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i_net_open" vbProcedure="false">In!$E$157</definedName>
    <definedName function="false" hidden="false" name="ai_net_open_hi" vbProcedure="false">In!$F$157</definedName>
    <definedName function="false" hidden="false" name="ai_net_open_lo" vbProcedure="false">In!$D$157</definedName>
    <definedName function="false" hidden="false" name="ai_runrate" vbProcedure="false">In!$E$223</definedName>
    <definedName function="false" hidden="false" name="al_fro" vbProcedure="false">In!$E$93</definedName>
    <definedName function="false" hidden="false" name="al_fro_hi" vbProcedure="false">In!$F$93</definedName>
    <definedName function="false" hidden="false" name="al_fro_lo" vbProcedure="false">In!$D$93</definedName>
    <definedName function="false" hidden="false" name="al_ind" vbProcedure="false">In!$E$92</definedName>
    <definedName function="false" hidden="false" name="al_ind_hi" vbProcedure="false">In!$F$92</definedName>
    <definedName function="false" hidden="false" name="al_ind_lo" vbProcedure="false">In!$D$92</definedName>
    <definedName function="false" hidden="false" name="al_lic" vbProcedure="false">In!$E$91</definedName>
    <definedName function="false" hidden="false" name="al_lic_hi" vbProcedure="false">In!$F$91</definedName>
    <definedName function="false" hidden="false" name="al_lic_lo" vbProcedure="false">In!$D$91</definedName>
    <definedName function="false" hidden="false" name="al_m365" vbProcedure="false">In!$E$90</definedName>
    <definedName function="false" hidden="false" name="al_m365_hi" vbProcedure="false">In!$F$90</definedName>
    <definedName function="false" hidden="false" name="al_m365_lo" vbProcedure="false">In!$D$90</definedName>
    <definedName function="false" hidden="false" name="al_srch" vbProcedure="false">In!$E$94</definedName>
    <definedName function="false" hidden="false" name="al_srch_hi" vbProcedure="false">In!$F$94</definedName>
    <definedName function="false" hidden="false" name="al_srch_lo" vbProcedure="false">In!$D$94</definedName>
    <definedName function="false" hidden="false" name="a_g3_27" vbProcedure="false">In!$E$135</definedName>
    <definedName function="false" hidden="false" name="a_g3_28" vbProcedure="false">In!$E$136</definedName>
    <definedName function="false" hidden="false" name="a_g3_29" vbProcedure="false">In!$E$137</definedName>
    <definedName function="false" hidden="false" name="a_mai" vbProcedure="false">In!$E$139</definedName>
    <definedName function="false" hidden="false" name="a_mai_hi" vbProcedure="false">In!$F$139</definedName>
    <definedName function="false" hidden="false" name="a_mai_lo" vbProcedure="false">In!$D$139</definedName>
    <definedName function="false" hidden="false" name="base_fy" vbProcedure="false">In!$E$60</definedName>
    <definedName function="false" hidden="false" name="bb_g" vbProcedure="false">In!$E$38</definedName>
    <definedName function="false" hidden="false" name="bb_g_hi" vbProcedure="false">In!$F$38</definedName>
    <definedName function="false" hidden="false" name="bb_g_lo" vbProcedure="false">In!$D$38</definedName>
    <definedName function="false" hidden="false" name="bb_target" vbProcedure="false">In!$E$37</definedName>
    <definedName function="false" hidden="false" name="beta" vbProcedure="false">In!$E$50</definedName>
    <definedName function="false" hidden="false" name="beta_gf" vbProcedure="false">In!$E$48</definedName>
    <definedName function="false" hidden="false" name="beta_hi" vbProcedure="false">In!$F$50</definedName>
    <definedName function="false" hidden="false" name="beta_lo" vbProcedure="false">In!$D$50</definedName>
    <definedName function="false" hidden="false" name="beta_sa" vbProcedure="false">In!$E$47</definedName>
    <definedName function="false" hidden="false" name="blume_w" vbProcedure="false">In!$E$49</definedName>
    <definedName function="false" hidden="false" name="capex_floor27" vbProcedure="false">In!$E$158</definedName>
    <definedName function="false" hidden="false" name="capex_floor27_hi" vbProcedure="false">In!$F$158</definedName>
    <definedName function="false" hidden="false" name="capex_floor27_lo" vbProcedure="false">In!$D$158</definedName>
    <definedName function="false" hidden="false" name="cap_epoch" vbProcedure="false">In!$E$129</definedName>
    <definedName function="false" hidden="false" name="cash_open" vbProcedure="false">In!$E$10</definedName>
    <definedName function="false" hidden="false" name="cash_q1" vbProcedure="false">In!$E$14</definedName>
    <definedName function="false" hidden="false" name="cash_val" vbProcedure="false">In!$E$19</definedName>
    <definedName function="false" hidden="false" name="chip_f" vbProcedure="false">In!$E$155</definedName>
    <definedName function="false" hidden="false" name="chip_f_hi" vbProcedure="false">In!$F$155</definedName>
    <definedName function="false" hidden="false" name="chip_f_lo" vbProcedure="false">In!$D$155</definedName>
    <definedName function="false" hidden="false" name="cons_cx27" vbProcedure="false">In!$E$203</definedName>
    <definedName function="false" hidden="false" name="cons_cx28" vbProcedure="false">In!$E$205</definedName>
    <definedName function="false" hidden="false" name="cons_cx29" vbProcedure="false">In!$E$207</definedName>
    <definedName function="false" hidden="false" name="cons_ebit27" vbProcedure="false">In!$E$202</definedName>
    <definedName function="false" hidden="false" name="cons_ebit28" vbProcedure="false">In!$E$204</definedName>
    <definedName function="false" hidden="false" name="cons_ebit29" vbProcedure="false">In!$E$206</definedName>
    <definedName function="false" hidden="false" name="cons_eps27" vbProcedure="false">In!$E$199</definedName>
    <definedName function="false" hidden="false" name="cons_eps27_hi" vbProcedure="false">In!$F$199</definedName>
    <definedName function="false" hidden="false" name="cons_eps27_lo" vbProcedure="false">In!$D$199</definedName>
    <definedName function="false" hidden="false" name="cons_eps28" vbProcedure="false">In!$E$208</definedName>
    <definedName function="false" hidden="false" name="cons_eps29" vbProcedure="false">In!$E$209</definedName>
    <definedName function="false" hidden="false" name="cons_rev27" vbProcedure="false">In!$E$198</definedName>
    <definedName function="false" hidden="false" name="cons_rev27_hi" vbProcedure="false">In!$F$198</definedName>
    <definedName function="false" hidden="false" name="cons_rev27_lo" vbProcedure="false">In!$D$198</definedName>
    <definedName function="false" hidden="false" name="cons_rev28" vbProcedure="false">In!$E$200</definedName>
    <definedName function="false" hidden="false" name="cons_rev29" vbProcedure="false">In!$E$201</definedName>
    <definedName function="false" hidden="false" name="cons_tp" vbProcedure="false">In!$E$196</definedName>
    <definedName function="false" hidden="false" name="cons_tp_hi" vbProcedure="false">In!$F$196</definedName>
    <definedName function="false" hidden="false" name="cons_tp_lo" vbProcedure="false">In!$D$196</definedName>
    <definedName function="false" hidden="false" name="cons_tp_mb" vbProcedure="false">In!$E$197</definedName>
    <definedName function="false" hidden="false" name="cons_tp_mb_hi" vbProcedure="false">In!$F$197</definedName>
    <definedName function="false" hidden="false" name="cons_tp_mb_lo" vbProcedure="false">In!$D$197</definedName>
    <definedName function="false" hidden="false" name="cop_add_A" vbProcedure="false">In!$E$164</definedName>
    <definedName function="false" hidden="false" name="cop_add_B" vbProcedure="false">In!$E$165</definedName>
    <definedName function="false" hidden="false" name="cop_add_C" vbProcedure="false">In!$E$166</definedName>
    <definedName function="false" hidden="false" name="cop_px" vbProcedure="false">In!$E$163</definedName>
    <definedName function="false" hidden="false" name="cop_px_hi" vbProcedure="false">In!$F$163</definedName>
    <definedName function="false" hidden="false" name="cop_px_lo" vbProcedure="false">In!$D$163</definedName>
    <definedName function="false" hidden="false" name="cop_s24" vbProcedure="false">In!$E$160</definedName>
    <definedName function="false" hidden="false" name="cop_s25" vbProcedure="false">In!$E$161</definedName>
    <definedName function="false" hidden="false" name="cop_s26" vbProcedure="false">In!$E$162</definedName>
    <definedName function="false" hidden="false" name="cop_tail" vbProcedure="false">In!$E$167</definedName>
    <definedName function="false" hidden="false" name="cxit_open" vbProcedure="false">In!$E$142</definedName>
    <definedName function="false" hidden="false" name="cx_azo" vbProcedure="false">In!$E$189</definedName>
    <definedName function="false" hidden="false" name="cx_dev" vbProcedure="false">In!$E$194</definedName>
    <definedName function="false" hidden="false" name="cx_ind" vbProcedure="false">In!$E$192</definedName>
    <definedName function="false" hidden="false" name="cx_lic" vbProcedure="false">In!$E$191</definedName>
    <definedName function="false" hidden="false" name="cx_m365" vbProcedure="false">In!$E$190</definedName>
    <definedName function="false" hidden="false" name="cx_srch" vbProcedure="false">In!$E$193</definedName>
    <definedName function="false" hidden="false" name="days_yr" vbProcedure="false">In!$E$65</definedName>
    <definedName function="false" hidden="false" name="debt_face" vbProcedure="false">In!$E$11</definedName>
    <definedName function="false" hidden="false" name="debt_mat_27" vbProcedure="false">In!$E$22</definedName>
    <definedName function="false" hidden="false" name="debt_mat_28" vbProcedure="false">In!$E$23</definedName>
    <definedName function="false" hidden="false" name="debt_mat_29" vbProcedure="false">In!$E$24</definedName>
    <definedName function="false" hidden="false" name="debt_mat_30" vbProcedure="false">In!$E$25</definedName>
    <definedName function="false" hidden="false" name="debt_mat_31" vbProcedure="false">In!$E$26</definedName>
    <definedName function="false" hidden="false" name="debt_mat_32" vbProcedure="false">In!$E$27</definedName>
    <definedName function="false" hidden="false" name="debt_q1" vbProcedure="false">In!$E$15</definedName>
    <definedName function="false" hidden="false" name="debt_val" vbProcedure="false">In!$E$20</definedName>
    <definedName function="false" hidden="false" name="dil_gap" vbProcedure="false">In!$E$8</definedName>
    <definedName function="false" hidden="false" name="div_rem27" vbProcedure="false">In!$E$43</definedName>
    <definedName function="false" hidden="false" name="dm_seg" vbProcedure="false">In!$E$181</definedName>
    <definedName function="false" hidden="false" name="dm_seg_hi" vbProcedure="false">In!$F$181</definedName>
    <definedName function="false" hidden="false" name="dm_seg_lo" vbProcedure="false">In!$D$181</definedName>
    <definedName function="false" hidden="false" name="dps_27" vbProcedure="false">In!$E$42</definedName>
    <definedName function="false" hidden="false" name="dps_g" vbProcedure="false">In!$E$44</definedName>
    <definedName function="false" hidden="false" name="dps_g_hi" vbProcedure="false">In!$F$44</definedName>
    <definedName function="false" hidden="false" name="dps_g_lo" vbProcedure="false">In!$D$44</definedName>
    <definedName function="false" hidden="false" name="dps_q0" vbProcedure="false">In!$E$40</definedName>
    <definedName function="false" hidden="false" name="dps_q1" vbProcedure="false">In!$E$41</definedName>
    <definedName function="false" hidden="false" name="erp" vbProcedure="false">In!$E$51</definedName>
    <definedName function="false" hidden="false" name="erp_hi" vbProcedure="false">In!$F$51</definedName>
    <definedName function="false" hidden="false" name="erp_lo" vbProcedure="false">In!$D$51</definedName>
    <definedName function="false" hidden="false" name="ext_sh" vbProcedure="false">In!$E$130</definedName>
    <definedName function="false" hidden="false" name="ext_sh_hi" vbProcedure="false">In!$F$130</definedName>
    <definedName function="false" hidden="false" name="ext_sh_lo" vbProcedure="false">In!$D$130</definedName>
    <definedName function="false" hidden="false" name="fac_rent" vbProcedure="false">In!$E$113</definedName>
    <definedName function="false" hidden="false" name="fac_wacc" vbProcedure="false">In!$E$112</definedName>
    <definedName function="false" hidden="false" name="fl_liab" vbProcedure="false">In!$E$28</definedName>
    <definedName function="false" hidden="false" name="fl_liab_q1" vbProcedure="false">In!$E$16</definedName>
    <definedName function="false" hidden="false" name="fl_pay_27" vbProcedure="false">In!$E$30</definedName>
    <definedName function="false" hidden="false" name="fl_pay_28" vbProcedure="false">In!$E$31</definedName>
    <definedName function="false" hidden="false" name="fl_pay_29" vbProcedure="false">In!$E$32</definedName>
    <definedName function="false" hidden="false" name="fl_pay_30" vbProcedure="false">In!$E$33</definedName>
    <definedName function="false" hidden="false" name="fl_pay_31" vbProcedure="false">In!$E$34</definedName>
    <definedName function="false" hidden="false" name="fl_pay_32" vbProcedure="false">In!$E$35</definedName>
    <definedName function="false" hidden="false" name="fl_rate" vbProcedure="false">In!$E$29</definedName>
    <definedName function="false" hidden="false" name="fl_val" vbProcedure="false">In!$E$21</definedName>
    <definedName function="false" hidden="false" name="fy28_end" vbProcedure="false">In!$E$72</definedName>
    <definedName function="false" hidden="false" name="glt_azo" vbProcedure="false">In!$E$172</definedName>
    <definedName function="false" hidden="false" name="glt_azo_hi" vbProcedure="false">In!$F$172</definedName>
    <definedName function="false" hidden="false" name="glt_azo_lo" vbProcedure="false">In!$D$172</definedName>
    <definedName function="false" hidden="false" name="glt_fro" vbProcedure="false">In!$E$176</definedName>
    <definedName function="false" hidden="false" name="glt_fro_hi" vbProcedure="false">In!$F$176</definedName>
    <definedName function="false" hidden="false" name="glt_fro_lo" vbProcedure="false">In!$D$176</definedName>
    <definedName function="false" hidden="false" name="glt_ind" vbProcedure="false">In!$E$175</definedName>
    <definedName function="false" hidden="false" name="glt_ind_hi" vbProcedure="false">In!$F$175</definedName>
    <definedName function="false" hidden="false" name="glt_ind_lo" vbProcedure="false">In!$D$175</definedName>
    <definedName function="false" hidden="false" name="glt_lic" vbProcedure="false">In!$E$174</definedName>
    <definedName function="false" hidden="false" name="glt_lic_hi" vbProcedure="false">In!$F$174</definedName>
    <definedName function="false" hidden="false" name="glt_lic_lo" vbProcedure="false">In!$D$174</definedName>
    <definedName function="false" hidden="false" name="glt_m365b" vbProcedure="false">In!$E$173</definedName>
    <definedName function="false" hidden="false" name="glt_m365b_hi" vbProcedure="false">In!$F$173</definedName>
    <definedName function="false" hidden="false" name="glt_m365b_lo" vbProcedure="false">In!$D$173</definedName>
    <definedName function="false" hidden="false" name="glt_srch" vbProcedure="false">In!$E$177</definedName>
    <definedName function="false" hidden="false" name="glt_srch_hi" vbProcedure="false">In!$F$177</definedName>
    <definedName function="false" hidden="false" name="glt_srch_lo" vbProcedure="false">In!$D$177</definedName>
    <definedName function="false" hidden="false" name="glt_win" vbProcedure="false">In!$E$179</definedName>
    <definedName function="false" hidden="false" name="glt_win_hi" vbProcedure="false">In!$F$179</definedName>
    <definedName function="false" hidden="false" name="glt_win_lo" vbProcedure="false">In!$D$179</definedName>
    <definedName function="false" hidden="false" name="glt_xbox" vbProcedure="false">In!$E$178</definedName>
    <definedName function="false" hidden="false" name="glt_xbox_hi" vbProcedure="false">In!$F$178</definedName>
    <definedName function="false" hidden="false" name="glt_xbox_lo" vbProcedure="false">In!$D$178</definedName>
    <definedName function="false" hidden="false" name="g_cy26_cx" vbProcedure="false">In!$E$221</definedName>
    <definedName function="false" hidden="false" name="g_fy27_opm" vbProcedure="false">In!$E$222</definedName>
    <definedName function="false" hidden="false" name="g_q1_ai" vbProcedure="false">In!$E$211</definedName>
    <definedName function="false" hidden="false" name="g_q1_ai_hi" vbProcedure="false">In!$F$211</definedName>
    <definedName function="false" hidden="false" name="g_q1_ai_lo" vbProcedure="false">In!$D$211</definedName>
    <definedName function="false" hidden="false" name="g_q1_az" vbProcedure="false">In!$E$213</definedName>
    <definedName function="false" hidden="false" name="g_q1_az_hi" vbProcedure="false">In!$F$213</definedName>
    <definedName function="false" hidden="false" name="g_q1_az_lo" vbProcedure="false">In!$D$213</definedName>
    <definedName function="false" hidden="false" name="g_q1_cx" vbProcedure="false">In!$E$214</definedName>
    <definedName function="false" hidden="false" name="g_q1_dc" vbProcedure="false">In!$E$212</definedName>
    <definedName function="false" hidden="false" name="g_q1_dc_hi" vbProcedure="false">In!$F$212</definedName>
    <definedName function="false" hidden="false" name="g_q1_dc_lo" vbProcedure="false">In!$D$212</definedName>
    <definedName function="false" hidden="false" name="g_q1_rev" vbProcedure="false">In!$E$210</definedName>
    <definedName function="false" hidden="false" name="g_q1_rev_hi" vbProcedure="false">In!$F$210</definedName>
    <definedName function="false" hidden="false" name="g_q1_rev_lo" vbProcedure="false">In!$D$210</definedName>
    <definedName function="false" hidden="false" name="g_q2_ai" vbProcedure="false">In!$E$216</definedName>
    <definedName function="false" hidden="false" name="g_q2_ai_hi" vbProcedure="false">In!$F$216</definedName>
    <definedName function="false" hidden="false" name="g_q2_ai_lo" vbProcedure="false">In!$D$216</definedName>
    <definedName function="false" hidden="false" name="g_q2_az" vbProcedure="false">In!$E$218</definedName>
    <definedName function="false" hidden="false" name="g_q2_az_hi" vbProcedure="false">In!$F$218</definedName>
    <definedName function="false" hidden="false" name="g_q2_az_lo" vbProcedure="false">In!$D$218</definedName>
    <definedName function="false" hidden="false" name="g_q2_cx" vbProcedure="false">In!$E$220</definedName>
    <definedName function="false" hidden="false" name="g_q2_dc" vbProcedure="false">In!$E$217</definedName>
    <definedName function="false" hidden="false" name="g_q2_dc_hi" vbProcedure="false">In!$F$217</definedName>
    <definedName function="false" hidden="false" name="g_q2_dc_lo" vbProcedure="false">In!$D$217</definedName>
    <definedName function="false" hidden="false" name="g_q2_rev" vbProcedure="false">In!$E$215</definedName>
    <definedName function="false" hidden="false" name="g_q2_rev_hi" vbProcedure="false">In!$F$215</definedName>
    <definedName function="false" hidden="false" name="g_q2_rev_lo" vbProcedure="false">In!$D$215</definedName>
    <definedName function="false" hidden="false" name="g_q2_win" vbProcedure="false">In!$E$219</definedName>
    <definedName function="false" hidden="false" name="g_q2_win_hi" vbProcedure="false">In!$F$219</definedName>
    <definedName function="false" hidden="false" name="g_q2_win_lo" vbProcedure="false">In!$D$219</definedName>
    <definedName function="false" hidden="false" name="g_tv" vbProcedure="false">In!$E$58</definedName>
    <definedName function="false" hidden="false" name="g_tv_hi" vbProcedure="false">In!$F$58</definedName>
    <definedName function="false" hidden="false" name="g_tv_lo" vbProcedure="false">In!$D$58</definedName>
    <definedName function="false" hidden="false" name="internal_ai_reading" vbProcedure="false">In!$E$168</definedName>
    <definedName function="false" hidden="false" name="internal_ai_reading_lo" vbProcedure="false">In!$D$168</definedName>
    <definedName function="false" hidden="false" name="kd" vbProcedure="false">In!$E$54</definedName>
    <definedName function="false" hidden="false" name="kd_aaa" vbProcedure="false">In!$E$52</definedName>
    <definedName function="false" hidden="false" name="kd_spread" vbProcedure="false">In!$E$53</definedName>
    <definedName function="false" hidden="false" name="kd_spread_hi" vbProcedure="false">In!$F$53</definedName>
    <definedName function="false" hidden="false" name="kd_spread_lo" vbProcedure="false">In!$D$53</definedName>
    <definedName function="false" hidden="false" name="ke" vbProcedure="false">In!$E$56</definedName>
    <definedName function="false" hidden="false" name="k_A" vbProcedure="false">In!$E$152</definedName>
    <definedName function="false" hidden="false" name="k_B" vbProcedure="false">In!$E$153</definedName>
    <definedName function="false" hidden="false" name="k_C" vbProcedure="false">In!$E$154</definedName>
    <definedName function="false" hidden="false" name="k_long" vbProcedure="false">In!$E$145</definedName>
    <definedName function="false" hidden="false" name="k_long_lo" vbProcedure="false">In!$E$147</definedName>
    <definedName function="false" hidden="false" name="k_ramp" vbProcedure="false">In!$E$127</definedName>
    <definedName function="false" hidden="false" name="k_spot" vbProcedure="false">In!$E$148</definedName>
    <definedName function="false" hidden="false" name="life_fac" vbProcedure="false">In!$E$111</definedName>
    <definedName function="false" hidden="false" name="life_it" vbProcedure="false">In!$E$110</definedName>
    <definedName function="false" hidden="false" name="life_it_hi" vbProcedure="false">In!$F$110</definedName>
    <definedName function="false" hidden="false" name="life_it_lo" vbProcedure="false">In!$D$110</definedName>
    <definedName function="false" hidden="false" name="life_nonai" vbProcedure="false">In!$E$188</definedName>
    <definedName function="false" hidden="false" name="life_nonai_hi" vbProcedure="false">In!$F$188</definedName>
    <definedName function="false" hidden="false" name="life_nonai_lo" vbProcedure="false">In!$D$188</definedName>
    <definedName function="false" hidden="false" name="liq_disc" vbProcedure="false">In!$E$81</definedName>
    <definedName function="false" hidden="false" name="liq_disc_hi" vbProcedure="false">In!$F$81</definedName>
    <definedName function="false" hidden="false" name="liq_disc_lo" vbProcedure="false">In!$D$81</definedName>
    <definedName function="false" hidden="false" name="ls_A" vbProcedure="false">In!$E$149</definedName>
    <definedName function="false" hidden="false" name="ls_B" vbProcedure="false">In!$E$150</definedName>
    <definedName function="false" hidden="false" name="ls_C" vbProcedure="false">In!$E$151</definedName>
    <definedName function="false" hidden="false" name="mid_yr" vbProcedure="false">In!$E$61</definedName>
    <definedName function="false" hidden="false" name="min_cash" vbProcedure="false">In!$E$36</definedName>
    <definedName function="false" hidden="false" name="min_cash_hi" vbProcedure="false">In!$F$36</definedName>
    <definedName function="false" hidden="false" name="min_cash_lo" vbProcedure="false">In!$D$36</definedName>
    <definedName function="false" hidden="false" name="mix_g2" vbProcedure="false">In!$E$133</definedName>
    <definedName function="false" hidden="false" name="mix_g3" vbProcedure="false">In!$E$134</definedName>
    <definedName function="false" hidden="false" name="mix_h" vbProcedure="false">In!$E$132</definedName>
    <definedName function="false" hidden="false" name="mw_ext_24" vbProcedure="false">In!$E$115</definedName>
    <definedName function="false" hidden="false" name="mw_ext_25" vbProcedure="false">In!$E$116</definedName>
    <definedName function="false" hidden="false" name="mw_ext_26" vbProcedure="false">In!$E$117</definedName>
    <definedName function="false" hidden="false" name="mw_ext_26_hi" vbProcedure="false">In!$F$117</definedName>
    <definedName function="false" hidden="false" name="mw_ext_26_lo" vbProcedure="false">In!$D$117</definedName>
    <definedName function="false" hidden="false" name="m_ads" vbProcedure="false">In!$E$86</definedName>
    <definedName function="false" hidden="false" name="m_ai" vbProcedure="false">In!$E$83</definedName>
    <definedName function="false" hidden="false" name="m_ai_hi" vbProcedure="false">In!$F$83</definedName>
    <definedName function="false" hidden="false" name="m_ai_lo" vbProcedure="false">In!$D$83</definedName>
    <definedName function="false" hidden="false" name="m_cloud" vbProcedure="false">In!$E$84</definedName>
    <definedName function="false" hidden="false" name="m_game" vbProcedure="false">In!$E$87</definedName>
    <definedName function="false" hidden="false" name="m_own" vbProcedure="false">In!$E$89</definedName>
    <definedName function="false" hidden="false" name="m_pc" vbProcedure="false">In!$E$88</definedName>
    <definedName function="false" hidden="false" name="m_sw" vbProcedure="false">In!$E$85</definedName>
    <definedName function="false" hidden="false" name="nonnv" vbProcedure="false">In!$E$138</definedName>
    <definedName function="false" hidden="false" name="nonnv_lo" vbProcedure="false">In!$D$138</definedName>
    <definedName function="false" hidden="false" name="nv_hold_mai" vbProcedure="false">In!$E$141</definedName>
    <definedName function="false" hidden="false" name="nv_hold_mai_hi" vbProcedure="false">In!$F$141</definedName>
    <definedName function="false" hidden="false" name="nv_hold_mai_lo" vbProcedure="false">In!$D$141</definedName>
    <definedName function="false" hidden="false" name="nv_out_mai" vbProcedure="false">In!$E$140</definedName>
    <definedName function="false" hidden="false" name="nv_out_mai_hi" vbProcedure="false">In!$F$140</definedName>
    <definedName function="false" hidden="false" name="nv_out_mai_lo" vbProcedure="false">In!$D$140</definedName>
    <definedName function="false" hidden="false" name="n_conv" vbProcedure="false">In!$E$171</definedName>
    <definedName function="false" hidden="false" name="oai_rev_q1" vbProcedure="false">In!$E$224</definedName>
    <definedName function="false" hidden="false" name="oai_stake" vbProcedure="false">In!$E$78</definedName>
    <definedName function="false" hidden="false" name="oai_stake26" vbProcedure="false">In!$E$79</definedName>
    <definedName function="false" hidden="false" name="oai_stake_hi" vbProcedure="false">In!$F$78</definedName>
    <definedName function="false" hidden="false" name="oai_v" vbProcedure="false">In!$E$82</definedName>
    <definedName function="false" hidden="false" name="oai_val" vbProcedure="false">In!$E$80</definedName>
    <definedName function="false" hidden="false" name="oie_f" vbProcedure="false">In!$E$182</definedName>
    <definedName function="false" hidden="false" name="oie_f_hi" vbProcedure="false">In!$F$182</definedName>
    <definedName function="false" hidden="false" name="oie_f_lo" vbProcedure="false">In!$D$182</definedName>
    <definedName function="false" hidden="false" name="old_dcf" vbProcedure="false">In!$E$228</definedName>
    <definedName function="false" hidden="false" name="old_ev" vbProcedure="false">In!$E$229</definedName>
    <definedName function="false" hidden="false" name="old_tp" vbProcedure="false">In!$E$227</definedName>
    <definedName function="false" hidden="false" name="old_tp_hi" vbProcedure="false">In!$F$227</definedName>
    <definedName function="false" hidden="false" name="old_tp_lo" vbProcedure="false">In!$D$227</definedName>
    <definedName function="false" hidden="false" name="old_w" vbProcedure="false">In!$E$230</definedName>
    <definedName function="false" hidden="false" name="pace" vbProcedure="false">In!$E$122</definedName>
    <definedName function="false" hidden="false" name="pace_epoch" vbProcedure="false">In!$E$128</definedName>
    <definedName function="false" hidden="false" name="pace_nv0" vbProcedure="false">In!$E$124</definedName>
    <definedName function="false" hidden="false" name="pace_v03" vbProcedure="false">In!$E$123</definedName>
    <definedName function="false" hidden="false" name="pace_y0" vbProcedure="false">In!$E$125</definedName>
    <definedName function="false" hidden="false" name="pace_y1" vbProcedure="false">In!$E$126</definedName>
    <definedName function="false" hidden="false" name="px" vbProcedure="false">In!$E$5</definedName>
    <definedName function="false" hidden="false" name="p_long" vbProcedure="false">In!$E$143</definedName>
    <definedName function="false" hidden="false" name="p_long_lo" vbProcedure="false">In!$E$146</definedName>
    <definedName function="false" hidden="false" name="p_spot" vbProcedure="false">In!$E$144</definedName>
    <definedName function="false" hidden="false" name="p_spot_hi" vbProcedure="false">In!$F$144</definedName>
    <definedName function="false" hidden="false" name="q_per_yr" vbProcedure="false">In!$E$69</definedName>
    <definedName function="false" hidden="false" name="rent_ext_24" vbProcedure="false">In!$E$118</definedName>
    <definedName function="false" hidden="false" name="rent_ext_25" vbProcedure="false">In!$E$119</definedName>
    <definedName function="false" hidden="false" name="rent_ext_26" vbProcedure="false">In!$E$120</definedName>
    <definedName function="false" hidden="false" name="rent_ext_f" vbProcedure="false">In!$E$121</definedName>
    <definedName function="false" hidden="false" name="rent_mw" vbProcedure="false">In!$E$156</definedName>
    <definedName function="false" hidden="false" name="rf" vbProcedure="false">In!$E$46</definedName>
    <definedName function="false" hidden="false" name="roll_d1" vbProcedure="false">In!$E$63</definedName>
    <definedName function="false" hidden="false" name="roll_d2" vbProcedure="false">In!$E$64</definedName>
    <definedName function="false" hidden="false" name="roll_div_q" vbProcedure="false">In!$E$68</definedName>
    <definedName function="false" hidden="false" name="ronic_prem" vbProcedure="false">In!$E$59</definedName>
    <definedName function="false" hidden="false" name="ronic_prem_hi" vbProcedure="false">In!$F$59</definedName>
    <definedName function="false" hidden="false" name="ronic_prem_lo" vbProcedure="false">In!$D$59</definedName>
    <definedName function="false" hidden="false" name="sbc_r" vbProcedure="false">In!$E$184</definedName>
    <definedName function="false" hidden="false" name="self_build" vbProcedure="false">In!$E$131</definedName>
    <definedName function="false" hidden="false" name="self_build_hi" vbProcedure="false">In!$F$131</definedName>
    <definedName function="false" hidden="false" name="self_build_lo" vbProcedure="false">In!$D$131</definedName>
    <definedName function="false" hidden="false" name="shadow_base" vbProcedure="false">In!$E$169</definedName>
    <definedName function="false" hidden="false" name="shadow_base_lo" vbProcedure="false">In!$D$169</definedName>
    <definedName function="false" hidden="false" name="shd_val" vbProcedure="false">In!$E$18</definedName>
    <definedName function="false" hidden="false" name="sh_basic26" vbProcedure="false">In!$E$7</definedName>
    <definedName function="false" hidden="false" name="sh_dil26" vbProcedure="false">In!$E$6</definedName>
    <definedName function="false" hidden="false" name="sh_dil_q1" vbProcedure="false">In!$E$12</definedName>
    <definedName function="false" hidden="false" name="sh_iss" vbProcedure="false">In!$E$39</definedName>
    <definedName function="false" hidden="false" name="sh_iss_hi" vbProcedure="false">In!$F$39</definedName>
    <definedName function="false" hidden="false" name="sh_iss_lo" vbProcedure="false">In!$D$39</definedName>
    <definedName function="false" hidden="false" name="sh_out26" vbProcedure="false">In!$E$9</definedName>
    <definedName function="false" hidden="false" name="sh_out_q1" vbProcedure="false">In!$E$13</definedName>
    <definedName function="false" hidden="false" name="sh_val" vbProcedure="false">In!$E$17</definedName>
    <definedName function="false" hidden="false" name="stub_d0" vbProcedure="false">In!$E$70</definedName>
    <definedName function="false" hidden="false" name="tax_f" vbProcedure="false">In!$E$183</definedName>
    <definedName function="false" hidden="false" name="tax_f_hi" vbProcedure="false">In!$F$183</definedName>
    <definedName function="false" hidden="false" name="tax_f_lo" vbProcedure="false">In!$D$183</definedName>
    <definedName function="false" hidden="false" name="tax_w" vbProcedure="false">In!$E$55</definedName>
    <definedName function="false" hidden="false" name="tgt_alt" vbProcedure="false">In!$E$225</definedName>
    <definedName function="false" hidden="false" name="tk_cxfac" vbProcedure="false">In!$E$108</definedName>
    <definedName function="false" hidden="false" name="tk_cxit_gb200" vbProcedure="false">In!$E$101</definedName>
    <definedName function="false" hidden="false" name="tk_cxit_gb300" vbProcedure="false">In!$E$102</definedName>
    <definedName function="false" hidden="false" name="tk_cxit_h100" vbProcedure="false">In!$E$100</definedName>
    <definedName function="false" hidden="false" name="tk_cxit_vr200" vbProcedure="false">In!$E$103</definedName>
    <definedName function="false" hidden="false" name="tk_gpuhr_h100" vbProcedure="false">In!$E$109</definedName>
    <definedName function="false" hidden="false" name="tk_hold_gb200" vbProcedure="false">In!$E$97</definedName>
    <definedName function="false" hidden="false" name="tk_hold_gb300" vbProcedure="false">In!$E$98</definedName>
    <definedName function="false" hidden="false" name="tk_hold_h100" vbProcedure="false">In!$E$96</definedName>
    <definedName function="false" hidden="false" name="tk_hold_vr200" vbProcedure="false">In!$E$99</definedName>
    <definedName function="false" hidden="false" name="tk_opex_gb200" vbProcedure="false">In!$E$105</definedName>
    <definedName function="false" hidden="false" name="tk_opex_gb300" vbProcedure="false">In!$E$106</definedName>
    <definedName function="false" hidden="false" name="tk_opex_h100" vbProcedure="false">In!$E$104</definedName>
    <definedName function="false" hidden="false" name="tk_opex_vr200" vbProcedure="false">In!$E$107</definedName>
    <definedName function="false" hidden="false" name="t_roll" vbProcedure="false">In!$E$67</definedName>
    <definedName function="false" hidden="false" name="t_stub" vbProcedure="false">In!$E$71</definedName>
    <definedName function="false" hidden="false" name="val_d0" vbProcedure="false">In!$E$62</definedName>
    <definedName function="false" hidden="false" name="v_off" vbProcedure="false">In!$E$66</definedName>
    <definedName function="false" hidden="false" name="wacc" vbProcedure="false">In!$E$57</definedName>
    <definedName function="false" hidden="false" name="wc26q1" vbProcedure="false">In!$E$186</definedName>
    <definedName function="false" hidden="false" name="wc27" vbProcedure="false">In!$E$185</definedName>
    <definedName function="false" hidden="false" name="wc_f" vbProcedure="false">In!$E$187</definedName>
    <definedName function="false" hidden="false" name="w_A" vbProcedure="false">In!$E$75</definedName>
    <definedName function="false" hidden="false" name="w_B" vbProcedure="false">In!$E$76</definedName>
    <definedName function="false" hidden="false" name="w_C" vbProcedure="false">In!$E$77</definedName>
    <definedName function="false" hidden="false" name="w_dcf" vbProcedure="false">In!$E$74</definedName>
    <definedName function="false" hidden="false" name="w_dcf_hi" vbProcedure="false">In!$F$74</definedName>
    <definedName function="false" hidden="false" name="w_dcf_lo" vbProcedure="false">In!$D$74</definedName>
    <definedName function="false" hidden="false" name="w_ntm28" vbProcedure="false">In!$E$73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<sst xmlns="http://schemas.openxmlformats.org/spreadsheetml/2006/main" count="54540" uniqueCount="2050">
  <si>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v0.3.1 — </t>
    </r>
    <r>
      <rPr>
        <sz val="11"/>
        <color theme="1"/>
        <rFont val="Noto Sans CJK SC"/>
        <family val="2"/>
      </rPr>
      <t xml:space="preserve">命題＋官方營收分部 → 損益表（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；資料截至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〕；評價日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、目標價時點 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</si>
  <si>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工作表：</t>
    </r>
    <r>
      <rPr>
        <sz val="11"/>
        <color theme="1"/>
        <rFont val="Calibri"/>
        <family val="2"/>
        <charset val="1"/>
      </rPr>
      <t xml:space="preserve">README → In → Q → Thesis → Seg → PL → CF → Val → Recon → Sens → Sources</t>
    </r>
    <r>
      <rPr>
        <sz val="11"/>
        <color theme="1"/>
        <rFont val="Noto Sans CJK SC"/>
        <family val="2"/>
      </rPr>
      <t xml:space="preserve">。金額十億美元；財年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月結束（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</si>
  <si>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能否同時在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（算力）與 </t>
    </r>
    <r>
      <rPr>
        <sz val="11"/>
        <color theme="1"/>
        <rFont val="Calibri"/>
        <family val="2"/>
        <charset val="1"/>
      </rPr>
      <t xml:space="preserve">Microsoft 365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應用）變現，撐住翻倍的資本支出。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</si>
  <si>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增量營業利益能否覆蓋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資本支出的資金成本（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），且自由現金流不需停止回購。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</si>
  <si>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</si>
  <si>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</si>
  <si>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</si>
  <si>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</si>
  <si>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</si>
  <si>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r>
      <rPr>
        <b val="true"/>
        <sz val="11"/>
        <rFont val="Noto Sans CJK SC"/>
        <family val="2"/>
      </rPr>
      <t xml:space="preserve">基準值（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</si>
  <si>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Thesis</t>
  </si>
  <si>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mw_ext_26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rent_ext_f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</si>
  <si>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、自有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（含自用）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</si>
  <si>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越多 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營收↑、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資本支出與折舊↑</t>
    </r>
  </si>
  <si>
    <r>
      <rPr>
        <sz val="11"/>
        <color theme="1"/>
        <rFont val="Calibri"/>
        <family val="2"/>
        <charset val="1"/>
      </rPr>
      <t xml:space="preserve">tk_hold_*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p_long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ls_*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</si>
  <si>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</t>
    </r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</si>
  <si>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越高 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EBITDA↑</t>
    </r>
    <r>
      <rPr>
        <sz val="11"/>
        <color theme="1"/>
        <rFont val="Noto Sans CJK SC"/>
        <family val="2"/>
      </rPr>
      <t xml:space="preserve">（三情境主要差異）</t>
    </r>
  </si>
  <si>
    <r>
      <rPr>
        <sz val="11"/>
        <color theme="1"/>
        <rFont val="Calibri"/>
        <family val="2"/>
        <charset val="1"/>
      </rPr>
      <t xml:space="preserve">tk_cxit_*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tk_cxfac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self_build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capex_floor27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life_it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</si>
  <si>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</si>
  <si>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Noto Sans CJK SC"/>
        <family val="2"/>
      </rPr>
      <t xml:space="preserve">資本支出 → 折舊 →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營業利益↓；→ 自由現金流↓</t>
    </r>
  </si>
  <si>
    <t xml:space="preserve">Seg</t>
  </si>
  <si>
    <r>
      <rPr>
        <sz val="11"/>
        <color theme="1"/>
        <rFont val="Calibri"/>
        <family val="2"/>
        <charset val="1"/>
      </rPr>
      <t xml:space="preserve">cop_s26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cop_add_*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cop_px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</si>
  <si>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子列）</t>
    </r>
  </si>
  <si>
    <r>
      <rPr>
        <sz val="11"/>
        <color theme="1"/>
        <rFont val="Noto Sans CJK SC"/>
        <family val="2"/>
      </rPr>
      <t xml:space="preserve">座席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月費 → </t>
    </r>
    <r>
      <rPr>
        <sz val="11"/>
        <color theme="1"/>
        <rFont val="Calibri"/>
        <family val="2"/>
        <charset val="1"/>
      </rPr>
      <t xml:space="preserve">M365 cloud↑</t>
    </r>
  </si>
  <si>
    <r>
      <rPr>
        <sz val="11"/>
        <color theme="1"/>
        <rFont val="Calibri"/>
        <family val="2"/>
        <charset val="1"/>
      </rPr>
      <t xml:space="preserve">glt_*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n_conv</t>
    </r>
  </si>
  <si>
    <t xml:space="preserve">非命題產品線營收</t>
  </si>
  <si>
    <t xml:space="preserve">近一年年增收斂到長期值</t>
  </si>
  <si>
    <t xml:space="preserve">PL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</si>
  <si>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校準）、</t>
    </r>
    <r>
      <rPr>
        <sz val="11"/>
        <color theme="1"/>
        <rFont val="Calibri"/>
        <family val="2"/>
        <charset val="1"/>
      </rPr>
      <t xml:space="preserve">dm_seg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</si>
  <si>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核心利益率、分部營業利益</t>
    </r>
  </si>
  <si>
    <r>
      <rPr>
        <sz val="11"/>
        <color theme="1"/>
        <rFont val="Noto Sans CJK SC"/>
        <family val="2"/>
      </rPr>
      <t xml:space="preserve">核心利益率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（分部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Azure AI − AI </t>
    </r>
    <r>
      <rPr>
        <sz val="11"/>
        <color theme="1"/>
        <rFont val="Noto Sans CJK SC"/>
        <family val="2"/>
      </rPr>
      <t xml:space="preserve">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</si>
  <si>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tax_f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oie_f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</si>
  <si>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</si>
  <si>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持有成本（扣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）進評價口徑營業利益</t>
    </r>
  </si>
  <si>
    <t xml:space="preserve">CF</t>
  </si>
  <si>
    <r>
      <rPr>
        <sz val="11"/>
        <color theme="1"/>
        <rFont val="Calibri"/>
        <family val="2"/>
        <charset val="1"/>
      </rPr>
      <t xml:space="preserve">sbc_r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fl_pay_*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bb_target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dps_*</t>
    </r>
  </si>
  <si>
    <t xml:space="preserve">自由現金流、回購、舉債、股數</t>
  </si>
  <si>
    <t xml:space="preserve">自由現金流扣股利 → 回購（不足先減）→ 舉債</t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</si>
  <si>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</si>
  <si>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w_*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</si>
  <si>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）、加權目標價</t>
    </r>
  </si>
  <si>
    <r>
      <rPr>
        <sz val="11"/>
        <color theme="1"/>
        <rFont val="Calibri"/>
        <family val="2"/>
        <charset val="1"/>
      </rPr>
      <t xml:space="preserve">WACC↑ → DCF↓</t>
    </r>
    <r>
      <rPr>
        <sz val="11"/>
        <color theme="1"/>
        <rFont val="Noto Sans CJK SC"/>
        <family val="2"/>
      </rPr>
      <t xml:space="preserve">；倍數↑ → </t>
    </r>
    <r>
      <rPr>
        <sz val="11"/>
        <color theme="1"/>
        <rFont val="Calibri"/>
        <family val="2"/>
        <charset val="1"/>
      </rPr>
      <t xml:space="preserve">SOTP↑</t>
    </r>
  </si>
  <si>
    <t xml:space="preserve">結果摘要（三情境）</t>
  </si>
  <si>
    <t xml:space="preserve">項目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</si>
  <si>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</si>
  <si>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</si>
  <si>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</si>
  <si>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</si>
  <si>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</si>
  <si>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</si>
  <si>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</si>
  <si>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（財報口徑）</t>
    </r>
  </si>
  <si>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（財報口徑，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</si>
  <si>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（評價口徑，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</si>
  <si>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（財報現金）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</si>
  <si>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FY2029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</si>
  <si>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FY2029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</si>
  <si>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</si>
  <si>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的差異：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架構（對外 </t>
    </r>
    <r>
      <rPr>
        <sz val="11"/>
        <color theme="1"/>
        <rFont val="Calibri"/>
        <family val="2"/>
        <charset val="1"/>
      </rPr>
      <t xml:space="preserve">AI 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收入＋其餘業務成長率線、融資瀑布）；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改為官方兩分部、八條產品線，命題只驅動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兩條子列，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資本支出經折舊進分部營業利益；評價改 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。拆解見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節。</t>
    </r>
  </si>
  <si>
    <r>
      <rPr>
        <sz val="11"/>
        <color theme="1"/>
        <rFont val="Noto Sans CJK SC"/>
        <family val="2"/>
      </rPr>
      <t xml:space="preserve">已知限制：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、對外比例、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營收與座席歷史、產品線利潤、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部署量公司皆未揭露（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，給區間）；非命題產品線依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年增收斂，未套用 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季度指引（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mid-thirties </t>
    </r>
    <r>
      <rPr>
        <sz val="11"/>
        <color theme="1"/>
        <rFont val="Noto Sans CJK SC"/>
        <family val="2"/>
      </rPr>
      <t xml:space="preserve">衰退，只列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對照）；共識為財報前（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</si>
  <si>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建置：</t>
    </r>
    <r>
      <rPr>
        <sz val="11"/>
        <color theme="1"/>
        <rFont val="Calibri"/>
        <family val="2"/>
        <charset val="1"/>
      </rPr>
      <t xml:space="preserve">bash microsoft/make_v03.sh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build_microsoft.py → LibreOffice </t>
    </r>
    <r>
      <rPr>
        <sz val="11"/>
        <color theme="1"/>
        <rFont val="Noto Sans CJK SC"/>
        <family val="2"/>
      </rPr>
      <t xml:space="preserve">重算 → </t>
    </r>
    <r>
      <rPr>
        <sz val="11"/>
        <color theme="1"/>
        <rFont val="Calibri"/>
        <family val="2"/>
        <charset val="1"/>
      </rPr>
      <t xml:space="preserve">check_v03.py → segment_check → HTML</t>
    </r>
    <r>
      <rPr>
        <sz val="11"/>
        <color theme="1"/>
        <rFont val="Noto Sans CJK SC"/>
        <family val="2"/>
      </rPr>
      <t xml:space="preserve">）；變動拆解與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重解：</t>
    </r>
    <r>
      <rPr>
        <sz val="11"/>
        <color theme="1"/>
        <rFont val="Calibri"/>
        <family val="2"/>
        <charset val="1"/>
      </rPr>
      <t xml:space="preserve">python3 microsoft/attrib_v031.py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</si>
  <si>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，季度滾動）：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頁加入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（八季 </t>
    </r>
    <r>
      <rPr>
        <sz val="11"/>
        <color theme="1"/>
        <rFont val="Calibri"/>
        <family val="2"/>
        <charset val="1"/>
      </rPr>
      <t xml:space="preserve">FY25Q2–FY27Q1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模型（首期營運資金依 </t>
    </r>
    <r>
      <rPr>
        <sz val="11"/>
        <color theme="1"/>
        <rFont val="Calibri"/>
        <family val="2"/>
        <charset val="1"/>
      </rPr>
      <t xml:space="preserve">C14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同期）；評價日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、目標價時點 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依新的資本支出指引重解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速度；</t>
    </r>
    <r>
      <rPr>
        <sz val="11"/>
        <color theme="1"/>
        <rFont val="Calibri"/>
        <family val="2"/>
        <charset val="1"/>
      </rPr>
      <t xml:space="preserve">Tokenomics v21.4 → 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IF_NonNV_*</t>
    </r>
    <r>
      <rPr>
        <sz val="11"/>
        <color theme="1"/>
        <rFont val="Noto Sans CJK SC"/>
        <family val="2"/>
      </rPr>
      <t xml:space="preserve">；現價、共識、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更新。變動拆解見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，獨立核對後）：收支關卡範圍公式誤加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（改為首年起五年並加核對列）；自用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扣股票薪酬、減融資租賃負債、扣期間股利；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腿改用模組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、負債含融資租賃；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新增速度收斂；汰換時更新在役世代。修正二（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，第二次核對後；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為主值）：影子效益只計評價日後新增的自用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、只扣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增量；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模組改以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起現金流折到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年底（避免與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年底淨現金重複）並扣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第一季股利、改用稀釋股數；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補足到指引下限的資本支出改列其他資本支出（不增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FY2032 MW </t>
    </r>
    <r>
      <rPr>
        <sz val="11"/>
        <color theme="1"/>
        <rFont val="Noto Sans CJK SC"/>
        <family val="2"/>
      </rPr>
      <t xml:space="preserve">增量＝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前一年在役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；加 </t>
    </r>
    <r>
      <rPr>
        <sz val="11"/>
        <color theme="1"/>
        <rFont val="Calibri"/>
        <family val="2"/>
        <charset val="1"/>
      </rPr>
      <t xml:space="preserve">ERP </t>
    </r>
    <r>
      <rPr>
        <sz val="11"/>
        <color theme="1"/>
        <rFont val="Noto Sans CJK SC"/>
        <family val="2"/>
      </rPr>
      <t xml:space="preserve">敏感度。修正三（第三次核對後）：影子效益基準改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補加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年底到目標價時點的非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補足差額的折舊由營業利益扣除。前後對照見報告第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節。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</si>
  <si>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實績滾入；</t>
    </r>
    <r>
      <rPr>
        <sz val="11"/>
        <color theme="1"/>
        <rFont val="Calibri"/>
        <family val="2"/>
        <charset val="1"/>
      </rPr>
      <t xml:space="preserve">v0.3.2</t>
    </r>
    <r>
      <rPr>
        <sz val="11"/>
        <color theme="1"/>
        <rFont val="Noto Sans CJK SC"/>
        <family val="2"/>
      </rPr>
      <t xml:space="preserve">：加「情境驅動對照」、欄名改敏感度低／高，數值不變）（藍字＝輸入、黑字＝由其他輸入推得）。基準欄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的驅動見本頁最後一節「情境驅動對照」；金額十億美元（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</t>
    </r>
  </si>
  <si>
    <r>
      <rPr>
        <sz val="11"/>
        <color theme="1"/>
        <rFont val="Noto Sans CJK SC"/>
        <family val="2"/>
      </rPr>
      <t xml:space="preserve">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MAG 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PR #105</t>
    </r>
    <r>
      <rPr>
        <sz val="11"/>
        <color theme="1"/>
        <rFont val="Noto Sans CJK SC"/>
        <family val="2"/>
      </rPr>
      <t xml:space="preserve">）已核准的參數與證據，原出處見來源欄；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一手數字取自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起的事實總帳）；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（財報新聞稿與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財務報表兩次讀取核對）</t>
    </r>
  </si>
  <si>
    <t xml:space="preserve">鍵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</si>
  <si>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</si>
  <si>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</si>
  <si>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</si>
  <si>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</si>
  <si>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</si>
  <si>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</si>
  <si>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</si>
  <si>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股價、股數與資本結構（評價日 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季底〔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2026-06-30</t>
    </r>
    <r>
      <rPr>
        <b val="true"/>
        <sz val="11"/>
        <rFont val="Noto Sans CJK SC"/>
        <family val="2"/>
      </rPr>
      <t xml:space="preserve">〕；目標價時點＝今日 </t>
    </r>
    <r>
      <rPr>
        <b val="true"/>
        <sz val="11"/>
        <rFont val="Cambria"/>
        <family val="0"/>
        <charset val="1"/>
      </rPr>
      <t xml:space="preserve">2026-10-29 </t>
    </r>
    <r>
      <rPr>
        <b val="true"/>
        <sz val="11"/>
        <rFont val="Noto Sans CJK SC"/>
        <family val="2"/>
      </rPr>
      <t xml:space="preserve">後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</si>
  <si>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</si>
  <si>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</si>
  <si>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</si>
  <si>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</si>
  <si>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https://www.marketbeat.com/stocks/nasdaq/msft/chart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0.32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0.06%</t>
    </r>
    <r>
      <rPr>
        <sz val="11"/>
        <color theme="1"/>
        <rFont val="Noto Sans CJK SC"/>
        <family val="2"/>
      </rPr>
      <t xml:space="preserve">；前日 </t>
    </r>
    <r>
      <rPr>
        <sz val="11"/>
        <color theme="1"/>
        <rFont val="Calibri"/>
        <family val="2"/>
        <charset val="1"/>
      </rPr>
      <t xml:space="preserve">531.33</t>
    </r>
    <r>
      <rPr>
        <sz val="11"/>
        <color theme="1"/>
        <rFont val="Noto Sans CJK SC"/>
        <family val="2"/>
      </rPr>
      <t xml:space="preserve">；擷取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</si>
  <si>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https://247wallst.com/investing/2026/10/28/live-will-microsoft-crush-q1-earnings-tonight-after-the-bell/</t>
    </r>
    <r>
      <rPr>
        <sz val="11"/>
        <color theme="1"/>
        <rFont val="Noto Sans CJK SC"/>
        <family val="2"/>
      </rPr>
      <t xml:space="preserve">（報價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0.06%</t>
    </r>
    <r>
      <rPr>
        <sz val="11"/>
        <color theme="1"/>
        <rFont val="Noto Sans CJK SC"/>
        <family val="2"/>
      </rPr>
      <t xml:space="preserve">）兩來源一致；財報後盤後 </t>
    </r>
    <r>
      <rPr>
        <sz val="11"/>
        <color theme="1"/>
        <rFont val="Calibri"/>
        <family val="2"/>
        <charset val="1"/>
      </rPr>
      <t xml:space="preserve">544.93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+2.6%</t>
    </r>
    <r>
      <rPr>
        <sz val="11"/>
        <color theme="1"/>
        <rFont val="Noto Sans CJK SC"/>
        <family val="2"/>
      </rPr>
      <t xml:space="preserve">）不採用</t>
    </r>
  </si>
  <si>
    <t xml:space="preserve">sh_dil26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</si>
  <si>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稀釋加權股數</t>
    </r>
  </si>
  <si>
    <t xml:space="preserve">十億股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</si>
  <si>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is.sharesDilW.fy2026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</si>
  <si>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DCF </t>
    </r>
    <r>
      <rPr>
        <sz val="11"/>
        <color theme="1"/>
        <rFont val="Noto Sans CJK SC"/>
        <family val="2"/>
      </rPr>
      <t xml:space="preserve">每股的分母（評價日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</si>
  <si>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sh_basic26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</si>
  <si>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基本加權股數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</si>
  <si>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is.sharesBasicW.fy2026</t>
    </r>
  </si>
  <si>
    <t xml:space="preserve">—</t>
  </si>
  <si>
    <t xml:space="preserve">dil_gap</t>
  </si>
  <si>
    <t xml:space="preserve">稀釋與基本股數差</t>
  </si>
  <si>
    <t xml:space="preserve">Derived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</si>
  <si>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 − 基本</t>
    </r>
  </si>
  <si>
    <t xml:space="preserve">預測期稀釋股數＝期間平均流通股數＋此差額</t>
  </si>
  <si>
    <t xml:space="preserve">sh_out26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</si>
  <si>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</si>
  <si>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sh.out.fy2026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）</t>
    </r>
  </si>
  <si>
    <t xml:space="preserve">cash_open</t>
  </si>
  <si>
    <r>
      <rPr>
        <sz val="11"/>
        <color theme="1"/>
        <rFont val="Noto Sans CJK SC"/>
        <family val="2"/>
      </rPr>
      <t xml:space="preserve">現金與短期投資（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</si>
  <si>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</si>
  <si>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bs.cashSti.fy2026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</si>
  <si>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期初</t>
    </r>
  </si>
  <si>
    <t xml:space="preserve">debt_face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</si>
  <si>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</si>
  <si>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debt.face.fy2026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</si>
  <si>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帳面值 </t>
    </r>
    <r>
      <rPr>
        <sz val="11"/>
        <color theme="1"/>
        <rFont val="Calibri"/>
        <family val="2"/>
        <charset val="1"/>
      </rPr>
      <t xml:space="preserve">40.294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期初</t>
    </r>
  </si>
  <si>
    <t xml:space="preserve">sh_dil_q1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</si>
  <si>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稀釋加權股數</t>
    </r>
  </si>
  <si>
    <t xml:space="preserve">Interested-party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</si>
  <si>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q.sharesDilW.fy27q1</t>
    </r>
    <r>
      <rPr>
        <sz val="11"/>
        <color theme="1"/>
        <rFont val="Noto Sans CJK SC"/>
        <family val="2"/>
      </rPr>
      <t xml:space="preserve">（新聞稿損益表；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</si>
  <si>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Calibri"/>
        <family val="2"/>
        <charset val="1"/>
      </rPr>
      <t xml:space="preserve">v0.3.1 DCF </t>
    </r>
    <r>
      <rPr>
        <sz val="11"/>
        <color theme="1"/>
        <rFont val="Noto Sans CJK SC"/>
        <family val="2"/>
      </rPr>
      <t xml:space="preserve">每股的分母（評價日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</si>
  <si>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sh_out_q1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</si>
  <si>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</si>
  <si>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sh.out.fy27q1</t>
    </r>
    <r>
      <rPr>
        <sz val="11"/>
        <color theme="1"/>
        <rFont val="Noto Sans CJK SC"/>
        <family val="2"/>
      </rPr>
      <t xml:space="preserve">（資產負債表；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</si>
  <si>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股權市值</t>
    </r>
  </si>
  <si>
    <t xml:space="preserve">cash_q1</t>
  </si>
  <si>
    <r>
      <rPr>
        <sz val="11"/>
        <color theme="1"/>
        <rFont val="Noto Sans CJK SC"/>
        <family val="2"/>
      </rPr>
      <t xml:space="preserve">現金與短期投資（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</si>
  <si>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bs.cashSti.fy27q1</t>
    </r>
    <r>
      <rPr>
        <sz val="11"/>
        <color theme="1"/>
        <rFont val="Noto Sans CJK SC"/>
        <family val="2"/>
      </rPr>
      <t xml:space="preserve">（新聞稿與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財務報表兩讀一致）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</si>
  <si>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權益橋（評價日）</t>
    </r>
  </si>
  <si>
    <t xml:space="preserve">debt_q1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</si>
  <si>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</si>
  <si>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debt.face.fy27q1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到期表合計）</t>
    </r>
  </si>
  <si>
    <r>
      <rPr>
        <sz val="11"/>
        <color theme="1"/>
        <rFont val="Noto Sans CJK SC"/>
        <family val="2"/>
      </rPr>
      <t xml:space="preserve">帳面值 </t>
    </r>
    <r>
      <rPr>
        <sz val="11"/>
        <color theme="1"/>
        <rFont val="Calibri"/>
        <family val="2"/>
        <charset val="1"/>
      </rPr>
      <t xml:space="preserve">35.481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面額 − 本季償還 </t>
    </r>
    <r>
      <rPr>
        <sz val="11"/>
        <color theme="1"/>
        <rFont val="Calibri"/>
        <family val="2"/>
        <charset val="1"/>
      </rPr>
      <t xml:space="preserve">4.850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41.286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0.017 </t>
    </r>
    <r>
      <rPr>
        <sz val="11"/>
        <color theme="1"/>
        <rFont val="Noto Sans CJK SC"/>
        <family val="2"/>
      </rPr>
      <t xml:space="preserve">推定匯率）</t>
    </r>
  </si>
  <si>
    <t xml:space="preserve">fl_liab_q1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</si>
  <si>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，在帳）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</si>
  <si>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lease.finLiab.fy27q1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；付款 </t>
    </r>
    <r>
      <rPr>
        <sz val="11"/>
        <color theme="1"/>
        <rFont val="Calibri"/>
        <family val="2"/>
        <charset val="1"/>
      </rPr>
      <t xml:space="preserve">95.246 − </t>
    </r>
    <r>
      <rPr>
        <sz val="11"/>
        <color theme="1"/>
        <rFont val="Noto Sans CJK SC"/>
        <family val="2"/>
      </rPr>
      <t xml:space="preserve">設算利息 </t>
    </r>
    <r>
      <rPr>
        <sz val="11"/>
        <color theme="1"/>
        <rFont val="Calibri"/>
        <family val="2"/>
        <charset val="1"/>
      </rPr>
      <t xml:space="preserve">24.273 </t>
    </r>
    <r>
      <rPr>
        <sz val="11"/>
        <color theme="1"/>
        <rFont val="Noto Sans CJK SC"/>
        <family val="2"/>
      </rPr>
      <t xml:space="preserve">核對）</t>
    </r>
  </si>
  <si>
    <r>
      <rPr>
        <sz val="11"/>
        <color theme="1"/>
        <rFont val="Noto Sans CJK SC"/>
        <family val="2"/>
      </rPr>
      <t xml:space="preserve">含本季新起租；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權益橋（評價日）</t>
    </r>
  </si>
  <si>
    <t xml:space="preserve">sh_val</t>
  </si>
  <si>
    <r>
      <rPr>
        <sz val="11"/>
        <color theme="1"/>
        <rFont val="Noto Sans CJK SC"/>
        <family val="2"/>
      </rPr>
      <t xml:space="preserve">評價日流通股數（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</si>
  <si>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sh_out_q1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</si>
  <si>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shd_val</t>
  </si>
  <si>
    <r>
      <rPr>
        <sz val="11"/>
        <color theme="1"/>
        <rFont val="Noto Sans CJK SC"/>
        <family val="2"/>
      </rPr>
      <t xml:space="preserve">評價日稀釋股數（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每股分母）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</si>
  <si>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sh_dil_q1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</si>
  <si>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cash_val</t>
  </si>
  <si>
    <t xml:space="preserve">評價日現金與短期投資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</si>
  <si>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cash_q1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</si>
  <si>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debt_val</t>
  </si>
  <si>
    <t xml:space="preserve">評價日債務面額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</si>
  <si>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debt_q1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</si>
  <si>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fl_val</t>
  </si>
  <si>
    <t xml:space="preserve">評價日在帳融資租賃負債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</si>
  <si>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fl_liab_q1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</si>
  <si>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debt_mat_27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</si>
  <si>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</si>
  <si>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debt.maturity.fy2027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</si>
  <si>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已還 </t>
    </r>
    <r>
      <rPr>
        <sz val="11"/>
        <color theme="1"/>
        <rFont val="Calibri"/>
        <family val="2"/>
        <charset val="1"/>
      </rPr>
      <t xml:space="preserve">4.850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剩餘三季 </t>
    </r>
    <r>
      <rPr>
        <sz val="11"/>
        <color theme="1"/>
        <rFont val="Calibri"/>
        <family val="2"/>
        <charset val="1"/>
      </rPr>
      <t xml:space="preserve">4.400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9.250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9.227</t>
    </r>
    <r>
      <rPr>
        <sz val="11"/>
        <color theme="1"/>
        <rFont val="Noto Sans CJK SC"/>
        <family val="2"/>
      </rPr>
      <t xml:space="preserve">）</t>
    </r>
  </si>
  <si>
    <t xml:space="preserve">debt_mat_28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</si>
  <si>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</si>
  <si>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debt.maturity.fy2028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</si>
  <si>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r>
      <rPr>
        <sz val="11"/>
        <color theme="1"/>
        <rFont val="Calibri"/>
        <family val="2"/>
        <charset val="1"/>
      </rPr>
      <t xml:space="preserve">10-Q 2026-09-30 </t>
    </r>
    <r>
      <rPr>
        <sz val="11"/>
        <color theme="1"/>
        <rFont val="Noto Sans CJK SC"/>
        <family val="2"/>
      </rPr>
      <t xml:space="preserve">到期表同值</t>
    </r>
  </si>
  <si>
    <t xml:space="preserve">debt_mat_29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</si>
  <si>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</si>
  <si>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debt.maturity.fy2029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</si>
  <si>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debt_mat_30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</si>
  <si>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</si>
  <si>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debt.maturity.fy2030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</si>
  <si>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debt_mat_31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</si>
  <si>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FY2031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</si>
  <si>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debt.maturity.fy2031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</si>
  <si>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debt_mat_32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</si>
  <si>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FY2032</t>
    </r>
  </si>
  <si>
    <t xml:space="preserve">Assumed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</si>
  <si>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｜到期表只列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以後合計 </t>
    </r>
    <r>
      <rPr>
        <sz val="11"/>
        <color theme="1"/>
        <rFont val="Calibri"/>
        <family val="2"/>
        <charset val="1"/>
      </rPr>
      <t xml:space="preserve">34.385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</si>
  <si>
    <t xml:space="preserve">fl_liab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</si>
  <si>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，在帳）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</si>
  <si>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lease.finLiab.fy2026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</si>
  <si>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在帳融資租賃的資產已在過去的資本支出（公司口徑）內，其本金在預測期照付（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</t>
    </r>
  </si>
  <si>
    <t xml:space="preserve">fl_rate</t>
  </si>
  <si>
    <t xml:space="preserve">融資租賃加權利率</t>
  </si>
  <si>
    <t xml:space="preserve">%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</si>
  <si>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lease.wtdRate.fin</t>
    </r>
  </si>
  <si>
    <r>
      <rPr>
        <sz val="11"/>
        <color theme="1"/>
        <rFont val="Calibri"/>
        <family val="2"/>
        <charset val="1"/>
      </rPr>
      <t xml:space="preserve">10-Q 2026-09-30 </t>
    </r>
    <r>
      <rPr>
        <sz val="11"/>
        <color theme="1"/>
        <rFont val="Noto Sans CJK SC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4.5%</t>
    </r>
  </si>
  <si>
    <t xml:space="preserve">fl_pay_27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</si>
  <si>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</si>
  <si>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lease.maturity.fin.fy2027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</si>
  <si>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在帳租賃的付款表（收支關卡用；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新起租者已在資本支出內）</t>
    </r>
  </si>
  <si>
    <t xml:space="preserve">fl_pay_28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</si>
  <si>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</si>
  <si>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lease.maturity.fin.fy2028</t>
    </r>
  </si>
  <si>
    <t xml:space="preserve">fl_pay_29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</si>
  <si>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</si>
  <si>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lease.maturity.fin.fy2029</t>
    </r>
  </si>
  <si>
    <t xml:space="preserve">fl_pay_30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</si>
  <si>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</si>
  <si>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lease.maturity.fin.fy2030</t>
    </r>
  </si>
  <si>
    <t xml:space="preserve">fl_pay_31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</si>
  <si>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FY2031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</si>
  <si>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lease.maturity.fin.fy2031</t>
    </r>
  </si>
  <si>
    <t xml:space="preserve">fl_pay_32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</si>
  <si>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</si>
  <si>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FY2031</t>
    </r>
    <r>
      <rPr>
        <sz val="11"/>
        <color theme="1"/>
        <rFont val="Noto Sans CJK SC"/>
        <family val="2"/>
      </rPr>
      <t xml:space="preserve">（之後合計 </t>
    </r>
    <r>
      <rPr>
        <sz val="11"/>
        <color theme="1"/>
        <rFont val="Calibri"/>
        <family val="2"/>
        <charset val="1"/>
      </rPr>
      <t xml:space="preserve">55.490 </t>
    </r>
    <r>
      <rPr>
        <sz val="11"/>
        <color theme="1"/>
        <rFont val="Noto Sans CJK SC"/>
        <family val="2"/>
      </rPr>
      <t xml:space="preserve">分多年）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</si>
  <si>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</si>
  <si>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</si>
  <si>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defaults.minCash 50</t>
    </r>
    <r>
      <rPr>
        <sz val="11"/>
        <color theme="1"/>
        <rFont val="Noto Sans CJK SC"/>
        <family val="2"/>
      </rPr>
      <t xml:space="preserve">）</t>
    </r>
  </si>
  <si>
    <t xml:space="preserve">低於此水準先停回購、再舉債</t>
  </si>
  <si>
    <t xml:space="preserve">bb_target</t>
  </si>
  <si>
    <t xml:space="preserve">回購目標（每年）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</si>
  <si>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cf.buyback.fy2026</t>
    </r>
    <r>
      <rPr>
        <sz val="11"/>
        <color theme="1"/>
        <rFont val="Noto Sans CJK SC"/>
        <family val="2"/>
      </rPr>
      <t xml:space="preserve">（含員工扣稅買回 </t>
    </r>
    <r>
      <rPr>
        <sz val="11"/>
        <color theme="1"/>
        <rFont val="Calibri"/>
        <family val="2"/>
        <charset val="1"/>
      </rPr>
      <t xml:space="preserve">5.6</t>
    </r>
    <r>
      <rPr>
        <sz val="11"/>
        <color theme="1"/>
        <rFont val="Noto Sans CJK SC"/>
        <family val="2"/>
      </rPr>
      <t xml:space="preserve">）</t>
    </r>
  </si>
  <si>
    <t xml:space="preserve">現金不足時先減回購</t>
  </si>
  <si>
    <t xml:space="preserve">bb_g</t>
  </si>
  <si>
    <t xml:space="preserve">回購價格年增（以現價起算）</t>
  </si>
  <si>
    <t xml:space="preserve">無：約等於股東權益成本扣股利率</t>
  </si>
  <si>
    <t xml:space="preserve">只影響股數</t>
  </si>
  <si>
    <t xml:space="preserve">sh_iss</t>
  </si>
  <si>
    <t xml:space="preserve">員工股票發行（每年）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</si>
  <si>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回購約 </t>
    </r>
    <r>
      <rPr>
        <sz val="11"/>
        <color theme="1"/>
        <rFont val="Calibri"/>
        <family val="2"/>
        <charset val="1"/>
      </rPr>
      <t xml:space="preserve">0.048 </t>
    </r>
    <r>
      <rPr>
        <sz val="11"/>
        <color theme="1"/>
        <rFont val="Noto Sans CJK SC"/>
        <family val="2"/>
      </rPr>
      <t xml:space="preserve">十億股（計畫 </t>
    </r>
    <r>
      <rPr>
        <sz val="11"/>
        <color theme="1"/>
        <rFont val="Calibri"/>
        <family val="2"/>
        <charset val="1"/>
      </rPr>
      <t xml:space="preserve">0.036</t>
    </r>
    <r>
      <rPr>
        <sz val="11"/>
        <color theme="1"/>
        <rFont val="Noto Sans CJK SC"/>
        <family val="2"/>
      </rPr>
      <t xml:space="preserve">＋扣稅買回 </t>
    </r>
    <r>
      <rPr>
        <sz val="11"/>
        <color theme="1"/>
        <rFont val="Calibri"/>
        <family val="2"/>
        <charset val="1"/>
      </rPr>
      <t xml:space="preserve">5.6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470 </t>
    </r>
    <r>
      <rPr>
        <sz val="11"/>
        <color theme="1"/>
        <rFont val="Noto Sans CJK SC"/>
        <family val="2"/>
      </rPr>
      <t xml:space="preserve">美元），基本加權股數 </t>
    </r>
    <r>
      <rPr>
        <sz val="11"/>
        <color theme="1"/>
        <rFont val="Calibri"/>
        <family val="2"/>
        <charset val="1"/>
      </rPr>
      <t xml:space="preserve">7.433 → 7.429 </t>
    </r>
    <r>
      <rPr>
        <sz val="11"/>
        <color theme="1"/>
        <rFont val="Noto Sans CJK SC"/>
        <family val="2"/>
      </rPr>
      <t xml:space="preserve">幾乎不變 → 發行約 </t>
    </r>
    <r>
      <rPr>
        <sz val="11"/>
        <color theme="1"/>
        <rFont val="Calibri"/>
        <family val="2"/>
        <charset val="1"/>
      </rPr>
      <t xml:space="preserve">0.045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</si>
  <si>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</si>
  <si>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dps_q0</t>
  </si>
  <si>
    <r>
      <rPr>
        <sz val="11"/>
        <color theme="1"/>
        <rFont val="Noto Sans CJK SC"/>
        <family val="2"/>
      </rPr>
      <t xml:space="preserve">每季股利（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第一季付，舊額）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</si>
  <si>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sh.dps.fy2026</t>
    </r>
    <r>
      <rPr>
        <sz val="11"/>
        <color theme="1"/>
        <rFont val="Noto Sans CJK SC"/>
        <family val="2"/>
      </rPr>
      <t xml:space="preserve">（每季 </t>
    </r>
    <r>
      <rPr>
        <sz val="11"/>
        <color theme="1"/>
        <rFont val="Calibri"/>
        <family val="2"/>
        <charset val="1"/>
      </rPr>
      <t xml:space="preserve">0.91</t>
    </r>
    <r>
      <rPr>
        <sz val="11"/>
        <color theme="1"/>
        <rFont val="Noto Sans CJK SC"/>
        <family val="2"/>
      </rPr>
      <t xml:space="preserve">）</t>
    </r>
  </si>
  <si>
    <t xml:space="preserve">dps_q1</t>
  </si>
  <si>
    <r>
      <rPr>
        <sz val="11"/>
        <color theme="1"/>
        <rFont val="Noto Sans CJK SC"/>
        <family val="2"/>
      </rPr>
      <t xml:space="preserve">每季股利（</t>
    </r>
    <r>
      <rPr>
        <sz val="11"/>
        <color theme="1"/>
        <rFont val="Calibri"/>
        <family val="2"/>
        <charset val="1"/>
      </rPr>
      <t xml:space="preserve">2026-09-15 </t>
    </r>
    <r>
      <rPr>
        <sz val="11"/>
        <color theme="1"/>
        <rFont val="Noto Sans CJK SC"/>
        <family val="2"/>
      </rPr>
      <t xml:space="preserve">宣告，新額）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</si>
  <si>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sh.dpsQ.fy27q1</t>
    </r>
  </si>
  <si>
    <t xml:space="preserve">dps_27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</si>
  <si>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每股股利（付現）</t>
    </r>
  </si>
  <si>
    <r>
      <rPr>
        <sz val="11"/>
        <color theme="1"/>
        <rFont val="Noto Sans CJK SC"/>
        <family val="2"/>
      </rPr>
      <t xml:space="preserve">第一季付舊額（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現金流量表付現 </t>
    </r>
    <r>
      <rPr>
        <sz val="11"/>
        <color theme="1"/>
        <rFont val="Calibri"/>
        <family val="2"/>
        <charset val="1"/>
      </rPr>
      <t xml:space="preserve">6.757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0.91 × 7.427</t>
    </r>
    <r>
      <rPr>
        <sz val="11"/>
        <color theme="1"/>
        <rFont val="Noto Sans CJK SC"/>
        <family val="2"/>
      </rPr>
      <t xml:space="preserve">）、其後三季付新額</t>
    </r>
  </si>
  <si>
    <t xml:space="preserve">div_rem27</t>
  </si>
  <si>
    <r>
      <rPr>
        <sz val="11"/>
        <color theme="1"/>
        <rFont val="Noto Sans CJK SC"/>
        <family val="2"/>
      </rPr>
      <t xml:space="preserve">評價日後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尚待支付的每股股利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</si>
  <si>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後的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第二至第四季（新額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</si>
  <si>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推到目標價時點時扣除</t>
    </r>
  </si>
  <si>
    <t xml:space="preserve">dps_g</t>
  </si>
  <si>
    <r>
      <rPr>
        <sz val="11"/>
        <color theme="1"/>
        <rFont val="Noto Sans CJK SC"/>
        <family val="2"/>
      </rPr>
      <t xml:space="preserve">每股股利年增（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</si>
  <si>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defaults.dividend.growth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宣告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</si>
  <si>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折現率與評價參數（</t>
    </r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CAPM </t>
    </r>
    <r>
      <rPr>
        <b val="true"/>
        <sz val="11"/>
        <rFont val="Noto Sans CJK SC"/>
        <family val="2"/>
      </rPr>
      <t xml:space="preserve">輸入；權重為 </t>
    </r>
    <r>
      <rPr>
        <b val="true"/>
        <sz val="11"/>
        <rFont val="Cambria"/>
        <family val="0"/>
        <charset val="1"/>
      </rPr>
      <t xml:space="preserve">[</t>
    </r>
    <r>
      <rPr>
        <b val="true"/>
        <sz val="11"/>
        <rFont val="Noto Sans CJK SC"/>
        <family val="2"/>
      </rPr>
      <t xml:space="preserve">判斷</t>
    </r>
    <r>
      <rPr>
        <b val="true"/>
        <sz val="11"/>
        <rFont val="Cambria"/>
        <family val="0"/>
        <charset val="1"/>
      </rPr>
      <t xml:space="preserve">] </t>
    </r>
    <r>
      <rPr>
        <b val="true"/>
        <sz val="11"/>
        <rFont val="Noto Sans CJK SC"/>
        <family val="2"/>
      </rPr>
      <t xml:space="preserve">預設，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</si>
  <si>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</si>
  <si>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</si>
  <si>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U.S. Treasury 10 </t>
    </r>
    <r>
      <rPr>
        <sz val="11"/>
        <color theme="1"/>
        <rFont val="Noto Sans CJK SC"/>
        <family val="2"/>
      </rPr>
      <t xml:space="preserve">年期殖利率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（修正一：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端統一 </t>
    </r>
    <r>
      <rPr>
        <sz val="11"/>
        <color theme="1"/>
        <rFont val="Calibri"/>
        <family val="2"/>
        <charset val="1"/>
      </rPr>
      <t xml:space="preserve">MAG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個股模型的同一輸入，與 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</si>
  <si>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val.ust10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5.28%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</si>
  <si>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</si>
  <si>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年月資料；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同值，推測同源，算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個）</t>
    </r>
  </si>
  <si>
    <t xml:space="preserve">x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</si>
  <si>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</si>
  <si>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C13</t>
    </r>
    <r>
      <rPr>
        <sz val="11"/>
        <color theme="1"/>
        <rFont val="Noto Sans CJK SC"/>
        <family val="2"/>
      </rPr>
      <t xml:space="preserve">：獨立來源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</si>
  <si>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</si>
  <si>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</si>
  <si>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</si>
  <si>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blume_w</t>
  </si>
  <si>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調整：原始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權重（其餘向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收斂）</t>
    </r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</si>
  <si>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0.33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</si>
  <si>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</si>
  <si>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（兩個獨立來源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調整後的中位數）</t>
    </r>
  </si>
  <si>
    <r>
      <rPr>
        <sz val="11"/>
        <color theme="1"/>
        <rFont val="Calibri"/>
        <family val="2"/>
        <charset val="1"/>
      </rPr>
      <t xml:space="preserve">Blume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1.10 → 1.067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1.1741 → 1.117</t>
    </r>
    <r>
      <rPr>
        <sz val="11"/>
        <color theme="1"/>
        <rFont val="Noto Sans CJK SC"/>
        <family val="2"/>
      </rPr>
      <t xml:space="preserve">；中位數 </t>
    </r>
    <r>
      <rPr>
        <sz val="11"/>
        <color theme="1"/>
        <rFont val="Calibri"/>
        <family val="2"/>
        <charset val="1"/>
      </rPr>
      <t xml:space="preserve">1.092</t>
    </r>
    <r>
      <rPr>
        <sz val="11"/>
        <color theme="1"/>
        <rFont val="Noto Sans CJK SC"/>
        <family val="2"/>
      </rPr>
      <t xml:space="preserve">（修正一；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初版用原始平均 </t>
    </r>
    <r>
      <rPr>
        <sz val="11"/>
        <color theme="1"/>
        <rFont val="Calibri"/>
        <family val="2"/>
        <charset val="1"/>
      </rPr>
      <t xml:space="preserve">1.137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</si>
  <si>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＝獨立核對建議區間下緣；高＝原始 </t>
    </r>
    <r>
      <rPr>
        <sz val="11"/>
        <color theme="1"/>
        <rFont val="Calibri"/>
        <family val="2"/>
        <charset val="1"/>
      </rPr>
      <t xml:space="preserve">GuruFocus</t>
    </r>
  </si>
  <si>
    <t xml:space="preserve">erp</t>
  </si>
  <si>
    <t xml:space="preserve">股權風險溢酬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</si>
  <si>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對照表 </t>
    </r>
    <r>
      <rPr>
        <sz val="11"/>
        <color theme="1"/>
        <rFont val="Calibri"/>
        <family val="2"/>
        <charset val="1"/>
      </rPr>
      <t xml:space="preserve">r1 5.10</t>
    </r>
    <r>
      <rPr>
        <sz val="11"/>
        <color theme="1"/>
        <rFont val="Noto Sans CJK SC"/>
        <family val="2"/>
      </rPr>
      <t xml:space="preserve">（判斷，列敏感度）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</si>
  <si>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</t>
    </r>
  </si>
  <si>
    <t xml:space="preserve">kd_aaa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</si>
  <si>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Moody's Aaa </t>
    </r>
    <r>
      <rPr>
        <sz val="11"/>
        <color theme="1"/>
        <rFont val="Noto Sans CJK SC"/>
        <family val="2"/>
      </rPr>
      <t xml:space="preserve">公司債殖利率（長天期）</t>
    </r>
  </si>
  <si>
    <t xml:space="preserve">Analogy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</si>
  <si>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val.kd.aaa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FRED DAAA 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</si>
  <si>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指數為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年以上長債，修正一改用約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</t>
    </r>
  </si>
  <si>
    <t xml:space="preserve">kd_spread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</si>
  <si>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公司債對美債利差</t>
    </r>
  </si>
  <si>
    <t xml:space="preserve">pt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</si>
  <si>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MSFT </t>
    </r>
    <r>
      <rPr>
        <sz val="11"/>
        <color theme="1"/>
        <rFont val="Noto Sans CJK SC"/>
        <family val="2"/>
      </rPr>
      <t xml:space="preserve">個別債券殖利率找不到；</t>
    </r>
    <r>
      <rPr>
        <sz val="11"/>
        <color theme="1"/>
        <rFont val="Calibri"/>
        <family val="2"/>
        <charset val="1"/>
      </rPr>
      <t xml:space="preserve">AAA 10 </t>
    </r>
    <r>
      <rPr>
        <sz val="11"/>
        <color theme="1"/>
        <rFont val="Noto Sans CJK SC"/>
        <family val="2"/>
      </rPr>
      <t xml:space="preserve">年期利差歷史約 </t>
    </r>
    <r>
      <rPr>
        <sz val="11"/>
        <color theme="1"/>
        <rFont val="Calibri"/>
        <family val="2"/>
        <charset val="1"/>
      </rPr>
      <t xml:space="preserve">0.3–0.9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</si>
  <si>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</si>
  <si>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</si>
  <si>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年期公司債）</t>
    </r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</si>
  <si>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年美債）＋利差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</si>
  <si>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</si>
  <si>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</si>
  <si>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guid.fy27.etr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</si>
  <si>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ke</t>
  </si>
  <si>
    <r>
      <rPr>
        <sz val="11"/>
        <color theme="1"/>
        <rFont val="Noto Sans CJK SC"/>
        <family val="2"/>
      </rPr>
      <t xml:space="preserve">股東權益成本（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</si>
  <si>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rf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β × ERP</t>
    </r>
  </si>
  <si>
    <t xml:space="preserve">wacc</t>
  </si>
  <si>
    <t xml:space="preserve">WACC</t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</si>
  <si>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E) × ke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E) × kd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評價日流通股數、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＝評價日債務面額＋在帳融資租賃負債（修正一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改用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</si>
  <si>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v0.2.2 10.90%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 10.29%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</si>
  <si>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</si>
  <si>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</si>
  <si>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g 3%</t>
    </r>
  </si>
  <si>
    <t xml:space="preserve">Sens ±1pt</t>
  </si>
  <si>
    <t xml:space="preserve">ronic_prem</t>
  </si>
  <si>
    <r>
      <rPr>
        <sz val="11"/>
        <color theme="1"/>
        <rFont val="Noto Sans CJK SC"/>
        <family val="2"/>
      </rPr>
      <t xml:space="preserve">永續期新投資報酬 − </t>
    </r>
    <r>
      <rPr>
        <sz val="11"/>
        <color theme="1"/>
        <rFont val="Calibri"/>
        <family val="2"/>
        <charset val="1"/>
      </rPr>
      <t xml:space="preserve">WACC</t>
    </r>
  </si>
  <si>
    <t xml:space="preserve">無：永續期新投資只賺資金成本（成長不創造價值）</t>
  </si>
  <si>
    <r>
      <rPr>
        <sz val="11"/>
        <color theme="1"/>
        <rFont val="Noto Sans CJK SC"/>
        <family val="2"/>
      </rPr>
      <t xml:space="preserve">永續期自由現金流＝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新投資報酬）；替代口徑（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））見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判斷預設表</t>
    </r>
  </si>
  <si>
    <t xml:space="preserve">base_fy</t>
  </si>
  <si>
    <t xml:space="preserve">評價日所屬會計年度（最新已申報年度）</t>
  </si>
  <si>
    <t xml:space="preserve">年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</si>
  <si>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</si>
  <si>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公式中的年數以「年度列 − </t>
    </r>
    <r>
      <rPr>
        <sz val="11"/>
        <color theme="1"/>
        <rFont val="Calibri"/>
        <family val="2"/>
        <charset val="1"/>
      </rPr>
      <t xml:space="preserve">base_fy</t>
    </r>
    <r>
      <rPr>
        <sz val="11"/>
        <color theme="1"/>
        <rFont val="Noto Sans CJK SC"/>
        <family val="2"/>
      </rPr>
      <t xml:space="preserve">」計算（修正一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：不寫死）</t>
    </r>
  </si>
  <si>
    <t xml:space="preserve">mid_yr</t>
  </si>
  <si>
    <t xml:space="preserve">期中折現：年中偏移</t>
  </si>
  <si>
    <t xml:space="preserve">現金流平均發生在年中</t>
  </si>
  <si>
    <t xml:space="preserve">val_d0</t>
  </si>
  <si>
    <r>
      <rPr>
        <sz val="11"/>
        <color theme="1"/>
        <rFont val="Noto Sans CJK SC"/>
        <family val="2"/>
      </rPr>
      <t xml:space="preserve">最新會計年度年底（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</si>
  <si>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日期</t>
  </si>
  <si>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期末</t>
    </r>
  </si>
  <si>
    <r>
      <rPr>
        <sz val="11"/>
        <color theme="1"/>
        <rFont val="Noto Sans CJK SC"/>
        <family val="2"/>
      </rPr>
      <t xml:space="preserve">折現年數的起點；評價日與此日的差＝</t>
    </r>
    <r>
      <rPr>
        <sz val="11"/>
        <color theme="1"/>
        <rFont val="Calibri"/>
        <family val="2"/>
        <charset val="1"/>
      </rPr>
      <t xml:space="preserve">v_off</t>
    </r>
  </si>
  <si>
    <t xml:space="preserve">roll_d1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</si>
  <si>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季底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</si>
  <si>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：最新已申報季（</t>
    </r>
    <r>
      <rPr>
        <sz val="11"/>
        <color theme="1"/>
        <rFont val="Calibri"/>
        <family val="2"/>
        <charset val="1"/>
      </rPr>
      <t xml:space="preserve">FY27Q1 10-Q</t>
    </r>
    <r>
      <rPr>
        <sz val="11"/>
        <color theme="1"/>
        <rFont val="Noto Sans CJK SC"/>
        <family val="2"/>
      </rPr>
      <t xml:space="preserve">，期末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2026-06-30</t>
    </r>
  </si>
  <si>
    <t xml:space="preserve">roll_d2</t>
  </si>
  <si>
    <r>
      <rPr>
        <sz val="11"/>
        <color theme="1"/>
        <rFont val="Noto Sans CJK SC"/>
        <family val="2"/>
      </rPr>
      <t xml:space="preserve">目標價時點（今日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</si>
  <si>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工作單：目標價約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</si>
  <si>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工作單字面「目標價日 </t>
    </r>
    <r>
      <rPr>
        <sz val="11"/>
        <color theme="1"/>
        <rFont val="Calibri"/>
        <family val="2"/>
        <charset val="1"/>
      </rPr>
      <t xml:space="preserve">+1 </t>
    </r>
    <r>
      <rPr>
        <sz val="11"/>
        <color theme="1"/>
        <rFont val="Noto Sans CJK SC"/>
        <family val="2"/>
      </rPr>
      <t xml:space="preserve">季」（</t>
    </r>
    <r>
      <rPr>
        <sz val="11"/>
        <color theme="1"/>
        <rFont val="Calibri"/>
        <family val="2"/>
        <charset val="1"/>
      </rPr>
      <t xml:space="preserve">2028-01-27</t>
    </r>
    <r>
      <rPr>
        <sz val="11"/>
        <color theme="1"/>
        <rFont val="Noto Sans CJK SC"/>
        <family val="2"/>
      </rPr>
      <t xml:space="preserve">）列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判斷替代與報告「需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決定」</t>
    </r>
  </si>
  <si>
    <t xml:space="preserve">days_yr</t>
  </si>
  <si>
    <t xml:space="preserve">每年天數</t>
  </si>
  <si>
    <t xml:space="preserve">天</t>
  </si>
  <si>
    <t xml:space="preserve">v_off</t>
  </si>
  <si>
    <r>
      <rPr>
        <sz val="11"/>
        <color theme="1"/>
        <rFont val="Noto Sans CJK SC"/>
        <family val="2"/>
      </rPr>
      <t xml:space="preserve">評價日距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年底（年）</t>
    </r>
  </si>
  <si>
    <r>
      <rPr>
        <sz val="11"/>
        <color theme="1"/>
        <rFont val="Calibri"/>
        <family val="2"/>
        <charset val="1"/>
      </rPr>
      <t xml:space="preserve">2026-06-30 → </t>
    </r>
    <r>
      <rPr>
        <sz val="11"/>
        <color theme="1"/>
        <rFont val="Noto Sans CJK SC"/>
        <family val="2"/>
      </rPr>
      <t xml:space="preserve">評價日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</si>
  <si>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只折現評價日後的剩餘期間；之後各年折現年數減 </t>
    </r>
    <r>
      <rPr>
        <sz val="11"/>
        <color theme="1"/>
        <rFont val="Calibri"/>
        <family val="2"/>
        <charset val="1"/>
      </rPr>
      <t xml:space="preserve">v_off</t>
    </r>
  </si>
  <si>
    <t xml:space="preserve">t_roll</t>
  </si>
  <si>
    <t xml:space="preserve">評價日 → 目標價時點（年）</t>
  </si>
  <si>
    <t xml:space="preserve">評價日 → 目標價時點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</si>
  <si>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推到目標價時點（已決定事項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沿用），並扣除期間股利（修正一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</si>
  <si>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roll_div_q</t>
  </si>
  <si>
    <r>
      <rPr>
        <sz val="11"/>
        <color theme="1"/>
        <rFont val="Noto Sans CJK SC"/>
        <family val="2"/>
      </rPr>
      <t xml:space="preserve">評價日到目標價時點之間、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已付的股利季數</t>
    </r>
  </si>
  <si>
    <t xml:space="preserve">季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</si>
  <si>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第一季股利約 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支付，早於目標價時點</t>
    </r>
  </si>
  <si>
    <t xml:space="preserve">q_per_yr</t>
  </si>
  <si>
    <t xml:space="preserve">每年季數</t>
  </si>
  <si>
    <t xml:space="preserve">stub_d0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</si>
  <si>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淨現金日（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2027-06-30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</si>
  <si>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</t>
    </r>
  </si>
  <si>
    <t xml:space="preserve">t_stub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</si>
  <si>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淨現金日 → 目標價時點（年）</t>
    </r>
  </si>
  <si>
    <r>
      <rPr>
        <sz val="11"/>
        <color theme="1"/>
        <rFont val="Calibri"/>
        <family val="2"/>
        <charset val="1"/>
      </rPr>
      <t xml:space="preserve">2027-06-30 → </t>
    </r>
    <r>
      <rPr>
        <sz val="11"/>
        <color theme="1"/>
        <rFont val="Noto Sans CJK SC"/>
        <family val="2"/>
      </rPr>
      <t xml:space="preserve">目標價時點</t>
    </r>
  </si>
  <si>
    <r>
      <rPr>
        <sz val="11"/>
        <color theme="1"/>
        <rFont val="Noto Sans CJK SC"/>
        <family val="2"/>
      </rPr>
      <t xml:space="preserve">修正三：此期間的非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自由現金流既不在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年底淨現金、也不在目標價時點 </t>
    </r>
    <r>
      <rPr>
        <sz val="11"/>
        <color theme="1"/>
        <rFont val="Calibri"/>
        <family val="2"/>
        <charset val="1"/>
      </rPr>
      <t xml:space="preserve">NTM EBITDA </t>
    </r>
    <r>
      <rPr>
        <sz val="11"/>
        <color theme="1"/>
        <rFont val="Noto Sans CJK SC"/>
        <family val="2"/>
      </rPr>
      <t xml:space="preserve">倍數內，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補加</t>
    </r>
  </si>
  <si>
    <t xml:space="preserve">fy28_end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</si>
  <si>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</si>
  <si>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月結束</t>
    </r>
  </si>
  <si>
    <t xml:space="preserve">w_ntm28</t>
  </si>
  <si>
    <r>
      <rPr>
        <sz val="11"/>
        <color theme="1"/>
        <rFont val="Noto Sans CJK SC"/>
        <family val="2"/>
      </rPr>
      <t xml:space="preserve">目標價時點的未來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個月中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的比重</t>
    </r>
  </si>
  <si>
    <r>
      <rPr>
        <sz val="11"/>
        <color theme="1"/>
        <rFont val="Noto Sans CJK SC"/>
        <family val="2"/>
      </rPr>
      <t xml:space="preserve">目標價時點起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0.33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</si>
  <si>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NTM EBITDA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</si>
  <si>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</si>
  <si>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</si>
  <si>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各半一致；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</si>
  <si>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</si>
  <si>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w_A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</si>
  <si>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</si>
  <si>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</si>
  <si>
    <t xml:space="preserve">w_B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</si>
  <si>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</si>
  <si>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w_C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</si>
  <si>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</si>
  <si>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oai_stake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</si>
  <si>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持股比例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</si>
  <si>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oai.stake.fy27q1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FY27Q1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approximate 24% interest on an as-converted basis</t>
    </r>
    <r>
      <rPr>
        <sz val="11"/>
        <color theme="1"/>
        <rFont val="Noto Sans CJK SC"/>
        <family val="2"/>
      </rPr>
      <t xml:space="preserve">，最新）</t>
    </r>
  </si>
  <si>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oai.stake.fy2026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主值）；重組時（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，列判斷替代</t>
    </r>
  </si>
  <si>
    <t xml:space="preserve">oai_stake26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</si>
  <si>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</si>
  <si>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oai.stake.fy2026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approximate 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</si>
  <si>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主值；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</t>
    </r>
  </si>
  <si>
    <t xml:space="preserve">oai_val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</si>
  <si>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最近一輪投後估值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</si>
  <si>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oai.valuation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結案，募資 </t>
    </r>
    <r>
      <rPr>
        <sz val="11"/>
        <color theme="1"/>
        <rFont val="Calibri"/>
        <family val="2"/>
        <charset val="1"/>
      </rPr>
      <t xml:space="preserve">122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</si>
  <si>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新創自報估值；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報導洽談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億美元、估值 </t>
    </r>
    <r>
      <rPr>
        <sz val="11"/>
        <color theme="1"/>
        <rFont val="Calibri"/>
        <family val="2"/>
        <charset val="1"/>
      </rPr>
      <t xml:space="preserve">1.4 </t>
    </r>
    <r>
      <rPr>
        <sz val="11"/>
        <color theme="1"/>
        <rFont val="Noto Sans CJK SC"/>
        <family val="2"/>
      </rPr>
      <t xml:space="preserve">兆（未結案，不採用；</t>
    </r>
    <r>
      <rPr>
        <sz val="11"/>
        <color theme="1"/>
        <rFont val="Calibri"/>
        <family val="2"/>
        <charset val="1"/>
      </rPr>
      <t xml:space="preserve">https://propakistani.pk/2026/09/30/openai-reportedly-seeks-30-billion-at-1-4-trillion-valuation/</t>
    </r>
    <r>
      <rPr>
        <sz val="11"/>
        <color theme="1"/>
        <rFont val="Noto Sans CJK SC"/>
        <family val="2"/>
      </rPr>
      <t xml:space="preserve">）</t>
    </r>
  </si>
  <si>
    <t xml:space="preserve">liq_disc</t>
  </si>
  <si>
    <t xml:space="preserve">未上市持股流動性折價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</si>
  <si>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20%</t>
    </r>
  </si>
  <si>
    <t xml:space="preserve">oai_v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</si>
  <si>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持股價值（扣折價）</t>
    </r>
  </si>
  <si>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折價）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</si>
  <si>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持股比例未揭露 → 不估值（資料缺口）</t>
    </r>
  </si>
  <si>
    <t xml:space="preserve">m_ai</t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</si>
  <si>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</si>
  <si>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valuation.evEbitda 6×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</si>
  <si>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基礎設施租賃同業（</t>
    </r>
    <r>
      <rPr>
        <sz val="11"/>
        <color theme="1"/>
        <rFont val="Calibri"/>
        <family val="2"/>
        <charset val="1"/>
      </rPr>
      <t xml:space="preserve">CRWV TTM 25×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不具意義、</t>
    </r>
    <r>
      <rPr>
        <sz val="11"/>
        <color theme="1"/>
        <rFont val="Calibri"/>
        <family val="2"/>
        <charset val="1"/>
      </rPr>
      <t xml:space="preserve">ORCL NTM 9.5×</t>
    </r>
    <r>
      <rPr>
        <sz val="11"/>
        <color theme="1"/>
        <rFont val="Noto Sans CJK SC"/>
        <family val="2"/>
      </rPr>
      <t xml:space="preserve">）口徑不一，沿用 </t>
    </r>
    <r>
      <rPr>
        <sz val="11"/>
        <color theme="1"/>
        <rFont val="Calibri"/>
        <family val="2"/>
        <charset val="1"/>
      </rPr>
      <t xml:space="preserve">v0.2.2</t>
    </r>
  </si>
  <si>
    <t xml:space="preserve">m_cloud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</si>
  <si>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雲端倍數（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</si>
  <si>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Calibri"/>
        <family val="2"/>
        <charset val="1"/>
      </rPr>
      <t xml:space="preserve">microsoft/data/peers_cloud_20261008.json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</si>
  <si>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</t>
    </r>
  </si>
  <si>
    <t xml:space="preserve">m_sw</t>
  </si>
  <si>
    <r>
      <rPr>
        <sz val="11"/>
        <color theme="1"/>
        <rFont val="Noto Sans CJK SC"/>
        <family val="2"/>
      </rPr>
      <t xml:space="preserve">企業軟體倍數（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、授權、產業、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</si>
  <si>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val.peer.sw.*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ORCL 9.54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 15.02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 10.80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ADBE 6.60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 20.65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</t>
    </r>
  </si>
  <si>
    <t xml:space="preserve">2026-10-07</t>
  </si>
  <si>
    <t xml:space="preserve">m_ads</t>
  </si>
  <si>
    <r>
      <rPr>
        <sz val="11"/>
        <color theme="1"/>
        <rFont val="Noto Sans CJK SC"/>
        <family val="2"/>
      </rPr>
      <t xml:space="preserve">數位廣告倍數（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</si>
  <si>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microsoft/data/peers_ads_20261009.json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）</t>
    </r>
  </si>
  <si>
    <t xml:space="preserve">m_game</t>
  </si>
  <si>
    <r>
      <rPr>
        <sz val="11"/>
        <color theme="1"/>
        <rFont val="Noto Sans CJK SC"/>
        <family val="2"/>
      </rPr>
      <t xml:space="preserve">遊戲倍數（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</si>
  <si>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val.peer.game.*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TTWO 50.9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NTDOY 12.63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NTES 8.23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找不到）</t>
    </r>
  </si>
  <si>
    <t xml:space="preserve">2026-10-08</t>
  </si>
  <si>
    <t xml:space="preserve">m_pc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</si>
  <si>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／裝置倍數（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</si>
  <si>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val.peer.pc.*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HPQ 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 22.1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 14.47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</si>
  <si>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t xml:space="preserve">m_own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</si>
  <si>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NTM 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</si>
  <si>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val.msft.ownNtm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</si>
  <si>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只用於判斷預設替代（非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各線改用自身倍數）</t>
    </r>
  </si>
  <si>
    <t xml:space="preserve">al_m365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</si>
  <si>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</si>
  <si>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alloc.oiMargin</t>
    </r>
    <r>
      <rPr>
        <sz val="11"/>
        <color theme="1"/>
        <rFont val="Noto Sans CJK SC"/>
        <family val="2"/>
      </rPr>
      <t xml:space="preserve">（公司不揭露產品線利潤）；沿用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</si>
  <si>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 </t>
    </r>
    <r>
      <rPr>
        <sz val="11"/>
        <color theme="1"/>
        <rFont val="Calibri"/>
        <family val="2"/>
        <charset val="1"/>
      </rPr>
      <t xml:space="preserve">PBP </t>
    </r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FY2026 59.9% </t>
    </r>
    <r>
      <rPr>
        <sz val="11"/>
        <color theme="1"/>
        <rFont val="Noto Sans CJK SC"/>
        <family val="2"/>
      </rPr>
      <t xml:space="preserve">類比；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</si>
  <si>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al_lic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</si>
  <si>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</si>
  <si>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地端授權毛利高、銷售費用低；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</si>
  <si>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al_ind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</si>
  <si>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</si>
  <si>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Dynamics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</si>
  <si>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al_fro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</si>
  <si>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</si>
  <si>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含支援服務；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</si>
  <si>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al_srch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</si>
  <si>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</si>
  <si>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—；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</si>
  <si>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r>
      <rPr>
        <b val="true"/>
        <sz val="11"/>
        <rFont val="Cambria"/>
        <family val="0"/>
        <charset val="1"/>
      </rPr>
      <t xml:space="preserve">C. Tokenomics v21.7 </t>
    </r>
    <r>
      <rPr>
        <b val="true"/>
        <sz val="11"/>
        <rFont val="Noto Sans CJK SC"/>
        <family val="2"/>
      </rPr>
      <t xml:space="preserve">快照（</t>
    </r>
    <r>
      <rPr>
        <b val="true"/>
        <sz val="11"/>
        <rFont val="Cambria"/>
        <family val="0"/>
        <charset val="1"/>
      </rPr>
      <t xml:space="preserve">microsoft/data/tokenomics_snapshot_v21.7.json</t>
    </r>
    <r>
      <rPr>
        <b val="true"/>
        <sz val="11"/>
        <rFont val="Noto Sans CJK SC"/>
        <family val="2"/>
      </rPr>
      <t xml:space="preserve">；基準成本欄；每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關鍵電力；</t>
    </r>
    <r>
      <rPr>
        <b val="true"/>
        <sz val="11"/>
        <rFont val="Cambria"/>
        <family val="0"/>
        <charset val="1"/>
      </rPr>
      <t xml:space="preserve">v0.3.1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v21.4 </t>
    </r>
    <r>
      <rPr>
        <b val="true"/>
        <sz val="11"/>
        <rFont val="Noto Sans CJK SC"/>
        <family val="2"/>
      </rPr>
      <t xml:space="preserve">升級，契約名稱值逐一比對無差異）</t>
    </r>
  </si>
  <si>
    <t xml:space="preserve">tk_hold_h100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</si>
  <si>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</si>
  <si>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</si>
  <si>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</t>
    </r>
  </si>
  <si>
    <t xml:space="preserve">基準成本欄</t>
  </si>
  <si>
    <t xml:space="preserve">tk_hold_gb200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</si>
  <si>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</si>
  <si>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t xml:space="preserve">tk_hold_gb300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</si>
  <si>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</si>
  <si>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t xml:space="preserve">tk_hold_vr200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</si>
  <si>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</si>
  <si>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t xml:space="preserve">tk_cxit_h100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</si>
  <si>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</si>
  <si>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</si>
  <si>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tk_cxit_gb200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</si>
  <si>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</si>
  <si>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tk_cxit_gb300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</si>
  <si>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</si>
  <si>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tk_cxit_vr200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</si>
  <si>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</si>
  <si>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tk_opex_h100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</si>
  <si>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</si>
  <si>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電力、維護、人員、稅保</t>
  </si>
  <si>
    <t xml:space="preserve">tk_opex_gb200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</si>
  <si>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</si>
  <si>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tk_opex_gb300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</si>
  <si>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</si>
  <si>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tk_opex_vr200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</si>
  <si>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</si>
  <si>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tk_cxfac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</si>
  <si>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</si>
  <si>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各世代相同</t>
  </si>
  <si>
    <t xml:space="preserve">tk_gpuhr_h100</t>
  </si>
  <si>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小時打平價）</t>
    </r>
  </si>
  <si>
    <t xml:space="preserve">US$/GPU-hr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</si>
  <si>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現貨的分母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</si>
  <si>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</si>
  <si>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折舊年限（</t>
    </r>
    <r>
      <rPr>
        <sz val="11"/>
        <color theme="1"/>
        <rFont val="Calibri"/>
        <family val="2"/>
        <charset val="1"/>
      </rPr>
      <t xml:space="preserve">IF_DeprLifeIT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</si>
  <si>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伺服器與網路設備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pl.usefulLife.servers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</si>
  <si>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±1 </t>
    </r>
    <r>
      <rPr>
        <sz val="11"/>
        <color theme="1"/>
        <rFont val="Noto Sans CJK SC"/>
        <family val="2"/>
      </rPr>
      <t xml:space="preserve">年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</si>
  <si>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</si>
  <si>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</si>
  <si>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IF_CapexFacility ÷ IF_DeprFac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</si>
  <si>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起建物 </t>
    </r>
    <r>
      <rPr>
        <sz val="11"/>
        <color theme="1"/>
        <rFont val="Calibri"/>
        <family val="2"/>
        <charset val="1"/>
      </rPr>
      <t xml:space="preserve">15 → 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guid.usefulLife</t>
    </r>
    <r>
      <rPr>
        <sz val="11"/>
        <color theme="1"/>
        <rFont val="Noto Sans CJK SC"/>
        <family val="2"/>
      </rPr>
      <t xml:space="preserve">）</t>
    </r>
  </si>
  <si>
    <t xml:space="preserve">fac_wacc</t>
  </si>
  <si>
    <r>
      <rPr>
        <sz val="11"/>
        <color theme="1"/>
        <rFont val="Noto Sans CJK SC"/>
        <family val="2"/>
      </rPr>
      <t xml:space="preserve">機房租金年金折現率（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經濟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</si>
  <si>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tokenomics.holdEconWacc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Inputs!E28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</si>
  <si>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同一折現率</t>
    </r>
  </si>
  <si>
    <t xml:space="preserve">fac_rent</t>
  </si>
  <si>
    <r>
      <rPr>
        <sz val="11"/>
        <color theme="1"/>
        <rFont val="Noto Sans CJK SC"/>
        <family val="2"/>
      </rPr>
      <t xml:space="preserve">租用機房每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年租金（資本回收年金）</t>
    </r>
  </si>
  <si>
    <r>
      <rPr>
        <sz val="11"/>
        <color theme="1"/>
        <rFont val="Calibri"/>
        <family val="2"/>
        <charset val="1"/>
      </rPr>
      <t xml:space="preserve">IF_CapexFacility × </t>
    </r>
    <r>
      <rPr>
        <sz val="11"/>
        <color theme="1"/>
        <rFont val="Noto Sans CJK SC"/>
        <family val="2"/>
      </rPr>
      <t xml:space="preserve">年金因子（</t>
    </r>
    <r>
      <rPr>
        <sz val="11"/>
        <color theme="1"/>
        <rFont val="Calibri"/>
        <family val="2"/>
        <charset val="1"/>
      </rPr>
      <t xml:space="preserve">fac_wacc</t>
    </r>
    <r>
      <rPr>
        <sz val="11"/>
        <color theme="1"/>
        <rFont val="Noto Sans CJK SC"/>
        <family val="2"/>
      </rPr>
      <t xml:space="preserve">、機房年限）</t>
    </r>
  </si>
  <si>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：租用機房的租金計入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</si>
  <si>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AI MW</t>
    </r>
    <r>
      <rPr>
        <b val="true"/>
        <sz val="11"/>
        <rFont val="Noto Sans CJK SC"/>
        <family val="2"/>
      </rPr>
      <t xml:space="preserve">、對外比例、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（沿用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；不以 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營收、</t>
    </r>
    <r>
      <rPr>
        <b val="true"/>
        <sz val="11"/>
        <rFont val="Cambria"/>
        <family val="0"/>
        <charset val="1"/>
      </rPr>
      <t xml:space="preserve">RPO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run-rate </t>
    </r>
    <r>
      <rPr>
        <b val="true"/>
        <sz val="11"/>
        <rFont val="Noto Sans CJK SC"/>
        <family val="2"/>
      </rPr>
      <t xml:space="preserve">反推）</t>
    </r>
  </si>
  <si>
    <t xml:space="preserve">mw_ext_24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</si>
  <si>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年底，含租用）</t>
    </r>
  </si>
  <si>
    <t xml:space="preserve">MW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</si>
  <si>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v0.2.2 defaults.mwYearEnd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</si>
  <si>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（不存在）</t>
    </r>
  </si>
  <si>
    <t xml:space="preserve">mw_ext_25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</si>
  <si>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年底，含租用）</t>
    </r>
  </si>
  <si>
    <t xml:space="preserve">mw_ext_26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</si>
  <si>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年底，含租用）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</si>
  <si>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）｜三法交叉：自有在役 </t>
    </r>
    <r>
      <rPr>
        <sz val="11"/>
        <color theme="1"/>
        <rFont val="Calibri"/>
        <family val="2"/>
        <charset val="1"/>
      </rPr>
      <t xml:space="preserve">AI 4,500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1,100 × 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split.extMW</t>
    </r>
    <r>
      <rPr>
        <sz val="11"/>
        <color theme="1"/>
        <rFont val="Noto Sans CJK SC"/>
        <family val="2"/>
      </rPr>
      <t xml:space="preserve">）</t>
    </r>
  </si>
  <si>
    <t xml:space="preserve">rent_ext_24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</si>
  <si>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</si>
  <si>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CoreWeave 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62%–67%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nc.crwv.*</t>
    </r>
    <r>
      <rPr>
        <sz val="11"/>
        <color theme="1"/>
        <rFont val="Noto Sans CJK SC"/>
        <family val="2"/>
      </rPr>
      <t xml:space="preserve">）推估</t>
    </r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</si>
  <si>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收入照算，不計資本支出與折舊（</t>
    </r>
    <r>
      <rPr>
        <sz val="11"/>
        <color theme="1"/>
        <rFont val="Calibri"/>
        <family val="2"/>
        <charset val="1"/>
      </rPr>
      <t xml:space="preserve">C20</t>
    </r>
    <r>
      <rPr>
        <sz val="11"/>
        <color theme="1"/>
        <rFont val="Noto Sans CJK SC"/>
        <family val="2"/>
      </rPr>
      <t xml:space="preserve">）</t>
    </r>
  </si>
  <si>
    <t xml:space="preserve">rent_ext_25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</si>
  <si>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年底）</t>
    </r>
  </si>
  <si>
    <t xml:space="preserve">rent_ext_26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</si>
  <si>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</si>
  <si>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capexModel.rentedExt</t>
    </r>
    <r>
      <rPr>
        <sz val="11"/>
        <color theme="1"/>
        <rFont val="Noto Sans CJK SC"/>
        <family val="2"/>
      </rPr>
      <t xml:space="preserve">：期初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1,100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</si>
  <si>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rent_ext_f</t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</si>
  <si>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</si>
  <si>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rentedExt.path</t>
    </r>
    <r>
      <rPr>
        <sz val="11"/>
        <color theme="1"/>
        <rFont val="Noto Sans CJK SC"/>
        <family val="2"/>
      </rPr>
      <t xml:space="preserve">：加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205.5</t>
    </r>
    <r>
      <rPr>
        <sz val="11"/>
        <color theme="1"/>
        <rFont val="Noto Sans CJK SC"/>
        <family val="2"/>
      </rPr>
      <t xml:space="preserve">；到期以相同條件續約）</t>
    </r>
  </si>
  <si>
    <t xml:space="preserve">pace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</si>
  <si>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每年新增（三情境相同；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</si>
  <si>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</si>
  <si>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重解）：使基準情境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模型資本支出（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）＝公司指引推估 </t>
    </r>
    <r>
      <rPr>
        <sz val="11"/>
        <color theme="1"/>
        <rFont val="Calibri"/>
        <family val="2"/>
        <charset val="1"/>
      </rPr>
      <t xml:space="preserve">capex_floor27</t>
    </r>
    <r>
      <rPr>
        <sz val="11"/>
        <color theme="1"/>
        <rFont val="Noto Sans CJK SC"/>
        <family val="2"/>
      </rPr>
      <t xml:space="preserve">，對帳落差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microsoft/attrib_v031.py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重算割線法求解）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</si>
  <si>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2,527.2</t>
    </r>
    <r>
      <rPr>
        <sz val="11"/>
        <color theme="1"/>
        <rFont val="Noto Sans CJK SC"/>
        <family val="2"/>
      </rPr>
      <t xml:space="preserve">（當時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引擎有 </t>
    </r>
    <r>
      <rPr>
        <sz val="11"/>
        <color theme="1"/>
        <rFont val="Calibri"/>
        <family val="2"/>
        <charset val="1"/>
      </rPr>
      <t xml:space="preserve">8.3 </t>
    </r>
    <r>
      <rPr>
        <sz val="11"/>
        <color theme="1"/>
        <rFont val="Noto Sans CJK SC"/>
        <family val="2"/>
      </rPr>
      <t xml:space="preserve">的補足差額）；情境差異集中在命題的變現驅動；替代（保守＝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／年）見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判斷預設表</t>
    </r>
  </si>
  <si>
    <t xml:space="preserve">pace_v03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</si>
  <si>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速度（</t>
    </r>
    <r>
      <rPr>
        <sz val="11"/>
        <color theme="1"/>
        <rFont val="Calibri"/>
        <family val="2"/>
        <charset val="1"/>
      </rPr>
      <t xml:space="preserve">v0.2.2 C10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</si>
  <si>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scripts/calib_pace.js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204.2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</si>
  <si>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變動拆解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以前的狀態</t>
    </r>
  </si>
  <si>
    <t xml:space="preserve">pace_nv0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</si>
  <si>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）下重解的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</si>
  <si>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重解，但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</si>
  <si>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判斷替代「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舊口徑」用</t>
    </r>
  </si>
  <si>
    <t xml:space="preserve">pace_y0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</si>
  <si>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新增速度開始收斂的年度（此年後逐年線性收斂）</t>
    </r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</si>
  <si>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之後逐年收斂，終值不得落在建置高峰</t>
    </r>
  </si>
  <si>
    <t xml:space="preserve">pace_y1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</si>
  <si>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新增速度收斂完成的年度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</si>
  <si>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只剩與永續成長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一致的增量（＝</t>
    </r>
    <r>
      <rPr>
        <sz val="11"/>
        <color theme="1"/>
        <rFont val="Calibri"/>
        <family val="2"/>
        <charset val="1"/>
      </rPr>
      <t xml:space="preserve">g_tv × FY2029 </t>
    </r>
    <r>
      <rPr>
        <sz val="11"/>
        <color theme="1"/>
        <rFont val="Noto Sans CJK SC"/>
        <family val="2"/>
      </rPr>
      <t xml:space="preserve">年底在役對外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</si>
  <si>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t xml:space="preserve">汰換另計</t>
  </si>
  <si>
    <t xml:space="preserve">k_ramp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</si>
  <si>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由基準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移到情境值的年數</t>
    </r>
  </si>
  <si>
    <t xml:space="preserve">無：合約重新定價需時</t>
  </si>
  <si>
    <t xml:space="preserve">pace_epoch</t>
  </si>
  <si>
    <r>
      <rPr>
        <sz val="11"/>
        <color theme="1"/>
        <rFont val="Noto Sans CJK SC"/>
        <family val="2"/>
      </rPr>
      <t xml:space="preserve">替代：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可辨識站點速度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</si>
  <si>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scenarios.mwPath.pace.low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Fairwater Wisconsin 369 → 2,263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</si>
  <si>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cap_epoch</t>
    </r>
  </si>
  <si>
    <t xml:space="preserve">cap_epoch</t>
  </si>
  <si>
    <r>
      <rPr>
        <sz val="11"/>
        <color theme="1"/>
        <rFont val="Noto Sans CJK SC"/>
        <family val="2"/>
      </rPr>
      <t xml:space="preserve">替代：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可辨識站點上限</t>
    </r>
  </si>
  <si>
    <t xml:space="preserve">ext_sh</t>
  </si>
  <si>
    <r>
      <rPr>
        <sz val="11"/>
        <color theme="1"/>
        <rFont val="Noto Sans CJK SC"/>
        <family val="2"/>
      </rPr>
      <t xml:space="preserve">對外比例（對外 </t>
    </r>
    <r>
      <rPr>
        <sz val="11"/>
        <color theme="1"/>
        <rFont val="Calibri"/>
        <family val="2"/>
        <charset val="1"/>
      </rPr>
      <t xml:space="preserve">AI MW ÷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</si>
  <si>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：公司無揭露，最大不確定）</t>
    </r>
  </si>
  <si>
    <r>
      <rPr>
        <sz val="11"/>
        <color theme="1"/>
        <rFont val="Calibri"/>
        <family val="2"/>
        <charset val="1"/>
      </rPr>
      <t xml:space="preserve">Sens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</si>
  <si>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t xml:space="preserve">self_build</t>
  </si>
  <si>
    <t xml:space="preserve">機房自建比例（自建＋融資租賃）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</si>
  <si>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capexModel.selfBuild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</si>
  <si>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其餘為營業租賃：不計資本支出，計租金（</t>
    </r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）</t>
    </r>
  </si>
  <si>
    <t xml:space="preserve">mix_h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</si>
  <si>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</si>
  <si>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mw.genMix.open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Hopper 15–30%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35–55%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20–40%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</si>
  <si>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以前各年同此占比</t>
    </r>
  </si>
  <si>
    <t xml:space="preserve">mix_g2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</si>
  <si>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GB200</t>
    </r>
  </si>
  <si>
    <t xml:space="preserve">mix_g3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</si>
  <si>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）</t>
    </r>
  </si>
  <si>
    <t xml:space="preserve">a_g3_27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</si>
  <si>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合計占比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</si>
  <si>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chips.mixAdds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10%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</si>
  <si>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時其中 </t>
    </r>
    <r>
      <rPr>
        <sz val="11"/>
        <color theme="1"/>
        <rFont val="Calibri"/>
        <family val="2"/>
        <charset val="1"/>
      </rPr>
      <t xml:space="preserve">a_mai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（改讀 </t>
    </r>
    <r>
      <rPr>
        <sz val="11"/>
        <color theme="1"/>
        <rFont val="Calibri"/>
        <family val="2"/>
        <charset val="1"/>
      </rPr>
      <t xml:space="preserve">Tokenomics IF_NonNV_*</t>
    </r>
    <r>
      <rPr>
        <sz val="11"/>
        <color theme="1"/>
        <rFont val="Noto Sans CJK SC"/>
        <family val="2"/>
      </rPr>
      <t xml:space="preserve">），其餘為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口徑）</t>
    </r>
  </si>
  <si>
    <t xml:space="preserve">a_g3_28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</si>
  <si>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合計占比 </t>
    </r>
    <r>
      <rPr>
        <sz val="11"/>
        <color theme="1"/>
        <rFont val="Calibri"/>
        <family val="2"/>
        <charset val="1"/>
      </rPr>
      <t xml:space="preserve">FY2028</t>
    </r>
  </si>
  <si>
    <t xml:space="preserve">a_g3_29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</si>
  <si>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合計占比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起同）</t>
    </r>
  </si>
  <si>
    <t xml:space="preserve">nonnv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</si>
  <si>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Tokenomics IF_NonNV_*</t>
    </r>
    <r>
      <rPr>
        <sz val="11"/>
        <color theme="1"/>
        <rFont val="Noto Sans CJK SC"/>
        <family val="2"/>
      </rPr>
      <t xml:space="preserve">，主值；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）</t>
    </r>
  </si>
  <si>
    <t xml:space="preserve">代碼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</si>
  <si>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20261029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已有正式 </t>
    </r>
    <r>
      <rPr>
        <sz val="11"/>
        <color theme="1"/>
        <rFont val="Calibri"/>
        <family val="2"/>
        <charset val="1"/>
      </rPr>
      <t xml:space="preserve">IF_NonNV_Out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Hold_Maia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v21.1 </t>
    </r>
    <r>
      <rPr>
        <sz val="11"/>
        <color theme="1"/>
        <rFont val="Noto Sans CJK SC"/>
        <family val="2"/>
      </rPr>
      <t xml:space="preserve">起），權威在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條）→ 預設改讀</t>
    </r>
  </si>
  <si>
    <r>
      <rPr>
        <sz val="11"/>
        <color theme="1"/>
        <rFont val="Noto Sans CJK SC"/>
        <family val="2"/>
      </rPr>
      <t xml:space="preserve">舊口徑列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判斷替代（含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</si>
  <si>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t xml:space="preserve">a_mai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</si>
  <si>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占比（各年）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</si>
  <si>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chips.mixAdds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</si>
  <si>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部署量（不存在）</t>
    </r>
  </si>
  <si>
    <t xml:space="preserve">nv_out_mai</t>
  </si>
  <si>
    <r>
      <rPr>
        <sz val="11"/>
        <color theme="1"/>
        <rFont val="Calibri"/>
        <family val="2"/>
        <charset val="1"/>
      </rPr>
      <t xml:space="preserve">IF_NonNV_Out_Maia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</si>
  <si>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Interface P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</si>
  <si>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收入＝產出比 </t>
    </r>
    <r>
      <rPr>
        <sz val="11"/>
        <color theme="1"/>
        <rFont val="Calibri"/>
        <family val="2"/>
        <charset val="1"/>
      </rPr>
      <t xml:space="preserve">×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× k</t>
    </r>
    <r>
      <rPr>
        <sz val="11"/>
        <color theme="1"/>
        <rFont val="Noto Sans CJK SC"/>
        <family val="2"/>
      </rPr>
      <t xml:space="preserve">（同一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價格）</t>
    </r>
  </si>
  <si>
    <t xml:space="preserve">nv_hold_mai</t>
  </si>
  <si>
    <r>
      <rPr>
        <sz val="11"/>
        <color theme="1"/>
        <rFont val="Calibri"/>
        <family val="2"/>
        <charset val="1"/>
      </rPr>
      <t xml:space="preserve">IF_NonNV_Hold_Maia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</si>
  <si>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持有成本（影子效益用）＝持有成本比 </t>
    </r>
    <r>
      <rPr>
        <sz val="11"/>
        <color theme="1"/>
        <rFont val="Calibri"/>
        <family val="2"/>
        <charset val="1"/>
      </rPr>
      <t xml:space="preserve">×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資本支出＝持有成本比 </t>
    </r>
    <r>
      <rPr>
        <sz val="11"/>
        <color theme="1"/>
        <rFont val="Calibri"/>
        <family val="2"/>
        <charset val="1"/>
      </rPr>
      <t xml:space="preserve">×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（依每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設備價推導，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套用到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資本支出）；營運成本與機房同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電力相同）</t>
    </r>
  </si>
  <si>
    <t xml:space="preserve">cxit_open</t>
  </si>
  <si>
    <r>
      <rPr>
        <sz val="11"/>
        <color theme="1"/>
        <rFont val="Noto Sans CJK SC"/>
        <family val="2"/>
      </rPr>
      <t xml:space="preserve">期初世代加權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</si>
  <si>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期初占比 </t>
    </r>
    <r>
      <rPr>
        <sz val="11"/>
        <color theme="1"/>
        <rFont val="Calibri"/>
        <family val="2"/>
        <charset val="1"/>
      </rPr>
      <t xml:space="preserve">× IF_CapexIT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</si>
  <si>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以前各年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資本支出估計與折舊用</t>
    </r>
  </si>
  <si>
    <t xml:space="preserve">p_long</t>
  </si>
  <si>
    <r>
      <rPr>
        <sz val="11"/>
        <color theme="1"/>
        <rFont val="Noto Sans CJK SC"/>
        <family val="2"/>
      </rPr>
      <t xml:space="preserve">長約證據價格：</t>
    </r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</si>
  <si>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lc.iren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TCV 9,700 ÷ 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200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</si>
  <si>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付給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的買價，代理長約賣價</t>
    </r>
  </si>
  <si>
    <t xml:space="preserve">p_spot</t>
  </si>
  <si>
    <r>
      <rPr>
        <sz val="11"/>
        <color theme="1"/>
        <rFont val="Noto Sans CJK SC"/>
        <family val="2"/>
      </rPr>
      <t xml:space="preserve">現貨證據價格：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</si>
  <si>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spot.h100.index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</si>
  <si>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Azure H100 </t>
    </r>
    <r>
      <rPr>
        <sz val="11"/>
        <color theme="1"/>
        <rFont val="Noto Sans CJK SC"/>
        <family val="2"/>
      </rPr>
      <t xml:space="preserve">隨需牌價 </t>
    </r>
    <r>
      <rPr>
        <sz val="11"/>
        <color theme="1"/>
        <rFont val="Calibri"/>
        <family val="2"/>
        <charset val="1"/>
      </rPr>
      <t xml:space="preserve">12.29</t>
    </r>
    <r>
      <rPr>
        <sz val="11"/>
        <color theme="1"/>
        <rFont val="Noto Sans CJK SC"/>
        <family val="2"/>
      </rPr>
      <t xml:space="preserve">（只作上限）</t>
    </r>
  </si>
  <si>
    <t xml:space="preserve">k_long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</si>
  <si>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</t>
    </r>
  </si>
  <si>
    <r>
      <rPr>
        <sz val="11"/>
        <color theme="1"/>
        <rFont val="Noto Sans CJK SC"/>
        <family val="2"/>
      </rPr>
      <t xml:space="preserve">證據價格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同世代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kspec </t>
    </r>
    <r>
      <rPr>
        <sz val="11"/>
        <color theme="1"/>
        <rFont val="Noto Sans CJK SC"/>
        <family val="2"/>
      </rPr>
      <t xml:space="preserve">規格）</t>
    </r>
  </si>
  <si>
    <t xml:space="preserve">v0.2.2 0.891</t>
  </si>
  <si>
    <t xml:space="preserve">p_long_lo</t>
  </si>
  <si>
    <r>
      <rPr>
        <sz val="11"/>
        <color theme="1"/>
        <rFont val="Noto Sans CJK SC"/>
        <family val="2"/>
      </rPr>
      <t xml:space="preserve">長約低端價格（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判斷倍數 </t>
    </r>
    <r>
      <rPr>
        <sz val="11"/>
        <color theme="1"/>
        <rFont val="Calibri"/>
        <family val="2"/>
        <charset val="1"/>
      </rPr>
      <t xml:space="preserve">0.45 × 12.762 </t>
    </r>
    <r>
      <rPr>
        <sz val="11"/>
        <color theme="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</si>
  <si>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long.low</t>
    </r>
    <r>
      <rPr>
        <sz val="11"/>
        <color theme="1"/>
        <rFont val="Noto Sans CJK SC"/>
        <family val="2"/>
      </rPr>
      <t xml:space="preserve">：非觀察價格）</t>
    </r>
  </si>
  <si>
    <t xml:space="preserve">只用於判斷預設替代</t>
  </si>
  <si>
    <t xml:space="preserve">k_long_lo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</si>
  <si>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長約低端</t>
    </r>
  </si>
  <si>
    <r>
      <rPr>
        <sz val="11"/>
        <color theme="1"/>
        <rFont val="Noto Sans CJK SC"/>
        <family val="2"/>
      </rPr>
      <t xml:space="preserve">長約低端價格 </t>
    </r>
    <r>
      <rPr>
        <sz val="11"/>
        <color theme="1"/>
        <rFont val="Calibri"/>
        <family val="2"/>
        <charset val="1"/>
      </rPr>
      <t xml:space="preserve">÷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</si>
  <si>
    <t xml:space="preserve">v0.2.2 0.470</t>
  </si>
  <si>
    <t xml:space="preserve">k_spot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</si>
  <si>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</si>
  <si>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Noto Sans CJK SC"/>
        <family val="2"/>
      </rPr>
      <t xml:space="preserve">證據價格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</si>
  <si>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t xml:space="preserve">v0.2.2 1.828</t>
  </si>
  <si>
    <t xml:space="preserve">ls_A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</si>
  <si>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</si>
  <si>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＋現貨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split.k </t>
    </r>
    <r>
      <rPr>
        <sz val="11"/>
        <color theme="1"/>
        <rFont val="Noto Sans CJK SC"/>
        <family val="2"/>
      </rPr>
      <t xml:space="preserve">高端口徑）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</si>
  <si>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的價格軸差異是本版主要情境軸</t>
    </r>
  </si>
  <si>
    <t xml:space="preserve">ls_B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</si>
  <si>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</si>
  <si>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longShare 70%</t>
    </r>
  </si>
  <si>
    <t xml:space="preserve">ls_C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</si>
  <si>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</si>
  <si>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全長約（</t>
    </r>
    <r>
      <rPr>
        <sz val="11"/>
        <color theme="1"/>
        <rFont val="Calibri"/>
        <family val="2"/>
        <charset val="1"/>
      </rPr>
      <t xml:space="preserve">v0.1a split.k </t>
    </r>
    <r>
      <rPr>
        <sz val="11"/>
        <color theme="1"/>
        <rFont val="Noto Sans CJK SC"/>
        <family val="2"/>
      </rPr>
      <t xml:space="preserve">低端口徑）</t>
    </r>
  </si>
  <si>
    <t xml:space="preserve">k_A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</si>
  <si>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</si>
  <si>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 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長約占比）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</si>
  <si>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 1.172</t>
    </r>
  </si>
  <si>
    <t xml:space="preserve">k_B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</si>
  <si>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</si>
  <si>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k_C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</si>
  <si>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</si>
  <si>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chip_f</t>
  </si>
  <si>
    <r>
      <rPr>
        <sz val="11"/>
        <color theme="1"/>
        <rFont val="Noto Sans CJK SC"/>
        <family val="2"/>
      </rPr>
      <t xml:space="preserve">自研晶片係數（全部對外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收入乘數）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</si>
  <si>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</si>
  <si>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改由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IF_NonNV_* </t>
    </r>
    <r>
      <rPr>
        <sz val="11"/>
        <color theme="1"/>
        <rFont val="Noto Sans CJK SC"/>
        <family val="2"/>
      </rPr>
      <t xml:space="preserve">處理，本係數維持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（不重複）</t>
    </r>
  </si>
  <si>
    <t xml:space="preserve">rent_mw</t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</si>
  <si>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年租金（全額）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</si>
  <si>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）（已揭露合約全額年租金 </t>
    </r>
    <r>
      <rPr>
        <sz val="11"/>
        <color theme="1"/>
        <rFont val="Calibri"/>
        <family val="2"/>
        <charset val="1"/>
      </rPr>
      <t xml:space="preserve">13.96 ÷ 1,571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</si>
  <si>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不另計營運成本</t>
    </r>
  </si>
  <si>
    <t xml:space="preserve">ai_net_open</t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</si>
  <si>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毛額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</si>
  <si>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capexModel.aiNetShare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</si>
  <si>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的期初投入資本</t>
    </r>
  </si>
  <si>
    <t xml:space="preserve">capex_floor27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</si>
  <si>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資本支出（公司口徑，含融資租賃；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對帳目標）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</si>
  <si>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capex.fy27.derived.q1</t>
    </r>
    <r>
      <rPr>
        <sz val="11"/>
        <color theme="1"/>
        <rFont val="Noto Sans CJK SC"/>
        <family val="2"/>
      </rPr>
      <t xml:space="preserve">：上半年＝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45.2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51.9</t>
    </r>
    <r>
      <rPr>
        <sz val="11"/>
        <color theme="1"/>
        <rFont val="Noto Sans CJK SC"/>
        <family val="2"/>
      </rPr>
      <t xml:space="preserve">（曆年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170 − 31.9 − 41.0 − 45.2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over 50 </t>
    </r>
    <r>
      <rPr>
        <sz val="11"/>
        <color theme="1"/>
        <rFont val="Noto Sans CJK SC"/>
        <family val="2"/>
      </rPr>
      <t xml:space="preserve">吻合）＝</t>
    </r>
    <r>
      <rPr>
        <sz val="11"/>
        <color theme="1"/>
        <rFont val="Calibri"/>
        <family val="2"/>
        <charset val="1"/>
      </rPr>
      <t xml:space="preserve">97.1</t>
    </r>
    <r>
      <rPr>
        <sz val="11"/>
        <color theme="1"/>
        <rFont val="Noto Sans CJK SC"/>
        <family val="2"/>
      </rPr>
      <t xml:space="preserve">；下半年＝前次推估 </t>
    </r>
    <r>
      <rPr>
        <sz val="11"/>
        <color theme="1"/>
        <rFont val="Calibri"/>
        <family val="2"/>
        <charset val="1"/>
      </rPr>
      <t xml:space="preserve">102.1</t>
    </r>
    <r>
      <rPr>
        <sz val="11"/>
        <color theme="1"/>
        <rFont val="Noto Sans CJK SC"/>
        <family val="2"/>
      </rPr>
      <t xml:space="preserve">＋延到下半年的第三方產能約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（曆年 </t>
    </r>
    <r>
      <rPr>
        <sz val="11"/>
        <color theme="1"/>
        <rFont val="Calibri"/>
        <family val="2"/>
        <charset val="1"/>
      </rPr>
      <t xml:space="preserve">175 → 170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107.1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</si>
  <si>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194.2</t>
    </r>
    <r>
      <rPr>
        <sz val="11"/>
        <color theme="1"/>
        <rFont val="Noto Sans CJK SC"/>
        <family val="2"/>
      </rPr>
      <t xml:space="preserve">＝下半年同上半年；高 </t>
    </r>
    <r>
      <rPr>
        <sz val="11"/>
        <color theme="1"/>
        <rFont val="Calibri"/>
        <family val="2"/>
        <charset val="1"/>
      </rPr>
      <t xml:space="preserve">213.6</t>
    </r>
    <r>
      <rPr>
        <sz val="11"/>
        <color theme="1"/>
        <rFont val="Noto Sans CJK SC"/>
        <family val="2"/>
      </rPr>
      <t xml:space="preserve">＝下半年較上半年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（公司：下半年加速）。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204.2</t>
    </r>
    <r>
      <rPr>
        <sz val="11"/>
        <color theme="1"/>
        <rFont val="Noto Sans CJK SC"/>
        <family val="2"/>
      </rPr>
      <t xml:space="preserve">（曆年 </t>
    </r>
    <r>
      <rPr>
        <sz val="11"/>
        <color theme="1"/>
        <rFont val="Calibri"/>
        <family val="2"/>
        <charset val="1"/>
      </rPr>
      <t xml:space="preserve">175 − 72.9 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102.1 × 2</t>
    </r>
    <r>
      <rPr>
        <sz val="11"/>
        <color theme="1"/>
        <rFont val="Noto Sans CJK SC"/>
        <family val="2"/>
      </rPr>
      <t xml:space="preserve">）；共識 </t>
    </r>
    <r>
      <rPr>
        <sz val="11"/>
        <color theme="1"/>
        <rFont val="Calibri"/>
        <family val="2"/>
        <charset val="1"/>
      </rPr>
      <t xml:space="preserve">192.8</t>
    </r>
    <r>
      <rPr>
        <sz val="11"/>
        <color theme="1"/>
        <rFont val="Noto Sans CJK SC"/>
        <family val="2"/>
      </rPr>
      <t xml:space="preserve">（推定現金口徑）</t>
    </r>
  </si>
  <si>
    <r>
      <rPr>
        <b val="true"/>
        <sz val="11"/>
        <rFont val="Cambria"/>
        <family val="0"/>
        <charset val="1"/>
      </rPr>
      <t xml:space="preserve">E. Microsoft 365 cloud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Copilot</t>
    </r>
    <r>
      <rPr>
        <b val="true"/>
        <sz val="11"/>
        <rFont val="Noto Sans CJK SC"/>
        <family val="2"/>
      </rPr>
      <t xml:space="preserve">（命題子列：付費座席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每座席月費）</t>
    </r>
  </si>
  <si>
    <t xml:space="preserve">cop_s24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</si>
  <si>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年底）</t>
    </r>
  </si>
  <si>
    <t xml:space="preserve">百萬席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</si>
  <si>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Copilot 2023-11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年底座席未揭露</t>
    </r>
  </si>
  <si>
    <t xml:space="preserve">cop_s25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</si>
  <si>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</si>
  <si>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年底座席未揭露（</t>
    </r>
    <r>
      <rPr>
        <sz val="11"/>
        <color theme="1"/>
        <rFont val="Calibri"/>
        <family val="2"/>
        <charset val="1"/>
      </rPr>
      <t xml:space="preserve">FY26Q2 15 </t>
    </r>
    <r>
      <rPr>
        <sz val="11"/>
        <color theme="1"/>
        <rFont val="Noto Sans CJK SC"/>
        <family val="2"/>
      </rPr>
      <t xml:space="preserve">百萬）</t>
    </r>
  </si>
  <si>
    <t xml:space="preserve">cop_s26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</si>
  <si>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</si>
  <si>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call.copilotSeats.fy26q4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百萬席；</t>
    </r>
    <r>
      <rPr>
        <sz val="11"/>
        <color theme="1"/>
        <rFont val="Calibri"/>
        <family val="2"/>
        <charset val="1"/>
      </rPr>
      <t xml:space="preserve">FY26Q2 15 </t>
    </r>
    <r>
      <rPr>
        <sz val="11"/>
        <color theme="1"/>
        <rFont val="Noto Sans CJK SC"/>
        <family val="2"/>
      </rPr>
      <t xml:space="preserve">百萬）</t>
    </r>
  </si>
  <si>
    <t xml:space="preserve">cop_px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</si>
  <si>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每座席月費（實收）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</si>
  <si>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／月</t>
    </r>
  </si>
  <si>
    <r>
      <rPr>
        <sz val="11"/>
        <color theme="1"/>
        <rFont val="Noto Sans CJK SC"/>
        <family val="2"/>
      </rPr>
      <t xml:space="preserve">無：牌價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美元／月，大客戶折扣未揭露</t>
    </r>
  </si>
  <si>
    <r>
      <rPr>
        <sz val="11"/>
        <color theme="1"/>
        <rFont val="Calibri"/>
        <family val="2"/>
        <charset val="1"/>
      </rPr>
      <t xml:space="preserve">Sens 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</si>
  <si>
    <t xml:space="preserve">cop_add_A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</si>
  <si>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</si>
  <si>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淨增約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百萬（</t>
    </r>
    <r>
      <rPr>
        <sz val="11"/>
        <color theme="1"/>
        <rFont val="Calibri"/>
        <family val="2"/>
        <charset val="1"/>
      </rPr>
      <t xml:space="preserve">5 → 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起點）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</si>
  <si>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cop_tail</t>
    </r>
  </si>
  <si>
    <t xml:space="preserve">cop_add_B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</si>
  <si>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</si>
  <si>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cop_add_C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</si>
  <si>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</si>
  <si>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cop_tail</t>
  </si>
  <si>
    <r>
      <rPr>
        <sz val="11"/>
        <color theme="1"/>
        <rFont val="Calibri"/>
        <family val="2"/>
        <charset val="1"/>
      </rPr>
      <t xml:space="preserve">Copilot FY2030 </t>
    </r>
    <r>
      <rPr>
        <sz val="11"/>
        <color theme="1"/>
        <rFont val="Noto Sans CJK SC"/>
        <family val="2"/>
      </rPr>
      <t xml:space="preserve">起淨增相對前期的比例</t>
    </r>
  </si>
  <si>
    <t xml:space="preserve">無：滲透率上升後放緩</t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</si>
  <si>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</si>
  <si>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</t>
    </r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</si>
  <si>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為主值、讀法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為敏感度</t>
    </r>
  </si>
  <si>
    <r>
      <rPr>
        <sz val="11"/>
        <color theme="1"/>
        <rFont val="Noto Sans CJK SC"/>
        <family val="2"/>
      </rPr>
      <t xml:space="preserve">影子效益＝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評價日後新增的自用在役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核心利益率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：扣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已計的部分，避免重複</t>
    </r>
  </si>
  <si>
    <t xml:space="preserve">shadow_base</t>
  </si>
  <si>
    <r>
      <rPr>
        <sz val="11"/>
        <color theme="1"/>
        <rFont val="Noto Sans CJK SC"/>
        <family val="2"/>
      </rPr>
      <t xml:space="preserve">影子效益的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平均，主值；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</si>
  <si>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核心利益率反映的是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），不是年底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；下半年新增的約 </t>
    </r>
    <r>
      <rPr>
        <sz val="11"/>
        <color theme="1"/>
        <rFont val="Calibri"/>
        <family val="2"/>
        <charset val="1"/>
      </rPr>
      <t xml:space="preserve">490 MW </t>
    </r>
    <r>
      <rPr>
        <sz val="11"/>
        <color theme="1"/>
        <rFont val="Noto Sans CJK SC"/>
        <family val="2"/>
      </rPr>
      <t xml:space="preserve">尚未反映在利益率內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</si>
  <si>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判斷預設表：年底基準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</si>
  <si>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產品線成長路徑：近一年年增（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8-K </t>
    </r>
    <r>
      <rPr>
        <b val="true"/>
        <sz val="11"/>
        <rFont val="Noto Sans CJK SC"/>
        <family val="2"/>
      </rPr>
      <t xml:space="preserve">重編口徑）線性收斂到長期值（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到達）</t>
    </r>
  </si>
  <si>
    <t xml:space="preserve">n_conv</t>
  </si>
  <si>
    <t xml:space="preserve">收斂年數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</si>
  <si>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v2 DCF </t>
    </r>
    <r>
      <rPr>
        <sz val="11"/>
        <color theme="1"/>
        <rFont val="Noto Sans CJK SC"/>
        <family val="2"/>
      </rPr>
      <t xml:space="preserve">明確期（到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）一致</t>
    </r>
  </si>
  <si>
    <t xml:space="preserve">glt_azo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</si>
  <si>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</si>
  <si>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azureNonAi gLT 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</si>
  <si>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三情境相同（非命題業務）；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用低／高</t>
    </r>
  </si>
  <si>
    <t xml:space="preserve">glt_m365b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</si>
  <si>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</si>
  <si>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M365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Copilot 10%</t>
    </r>
    <r>
      <rPr>
        <sz val="11"/>
        <color theme="1"/>
        <rFont val="Noto Sans CJK SC"/>
        <family val="2"/>
      </rPr>
      <t xml:space="preserve">；扣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後取 </t>
    </r>
    <r>
      <rPr>
        <sz val="11"/>
        <color theme="1"/>
        <rFont val="Calibri"/>
        <family val="2"/>
        <charset val="1"/>
      </rPr>
      <t xml:space="preserve">7%</t>
    </r>
  </si>
  <si>
    <t xml:space="preserve">glt_lic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</si>
  <si>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Productivity and server licensing</t>
    </r>
  </si>
  <si>
    <t xml:space="preserve">glt_ind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</si>
  <si>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Industry solutions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</si>
  <si>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indFrontier 7%</t>
    </r>
    <r>
      <rPr>
        <sz val="11"/>
        <color theme="1"/>
        <rFont val="Noto Sans CJK SC"/>
        <family val="2"/>
      </rPr>
      <t xml:space="preserve">）</t>
    </r>
  </si>
  <si>
    <t xml:space="preserve">glt_fro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</si>
  <si>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Frontier and support services</t>
    </r>
  </si>
  <si>
    <t xml:space="preserve">glt_srch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</si>
  <si>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Search and advertising</t>
    </r>
  </si>
  <si>
    <t xml:space="preserve">glt_xbox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</si>
  <si>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XBOX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</si>
  <si>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devGaming 2%</t>
    </r>
    <r>
      <rPr>
        <sz val="11"/>
        <color theme="1"/>
        <rFont val="Noto Sans CJK SC"/>
        <family val="2"/>
      </rPr>
      <t xml:space="preserve">）</t>
    </r>
  </si>
  <si>
    <t xml:space="preserve">glt_win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</si>
  <si>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Windows OEM and devices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</si>
  <si>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損益、現金與非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</t>
    </r>
  </si>
  <si>
    <t xml:space="preserve">dm_seg</t>
  </si>
  <si>
    <r>
      <rPr>
        <sz val="11"/>
        <color theme="1"/>
        <rFont val="Noto Sans CJK SC"/>
        <family val="2"/>
      </rPr>
      <t xml:space="preserve">分部核心利益率調整（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</si>
  <si>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</si>
  <si>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加在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核心利益率與 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利益率</t>
    </r>
  </si>
  <si>
    <t xml:space="preserve">oie_f</t>
  </si>
  <si>
    <t xml:space="preserve">業外收支（不含持股評價損益；每年）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</si>
  <si>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guid.fy27q2.oie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（每季，含資料中心融資租賃利息）</t>
    </r>
    <r>
      <rPr>
        <sz val="11"/>
        <color theme="1"/>
        <rFont val="Calibri"/>
        <family val="2"/>
        <charset val="1"/>
      </rPr>
      <t xml:space="preserve">× 4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</si>
  <si>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指引 −</t>
    </r>
    <r>
      <rPr>
        <sz val="11"/>
        <color theme="1"/>
        <rFont val="Calibri"/>
        <family val="2"/>
        <charset val="1"/>
      </rPr>
      <t xml:space="preserve">0.1 × 4</t>
    </r>
    <r>
      <rPr>
        <sz val="11"/>
        <color theme="1"/>
        <rFont val="Noto Sans CJK SC"/>
        <family val="2"/>
      </rPr>
      <t xml:space="preserve">；實際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0.234</t>
    </r>
    <r>
      <rPr>
        <sz val="11"/>
        <color theme="1"/>
        <rFont val="Noto Sans CJK SC"/>
        <family val="2"/>
      </rPr>
      <t xml:space="preserve">）；持股評價損益（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權益法、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 × </t>
    </r>
    <r>
      <rPr>
        <sz val="11"/>
        <color theme="1"/>
        <rFont val="Noto Sans CJK SC"/>
        <family val="2"/>
      </rPr>
      <t xml:space="preserve">本值</t>
    </r>
  </si>
  <si>
    <t xml:space="preserve">tax_f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</si>
  <si>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</si>
  <si>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guid.fy27.etr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</si>
  <si>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FY2026 19.4%</t>
  </si>
  <si>
    <t xml:space="preserve">sbc_r</t>
  </si>
  <si>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</si>
  <si>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</si>
  <si>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wc27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</si>
  <si>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營運資金變動（全年口徑＝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</si>
  <si>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cf.wc.total.fy2026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：首期＝上一年度同期實績）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</si>
  <si>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起見 </t>
    </r>
    <r>
      <rPr>
        <sz val="11"/>
        <color theme="1"/>
        <rFont val="Calibri"/>
        <family val="2"/>
        <charset val="1"/>
      </rPr>
      <t xml:space="preserve">wc_f</t>
    </r>
  </si>
  <si>
    <t xml:space="preserve">wc26q1</t>
  </si>
  <si>
    <r>
      <rPr>
        <sz val="11"/>
        <color theme="1"/>
        <rFont val="Calibri"/>
        <family val="2"/>
        <charset val="1"/>
      </rPr>
      <t xml:space="preserve">FY26Q1 </t>
    </r>
    <r>
      <rPr>
        <sz val="11"/>
        <color theme="1"/>
        <rFont val="Noto Sans CJK SC"/>
        <family val="2"/>
      </rPr>
      <t xml:space="preserve">營運資金變動（九項）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</si>
  <si>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q.cf.wc.fy26q1</t>
    </r>
    <r>
      <rPr>
        <sz val="11"/>
        <color theme="1"/>
        <rFont val="Noto Sans CJK SC"/>
        <family val="2"/>
      </rPr>
      <t xml:space="preserve">（本季新聞稿前期欄；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財務報表同值）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</si>
  <si>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第二至第四季營運資金＝</t>
    </r>
    <r>
      <rPr>
        <sz val="11"/>
        <color theme="1"/>
        <rFont val="Calibri"/>
        <family val="2"/>
        <charset val="1"/>
      </rPr>
      <t xml:space="preserve">wc27 − </t>
    </r>
    <r>
      <rPr>
        <sz val="11"/>
        <color theme="1"/>
        <rFont val="Noto Sans CJK SC"/>
        <family val="2"/>
      </rPr>
      <t xml:space="preserve">本值（</t>
    </r>
    <r>
      <rPr>
        <sz val="11"/>
        <color theme="1"/>
        <rFont val="Calibri"/>
        <family val="2"/>
        <charset val="1"/>
      </rPr>
      <t xml:space="preserve">C14 </t>
    </r>
    <r>
      <rPr>
        <sz val="11"/>
        <color theme="1"/>
        <rFont val="Noto Sans CJK SC"/>
        <family val="2"/>
      </rPr>
      <t xml:space="preserve">前一年度同期）</t>
    </r>
  </si>
  <si>
    <t xml:space="preserve">wc_f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</si>
  <si>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起營運資金變動（每年）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</si>
  <si>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wcPctOfRevGrowth 0</t>
    </r>
    <r>
      <rPr>
        <sz val="11"/>
        <color theme="1"/>
        <rFont val="Noto Sans CJK SC"/>
        <family val="2"/>
      </rPr>
      <t xml:space="preserve">）</t>
    </r>
  </si>
  <si>
    <t xml:space="preserve">life_nonai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</si>
  <si>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資產折舊年限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</si>
  <si>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</si>
  <si>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折舊＝前期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當期非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</si>
  <si>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cx_azo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</si>
  <si>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</si>
  <si>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legacyBiz.lines.cx</t>
    </r>
    <r>
      <rPr>
        <sz val="11"/>
        <color theme="1"/>
        <rFont val="Noto Sans CJK SC"/>
        <family val="2"/>
      </rPr>
      <t xml:space="preserve">）</t>
    </r>
  </si>
  <si>
    <t xml:space="preserve">公司不揭露分部資本支出</t>
  </si>
  <si>
    <t xml:space="preserve">cx_m365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</si>
  <si>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Microsoft 365 cloud</t>
    </r>
  </si>
  <si>
    <t xml:space="preserve">cx_lic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</si>
  <si>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營收：授權</t>
    </r>
  </si>
  <si>
    <t xml:space="preserve">cx_ind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</si>
  <si>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Industry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Frontier</t>
    </r>
  </si>
  <si>
    <t xml:space="preserve">cx_srch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</si>
  <si>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Search and advertising</t>
    </r>
  </si>
  <si>
    <t xml:space="preserve">cx_dev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</si>
  <si>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</si>
  <si>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市場共識與公司指引（只作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對照，不作校準）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</si>
  <si>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</si>
  <si>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</si>
  <si>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頁面；底層 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；中位數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Strong Buy 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Buy 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</si>
  <si>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603.43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）；財報後的調整尚未反映</t>
    </r>
  </si>
  <si>
    <t xml:space="preserve">cons_tp_mb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</si>
  <si>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</si>
  <si>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https://www.marketbeat.com/stocks/NASDAQ/MSFT/forecast/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Buy 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 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Sell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</si>
  <si>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第二個呈現；底層為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彙整的券商報告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</si>
  <si>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</si>
  <si>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</si>
  <si>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</si>
  <si>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MarketScreener 391.271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</si>
  <si>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</si>
  <si>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</si>
  <si>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</si>
  <si>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GAAP 19.72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</si>
  <si>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</si>
  <si>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</si>
  <si>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microsoft/data/consensus_msft_20261008.json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</si>
  <si>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cons_rev29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</si>
  <si>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</si>
  <si>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cons_ebit27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</si>
  <si>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</si>
  <si>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營業利益口徑</t>
    </r>
  </si>
  <si>
    <t xml:space="preserve">cons_cx27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</si>
  <si>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</si>
  <si>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microsoft/data/consensus_msft_20261008.json</t>
  </si>
  <si>
    <t xml:space="preserve">模型為公司口徑（含融資租賃）</t>
  </si>
  <si>
    <t xml:space="preserve">cons_ebit28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</si>
  <si>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</si>
  <si>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cons_cx28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</si>
  <si>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</si>
  <si>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cons_ebit29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</si>
  <si>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</si>
  <si>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cons_cx29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</si>
  <si>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</si>
  <si>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</si>
  <si>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</si>
  <si>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cons_eps29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</si>
  <si>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</si>
  <si>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g_q1_rev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</si>
  <si>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</si>
  <si>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2026-09-02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</si>
  <si>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92.279</t>
    </r>
  </si>
  <si>
    <t xml:space="preserve">g_q1_ai</t>
  </si>
  <si>
    <r>
      <rPr>
        <sz val="11"/>
        <color theme="1"/>
        <rFont val="Calibri"/>
        <family val="2"/>
        <charset val="1"/>
      </rPr>
      <t xml:space="preserve">FY27Q1 Agents and Infra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</si>
  <si>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guid.fy27q1.rev.ai</t>
    </r>
  </si>
  <si>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76.795</t>
    </r>
  </si>
  <si>
    <t xml:space="preserve">g_q1_dc</t>
  </si>
  <si>
    <r>
      <rPr>
        <sz val="11"/>
        <color theme="1"/>
        <rFont val="Calibri"/>
        <family val="2"/>
        <charset val="1"/>
      </rPr>
      <t xml:space="preserve">FY27Q1 Devices and Consumer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</si>
  <si>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guid.fy27q1.rev.dc</t>
    </r>
  </si>
  <si>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15.484</t>
    </r>
  </si>
  <si>
    <t xml:space="preserve">g_q1_az</t>
  </si>
  <si>
    <r>
      <rPr>
        <sz val="11"/>
        <color theme="1"/>
        <rFont val="Calibri"/>
        <family val="2"/>
        <charset val="1"/>
      </rPr>
      <t xml:space="preserve">FY27Q1 Azure </t>
    </r>
    <r>
      <rPr>
        <sz val="11"/>
        <color theme="1"/>
        <rFont val="Noto Sans CJK SC"/>
        <family val="2"/>
      </rPr>
      <t xml:space="preserve">年增指引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</si>
  <si>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guid.fy27q1.azure</t>
    </r>
  </si>
  <si>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48%</t>
    </r>
  </si>
  <si>
    <t xml:space="preserve">g_q1_cx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</si>
  <si>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資本支出指引（下限）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</si>
  <si>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over 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</si>
  <si>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45.2</t>
    </r>
    <r>
      <rPr>
        <sz val="11"/>
        <color theme="1"/>
        <rFont val="Noto Sans CJK SC"/>
        <family val="2"/>
      </rPr>
      <t xml:space="preserve">（第三方產能交付延後）</t>
    </r>
  </si>
  <si>
    <t xml:space="preserve">g_q2_rev</t>
  </si>
  <si>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</si>
  <si>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guid.fy27q2.*</t>
    </r>
    <r>
      <rPr>
        <sz val="11"/>
        <color theme="1"/>
        <rFont val="Noto Sans CJK SC"/>
        <family val="2"/>
      </rPr>
      <t xml:space="preserve">（展望簡報第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頁；法說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指引段同值）</t>
    </r>
  </si>
  <si>
    <t xml:space="preserve">區間取中點</t>
  </si>
  <si>
    <t xml:space="preserve">g_q2_ai</t>
  </si>
  <si>
    <r>
      <rPr>
        <sz val="11"/>
        <color theme="1"/>
        <rFont val="Calibri"/>
        <family val="2"/>
        <charset val="1"/>
      </rPr>
      <t xml:space="preserve">FY27Q2 Agents and Infra </t>
    </r>
    <r>
      <rPr>
        <sz val="11"/>
        <color theme="1"/>
        <rFont val="Noto Sans CJK SC"/>
        <family val="2"/>
      </rPr>
      <t xml:space="preserve">營收指引</t>
    </r>
  </si>
  <si>
    <t xml:space="preserve">g_q2_dc</t>
  </si>
  <si>
    <r>
      <rPr>
        <sz val="11"/>
        <color theme="1"/>
        <rFont val="Calibri"/>
        <family val="2"/>
        <charset val="1"/>
      </rPr>
      <t xml:space="preserve">FY27Q2 Devices and Consumer </t>
    </r>
    <r>
      <rPr>
        <sz val="11"/>
        <color theme="1"/>
        <rFont val="Noto Sans CJK SC"/>
        <family val="2"/>
      </rPr>
      <t xml:space="preserve">營收指引</t>
    </r>
  </si>
  <si>
    <t xml:space="preserve">g_q2_az</t>
  </si>
  <si>
    <r>
      <rPr>
        <sz val="11"/>
        <color theme="1"/>
        <rFont val="Calibri"/>
        <family val="2"/>
        <charset val="1"/>
      </rPr>
      <t xml:space="preserve">FY27Q2 Azure </t>
    </r>
    <r>
      <rPr>
        <sz val="11"/>
        <color theme="1"/>
        <rFont val="Noto Sans CJK SC"/>
        <family val="2"/>
      </rPr>
      <t xml:space="preserve">年增指引（</t>
    </r>
    <r>
      <rPr>
        <sz val="11"/>
        <color theme="1"/>
        <rFont val="Calibri"/>
        <family val="2"/>
        <charset val="1"/>
      </rPr>
      <t xml:space="preserve">cc</t>
    </r>
    <r>
      <rPr>
        <sz val="11"/>
        <color theme="1"/>
        <rFont val="Noto Sans CJK SC"/>
        <family val="2"/>
      </rPr>
      <t xml:space="preserve">）</t>
    </r>
  </si>
  <si>
    <t xml:space="preserve">匯率無重大影響</t>
  </si>
  <si>
    <t xml:space="preserve">g_q2_win</t>
  </si>
  <si>
    <r>
      <rPr>
        <sz val="11"/>
        <color theme="1"/>
        <rFont val="Calibri"/>
        <family val="2"/>
        <charset val="1"/>
      </rPr>
      <t xml:space="preserve">FY27Q2 Windows OEM and devices </t>
    </r>
    <r>
      <rPr>
        <sz val="11"/>
        <color theme="1"/>
        <rFont val="Noto Sans CJK SC"/>
        <family val="2"/>
      </rPr>
      <t xml:space="preserve">年增指引（</t>
    </r>
    <r>
      <rPr>
        <sz val="11"/>
        <color theme="1"/>
        <rFont val="Calibri"/>
        <family val="2"/>
        <charset val="1"/>
      </rPr>
      <t xml:space="preserve">mid-thirties </t>
    </r>
    <r>
      <rPr>
        <sz val="11"/>
        <color theme="1"/>
        <rFont val="Noto Sans CJK SC"/>
        <family val="2"/>
      </rPr>
      <t xml:space="preserve">衰退）</t>
    </r>
  </si>
  <si>
    <t xml:space="preserve">法說：此趨勢延續本財年其餘各季</t>
  </si>
  <si>
    <t xml:space="preserve">g_q2_cx</t>
  </si>
  <si>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資本支出指引（下限）</t>
    </r>
  </si>
  <si>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51.9</t>
    </r>
  </si>
  <si>
    <t xml:space="preserve">g_cy26_cx</t>
  </si>
  <si>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</si>
  <si>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guid.cy26.capex</t>
    </r>
    <r>
      <rPr>
        <sz val="11"/>
        <color theme="1"/>
        <rFont val="Noto Sans CJK SC"/>
        <family val="2"/>
      </rPr>
      <t xml:space="preserve">（法說；前次約 </t>
    </r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</si>
  <si>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第三方產能延到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下半年</t>
    </r>
  </si>
  <si>
    <t xml:space="preserve">g_fy27_opm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</si>
  <si>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營業利益率變動指引（上限）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</si>
  <si>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guid.fy27.opm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down less than a point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法說未更新全年）</t>
    </r>
  </si>
  <si>
    <r>
      <rPr>
        <sz val="11"/>
        <color theme="1"/>
        <rFont val="Calibri"/>
        <family val="2"/>
        <charset val="1"/>
      </rPr>
      <t xml:space="preserve">FY27Q2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down slightly year-over-year</t>
    </r>
  </si>
  <si>
    <t xml:space="preserve">ai_runrate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</si>
  <si>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業務年化營收（</t>
    </r>
    <r>
      <rPr>
        <sz val="11"/>
        <color theme="1"/>
        <rFont val="Calibri"/>
        <family val="2"/>
        <charset val="1"/>
      </rPr>
      <t xml:space="preserve">FY26Q3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</si>
  <si>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call.aiRunRate.fy26q3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等自有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產品）</t>
    </r>
  </si>
  <si>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：只作驗證列；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未更新</t>
    </r>
  </si>
  <si>
    <t xml:space="preserve">oai_rev_q1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</si>
  <si>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的營收（含分潤；關係人揭露）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</si>
  <si>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oai.rev.fy27q1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</si>
  <si>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：只作驗證列，不回推 </t>
    </r>
    <r>
      <rPr>
        <sz val="11"/>
        <color theme="1"/>
        <rFont val="Calibri"/>
        <family val="2"/>
        <charset val="1"/>
      </rPr>
      <t xml:space="preserve">k</t>
    </r>
  </si>
  <si>
    <t xml:space="preserve">tgt_alt</t>
  </si>
  <si>
    <r>
      <rPr>
        <sz val="11"/>
        <color theme="1"/>
        <rFont val="Noto Sans CJK SC"/>
        <family val="2"/>
      </rPr>
      <t xml:space="preserve">替代：目標價時點 </t>
    </r>
    <r>
      <rPr>
        <sz val="11"/>
        <color theme="1"/>
        <rFont val="Calibri"/>
        <family val="2"/>
        <charset val="1"/>
      </rPr>
      <t xml:space="preserve">2028-01-27</t>
    </r>
    <r>
      <rPr>
        <sz val="11"/>
        <color theme="1"/>
        <rFont val="Noto Sans CJK SC"/>
        <family val="2"/>
      </rPr>
      <t xml:space="preserve">（工作單字面「目標價日 </t>
    </r>
    <r>
      <rPr>
        <sz val="11"/>
        <color theme="1"/>
        <rFont val="Calibri"/>
        <family val="2"/>
        <charset val="1"/>
      </rPr>
      <t xml:space="preserve">+1 </t>
    </r>
    <r>
      <rPr>
        <sz val="11"/>
        <color theme="1"/>
        <rFont val="Noto Sans CJK SC"/>
        <family val="2"/>
      </rPr>
      <t xml:space="preserve">季」）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</si>
  <si>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項 </t>
    </r>
    <r>
      <rPr>
        <sz val="11"/>
        <color theme="1"/>
        <rFont val="Calibri"/>
        <family val="2"/>
        <charset val="1"/>
      </rPr>
      <t xml:space="preserve">(a)</t>
    </r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</si>
  <si>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</t>
    </r>
  </si>
  <si>
    <r>
      <rPr>
        <b val="true"/>
        <sz val="11"/>
        <rFont val="Cambria"/>
        <family val="0"/>
        <charset val="1"/>
      </rPr>
      <t xml:space="preserve">I. v0.2.2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microsoft/dist/_</t>
    </r>
    <r>
      <rPr>
        <b val="true"/>
        <sz val="11"/>
        <rFont val="Noto Sans CJK SC"/>
        <family val="2"/>
      </rPr>
      <t xml:space="preserve">待刪除</t>
    </r>
    <r>
      <rPr>
        <b val="true"/>
        <sz val="11"/>
        <rFont val="Cambria"/>
        <family val="0"/>
        <charset val="1"/>
      </rPr>
      <t xml:space="preserve">/20261025_Microsoft</t>
    </r>
    <r>
      <rPr>
        <b val="true"/>
        <sz val="11"/>
        <rFont val="Noto Sans CJK SC"/>
        <family val="2"/>
      </rPr>
      <t xml:space="preserve">收支模型</t>
    </r>
    <r>
      <rPr>
        <b val="true"/>
        <sz val="11"/>
        <rFont val="Cambria"/>
        <family val="0"/>
        <charset val="1"/>
      </rPr>
      <t xml:space="preserve">_v0_2_2.xlsx </t>
    </r>
    <r>
      <rPr>
        <b val="true"/>
        <sz val="11"/>
        <rFont val="Noto Sans CJK SC"/>
        <family val="2"/>
      </rPr>
      <t xml:space="preserve">評價</t>
    </r>
    <r>
      <rPr>
        <b val="true"/>
        <sz val="11"/>
        <rFont val="Cambria"/>
        <family val="0"/>
        <charset val="1"/>
      </rPr>
      <t xml:space="preserve">_DCF</t>
    </r>
    <r>
      <rPr>
        <b val="true"/>
        <sz val="11"/>
        <rFont val="Noto Sans CJK SC"/>
        <family val="2"/>
      </rPr>
      <t xml:space="preserve">與目標價）</t>
    </r>
  </si>
  <si>
    <t xml:space="preserve">old_tp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</si>
  <si>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</si>
  <si>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成品：低欄＝積極、高欄＝保守情境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</si>
  <si>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429.43</t>
    </r>
  </si>
  <si>
    <t xml:space="preserve">old_dcf</t>
  </si>
  <si>
    <r>
      <rPr>
        <sz val="11"/>
        <color theme="1"/>
        <rFont val="Calibri"/>
        <family val="2"/>
        <charset val="1"/>
      </rPr>
      <t xml:space="preserve">v0.2.2 DCF </t>
    </r>
    <r>
      <rPr>
        <sz val="11"/>
        <color theme="1"/>
        <rFont val="Noto Sans CJK SC"/>
        <family val="2"/>
      </rPr>
      <t xml:space="preserve">每股（推到目標價時點）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</si>
  <si>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</t>
    </r>
  </si>
  <si>
    <t xml:space="preserve">old_ev</t>
  </si>
  <si>
    <r>
      <rPr>
        <sz val="11"/>
        <color theme="1"/>
        <rFont val="Calibri"/>
        <family val="2"/>
        <charset val="1"/>
      </rPr>
      <t xml:space="preserve">v0.2.2 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每股（融資後）</t>
    </r>
  </si>
  <si>
    <t xml:space="preserve">old_w</t>
  </si>
  <si>
    <r>
      <rPr>
        <sz val="11"/>
        <color theme="1"/>
        <rFont val="Calibri"/>
        <family val="2"/>
        <charset val="1"/>
      </rPr>
      <t xml:space="preserve">v0.2.2 DCF </t>
    </r>
    <r>
      <rPr>
        <sz val="11"/>
        <color theme="1"/>
        <rFont val="Noto Sans CJK SC"/>
        <family val="2"/>
      </rPr>
      <t xml:space="preserve">權重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</si>
  <si>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＋分部 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</si>
  <si>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</si>
  <si>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t xml:space="preserve">scn_ls</t>
  </si>
  <si>
    <t xml:space="preserve">長約占比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</si>
  <si>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ls_A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ls_C</t>
    </r>
    <r>
      <rPr>
        <sz val="11"/>
        <color theme="1"/>
        <rFont val="Noto Sans CJK SC"/>
        <family val="2"/>
      </rPr>
      <t xml:space="preserve">；長約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長約＋其餘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 → 混合 </t>
    </r>
    <r>
      <rPr>
        <sz val="11"/>
        <color theme="1"/>
        <rFont val="Calibri"/>
        <family val="2"/>
        <charset val="1"/>
      </rPr>
      <t xml:space="preserve">k</t>
    </r>
  </si>
  <si>
    <t xml:space="preserve">scn_k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</si>
  <si>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實收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</si>
  <si>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；三情境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路徑相同，差在變現</t>
    </r>
  </si>
  <si>
    <t xml:space="preserve">scn_cop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</si>
  <si>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</si>
  <si>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cop_add_A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cop_add_B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cop_add_C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cop_tail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</si>
  <si>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</si>
  <si>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</si>
  <si>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</si>
  <si>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實績（十億美元）。分部與產品線為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起的報導口徑（</t>
    </r>
    <r>
      <rPr>
        <sz val="11"/>
        <color theme="1"/>
        <rFont val="Calibri"/>
        <family val="2"/>
        <charset val="1"/>
      </rPr>
      <t xml:space="preserve">FY25Q2–FY26Q4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2026-09-02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Segment History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Products and Service Offerings — As Restated</t>
    </r>
    <r>
      <rPr>
        <sz val="11"/>
        <color theme="1"/>
        <rFont val="Noto Sans CJK SC"/>
        <family val="2"/>
      </rPr>
      <t xml:space="preserve">」，未經查核；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財報新聞稿與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財務報表，兩次讀取核對一致）；合併損益、現金流量取自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／財報新聞稿（事實總帳）</t>
    </r>
  </si>
  <si>
    <r>
      <rPr>
        <sz val="11"/>
        <color theme="1"/>
        <rFont val="Noto Sans CJK SC"/>
        <family val="2"/>
      </rPr>
      <t xml:space="preserve">最近八季 </t>
    </r>
    <r>
      <rPr>
        <sz val="11"/>
        <color theme="1"/>
        <rFont val="Calibri"/>
        <family val="2"/>
        <charset val="1"/>
      </rPr>
      <t xml:space="preserve">FY25Q2–FY27Q1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加入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、移出 </t>
    </r>
    <r>
      <rPr>
        <sz val="11"/>
        <color theme="1"/>
        <rFont val="Calibri"/>
        <family val="2"/>
        <charset val="1"/>
      </rPr>
      <t xml:space="preserve">FY25Q1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四季合計（公式）、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年初至今（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欄＝公司揭露的年度值（輸入）；核對列實績必須為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。舊三分部（</t>
    </r>
    <r>
      <rPr>
        <sz val="11"/>
        <color theme="1"/>
        <rFont val="Calibri"/>
        <family val="2"/>
        <charset val="1"/>
      </rPr>
      <t xml:space="preserve">PBP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MPC</t>
    </r>
    <r>
      <rPr>
        <sz val="11"/>
        <color theme="1"/>
        <rFont val="Noto Sans CJK SC"/>
        <family val="2"/>
      </rPr>
      <t xml:space="preserve">）列在下方對照（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以前口徑）</t>
    </r>
  </si>
  <si>
    <r>
      <rPr>
        <b val="true"/>
        <sz val="11"/>
        <rFont val="Cambria"/>
        <family val="0"/>
        <charset val="1"/>
      </rPr>
      <t xml:space="preserve">FY25Q2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2024-12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</si>
  <si>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2025-03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</si>
  <si>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</si>
  <si>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2025-09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</si>
  <si>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</si>
  <si>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</si>
  <si>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</si>
  <si>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</si>
  <si>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（四季合計）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</si>
  <si>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年初至今（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</si>
  <si>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（公司年度值）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</si>
  <si>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（公司年度值）</t>
    </r>
  </si>
  <si>
    <r>
      <rPr>
        <b val="true"/>
        <sz val="11"/>
        <rFont val="Noto Sans CJK SC"/>
        <family val="2"/>
      </rPr>
      <t xml:space="preserve">來源（事實總帳 </t>
    </r>
    <r>
      <rPr>
        <b val="true"/>
        <sz val="11"/>
        <rFont val="Cambria"/>
        <family val="0"/>
        <charset val="1"/>
      </rPr>
      <t xml:space="preserve">id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</si>
  <si>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官方分部與產品線營收（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起報導口徑）</t>
    </r>
  </si>
  <si>
    <t xml:space="preserve">Agents and Infra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</si>
  <si>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q.seg27.ai.rev.*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seg27.ai.rev.*</t>
    </r>
  </si>
  <si>
    <t xml:space="preserve">  Azure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</si>
  <si>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q.prod27.azure.*</t>
    </r>
  </si>
  <si>
    <t xml:space="preserve">  Microsoft 365 cloud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</si>
  <si>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q.prod27.m365cloud.*</t>
    </r>
  </si>
  <si>
    <t xml:space="preserve">  Productivity and server licensing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</si>
  <si>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q.prod27.licensing.*</t>
    </r>
  </si>
  <si>
    <t xml:space="preserve">  Industry solutions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</si>
  <si>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q.prod27.industry.*</t>
    </r>
  </si>
  <si>
    <t xml:space="preserve">  Frontier and support services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</si>
  <si>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q.prod27.frontier.*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</si>
  <si>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產品線合計 − 分部</t>
    </r>
  </si>
  <si>
    <t xml:space="preserve">核對</t>
  </si>
  <si>
    <t xml:space="preserve">Devices and Consumer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</si>
  <si>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q.seg27.dc.rev.*</t>
    </r>
  </si>
  <si>
    <t xml:space="preserve">  Search and advertising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</si>
  <si>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q.prod27.searchads.*</t>
    </r>
  </si>
  <si>
    <t xml:space="preserve">  XBOX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</si>
  <si>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q.prod27.xbox.*</t>
    </r>
  </si>
  <si>
    <t xml:space="preserve">  Windows OEM and devices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</si>
  <si>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q.prod27.windows.*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</si>
  <si>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產品線合計 − 分部</t>
    </r>
  </si>
  <si>
    <t xml:space="preserve">分部合計（營收）</t>
  </si>
  <si>
    <t xml:space="preserve">合併營收（公司損益表）</t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</si>
  <si>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q.rev.*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is.rev.*</t>
    </r>
  </si>
  <si>
    <t xml:space="preserve">檢查：分部合計 − 合併營收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</si>
  <si>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分部營業利益（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無未分攤項：分部合計＝合併營業利益）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</si>
  <si>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</si>
  <si>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q.seg27.ai.oi.*</t>
    </r>
  </si>
  <si>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</si>
  <si>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q.seg27.dc.oi.*</t>
    </r>
  </si>
  <si>
    <t xml:space="preserve">合併營業利益（公司損益表）</t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</si>
  <si>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q.oi.*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is.oi.*</t>
    </r>
  </si>
  <si>
    <r>
      <rPr>
        <sz val="11"/>
        <color theme="1"/>
        <rFont val="Noto Sans CJK SC"/>
        <family val="2"/>
      </rPr>
      <t xml:space="preserve">檢查：分部營業利益合計 − 合併營業利益（未分攤＝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</si>
  <si>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合併損益主要列（年度值；淨利另列各季；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單季另填 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</si>
  <si>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等持股損益）</t>
    </r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</si>
  <si>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q.ni.*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is.ni.*</t>
    </r>
  </si>
  <si>
    <r>
      <rPr>
        <sz val="11"/>
        <color theme="1"/>
        <rFont val="Noto Sans CJK SC"/>
        <family val="2"/>
      </rPr>
      <t xml:space="preserve">業外收支（</t>
    </r>
    <r>
      <rPr>
        <sz val="11"/>
        <color theme="1"/>
        <rFont val="Calibri"/>
        <family val="2"/>
        <charset val="1"/>
      </rPr>
      <t xml:space="preserve">other income (expense), net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</si>
  <si>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is.oie.*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q.oie.fy27q1</t>
    </r>
  </si>
  <si>
    <t xml:space="preserve">稅前淨利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</si>
  <si>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is.pretax.*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q.pretax.fy27q1</t>
    </r>
  </si>
  <si>
    <t xml:space="preserve">所得稅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</si>
  <si>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is.tax.*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q.tax.fy27q1</t>
    </r>
  </si>
  <si>
    <r>
      <rPr>
        <sz val="11"/>
        <color theme="1"/>
        <rFont val="Noto Sans CJK SC"/>
        <family val="2"/>
      </rPr>
      <t xml:space="preserve">  其中：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等持股損益（公司非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調節；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為稅前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淨利得）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</si>
  <si>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is.openaiGain.*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q.openaiGain.fy27q1</t>
    </r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</si>
  <si>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</si>
  <si>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is.sharesDilW.*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q.sharesDilW.fy27q1</t>
    </r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</si>
  <si>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</si>
  <si>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is.epsDil.*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q.epsDil.fy27q1</t>
    </r>
  </si>
  <si>
    <r>
      <rPr>
        <sz val="11"/>
        <color theme="1"/>
        <rFont val="Noto Sans CJK SC"/>
        <family val="2"/>
      </rPr>
      <t xml:space="preserve">檢查：營業利益＋業外 − 稅前；稅前 − 稅 − 淨利（年度與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</si>
  <si>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現金流量（各季為新聞稿單季值；資本支出為現金 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</t>
    </r>
  </si>
  <si>
    <t xml:space="preserve">營業現金流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</si>
  <si>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q.cf.ocf.*</t>
    </r>
  </si>
  <si>
    <r>
      <rPr>
        <sz val="11"/>
        <color theme="1"/>
        <rFont val="Noto Sans CJK SC"/>
        <family val="2"/>
      </rPr>
      <t xml:space="preserve">資本支出（現金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，正值）</t>
    </r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</si>
  <si>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q.cf.capex.*</t>
    </r>
  </si>
  <si>
    <t xml:space="preserve">自由現金流（營業現金流 − 現金資本支出）</t>
  </si>
  <si>
    <t xml:space="preserve">折舊、攤銷及其他（現金流量表）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</si>
  <si>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q.cf.da.*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由年初至今推得）</t>
    </r>
  </si>
  <si>
    <t xml:space="preserve">股票薪酬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</si>
  <si>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q.cf.sbc.*</t>
    </r>
  </si>
  <si>
    <t xml:space="preserve">回購（正值）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</si>
  <si>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q.cf.buyback.*</t>
    </r>
  </si>
  <si>
    <t xml:space="preserve">股利（正值）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</si>
  <si>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q.cf.div.*</t>
    </r>
  </si>
  <si>
    <t xml:space="preserve">營運資產與負債變動（九項合計）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</si>
  <si>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q.cf.wc.fy26q1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q.cf.wc.fy27q1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cf.wc.total.fy2026</t>
    </r>
  </si>
  <si>
    <t xml:space="preserve">資本支出（公司口徑：含融資租賃，法說值）</t>
  </si>
  <si>
    <r>
      <rPr>
        <sz val="11"/>
        <color theme="1"/>
        <rFont val="Noto Sans CJK SC"/>
        <family val="2"/>
      </rPr>
      <t xml:space="preserve">法說／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Noto Sans CJK SC"/>
        <family val="2"/>
      </rPr>
      <t xml:space="preserve">工作表｜</t>
    </r>
    <r>
      <rPr>
        <sz val="11"/>
        <color theme="1"/>
        <rFont val="Calibri"/>
        <family val="2"/>
        <charset val="1"/>
      </rPr>
      <t xml:space="preserve">capexFL.*</t>
    </r>
    <r>
      <rPr>
        <sz val="11"/>
        <color theme="1"/>
        <rFont val="Noto Sans CJK SC"/>
        <family val="2"/>
      </rPr>
      <t xml:space="preserve">（公司口徑≠現金＋融資租賃）</t>
    </r>
  </si>
  <si>
    <t xml:space="preserve">融資租賃本金（正值）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</si>
  <si>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lease.finPrincipal.*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12 q.cf.flPrincipal.fy27q1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</si>
  <si>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四季合計 − 公司年度值（以上各列絕對值合計）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</si>
  <si>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對照：舊三分部（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以前口徑；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／各季新聞稿；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起不再揭露）與 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</si>
  <si>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Productivity and Business Processes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</si>
  <si>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q.seg.pbp.rev.*</t>
    </r>
  </si>
  <si>
    <r>
      <rPr>
        <sz val="11"/>
        <color theme="1"/>
        <rFont val="Calibri"/>
        <family val="2"/>
        <charset val="1"/>
      </rPr>
      <t xml:space="preserve">Intelligent Cloud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</si>
  <si>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q.seg.ic.rev.*</t>
    </r>
  </si>
  <si>
    <r>
      <rPr>
        <sz val="11"/>
        <color theme="1"/>
        <rFont val="Calibri"/>
        <family val="2"/>
        <charset val="1"/>
      </rPr>
      <t xml:space="preserve">More Personal Computing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</si>
  <si>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q.seg.mpc.rev.*</t>
    </r>
  </si>
  <si>
    <r>
      <rPr>
        <sz val="11"/>
        <color theme="1"/>
        <rFont val="Noto Sans CJK SC"/>
        <family val="2"/>
      </rPr>
      <t xml:space="preserve">檢查：舊三分部合計 − 合併營收（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以前）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</si>
  <si>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年增（重編口徑，公司揭露）</t>
    </r>
  </si>
  <si>
    <r>
      <rPr>
        <sz val="11"/>
        <color theme="1"/>
        <rFont val="Calibri"/>
        <family val="2"/>
        <charset val="1"/>
      </rPr>
      <t xml:space="preserve">8-K 2026-09-02 Investor Metrics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q.azure27.growth.*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</si>
  <si>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 → Azure 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MW ×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MW ×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成本）→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折舊與營運成本 →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WACC</t>
    </r>
  </si>
  <si>
    <r>
      <rPr>
        <sz val="11"/>
        <color theme="1"/>
        <rFont val="Noto Sans CJK SC"/>
        <family val="2"/>
      </rPr>
      <t xml:space="preserve">三情境的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路徑相同（資本支出依公司指引），差在變現：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（長約／現貨組合）與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座席。命題模組只驅動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」子列與 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」子列，不取代官方分部</t>
    </r>
  </si>
  <si>
    <r>
      <rPr>
        <sz val="11"/>
        <color theme="1"/>
        <rFont val="Noto Sans CJK SC"/>
        <family val="2"/>
      </rPr>
      <t xml:space="preserve">核心問題的答案列：「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− WACC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</si>
  <si>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</si>
  <si>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t xml:space="preserve">FY2024A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</si>
  <si>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</si>
  <si>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</si>
  <si>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</si>
  <si>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</si>
  <si>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</si>
  <si>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</si>
  <si>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</si>
  <si>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</si>
  <si>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r>
      <rPr>
        <sz val="11"/>
        <color theme="1"/>
        <rFont val="Noto Sans CJK SC"/>
        <family val="2"/>
      </rPr>
      <t xml:space="preserve">會計年度（數值；公式以「年度 − </t>
    </r>
    <r>
      <rPr>
        <sz val="11"/>
        <color theme="1"/>
        <rFont val="Calibri"/>
        <family val="2"/>
        <charset val="1"/>
      </rPr>
      <t xml:space="preserve">base_fy</t>
    </r>
    <r>
      <rPr>
        <sz val="11"/>
        <color theme="1"/>
        <rFont val="Noto Sans CJK SC"/>
        <family val="2"/>
      </rPr>
      <t xml:space="preserve">」計年數）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</si>
  <si>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</si>
  <si>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以前＝依資本支出指引的速度；之後逐年線性收斂到 </t>
    </r>
    <r>
      <rPr>
        <sz val="11"/>
        <color theme="1"/>
        <rFont val="Calibri"/>
        <family val="2"/>
        <charset val="1"/>
      </rPr>
      <t xml:space="preserve">g_tv × </t>
    </r>
    <r>
      <rPr>
        <sz val="11"/>
        <color theme="1"/>
        <rFont val="Noto Sans CJK SC"/>
        <family val="2"/>
      </rPr>
      <t xml:space="preserve">前一年在役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的在役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年增＝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（修正二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</si>
  <si>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（年底，含租用）</t>
    </r>
  </si>
  <si>
    <t xml:space="preserve">三情境速度相同（變現驅動不同）</t>
  </si>
  <si>
    <r>
      <rPr>
        <sz val="11"/>
        <color theme="1"/>
        <rFont val="Noto Sans CJK SC"/>
        <family val="2"/>
      </rPr>
      <t xml:space="preserve">  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</si>
  <si>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收入照算，不計資本支出與折舊（</t>
    </r>
    <r>
      <rPr>
        <sz val="11"/>
        <color theme="1"/>
        <rFont val="Calibri"/>
        <family val="2"/>
        <charset val="1"/>
      </rPr>
      <t xml:space="preserve">C20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</si>
  <si>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自有對外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</si>
  <si>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（對外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</si>
  <si>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Noto Sans CJK SC"/>
        <family val="2"/>
      </rPr>
      <t xml:space="preserve">含自用（</t>
    </r>
    <r>
      <rPr>
        <sz val="11"/>
        <color theme="1"/>
        <rFont val="Calibri"/>
        <family val="2"/>
        <charset val="1"/>
      </rPr>
      <t xml:space="preserve">M365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GitHub Copilot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研發）</t>
    </r>
  </si>
  <si>
    <r>
      <rPr>
        <sz val="11"/>
        <color theme="1"/>
        <rFont val="Noto Sans CJK SC"/>
        <family val="2"/>
      </rPr>
      <t xml:space="preserve">  其中自用 </t>
    </r>
    <r>
      <rPr>
        <sz val="11"/>
        <color theme="1"/>
        <rFont val="Calibri"/>
        <family val="2"/>
        <charset val="1"/>
      </rPr>
      <t xml:space="preserve">AI MW</t>
    </r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</si>
  <si>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欄含以前全部）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</si>
  <si>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</t>
    </r>
  </si>
  <si>
    <r>
      <rPr>
        <sz val="11"/>
        <color theme="1"/>
        <rFont val="Noto Sans CJK SC"/>
        <family val="2"/>
      </rPr>
      <t xml:space="preserve">  其中汰換為新世代的對外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（汰換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對外比例）</t>
    </r>
  </si>
  <si>
    <t xml:space="preserve">修正一：汰換時在役世代占比同步更新（舊世代依期初占比移出、新世代依當年新增占比移入）</t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</si>
  <si>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</si>
  <si>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</si>
  <si>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時含 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</si>
  <si>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Tokenomics IF_NonNV_*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</si>
  <si>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產出比與持有成本比（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 </t>
    </r>
    <r>
      <rPr>
        <sz val="11"/>
        <color theme="1"/>
        <rFont val="Noto Sans CJK SC"/>
        <family val="2"/>
      </rPr>
      <t xml:space="preserve">計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</si>
  <si>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</si>
  <si>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Noto Sans CJK SC"/>
        <family val="2"/>
      </rPr>
      <t xml:space="preserve">在役世代加權持有成本（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＝持有成本比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</si>
  <si>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影子效益（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）用此成本口徑</t>
    </r>
  </si>
  <si>
    <r>
      <rPr>
        <sz val="11"/>
        <color theme="1"/>
        <rFont val="Noto Sans CJK SC"/>
        <family val="2"/>
      </rPr>
      <t xml:space="preserve">在役世代加權收入錨（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＝產出比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</si>
  <si>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時與持有成本列相同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</si>
  <si>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長約＋其餘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現貨）</t>
    </r>
  </si>
  <si>
    <r>
      <rPr>
        <sz val="11"/>
        <color theme="1"/>
        <rFont val="Noto Sans CJK SC"/>
        <family val="2"/>
      </rPr>
      <t xml:space="preserve">實績期三情境同用基準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（拆分是估計，不是情境）；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k_ramp </t>
    </r>
    <r>
      <rPr>
        <sz val="11"/>
        <color theme="1"/>
        <rFont val="Noto Sans CJK SC"/>
        <family val="2"/>
      </rPr>
      <t xml:space="preserve">年線性移到情境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</si>
  <si>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</si>
  <si>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計價，不乘利用率（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</si>
  <si>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營收（期間平均在役對外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</si>
  <si>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為模型估計（用於拆出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</si>
  <si>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Noto Sans CJK SC"/>
        <family val="2"/>
      </rPr>
      <t xml:space="preserve">在役世代加權 </t>
    </r>
    <r>
      <rPr>
        <sz val="11"/>
        <color theme="1"/>
        <rFont val="Calibri"/>
        <family val="2"/>
        <charset val="1"/>
      </rPr>
      <t xml:space="preserve">IF_OpexGW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</si>
  <si>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營運成本以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計（電力相同；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</si>
  <si>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（平均 </t>
    </r>
    <r>
      <rPr>
        <sz val="11"/>
        <color theme="1"/>
        <rFont val="Calibri"/>
        <family val="2"/>
        <charset val="1"/>
      </rPr>
      <t xml:space="preserve">× 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</si>
  <si>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租金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</si>
  <si>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營運成本：租用機房租金（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自建比例）</t>
    </r>
  </si>
  <si>
    <t xml:space="preserve">C22</t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</si>
  <si>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中對外的比重（期間平均）</t>
    </r>
  </si>
  <si>
    <r>
      <rPr>
        <sz val="11"/>
        <color theme="1"/>
        <rFont val="Calibri"/>
        <family val="2"/>
        <charset val="1"/>
      </rPr>
      <t xml:space="preserve">Azure AI EBITDA</t>
    </r>
    <r>
      <rPr>
        <sz val="11"/>
        <color theme="1"/>
        <rFont val="Noto Sans CJK SC"/>
        <family val="2"/>
      </rPr>
      <t xml:space="preserve">（營收 − 對外營運成本 − 租金）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</si>
  <si>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營運成本（服務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等自有產品）</t>
    </r>
  </si>
  <si>
    <r>
      <rPr>
        <sz val="11"/>
        <color theme="1"/>
        <rFont val="Noto Sans CJK SC"/>
        <family val="2"/>
      </rPr>
      <t xml:space="preserve">新增與汰換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資本支出（世代加權）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</si>
  <si>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以前用期初世代加權（估計）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</si>
  <si>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（自有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滿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年限者）</t>
    </r>
  </si>
  <si>
    <r>
      <rPr>
        <sz val="11"/>
        <color theme="1"/>
        <rFont val="Noto Sans CJK SC"/>
        <family val="2"/>
      </rPr>
      <t xml:space="preserve">只換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、機房不換；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欄含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以前全部（視同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投入）；舊機隊在年限到期後停止折舊，汰換後的新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另計折舊（不重複）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</si>
  <si>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資本支出（公式）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</si>
  <si>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機房資本支出（自建比例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</si>
  <si>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對帳落差：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公司指引推估 − 模型資本支出（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；正負）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</si>
  <si>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：基準情境以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速度重解使此列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其他略有不同，殘差見報告）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</si>
  <si>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補足到公司指引的差額（落差為正時補足）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</si>
  <si>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</si>
  <si>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資本支出合計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</si>
  <si>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以前為依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估計的值（非公司揭露）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</si>
  <si>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折舊（半年慣例、年限 </t>
    </r>
    <r>
      <rPr>
        <sz val="11"/>
        <color theme="1"/>
        <rFont val="Calibri"/>
        <family val="2"/>
        <charset val="1"/>
      </rPr>
      <t xml:space="preserve">life_it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</si>
  <si>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機房折舊（年限 </t>
    </r>
    <r>
      <rPr>
        <sz val="11"/>
        <color theme="1"/>
        <rFont val="Calibri"/>
        <family val="2"/>
        <charset val="1"/>
      </rPr>
      <t xml:space="preserve">life_fac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</si>
  <si>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折舊合計（進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</si>
  <si>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對外分攤折舊）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</si>
  <si>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</si>
  <si>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金額）＝</t>
    </r>
    <r>
      <rPr>
        <sz val="11"/>
        <color theme="1"/>
        <rFont val="Calibri"/>
        <family val="2"/>
        <charset val="1"/>
      </rPr>
      <t xml:space="preserve">MAX(0,</t>
    </r>
    <r>
      <rPr>
        <sz val="11"/>
        <color theme="1"/>
        <rFont val="Noto Sans CJK SC"/>
        <family val="2"/>
      </rPr>
      <t xml:space="preserve">（當年平均自用 </t>
    </r>
    <r>
      <rPr>
        <sz val="11"/>
        <color theme="1"/>
        <rFont val="Calibri"/>
        <family val="2"/>
        <charset val="1"/>
      </rPr>
      <t xml:space="preserve">MW − 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核心利益率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</si>
  <si>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修正二：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已反映在核心利益率內的自用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不再計；修正三：基準改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（核心利益率以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全年校準）；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只扣高於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的增量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</si>
  <si>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影子效益（依讀法開關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</si>
  <si>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增量營業利益（評價口徑）＝</t>
    </r>
    <r>
      <rPr>
        <sz val="11"/>
        <color theme="1"/>
        <rFont val="Calibri"/>
        <family val="2"/>
        <charset val="1"/>
      </rPr>
      <t xml:space="preserve">Azure AI EBITDA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Copilot × </t>
    </r>
    <r>
      <rPr>
        <sz val="11"/>
        <color theme="1"/>
        <rFont val="Noto Sans CJK SC"/>
        <family val="2"/>
      </rPr>
      <t xml:space="preserve">核心利益率＋影子效益 − 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</si>
  <si>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淨額（年底）</t>
    </r>
  </si>
  <si>
    <r>
      <rPr>
        <sz val="11"/>
        <color theme="1"/>
        <rFont val="Noto Sans CJK SC"/>
        <family val="2"/>
      </rPr>
      <t xml:space="preserve">期初＝自有 </t>
    </r>
    <r>
      <rPr>
        <sz val="11"/>
        <color theme="1"/>
        <rFont val="Calibri"/>
        <family val="2"/>
        <charset val="1"/>
      </rPr>
      <t xml:space="preserve">AI 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全成本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淨額比（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</si>
  <si>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  <r>
      <rPr>
        <sz val="11"/>
        <color theme="1"/>
        <rFont val="Noto Sans CJK SC"/>
        <family val="2"/>
      </rPr>
      <t xml:space="preserve">（評價口徑；稅後營業利益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淨額）</t>
    </r>
  </si>
  <si>
    <r>
      <rPr>
        <sz val="11"/>
        <color theme="1"/>
        <rFont val="Noto Sans CJK SC"/>
        <family val="2"/>
      </rPr>
      <t xml:space="preserve">  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</si>
  <si>
    <r>
      <rPr>
        <sz val="11"/>
        <color theme="1"/>
        <rFont val="Noto Sans CJK SC"/>
        <family val="2"/>
      </rPr>
      <t xml:space="preserve">  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</si>
  <si>
    <r>
      <rPr>
        <sz val="11"/>
        <color theme="1"/>
        <rFont val="Noto Sans CJK SC"/>
        <family val="2"/>
      </rPr>
      <t xml:space="preserve">  對外 </t>
    </r>
    <r>
      <rPr>
        <sz val="11"/>
        <color theme="1"/>
        <rFont val="Calibri"/>
        <family val="2"/>
        <charset val="1"/>
      </rPr>
      <t xml:space="preserve">AI ROIC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對外分攤的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C11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</si>
  <si>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− WACC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</si>
  <si>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經濟利潤＝稅後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營業利益 − </t>
    </r>
    <r>
      <rPr>
        <sz val="11"/>
        <color theme="1"/>
        <rFont val="Calibri"/>
        <family val="2"/>
        <charset val="1"/>
      </rPr>
      <t xml:space="preserve">WACC ×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</si>
  <si>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</si>
  <si>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</si>
  <si>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Agents and Infra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Devices and Consumer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重編）→ 八條產品線；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（命題）＋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其他；</t>
    </r>
    <r>
      <rPr>
        <sz val="11"/>
        <color theme="1"/>
        <rFont val="Calibri"/>
        <family val="2"/>
        <charset val="1"/>
      </rPr>
      <t xml:space="preserve">Microsoft 365 cloud </t>
    </r>
    <r>
      <rPr>
        <sz val="11"/>
        <color theme="1"/>
        <rFont val="Noto Sans CJK SC"/>
        <family val="2"/>
      </rPr>
      <t xml:space="preserve">＝ 基礎 ＋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（命題）</t>
    </r>
  </si>
  <si>
    <r>
      <rPr>
        <sz val="11"/>
        <color theme="1"/>
        <rFont val="Noto Sans CJK SC"/>
        <family val="2"/>
      </rPr>
      <t xml:space="preserve">非命題產品線：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年增線性收斂到長期值（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到達；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節）；三情境相同。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欄為實績（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的子列為模型拆分）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</si>
  <si>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</si>
  <si>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Azure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</si>
  <si>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  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雲端；</t>
    </r>
    <r>
      <rPr>
        <sz val="11"/>
        <color theme="1"/>
        <rFont val="Calibri"/>
        <family val="2"/>
        <charset val="1"/>
      </rPr>
      <t xml:space="preserve">FY2025–26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估計；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模型）−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</si>
  <si>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Azure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其他的全年模型）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FY26Q1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比重）；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實績與模型的差額歸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其他（不回推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）</t>
    </r>
  </si>
  <si>
    <t xml:space="preserve">    年增（近一年 → 長期值）</t>
  </si>
  <si>
    <t xml:space="preserve">Azure</t>
  </si>
  <si>
    <r>
      <rPr>
        <sz val="11"/>
        <color theme="1"/>
        <rFont val="Calibri"/>
        <family val="2"/>
        <charset val="1"/>
      </rPr>
      <t xml:space="preserve">  Copilot </t>
    </r>
    <r>
      <rPr>
        <sz val="11"/>
        <color theme="1"/>
        <rFont val="Noto Sans CJK SC"/>
        <family val="2"/>
      </rPr>
      <t xml:space="preserve">付費座席（年底）</t>
    </r>
  </si>
  <si>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每年淨增 </t>
    </r>
    <r>
      <rPr>
        <sz val="11"/>
        <color theme="1"/>
        <rFont val="Calibri"/>
        <family val="2"/>
        <charset val="1"/>
      </rPr>
      <t xml:space="preserve">cop_add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cop_tail</t>
    </r>
  </si>
  <si>
    <r>
      <rPr>
        <sz val="11"/>
        <color theme="1"/>
        <rFont val="Calibri"/>
        <family val="2"/>
        <charset val="1"/>
      </rPr>
      <t xml:space="preserve">  Copilot</t>
    </r>
    <r>
      <rPr>
        <sz val="11"/>
        <color theme="1"/>
        <rFont val="Noto Sans CJK SC"/>
        <family val="2"/>
      </rPr>
      <t xml:space="preserve">（命題子列：平均座席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</si>
  <si>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t xml:space="preserve">實績期用基準月費（拆分是估計）；敏感度只改預測期</t>
  </si>
  <si>
    <r>
      <rPr>
        <sz val="11"/>
        <color theme="1"/>
        <rFont val="Calibri"/>
        <family val="2"/>
        <charset val="1"/>
      </rPr>
      <t xml:space="preserve">  M365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FY2025–26</t>
    </r>
    <r>
      <rPr>
        <sz val="11"/>
        <color theme="1"/>
        <rFont val="Noto Sans CJK SC"/>
        <family val="2"/>
      </rPr>
      <t xml:space="preserve">＝實績 −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估計；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模型）−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</si>
  <si>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實績與模型的差額歸 </t>
    </r>
    <r>
      <rPr>
        <sz val="11"/>
        <color theme="1"/>
        <rFont val="Calibri"/>
        <family val="2"/>
        <charset val="1"/>
      </rPr>
      <t xml:space="preserve">M365 </t>
    </r>
    <r>
      <rPr>
        <sz val="11"/>
        <color theme="1"/>
        <rFont val="Noto Sans CJK SC"/>
        <family val="2"/>
      </rPr>
      <t xml:space="preserve">基礎</t>
    </r>
  </si>
  <si>
    <t xml:space="preserve">Microsoft 365 cloud</t>
  </si>
  <si>
    <t xml:space="preserve">Productivity and server licensing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</si>
  <si>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第二至第四季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</t>
    </r>
  </si>
  <si>
    <t xml:space="preserve">Industry solutions</t>
  </si>
  <si>
    <t xml:space="preserve">Frontier and support services</t>
  </si>
  <si>
    <t xml:space="preserve">Search and advertising</t>
  </si>
  <si>
    <t xml:space="preserve">XBOX</t>
  </si>
  <si>
    <t xml:space="preserve">Windows OEM and devices</t>
  </si>
  <si>
    <t xml:space="preserve">合併營收（分部合計）</t>
  </si>
  <si>
    <t xml:space="preserve">檢查：產品線合計 − 分部；實績期另比對公司分部值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</si>
  <si>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</si>
  <si>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</si>
  <si>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分部營業利益（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由核心利益率扣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折舊；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依實績利益率）→ 合併營業利益 → 業外 → 稅 → 淨利 →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</si>
  <si>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核對列（三情境、全部年度合計，應為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segments.json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讀這三列）</t>
    </r>
  </si>
  <si>
    <t xml:space="preserve">檢查：分部合計 − 合併營收（三情境，實績期另比對公司值）</t>
  </si>
  <si>
    <t xml:space="preserve">檢查：產品線合計 − 分部（三情境，實績期另比對公司值）</t>
  </si>
  <si>
    <r>
      <rPr>
        <sz val="11"/>
        <color theme="1"/>
        <rFont val="Noto Sans CJK SC"/>
        <family val="2"/>
      </rPr>
      <t xml:space="preserve">檢查：命題子列合計 − 母列（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；三情境）</t>
    </r>
  </si>
  <si>
    <t xml:space="preserve">檢查：分部營業利益合計 − 合併營業利益（三情境；實績期比對公司值）</t>
  </si>
  <si>
    <r>
      <rPr>
        <sz val="11"/>
        <color theme="1"/>
        <rFont val="Noto Sans CJK SC"/>
        <family val="2"/>
      </rPr>
      <t xml:space="preserve">以下三個區塊依序為情境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；分部與產品線列標籤與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segments.json </t>
    </r>
    <r>
      <rPr>
        <sz val="11"/>
        <color theme="1"/>
        <rFont val="Noto Sans CJK SC"/>
        <family val="2"/>
      </rPr>
      <t xml:space="preserve">對應）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</si>
  <si>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</si>
  <si>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Azure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</si>
  <si>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  M365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</si>
  <si>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Copilot</t>
    </r>
    <r>
      <rPr>
        <sz val="11"/>
        <color theme="1"/>
        <rFont val="Noto Sans CJK SC"/>
        <family val="2"/>
      </rPr>
      <t xml:space="preserve">（命題子列）</t>
    </r>
  </si>
  <si>
    <t xml:space="preserve">合併營收</t>
  </si>
  <si>
    <t xml:space="preserve">營收年增</t>
  </si>
  <si>
    <r>
      <rPr>
        <sz val="11"/>
        <color theme="1"/>
        <rFont val="Noto Sans CJK SC"/>
        <family val="2"/>
      </rPr>
      <t xml:space="preserve">檢查：分部合計 − 合併營收；子列合計 − 母列（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</si>
  <si>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核心利益率（扣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折舊前；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</si>
  <si>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分部營業利益＋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 ÷ (</t>
    </r>
    <r>
      <rPr>
        <sz val="11"/>
        <color theme="1"/>
        <rFont val="Noto Sans CJK SC"/>
        <family val="2"/>
      </rPr>
      <t xml:space="preserve">分部營收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；之後固定（＋</t>
    </r>
    <r>
      <rPr>
        <sz val="11"/>
        <color theme="1"/>
        <rFont val="Calibri"/>
        <family val="2"/>
        <charset val="1"/>
      </rPr>
      <t xml:space="preserve">dm_seg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</si>
  <si>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修正三：另扣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補足差額的折舊；＝核心利益率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（分部營收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資本支出經折舊進分部營業利益；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實績＋全年模型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第二至第四季營收占比</t>
    </r>
  </si>
  <si>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</si>
  <si>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實績後固定（＋</t>
    </r>
    <r>
      <rPr>
        <sz val="11"/>
        <color theme="1"/>
        <rFont val="Calibri"/>
        <family val="2"/>
        <charset val="1"/>
      </rPr>
      <t xml:space="preserve">dm_seg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</si>
  <si>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實績＋第二至第四季營收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利益率</t>
    </r>
  </si>
  <si>
    <t xml:space="preserve">合併營業利益（財報口徑；分部合計，無未分攤項）</t>
  </si>
  <si>
    <t xml:space="preserve">檢查：分部營業利益合計 − 公司合併營業利益（實績）</t>
  </si>
  <si>
    <t xml:space="preserve">營業利益率（財報口徑）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</si>
  <si>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；非財報營收；分攤到 </t>
    </r>
    <r>
      <rPr>
        <sz val="11"/>
        <color theme="1"/>
        <rFont val="Calibri"/>
        <family val="2"/>
        <charset val="1"/>
      </rPr>
      <t xml:space="preserve">Agents and 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</si>
  <si>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：營收與分部對帳不動；只進評價口徑的營業利益、淨利、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</si>
  <si>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營業利益（評價口徑＝財報＋自用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</t>
    </r>
  </si>
  <si>
    <r>
      <rPr>
        <sz val="11"/>
        <color theme="1"/>
        <rFont val="Noto Sans CJK SC"/>
        <family val="2"/>
      </rPr>
      <t xml:space="preserve">  備忘：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</si>
  <si>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備忘：非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折舊攤銷（</t>
    </r>
    <r>
      <rPr>
        <sz val="11"/>
        <color theme="1"/>
        <rFont val="Calibri"/>
        <family val="2"/>
        <charset val="1"/>
      </rPr>
      <t xml:space="preserve">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</si>
  <si>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業外收支（預測期不含持股評價損益＝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</si>
  <si>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重組利得等 </t>
    </r>
    <r>
      <rPr>
        <sz val="11"/>
        <color theme="1"/>
        <rFont val="Calibri"/>
        <family val="2"/>
        <charset val="1"/>
      </rPr>
      <t xml:space="preserve">+6.5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+0.038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稅前利得 </t>
    </r>
    <r>
      <rPr>
        <sz val="11"/>
        <color theme="1"/>
        <rFont val="Calibri"/>
        <family val="2"/>
        <charset val="1"/>
      </rPr>
      <t xml:space="preserve">0.272</t>
    </r>
    <r>
      <rPr>
        <sz val="11"/>
        <color theme="1"/>
        <rFont val="Noto Sans CJK SC"/>
        <family val="2"/>
      </rPr>
      <t xml:space="preserve">）＋其餘三季 </t>
    </r>
    <r>
      <rPr>
        <sz val="11"/>
        <color theme="1"/>
        <rFont val="Calibri"/>
        <family val="2"/>
        <charset val="1"/>
      </rPr>
      <t xml:space="preserve">× oie_f</t>
    </r>
  </si>
  <si>
    <t xml:space="preserve">稅前淨利（財報口徑）</t>
  </si>
  <si>
    <t xml:space="preserve">所得稅（財報口徑）</t>
  </si>
  <si>
    <t xml:space="preserve">淨利（財報口徑）</t>
  </si>
  <si>
    <r>
      <rPr>
        <sz val="11"/>
        <color theme="1"/>
        <rFont val="Noto Sans CJK SC"/>
        <family val="2"/>
      </rPr>
      <t xml:space="preserve">稀釋股數（十億股；回購依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</si>
  <si>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（財報口徑，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</si>
  <si>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實績期與公司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&lt; 0.01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</si>
  <si>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Noto Sans CJK SC"/>
        <family val="2"/>
      </rPr>
      <t xml:space="preserve">淨利（評價口徑＝財報＋影子效益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</si>
  <si>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</si>
  <si>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時＝財報口徑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</si>
  <si>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年增（評價口徑）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</si>
  <si>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</si>
  <si>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</si>
  <si>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營業現金流（淨利＋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折舊＋股票薪酬＋營運資金）− 資本支出（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比例）− 融資租賃本金 → 自由現金流（財報現金）；股利、回購、舉債（最低現金）</t>
    </r>
  </si>
  <si>
    <r>
      <rPr>
        <sz val="11"/>
        <color theme="1"/>
        <rFont val="Noto Sans CJK SC"/>
        <family val="2"/>
      </rPr>
      <t xml:space="preserve">收支關卡（地圖讀此表）：模型期間首年起五年（</t>
    </r>
    <r>
      <rPr>
        <sz val="11"/>
        <color theme="1"/>
        <rFont val="Calibri"/>
        <family val="2"/>
        <charset val="1"/>
      </rPr>
      <t xml:space="preserve">FY2027–FY2031</t>
    </r>
    <r>
      <rPr>
        <sz val="11"/>
        <color theme="1"/>
        <rFont val="Noto Sans CJK SC"/>
        <family val="2"/>
      </rPr>
      <t xml:space="preserve">）自由現金流扣股利後合計（財報現金，不含自用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影子效益）；並判斷是否需要舉債或停止回購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</si>
  <si>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</si>
  <si>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；為正＝五年自由現金流足以支付股利（地圖收支關卡讀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欄＝基準情境）。修正一：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初版的範圍公式被讀成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欄到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欄，誤加了 </t>
    </r>
    <r>
      <rPr>
        <sz val="11"/>
        <color theme="1"/>
        <rFont val="Calibri"/>
        <family val="2"/>
        <charset val="1"/>
      </rPr>
      <t xml:space="preserve">FY2032</t>
    </r>
  </si>
  <si>
    <r>
      <rPr>
        <sz val="11"/>
        <color theme="1"/>
        <rFont val="Noto Sans CJK SC"/>
        <family val="2"/>
      </rPr>
      <t xml:space="preserve">是否需要舉債或停止回購（</t>
    </r>
    <r>
      <rPr>
        <sz val="11"/>
        <color theme="1"/>
        <rFont val="Calibri"/>
        <family val="2"/>
        <charset val="1"/>
      </rPr>
      <t xml:space="preserve">FY2027–FY2031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</si>
  <si>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</si>
  <si>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</si>
  <si>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（公司口徑，參考）</t>
    </r>
  </si>
  <si>
    <r>
      <rPr>
        <sz val="11"/>
        <color theme="1"/>
        <rFont val="Noto Sans CJK SC"/>
        <family val="2"/>
      </rPr>
      <t xml:space="preserve">回購合計 </t>
    </r>
    <r>
      <rPr>
        <sz val="11"/>
        <color theme="1"/>
        <rFont val="Calibri"/>
        <family val="2"/>
        <charset val="1"/>
      </rPr>
      <t xml:space="preserve">FY2027–FY2031</t>
    </r>
  </si>
  <si>
    <r>
      <rPr>
        <sz val="11"/>
        <color theme="1"/>
        <rFont val="Noto Sans CJK SC"/>
        <family val="2"/>
      </rPr>
      <t xml:space="preserve">新增舉債合計 </t>
    </r>
    <r>
      <rPr>
        <sz val="11"/>
        <color theme="1"/>
        <rFont val="Calibri"/>
        <family val="2"/>
        <charset val="1"/>
      </rPr>
      <t xml:space="preserve">FY2027–FY2031</t>
    </r>
  </si>
  <si>
    <t xml:space="preserve">檢查：收支關卡＝首年起五年自由現金流扣股利（逐欄加總）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</si>
  <si>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</si>
  <si>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</si>
  <si>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D&amp;A − AI </t>
    </r>
    <r>
      <rPr>
        <sz val="11"/>
        <color theme="1"/>
        <rFont val="Noto Sans CJK SC"/>
        <family val="2"/>
      </rPr>
      <t xml:space="preserve">折舊估計（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</si>
  <si>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補足差額的折舊（非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遞減法：差額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（年度 −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</si>
  <si>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修正三：核心利益率固定，補足差額的折舊須另由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營業利益扣除</t>
    </r>
  </si>
  <si>
    <r>
      <rPr>
        <sz val="11"/>
        <color theme="1"/>
        <rFont val="Noto Sans CJK SC"/>
        <family val="2"/>
      </rPr>
      <t xml:space="preserve">折舊攤銷合計（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</si>
  <si>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股票薪酬（現金流量表加回；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視為現金成本）</t>
    </r>
  </si>
  <si>
    <r>
      <rPr>
        <sz val="11"/>
        <color theme="1"/>
        <rFont val="Noto Sans CJK SC"/>
        <family val="2"/>
      </rPr>
      <t xml:space="preserve">營運資金變動（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為第二至第四季）</t>
    </r>
  </si>
  <si>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：首期＝上一年度同期實績（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 − </t>
    </r>
    <r>
      <rPr>
        <sz val="11"/>
        <color theme="1"/>
        <rFont val="Calibri"/>
        <family val="2"/>
        <charset val="1"/>
      </rPr>
      <t xml:space="preserve">FY26Q1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wc_f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</si>
  <si>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實績的營運資金與其他項目（營業現金流 − 淨利 − 折舊 − 股票薪酬）</t>
    </r>
  </si>
  <si>
    <r>
      <rPr>
        <sz val="11"/>
        <color theme="1"/>
        <rFont val="Noto Sans CJK SC"/>
        <family val="2"/>
      </rPr>
      <t xml:space="preserve">含遞延稅 </t>
    </r>
    <r>
      <rPr>
        <sz val="11"/>
        <color theme="1"/>
        <rFont val="Calibri"/>
        <family val="2"/>
        <charset val="1"/>
      </rPr>
      <t xml:space="preserve">+4.6</t>
    </r>
    <r>
      <rPr>
        <sz val="11"/>
        <color theme="1"/>
        <rFont val="Noto Sans CJK SC"/>
        <family val="2"/>
      </rPr>
      <t xml:space="preserve">、應收帳款回收等；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營業現金流＝全年淨利＋折舊＋股票薪酬＋本列＋第二至第四季營運資金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</si>
  <si>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</si>
  <si>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資本支出（各線營收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</si>
  <si>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補足到公司指引下限的其他資本支出（不增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遞減法每年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／年限折舊，折舊由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營業利益扣除）</t>
    </r>
  </si>
  <si>
    <r>
      <rPr>
        <sz val="11"/>
        <color theme="1"/>
        <rFont val="Noto Sans CJK SC"/>
        <family val="2"/>
      </rPr>
      <t xml:space="preserve">修正二：補足差額不再當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修正一有折舊卻無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與收入）；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145.3 </t>
    </r>
    <r>
      <rPr>
        <sz val="11"/>
        <color theme="1"/>
        <rFont val="Noto Sans CJK SC"/>
        <family val="2"/>
      </rPr>
      <t xml:space="preserve">比模型估計 </t>
    </r>
    <r>
      <rPr>
        <sz val="11"/>
        <color theme="1"/>
        <rFont val="Calibri"/>
        <family val="2"/>
        <charset val="1"/>
      </rPr>
      <t xml:space="preserve">116.4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28.9</t>
    </r>
    <r>
      <rPr>
        <sz val="11"/>
        <color theme="1"/>
        <rFont val="Noto Sans CJK SC"/>
        <family val="2"/>
      </rPr>
      <t xml:space="preserve">，推定含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以外的資料中心與未拆分項目</t>
    </r>
  </si>
  <si>
    <t xml:space="preserve">資本支出合計（公司口徑，含融資租賃）</t>
  </si>
  <si>
    <r>
      <rPr>
        <sz val="11"/>
        <color theme="1"/>
        <rFont val="Noto Sans CJK SC"/>
        <family val="2"/>
      </rPr>
      <t xml:space="preserve">新的融資租賃在取得時視同現金（偏保守，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為公司法說值</t>
    </r>
  </si>
  <si>
    <t xml:space="preserve">在帳融資租賃負債（年底）</t>
  </si>
  <si>
    <t xml:space="preserve">在帳融資租賃本金（付款 − 利息）</t>
  </si>
  <si>
    <t xml:space="preserve">自由現金流（財報現金：營業現金流 − 資本支出 − 融資租賃本金）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</si>
  <si>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為實績（現金資本支出口徑）；收支關卡用此列（不含影子效益）</t>
    </r>
  </si>
  <si>
    <t xml:space="preserve">每股股利</t>
  </si>
  <si>
    <t xml:space="preserve">股利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</si>
  <si>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期初流通股數（避免與回購循環）</t>
    </r>
  </si>
  <si>
    <t xml:space="preserve">自由現金流扣股利</t>
  </si>
  <si>
    <t xml:space="preserve">債務到期償還</t>
  </si>
  <si>
    <t xml:space="preserve">回購（現金不足時先減）</t>
  </si>
  <si>
    <t xml:space="preserve">新增舉債（維持最低現金）</t>
  </si>
  <si>
    <t xml:space="preserve">現金與短期投資（年底）</t>
  </si>
  <si>
    <t xml:space="preserve">債務（年底，面額）</t>
  </si>
  <si>
    <t xml:space="preserve">淨現金（不含租賃）</t>
  </si>
  <si>
    <t xml:space="preserve">回購均價</t>
  </si>
  <si>
    <t xml:space="preserve">流通股數（年底）</t>
  </si>
  <si>
    <t xml:space="preserve">稀釋加權股數</t>
  </si>
  <si>
    <r>
      <rPr>
        <sz val="11"/>
        <color theme="1"/>
        <rFont val="Noto Sans CJK SC"/>
        <family val="2"/>
      </rPr>
      <t xml:space="preserve">自由現金流扣股利（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合計，本情境）</t>
    </r>
  </si>
  <si>
    <t xml:space="preserve">文字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</si>
  <si>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</si>
  <si>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</si>
  <si>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頁黃底）。主值＝讀法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</si>
  <si>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Noto Sans CJK SC"/>
        <family val="2"/>
      </rPr>
      <t xml:space="preserve">口徑（修正一）：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的自由現金流扣股票薪酬（視為現金成本）、加自用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影子效益（稅後），在帳融資租賃負債自權益橋扣除，推到目標價時點後扣期間股利；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的產品線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為股票薪酬加回口徑（與同業倍數同口徑），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基礎設施模組以自身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（含資本支出與汰換）計價，同業倍數版列對照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</si>
  <si>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</si>
  <si>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（評價用自由現金流折現；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Blume β</t>
    </r>
    <r>
      <rPr>
        <b val="true"/>
        <sz val="11"/>
        <rFont val="Noto Sans CJK SC"/>
        <family val="2"/>
      </rPr>
      <t xml:space="preserve">、約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年期 </t>
    </r>
    <r>
      <rPr>
        <b val="true"/>
        <sz val="11"/>
        <rFont val="Cambria"/>
        <family val="0"/>
        <charset val="1"/>
      </rPr>
      <t xml:space="preserve">kd</t>
    </r>
    <r>
      <rPr>
        <b val="true"/>
        <sz val="11"/>
        <rFont val="Noto Sans CJK SC"/>
        <family val="2"/>
      </rPr>
      <t xml:space="preserve">、負債含融資租賃；</t>
    </r>
    <r>
      <rPr>
        <b val="true"/>
        <sz val="11"/>
        <rFont val="Cambria"/>
        <family val="0"/>
        <charset val="1"/>
      </rPr>
      <t xml:space="preserve">g 3%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</si>
  <si>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企業價值（評價日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</si>
  <si>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只計第二至第四季</t>
    </r>
  </si>
  <si>
    <t xml:space="preserve">永續價值占比</t>
  </si>
  <si>
    <r>
      <rPr>
        <sz val="11"/>
        <color theme="1"/>
        <rFont val="Noto Sans CJK SC"/>
        <family val="2"/>
      </rPr>
      <t xml:space="preserve">永續價值現值 </t>
    </r>
    <r>
      <rPr>
        <sz val="11"/>
        <color theme="1"/>
        <rFont val="Calibri"/>
        <family val="2"/>
        <charset val="1"/>
      </rPr>
      <t xml:space="preserve">÷ EV</t>
    </r>
  </si>
  <si>
    <r>
      <rPr>
        <sz val="11"/>
        <color theme="1"/>
        <rFont val="Noto Sans CJK SC"/>
        <family val="2"/>
      </rPr>
      <t xml:space="preserve">加：淨現金（評價日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</si>
  <si>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64.509 − </t>
    </r>
    <r>
      <rPr>
        <sz val="11"/>
        <color theme="1"/>
        <rFont val="Noto Sans CJK SC"/>
        <family val="2"/>
      </rPr>
      <t xml:space="preserve">債務面額 </t>
    </r>
    <r>
      <rPr>
        <sz val="11"/>
        <color theme="1"/>
        <rFont val="Calibri"/>
        <family val="2"/>
        <charset val="1"/>
      </rPr>
      <t xml:space="preserve">41.269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</si>
  <si>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減：在帳融資租賃負債（評價日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</si>
  <si>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：融資租賃列入淨負債；</t>
    </r>
    <r>
      <rPr>
        <sz val="11"/>
        <color theme="1"/>
        <rFont val="Calibri"/>
        <family val="2"/>
        <charset val="1"/>
      </rPr>
      <t xml:space="preserve">10-Q 70.973</t>
    </r>
    <r>
      <rPr>
        <sz val="11"/>
        <color theme="1"/>
        <rFont val="Noto Sans CJK SC"/>
        <family val="2"/>
      </rPr>
      <t xml:space="preserve">（含本季新起租）</t>
    </r>
  </si>
  <si>
    <r>
      <rPr>
        <sz val="11"/>
        <color theme="1"/>
        <rFont val="Noto Sans CJK SC"/>
        <family val="2"/>
      </rPr>
      <t xml:space="preserve">加：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流動性折價））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</si>
  <si>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比例未揭露，不估值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</si>
  <si>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每股價值（評價日）</t>
    </r>
  </si>
  <si>
    <r>
      <rPr>
        <sz val="11"/>
        <color theme="1"/>
        <rFont val="Calibri"/>
        <family val="2"/>
        <charset val="1"/>
      </rPr>
      <t xml:space="preserve">÷ FY27Q1 </t>
    </r>
    <r>
      <rPr>
        <sz val="11"/>
        <color theme="1"/>
        <rFont val="Noto Sans CJK SC"/>
        <family val="2"/>
      </rPr>
      <t xml:space="preserve">稀釋加權股數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</si>
  <si>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 − </t>
    </r>
    <r>
      <rPr>
        <sz val="11"/>
        <color theme="1"/>
        <rFont val="Noto Sans CJK SC"/>
        <family val="2"/>
      </rPr>
      <t xml:space="preserve">期間股利）</t>
    </r>
  </si>
  <si>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2026-09-30 → 2027-10-29</t>
    </r>
    <r>
      <rPr>
        <sz val="11"/>
        <color theme="1"/>
        <rFont val="Noto Sans CJK SC"/>
        <family val="2"/>
      </rPr>
      <t xml:space="preserve">；扣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第二至第四季與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</si>
  <si>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</si>
  <si>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</si>
  <si>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／永續成長率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</si>
  <si>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</si>
  <si>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在分部層做：非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產品線＝目標價時點 </t>
    </r>
    <r>
      <rPr>
        <b val="true"/>
        <sz val="11"/>
        <rFont val="Cambria"/>
        <family val="0"/>
        <charset val="1"/>
      </rPr>
      <t xml:space="preserve">NTM EBITDA 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 </t>
    </r>
    <r>
      <rPr>
        <b val="true"/>
        <sz val="11"/>
        <rFont val="Noto Sans CJK SC"/>
        <family val="2"/>
      </rPr>
      <t xml:space="preserve">中位數；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基礎設施＝模組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</si>
  <si>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倍數（</t>
    </r>
    <r>
      <rPr>
        <b val="true"/>
        <sz val="11"/>
        <rFont val="Cambria"/>
        <family val="0"/>
        <charset val="1"/>
      </rPr>
      <t xml:space="preserve">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</si>
  <si>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</si>
  <si>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</si>
  <si>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（企業軟體同業）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</si>
  <si>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</si>
  <si>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</si>
  <si>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</si>
  <si>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（數位廣告同業）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</si>
  <si>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（遊戲同業）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</si>
  <si>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／裝置同業）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</si>
  <si>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</si>
  <si>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加：淨現金（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年底）＋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− 在帳融資租賃負債＋期間非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</si>
  <si>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Noto Sans CJK SC"/>
        <family val="2"/>
      </rPr>
      <t xml:space="preserve">期間＝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 → 目標價時點（修正三）</t>
    </r>
  </si>
  <si>
    <t xml:space="preserve">分部加總每股價值（目標價時點）</t>
  </si>
  <si>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年底稀釋股數；扣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第一季股利（修正二）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</si>
  <si>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</si>
  <si>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）情境加權；同業倍數見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節與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</si>
  <si>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以同業倍數計（</t>
    </r>
    <r>
      <rPr>
        <sz val="11"/>
        <color theme="1"/>
        <rFont val="Calibri"/>
        <family val="2"/>
        <charset val="1"/>
      </rPr>
      <t xml:space="preserve">NTM EBITDA × 6×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</si>
  <si>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腿不再用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倍數（忽略資本密集度）；差額見報告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</si>
  <si>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</si>
  <si>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</si>
  <si>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</si>
  <si>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</si>
  <si>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w_dcf × DCF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分部加總；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；主值＝讀法 </t>
    </r>
    <r>
      <rPr>
        <sz val="11"/>
        <color theme="1"/>
        <rFont val="Calibri"/>
        <family val="2"/>
        <charset val="1"/>
      </rPr>
      <t xml:space="preserve">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</si>
  <si>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</si>
  <si>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位平均；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＝最低、最高（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；財報後調整未反映）；</t>
    </r>
    <r>
      <rPr>
        <sz val="11"/>
        <color theme="1"/>
        <rFont val="Calibri"/>
        <family val="2"/>
        <charset val="1"/>
      </rPr>
      <t xml:space="preserve">MarketBeat 49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596.07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</si>
  <si>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；財報後盤後 </t>
    </r>
    <r>
      <rPr>
        <sz val="11"/>
        <color theme="1"/>
        <rFont val="Calibri"/>
        <family val="2"/>
        <charset val="1"/>
      </rPr>
      <t xml:space="preserve">544.93 </t>
    </r>
    <r>
      <rPr>
        <sz val="11"/>
        <color theme="1"/>
        <rFont val="Noto Sans CJK SC"/>
        <family val="2"/>
      </rPr>
      <t xml:space="preserve">不採用）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</si>
  <si>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</si>
  <si>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</si>
  <si>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</si>
  <si>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</si>
  <si>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</si>
  <si>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</si>
  <si>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</si>
  <si>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</si>
  <si>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</si>
  <si>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上檔空間：情境目標價</t>
  </si>
  <si>
    <r>
      <rPr>
        <sz val="11"/>
        <color theme="1"/>
        <rFont val="Noto Sans CJK SC"/>
        <family val="2"/>
      </rPr>
      <t xml:space="preserve">投資建議（基準情境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，參考）</t>
    </r>
  </si>
  <si>
    <t xml:space="preserve">地圖與評等用加權目標價</t>
  </si>
  <si>
    <r>
      <rPr>
        <sz val="11"/>
        <color theme="1"/>
        <rFont val="Noto Sans CJK SC"/>
        <family val="2"/>
      </rPr>
      <t xml:space="preserve">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只計成本；敏感度）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</si>
  <si>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頁「讀法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」案例（三情境全部重算）</t>
    </r>
  </si>
  <si>
    <r>
      <rPr>
        <sz val="11"/>
        <color theme="1"/>
        <rFont val="Noto Sans CJK SC"/>
        <family val="2"/>
      </rPr>
      <t xml:space="preserve">上檔空間（讀法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</si>
  <si>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投資建議（讀法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</si>
  <si>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</si>
  <si>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工作單：悲觀情境價＝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</si>
  <si>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</si>
  <si>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</si>
  <si>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</si>
  <si>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；評價口徑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</si>
  <si>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加權目標價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（基準）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</si>
  <si>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</si>
  <si>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：評價用自由現金流（營業現金流 − 股票薪酬 − 公司口徑資本支出＋自用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影子效益稅後），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 5.00%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，沿用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 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利差；負債含融資租賃），</t>
    </r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新增速度收斂），永續期 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只計第二至第四季），以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2027-10-29 </t>
    </r>
    <r>
      <rPr>
        <sz val="11"/>
        <color theme="1"/>
        <rFont val="Noto Sans CJK SC"/>
        <family val="2"/>
      </rPr>
      <t xml:space="preserve">並扣期間股利。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13.82×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家）、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／授權／產業／</t>
    </r>
    <r>
      <rPr>
        <sz val="11"/>
        <color theme="1"/>
        <rFont val="Calibri"/>
        <family val="2"/>
        <charset val="1"/>
      </rPr>
      <t xml:space="preserve">Frontier 10.8×</t>
    </r>
    <r>
      <rPr>
        <sz val="11"/>
        <color theme="1"/>
        <rFont val="Noto Sans CJK SC"/>
        <family val="2"/>
      </rPr>
      <t xml:space="preserve">（企業軟體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家，不含 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）、搜尋與廣告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家）、</t>
    </r>
    <r>
      <rPr>
        <sz val="11"/>
        <color theme="1"/>
        <rFont val="Calibri"/>
        <family val="2"/>
        <charset val="1"/>
      </rPr>
      <t xml:space="preserve">XBOX 12.63×</t>
    </r>
    <r>
      <rPr>
        <sz val="11"/>
        <color theme="1"/>
        <rFont val="Noto Sans CJK SC"/>
        <family val="2"/>
      </rPr>
      <t xml:space="preserve">（遊戲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Windows 14.47×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3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），乘目標價時點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（股票薪酬加回）；加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年底到目標價時點的非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</t>
    </r>
    <r>
      <rPr>
        <sz val="11"/>
        <color theme="1"/>
        <rFont val="Calibri"/>
        <family val="2"/>
        <charset val="1"/>
      </rPr>
      <t xml:space="preserve">24% × 852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10-Q FY27Q1</t>
    </r>
    <r>
      <rPr>
        <sz val="11"/>
        <color theme="1"/>
        <rFont val="Noto Sans CJK SC"/>
        <family val="2"/>
      </rPr>
      <t xml:space="preserve">）、減在帳融資租賃負債。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</si>
  <si>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各情境評價明細（引擎輸出；列 </t>
    </r>
    <r>
      <rPr>
        <b val="true"/>
        <sz val="11"/>
        <rFont val="Cambria"/>
        <family val="0"/>
        <charset val="1"/>
      </rPr>
      <t xml:space="preserve">70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</si>
  <si>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</si>
  <si>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t xml:space="preserve">折現年數（期中，自評價日）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</si>
  <si>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：評價日後剩餘期間的中點；之後：年中 − 評價日距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v_off</t>
    </r>
    <r>
      <rPr>
        <sz val="11"/>
        <color theme="1"/>
        <rFont val="Noto Sans CJK SC"/>
        <family val="2"/>
      </rPr>
      <t xml:space="preserve">）</t>
    </r>
  </si>
  <si>
    <t xml:space="preserve">年底距評價日（年）</t>
  </si>
  <si>
    <t xml:space="preserve">折現因子</t>
  </si>
  <si>
    <r>
      <rPr>
        <sz val="11"/>
        <color theme="1"/>
        <rFont val="Noto Sans CJK SC"/>
        <family val="2"/>
      </rPr>
      <t xml:space="preserve">減：評價日前的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實績（營業現金流 − 股票薪酬 − 公司口徑資本支出）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</si>
  <si>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只折現第二至第四季</t>
    </r>
  </si>
  <si>
    <r>
      <rPr>
        <sz val="11"/>
        <color theme="1"/>
        <rFont val="Noto Sans CJK SC"/>
        <family val="2"/>
      </rPr>
      <t xml:space="preserve">評價用自由現金流＝營業現金流 − 股票薪酬 − 資本支出＋影子效益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為評價日後部分）</t>
    </r>
  </si>
  <si>
    <r>
      <rPr>
        <sz val="11"/>
        <color theme="1"/>
        <rFont val="Noto Sans CJK SC"/>
        <family val="2"/>
      </rPr>
      <t xml:space="preserve">修正一：</t>
    </r>
    <r>
      <rPr>
        <sz val="11"/>
        <color theme="1"/>
        <rFont val="Calibri"/>
        <family val="2"/>
        <charset val="1"/>
      </rPr>
      <t xml:space="preserve">F2 </t>
    </r>
    <r>
      <rPr>
        <sz val="11"/>
        <color theme="1"/>
        <rFont val="Noto Sans CJK SC"/>
        <family val="2"/>
      </rPr>
      <t xml:space="preserve">股票薪酬視為現金成本；</t>
    </r>
    <r>
      <rPr>
        <sz val="11"/>
        <color theme="1"/>
        <rFont val="Calibri"/>
        <family val="2"/>
        <charset val="1"/>
      </rPr>
      <t xml:space="preserve">F1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影子效益；在帳融資租賃本金不扣，改在權益橋減負債（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影子效益只計評價日後的比例</t>
    </r>
  </si>
  <si>
    <t xml:space="preserve">評價用自由現金流現值</t>
  </si>
  <si>
    <r>
      <rPr>
        <sz val="11"/>
        <color theme="1"/>
        <rFont val="Noto Sans CJK SC"/>
        <family val="2"/>
      </rPr>
      <t xml:space="preserve">明確期現值合計（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</si>
  <si>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永續起點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評價口徑營業利益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</si>
  <si>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Noto Sans CJK SC"/>
        <family val="2"/>
      </rPr>
      <t xml:space="preserve">永續期自由現金流（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新投資報酬））</t>
    </r>
  </si>
  <si>
    <r>
      <rPr>
        <sz val="11"/>
        <color theme="1"/>
        <rFont val="Noto Sans CJK SC"/>
        <family val="2"/>
      </rPr>
      <t xml:space="preserve">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年底）</t>
    </r>
  </si>
  <si>
    <t xml:space="preserve">永續價值現值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</si>
  <si>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企業價值（評價日）</t>
    </r>
  </si>
  <si>
    <r>
      <rPr>
        <sz val="11"/>
        <color theme="1"/>
        <rFont val="Noto Sans CJK SC"/>
        <family val="2"/>
      </rPr>
      <t xml:space="preserve">股東權益價值＝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＋評價日淨現金 − 評價日在帳融資租賃負債＋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</t>
    </r>
  </si>
  <si>
    <t xml:space="preserve">評價日到目標價時點已付的每股股利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</si>
  <si>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^t_roll − </t>
    </r>
    <r>
      <rPr>
        <sz val="11"/>
        <color theme="1"/>
        <rFont val="Noto Sans CJK SC"/>
        <family val="2"/>
      </rPr>
      <t xml:space="preserve">期間股利）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</si>
  <si>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</si>
  <si>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</si>
  <si>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：同業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多為股票薪酬加回口徑，分部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同口徑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</si>
  <si>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</si>
  <si>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</si>
  <si>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</si>
  <si>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</si>
  <si>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</t>
    </r>
    <r>
      <rPr>
        <sz val="11"/>
        <color theme="1"/>
        <rFont val="Calibri"/>
        <family val="2"/>
        <charset val="1"/>
      </rPr>
      <t xml:space="preserve">Azure AI EBITDA −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營運成本＋影子效益）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</si>
  <si>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合計（評價口徑營業利益＋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折舊與股票薪酬分攤）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</si>
  <si>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其他（分部殘差；不含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</si>
  <si>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</si>
  <si>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（分部殘差按營收分）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</si>
  <si>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Windows OEM and devices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</si>
  <si>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模組自由現金流＝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AI </t>
    </r>
    <r>
      <rPr>
        <sz val="11"/>
        <color theme="1"/>
        <rFont val="Noto Sans CJK SC"/>
        <family val="2"/>
      </rPr>
      <t xml:space="preserve">折舊）−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資本支出（含汰換）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</si>
  <si>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模組自由現金流折到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</si>
  <si>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修正二：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模組現金流已反映在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年底淨現金（權益橋），不再重複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</si>
  <si>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模組永續價值折到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</si>
  <si>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年底推到目標價時點）</t>
    </r>
  </si>
  <si>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腿以自身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計入資本密集度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</si>
  <si>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Azure AI NTM EBITDA × </t>
    </r>
    <r>
      <rPr>
        <sz val="11"/>
        <color theme="1"/>
        <rFont val="Noto Sans CJK SC"/>
        <family val="2"/>
      </rPr>
      <t xml:space="preserve">同業倍數（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</si>
  <si>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</si>
  <si>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</si>
  <si>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</si>
  <si>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</si>
  <si>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</si>
  <si>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</si>
  <si>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</si>
  <si>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</si>
  <si>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（目標價時點）</t>
    </r>
  </si>
  <si>
    <r>
      <rPr>
        <sz val="11"/>
        <color theme="1"/>
        <rFont val="Noto Sans CJK SC"/>
        <family val="2"/>
      </rPr>
      <t xml:space="preserve">加：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 → 目標價時點的非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評價用自由現金流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模組自由現金流）</t>
    </r>
    <r>
      <rPr>
        <sz val="11"/>
        <color theme="1"/>
        <rFont val="Calibri"/>
        <family val="2"/>
        <charset val="1"/>
      </rPr>
      <t xml:space="preserve">× t_stub</t>
    </r>
  </si>
  <si>
    <r>
      <rPr>
        <sz val="11"/>
        <color theme="1"/>
        <rFont val="Noto Sans CJK SC"/>
        <family val="2"/>
      </rPr>
      <t xml:space="preserve">修正三：非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各線用目標價時點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，此段現金流不在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也不在淨現金；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模組已含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</t>
    </r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</si>
  <si>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含租賃；</t>
    </r>
    <r>
      <rPr>
        <sz val="11"/>
        <color theme="1"/>
        <rFont val="Calibri"/>
        <family val="2"/>
        <charset val="1"/>
      </rPr>
      <t xml:space="preserve">Microsoft EBITDA </t>
    </r>
    <r>
      <rPr>
        <sz val="11"/>
        <color theme="1"/>
        <rFont val="Noto Sans CJK SC"/>
        <family val="2"/>
      </rPr>
      <t xml:space="preserve">已扣營業租金、未扣融資租賃折舊 → 減融資租賃負債</t>
    </r>
  </si>
  <si>
    <r>
      <rPr>
        <sz val="11"/>
        <color theme="1"/>
        <rFont val="Noto Sans CJK SC"/>
        <family val="2"/>
      </rPr>
      <t xml:space="preserve">分部加總每股價值（目標價時點；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年底稀釋股數，扣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第一季股利）</t>
    </r>
  </si>
  <si>
    <r>
      <rPr>
        <sz val="11"/>
        <color theme="1"/>
        <rFont val="Noto Sans CJK SC"/>
        <family val="2"/>
      </rPr>
      <t xml:space="preserve">修正二：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以評價日（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年底）稀釋股數、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以其淨現金日（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年底）稀釋股數，各自對應其權益橋日期</t>
    </r>
  </si>
  <si>
    <r>
      <rPr>
        <sz val="11"/>
        <color theme="1"/>
        <rFont val="Noto Sans CJK SC"/>
        <family val="2"/>
      </rPr>
      <t xml:space="preserve">情境目標價＝</t>
    </r>
    <r>
      <rPr>
        <sz val="11"/>
        <color theme="1"/>
        <rFont val="Calibri"/>
        <family val="2"/>
        <charset val="1"/>
      </rPr>
      <t xml:space="preserve">w_dcf × DCF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分部加總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</si>
  <si>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</si>
  <si>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</si>
  <si>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模型（基準情境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）對照市場共識與公司指引；差距超過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者附原因。產品線層級的市場共識：未找到（免費資料源只提供合併層級）</t>
    </r>
  </si>
  <si>
    <r>
      <rPr>
        <b val="true"/>
        <sz val="11"/>
        <rFont val="Noto Sans CJK SC"/>
        <family val="2"/>
      </rPr>
      <t xml:space="preserve">模型（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</si>
  <si>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共識／指引</t>
  </si>
  <si>
    <t xml:space="preserve">差距</t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</si>
  <si>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</si>
  <si>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合併層級對共識（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營收與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S&amp;P 2026-10-27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FY2028–FY2029 </t>
    </r>
    <r>
      <rPr>
        <b val="true"/>
        <sz val="11"/>
        <rFont val="Noto Sans CJK SC"/>
        <family val="2"/>
      </rPr>
      <t xml:space="preserve">與資本支出：</t>
    </r>
    <r>
      <rPr>
        <b val="true"/>
        <sz val="11"/>
        <rFont val="Cambria"/>
        <family val="0"/>
        <charset val="1"/>
      </rPr>
      <t xml:space="preserve">MarketScreener 2026-10-08</t>
    </r>
    <r>
      <rPr>
        <b val="true"/>
        <sz val="11"/>
        <rFont val="Noto Sans CJK SC"/>
        <family val="2"/>
      </rPr>
      <t xml:space="preserve">，財報後未找到更新）</t>
    </r>
  </si>
  <si>
    <r>
      <rPr>
        <sz val="11"/>
        <color theme="1"/>
        <rFont val="Noto Sans CJK SC"/>
        <family val="2"/>
      </rPr>
      <t xml:space="preserve">目標價：模型加權（讀法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S&amp;P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</si>
  <si>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觀點：見報告第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MarketBeat 49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596.07</t>
    </r>
  </si>
  <si>
    <r>
      <rPr>
        <sz val="11"/>
        <color theme="1"/>
        <rFont val="Noto Sans CJK SC"/>
        <family val="2"/>
      </rPr>
      <t xml:space="preserve">目標價：模型加權 </t>
    </r>
    <r>
      <rPr>
        <sz val="11"/>
        <color theme="1"/>
        <rFont val="Calibri"/>
        <family val="2"/>
        <charset val="1"/>
      </rPr>
      <t xml:space="preserve">vs MarketBeat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</si>
  <si>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第二個呈現（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</si>
  <si>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（對 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</si>
  <si>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收入、其他線依近一年年增收斂；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實績已含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</si>
  <si>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</si>
  <si>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</si>
  <si>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</si>
  <si>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資本支出依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成本與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年折舊進損益，折舊上升快於共識（見報告第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</si>
  <si>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FY2028</t>
    </r>
  </si>
  <si>
    <t xml:space="preserve">同上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</si>
  <si>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</si>
  <si>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（財報口徑；對 </t>
    </r>
    <r>
      <rPr>
        <sz val="11"/>
        <color theme="1"/>
        <rFont val="Calibri"/>
        <family val="2"/>
        <charset val="1"/>
      </rPr>
      <t xml:space="preserve">S&amp;P 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</si>
  <si>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利得 </t>
    </r>
    <r>
      <rPr>
        <sz val="11"/>
        <color theme="1"/>
        <rFont val="Calibri"/>
        <family val="2"/>
        <charset val="1"/>
      </rPr>
      <t xml:space="preserve">+0.03</t>
    </r>
    <r>
      <rPr>
        <sz val="11"/>
        <color theme="1"/>
        <rFont val="Noto Sans CJK SC"/>
        <family val="2"/>
      </rPr>
      <t xml:space="preserve">／股），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non-GAAP</t>
    </r>
  </si>
  <si>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GAAP</t>
    </r>
    <r>
      <rPr>
        <sz val="11"/>
        <color theme="1"/>
        <rFont val="Noto Sans CJK SC"/>
        <family val="2"/>
      </rPr>
      <t xml:space="preserve">）</t>
    </r>
  </si>
  <si>
    <t xml:space="preserve">EPS FY2029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</si>
  <si>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</si>
  <si>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sz val="11"/>
        <color theme="1"/>
        <rFont val="Noto Sans CJK SC"/>
        <family val="2"/>
      </rPr>
      <t xml:space="preserve">拆法：模型含融資租賃（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融資租賃 </t>
    </r>
    <r>
      <rPr>
        <sz val="11"/>
        <color theme="1"/>
        <rFont val="Calibri"/>
        <family val="2"/>
        <charset val="1"/>
      </rPr>
      <t xml:space="preserve">7.4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對帳目標 </t>
    </r>
    <r>
      <rPr>
        <sz val="11"/>
        <color theme="1"/>
        <rFont val="Calibri"/>
        <family val="2"/>
        <charset val="1"/>
      </rPr>
      <t xml:space="preserve">capex_floor27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</si>
  <si>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</si>
  <si>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成本＋汰換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</si>
  <si>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</si>
  <si>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實績對前次指引；</t>
    </r>
    <r>
      <rPr>
        <b val="true"/>
        <sz val="11"/>
        <rFont val="Cambria"/>
        <family val="0"/>
        <charset val="1"/>
      </rPr>
      <t xml:space="preserve">FY27Q2 </t>
    </r>
    <r>
      <rPr>
        <b val="true"/>
        <sz val="11"/>
        <rFont val="Noto Sans CJK SC"/>
        <family val="2"/>
      </rPr>
      <t xml:space="preserve">指引對模型第二至第四季平均——季節性未調整，只作量級參考）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</si>
  <si>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指引中點：合併營收</t>
    </r>
  </si>
  <si>
    <r>
      <rPr>
        <sz val="11"/>
        <color theme="1"/>
        <rFont val="Noto Sans CJK SC"/>
        <family val="2"/>
      </rPr>
      <t xml:space="preserve">實績高於指引上緣 </t>
    </r>
    <r>
      <rPr>
        <sz val="11"/>
        <color theme="1"/>
        <rFont val="Calibri"/>
        <family val="2"/>
        <charset val="1"/>
      </rPr>
      <t xml:space="preserve">90.95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</si>
  <si>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指引中點：</t>
    </r>
    <r>
      <rPr>
        <sz val="11"/>
        <color theme="1"/>
        <rFont val="Calibri"/>
        <family val="2"/>
        <charset val="1"/>
      </rPr>
      <t xml:space="preserve">Agents and Infra</t>
    </r>
  </si>
  <si>
    <r>
      <rPr>
        <sz val="11"/>
        <color theme="1"/>
        <rFont val="Calibri"/>
        <family val="2"/>
        <charset val="1"/>
      </rPr>
      <t xml:space="preserve">Azure 48%</t>
    </r>
    <r>
      <rPr>
        <sz val="11"/>
        <color theme="1"/>
        <rFont val="Noto Sans CJK SC"/>
        <family val="2"/>
      </rPr>
      <t xml:space="preserve">（指引 </t>
    </r>
    <r>
      <rPr>
        <sz val="11"/>
        <color theme="1"/>
        <rFont val="Calibri"/>
        <family val="2"/>
        <charset val="1"/>
      </rPr>
      <t xml:space="preserve">44–45%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</si>
  <si>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指引中點：</t>
    </r>
    <r>
      <rPr>
        <sz val="11"/>
        <color theme="1"/>
        <rFont val="Calibri"/>
        <family val="2"/>
        <charset val="1"/>
      </rPr>
      <t xml:space="preserve">Devices and Consumer</t>
    </r>
  </si>
  <si>
    <r>
      <rPr>
        <sz val="11"/>
        <color theme="1"/>
        <rFont val="Noto Sans CJK SC"/>
        <family val="2"/>
      </rPr>
      <t xml:space="preserve">搜尋與廣告、</t>
    </r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優於預期；</t>
    </r>
    <r>
      <rPr>
        <sz val="11"/>
        <color theme="1"/>
        <rFont val="Calibri"/>
        <family val="2"/>
        <charset val="1"/>
      </rPr>
      <t xml:space="preserve">Windows OEM </t>
    </r>
    <r>
      <rPr>
        <sz val="11"/>
        <color theme="1"/>
        <rFont val="Noto Sans CJK SC"/>
        <family val="2"/>
      </rPr>
      <t xml:space="preserve">低於預期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</si>
  <si>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</si>
  <si>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指引：資本支出（公司口徑）</t>
    </r>
  </si>
  <si>
    <t xml:space="preserve">低於指引：第三方產能交付延後（法說）</t>
  </si>
  <si>
    <r>
      <rPr>
        <sz val="11"/>
        <color theme="1"/>
        <rFont val="Calibri"/>
        <family val="2"/>
        <charset val="1"/>
      </rPr>
      <t xml:space="preserve">Agents and Infra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指引中點年增</t>
    </r>
  </si>
  <si>
    <r>
      <rPr>
        <sz val="11"/>
        <color theme="1"/>
        <rFont val="Noto Sans CJK SC"/>
        <family val="2"/>
      </rPr>
      <t xml:space="preserve">模型年增為第二至第四季合計對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同期；指引為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中點對 </t>
    </r>
    <r>
      <rPr>
        <sz val="11"/>
        <color theme="1"/>
        <rFont val="Calibri"/>
        <family val="2"/>
        <charset val="1"/>
      </rPr>
      <t xml:space="preserve">FY26Q2</t>
    </r>
  </si>
  <si>
    <r>
      <rPr>
        <sz val="11"/>
        <color theme="1"/>
        <rFont val="Calibri"/>
        <family val="2"/>
        <charset val="1"/>
      </rPr>
      <t xml:space="preserve">Devices and Consumer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指引中點年增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</si>
  <si>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第二季旺季；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見下</t>
    </r>
  </si>
  <si>
    <r>
      <rPr>
        <sz val="11"/>
        <color theme="1"/>
        <rFont val="Noto Sans CJK SC"/>
        <family val="2"/>
      </rPr>
      <t xml:space="preserve">合併營收：第二至第四季年增（模型）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指引中點年增</t>
    </r>
  </si>
  <si>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</si>
  <si>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路徑推得（不以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營收回推，</t>
    </r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</si>
  <si>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mid-thirties </t>
    </r>
    <r>
      <rPr>
        <sz val="11"/>
        <color theme="1"/>
        <rFont val="Noto Sans CJK SC"/>
        <family val="2"/>
      </rPr>
      <t xml:space="preserve">衰退）</t>
    </r>
  </si>
  <si>
    <r>
      <rPr>
        <sz val="11"/>
        <color theme="1"/>
        <rFont val="Noto Sans CJK SC"/>
        <family val="2"/>
      </rPr>
      <t xml:space="preserve">觀點：非命題產品線依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年增收斂，未套用季度指引（指引只作對照）；差額約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十億美元營收</t>
    </r>
  </si>
  <si>
    <r>
      <rPr>
        <sz val="11"/>
        <color theme="1"/>
        <rFont val="Noto Sans CJK SC"/>
        <family val="2"/>
      </rPr>
      <t xml:space="preserve">營業利益率變動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公司「下降不到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個百分點」</t>
    </r>
  </si>
  <si>
    <r>
      <rPr>
        <sz val="11"/>
        <color theme="1"/>
        <rFont val="Noto Sans CJK SC"/>
        <family val="2"/>
      </rPr>
      <t xml:space="preserve">觀點：模型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增加較多（</t>
    </r>
    <r>
      <rPr>
        <sz val="11"/>
        <color theme="1"/>
        <rFont val="Calibri"/>
        <family val="2"/>
        <charset val="1"/>
      </rPr>
      <t xml:space="preserve">AI IT 6 </t>
    </r>
    <r>
      <rPr>
        <sz val="11"/>
        <color theme="1"/>
        <rFont val="Noto Sans CJK SC"/>
        <family val="2"/>
      </rPr>
      <t xml:space="preserve">年、首年半年慣例）；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營業利益率實際 </t>
    </r>
    <r>
      <rPr>
        <sz val="11"/>
        <color theme="1"/>
        <rFont val="Calibri"/>
        <family val="2"/>
        <charset val="1"/>
      </rPr>
      <t xml:space="preserve">+1.0pt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</si>
  <si>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指引推估（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對帳目標）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</si>
  <si>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重解後落差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對帳落差列）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</si>
  <si>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命題驗證列（</t>
    </r>
    <r>
      <rPr>
        <b val="true"/>
        <sz val="11"/>
        <rFont val="Cambria"/>
        <family val="0"/>
        <charset val="1"/>
      </rPr>
      <t xml:space="preserve">C3</t>
    </r>
    <r>
      <rPr>
        <b val="true"/>
        <sz val="11"/>
        <rFont val="Noto Sans CJK SC"/>
        <family val="2"/>
      </rPr>
      <t xml:space="preserve">：只作驗證，不回頭校準）</t>
    </r>
  </si>
  <si>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業務年化（</t>
    </r>
    <r>
      <rPr>
        <sz val="11"/>
        <color theme="1"/>
        <rFont val="Calibri"/>
        <family val="2"/>
        <charset val="1"/>
      </rPr>
      <t xml:space="preserve">FY26Q3 &gt;37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</si>
  <si>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公司數字為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年化（期末水準），模型為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全年平均；要對上須期末對外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約多 </t>
    </r>
    <r>
      <rPr>
        <sz val="11"/>
        <color theme="1"/>
        <rFont val="Calibri"/>
        <family val="2"/>
        <charset val="1"/>
      </rPr>
      <t xml:space="preserve">20%–30%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</si>
  <si>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占比（模型）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</si>
  <si>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占比（不存在）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</si>
  <si>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（模型估計）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</si>
  <si>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營收（不存在）；座席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百萬（</t>
    </r>
    <r>
      <rPr>
        <sz val="11"/>
        <color theme="1"/>
        <rFont val="Calibri"/>
        <family val="2"/>
        <charset val="1"/>
      </rPr>
      <t xml:space="preserve">FY26Q4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未更新座席（只說日活躍季增近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</si>
  <si>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Azure AI FY2027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的營收 </t>
    </r>
    <r>
      <rPr>
        <sz val="11"/>
        <color theme="1"/>
        <rFont val="Calibri"/>
        <family val="2"/>
        <charset val="1"/>
      </rPr>
      <t xml:space="preserve">FY27Q1 ×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關係人揭露，含分潤）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</si>
  <si>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營收含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算力與分潤，不等於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；模型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含所有對外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客戶。只作量級驗證，不回推 </t>
    </r>
    <r>
      <rPr>
        <sz val="11"/>
        <color theme="1"/>
        <rFont val="Calibri"/>
        <family val="2"/>
        <charset val="1"/>
      </rPr>
      <t xml:space="preserve">k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</si>
  <si>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產品線層級市場共識</t>
    </r>
  </si>
  <si>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</si>
  <si>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新產品線口徑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才公布；免費資料源無產品線共識）</t>
    </r>
  </si>
  <si>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</si>
  <si>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</si>
  <si>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</si>
  <si>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</si>
  <si>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</si>
  <si>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</si>
  <si>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：市場共識</t>
    </r>
  </si>
  <si>
    <r>
      <rPr>
        <b val="true"/>
        <sz val="11"/>
        <rFont val="Cambria"/>
        <family val="0"/>
        <charset val="1"/>
      </rPr>
      <t xml:space="preserve">5. v0.3 → v0.3.1</t>
    </r>
    <r>
      <rPr>
        <b val="true"/>
        <sz val="11"/>
        <rFont val="Noto Sans CJK SC"/>
        <family val="2"/>
      </rPr>
      <t xml:space="preserve">：加權目標價變動拆解（依序累加；每步以 </t>
    </r>
    <r>
      <rPr>
        <b val="true"/>
        <sz val="11"/>
        <rFont val="Cambria"/>
        <family val="0"/>
        <charset val="1"/>
      </rPr>
      <t xml:space="preserve">LibreOffice </t>
    </r>
    <r>
      <rPr>
        <b val="true"/>
        <sz val="11"/>
        <rFont val="Noto Sans CJK SC"/>
        <family val="2"/>
      </rPr>
      <t xml:space="preserve">整本重算；</t>
    </r>
    <r>
      <rPr>
        <b val="true"/>
        <sz val="11"/>
        <rFont val="Cambria"/>
        <family val="0"/>
        <charset val="1"/>
      </rPr>
      <t xml:space="preserve">microsoft/attrib_v031.py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</si>
  <si>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加權目標價（以本程式 </t>
    </r>
    <r>
      <rPr>
        <sz val="11"/>
        <color theme="1"/>
        <rFont val="Calibri"/>
        <family val="2"/>
        <charset val="1"/>
      </rPr>
      <t xml:space="preserve">--legacy-q1 </t>
    </r>
    <r>
      <rPr>
        <sz val="11"/>
        <color theme="1"/>
        <rFont val="Noto Sans CJK SC"/>
        <family val="2"/>
      </rPr>
      <t xml:space="preserve">等設定重現；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385.56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</si>
  <si>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重現差 </t>
    </r>
    <r>
      <rPr>
        <sz val="11"/>
        <color theme="1"/>
        <rFont val="Calibri"/>
        <family val="2"/>
        <charset val="1"/>
      </rPr>
      <t xml:space="preserve">+0.000200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</si>
  <si>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時間推移：目標價時點 </t>
    </r>
    <r>
      <rPr>
        <sz val="11"/>
        <color theme="1"/>
        <rFont val="Calibri"/>
        <family val="2"/>
        <charset val="1"/>
      </rPr>
      <t xml:space="preserve">2027-10-27 → 2027-10-29</t>
    </r>
    <r>
      <rPr>
        <sz val="11"/>
        <color theme="1"/>
        <rFont val="Noto Sans CJK SC"/>
        <family val="2"/>
      </rPr>
      <t xml:space="preserve">（評價日移到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在模型自洽時不改價值，其實際影響併入 </t>
    </r>
    <r>
      <rPr>
        <sz val="11"/>
        <color theme="1"/>
        <rFont val="Calibri"/>
        <family val="2"/>
        <charset val="1"/>
      </rPr>
      <t xml:space="preserve">(b)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</si>
  <si>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385.84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1 315.50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</si>
  <si>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新季實績：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滾入（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模型；評價日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的現金、債務、租賃、股數）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</si>
  <si>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386.26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1 316.03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</si>
  <si>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公司指引與 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資本支出推估 </t>
    </r>
    <r>
      <rPr>
        <sz val="11"/>
        <color theme="1"/>
        <rFont val="Calibri"/>
        <family val="2"/>
        <charset val="1"/>
      </rPr>
      <t xml:space="preserve">204.2</t>
    </r>
    <r>
      <rPr>
        <sz val="11"/>
        <color theme="1"/>
        <rFont val="Noto Sans CJK SC"/>
        <family val="2"/>
      </rPr>
      <t xml:space="preserve">（上半年 </t>
    </r>
    <r>
      <rPr>
        <sz val="11"/>
        <color theme="1"/>
        <rFont val="Calibri"/>
        <family val="2"/>
        <charset val="1"/>
      </rPr>
      <t xml:space="preserve">97.1</t>
    </r>
    <r>
      <rPr>
        <sz val="11"/>
        <color theme="1"/>
        <rFont val="Noto Sans CJK SC"/>
        <family val="2"/>
      </rPr>
      <t xml:space="preserve">＋下半年 </t>
    </r>
    <r>
      <rPr>
        <sz val="11"/>
        <color theme="1"/>
        <rFont val="Calibri"/>
        <family val="2"/>
        <charset val="1"/>
      </rPr>
      <t xml:space="preserve">107.1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速度重解（對帳落差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）；業外 −</t>
    </r>
    <r>
      <rPr>
        <sz val="11"/>
        <color theme="1"/>
        <rFont val="Calibri"/>
        <family val="2"/>
        <charset val="1"/>
      </rPr>
      <t xml:space="preserve">0.4 → −1.2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</si>
  <si>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388.05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1 313.99</t>
    </r>
  </si>
  <si>
    <r>
      <rPr>
        <sz val="11"/>
        <color theme="1"/>
        <rFont val="Calibri"/>
        <family val="2"/>
        <charset val="1"/>
      </rPr>
      <t xml:space="preserve">(d) Tokenomics v21.4 → v21.7</t>
    </r>
    <r>
      <rPr>
        <sz val="11"/>
        <color theme="1"/>
        <rFont val="Noto Sans CJK SC"/>
        <family val="2"/>
      </rPr>
      <t xml:space="preserve">（契約名稱值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差異）＋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IF_NonNV_*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</si>
  <si>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385.06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1 311.84</t>
    </r>
  </si>
  <si>
    <r>
      <rPr>
        <sz val="11"/>
        <color theme="1"/>
        <rFont val="Calibri"/>
        <family val="2"/>
        <charset val="1"/>
      </rPr>
      <t xml:space="preserve">(e)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532.60 → 531.01</t>
    </r>
    <r>
      <rPr>
        <sz val="11"/>
        <color theme="1"/>
        <rFont val="Noto Sans CJK SC"/>
        <family val="2"/>
      </rPr>
      <t xml:space="preserve">（只經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權重與回購價影響目標價）與共識（不影響目標價）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</si>
  <si>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385.07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1 311.85</t>
    </r>
  </si>
  <si>
    <r>
      <rPr>
        <sz val="11"/>
        <color theme="1"/>
        <rFont val="Calibri"/>
        <family val="2"/>
        <charset val="1"/>
      </rPr>
      <t xml:space="preserve">(f) </t>
    </r>
    <r>
      <rPr>
        <sz val="11"/>
        <color theme="1"/>
        <rFont val="Noto Sans CJK SC"/>
        <family val="2"/>
      </rPr>
      <t xml:space="preserve">其他：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25% → 24%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</si>
  <si>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384.10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1 310.88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</si>
  <si>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加權目標價（本檔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</si>
  <si>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(f) − v0.3.1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</si>
  <si>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拆解 </t>
    </r>
    <r>
      <rPr>
        <sz val="11"/>
        <color theme="1"/>
        <rFont val="Calibri"/>
        <family val="2"/>
        <charset val="1"/>
      </rPr>
      <t xml:space="preserve">JSON </t>
    </r>
    <r>
      <rPr>
        <sz val="11"/>
        <color theme="1"/>
        <rFont val="Noto Sans CJK SC"/>
        <family val="2"/>
      </rPr>
      <t xml:space="preserve">與本檔不同步時不為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（重跑 </t>
    </r>
    <r>
      <rPr>
        <sz val="11"/>
        <color theme="1"/>
        <rFont val="Calibri"/>
        <family val="2"/>
        <charset val="1"/>
      </rPr>
      <t xml:space="preserve">attrib_v031.py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</si>
  <si>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新季實績 </t>
    </r>
    <r>
      <rPr>
        <b val="true"/>
        <sz val="11"/>
        <rFont val="Cambria"/>
        <family val="0"/>
        <charset val="1"/>
      </rPr>
      <t xml:space="preserve">vs v0.3 </t>
    </r>
    <r>
      <rPr>
        <b val="true"/>
        <sz val="11"/>
        <rFont val="Noto Sans CJK SC"/>
        <family val="2"/>
      </rPr>
      <t xml:space="preserve">模型（</t>
    </r>
    <r>
      <rPr>
        <b val="true"/>
        <sz val="11"/>
        <rFont val="Cambria"/>
        <family val="0"/>
        <charset val="1"/>
      </rPr>
      <t xml:space="preserve">FY27Q1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模型季值＝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基準情境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全年 </t>
    </r>
    <r>
      <rPr>
        <b val="true"/>
        <sz val="11"/>
        <rFont val="Cambria"/>
        <family val="0"/>
        <charset val="1"/>
      </rPr>
      <t xml:space="preserve">× FY26Q1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比重）</t>
    </r>
  </si>
  <si>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</si>
  <si>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模型季值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</si>
  <si>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推得；差額歸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</si>
  <si>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GitHub Copilot </t>
    </r>
    <r>
      <rPr>
        <sz val="11"/>
        <color theme="1"/>
        <rFont val="Noto Sans CJK SC"/>
        <family val="2"/>
      </rPr>
      <t xml:space="preserve">用量帶動</t>
    </r>
  </si>
  <si>
    <t xml:space="preserve">前一年產品上市的高基期</t>
  </si>
  <si>
    <r>
      <rPr>
        <sz val="11"/>
        <color theme="1"/>
        <rFont val="Calibri"/>
        <family val="2"/>
        <charset val="1"/>
      </rPr>
      <t xml:space="preserve">Windows 10 </t>
    </r>
    <r>
      <rPr>
        <sz val="11"/>
        <color theme="1"/>
        <rFont val="Noto Sans CJK SC"/>
        <family val="2"/>
      </rPr>
      <t xml:space="preserve">終止支援的高基期、通路去庫存、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需求弱</t>
    </r>
  </si>
  <si>
    <r>
      <rPr>
        <sz val="11"/>
        <color theme="1"/>
        <rFont val="Noto Sans CJK SC"/>
        <family val="2"/>
      </rPr>
      <t xml:space="preserve">營運費用年增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低於營收</t>
    </r>
  </si>
  <si>
    <r>
      <rPr>
        <sz val="11"/>
        <color theme="1"/>
        <rFont val="Calibri"/>
        <family val="2"/>
        <charset val="1"/>
      </rPr>
      <t xml:space="preserve">Activision </t>
    </r>
    <r>
      <rPr>
        <sz val="11"/>
        <color theme="1"/>
        <rFont val="Noto Sans CJK SC"/>
        <family val="2"/>
      </rPr>
      <t xml:space="preserve">無形資產攤銷減少</t>
    </r>
  </si>
  <si>
    <t xml:space="preserve">合併營業利益</t>
  </si>
  <si>
    <r>
      <rPr>
        <sz val="11"/>
        <color theme="1"/>
        <rFont val="Noto Sans CJK SC"/>
        <family val="2"/>
      </rPr>
      <t xml:space="preserve">資本支出（公司口徑）：實績 </t>
    </r>
    <r>
      <rPr>
        <sz val="11"/>
        <color theme="1"/>
        <rFont val="Calibri"/>
        <family val="2"/>
        <charset val="1"/>
      </rPr>
      <t xml:space="preserve">vs v0.3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÷ 4</t>
    </r>
  </si>
  <si>
    <r>
      <rPr>
        <sz val="11"/>
        <color theme="1"/>
        <rFont val="Noto Sans CJK SC"/>
        <family val="2"/>
      </rPr>
      <t xml:space="preserve">第三方產能交付延後；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204.2</t>
    </r>
  </si>
  <si>
    <r>
      <rPr>
        <b val="true"/>
        <sz val="11"/>
        <rFont val="Cambria"/>
        <family val="0"/>
        <charset val="1"/>
      </rPr>
      <t xml:space="preserve">7. v0.3.1 vs v0.2.2</t>
    </r>
    <r>
      <rPr>
        <b val="true"/>
        <sz val="11"/>
        <rFont val="Noto Sans CJK SC"/>
        <family val="2"/>
      </rPr>
      <t xml:space="preserve">：目標價差異拆解（加總＝總變動；沿用 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的拆法）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</si>
  <si>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</si>
  <si>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① 評價權重 </t>
    </r>
    <r>
      <rPr>
        <sz val="11"/>
        <color theme="1"/>
        <rFont val="Calibri"/>
        <family val="2"/>
        <charset val="1"/>
      </rPr>
      <t xml:space="preserve">old_w → w_dcf</t>
    </r>
    <r>
      <rPr>
        <sz val="11"/>
        <color theme="1"/>
        <rFont val="Noto Sans CJK SC"/>
        <family val="2"/>
      </rPr>
      <t xml:space="preserve">（用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的兩條腿）</t>
    </r>
  </si>
  <si>
    <t xml:space="preserve">方法</t>
  </si>
  <si>
    <r>
      <rPr>
        <sz val="11"/>
        <color theme="1"/>
        <rFont val="Calibri"/>
        <family val="2"/>
        <charset val="1"/>
      </rPr>
      <t xml:space="preserve">② DCF </t>
    </r>
    <r>
      <rPr>
        <sz val="11"/>
        <color theme="1"/>
        <rFont val="Noto Sans CJK SC"/>
        <family val="2"/>
      </rPr>
      <t xml:space="preserve">腿：</t>
    </r>
    <r>
      <rPr>
        <sz val="11"/>
        <color theme="1"/>
        <rFont val="Calibri"/>
        <family val="2"/>
        <charset val="1"/>
      </rPr>
      <t xml:space="preserve">v0.2.2 DCF → v0.3.1 </t>
    </r>
    <r>
      <rPr>
        <sz val="11"/>
        <color theme="1"/>
        <rFont val="Noto Sans CJK SC"/>
        <family val="2"/>
      </rPr>
      <t xml:space="preserve">基準情境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</si>
  <si>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營收結構（分部＋產品線）、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折舊進損益與稅、資本支出路徑、永續期口徑</t>
    </r>
  </si>
  <si>
    <r>
      <rPr>
        <sz val="11"/>
        <color theme="1"/>
        <rFont val="Noto Sans CJK SC"/>
        <family val="2"/>
      </rPr>
      <t xml:space="preserve">③ 倍數腿：</t>
    </r>
    <r>
      <rPr>
        <sz val="11"/>
        <color theme="1"/>
        <rFont val="Calibri"/>
        <family val="2"/>
        <charset val="1"/>
      </rPr>
      <t xml:space="preserve">v0.2.2 EV/EBITDA → v0.3.1 </t>
    </r>
    <r>
      <rPr>
        <sz val="11"/>
        <color theme="1"/>
        <rFont val="Noto Sans CJK SC"/>
        <family val="2"/>
      </rPr>
      <t xml:space="preserve">基準情境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</si>
  <si>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產品線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各同業倍數（取代 </t>
    </r>
    <r>
      <rPr>
        <sz val="11"/>
        <color theme="1"/>
        <rFont val="Calibri"/>
        <family val="2"/>
        <charset val="1"/>
      </rPr>
      <t xml:space="preserve">AI 6×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加權倍數）</t>
    </r>
  </si>
  <si>
    <r>
      <rPr>
        <sz val="11"/>
        <color theme="1"/>
        <rFont val="Noto Sans CJK SC"/>
        <family val="2"/>
      </rPr>
      <t xml:space="preserve">④ 情境加權：基準情境 →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</si>
  <si>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以基準情境為點位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</si>
  <si>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加權目標價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</si>
  <si>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＋ ①＋②＋③＋④ −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</si>
  <si>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一次動一個驅動，三情境全部重算後的加權目標價（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；主值讀法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）；下方列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起為各案例的完整引擎區塊（與主模型同一個函式）</t>
    </r>
  </si>
  <si>
    <t xml:space="preserve">案例</t>
  </si>
  <si>
    <t xml:space="preserve">驅動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</si>
  <si>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</si>
  <si>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</si>
  <si>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相對基準 </t>
    </r>
    <r>
      <rPr>
        <b val="true"/>
        <sz val="11"/>
        <rFont val="Cambria"/>
        <family val="0"/>
        <charset val="1"/>
      </rPr>
      <t xml:space="preserve">%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</si>
  <si>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</t>
    </r>
  </si>
  <si>
    <r>
      <rPr>
        <sz val="11"/>
        <color theme="1"/>
        <rFont val="Noto Sans CJK SC"/>
        <family val="2"/>
      </rPr>
      <t xml:space="preserve">命題：自用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</t>
    </r>
  </si>
  <si>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不計影子效益（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</si>
  <si>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t xml:space="preserve">k −15%</t>
  </si>
  <si>
    <r>
      <rPr>
        <sz val="11"/>
        <color theme="1"/>
        <rFont val="Noto Sans CJK SC"/>
        <family val="2"/>
      </rPr>
      <t xml:space="preserve">命題：每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</si>
  <si>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同乘 </t>
    </r>
    <r>
      <rPr>
        <sz val="11"/>
        <color theme="1"/>
        <rFont val="Calibri"/>
        <family val="2"/>
        <charset val="1"/>
      </rPr>
      <t xml:space="preserve">0.85</t>
    </r>
  </si>
  <si>
    <t xml:space="preserve">k +15%</t>
  </si>
  <si>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同乘 </t>
    </r>
    <r>
      <rPr>
        <sz val="11"/>
        <color theme="1"/>
        <rFont val="Calibri"/>
        <family val="2"/>
        <charset val="1"/>
      </rPr>
      <t xml:space="preserve">1.15</t>
    </r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</si>
  <si>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50%</t>
    </r>
  </si>
  <si>
    <t xml:space="preserve">命題：對外比例</t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</si>
  <si>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＝對外 </t>
    </r>
    <r>
      <rPr>
        <sz val="11"/>
        <color theme="1"/>
        <rFont val="Calibri"/>
        <family val="2"/>
        <charset val="1"/>
      </rPr>
      <t xml:space="preserve">÷ 50%</t>
    </r>
    <r>
      <rPr>
        <sz val="11"/>
        <color theme="1"/>
        <rFont val="Noto Sans CJK SC"/>
        <family val="2"/>
      </rPr>
      <t xml:space="preserve">（同樣對外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要多建自用）</t>
    </r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</si>
  <si>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</si>
  <si>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：最大不確定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</si>
  <si>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</si>
  <si>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</si>
  <si>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+650</t>
    </r>
    <r>
      <rPr>
        <sz val="11"/>
        <color theme="1"/>
        <rFont val="Noto Sans CJK SC"/>
        <family val="2"/>
      </rPr>
      <t xml:space="preserve">、上限 </t>
    </r>
    <r>
      <rPr>
        <sz val="11"/>
        <color theme="1"/>
        <rFont val="Calibri"/>
        <family val="2"/>
        <charset val="1"/>
      </rPr>
      <t xml:space="preserve">4,386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保守情境）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</si>
  <si>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</si>
  <si>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前每年 </t>
    </r>
    <r>
      <rPr>
        <sz val="11"/>
        <color theme="1"/>
        <rFont val="Calibri"/>
        <family val="2"/>
        <charset val="1"/>
      </rPr>
      <t xml:space="preserve">+3,033</t>
    </r>
    <r>
      <rPr>
        <sz val="11"/>
        <color theme="1"/>
        <rFont val="Noto Sans CJK SC"/>
        <family val="2"/>
      </rPr>
      <t xml:space="preserve">，之後同樣收斂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</si>
  <si>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</si>
  <si>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折舊年限</t>
    </r>
  </si>
  <si>
    <t xml:space="preserve">折舊與汰換提前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</si>
  <si>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</si>
  <si>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產出比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IF_NonNV_Out_Maia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</si>
  <si>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</si>
  <si>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低端；基準 </t>
    </r>
    <r>
      <rPr>
        <sz val="11"/>
        <color theme="1"/>
        <rFont val="Calibri"/>
        <family val="2"/>
        <charset val="1"/>
      </rPr>
      <t xml:space="preserve">0.55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</si>
  <si>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產出比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IF_NonNV_Out_Maia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</si>
  <si>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高端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</si>
  <si>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座席淨增 −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</si>
  <si>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</t>
    </r>
  </si>
  <si>
    <t xml:space="preserve">各情境每年淨增座席減半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</si>
  <si>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座席淨增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</si>
  <si>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</si>
  <si>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</t>
    </r>
  </si>
  <si>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、基準實收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（預測期）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</si>
  <si>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</si>
  <si>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其他長期年增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</si>
  <si>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其他成長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</si>
  <si>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</si>
  <si>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其他長期年增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</si>
  <si>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搜尋與廣告長期年增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</si>
  <si>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Search and advertising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</si>
  <si>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</si>
  <si>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搜尋與廣告長期年增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</si>
  <si>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長期年增 −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</si>
  <si>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XBOX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</si>
  <si>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</si>
  <si>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長期年增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</si>
  <si>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分部利益率 −</t>
    </r>
    <r>
      <rPr>
        <sz val="11"/>
        <color theme="1"/>
        <rFont val="Calibri"/>
        <family val="2"/>
        <charset val="1"/>
      </rPr>
      <t xml:space="preserve">2pt</t>
    </r>
  </si>
  <si>
    <t xml:space="preserve">業務：分部利益率</t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</si>
  <si>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核心利益率與 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利益率同減</t>
    </r>
  </si>
  <si>
    <r>
      <rPr>
        <sz val="11"/>
        <color theme="1"/>
        <rFont val="Noto Sans CJK SC"/>
        <family val="2"/>
      </rPr>
      <t xml:space="preserve">分部利益率 </t>
    </r>
    <r>
      <rPr>
        <sz val="11"/>
        <color theme="1"/>
        <rFont val="Calibri"/>
        <family val="2"/>
        <charset val="1"/>
      </rPr>
      <t xml:space="preserve">+2pt</t>
    </r>
  </si>
  <si>
    <t xml:space="preserve">WACC −1pt</t>
  </si>
  <si>
    <r>
      <rPr>
        <sz val="11"/>
        <color theme="1"/>
        <rFont val="Noto Sans CJK SC"/>
        <family val="2"/>
      </rPr>
      <t xml:space="preserve">評價：</t>
    </r>
    <r>
      <rPr>
        <sz val="11"/>
        <color theme="1"/>
        <rFont val="Calibri"/>
        <family val="2"/>
        <charset val="1"/>
      </rPr>
      <t xml:space="preserve">WACC</t>
    </r>
  </si>
  <si>
    <t xml:space="preserve">只改折現（營運不變）</t>
  </si>
  <si>
    <t xml:space="preserve">WACC +1pt</t>
  </si>
  <si>
    <t xml:space="preserve">g 2%</t>
  </si>
  <si>
    <t xml:space="preserve">評價：永續成長</t>
  </si>
  <si>
    <t xml:space="preserve">g 4%</t>
  </si>
  <si>
    <t xml:space="preserve">ERP 4.5%</t>
  </si>
  <si>
    <t xml:space="preserve">評價：股權風險溢酬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</si>
  <si>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（判斷）</t>
    </r>
  </si>
  <si>
    <t xml:space="preserve">ERP 6%</t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</si>
  <si>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</si>
  <si>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評價：永續期新投資報酬</t>
  </si>
  <si>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為判斷，列敏感度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</si>
  <si>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 −</t>
    </r>
    <r>
      <rPr>
        <sz val="11"/>
        <color theme="1"/>
        <rFont val="Calibri"/>
        <family val="2"/>
        <charset val="1"/>
      </rPr>
      <t xml:space="preserve">20%</t>
    </r>
  </si>
  <si>
    <t xml:space="preserve">評價：同業倍數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</si>
  <si>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產品線倍數同乘（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模組為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，不受影響）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</si>
  <si>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+20%</t>
    </r>
  </si>
  <si>
    <r>
      <rPr>
        <b val="true"/>
        <sz val="11"/>
        <rFont val="Noto Sans CJK SC"/>
        <family val="2"/>
      </rPr>
      <t xml:space="preserve">判斷預設的替代（報告第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節）：每列只改一項，其餘同基準</t>
    </r>
  </si>
  <si>
    <t xml:space="preserve">替代</t>
  </si>
  <si>
    <t xml:space="preserve">影響範圍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</si>
  <si>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情境改用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速度（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／年，上限 </t>
    </r>
    <r>
      <rPr>
        <sz val="11"/>
        <color theme="1"/>
        <rFont val="Calibri"/>
        <family val="2"/>
        <charset val="1"/>
      </rPr>
      <t xml:space="preserve">4,386</t>
    </r>
    <r>
      <rPr>
        <sz val="11"/>
        <color theme="1"/>
        <rFont val="Noto Sans CJK SC"/>
        <family val="2"/>
      </rPr>
      <t xml:space="preserve">）</t>
    </r>
  </si>
  <si>
    <t xml:space="preserve">C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</si>
  <si>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改用長約低端（</t>
    </r>
    <r>
      <rPr>
        <sz val="11"/>
        <color theme="1"/>
        <rFont val="Calibri"/>
        <family val="2"/>
        <charset val="1"/>
      </rPr>
      <t xml:space="preserve">k_long_lo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價格軸低）</t>
    </r>
  </si>
  <si>
    <r>
      <rPr>
        <sz val="11"/>
        <color theme="1"/>
        <rFont val="Noto Sans CJK SC"/>
        <family val="2"/>
      </rPr>
      <t xml:space="preserve">永續期改用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評價用自由現金流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</t>
    </r>
  </si>
  <si>
    <t xml:space="preserve">三情境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</si>
  <si>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各線改用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自身倍數 </t>
    </r>
    <r>
      <rPr>
        <sz val="11"/>
        <color theme="1"/>
        <rFont val="Calibri"/>
        <family val="2"/>
        <charset val="1"/>
      </rPr>
      <t xml:space="preserve">15.67×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</si>
  <si>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速度改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可辨識站點（與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」比較＝讀法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下的容量效果）</t>
    </r>
  </si>
  <si>
    <r>
      <rPr>
        <sz val="11"/>
        <color theme="1"/>
        <rFont val="Noto Sans CJK SC"/>
        <family val="2"/>
      </rPr>
      <t xml:space="preserve">影子效益基準改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（修正二口徑）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</si>
  <si>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補足差額不計（資本支出低於公司指引）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</si>
  <si>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補足差額改列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（修正一口徑）</t>
    </r>
  </si>
  <si>
    <r>
      <rPr>
        <sz val="11"/>
        <color theme="1"/>
        <rFont val="Calibri"/>
        <family val="2"/>
        <charset val="1"/>
      </rPr>
      <t xml:space="preserve">Windows OEM and devices FY2027 </t>
    </r>
    <r>
      <rPr>
        <sz val="11"/>
        <color theme="1"/>
        <rFont val="Noto Sans CJK SC"/>
        <family val="2"/>
      </rPr>
      <t xml:space="preserve">第二至第四季套用指引（年減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；之後依收斂路徑）</t>
    </r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</si>
  <si>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依此重解）</t>
    </r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</si>
  <si>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速度不重解）</t>
    </r>
  </si>
  <si>
    <r>
      <rPr>
        <sz val="11"/>
        <color theme="1"/>
        <rFont val="Noto Sans CJK SC"/>
        <family val="2"/>
      </rPr>
      <t xml:space="preserve">目標價時點改 </t>
    </r>
    <r>
      <rPr>
        <sz val="11"/>
        <color theme="1"/>
        <rFont val="Calibri"/>
        <family val="2"/>
        <charset val="1"/>
      </rPr>
      <t xml:space="preserve">2028-01-27</t>
    </r>
    <r>
      <rPr>
        <sz val="11"/>
        <color theme="1"/>
        <rFont val="Noto Sans CJK SC"/>
        <family val="2"/>
      </rPr>
      <t xml:space="preserve">（工作單字面「目標價日 </t>
    </r>
    <r>
      <rPr>
        <sz val="11"/>
        <color theme="1"/>
        <rFont val="Calibri"/>
        <family val="2"/>
        <charset val="1"/>
      </rPr>
      <t xml:space="preserve">+1 </t>
    </r>
    <r>
      <rPr>
        <sz val="11"/>
        <color theme="1"/>
        <rFont val="Noto Sans CJK SC"/>
        <family val="2"/>
      </rPr>
      <t xml:space="preserve">季」）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</si>
  <si>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主值）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</si>
  <si>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（重組時比例）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</si>
  <si>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、無流動性折價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</si>
  <si>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</t>
    </r>
  </si>
  <si>
    <t xml:space="preserve">評價權重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</si>
  <si>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</si>
  <si>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情境權重改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</si>
  <si>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Noto Sans CJK SC"/>
        <family val="2"/>
      </rPr>
      <t xml:space="preserve">只用基準情境 </t>
    </r>
    <r>
      <rPr>
        <sz val="11"/>
        <color theme="1"/>
        <rFont val="Calibri"/>
        <family val="2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</si>
  <si>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讀法：龍捲風以加權目標價的變動排序；命題驅動（自用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讀法、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、對外比例、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折舊年限、</t>
    </r>
    <r>
      <rPr>
        <b val="true"/>
        <sz val="11"/>
        <rFont val="Cambria"/>
        <family val="0"/>
        <charset val="1"/>
      </rPr>
      <t xml:space="preserve">Copilot</t>
    </r>
    <r>
      <rPr>
        <b val="true"/>
        <sz val="11"/>
        <rFont val="Noto Sans CJK SC"/>
        <family val="2"/>
      </rPr>
      <t xml:space="preserve">）與業務驅動、評價參數並列。判斷預設的替代見上表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</si>
  <si>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</si>
  <si>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</si>
  <si>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</si>
  <si>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</si>
  <si>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</si>
  <si>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</si>
  <si>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</si>
  <si>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</si>
  <si>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</si>
  <si>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</si>
  <si>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</si>
  <si>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</si>
  <si>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</si>
  <si>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</si>
  <si>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</si>
  <si>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</si>
  <si>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</si>
  <si>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</si>
  <si>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</si>
  <si>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</si>
  <si>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</si>
  <si>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</si>
  <si>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</si>
  <si>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</si>
  <si>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</si>
  <si>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</si>
  <si>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</si>
  <si>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</si>
  <si>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</si>
  <si>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</si>
  <si>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</si>
  <si>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</si>
  <si>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</si>
  <si>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</si>
  <si>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</si>
  <si>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</si>
  <si>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</si>
  <si>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</si>
  <si>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</si>
  <si>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</si>
  <si>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</si>
  <si>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</si>
  <si>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</si>
  <si>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</si>
  <si>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</si>
  <si>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</si>
  <si>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</si>
  <si>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</si>
  <si>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</si>
  <si>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</si>
  <si>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</si>
  <si>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</si>
  <si>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</si>
  <si>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</si>
  <si>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</si>
  <si>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</si>
  <si>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</si>
  <si>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</si>
  <si>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</si>
  <si>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</si>
  <si>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</si>
  <si>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</si>
  <si>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</si>
  <si>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</si>
  <si>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</si>
  <si>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</si>
  <si>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</si>
  <si>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</si>
  <si>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</si>
  <si>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</si>
  <si>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</si>
  <si>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</si>
  <si>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</si>
  <si>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</si>
  <si>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</si>
  <si>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</si>
  <si>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</si>
  <si>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</si>
  <si>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</si>
  <si>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</si>
  <si>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</si>
  <si>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</si>
  <si>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</si>
  <si>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</si>
  <si>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</si>
  <si>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</si>
  <si>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</si>
  <si>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</si>
  <si>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</si>
  <si>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</si>
  <si>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</si>
  <si>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</si>
  <si>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</si>
  <si>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</si>
  <si>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</si>
  <si>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</si>
  <si>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</si>
  <si>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</si>
  <si>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</si>
  <si>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</si>
  <si>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</si>
  <si>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</si>
  <si>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</si>
  <si>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</si>
  <si>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</si>
  <si>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</si>
  <si>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</si>
  <si>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</si>
  <si>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</si>
  <si>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</si>
  <si>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</si>
  <si>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</si>
  <si>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</si>
  <si>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</si>
  <si>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</si>
  <si>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</si>
  <si>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</si>
  <si>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</si>
  <si>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</si>
  <si>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</si>
  <si>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</si>
  <si>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</si>
  <si>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</si>
  <si>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</si>
  <si>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</si>
  <si>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</si>
  <si>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</si>
  <si>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</si>
  <si>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</si>
  <si>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</si>
  <si>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</si>
  <si>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</si>
  <si>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</si>
  <si>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</si>
  <si>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</si>
  <si>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</si>
  <si>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</si>
  <si>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</si>
  <si>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</si>
  <si>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</si>
  <si>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</si>
  <si>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</si>
  <si>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</si>
  <si>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</si>
  <si>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</si>
  <si>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</si>
  <si>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</si>
  <si>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</si>
  <si>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</si>
  <si>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</si>
  <si>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</si>
  <si>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</si>
  <si>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</si>
  <si>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</si>
  <si>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</si>
  <si>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</si>
  <si>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</si>
  <si>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</si>
  <si>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</si>
  <si>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</si>
  <si>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</si>
  <si>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</si>
  <si>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</si>
  <si>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</si>
  <si>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</si>
  <si>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</si>
  <si>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</si>
  <si>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</si>
  <si>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</si>
  <si>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</si>
  <si>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</si>
  <si>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</si>
  <si>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</si>
  <si>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</si>
  <si>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</si>
  <si>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</si>
  <si>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</si>
  <si>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</si>
  <si>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</si>
  <si>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</si>
  <si>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</si>
  <si>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</si>
  <si>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</si>
  <si>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</si>
  <si>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</si>
  <si>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</si>
  <si>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</si>
  <si>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</si>
  <si>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</si>
  <si>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</si>
  <si>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</si>
  <si>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</si>
  <si>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</si>
  <si>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</si>
  <si>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</si>
  <si>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</si>
  <si>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</si>
  <si>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</si>
  <si>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</si>
  <si>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</si>
  <si>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</si>
  <si>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</si>
  <si>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</si>
  <si>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</si>
  <si>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</si>
  <si>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</si>
  <si>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</si>
  <si>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</si>
  <si>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</si>
  <si>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</si>
  <si>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</si>
  <si>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</si>
  <si>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</si>
  <si>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</si>
  <si>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</si>
  <si>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</si>
  <si>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</si>
  <si>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</si>
  <si>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</si>
  <si>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</si>
  <si>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</si>
  <si>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</si>
  <si>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</si>
  <si>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</si>
  <si>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</si>
  <si>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</si>
  <si>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</si>
  <si>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</si>
  <si>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</si>
  <si>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</si>
  <si>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</si>
  <si>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</si>
  <si>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</si>
  <si>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</si>
  <si>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</si>
  <si>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</si>
  <si>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</si>
  <si>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</si>
  <si>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</si>
  <si>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</si>
  <si>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</si>
  <si>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</si>
  <si>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</si>
  <si>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</si>
  <si>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</si>
  <si>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</si>
  <si>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</si>
  <si>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</si>
  <si>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</si>
  <si>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</si>
  <si>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</si>
  <si>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</si>
  <si>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</si>
  <si>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</si>
  <si>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</si>
  <si>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</si>
  <si>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</si>
  <si>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</si>
  <si>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</si>
  <si>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</si>
  <si>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</si>
  <si>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</si>
  <si>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</si>
  <si>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</si>
  <si>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</si>
  <si>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</si>
  <si>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</si>
  <si>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</si>
  <si>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</si>
  <si>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</si>
  <si>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</si>
  <si>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</si>
  <si>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</si>
  <si>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</si>
  <si>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</si>
  <si>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</si>
  <si>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</si>
  <si>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</si>
  <si>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</si>
  <si>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</si>
  <si>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</si>
  <si>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</si>
  <si>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</si>
  <si>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</si>
  <si>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</si>
  <si>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</si>
  <si>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</si>
  <si>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</si>
  <si>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</si>
  <si>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</si>
  <si>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</si>
  <si>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</si>
  <si>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</si>
  <si>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</si>
  <si>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</si>
  <si>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</si>
  <si>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</si>
  <si>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</si>
  <si>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</si>
  <si>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</si>
  <si>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</si>
  <si>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</si>
  <si>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</si>
  <si>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</si>
  <si>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</si>
  <si>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</si>
  <si>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</si>
  <si>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</si>
  <si>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</si>
  <si>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</si>
  <si>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</si>
  <si>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</si>
  <si>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</si>
  <si>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</si>
  <si>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</si>
  <si>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</si>
  <si>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</si>
  <si>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</si>
  <si>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</si>
  <si>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</si>
  <si>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</si>
  <si>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</si>
  <si>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</si>
  <si>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</si>
  <si>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</si>
  <si>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</si>
  <si>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</si>
  <si>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</si>
  <si>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</si>
  <si>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</si>
  <si>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</si>
  <si>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</si>
  <si>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</si>
  <si>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</si>
  <si>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</si>
  <si>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</si>
  <si>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</si>
  <si>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</si>
  <si>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</si>
  <si>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</si>
  <si>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</si>
  <si>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</si>
  <si>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</si>
  <si>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</si>
  <si>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</si>
  <si>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</si>
  <si>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</si>
  <si>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</si>
  <si>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</si>
  <si>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</si>
  <si>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</si>
  <si>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</si>
  <si>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</si>
  <si>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</si>
  <si>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</si>
  <si>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</si>
  <si>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</si>
  <si>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4.5%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</si>
  <si>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4.5%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</si>
  <si>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4.5%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</si>
  <si>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6%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</si>
  <si>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6%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</si>
  <si>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6%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</si>
  <si>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</si>
  <si>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</si>
  <si>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</si>
  <si>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</si>
  <si>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</si>
  <si>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</si>
  <si>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</si>
  <si>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</si>
  <si>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</si>
  <si>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</si>
  <si>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</si>
  <si>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</si>
  <si>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</si>
  <si>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</si>
  <si>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</si>
  <si>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</si>
  <si>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</si>
  <si>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</si>
  <si>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</si>
  <si>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</si>
  <si>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永續期自由現金流（替代：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評價用自由現金流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</si>
  <si>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</si>
  <si>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</si>
  <si>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</si>
  <si>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</si>
  <si>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</si>
  <si>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</si>
  <si>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</si>
  <si>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</si>
  <si>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</si>
  <si>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</si>
  <si>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</si>
  <si>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</si>
  <si>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</si>
  <si>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</si>
  <si>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</si>
  <si>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</si>
  <si>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</si>
  <si>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</si>
  <si>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</si>
  <si>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</si>
  <si>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</si>
  <si>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</si>
  <si>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</si>
  <si>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</si>
  <si>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</si>
  <si>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</si>
  <si>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</si>
  <si>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</si>
  <si>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</si>
  <si>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</si>
  <si>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</si>
  <si>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</si>
  <si>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</si>
  <si>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</si>
  <si>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</si>
  <si>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</si>
  <si>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</si>
  <si>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</si>
  <si>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</si>
  <si>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</si>
  <si>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</si>
  <si>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</si>
  <si>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</si>
  <si>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</si>
  <si>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</si>
  <si>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</si>
  <si>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</si>
  <si>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</si>
  <si>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</si>
  <si>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</si>
  <si>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</si>
  <si>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</si>
  <si>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</si>
  <si>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</si>
  <si>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</si>
  <si>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</si>
  <si>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</si>
  <si>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</si>
  <si>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</si>
  <si>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</si>
  <si>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</si>
  <si>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</si>
  <si>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</si>
  <si>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</si>
  <si>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</si>
  <si>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</si>
  <si>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</si>
  <si>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</si>
  <si>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</si>
  <si>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</si>
  <si>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</si>
  <si>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</si>
  <si>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</si>
  <si>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</si>
  <si>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</si>
  <si>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</si>
  <si>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</si>
  <si>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</si>
  <si>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</si>
  <si>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</si>
  <si>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</si>
  <si>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</si>
  <si>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</si>
  <si>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</si>
  <si>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</si>
  <si>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</si>
  <si>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</si>
  <si>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</si>
  <si>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</si>
  <si>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</si>
  <si>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</si>
  <si>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</si>
  <si>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</si>
  <si>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</si>
  <si>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</si>
  <si>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</si>
  <si>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</si>
  <si>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</si>
  <si>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</si>
  <si>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</si>
  <si>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</si>
  <si>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</si>
  <si>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</si>
  <si>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</si>
  <si>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</si>
  <si>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</si>
  <si>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</si>
  <si>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</si>
  <si>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</si>
  <si>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</si>
  <si>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判斷替代「目標價時點改 </t>
    </r>
    <r>
      <rPr>
        <b val="true"/>
        <sz val="11"/>
        <rFont val="Cambria"/>
        <family val="0"/>
        <charset val="1"/>
      </rPr>
      <t xml:space="preserve">2028-01-27</t>
    </r>
    <r>
      <rPr>
        <b val="true"/>
        <sz val="11"/>
        <rFont val="Noto Sans CJK SC"/>
        <family val="2"/>
      </rPr>
      <t xml:space="preserve">（工作單字面「目標價日 </t>
    </r>
    <r>
      <rPr>
        <b val="true"/>
        <sz val="11"/>
        <rFont val="Cambria"/>
        <family val="0"/>
        <charset val="1"/>
      </rPr>
      <t xml:space="preserve">+1 </t>
    </r>
    <r>
      <rPr>
        <b val="true"/>
        <sz val="11"/>
        <rFont val="Noto Sans CJK SC"/>
        <family val="2"/>
      </rPr>
      <t xml:space="preserve">季」）」｜情境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</si>
  <si>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判斷替代「目標價時點改 </t>
    </r>
    <r>
      <rPr>
        <b val="true"/>
        <sz val="11"/>
        <rFont val="Cambria"/>
        <family val="0"/>
        <charset val="1"/>
      </rPr>
      <t xml:space="preserve">2028-01-27</t>
    </r>
    <r>
      <rPr>
        <b val="true"/>
        <sz val="11"/>
        <rFont val="Noto Sans CJK SC"/>
        <family val="2"/>
      </rPr>
      <t xml:space="preserve">（工作單字面「目標價日 </t>
    </r>
    <r>
      <rPr>
        <b val="true"/>
        <sz val="11"/>
        <rFont val="Cambria"/>
        <family val="0"/>
        <charset val="1"/>
      </rPr>
      <t xml:space="preserve">+1 </t>
    </r>
    <r>
      <rPr>
        <b val="true"/>
        <sz val="11"/>
        <rFont val="Noto Sans CJK SC"/>
        <family val="2"/>
      </rPr>
      <t xml:space="preserve">季」）」｜情境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</si>
  <si>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判斷替代「目標價時點改 </t>
    </r>
    <r>
      <rPr>
        <b val="true"/>
        <sz val="11"/>
        <rFont val="Cambria"/>
        <family val="0"/>
        <charset val="1"/>
      </rPr>
      <t xml:space="preserve">2028-01-27</t>
    </r>
    <r>
      <rPr>
        <b val="true"/>
        <sz val="11"/>
        <rFont val="Noto Sans CJK SC"/>
        <family val="2"/>
      </rPr>
      <t xml:space="preserve">（工作單字面「目標價日 </t>
    </r>
    <r>
      <rPr>
        <b val="true"/>
        <sz val="11"/>
        <rFont val="Cambria"/>
        <family val="0"/>
        <charset val="1"/>
      </rPr>
      <t xml:space="preserve">+1 </t>
    </r>
    <r>
      <rPr>
        <b val="true"/>
        <sz val="11"/>
        <rFont val="Noto Sans CJK SC"/>
        <family val="2"/>
      </rPr>
      <t xml:space="preserve">季」）」｜情境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</si>
  <si>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 10-K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主值）」｜情境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</si>
  <si>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 10-K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主值）」｜情境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</si>
  <si>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 10-K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主值）」｜情境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</si>
  <si>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</si>
  <si>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</si>
  <si>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</si>
  <si>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</si>
  <si>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</si>
  <si>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</si>
  <si>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t xml:space="preserve">編號</t>
  </si>
  <si>
    <t xml:space="preserve">文件</t>
  </si>
  <si>
    <t xml:space="preserve">網址</t>
  </si>
  <si>
    <r>
      <rPr>
        <sz val="11"/>
        <color theme="1"/>
        <rFont val="Calibri"/>
        <family val="2"/>
        <charset val="1"/>
      </rPr>
      <t xml:space="preserve">Microsoft Form 10-K FY2026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，經查核）</t>
    </r>
  </si>
  <si>
    <t xml:space="preserve">2026-07-29</t>
  </si>
  <si>
    <t xml:space="preserve">https://www.sec.gov/Archives/edgar/data/789019/000119312526323660/msft-20260630.htm</t>
  </si>
  <si>
    <r>
      <rPr>
        <sz val="11"/>
        <color theme="1"/>
        <rFont val="Calibri"/>
        <family val="2"/>
        <charset val="1"/>
      </rPr>
      <t xml:space="preserve">Microsoft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Segments and Investor Metrics</t>
    </r>
    <r>
      <rPr>
        <sz val="11"/>
        <color theme="1"/>
        <rFont val="Noto Sans CJK SC"/>
        <family val="2"/>
      </rPr>
      <t xml:space="preserve">（分部重編、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金額、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調整後指引）</t>
    </r>
  </si>
  <si>
    <t xml:space="preserve">2026-09-02</t>
  </si>
  <si>
    <t xml:space="preserve">https://www.sec.gov/Archives/edgar/data/789019/000119312526380280/d291965dex991.htm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</si>
  <si>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</si>
  <si>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Microsoft FY26 </t>
    </r>
    <r>
      <rPr>
        <sz val="11"/>
        <color theme="1"/>
        <rFont val="Noto Sans CJK SC"/>
        <family val="2"/>
      </rPr>
      <t xml:space="preserve">各季財報新聞稿與法說（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網站）</t>
    </r>
  </si>
  <si>
    <r>
      <rPr>
        <sz val="11"/>
        <color theme="1"/>
        <rFont val="Calibri"/>
        <family val="2"/>
        <charset val="1"/>
      </rPr>
      <t xml:space="preserve">2025-10-29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2026-07-29</t>
    </r>
  </si>
  <si>
    <t xml:space="preserve">https://www.microsoft.com/en-us/investor/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</si>
  <si>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</si>
  <si>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事實總帳（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起；每筆附來源、日期、標記）</t>
    </r>
  </si>
  <si>
    <t xml:space="preserve">microsoft/data/microsoft_facts_20261008.json</t>
  </si>
  <si>
    <t xml:space="preserve">依各筆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</si>
  <si>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 快照</t>
    </r>
  </si>
  <si>
    <t xml:space="preserve">2026-10-29</t>
  </si>
  <si>
    <t xml:space="preserve">microsoft/data/tokenomics_snapshot_v21.7.json</t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</si>
  <si>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</si>
  <si>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</si>
  <si>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mag/extract/docs/2026Q3/microsoft_FY27Q1_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.docx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提供）</t>
    </r>
  </si>
  <si>
    <r>
      <rPr>
        <sz val="11"/>
        <color theme="1"/>
        <rFont val="Calibri"/>
        <family val="2"/>
        <charset val="1"/>
      </rPr>
      <t xml:space="preserve">Microsoft FY27Q1 IR </t>
    </r>
    <r>
      <rPr>
        <sz val="11"/>
        <color theme="1"/>
        <rFont val="Noto Sans CJK SC"/>
        <family val="2"/>
      </rPr>
      <t xml:space="preserve">財務報表（</t>
    </r>
    <r>
      <rPr>
        <sz val="11"/>
        <color theme="1"/>
        <rFont val="Calibri"/>
        <family val="2"/>
        <charset val="1"/>
      </rPr>
      <t xml:space="preserve">Segment History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Products &amp; Services History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Metrics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</si>
  <si>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mag/extract/docs/2026Q3/microsoft_FY27Q1_</t>
    </r>
    <r>
      <rPr>
        <sz val="11"/>
        <color theme="1"/>
        <rFont val="Noto Sans CJK SC"/>
        <family val="2"/>
      </rPr>
      <t xml:space="preserve">財務報表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</si>
  <si>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Calibri"/>
        <family val="2"/>
        <charset val="1"/>
      </rPr>
      <t xml:space="preserve">Microsoft Form 10-Q FY27Q1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，未經查核）</t>
    </r>
  </si>
  <si>
    <t xml:space="preserve">mag/extract/docs/2026Q3/microsoft_FY27Q1_10-Q.docx</t>
  </si>
  <si>
    <r>
      <rPr>
        <sz val="11"/>
        <color theme="1"/>
        <rFont val="Calibri"/>
        <family val="2"/>
        <charset val="1"/>
      </rPr>
      <t xml:space="preserve">Microsoft FY27Q2 </t>
    </r>
    <r>
      <rPr>
        <sz val="11"/>
        <color theme="1"/>
        <rFont val="Noto Sans CJK SC"/>
        <family val="2"/>
      </rPr>
      <t xml:space="preserve">展望簡報（圖片；逐頁看圖）</t>
    </r>
  </si>
  <si>
    <r>
      <rPr>
        <sz val="11"/>
        <color theme="1"/>
        <rFont val="Calibri"/>
        <family val="2"/>
        <charset val="1"/>
      </rPr>
      <t xml:space="preserve">mag/extract/docs/2026Q3/microsoft_FY27Q2_</t>
    </r>
    <r>
      <rPr>
        <sz val="11"/>
        <color theme="1"/>
        <rFont val="Noto Sans CJK SC"/>
        <family val="2"/>
      </rPr>
      <t xml:space="preserve">展望簡報</t>
    </r>
    <r>
      <rPr>
        <sz val="11"/>
        <color theme="1"/>
        <rFont val="Calibri"/>
        <family val="2"/>
        <charset val="1"/>
      </rPr>
      <t xml:space="preserve">.pptx</t>
    </r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</si>
  <si>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法說逐字稿（不在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；只引用必要數字與短語）</t>
    </r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</si>
  <si>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事實總帳（兩次讀取核對）</t>
    </r>
  </si>
  <si>
    <t xml:space="preserve">microsoft/data/microsoft_facts_FY27Q1_20261029.json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</si>
  <si>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證據（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長約、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指數、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牌價）</t>
    </r>
  </si>
  <si>
    <t xml:space="preserve">microsoft/data/kevidence_microsoft_20261008.json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</si>
  <si>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</si>
  <si>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</si>
  <si>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報價頁（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</si>
  <si>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https://www.marketbeat.com/stocks/nasdaq/msft/chart</t>
  </si>
  <si>
    <r>
      <rPr>
        <sz val="11"/>
        <color theme="1"/>
        <rFont val="Calibri"/>
        <family val="2"/>
        <charset val="1"/>
      </rPr>
      <t xml:space="preserve">247wallst </t>
    </r>
    <r>
      <rPr>
        <sz val="11"/>
        <color theme="1"/>
        <rFont val="Noto Sans CJK SC"/>
        <family val="2"/>
      </rPr>
      <t xml:space="preserve">財報直播頁（報價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0.06%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4.72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90.75</t>
    </r>
    <r>
      <rPr>
        <sz val="11"/>
        <color theme="1"/>
        <rFont val="Noto Sans CJK SC"/>
        <family val="2"/>
      </rPr>
      <t xml:space="preserve">）</t>
    </r>
  </si>
  <si>
    <t xml:space="preserve">https://247wallst.com/investing/2026/10/28/live-will-microsoft-crush-q1-earnings-tonight-after-the-bell/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</si>
  <si>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共識目標價 </t>
    </r>
    <r>
      <rPr>
        <sz val="11"/>
        <color theme="1"/>
        <rFont val="Calibri"/>
        <family val="2"/>
        <charset val="1"/>
      </rPr>
      <t xml:space="preserve">605.12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391.58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19.76</t>
    </r>
    <r>
      <rPr>
        <sz val="11"/>
        <color theme="1"/>
        <rFont val="Noto Sans CJK SC"/>
        <family val="2"/>
      </rPr>
      <t xml:space="preserve">）</t>
    </r>
  </si>
  <si>
    <t xml:space="preserve">2026-10-27</t>
  </si>
  <si>
    <t xml:space="preserve">https://stockanalysis.com/stocks/msft/forecast/</t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</si>
  <si>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預測頁（共識目標價 </t>
    </r>
    <r>
      <rPr>
        <sz val="11"/>
        <color theme="1"/>
        <rFont val="Calibri"/>
        <family val="2"/>
        <charset val="1"/>
      </rPr>
      <t xml:space="preserve">596.07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位）</t>
    </r>
  </si>
  <si>
    <t xml:space="preserve">https://www.marketbeat.com/stocks/NASDAQ/MSFT/forecast/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</si>
  <si>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</t>
    </r>
  </si>
  <si>
    <t xml:space="preserve">microsoft/data/peers_cloud_20261008.json</t>
  </si>
  <si>
    <r>
      <rPr>
        <sz val="11"/>
        <color theme="1"/>
        <rFont val="Noto Sans CJK SC"/>
        <family val="2"/>
      </rPr>
      <t xml:space="preserve">數位廣告同業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</t>
    </r>
  </si>
  <si>
    <t xml:space="preserve">microsoft/data/peers_ads_20261009.json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</si>
  <si>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命題與驅動對照表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C1–C23</t>
    </r>
    <r>
      <rPr>
        <sz val="11"/>
        <color theme="1"/>
        <rFont val="Noto Sans CJK SC"/>
        <family val="2"/>
      </rPr>
      <t xml:space="preserve">）</t>
    </r>
  </si>
  <si>
    <t xml:space="preserve">2026-10-09</t>
  </si>
  <si>
    <r>
      <rPr>
        <sz val="11"/>
        <color theme="1"/>
        <rFont val="Calibri"/>
        <family val="2"/>
        <charset val="1"/>
      </rPr>
      <t xml:space="preserve">mag/docs/plan/20261008_MAG_</t>
    </r>
    <r>
      <rPr>
        <sz val="11"/>
        <color theme="1"/>
        <rFont val="Noto Sans CJK SC"/>
        <family val="2"/>
      </rPr>
      <t xml:space="preserve">命題與驅動對照表</t>
    </r>
    <r>
      <rPr>
        <sz val="11"/>
        <color theme="1"/>
        <rFont val="Calibri"/>
        <family val="2"/>
        <charset val="1"/>
      </rPr>
      <t xml:space="preserve">_r1.md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</si>
  <si>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成品（對照）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</si>
  <si>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</si>
  <si>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microsoft/dist/_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_v0_2_2.xlsx</t>
    </r>
  </si>
  <si>
    <t xml:space="preserve">個股模型原則（命題＋營收分部）</t>
  </si>
  <si>
    <r>
      <rPr>
        <sz val="11"/>
        <color theme="1"/>
        <rFont val="Calibri"/>
        <family val="2"/>
        <charset val="1"/>
      </rPr>
      <t xml:space="preserve">docs/plan/</t>
    </r>
    <r>
      <rPr>
        <sz val="11"/>
        <color theme="1"/>
        <rFont val="Noto Sans CJK SC"/>
        <family val="2"/>
      </rPr>
      <t xml:space="preserve">個股模型原則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命題加營收分部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</si>
  <si>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MAG v0.3 </t>
    </r>
    <r>
      <rPr>
        <sz val="11"/>
        <color theme="1"/>
        <rFont val="Noto Sans CJK SC"/>
        <family val="2"/>
      </rPr>
      <t xml:space="preserve">工作單</t>
    </r>
  </si>
  <si>
    <r>
      <rPr>
        <sz val="11"/>
        <color theme="1"/>
        <rFont val="Calibri"/>
        <family val="2"/>
        <charset val="1"/>
      </rPr>
      <t xml:space="preserve">mag/docs/workorders/20261027_MAG_v0.3_</t>
    </r>
    <r>
      <rPr>
        <sz val="11"/>
        <color theme="1"/>
        <rFont val="Noto Sans CJK SC"/>
        <family val="2"/>
      </rPr>
      <t xml:space="preserve">個股模型重建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分部架構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</si>
  <si>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MAG v0.3.1 </t>
    </r>
    <r>
      <rPr>
        <sz val="11"/>
        <color theme="1"/>
        <rFont val="Noto Sans CJK SC"/>
        <family val="2"/>
      </rPr>
      <t xml:space="preserve">季度滾動工作單</t>
    </r>
  </si>
  <si>
    <r>
      <rPr>
        <sz val="11"/>
        <color theme="1"/>
        <rFont val="Calibri"/>
        <family val="2"/>
        <charset val="1"/>
      </rPr>
      <t xml:space="preserve">mag/docs/workorders/20261029_MAG_v0.3.1_</t>
    </r>
    <r>
      <rPr>
        <sz val="11"/>
        <color theme="1"/>
        <rFont val="Noto Sans CJK SC"/>
        <family val="2"/>
      </rPr>
      <t xml:space="preserve">季度滾動</t>
    </r>
    <r>
      <rPr>
        <sz val="11"/>
        <color theme="1"/>
        <rFont val="Calibri"/>
        <family val="2"/>
        <charset val="1"/>
      </rPr>
      <t xml:space="preserve">_2026Q3.md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</si>
  <si>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成品（對照；變動拆解起點）</t>
    </r>
  </si>
  <si>
    <r>
      <rPr>
        <sz val="11"/>
        <color theme="1"/>
        <rFont val="Calibri"/>
        <family val="2"/>
        <charset val="1"/>
      </rPr>
      <t xml:space="preserve">microsoft/dist/_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/20261027_Microsoft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</si>
  <si>
    <r>
      <rPr>
        <sz val="11"/>
        <color theme="1"/>
        <rFont val="Noto Sans CJK SC"/>
        <family val="2"/>
      </rPr>
      <t xml:space="preserve">未找到：產品線層級市場共識；財報後（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以後）更新的共識；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年底座席；</t>
    </r>
    <r>
      <rPr>
        <sz val="11"/>
        <color theme="1"/>
        <rFont val="Calibri"/>
        <family val="2"/>
        <charset val="1"/>
      </rPr>
      <t xml:space="preserve">M365 </t>
    </r>
    <r>
      <rPr>
        <sz val="11"/>
        <color theme="1"/>
        <rFont val="Noto Sans CJK SC"/>
        <family val="2"/>
      </rPr>
      <t xml:space="preserve">商用座席數（只有年增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MSFT </t>
    </r>
    <r>
      <rPr>
        <sz val="11"/>
        <color theme="1"/>
        <rFont val="Noto Sans CJK SC"/>
        <family val="2"/>
      </rPr>
      <t xml:space="preserve">個別長債殖利率；遊戲與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倍數（改用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</si>
</sst>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0"/>
    <numFmt numFmtId="166" formatCode="#,##0.0"/>
    <numFmt numFmtId="167" formatCode="0.0%"/>
    <numFmt numFmtId="168" formatCode="0.00"/>
    <numFmt numFmtId="169" formatCode="0.000"/>
    <numFmt numFmtId="170" formatCode="yyyy\-mm\-dd"/>
    <numFmt numFmtId="171" formatCode="0"/>
    <numFmt numFmtId="172" formatCode="0%"/>
    <numFmt numFmtId="173" formatCode="#,##0.000"/>
    <numFmt numFmtId="174" formatCode="#,##0"/>
    <numFmt numFmtId="175" formatCode="@"/>
    <numFmt numFmtId="176" formatCode="0.00%"/>
    <numFmt numFmtId="177" formatCode="0.0"/>
    <numFmt numFmtId="178" formatCode="\+0.0%;\-0.0%"/>
    <numFmt numFmtId="179" formatCode="\+#,##0.00;\-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5" min="2" style="0" width="24"/>
  </cols>
  <sheetData>
    <row r="1" customFormat="false" ht="17.15" hidden="false" customHeight="false" outlineLevel="0" collapsed="false">
      <c r="A1" s="0" t="s">
        <v>0</v>
      </c>
    </row>
    <row r="2" customFormat="false" ht="17.15" hidden="false" customHeight="false" outlineLevel="0" collapsed="false">
      <c r="A2" s="1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64.15" hidden="false" customHeight="false" outlineLevel="0" collapsed="false">
      <c r="A5" s="2" t="str">
        <f aca="false">"① 命題答案（FY2029，基準情境 B）：讀法 2（主值；自用 AI 價值中性）AI 增量 ROIC "&amp;TEXT(Thesis!H102,"0.0%")&amp;"，讀法 1（自用 AI 只計成本）"&amp;TEXT(Thesis!H103,"0.0%")&amp;"，WACC "&amp;TEXT(wacc,"0.0%")&amp;"；對外 Azure AI 本身 "&amp;TEXT(Thesis!H105,"0.0%")&amp;"。讀法 1 下 AI 容量越大、目標價越低（自用算力只有成本）；讀法 2 下容量增加對目標價中性偏正（敏感度：MW 速度改 Epoch 可辨識站點 "&amp;TEXT(Sens!D9,"+0.0;-0.0")&amp;"、+20% "&amp;TEXT(Sens!D10,"+0.0;-0.0")&amp;"）。AI 折舊 FY2026 "&amp;TEXT(Thesis!E95,"0.0")&amp;" → FY2029 "&amp;TEXT(Thesis!H95,"0.0")&amp;" 十億美元，財報口徑營業利益率 FY2029 "&amp;TEXT(PL!H76,"0.0%")&amp;"（FY2026 "&amp;TEXT(PL!E76,"0.0%")&amp;"）。"</f>
        <v>① 命題答案（FY2029，基準情境 B）：讀法 2（主值；自用 AI 價值中性）AI 增量 ROIC 8.6%，讀法 1（自用 AI 只計成本）1.0%，WACC 10.3%；對外 Azure AI 本身 13.1%。讀法 1 下 AI 容量越大、目標價越低（自用算力只有成本）；讀法 2 下容量增加對目標價中性偏正（敏感度：MW 速度改 Epoch 可辨識站點 -28.5、+20% +2.8）。AI 折舊 FY2026 16.3 → FY2029 89.1 十億美元，財報口徑營業利益率 FY2029 39.1%（FY2026 46.8%）。</v>
      </c>
    </row>
    <row r="6" customFormat="false" ht="32.8" hidden="false" customHeight="false" outlineLevel="0" collapsed="false">
      <c r="A6" s="2" t="str">
        <f aca="false">"② 收支關卡：基準情境首年起五年（FY2027–FY2031）自由現金流扣股利合計 "&amp;TEXT(CF!C5,"#,##0.0")&amp;" 十億美元（樂觀 "&amp;TEXT(CF!B5,"#,##0.0")&amp;"、保守 "&amp;TEXT(CF!D5,"#,##0.0")&amp;"）；"&amp;CF!C6&amp;"。"</f>
        <v>② 收支關卡：基準情境首年起五年（FY2027–FY2031）自由現金流扣股利合計 259.6 十億美元（樂觀 363.2、保守 137.9）；需要舉債 8.1 十億美元；回購較每年 22.3 的目標少 44.3 十億美元（2 年減少）。</v>
      </c>
    </row>
    <row r="7" customFormat="false" ht="32.8" hidden="false" customHeight="false" outlineLevel="0" collapsed="false">
      <c r="A7" s="2" t="str">
        <f aca="false">"③ 評價：加權目標價 "&amp;TEXT(Val!$B$36,"#,##0")&amp;" 美元（讀法 2），較現價 "&amp;TEXT(px,"#,##0.00")&amp;" "&amp;TEXT(Val!$B$40,"+0.0%;-0.0%")&amp;"；DCF "&amp;TEXT(Val!$B$14,"#,##0")&amp;"、分部加總 "&amp;TEXT(Val!$B$31,"#,##0")&amp;"；讀法 1 目標價 "&amp;TEXT(Val!$B$47,"#,##0")&amp;"（"&amp;Val!$B$49&amp;"）；市場共識 "&amp;TEXT(cons_tp,"#,##0")&amp;"。WACC "&amp;TEXT(wacc,"0.0%")&amp;"（−1pt 時目標價 "&amp;TEXT(Sens!C27,"#,##0")&amp;"）；非 AI 各線改用 Microsoft 自身 NTM EV/EBITDA "&amp;TEXT(m_own,"0.0")&amp;"× 時目標價 "&amp;TEXT(Sens!C42,"#,##0")&amp;"。"</f>
        <v>③ 評價：加權目標價 384 美元（讀法 2），較現價 531.01 -27.7%；DCF 324、分部加總 444；讀法 1 目標價 311（放空）；市場共識 605。WACC 10.3%（−1pt 時目標價 406）；非 AI 各線改用 Microsoft 自身 NTM EV/EBITDA 15.7× 時目標價 450。</v>
      </c>
    </row>
    <row r="8" customFormat="false" ht="32.8" hidden="false" customHeight="false" outlineLevel="0" collapsed="false">
      <c r="A8" s="2" t="str">
        <f aca="false">"投資建議："&amp;Val!$B$43&amp;"（讀法 2 主值；上檔空間 "&amp;TEXT(Val!$B$40,"+0.0%;-0.0%")&amp;"；讀法 1："&amp;Val!$B$49&amp;"；五級固定規則：≥ +50% 強力買進、+25%～+50% 買進、−25%～+25% 中立、−50%～−25% 放空、≤ −50% 強力放空）"</f>
        <v>投資建議：放空（讀法 2 主值；上檔空間 -27.7%；讀法 1：放空；五級固定規則：≥ +50% 強力買進、+25%～+50% 買進、−25%～+25% 中立、−50%～−25% 放空、≤ −50% 強力放空）</v>
      </c>
    </row>
    <row r="9" customFormat="false" ht="17.15" hidden="false" customHeight="false" outlineLevel="0" collapsed="false">
      <c r="A9" s="2" t="str">
        <f aca="false">"收支關卡（地圖）：CF 頁「收支關卡：自由現金流扣股利（五年合計）」基準 "&amp;TEXT(CF!C5,"#,##0.0")&amp;" 十億美元（財報現金，不含影子效益）"</f>
        <v>收支關卡（地圖）：CF 頁「收支關卡：自由現金流扣股利（五年合計）」基準 259.6 十億美元（財報現金，不含影子效益）</v>
      </c>
    </row>
    <row r="11" customFormat="false" ht="15" hidden="false" customHeight="false" outlineLevel="0" collapsed="false">
      <c r="A11" s="3" t="s">
        <v>4</v>
      </c>
    </row>
    <row r="12" customFormat="false" ht="17.15" hidden="false" customHeight="false" outlineLevel="0" collapsed="false">
      <c r="A12" s="4" t="s">
        <v>5</v>
      </c>
      <c r="B12" s="4" t="s">
        <v>6</v>
      </c>
      <c r="C12" s="4" t="s">
        <v>7</v>
      </c>
      <c r="D12" s="4" t="s">
        <v>8</v>
      </c>
      <c r="E12" s="4" t="s">
        <v>9</v>
      </c>
    </row>
    <row r="13" customFormat="false" ht="17.15" hidden="false" customHeight="false" outlineLevel="0" collapsed="false">
      <c r="A13" s="0" t="s">
        <v>10</v>
      </c>
      <c r="B13" s="0" t="s">
        <v>11</v>
      </c>
      <c r="C13" s="1" t="s">
        <v>12</v>
      </c>
      <c r="D13" s="0" t="s">
        <v>13</v>
      </c>
      <c r="E13" s="5" t="n">
        <f aca="false">Thesis!H60</f>
        <v>11429.6053</v>
      </c>
    </row>
    <row r="14" customFormat="false" ht="17.15" hidden="false" customHeight="false" outlineLevel="0" collapsed="false">
      <c r="A14" s="0" t="s">
        <v>10</v>
      </c>
      <c r="B14" s="0" t="s">
        <v>14</v>
      </c>
      <c r="C14" s="1" t="s">
        <v>15</v>
      </c>
      <c r="D14" s="0" t="s">
        <v>16</v>
      </c>
      <c r="E14" s="5" t="n">
        <f aca="false">Thesis!H76</f>
        <v>12.735045931073</v>
      </c>
    </row>
    <row r="15" customFormat="false" ht="17.15" hidden="false" customHeight="false" outlineLevel="0" collapsed="false">
      <c r="A15" s="0" t="s">
        <v>10</v>
      </c>
      <c r="B15" s="0" t="s">
        <v>17</v>
      </c>
      <c r="C15" s="0" t="s">
        <v>18</v>
      </c>
      <c r="D15" s="1" t="s">
        <v>19</v>
      </c>
      <c r="E15" s="5" t="n">
        <f aca="false">Thesis!H95</f>
        <v>89.1000906614457</v>
      </c>
    </row>
    <row r="16" customFormat="false" ht="17.15" hidden="false" customHeight="false" outlineLevel="0" collapsed="false">
      <c r="A16" s="0" t="s">
        <v>20</v>
      </c>
      <c r="B16" s="0" t="s">
        <v>21</v>
      </c>
      <c r="C16" s="0" t="s">
        <v>22</v>
      </c>
      <c r="D16" s="1" t="s">
        <v>23</v>
      </c>
      <c r="E16" s="5" t="n">
        <f aca="false">Seg!H38</f>
        <v>24</v>
      </c>
    </row>
    <row r="17" customFormat="false" ht="17.15" hidden="false" customHeight="false" outlineLevel="0" collapsed="false">
      <c r="A17" s="0" t="s">
        <v>20</v>
      </c>
      <c r="B17" s="0" t="s">
        <v>24</v>
      </c>
      <c r="C17" s="1" t="s">
        <v>25</v>
      </c>
      <c r="D17" s="1" t="s">
        <v>26</v>
      </c>
      <c r="E17" s="5" t="n">
        <f aca="false">Seg!H56</f>
        <v>555.72683159012</v>
      </c>
    </row>
    <row r="18" customFormat="false" ht="17.15" hidden="false" customHeight="false" outlineLevel="0" collapsed="false">
      <c r="A18" s="0" t="s">
        <v>27</v>
      </c>
      <c r="B18" s="1" t="s">
        <v>28</v>
      </c>
      <c r="C18" s="0" t="s">
        <v>29</v>
      </c>
      <c r="D18" s="1" t="s">
        <v>30</v>
      </c>
      <c r="E18" s="5" t="n">
        <f aca="false">PL!H71</f>
        <v>196.763686018119</v>
      </c>
    </row>
    <row r="19" customFormat="false" ht="17.15" hidden="false" customHeight="false" outlineLevel="0" collapsed="false">
      <c r="A19" s="0" t="s">
        <v>27</v>
      </c>
      <c r="B19" s="0" t="s">
        <v>31</v>
      </c>
      <c r="C19" s="1" t="s">
        <v>32</v>
      </c>
      <c r="D19" s="1" t="s">
        <v>33</v>
      </c>
      <c r="E19" s="5" t="n">
        <f aca="false">PL!H88</f>
        <v>27.3746396012331</v>
      </c>
    </row>
    <row r="20" customFormat="false" ht="17.15" hidden="false" customHeight="false" outlineLevel="0" collapsed="false">
      <c r="A20" s="0" t="s">
        <v>34</v>
      </c>
      <c r="B20" s="0" t="s">
        <v>35</v>
      </c>
      <c r="C20" s="1" t="s">
        <v>36</v>
      </c>
      <c r="D20" s="1" t="s">
        <v>37</v>
      </c>
      <c r="E20" s="5" t="n">
        <f aca="false">CF!H62</f>
        <v>62.2118750539102</v>
      </c>
    </row>
    <row r="21" customFormat="false" ht="17.15" hidden="false" customHeight="false" outlineLevel="0" collapsed="false">
      <c r="A21" s="0" t="s">
        <v>38</v>
      </c>
      <c r="B21" s="0" t="s">
        <v>39</v>
      </c>
      <c r="C21" s="0" t="s">
        <v>40</v>
      </c>
      <c r="D21" s="0" t="s">
        <v>41</v>
      </c>
      <c r="E21" s="5" t="n">
        <f aca="false">Val!$B$36</f>
        <v>384.104559856734</v>
      </c>
    </row>
    <row r="23" customFormat="false" ht="15" hidden="false" customHeight="false" outlineLevel="0" collapsed="false">
      <c r="A23" s="3" t="s">
        <v>42</v>
      </c>
    </row>
    <row r="24" customFormat="false" ht="17.15" hidden="false" customHeight="false" outlineLevel="0" collapsed="false">
      <c r="A24" s="4" t="s">
        <v>43</v>
      </c>
      <c r="B24" s="4" t="s">
        <v>44</v>
      </c>
      <c r="C24" s="4" t="s">
        <v>45</v>
      </c>
      <c r="D24" s="4" t="s">
        <v>46</v>
      </c>
      <c r="E24" s="4" t="s">
        <v>47</v>
      </c>
    </row>
    <row r="25" customFormat="false" ht="17.15" hidden="false" customHeight="false" outlineLevel="0" collapsed="false">
      <c r="A25" s="1" t="s">
        <v>48</v>
      </c>
      <c r="B25" s="6" t="n">
        <f aca="false">Seg!H29</f>
        <v>587.294787614101</v>
      </c>
      <c r="C25" s="6" t="n">
        <f aca="false">Seg!H56</f>
        <v>555.72683159012</v>
      </c>
      <c r="D25" s="6" t="n">
        <f aca="false">Seg!H83</f>
        <v>519.258246925162</v>
      </c>
    </row>
    <row r="26" customFormat="false" ht="17.15" hidden="false" customHeight="false" outlineLevel="0" collapsed="false">
      <c r="A26" s="0" t="s">
        <v>49</v>
      </c>
      <c r="B26" s="6" t="n">
        <f aca="false">Thesis!H25</f>
        <v>153.816719989035</v>
      </c>
      <c r="C26" s="6" t="n">
        <f aca="false">Thesis!H77</f>
        <v>128.195273603944</v>
      </c>
      <c r="D26" s="6" t="n">
        <f aca="false">Thesis!H129</f>
        <v>97.4495379418341</v>
      </c>
    </row>
    <row r="27" customFormat="false" ht="17.15" hidden="false" customHeight="false" outlineLevel="0" collapsed="false">
      <c r="A27" s="0" t="s">
        <v>50</v>
      </c>
      <c r="B27" s="6" t="n">
        <f aca="false">Seg!H11</f>
        <v>31.5</v>
      </c>
      <c r="C27" s="6" t="n">
        <f aca="false">Seg!H38</f>
        <v>24</v>
      </c>
      <c r="D27" s="6" t="n">
        <f aca="false">Seg!H65</f>
        <v>16.5</v>
      </c>
    </row>
    <row r="28" customFormat="false" ht="17.15" hidden="false" customHeight="false" outlineLevel="0" collapsed="false">
      <c r="A28" s="1" t="s">
        <v>51</v>
      </c>
      <c r="B28" s="7" t="n">
        <f aca="false">PL!H37</f>
        <v>0.419091252076636</v>
      </c>
      <c r="C28" s="7" t="n">
        <f aca="false">PL!H76</f>
        <v>0.390690709821335</v>
      </c>
      <c r="D28" s="7" t="n">
        <f aca="false">PL!H115</f>
        <v>0.352626221331819</v>
      </c>
    </row>
    <row r="29" customFormat="false" ht="17.15" hidden="false" customHeight="false" outlineLevel="0" collapsed="false">
      <c r="A29" s="0" t="s">
        <v>52</v>
      </c>
      <c r="B29" s="8" t="n">
        <f aca="false">PL!H47</f>
        <v>26.0054149641273</v>
      </c>
      <c r="C29" s="8" t="n">
        <f aca="false">PL!H86</f>
        <v>22.8916652882548</v>
      </c>
      <c r="D29" s="8" t="n">
        <f aca="false">PL!H125</f>
        <v>19.2402008074151</v>
      </c>
    </row>
    <row r="30" customFormat="false" ht="17.15" hidden="false" customHeight="false" outlineLevel="0" collapsed="false">
      <c r="A30" s="0" t="s">
        <v>53</v>
      </c>
      <c r="B30" s="8" t="n">
        <f aca="false">PL!H49</f>
        <v>30.0402547940645</v>
      </c>
      <c r="C30" s="8" t="n">
        <f aca="false">PL!H88</f>
        <v>27.3746396012331</v>
      </c>
      <c r="D30" s="8" t="n">
        <f aca="false">PL!H127</f>
        <v>24.1655613417055</v>
      </c>
    </row>
    <row r="31" customFormat="false" ht="17.15" hidden="false" customHeight="false" outlineLevel="0" collapsed="false">
      <c r="A31" s="1" t="s">
        <v>54</v>
      </c>
      <c r="B31" s="6" t="n">
        <f aca="false">CF!H30</f>
        <v>86.1872783032704</v>
      </c>
      <c r="C31" s="6" t="n">
        <f aca="false">CF!H62</f>
        <v>62.2118750539102</v>
      </c>
      <c r="D31" s="6" t="n">
        <f aca="false">CF!H94</f>
        <v>34.0226076317587</v>
      </c>
    </row>
    <row r="32" customFormat="false" ht="17.15" hidden="false" customHeight="false" outlineLevel="0" collapsed="false">
      <c r="A32" s="0" t="s">
        <v>55</v>
      </c>
      <c r="B32" s="7" t="n">
        <f aca="false">Thesis!H50</f>
        <v>0.131951044114011</v>
      </c>
      <c r="C32" s="7" t="n">
        <f aca="false">Thesis!H102</f>
        <v>0.0859557095566361</v>
      </c>
      <c r="D32" s="7" t="n">
        <f aca="false">Thesis!H154</f>
        <v>0.0307613080877867</v>
      </c>
    </row>
    <row r="33" customFormat="false" ht="17.15" hidden="false" customHeight="false" outlineLevel="0" collapsed="false">
      <c r="A33" s="0" t="s">
        <v>56</v>
      </c>
      <c r="B33" s="7" t="n">
        <f aca="false">Thesis!H51</f>
        <v>0.0637305557287023</v>
      </c>
      <c r="C33" s="7" t="n">
        <f aca="false">Thesis!H103</f>
        <v>0.010047899197893</v>
      </c>
      <c r="D33" s="7" t="n">
        <f aca="false">Thesis!H155</f>
        <v>-0.0528338242443913</v>
      </c>
    </row>
    <row r="35" customFormat="false" ht="17.15" hidden="false" customHeight="false" outlineLevel="0" collapsed="false">
      <c r="A35" s="1" t="s">
        <v>57</v>
      </c>
      <c r="B35" s="5" t="n">
        <f aca="false">Val!B44</f>
        <v>423.247865987</v>
      </c>
      <c r="C35" s="5" t="n">
        <f aca="false">Val!C44</f>
        <v>386.052170373482</v>
      </c>
      <c r="D35" s="5" t="n">
        <f aca="false">Val!D44</f>
        <v>341.066032692973</v>
      </c>
    </row>
    <row r="37" customFormat="false" ht="48.5" hidden="false" customHeight="false" outlineLevel="0" collapsed="false">
      <c r="A37" s="2" t="s">
        <v>58</v>
      </c>
    </row>
    <row r="38" customFormat="false" ht="48.5" hidden="false" customHeight="false" outlineLevel="0" collapsed="false">
      <c r="A38" s="2" t="s">
        <v>59</v>
      </c>
    </row>
    <row r="39" customFormat="false" ht="32.8" hidden="false" customHeight="false" outlineLevel="0" collapsed="false">
      <c r="A39" s="2" t="s">
        <v>60</v>
      </c>
    </row>
    <row r="40" customFormat="false" ht="158.2" hidden="false" customHeight="false" outlineLevel="0" collapsed="false">
      <c r="A40" s="9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62</v>
      </c>
    </row>
    <row r="2" customFormat="false" ht="17.15" hidden="false" customHeight="false" outlineLevel="0" collapsed="false">
      <c r="A2" s="1" t="s">
        <v>63</v>
      </c>
    </row>
    <row r="3" customFormat="false" ht="17.15" hidden="false" customHeight="false" outlineLevel="0" collapsed="false">
      <c r="A3" s="4" t="s">
        <v>64</v>
      </c>
      <c r="B3" s="4" t="s">
        <v>43</v>
      </c>
      <c r="C3" s="4" t="s">
        <v>65</v>
      </c>
      <c r="D3" s="4" t="s">
        <v>66</v>
      </c>
      <c r="E3" s="4" t="s">
        <v>67</v>
      </c>
      <c r="F3" s="4" t="s">
        <v>68</v>
      </c>
      <c r="G3" s="4" t="s">
        <v>69</v>
      </c>
      <c r="H3" s="4" t="s">
        <v>70</v>
      </c>
      <c r="I3" s="4" t="s">
        <v>71</v>
      </c>
    </row>
    <row r="4" customFormat="false" ht="17.15" hidden="false" customHeight="false" outlineLevel="0" collapsed="false">
      <c r="A4" s="10" t="s">
        <v>72</v>
      </c>
    </row>
    <row r="5" customFormat="false" ht="17.15" hidden="false" customHeight="false" outlineLevel="0" collapsed="false">
      <c r="A5" s="0" t="s">
        <v>73</v>
      </c>
      <c r="B5" s="1" t="s">
        <v>74</v>
      </c>
      <c r="C5" s="0" t="s">
        <v>75</v>
      </c>
      <c r="E5" s="11" t="n">
        <v>531.01</v>
      </c>
      <c r="G5" s="12" t="s">
        <v>76</v>
      </c>
      <c r="H5" s="12" t="s">
        <v>77</v>
      </c>
      <c r="I5" s="12" t="s">
        <v>78</v>
      </c>
    </row>
    <row r="6" customFormat="false" ht="17.15" hidden="false" customHeight="false" outlineLevel="0" collapsed="false">
      <c r="A6" s="0" t="s">
        <v>79</v>
      </c>
      <c r="B6" s="0" t="s">
        <v>80</v>
      </c>
      <c r="C6" s="1" t="s">
        <v>81</v>
      </c>
      <c r="E6" s="11" t="n">
        <v>7.453</v>
      </c>
      <c r="G6" s="12" t="s">
        <v>76</v>
      </c>
      <c r="H6" s="1" t="s">
        <v>82</v>
      </c>
      <c r="I6" s="12" t="s">
        <v>83</v>
      </c>
    </row>
    <row r="7" customFormat="false" ht="17.15" hidden="false" customHeight="false" outlineLevel="0" collapsed="false">
      <c r="A7" s="0" t="s">
        <v>84</v>
      </c>
      <c r="B7" s="0" t="s">
        <v>85</v>
      </c>
      <c r="C7" s="1" t="s">
        <v>81</v>
      </c>
      <c r="E7" s="11" t="n">
        <v>7.429</v>
      </c>
      <c r="G7" s="12" t="s">
        <v>76</v>
      </c>
      <c r="H7" s="1" t="s">
        <v>86</v>
      </c>
      <c r="I7" s="12" t="s">
        <v>87</v>
      </c>
    </row>
    <row r="8" customFormat="false" ht="17.15" hidden="false" customHeight="false" outlineLevel="0" collapsed="false">
      <c r="A8" s="0" t="s">
        <v>88</v>
      </c>
      <c r="B8" s="1" t="s">
        <v>89</v>
      </c>
      <c r="C8" s="1" t="s">
        <v>81</v>
      </c>
      <c r="E8" s="0" t="n">
        <f aca="false">sh_dil26-sh_basic26</f>
        <v>0.024</v>
      </c>
      <c r="G8" s="0" t="s">
        <v>90</v>
      </c>
      <c r="H8" s="0" t="s">
        <v>91</v>
      </c>
      <c r="I8" s="1" t="s">
        <v>92</v>
      </c>
    </row>
    <row r="9" customFormat="false" ht="17.15" hidden="false" customHeight="false" outlineLevel="0" collapsed="false">
      <c r="A9" s="0" t="s">
        <v>93</v>
      </c>
      <c r="B9" s="1" t="s">
        <v>94</v>
      </c>
      <c r="C9" s="1" t="s">
        <v>81</v>
      </c>
      <c r="E9" s="11" t="n">
        <v>7.427</v>
      </c>
      <c r="G9" s="12" t="s">
        <v>76</v>
      </c>
      <c r="H9" s="1" t="s">
        <v>95</v>
      </c>
      <c r="I9" s="12" t="s">
        <v>87</v>
      </c>
    </row>
    <row r="10" customFormat="false" ht="17.15" hidden="false" customHeight="false" outlineLevel="0" collapsed="false">
      <c r="A10" s="0" t="s">
        <v>96</v>
      </c>
      <c r="B10" s="1" t="s">
        <v>97</v>
      </c>
      <c r="C10" s="0" t="s">
        <v>98</v>
      </c>
      <c r="E10" s="11" t="n">
        <v>76.843</v>
      </c>
      <c r="G10" s="12" t="s">
        <v>76</v>
      </c>
      <c r="H10" s="1" t="s">
        <v>99</v>
      </c>
      <c r="I10" s="12" t="s">
        <v>100</v>
      </c>
    </row>
    <row r="11" customFormat="false" ht="17.15" hidden="false" customHeight="false" outlineLevel="0" collapsed="false">
      <c r="A11" s="0" t="s">
        <v>101</v>
      </c>
      <c r="B11" s="1" t="s">
        <v>102</v>
      </c>
      <c r="C11" s="0" t="s">
        <v>98</v>
      </c>
      <c r="E11" s="11" t="n">
        <v>46.136</v>
      </c>
      <c r="G11" s="12" t="s">
        <v>76</v>
      </c>
      <c r="H11" s="1" t="s">
        <v>103</v>
      </c>
      <c r="I11" s="1" t="s">
        <v>104</v>
      </c>
    </row>
    <row r="12" customFormat="false" ht="17.15" hidden="false" customHeight="false" outlineLevel="0" collapsed="false">
      <c r="A12" s="0" t="s">
        <v>105</v>
      </c>
      <c r="B12" s="0" t="s">
        <v>106</v>
      </c>
      <c r="C12" s="1" t="s">
        <v>81</v>
      </c>
      <c r="E12" s="11" t="n">
        <v>7.446</v>
      </c>
      <c r="G12" s="12" t="s">
        <v>107</v>
      </c>
      <c r="H12" s="1" t="s">
        <v>108</v>
      </c>
      <c r="I12" s="12" t="s">
        <v>109</v>
      </c>
    </row>
    <row r="13" customFormat="false" ht="17.15" hidden="false" customHeight="false" outlineLevel="0" collapsed="false">
      <c r="A13" s="0" t="s">
        <v>110</v>
      </c>
      <c r="B13" s="1" t="s">
        <v>111</v>
      </c>
      <c r="C13" s="1" t="s">
        <v>81</v>
      </c>
      <c r="E13" s="11" t="n">
        <v>7.427</v>
      </c>
      <c r="G13" s="12" t="s">
        <v>107</v>
      </c>
      <c r="H13" s="1" t="s">
        <v>112</v>
      </c>
      <c r="I13" s="12" t="s">
        <v>113</v>
      </c>
    </row>
    <row r="14" customFormat="false" ht="17.15" hidden="false" customHeight="false" outlineLevel="0" collapsed="false">
      <c r="A14" s="0" t="s">
        <v>114</v>
      </c>
      <c r="B14" s="1" t="s">
        <v>115</v>
      </c>
      <c r="C14" s="0" t="s">
        <v>98</v>
      </c>
      <c r="E14" s="11" t="n">
        <v>64.509</v>
      </c>
      <c r="G14" s="12" t="s">
        <v>107</v>
      </c>
      <c r="H14" s="1" t="s">
        <v>116</v>
      </c>
      <c r="I14" s="12" t="s">
        <v>117</v>
      </c>
    </row>
    <row r="15" customFormat="false" ht="17.15" hidden="false" customHeight="false" outlineLevel="0" collapsed="false">
      <c r="A15" s="0" t="s">
        <v>118</v>
      </c>
      <c r="B15" s="1" t="s">
        <v>119</v>
      </c>
      <c r="C15" s="0" t="s">
        <v>98</v>
      </c>
      <c r="E15" s="11" t="n">
        <v>41.269</v>
      </c>
      <c r="G15" s="12" t="s">
        <v>107</v>
      </c>
      <c r="H15" s="1" t="s">
        <v>120</v>
      </c>
      <c r="I15" s="1" t="s">
        <v>121</v>
      </c>
    </row>
    <row r="16" customFormat="false" ht="17.15" hidden="false" customHeight="false" outlineLevel="0" collapsed="false">
      <c r="A16" s="0" t="s">
        <v>122</v>
      </c>
      <c r="B16" s="1" t="s">
        <v>123</v>
      </c>
      <c r="C16" s="0" t="s">
        <v>98</v>
      </c>
      <c r="E16" s="11" t="n">
        <v>70.973</v>
      </c>
      <c r="G16" s="12" t="s">
        <v>107</v>
      </c>
      <c r="H16" s="1" t="s">
        <v>124</v>
      </c>
      <c r="I16" s="1" t="s">
        <v>125</v>
      </c>
    </row>
    <row r="17" customFormat="false" ht="17.15" hidden="false" customHeight="false" outlineLevel="0" collapsed="false">
      <c r="A17" s="0" t="s">
        <v>126</v>
      </c>
      <c r="B17" s="1" t="s">
        <v>127</v>
      </c>
      <c r="C17" s="1" t="s">
        <v>81</v>
      </c>
      <c r="E17" s="0" t="n">
        <f aca="false">sh_out_q1</f>
        <v>7.427</v>
      </c>
      <c r="G17" s="0" t="s">
        <v>90</v>
      </c>
      <c r="H17" s="1" t="s">
        <v>128</v>
      </c>
      <c r="I17" s="0" t="s">
        <v>87</v>
      </c>
    </row>
    <row r="18" customFormat="false" ht="17.15" hidden="false" customHeight="false" outlineLevel="0" collapsed="false">
      <c r="A18" s="0" t="s">
        <v>129</v>
      </c>
      <c r="B18" s="1" t="s">
        <v>130</v>
      </c>
      <c r="C18" s="1" t="s">
        <v>81</v>
      </c>
      <c r="E18" s="0" t="n">
        <f aca="false">sh_dil_q1</f>
        <v>7.446</v>
      </c>
      <c r="G18" s="0" t="s">
        <v>90</v>
      </c>
      <c r="H18" s="1" t="s">
        <v>131</v>
      </c>
      <c r="I18" s="0" t="s">
        <v>87</v>
      </c>
    </row>
    <row r="19" customFormat="false" ht="17.15" hidden="false" customHeight="false" outlineLevel="0" collapsed="false">
      <c r="A19" s="0" t="s">
        <v>132</v>
      </c>
      <c r="B19" s="1" t="s">
        <v>133</v>
      </c>
      <c r="C19" s="0" t="s">
        <v>98</v>
      </c>
      <c r="E19" s="0" t="n">
        <f aca="false">cash_q1</f>
        <v>64.509</v>
      </c>
      <c r="G19" s="0" t="s">
        <v>90</v>
      </c>
      <c r="H19" s="1" t="s">
        <v>134</v>
      </c>
      <c r="I19" s="0" t="s">
        <v>87</v>
      </c>
    </row>
    <row r="20" customFormat="false" ht="17.15" hidden="false" customHeight="false" outlineLevel="0" collapsed="false">
      <c r="A20" s="0" t="s">
        <v>135</v>
      </c>
      <c r="B20" s="1" t="s">
        <v>136</v>
      </c>
      <c r="C20" s="0" t="s">
        <v>98</v>
      </c>
      <c r="E20" s="0" t="n">
        <f aca="false">debt_q1</f>
        <v>41.269</v>
      </c>
      <c r="G20" s="0" t="s">
        <v>90</v>
      </c>
      <c r="H20" s="1" t="s">
        <v>137</v>
      </c>
      <c r="I20" s="0" t="s">
        <v>87</v>
      </c>
    </row>
    <row r="21" customFormat="false" ht="17.15" hidden="false" customHeight="false" outlineLevel="0" collapsed="false">
      <c r="A21" s="0" t="s">
        <v>138</v>
      </c>
      <c r="B21" s="1" t="s">
        <v>139</v>
      </c>
      <c r="C21" s="0" t="s">
        <v>98</v>
      </c>
      <c r="E21" s="0" t="n">
        <f aca="false">fl_liab_q1</f>
        <v>70.973</v>
      </c>
      <c r="G21" s="0" t="s">
        <v>90</v>
      </c>
      <c r="H21" s="1" t="s">
        <v>140</v>
      </c>
      <c r="I21" s="0" t="s">
        <v>87</v>
      </c>
    </row>
    <row r="22" customFormat="false" ht="17.15" hidden="false" customHeight="false" outlineLevel="0" collapsed="false">
      <c r="A22" s="0" t="s">
        <v>141</v>
      </c>
      <c r="B22" s="1" t="s">
        <v>142</v>
      </c>
      <c r="C22" s="0" t="s">
        <v>98</v>
      </c>
      <c r="E22" s="11" t="n">
        <v>9.25</v>
      </c>
      <c r="G22" s="12" t="s">
        <v>76</v>
      </c>
      <c r="H22" s="1" t="s">
        <v>143</v>
      </c>
      <c r="I22" s="12" t="s">
        <v>144</v>
      </c>
    </row>
    <row r="23" customFormat="false" ht="17.15" hidden="false" customHeight="false" outlineLevel="0" collapsed="false">
      <c r="A23" s="0" t="s">
        <v>145</v>
      </c>
      <c r="B23" s="1" t="s">
        <v>146</v>
      </c>
      <c r="C23" s="0" t="s">
        <v>98</v>
      </c>
      <c r="E23" s="11" t="n">
        <v>0</v>
      </c>
      <c r="G23" s="12" t="s">
        <v>76</v>
      </c>
      <c r="H23" s="1" t="s">
        <v>147</v>
      </c>
      <c r="I23" s="12" t="s">
        <v>148</v>
      </c>
    </row>
    <row r="24" customFormat="false" ht="17.15" hidden="false" customHeight="false" outlineLevel="0" collapsed="false">
      <c r="A24" s="0" t="s">
        <v>149</v>
      </c>
      <c r="B24" s="1" t="s">
        <v>150</v>
      </c>
      <c r="C24" s="0" t="s">
        <v>98</v>
      </c>
      <c r="E24" s="11" t="n">
        <v>2.001</v>
      </c>
      <c r="G24" s="12" t="s">
        <v>76</v>
      </c>
      <c r="H24" s="1" t="s">
        <v>151</v>
      </c>
      <c r="I24" s="12" t="s">
        <v>148</v>
      </c>
    </row>
    <row r="25" customFormat="false" ht="17.15" hidden="false" customHeight="false" outlineLevel="0" collapsed="false">
      <c r="A25" s="0" t="s">
        <v>152</v>
      </c>
      <c r="B25" s="1" t="s">
        <v>153</v>
      </c>
      <c r="C25" s="0" t="s">
        <v>98</v>
      </c>
      <c r="E25" s="11" t="n">
        <v>0</v>
      </c>
      <c r="G25" s="12" t="s">
        <v>76</v>
      </c>
      <c r="H25" s="1" t="s">
        <v>154</v>
      </c>
      <c r="I25" s="12" t="s">
        <v>148</v>
      </c>
    </row>
    <row r="26" customFormat="false" ht="17.15" hidden="false" customHeight="false" outlineLevel="0" collapsed="false">
      <c r="A26" s="0" t="s">
        <v>155</v>
      </c>
      <c r="B26" s="1" t="s">
        <v>156</v>
      </c>
      <c r="C26" s="0" t="s">
        <v>98</v>
      </c>
      <c r="E26" s="11" t="n">
        <v>0.5</v>
      </c>
      <c r="G26" s="12" t="s">
        <v>76</v>
      </c>
      <c r="H26" s="1" t="s">
        <v>157</v>
      </c>
      <c r="I26" s="12" t="s">
        <v>148</v>
      </c>
    </row>
    <row r="27" customFormat="false" ht="17.15" hidden="false" customHeight="false" outlineLevel="0" collapsed="false">
      <c r="A27" s="0" t="s">
        <v>158</v>
      </c>
      <c r="B27" s="1" t="s">
        <v>159</v>
      </c>
      <c r="C27" s="0" t="s">
        <v>98</v>
      </c>
      <c r="E27" s="11" t="n">
        <v>0</v>
      </c>
      <c r="G27" s="12" t="s">
        <v>160</v>
      </c>
      <c r="H27" s="1" t="s">
        <v>161</v>
      </c>
      <c r="I27" s="12" t="s">
        <v>87</v>
      </c>
    </row>
    <row r="28" customFormat="false" ht="17.15" hidden="false" customHeight="false" outlineLevel="0" collapsed="false">
      <c r="A28" s="0" t="s">
        <v>162</v>
      </c>
      <c r="B28" s="1" t="s">
        <v>163</v>
      </c>
      <c r="C28" s="0" t="s">
        <v>98</v>
      </c>
      <c r="E28" s="11" t="n">
        <v>66.594</v>
      </c>
      <c r="G28" s="12" t="s">
        <v>76</v>
      </c>
      <c r="H28" s="1" t="s">
        <v>164</v>
      </c>
      <c r="I28" s="1" t="s">
        <v>165</v>
      </c>
    </row>
    <row r="29" customFormat="false" ht="17.15" hidden="false" customHeight="false" outlineLevel="0" collapsed="false">
      <c r="A29" s="0" t="s">
        <v>166</v>
      </c>
      <c r="B29" s="1" t="s">
        <v>167</v>
      </c>
      <c r="C29" s="0" t="s">
        <v>168</v>
      </c>
      <c r="E29" s="13" t="n">
        <v>0.045</v>
      </c>
      <c r="G29" s="12" t="s">
        <v>76</v>
      </c>
      <c r="H29" s="1" t="s">
        <v>169</v>
      </c>
      <c r="I29" s="12" t="s">
        <v>170</v>
      </c>
    </row>
    <row r="30" customFormat="false" ht="17.15" hidden="false" customHeight="false" outlineLevel="0" collapsed="false">
      <c r="A30" s="0" t="s">
        <v>171</v>
      </c>
      <c r="B30" s="1" t="s">
        <v>172</v>
      </c>
      <c r="C30" s="0" t="s">
        <v>98</v>
      </c>
      <c r="E30" s="11" t="n">
        <v>7.121</v>
      </c>
      <c r="G30" s="12" t="s">
        <v>76</v>
      </c>
      <c r="H30" s="1" t="s">
        <v>173</v>
      </c>
      <c r="I30" s="12" t="s">
        <v>174</v>
      </c>
    </row>
    <row r="31" customFormat="false" ht="17.15" hidden="false" customHeight="false" outlineLevel="0" collapsed="false">
      <c r="A31" s="0" t="s">
        <v>175</v>
      </c>
      <c r="B31" s="1" t="s">
        <v>176</v>
      </c>
      <c r="C31" s="0" t="s">
        <v>98</v>
      </c>
      <c r="E31" s="11" t="n">
        <v>7.294</v>
      </c>
      <c r="G31" s="12" t="s">
        <v>76</v>
      </c>
      <c r="H31" s="1" t="s">
        <v>177</v>
      </c>
      <c r="I31" s="12" t="s">
        <v>174</v>
      </c>
    </row>
    <row r="32" customFormat="false" ht="17.15" hidden="false" customHeight="false" outlineLevel="0" collapsed="false">
      <c r="A32" s="0" t="s">
        <v>178</v>
      </c>
      <c r="B32" s="1" t="s">
        <v>179</v>
      </c>
      <c r="C32" s="0" t="s">
        <v>98</v>
      </c>
      <c r="E32" s="11" t="n">
        <v>6.668</v>
      </c>
      <c r="G32" s="12" t="s">
        <v>76</v>
      </c>
      <c r="H32" s="1" t="s">
        <v>180</v>
      </c>
      <c r="I32" s="12" t="s">
        <v>174</v>
      </c>
    </row>
    <row r="33" customFormat="false" ht="17.15" hidden="false" customHeight="false" outlineLevel="0" collapsed="false">
      <c r="A33" s="0" t="s">
        <v>181</v>
      </c>
      <c r="B33" s="1" t="s">
        <v>182</v>
      </c>
      <c r="C33" s="0" t="s">
        <v>98</v>
      </c>
      <c r="E33" s="11" t="n">
        <v>6.57</v>
      </c>
      <c r="G33" s="12" t="s">
        <v>76</v>
      </c>
      <c r="H33" s="1" t="s">
        <v>183</v>
      </c>
      <c r="I33" s="12" t="s">
        <v>174</v>
      </c>
    </row>
    <row r="34" customFormat="false" ht="17.15" hidden="false" customHeight="false" outlineLevel="0" collapsed="false">
      <c r="A34" s="0" t="s">
        <v>184</v>
      </c>
      <c r="B34" s="1" t="s">
        <v>185</v>
      </c>
      <c r="C34" s="0" t="s">
        <v>98</v>
      </c>
      <c r="E34" s="11" t="n">
        <v>6.543</v>
      </c>
      <c r="G34" s="12" t="s">
        <v>76</v>
      </c>
      <c r="H34" s="1" t="s">
        <v>186</v>
      </c>
      <c r="I34" s="12" t="s">
        <v>174</v>
      </c>
    </row>
    <row r="35" customFormat="false" ht="17.15" hidden="false" customHeight="false" outlineLevel="0" collapsed="false">
      <c r="A35" s="0" t="s">
        <v>187</v>
      </c>
      <c r="B35" s="1" t="s">
        <v>188</v>
      </c>
      <c r="C35" s="0" t="s">
        <v>98</v>
      </c>
      <c r="E35" s="0" t="n">
        <f aca="false">fl_pay_31</f>
        <v>6.543</v>
      </c>
      <c r="G35" s="0" t="s">
        <v>160</v>
      </c>
      <c r="H35" s="1" t="s">
        <v>189</v>
      </c>
      <c r="I35" s="0" t="s">
        <v>174</v>
      </c>
    </row>
    <row r="36" customFormat="false" ht="17.15" hidden="false" customHeight="false" outlineLevel="0" collapsed="false">
      <c r="A36" s="0" t="s">
        <v>190</v>
      </c>
      <c r="B36" s="1" t="s">
        <v>191</v>
      </c>
      <c r="C36" s="0" t="s">
        <v>98</v>
      </c>
      <c r="D36" s="11" t="n">
        <v>30</v>
      </c>
      <c r="E36" s="11" t="n">
        <v>50</v>
      </c>
      <c r="F36" s="11" t="n">
        <v>70</v>
      </c>
      <c r="G36" s="12" t="s">
        <v>160</v>
      </c>
      <c r="H36" s="1" t="s">
        <v>192</v>
      </c>
      <c r="I36" s="1" t="s">
        <v>193</v>
      </c>
    </row>
    <row r="37" customFormat="false" ht="17.15" hidden="false" customHeight="false" outlineLevel="0" collapsed="false">
      <c r="A37" s="0" t="s">
        <v>194</v>
      </c>
      <c r="B37" s="1" t="s">
        <v>195</v>
      </c>
      <c r="C37" s="0" t="s">
        <v>98</v>
      </c>
      <c r="E37" s="11" t="n">
        <v>22.271</v>
      </c>
      <c r="G37" s="12" t="s">
        <v>76</v>
      </c>
      <c r="H37" s="1" t="s">
        <v>196</v>
      </c>
      <c r="I37" s="1" t="s">
        <v>197</v>
      </c>
    </row>
    <row r="38" customFormat="false" ht="15" hidden="false" customHeight="false" outlineLevel="0" collapsed="false">
      <c r="A38" s="0" t="s">
        <v>198</v>
      </c>
      <c r="B38" s="1" t="s">
        <v>199</v>
      </c>
      <c r="C38" s="0" t="s">
        <v>168</v>
      </c>
      <c r="D38" s="13" t="n">
        <v>0</v>
      </c>
      <c r="E38" s="13" t="n">
        <v>0.08</v>
      </c>
      <c r="F38" s="13" t="n">
        <v>0.12</v>
      </c>
      <c r="G38" s="12" t="s">
        <v>160</v>
      </c>
      <c r="H38" s="1" t="s">
        <v>200</v>
      </c>
      <c r="I38" s="1" t="s">
        <v>201</v>
      </c>
    </row>
    <row r="39" customFormat="false" ht="17.15" hidden="false" customHeight="false" outlineLevel="0" collapsed="false">
      <c r="A39" s="0" t="s">
        <v>202</v>
      </c>
      <c r="B39" s="1" t="s">
        <v>203</v>
      </c>
      <c r="C39" s="1" t="s">
        <v>81</v>
      </c>
      <c r="D39" s="11" t="n">
        <v>0.035</v>
      </c>
      <c r="E39" s="11" t="n">
        <v>0.045</v>
      </c>
      <c r="F39" s="11" t="n">
        <v>0.055</v>
      </c>
      <c r="G39" s="12" t="s">
        <v>90</v>
      </c>
      <c r="H39" s="1" t="s">
        <v>204</v>
      </c>
      <c r="I39" s="1" t="s">
        <v>205</v>
      </c>
    </row>
    <row r="40" customFormat="false" ht="17.15" hidden="false" customHeight="false" outlineLevel="0" collapsed="false">
      <c r="A40" s="0" t="s">
        <v>206</v>
      </c>
      <c r="B40" s="1" t="s">
        <v>207</v>
      </c>
      <c r="C40" s="0" t="s">
        <v>75</v>
      </c>
      <c r="E40" s="11" t="n">
        <v>0.91</v>
      </c>
      <c r="G40" s="12" t="s">
        <v>76</v>
      </c>
      <c r="H40" s="1" t="s">
        <v>208</v>
      </c>
      <c r="I40" s="12" t="s">
        <v>87</v>
      </c>
    </row>
    <row r="41" customFormat="false" ht="17.15" hidden="false" customHeight="false" outlineLevel="0" collapsed="false">
      <c r="A41" s="0" t="s">
        <v>209</v>
      </c>
      <c r="B41" s="1" t="s">
        <v>210</v>
      </c>
      <c r="C41" s="0" t="s">
        <v>75</v>
      </c>
      <c r="E41" s="11" t="n">
        <v>0.98</v>
      </c>
      <c r="G41" s="12" t="s">
        <v>107</v>
      </c>
      <c r="H41" s="1" t="s">
        <v>211</v>
      </c>
      <c r="I41" s="12" t="s">
        <v>87</v>
      </c>
    </row>
    <row r="42" customFormat="false" ht="17.15" hidden="false" customHeight="false" outlineLevel="0" collapsed="false">
      <c r="A42" s="0" t="s">
        <v>212</v>
      </c>
      <c r="B42" s="0" t="s">
        <v>213</v>
      </c>
      <c r="C42" s="0" t="s">
        <v>75</v>
      </c>
      <c r="E42" s="0" t="n">
        <f aca="false">dps_q0+3*dps_q1</f>
        <v>3.85</v>
      </c>
      <c r="G42" s="0" t="s">
        <v>90</v>
      </c>
      <c r="H42" s="1" t="s">
        <v>214</v>
      </c>
      <c r="I42" s="0" t="s">
        <v>87</v>
      </c>
    </row>
    <row r="43" customFormat="false" ht="17.15" hidden="false" customHeight="false" outlineLevel="0" collapsed="false">
      <c r="A43" s="0" t="s">
        <v>215</v>
      </c>
      <c r="B43" s="1" t="s">
        <v>216</v>
      </c>
      <c r="C43" s="0" t="s">
        <v>75</v>
      </c>
      <c r="E43" s="0" t="n">
        <f aca="false">3*dps_q1</f>
        <v>2.94</v>
      </c>
      <c r="G43" s="0" t="s">
        <v>90</v>
      </c>
      <c r="H43" s="0" t="s">
        <v>217</v>
      </c>
      <c r="I43" s="0" t="s">
        <v>218</v>
      </c>
    </row>
    <row r="44" customFormat="false" ht="17.15" hidden="false" customHeight="false" outlineLevel="0" collapsed="false">
      <c r="A44" s="0" t="s">
        <v>219</v>
      </c>
      <c r="B44" s="1" t="s">
        <v>220</v>
      </c>
      <c r="C44" s="0" t="s">
        <v>168</v>
      </c>
      <c r="D44" s="13" t="n">
        <v>0.05</v>
      </c>
      <c r="E44" s="13" t="n">
        <v>0.08</v>
      </c>
      <c r="F44" s="13" t="n">
        <v>0.1</v>
      </c>
      <c r="G44" s="12" t="s">
        <v>107</v>
      </c>
      <c r="H44" s="1" t="s">
        <v>221</v>
      </c>
      <c r="I44" s="12" t="s">
        <v>87</v>
      </c>
    </row>
    <row r="45" customFormat="false" ht="17.15" hidden="false" customHeight="false" outlineLevel="0" collapsed="false">
      <c r="A45" s="10" t="s">
        <v>222</v>
      </c>
    </row>
    <row r="46" customFormat="false" ht="17.15" hidden="false" customHeight="false" outlineLevel="0" collapsed="false">
      <c r="A46" s="0" t="s">
        <v>223</v>
      </c>
      <c r="B46" s="1" t="s">
        <v>224</v>
      </c>
      <c r="C46" s="0" t="s">
        <v>168</v>
      </c>
      <c r="E46" s="13" t="n">
        <v>0.05</v>
      </c>
      <c r="G46" s="12" t="s">
        <v>76</v>
      </c>
      <c r="H46" s="12" t="s">
        <v>225</v>
      </c>
      <c r="I46" s="1" t="s">
        <v>226</v>
      </c>
    </row>
    <row r="47" customFormat="false" ht="17.15" hidden="false" customHeight="false" outlineLevel="0" collapsed="false">
      <c r="A47" s="0" t="s">
        <v>227</v>
      </c>
      <c r="B47" s="1" t="s">
        <v>228</v>
      </c>
      <c r="C47" s="0" t="s">
        <v>229</v>
      </c>
      <c r="E47" s="14" t="n">
        <v>1.1</v>
      </c>
      <c r="G47" s="12" t="s">
        <v>76</v>
      </c>
      <c r="H47" s="1" t="s">
        <v>230</v>
      </c>
      <c r="I47" s="12" t="s">
        <v>231</v>
      </c>
    </row>
    <row r="48" customFormat="false" ht="17.15" hidden="false" customHeight="false" outlineLevel="0" collapsed="false">
      <c r="A48" s="0" t="s">
        <v>232</v>
      </c>
      <c r="B48" s="1" t="s">
        <v>233</v>
      </c>
      <c r="C48" s="0" t="s">
        <v>229</v>
      </c>
      <c r="E48" s="14" t="n">
        <v>1.1741</v>
      </c>
      <c r="G48" s="12" t="s">
        <v>76</v>
      </c>
      <c r="H48" s="1" t="s">
        <v>234</v>
      </c>
      <c r="I48" s="12" t="s">
        <v>231</v>
      </c>
    </row>
    <row r="49" customFormat="false" ht="17.15" hidden="false" customHeight="false" outlineLevel="0" collapsed="false">
      <c r="A49" s="0" t="s">
        <v>235</v>
      </c>
      <c r="B49" s="0" t="s">
        <v>236</v>
      </c>
      <c r="C49" s="0" t="s">
        <v>229</v>
      </c>
      <c r="E49" s="14" t="n">
        <v>0.67</v>
      </c>
      <c r="G49" s="12" t="s">
        <v>160</v>
      </c>
      <c r="H49" s="1" t="s">
        <v>237</v>
      </c>
      <c r="I49" s="12" t="s">
        <v>87</v>
      </c>
    </row>
    <row r="50" customFormat="false" ht="17.15" hidden="false" customHeight="false" outlineLevel="0" collapsed="false">
      <c r="A50" s="0" t="s">
        <v>238</v>
      </c>
      <c r="B50" s="0" t="s">
        <v>239</v>
      </c>
      <c r="C50" s="0" t="s">
        <v>229</v>
      </c>
      <c r="D50" s="14" t="n">
        <v>0.95</v>
      </c>
      <c r="E50" s="15" t="n">
        <f aca="false">MEDIAN(blume_w*beta_sa+(1-blume_w),blume_w*beta_gf+(1-blume_w))</f>
        <v>1.0918235</v>
      </c>
      <c r="F50" s="14" t="n">
        <v>1.174</v>
      </c>
      <c r="G50" s="12" t="s">
        <v>90</v>
      </c>
      <c r="H50" s="12" t="s">
        <v>240</v>
      </c>
      <c r="I50" s="1" t="s">
        <v>241</v>
      </c>
    </row>
    <row r="51" customFormat="false" ht="17.15" hidden="false" customHeight="false" outlineLevel="0" collapsed="false">
      <c r="A51" s="0" t="s">
        <v>242</v>
      </c>
      <c r="B51" s="1" t="s">
        <v>243</v>
      </c>
      <c r="C51" s="0" t="s">
        <v>168</v>
      </c>
      <c r="D51" s="13" t="n">
        <v>0.045</v>
      </c>
      <c r="E51" s="13" t="n">
        <v>0.05</v>
      </c>
      <c r="F51" s="13" t="n">
        <v>0.06</v>
      </c>
      <c r="G51" s="12" t="s">
        <v>160</v>
      </c>
      <c r="H51" s="12" t="s">
        <v>244</v>
      </c>
      <c r="I51" s="1" t="s">
        <v>245</v>
      </c>
    </row>
    <row r="52" customFormat="false" ht="17.15" hidden="false" customHeight="false" outlineLevel="0" collapsed="false">
      <c r="A52" s="0" t="s">
        <v>246</v>
      </c>
      <c r="B52" s="1" t="s">
        <v>247</v>
      </c>
      <c r="C52" s="0" t="s">
        <v>168</v>
      </c>
      <c r="E52" s="13" t="n">
        <v>0.0626</v>
      </c>
      <c r="G52" s="12" t="s">
        <v>248</v>
      </c>
      <c r="H52" s="1" t="s">
        <v>249</v>
      </c>
      <c r="I52" s="12" t="s">
        <v>250</v>
      </c>
    </row>
    <row r="53" customFormat="false" ht="17.15" hidden="false" customHeight="false" outlineLevel="0" collapsed="false">
      <c r="A53" s="0" t="s">
        <v>251</v>
      </c>
      <c r="B53" s="1" t="s">
        <v>252</v>
      </c>
      <c r="C53" s="0" t="s">
        <v>253</v>
      </c>
      <c r="D53" s="13" t="n">
        <v>0.003</v>
      </c>
      <c r="E53" s="13" t="n">
        <v>0.006</v>
      </c>
      <c r="F53" s="13" t="n">
        <v>0.009</v>
      </c>
      <c r="G53" s="12" t="s">
        <v>160</v>
      </c>
      <c r="H53" s="1" t="s">
        <v>254</v>
      </c>
      <c r="I53" s="12" t="s">
        <v>255</v>
      </c>
    </row>
    <row r="54" customFormat="false" ht="17.15" hidden="false" customHeight="false" outlineLevel="0" collapsed="false">
      <c r="A54" s="0" t="s">
        <v>256</v>
      </c>
      <c r="B54" s="1" t="s">
        <v>257</v>
      </c>
      <c r="C54" s="0" t="s">
        <v>168</v>
      </c>
      <c r="E54" s="7" t="n">
        <f aca="false">rf+kd_spread</f>
        <v>0.056</v>
      </c>
      <c r="G54" s="12" t="s">
        <v>90</v>
      </c>
      <c r="H54" s="12" t="s">
        <v>258</v>
      </c>
      <c r="I54" s="12" t="s">
        <v>87</v>
      </c>
    </row>
    <row r="55" customFormat="false" ht="17.15" hidden="false" customHeight="false" outlineLevel="0" collapsed="false">
      <c r="A55" s="0" t="s">
        <v>259</v>
      </c>
      <c r="B55" s="0" t="s">
        <v>260</v>
      </c>
      <c r="C55" s="0" t="s">
        <v>168</v>
      </c>
      <c r="E55" s="13" t="n">
        <v>0.2</v>
      </c>
      <c r="G55" s="12" t="s">
        <v>107</v>
      </c>
      <c r="H55" s="1" t="s">
        <v>261</v>
      </c>
      <c r="I55" s="12" t="s">
        <v>87</v>
      </c>
    </row>
    <row r="56" customFormat="false" ht="17.15" hidden="false" customHeight="false" outlineLevel="0" collapsed="false">
      <c r="A56" s="0" t="s">
        <v>262</v>
      </c>
      <c r="B56" s="1" t="s">
        <v>263</v>
      </c>
      <c r="C56" s="0" t="s">
        <v>168</v>
      </c>
      <c r="E56" s="7" t="n">
        <f aca="false">rf+beta*erp</f>
        <v>0.104591175</v>
      </c>
      <c r="G56" s="12" t="s">
        <v>90</v>
      </c>
      <c r="H56" s="12" t="s">
        <v>264</v>
      </c>
      <c r="I56" s="12" t="s">
        <v>87</v>
      </c>
    </row>
    <row r="57" customFormat="false" ht="17.15" hidden="false" customHeight="false" outlineLevel="0" collapsed="false">
      <c r="A57" s="0" t="s">
        <v>265</v>
      </c>
      <c r="B57" s="0" t="s">
        <v>266</v>
      </c>
      <c r="C57" s="0" t="s">
        <v>168</v>
      </c>
      <c r="E57" s="7" t="n">
        <f aca="false">(px*sh_val*ke+(debt_val+fl_val)*kd*(1-tax_w))/(px*sh_val+debt_val+fl_val)</f>
        <v>0.102936590945597</v>
      </c>
      <c r="G57" s="12" t="s">
        <v>90</v>
      </c>
      <c r="H57" s="12" t="s">
        <v>267</v>
      </c>
      <c r="I57" s="12" t="s">
        <v>268</v>
      </c>
    </row>
    <row r="58" customFormat="false" ht="17.15" hidden="false" customHeight="false" outlineLevel="0" collapsed="false">
      <c r="A58" s="0" t="s">
        <v>269</v>
      </c>
      <c r="B58" s="1" t="s">
        <v>270</v>
      </c>
      <c r="C58" s="0" t="s">
        <v>168</v>
      </c>
      <c r="D58" s="13" t="n">
        <v>0.02</v>
      </c>
      <c r="E58" s="13" t="n">
        <v>0.03</v>
      </c>
      <c r="F58" s="13" t="n">
        <v>0.04</v>
      </c>
      <c r="G58" s="12" t="s">
        <v>160</v>
      </c>
      <c r="H58" s="1" t="s">
        <v>271</v>
      </c>
      <c r="I58" s="12" t="s">
        <v>272</v>
      </c>
    </row>
    <row r="59" customFormat="false" ht="17.15" hidden="false" customHeight="false" outlineLevel="0" collapsed="false">
      <c r="A59" s="0" t="s">
        <v>273</v>
      </c>
      <c r="B59" s="1" t="s">
        <v>274</v>
      </c>
      <c r="C59" s="0" t="s">
        <v>253</v>
      </c>
      <c r="D59" s="13" t="n">
        <v>-0.02</v>
      </c>
      <c r="E59" s="13" t="n">
        <v>0</v>
      </c>
      <c r="F59" s="13" t="n">
        <v>0.05</v>
      </c>
      <c r="G59" s="12" t="s">
        <v>160</v>
      </c>
      <c r="H59" s="1" t="s">
        <v>275</v>
      </c>
      <c r="I59" s="1" t="s">
        <v>276</v>
      </c>
    </row>
    <row r="60" customFormat="false" ht="17.15" hidden="false" customHeight="false" outlineLevel="0" collapsed="false">
      <c r="A60" s="0" t="s">
        <v>277</v>
      </c>
      <c r="B60" s="1" t="s">
        <v>278</v>
      </c>
      <c r="C60" s="1" t="s">
        <v>279</v>
      </c>
      <c r="E60" s="11" t="n">
        <v>2026</v>
      </c>
      <c r="G60" s="12" t="s">
        <v>76</v>
      </c>
      <c r="H60" s="12" t="s">
        <v>280</v>
      </c>
      <c r="I60" s="1" t="s">
        <v>281</v>
      </c>
    </row>
    <row r="61" customFormat="false" ht="15" hidden="false" customHeight="false" outlineLevel="0" collapsed="false">
      <c r="A61" s="0" t="s">
        <v>282</v>
      </c>
      <c r="B61" s="1" t="s">
        <v>283</v>
      </c>
      <c r="C61" s="1" t="s">
        <v>279</v>
      </c>
      <c r="E61" s="11" t="n">
        <v>0.5</v>
      </c>
      <c r="G61" s="12" t="s">
        <v>160</v>
      </c>
      <c r="H61" s="1" t="s">
        <v>284</v>
      </c>
      <c r="I61" s="12" t="s">
        <v>87</v>
      </c>
    </row>
    <row r="62" customFormat="false" ht="17.15" hidden="false" customHeight="false" outlineLevel="0" collapsed="false">
      <c r="A62" s="0" t="s">
        <v>285</v>
      </c>
      <c r="B62" s="1" t="s">
        <v>286</v>
      </c>
      <c r="C62" s="1" t="s">
        <v>287</v>
      </c>
      <c r="E62" s="16" t="n">
        <f aca="false">DATE(2026,6,30)</f>
        <v>46203</v>
      </c>
      <c r="G62" s="12" t="s">
        <v>76</v>
      </c>
      <c r="H62" s="12" t="s">
        <v>288</v>
      </c>
      <c r="I62" s="1" t="s">
        <v>289</v>
      </c>
    </row>
    <row r="63" customFormat="false" ht="17.15" hidden="false" customHeight="false" outlineLevel="0" collapsed="false">
      <c r="A63" s="0" t="s">
        <v>290</v>
      </c>
      <c r="B63" s="1" t="s">
        <v>291</v>
      </c>
      <c r="C63" s="1" t="s">
        <v>287</v>
      </c>
      <c r="E63" s="16" t="n">
        <f aca="false">DATE(2026,9,30)</f>
        <v>46295</v>
      </c>
      <c r="G63" s="12" t="s">
        <v>76</v>
      </c>
      <c r="H63" s="12" t="s">
        <v>292</v>
      </c>
      <c r="I63" s="12" t="s">
        <v>87</v>
      </c>
    </row>
    <row r="64" customFormat="false" ht="17.15" hidden="false" customHeight="false" outlineLevel="0" collapsed="false">
      <c r="A64" s="0" t="s">
        <v>293</v>
      </c>
      <c r="B64" s="1" t="s">
        <v>294</v>
      </c>
      <c r="C64" s="1" t="s">
        <v>287</v>
      </c>
      <c r="E64" s="16" t="n">
        <f aca="false">DATE(2027,10,29)</f>
        <v>46689</v>
      </c>
      <c r="G64" s="12" t="s">
        <v>160</v>
      </c>
      <c r="H64" s="1" t="s">
        <v>295</v>
      </c>
      <c r="I64" s="1" t="s">
        <v>296</v>
      </c>
    </row>
    <row r="65" customFormat="false" ht="15" hidden="false" customHeight="false" outlineLevel="0" collapsed="false">
      <c r="A65" s="0" t="s">
        <v>297</v>
      </c>
      <c r="B65" s="1" t="s">
        <v>298</v>
      </c>
      <c r="C65" s="1" t="s">
        <v>299</v>
      </c>
      <c r="E65" s="11" t="n">
        <v>365</v>
      </c>
      <c r="G65" s="12" t="s">
        <v>160</v>
      </c>
      <c r="H65" s="12" t="s">
        <v>87</v>
      </c>
      <c r="I65" s="12" t="s">
        <v>87</v>
      </c>
    </row>
    <row r="66" customFormat="false" ht="17.15" hidden="false" customHeight="false" outlineLevel="0" collapsed="false">
      <c r="A66" s="0" t="s">
        <v>300</v>
      </c>
      <c r="B66" s="1" t="s">
        <v>301</v>
      </c>
      <c r="C66" s="1" t="s">
        <v>279</v>
      </c>
      <c r="E66" s="0" t="n">
        <f aca="false">(roll_d1-val_d0)/days_yr</f>
        <v>0.252054794520548</v>
      </c>
      <c r="G66" s="0" t="s">
        <v>90</v>
      </c>
      <c r="H66" s="0" t="s">
        <v>302</v>
      </c>
      <c r="I66" s="0" t="s">
        <v>303</v>
      </c>
    </row>
    <row r="67" customFormat="false" ht="17.15" hidden="false" customHeight="false" outlineLevel="0" collapsed="false">
      <c r="A67" s="0" t="s">
        <v>304</v>
      </c>
      <c r="B67" s="1" t="s">
        <v>305</v>
      </c>
      <c r="C67" s="1" t="s">
        <v>279</v>
      </c>
      <c r="E67" s="0" t="n">
        <f aca="false">(roll_d2-roll_d1)/days_yr</f>
        <v>1.07945205479452</v>
      </c>
      <c r="G67" s="0" t="s">
        <v>90</v>
      </c>
      <c r="H67" s="1" t="s">
        <v>306</v>
      </c>
      <c r="I67" s="0" t="s">
        <v>307</v>
      </c>
    </row>
    <row r="68" customFormat="false" ht="17.15" hidden="false" customHeight="false" outlineLevel="0" collapsed="false">
      <c r="A68" s="0" t="s">
        <v>308</v>
      </c>
      <c r="B68" s="1" t="s">
        <v>309</v>
      </c>
      <c r="C68" s="1" t="s">
        <v>310</v>
      </c>
      <c r="E68" s="11" t="n">
        <v>1</v>
      </c>
      <c r="G68" s="12" t="s">
        <v>90</v>
      </c>
      <c r="H68" s="12" t="s">
        <v>311</v>
      </c>
      <c r="I68" s="12" t="s">
        <v>87</v>
      </c>
    </row>
    <row r="69" customFormat="false" ht="15" hidden="false" customHeight="false" outlineLevel="0" collapsed="false">
      <c r="A69" s="0" t="s">
        <v>312</v>
      </c>
      <c r="B69" s="1" t="s">
        <v>313</v>
      </c>
      <c r="C69" s="1" t="s">
        <v>310</v>
      </c>
      <c r="E69" s="11" t="n">
        <v>4</v>
      </c>
      <c r="G69" s="12" t="s">
        <v>76</v>
      </c>
      <c r="H69" s="12" t="s">
        <v>87</v>
      </c>
      <c r="I69" s="12" t="s">
        <v>87</v>
      </c>
    </row>
    <row r="70" customFormat="false" ht="17.15" hidden="false" customHeight="false" outlineLevel="0" collapsed="false">
      <c r="A70" s="0" t="s">
        <v>314</v>
      </c>
      <c r="B70" s="0" t="s">
        <v>315</v>
      </c>
      <c r="C70" s="1" t="s">
        <v>287</v>
      </c>
      <c r="E70" s="16" t="n">
        <f aca="false">DATE(2027,6,30)</f>
        <v>46568</v>
      </c>
      <c r="G70" s="12" t="s">
        <v>76</v>
      </c>
      <c r="H70" s="12" t="s">
        <v>316</v>
      </c>
      <c r="I70" s="12" t="s">
        <v>87</v>
      </c>
    </row>
    <row r="71" customFormat="false" ht="17.15" hidden="false" customHeight="false" outlineLevel="0" collapsed="false">
      <c r="A71" s="0" t="s">
        <v>317</v>
      </c>
      <c r="B71" s="0" t="s">
        <v>318</v>
      </c>
      <c r="C71" s="1" t="s">
        <v>279</v>
      </c>
      <c r="E71" s="0" t="n">
        <f aca="false">(roll_d2-stub_d0)/days_yr</f>
        <v>0.331506849315069</v>
      </c>
      <c r="G71" s="0" t="s">
        <v>90</v>
      </c>
      <c r="H71" s="0" t="s">
        <v>319</v>
      </c>
      <c r="I71" s="1" t="s">
        <v>320</v>
      </c>
    </row>
    <row r="72" customFormat="false" ht="17.15" hidden="false" customHeight="false" outlineLevel="0" collapsed="false">
      <c r="A72" s="0" t="s">
        <v>321</v>
      </c>
      <c r="B72" s="0" t="s">
        <v>322</v>
      </c>
      <c r="C72" s="1" t="s">
        <v>287</v>
      </c>
      <c r="E72" s="16" t="n">
        <f aca="false">DATE(2028,6,30)</f>
        <v>46934</v>
      </c>
      <c r="G72" s="12" t="s">
        <v>76</v>
      </c>
      <c r="H72" s="1" t="s">
        <v>323</v>
      </c>
      <c r="I72" s="12" t="s">
        <v>87</v>
      </c>
    </row>
    <row r="73" customFormat="false" ht="17.15" hidden="false" customHeight="false" outlineLevel="0" collapsed="false">
      <c r="A73" s="17" t="s">
        <v>324</v>
      </c>
      <c r="B73" s="18" t="s">
        <v>325</v>
      </c>
      <c r="C73" s="17" t="s">
        <v>229</v>
      </c>
      <c r="D73" s="17"/>
      <c r="E73" s="19" t="n">
        <f aca="false">(fy28_end-roll_d2)/days_yr</f>
        <v>0.671232876712329</v>
      </c>
      <c r="F73" s="17"/>
      <c r="G73" s="17" t="s">
        <v>90</v>
      </c>
      <c r="H73" s="18" t="s">
        <v>326</v>
      </c>
      <c r="I73" s="17" t="s">
        <v>327</v>
      </c>
    </row>
    <row r="74" customFormat="false" ht="17.15" hidden="false" customHeight="false" outlineLevel="0" collapsed="false">
      <c r="A74" s="17" t="s">
        <v>328</v>
      </c>
      <c r="B74" s="18" t="s">
        <v>329</v>
      </c>
      <c r="C74" s="17" t="s">
        <v>168</v>
      </c>
      <c r="D74" s="20" t="n">
        <v>0.3</v>
      </c>
      <c r="E74" s="20" t="n">
        <v>0.5</v>
      </c>
      <c r="F74" s="20" t="n">
        <v>0.7</v>
      </c>
      <c r="G74" s="17" t="s">
        <v>160</v>
      </c>
      <c r="H74" s="17" t="s">
        <v>330</v>
      </c>
      <c r="I74" s="17" t="s">
        <v>331</v>
      </c>
    </row>
    <row r="75" customFormat="false" ht="17.15" hidden="false" customHeight="false" outlineLevel="0" collapsed="false">
      <c r="A75" s="17" t="s">
        <v>332</v>
      </c>
      <c r="B75" s="18" t="s">
        <v>333</v>
      </c>
      <c r="C75" s="17" t="s">
        <v>168</v>
      </c>
      <c r="D75" s="17"/>
      <c r="E75" s="20" t="n">
        <v>0.25</v>
      </c>
      <c r="F75" s="17"/>
      <c r="G75" s="17" t="s">
        <v>160</v>
      </c>
      <c r="H75" s="17" t="s">
        <v>334</v>
      </c>
      <c r="I75" s="17" t="s">
        <v>331</v>
      </c>
    </row>
    <row r="76" customFormat="false" ht="17.15" hidden="false" customHeight="false" outlineLevel="0" collapsed="false">
      <c r="A76" s="17" t="s">
        <v>335</v>
      </c>
      <c r="B76" s="18" t="s">
        <v>336</v>
      </c>
      <c r="C76" s="17" t="s">
        <v>168</v>
      </c>
      <c r="D76" s="17"/>
      <c r="E76" s="20" t="n">
        <v>0.5</v>
      </c>
      <c r="F76" s="17"/>
      <c r="G76" s="17" t="s">
        <v>160</v>
      </c>
      <c r="H76" s="17" t="s">
        <v>334</v>
      </c>
      <c r="I76" s="17" t="s">
        <v>331</v>
      </c>
    </row>
    <row r="77" customFormat="false" ht="17.15" hidden="false" customHeight="false" outlineLevel="0" collapsed="false">
      <c r="A77" s="17" t="s">
        <v>337</v>
      </c>
      <c r="B77" s="18" t="s">
        <v>338</v>
      </c>
      <c r="C77" s="17" t="s">
        <v>168</v>
      </c>
      <c r="D77" s="17"/>
      <c r="E77" s="20" t="n">
        <v>0.25</v>
      </c>
      <c r="F77" s="17"/>
      <c r="G77" s="17" t="s">
        <v>160</v>
      </c>
      <c r="H77" s="17" t="s">
        <v>334</v>
      </c>
      <c r="I77" s="17" t="s">
        <v>331</v>
      </c>
    </row>
    <row r="78" customFormat="false" ht="17.15" hidden="false" customHeight="false" outlineLevel="0" collapsed="false">
      <c r="A78" s="0" t="s">
        <v>339</v>
      </c>
      <c r="B78" s="0" t="s">
        <v>340</v>
      </c>
      <c r="C78" s="0" t="s">
        <v>168</v>
      </c>
      <c r="E78" s="13" t="n">
        <v>0.24</v>
      </c>
      <c r="F78" s="13" t="n">
        <v>0.27</v>
      </c>
      <c r="G78" s="12" t="s">
        <v>107</v>
      </c>
      <c r="H78" s="1" t="s">
        <v>341</v>
      </c>
      <c r="I78" s="12" t="s">
        <v>342</v>
      </c>
    </row>
    <row r="79" customFormat="false" ht="17.15" hidden="false" customHeight="false" outlineLevel="0" collapsed="false">
      <c r="A79" s="0" t="s">
        <v>343</v>
      </c>
      <c r="B79" s="1" t="s">
        <v>344</v>
      </c>
      <c r="C79" s="0" t="s">
        <v>168</v>
      </c>
      <c r="E79" s="13" t="n">
        <v>0.25</v>
      </c>
      <c r="G79" s="12" t="s">
        <v>76</v>
      </c>
      <c r="H79" s="1" t="s">
        <v>345</v>
      </c>
      <c r="I79" s="12" t="s">
        <v>346</v>
      </c>
    </row>
    <row r="80" customFormat="false" ht="17.15" hidden="false" customHeight="false" outlineLevel="0" collapsed="false">
      <c r="A80" s="0" t="s">
        <v>347</v>
      </c>
      <c r="B80" s="0" t="s">
        <v>348</v>
      </c>
      <c r="C80" s="0" t="s">
        <v>98</v>
      </c>
      <c r="E80" s="11" t="n">
        <v>852</v>
      </c>
      <c r="G80" s="12" t="s">
        <v>107</v>
      </c>
      <c r="H80" s="1" t="s">
        <v>349</v>
      </c>
      <c r="I80" s="1" t="s">
        <v>350</v>
      </c>
    </row>
    <row r="81" customFormat="false" ht="17.15" hidden="false" customHeight="false" outlineLevel="0" collapsed="false">
      <c r="A81" s="0" t="s">
        <v>351</v>
      </c>
      <c r="B81" s="1" t="s">
        <v>352</v>
      </c>
      <c r="C81" s="0" t="s">
        <v>168</v>
      </c>
      <c r="D81" s="13" t="n">
        <v>0</v>
      </c>
      <c r="E81" s="13" t="n">
        <v>0.2</v>
      </c>
      <c r="F81" s="13" t="n">
        <v>0.4</v>
      </c>
      <c r="G81" s="12" t="s">
        <v>160</v>
      </c>
      <c r="H81" s="1" t="s">
        <v>353</v>
      </c>
      <c r="I81" s="1" t="s">
        <v>245</v>
      </c>
    </row>
    <row r="82" customFormat="false" ht="17.15" hidden="false" customHeight="false" outlineLevel="0" collapsed="false">
      <c r="A82" s="0" t="s">
        <v>354</v>
      </c>
      <c r="B82" s="0" t="s">
        <v>355</v>
      </c>
      <c r="C82" s="0" t="s">
        <v>98</v>
      </c>
      <c r="E82" s="0" t="n">
        <f aca="false">oai_stake*oai_val*(1-liq_disc)</f>
        <v>163.584</v>
      </c>
      <c r="G82" s="0" t="s">
        <v>90</v>
      </c>
      <c r="H82" s="1" t="s">
        <v>356</v>
      </c>
      <c r="I82" s="0" t="s">
        <v>357</v>
      </c>
    </row>
    <row r="83" customFormat="false" ht="17.15" hidden="false" customHeight="false" outlineLevel="0" collapsed="false">
      <c r="A83" s="0" t="s">
        <v>358</v>
      </c>
      <c r="B83" s="0" t="s">
        <v>359</v>
      </c>
      <c r="C83" s="0" t="s">
        <v>229</v>
      </c>
      <c r="D83" s="14" t="n">
        <v>4</v>
      </c>
      <c r="E83" s="14" t="n">
        <v>6</v>
      </c>
      <c r="F83" s="14" t="n">
        <v>10</v>
      </c>
      <c r="G83" s="12" t="s">
        <v>160</v>
      </c>
      <c r="H83" s="1" t="s">
        <v>360</v>
      </c>
      <c r="I83" s="12" t="s">
        <v>361</v>
      </c>
    </row>
    <row r="84" customFormat="false" ht="17.15" hidden="false" customHeight="false" outlineLevel="0" collapsed="false">
      <c r="A84" s="0" t="s">
        <v>362</v>
      </c>
      <c r="B84" s="1" t="s">
        <v>363</v>
      </c>
      <c r="C84" s="0" t="s">
        <v>229</v>
      </c>
      <c r="E84" s="14" t="n">
        <v>13.82</v>
      </c>
      <c r="G84" s="12" t="s">
        <v>90</v>
      </c>
      <c r="H84" s="12" t="s">
        <v>364</v>
      </c>
      <c r="I84" s="12" t="s">
        <v>365</v>
      </c>
    </row>
    <row r="85" customFormat="false" ht="17.15" hidden="false" customHeight="false" outlineLevel="0" collapsed="false">
      <c r="A85" s="0" t="s">
        <v>366</v>
      </c>
      <c r="B85" s="1" t="s">
        <v>367</v>
      </c>
      <c r="C85" s="0" t="s">
        <v>229</v>
      </c>
      <c r="E85" s="14" t="n">
        <v>10.8</v>
      </c>
      <c r="G85" s="12" t="s">
        <v>90</v>
      </c>
      <c r="H85" s="1" t="s">
        <v>368</v>
      </c>
      <c r="I85" s="12" t="s">
        <v>369</v>
      </c>
    </row>
    <row r="86" customFormat="false" ht="17.15" hidden="false" customHeight="false" outlineLevel="0" collapsed="false">
      <c r="A86" s="0" t="s">
        <v>370</v>
      </c>
      <c r="B86" s="1" t="s">
        <v>371</v>
      </c>
      <c r="C86" s="0" t="s">
        <v>229</v>
      </c>
      <c r="E86" s="14" t="n">
        <v>9.11</v>
      </c>
      <c r="G86" s="12" t="s">
        <v>90</v>
      </c>
      <c r="H86" s="12" t="s">
        <v>372</v>
      </c>
      <c r="I86" s="12" t="s">
        <v>369</v>
      </c>
    </row>
    <row r="87" customFormat="false" ht="17.15" hidden="false" customHeight="false" outlineLevel="0" collapsed="false">
      <c r="A87" s="0" t="s">
        <v>373</v>
      </c>
      <c r="B87" s="1" t="s">
        <v>374</v>
      </c>
      <c r="C87" s="0" t="s">
        <v>229</v>
      </c>
      <c r="E87" s="14" t="n">
        <v>12.63</v>
      </c>
      <c r="G87" s="12" t="s">
        <v>90</v>
      </c>
      <c r="H87" s="1" t="s">
        <v>375</v>
      </c>
      <c r="I87" s="12" t="s">
        <v>376</v>
      </c>
    </row>
    <row r="88" customFormat="false" ht="17.15" hidden="false" customHeight="false" outlineLevel="0" collapsed="false">
      <c r="A88" s="0" t="s">
        <v>377</v>
      </c>
      <c r="B88" s="0" t="s">
        <v>378</v>
      </c>
      <c r="C88" s="0" t="s">
        <v>229</v>
      </c>
      <c r="E88" s="14" t="n">
        <v>14.47</v>
      </c>
      <c r="G88" s="12" t="s">
        <v>90</v>
      </c>
      <c r="H88" s="1" t="s">
        <v>379</v>
      </c>
      <c r="I88" s="12" t="s">
        <v>376</v>
      </c>
    </row>
    <row r="89" customFormat="false" ht="17.15" hidden="false" customHeight="false" outlineLevel="0" collapsed="false">
      <c r="A89" s="0" t="s">
        <v>380</v>
      </c>
      <c r="B89" s="0" t="s">
        <v>381</v>
      </c>
      <c r="C89" s="0" t="s">
        <v>229</v>
      </c>
      <c r="E89" s="14" t="n">
        <v>15.67</v>
      </c>
      <c r="G89" s="12" t="s">
        <v>90</v>
      </c>
      <c r="H89" s="1" t="s">
        <v>382</v>
      </c>
      <c r="I89" s="1" t="s">
        <v>383</v>
      </c>
    </row>
    <row r="90" customFormat="false" ht="17.15" hidden="false" customHeight="false" outlineLevel="0" collapsed="false">
      <c r="A90" s="0" t="s">
        <v>384</v>
      </c>
      <c r="B90" s="1" t="s">
        <v>385</v>
      </c>
      <c r="C90" s="0" t="s">
        <v>168</v>
      </c>
      <c r="D90" s="13" t="n">
        <v>0.5</v>
      </c>
      <c r="E90" s="13" t="n">
        <v>0.6</v>
      </c>
      <c r="F90" s="13" t="n">
        <v>0.7</v>
      </c>
      <c r="G90" s="12" t="s">
        <v>160</v>
      </c>
      <c r="H90" s="1" t="s">
        <v>386</v>
      </c>
      <c r="I90" s="1" t="s">
        <v>387</v>
      </c>
    </row>
    <row r="91" customFormat="false" ht="17.15" hidden="false" customHeight="false" outlineLevel="0" collapsed="false">
      <c r="A91" s="0" t="s">
        <v>388</v>
      </c>
      <c r="B91" s="1" t="s">
        <v>389</v>
      </c>
      <c r="C91" s="0" t="s">
        <v>168</v>
      </c>
      <c r="D91" s="13" t="n">
        <v>0.65</v>
      </c>
      <c r="E91" s="13" t="n">
        <v>0.75</v>
      </c>
      <c r="F91" s="13" t="n">
        <v>0.85</v>
      </c>
      <c r="G91" s="12" t="s">
        <v>160</v>
      </c>
      <c r="H91" s="1" t="s">
        <v>386</v>
      </c>
      <c r="I91" s="1" t="s">
        <v>390</v>
      </c>
    </row>
    <row r="92" customFormat="false" ht="17.15" hidden="false" customHeight="false" outlineLevel="0" collapsed="false">
      <c r="A92" s="0" t="s">
        <v>391</v>
      </c>
      <c r="B92" s="1" t="s">
        <v>392</v>
      </c>
      <c r="C92" s="0" t="s">
        <v>168</v>
      </c>
      <c r="D92" s="13" t="n">
        <v>0.2</v>
      </c>
      <c r="E92" s="13" t="n">
        <v>0.3</v>
      </c>
      <c r="F92" s="13" t="n">
        <v>0.4</v>
      </c>
      <c r="G92" s="12" t="s">
        <v>160</v>
      </c>
      <c r="H92" s="1" t="s">
        <v>386</v>
      </c>
      <c r="I92" s="1" t="s">
        <v>393</v>
      </c>
    </row>
    <row r="93" customFormat="false" ht="17.15" hidden="false" customHeight="false" outlineLevel="0" collapsed="false">
      <c r="A93" s="0" t="s">
        <v>394</v>
      </c>
      <c r="B93" s="1" t="s">
        <v>395</v>
      </c>
      <c r="C93" s="0" t="s">
        <v>168</v>
      </c>
      <c r="D93" s="13" t="n">
        <v>0.2</v>
      </c>
      <c r="E93" s="13" t="n">
        <v>0.3</v>
      </c>
      <c r="F93" s="13" t="n">
        <v>0.4</v>
      </c>
      <c r="G93" s="12" t="s">
        <v>160</v>
      </c>
      <c r="H93" s="1" t="s">
        <v>386</v>
      </c>
      <c r="I93" s="1" t="s">
        <v>396</v>
      </c>
    </row>
    <row r="94" customFormat="false" ht="17.15" hidden="false" customHeight="false" outlineLevel="0" collapsed="false">
      <c r="A94" s="0" t="s">
        <v>397</v>
      </c>
      <c r="B94" s="1" t="s">
        <v>398</v>
      </c>
      <c r="C94" s="0" t="s">
        <v>168</v>
      </c>
      <c r="D94" s="13" t="n">
        <v>0.2</v>
      </c>
      <c r="E94" s="13" t="n">
        <v>0.3</v>
      </c>
      <c r="F94" s="13" t="n">
        <v>0.4</v>
      </c>
      <c r="G94" s="12" t="s">
        <v>160</v>
      </c>
      <c r="H94" s="1" t="s">
        <v>386</v>
      </c>
      <c r="I94" s="1" t="s">
        <v>399</v>
      </c>
    </row>
    <row r="95" customFormat="false" ht="17.15" hidden="false" customHeight="false" outlineLevel="0" collapsed="false">
      <c r="A95" s="10" t="s">
        <v>400</v>
      </c>
    </row>
    <row r="96" customFormat="false" ht="17.15" hidden="false" customHeight="false" outlineLevel="0" collapsed="false">
      <c r="A96" s="0" t="s">
        <v>401</v>
      </c>
      <c r="B96" s="0" t="s">
        <v>402</v>
      </c>
      <c r="C96" s="0" t="s">
        <v>403</v>
      </c>
      <c r="E96" s="11" t="n">
        <v>9.70308728611469</v>
      </c>
      <c r="G96" s="12" t="s">
        <v>90</v>
      </c>
      <c r="H96" s="12" t="s">
        <v>404</v>
      </c>
      <c r="I96" s="1" t="s">
        <v>405</v>
      </c>
    </row>
    <row r="97" customFormat="false" ht="17.15" hidden="false" customHeight="false" outlineLevel="0" collapsed="false">
      <c r="A97" s="0" t="s">
        <v>406</v>
      </c>
      <c r="B97" s="0" t="s">
        <v>407</v>
      </c>
      <c r="C97" s="0" t="s">
        <v>403</v>
      </c>
      <c r="E97" s="11" t="n">
        <v>8.82816556596761</v>
      </c>
      <c r="G97" s="12" t="s">
        <v>90</v>
      </c>
      <c r="H97" s="12" t="s">
        <v>404</v>
      </c>
      <c r="I97" s="1" t="s">
        <v>405</v>
      </c>
    </row>
    <row r="98" customFormat="false" ht="17.15" hidden="false" customHeight="false" outlineLevel="0" collapsed="false">
      <c r="A98" s="0" t="s">
        <v>408</v>
      </c>
      <c r="B98" s="0" t="s">
        <v>409</v>
      </c>
      <c r="C98" s="0" t="s">
        <v>403</v>
      </c>
      <c r="E98" s="11" t="n">
        <v>10.8864110021101</v>
      </c>
      <c r="G98" s="12" t="s">
        <v>90</v>
      </c>
      <c r="H98" s="12" t="s">
        <v>404</v>
      </c>
      <c r="I98" s="1" t="s">
        <v>405</v>
      </c>
    </row>
    <row r="99" customFormat="false" ht="17.15" hidden="false" customHeight="false" outlineLevel="0" collapsed="false">
      <c r="A99" s="0" t="s">
        <v>410</v>
      </c>
      <c r="B99" s="0" t="s">
        <v>411</v>
      </c>
      <c r="C99" s="0" t="s">
        <v>403</v>
      </c>
      <c r="E99" s="11" t="n">
        <v>12.2254710045841</v>
      </c>
      <c r="G99" s="12" t="s">
        <v>90</v>
      </c>
      <c r="H99" s="12" t="s">
        <v>404</v>
      </c>
      <c r="I99" s="1" t="s">
        <v>405</v>
      </c>
    </row>
    <row r="100" customFormat="false" ht="17.15" hidden="false" customHeight="false" outlineLevel="0" collapsed="false">
      <c r="A100" s="0" t="s">
        <v>412</v>
      </c>
      <c r="B100" s="0" t="s">
        <v>413</v>
      </c>
      <c r="C100" s="0" t="s">
        <v>414</v>
      </c>
      <c r="E100" s="11" t="n">
        <v>27.510214</v>
      </c>
      <c r="G100" s="12" t="s">
        <v>90</v>
      </c>
      <c r="H100" s="12" t="s">
        <v>404</v>
      </c>
      <c r="I100" s="12" t="s">
        <v>87</v>
      </c>
    </row>
    <row r="101" customFormat="false" ht="17.15" hidden="false" customHeight="false" outlineLevel="0" collapsed="false">
      <c r="A101" s="0" t="s">
        <v>415</v>
      </c>
      <c r="B101" s="0" t="s">
        <v>416</v>
      </c>
      <c r="C101" s="0" t="s">
        <v>414</v>
      </c>
      <c r="E101" s="11" t="n">
        <v>24.015174</v>
      </c>
      <c r="G101" s="12" t="s">
        <v>90</v>
      </c>
      <c r="H101" s="12" t="s">
        <v>404</v>
      </c>
      <c r="I101" s="12" t="s">
        <v>87</v>
      </c>
    </row>
    <row r="102" customFormat="false" ht="17.15" hidden="false" customHeight="false" outlineLevel="0" collapsed="false">
      <c r="A102" s="0" t="s">
        <v>417</v>
      </c>
      <c r="B102" s="0" t="s">
        <v>418</v>
      </c>
      <c r="C102" s="0" t="s">
        <v>414</v>
      </c>
      <c r="E102" s="11" t="n">
        <v>32.237224</v>
      </c>
      <c r="G102" s="12" t="s">
        <v>90</v>
      </c>
      <c r="H102" s="12" t="s">
        <v>404</v>
      </c>
      <c r="I102" s="12" t="s">
        <v>87</v>
      </c>
    </row>
    <row r="103" customFormat="false" ht="17.15" hidden="false" customHeight="false" outlineLevel="0" collapsed="false">
      <c r="A103" s="0" t="s">
        <v>419</v>
      </c>
      <c r="B103" s="0" t="s">
        <v>420</v>
      </c>
      <c r="C103" s="0" t="s">
        <v>414</v>
      </c>
      <c r="E103" s="11" t="n">
        <v>37.586352</v>
      </c>
      <c r="G103" s="12" t="s">
        <v>90</v>
      </c>
      <c r="H103" s="12" t="s">
        <v>404</v>
      </c>
      <c r="I103" s="12" t="s">
        <v>87</v>
      </c>
    </row>
    <row r="104" customFormat="false" ht="17.15" hidden="false" customHeight="false" outlineLevel="0" collapsed="false">
      <c r="A104" s="0" t="s">
        <v>421</v>
      </c>
      <c r="B104" s="0" t="s">
        <v>422</v>
      </c>
      <c r="C104" s="0" t="s">
        <v>403</v>
      </c>
      <c r="E104" s="11" t="n">
        <v>1.88466748019734</v>
      </c>
      <c r="G104" s="12" t="s">
        <v>90</v>
      </c>
      <c r="H104" s="12" t="s">
        <v>404</v>
      </c>
      <c r="I104" s="1" t="s">
        <v>423</v>
      </c>
    </row>
    <row r="105" customFormat="false" ht="17.15" hidden="false" customHeight="false" outlineLevel="0" collapsed="false">
      <c r="A105" s="0" t="s">
        <v>424</v>
      </c>
      <c r="B105" s="0" t="s">
        <v>425</v>
      </c>
      <c r="C105" s="0" t="s">
        <v>403</v>
      </c>
      <c r="E105" s="11" t="n">
        <v>1.812232738713</v>
      </c>
      <c r="G105" s="12" t="s">
        <v>90</v>
      </c>
      <c r="H105" s="12" t="s">
        <v>404</v>
      </c>
      <c r="I105" s="1" t="s">
        <v>423</v>
      </c>
    </row>
    <row r="106" customFormat="false" ht="17.15" hidden="false" customHeight="false" outlineLevel="0" collapsed="false">
      <c r="A106" s="0" t="s">
        <v>426</v>
      </c>
      <c r="B106" s="0" t="s">
        <v>427</v>
      </c>
      <c r="C106" s="0" t="s">
        <v>403</v>
      </c>
      <c r="E106" s="11" t="n">
        <v>1.98263481314457</v>
      </c>
      <c r="G106" s="12" t="s">
        <v>90</v>
      </c>
      <c r="H106" s="12" t="s">
        <v>404</v>
      </c>
      <c r="I106" s="1" t="s">
        <v>423</v>
      </c>
    </row>
    <row r="107" customFormat="false" ht="17.15" hidden="false" customHeight="false" outlineLevel="0" collapsed="false">
      <c r="A107" s="0" t="s">
        <v>428</v>
      </c>
      <c r="B107" s="0" t="s">
        <v>429</v>
      </c>
      <c r="C107" s="0" t="s">
        <v>403</v>
      </c>
      <c r="E107" s="11" t="n">
        <v>2.09349554831403</v>
      </c>
      <c r="G107" s="12" t="s">
        <v>90</v>
      </c>
      <c r="H107" s="12" t="s">
        <v>404</v>
      </c>
      <c r="I107" s="1" t="s">
        <v>423</v>
      </c>
    </row>
    <row r="108" customFormat="false" ht="17.15" hidden="false" customHeight="false" outlineLevel="0" collapsed="false">
      <c r="A108" s="0" t="s">
        <v>430</v>
      </c>
      <c r="B108" s="0" t="s">
        <v>431</v>
      </c>
      <c r="C108" s="0" t="s">
        <v>414</v>
      </c>
      <c r="E108" s="11" t="n">
        <v>12.67</v>
      </c>
      <c r="G108" s="12" t="s">
        <v>90</v>
      </c>
      <c r="H108" s="12" t="s">
        <v>404</v>
      </c>
      <c r="I108" s="1" t="s">
        <v>432</v>
      </c>
    </row>
    <row r="109" customFormat="false" ht="17.15" hidden="false" customHeight="false" outlineLevel="0" collapsed="false">
      <c r="A109" s="0" t="s">
        <v>433</v>
      </c>
      <c r="B109" s="0" t="s">
        <v>434</v>
      </c>
      <c r="C109" s="0" t="s">
        <v>435</v>
      </c>
      <c r="E109" s="11" t="n">
        <v>1.54259654785589</v>
      </c>
      <c r="G109" s="12" t="s">
        <v>90</v>
      </c>
      <c r="H109" s="12" t="s">
        <v>404</v>
      </c>
      <c r="I109" s="12" t="s">
        <v>436</v>
      </c>
    </row>
    <row r="110" customFormat="false" ht="17.15" hidden="false" customHeight="false" outlineLevel="0" collapsed="false">
      <c r="A110" s="0" t="s">
        <v>437</v>
      </c>
      <c r="B110" s="0" t="s">
        <v>438</v>
      </c>
      <c r="C110" s="1" t="s">
        <v>279</v>
      </c>
      <c r="D110" s="11" t="n">
        <v>5</v>
      </c>
      <c r="E110" s="11" t="n">
        <v>6</v>
      </c>
      <c r="F110" s="11" t="n">
        <v>7</v>
      </c>
      <c r="G110" s="12" t="s">
        <v>90</v>
      </c>
      <c r="H110" s="12" t="s">
        <v>439</v>
      </c>
      <c r="I110" s="12" t="s">
        <v>440</v>
      </c>
    </row>
    <row r="111" customFormat="false" ht="17.15" hidden="false" customHeight="false" outlineLevel="0" collapsed="false">
      <c r="A111" s="0" t="s">
        <v>441</v>
      </c>
      <c r="B111" s="1" t="s">
        <v>442</v>
      </c>
      <c r="C111" s="1" t="s">
        <v>279</v>
      </c>
      <c r="E111" s="11" t="n">
        <v>20</v>
      </c>
      <c r="G111" s="12" t="s">
        <v>90</v>
      </c>
      <c r="H111" s="12" t="s">
        <v>443</v>
      </c>
      <c r="I111" s="1" t="s">
        <v>444</v>
      </c>
    </row>
    <row r="112" customFormat="false" ht="17.15" hidden="false" customHeight="false" outlineLevel="0" collapsed="false">
      <c r="A112" s="0" t="s">
        <v>445</v>
      </c>
      <c r="B112" s="1" t="s">
        <v>446</v>
      </c>
      <c r="C112" s="0" t="s">
        <v>168</v>
      </c>
      <c r="E112" s="13" t="n">
        <v>0.1</v>
      </c>
      <c r="G112" s="12" t="s">
        <v>90</v>
      </c>
      <c r="H112" s="1" t="s">
        <v>447</v>
      </c>
      <c r="I112" s="1" t="s">
        <v>448</v>
      </c>
    </row>
    <row r="113" customFormat="false" ht="17.15" hidden="false" customHeight="false" outlineLevel="0" collapsed="false">
      <c r="A113" s="0" t="s">
        <v>449</v>
      </c>
      <c r="B113" s="1" t="s">
        <v>450</v>
      </c>
      <c r="C113" s="0" t="s">
        <v>403</v>
      </c>
      <c r="E113" s="0" t="n">
        <f aca="false">tk_cxfac*fac_wacc/(1-(1+fac_wacc)^(-life_fac))</f>
        <v>1.48821344586815</v>
      </c>
      <c r="G113" s="0" t="s">
        <v>90</v>
      </c>
      <c r="H113" s="0" t="s">
        <v>451</v>
      </c>
      <c r="I113" s="0" t="s">
        <v>452</v>
      </c>
    </row>
    <row r="114" customFormat="false" ht="17.15" hidden="false" customHeight="false" outlineLevel="0" collapsed="false">
      <c r="A114" s="10" t="s">
        <v>453</v>
      </c>
    </row>
    <row r="115" customFormat="false" ht="17.15" hidden="false" customHeight="false" outlineLevel="0" collapsed="false">
      <c r="A115" s="0" t="s">
        <v>454</v>
      </c>
      <c r="B115" s="1" t="s">
        <v>455</v>
      </c>
      <c r="C115" s="0" t="s">
        <v>456</v>
      </c>
      <c r="E115" s="11" t="n">
        <v>640</v>
      </c>
      <c r="G115" s="12" t="s">
        <v>90</v>
      </c>
      <c r="H115" s="1" t="s">
        <v>457</v>
      </c>
      <c r="I115" s="1" t="s">
        <v>458</v>
      </c>
    </row>
    <row r="116" customFormat="false" ht="17.15" hidden="false" customHeight="false" outlineLevel="0" collapsed="false">
      <c r="A116" s="0" t="s">
        <v>459</v>
      </c>
      <c r="B116" s="1" t="s">
        <v>460</v>
      </c>
      <c r="C116" s="0" t="s">
        <v>456</v>
      </c>
      <c r="E116" s="11" t="n">
        <v>1630</v>
      </c>
      <c r="G116" s="12" t="s">
        <v>90</v>
      </c>
      <c r="H116" s="1" t="s">
        <v>457</v>
      </c>
      <c r="I116" s="1" t="s">
        <v>458</v>
      </c>
    </row>
    <row r="117" customFormat="false" ht="17.15" hidden="false" customHeight="false" outlineLevel="0" collapsed="false">
      <c r="A117" s="0" t="s">
        <v>461</v>
      </c>
      <c r="B117" s="1" t="s">
        <v>462</v>
      </c>
      <c r="C117" s="0" t="s">
        <v>456</v>
      </c>
      <c r="D117" s="11" t="n">
        <v>2150</v>
      </c>
      <c r="E117" s="11" t="n">
        <v>3250</v>
      </c>
      <c r="F117" s="11" t="n">
        <v>4875</v>
      </c>
      <c r="G117" s="12" t="s">
        <v>90</v>
      </c>
      <c r="H117" s="1" t="s">
        <v>463</v>
      </c>
      <c r="I117" s="1" t="s">
        <v>458</v>
      </c>
    </row>
    <row r="118" customFormat="false" ht="17.15" hidden="false" customHeight="false" outlineLevel="0" collapsed="false">
      <c r="A118" s="0" t="s">
        <v>464</v>
      </c>
      <c r="B118" s="1" t="s">
        <v>465</v>
      </c>
      <c r="C118" s="0" t="s">
        <v>456</v>
      </c>
      <c r="E118" s="11" t="n">
        <v>150</v>
      </c>
      <c r="G118" s="12" t="s">
        <v>160</v>
      </c>
      <c r="H118" s="1" t="s">
        <v>466</v>
      </c>
      <c r="I118" s="1" t="s">
        <v>467</v>
      </c>
    </row>
    <row r="119" customFormat="false" ht="17.15" hidden="false" customHeight="false" outlineLevel="0" collapsed="false">
      <c r="A119" s="0" t="s">
        <v>468</v>
      </c>
      <c r="B119" s="1" t="s">
        <v>469</v>
      </c>
      <c r="C119" s="0" t="s">
        <v>456</v>
      </c>
      <c r="E119" s="11" t="n">
        <v>400</v>
      </c>
      <c r="G119" s="12" t="s">
        <v>160</v>
      </c>
      <c r="H119" s="1" t="s">
        <v>466</v>
      </c>
      <c r="I119" s="1" t="s">
        <v>467</v>
      </c>
    </row>
    <row r="120" customFormat="false" ht="17.15" hidden="false" customHeight="false" outlineLevel="0" collapsed="false">
      <c r="A120" s="0" t="s">
        <v>470</v>
      </c>
      <c r="B120" s="1" t="s">
        <v>471</v>
      </c>
      <c r="C120" s="0" t="s">
        <v>456</v>
      </c>
      <c r="E120" s="11" t="n">
        <v>550</v>
      </c>
      <c r="G120" s="12" t="s">
        <v>90</v>
      </c>
      <c r="H120" s="1" t="s">
        <v>472</v>
      </c>
      <c r="I120" s="1" t="s">
        <v>467</v>
      </c>
    </row>
    <row r="121" customFormat="false" ht="17.15" hidden="false" customHeight="false" outlineLevel="0" collapsed="false">
      <c r="A121" s="0" t="s">
        <v>473</v>
      </c>
      <c r="B121" s="1" t="s">
        <v>474</v>
      </c>
      <c r="C121" s="0" t="s">
        <v>456</v>
      </c>
      <c r="E121" s="11" t="n">
        <v>756</v>
      </c>
      <c r="G121" s="12" t="s">
        <v>90</v>
      </c>
      <c r="H121" s="1" t="s">
        <v>475</v>
      </c>
      <c r="I121" s="12" t="s">
        <v>87</v>
      </c>
    </row>
    <row r="122" customFormat="false" ht="17.15" hidden="false" customHeight="false" outlineLevel="0" collapsed="false">
      <c r="A122" s="0" t="s">
        <v>476</v>
      </c>
      <c r="B122" s="1" t="s">
        <v>477</v>
      </c>
      <c r="C122" s="0" t="s">
        <v>478</v>
      </c>
      <c r="E122" s="11" t="n">
        <v>2726.5351</v>
      </c>
      <c r="G122" s="12" t="s">
        <v>90</v>
      </c>
      <c r="H122" s="12" t="s">
        <v>479</v>
      </c>
      <c r="I122" s="12" t="s">
        <v>480</v>
      </c>
    </row>
    <row r="123" customFormat="false" ht="17.15" hidden="false" customHeight="false" outlineLevel="0" collapsed="false">
      <c r="A123" s="0" t="s">
        <v>481</v>
      </c>
      <c r="B123" s="1" t="s">
        <v>482</v>
      </c>
      <c r="C123" s="0" t="s">
        <v>478</v>
      </c>
      <c r="E123" s="11" t="n">
        <v>2527.2</v>
      </c>
      <c r="G123" s="12" t="s">
        <v>90</v>
      </c>
      <c r="H123" s="1" t="s">
        <v>483</v>
      </c>
      <c r="I123" s="1" t="s">
        <v>484</v>
      </c>
    </row>
    <row r="124" customFormat="false" ht="17.15" hidden="false" customHeight="false" outlineLevel="0" collapsed="false">
      <c r="A124" s="0" t="s">
        <v>485</v>
      </c>
      <c r="B124" s="1" t="s">
        <v>486</v>
      </c>
      <c r="C124" s="0" t="s">
        <v>478</v>
      </c>
      <c r="E124" s="11" t="n">
        <v>2645.0669</v>
      </c>
      <c r="G124" s="12" t="s">
        <v>90</v>
      </c>
      <c r="H124" s="1" t="s">
        <v>487</v>
      </c>
      <c r="I124" s="12" t="s">
        <v>488</v>
      </c>
    </row>
    <row r="125" customFormat="false" ht="17.15" hidden="false" customHeight="false" outlineLevel="0" collapsed="false">
      <c r="A125" s="0" t="s">
        <v>489</v>
      </c>
      <c r="B125" s="0" t="s">
        <v>490</v>
      </c>
      <c r="C125" s="1" t="s">
        <v>279</v>
      </c>
      <c r="E125" s="11" t="n">
        <v>2029</v>
      </c>
      <c r="G125" s="12" t="s">
        <v>160</v>
      </c>
      <c r="H125" s="1" t="s">
        <v>491</v>
      </c>
      <c r="I125" s="12" t="s">
        <v>87</v>
      </c>
    </row>
    <row r="126" customFormat="false" ht="17.15" hidden="false" customHeight="false" outlineLevel="0" collapsed="false">
      <c r="A126" s="0" t="s">
        <v>492</v>
      </c>
      <c r="B126" s="0" t="s">
        <v>493</v>
      </c>
      <c r="C126" s="1" t="s">
        <v>279</v>
      </c>
      <c r="E126" s="11" t="n">
        <v>2032</v>
      </c>
      <c r="G126" s="12" t="s">
        <v>160</v>
      </c>
      <c r="H126" s="1" t="s">
        <v>494</v>
      </c>
      <c r="I126" s="1" t="s">
        <v>495</v>
      </c>
    </row>
    <row r="127" customFormat="false" ht="17.15" hidden="false" customHeight="false" outlineLevel="0" collapsed="false">
      <c r="A127" s="0" t="s">
        <v>496</v>
      </c>
      <c r="B127" s="1" t="s">
        <v>497</v>
      </c>
      <c r="C127" s="1" t="s">
        <v>279</v>
      </c>
      <c r="E127" s="11" t="n">
        <v>3</v>
      </c>
      <c r="G127" s="12" t="s">
        <v>160</v>
      </c>
      <c r="H127" s="1" t="s">
        <v>498</v>
      </c>
      <c r="I127" s="12" t="s">
        <v>87</v>
      </c>
    </row>
    <row r="128" customFormat="false" ht="17.15" hidden="false" customHeight="false" outlineLevel="0" collapsed="false">
      <c r="A128" s="0" t="s">
        <v>499</v>
      </c>
      <c r="B128" s="1" t="s">
        <v>500</v>
      </c>
      <c r="C128" s="0" t="s">
        <v>478</v>
      </c>
      <c r="E128" s="11" t="n">
        <v>650</v>
      </c>
      <c r="G128" s="12" t="s">
        <v>90</v>
      </c>
      <c r="H128" s="1" t="s">
        <v>501</v>
      </c>
      <c r="I128" s="1" t="s">
        <v>502</v>
      </c>
    </row>
    <row r="129" customFormat="false" ht="17.15" hidden="false" customHeight="false" outlineLevel="0" collapsed="false">
      <c r="A129" s="0" t="s">
        <v>503</v>
      </c>
      <c r="B129" s="1" t="s">
        <v>504</v>
      </c>
      <c r="C129" s="0" t="s">
        <v>456</v>
      </c>
      <c r="E129" s="11" t="n">
        <v>4386</v>
      </c>
      <c r="G129" s="12" t="s">
        <v>90</v>
      </c>
      <c r="H129" s="1" t="s">
        <v>245</v>
      </c>
      <c r="I129" s="12" t="s">
        <v>87</v>
      </c>
    </row>
    <row r="130" customFormat="false" ht="17.15" hidden="false" customHeight="false" outlineLevel="0" collapsed="false">
      <c r="A130" s="0" t="s">
        <v>505</v>
      </c>
      <c r="B130" s="1" t="s">
        <v>506</v>
      </c>
      <c r="C130" s="0" t="s">
        <v>168</v>
      </c>
      <c r="D130" s="13" t="n">
        <v>0.5</v>
      </c>
      <c r="E130" s="13" t="n">
        <v>0.6</v>
      </c>
      <c r="F130" s="13" t="n">
        <v>0.75</v>
      </c>
      <c r="G130" s="12" t="s">
        <v>160</v>
      </c>
      <c r="H130" s="1" t="s">
        <v>507</v>
      </c>
      <c r="I130" s="12" t="s">
        <v>508</v>
      </c>
    </row>
    <row r="131" customFormat="false" ht="17.15" hidden="false" customHeight="false" outlineLevel="0" collapsed="false">
      <c r="A131" s="0" t="s">
        <v>509</v>
      </c>
      <c r="B131" s="1" t="s">
        <v>510</v>
      </c>
      <c r="C131" s="0" t="s">
        <v>168</v>
      </c>
      <c r="D131" s="13" t="n">
        <v>0.4</v>
      </c>
      <c r="E131" s="13" t="n">
        <v>0.6</v>
      </c>
      <c r="F131" s="13" t="n">
        <v>0.8</v>
      </c>
      <c r="G131" s="12" t="s">
        <v>160</v>
      </c>
      <c r="H131" s="1" t="s">
        <v>511</v>
      </c>
      <c r="I131" s="1" t="s">
        <v>512</v>
      </c>
    </row>
    <row r="132" customFormat="false" ht="17.15" hidden="false" customHeight="false" outlineLevel="0" collapsed="false">
      <c r="A132" s="0" t="s">
        <v>513</v>
      </c>
      <c r="B132" s="1" t="s">
        <v>514</v>
      </c>
      <c r="C132" s="0" t="s">
        <v>168</v>
      </c>
      <c r="E132" s="13" t="n">
        <v>0.2</v>
      </c>
      <c r="G132" s="12" t="s">
        <v>160</v>
      </c>
      <c r="H132" s="1" t="s">
        <v>515</v>
      </c>
      <c r="I132" s="12" t="s">
        <v>516</v>
      </c>
    </row>
    <row r="133" customFormat="false" ht="17.15" hidden="false" customHeight="false" outlineLevel="0" collapsed="false">
      <c r="A133" s="0" t="s">
        <v>517</v>
      </c>
      <c r="B133" s="1" t="s">
        <v>518</v>
      </c>
      <c r="C133" s="0" t="s">
        <v>168</v>
      </c>
      <c r="E133" s="13" t="n">
        <v>0.45</v>
      </c>
      <c r="G133" s="12" t="s">
        <v>160</v>
      </c>
      <c r="H133" s="1" t="s">
        <v>515</v>
      </c>
      <c r="I133" s="12" t="s">
        <v>516</v>
      </c>
    </row>
    <row r="134" customFormat="false" ht="17.15" hidden="false" customHeight="false" outlineLevel="0" collapsed="false">
      <c r="A134" s="0" t="s">
        <v>519</v>
      </c>
      <c r="B134" s="1" t="s">
        <v>520</v>
      </c>
      <c r="C134" s="0" t="s">
        <v>168</v>
      </c>
      <c r="E134" s="13" t="n">
        <v>0.35</v>
      </c>
      <c r="G134" s="12" t="s">
        <v>160</v>
      </c>
      <c r="H134" s="1" t="s">
        <v>515</v>
      </c>
      <c r="I134" s="12" t="s">
        <v>516</v>
      </c>
    </row>
    <row r="135" customFormat="false" ht="17.15" hidden="false" customHeight="false" outlineLevel="0" collapsed="false">
      <c r="A135" s="0" t="s">
        <v>521</v>
      </c>
      <c r="B135" s="1" t="s">
        <v>522</v>
      </c>
      <c r="C135" s="0" t="s">
        <v>168</v>
      </c>
      <c r="E135" s="13" t="n">
        <v>0.7</v>
      </c>
      <c r="G135" s="12" t="s">
        <v>160</v>
      </c>
      <c r="H135" s="1" t="s">
        <v>523</v>
      </c>
      <c r="I135" s="12" t="s">
        <v>524</v>
      </c>
    </row>
    <row r="136" customFormat="false" ht="17.15" hidden="false" customHeight="false" outlineLevel="0" collapsed="false">
      <c r="A136" s="0" t="s">
        <v>525</v>
      </c>
      <c r="B136" s="1" t="s">
        <v>526</v>
      </c>
      <c r="C136" s="0" t="s">
        <v>168</v>
      </c>
      <c r="E136" s="13" t="n">
        <v>0.3</v>
      </c>
      <c r="G136" s="12" t="s">
        <v>160</v>
      </c>
      <c r="H136" s="1" t="s">
        <v>523</v>
      </c>
      <c r="I136" s="12" t="s">
        <v>524</v>
      </c>
    </row>
    <row r="137" customFormat="false" ht="17.15" hidden="false" customHeight="false" outlineLevel="0" collapsed="false">
      <c r="A137" s="0" t="s">
        <v>527</v>
      </c>
      <c r="B137" s="1" t="s">
        <v>528</v>
      </c>
      <c r="C137" s="0" t="s">
        <v>168</v>
      </c>
      <c r="E137" s="13" t="n">
        <v>0.1</v>
      </c>
      <c r="G137" s="12" t="s">
        <v>160</v>
      </c>
      <c r="H137" s="1" t="s">
        <v>523</v>
      </c>
      <c r="I137" s="12" t="s">
        <v>524</v>
      </c>
    </row>
    <row r="138" customFormat="false" ht="17.15" hidden="false" customHeight="false" outlineLevel="0" collapsed="false">
      <c r="A138" s="0" t="s">
        <v>529</v>
      </c>
      <c r="B138" s="0" t="s">
        <v>530</v>
      </c>
      <c r="C138" s="1" t="s">
        <v>531</v>
      </c>
      <c r="D138" s="11" t="n">
        <v>0</v>
      </c>
      <c r="E138" s="11" t="n">
        <v>1</v>
      </c>
      <c r="G138" s="12" t="s">
        <v>160</v>
      </c>
      <c r="H138" s="1" t="s">
        <v>532</v>
      </c>
      <c r="I138" s="1" t="s">
        <v>533</v>
      </c>
    </row>
    <row r="139" customFormat="false" ht="17.15" hidden="false" customHeight="false" outlineLevel="0" collapsed="false">
      <c r="A139" s="0" t="s">
        <v>534</v>
      </c>
      <c r="B139" s="1" t="s">
        <v>535</v>
      </c>
      <c r="C139" s="0" t="s">
        <v>168</v>
      </c>
      <c r="D139" s="13" t="n">
        <v>0.05</v>
      </c>
      <c r="E139" s="13" t="n">
        <v>0.1</v>
      </c>
      <c r="F139" s="13" t="n">
        <v>0.2</v>
      </c>
      <c r="G139" s="12" t="s">
        <v>160</v>
      </c>
      <c r="H139" s="1" t="s">
        <v>536</v>
      </c>
      <c r="I139" s="1" t="s">
        <v>537</v>
      </c>
    </row>
    <row r="140" customFormat="false" ht="17.15" hidden="false" customHeight="false" outlineLevel="0" collapsed="false">
      <c r="A140" s="0" t="s">
        <v>538</v>
      </c>
      <c r="B140" s="0" t="s">
        <v>539</v>
      </c>
      <c r="C140" s="0" t="s">
        <v>229</v>
      </c>
      <c r="D140" s="14" t="n">
        <v>0.25</v>
      </c>
      <c r="E140" s="14" t="n">
        <v>0.55</v>
      </c>
      <c r="F140" s="14" t="n">
        <v>0.75</v>
      </c>
      <c r="G140" s="12" t="s">
        <v>160</v>
      </c>
      <c r="H140" s="12" t="s">
        <v>540</v>
      </c>
      <c r="I140" s="1" t="s">
        <v>541</v>
      </c>
    </row>
    <row r="141" customFormat="false" ht="17.15" hidden="false" customHeight="false" outlineLevel="0" collapsed="false">
      <c r="A141" s="0" t="s">
        <v>542</v>
      </c>
      <c r="B141" s="0" t="s">
        <v>543</v>
      </c>
      <c r="C141" s="0" t="s">
        <v>229</v>
      </c>
      <c r="D141" s="14" t="n">
        <v>0.4</v>
      </c>
      <c r="E141" s="14" t="n">
        <v>0.5</v>
      </c>
      <c r="F141" s="14" t="n">
        <v>0.6</v>
      </c>
      <c r="G141" s="12" t="s">
        <v>160</v>
      </c>
      <c r="H141" s="12" t="s">
        <v>540</v>
      </c>
      <c r="I141" s="12" t="s">
        <v>544</v>
      </c>
    </row>
    <row r="142" customFormat="false" ht="17.15" hidden="false" customHeight="false" outlineLevel="0" collapsed="false">
      <c r="A142" s="0" t="s">
        <v>545</v>
      </c>
      <c r="B142" s="1" t="s">
        <v>546</v>
      </c>
      <c r="C142" s="0" t="s">
        <v>414</v>
      </c>
      <c r="E142" s="0" t="n">
        <f aca="false">mix_h*tk_cxit_h100+mix_g2*tk_cxit_gb200+mix_g3*tk_cxit_gb300</f>
        <v>27.5918995</v>
      </c>
      <c r="G142" s="0" t="s">
        <v>90</v>
      </c>
      <c r="H142" s="1" t="s">
        <v>547</v>
      </c>
      <c r="I142" s="0" t="s">
        <v>548</v>
      </c>
    </row>
    <row r="143" customFormat="false" ht="17.15" hidden="false" customHeight="false" outlineLevel="0" collapsed="false">
      <c r="A143" s="0" t="s">
        <v>549</v>
      </c>
      <c r="B143" s="1" t="s">
        <v>550</v>
      </c>
      <c r="C143" s="0" t="s">
        <v>403</v>
      </c>
      <c r="E143" s="11" t="n">
        <v>9.7</v>
      </c>
      <c r="G143" s="12" t="s">
        <v>248</v>
      </c>
      <c r="H143" s="1" t="s">
        <v>551</v>
      </c>
      <c r="I143" s="12" t="s">
        <v>552</v>
      </c>
    </row>
    <row r="144" customFormat="false" ht="17.15" hidden="false" customHeight="false" outlineLevel="0" collapsed="false">
      <c r="A144" s="0" t="s">
        <v>553</v>
      </c>
      <c r="B144" s="1" t="s">
        <v>554</v>
      </c>
      <c r="C144" s="0" t="s">
        <v>435</v>
      </c>
      <c r="E144" s="11" t="n">
        <v>2.82</v>
      </c>
      <c r="F144" s="11" t="n">
        <v>12.29</v>
      </c>
      <c r="G144" s="12" t="s">
        <v>76</v>
      </c>
      <c r="H144" s="1" t="s">
        <v>555</v>
      </c>
      <c r="I144" s="1" t="s">
        <v>556</v>
      </c>
    </row>
    <row r="145" customFormat="false" ht="17.15" hidden="false" customHeight="false" outlineLevel="0" collapsed="false">
      <c r="A145" s="0" t="s">
        <v>557</v>
      </c>
      <c r="B145" s="0" t="s">
        <v>558</v>
      </c>
      <c r="C145" s="0" t="s">
        <v>229</v>
      </c>
      <c r="E145" s="15" t="n">
        <f aca="false">p_long/tk_hold_gb300</f>
        <v>0.891019087752599</v>
      </c>
      <c r="G145" s="12" t="s">
        <v>90</v>
      </c>
      <c r="H145" s="1" t="s">
        <v>559</v>
      </c>
      <c r="I145" s="12" t="s">
        <v>560</v>
      </c>
    </row>
    <row r="146" customFormat="false" ht="17.15" hidden="false" customHeight="false" outlineLevel="0" collapsed="false">
      <c r="A146" s="0" t="s">
        <v>561</v>
      </c>
      <c r="B146" s="1" t="s">
        <v>562</v>
      </c>
      <c r="C146" s="0" t="s">
        <v>403</v>
      </c>
      <c r="E146" s="11" t="n">
        <v>5.7429</v>
      </c>
      <c r="G146" s="12" t="s">
        <v>160</v>
      </c>
      <c r="H146" s="1" t="s">
        <v>563</v>
      </c>
      <c r="I146" s="1" t="s">
        <v>564</v>
      </c>
    </row>
    <row r="147" customFormat="false" ht="17.15" hidden="false" customHeight="false" outlineLevel="0" collapsed="false">
      <c r="A147" s="0" t="s">
        <v>565</v>
      </c>
      <c r="B147" s="0" t="s">
        <v>566</v>
      </c>
      <c r="C147" s="0" t="s">
        <v>229</v>
      </c>
      <c r="E147" s="15" t="n">
        <f aca="false">p_long_lo/tk_hold_vr200</f>
        <v>0.469748772693226</v>
      </c>
      <c r="G147" s="12" t="s">
        <v>90</v>
      </c>
      <c r="H147" s="1" t="s">
        <v>567</v>
      </c>
      <c r="I147" s="12" t="s">
        <v>568</v>
      </c>
    </row>
    <row r="148" customFormat="false" ht="17.15" hidden="false" customHeight="false" outlineLevel="0" collapsed="false">
      <c r="A148" s="0" t="s">
        <v>569</v>
      </c>
      <c r="B148" s="0" t="s">
        <v>570</v>
      </c>
      <c r="C148" s="0" t="s">
        <v>229</v>
      </c>
      <c r="E148" s="15" t="n">
        <f aca="false">p_spot/tk_gpuhr_h100</f>
        <v>1.82808654921445</v>
      </c>
      <c r="G148" s="12" t="s">
        <v>90</v>
      </c>
      <c r="H148" s="1" t="s">
        <v>571</v>
      </c>
      <c r="I148" s="12" t="s">
        <v>572</v>
      </c>
    </row>
    <row r="149" customFormat="false" ht="17.15" hidden="false" customHeight="false" outlineLevel="0" collapsed="false">
      <c r="A149" s="0" t="s">
        <v>573</v>
      </c>
      <c r="B149" s="1" t="s">
        <v>574</v>
      </c>
      <c r="C149" s="0" t="s">
        <v>168</v>
      </c>
      <c r="E149" s="13" t="n">
        <v>0.45</v>
      </c>
      <c r="G149" s="12" t="s">
        <v>160</v>
      </c>
      <c r="H149" s="1" t="s">
        <v>575</v>
      </c>
      <c r="I149" s="12" t="s">
        <v>576</v>
      </c>
    </row>
    <row r="150" customFormat="false" ht="17.15" hidden="false" customHeight="false" outlineLevel="0" collapsed="false">
      <c r="A150" s="0" t="s">
        <v>577</v>
      </c>
      <c r="B150" s="1" t="s">
        <v>578</v>
      </c>
      <c r="C150" s="0" t="s">
        <v>168</v>
      </c>
      <c r="E150" s="13" t="n">
        <v>0.7</v>
      </c>
      <c r="G150" s="12" t="s">
        <v>160</v>
      </c>
      <c r="H150" s="1" t="s">
        <v>579</v>
      </c>
      <c r="I150" s="12" t="s">
        <v>576</v>
      </c>
    </row>
    <row r="151" customFormat="false" ht="17.15" hidden="false" customHeight="false" outlineLevel="0" collapsed="false">
      <c r="A151" s="0" t="s">
        <v>580</v>
      </c>
      <c r="B151" s="1" t="s">
        <v>581</v>
      </c>
      <c r="C151" s="0" t="s">
        <v>168</v>
      </c>
      <c r="E151" s="13" t="n">
        <v>1</v>
      </c>
      <c r="G151" s="12" t="s">
        <v>160</v>
      </c>
      <c r="H151" s="1" t="s">
        <v>582</v>
      </c>
      <c r="I151" s="12" t="s">
        <v>576</v>
      </c>
    </row>
    <row r="152" customFormat="false" ht="17.15" hidden="false" customHeight="false" outlineLevel="0" collapsed="false">
      <c r="A152" s="0" t="s">
        <v>583</v>
      </c>
      <c r="B152" s="0" t="s">
        <v>584</v>
      </c>
      <c r="C152" s="0" t="s">
        <v>229</v>
      </c>
      <c r="E152" s="15" t="n">
        <f aca="false">ls_A*k_long+(1-ls_A)*k_spot</f>
        <v>1.40640619155662</v>
      </c>
      <c r="G152" s="12" t="s">
        <v>90</v>
      </c>
      <c r="H152" s="1" t="s">
        <v>585</v>
      </c>
      <c r="I152" s="12" t="s">
        <v>586</v>
      </c>
    </row>
    <row r="153" customFormat="false" ht="17.15" hidden="false" customHeight="false" outlineLevel="0" collapsed="false">
      <c r="A153" s="0" t="s">
        <v>587</v>
      </c>
      <c r="B153" s="0" t="s">
        <v>588</v>
      </c>
      <c r="C153" s="0" t="s">
        <v>229</v>
      </c>
      <c r="E153" s="15" t="n">
        <f aca="false">ls_B*k_long+(1-ls_B)*k_spot</f>
        <v>1.17213932619116</v>
      </c>
      <c r="G153" s="12" t="s">
        <v>90</v>
      </c>
      <c r="H153" s="1" t="s">
        <v>585</v>
      </c>
      <c r="I153" s="12" t="s">
        <v>586</v>
      </c>
    </row>
    <row r="154" customFormat="false" ht="17.15" hidden="false" customHeight="false" outlineLevel="0" collapsed="false">
      <c r="A154" s="0" t="s">
        <v>589</v>
      </c>
      <c r="B154" s="0" t="s">
        <v>590</v>
      </c>
      <c r="C154" s="0" t="s">
        <v>229</v>
      </c>
      <c r="E154" s="15" t="n">
        <f aca="false">ls_C*k_long+(1-ls_C)*k_spot</f>
        <v>0.891019087752599</v>
      </c>
      <c r="G154" s="12" t="s">
        <v>90</v>
      </c>
      <c r="H154" s="1" t="s">
        <v>585</v>
      </c>
      <c r="I154" s="12" t="s">
        <v>586</v>
      </c>
    </row>
    <row r="155" customFormat="false" ht="17.15" hidden="false" customHeight="false" outlineLevel="0" collapsed="false">
      <c r="A155" s="0" t="s">
        <v>591</v>
      </c>
      <c r="B155" s="1" t="s">
        <v>592</v>
      </c>
      <c r="C155" s="0" t="s">
        <v>229</v>
      </c>
      <c r="D155" s="14" t="n">
        <v>0.7</v>
      </c>
      <c r="E155" s="14" t="n">
        <v>1</v>
      </c>
      <c r="F155" s="14" t="n">
        <v>1</v>
      </c>
      <c r="G155" s="12" t="s">
        <v>160</v>
      </c>
      <c r="H155" s="1" t="s">
        <v>593</v>
      </c>
      <c r="I155" s="12" t="s">
        <v>594</v>
      </c>
    </row>
    <row r="156" customFormat="false" ht="17.15" hidden="false" customHeight="false" outlineLevel="0" collapsed="false">
      <c r="A156" s="0" t="s">
        <v>595</v>
      </c>
      <c r="B156" s="1" t="s">
        <v>596</v>
      </c>
      <c r="C156" s="0" t="s">
        <v>403</v>
      </c>
      <c r="E156" s="11" t="n">
        <v>8.89</v>
      </c>
      <c r="G156" s="12" t="s">
        <v>90</v>
      </c>
      <c r="H156" s="1" t="s">
        <v>597</v>
      </c>
      <c r="I156" s="1" t="s">
        <v>598</v>
      </c>
    </row>
    <row r="157" customFormat="false" ht="17.15" hidden="false" customHeight="false" outlineLevel="0" collapsed="false">
      <c r="A157" s="0" t="s">
        <v>599</v>
      </c>
      <c r="B157" s="1" t="s">
        <v>600</v>
      </c>
      <c r="C157" s="0" t="s">
        <v>168</v>
      </c>
      <c r="D157" s="13" t="n">
        <v>0.65</v>
      </c>
      <c r="E157" s="13" t="n">
        <v>0.8</v>
      </c>
      <c r="F157" s="13" t="n">
        <v>0.9</v>
      </c>
      <c r="G157" s="12" t="s">
        <v>160</v>
      </c>
      <c r="H157" s="1" t="s">
        <v>601</v>
      </c>
      <c r="I157" s="12" t="s">
        <v>602</v>
      </c>
    </row>
    <row r="158" customFormat="false" ht="17.15" hidden="false" customHeight="false" outlineLevel="0" collapsed="false">
      <c r="A158" s="0" t="s">
        <v>603</v>
      </c>
      <c r="B158" s="0" t="s">
        <v>604</v>
      </c>
      <c r="C158" s="0" t="s">
        <v>98</v>
      </c>
      <c r="D158" s="11" t="n">
        <v>194.2</v>
      </c>
      <c r="E158" s="11" t="n">
        <v>204.2</v>
      </c>
      <c r="F158" s="11" t="n">
        <v>213.6</v>
      </c>
      <c r="G158" s="12" t="s">
        <v>90</v>
      </c>
      <c r="H158" s="1" t="s">
        <v>605</v>
      </c>
      <c r="I158" s="1" t="s">
        <v>606</v>
      </c>
    </row>
    <row r="159" customFormat="false" ht="17.15" hidden="false" customHeight="false" outlineLevel="0" collapsed="false">
      <c r="A159" s="10" t="s">
        <v>607</v>
      </c>
    </row>
    <row r="160" customFormat="false" ht="17.15" hidden="false" customHeight="false" outlineLevel="0" collapsed="false">
      <c r="A160" s="0" t="s">
        <v>608</v>
      </c>
      <c r="B160" s="0" t="s">
        <v>609</v>
      </c>
      <c r="C160" s="1" t="s">
        <v>610</v>
      </c>
      <c r="E160" s="11" t="n">
        <v>1</v>
      </c>
      <c r="G160" s="12" t="s">
        <v>160</v>
      </c>
      <c r="H160" s="1" t="s">
        <v>611</v>
      </c>
      <c r="I160" s="12" t="s">
        <v>87</v>
      </c>
    </row>
    <row r="161" customFormat="false" ht="17.15" hidden="false" customHeight="false" outlineLevel="0" collapsed="false">
      <c r="A161" s="0" t="s">
        <v>612</v>
      </c>
      <c r="B161" s="0" t="s">
        <v>613</v>
      </c>
      <c r="C161" s="1" t="s">
        <v>610</v>
      </c>
      <c r="E161" s="11" t="n">
        <v>5</v>
      </c>
      <c r="G161" s="12" t="s">
        <v>160</v>
      </c>
      <c r="H161" s="1" t="s">
        <v>614</v>
      </c>
      <c r="I161" s="12" t="s">
        <v>87</v>
      </c>
    </row>
    <row r="162" customFormat="false" ht="17.15" hidden="false" customHeight="false" outlineLevel="0" collapsed="false">
      <c r="A162" s="0" t="s">
        <v>615</v>
      </c>
      <c r="B162" s="0" t="s">
        <v>616</v>
      </c>
      <c r="C162" s="1" t="s">
        <v>610</v>
      </c>
      <c r="E162" s="11" t="n">
        <v>30</v>
      </c>
      <c r="G162" s="12" t="s">
        <v>107</v>
      </c>
      <c r="H162" s="1" t="s">
        <v>617</v>
      </c>
      <c r="I162" s="12" t="s">
        <v>87</v>
      </c>
    </row>
    <row r="163" customFormat="false" ht="17.15" hidden="false" customHeight="false" outlineLevel="0" collapsed="false">
      <c r="A163" s="0" t="s">
        <v>618</v>
      </c>
      <c r="B163" s="0" t="s">
        <v>619</v>
      </c>
      <c r="C163" s="0" t="s">
        <v>620</v>
      </c>
      <c r="D163" s="11" t="n">
        <v>18</v>
      </c>
      <c r="E163" s="11" t="n">
        <v>25</v>
      </c>
      <c r="F163" s="11" t="n">
        <v>30</v>
      </c>
      <c r="G163" s="12" t="s">
        <v>160</v>
      </c>
      <c r="H163" s="1" t="s">
        <v>621</v>
      </c>
      <c r="I163" s="12" t="s">
        <v>622</v>
      </c>
    </row>
    <row r="164" customFormat="false" ht="17.15" hidden="false" customHeight="false" outlineLevel="0" collapsed="false">
      <c r="A164" s="0" t="s">
        <v>623</v>
      </c>
      <c r="B164" s="0" t="s">
        <v>624</v>
      </c>
      <c r="C164" s="1" t="s">
        <v>610</v>
      </c>
      <c r="E164" s="11" t="n">
        <v>30</v>
      </c>
      <c r="G164" s="12" t="s">
        <v>160</v>
      </c>
      <c r="H164" s="12" t="s">
        <v>625</v>
      </c>
      <c r="I164" s="12" t="s">
        <v>626</v>
      </c>
    </row>
    <row r="165" customFormat="false" ht="17.15" hidden="false" customHeight="false" outlineLevel="0" collapsed="false">
      <c r="A165" s="0" t="s">
        <v>627</v>
      </c>
      <c r="B165" s="0" t="s">
        <v>628</v>
      </c>
      <c r="C165" s="1" t="s">
        <v>610</v>
      </c>
      <c r="E165" s="11" t="n">
        <v>20</v>
      </c>
      <c r="G165" s="12" t="s">
        <v>160</v>
      </c>
      <c r="H165" s="12" t="s">
        <v>625</v>
      </c>
      <c r="I165" s="12" t="s">
        <v>626</v>
      </c>
    </row>
    <row r="166" customFormat="false" ht="17.15" hidden="false" customHeight="false" outlineLevel="0" collapsed="false">
      <c r="A166" s="0" t="s">
        <v>629</v>
      </c>
      <c r="B166" s="0" t="s">
        <v>630</v>
      </c>
      <c r="C166" s="1" t="s">
        <v>610</v>
      </c>
      <c r="E166" s="11" t="n">
        <v>10</v>
      </c>
      <c r="G166" s="12" t="s">
        <v>160</v>
      </c>
      <c r="H166" s="12" t="s">
        <v>625</v>
      </c>
      <c r="I166" s="12" t="s">
        <v>626</v>
      </c>
    </row>
    <row r="167" customFormat="false" ht="17.15" hidden="false" customHeight="false" outlineLevel="0" collapsed="false">
      <c r="A167" s="0" t="s">
        <v>631</v>
      </c>
      <c r="B167" s="0" t="s">
        <v>632</v>
      </c>
      <c r="C167" s="0" t="s">
        <v>229</v>
      </c>
      <c r="E167" s="14" t="n">
        <v>0.5</v>
      </c>
      <c r="G167" s="12" t="s">
        <v>160</v>
      </c>
      <c r="H167" s="1" t="s">
        <v>633</v>
      </c>
      <c r="I167" s="12" t="s">
        <v>87</v>
      </c>
    </row>
    <row r="168" customFormat="false" ht="17.15" hidden="false" customHeight="false" outlineLevel="0" collapsed="false">
      <c r="A168" s="0" t="s">
        <v>634</v>
      </c>
      <c r="B168" s="1" t="s">
        <v>635</v>
      </c>
      <c r="C168" s="1" t="s">
        <v>531</v>
      </c>
      <c r="D168" s="11" t="n">
        <v>1</v>
      </c>
      <c r="E168" s="11" t="n">
        <v>2</v>
      </c>
      <c r="G168" s="12" t="s">
        <v>160</v>
      </c>
      <c r="H168" s="1" t="s">
        <v>636</v>
      </c>
      <c r="I168" s="1" t="s">
        <v>637</v>
      </c>
    </row>
    <row r="169" customFormat="false" ht="17.15" hidden="false" customHeight="false" outlineLevel="0" collapsed="false">
      <c r="A169" s="0" t="s">
        <v>638</v>
      </c>
      <c r="B169" s="1" t="s">
        <v>639</v>
      </c>
      <c r="C169" s="1" t="s">
        <v>531</v>
      </c>
      <c r="D169" s="11" t="n">
        <v>0</v>
      </c>
      <c r="E169" s="11" t="n">
        <v>1</v>
      </c>
      <c r="G169" s="12" t="s">
        <v>160</v>
      </c>
      <c r="H169" s="1" t="s">
        <v>640</v>
      </c>
      <c r="I169" s="12" t="s">
        <v>641</v>
      </c>
    </row>
    <row r="170" customFormat="false" ht="17.15" hidden="false" customHeight="false" outlineLevel="0" collapsed="false">
      <c r="A170" s="10" t="s">
        <v>642</v>
      </c>
    </row>
    <row r="171" customFormat="false" ht="17.15" hidden="false" customHeight="false" outlineLevel="0" collapsed="false">
      <c r="A171" s="0" t="s">
        <v>643</v>
      </c>
      <c r="B171" s="1" t="s">
        <v>644</v>
      </c>
      <c r="C171" s="1" t="s">
        <v>279</v>
      </c>
      <c r="E171" s="11" t="n">
        <v>6</v>
      </c>
      <c r="G171" s="12" t="s">
        <v>160</v>
      </c>
      <c r="H171" s="1" t="s">
        <v>645</v>
      </c>
      <c r="I171" s="12" t="s">
        <v>87</v>
      </c>
    </row>
    <row r="172" customFormat="false" ht="17.15" hidden="false" customHeight="false" outlineLevel="0" collapsed="false">
      <c r="A172" s="0" t="s">
        <v>646</v>
      </c>
      <c r="B172" s="1" t="s">
        <v>647</v>
      </c>
      <c r="C172" s="0" t="s">
        <v>168</v>
      </c>
      <c r="D172" s="13" t="n">
        <v>0.05</v>
      </c>
      <c r="E172" s="13" t="n">
        <v>0.08</v>
      </c>
      <c r="F172" s="13" t="n">
        <v>0.12</v>
      </c>
      <c r="G172" s="12" t="s">
        <v>160</v>
      </c>
      <c r="H172" s="1" t="s">
        <v>648</v>
      </c>
      <c r="I172" s="1" t="s">
        <v>649</v>
      </c>
    </row>
    <row r="173" customFormat="false" ht="17.15" hidden="false" customHeight="false" outlineLevel="0" collapsed="false">
      <c r="A173" s="0" t="s">
        <v>650</v>
      </c>
      <c r="B173" s="1" t="s">
        <v>651</v>
      </c>
      <c r="C173" s="0" t="s">
        <v>168</v>
      </c>
      <c r="D173" s="13" t="n">
        <v>0.04</v>
      </c>
      <c r="E173" s="13" t="n">
        <v>0.07</v>
      </c>
      <c r="F173" s="13" t="n">
        <v>0.1</v>
      </c>
      <c r="G173" s="12" t="s">
        <v>160</v>
      </c>
      <c r="H173" s="12" t="s">
        <v>652</v>
      </c>
      <c r="I173" s="1" t="s">
        <v>649</v>
      </c>
    </row>
    <row r="174" customFormat="false" ht="17.15" hidden="false" customHeight="false" outlineLevel="0" collapsed="false">
      <c r="A174" s="0" t="s">
        <v>653</v>
      </c>
      <c r="B174" s="1" t="s">
        <v>654</v>
      </c>
      <c r="C174" s="0" t="s">
        <v>168</v>
      </c>
      <c r="D174" s="13" t="n">
        <v>0</v>
      </c>
      <c r="E174" s="13" t="n">
        <v>0.02</v>
      </c>
      <c r="F174" s="13" t="n">
        <v>0.04</v>
      </c>
      <c r="G174" s="12" t="s">
        <v>160</v>
      </c>
      <c r="H174" s="1" t="s">
        <v>245</v>
      </c>
      <c r="I174" s="1" t="s">
        <v>649</v>
      </c>
    </row>
    <row r="175" customFormat="false" ht="17.15" hidden="false" customHeight="false" outlineLevel="0" collapsed="false">
      <c r="A175" s="0" t="s">
        <v>655</v>
      </c>
      <c r="B175" s="1" t="s">
        <v>656</v>
      </c>
      <c r="C175" s="0" t="s">
        <v>168</v>
      </c>
      <c r="D175" s="13" t="n">
        <v>0.04</v>
      </c>
      <c r="E175" s="13" t="n">
        <v>0.07</v>
      </c>
      <c r="F175" s="13" t="n">
        <v>0.1</v>
      </c>
      <c r="G175" s="12" t="s">
        <v>160</v>
      </c>
      <c r="H175" s="1" t="s">
        <v>657</v>
      </c>
      <c r="I175" s="1" t="s">
        <v>649</v>
      </c>
    </row>
    <row r="176" customFormat="false" ht="17.15" hidden="false" customHeight="false" outlineLevel="0" collapsed="false">
      <c r="A176" s="0" t="s">
        <v>658</v>
      </c>
      <c r="B176" s="1" t="s">
        <v>659</v>
      </c>
      <c r="C176" s="0" t="s">
        <v>168</v>
      </c>
      <c r="D176" s="13" t="n">
        <v>0.04</v>
      </c>
      <c r="E176" s="13" t="n">
        <v>0.07</v>
      </c>
      <c r="F176" s="13" t="n">
        <v>0.1</v>
      </c>
      <c r="G176" s="12" t="s">
        <v>160</v>
      </c>
      <c r="H176" s="1" t="s">
        <v>657</v>
      </c>
      <c r="I176" s="1" t="s">
        <v>649</v>
      </c>
    </row>
    <row r="177" customFormat="false" ht="17.15" hidden="false" customHeight="false" outlineLevel="0" collapsed="false">
      <c r="A177" s="0" t="s">
        <v>660</v>
      </c>
      <c r="B177" s="1" t="s">
        <v>661</v>
      </c>
      <c r="C177" s="0" t="s">
        <v>168</v>
      </c>
      <c r="D177" s="13" t="n">
        <v>0.04</v>
      </c>
      <c r="E177" s="13" t="n">
        <v>0.07</v>
      </c>
      <c r="F177" s="13" t="n">
        <v>0.1</v>
      </c>
      <c r="G177" s="12" t="s">
        <v>160</v>
      </c>
      <c r="H177" s="1" t="s">
        <v>245</v>
      </c>
      <c r="I177" s="1" t="s">
        <v>649</v>
      </c>
    </row>
    <row r="178" customFormat="false" ht="17.15" hidden="false" customHeight="false" outlineLevel="0" collapsed="false">
      <c r="A178" s="0" t="s">
        <v>662</v>
      </c>
      <c r="B178" s="1" t="s">
        <v>663</v>
      </c>
      <c r="C178" s="0" t="s">
        <v>168</v>
      </c>
      <c r="D178" s="13" t="n">
        <v>-0.02</v>
      </c>
      <c r="E178" s="13" t="n">
        <v>0.02</v>
      </c>
      <c r="F178" s="13" t="n">
        <v>0.05</v>
      </c>
      <c r="G178" s="12" t="s">
        <v>160</v>
      </c>
      <c r="H178" s="1" t="s">
        <v>664</v>
      </c>
      <c r="I178" s="1" t="s">
        <v>649</v>
      </c>
    </row>
    <row r="179" customFormat="false" ht="17.15" hidden="false" customHeight="false" outlineLevel="0" collapsed="false">
      <c r="A179" s="0" t="s">
        <v>665</v>
      </c>
      <c r="B179" s="1" t="s">
        <v>666</v>
      </c>
      <c r="C179" s="0" t="s">
        <v>168</v>
      </c>
      <c r="D179" s="13" t="n">
        <v>-0.02</v>
      </c>
      <c r="E179" s="13" t="n">
        <v>0.02</v>
      </c>
      <c r="F179" s="13" t="n">
        <v>0.04</v>
      </c>
      <c r="G179" s="12" t="s">
        <v>160</v>
      </c>
      <c r="H179" s="1" t="s">
        <v>664</v>
      </c>
      <c r="I179" s="1" t="s">
        <v>649</v>
      </c>
    </row>
    <row r="180" customFormat="false" ht="17.15" hidden="false" customHeight="false" outlineLevel="0" collapsed="false">
      <c r="A180" s="10" t="s">
        <v>667</v>
      </c>
    </row>
    <row r="181" customFormat="false" ht="17.15" hidden="false" customHeight="false" outlineLevel="0" collapsed="false">
      <c r="A181" s="0" t="s">
        <v>668</v>
      </c>
      <c r="B181" s="1" t="s">
        <v>669</v>
      </c>
      <c r="C181" s="0" t="s">
        <v>253</v>
      </c>
      <c r="D181" s="13" t="n">
        <v>-0.02</v>
      </c>
      <c r="E181" s="13" t="n">
        <v>0</v>
      </c>
      <c r="F181" s="13" t="n">
        <v>0.02</v>
      </c>
      <c r="G181" s="12" t="s">
        <v>160</v>
      </c>
      <c r="H181" s="1" t="s">
        <v>670</v>
      </c>
      <c r="I181" s="1" t="s">
        <v>671</v>
      </c>
    </row>
    <row r="182" customFormat="false" ht="17.15" hidden="false" customHeight="false" outlineLevel="0" collapsed="false">
      <c r="A182" s="0" t="s">
        <v>672</v>
      </c>
      <c r="B182" s="1" t="s">
        <v>673</v>
      </c>
      <c r="C182" s="0" t="s">
        <v>98</v>
      </c>
      <c r="D182" s="11" t="n">
        <v>-2</v>
      </c>
      <c r="E182" s="11" t="n">
        <v>-1.2</v>
      </c>
      <c r="F182" s="11" t="n">
        <v>-0.4</v>
      </c>
      <c r="G182" s="12" t="s">
        <v>107</v>
      </c>
      <c r="H182" s="1" t="s">
        <v>674</v>
      </c>
      <c r="I182" s="12" t="s">
        <v>675</v>
      </c>
    </row>
    <row r="183" customFormat="false" ht="17.15" hidden="false" customHeight="false" outlineLevel="0" collapsed="false">
      <c r="A183" s="0" t="s">
        <v>676</v>
      </c>
      <c r="B183" s="1" t="s">
        <v>677</v>
      </c>
      <c r="C183" s="0" t="s">
        <v>168</v>
      </c>
      <c r="D183" s="13" t="n">
        <v>0.19</v>
      </c>
      <c r="E183" s="13" t="n">
        <v>0.2</v>
      </c>
      <c r="F183" s="13" t="n">
        <v>0.21</v>
      </c>
      <c r="G183" s="12" t="s">
        <v>107</v>
      </c>
      <c r="H183" s="1" t="s">
        <v>678</v>
      </c>
      <c r="I183" s="12" t="s">
        <v>679</v>
      </c>
    </row>
    <row r="184" customFormat="false" ht="17.15" hidden="false" customHeight="false" outlineLevel="0" collapsed="false">
      <c r="A184" s="0" t="s">
        <v>680</v>
      </c>
      <c r="B184" s="1" t="s">
        <v>681</v>
      </c>
      <c r="C184" s="0" t="s">
        <v>168</v>
      </c>
      <c r="E184" s="7" t="n">
        <f aca="false">Q!M39/Q!M18</f>
        <v>0.0373825861336371</v>
      </c>
      <c r="G184" s="12" t="s">
        <v>90</v>
      </c>
      <c r="H184" s="12" t="s">
        <v>682</v>
      </c>
      <c r="I184" s="12" t="s">
        <v>87</v>
      </c>
    </row>
    <row r="185" customFormat="false" ht="17.15" hidden="false" customHeight="false" outlineLevel="0" collapsed="false">
      <c r="A185" s="0" t="s">
        <v>683</v>
      </c>
      <c r="B185" s="0" t="s">
        <v>684</v>
      </c>
      <c r="C185" s="0" t="s">
        <v>98</v>
      </c>
      <c r="E185" s="11" t="n">
        <v>-4.895</v>
      </c>
      <c r="G185" s="12" t="s">
        <v>90</v>
      </c>
      <c r="H185" s="1" t="s">
        <v>685</v>
      </c>
      <c r="I185" s="12" t="s">
        <v>686</v>
      </c>
    </row>
    <row r="186" customFormat="false" ht="17.15" hidden="false" customHeight="false" outlineLevel="0" collapsed="false">
      <c r="A186" s="0" t="s">
        <v>687</v>
      </c>
      <c r="B186" s="0" t="s">
        <v>688</v>
      </c>
      <c r="C186" s="0" t="s">
        <v>98</v>
      </c>
      <c r="E186" s="11" t="n">
        <v>-0.218</v>
      </c>
      <c r="G186" s="12" t="s">
        <v>107</v>
      </c>
      <c r="H186" s="1" t="s">
        <v>689</v>
      </c>
      <c r="I186" s="12" t="s">
        <v>690</v>
      </c>
    </row>
    <row r="187" customFormat="false" ht="17.15" hidden="false" customHeight="false" outlineLevel="0" collapsed="false">
      <c r="A187" s="0" t="s">
        <v>691</v>
      </c>
      <c r="B187" s="0" t="s">
        <v>692</v>
      </c>
      <c r="C187" s="0" t="s">
        <v>98</v>
      </c>
      <c r="E187" s="11" t="n">
        <v>0</v>
      </c>
      <c r="G187" s="12" t="s">
        <v>160</v>
      </c>
      <c r="H187" s="1" t="s">
        <v>693</v>
      </c>
      <c r="I187" s="12" t="s">
        <v>87</v>
      </c>
    </row>
    <row r="188" customFormat="false" ht="17.15" hidden="false" customHeight="false" outlineLevel="0" collapsed="false">
      <c r="A188" s="0" t="s">
        <v>694</v>
      </c>
      <c r="B188" s="1" t="s">
        <v>695</v>
      </c>
      <c r="C188" s="1" t="s">
        <v>279</v>
      </c>
      <c r="D188" s="11" t="n">
        <v>8</v>
      </c>
      <c r="E188" s="11" t="n">
        <v>10</v>
      </c>
      <c r="F188" s="11" t="n">
        <v>15</v>
      </c>
      <c r="G188" s="12" t="s">
        <v>160</v>
      </c>
      <c r="H188" s="1" t="s">
        <v>696</v>
      </c>
      <c r="I188" s="1" t="s">
        <v>697</v>
      </c>
    </row>
    <row r="189" customFormat="false" ht="17.15" hidden="false" customHeight="false" outlineLevel="0" collapsed="false">
      <c r="A189" s="0" t="s">
        <v>698</v>
      </c>
      <c r="B189" s="1" t="s">
        <v>699</v>
      </c>
      <c r="C189" s="0" t="s">
        <v>168</v>
      </c>
      <c r="E189" s="13" t="n">
        <v>0.2</v>
      </c>
      <c r="G189" s="12" t="s">
        <v>160</v>
      </c>
      <c r="H189" s="1" t="s">
        <v>700</v>
      </c>
      <c r="I189" s="1" t="s">
        <v>701</v>
      </c>
    </row>
    <row r="190" customFormat="false" ht="17.15" hidden="false" customHeight="false" outlineLevel="0" collapsed="false">
      <c r="A190" s="0" t="s">
        <v>702</v>
      </c>
      <c r="B190" s="1" t="s">
        <v>703</v>
      </c>
      <c r="C190" s="0" t="s">
        <v>168</v>
      </c>
      <c r="E190" s="13" t="n">
        <v>0.1</v>
      </c>
      <c r="G190" s="12" t="s">
        <v>160</v>
      </c>
      <c r="H190" s="1" t="s">
        <v>700</v>
      </c>
      <c r="I190" s="1" t="s">
        <v>701</v>
      </c>
    </row>
    <row r="191" customFormat="false" ht="17.15" hidden="false" customHeight="false" outlineLevel="0" collapsed="false">
      <c r="A191" s="0" t="s">
        <v>704</v>
      </c>
      <c r="B191" s="1" t="s">
        <v>705</v>
      </c>
      <c r="C191" s="0" t="s">
        <v>168</v>
      </c>
      <c r="E191" s="13" t="n">
        <v>0.02</v>
      </c>
      <c r="G191" s="12" t="s">
        <v>160</v>
      </c>
      <c r="H191" s="1" t="s">
        <v>700</v>
      </c>
      <c r="I191" s="1" t="s">
        <v>701</v>
      </c>
    </row>
    <row r="192" customFormat="false" ht="17.15" hidden="false" customHeight="false" outlineLevel="0" collapsed="false">
      <c r="A192" s="0" t="s">
        <v>706</v>
      </c>
      <c r="B192" s="1" t="s">
        <v>707</v>
      </c>
      <c r="C192" s="0" t="s">
        <v>168</v>
      </c>
      <c r="E192" s="13" t="n">
        <v>0.05</v>
      </c>
      <c r="G192" s="12" t="s">
        <v>160</v>
      </c>
      <c r="H192" s="1" t="s">
        <v>700</v>
      </c>
      <c r="I192" s="1" t="s">
        <v>701</v>
      </c>
    </row>
    <row r="193" customFormat="false" ht="17.15" hidden="false" customHeight="false" outlineLevel="0" collapsed="false">
      <c r="A193" s="0" t="s">
        <v>708</v>
      </c>
      <c r="B193" s="1" t="s">
        <v>709</v>
      </c>
      <c r="C193" s="0" t="s">
        <v>168</v>
      </c>
      <c r="E193" s="13" t="n">
        <v>0.08</v>
      </c>
      <c r="G193" s="12" t="s">
        <v>160</v>
      </c>
      <c r="H193" s="1" t="s">
        <v>700</v>
      </c>
      <c r="I193" s="1" t="s">
        <v>701</v>
      </c>
    </row>
    <row r="194" customFormat="false" ht="17.15" hidden="false" customHeight="false" outlineLevel="0" collapsed="false">
      <c r="A194" s="0" t="s">
        <v>710</v>
      </c>
      <c r="B194" s="1" t="s">
        <v>711</v>
      </c>
      <c r="C194" s="0" t="s">
        <v>168</v>
      </c>
      <c r="E194" s="13" t="n">
        <v>0.03</v>
      </c>
      <c r="G194" s="12" t="s">
        <v>160</v>
      </c>
      <c r="H194" s="1" t="s">
        <v>700</v>
      </c>
      <c r="I194" s="1" t="s">
        <v>701</v>
      </c>
    </row>
    <row r="195" customFormat="false" ht="17.15" hidden="false" customHeight="false" outlineLevel="0" collapsed="false">
      <c r="A195" s="10" t="s">
        <v>712</v>
      </c>
    </row>
    <row r="196" customFormat="false" ht="17.15" hidden="false" customHeight="false" outlineLevel="0" collapsed="false">
      <c r="A196" s="0" t="s">
        <v>713</v>
      </c>
      <c r="B196" s="1" t="s">
        <v>714</v>
      </c>
      <c r="C196" s="0" t="s">
        <v>75</v>
      </c>
      <c r="D196" s="11" t="n">
        <v>440</v>
      </c>
      <c r="E196" s="11" t="n">
        <v>605.12</v>
      </c>
      <c r="F196" s="11" t="n">
        <v>870</v>
      </c>
      <c r="G196" s="12" t="s">
        <v>107</v>
      </c>
      <c r="H196" s="12" t="s">
        <v>715</v>
      </c>
      <c r="I196" s="12" t="s">
        <v>716</v>
      </c>
    </row>
    <row r="197" customFormat="false" ht="17.15" hidden="false" customHeight="false" outlineLevel="0" collapsed="false">
      <c r="A197" s="0" t="s">
        <v>717</v>
      </c>
      <c r="B197" s="1" t="s">
        <v>718</v>
      </c>
      <c r="C197" s="0" t="s">
        <v>75</v>
      </c>
      <c r="D197" s="11" t="n">
        <v>440</v>
      </c>
      <c r="E197" s="11" t="n">
        <v>596.07</v>
      </c>
      <c r="F197" s="11" t="n">
        <v>870</v>
      </c>
      <c r="G197" s="12" t="s">
        <v>107</v>
      </c>
      <c r="H197" s="12" t="s">
        <v>719</v>
      </c>
      <c r="I197" s="1" t="s">
        <v>720</v>
      </c>
    </row>
    <row r="198" customFormat="false" ht="17.15" hidden="false" customHeight="false" outlineLevel="0" collapsed="false">
      <c r="A198" s="0" t="s">
        <v>721</v>
      </c>
      <c r="B198" s="1" t="s">
        <v>722</v>
      </c>
      <c r="C198" s="0" t="s">
        <v>98</v>
      </c>
      <c r="D198" s="11" t="n">
        <v>380</v>
      </c>
      <c r="E198" s="11" t="n">
        <v>391.58</v>
      </c>
      <c r="F198" s="11" t="n">
        <v>402.7</v>
      </c>
      <c r="G198" s="12" t="s">
        <v>107</v>
      </c>
      <c r="H198" s="12" t="s">
        <v>723</v>
      </c>
      <c r="I198" s="12" t="s">
        <v>724</v>
      </c>
    </row>
    <row r="199" customFormat="false" ht="17.15" hidden="false" customHeight="false" outlineLevel="0" collapsed="false">
      <c r="A199" s="0" t="s">
        <v>725</v>
      </c>
      <c r="B199" s="1" t="s">
        <v>726</v>
      </c>
      <c r="C199" s="0" t="s">
        <v>75</v>
      </c>
      <c r="D199" s="11" t="n">
        <v>19.06</v>
      </c>
      <c r="E199" s="11" t="n">
        <v>19.76</v>
      </c>
      <c r="F199" s="11" t="n">
        <v>20.7</v>
      </c>
      <c r="G199" s="12" t="s">
        <v>107</v>
      </c>
      <c r="H199" s="12" t="s">
        <v>727</v>
      </c>
      <c r="I199" s="12" t="s">
        <v>728</v>
      </c>
    </row>
    <row r="200" customFormat="false" ht="17.15" hidden="false" customHeight="false" outlineLevel="0" collapsed="false">
      <c r="A200" s="0" t="s">
        <v>729</v>
      </c>
      <c r="B200" s="1" t="s">
        <v>730</v>
      </c>
      <c r="C200" s="0" t="s">
        <v>98</v>
      </c>
      <c r="E200" s="11" t="n">
        <v>467.955</v>
      </c>
      <c r="G200" s="12" t="s">
        <v>107</v>
      </c>
      <c r="H200" s="12" t="s">
        <v>731</v>
      </c>
      <c r="I200" s="12" t="s">
        <v>87</v>
      </c>
    </row>
    <row r="201" customFormat="false" ht="17.15" hidden="false" customHeight="false" outlineLevel="0" collapsed="false">
      <c r="A201" s="0" t="s">
        <v>732</v>
      </c>
      <c r="B201" s="1" t="s">
        <v>733</v>
      </c>
      <c r="C201" s="0" t="s">
        <v>98</v>
      </c>
      <c r="E201" s="11" t="n">
        <v>569.502</v>
      </c>
      <c r="G201" s="12" t="s">
        <v>107</v>
      </c>
      <c r="H201" s="12" t="s">
        <v>731</v>
      </c>
      <c r="I201" s="12" t="s">
        <v>87</v>
      </c>
    </row>
    <row r="202" customFormat="false" ht="17.15" hidden="false" customHeight="false" outlineLevel="0" collapsed="false">
      <c r="A202" s="0" t="s">
        <v>734</v>
      </c>
      <c r="B202" s="1" t="s">
        <v>735</v>
      </c>
      <c r="C202" s="0" t="s">
        <v>98</v>
      </c>
      <c r="E202" s="11" t="n">
        <v>182.305</v>
      </c>
      <c r="G202" s="12" t="s">
        <v>107</v>
      </c>
      <c r="H202" s="12" t="s">
        <v>731</v>
      </c>
      <c r="I202" s="12" t="s">
        <v>736</v>
      </c>
    </row>
    <row r="203" customFormat="false" ht="17.15" hidden="false" customHeight="false" outlineLevel="0" collapsed="false">
      <c r="A203" s="0" t="s">
        <v>737</v>
      </c>
      <c r="B203" s="1" t="s">
        <v>738</v>
      </c>
      <c r="C203" s="0" t="s">
        <v>98</v>
      </c>
      <c r="E203" s="11" t="n">
        <v>192.827</v>
      </c>
      <c r="G203" s="12" t="s">
        <v>107</v>
      </c>
      <c r="H203" s="12" t="s">
        <v>739</v>
      </c>
      <c r="I203" s="1" t="s">
        <v>740</v>
      </c>
    </row>
    <row r="204" customFormat="false" ht="17.15" hidden="false" customHeight="false" outlineLevel="0" collapsed="false">
      <c r="A204" s="0" t="s">
        <v>741</v>
      </c>
      <c r="B204" s="1" t="s">
        <v>742</v>
      </c>
      <c r="C204" s="0" t="s">
        <v>98</v>
      </c>
      <c r="E204" s="11" t="n">
        <v>217.245</v>
      </c>
      <c r="G204" s="12" t="s">
        <v>107</v>
      </c>
      <c r="H204" s="12" t="s">
        <v>731</v>
      </c>
      <c r="I204" s="12" t="s">
        <v>736</v>
      </c>
    </row>
    <row r="205" customFormat="false" ht="17.15" hidden="false" customHeight="false" outlineLevel="0" collapsed="false">
      <c r="A205" s="0" t="s">
        <v>743</v>
      </c>
      <c r="B205" s="1" t="s">
        <v>744</v>
      </c>
      <c r="C205" s="0" t="s">
        <v>98</v>
      </c>
      <c r="E205" s="11" t="n">
        <v>216.787</v>
      </c>
      <c r="G205" s="12" t="s">
        <v>107</v>
      </c>
      <c r="H205" s="12" t="s">
        <v>739</v>
      </c>
      <c r="I205" s="1" t="s">
        <v>740</v>
      </c>
    </row>
    <row r="206" customFormat="false" ht="17.15" hidden="false" customHeight="false" outlineLevel="0" collapsed="false">
      <c r="A206" s="0" t="s">
        <v>745</v>
      </c>
      <c r="B206" s="1" t="s">
        <v>746</v>
      </c>
      <c r="C206" s="0" t="s">
        <v>98</v>
      </c>
      <c r="E206" s="11" t="n">
        <v>262.608</v>
      </c>
      <c r="G206" s="12" t="s">
        <v>107</v>
      </c>
      <c r="H206" s="12" t="s">
        <v>731</v>
      </c>
      <c r="I206" s="12" t="s">
        <v>736</v>
      </c>
    </row>
    <row r="207" customFormat="false" ht="17.15" hidden="false" customHeight="false" outlineLevel="0" collapsed="false">
      <c r="A207" s="0" t="s">
        <v>747</v>
      </c>
      <c r="B207" s="1" t="s">
        <v>748</v>
      </c>
      <c r="C207" s="0" t="s">
        <v>98</v>
      </c>
      <c r="E207" s="11" t="n">
        <v>251.173</v>
      </c>
      <c r="G207" s="12" t="s">
        <v>107</v>
      </c>
      <c r="H207" s="12" t="s">
        <v>739</v>
      </c>
      <c r="I207" s="1" t="s">
        <v>740</v>
      </c>
    </row>
    <row r="208" customFormat="false" ht="17.15" hidden="false" customHeight="false" outlineLevel="0" collapsed="false">
      <c r="A208" s="0" t="s">
        <v>749</v>
      </c>
      <c r="B208" s="1" t="s">
        <v>750</v>
      </c>
      <c r="C208" s="0" t="s">
        <v>75</v>
      </c>
      <c r="E208" s="11" t="n">
        <v>23.6</v>
      </c>
      <c r="G208" s="12" t="s">
        <v>107</v>
      </c>
      <c r="H208" s="12" t="s">
        <v>739</v>
      </c>
      <c r="I208" s="12" t="s">
        <v>87</v>
      </c>
    </row>
    <row r="209" customFormat="false" ht="17.15" hidden="false" customHeight="false" outlineLevel="0" collapsed="false">
      <c r="A209" s="0" t="s">
        <v>751</v>
      </c>
      <c r="B209" s="1" t="s">
        <v>752</v>
      </c>
      <c r="C209" s="0" t="s">
        <v>75</v>
      </c>
      <c r="E209" s="11" t="n">
        <v>29.03</v>
      </c>
      <c r="G209" s="12" t="s">
        <v>107</v>
      </c>
      <c r="H209" s="12" t="s">
        <v>739</v>
      </c>
      <c r="I209" s="12" t="s">
        <v>87</v>
      </c>
    </row>
    <row r="210" customFormat="false" ht="17.15" hidden="false" customHeight="false" outlineLevel="0" collapsed="false">
      <c r="A210" s="0" t="s">
        <v>753</v>
      </c>
      <c r="B210" s="0" t="s">
        <v>754</v>
      </c>
      <c r="C210" s="0" t="s">
        <v>98</v>
      </c>
      <c r="D210" s="11" t="n">
        <v>89.85</v>
      </c>
      <c r="E210" s="11" t="n">
        <v>90.4</v>
      </c>
      <c r="F210" s="11" t="n">
        <v>90.95</v>
      </c>
      <c r="G210" s="12" t="s">
        <v>107</v>
      </c>
      <c r="H210" s="1" t="s">
        <v>755</v>
      </c>
      <c r="I210" s="1" t="s">
        <v>756</v>
      </c>
    </row>
    <row r="211" customFormat="false" ht="17.15" hidden="false" customHeight="false" outlineLevel="0" collapsed="false">
      <c r="A211" s="0" t="s">
        <v>757</v>
      </c>
      <c r="B211" s="0" t="s">
        <v>758</v>
      </c>
      <c r="C211" s="0" t="s">
        <v>98</v>
      </c>
      <c r="D211" s="11" t="n">
        <v>75.15</v>
      </c>
      <c r="E211" s="11" t="n">
        <v>75.45</v>
      </c>
      <c r="F211" s="11" t="n">
        <v>75.75</v>
      </c>
      <c r="G211" s="12" t="s">
        <v>107</v>
      </c>
      <c r="H211" s="1" t="s">
        <v>759</v>
      </c>
      <c r="I211" s="1" t="s">
        <v>760</v>
      </c>
    </row>
    <row r="212" customFormat="false" ht="17.15" hidden="false" customHeight="false" outlineLevel="0" collapsed="false">
      <c r="A212" s="0" t="s">
        <v>761</v>
      </c>
      <c r="B212" s="0" t="s">
        <v>762</v>
      </c>
      <c r="C212" s="0" t="s">
        <v>98</v>
      </c>
      <c r="D212" s="11" t="n">
        <v>14.7</v>
      </c>
      <c r="E212" s="11" t="n">
        <v>14.95</v>
      </c>
      <c r="F212" s="11" t="n">
        <v>15.2</v>
      </c>
      <c r="G212" s="12" t="s">
        <v>107</v>
      </c>
      <c r="H212" s="1" t="s">
        <v>763</v>
      </c>
      <c r="I212" s="1" t="s">
        <v>764</v>
      </c>
    </row>
    <row r="213" customFormat="false" ht="17.15" hidden="false" customHeight="false" outlineLevel="0" collapsed="false">
      <c r="A213" s="0" t="s">
        <v>765</v>
      </c>
      <c r="B213" s="0" t="s">
        <v>766</v>
      </c>
      <c r="C213" s="0" t="s">
        <v>168</v>
      </c>
      <c r="D213" s="13" t="n">
        <v>0.44</v>
      </c>
      <c r="E213" s="13" t="n">
        <v>0.445</v>
      </c>
      <c r="F213" s="13" t="n">
        <v>0.45</v>
      </c>
      <c r="G213" s="12" t="s">
        <v>107</v>
      </c>
      <c r="H213" s="1" t="s">
        <v>767</v>
      </c>
      <c r="I213" s="1" t="s">
        <v>768</v>
      </c>
    </row>
    <row r="214" customFormat="false" ht="17.15" hidden="false" customHeight="false" outlineLevel="0" collapsed="false">
      <c r="A214" s="0" t="s">
        <v>769</v>
      </c>
      <c r="B214" s="0" t="s">
        <v>770</v>
      </c>
      <c r="C214" s="0" t="s">
        <v>98</v>
      </c>
      <c r="E214" s="11" t="n">
        <v>50</v>
      </c>
      <c r="G214" s="12" t="s">
        <v>107</v>
      </c>
      <c r="H214" s="1" t="s">
        <v>771</v>
      </c>
      <c r="I214" s="1" t="s">
        <v>772</v>
      </c>
    </row>
    <row r="215" customFormat="false" ht="17.15" hidden="false" customHeight="false" outlineLevel="0" collapsed="false">
      <c r="A215" s="0" t="s">
        <v>773</v>
      </c>
      <c r="B215" s="0" t="s">
        <v>774</v>
      </c>
      <c r="C215" s="0" t="s">
        <v>98</v>
      </c>
      <c r="D215" s="11" t="n">
        <v>96</v>
      </c>
      <c r="E215" s="11" t="n">
        <v>96.55</v>
      </c>
      <c r="F215" s="11" t="n">
        <v>97.1</v>
      </c>
      <c r="G215" s="12" t="s">
        <v>107</v>
      </c>
      <c r="H215" s="1" t="s">
        <v>775</v>
      </c>
      <c r="I215" s="1" t="s">
        <v>776</v>
      </c>
    </row>
    <row r="216" customFormat="false" ht="17.15" hidden="false" customHeight="false" outlineLevel="0" collapsed="false">
      <c r="A216" s="0" t="s">
        <v>777</v>
      </c>
      <c r="B216" s="0" t="s">
        <v>778</v>
      </c>
      <c r="C216" s="0" t="s">
        <v>98</v>
      </c>
      <c r="D216" s="11" t="n">
        <v>80.1</v>
      </c>
      <c r="E216" s="11" t="n">
        <v>80.4</v>
      </c>
      <c r="F216" s="11" t="n">
        <v>80.7</v>
      </c>
      <c r="G216" s="12" t="s">
        <v>107</v>
      </c>
      <c r="H216" s="1" t="s">
        <v>775</v>
      </c>
      <c r="I216" s="12" t="s">
        <v>87</v>
      </c>
    </row>
    <row r="217" customFormat="false" ht="17.15" hidden="false" customHeight="false" outlineLevel="0" collapsed="false">
      <c r="A217" s="0" t="s">
        <v>779</v>
      </c>
      <c r="B217" s="0" t="s">
        <v>780</v>
      </c>
      <c r="C217" s="0" t="s">
        <v>98</v>
      </c>
      <c r="D217" s="11" t="n">
        <v>15.9</v>
      </c>
      <c r="E217" s="11" t="n">
        <v>16.15</v>
      </c>
      <c r="F217" s="11" t="n">
        <v>16.4</v>
      </c>
      <c r="G217" s="12" t="s">
        <v>107</v>
      </c>
      <c r="H217" s="1" t="s">
        <v>775</v>
      </c>
      <c r="I217" s="12" t="s">
        <v>87</v>
      </c>
    </row>
    <row r="218" customFormat="false" ht="17.15" hidden="false" customHeight="false" outlineLevel="0" collapsed="false">
      <c r="A218" s="0" t="s">
        <v>781</v>
      </c>
      <c r="B218" s="0" t="s">
        <v>782</v>
      </c>
      <c r="C218" s="0" t="s">
        <v>168</v>
      </c>
      <c r="D218" s="13" t="n">
        <v>0.49</v>
      </c>
      <c r="E218" s="13" t="n">
        <v>0.495</v>
      </c>
      <c r="F218" s="13" t="n">
        <v>0.5</v>
      </c>
      <c r="G218" s="12" t="s">
        <v>107</v>
      </c>
      <c r="H218" s="1" t="s">
        <v>775</v>
      </c>
      <c r="I218" s="1" t="s">
        <v>783</v>
      </c>
    </row>
    <row r="219" customFormat="false" ht="17.15" hidden="false" customHeight="false" outlineLevel="0" collapsed="false">
      <c r="A219" s="0" t="s">
        <v>784</v>
      </c>
      <c r="B219" s="0" t="s">
        <v>785</v>
      </c>
      <c r="C219" s="0" t="s">
        <v>168</v>
      </c>
      <c r="D219" s="13" t="n">
        <v>-0.37</v>
      </c>
      <c r="E219" s="13" t="n">
        <v>-0.35</v>
      </c>
      <c r="F219" s="13" t="n">
        <v>-0.33</v>
      </c>
      <c r="G219" s="12" t="s">
        <v>107</v>
      </c>
      <c r="H219" s="1" t="s">
        <v>775</v>
      </c>
      <c r="I219" s="1" t="s">
        <v>786</v>
      </c>
    </row>
    <row r="220" customFormat="false" ht="17.15" hidden="false" customHeight="false" outlineLevel="0" collapsed="false">
      <c r="A220" s="0" t="s">
        <v>787</v>
      </c>
      <c r="B220" s="0" t="s">
        <v>788</v>
      </c>
      <c r="C220" s="0" t="s">
        <v>98</v>
      </c>
      <c r="E220" s="11" t="n">
        <v>50</v>
      </c>
      <c r="G220" s="12" t="s">
        <v>107</v>
      </c>
      <c r="H220" s="1" t="s">
        <v>775</v>
      </c>
      <c r="I220" s="1" t="s">
        <v>789</v>
      </c>
    </row>
    <row r="221" customFormat="false" ht="17.15" hidden="false" customHeight="false" outlineLevel="0" collapsed="false">
      <c r="A221" s="0" t="s">
        <v>790</v>
      </c>
      <c r="B221" s="1" t="s">
        <v>791</v>
      </c>
      <c r="C221" s="0" t="s">
        <v>98</v>
      </c>
      <c r="E221" s="11" t="n">
        <v>170</v>
      </c>
      <c r="G221" s="12" t="s">
        <v>107</v>
      </c>
      <c r="H221" s="1" t="s">
        <v>792</v>
      </c>
      <c r="I221" s="1" t="s">
        <v>793</v>
      </c>
    </row>
    <row r="222" customFormat="false" ht="17.15" hidden="false" customHeight="false" outlineLevel="0" collapsed="false">
      <c r="A222" s="0" t="s">
        <v>794</v>
      </c>
      <c r="B222" s="0" t="s">
        <v>795</v>
      </c>
      <c r="C222" s="0" t="s">
        <v>253</v>
      </c>
      <c r="E222" s="13" t="n">
        <v>-0.01</v>
      </c>
      <c r="G222" s="12" t="s">
        <v>107</v>
      </c>
      <c r="H222" s="1" t="s">
        <v>796</v>
      </c>
      <c r="I222" s="12" t="s">
        <v>797</v>
      </c>
    </row>
    <row r="223" customFormat="false" ht="17.15" hidden="false" customHeight="false" outlineLevel="0" collapsed="false">
      <c r="A223" s="0" t="s">
        <v>798</v>
      </c>
      <c r="B223" s="1" t="s">
        <v>799</v>
      </c>
      <c r="C223" s="0" t="s">
        <v>98</v>
      </c>
      <c r="E223" s="11" t="n">
        <v>37</v>
      </c>
      <c r="G223" s="12" t="s">
        <v>107</v>
      </c>
      <c r="H223" s="1" t="s">
        <v>800</v>
      </c>
      <c r="I223" s="12" t="s">
        <v>801</v>
      </c>
    </row>
    <row r="224" customFormat="false" ht="17.15" hidden="false" customHeight="false" outlineLevel="0" collapsed="false">
      <c r="A224" s="0" t="s">
        <v>802</v>
      </c>
      <c r="B224" s="0" t="s">
        <v>803</v>
      </c>
      <c r="C224" s="0" t="s">
        <v>98</v>
      </c>
      <c r="E224" s="11" t="n">
        <v>10</v>
      </c>
      <c r="G224" s="12" t="s">
        <v>107</v>
      </c>
      <c r="H224" s="1" t="s">
        <v>804</v>
      </c>
      <c r="I224" s="12" t="s">
        <v>805</v>
      </c>
    </row>
    <row r="225" customFormat="false" ht="17.15" hidden="false" customHeight="false" outlineLevel="0" collapsed="false">
      <c r="A225" s="0" t="s">
        <v>806</v>
      </c>
      <c r="B225" s="1" t="s">
        <v>807</v>
      </c>
      <c r="C225" s="1" t="s">
        <v>287</v>
      </c>
      <c r="E225" s="16" t="n">
        <f aca="false">DATE(2028,1,27)</f>
        <v>46779</v>
      </c>
      <c r="G225" s="12" t="s">
        <v>160</v>
      </c>
      <c r="H225" s="1" t="s">
        <v>808</v>
      </c>
      <c r="I225" s="1" t="s">
        <v>809</v>
      </c>
    </row>
    <row r="226" customFormat="false" ht="17.15" hidden="false" customHeight="false" outlineLevel="0" collapsed="false">
      <c r="A226" s="10" t="s">
        <v>810</v>
      </c>
    </row>
    <row r="227" customFormat="false" ht="17.15" hidden="false" customHeight="false" outlineLevel="0" collapsed="false">
      <c r="A227" s="0" t="s">
        <v>811</v>
      </c>
      <c r="B227" s="0" t="s">
        <v>812</v>
      </c>
      <c r="C227" s="0" t="s">
        <v>75</v>
      </c>
      <c r="D227" s="11" t="n">
        <v>360.16</v>
      </c>
      <c r="E227" s="11" t="n">
        <v>359.06</v>
      </c>
      <c r="F227" s="11" t="n">
        <v>380.56</v>
      </c>
      <c r="G227" s="12" t="s">
        <v>90</v>
      </c>
      <c r="H227" s="12" t="s">
        <v>813</v>
      </c>
      <c r="I227" s="1" t="s">
        <v>814</v>
      </c>
    </row>
    <row r="228" customFormat="false" ht="17.15" hidden="false" customHeight="false" outlineLevel="0" collapsed="false">
      <c r="A228" s="0" t="s">
        <v>815</v>
      </c>
      <c r="B228" s="0" t="s">
        <v>816</v>
      </c>
      <c r="C228" s="0" t="s">
        <v>75</v>
      </c>
      <c r="E228" s="11" t="n">
        <v>324.13</v>
      </c>
      <c r="G228" s="12" t="s">
        <v>90</v>
      </c>
      <c r="H228" s="12" t="s">
        <v>817</v>
      </c>
      <c r="I228" s="12" t="s">
        <v>87</v>
      </c>
    </row>
    <row r="229" customFormat="false" ht="17.15" hidden="false" customHeight="false" outlineLevel="0" collapsed="false">
      <c r="A229" s="0" t="s">
        <v>818</v>
      </c>
      <c r="B229" s="0" t="s">
        <v>819</v>
      </c>
      <c r="C229" s="0" t="s">
        <v>75</v>
      </c>
      <c r="E229" s="11" t="n">
        <v>387.64</v>
      </c>
      <c r="G229" s="12" t="s">
        <v>90</v>
      </c>
      <c r="H229" s="12" t="s">
        <v>817</v>
      </c>
      <c r="I229" s="12" t="s">
        <v>87</v>
      </c>
    </row>
    <row r="230" customFormat="false" ht="17.15" hidden="false" customHeight="false" outlineLevel="0" collapsed="false">
      <c r="A230" s="0" t="s">
        <v>820</v>
      </c>
      <c r="B230" s="0" t="s">
        <v>821</v>
      </c>
      <c r="C230" s="0" t="s">
        <v>168</v>
      </c>
      <c r="E230" s="13" t="n">
        <v>0.45</v>
      </c>
      <c r="G230" s="12" t="s">
        <v>90</v>
      </c>
      <c r="H230" s="12" t="s">
        <v>822</v>
      </c>
      <c r="I230" s="12" t="s">
        <v>87</v>
      </c>
    </row>
    <row r="232" customFormat="false" ht="17.15" hidden="false" customHeight="false" outlineLevel="0" collapsed="false">
      <c r="A232" s="10" t="s">
        <v>823</v>
      </c>
    </row>
    <row r="233" customFormat="false" ht="17.15" hidden="false" customHeight="false" outlineLevel="0" collapsed="false">
      <c r="A233" s="4" t="s">
        <v>64</v>
      </c>
      <c r="B233" s="4" t="s">
        <v>43</v>
      </c>
      <c r="C233" s="4" t="s">
        <v>65</v>
      </c>
      <c r="D233" s="4" t="s">
        <v>44</v>
      </c>
      <c r="E233" s="4" t="s">
        <v>45</v>
      </c>
      <c r="F233" s="4" t="s">
        <v>46</v>
      </c>
      <c r="G233" s="4" t="s">
        <v>69</v>
      </c>
      <c r="H233" s="4" t="s">
        <v>47</v>
      </c>
    </row>
    <row r="234" customFormat="false" ht="17.15" hidden="false" customHeight="false" outlineLevel="0" collapsed="false">
      <c r="A234" s="0" t="s">
        <v>824</v>
      </c>
      <c r="B234" s="1" t="s">
        <v>825</v>
      </c>
      <c r="C234" s="0" t="s">
        <v>168</v>
      </c>
      <c r="D234" s="7" t="n">
        <f aca="false">E149</f>
        <v>0.45</v>
      </c>
      <c r="E234" s="7" t="n">
        <f aca="false">E150</f>
        <v>0.7</v>
      </c>
      <c r="F234" s="7" t="n">
        <f aca="false">E151</f>
        <v>1</v>
      </c>
      <c r="G234" s="12" t="s">
        <v>90</v>
      </c>
      <c r="H234" s="1" t="s">
        <v>826</v>
      </c>
    </row>
    <row r="235" customFormat="false" ht="17.15" hidden="false" customHeight="false" outlineLevel="0" collapsed="false">
      <c r="A235" s="0" t="s">
        <v>827</v>
      </c>
      <c r="B235" s="0" t="s">
        <v>828</v>
      </c>
      <c r="C235" s="0" t="s">
        <v>229</v>
      </c>
      <c r="D235" s="15" t="n">
        <f aca="false">E152</f>
        <v>1.40640619155662</v>
      </c>
      <c r="E235" s="15" t="n">
        <f aca="false">E153</f>
        <v>1.17213932619116</v>
      </c>
      <c r="F235" s="15" t="n">
        <f aca="false">E154</f>
        <v>0.891019087752599</v>
      </c>
      <c r="G235" s="12" t="s">
        <v>90</v>
      </c>
      <c r="H235" s="1" t="s">
        <v>829</v>
      </c>
    </row>
    <row r="236" customFormat="false" ht="17.15" hidden="false" customHeight="false" outlineLevel="0" collapsed="false">
      <c r="A236" s="0" t="s">
        <v>830</v>
      </c>
      <c r="B236" s="0" t="s">
        <v>831</v>
      </c>
      <c r="C236" s="1" t="s">
        <v>610</v>
      </c>
      <c r="D236" s="21" t="n">
        <f aca="false">E164</f>
        <v>30</v>
      </c>
      <c r="E236" s="21" t="n">
        <f aca="false">E165</f>
        <v>20</v>
      </c>
      <c r="F236" s="21" t="n">
        <f aca="false">E166</f>
        <v>10</v>
      </c>
      <c r="G236" s="12" t="s">
        <v>90</v>
      </c>
      <c r="H236" s="1" t="s">
        <v>832</v>
      </c>
    </row>
    <row r="237" customFormat="false" ht="17.15" hidden="false" customHeight="false" outlineLevel="0" collapsed="false">
      <c r="A237" s="0" t="s">
        <v>833</v>
      </c>
      <c r="B237" s="1" t="s">
        <v>834</v>
      </c>
      <c r="C237" s="0" t="s">
        <v>168</v>
      </c>
      <c r="D237" s="22" t="n">
        <f aca="false">E75</f>
        <v>0.25</v>
      </c>
      <c r="E237" s="22" t="n">
        <f aca="false">E76</f>
        <v>0.5</v>
      </c>
      <c r="F237" s="22" t="n">
        <f aca="false">E77</f>
        <v>0.25</v>
      </c>
      <c r="G237" s="12" t="s">
        <v>90</v>
      </c>
      <c r="H237" s="1" t="s">
        <v>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3" min="2" style="0" width="13"/>
    <col collapsed="false" customWidth="true" hidden="false" outlineLevel="0" max="14" min="14" style="0" width="16"/>
    <col collapsed="false" customWidth="true" hidden="false" outlineLevel="0" max="15" min="15" style="0" width="70"/>
  </cols>
  <sheetData>
    <row r="1" customFormat="false" ht="17.15" hidden="false" customHeight="false" outlineLevel="0" collapsed="false">
      <c r="A1" s="0" t="s">
        <v>836</v>
      </c>
    </row>
    <row r="2" customFormat="false" ht="17.15" hidden="false" customHeight="false" outlineLevel="0" collapsed="false">
      <c r="A2" s="1" t="s">
        <v>837</v>
      </c>
    </row>
    <row r="3" customFormat="false" ht="17.15" hidden="false" customHeight="false" outlineLevel="0" collapsed="false">
      <c r="A3" s="4" t="s">
        <v>43</v>
      </c>
      <c r="B3" s="23" t="s">
        <v>838</v>
      </c>
      <c r="C3" s="23" t="s">
        <v>839</v>
      </c>
      <c r="D3" s="23" t="s">
        <v>840</v>
      </c>
      <c r="E3" s="23" t="s">
        <v>841</v>
      </c>
      <c r="F3" s="23" t="s">
        <v>842</v>
      </c>
      <c r="G3" s="23" t="s">
        <v>843</v>
      </c>
      <c r="H3" s="23" t="s">
        <v>844</v>
      </c>
      <c r="I3" s="23" t="s">
        <v>845</v>
      </c>
      <c r="J3" s="23" t="s">
        <v>846</v>
      </c>
      <c r="K3" s="23" t="s">
        <v>847</v>
      </c>
      <c r="L3" s="23" t="s">
        <v>848</v>
      </c>
      <c r="M3" s="23" t="s">
        <v>849</v>
      </c>
      <c r="N3" s="4" t="s">
        <v>69</v>
      </c>
      <c r="O3" s="4" t="s">
        <v>850</v>
      </c>
    </row>
    <row r="4" customFormat="false" ht="17.15" hidden="false" customHeight="false" outlineLevel="0" collapsed="false">
      <c r="A4" s="10" t="s">
        <v>851</v>
      </c>
    </row>
    <row r="5" customFormat="false" ht="17.15" hidden="false" customHeight="false" outlineLevel="0" collapsed="false">
      <c r="A5" s="0" t="s">
        <v>852</v>
      </c>
      <c r="B5" s="24" t="n">
        <v>52.766</v>
      </c>
      <c r="C5" s="24" t="n">
        <v>54.763</v>
      </c>
      <c r="D5" s="24" t="n">
        <v>60.778</v>
      </c>
      <c r="E5" s="24" t="n">
        <v>61.672</v>
      </c>
      <c r="F5" s="24" t="n">
        <v>64.441</v>
      </c>
      <c r="G5" s="24" t="n">
        <v>67.438</v>
      </c>
      <c r="H5" s="24" t="n">
        <v>74.576</v>
      </c>
      <c r="I5" s="24" t="n">
        <v>76.795</v>
      </c>
      <c r="J5" s="25" t="n">
        <f aca="false">SUM(E5:H5)</f>
        <v>268.127</v>
      </c>
      <c r="K5" s="25" t="n">
        <f aca="false">I5</f>
        <v>76.795</v>
      </c>
      <c r="L5" s="24" t="n">
        <v>218.783</v>
      </c>
      <c r="M5" s="24" t="n">
        <v>268.127</v>
      </c>
      <c r="N5" s="12" t="s">
        <v>76</v>
      </c>
      <c r="O5" s="12" t="s">
        <v>853</v>
      </c>
    </row>
    <row r="6" customFormat="false" ht="17.15" hidden="false" customHeight="false" outlineLevel="0" collapsed="false">
      <c r="A6" s="0" t="s">
        <v>854</v>
      </c>
      <c r="B6" s="24" t="n">
        <v>17.337</v>
      </c>
      <c r="C6" s="24" t="n">
        <v>18.54</v>
      </c>
      <c r="D6" s="24" t="n">
        <v>20.712</v>
      </c>
      <c r="E6" s="24" t="n">
        <v>22.384</v>
      </c>
      <c r="F6" s="24" t="n">
        <v>24.129</v>
      </c>
      <c r="G6" s="24" t="n">
        <v>26.008</v>
      </c>
      <c r="H6" s="24" t="n">
        <v>29.417</v>
      </c>
      <c r="I6" s="24" t="n">
        <v>33.165</v>
      </c>
      <c r="J6" s="25" t="n">
        <f aca="false">SUM(E6:H6)</f>
        <v>101.938</v>
      </c>
      <c r="K6" s="25" t="n">
        <f aca="false">I6</f>
        <v>33.165</v>
      </c>
      <c r="L6" s="24" t="n">
        <v>72.61</v>
      </c>
      <c r="M6" s="24" t="n">
        <v>101.938</v>
      </c>
      <c r="N6" s="12" t="s">
        <v>76</v>
      </c>
      <c r="O6" s="12" t="s">
        <v>855</v>
      </c>
    </row>
    <row r="7" customFormat="false" ht="17.15" hidden="false" customHeight="false" outlineLevel="0" collapsed="false">
      <c r="A7" s="0" t="s">
        <v>856</v>
      </c>
      <c r="B7" s="24" t="n">
        <v>20.686</v>
      </c>
      <c r="C7" s="24" t="n">
        <v>20.967</v>
      </c>
      <c r="D7" s="24" t="n">
        <v>22.935</v>
      </c>
      <c r="E7" s="24" t="n">
        <v>23.694</v>
      </c>
      <c r="F7" s="24" t="n">
        <v>24.466</v>
      </c>
      <c r="G7" s="24" t="n">
        <v>25.418</v>
      </c>
      <c r="H7" s="24" t="n">
        <v>26.721</v>
      </c>
      <c r="I7" s="24" t="n">
        <v>27.778</v>
      </c>
      <c r="J7" s="25" t="n">
        <f aca="false">SUM(E7:H7)</f>
        <v>100.299</v>
      </c>
      <c r="K7" s="25" t="n">
        <f aca="false">I7</f>
        <v>27.778</v>
      </c>
      <c r="L7" s="24" t="n">
        <v>84.605</v>
      </c>
      <c r="M7" s="24" t="n">
        <v>100.299</v>
      </c>
      <c r="N7" s="12" t="s">
        <v>76</v>
      </c>
      <c r="O7" s="12" t="s">
        <v>857</v>
      </c>
    </row>
    <row r="8" customFormat="false" ht="17.15" hidden="false" customHeight="false" outlineLevel="0" collapsed="false">
      <c r="A8" s="0" t="s">
        <v>858</v>
      </c>
      <c r="B8" s="24" t="n">
        <v>8.307</v>
      </c>
      <c r="C8" s="24" t="n">
        <v>8.731</v>
      </c>
      <c r="D8" s="24" t="n">
        <v>10.302</v>
      </c>
      <c r="E8" s="24" t="n">
        <v>8.678</v>
      </c>
      <c r="F8" s="24" t="n">
        <v>8.814</v>
      </c>
      <c r="G8" s="24" t="n">
        <v>8.76</v>
      </c>
      <c r="H8" s="24" t="n">
        <v>11.033</v>
      </c>
      <c r="I8" s="24" t="n">
        <v>8.407</v>
      </c>
      <c r="J8" s="25" t="n">
        <f aca="false">SUM(E8:H8)</f>
        <v>37.285</v>
      </c>
      <c r="K8" s="25" t="n">
        <f aca="false">I8</f>
        <v>8.407</v>
      </c>
      <c r="L8" s="24" t="n">
        <v>35.391</v>
      </c>
      <c r="M8" s="24" t="n">
        <v>37.285</v>
      </c>
      <c r="N8" s="12" t="s">
        <v>76</v>
      </c>
      <c r="O8" s="12" t="s">
        <v>859</v>
      </c>
    </row>
    <row r="9" customFormat="false" ht="17.15" hidden="false" customHeight="false" outlineLevel="0" collapsed="false">
      <c r="A9" s="0" t="s">
        <v>860</v>
      </c>
      <c r="B9" s="24" t="n">
        <v>4.544</v>
      </c>
      <c r="C9" s="24" t="n">
        <v>4.579</v>
      </c>
      <c r="D9" s="24" t="n">
        <v>4.835</v>
      </c>
      <c r="E9" s="24" t="n">
        <v>4.894</v>
      </c>
      <c r="F9" s="24" t="n">
        <v>4.994</v>
      </c>
      <c r="G9" s="24" t="n">
        <v>5.165</v>
      </c>
      <c r="H9" s="24" t="n">
        <v>5.292</v>
      </c>
      <c r="I9" s="24" t="n">
        <v>5.337</v>
      </c>
      <c r="J9" s="25" t="n">
        <f aca="false">SUM(E9:H9)</f>
        <v>20.345</v>
      </c>
      <c r="K9" s="25" t="n">
        <f aca="false">I9</f>
        <v>5.337</v>
      </c>
      <c r="L9" s="24" t="n">
        <v>18.417</v>
      </c>
      <c r="M9" s="24" t="n">
        <v>20.345</v>
      </c>
      <c r="N9" s="12" t="s">
        <v>76</v>
      </c>
      <c r="O9" s="12" t="s">
        <v>861</v>
      </c>
    </row>
    <row r="10" customFormat="false" ht="17.15" hidden="false" customHeight="false" outlineLevel="0" collapsed="false">
      <c r="A10" s="0" t="s">
        <v>862</v>
      </c>
      <c r="B10" s="24" t="n">
        <v>1.892</v>
      </c>
      <c r="C10" s="24" t="n">
        <v>1.946</v>
      </c>
      <c r="D10" s="24" t="n">
        <v>1.994</v>
      </c>
      <c r="E10" s="24" t="n">
        <v>2.022</v>
      </c>
      <c r="F10" s="24" t="n">
        <v>2.038</v>
      </c>
      <c r="G10" s="24" t="n">
        <v>2.087</v>
      </c>
      <c r="H10" s="24" t="n">
        <v>2.113</v>
      </c>
      <c r="I10" s="24" t="n">
        <v>2.108</v>
      </c>
      <c r="J10" s="25" t="n">
        <f aca="false">SUM(E10:H10)</f>
        <v>8.26</v>
      </c>
      <c r="K10" s="25" t="n">
        <f aca="false">I10</f>
        <v>2.108</v>
      </c>
      <c r="L10" s="24" t="n">
        <v>7.76</v>
      </c>
      <c r="M10" s="24" t="n">
        <v>8.26</v>
      </c>
      <c r="N10" s="12" t="s">
        <v>76</v>
      </c>
      <c r="O10" s="12" t="s">
        <v>863</v>
      </c>
    </row>
    <row r="11" customFormat="false" ht="17.15" hidden="false" customHeight="false" outlineLevel="0" collapsed="false">
      <c r="A11" s="26" t="s">
        <v>864</v>
      </c>
      <c r="B11" s="27" t="n">
        <f aca="false">SUM(B6:B10)-B5</f>
        <v>0</v>
      </c>
      <c r="C11" s="27" t="n">
        <f aca="false">SUM(C6:C10)-C5</f>
        <v>0</v>
      </c>
      <c r="D11" s="27" t="n">
        <f aca="false">SUM(D6:D10)-D5</f>
        <v>0</v>
      </c>
      <c r="E11" s="27" t="n">
        <f aca="false">SUM(E6:E10)-E5</f>
        <v>0</v>
      </c>
      <c r="F11" s="27" t="n">
        <f aca="false">SUM(F6:F10)-F5</f>
        <v>0</v>
      </c>
      <c r="G11" s="27" t="n">
        <f aca="false">SUM(G6:G10)-G5</f>
        <v>0</v>
      </c>
      <c r="H11" s="27" t="n">
        <f aca="false">SUM(H6:H10)-H5</f>
        <v>0</v>
      </c>
      <c r="I11" s="27" t="n">
        <f aca="false">SUM(I6:I10)-I5</f>
        <v>0</v>
      </c>
      <c r="J11" s="27" t="n">
        <f aca="false">SUM(J6:J10)-J5</f>
        <v>0</v>
      </c>
      <c r="K11" s="27" t="n">
        <f aca="false">SUM(K6:K10)-K5</f>
        <v>0</v>
      </c>
      <c r="L11" s="27" t="n">
        <f aca="false">SUM(L6:L10)-L5</f>
        <v>0</v>
      </c>
      <c r="M11" s="27" t="n">
        <f aca="false">SUM(M6:M10)-M5</f>
        <v>0</v>
      </c>
      <c r="N11" s="1" t="s">
        <v>865</v>
      </c>
    </row>
    <row r="12" customFormat="false" ht="17.15" hidden="false" customHeight="false" outlineLevel="0" collapsed="false">
      <c r="A12" s="0" t="s">
        <v>866</v>
      </c>
      <c r="B12" s="24" t="n">
        <v>16.866</v>
      </c>
      <c r="C12" s="24" t="n">
        <v>15.303</v>
      </c>
      <c r="D12" s="24" t="n">
        <v>15.663</v>
      </c>
      <c r="E12" s="24" t="n">
        <v>16.001</v>
      </c>
      <c r="F12" s="24" t="n">
        <v>16.832</v>
      </c>
      <c r="G12" s="24" t="n">
        <v>15.448</v>
      </c>
      <c r="H12" s="24" t="n">
        <v>15.431</v>
      </c>
      <c r="I12" s="24" t="n">
        <v>15.484</v>
      </c>
      <c r="J12" s="25" t="n">
        <f aca="false">SUM(E12:H12)</f>
        <v>63.712</v>
      </c>
      <c r="K12" s="25" t="n">
        <f aca="false">I12</f>
        <v>15.484</v>
      </c>
      <c r="L12" s="24" t="n">
        <v>62.941</v>
      </c>
      <c r="M12" s="24" t="n">
        <v>63.712</v>
      </c>
      <c r="N12" s="12" t="s">
        <v>76</v>
      </c>
      <c r="O12" s="12" t="s">
        <v>867</v>
      </c>
    </row>
    <row r="13" customFormat="false" ht="17.15" hidden="false" customHeight="false" outlineLevel="0" collapsed="false">
      <c r="A13" s="0" t="s">
        <v>868</v>
      </c>
      <c r="B13" s="24" t="n">
        <v>5.773</v>
      </c>
      <c r="C13" s="24" t="n">
        <v>5.437</v>
      </c>
      <c r="D13" s="24" t="n">
        <v>5.802</v>
      </c>
      <c r="E13" s="24" t="n">
        <v>5.942</v>
      </c>
      <c r="F13" s="24" t="n">
        <v>6.393</v>
      </c>
      <c r="G13" s="24" t="n">
        <v>6.065</v>
      </c>
      <c r="H13" s="24" t="n">
        <v>6.435</v>
      </c>
      <c r="I13" s="24" t="n">
        <v>6.554</v>
      </c>
      <c r="J13" s="25" t="n">
        <f aca="false">SUM(E13:H13)</f>
        <v>24.835</v>
      </c>
      <c r="K13" s="25" t="n">
        <f aca="false">I13</f>
        <v>6.554</v>
      </c>
      <c r="L13" s="24" t="n">
        <v>22.171</v>
      </c>
      <c r="M13" s="24" t="n">
        <v>24.835</v>
      </c>
      <c r="N13" s="12" t="s">
        <v>76</v>
      </c>
      <c r="O13" s="12" t="s">
        <v>869</v>
      </c>
    </row>
    <row r="14" customFormat="false" ht="17.15" hidden="false" customHeight="false" outlineLevel="0" collapsed="false">
      <c r="A14" s="0" t="s">
        <v>870</v>
      </c>
      <c r="B14" s="24" t="n">
        <v>6.581</v>
      </c>
      <c r="C14" s="24" t="n">
        <v>5.721</v>
      </c>
      <c r="D14" s="24" t="n">
        <v>5.532</v>
      </c>
      <c r="E14" s="24" t="n">
        <v>5.508</v>
      </c>
      <c r="F14" s="24" t="n">
        <v>5.958</v>
      </c>
      <c r="G14" s="24" t="n">
        <v>5.341</v>
      </c>
      <c r="H14" s="24" t="n">
        <v>4.983</v>
      </c>
      <c r="I14" s="24" t="n">
        <v>5.379</v>
      </c>
      <c r="J14" s="25" t="n">
        <f aca="false">SUM(E14:H14)</f>
        <v>21.79</v>
      </c>
      <c r="K14" s="25" t="n">
        <f aca="false">I14</f>
        <v>5.379</v>
      </c>
      <c r="L14" s="24" t="n">
        <v>23.455</v>
      </c>
      <c r="M14" s="24" t="n">
        <v>21.79</v>
      </c>
      <c r="N14" s="12" t="s">
        <v>76</v>
      </c>
      <c r="O14" s="12" t="s">
        <v>871</v>
      </c>
    </row>
    <row r="15" customFormat="false" ht="17.15" hidden="false" customHeight="false" outlineLevel="0" collapsed="false">
      <c r="A15" s="0" t="s">
        <v>872</v>
      </c>
      <c r="B15" s="24" t="n">
        <v>4.512</v>
      </c>
      <c r="C15" s="24" t="n">
        <v>4.145</v>
      </c>
      <c r="D15" s="24" t="n">
        <v>4.329</v>
      </c>
      <c r="E15" s="24" t="n">
        <v>4.551</v>
      </c>
      <c r="F15" s="24" t="n">
        <v>4.481</v>
      </c>
      <c r="G15" s="24" t="n">
        <v>4.042</v>
      </c>
      <c r="H15" s="24" t="n">
        <v>4.013</v>
      </c>
      <c r="I15" s="24" t="n">
        <v>3.551</v>
      </c>
      <c r="J15" s="25" t="n">
        <f aca="false">SUM(E15:H15)</f>
        <v>17.087</v>
      </c>
      <c r="K15" s="25" t="n">
        <f aca="false">I15</f>
        <v>3.551</v>
      </c>
      <c r="L15" s="24" t="n">
        <v>17.315</v>
      </c>
      <c r="M15" s="24" t="n">
        <v>17.087</v>
      </c>
      <c r="N15" s="12" t="s">
        <v>76</v>
      </c>
      <c r="O15" s="12" t="s">
        <v>873</v>
      </c>
    </row>
    <row r="16" customFormat="false" ht="17.15" hidden="false" customHeight="false" outlineLevel="0" collapsed="false">
      <c r="A16" s="26" t="s">
        <v>874</v>
      </c>
      <c r="B16" s="27" t="n">
        <f aca="false">SUM(B13:B15)-B12</f>
        <v>0</v>
      </c>
      <c r="C16" s="27" t="n">
        <f aca="false">SUM(C13:C15)-C12</f>
        <v>0</v>
      </c>
      <c r="D16" s="27" t="n">
        <f aca="false">SUM(D13:D15)-D12</f>
        <v>0</v>
      </c>
      <c r="E16" s="27" t="n">
        <f aca="false">SUM(E13:E15)-E12</f>
        <v>0</v>
      </c>
      <c r="F16" s="27" t="n">
        <f aca="false">SUM(F13:F15)-F12</f>
        <v>0</v>
      </c>
      <c r="G16" s="27" t="n">
        <f aca="false">SUM(G13:G15)-G12</f>
        <v>0</v>
      </c>
      <c r="H16" s="27" t="n">
        <f aca="false">SUM(H13:H15)-H12</f>
        <v>0</v>
      </c>
      <c r="I16" s="27" t="n">
        <f aca="false">SUM(I13:I15)-I12</f>
        <v>0</v>
      </c>
      <c r="J16" s="27" t="n">
        <f aca="false">SUM(J13:J15)-J12</f>
        <v>0</v>
      </c>
      <c r="K16" s="27" t="n">
        <f aca="false">SUM(K13:K15)-K12</f>
        <v>0</v>
      </c>
      <c r="L16" s="27" t="n">
        <f aca="false">SUM(L13:L15)-L12</f>
        <v>0</v>
      </c>
      <c r="M16" s="27" t="n">
        <f aca="false">SUM(M13:M15)-M12</f>
        <v>0</v>
      </c>
      <c r="N16" s="1" t="s">
        <v>865</v>
      </c>
    </row>
    <row r="17" customFormat="false" ht="15" hidden="false" customHeight="false" outlineLevel="0" collapsed="false">
      <c r="A17" s="1" t="s">
        <v>875</v>
      </c>
      <c r="B17" s="25" t="n">
        <f aca="false">B5+B12</f>
        <v>69.632</v>
      </c>
      <c r="C17" s="25" t="n">
        <f aca="false">C5+C12</f>
        <v>70.066</v>
      </c>
      <c r="D17" s="25" t="n">
        <f aca="false">D5+D12</f>
        <v>76.441</v>
      </c>
      <c r="E17" s="25" t="n">
        <f aca="false">E5+E12</f>
        <v>77.673</v>
      </c>
      <c r="F17" s="25" t="n">
        <f aca="false">F5+F12</f>
        <v>81.273</v>
      </c>
      <c r="G17" s="25" t="n">
        <f aca="false">G5+G12</f>
        <v>82.886</v>
      </c>
      <c r="H17" s="25" t="n">
        <f aca="false">H5+H12</f>
        <v>90.007</v>
      </c>
      <c r="I17" s="25" t="n">
        <f aca="false">I5+I12</f>
        <v>92.279</v>
      </c>
      <c r="J17" s="25" t="n">
        <f aca="false">SUM(E17:H17)</f>
        <v>331.839</v>
      </c>
      <c r="K17" s="25" t="n">
        <f aca="false">I17</f>
        <v>92.279</v>
      </c>
      <c r="L17" s="25" t="n">
        <f aca="false">L5+L12</f>
        <v>281.724</v>
      </c>
      <c r="M17" s="25" t="n">
        <f aca="false">M5+M12</f>
        <v>331.839</v>
      </c>
      <c r="N17" s="12" t="s">
        <v>90</v>
      </c>
    </row>
    <row r="18" customFormat="false" ht="17.15" hidden="false" customHeight="false" outlineLevel="0" collapsed="false">
      <c r="A18" s="1" t="s">
        <v>876</v>
      </c>
      <c r="B18" s="24" t="n">
        <v>69.632</v>
      </c>
      <c r="C18" s="24" t="n">
        <v>70.066</v>
      </c>
      <c r="D18" s="24" t="n">
        <v>76.441</v>
      </c>
      <c r="E18" s="24" t="n">
        <v>77.673</v>
      </c>
      <c r="F18" s="24" t="n">
        <v>81.273</v>
      </c>
      <c r="G18" s="24" t="n">
        <v>82.886</v>
      </c>
      <c r="H18" s="24" t="n">
        <v>90.007</v>
      </c>
      <c r="I18" s="24" t="n">
        <v>92.279</v>
      </c>
      <c r="J18" s="25" t="n">
        <f aca="false">SUM(E18:H18)</f>
        <v>331.839</v>
      </c>
      <c r="K18" s="25" t="n">
        <f aca="false">I18</f>
        <v>92.279</v>
      </c>
      <c r="L18" s="24" t="n">
        <v>281.724</v>
      </c>
      <c r="M18" s="24" t="n">
        <v>331.839</v>
      </c>
      <c r="N18" s="12" t="s">
        <v>76</v>
      </c>
      <c r="O18" s="1" t="s">
        <v>877</v>
      </c>
    </row>
    <row r="19" customFormat="false" ht="15" hidden="false" customHeight="false" outlineLevel="0" collapsed="false">
      <c r="A19" s="26" t="s">
        <v>878</v>
      </c>
      <c r="B19" s="27" t="n">
        <f aca="false">B17-B18</f>
        <v>0</v>
      </c>
      <c r="C19" s="27" t="n">
        <f aca="false">C17-C18</f>
        <v>0</v>
      </c>
      <c r="D19" s="27" t="n">
        <f aca="false">D17-D18</f>
        <v>0</v>
      </c>
      <c r="E19" s="27" t="n">
        <f aca="false">E17-E18</f>
        <v>0</v>
      </c>
      <c r="F19" s="27" t="n">
        <f aca="false">F17-F18</f>
        <v>0</v>
      </c>
      <c r="G19" s="27" t="n">
        <f aca="false">G17-G18</f>
        <v>0</v>
      </c>
      <c r="H19" s="27" t="n">
        <f aca="false">H17-H18</f>
        <v>0</v>
      </c>
      <c r="I19" s="27" t="n">
        <f aca="false">I17-I18</f>
        <v>0</v>
      </c>
      <c r="J19" s="27" t="n">
        <f aca="false">J17-J18</f>
        <v>0</v>
      </c>
      <c r="K19" s="27" t="n">
        <f aca="false">K17-K18</f>
        <v>0</v>
      </c>
      <c r="L19" s="27" t="n">
        <f aca="false">L17-L18</f>
        <v>0</v>
      </c>
      <c r="M19" s="27" t="n">
        <f aca="false">M17-M18</f>
        <v>0</v>
      </c>
      <c r="N19" s="1" t="s">
        <v>865</v>
      </c>
    </row>
    <row r="20" customFormat="false" ht="17.15" hidden="false" customHeight="false" outlineLevel="0" collapsed="false">
      <c r="A20" s="10" t="s">
        <v>879</v>
      </c>
    </row>
    <row r="21" customFormat="false" ht="17.15" hidden="false" customHeight="false" outlineLevel="0" collapsed="false">
      <c r="A21" s="0" t="s">
        <v>880</v>
      </c>
      <c r="B21" s="24" t="n">
        <v>26.718</v>
      </c>
      <c r="C21" s="24" t="n">
        <v>27.704</v>
      </c>
      <c r="D21" s="24" t="n">
        <v>30.221</v>
      </c>
      <c r="E21" s="24" t="n">
        <v>32.718</v>
      </c>
      <c r="F21" s="24" t="n">
        <v>33.167</v>
      </c>
      <c r="G21" s="24" t="n">
        <v>33.748</v>
      </c>
      <c r="H21" s="24" t="n">
        <v>36.732</v>
      </c>
      <c r="I21" s="24" t="n">
        <v>40.558</v>
      </c>
      <c r="J21" s="25" t="n">
        <f aca="false">SUM(E21:H21)</f>
        <v>136.365</v>
      </c>
      <c r="K21" s="25" t="n">
        <f aca="false">I21</f>
        <v>40.558</v>
      </c>
      <c r="L21" s="24" t="n">
        <v>110.814</v>
      </c>
      <c r="M21" s="24" t="n">
        <v>136.365</v>
      </c>
      <c r="N21" s="12" t="s">
        <v>76</v>
      </c>
      <c r="O21" s="12" t="s">
        <v>881</v>
      </c>
    </row>
    <row r="22" customFormat="false" ht="17.15" hidden="false" customHeight="false" outlineLevel="0" collapsed="false">
      <c r="A22" s="0" t="s">
        <v>882</v>
      </c>
      <c r="B22" s="24" t="n">
        <v>4.935</v>
      </c>
      <c r="C22" s="24" t="n">
        <v>4.296</v>
      </c>
      <c r="D22" s="24" t="n">
        <v>4.102</v>
      </c>
      <c r="E22" s="24" t="n">
        <v>5.243</v>
      </c>
      <c r="F22" s="24" t="n">
        <v>5.108</v>
      </c>
      <c r="G22" s="24" t="n">
        <v>4.65</v>
      </c>
      <c r="H22" s="24" t="n">
        <v>3.871</v>
      </c>
      <c r="I22" s="24" t="n">
        <v>5.357</v>
      </c>
      <c r="J22" s="25" t="n">
        <f aca="false">SUM(E22:H22)</f>
        <v>18.872</v>
      </c>
      <c r="K22" s="25" t="n">
        <f aca="false">I22</f>
        <v>5.357</v>
      </c>
      <c r="L22" s="24" t="n">
        <v>17.714</v>
      </c>
      <c r="M22" s="24" t="n">
        <v>18.872</v>
      </c>
      <c r="N22" s="12" t="s">
        <v>76</v>
      </c>
      <c r="O22" s="12" t="s">
        <v>883</v>
      </c>
    </row>
    <row r="23" customFormat="false" ht="17.15" hidden="false" customHeight="false" outlineLevel="0" collapsed="false">
      <c r="A23" s="1" t="s">
        <v>884</v>
      </c>
      <c r="B23" s="24" t="n">
        <v>31.653</v>
      </c>
      <c r="C23" s="24" t="n">
        <v>32</v>
      </c>
      <c r="D23" s="24" t="n">
        <v>34.323</v>
      </c>
      <c r="E23" s="24" t="n">
        <v>37.961</v>
      </c>
      <c r="F23" s="24" t="n">
        <v>38.275</v>
      </c>
      <c r="G23" s="24" t="n">
        <v>38.398</v>
      </c>
      <c r="H23" s="24" t="n">
        <v>40.603</v>
      </c>
      <c r="I23" s="24" t="n">
        <v>45.915</v>
      </c>
      <c r="J23" s="25" t="n">
        <f aca="false">SUM(E23:H23)</f>
        <v>155.237</v>
      </c>
      <c r="K23" s="25" t="n">
        <f aca="false">I23</f>
        <v>45.915</v>
      </c>
      <c r="L23" s="24" t="n">
        <v>128.528</v>
      </c>
      <c r="M23" s="24" t="n">
        <v>155.237</v>
      </c>
      <c r="N23" s="12" t="s">
        <v>76</v>
      </c>
      <c r="O23" s="1" t="s">
        <v>885</v>
      </c>
    </row>
    <row r="24" customFormat="false" ht="17.15" hidden="false" customHeight="false" outlineLevel="0" collapsed="false">
      <c r="A24" s="26" t="s">
        <v>886</v>
      </c>
      <c r="B24" s="27" t="n">
        <f aca="false">B21+B22-B23</f>
        <v>0</v>
      </c>
      <c r="C24" s="27" t="n">
        <f aca="false">C21+C22-C23</f>
        <v>0</v>
      </c>
      <c r="D24" s="27" t="n">
        <f aca="false">D21+D22-D23</f>
        <v>0</v>
      </c>
      <c r="E24" s="27" t="n">
        <f aca="false">E21+E22-E23</f>
        <v>0</v>
      </c>
      <c r="F24" s="27" t="n">
        <f aca="false">F21+F22-F23</f>
        <v>0</v>
      </c>
      <c r="G24" s="27" t="n">
        <f aca="false">G21+G22-G23</f>
        <v>0</v>
      </c>
      <c r="H24" s="27" t="n">
        <f aca="false">H21+H22-H23</f>
        <v>0</v>
      </c>
      <c r="I24" s="27" t="n">
        <f aca="false">I21+I22-I23</f>
        <v>0</v>
      </c>
      <c r="J24" s="27" t="n">
        <f aca="false">J21+J22-J23</f>
        <v>0</v>
      </c>
      <c r="K24" s="27" t="n">
        <f aca="false">K21+K22-K23</f>
        <v>0</v>
      </c>
      <c r="L24" s="27" t="n">
        <f aca="false">L21+L22-L23</f>
        <v>0</v>
      </c>
      <c r="M24" s="27" t="n">
        <f aca="false">M21+M22-M23</f>
        <v>0</v>
      </c>
      <c r="N24" s="1" t="s">
        <v>865</v>
      </c>
    </row>
    <row r="25" customFormat="false" ht="17.15" hidden="false" customHeight="false" outlineLevel="0" collapsed="false">
      <c r="A25" s="10" t="s">
        <v>887</v>
      </c>
    </row>
    <row r="26" customFormat="false" ht="17.15" hidden="false" customHeight="false" outlineLevel="0" collapsed="false">
      <c r="A26" s="1" t="s">
        <v>888</v>
      </c>
      <c r="B26" s="24" t="n">
        <v>24.108</v>
      </c>
      <c r="C26" s="24" t="n">
        <v>25.824</v>
      </c>
      <c r="D26" s="24" t="n">
        <v>27.233</v>
      </c>
      <c r="E26" s="24" t="n">
        <v>27.747</v>
      </c>
      <c r="F26" s="24" t="n">
        <v>38.458</v>
      </c>
      <c r="G26" s="24" t="n">
        <v>31.778</v>
      </c>
      <c r="H26" s="24" t="n">
        <v>35.766</v>
      </c>
      <c r="I26" s="24" t="n">
        <v>36.629</v>
      </c>
      <c r="J26" s="25" t="n">
        <f aca="false">SUM(E26:H26)</f>
        <v>133.749</v>
      </c>
      <c r="K26" s="25" t="n">
        <f aca="false">I26</f>
        <v>36.629</v>
      </c>
      <c r="L26" s="24" t="n">
        <v>101.832</v>
      </c>
      <c r="M26" s="24" t="n">
        <v>133.749</v>
      </c>
      <c r="N26" s="12" t="s">
        <v>76</v>
      </c>
      <c r="O26" s="1" t="s">
        <v>889</v>
      </c>
    </row>
    <row r="27" customFormat="false" ht="17.15" hidden="false" customHeight="false" outlineLevel="0" collapsed="false">
      <c r="A27" s="1" t="s">
        <v>890</v>
      </c>
      <c r="B27" s="25"/>
      <c r="C27" s="25"/>
      <c r="D27" s="25"/>
      <c r="E27" s="25"/>
      <c r="F27" s="25"/>
      <c r="G27" s="25"/>
      <c r="H27" s="25"/>
      <c r="I27" s="24" t="n">
        <v>0.038</v>
      </c>
      <c r="J27" s="25"/>
      <c r="K27" s="25" t="n">
        <f aca="false">I27</f>
        <v>0.038</v>
      </c>
      <c r="L27" s="24" t="n">
        <v>-4.901</v>
      </c>
      <c r="M27" s="24" t="n">
        <v>10.697</v>
      </c>
      <c r="N27" s="12" t="s">
        <v>76</v>
      </c>
      <c r="O27" s="12" t="s">
        <v>891</v>
      </c>
    </row>
    <row r="28" customFormat="false" ht="17.15" hidden="false" customHeight="false" outlineLevel="0" collapsed="false">
      <c r="A28" s="1" t="s">
        <v>892</v>
      </c>
      <c r="B28" s="25"/>
      <c r="C28" s="25"/>
      <c r="D28" s="25"/>
      <c r="E28" s="25"/>
      <c r="F28" s="25"/>
      <c r="G28" s="25"/>
      <c r="H28" s="25"/>
      <c r="I28" s="24" t="n">
        <v>45.953</v>
      </c>
      <c r="J28" s="25"/>
      <c r="K28" s="25" t="n">
        <f aca="false">I28</f>
        <v>45.953</v>
      </c>
      <c r="L28" s="24" t="n">
        <v>123.627</v>
      </c>
      <c r="M28" s="24" t="n">
        <v>165.934</v>
      </c>
      <c r="N28" s="12" t="s">
        <v>76</v>
      </c>
      <c r="O28" s="12" t="s">
        <v>893</v>
      </c>
    </row>
    <row r="29" customFormat="false" ht="17.15" hidden="false" customHeight="false" outlineLevel="0" collapsed="false">
      <c r="A29" s="1" t="s">
        <v>894</v>
      </c>
      <c r="B29" s="25"/>
      <c r="C29" s="25"/>
      <c r="D29" s="25"/>
      <c r="E29" s="25"/>
      <c r="F29" s="25"/>
      <c r="G29" s="25"/>
      <c r="H29" s="25"/>
      <c r="I29" s="24" t="n">
        <v>9.324</v>
      </c>
      <c r="J29" s="25"/>
      <c r="K29" s="25" t="n">
        <f aca="false">I29</f>
        <v>9.324</v>
      </c>
      <c r="L29" s="24" t="n">
        <v>21.795</v>
      </c>
      <c r="M29" s="24" t="n">
        <v>32.185</v>
      </c>
      <c r="N29" s="12" t="s">
        <v>76</v>
      </c>
      <c r="O29" s="12" t="s">
        <v>895</v>
      </c>
    </row>
    <row r="30" customFormat="false" ht="17.15" hidden="false" customHeight="false" outlineLevel="0" collapsed="false">
      <c r="A30" s="1" t="s">
        <v>896</v>
      </c>
      <c r="B30" s="25"/>
      <c r="C30" s="25"/>
      <c r="D30" s="25"/>
      <c r="E30" s="25"/>
      <c r="F30" s="25"/>
      <c r="G30" s="25"/>
      <c r="H30" s="25"/>
      <c r="I30" s="24" t="n">
        <v>0.272</v>
      </c>
      <c r="J30" s="25"/>
      <c r="K30" s="25" t="n">
        <f aca="false">I30</f>
        <v>0.272</v>
      </c>
      <c r="L30" s="24" t="n">
        <v>-4.763</v>
      </c>
      <c r="M30" s="24" t="n">
        <v>6.53</v>
      </c>
      <c r="N30" s="12" t="s">
        <v>76</v>
      </c>
      <c r="O30" s="12" t="s">
        <v>897</v>
      </c>
    </row>
    <row r="31" customFormat="false" ht="17.15" hidden="false" customHeight="false" outlineLevel="0" collapsed="false">
      <c r="A31" s="1" t="s">
        <v>898</v>
      </c>
      <c r="B31" s="25"/>
      <c r="C31" s="25"/>
      <c r="D31" s="25"/>
      <c r="E31" s="25"/>
      <c r="F31" s="25"/>
      <c r="G31" s="25"/>
      <c r="H31" s="25"/>
      <c r="I31" s="24" t="n">
        <v>7.446</v>
      </c>
      <c r="J31" s="25"/>
      <c r="K31" s="25" t="n">
        <f aca="false">I31</f>
        <v>7.446</v>
      </c>
      <c r="L31" s="24" t="n">
        <v>7.465</v>
      </c>
      <c r="M31" s="24" t="n">
        <v>7.453</v>
      </c>
      <c r="N31" s="12" t="s">
        <v>76</v>
      </c>
      <c r="O31" s="12" t="s">
        <v>899</v>
      </c>
    </row>
    <row r="32" customFormat="false" ht="17.15" hidden="false" customHeight="false" outlineLevel="0" collapsed="false">
      <c r="A32" s="1" t="s">
        <v>900</v>
      </c>
      <c r="B32" s="8"/>
      <c r="C32" s="8"/>
      <c r="D32" s="8"/>
      <c r="E32" s="8"/>
      <c r="F32" s="8"/>
      <c r="G32" s="8"/>
      <c r="H32" s="8"/>
      <c r="I32" s="28" t="n">
        <v>4.92</v>
      </c>
      <c r="J32" s="8"/>
      <c r="K32" s="8" t="n">
        <f aca="false">I32</f>
        <v>4.92</v>
      </c>
      <c r="L32" s="28" t="n">
        <v>13.64</v>
      </c>
      <c r="M32" s="28" t="n">
        <v>17.95</v>
      </c>
      <c r="N32" s="12" t="s">
        <v>76</v>
      </c>
      <c r="O32" s="12" t="s">
        <v>901</v>
      </c>
    </row>
    <row r="33" customFormat="false" ht="17.15" hidden="false" customHeight="false" outlineLevel="0" collapsed="false">
      <c r="A33" s="26" t="s">
        <v>902</v>
      </c>
      <c r="B33" s="26"/>
      <c r="C33" s="26"/>
      <c r="D33" s="26"/>
      <c r="E33" s="26"/>
      <c r="F33" s="26"/>
      <c r="G33" s="26"/>
      <c r="H33" s="26"/>
      <c r="I33" s="27" t="n">
        <f aca="false">(I23+I27-I28)+(I28-I29-I26)</f>
        <v>0</v>
      </c>
      <c r="J33" s="26"/>
      <c r="K33" s="26"/>
      <c r="L33" s="27" t="n">
        <f aca="false">(L23+L27-L28)+(L28-L29-L26)</f>
        <v>0</v>
      </c>
      <c r="M33" s="27" t="n">
        <f aca="false">(M23+M27-M28)+(M28-M29-M26)</f>
        <v>0</v>
      </c>
      <c r="N33" s="1" t="s">
        <v>865</v>
      </c>
    </row>
    <row r="34" customFormat="false" ht="17.15" hidden="false" customHeight="false" outlineLevel="0" collapsed="false">
      <c r="A34" s="10" t="s">
        <v>903</v>
      </c>
    </row>
    <row r="35" customFormat="false" ht="17.15" hidden="false" customHeight="false" outlineLevel="0" collapsed="false">
      <c r="A35" s="1" t="s">
        <v>904</v>
      </c>
      <c r="B35" s="24" t="n">
        <v>22.291</v>
      </c>
      <c r="C35" s="24" t="n">
        <v>37.044</v>
      </c>
      <c r="D35" s="24" t="n">
        <v>42.647</v>
      </c>
      <c r="E35" s="24" t="n">
        <v>45.057</v>
      </c>
      <c r="F35" s="24" t="n">
        <v>35.758</v>
      </c>
      <c r="G35" s="24" t="n">
        <v>46.679</v>
      </c>
      <c r="H35" s="24" t="n">
        <v>55.441</v>
      </c>
      <c r="I35" s="24" t="n">
        <v>58</v>
      </c>
      <c r="J35" s="25" t="n">
        <f aca="false">SUM(E35:H35)</f>
        <v>182.935</v>
      </c>
      <c r="K35" s="25" t="n">
        <f aca="false">I35</f>
        <v>58</v>
      </c>
      <c r="L35" s="24" t="n">
        <v>136.162</v>
      </c>
      <c r="M35" s="24" t="n">
        <v>182.935</v>
      </c>
      <c r="N35" s="12" t="s">
        <v>76</v>
      </c>
      <c r="O35" s="1" t="s">
        <v>905</v>
      </c>
    </row>
    <row r="36" customFormat="false" ht="17.15" hidden="false" customHeight="false" outlineLevel="0" collapsed="false">
      <c r="A36" s="1" t="s">
        <v>906</v>
      </c>
      <c r="B36" s="24" t="n">
        <v>15.804</v>
      </c>
      <c r="C36" s="24" t="n">
        <v>16.745</v>
      </c>
      <c r="D36" s="24" t="n">
        <v>17.079</v>
      </c>
      <c r="E36" s="24" t="n">
        <v>19.394</v>
      </c>
      <c r="F36" s="24" t="n">
        <v>29.876</v>
      </c>
      <c r="G36" s="24" t="n">
        <v>30.876</v>
      </c>
      <c r="H36" s="24" t="n">
        <v>35.802</v>
      </c>
      <c r="I36" s="24" t="n">
        <v>39.367</v>
      </c>
      <c r="J36" s="25" t="n">
        <f aca="false">SUM(E36:H36)</f>
        <v>115.948</v>
      </c>
      <c r="K36" s="25" t="n">
        <f aca="false">I36</f>
        <v>39.367</v>
      </c>
      <c r="L36" s="24" t="n">
        <v>64.551</v>
      </c>
      <c r="M36" s="24" t="n">
        <v>115.948</v>
      </c>
      <c r="N36" s="12" t="s">
        <v>76</v>
      </c>
      <c r="O36" s="1" t="s">
        <v>907</v>
      </c>
    </row>
    <row r="37" customFormat="false" ht="15" hidden="false" customHeight="false" outlineLevel="0" collapsed="false">
      <c r="A37" s="1" t="s">
        <v>908</v>
      </c>
      <c r="B37" s="25" t="n">
        <f aca="false">B35-B36</f>
        <v>6.487</v>
      </c>
      <c r="C37" s="25" t="n">
        <f aca="false">C35-C36</f>
        <v>20.299</v>
      </c>
      <c r="D37" s="25" t="n">
        <f aca="false">D35-D36</f>
        <v>25.568</v>
      </c>
      <c r="E37" s="25" t="n">
        <f aca="false">E35-E36</f>
        <v>25.663</v>
      </c>
      <c r="F37" s="25" t="n">
        <f aca="false">F35-F36</f>
        <v>5.882</v>
      </c>
      <c r="G37" s="25" t="n">
        <f aca="false">G35-G36</f>
        <v>15.803</v>
      </c>
      <c r="H37" s="25" t="n">
        <f aca="false">H35-H36</f>
        <v>19.639</v>
      </c>
      <c r="I37" s="25" t="n">
        <f aca="false">I35-I36</f>
        <v>18.633</v>
      </c>
      <c r="J37" s="25" t="n">
        <f aca="false">SUM(E37:H37)</f>
        <v>66.987</v>
      </c>
      <c r="K37" s="25" t="n">
        <f aca="false">I37</f>
        <v>18.633</v>
      </c>
      <c r="L37" s="25" t="n">
        <f aca="false">L35-L36</f>
        <v>71.611</v>
      </c>
      <c r="M37" s="25" t="n">
        <f aca="false">M35-M36</f>
        <v>66.987</v>
      </c>
      <c r="N37" s="12" t="s">
        <v>90</v>
      </c>
    </row>
    <row r="38" customFormat="false" ht="17.15" hidden="false" customHeight="false" outlineLevel="0" collapsed="false">
      <c r="A38" s="1" t="s">
        <v>909</v>
      </c>
      <c r="B38" s="24" t="n">
        <v>5.667</v>
      </c>
      <c r="C38" s="24" t="n">
        <v>7.734</v>
      </c>
      <c r="D38" s="24" t="n">
        <v>9.317</v>
      </c>
      <c r="E38" s="24" t="n">
        <v>8.147</v>
      </c>
      <c r="F38" s="24" t="n">
        <v>9.198</v>
      </c>
      <c r="G38" s="24" t="n">
        <v>10.167</v>
      </c>
      <c r="H38" s="24" t="n">
        <v>11.022</v>
      </c>
      <c r="I38" s="24" t="n">
        <v>11.744</v>
      </c>
      <c r="J38" s="25" t="n">
        <f aca="false">SUM(E38:H38)</f>
        <v>38.534</v>
      </c>
      <c r="K38" s="25" t="n">
        <f aca="false">I38</f>
        <v>11.744</v>
      </c>
      <c r="L38" s="24" t="n">
        <v>29.433</v>
      </c>
      <c r="M38" s="24" t="n">
        <v>38.534</v>
      </c>
      <c r="N38" s="12" t="s">
        <v>76</v>
      </c>
      <c r="O38" s="1" t="s">
        <v>910</v>
      </c>
    </row>
    <row r="39" customFormat="false" ht="17.15" hidden="false" customHeight="false" outlineLevel="0" collapsed="false">
      <c r="A39" s="1" t="s">
        <v>911</v>
      </c>
      <c r="B39" s="24" t="n">
        <v>3.089</v>
      </c>
      <c r="C39" s="24" t="n">
        <v>2.98</v>
      </c>
      <c r="D39" s="24" t="n">
        <v>3.073</v>
      </c>
      <c r="E39" s="24" t="n">
        <v>2.983</v>
      </c>
      <c r="F39" s="24" t="n">
        <v>3.219</v>
      </c>
      <c r="G39" s="24" t="n">
        <v>3.081</v>
      </c>
      <c r="H39" s="24" t="n">
        <v>3.122</v>
      </c>
      <c r="I39" s="24" t="n">
        <v>3.134</v>
      </c>
      <c r="J39" s="25" t="n">
        <f aca="false">SUM(E39:H39)</f>
        <v>12.405</v>
      </c>
      <c r="K39" s="25" t="n">
        <f aca="false">I39</f>
        <v>3.134</v>
      </c>
      <c r="L39" s="24" t="n">
        <v>11.974</v>
      </c>
      <c r="M39" s="24" t="n">
        <v>12.405</v>
      </c>
      <c r="N39" s="12" t="s">
        <v>76</v>
      </c>
      <c r="O39" s="1" t="s">
        <v>912</v>
      </c>
    </row>
    <row r="40" customFormat="false" ht="17.15" hidden="false" customHeight="false" outlineLevel="0" collapsed="false">
      <c r="A40" s="1" t="s">
        <v>913</v>
      </c>
      <c r="B40" s="24" t="n">
        <v>4.986</v>
      </c>
      <c r="C40" s="24" t="n">
        <v>4.781</v>
      </c>
      <c r="D40" s="24" t="n">
        <v>4.546</v>
      </c>
      <c r="E40" s="24" t="n">
        <v>5.65</v>
      </c>
      <c r="F40" s="24" t="n">
        <v>7.415</v>
      </c>
      <c r="G40" s="24" t="n">
        <v>4.627</v>
      </c>
      <c r="H40" s="24" t="n">
        <v>4.579</v>
      </c>
      <c r="I40" s="24" t="n">
        <v>4.379</v>
      </c>
      <c r="J40" s="25" t="n">
        <f aca="false">SUM(E40:H40)</f>
        <v>22.271</v>
      </c>
      <c r="K40" s="25" t="n">
        <f aca="false">I40</f>
        <v>4.379</v>
      </c>
      <c r="L40" s="24" t="n">
        <v>18.42</v>
      </c>
      <c r="M40" s="24" t="n">
        <v>22.271</v>
      </c>
      <c r="N40" s="12" t="s">
        <v>76</v>
      </c>
      <c r="O40" s="1" t="s">
        <v>914</v>
      </c>
    </row>
    <row r="41" customFormat="false" ht="17.15" hidden="false" customHeight="false" outlineLevel="0" collapsed="false">
      <c r="A41" s="1" t="s">
        <v>915</v>
      </c>
      <c r="B41" s="24" t="n">
        <v>6.17</v>
      </c>
      <c r="C41" s="24" t="n">
        <v>6.169</v>
      </c>
      <c r="D41" s="24" t="n">
        <v>6.169</v>
      </c>
      <c r="E41" s="24" t="n">
        <v>6.169</v>
      </c>
      <c r="F41" s="24" t="n">
        <v>6.762</v>
      </c>
      <c r="G41" s="24" t="n">
        <v>6.756</v>
      </c>
      <c r="H41" s="24" t="n">
        <v>6.758</v>
      </c>
      <c r="I41" s="24" t="n">
        <v>6.757</v>
      </c>
      <c r="J41" s="25" t="n">
        <f aca="false">SUM(E41:H41)</f>
        <v>26.445</v>
      </c>
      <c r="K41" s="25" t="n">
        <f aca="false">I41</f>
        <v>6.757</v>
      </c>
      <c r="L41" s="24" t="n">
        <v>24.082</v>
      </c>
      <c r="M41" s="24" t="n">
        <v>26.445</v>
      </c>
      <c r="N41" s="12" t="s">
        <v>76</v>
      </c>
      <c r="O41" s="1" t="s">
        <v>916</v>
      </c>
    </row>
    <row r="42" customFormat="false" ht="17.15" hidden="false" customHeight="false" outlineLevel="0" collapsed="false">
      <c r="A42" s="1" t="s">
        <v>917</v>
      </c>
      <c r="B42" s="25"/>
      <c r="C42" s="25"/>
      <c r="D42" s="25"/>
      <c r="E42" s="24" t="n">
        <v>-0.218</v>
      </c>
      <c r="F42" s="25"/>
      <c r="G42" s="25"/>
      <c r="H42" s="25"/>
      <c r="I42" s="24" t="n">
        <v>2.115</v>
      </c>
      <c r="J42" s="25"/>
      <c r="K42" s="25" t="n">
        <f aca="false">I42</f>
        <v>2.115</v>
      </c>
      <c r="L42" s="25"/>
      <c r="M42" s="24" t="n">
        <v>-4.895</v>
      </c>
      <c r="N42" s="12" t="s">
        <v>107</v>
      </c>
      <c r="O42" s="1" t="s">
        <v>918</v>
      </c>
    </row>
    <row r="43" customFormat="false" ht="17.15" hidden="false" customHeight="false" outlineLevel="0" collapsed="false">
      <c r="A43" s="1" t="s">
        <v>919</v>
      </c>
      <c r="B43" s="24" t="n">
        <v>22.6</v>
      </c>
      <c r="C43" s="24" t="n">
        <v>21.4</v>
      </c>
      <c r="D43" s="24" t="n">
        <v>24.2</v>
      </c>
      <c r="E43" s="24" t="n">
        <v>34.9</v>
      </c>
      <c r="F43" s="24" t="n">
        <v>37.5</v>
      </c>
      <c r="G43" s="24" t="n">
        <v>31.9</v>
      </c>
      <c r="H43" s="24" t="n">
        <v>41</v>
      </c>
      <c r="I43" s="24" t="n">
        <v>45.2</v>
      </c>
      <c r="J43" s="25" t="n">
        <f aca="false">SUM(E43:H43)</f>
        <v>145.3</v>
      </c>
      <c r="K43" s="25" t="n">
        <f aca="false">I43</f>
        <v>45.2</v>
      </c>
      <c r="L43" s="25"/>
      <c r="M43" s="24" t="n">
        <v>145.3</v>
      </c>
      <c r="N43" s="12" t="s">
        <v>107</v>
      </c>
      <c r="O43" s="1" t="s">
        <v>920</v>
      </c>
    </row>
    <row r="44" customFormat="false" ht="17.15" hidden="false" customHeight="false" outlineLevel="0" collapsed="false">
      <c r="A44" s="1" t="s">
        <v>921</v>
      </c>
      <c r="B44" s="25"/>
      <c r="C44" s="25"/>
      <c r="D44" s="25"/>
      <c r="E44" s="25"/>
      <c r="F44" s="25"/>
      <c r="G44" s="25"/>
      <c r="H44" s="25"/>
      <c r="I44" s="24" t="n">
        <v>1</v>
      </c>
      <c r="J44" s="25"/>
      <c r="K44" s="25" t="n">
        <f aca="false">I44</f>
        <v>1</v>
      </c>
      <c r="L44" s="24" t="n">
        <v>2.283</v>
      </c>
      <c r="M44" s="24" t="n">
        <v>3.101</v>
      </c>
      <c r="N44" s="12" t="s">
        <v>76</v>
      </c>
      <c r="O44" s="12" t="s">
        <v>922</v>
      </c>
    </row>
    <row r="45" customFormat="false" ht="17.15" hidden="false" customHeight="false" outlineLevel="0" collapsed="false">
      <c r="A45" s="26" t="s">
        <v>923</v>
      </c>
      <c r="B45" s="26"/>
      <c r="C45" s="26"/>
      <c r="D45" s="26"/>
      <c r="E45" s="26"/>
      <c r="F45" s="26"/>
      <c r="G45" s="26"/>
      <c r="H45" s="26"/>
      <c r="I45" s="26"/>
      <c r="J45" s="27" t="n">
        <f aca="false">SUMPRODUCT(ABS(J5:J23-M5:M23))+ABS(J26-M26)+SUMPRODUCT(ABS(J35:J41-M35:M41))+ABS(J43-M43)</f>
        <v>0</v>
      </c>
      <c r="K45" s="26"/>
      <c r="L45" s="26"/>
      <c r="M45" s="26"/>
      <c r="N45" s="1" t="s">
        <v>865</v>
      </c>
    </row>
    <row r="46" customFormat="false" ht="17.15" hidden="false" customHeight="false" outlineLevel="0" collapsed="false">
      <c r="A46" s="10" t="s">
        <v>924</v>
      </c>
    </row>
    <row r="47" customFormat="false" ht="17.15" hidden="false" customHeight="false" outlineLevel="0" collapsed="false">
      <c r="A47" s="0" t="s">
        <v>925</v>
      </c>
      <c r="B47" s="24" t="n">
        <v>29.437</v>
      </c>
      <c r="C47" s="24" t="n">
        <v>29.944</v>
      </c>
      <c r="D47" s="24" t="n">
        <v>33.112</v>
      </c>
      <c r="E47" s="24" t="n">
        <v>33.02</v>
      </c>
      <c r="F47" s="24" t="n">
        <v>34.116</v>
      </c>
      <c r="G47" s="24" t="n">
        <v>35.013</v>
      </c>
      <c r="H47" s="24" t="n">
        <v>37.847</v>
      </c>
      <c r="I47" s="25"/>
      <c r="J47" s="25" t="n">
        <f aca="false">SUM(E47:H47)</f>
        <v>139.996</v>
      </c>
      <c r="K47" s="25"/>
      <c r="L47" s="24" t="n">
        <v>120.81</v>
      </c>
      <c r="M47" s="24" t="n">
        <v>139.996</v>
      </c>
      <c r="N47" s="12" t="s">
        <v>76</v>
      </c>
      <c r="O47" s="12" t="s">
        <v>926</v>
      </c>
    </row>
    <row r="48" customFormat="false" ht="17.15" hidden="false" customHeight="false" outlineLevel="0" collapsed="false">
      <c r="A48" s="0" t="s">
        <v>927</v>
      </c>
      <c r="B48" s="24" t="n">
        <v>25.544</v>
      </c>
      <c r="C48" s="24" t="n">
        <v>26.751</v>
      </c>
      <c r="D48" s="24" t="n">
        <v>29.878</v>
      </c>
      <c r="E48" s="24" t="n">
        <v>30.897</v>
      </c>
      <c r="F48" s="24" t="n">
        <v>32.907</v>
      </c>
      <c r="G48" s="24" t="n">
        <v>34.681</v>
      </c>
      <c r="H48" s="24" t="n">
        <v>39.306</v>
      </c>
      <c r="I48" s="25"/>
      <c r="J48" s="25" t="n">
        <f aca="false">SUM(E48:H48)</f>
        <v>137.791</v>
      </c>
      <c r="K48" s="25"/>
      <c r="L48" s="24" t="n">
        <v>106.265</v>
      </c>
      <c r="M48" s="24" t="n">
        <v>137.791</v>
      </c>
      <c r="N48" s="12" t="s">
        <v>76</v>
      </c>
      <c r="O48" s="12" t="s">
        <v>928</v>
      </c>
    </row>
    <row r="49" customFormat="false" ht="17.15" hidden="false" customHeight="false" outlineLevel="0" collapsed="false">
      <c r="A49" s="0" t="s">
        <v>929</v>
      </c>
      <c r="B49" s="24" t="n">
        <v>14.651</v>
      </c>
      <c r="C49" s="24" t="n">
        <v>13.371</v>
      </c>
      <c r="D49" s="24" t="n">
        <v>13.451</v>
      </c>
      <c r="E49" s="24" t="n">
        <v>13.756</v>
      </c>
      <c r="F49" s="24" t="n">
        <v>14.25</v>
      </c>
      <c r="G49" s="24" t="n">
        <v>13.192</v>
      </c>
      <c r="H49" s="24" t="n">
        <v>12.854</v>
      </c>
      <c r="I49" s="25"/>
      <c r="J49" s="25" t="n">
        <f aca="false">SUM(E49:H49)</f>
        <v>54.052</v>
      </c>
      <c r="K49" s="25"/>
      <c r="L49" s="24" t="n">
        <v>54.649</v>
      </c>
      <c r="M49" s="24" t="n">
        <v>54.052</v>
      </c>
      <c r="N49" s="12" t="s">
        <v>76</v>
      </c>
      <c r="O49" s="12" t="s">
        <v>930</v>
      </c>
    </row>
    <row r="50" customFormat="false" ht="17.15" hidden="false" customHeight="false" outlineLevel="0" collapsed="false">
      <c r="A50" s="26" t="s">
        <v>931</v>
      </c>
      <c r="B50" s="27" t="n">
        <f aca="false">B47+B48+B49-B18</f>
        <v>0</v>
      </c>
      <c r="C50" s="27" t="n">
        <f aca="false">C47+C48+C49-C18</f>
        <v>0</v>
      </c>
      <c r="D50" s="27" t="n">
        <f aca="false">D47+D48+D49-D18</f>
        <v>0</v>
      </c>
      <c r="E50" s="27" t="n">
        <f aca="false">E47+E48+E49-E18</f>
        <v>0</v>
      </c>
      <c r="F50" s="27" t="n">
        <f aca="false">F47+F48+F49-F18</f>
        <v>0</v>
      </c>
      <c r="G50" s="27" t="n">
        <f aca="false">G47+G48+G49-G18</f>
        <v>0</v>
      </c>
      <c r="H50" s="27" t="n">
        <f aca="false">H47+H48+H49-H18</f>
        <v>0</v>
      </c>
      <c r="I50" s="26"/>
      <c r="J50" s="27" t="n">
        <f aca="false">J47+J48+J49-J18</f>
        <v>0</v>
      </c>
      <c r="K50" s="26"/>
      <c r="L50" s="27" t="n">
        <f aca="false">L47+L48+L49-L18</f>
        <v>0</v>
      </c>
      <c r="M50" s="27" t="n">
        <f aca="false">M47+M48+M49-M18</f>
        <v>0</v>
      </c>
      <c r="N50" s="1" t="s">
        <v>865</v>
      </c>
    </row>
    <row r="51" customFormat="false" ht="17.15" hidden="false" customHeight="false" outlineLevel="0" collapsed="false">
      <c r="A51" s="0" t="s">
        <v>932</v>
      </c>
      <c r="B51" s="22"/>
      <c r="C51" s="22"/>
      <c r="D51" s="22"/>
      <c r="E51" s="29" t="n">
        <v>0.4</v>
      </c>
      <c r="F51" s="29" t="n">
        <v>0.39</v>
      </c>
      <c r="G51" s="29" t="n">
        <v>0.4</v>
      </c>
      <c r="H51" s="29" t="n">
        <v>0.42</v>
      </c>
      <c r="I51" s="29" t="n">
        <v>0.48</v>
      </c>
      <c r="J51" s="22"/>
      <c r="K51" s="22"/>
      <c r="L51" s="22"/>
      <c r="M51" s="22"/>
      <c r="N51" s="12" t="s">
        <v>107</v>
      </c>
      <c r="O51" s="12" t="s">
        <v>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934</v>
      </c>
    </row>
    <row r="2" customFormat="false" ht="17.15" hidden="false" customHeight="false" outlineLevel="0" collapsed="false">
      <c r="A2" s="1" t="s">
        <v>935</v>
      </c>
    </row>
    <row r="3" customFormat="false" ht="17.15" hidden="false" customHeight="false" outlineLevel="0" collapsed="false">
      <c r="A3" s="1" t="s">
        <v>936</v>
      </c>
    </row>
    <row r="4" customFormat="false" ht="17.15" hidden="false" customHeight="false" outlineLevel="0" collapsed="false">
      <c r="A4" s="3" t="s">
        <v>937</v>
      </c>
    </row>
    <row r="5" customFormat="false" ht="15" hidden="false" customHeight="false" outlineLevel="0" collapsed="false">
      <c r="A5" s="4" t="s">
        <v>43</v>
      </c>
      <c r="B5" s="4" t="s">
        <v>65</v>
      </c>
      <c r="C5" s="23" t="s">
        <v>938</v>
      </c>
      <c r="D5" s="23" t="s">
        <v>939</v>
      </c>
      <c r="E5" s="23" t="s">
        <v>940</v>
      </c>
      <c r="F5" s="23" t="s">
        <v>941</v>
      </c>
      <c r="G5" s="23" t="s">
        <v>942</v>
      </c>
      <c r="H5" s="23" t="s">
        <v>943</v>
      </c>
      <c r="I5" s="23" t="s">
        <v>944</v>
      </c>
      <c r="J5" s="23" t="s">
        <v>945</v>
      </c>
      <c r="K5" s="23" t="s">
        <v>946</v>
      </c>
      <c r="L5" s="4" t="s">
        <v>47</v>
      </c>
    </row>
    <row r="6" customFormat="false" ht="17.15" hidden="false" customHeight="false" outlineLevel="0" collapsed="false">
      <c r="A6" s="1" t="s">
        <v>947</v>
      </c>
      <c r="B6" s="1" t="s">
        <v>279</v>
      </c>
      <c r="C6" s="21" t="n">
        <v>2024</v>
      </c>
      <c r="D6" s="21" t="n">
        <v>2025</v>
      </c>
      <c r="E6" s="21" t="n">
        <v>2026</v>
      </c>
      <c r="F6" s="21" t="n">
        <v>2027</v>
      </c>
      <c r="G6" s="21" t="n">
        <v>2028</v>
      </c>
      <c r="H6" s="21" t="n">
        <v>2029</v>
      </c>
      <c r="I6" s="21" t="n">
        <v>2030</v>
      </c>
      <c r="J6" s="21" t="n">
        <v>2031</v>
      </c>
      <c r="K6" s="21" t="n">
        <v>2032</v>
      </c>
    </row>
    <row r="7" customFormat="false" ht="17.15" hidden="false" customHeight="false" outlineLevel="0" collapsed="false">
      <c r="A7" s="1" t="s">
        <v>948</v>
      </c>
      <c r="B7" s="0" t="s">
        <v>456</v>
      </c>
      <c r="F7" s="30" t="n">
        <f aca="false">pace</f>
        <v>2726.5351</v>
      </c>
      <c r="G7" s="30" t="n">
        <f aca="false">pace</f>
        <v>2726.5351</v>
      </c>
      <c r="H7" s="30" t="n">
        <f aca="false">pace</f>
        <v>2726.5351</v>
      </c>
      <c r="I7" s="30" t="n">
        <f aca="false">pace+(g_tv*Thesis!H8-pace)*MIN(1,(Thesis!I6-pace_y0)/(pace_y1-pace_y0))</f>
        <v>1931.98611966667</v>
      </c>
      <c r="J7" s="30" t="n">
        <f aca="false">pace+(g_tv*Thesis!I8-pace)*MIN(1,(Thesis!J6-pace_y0)/(pace_y1-pace_y0))</f>
        <v>1176.07686172667</v>
      </c>
      <c r="K7" s="30" t="n">
        <f aca="false">pace+(g_tv*Thesis!J8-pace)*MIN(1,(Thesis!K6-pace_y0)/(pace_y1-pace_y0))</f>
        <v>436.1300484418</v>
      </c>
      <c r="L7" s="12" t="s">
        <v>949</v>
      </c>
    </row>
    <row r="8" customFormat="false" ht="17.15" hidden="false" customHeight="false" outlineLevel="0" collapsed="false">
      <c r="A8" s="1" t="s">
        <v>950</v>
      </c>
      <c r="B8" s="0" t="s">
        <v>456</v>
      </c>
      <c r="C8" s="30" t="n">
        <f aca="false">mw_ext_24</f>
        <v>640</v>
      </c>
      <c r="D8" s="30" t="n">
        <f aca="false">mw_ext_25</f>
        <v>1630</v>
      </c>
      <c r="E8" s="30" t="n">
        <f aca="false">mw_ext_26</f>
        <v>3250</v>
      </c>
      <c r="F8" s="30" t="n">
        <f aca="false">Thesis!E8+Thesis!F7</f>
        <v>5976.5351</v>
      </c>
      <c r="G8" s="30" t="n">
        <f aca="false">Thesis!F8+Thesis!G7</f>
        <v>8703.0702</v>
      </c>
      <c r="H8" s="30" t="n">
        <f aca="false">Thesis!G8+Thesis!H7</f>
        <v>11429.6053</v>
      </c>
      <c r="I8" s="30" t="n">
        <f aca="false">Thesis!H8+Thesis!I7</f>
        <v>13361.5914196667</v>
      </c>
      <c r="J8" s="30" t="n">
        <f aca="false">Thesis!I8+Thesis!J7</f>
        <v>14537.6682813933</v>
      </c>
      <c r="K8" s="30" t="n">
        <f aca="false">Thesis!J8+Thesis!K7</f>
        <v>14973.7983298351</v>
      </c>
      <c r="L8" s="1" t="s">
        <v>951</v>
      </c>
    </row>
    <row r="9" customFormat="false" ht="17.15" hidden="false" customHeight="false" outlineLevel="0" collapsed="false">
      <c r="A9" s="1" t="s">
        <v>952</v>
      </c>
      <c r="B9" s="0" t="s">
        <v>456</v>
      </c>
      <c r="C9" s="30" t="n">
        <f aca="false">rent_ext_24</f>
        <v>150</v>
      </c>
      <c r="D9" s="30" t="n">
        <f aca="false">rent_ext_25</f>
        <v>400</v>
      </c>
      <c r="E9" s="30" t="n">
        <f aca="false">rent_ext_26</f>
        <v>550</v>
      </c>
      <c r="F9" s="30" t="n">
        <f aca="false">rent_ext_f</f>
        <v>756</v>
      </c>
      <c r="G9" s="30" t="n">
        <f aca="false">rent_ext_f</f>
        <v>756</v>
      </c>
      <c r="H9" s="30" t="n">
        <f aca="false">rent_ext_f</f>
        <v>756</v>
      </c>
      <c r="I9" s="30" t="n">
        <f aca="false">rent_ext_f</f>
        <v>756</v>
      </c>
      <c r="J9" s="30" t="n">
        <f aca="false">rent_ext_f</f>
        <v>756</v>
      </c>
      <c r="K9" s="30" t="n">
        <f aca="false">rent_ext_f</f>
        <v>756</v>
      </c>
      <c r="L9" s="1" t="s">
        <v>953</v>
      </c>
    </row>
    <row r="10" customFormat="false" ht="17.15" hidden="false" customHeight="false" outlineLevel="0" collapsed="false">
      <c r="A10" s="1" t="s">
        <v>954</v>
      </c>
      <c r="B10" s="0" t="s">
        <v>456</v>
      </c>
      <c r="C10" s="30" t="n">
        <f aca="false">Thesis!C8-Thesis!C9</f>
        <v>490</v>
      </c>
      <c r="D10" s="30" t="n">
        <f aca="false">Thesis!D8-Thesis!D9</f>
        <v>1230</v>
      </c>
      <c r="E10" s="30" t="n">
        <f aca="false">Thesis!E8-Thesis!E9</f>
        <v>2700</v>
      </c>
      <c r="F10" s="30" t="n">
        <f aca="false">Thesis!F8-Thesis!F9</f>
        <v>5220.5351</v>
      </c>
      <c r="G10" s="30" t="n">
        <f aca="false">Thesis!G8-Thesis!G9</f>
        <v>7947.0702</v>
      </c>
      <c r="H10" s="30" t="n">
        <f aca="false">Thesis!H8-Thesis!H9</f>
        <v>10673.6053</v>
      </c>
      <c r="I10" s="30" t="n">
        <f aca="false">Thesis!I8-Thesis!I9</f>
        <v>12605.5914196667</v>
      </c>
      <c r="J10" s="30" t="n">
        <f aca="false">Thesis!J8-Thesis!J9</f>
        <v>13781.6682813933</v>
      </c>
      <c r="K10" s="30" t="n">
        <f aca="false">Thesis!K8-Thesis!K9</f>
        <v>14217.7983298351</v>
      </c>
    </row>
    <row r="11" customFormat="false" ht="17.15" hidden="false" customHeight="false" outlineLevel="0" collapsed="false">
      <c r="A11" s="1" t="s">
        <v>955</v>
      </c>
      <c r="B11" s="0" t="s">
        <v>456</v>
      </c>
      <c r="C11" s="30" t="n">
        <f aca="false">Thesis!C10/ext_sh</f>
        <v>816.666666666667</v>
      </c>
      <c r="D11" s="30" t="n">
        <f aca="false">Thesis!D10/ext_sh</f>
        <v>2050</v>
      </c>
      <c r="E11" s="30" t="n">
        <f aca="false">Thesis!E10/ext_sh</f>
        <v>4500</v>
      </c>
      <c r="F11" s="30" t="n">
        <f aca="false">Thesis!F10/ext_sh</f>
        <v>8700.89183333333</v>
      </c>
      <c r="G11" s="30" t="n">
        <f aca="false">Thesis!G10/ext_sh</f>
        <v>13245.117</v>
      </c>
      <c r="H11" s="30" t="n">
        <f aca="false">Thesis!H10/ext_sh</f>
        <v>17789.3421666667</v>
      </c>
      <c r="I11" s="30" t="n">
        <f aca="false">Thesis!I10/ext_sh</f>
        <v>21009.3190327778</v>
      </c>
      <c r="J11" s="30" t="n">
        <f aca="false">Thesis!J10/ext_sh</f>
        <v>22969.4471356556</v>
      </c>
      <c r="K11" s="30" t="n">
        <f aca="false">Thesis!K10/ext_sh</f>
        <v>23696.3305497252</v>
      </c>
      <c r="L11" s="1" t="s">
        <v>956</v>
      </c>
    </row>
    <row r="12" customFormat="false" ht="17.15" hidden="false" customHeight="false" outlineLevel="0" collapsed="false">
      <c r="A12" s="1" t="s">
        <v>957</v>
      </c>
      <c r="B12" s="0" t="s">
        <v>456</v>
      </c>
      <c r="C12" s="30" t="n">
        <f aca="false">Thesis!C11-Thesis!C10</f>
        <v>326.666666666667</v>
      </c>
      <c r="D12" s="30" t="n">
        <f aca="false">Thesis!D11-Thesis!D10</f>
        <v>820</v>
      </c>
      <c r="E12" s="30" t="n">
        <f aca="false">Thesis!E11-Thesis!E10</f>
        <v>1800</v>
      </c>
      <c r="F12" s="30" t="n">
        <f aca="false">Thesis!F11-Thesis!F10</f>
        <v>3480.35673333333</v>
      </c>
      <c r="G12" s="30" t="n">
        <f aca="false">Thesis!G11-Thesis!G10</f>
        <v>5298.0468</v>
      </c>
      <c r="H12" s="30" t="n">
        <f aca="false">Thesis!H11-Thesis!H10</f>
        <v>7115.73686666667</v>
      </c>
      <c r="I12" s="30" t="n">
        <f aca="false">Thesis!I11-Thesis!I10</f>
        <v>8403.72761311111</v>
      </c>
      <c r="J12" s="30" t="n">
        <f aca="false">Thesis!J11-Thesis!J10</f>
        <v>9187.77885426222</v>
      </c>
      <c r="K12" s="30" t="n">
        <f aca="false">Thesis!K11-Thesis!K10</f>
        <v>9478.53221989009</v>
      </c>
    </row>
    <row r="13" customFormat="false" ht="17.15" hidden="false" customHeight="false" outlineLevel="0" collapsed="false">
      <c r="A13" s="1" t="s">
        <v>958</v>
      </c>
      <c r="B13" s="0" t="s">
        <v>456</v>
      </c>
      <c r="C13" s="30" t="n">
        <f aca="false">Thesis!C11</f>
        <v>816.666666666667</v>
      </c>
      <c r="D13" s="30" t="n">
        <f aca="false">Thesis!D11-Thesis!C11</f>
        <v>1233.33333333333</v>
      </c>
      <c r="E13" s="30" t="n">
        <f aca="false">Thesis!E11-Thesis!D11</f>
        <v>2450</v>
      </c>
      <c r="F13" s="30" t="n">
        <f aca="false">Thesis!F11-Thesis!E11</f>
        <v>4200.89183333333</v>
      </c>
      <c r="G13" s="30" t="n">
        <f aca="false">Thesis!G11-Thesis!F11</f>
        <v>4544.22516666667</v>
      </c>
      <c r="H13" s="30" t="n">
        <f aca="false">Thesis!H11-Thesis!G11</f>
        <v>4544.22516666667</v>
      </c>
      <c r="I13" s="30" t="n">
        <f aca="false">Thesis!I11-Thesis!H11</f>
        <v>3219.97686611111</v>
      </c>
      <c r="J13" s="30" t="n">
        <f aca="false">Thesis!J11-Thesis!I11</f>
        <v>1960.12810287778</v>
      </c>
      <c r="K13" s="30" t="n">
        <f aca="false">Thesis!K11-Thesis!J11</f>
        <v>726.883414069667</v>
      </c>
    </row>
    <row r="14" customFormat="false" ht="17.15" hidden="false" customHeight="false" outlineLevel="0" collapsed="false">
      <c r="A14" s="1" t="s">
        <v>959</v>
      </c>
      <c r="B14" s="0" t="s">
        <v>456</v>
      </c>
      <c r="D14" s="30" t="n">
        <f aca="false">Thesis!D8-Thesis!C8</f>
        <v>990</v>
      </c>
      <c r="E14" s="30" t="n">
        <f aca="false">Thesis!E8-Thesis!D8</f>
        <v>1620</v>
      </c>
      <c r="F14" s="30" t="n">
        <f aca="false">Thesis!F8-Thesis!E8</f>
        <v>2726.5351</v>
      </c>
      <c r="G14" s="30" t="n">
        <f aca="false">Thesis!G8-Thesis!F8</f>
        <v>2726.5351</v>
      </c>
      <c r="H14" s="30" t="n">
        <f aca="false">Thesis!H8-Thesis!G8</f>
        <v>2726.5351</v>
      </c>
      <c r="I14" s="30" t="n">
        <f aca="false">Thesis!I8-Thesis!H8</f>
        <v>1931.98611966667</v>
      </c>
      <c r="J14" s="30" t="n">
        <f aca="false">Thesis!J8-Thesis!I8</f>
        <v>1176.07686172667</v>
      </c>
      <c r="K14" s="30" t="n">
        <f aca="false">Thesis!K8-Thesis!J8</f>
        <v>436.130048441799</v>
      </c>
    </row>
    <row r="15" customFormat="false" ht="17.15" hidden="false" customHeight="false" outlineLevel="0" collapsed="false">
      <c r="A15" s="1" t="s">
        <v>960</v>
      </c>
      <c r="B15" s="0" t="s">
        <v>456</v>
      </c>
      <c r="F15" s="30" t="n">
        <f aca="false">Thesis!F34*ext_sh</f>
        <v>0</v>
      </c>
      <c r="G15" s="30" t="n">
        <f aca="false">Thesis!G34*ext_sh</f>
        <v>0</v>
      </c>
      <c r="H15" s="30" t="n">
        <f aca="false">Thesis!H34*ext_sh</f>
        <v>0</v>
      </c>
      <c r="I15" s="30" t="n">
        <f aca="false">Thesis!I34*ext_sh</f>
        <v>490</v>
      </c>
      <c r="J15" s="30" t="n">
        <f aca="false">Thesis!J34*ext_sh</f>
        <v>740</v>
      </c>
      <c r="K15" s="30" t="n">
        <f aca="false">Thesis!K34*ext_sh</f>
        <v>1470</v>
      </c>
      <c r="L15" s="1" t="s">
        <v>961</v>
      </c>
    </row>
    <row r="16" customFormat="false" ht="17.15" hidden="false" customHeight="false" outlineLevel="0" collapsed="false">
      <c r="A16" s="1" t="s">
        <v>962</v>
      </c>
      <c r="B16" s="0" t="s">
        <v>456</v>
      </c>
      <c r="C16" s="30" t="n">
        <f aca="false">mix_h*Thesis!C8</f>
        <v>128</v>
      </c>
      <c r="D16" s="30" t="n">
        <f aca="false">mix_h*Thesis!D8</f>
        <v>326</v>
      </c>
      <c r="E16" s="30" t="n">
        <f aca="false">mix_h*Thesis!E8</f>
        <v>650</v>
      </c>
      <c r="F16" s="30" t="n">
        <f aca="false">Thesis!E16-Thesis!F15*mix_h</f>
        <v>650</v>
      </c>
      <c r="G16" s="30" t="n">
        <f aca="false">Thesis!F16-Thesis!G15*mix_h</f>
        <v>650</v>
      </c>
      <c r="H16" s="30" t="n">
        <f aca="false">Thesis!G16-Thesis!H15*mix_h</f>
        <v>650</v>
      </c>
      <c r="I16" s="30" t="n">
        <f aca="false">Thesis!H16-Thesis!I15*mix_h</f>
        <v>552</v>
      </c>
      <c r="J16" s="30" t="n">
        <f aca="false">Thesis!I16-Thesis!J15*mix_h</f>
        <v>404</v>
      </c>
      <c r="K16" s="30" t="n">
        <f aca="false">Thesis!J16-Thesis!K15*mix_h</f>
        <v>110</v>
      </c>
    </row>
    <row r="17" customFormat="false" ht="17.15" hidden="false" customHeight="false" outlineLevel="0" collapsed="false">
      <c r="A17" s="1" t="s">
        <v>963</v>
      </c>
      <c r="B17" s="0" t="s">
        <v>456</v>
      </c>
      <c r="C17" s="30" t="n">
        <f aca="false">mix_g2*Thesis!C8</f>
        <v>288</v>
      </c>
      <c r="D17" s="30" t="n">
        <f aca="false">mix_g2*Thesis!D8</f>
        <v>733.5</v>
      </c>
      <c r="E17" s="30" t="n">
        <f aca="false">mix_g2*Thesis!E8</f>
        <v>1462.5</v>
      </c>
      <c r="F17" s="30" t="n">
        <f aca="false">Thesis!E17-Thesis!F15*mix_g2</f>
        <v>1462.5</v>
      </c>
      <c r="G17" s="30" t="n">
        <f aca="false">Thesis!F17-Thesis!G15*mix_g2</f>
        <v>1462.5</v>
      </c>
      <c r="H17" s="30" t="n">
        <f aca="false">Thesis!G17-Thesis!H15*mix_g2</f>
        <v>1462.5</v>
      </c>
      <c r="I17" s="30" t="n">
        <f aca="false">Thesis!H17-Thesis!I15*mix_g2</f>
        <v>1242</v>
      </c>
      <c r="J17" s="30" t="n">
        <f aca="false">Thesis!I17-Thesis!J15*mix_g2</f>
        <v>909</v>
      </c>
      <c r="K17" s="30" t="n">
        <f aca="false">Thesis!J17-Thesis!K15*mix_g2</f>
        <v>247.5</v>
      </c>
    </row>
    <row r="18" customFormat="false" ht="17.15" hidden="false" customHeight="false" outlineLevel="0" collapsed="false">
      <c r="A18" s="1" t="s">
        <v>964</v>
      </c>
      <c r="B18" s="0" t="s">
        <v>456</v>
      </c>
      <c r="C18" s="30" t="n">
        <f aca="false">mix_g3*Thesis!C8</f>
        <v>224</v>
      </c>
      <c r="D18" s="30" t="n">
        <f aca="false">mix_g3*Thesis!D8</f>
        <v>570.5</v>
      </c>
      <c r="E18" s="30" t="n">
        <f aca="false">mix_g3*Thesis!E8</f>
        <v>1137.5</v>
      </c>
      <c r="F18" s="30" t="n">
        <f aca="false">Thesis!E18+(Thesis!F14+Thesis!F15)*(a_g3_27-nonnv*a_mai)-Thesis!F15*mix_g3</f>
        <v>2773.42106</v>
      </c>
      <c r="G18" s="30" t="n">
        <f aca="false">Thesis!F18+(Thesis!G14+Thesis!G15)*(a_g3_28-nonnv*a_mai)-Thesis!G15*mix_g3</f>
        <v>3318.72808</v>
      </c>
      <c r="H18" s="30" t="n">
        <f aca="false">Thesis!G18+(Thesis!H14+Thesis!H15)*(a_g3_29-nonnv*a_mai)-Thesis!H15*mix_g3</f>
        <v>3318.72808</v>
      </c>
      <c r="I18" s="30" t="n">
        <f aca="false">Thesis!H18+(Thesis!I14+Thesis!I15)*(a_g3_29-nonnv*a_mai)-Thesis!I15*mix_g3</f>
        <v>3147.22808</v>
      </c>
      <c r="J18" s="30" t="n">
        <f aca="false">Thesis!I18+(Thesis!J14+Thesis!J15)*(a_g3_29-nonnv*a_mai)-Thesis!J15*mix_g3</f>
        <v>2888.22808</v>
      </c>
      <c r="K18" s="30" t="n">
        <f aca="false">Thesis!J18+(Thesis!K14+Thesis!K15)*(a_g3_29-nonnv*a_mai)-Thesis!K15*mix_g3</f>
        <v>2373.72808</v>
      </c>
    </row>
    <row r="19" customFormat="false" ht="17.15" hidden="false" customHeight="false" outlineLevel="0" collapsed="false">
      <c r="A19" s="1" t="s">
        <v>965</v>
      </c>
      <c r="B19" s="0" t="s">
        <v>456</v>
      </c>
      <c r="C19" s="30" t="n">
        <v>0</v>
      </c>
      <c r="D19" s="30" t="n">
        <v>0</v>
      </c>
      <c r="E19" s="30" t="n">
        <v>0</v>
      </c>
      <c r="F19" s="30" t="n">
        <f aca="false">Thesis!E19+(Thesis!F14+Thesis!F15)*nonnv*a_mai</f>
        <v>272.65351</v>
      </c>
      <c r="G19" s="30" t="n">
        <f aca="false">Thesis!F19+(Thesis!G14+Thesis!G15)*nonnv*a_mai</f>
        <v>545.30702</v>
      </c>
      <c r="H19" s="30" t="n">
        <f aca="false">Thesis!G19+(Thesis!H14+Thesis!H15)*nonnv*a_mai</f>
        <v>817.96053</v>
      </c>
      <c r="I19" s="30" t="n">
        <f aca="false">Thesis!H19+(Thesis!I14+Thesis!I15)*nonnv*a_mai</f>
        <v>1060.15914196667</v>
      </c>
      <c r="J19" s="30" t="n">
        <f aca="false">Thesis!I19+(Thesis!J14+Thesis!J15)*nonnv*a_mai</f>
        <v>1251.76682813933</v>
      </c>
      <c r="K19" s="30" t="n">
        <f aca="false">Thesis!J19+(Thesis!K14+Thesis!K15)*nonnv*a_mai</f>
        <v>1442.37983298351</v>
      </c>
      <c r="L19" s="12" t="s">
        <v>966</v>
      </c>
    </row>
    <row r="20" customFormat="false" ht="17.15" hidden="false" customHeight="false" outlineLevel="0" collapsed="false">
      <c r="A20" s="1" t="s">
        <v>967</v>
      </c>
      <c r="B20" s="0" t="s">
        <v>456</v>
      </c>
      <c r="C20" s="30" t="n">
        <v>0</v>
      </c>
      <c r="D20" s="30" t="n">
        <v>0</v>
      </c>
      <c r="E20" s="30" t="n">
        <v>0</v>
      </c>
      <c r="F20" s="30" t="n">
        <f aca="false">Thesis!E20+(Thesis!F14+Thesis!F15)*(1-a_g3_27)</f>
        <v>817.96053</v>
      </c>
      <c r="G20" s="30" t="n">
        <f aca="false">Thesis!F20+(Thesis!G14+Thesis!G15)*(1-a_g3_28)</f>
        <v>2726.5351</v>
      </c>
      <c r="H20" s="30" t="n">
        <f aca="false">Thesis!G20+(Thesis!H14+Thesis!H15)*(1-a_g3_29)</f>
        <v>5180.41669</v>
      </c>
      <c r="I20" s="30" t="n">
        <f aca="false">Thesis!H20+(Thesis!I14+Thesis!I15)*(1-a_g3_29)</f>
        <v>7360.2041977</v>
      </c>
      <c r="J20" s="30" t="n">
        <f aca="false">Thesis!I20+(Thesis!J14+Thesis!J15)*(1-a_g3_29)</f>
        <v>9084.673373254</v>
      </c>
      <c r="K20" s="30" t="n">
        <f aca="false">Thesis!J20+(Thesis!K14+Thesis!K15)*(1-a_g3_29)</f>
        <v>10800.1904168516</v>
      </c>
    </row>
    <row r="21" customFormat="false" ht="17.15" hidden="false" customHeight="false" outlineLevel="0" collapsed="false">
      <c r="A21" s="1" t="s">
        <v>968</v>
      </c>
      <c r="B21" s="0" t="s">
        <v>403</v>
      </c>
      <c r="C21" s="15" t="n">
        <f aca="false">(Thesis!C16*tk_hold_h100+Thesis!C17*tk_hold_gb200+Thesis!C18*tk_hold_gb300+Thesis!C20*tk_hold_vr200+Thesis!C19*nv_hold_mai*tk_hold_vr200)/Thesis!C8</f>
        <v>9.7235358126469</v>
      </c>
      <c r="D21" s="15" t="n">
        <f aca="false">(Thesis!D16*tk_hold_h100+Thesis!D17*tk_hold_gb200+Thesis!D18*tk_hold_gb300+Thesis!D20*tk_hold_vr200+Thesis!D19*nv_hold_mai*tk_hold_vr200)/Thesis!D8</f>
        <v>9.7235358126469</v>
      </c>
      <c r="E21" s="15" t="n">
        <f aca="false">(Thesis!E16*tk_hold_h100+Thesis!E17*tk_hold_gb200+Thesis!E18*tk_hold_gb300+Thesis!E20*tk_hold_vr200+Thesis!E19*nv_hold_mai*tk_hold_vr200)/Thesis!E8</f>
        <v>9.7235358126469</v>
      </c>
      <c r="F21" s="15" t="n">
        <f aca="false">(Thesis!F16*tk_hold_h100+Thesis!F17*tk_hold_gb200+Thesis!F18*tk_hold_gb300+Thesis!F20*tk_hold_vr200+Thesis!F19*nv_hold_mai*tk_hold_vr200)/Thesis!F8</f>
        <v>10.2195353876665</v>
      </c>
      <c r="G21" s="15" t="n">
        <f aca="false">(Thesis!G16*tk_hold_h100+Thesis!G17*tk_hold_gb200+Thesis!G18*tk_hold_gb300+Thesis!G20*tk_hold_vr200+Thesis!G19*nv_hold_mai*tk_hold_vr200)/Thesis!G8</f>
        <v>10.5725598017306</v>
      </c>
      <c r="H21" s="15" t="n">
        <f aca="false">(Thesis!H16*tk_hold_h100+Thesis!H17*tk_hold_gb200+Thesis!H18*tk_hold_gb300+Thesis!H20*tk_hold_vr200+Thesis!H19*nv_hold_mai*tk_hold_vr200)/Thesis!H8</f>
        <v>10.8210427149036</v>
      </c>
      <c r="I21" s="15" t="n">
        <f aca="false">(Thesis!I16*tk_hold_h100+Thesis!I17*tk_hold_gb200+Thesis!I18*tk_hold_gb300+Thesis!I20*tk_hold_vr200+Thesis!I19*nv_hold_mai*tk_hold_vr200)/Thesis!I8</f>
        <v>11.0050618241982</v>
      </c>
      <c r="J21" s="15" t="n">
        <f aca="false">(Thesis!J16*tk_hold_h100+Thesis!J17*tk_hold_gb200+Thesis!J18*tk_hold_gb300+Thesis!J20*tk_hold_vr200+Thesis!J19*nv_hold_mai*tk_hold_vr200)/Thesis!J8</f>
        <v>11.1505789658881</v>
      </c>
      <c r="K21" s="15" t="n">
        <f aca="false">(Thesis!K16*tk_hold_h100+Thesis!K17*tk_hold_gb200+Thesis!K18*tk_hold_gb300+Thesis!K20*tk_hold_vr200+Thesis!K19*nv_hold_mai*tk_hold_vr200)/Thesis!K8</f>
        <v>11.3496914757183</v>
      </c>
      <c r="L21" s="1" t="s">
        <v>969</v>
      </c>
    </row>
    <row r="22" customFormat="false" ht="17.15" hidden="false" customHeight="false" outlineLevel="0" collapsed="false">
      <c r="A22" s="1" t="s">
        <v>970</v>
      </c>
      <c r="B22" s="0" t="s">
        <v>403</v>
      </c>
      <c r="C22" s="15" t="n">
        <f aca="false">(Thesis!C16*tk_hold_h100+Thesis!C17*tk_hold_gb200+Thesis!C18*tk_hold_gb300+Thesis!C20*tk_hold_vr200+Thesis!C19*nv_out_mai*tk_hold_vr200)/Thesis!C8</f>
        <v>9.7235358126469</v>
      </c>
      <c r="D22" s="15" t="n">
        <f aca="false">(Thesis!D16*tk_hold_h100+Thesis!D17*tk_hold_gb200+Thesis!D18*tk_hold_gb300+Thesis!D20*tk_hold_vr200+Thesis!D19*nv_out_mai*tk_hold_vr200)/Thesis!D8</f>
        <v>9.7235358126469</v>
      </c>
      <c r="E22" s="15" t="n">
        <f aca="false">(Thesis!E16*tk_hold_h100+Thesis!E17*tk_hold_gb200+Thesis!E18*tk_hold_gb300+Thesis!E20*tk_hold_vr200+Thesis!E19*nv_out_mai*tk_hold_vr200)/Thesis!E8</f>
        <v>9.7235358126469</v>
      </c>
      <c r="F22" s="15" t="n">
        <f aca="false">(Thesis!F16*tk_hold_h100+Thesis!F17*tk_hold_gb200+Thesis!F18*tk_hold_gb300+Thesis!F20*tk_hold_vr200+Thesis!F19*nv_out_mai*tk_hold_vr200)/Thesis!F8</f>
        <v>10.247422093969</v>
      </c>
      <c r="G22" s="15" t="n">
        <f aca="false">(Thesis!G16*tk_hold_h100+Thesis!G17*tk_hold_gb200+Thesis!G18*tk_hold_gb300+Thesis!G20*tk_hold_vr200+Thesis!G19*nv_out_mai*tk_hold_vr200)/Thesis!G8</f>
        <v>10.6108602808053</v>
      </c>
      <c r="H22" s="15" t="n">
        <f aca="false">(Thesis!H16*tk_hold_h100+Thesis!H17*tk_hold_gb200+Thesis!H18*tk_hold_gb300+Thesis!H20*tk_hold_vr200+Thesis!H19*nv_out_mai*tk_hold_vr200)/Thesis!H8</f>
        <v>10.8647885507393</v>
      </c>
      <c r="I22" s="15" t="n">
        <f aca="false">(Thesis!I16*tk_hold_h100+Thesis!I17*tk_hold_gb200+Thesis!I18*tk_hold_gb300+Thesis!I20*tk_hold_vr200+Thesis!I19*nv_out_mai*tk_hold_vr200)/Thesis!I8</f>
        <v>11.0535625770025</v>
      </c>
      <c r="J22" s="15" t="n">
        <f aca="false">(Thesis!J16*tk_hold_h100+Thesis!J17*tk_hold_gb200+Thesis!J18*tk_hold_gb300+Thesis!J20*tk_hold_vr200+Thesis!J19*nv_out_mai*tk_hold_vr200)/Thesis!J8</f>
        <v>11.2032127128058</v>
      </c>
      <c r="K22" s="15" t="n">
        <f aca="false">(Thesis!K16*tk_hold_h100+Thesis!K17*tk_hold_gb200+Thesis!K18*tk_hold_gb300+Thesis!K20*tk_hold_vr200+Thesis!K19*nv_out_mai*tk_hold_vr200)/Thesis!K8</f>
        <v>11.4085735724225</v>
      </c>
      <c r="L22" s="12" t="s">
        <v>971</v>
      </c>
    </row>
    <row r="23" customFormat="false" ht="17.15" hidden="false" customHeight="false" outlineLevel="0" collapsed="false">
      <c r="A23" s="0" t="s">
        <v>972</v>
      </c>
      <c r="B23" s="0" t="s">
        <v>229</v>
      </c>
      <c r="C23" s="15" t="n">
        <f aca="false">k_B</f>
        <v>1.17213932619116</v>
      </c>
      <c r="D23" s="15" t="n">
        <f aca="false">k_B</f>
        <v>1.17213932619116</v>
      </c>
      <c r="E23" s="15" t="n">
        <f aca="false">k_B</f>
        <v>1.17213932619116</v>
      </c>
      <c r="F23" s="15" t="n">
        <f aca="false">(k_B+((ls_A*k_long+(1-ls_A)*k_spot)-k_B)*MIN(1,(Thesis!F6-base_fy)/k_ramp))</f>
        <v>1.25022828131298</v>
      </c>
      <c r="G23" s="15" t="n">
        <f aca="false">(k_B+((ls_A*k_long+(1-ls_A)*k_spot)-k_B)*MIN(1,(Thesis!G6-base_fy)/k_ramp))</f>
        <v>1.3283172364348</v>
      </c>
      <c r="H23" s="15" t="n">
        <f aca="false">(k_B+((ls_A*k_long+(1-ls_A)*k_spot)-k_B)*MIN(1,(Thesis!H6-base_fy)/k_ramp))</f>
        <v>1.40640619155662</v>
      </c>
      <c r="I23" s="15" t="n">
        <f aca="false">(k_B+((ls_A*k_long+(1-ls_A)*k_spot)-k_B)*MIN(1,(Thesis!I6-base_fy)/k_ramp))</f>
        <v>1.40640619155662</v>
      </c>
      <c r="J23" s="15" t="n">
        <f aca="false">(k_B+((ls_A*k_long+(1-ls_A)*k_spot)-k_B)*MIN(1,(Thesis!J6-base_fy)/k_ramp))</f>
        <v>1.40640619155662</v>
      </c>
      <c r="K23" s="15" t="n">
        <f aca="false">(k_B+((ls_A*k_long+(1-ls_A)*k_spot)-k_B)*MIN(1,(Thesis!K6-base_fy)/k_ramp))</f>
        <v>1.40640619155662</v>
      </c>
      <c r="L23" s="1" t="s">
        <v>973</v>
      </c>
    </row>
    <row r="24" customFormat="false" ht="17.15" hidden="false" customHeight="false" outlineLevel="0" collapsed="false">
      <c r="A24" s="1" t="s">
        <v>974</v>
      </c>
      <c r="B24" s="0" t="s">
        <v>403</v>
      </c>
      <c r="C24" s="15" t="n">
        <f aca="false">Thesis!C22*Thesis!C23*chip_f</f>
        <v>11.3973387156315</v>
      </c>
      <c r="D24" s="15" t="n">
        <f aca="false">Thesis!D22*Thesis!D23*chip_f</f>
        <v>11.3973387156315</v>
      </c>
      <c r="E24" s="15" t="n">
        <f aca="false">Thesis!E22*Thesis!E23*chip_f</f>
        <v>11.3973387156315</v>
      </c>
      <c r="F24" s="15" t="n">
        <f aca="false">Thesis!F22*Thesis!F23*chip_f</f>
        <v>12.8116169124314</v>
      </c>
      <c r="G24" s="15" t="n">
        <f aca="false">Thesis!G22*Thesis!G23*chip_f</f>
        <v>14.094588604395</v>
      </c>
      <c r="H24" s="15" t="n">
        <f aca="false">Thesis!H22*Thesis!H23*chip_f</f>
        <v>15.2803058877132</v>
      </c>
      <c r="I24" s="15" t="n">
        <f aca="false">Thesis!I22*Thesis!I23*chip_f</f>
        <v>15.5457988470549</v>
      </c>
      <c r="J24" s="15" t="n">
        <f aca="false">Thesis!J22*Thesis!J23*chip_f</f>
        <v>15.7562677246158</v>
      </c>
      <c r="K24" s="15" t="n">
        <f aca="false">Thesis!K22*Thesis!K23*chip_f</f>
        <v>16.0450885090842</v>
      </c>
      <c r="L24" s="1" t="s">
        <v>975</v>
      </c>
    </row>
    <row r="25" customFormat="false" ht="17.15" hidden="false" customHeight="false" outlineLevel="0" collapsed="false">
      <c r="A25" s="0" t="s">
        <v>976</v>
      </c>
      <c r="B25" s="0" t="s">
        <v>98</v>
      </c>
      <c r="D25" s="6" t="n">
        <f aca="false">(Thesis!C8+Thesis!D8)/2*Thesis!D24/1000</f>
        <v>12.9359794422418</v>
      </c>
      <c r="E25" s="6" t="n">
        <f aca="false">(Thesis!D8+Thesis!E8)/2*Thesis!E24/1000</f>
        <v>27.8095064661409</v>
      </c>
      <c r="F25" s="6" t="n">
        <f aca="false">(Thesis!E8+Thesis!F8)/2*Thesis!F24/1000</f>
        <v>59.1034165651511</v>
      </c>
      <c r="G25" s="6" t="n">
        <f aca="false">(Thesis!F8+Thesis!G8)/2*Thesis!G24/1000</f>
        <v>103.451498789198</v>
      </c>
      <c r="H25" s="6" t="n">
        <f aca="false">(Thesis!G8+Thesis!H8)/2*Thesis!H24/1000</f>
        <v>153.816719989035</v>
      </c>
      <c r="I25" s="6" t="n">
        <f aca="false">(Thesis!H8+Thesis!I8)/2*Thesis!I24/1000</f>
        <v>192.699478690852</v>
      </c>
      <c r="J25" s="6" t="n">
        <f aca="false">(Thesis!I8+Thesis!J8)/2*Thesis!J24/1000</f>
        <v>219.794102584244</v>
      </c>
      <c r="K25" s="6" t="n">
        <f aca="false">(Thesis!J8+Thesis!K8)/2*Thesis!K24/1000</f>
        <v>236.757046905022</v>
      </c>
      <c r="L25" s="12" t="s">
        <v>977</v>
      </c>
    </row>
    <row r="26" customFormat="false" ht="17.15" hidden="false" customHeight="false" outlineLevel="0" collapsed="false">
      <c r="A26" s="1" t="s">
        <v>978</v>
      </c>
      <c r="B26" s="0" t="s">
        <v>403</v>
      </c>
      <c r="C26" s="15" t="n">
        <f aca="false">(Thesis!C16*tk_opex_h100+Thesis!C17*tk_opex_gb200+Thesis!C18*tk_opex_gb300+(Thesis!C20+Thesis!C19)*tk_opex_vr200)/Thesis!C8</f>
        <v>1.88636041306092</v>
      </c>
      <c r="D26" s="15" t="n">
        <f aca="false">(Thesis!D16*tk_opex_h100+Thesis!D17*tk_opex_gb200+Thesis!D18*tk_opex_gb300+(Thesis!D20+Thesis!D19)*tk_opex_vr200)/Thesis!D8</f>
        <v>1.88636041306092</v>
      </c>
      <c r="E26" s="15" t="n">
        <f aca="false">(Thesis!E16*tk_opex_h100+Thesis!E17*tk_opex_gb200+Thesis!E18*tk_opex_gb300+(Thesis!E20+Thesis!E19)*tk_opex_vr200)/Thesis!E8</f>
        <v>1.88636041306092</v>
      </c>
      <c r="F26" s="15" t="n">
        <f aca="false">(Thesis!F16*tk_opex_h100+Thesis!F17*tk_opex_gb200+Thesis!F18*tk_opex_gb300+(Thesis!F20+Thesis!F19)*tk_opex_vr200)/Thesis!F8</f>
        <v>1.95051159746876</v>
      </c>
      <c r="G26" s="15" t="n">
        <f aca="false">(Thesis!G16*tk_opex_h100+Thesis!G17*tk_opex_gb200+Thesis!G18*tk_opex_gb300+(Thesis!G20+Thesis!G19)*tk_opex_vr200)/Thesis!G8</f>
        <v>1.98836003669956</v>
      </c>
      <c r="H26" s="15" t="n">
        <f aca="false">(Thesis!H16*tk_opex_h100+Thesis!H17*tk_opex_gb200+Thesis!H18*tk_opex_gb300+(Thesis!H20+Thesis!H19)*tk_opex_vr200)/Thesis!H8</f>
        <v>2.01344013834343</v>
      </c>
      <c r="I26" s="15" t="n">
        <f aca="false">(Thesis!I16*tk_opex_h100+Thesis!I17*tk_opex_gb200+Thesis!I18*tk_opex_gb300+(Thesis!I20+Thesis!I19)*tk_opex_vr200)/Thesis!I8</f>
        <v>2.03261166882178</v>
      </c>
      <c r="J26" s="15" t="n">
        <f aca="false">(Thesis!J16*tk_opex_h100+Thesis!J17*tk_opex_gb200+Thesis!J18*tk_opex_gb300+(Thesis!J20+Thesis!J19)*tk_opex_vr200)/Thesis!J8</f>
        <v>2.04808073288745</v>
      </c>
      <c r="K26" s="15" t="n">
        <f aca="false">(Thesis!K16*tk_opex_h100+Thesis!K17*tk_opex_gb200+Thesis!K18*tk_opex_gb300+(Thesis!K20+Thesis!K19)*tk_opex_vr200)/Thesis!K8</f>
        <v>2.06973825807449</v>
      </c>
      <c r="L26" s="12" t="s">
        <v>979</v>
      </c>
    </row>
    <row r="27" customFormat="false" ht="17.15" hidden="false" customHeight="false" outlineLevel="0" collapsed="false">
      <c r="A27" s="0" t="s">
        <v>980</v>
      </c>
      <c r="B27" s="0" t="s">
        <v>98</v>
      </c>
      <c r="D27" s="6" t="n">
        <f aca="false">(Thesis!C11+Thesis!D11)/2*Thesis!D26/1000</f>
        <v>2.70378325872065</v>
      </c>
      <c r="E27" s="6" t="n">
        <f aca="false">(Thesis!D11+Thesis!E11)/2*Thesis!E26/1000</f>
        <v>6.17783035277451</v>
      </c>
      <c r="F27" s="6" t="n">
        <f aca="false">(Thesis!E11+Thesis!F11)/2*Thesis!F26/1000</f>
        <v>12.8742463089237</v>
      </c>
      <c r="G27" s="6" t="n">
        <f aca="false">(Thesis!F11+Thesis!G11)/2*Thesis!G26/1000</f>
        <v>21.8182834646277</v>
      </c>
      <c r="H27" s="6" t="n">
        <f aca="false">(Thesis!G11+Thesis!H11)/2*Thesis!H26/1000</f>
        <v>31.2430128789734</v>
      </c>
      <c r="I27" s="6" t="n">
        <f aca="false">(Thesis!H11+Thesis!I11)/2*Thesis!I26/1000</f>
        <v>39.4313057443268</v>
      </c>
      <c r="J27" s="6" t="n">
        <f aca="false">(Thesis!I11+Thesis!J11)/2*Thesis!J26/1000</f>
        <v>45.0360318228653</v>
      </c>
      <c r="K27" s="6" t="n">
        <f aca="false">(Thesis!J11+Thesis!K11)/2*Thesis!K26/1000</f>
        <v>48.2929727091156</v>
      </c>
    </row>
    <row r="28" customFormat="false" ht="17.15" hidden="false" customHeight="false" outlineLevel="0" collapsed="false">
      <c r="A28" s="0" t="s">
        <v>981</v>
      </c>
      <c r="B28" s="0" t="s">
        <v>98</v>
      </c>
      <c r="D28" s="6" t="n">
        <f aca="false">(Thesis!C9+Thesis!D9)/2*rent_mw/1000</f>
        <v>2.44475</v>
      </c>
      <c r="E28" s="6" t="n">
        <f aca="false">(Thesis!D9+Thesis!E9)/2*rent_mw/1000</f>
        <v>4.22275</v>
      </c>
      <c r="F28" s="6" t="n">
        <f aca="false">(Thesis!E9+Thesis!F9)/2*rent_mw/1000</f>
        <v>5.80517</v>
      </c>
      <c r="G28" s="6" t="n">
        <f aca="false">(Thesis!F9+Thesis!G9)/2*rent_mw/1000</f>
        <v>6.72084</v>
      </c>
      <c r="H28" s="6" t="n">
        <f aca="false">(Thesis!G9+Thesis!H9)/2*rent_mw/1000</f>
        <v>6.72084</v>
      </c>
      <c r="I28" s="6" t="n">
        <f aca="false">(Thesis!H9+Thesis!I9)/2*rent_mw/1000</f>
        <v>6.72084</v>
      </c>
      <c r="J28" s="6" t="n">
        <f aca="false">(Thesis!I9+Thesis!J9)/2*rent_mw/1000</f>
        <v>6.72084</v>
      </c>
      <c r="K28" s="6" t="n">
        <f aca="false">(Thesis!J9+Thesis!K9)/2*rent_mw/1000</f>
        <v>6.72084</v>
      </c>
    </row>
    <row r="29" customFormat="false" ht="17.15" hidden="false" customHeight="false" outlineLevel="0" collapsed="false">
      <c r="A29" s="0" t="s">
        <v>982</v>
      </c>
      <c r="B29" s="0" t="s">
        <v>98</v>
      </c>
      <c r="D29" s="6" t="n">
        <f aca="false">(Thesis!C11+Thesis!D11)/2*(1-self_build)*fac_rent/1000</f>
        <v>0.853242375631075</v>
      </c>
      <c r="E29" s="6" t="n">
        <f aca="false">(Thesis!D11+Thesis!E11)/2*(1-self_build)*fac_rent/1000</f>
        <v>1.94955961408728</v>
      </c>
      <c r="F29" s="6" t="n">
        <f aca="false">(Thesis!E11+Thesis!F11)/2*(1-self_build)*fac_rent/1000</f>
        <v>3.92914894476356</v>
      </c>
      <c r="G29" s="6" t="n">
        <f aca="false">(Thesis!F11+Thesis!G11)/2*(1-self_build)*fac_rent/1000</f>
        <v>6.53206908578159</v>
      </c>
      <c r="H29" s="6" t="n">
        <f aca="false">(Thesis!G11+Thesis!H11)/2*(1-self_build)*fac_rent/1000</f>
        <v>9.23717988341591</v>
      </c>
      <c r="I29" s="6" t="n">
        <f aca="false">(Thesis!H11+Thesis!I11)/2*(1-self_build)*fac_rent/1000</f>
        <v>11.5481378557393</v>
      </c>
      <c r="J29" s="6" t="n">
        <f aca="false">(Thesis!I11+Thesis!J11)/2*(1-self_build)*fac_rent/1000</f>
        <v>13.0899582289108</v>
      </c>
      <c r="K29" s="6" t="n">
        <f aca="false">(Thesis!J11+Thesis!K11)/2*(1-self_build)*fac_rent/1000</f>
        <v>13.8897275626556</v>
      </c>
      <c r="L29" s="12" t="s">
        <v>983</v>
      </c>
    </row>
    <row r="30" customFormat="false" ht="17.15" hidden="false" customHeight="false" outlineLevel="0" collapsed="false">
      <c r="A30" s="1" t="s">
        <v>984</v>
      </c>
      <c r="B30" s="0" t="s">
        <v>168</v>
      </c>
      <c r="D30" s="7" t="n">
        <f aca="false">(Thesis!C10+Thesis!D10)/(Thesis!C11+Thesis!D11)</f>
        <v>0.6</v>
      </c>
      <c r="E30" s="7" t="n">
        <f aca="false">(Thesis!D10+Thesis!E10)/(Thesis!D11+Thesis!E11)</f>
        <v>0.6</v>
      </c>
      <c r="F30" s="7" t="n">
        <f aca="false">(Thesis!E10+Thesis!F10)/(Thesis!E11+Thesis!F11)</f>
        <v>0.6</v>
      </c>
      <c r="G30" s="7" t="n">
        <f aca="false">(Thesis!F10+Thesis!G10)/(Thesis!F11+Thesis!G11)</f>
        <v>0.6</v>
      </c>
      <c r="H30" s="7" t="n">
        <f aca="false">(Thesis!G10+Thesis!H10)/(Thesis!G11+Thesis!H11)</f>
        <v>0.6</v>
      </c>
      <c r="I30" s="7" t="n">
        <f aca="false">(Thesis!H10+Thesis!I10)/(Thesis!H11+Thesis!I11)</f>
        <v>0.6</v>
      </c>
      <c r="J30" s="7" t="n">
        <f aca="false">(Thesis!I10+Thesis!J10)/(Thesis!I11+Thesis!J11)</f>
        <v>0.6</v>
      </c>
      <c r="K30" s="7" t="n">
        <f aca="false">(Thesis!J10+Thesis!K10)/(Thesis!J11+Thesis!K11)</f>
        <v>0.6</v>
      </c>
    </row>
    <row r="31" customFormat="false" ht="17.15" hidden="false" customHeight="false" outlineLevel="0" collapsed="false">
      <c r="A31" s="0" t="s">
        <v>985</v>
      </c>
      <c r="B31" s="0" t="s">
        <v>98</v>
      </c>
      <c r="D31" s="6" t="n">
        <f aca="false">Thesis!D25-Thesis!D30*(Thesis!D27+Thesis!D29)-Thesis!D28</f>
        <v>8.35701406163072</v>
      </c>
      <c r="E31" s="6" t="n">
        <f aca="false">Thesis!E25-Thesis!E30*(Thesis!E27+Thesis!E29)-Thesis!E28</f>
        <v>18.7103224860238</v>
      </c>
      <c r="F31" s="6" t="n">
        <f aca="false">Thesis!F25-Thesis!F30*(Thesis!F27+Thesis!F29)-Thesis!F28</f>
        <v>43.2162094129388</v>
      </c>
      <c r="G31" s="6" t="n">
        <f aca="false">Thesis!G25-Thesis!G30*(Thesis!G27+Thesis!G29)-Thesis!G28</f>
        <v>79.7204472589529</v>
      </c>
      <c r="H31" s="6" t="n">
        <f aca="false">Thesis!H25-Thesis!H30*(Thesis!H27+Thesis!H29)-Thesis!H28</f>
        <v>122.807764331602</v>
      </c>
      <c r="I31" s="6" t="n">
        <f aca="false">Thesis!I25-Thesis!I30*(Thesis!I27+Thesis!I29)-Thesis!I28</f>
        <v>155.390972530813</v>
      </c>
      <c r="J31" s="6" t="n">
        <f aca="false">Thesis!J25-Thesis!J30*(Thesis!J27+Thesis!J29)-Thesis!J28</f>
        <v>178.197668553178</v>
      </c>
      <c r="K31" s="6" t="n">
        <f aca="false">Thesis!K25-Thesis!K30*(Thesis!K27+Thesis!K29)-Thesis!K28</f>
        <v>192.726586741959</v>
      </c>
    </row>
    <row r="32" customFormat="false" ht="17.15" hidden="false" customHeight="false" outlineLevel="0" collapsed="false">
      <c r="A32" s="1" t="s">
        <v>986</v>
      </c>
      <c r="B32" s="0" t="s">
        <v>98</v>
      </c>
      <c r="D32" s="6" t="n">
        <f aca="false">(1-Thesis!D30)*(Thesis!D27+Thesis!D29)</f>
        <v>1.42281025374069</v>
      </c>
      <c r="E32" s="6" t="n">
        <f aca="false">(1-Thesis!E30)*(Thesis!E27+Thesis!E29)</f>
        <v>3.25095598674472</v>
      </c>
      <c r="F32" s="6" t="n">
        <f aca="false">(1-Thesis!F30)*(Thesis!F27+Thesis!F29)</f>
        <v>6.72135810147489</v>
      </c>
      <c r="G32" s="6" t="n">
        <f aca="false">(1-Thesis!G30)*(Thesis!G27+Thesis!G29)</f>
        <v>11.3401410201637</v>
      </c>
      <c r="H32" s="6" t="n">
        <f aca="false">(1-Thesis!H30)*(Thesis!H27+Thesis!H29)</f>
        <v>16.1920771049557</v>
      </c>
      <c r="I32" s="6" t="n">
        <f aca="false">(1-Thesis!I30)*(Thesis!I27+Thesis!I29)</f>
        <v>20.3917774400264</v>
      </c>
      <c r="J32" s="6" t="n">
        <f aca="false">(1-Thesis!J30)*(Thesis!J27+Thesis!J29)</f>
        <v>23.2503960207104</v>
      </c>
      <c r="K32" s="6" t="n">
        <f aca="false">(1-Thesis!K30)*(Thesis!K27+Thesis!K29)</f>
        <v>24.8730801087085</v>
      </c>
    </row>
    <row r="33" customFormat="false" ht="17.15" hidden="false" customHeight="false" outlineLevel="0" collapsed="false">
      <c r="A33" s="1" t="s">
        <v>987</v>
      </c>
      <c r="B33" s="0" t="s">
        <v>414</v>
      </c>
      <c r="C33" s="8" t="n">
        <f aca="false">cxit_open</f>
        <v>27.5918995</v>
      </c>
      <c r="D33" s="8" t="n">
        <f aca="false">cxit_open</f>
        <v>27.5918995</v>
      </c>
      <c r="E33" s="8" t="n">
        <f aca="false">cxit_open</f>
        <v>27.5918995</v>
      </c>
      <c r="F33" s="8" t="n">
        <f aca="false">((a_g3_27-nonnv*a_mai)*tk_cxit_gb300+nonnv*a_mai*nv_hold_mai*tk_cxit_vr200+(1-a_g3_27)*tk_cxit_vr200)</f>
        <v>32.4975576</v>
      </c>
      <c r="G33" s="8" t="n">
        <f aca="false">((a_g3_28-nonnv*a_mai)*tk_cxit_gb300+nonnv*a_mai*nv_hold_mai*tk_cxit_vr200+(1-a_g3_28)*tk_cxit_vr200)</f>
        <v>34.6372088</v>
      </c>
      <c r="H33" s="8" t="n">
        <f aca="false">((a_g3_29-nonnv*a_mai)*tk_cxit_gb300+nonnv*a_mai*nv_hold_mai*tk_cxit_vr200+(1-a_g3_29)*tk_cxit_vr200)</f>
        <v>35.7070344</v>
      </c>
      <c r="I33" s="8" t="n">
        <f aca="false">((a_g3_29-nonnv*a_mai)*tk_cxit_gb300+nonnv*a_mai*nv_hold_mai*tk_cxit_vr200+(1-a_g3_29)*tk_cxit_vr200)</f>
        <v>35.7070344</v>
      </c>
      <c r="J33" s="8" t="n">
        <f aca="false">((a_g3_29-nonnv*a_mai)*tk_cxit_gb300+nonnv*a_mai*nv_hold_mai*tk_cxit_vr200+(1-a_g3_29)*tk_cxit_vr200)</f>
        <v>35.7070344</v>
      </c>
      <c r="K33" s="8" t="n">
        <f aca="false">((a_g3_29-nonnv*a_mai)*tk_cxit_gb300+nonnv*a_mai*nv_hold_mai*tk_cxit_vr200+(1-a_g3_29)*tk_cxit_vr200)</f>
        <v>35.7070344</v>
      </c>
      <c r="L33" s="12" t="s">
        <v>988</v>
      </c>
    </row>
    <row r="34" customFormat="false" ht="17.15" hidden="false" customHeight="false" outlineLevel="0" collapsed="false">
      <c r="A34" s="0" t="s">
        <v>989</v>
      </c>
      <c r="B34" s="0" t="s">
        <v>456</v>
      </c>
      <c r="F34" s="30" t="n">
        <f aca="false">Thesis!C13*IF(Thesis!F6-Thesis!C6=life_it,1,0)+Thesis!D13*IF(Thesis!F6-Thesis!D6=life_it,1,0)+Thesis!E13*IF(Thesis!F6-Thesis!E6=life_it,1,0)</f>
        <v>0</v>
      </c>
      <c r="G34" s="30" t="n">
        <f aca="false">Thesis!C13*IF(Thesis!G6-Thesis!C6=life_it,1,0)+Thesis!D13*IF(Thesis!G6-Thesis!D6=life_it,1,0)+Thesis!E13*IF(Thesis!G6-Thesis!E6=life_it,1,0)+Thesis!F13*IF(Thesis!G6-Thesis!F6=life_it,1,0)</f>
        <v>0</v>
      </c>
      <c r="H34" s="30" t="n">
        <f aca="false">Thesis!C13*IF(Thesis!H6-Thesis!C6=life_it,1,0)+Thesis!D13*IF(Thesis!H6-Thesis!D6=life_it,1,0)+Thesis!E13*IF(Thesis!H6-Thesis!E6=life_it,1,0)+Thesis!F13*IF(Thesis!H6-Thesis!F6=life_it,1,0)+Thesis!G13*IF(Thesis!H6-Thesis!G6=life_it,1,0)</f>
        <v>0</v>
      </c>
      <c r="I34" s="30" t="n">
        <f aca="false">Thesis!C13*IF(Thesis!I6-Thesis!C6=life_it,1,0)+Thesis!D13*IF(Thesis!I6-Thesis!D6=life_it,1,0)+Thesis!E13*IF(Thesis!I6-Thesis!E6=life_it,1,0)+Thesis!F13*IF(Thesis!I6-Thesis!F6=life_it,1,0)+Thesis!G13*IF(Thesis!I6-Thesis!G6=life_it,1,0)+Thesis!H13*IF(Thesis!I6-Thesis!H6=life_it,1,0)</f>
        <v>816.666666666667</v>
      </c>
      <c r="J34" s="30" t="n">
        <f aca="false">Thesis!C13*IF(Thesis!J6-Thesis!C6=life_it,1,0)+Thesis!D13*IF(Thesis!J6-Thesis!D6=life_it,1,0)+Thesis!E13*IF(Thesis!J6-Thesis!E6=life_it,1,0)+Thesis!F13*IF(Thesis!J6-Thesis!F6=life_it,1,0)+Thesis!G13*IF(Thesis!J6-Thesis!G6=life_it,1,0)+Thesis!H13*IF(Thesis!J6-Thesis!H6=life_it,1,0)+Thesis!I13*IF(Thesis!J6-Thesis!I6=life_it,1,0)</f>
        <v>1233.33333333333</v>
      </c>
      <c r="K34" s="30" t="n">
        <f aca="false">Thesis!C13*IF(Thesis!K6-Thesis!C6=life_it,1,0)+Thesis!D13*IF(Thesis!K6-Thesis!D6=life_it,1,0)+Thesis!E13*IF(Thesis!K6-Thesis!E6=life_it,1,0)+Thesis!F13*IF(Thesis!K6-Thesis!F6=life_it,1,0)+Thesis!G13*IF(Thesis!K6-Thesis!G6=life_it,1,0)+Thesis!H13*IF(Thesis!K6-Thesis!H6=life_it,1,0)+Thesis!I13*IF(Thesis!K6-Thesis!I6=life_it,1,0)+Thesis!J13*IF(Thesis!K6-Thesis!J6=life_it,1,0)</f>
        <v>2450</v>
      </c>
      <c r="L34" s="1" t="s">
        <v>990</v>
      </c>
    </row>
    <row r="35" customFormat="false" ht="17.15" hidden="false" customHeight="false" outlineLevel="0" collapsed="false">
      <c r="A35" s="0" t="s">
        <v>991</v>
      </c>
      <c r="B35" s="0" t="s">
        <v>98</v>
      </c>
      <c r="C35" s="6" t="n">
        <f aca="false">Thesis!C13*Thesis!C33/1000</f>
        <v>22.5333845916667</v>
      </c>
      <c r="D35" s="6" t="n">
        <f aca="false">Thesis!D13*Thesis!D33/1000</f>
        <v>34.0300093833333</v>
      </c>
      <c r="E35" s="6" t="n">
        <f aca="false">Thesis!E13*Thesis!E33/1000</f>
        <v>67.600153775</v>
      </c>
      <c r="F35" s="6" t="n">
        <f aca="false">(Thesis!F13+Thesis!F34)*Thesis!F33/1000</f>
        <v>136.51872432512</v>
      </c>
      <c r="G35" s="6" t="n">
        <f aca="false">(Thesis!G13+Thesis!G34)*Thesis!G33/1000</f>
        <v>157.399275932048</v>
      </c>
      <c r="H35" s="6" t="n">
        <f aca="false">(Thesis!H13+Thesis!H34)*Thesis!H33/1000</f>
        <v>162.260804347512</v>
      </c>
      <c r="I35" s="6" t="n">
        <f aca="false">(Thesis!I13+Thesis!I34)*Thesis!I33/1000</f>
        <v>144.136569485434</v>
      </c>
      <c r="J35" s="6" t="n">
        <f aca="false">(Thesis!J13+Thesis!J34)*Thesis!J33/1000</f>
        <v>114.029037357864</v>
      </c>
      <c r="K35" s="6" t="n">
        <f aca="false">(Thesis!K13+Thesis!K34)*Thesis!K33/1000</f>
        <v>113.437085350975</v>
      </c>
    </row>
    <row r="36" customFormat="false" ht="17.15" hidden="false" customHeight="false" outlineLevel="0" collapsed="false">
      <c r="A36" s="0" t="s">
        <v>992</v>
      </c>
      <c r="B36" s="0" t="s">
        <v>98</v>
      </c>
      <c r="C36" s="6" t="n">
        <f aca="false">Thesis!C13*self_build*tk_cxfac/1000</f>
        <v>6.2083</v>
      </c>
      <c r="D36" s="6" t="n">
        <f aca="false">Thesis!D13*self_build*tk_cxfac/1000</f>
        <v>9.3758</v>
      </c>
      <c r="E36" s="6" t="n">
        <f aca="false">Thesis!E13*self_build*tk_cxfac/1000</f>
        <v>18.6249</v>
      </c>
      <c r="F36" s="6" t="n">
        <f aca="false">Thesis!F13*self_build*tk_cxfac/1000</f>
        <v>31.935179717</v>
      </c>
      <c r="G36" s="6" t="n">
        <f aca="false">Thesis!G13*self_build*tk_cxfac/1000</f>
        <v>34.545199717</v>
      </c>
      <c r="H36" s="6" t="n">
        <f aca="false">Thesis!H13*self_build*tk_cxfac/1000</f>
        <v>34.545199717</v>
      </c>
      <c r="I36" s="6" t="n">
        <f aca="false">Thesis!I13*self_build*tk_cxfac/1000</f>
        <v>24.4782641361767</v>
      </c>
      <c r="J36" s="6" t="n">
        <f aca="false">Thesis!J13*self_build*tk_cxfac/1000</f>
        <v>14.9008938380769</v>
      </c>
      <c r="K36" s="6" t="n">
        <f aca="false">Thesis!K13*self_build*tk_cxfac/1000</f>
        <v>5.52576771375761</v>
      </c>
    </row>
    <row r="37" customFormat="false" ht="17.15" hidden="false" customHeight="false" outlineLevel="0" collapsed="false">
      <c r="A37" s="0" t="s">
        <v>993</v>
      </c>
      <c r="B37" s="0" t="s">
        <v>98</v>
      </c>
      <c r="F37" s="15" t="n">
        <f aca="false">capex_floor27-Thesis!F35-Thesis!F36-CF!F25</f>
        <v>0.0475774452575593</v>
      </c>
      <c r="L37" s="12" t="s">
        <v>994</v>
      </c>
    </row>
    <row r="38" customFormat="false" ht="17.15" hidden="false" customHeight="false" outlineLevel="0" collapsed="false">
      <c r="A38" s="0" t="s">
        <v>995</v>
      </c>
      <c r="B38" s="0" t="s">
        <v>98</v>
      </c>
      <c r="F38" s="6" t="n">
        <f aca="false">MAX(0,Thesis!F37)</f>
        <v>0.0475774452575593</v>
      </c>
    </row>
    <row r="39" customFormat="false" ht="17.15" hidden="false" customHeight="false" outlineLevel="0" collapsed="false">
      <c r="A39" s="0" t="s">
        <v>996</v>
      </c>
      <c r="B39" s="0" t="s">
        <v>98</v>
      </c>
      <c r="C39" s="6" t="n">
        <f aca="false">Thesis!C35</f>
        <v>22.5333845916667</v>
      </c>
      <c r="D39" s="6" t="n">
        <f aca="false">Thesis!D35</f>
        <v>34.0300093833333</v>
      </c>
      <c r="E39" s="6" t="n">
        <f aca="false">Thesis!E35</f>
        <v>67.600153775</v>
      </c>
      <c r="F39" s="6" t="n">
        <f aca="false">Thesis!F35</f>
        <v>136.51872432512</v>
      </c>
      <c r="G39" s="6" t="n">
        <f aca="false">Thesis!G35</f>
        <v>157.399275932048</v>
      </c>
      <c r="H39" s="6" t="n">
        <f aca="false">Thesis!H35</f>
        <v>162.260804347512</v>
      </c>
      <c r="I39" s="6" t="n">
        <f aca="false">Thesis!I35</f>
        <v>144.136569485434</v>
      </c>
      <c r="J39" s="6" t="n">
        <f aca="false">Thesis!J35</f>
        <v>114.029037357864</v>
      </c>
      <c r="K39" s="6" t="n">
        <f aca="false">Thesis!K35</f>
        <v>113.437085350975</v>
      </c>
    </row>
    <row r="40" customFormat="false" ht="17.15" hidden="false" customHeight="false" outlineLevel="0" collapsed="false">
      <c r="A40" s="0" t="s">
        <v>997</v>
      </c>
      <c r="B40" s="0" t="s">
        <v>98</v>
      </c>
      <c r="C40" s="6" t="n">
        <f aca="false">Thesis!C39+Thesis!C36</f>
        <v>28.7416845916667</v>
      </c>
      <c r="D40" s="6" t="n">
        <f aca="false">Thesis!D39+Thesis!D36</f>
        <v>43.4058093833333</v>
      </c>
      <c r="E40" s="6" t="n">
        <f aca="false">Thesis!E39+Thesis!E36</f>
        <v>86.225053775</v>
      </c>
      <c r="F40" s="6" t="n">
        <f aca="false">Thesis!F39+Thesis!F36</f>
        <v>168.45390404212</v>
      </c>
      <c r="G40" s="6" t="n">
        <f aca="false">Thesis!G39+Thesis!G36</f>
        <v>191.944475649048</v>
      </c>
      <c r="H40" s="6" t="n">
        <f aca="false">Thesis!H39+Thesis!H36</f>
        <v>196.806004064512</v>
      </c>
      <c r="I40" s="6" t="n">
        <f aca="false">Thesis!I39+Thesis!I36</f>
        <v>168.61483362161</v>
      </c>
      <c r="J40" s="6" t="n">
        <f aca="false">Thesis!J39+Thesis!J36</f>
        <v>128.92993119594</v>
      </c>
      <c r="K40" s="6" t="n">
        <f aca="false">Thesis!K39+Thesis!K36</f>
        <v>118.962853064733</v>
      </c>
      <c r="L40" s="12" t="s">
        <v>998</v>
      </c>
    </row>
    <row r="41" customFormat="false" ht="17.15" hidden="false" customHeight="false" outlineLevel="0" collapsed="false">
      <c r="A41" s="0" t="s">
        <v>999</v>
      </c>
      <c r="B41" s="0" t="s">
        <v>98</v>
      </c>
      <c r="E41" s="6" t="n">
        <f aca="false">(Thesis!C39*IF(2&lt;life_it,1,IF(2=life_it,0.5,0))+Thesis!D39*IF(1&lt;life_it,1,IF(1=life_it,0.5,0))+Thesis!E39*0.5)/life_it</f>
        <v>15.0605784770833</v>
      </c>
      <c r="F41" s="6" t="n">
        <f aca="false">(Thesis!C39*IF(3&lt;life_it,1,IF(3=life_it,0.5,0))+Thesis!D39*IF(2&lt;life_it,1,IF(2=life_it,0.5,0))+Thesis!E39*IF(1&lt;life_it,1,IF(1=life_it,0.5,0))+Thesis!F39*0.5)/life_it</f>
        <v>32.0704849854266</v>
      </c>
      <c r="G41" s="6" t="n">
        <f aca="false">(Thesis!C39*IF(4&lt;life_it,1,IF(4=life_it,0.5,0))+Thesis!D39*IF(3&lt;life_it,1,IF(3=life_it,0.5,0))+Thesis!E39*IF(2&lt;life_it,1,IF(2=life_it,0.5,0))+Thesis!F39*IF(1&lt;life_it,1,IF(1=life_it,0.5,0))+Thesis!G39*0.5)/life_it</f>
        <v>56.5636516735239</v>
      </c>
      <c r="H41" s="6" t="n">
        <f aca="false">(Thesis!C39*IF(5&lt;life_it,1,IF(5=life_it,0.5,0))+Thesis!D39*IF(4&lt;life_it,1,IF(4=life_it,0.5,0))+Thesis!E39*IF(3&lt;life_it,1,IF(3=life_it,0.5,0))+Thesis!F39*IF(2&lt;life_it,1,IF(2=life_it,0.5,0))+Thesis!G39*IF(1&lt;life_it,1,IF(1=life_it,0.5,0))+Thesis!H39*0.5)/life_it</f>
        <v>83.2019916968207</v>
      </c>
      <c r="I41" s="6" t="n">
        <f aca="false">(Thesis!C39*IF(6&lt;life_it,1,IF(6=life_it,0.5,0))+Thesis!D39*IF(5&lt;life_it,1,IF(5=life_it,0.5,0))+Thesis!E39*IF(4&lt;life_it,1,IF(4=life_it,0.5,0))+Thesis!F39*IF(3&lt;life_it,1,IF(3=life_it,0.5,0))+Thesis!G39*IF(2&lt;life_it,1,IF(2=life_it,0.5,0))+Thesis!H39*IF(1&lt;life_it,1,IF(1=life_it,0.5,0))+Thesis!I39*0.5)/life_it</f>
        <v>106.857324133594</v>
      </c>
      <c r="J41" s="6" t="n">
        <f aca="false">(Thesis!C39*IF(7&lt;life_it,1,IF(7=life_it,0.5,0))+Thesis!D39*IF(6&lt;life_it,1,IF(6=life_it,0.5,0))+Thesis!E39*IF(5&lt;life_it,1,IF(5=life_it,0.5,0))+Thesis!F39*IF(4&lt;life_it,1,IF(4=life_it,0.5,0))+Thesis!G39*IF(3&lt;life_it,1,IF(3=life_it,0.5,0))+Thesis!H39*IF(2&lt;life_it,1,IF(2=life_it,0.5,0))+Thesis!I39*IF(1&lt;life_it,1,IF(1=life_it,0.5,0))+Thesis!J39*0.5)/life_it</f>
        <v>123.657508539285</v>
      </c>
      <c r="K41" s="6" t="n">
        <f aca="false">(Thesis!C39*IF(8&lt;life_it,1,IF(8=life_it,0.5,0))+Thesis!D39*IF(7&lt;life_it,1,IF(7=life_it,0.5,0))+Thesis!E39*IF(6&lt;life_it,1,IF(6=life_it,0.5,0))+Thesis!F39*IF(5&lt;life_it,1,IF(5=life_it,0.5,0))+Thesis!G39*IF(4&lt;life_it,1,IF(4=life_it,0.5,0))+Thesis!H39*IF(3&lt;life_it,1,IF(3=life_it,0.5,0))+Thesis!I39*IF(2&lt;life_it,1,IF(2=life_it,0.5,0))+Thesis!J39*IF(1&lt;life_it,1,IF(1=life_it,0.5,0))+Thesis!K39*0.5)/life_it</f>
        <v>134.143838501827</v>
      </c>
    </row>
    <row r="42" customFormat="false" ht="17.15" hidden="false" customHeight="false" outlineLevel="0" collapsed="false">
      <c r="A42" s="0" t="s">
        <v>1000</v>
      </c>
      <c r="B42" s="0" t="s">
        <v>98</v>
      </c>
      <c r="E42" s="6" t="n">
        <f aca="false">(Thesis!C36*IF(2&lt;life_fac,1,IF(2=life_fac,0.5,0))+Thesis!D36*IF(1&lt;life_fac,1,IF(1=life_fac,0.5,0))+Thesis!E36*0.5)/life_fac</f>
        <v>1.2448275</v>
      </c>
      <c r="F42" s="6" t="n">
        <f aca="false">(Thesis!C36*IF(3&lt;life_fac,1,IF(3=life_fac,0.5,0))+Thesis!D36*IF(2&lt;life_fac,1,IF(2=life_fac,0.5,0))+Thesis!E36*IF(1&lt;life_fac,1,IF(1=life_fac,0.5,0))+Thesis!F36*0.5)/life_fac</f>
        <v>2.508829492925</v>
      </c>
      <c r="G42" s="6" t="n">
        <f aca="false">(Thesis!C36*IF(4&lt;life_fac,1,IF(4=life_fac,0.5,0))+Thesis!D36*IF(3&lt;life_fac,1,IF(3=life_fac,0.5,0))+Thesis!E36*IF(2&lt;life_fac,1,IF(2=life_fac,0.5,0))+Thesis!F36*IF(1&lt;life_fac,1,IF(1=life_fac,0.5,0))+Thesis!G36*0.5)/life_fac</f>
        <v>4.170838978775</v>
      </c>
      <c r="H42" s="6" t="n">
        <f aca="false">(Thesis!C36*IF(5&lt;life_fac,1,IF(5=life_fac,0.5,0))+Thesis!D36*IF(4&lt;life_fac,1,IF(4=life_fac,0.5,0))+Thesis!E36*IF(3&lt;life_fac,1,IF(3=life_fac,0.5,0))+Thesis!F36*IF(2&lt;life_fac,1,IF(2=life_fac,0.5,0))+Thesis!G36*IF(1&lt;life_fac,1,IF(1=life_fac,0.5,0))+Thesis!H36*0.5)/life_fac</f>
        <v>5.898098964625</v>
      </c>
      <c r="I42" s="6" t="n">
        <f aca="false">(Thesis!C36*IF(6&lt;life_fac,1,IF(6=life_fac,0.5,0))+Thesis!D36*IF(5&lt;life_fac,1,IF(5=life_fac,0.5,0))+Thesis!E36*IF(4&lt;life_fac,1,IF(4=life_fac,0.5,0))+Thesis!F36*IF(3&lt;life_fac,1,IF(3=life_fac,0.5,0))+Thesis!G36*IF(2&lt;life_fac,1,IF(2=life_fac,0.5,0))+Thesis!H36*IF(1&lt;life_fac,1,IF(1=life_fac,0.5,0))+Thesis!I36*0.5)/life_fac</f>
        <v>7.37368556095442</v>
      </c>
      <c r="J42" s="6" t="n">
        <f aca="false">(Thesis!C36*IF(7&lt;life_fac,1,IF(7=life_fac,0.5,0))+Thesis!D36*IF(6&lt;life_fac,1,IF(6=life_fac,0.5,0))+Thesis!E36*IF(5&lt;life_fac,1,IF(5=life_fac,0.5,0))+Thesis!F36*IF(4&lt;life_fac,1,IF(4=life_fac,0.5,0))+Thesis!G36*IF(3&lt;life_fac,1,IF(3=life_fac,0.5,0))+Thesis!H36*IF(2&lt;life_fac,1,IF(2=life_fac,0.5,0))+Thesis!I36*IF(1&lt;life_fac,1,IF(1=life_fac,0.5,0))+Thesis!J36*0.5)/life_fac</f>
        <v>8.35816451031075</v>
      </c>
      <c r="K42" s="6" t="n">
        <f aca="false">(Thesis!C36*IF(8&lt;life_fac,1,IF(8=life_fac,0.5,0))+Thesis!D36*IF(7&lt;life_fac,1,IF(7=life_fac,0.5,0))+Thesis!E36*IF(6&lt;life_fac,1,IF(6=life_fac,0.5,0))+Thesis!F36*IF(5&lt;life_fac,1,IF(5=life_fac,0.5,0))+Thesis!G36*IF(4&lt;life_fac,1,IF(4=life_fac,0.5,0))+Thesis!H36*IF(3&lt;life_fac,1,IF(3=life_fac,0.5,0))+Thesis!I36*IF(2&lt;life_fac,1,IF(2=life_fac,0.5,0))+Thesis!J36*IF(1&lt;life_fac,1,IF(1=life_fac,0.5,0))+Thesis!K36*0.5)/life_fac</f>
        <v>8.86883104910662</v>
      </c>
    </row>
    <row r="43" customFormat="false" ht="17.15" hidden="false" customHeight="false" outlineLevel="0" collapsed="false">
      <c r="A43" s="0" t="s">
        <v>1001</v>
      </c>
      <c r="B43" s="0" t="s">
        <v>98</v>
      </c>
      <c r="E43" s="6" t="n">
        <f aca="false">Thesis!E41+Thesis!E42</f>
        <v>16.3054059770833</v>
      </c>
      <c r="F43" s="6" t="n">
        <f aca="false">Thesis!F41+Thesis!F42</f>
        <v>34.5793144783516</v>
      </c>
      <c r="G43" s="6" t="n">
        <f aca="false">Thesis!G41+Thesis!G42</f>
        <v>60.7344906522989</v>
      </c>
      <c r="H43" s="6" t="n">
        <f aca="false">Thesis!H41+Thesis!H42</f>
        <v>89.1000906614457</v>
      </c>
      <c r="I43" s="6" t="n">
        <f aca="false">Thesis!I41+Thesis!I42</f>
        <v>114.231009694548</v>
      </c>
      <c r="J43" s="6" t="n">
        <f aca="false">Thesis!J41+Thesis!J42</f>
        <v>132.015673049596</v>
      </c>
      <c r="K43" s="6" t="n">
        <f aca="false">Thesis!K41+Thesis!K42</f>
        <v>143.012669550934</v>
      </c>
    </row>
    <row r="44" customFormat="false" ht="17.15" hidden="false" customHeight="false" outlineLevel="0" collapsed="false">
      <c r="A44" s="0" t="s">
        <v>1002</v>
      </c>
      <c r="B44" s="0" t="s">
        <v>98</v>
      </c>
      <c r="E44" s="6" t="n">
        <f aca="false">Thesis!E31-Thesis!E30*Thesis!E43</f>
        <v>8.92707889977379</v>
      </c>
      <c r="F44" s="6" t="n">
        <f aca="false">Thesis!F31-Thesis!F30*Thesis!F43</f>
        <v>22.4686207259278</v>
      </c>
      <c r="G44" s="6" t="n">
        <f aca="false">Thesis!G31-Thesis!G30*Thesis!G43</f>
        <v>43.2797528675735</v>
      </c>
      <c r="H44" s="6" t="n">
        <f aca="false">Thesis!H31-Thesis!H30*Thesis!H43</f>
        <v>69.3477099347341</v>
      </c>
      <c r="I44" s="6" t="n">
        <f aca="false">Thesis!I31-Thesis!I30*Thesis!I43</f>
        <v>86.8523667140836</v>
      </c>
      <c r="J44" s="6" t="n">
        <f aca="false">Thesis!J31-Thesis!J30*Thesis!J43</f>
        <v>98.9882647234202</v>
      </c>
      <c r="K44" s="6" t="n">
        <f aca="false">Thesis!K31-Thesis!K30*Thesis!K43</f>
        <v>106.918985011399</v>
      </c>
    </row>
    <row r="45" customFormat="false" ht="17.15" hidden="false" customHeight="false" outlineLevel="0" collapsed="false">
      <c r="A45" s="0" t="s">
        <v>1003</v>
      </c>
      <c r="B45" s="0" t="s">
        <v>98</v>
      </c>
      <c r="E45" s="6" t="n">
        <f aca="false">Seg!E11</f>
        <v>5.25</v>
      </c>
      <c r="F45" s="6" t="n">
        <f aca="false">Seg!F11</f>
        <v>13.5</v>
      </c>
      <c r="G45" s="6" t="n">
        <f aca="false">Seg!G11</f>
        <v>22.5</v>
      </c>
      <c r="H45" s="6" t="n">
        <f aca="false">Seg!H11</f>
        <v>31.5</v>
      </c>
      <c r="I45" s="6" t="n">
        <f aca="false">Seg!I11</f>
        <v>38.25</v>
      </c>
      <c r="J45" s="6" t="n">
        <f aca="false">Seg!J11</f>
        <v>42.75</v>
      </c>
      <c r="K45" s="6" t="n">
        <f aca="false">Seg!K11</f>
        <v>47.25</v>
      </c>
    </row>
    <row r="46" customFormat="false" ht="17.15" hidden="false" customHeight="false" outlineLevel="0" collapsed="false">
      <c r="A46" s="1" t="s">
        <v>1004</v>
      </c>
      <c r="B46" s="0" t="s">
        <v>98</v>
      </c>
      <c r="F46" s="6" t="n">
        <f aca="false">MAX(0,((Thesis!E12+Thesis!F12)/2-(shadow_base*(Thesis!$D$12+Thesis!$E$12)/2+(1-shadow_base)*Thesis!$E$12))*Thesis!F21/1000-(Thesis!F45-Thesis!$E$45)*PL!F31)</f>
        <v>8.88340674531245</v>
      </c>
      <c r="G46" s="6" t="n">
        <f aca="false">MAX(0,((Thesis!F12+Thesis!G12)/2-(shadow_base*(Thesis!$D$12+Thesis!$E$12)/2+(1-shadow_base)*Thesis!$E$12))*Thesis!G21/1000-(Thesis!G45-Thesis!$E$45)*PL!G31)</f>
        <v>22.7060305170273</v>
      </c>
      <c r="H46" s="6" t="n">
        <f aca="false">MAX(0,((Thesis!G12+Thesis!H12)/2-(shadow_base*(Thesis!$D$12+Thesis!$E$12)/2+(1-shadow_base)*Thesis!$E$12))*Thesis!H21/1000-(Thesis!H45-Thesis!$E$45)*PL!H31)</f>
        <v>38.0018452382075</v>
      </c>
      <c r="I46" s="6" t="n">
        <f aca="false">MAX(0,((Thesis!H12+Thesis!I12)/2-(shadow_base*(Thesis!$D$12+Thesis!$E$12)/2+(1-shadow_base)*Thesis!$E$12))*Thesis!I21/1000-(Thesis!I45-Thesis!$E$45)*PL!I31)</f>
        <v>52.1381094705177</v>
      </c>
      <c r="J46" s="6" t="n">
        <f aca="false">MAX(0,((Thesis!I12+Thesis!J12)/2-(shadow_base*(Thesis!$D$12+Thesis!$E$12)/2+(1-shadow_base)*Thesis!$E$12))*Thesis!J21/1000-(Thesis!J45-Thesis!$E$45)*PL!J31)</f>
        <v>62.0595818934393</v>
      </c>
      <c r="K46" s="6" t="n">
        <f aca="false">MAX(0,((Thesis!J12+Thesis!K12)/2-(shadow_base*(Thesis!$D$12+Thesis!$E$12)/2+(1-shadow_base)*Thesis!$E$12))*Thesis!K21/1000-(Thesis!K45-Thesis!$E$45)*PL!K31)</f>
        <v>67.0801312706266</v>
      </c>
      <c r="L46" s="1" t="s">
        <v>1005</v>
      </c>
    </row>
    <row r="47" customFormat="false" ht="17.15" hidden="false" customHeight="false" outlineLevel="0" collapsed="false">
      <c r="A47" s="1" t="s">
        <v>1006</v>
      </c>
      <c r="B47" s="0" t="s">
        <v>98</v>
      </c>
      <c r="F47" s="6" t="n">
        <f aca="false">IF(internal_ai_reading=2,1,0)*Thesis!F46</f>
        <v>8.88340674531245</v>
      </c>
      <c r="G47" s="6" t="n">
        <f aca="false">IF(internal_ai_reading=2,1,0)*Thesis!G46</f>
        <v>22.7060305170273</v>
      </c>
      <c r="H47" s="6" t="n">
        <f aca="false">IF(internal_ai_reading=2,1,0)*Thesis!H46</f>
        <v>38.0018452382075</v>
      </c>
      <c r="I47" s="6" t="n">
        <f aca="false">IF(internal_ai_reading=2,1,0)*Thesis!I46</f>
        <v>52.1381094705177</v>
      </c>
      <c r="J47" s="6" t="n">
        <f aca="false">IF(internal_ai_reading=2,1,0)*Thesis!J46</f>
        <v>62.0595818934393</v>
      </c>
      <c r="K47" s="6" t="n">
        <f aca="false">IF(internal_ai_reading=2,1,0)*Thesis!K46</f>
        <v>67.0801312706266</v>
      </c>
    </row>
    <row r="48" customFormat="false" ht="17.15" hidden="false" customHeight="false" outlineLevel="0" collapsed="false">
      <c r="A48" s="0" t="s">
        <v>1007</v>
      </c>
      <c r="B48" s="0" t="s">
        <v>98</v>
      </c>
      <c r="F48" s="6" t="n">
        <f aca="false">Thesis!F31+Thesis!F45*PL!F31+Thesis!F47-Thesis!F32-Thesis!F43</f>
        <v>18.5068678152817</v>
      </c>
      <c r="G48" s="6" t="n">
        <f aca="false">Thesis!G31+Thesis!G45*PL!G31+Thesis!G47-Thesis!G32-Thesis!G43</f>
        <v>43.1983864982792</v>
      </c>
      <c r="H48" s="6" t="n">
        <f aca="false">Thesis!H31+Thesis!H45*PL!H31+Thesis!H47-Thesis!H32-Thesis!H43</f>
        <v>73.502598356074</v>
      </c>
      <c r="I48" s="6" t="n">
        <f aca="false">Thesis!I31+Thesis!I45*PL!I31+Thesis!I47-Thesis!I32-Thesis!I43</f>
        <v>94.7454135378504</v>
      </c>
      <c r="J48" s="6" t="n">
        <f aca="false">Thesis!J31+Thesis!J45*PL!J31+Thesis!J47-Thesis!J32-Thesis!J43</f>
        <v>109.399608126358</v>
      </c>
      <c r="K48" s="6" t="n">
        <f aca="false">Thesis!K31+Thesis!K45*PL!K31+Thesis!K47-Thesis!K32-Thesis!K43</f>
        <v>118.898703181943</v>
      </c>
    </row>
    <row r="49" customFormat="false" ht="17.15" hidden="false" customHeight="false" outlineLevel="0" collapsed="false">
      <c r="A49" s="0" t="s">
        <v>1008</v>
      </c>
      <c r="B49" s="0" t="s">
        <v>98</v>
      </c>
      <c r="E49" s="6" t="n">
        <f aca="false">Thesis!E11*(cxit_open+self_build*tk_cxfac)/1000*ai_net_open</f>
        <v>126.6980382</v>
      </c>
      <c r="F49" s="6" t="n">
        <f aca="false">Thesis!E49+Thesis!F40-Thesis!F43</f>
        <v>260.572627763768</v>
      </c>
      <c r="G49" s="6" t="n">
        <f aca="false">Thesis!F49+Thesis!G40-Thesis!G43</f>
        <v>391.782612760517</v>
      </c>
      <c r="H49" s="6" t="n">
        <f aca="false">Thesis!G49+Thesis!H40-Thesis!H43</f>
        <v>499.488526163584</v>
      </c>
      <c r="I49" s="6" t="n">
        <f aca="false">Thesis!H49+Thesis!I40-Thesis!I43</f>
        <v>553.872350090646</v>
      </c>
      <c r="J49" s="6" t="n">
        <f aca="false">Thesis!I49+Thesis!J40-Thesis!J43</f>
        <v>550.78660823699</v>
      </c>
      <c r="K49" s="6" t="n">
        <f aca="false">Thesis!J49+Thesis!K40-Thesis!K43</f>
        <v>526.736791750789</v>
      </c>
      <c r="L49" s="1" t="s">
        <v>1009</v>
      </c>
    </row>
    <row r="50" customFormat="false" ht="17.15" hidden="false" customHeight="false" outlineLevel="0" collapsed="false">
      <c r="A50" s="0" t="s">
        <v>1010</v>
      </c>
      <c r="B50" s="0" t="s">
        <v>168</v>
      </c>
      <c r="F50" s="7" t="n">
        <f aca="false">Thesis!F48*(1-tax_f)/((Thesis!E49+Thesis!F49)/2)</f>
        <v>0.0764607059271074</v>
      </c>
      <c r="G50" s="7" t="n">
        <f aca="false">Thesis!G48*(1-tax_f)/((Thesis!F49+Thesis!G49)/2)</f>
        <v>0.105950583522098</v>
      </c>
      <c r="H50" s="7" t="n">
        <f aca="false">Thesis!H48*(1-tax_f)/((Thesis!G49+Thesis!H49)/2)</f>
        <v>0.131951044114011</v>
      </c>
      <c r="I50" s="7" t="n">
        <f aca="false">Thesis!I48*(1-tax_f)/((Thesis!H49+Thesis!I49)/2)</f>
        <v>0.143913320760143</v>
      </c>
      <c r="J50" s="7" t="n">
        <f aca="false">Thesis!J48*(1-tax_f)/((Thesis!I49+Thesis!J49)/2)</f>
        <v>0.158455577336889</v>
      </c>
      <c r="K50" s="7" t="n">
        <f aca="false">Thesis!K48*(1-tax_f)/((Thesis!J49+Thesis!K49)/2)</f>
        <v>0.176551084731214</v>
      </c>
    </row>
    <row r="51" customFormat="false" ht="17.15" hidden="false" customHeight="false" outlineLevel="0" collapsed="false">
      <c r="A51" s="1" t="s">
        <v>1011</v>
      </c>
      <c r="B51" s="0" t="s">
        <v>168</v>
      </c>
      <c r="F51" s="7" t="n">
        <f aca="false">(Thesis!F48-Thesis!F47)*(1-tax_f)/((Thesis!E49+Thesis!F49)/2)</f>
        <v>0.0397591118181705</v>
      </c>
      <c r="G51" s="7" t="n">
        <f aca="false">(Thesis!G48-Thesis!G47)*(1-tax_f)/((Thesis!F49+Thesis!G49)/2)</f>
        <v>0.0502606057761598</v>
      </c>
      <c r="H51" s="7" t="n">
        <f aca="false">(Thesis!H48-Thesis!H47)*(1-tax_f)/((Thesis!G49+Thesis!H49)/2)</f>
        <v>0.0637305557287023</v>
      </c>
      <c r="I51" s="7" t="n">
        <f aca="false">(Thesis!I48-Thesis!I47)*(1-tax_f)/((Thesis!H49+Thesis!I49)/2)</f>
        <v>0.0647182632699936</v>
      </c>
      <c r="J51" s="7" t="n">
        <f aca="false">(Thesis!J48-Thesis!J47)*(1-tax_f)/((Thesis!I49+Thesis!J49)/2)</f>
        <v>0.0685678067440289</v>
      </c>
      <c r="K51" s="7" t="n">
        <f aca="false">(Thesis!K48-Thesis!K47)*(1-tax_f)/((Thesis!J49+Thesis!K49)/2)</f>
        <v>0.0769447002812616</v>
      </c>
    </row>
    <row r="52" customFormat="false" ht="17.15" hidden="false" customHeight="false" outlineLevel="0" collapsed="false">
      <c r="A52" s="1" t="s">
        <v>1012</v>
      </c>
      <c r="B52" s="0" t="s">
        <v>168</v>
      </c>
      <c r="F52" s="7" t="n">
        <f aca="false">(Thesis!F48-Thesis!F47+Thesis!F46)*(1-tax_f)/((Thesis!E49+Thesis!F49)/2)</f>
        <v>0.0764607059271074</v>
      </c>
      <c r="G52" s="7" t="n">
        <f aca="false">(Thesis!G48-Thesis!G47+Thesis!G46)*(1-tax_f)/((Thesis!F49+Thesis!G49)/2)</f>
        <v>0.105950583522098</v>
      </c>
      <c r="H52" s="7" t="n">
        <f aca="false">(Thesis!H48-Thesis!H47+Thesis!H46)*(1-tax_f)/((Thesis!G49+Thesis!H49)/2)</f>
        <v>0.131951044114011</v>
      </c>
      <c r="I52" s="7" t="n">
        <f aca="false">(Thesis!I48-Thesis!I47+Thesis!I46)*(1-tax_f)/((Thesis!H49+Thesis!I49)/2)</f>
        <v>0.143913320760143</v>
      </c>
      <c r="J52" s="7" t="n">
        <f aca="false">(Thesis!J48-Thesis!J47+Thesis!J46)*(1-tax_f)/((Thesis!I49+Thesis!J49)/2)</f>
        <v>0.158455577336889</v>
      </c>
      <c r="K52" s="7" t="n">
        <f aca="false">(Thesis!K48-Thesis!K47+Thesis!K46)*(1-tax_f)/((Thesis!J49+Thesis!K49)/2)</f>
        <v>0.176551084731214</v>
      </c>
    </row>
    <row r="53" customFormat="false" ht="17.15" hidden="false" customHeight="false" outlineLevel="0" collapsed="false">
      <c r="A53" s="1" t="s">
        <v>1013</v>
      </c>
      <c r="B53" s="0" t="s">
        <v>168</v>
      </c>
      <c r="F53" s="7" t="n">
        <f aca="false">Thesis!F44*(1-tax_f)/(Thesis!F30*(Thesis!E49+Thesis!F49)/2)</f>
        <v>0.15471433083293</v>
      </c>
      <c r="G53" s="7" t="n">
        <f aca="false">Thesis!G44*(1-tax_f)/(Thesis!G30*(Thesis!F49+Thesis!G49)/2)</f>
        <v>0.176916911437355</v>
      </c>
      <c r="H53" s="7" t="n">
        <f aca="false">Thesis!H44*(1-tax_f)/(Thesis!H30*(Thesis!G49+Thesis!H49)/2)</f>
        <v>0.207487057996582</v>
      </c>
      <c r="I53" s="7" t="n">
        <f aca="false">Thesis!I44*(1-tax_f)/(Thesis!I30*(Thesis!H49+Thesis!I49)/2)</f>
        <v>0.219873660070946</v>
      </c>
      <c r="J53" s="7" t="n">
        <f aca="false">Thesis!J44*(1-tax_f)/(Thesis!J30*(Thesis!I49+Thesis!J49)/2)</f>
        <v>0.238959457974928</v>
      </c>
      <c r="K53" s="7" t="n">
        <f aca="false">Thesis!K44*(1-tax_f)/(Thesis!K30*(Thesis!J49+Thesis!K49)/2)</f>
        <v>0.264604270651536</v>
      </c>
    </row>
    <row r="54" customFormat="false" ht="17.15" hidden="false" customHeight="false" outlineLevel="0" collapsed="false">
      <c r="A54" s="0" t="s">
        <v>1014</v>
      </c>
      <c r="B54" s="0" t="s">
        <v>253</v>
      </c>
      <c r="F54" s="7" t="n">
        <f aca="false">Thesis!F50-wacc</f>
        <v>-0.0264758850184899</v>
      </c>
      <c r="G54" s="7" t="n">
        <f aca="false">Thesis!G50-wacc</f>
        <v>0.00301399257650095</v>
      </c>
      <c r="H54" s="7" t="n">
        <f aca="false">Thesis!H50-wacc</f>
        <v>0.0290144531684132</v>
      </c>
      <c r="I54" s="7" t="n">
        <f aca="false">Thesis!I50-wacc</f>
        <v>0.0409767298145461</v>
      </c>
      <c r="J54" s="7" t="n">
        <f aca="false">Thesis!J50-wacc</f>
        <v>0.0555189863912922</v>
      </c>
      <c r="K54" s="7" t="n">
        <f aca="false">Thesis!K50-wacc</f>
        <v>0.0736144937856168</v>
      </c>
    </row>
    <row r="55" customFormat="false" ht="17.15" hidden="false" customHeight="false" outlineLevel="0" collapsed="false">
      <c r="A55" s="0" t="s">
        <v>1015</v>
      </c>
      <c r="B55" s="0" t="s">
        <v>98</v>
      </c>
      <c r="F55" s="6" t="n">
        <f aca="false">Thesis!F48*(1-tax_f)-wacc*(Thesis!E49+Thesis!F49)/2</f>
        <v>-5.12666681154535</v>
      </c>
      <c r="G55" s="6" t="n">
        <f aca="false">Thesis!G48*(1-tax_f)-wacc*(Thesis!F49+Thesis!G49)/2</f>
        <v>0.983096926090845</v>
      </c>
      <c r="H55" s="6" t="n">
        <f aca="false">Thesis!H48*(1-tax_f)-wacc*(Thesis!G49+Thesis!H49)/2</f>
        <v>12.9298723603358</v>
      </c>
      <c r="I55" s="6" t="n">
        <f aca="false">Thesis!I48*(1-tax_f)-wacc*(Thesis!H49+Thesis!I49)/2</f>
        <v>21.5816420117415</v>
      </c>
      <c r="J55" s="6" t="n">
        <f aca="false">Thesis!J48*(1-tax_f)-wacc*(Thesis!I49+Thesis!J49)/2</f>
        <v>30.6647728372055</v>
      </c>
      <c r="K55" s="6" t="n">
        <f aca="false">Thesis!K48*(1-tax_f)-wacc*(Thesis!J49+Thesis!K49)/2</f>
        <v>39.6606698161285</v>
      </c>
    </row>
    <row r="56" customFormat="false" ht="17.15" hidden="false" customHeight="false" outlineLevel="0" collapsed="false">
      <c r="A56" s="3" t="s">
        <v>1016</v>
      </c>
    </row>
    <row r="57" customFormat="false" ht="15" hidden="false" customHeight="false" outlineLevel="0" collapsed="false">
      <c r="A57" s="4" t="s">
        <v>43</v>
      </c>
      <c r="B57" s="4" t="s">
        <v>65</v>
      </c>
      <c r="C57" s="23" t="s">
        <v>938</v>
      </c>
      <c r="D57" s="23" t="s">
        <v>939</v>
      </c>
      <c r="E57" s="23" t="s">
        <v>940</v>
      </c>
      <c r="F57" s="23" t="s">
        <v>941</v>
      </c>
      <c r="G57" s="23" t="s">
        <v>942</v>
      </c>
      <c r="H57" s="23" t="s">
        <v>943</v>
      </c>
      <c r="I57" s="23" t="s">
        <v>944</v>
      </c>
      <c r="J57" s="23" t="s">
        <v>945</v>
      </c>
      <c r="K57" s="23" t="s">
        <v>946</v>
      </c>
      <c r="L57" s="4" t="s">
        <v>47</v>
      </c>
    </row>
    <row r="58" customFormat="false" ht="17.15" hidden="false" customHeight="false" outlineLevel="0" collapsed="false">
      <c r="A58" s="1" t="s">
        <v>947</v>
      </c>
      <c r="B58" s="1" t="s">
        <v>279</v>
      </c>
      <c r="C58" s="21" t="n">
        <v>2024</v>
      </c>
      <c r="D58" s="21" t="n">
        <v>2025</v>
      </c>
      <c r="E58" s="21" t="n">
        <v>2026</v>
      </c>
      <c r="F58" s="21" t="n">
        <v>2027</v>
      </c>
      <c r="G58" s="21" t="n">
        <v>2028</v>
      </c>
      <c r="H58" s="21" t="n">
        <v>2029</v>
      </c>
      <c r="I58" s="21" t="n">
        <v>2030</v>
      </c>
      <c r="J58" s="21" t="n">
        <v>2031</v>
      </c>
      <c r="K58" s="21" t="n">
        <v>2032</v>
      </c>
    </row>
    <row r="59" customFormat="false" ht="17.15" hidden="false" customHeight="false" outlineLevel="0" collapsed="false">
      <c r="A59" s="1" t="s">
        <v>948</v>
      </c>
      <c r="B59" s="0" t="s">
        <v>456</v>
      </c>
      <c r="F59" s="30" t="n">
        <f aca="false">pace</f>
        <v>2726.5351</v>
      </c>
      <c r="G59" s="30" t="n">
        <f aca="false">pace</f>
        <v>2726.5351</v>
      </c>
      <c r="H59" s="30" t="n">
        <f aca="false">pace</f>
        <v>2726.5351</v>
      </c>
      <c r="I59" s="30" t="n">
        <f aca="false">pace+(g_tv*Thesis!H60-pace)*MIN(1,(Thesis!I58-pace_y0)/(pace_y1-pace_y0))</f>
        <v>1931.98611966667</v>
      </c>
      <c r="J59" s="30" t="n">
        <f aca="false">pace+(g_tv*Thesis!I60-pace)*MIN(1,(Thesis!J58-pace_y0)/(pace_y1-pace_y0))</f>
        <v>1176.07686172667</v>
      </c>
      <c r="K59" s="30" t="n">
        <f aca="false">pace+(g_tv*Thesis!J60-pace)*MIN(1,(Thesis!K58-pace_y0)/(pace_y1-pace_y0))</f>
        <v>436.1300484418</v>
      </c>
      <c r="L59" s="12" t="s">
        <v>949</v>
      </c>
    </row>
    <row r="60" customFormat="false" ht="17.15" hidden="false" customHeight="false" outlineLevel="0" collapsed="false">
      <c r="A60" s="1" t="s">
        <v>950</v>
      </c>
      <c r="B60" s="0" t="s">
        <v>456</v>
      </c>
      <c r="C60" s="30" t="n">
        <f aca="false">mw_ext_24</f>
        <v>640</v>
      </c>
      <c r="D60" s="30" t="n">
        <f aca="false">mw_ext_25</f>
        <v>1630</v>
      </c>
      <c r="E60" s="30" t="n">
        <f aca="false">mw_ext_26</f>
        <v>3250</v>
      </c>
      <c r="F60" s="30" t="n">
        <f aca="false">Thesis!E60+Thesis!F59</f>
        <v>5976.5351</v>
      </c>
      <c r="G60" s="30" t="n">
        <f aca="false">Thesis!F60+Thesis!G59</f>
        <v>8703.0702</v>
      </c>
      <c r="H60" s="30" t="n">
        <f aca="false">Thesis!G60+Thesis!H59</f>
        <v>11429.6053</v>
      </c>
      <c r="I60" s="30" t="n">
        <f aca="false">Thesis!H60+Thesis!I59</f>
        <v>13361.5914196667</v>
      </c>
      <c r="J60" s="30" t="n">
        <f aca="false">Thesis!I60+Thesis!J59</f>
        <v>14537.6682813933</v>
      </c>
      <c r="K60" s="30" t="n">
        <f aca="false">Thesis!J60+Thesis!K59</f>
        <v>14973.7983298351</v>
      </c>
      <c r="L60" s="1" t="s">
        <v>951</v>
      </c>
    </row>
    <row r="61" customFormat="false" ht="17.15" hidden="false" customHeight="false" outlineLevel="0" collapsed="false">
      <c r="A61" s="1" t="s">
        <v>952</v>
      </c>
      <c r="B61" s="0" t="s">
        <v>456</v>
      </c>
      <c r="C61" s="30" t="n">
        <f aca="false">rent_ext_24</f>
        <v>150</v>
      </c>
      <c r="D61" s="30" t="n">
        <f aca="false">rent_ext_25</f>
        <v>400</v>
      </c>
      <c r="E61" s="30" t="n">
        <f aca="false">rent_ext_26</f>
        <v>550</v>
      </c>
      <c r="F61" s="30" t="n">
        <f aca="false">rent_ext_f</f>
        <v>756</v>
      </c>
      <c r="G61" s="30" t="n">
        <f aca="false">rent_ext_f</f>
        <v>756</v>
      </c>
      <c r="H61" s="30" t="n">
        <f aca="false">rent_ext_f</f>
        <v>756</v>
      </c>
      <c r="I61" s="30" t="n">
        <f aca="false">rent_ext_f</f>
        <v>756</v>
      </c>
      <c r="J61" s="30" t="n">
        <f aca="false">rent_ext_f</f>
        <v>756</v>
      </c>
      <c r="K61" s="30" t="n">
        <f aca="false">rent_ext_f</f>
        <v>756</v>
      </c>
      <c r="L61" s="1" t="s">
        <v>953</v>
      </c>
    </row>
    <row r="62" customFormat="false" ht="17.15" hidden="false" customHeight="false" outlineLevel="0" collapsed="false">
      <c r="A62" s="1" t="s">
        <v>954</v>
      </c>
      <c r="B62" s="0" t="s">
        <v>456</v>
      </c>
      <c r="C62" s="30" t="n">
        <f aca="false">Thesis!C60-Thesis!C61</f>
        <v>490</v>
      </c>
      <c r="D62" s="30" t="n">
        <f aca="false">Thesis!D60-Thesis!D61</f>
        <v>1230</v>
      </c>
      <c r="E62" s="30" t="n">
        <f aca="false">Thesis!E60-Thesis!E61</f>
        <v>2700</v>
      </c>
      <c r="F62" s="30" t="n">
        <f aca="false">Thesis!F60-Thesis!F61</f>
        <v>5220.5351</v>
      </c>
      <c r="G62" s="30" t="n">
        <f aca="false">Thesis!G60-Thesis!G61</f>
        <v>7947.0702</v>
      </c>
      <c r="H62" s="30" t="n">
        <f aca="false">Thesis!H60-Thesis!H61</f>
        <v>10673.6053</v>
      </c>
      <c r="I62" s="30" t="n">
        <f aca="false">Thesis!I60-Thesis!I61</f>
        <v>12605.5914196667</v>
      </c>
      <c r="J62" s="30" t="n">
        <f aca="false">Thesis!J60-Thesis!J61</f>
        <v>13781.6682813933</v>
      </c>
      <c r="K62" s="30" t="n">
        <f aca="false">Thesis!K60-Thesis!K61</f>
        <v>14217.7983298351</v>
      </c>
    </row>
    <row r="63" customFormat="false" ht="17.15" hidden="false" customHeight="false" outlineLevel="0" collapsed="false">
      <c r="A63" s="1" t="s">
        <v>955</v>
      </c>
      <c r="B63" s="0" t="s">
        <v>456</v>
      </c>
      <c r="C63" s="30" t="n">
        <f aca="false">Thesis!C62/ext_sh</f>
        <v>816.666666666667</v>
      </c>
      <c r="D63" s="30" t="n">
        <f aca="false">Thesis!D62/ext_sh</f>
        <v>2050</v>
      </c>
      <c r="E63" s="30" t="n">
        <f aca="false">Thesis!E62/ext_sh</f>
        <v>4500</v>
      </c>
      <c r="F63" s="30" t="n">
        <f aca="false">Thesis!F62/ext_sh</f>
        <v>8700.89183333333</v>
      </c>
      <c r="G63" s="30" t="n">
        <f aca="false">Thesis!G62/ext_sh</f>
        <v>13245.117</v>
      </c>
      <c r="H63" s="30" t="n">
        <f aca="false">Thesis!H62/ext_sh</f>
        <v>17789.3421666667</v>
      </c>
      <c r="I63" s="30" t="n">
        <f aca="false">Thesis!I62/ext_sh</f>
        <v>21009.3190327778</v>
      </c>
      <c r="J63" s="30" t="n">
        <f aca="false">Thesis!J62/ext_sh</f>
        <v>22969.4471356556</v>
      </c>
      <c r="K63" s="30" t="n">
        <f aca="false">Thesis!K62/ext_sh</f>
        <v>23696.3305497252</v>
      </c>
      <c r="L63" s="1" t="s">
        <v>956</v>
      </c>
    </row>
    <row r="64" customFormat="false" ht="17.15" hidden="false" customHeight="false" outlineLevel="0" collapsed="false">
      <c r="A64" s="1" t="s">
        <v>957</v>
      </c>
      <c r="B64" s="0" t="s">
        <v>456</v>
      </c>
      <c r="C64" s="30" t="n">
        <f aca="false">Thesis!C63-Thesis!C62</f>
        <v>326.666666666667</v>
      </c>
      <c r="D64" s="30" t="n">
        <f aca="false">Thesis!D63-Thesis!D62</f>
        <v>820</v>
      </c>
      <c r="E64" s="30" t="n">
        <f aca="false">Thesis!E63-Thesis!E62</f>
        <v>1800</v>
      </c>
      <c r="F64" s="30" t="n">
        <f aca="false">Thesis!F63-Thesis!F62</f>
        <v>3480.35673333333</v>
      </c>
      <c r="G64" s="30" t="n">
        <f aca="false">Thesis!G63-Thesis!G62</f>
        <v>5298.0468</v>
      </c>
      <c r="H64" s="30" t="n">
        <f aca="false">Thesis!H63-Thesis!H62</f>
        <v>7115.73686666667</v>
      </c>
      <c r="I64" s="30" t="n">
        <f aca="false">Thesis!I63-Thesis!I62</f>
        <v>8403.72761311111</v>
      </c>
      <c r="J64" s="30" t="n">
        <f aca="false">Thesis!J63-Thesis!J62</f>
        <v>9187.77885426222</v>
      </c>
      <c r="K64" s="30" t="n">
        <f aca="false">Thesis!K63-Thesis!K62</f>
        <v>9478.53221989009</v>
      </c>
    </row>
    <row r="65" customFormat="false" ht="17.15" hidden="false" customHeight="false" outlineLevel="0" collapsed="false">
      <c r="A65" s="1" t="s">
        <v>958</v>
      </c>
      <c r="B65" s="0" t="s">
        <v>456</v>
      </c>
      <c r="C65" s="30" t="n">
        <f aca="false">Thesis!C63</f>
        <v>816.666666666667</v>
      </c>
      <c r="D65" s="30" t="n">
        <f aca="false">Thesis!D63-Thesis!C63</f>
        <v>1233.33333333333</v>
      </c>
      <c r="E65" s="30" t="n">
        <f aca="false">Thesis!E63-Thesis!D63</f>
        <v>2450</v>
      </c>
      <c r="F65" s="30" t="n">
        <f aca="false">Thesis!F63-Thesis!E63</f>
        <v>4200.89183333333</v>
      </c>
      <c r="G65" s="30" t="n">
        <f aca="false">Thesis!G63-Thesis!F63</f>
        <v>4544.22516666667</v>
      </c>
      <c r="H65" s="30" t="n">
        <f aca="false">Thesis!H63-Thesis!G63</f>
        <v>4544.22516666667</v>
      </c>
      <c r="I65" s="30" t="n">
        <f aca="false">Thesis!I63-Thesis!H63</f>
        <v>3219.97686611111</v>
      </c>
      <c r="J65" s="30" t="n">
        <f aca="false">Thesis!J63-Thesis!I63</f>
        <v>1960.12810287778</v>
      </c>
      <c r="K65" s="30" t="n">
        <f aca="false">Thesis!K63-Thesis!J63</f>
        <v>726.883414069667</v>
      </c>
    </row>
    <row r="66" customFormat="false" ht="17.15" hidden="false" customHeight="false" outlineLevel="0" collapsed="false">
      <c r="A66" s="1" t="s">
        <v>959</v>
      </c>
      <c r="B66" s="0" t="s">
        <v>456</v>
      </c>
      <c r="D66" s="30" t="n">
        <f aca="false">Thesis!D60-Thesis!C60</f>
        <v>990</v>
      </c>
      <c r="E66" s="30" t="n">
        <f aca="false">Thesis!E60-Thesis!D60</f>
        <v>1620</v>
      </c>
      <c r="F66" s="30" t="n">
        <f aca="false">Thesis!F60-Thesis!E60</f>
        <v>2726.5351</v>
      </c>
      <c r="G66" s="30" t="n">
        <f aca="false">Thesis!G60-Thesis!F60</f>
        <v>2726.5351</v>
      </c>
      <c r="H66" s="30" t="n">
        <f aca="false">Thesis!H60-Thesis!G60</f>
        <v>2726.5351</v>
      </c>
      <c r="I66" s="30" t="n">
        <f aca="false">Thesis!I60-Thesis!H60</f>
        <v>1931.98611966667</v>
      </c>
      <c r="J66" s="30" t="n">
        <f aca="false">Thesis!J60-Thesis!I60</f>
        <v>1176.07686172667</v>
      </c>
      <c r="K66" s="30" t="n">
        <f aca="false">Thesis!K60-Thesis!J60</f>
        <v>436.130048441799</v>
      </c>
    </row>
    <row r="67" customFormat="false" ht="17.15" hidden="false" customHeight="false" outlineLevel="0" collapsed="false">
      <c r="A67" s="1" t="s">
        <v>960</v>
      </c>
      <c r="B67" s="0" t="s">
        <v>456</v>
      </c>
      <c r="F67" s="30" t="n">
        <f aca="false">Thesis!F86*ext_sh</f>
        <v>0</v>
      </c>
      <c r="G67" s="30" t="n">
        <f aca="false">Thesis!G86*ext_sh</f>
        <v>0</v>
      </c>
      <c r="H67" s="30" t="n">
        <f aca="false">Thesis!H86*ext_sh</f>
        <v>0</v>
      </c>
      <c r="I67" s="30" t="n">
        <f aca="false">Thesis!I86*ext_sh</f>
        <v>490</v>
      </c>
      <c r="J67" s="30" t="n">
        <f aca="false">Thesis!J86*ext_sh</f>
        <v>740</v>
      </c>
      <c r="K67" s="30" t="n">
        <f aca="false">Thesis!K86*ext_sh</f>
        <v>1470</v>
      </c>
      <c r="L67" s="1" t="s">
        <v>961</v>
      </c>
    </row>
    <row r="68" customFormat="false" ht="17.15" hidden="false" customHeight="false" outlineLevel="0" collapsed="false">
      <c r="A68" s="1" t="s">
        <v>962</v>
      </c>
      <c r="B68" s="0" t="s">
        <v>456</v>
      </c>
      <c r="C68" s="30" t="n">
        <f aca="false">mix_h*Thesis!C60</f>
        <v>128</v>
      </c>
      <c r="D68" s="30" t="n">
        <f aca="false">mix_h*Thesis!D60</f>
        <v>326</v>
      </c>
      <c r="E68" s="30" t="n">
        <f aca="false">mix_h*Thesis!E60</f>
        <v>650</v>
      </c>
      <c r="F68" s="30" t="n">
        <f aca="false">Thesis!E68-Thesis!F67*mix_h</f>
        <v>650</v>
      </c>
      <c r="G68" s="30" t="n">
        <f aca="false">Thesis!F68-Thesis!G67*mix_h</f>
        <v>650</v>
      </c>
      <c r="H68" s="30" t="n">
        <f aca="false">Thesis!G68-Thesis!H67*mix_h</f>
        <v>650</v>
      </c>
      <c r="I68" s="30" t="n">
        <f aca="false">Thesis!H68-Thesis!I67*mix_h</f>
        <v>552</v>
      </c>
      <c r="J68" s="30" t="n">
        <f aca="false">Thesis!I68-Thesis!J67*mix_h</f>
        <v>404</v>
      </c>
      <c r="K68" s="30" t="n">
        <f aca="false">Thesis!J68-Thesis!K67*mix_h</f>
        <v>110</v>
      </c>
    </row>
    <row r="69" customFormat="false" ht="17.15" hidden="false" customHeight="false" outlineLevel="0" collapsed="false">
      <c r="A69" s="1" t="s">
        <v>963</v>
      </c>
      <c r="B69" s="0" t="s">
        <v>456</v>
      </c>
      <c r="C69" s="30" t="n">
        <f aca="false">mix_g2*Thesis!C60</f>
        <v>288</v>
      </c>
      <c r="D69" s="30" t="n">
        <f aca="false">mix_g2*Thesis!D60</f>
        <v>733.5</v>
      </c>
      <c r="E69" s="30" t="n">
        <f aca="false">mix_g2*Thesis!E60</f>
        <v>1462.5</v>
      </c>
      <c r="F69" s="30" t="n">
        <f aca="false">Thesis!E69-Thesis!F67*mix_g2</f>
        <v>1462.5</v>
      </c>
      <c r="G69" s="30" t="n">
        <f aca="false">Thesis!F69-Thesis!G67*mix_g2</f>
        <v>1462.5</v>
      </c>
      <c r="H69" s="30" t="n">
        <f aca="false">Thesis!G69-Thesis!H67*mix_g2</f>
        <v>1462.5</v>
      </c>
      <c r="I69" s="30" t="n">
        <f aca="false">Thesis!H69-Thesis!I67*mix_g2</f>
        <v>1242</v>
      </c>
      <c r="J69" s="30" t="n">
        <f aca="false">Thesis!I69-Thesis!J67*mix_g2</f>
        <v>909</v>
      </c>
      <c r="K69" s="30" t="n">
        <f aca="false">Thesis!J69-Thesis!K67*mix_g2</f>
        <v>247.5</v>
      </c>
    </row>
    <row r="70" customFormat="false" ht="17.15" hidden="false" customHeight="false" outlineLevel="0" collapsed="false">
      <c r="A70" s="1" t="s">
        <v>964</v>
      </c>
      <c r="B70" s="0" t="s">
        <v>456</v>
      </c>
      <c r="C70" s="30" t="n">
        <f aca="false">mix_g3*Thesis!C60</f>
        <v>224</v>
      </c>
      <c r="D70" s="30" t="n">
        <f aca="false">mix_g3*Thesis!D60</f>
        <v>570.5</v>
      </c>
      <c r="E70" s="30" t="n">
        <f aca="false">mix_g3*Thesis!E60</f>
        <v>1137.5</v>
      </c>
      <c r="F70" s="30" t="n">
        <f aca="false">Thesis!E70+(Thesis!F66+Thesis!F67)*(a_g3_27-nonnv*a_mai)-Thesis!F67*mix_g3</f>
        <v>2773.42106</v>
      </c>
      <c r="G70" s="30" t="n">
        <f aca="false">Thesis!F70+(Thesis!G66+Thesis!G67)*(a_g3_28-nonnv*a_mai)-Thesis!G67*mix_g3</f>
        <v>3318.72808</v>
      </c>
      <c r="H70" s="30" t="n">
        <f aca="false">Thesis!G70+(Thesis!H66+Thesis!H67)*(a_g3_29-nonnv*a_mai)-Thesis!H67*mix_g3</f>
        <v>3318.72808</v>
      </c>
      <c r="I70" s="30" t="n">
        <f aca="false">Thesis!H70+(Thesis!I66+Thesis!I67)*(a_g3_29-nonnv*a_mai)-Thesis!I67*mix_g3</f>
        <v>3147.22808</v>
      </c>
      <c r="J70" s="30" t="n">
        <f aca="false">Thesis!I70+(Thesis!J66+Thesis!J67)*(a_g3_29-nonnv*a_mai)-Thesis!J67*mix_g3</f>
        <v>2888.22808</v>
      </c>
      <c r="K70" s="30" t="n">
        <f aca="false">Thesis!J70+(Thesis!K66+Thesis!K67)*(a_g3_29-nonnv*a_mai)-Thesis!K67*mix_g3</f>
        <v>2373.72808</v>
      </c>
    </row>
    <row r="71" customFormat="false" ht="17.15" hidden="false" customHeight="false" outlineLevel="0" collapsed="false">
      <c r="A71" s="1" t="s">
        <v>965</v>
      </c>
      <c r="B71" s="0" t="s">
        <v>456</v>
      </c>
      <c r="C71" s="30" t="n">
        <v>0</v>
      </c>
      <c r="D71" s="30" t="n">
        <v>0</v>
      </c>
      <c r="E71" s="30" t="n">
        <v>0</v>
      </c>
      <c r="F71" s="30" t="n">
        <f aca="false">Thesis!E71+(Thesis!F66+Thesis!F67)*nonnv*a_mai</f>
        <v>272.65351</v>
      </c>
      <c r="G71" s="30" t="n">
        <f aca="false">Thesis!F71+(Thesis!G66+Thesis!G67)*nonnv*a_mai</f>
        <v>545.30702</v>
      </c>
      <c r="H71" s="30" t="n">
        <f aca="false">Thesis!G71+(Thesis!H66+Thesis!H67)*nonnv*a_mai</f>
        <v>817.96053</v>
      </c>
      <c r="I71" s="30" t="n">
        <f aca="false">Thesis!H71+(Thesis!I66+Thesis!I67)*nonnv*a_mai</f>
        <v>1060.15914196667</v>
      </c>
      <c r="J71" s="30" t="n">
        <f aca="false">Thesis!I71+(Thesis!J66+Thesis!J67)*nonnv*a_mai</f>
        <v>1251.76682813933</v>
      </c>
      <c r="K71" s="30" t="n">
        <f aca="false">Thesis!J71+(Thesis!K66+Thesis!K67)*nonnv*a_mai</f>
        <v>1442.37983298351</v>
      </c>
      <c r="L71" s="12" t="s">
        <v>966</v>
      </c>
    </row>
    <row r="72" customFormat="false" ht="17.15" hidden="false" customHeight="false" outlineLevel="0" collapsed="false">
      <c r="A72" s="1" t="s">
        <v>967</v>
      </c>
      <c r="B72" s="0" t="s">
        <v>456</v>
      </c>
      <c r="C72" s="30" t="n">
        <v>0</v>
      </c>
      <c r="D72" s="30" t="n">
        <v>0</v>
      </c>
      <c r="E72" s="30" t="n">
        <v>0</v>
      </c>
      <c r="F72" s="30" t="n">
        <f aca="false">Thesis!E72+(Thesis!F66+Thesis!F67)*(1-a_g3_27)</f>
        <v>817.96053</v>
      </c>
      <c r="G72" s="30" t="n">
        <f aca="false">Thesis!F72+(Thesis!G66+Thesis!G67)*(1-a_g3_28)</f>
        <v>2726.5351</v>
      </c>
      <c r="H72" s="30" t="n">
        <f aca="false">Thesis!G72+(Thesis!H66+Thesis!H67)*(1-a_g3_29)</f>
        <v>5180.41669</v>
      </c>
      <c r="I72" s="30" t="n">
        <f aca="false">Thesis!H72+(Thesis!I66+Thesis!I67)*(1-a_g3_29)</f>
        <v>7360.2041977</v>
      </c>
      <c r="J72" s="30" t="n">
        <f aca="false">Thesis!I72+(Thesis!J66+Thesis!J67)*(1-a_g3_29)</f>
        <v>9084.673373254</v>
      </c>
      <c r="K72" s="30" t="n">
        <f aca="false">Thesis!J72+(Thesis!K66+Thesis!K67)*(1-a_g3_29)</f>
        <v>10800.1904168516</v>
      </c>
    </row>
    <row r="73" customFormat="false" ht="17.15" hidden="false" customHeight="false" outlineLevel="0" collapsed="false">
      <c r="A73" s="1" t="s">
        <v>968</v>
      </c>
      <c r="B73" s="0" t="s">
        <v>403</v>
      </c>
      <c r="C73" s="15" t="n">
        <f aca="false">(Thesis!C68*tk_hold_h100+Thesis!C69*tk_hold_gb200+Thesis!C70*tk_hold_gb300+Thesis!C72*tk_hold_vr200+Thesis!C71*nv_hold_mai*tk_hold_vr200)/Thesis!C60</f>
        <v>9.7235358126469</v>
      </c>
      <c r="D73" s="15" t="n">
        <f aca="false">(Thesis!D68*tk_hold_h100+Thesis!D69*tk_hold_gb200+Thesis!D70*tk_hold_gb300+Thesis!D72*tk_hold_vr200+Thesis!D71*nv_hold_mai*tk_hold_vr200)/Thesis!D60</f>
        <v>9.7235358126469</v>
      </c>
      <c r="E73" s="15" t="n">
        <f aca="false">(Thesis!E68*tk_hold_h100+Thesis!E69*tk_hold_gb200+Thesis!E70*tk_hold_gb300+Thesis!E72*tk_hold_vr200+Thesis!E71*nv_hold_mai*tk_hold_vr200)/Thesis!E60</f>
        <v>9.7235358126469</v>
      </c>
      <c r="F73" s="15" t="n">
        <f aca="false">(Thesis!F68*tk_hold_h100+Thesis!F69*tk_hold_gb200+Thesis!F70*tk_hold_gb300+Thesis!F72*tk_hold_vr200+Thesis!F71*nv_hold_mai*tk_hold_vr200)/Thesis!F60</f>
        <v>10.2195353876665</v>
      </c>
      <c r="G73" s="15" t="n">
        <f aca="false">(Thesis!G68*tk_hold_h100+Thesis!G69*tk_hold_gb200+Thesis!G70*tk_hold_gb300+Thesis!G72*tk_hold_vr200+Thesis!G71*nv_hold_mai*tk_hold_vr200)/Thesis!G60</f>
        <v>10.5725598017306</v>
      </c>
      <c r="H73" s="15" t="n">
        <f aca="false">(Thesis!H68*tk_hold_h100+Thesis!H69*tk_hold_gb200+Thesis!H70*tk_hold_gb300+Thesis!H72*tk_hold_vr200+Thesis!H71*nv_hold_mai*tk_hold_vr200)/Thesis!H60</f>
        <v>10.8210427149036</v>
      </c>
      <c r="I73" s="15" t="n">
        <f aca="false">(Thesis!I68*tk_hold_h100+Thesis!I69*tk_hold_gb200+Thesis!I70*tk_hold_gb300+Thesis!I72*tk_hold_vr200+Thesis!I71*nv_hold_mai*tk_hold_vr200)/Thesis!I60</f>
        <v>11.0050618241982</v>
      </c>
      <c r="J73" s="15" t="n">
        <f aca="false">(Thesis!J68*tk_hold_h100+Thesis!J69*tk_hold_gb200+Thesis!J70*tk_hold_gb300+Thesis!J72*tk_hold_vr200+Thesis!J71*nv_hold_mai*tk_hold_vr200)/Thesis!J60</f>
        <v>11.1505789658881</v>
      </c>
      <c r="K73" s="15" t="n">
        <f aca="false">(Thesis!K68*tk_hold_h100+Thesis!K69*tk_hold_gb200+Thesis!K70*tk_hold_gb300+Thesis!K72*tk_hold_vr200+Thesis!K71*nv_hold_mai*tk_hold_vr200)/Thesis!K60</f>
        <v>11.3496914757183</v>
      </c>
      <c r="L73" s="1" t="s">
        <v>969</v>
      </c>
    </row>
    <row r="74" customFormat="false" ht="17.15" hidden="false" customHeight="false" outlineLevel="0" collapsed="false">
      <c r="A74" s="1" t="s">
        <v>970</v>
      </c>
      <c r="B74" s="0" t="s">
        <v>403</v>
      </c>
      <c r="C74" s="15" t="n">
        <f aca="false">(Thesis!C68*tk_hold_h100+Thesis!C69*tk_hold_gb200+Thesis!C70*tk_hold_gb300+Thesis!C72*tk_hold_vr200+Thesis!C71*nv_out_mai*tk_hold_vr200)/Thesis!C60</f>
        <v>9.7235358126469</v>
      </c>
      <c r="D74" s="15" t="n">
        <f aca="false">(Thesis!D68*tk_hold_h100+Thesis!D69*tk_hold_gb200+Thesis!D70*tk_hold_gb300+Thesis!D72*tk_hold_vr200+Thesis!D71*nv_out_mai*tk_hold_vr200)/Thesis!D60</f>
        <v>9.7235358126469</v>
      </c>
      <c r="E74" s="15" t="n">
        <f aca="false">(Thesis!E68*tk_hold_h100+Thesis!E69*tk_hold_gb200+Thesis!E70*tk_hold_gb300+Thesis!E72*tk_hold_vr200+Thesis!E71*nv_out_mai*tk_hold_vr200)/Thesis!E60</f>
        <v>9.7235358126469</v>
      </c>
      <c r="F74" s="15" t="n">
        <f aca="false">(Thesis!F68*tk_hold_h100+Thesis!F69*tk_hold_gb200+Thesis!F70*tk_hold_gb300+Thesis!F72*tk_hold_vr200+Thesis!F71*nv_out_mai*tk_hold_vr200)/Thesis!F60</f>
        <v>10.247422093969</v>
      </c>
      <c r="G74" s="15" t="n">
        <f aca="false">(Thesis!G68*tk_hold_h100+Thesis!G69*tk_hold_gb200+Thesis!G70*tk_hold_gb300+Thesis!G72*tk_hold_vr200+Thesis!G71*nv_out_mai*tk_hold_vr200)/Thesis!G60</f>
        <v>10.6108602808053</v>
      </c>
      <c r="H74" s="15" t="n">
        <f aca="false">(Thesis!H68*tk_hold_h100+Thesis!H69*tk_hold_gb200+Thesis!H70*tk_hold_gb300+Thesis!H72*tk_hold_vr200+Thesis!H71*nv_out_mai*tk_hold_vr200)/Thesis!H60</f>
        <v>10.8647885507393</v>
      </c>
      <c r="I74" s="15" t="n">
        <f aca="false">(Thesis!I68*tk_hold_h100+Thesis!I69*tk_hold_gb200+Thesis!I70*tk_hold_gb300+Thesis!I72*tk_hold_vr200+Thesis!I71*nv_out_mai*tk_hold_vr200)/Thesis!I60</f>
        <v>11.0535625770025</v>
      </c>
      <c r="J74" s="15" t="n">
        <f aca="false">(Thesis!J68*tk_hold_h100+Thesis!J69*tk_hold_gb200+Thesis!J70*tk_hold_gb300+Thesis!J72*tk_hold_vr200+Thesis!J71*nv_out_mai*tk_hold_vr200)/Thesis!J60</f>
        <v>11.2032127128058</v>
      </c>
      <c r="K74" s="15" t="n">
        <f aca="false">(Thesis!K68*tk_hold_h100+Thesis!K69*tk_hold_gb200+Thesis!K70*tk_hold_gb300+Thesis!K72*tk_hold_vr200+Thesis!K71*nv_out_mai*tk_hold_vr200)/Thesis!K60</f>
        <v>11.4085735724225</v>
      </c>
      <c r="L74" s="12" t="s">
        <v>971</v>
      </c>
    </row>
    <row r="75" customFormat="false" ht="17.15" hidden="false" customHeight="false" outlineLevel="0" collapsed="false">
      <c r="A75" s="0" t="s">
        <v>972</v>
      </c>
      <c r="B75" s="0" t="s">
        <v>229</v>
      </c>
      <c r="C75" s="15" t="n">
        <f aca="false">k_B</f>
        <v>1.17213932619116</v>
      </c>
      <c r="D75" s="15" t="n">
        <f aca="false">k_B</f>
        <v>1.17213932619116</v>
      </c>
      <c r="E75" s="15" t="n">
        <f aca="false">k_B</f>
        <v>1.17213932619116</v>
      </c>
      <c r="F75" s="15" t="n">
        <f aca="false">(k_B+((ls_B*k_long+(1-ls_B)*k_spot)-k_B)*MIN(1,(Thesis!F58-base_fy)/k_ramp))</f>
        <v>1.17213932619116</v>
      </c>
      <c r="G75" s="15" t="n">
        <f aca="false">(k_B+((ls_B*k_long+(1-ls_B)*k_spot)-k_B)*MIN(1,(Thesis!G58-base_fy)/k_ramp))</f>
        <v>1.17213932619116</v>
      </c>
      <c r="H75" s="15" t="n">
        <f aca="false">(k_B+((ls_B*k_long+(1-ls_B)*k_spot)-k_B)*MIN(1,(Thesis!H58-base_fy)/k_ramp))</f>
        <v>1.17213932619116</v>
      </c>
      <c r="I75" s="15" t="n">
        <f aca="false">(k_B+((ls_B*k_long+(1-ls_B)*k_spot)-k_B)*MIN(1,(Thesis!I58-base_fy)/k_ramp))</f>
        <v>1.17213932619116</v>
      </c>
      <c r="J75" s="15" t="n">
        <f aca="false">(k_B+((ls_B*k_long+(1-ls_B)*k_spot)-k_B)*MIN(1,(Thesis!J58-base_fy)/k_ramp))</f>
        <v>1.17213932619116</v>
      </c>
      <c r="K75" s="15" t="n">
        <f aca="false">(k_B+((ls_B*k_long+(1-ls_B)*k_spot)-k_B)*MIN(1,(Thesis!K58-base_fy)/k_ramp))</f>
        <v>1.17213932619116</v>
      </c>
      <c r="L75" s="1" t="s">
        <v>973</v>
      </c>
    </row>
    <row r="76" customFormat="false" ht="17.15" hidden="false" customHeight="false" outlineLevel="0" collapsed="false">
      <c r="A76" s="1" t="s">
        <v>974</v>
      </c>
      <c r="B76" s="0" t="s">
        <v>403</v>
      </c>
      <c r="C76" s="15" t="n">
        <f aca="false">Thesis!C74*Thesis!C75*chip_f</f>
        <v>11.3973387156315</v>
      </c>
      <c r="D76" s="15" t="n">
        <f aca="false">Thesis!D74*Thesis!D75*chip_f</f>
        <v>11.3973387156315</v>
      </c>
      <c r="E76" s="15" t="n">
        <f aca="false">Thesis!E74*Thesis!E75*chip_f</f>
        <v>11.3973387156315</v>
      </c>
      <c r="F76" s="15" t="n">
        <f aca="false">Thesis!F74*Thesis!F75*chip_f</f>
        <v>12.0114064284211</v>
      </c>
      <c r="G76" s="15" t="n">
        <f aca="false">Thesis!G74*Thesis!G75*chip_f</f>
        <v>12.4374066198516</v>
      </c>
      <c r="H76" s="15" t="n">
        <f aca="false">Thesis!H74*Thesis!H75*chip_f</f>
        <v>12.735045931073</v>
      </c>
      <c r="I76" s="15" t="n">
        <f aca="false">Thesis!I74*Thesis!I75*chip_f</f>
        <v>12.9563153910195</v>
      </c>
      <c r="J76" s="15" t="n">
        <f aca="false">Thesis!J74*Thesis!J75*chip_f</f>
        <v>13.1317262003643</v>
      </c>
      <c r="K76" s="15" t="n">
        <f aca="false">Thesis!K74*Thesis!K75*chip_f</f>
        <v>13.3724377399815</v>
      </c>
      <c r="L76" s="1" t="s">
        <v>975</v>
      </c>
    </row>
    <row r="77" customFormat="false" ht="17.15" hidden="false" customHeight="false" outlineLevel="0" collapsed="false">
      <c r="A77" s="0" t="s">
        <v>976</v>
      </c>
      <c r="B77" s="0" t="s">
        <v>98</v>
      </c>
      <c r="D77" s="6" t="n">
        <f aca="false">(Thesis!C60+Thesis!D60)/2*Thesis!D76/1000</f>
        <v>12.9359794422418</v>
      </c>
      <c r="E77" s="6" t="n">
        <f aca="false">(Thesis!D60+Thesis!E60)/2*Thesis!E76/1000</f>
        <v>27.8095064661409</v>
      </c>
      <c r="F77" s="6" t="n">
        <f aca="false">(Thesis!E60+Thesis!F60)/2*Thesis!F76/1000</f>
        <v>55.4118315060966</v>
      </c>
      <c r="G77" s="6" t="n">
        <f aca="false">(Thesis!F60+Thesis!G60)/2*Thesis!G76/1000</f>
        <v>91.2881100675143</v>
      </c>
      <c r="H77" s="6" t="n">
        <f aca="false">(Thesis!G60+Thesis!H60)/2*Thesis!H76/1000</f>
        <v>128.195273603944</v>
      </c>
      <c r="I77" s="6" t="n">
        <f aca="false">(Thesis!H60+Thesis!I60)/2*Thesis!I76/1000</f>
        <v>160.601281810405</v>
      </c>
      <c r="J77" s="6" t="n">
        <f aca="false">(Thesis!I60+Thesis!J60)/2*Thesis!J76/1000</f>
        <v>183.182719793589</v>
      </c>
      <c r="K77" s="6" t="n">
        <f aca="false">(Thesis!J60+Thesis!K60)/2*Thesis!K76/1000</f>
        <v>197.320124937098</v>
      </c>
      <c r="L77" s="12" t="s">
        <v>977</v>
      </c>
    </row>
    <row r="78" customFormat="false" ht="17.15" hidden="false" customHeight="false" outlineLevel="0" collapsed="false">
      <c r="A78" s="1" t="s">
        <v>978</v>
      </c>
      <c r="B78" s="0" t="s">
        <v>403</v>
      </c>
      <c r="C78" s="15" t="n">
        <f aca="false">(Thesis!C68*tk_opex_h100+Thesis!C69*tk_opex_gb200+Thesis!C70*tk_opex_gb300+(Thesis!C72+Thesis!C71)*tk_opex_vr200)/Thesis!C60</f>
        <v>1.88636041306092</v>
      </c>
      <c r="D78" s="15" t="n">
        <f aca="false">(Thesis!D68*tk_opex_h100+Thesis!D69*tk_opex_gb200+Thesis!D70*tk_opex_gb300+(Thesis!D72+Thesis!D71)*tk_opex_vr200)/Thesis!D60</f>
        <v>1.88636041306092</v>
      </c>
      <c r="E78" s="15" t="n">
        <f aca="false">(Thesis!E68*tk_opex_h100+Thesis!E69*tk_opex_gb200+Thesis!E70*tk_opex_gb300+(Thesis!E72+Thesis!E71)*tk_opex_vr200)/Thesis!E60</f>
        <v>1.88636041306092</v>
      </c>
      <c r="F78" s="15" t="n">
        <f aca="false">(Thesis!F68*tk_opex_h100+Thesis!F69*tk_opex_gb200+Thesis!F70*tk_opex_gb300+(Thesis!F72+Thesis!F71)*tk_opex_vr200)/Thesis!F60</f>
        <v>1.95051159746876</v>
      </c>
      <c r="G78" s="15" t="n">
        <f aca="false">(Thesis!G68*tk_opex_h100+Thesis!G69*tk_opex_gb200+Thesis!G70*tk_opex_gb300+(Thesis!G72+Thesis!G71)*tk_opex_vr200)/Thesis!G60</f>
        <v>1.98836003669956</v>
      </c>
      <c r="H78" s="15" t="n">
        <f aca="false">(Thesis!H68*tk_opex_h100+Thesis!H69*tk_opex_gb200+Thesis!H70*tk_opex_gb300+(Thesis!H72+Thesis!H71)*tk_opex_vr200)/Thesis!H60</f>
        <v>2.01344013834343</v>
      </c>
      <c r="I78" s="15" t="n">
        <f aca="false">(Thesis!I68*tk_opex_h100+Thesis!I69*tk_opex_gb200+Thesis!I70*tk_opex_gb300+(Thesis!I72+Thesis!I71)*tk_opex_vr200)/Thesis!I60</f>
        <v>2.03261166882178</v>
      </c>
      <c r="J78" s="15" t="n">
        <f aca="false">(Thesis!J68*tk_opex_h100+Thesis!J69*tk_opex_gb200+Thesis!J70*tk_opex_gb300+(Thesis!J72+Thesis!J71)*tk_opex_vr200)/Thesis!J60</f>
        <v>2.04808073288745</v>
      </c>
      <c r="K78" s="15" t="n">
        <f aca="false">(Thesis!K68*tk_opex_h100+Thesis!K69*tk_opex_gb200+Thesis!K70*tk_opex_gb300+(Thesis!K72+Thesis!K71)*tk_opex_vr200)/Thesis!K60</f>
        <v>2.06973825807449</v>
      </c>
      <c r="L78" s="12" t="s">
        <v>979</v>
      </c>
    </row>
    <row r="79" customFormat="false" ht="17.15" hidden="false" customHeight="false" outlineLevel="0" collapsed="false">
      <c r="A79" s="0" t="s">
        <v>980</v>
      </c>
      <c r="B79" s="0" t="s">
        <v>98</v>
      </c>
      <c r="D79" s="6" t="n">
        <f aca="false">(Thesis!C63+Thesis!D63)/2*Thesis!D78/1000</f>
        <v>2.70378325872065</v>
      </c>
      <c r="E79" s="6" t="n">
        <f aca="false">(Thesis!D63+Thesis!E63)/2*Thesis!E78/1000</f>
        <v>6.17783035277451</v>
      </c>
      <c r="F79" s="6" t="n">
        <f aca="false">(Thesis!E63+Thesis!F63)/2*Thesis!F78/1000</f>
        <v>12.8742463089237</v>
      </c>
      <c r="G79" s="6" t="n">
        <f aca="false">(Thesis!F63+Thesis!G63)/2*Thesis!G78/1000</f>
        <v>21.8182834646277</v>
      </c>
      <c r="H79" s="6" t="n">
        <f aca="false">(Thesis!G63+Thesis!H63)/2*Thesis!H78/1000</f>
        <v>31.2430128789734</v>
      </c>
      <c r="I79" s="6" t="n">
        <f aca="false">(Thesis!H63+Thesis!I63)/2*Thesis!I78/1000</f>
        <v>39.4313057443268</v>
      </c>
      <c r="J79" s="6" t="n">
        <f aca="false">(Thesis!I63+Thesis!J63)/2*Thesis!J78/1000</f>
        <v>45.0360318228653</v>
      </c>
      <c r="K79" s="6" t="n">
        <f aca="false">(Thesis!J63+Thesis!K63)/2*Thesis!K78/1000</f>
        <v>48.2929727091156</v>
      </c>
    </row>
    <row r="80" customFormat="false" ht="17.15" hidden="false" customHeight="false" outlineLevel="0" collapsed="false">
      <c r="A80" s="0" t="s">
        <v>981</v>
      </c>
      <c r="B80" s="0" t="s">
        <v>98</v>
      </c>
      <c r="D80" s="6" t="n">
        <f aca="false">(Thesis!C61+Thesis!D61)/2*rent_mw/1000</f>
        <v>2.44475</v>
      </c>
      <c r="E80" s="6" t="n">
        <f aca="false">(Thesis!D61+Thesis!E61)/2*rent_mw/1000</f>
        <v>4.22275</v>
      </c>
      <c r="F80" s="6" t="n">
        <f aca="false">(Thesis!E61+Thesis!F61)/2*rent_mw/1000</f>
        <v>5.80517</v>
      </c>
      <c r="G80" s="6" t="n">
        <f aca="false">(Thesis!F61+Thesis!G61)/2*rent_mw/1000</f>
        <v>6.72084</v>
      </c>
      <c r="H80" s="6" t="n">
        <f aca="false">(Thesis!G61+Thesis!H61)/2*rent_mw/1000</f>
        <v>6.72084</v>
      </c>
      <c r="I80" s="6" t="n">
        <f aca="false">(Thesis!H61+Thesis!I61)/2*rent_mw/1000</f>
        <v>6.72084</v>
      </c>
      <c r="J80" s="6" t="n">
        <f aca="false">(Thesis!I61+Thesis!J61)/2*rent_mw/1000</f>
        <v>6.72084</v>
      </c>
      <c r="K80" s="6" t="n">
        <f aca="false">(Thesis!J61+Thesis!K61)/2*rent_mw/1000</f>
        <v>6.72084</v>
      </c>
    </row>
    <row r="81" customFormat="false" ht="17.15" hidden="false" customHeight="false" outlineLevel="0" collapsed="false">
      <c r="A81" s="0" t="s">
        <v>982</v>
      </c>
      <c r="B81" s="0" t="s">
        <v>98</v>
      </c>
      <c r="D81" s="6" t="n">
        <f aca="false">(Thesis!C63+Thesis!D63)/2*(1-self_build)*fac_rent/1000</f>
        <v>0.853242375631075</v>
      </c>
      <c r="E81" s="6" t="n">
        <f aca="false">(Thesis!D63+Thesis!E63)/2*(1-self_build)*fac_rent/1000</f>
        <v>1.94955961408728</v>
      </c>
      <c r="F81" s="6" t="n">
        <f aca="false">(Thesis!E63+Thesis!F63)/2*(1-self_build)*fac_rent/1000</f>
        <v>3.92914894476356</v>
      </c>
      <c r="G81" s="6" t="n">
        <f aca="false">(Thesis!F63+Thesis!G63)/2*(1-self_build)*fac_rent/1000</f>
        <v>6.53206908578159</v>
      </c>
      <c r="H81" s="6" t="n">
        <f aca="false">(Thesis!G63+Thesis!H63)/2*(1-self_build)*fac_rent/1000</f>
        <v>9.23717988341591</v>
      </c>
      <c r="I81" s="6" t="n">
        <f aca="false">(Thesis!H63+Thesis!I63)/2*(1-self_build)*fac_rent/1000</f>
        <v>11.5481378557393</v>
      </c>
      <c r="J81" s="6" t="n">
        <f aca="false">(Thesis!I63+Thesis!J63)/2*(1-self_build)*fac_rent/1000</f>
        <v>13.0899582289108</v>
      </c>
      <c r="K81" s="6" t="n">
        <f aca="false">(Thesis!J63+Thesis!K63)/2*(1-self_build)*fac_rent/1000</f>
        <v>13.8897275626556</v>
      </c>
      <c r="L81" s="12" t="s">
        <v>983</v>
      </c>
    </row>
    <row r="82" customFormat="false" ht="17.15" hidden="false" customHeight="false" outlineLevel="0" collapsed="false">
      <c r="A82" s="1" t="s">
        <v>984</v>
      </c>
      <c r="B82" s="0" t="s">
        <v>168</v>
      </c>
      <c r="D82" s="7" t="n">
        <f aca="false">(Thesis!C62+Thesis!D62)/(Thesis!C63+Thesis!D63)</f>
        <v>0.6</v>
      </c>
      <c r="E82" s="7" t="n">
        <f aca="false">(Thesis!D62+Thesis!E62)/(Thesis!D63+Thesis!E63)</f>
        <v>0.6</v>
      </c>
      <c r="F82" s="7" t="n">
        <f aca="false">(Thesis!E62+Thesis!F62)/(Thesis!E63+Thesis!F63)</f>
        <v>0.6</v>
      </c>
      <c r="G82" s="7" t="n">
        <f aca="false">(Thesis!F62+Thesis!G62)/(Thesis!F63+Thesis!G63)</f>
        <v>0.6</v>
      </c>
      <c r="H82" s="7" t="n">
        <f aca="false">(Thesis!G62+Thesis!H62)/(Thesis!G63+Thesis!H63)</f>
        <v>0.6</v>
      </c>
      <c r="I82" s="7" t="n">
        <f aca="false">(Thesis!H62+Thesis!I62)/(Thesis!H63+Thesis!I63)</f>
        <v>0.6</v>
      </c>
      <c r="J82" s="7" t="n">
        <f aca="false">(Thesis!I62+Thesis!J62)/(Thesis!I63+Thesis!J63)</f>
        <v>0.6</v>
      </c>
      <c r="K82" s="7" t="n">
        <f aca="false">(Thesis!J62+Thesis!K62)/(Thesis!J63+Thesis!K63)</f>
        <v>0.6</v>
      </c>
    </row>
    <row r="83" customFormat="false" ht="17.15" hidden="false" customHeight="false" outlineLevel="0" collapsed="false">
      <c r="A83" s="0" t="s">
        <v>985</v>
      </c>
      <c r="B83" s="0" t="s">
        <v>98</v>
      </c>
      <c r="D83" s="6" t="n">
        <f aca="false">Thesis!D77-Thesis!D82*(Thesis!D79+Thesis!D81)-Thesis!D80</f>
        <v>8.35701406163072</v>
      </c>
      <c r="E83" s="6" t="n">
        <f aca="false">Thesis!E77-Thesis!E82*(Thesis!E79+Thesis!E81)-Thesis!E80</f>
        <v>18.7103224860238</v>
      </c>
      <c r="F83" s="6" t="n">
        <f aca="false">Thesis!F77-Thesis!F82*(Thesis!F79+Thesis!F81)-Thesis!F80</f>
        <v>39.5246243538843</v>
      </c>
      <c r="G83" s="6" t="n">
        <f aca="false">Thesis!G77-Thesis!G82*(Thesis!G79+Thesis!G81)-Thesis!G80</f>
        <v>67.5570585372687</v>
      </c>
      <c r="H83" s="6" t="n">
        <f aca="false">Thesis!H77-Thesis!H82*(Thesis!H79+Thesis!H81)-Thesis!H80</f>
        <v>97.1863179465102</v>
      </c>
      <c r="I83" s="6" t="n">
        <f aca="false">Thesis!I77-Thesis!I82*(Thesis!I79+Thesis!I81)-Thesis!I80</f>
        <v>123.292775650365</v>
      </c>
      <c r="J83" s="6" t="n">
        <f aca="false">Thesis!J77-Thesis!J82*(Thesis!J79+Thesis!J81)-Thesis!J80</f>
        <v>141.586285762524</v>
      </c>
      <c r="K83" s="6" t="n">
        <f aca="false">Thesis!K77-Thesis!K82*(Thesis!K79+Thesis!K81)-Thesis!K80</f>
        <v>153.289664774035</v>
      </c>
    </row>
    <row r="84" customFormat="false" ht="17.15" hidden="false" customHeight="false" outlineLevel="0" collapsed="false">
      <c r="A84" s="1" t="s">
        <v>986</v>
      </c>
      <c r="B84" s="0" t="s">
        <v>98</v>
      </c>
      <c r="D84" s="6" t="n">
        <f aca="false">(1-Thesis!D82)*(Thesis!D79+Thesis!D81)</f>
        <v>1.42281025374069</v>
      </c>
      <c r="E84" s="6" t="n">
        <f aca="false">(1-Thesis!E82)*(Thesis!E79+Thesis!E81)</f>
        <v>3.25095598674472</v>
      </c>
      <c r="F84" s="6" t="n">
        <f aca="false">(1-Thesis!F82)*(Thesis!F79+Thesis!F81)</f>
        <v>6.72135810147489</v>
      </c>
      <c r="G84" s="6" t="n">
        <f aca="false">(1-Thesis!G82)*(Thesis!G79+Thesis!G81)</f>
        <v>11.3401410201637</v>
      </c>
      <c r="H84" s="6" t="n">
        <f aca="false">(1-Thesis!H82)*(Thesis!H79+Thesis!H81)</f>
        <v>16.1920771049557</v>
      </c>
      <c r="I84" s="6" t="n">
        <f aca="false">(1-Thesis!I82)*(Thesis!I79+Thesis!I81)</f>
        <v>20.3917774400264</v>
      </c>
      <c r="J84" s="6" t="n">
        <f aca="false">(1-Thesis!J82)*(Thesis!J79+Thesis!J81)</f>
        <v>23.2503960207104</v>
      </c>
      <c r="K84" s="6" t="n">
        <f aca="false">(1-Thesis!K82)*(Thesis!K79+Thesis!K81)</f>
        <v>24.8730801087085</v>
      </c>
    </row>
    <row r="85" customFormat="false" ht="17.15" hidden="false" customHeight="false" outlineLevel="0" collapsed="false">
      <c r="A85" s="1" t="s">
        <v>987</v>
      </c>
      <c r="B85" s="0" t="s">
        <v>414</v>
      </c>
      <c r="C85" s="8" t="n">
        <f aca="false">cxit_open</f>
        <v>27.5918995</v>
      </c>
      <c r="D85" s="8" t="n">
        <f aca="false">cxit_open</f>
        <v>27.5918995</v>
      </c>
      <c r="E85" s="8" t="n">
        <f aca="false">cxit_open</f>
        <v>27.5918995</v>
      </c>
      <c r="F85" s="8" t="n">
        <f aca="false">((a_g3_27-nonnv*a_mai)*tk_cxit_gb300+nonnv*a_mai*nv_hold_mai*tk_cxit_vr200+(1-a_g3_27)*tk_cxit_vr200)</f>
        <v>32.4975576</v>
      </c>
      <c r="G85" s="8" t="n">
        <f aca="false">((a_g3_28-nonnv*a_mai)*tk_cxit_gb300+nonnv*a_mai*nv_hold_mai*tk_cxit_vr200+(1-a_g3_28)*tk_cxit_vr200)</f>
        <v>34.6372088</v>
      </c>
      <c r="H85" s="8" t="n">
        <f aca="false">((a_g3_29-nonnv*a_mai)*tk_cxit_gb300+nonnv*a_mai*nv_hold_mai*tk_cxit_vr200+(1-a_g3_29)*tk_cxit_vr200)</f>
        <v>35.7070344</v>
      </c>
      <c r="I85" s="8" t="n">
        <f aca="false">((a_g3_29-nonnv*a_mai)*tk_cxit_gb300+nonnv*a_mai*nv_hold_mai*tk_cxit_vr200+(1-a_g3_29)*tk_cxit_vr200)</f>
        <v>35.7070344</v>
      </c>
      <c r="J85" s="8" t="n">
        <f aca="false">((a_g3_29-nonnv*a_mai)*tk_cxit_gb300+nonnv*a_mai*nv_hold_mai*tk_cxit_vr200+(1-a_g3_29)*tk_cxit_vr200)</f>
        <v>35.7070344</v>
      </c>
      <c r="K85" s="8" t="n">
        <f aca="false">((a_g3_29-nonnv*a_mai)*tk_cxit_gb300+nonnv*a_mai*nv_hold_mai*tk_cxit_vr200+(1-a_g3_29)*tk_cxit_vr200)</f>
        <v>35.7070344</v>
      </c>
      <c r="L85" s="12" t="s">
        <v>988</v>
      </c>
    </row>
    <row r="86" customFormat="false" ht="17.15" hidden="false" customHeight="false" outlineLevel="0" collapsed="false">
      <c r="A86" s="0" t="s">
        <v>989</v>
      </c>
      <c r="B86" s="0" t="s">
        <v>456</v>
      </c>
      <c r="F86" s="30" t="n">
        <f aca="false">Thesis!C65*IF(Thesis!F58-Thesis!C58=life_it,1,0)+Thesis!D65*IF(Thesis!F58-Thesis!D58=life_it,1,0)+Thesis!E65*IF(Thesis!F58-Thesis!E58=life_it,1,0)</f>
        <v>0</v>
      </c>
      <c r="G86" s="30" t="n">
        <f aca="false">Thesis!C65*IF(Thesis!G58-Thesis!C58=life_it,1,0)+Thesis!D65*IF(Thesis!G58-Thesis!D58=life_it,1,0)+Thesis!E65*IF(Thesis!G58-Thesis!E58=life_it,1,0)+Thesis!F65*IF(Thesis!G58-Thesis!F58=life_it,1,0)</f>
        <v>0</v>
      </c>
      <c r="H86" s="30" t="n">
        <f aca="false">Thesis!C65*IF(Thesis!H58-Thesis!C58=life_it,1,0)+Thesis!D65*IF(Thesis!H58-Thesis!D58=life_it,1,0)+Thesis!E65*IF(Thesis!H58-Thesis!E58=life_it,1,0)+Thesis!F65*IF(Thesis!H58-Thesis!F58=life_it,1,0)+Thesis!G65*IF(Thesis!H58-Thesis!G58=life_it,1,0)</f>
        <v>0</v>
      </c>
      <c r="I86" s="30" t="n">
        <f aca="false">Thesis!C65*IF(Thesis!I58-Thesis!C58=life_it,1,0)+Thesis!D65*IF(Thesis!I58-Thesis!D58=life_it,1,0)+Thesis!E65*IF(Thesis!I58-Thesis!E58=life_it,1,0)+Thesis!F65*IF(Thesis!I58-Thesis!F58=life_it,1,0)+Thesis!G65*IF(Thesis!I58-Thesis!G58=life_it,1,0)+Thesis!H65*IF(Thesis!I58-Thesis!H58=life_it,1,0)</f>
        <v>816.666666666667</v>
      </c>
      <c r="J86" s="30" t="n">
        <f aca="false">Thesis!C65*IF(Thesis!J58-Thesis!C58=life_it,1,0)+Thesis!D65*IF(Thesis!J58-Thesis!D58=life_it,1,0)+Thesis!E65*IF(Thesis!J58-Thesis!E58=life_it,1,0)+Thesis!F65*IF(Thesis!J58-Thesis!F58=life_it,1,0)+Thesis!G65*IF(Thesis!J58-Thesis!G58=life_it,1,0)+Thesis!H65*IF(Thesis!J58-Thesis!H58=life_it,1,0)+Thesis!I65*IF(Thesis!J58-Thesis!I58=life_it,1,0)</f>
        <v>1233.33333333333</v>
      </c>
      <c r="K86" s="30" t="n">
        <f aca="false">Thesis!C65*IF(Thesis!K58-Thesis!C58=life_it,1,0)+Thesis!D65*IF(Thesis!K58-Thesis!D58=life_it,1,0)+Thesis!E65*IF(Thesis!K58-Thesis!E58=life_it,1,0)+Thesis!F65*IF(Thesis!K58-Thesis!F58=life_it,1,0)+Thesis!G65*IF(Thesis!K58-Thesis!G58=life_it,1,0)+Thesis!H65*IF(Thesis!K58-Thesis!H58=life_it,1,0)+Thesis!I65*IF(Thesis!K58-Thesis!I58=life_it,1,0)+Thesis!J65*IF(Thesis!K58-Thesis!J58=life_it,1,0)</f>
        <v>2450</v>
      </c>
      <c r="L86" s="1" t="s">
        <v>990</v>
      </c>
    </row>
    <row r="87" customFormat="false" ht="17.15" hidden="false" customHeight="false" outlineLevel="0" collapsed="false">
      <c r="A87" s="0" t="s">
        <v>991</v>
      </c>
      <c r="B87" s="0" t="s">
        <v>98</v>
      </c>
      <c r="C87" s="6" t="n">
        <f aca="false">Thesis!C65*Thesis!C85/1000</f>
        <v>22.5333845916667</v>
      </c>
      <c r="D87" s="6" t="n">
        <f aca="false">Thesis!D65*Thesis!D85/1000</f>
        <v>34.0300093833333</v>
      </c>
      <c r="E87" s="6" t="n">
        <f aca="false">Thesis!E65*Thesis!E85/1000</f>
        <v>67.600153775</v>
      </c>
      <c r="F87" s="6" t="n">
        <f aca="false">(Thesis!F65+Thesis!F86)*Thesis!F85/1000</f>
        <v>136.51872432512</v>
      </c>
      <c r="G87" s="6" t="n">
        <f aca="false">(Thesis!G65+Thesis!G86)*Thesis!G85/1000</f>
        <v>157.399275932048</v>
      </c>
      <c r="H87" s="6" t="n">
        <f aca="false">(Thesis!H65+Thesis!H86)*Thesis!H85/1000</f>
        <v>162.260804347512</v>
      </c>
      <c r="I87" s="6" t="n">
        <f aca="false">(Thesis!I65+Thesis!I86)*Thesis!I85/1000</f>
        <v>144.136569485434</v>
      </c>
      <c r="J87" s="6" t="n">
        <f aca="false">(Thesis!J65+Thesis!J86)*Thesis!J85/1000</f>
        <v>114.029037357864</v>
      </c>
      <c r="K87" s="6" t="n">
        <f aca="false">(Thesis!K65+Thesis!K86)*Thesis!K85/1000</f>
        <v>113.437085350975</v>
      </c>
    </row>
    <row r="88" customFormat="false" ht="17.15" hidden="false" customHeight="false" outlineLevel="0" collapsed="false">
      <c r="A88" s="0" t="s">
        <v>992</v>
      </c>
      <c r="B88" s="0" t="s">
        <v>98</v>
      </c>
      <c r="C88" s="6" t="n">
        <f aca="false">Thesis!C65*self_build*tk_cxfac/1000</f>
        <v>6.2083</v>
      </c>
      <c r="D88" s="6" t="n">
        <f aca="false">Thesis!D65*self_build*tk_cxfac/1000</f>
        <v>9.3758</v>
      </c>
      <c r="E88" s="6" t="n">
        <f aca="false">Thesis!E65*self_build*tk_cxfac/1000</f>
        <v>18.6249</v>
      </c>
      <c r="F88" s="6" t="n">
        <f aca="false">Thesis!F65*self_build*tk_cxfac/1000</f>
        <v>31.935179717</v>
      </c>
      <c r="G88" s="6" t="n">
        <f aca="false">Thesis!G65*self_build*tk_cxfac/1000</f>
        <v>34.545199717</v>
      </c>
      <c r="H88" s="6" t="n">
        <f aca="false">Thesis!H65*self_build*tk_cxfac/1000</f>
        <v>34.545199717</v>
      </c>
      <c r="I88" s="6" t="n">
        <f aca="false">Thesis!I65*self_build*tk_cxfac/1000</f>
        <v>24.4782641361767</v>
      </c>
      <c r="J88" s="6" t="n">
        <f aca="false">Thesis!J65*self_build*tk_cxfac/1000</f>
        <v>14.9008938380769</v>
      </c>
      <c r="K88" s="6" t="n">
        <f aca="false">Thesis!K65*self_build*tk_cxfac/1000</f>
        <v>5.52576771375761</v>
      </c>
    </row>
    <row r="89" customFormat="false" ht="17.15" hidden="false" customHeight="false" outlineLevel="0" collapsed="false">
      <c r="A89" s="0" t="s">
        <v>993</v>
      </c>
      <c r="B89" s="0" t="s">
        <v>98</v>
      </c>
      <c r="F89" s="15" t="n">
        <f aca="false">capex_floor27-Thesis!F87-Thesis!F88-CF!F57</f>
        <v>1.94586576753863E-005</v>
      </c>
      <c r="L89" s="12" t="s">
        <v>994</v>
      </c>
    </row>
    <row r="90" customFormat="false" ht="17.15" hidden="false" customHeight="false" outlineLevel="0" collapsed="false">
      <c r="A90" s="0" t="s">
        <v>995</v>
      </c>
      <c r="B90" s="0" t="s">
        <v>98</v>
      </c>
      <c r="F90" s="6" t="n">
        <f aca="false">MAX(0,Thesis!F89)</f>
        <v>1.94586576753863E-005</v>
      </c>
    </row>
    <row r="91" customFormat="false" ht="17.15" hidden="false" customHeight="false" outlineLevel="0" collapsed="false">
      <c r="A91" s="0" t="s">
        <v>996</v>
      </c>
      <c r="B91" s="0" t="s">
        <v>98</v>
      </c>
      <c r="C91" s="6" t="n">
        <f aca="false">Thesis!C87</f>
        <v>22.5333845916667</v>
      </c>
      <c r="D91" s="6" t="n">
        <f aca="false">Thesis!D87</f>
        <v>34.0300093833333</v>
      </c>
      <c r="E91" s="6" t="n">
        <f aca="false">Thesis!E87</f>
        <v>67.600153775</v>
      </c>
      <c r="F91" s="6" t="n">
        <f aca="false">Thesis!F87</f>
        <v>136.51872432512</v>
      </c>
      <c r="G91" s="6" t="n">
        <f aca="false">Thesis!G87</f>
        <v>157.399275932048</v>
      </c>
      <c r="H91" s="6" t="n">
        <f aca="false">Thesis!H87</f>
        <v>162.260804347512</v>
      </c>
      <c r="I91" s="6" t="n">
        <f aca="false">Thesis!I87</f>
        <v>144.136569485434</v>
      </c>
      <c r="J91" s="6" t="n">
        <f aca="false">Thesis!J87</f>
        <v>114.029037357864</v>
      </c>
      <c r="K91" s="6" t="n">
        <f aca="false">Thesis!K87</f>
        <v>113.437085350975</v>
      </c>
    </row>
    <row r="92" customFormat="false" ht="17.15" hidden="false" customHeight="false" outlineLevel="0" collapsed="false">
      <c r="A92" s="0" t="s">
        <v>997</v>
      </c>
      <c r="B92" s="0" t="s">
        <v>98</v>
      </c>
      <c r="C92" s="6" t="n">
        <f aca="false">Thesis!C91+Thesis!C88</f>
        <v>28.7416845916667</v>
      </c>
      <c r="D92" s="6" t="n">
        <f aca="false">Thesis!D91+Thesis!D88</f>
        <v>43.4058093833333</v>
      </c>
      <c r="E92" s="6" t="n">
        <f aca="false">Thesis!E91+Thesis!E88</f>
        <v>86.225053775</v>
      </c>
      <c r="F92" s="6" t="n">
        <f aca="false">Thesis!F91+Thesis!F88</f>
        <v>168.45390404212</v>
      </c>
      <c r="G92" s="6" t="n">
        <f aca="false">Thesis!G91+Thesis!G88</f>
        <v>191.944475649048</v>
      </c>
      <c r="H92" s="6" t="n">
        <f aca="false">Thesis!H91+Thesis!H88</f>
        <v>196.806004064512</v>
      </c>
      <c r="I92" s="6" t="n">
        <f aca="false">Thesis!I91+Thesis!I88</f>
        <v>168.61483362161</v>
      </c>
      <c r="J92" s="6" t="n">
        <f aca="false">Thesis!J91+Thesis!J88</f>
        <v>128.92993119594</v>
      </c>
      <c r="K92" s="6" t="n">
        <f aca="false">Thesis!K91+Thesis!K88</f>
        <v>118.962853064733</v>
      </c>
      <c r="L92" s="12" t="s">
        <v>998</v>
      </c>
    </row>
    <row r="93" customFormat="false" ht="17.15" hidden="false" customHeight="false" outlineLevel="0" collapsed="false">
      <c r="A93" s="0" t="s">
        <v>999</v>
      </c>
      <c r="B93" s="0" t="s">
        <v>98</v>
      </c>
      <c r="E93" s="6" t="n">
        <f aca="false">(Thesis!C91*IF(2&lt;life_it,1,IF(2=life_it,0.5,0))+Thesis!D91*IF(1&lt;life_it,1,IF(1=life_it,0.5,0))+Thesis!E91*0.5)/life_it</f>
        <v>15.0605784770833</v>
      </c>
      <c r="F93" s="6" t="n">
        <f aca="false">(Thesis!C91*IF(3&lt;life_it,1,IF(3=life_it,0.5,0))+Thesis!D91*IF(2&lt;life_it,1,IF(2=life_it,0.5,0))+Thesis!E91*IF(1&lt;life_it,1,IF(1=life_it,0.5,0))+Thesis!F91*0.5)/life_it</f>
        <v>32.0704849854266</v>
      </c>
      <c r="G93" s="6" t="n">
        <f aca="false">(Thesis!C91*IF(4&lt;life_it,1,IF(4=life_it,0.5,0))+Thesis!D91*IF(3&lt;life_it,1,IF(3=life_it,0.5,0))+Thesis!E91*IF(2&lt;life_it,1,IF(2=life_it,0.5,0))+Thesis!F91*IF(1&lt;life_it,1,IF(1=life_it,0.5,0))+Thesis!G91*0.5)/life_it</f>
        <v>56.5636516735239</v>
      </c>
      <c r="H93" s="6" t="n">
        <f aca="false">(Thesis!C91*IF(5&lt;life_it,1,IF(5=life_it,0.5,0))+Thesis!D91*IF(4&lt;life_it,1,IF(4=life_it,0.5,0))+Thesis!E91*IF(3&lt;life_it,1,IF(3=life_it,0.5,0))+Thesis!F91*IF(2&lt;life_it,1,IF(2=life_it,0.5,0))+Thesis!G91*IF(1&lt;life_it,1,IF(1=life_it,0.5,0))+Thesis!H91*0.5)/life_it</f>
        <v>83.2019916968207</v>
      </c>
      <c r="I93" s="6" t="n">
        <f aca="false">(Thesis!C91*IF(6&lt;life_it,1,IF(6=life_it,0.5,0))+Thesis!D91*IF(5&lt;life_it,1,IF(5=life_it,0.5,0))+Thesis!E91*IF(4&lt;life_it,1,IF(4=life_it,0.5,0))+Thesis!F91*IF(3&lt;life_it,1,IF(3=life_it,0.5,0))+Thesis!G91*IF(2&lt;life_it,1,IF(2=life_it,0.5,0))+Thesis!H91*IF(1&lt;life_it,1,IF(1=life_it,0.5,0))+Thesis!I91*0.5)/life_it</f>
        <v>106.857324133594</v>
      </c>
      <c r="J93" s="6" t="n">
        <f aca="false">(Thesis!C91*IF(7&lt;life_it,1,IF(7=life_it,0.5,0))+Thesis!D91*IF(6&lt;life_it,1,IF(6=life_it,0.5,0))+Thesis!E91*IF(5&lt;life_it,1,IF(5=life_it,0.5,0))+Thesis!F91*IF(4&lt;life_it,1,IF(4=life_it,0.5,0))+Thesis!G91*IF(3&lt;life_it,1,IF(3=life_it,0.5,0))+Thesis!H91*IF(2&lt;life_it,1,IF(2=life_it,0.5,0))+Thesis!I91*IF(1&lt;life_it,1,IF(1=life_it,0.5,0))+Thesis!J91*0.5)/life_it</f>
        <v>123.657508539285</v>
      </c>
      <c r="K93" s="6" t="n">
        <f aca="false">(Thesis!C91*IF(8&lt;life_it,1,IF(8=life_it,0.5,0))+Thesis!D91*IF(7&lt;life_it,1,IF(7=life_it,0.5,0))+Thesis!E91*IF(6&lt;life_it,1,IF(6=life_it,0.5,0))+Thesis!F91*IF(5&lt;life_it,1,IF(5=life_it,0.5,0))+Thesis!G91*IF(4&lt;life_it,1,IF(4=life_it,0.5,0))+Thesis!H91*IF(3&lt;life_it,1,IF(3=life_it,0.5,0))+Thesis!I91*IF(2&lt;life_it,1,IF(2=life_it,0.5,0))+Thesis!J91*IF(1&lt;life_it,1,IF(1=life_it,0.5,0))+Thesis!K91*0.5)/life_it</f>
        <v>134.143838501827</v>
      </c>
    </row>
    <row r="94" customFormat="false" ht="17.15" hidden="false" customHeight="false" outlineLevel="0" collapsed="false">
      <c r="A94" s="0" t="s">
        <v>1000</v>
      </c>
      <c r="B94" s="0" t="s">
        <v>98</v>
      </c>
      <c r="E94" s="6" t="n">
        <f aca="false">(Thesis!C88*IF(2&lt;life_fac,1,IF(2=life_fac,0.5,0))+Thesis!D88*IF(1&lt;life_fac,1,IF(1=life_fac,0.5,0))+Thesis!E88*0.5)/life_fac</f>
        <v>1.2448275</v>
      </c>
      <c r="F94" s="6" t="n">
        <f aca="false">(Thesis!C88*IF(3&lt;life_fac,1,IF(3=life_fac,0.5,0))+Thesis!D88*IF(2&lt;life_fac,1,IF(2=life_fac,0.5,0))+Thesis!E88*IF(1&lt;life_fac,1,IF(1=life_fac,0.5,0))+Thesis!F88*0.5)/life_fac</f>
        <v>2.508829492925</v>
      </c>
      <c r="G94" s="6" t="n">
        <f aca="false">(Thesis!C88*IF(4&lt;life_fac,1,IF(4=life_fac,0.5,0))+Thesis!D88*IF(3&lt;life_fac,1,IF(3=life_fac,0.5,0))+Thesis!E88*IF(2&lt;life_fac,1,IF(2=life_fac,0.5,0))+Thesis!F88*IF(1&lt;life_fac,1,IF(1=life_fac,0.5,0))+Thesis!G88*0.5)/life_fac</f>
        <v>4.170838978775</v>
      </c>
      <c r="H94" s="6" t="n">
        <f aca="false">(Thesis!C88*IF(5&lt;life_fac,1,IF(5=life_fac,0.5,0))+Thesis!D88*IF(4&lt;life_fac,1,IF(4=life_fac,0.5,0))+Thesis!E88*IF(3&lt;life_fac,1,IF(3=life_fac,0.5,0))+Thesis!F88*IF(2&lt;life_fac,1,IF(2=life_fac,0.5,0))+Thesis!G88*IF(1&lt;life_fac,1,IF(1=life_fac,0.5,0))+Thesis!H88*0.5)/life_fac</f>
        <v>5.898098964625</v>
      </c>
      <c r="I94" s="6" t="n">
        <f aca="false">(Thesis!C88*IF(6&lt;life_fac,1,IF(6=life_fac,0.5,0))+Thesis!D88*IF(5&lt;life_fac,1,IF(5=life_fac,0.5,0))+Thesis!E88*IF(4&lt;life_fac,1,IF(4=life_fac,0.5,0))+Thesis!F88*IF(3&lt;life_fac,1,IF(3=life_fac,0.5,0))+Thesis!G88*IF(2&lt;life_fac,1,IF(2=life_fac,0.5,0))+Thesis!H88*IF(1&lt;life_fac,1,IF(1=life_fac,0.5,0))+Thesis!I88*0.5)/life_fac</f>
        <v>7.37368556095442</v>
      </c>
      <c r="J94" s="6" t="n">
        <f aca="false">(Thesis!C88*IF(7&lt;life_fac,1,IF(7=life_fac,0.5,0))+Thesis!D88*IF(6&lt;life_fac,1,IF(6=life_fac,0.5,0))+Thesis!E88*IF(5&lt;life_fac,1,IF(5=life_fac,0.5,0))+Thesis!F88*IF(4&lt;life_fac,1,IF(4=life_fac,0.5,0))+Thesis!G88*IF(3&lt;life_fac,1,IF(3=life_fac,0.5,0))+Thesis!H88*IF(2&lt;life_fac,1,IF(2=life_fac,0.5,0))+Thesis!I88*IF(1&lt;life_fac,1,IF(1=life_fac,0.5,0))+Thesis!J88*0.5)/life_fac</f>
        <v>8.35816451031075</v>
      </c>
      <c r="K94" s="6" t="n">
        <f aca="false">(Thesis!C88*IF(8&lt;life_fac,1,IF(8=life_fac,0.5,0))+Thesis!D88*IF(7&lt;life_fac,1,IF(7=life_fac,0.5,0))+Thesis!E88*IF(6&lt;life_fac,1,IF(6=life_fac,0.5,0))+Thesis!F88*IF(5&lt;life_fac,1,IF(5=life_fac,0.5,0))+Thesis!G88*IF(4&lt;life_fac,1,IF(4=life_fac,0.5,0))+Thesis!H88*IF(3&lt;life_fac,1,IF(3=life_fac,0.5,0))+Thesis!I88*IF(2&lt;life_fac,1,IF(2=life_fac,0.5,0))+Thesis!J88*IF(1&lt;life_fac,1,IF(1=life_fac,0.5,0))+Thesis!K88*0.5)/life_fac</f>
        <v>8.86883104910662</v>
      </c>
    </row>
    <row r="95" customFormat="false" ht="17.15" hidden="false" customHeight="false" outlineLevel="0" collapsed="false">
      <c r="A95" s="0" t="s">
        <v>1001</v>
      </c>
      <c r="B95" s="0" t="s">
        <v>98</v>
      </c>
      <c r="E95" s="6" t="n">
        <f aca="false">Thesis!E93+Thesis!E94</f>
        <v>16.3054059770833</v>
      </c>
      <c r="F95" s="6" t="n">
        <f aca="false">Thesis!F93+Thesis!F94</f>
        <v>34.5793144783516</v>
      </c>
      <c r="G95" s="6" t="n">
        <f aca="false">Thesis!G93+Thesis!G94</f>
        <v>60.7344906522989</v>
      </c>
      <c r="H95" s="6" t="n">
        <f aca="false">Thesis!H93+Thesis!H94</f>
        <v>89.1000906614457</v>
      </c>
      <c r="I95" s="6" t="n">
        <f aca="false">Thesis!I93+Thesis!I94</f>
        <v>114.231009694548</v>
      </c>
      <c r="J95" s="6" t="n">
        <f aca="false">Thesis!J93+Thesis!J94</f>
        <v>132.015673049596</v>
      </c>
      <c r="K95" s="6" t="n">
        <f aca="false">Thesis!K93+Thesis!K94</f>
        <v>143.012669550934</v>
      </c>
    </row>
    <row r="96" customFormat="false" ht="17.15" hidden="false" customHeight="false" outlineLevel="0" collapsed="false">
      <c r="A96" s="0" t="s">
        <v>1002</v>
      </c>
      <c r="B96" s="0" t="s">
        <v>98</v>
      </c>
      <c r="E96" s="6" t="n">
        <f aca="false">Thesis!E83-Thesis!E82*Thesis!E95</f>
        <v>8.92707889977379</v>
      </c>
      <c r="F96" s="6" t="n">
        <f aca="false">Thesis!F83-Thesis!F82*Thesis!F95</f>
        <v>18.7770356668733</v>
      </c>
      <c r="G96" s="6" t="n">
        <f aca="false">Thesis!G83-Thesis!G82*Thesis!G95</f>
        <v>31.1163641458894</v>
      </c>
      <c r="H96" s="6" t="n">
        <f aca="false">Thesis!H83-Thesis!H82*Thesis!H95</f>
        <v>43.7262635496428</v>
      </c>
      <c r="I96" s="6" t="n">
        <f aca="false">Thesis!I83-Thesis!I82*Thesis!I95</f>
        <v>54.7541698336361</v>
      </c>
      <c r="J96" s="6" t="n">
        <f aca="false">Thesis!J83-Thesis!J82*Thesis!J95</f>
        <v>62.3768819327658</v>
      </c>
      <c r="K96" s="6" t="n">
        <f aca="false">Thesis!K83-Thesis!K82*Thesis!K95</f>
        <v>67.4820630434748</v>
      </c>
    </row>
    <row r="97" customFormat="false" ht="17.15" hidden="false" customHeight="false" outlineLevel="0" collapsed="false">
      <c r="A97" s="0" t="s">
        <v>1003</v>
      </c>
      <c r="B97" s="0" t="s">
        <v>98</v>
      </c>
      <c r="E97" s="6" t="n">
        <f aca="false">Seg!E38</f>
        <v>5.25</v>
      </c>
      <c r="F97" s="6" t="n">
        <f aca="false">Seg!F38</f>
        <v>12</v>
      </c>
      <c r="G97" s="6" t="n">
        <f aca="false">Seg!G38</f>
        <v>18</v>
      </c>
      <c r="H97" s="6" t="n">
        <f aca="false">Seg!H38</f>
        <v>24</v>
      </c>
      <c r="I97" s="6" t="n">
        <f aca="false">Seg!I38</f>
        <v>28.5</v>
      </c>
      <c r="J97" s="6" t="n">
        <f aca="false">Seg!J38</f>
        <v>31.5</v>
      </c>
      <c r="K97" s="6" t="n">
        <f aca="false">Seg!K38</f>
        <v>34.5</v>
      </c>
    </row>
    <row r="98" customFormat="false" ht="17.15" hidden="false" customHeight="false" outlineLevel="0" collapsed="false">
      <c r="A98" s="1" t="s">
        <v>1004</v>
      </c>
      <c r="B98" s="0" t="s">
        <v>98</v>
      </c>
      <c r="F98" s="6" t="n">
        <f aca="false">MAX(0,((Thesis!E64+Thesis!F64)/2-(shadow_base*(Thesis!$D$64+Thesis!$E$64)/2+(1-shadow_base)*Thesis!$E$64))*Thesis!F73/1000-(Thesis!F97-Thesis!$E$97)*PL!F70)</f>
        <v>9.7398427716299</v>
      </c>
      <c r="G98" s="6" t="n">
        <f aca="false">MAX(0,((Thesis!F64+Thesis!G64)/2-(shadow_base*(Thesis!$D$64+Thesis!$E$64)/2+(1-shadow_base)*Thesis!$E$64))*Thesis!G73/1000-(Thesis!G97-Thesis!$E$97)*PL!G70)</f>
        <v>25.2753385959797</v>
      </c>
      <c r="H98" s="6" t="n">
        <f aca="false">MAX(0,((Thesis!G64+Thesis!H64)/2-(shadow_base*(Thesis!$D$64+Thesis!$E$64)/2+(1-shadow_base)*Thesis!$E$64))*Thesis!H73/1000-(Thesis!H97-Thesis!$E$97)*PL!H70)</f>
        <v>42.2840253697948</v>
      </c>
      <c r="I98" s="6" t="n">
        <f aca="false">MAX(0,((Thesis!H64+Thesis!I64)/2-(shadow_base*(Thesis!$D$64+Thesis!$E$64)/2+(1-shadow_base)*Thesis!$E$64))*Thesis!I73/1000-(Thesis!I97-Thesis!$E$97)*PL!I70)</f>
        <v>57.704943641581</v>
      </c>
      <c r="J98" s="6" t="n">
        <f aca="false">MAX(0,((Thesis!I64+Thesis!J64)/2-(shadow_base*(Thesis!$D$64+Thesis!$E$64)/2+(1-shadow_base)*Thesis!$E$64))*Thesis!J73/1000-(Thesis!J97-Thesis!$E$97)*PL!J70)</f>
        <v>68.4828520908201</v>
      </c>
      <c r="K98" s="6" t="n">
        <f aca="false">MAX(0,((Thesis!J64+Thesis!K64)/2-(shadow_base*(Thesis!$D$64+Thesis!$E$64)/2+(1-shadow_base)*Thesis!$E$64))*Thesis!K73/1000-(Thesis!K97-Thesis!$E$97)*PL!K70)</f>
        <v>74.3598374943249</v>
      </c>
      <c r="L98" s="1" t="s">
        <v>1005</v>
      </c>
    </row>
    <row r="99" customFormat="false" ht="17.15" hidden="false" customHeight="false" outlineLevel="0" collapsed="false">
      <c r="A99" s="1" t="s">
        <v>1006</v>
      </c>
      <c r="B99" s="0" t="s">
        <v>98</v>
      </c>
      <c r="F99" s="6" t="n">
        <f aca="false">IF(internal_ai_reading=2,1,0)*Thesis!F98</f>
        <v>9.7398427716299</v>
      </c>
      <c r="G99" s="6" t="n">
        <f aca="false">IF(internal_ai_reading=2,1,0)*Thesis!G98</f>
        <v>25.2753385959797</v>
      </c>
      <c r="H99" s="6" t="n">
        <f aca="false">IF(internal_ai_reading=2,1,0)*Thesis!H98</f>
        <v>42.2840253697948</v>
      </c>
      <c r="I99" s="6" t="n">
        <f aca="false">IF(internal_ai_reading=2,1,0)*Thesis!I98</f>
        <v>57.704943641581</v>
      </c>
      <c r="J99" s="6" t="n">
        <f aca="false">IF(internal_ai_reading=2,1,0)*Thesis!J98</f>
        <v>68.4828520908201</v>
      </c>
      <c r="K99" s="6" t="n">
        <f aca="false">IF(internal_ai_reading=2,1,0)*Thesis!K98</f>
        <v>74.3598374943249</v>
      </c>
    </row>
    <row r="100" customFormat="false" ht="17.15" hidden="false" customHeight="false" outlineLevel="0" collapsed="false">
      <c r="A100" s="0" t="s">
        <v>1007</v>
      </c>
      <c r="B100" s="0" t="s">
        <v>98</v>
      </c>
      <c r="F100" s="6" t="n">
        <f aca="false">Thesis!F83+Thesis!F97*PL!F70+Thesis!F99-Thesis!F84-Thesis!F95</f>
        <v>14.8152827562272</v>
      </c>
      <c r="G100" s="6" t="n">
        <f aca="false">Thesis!G83+Thesis!G97*PL!G70+Thesis!G99-Thesis!G84-Thesis!G95</f>
        <v>31.0349977765951</v>
      </c>
      <c r="H100" s="6" t="n">
        <f aca="false">Thesis!H83+Thesis!H97*PL!H70+Thesis!H99-Thesis!H84-Thesis!H95</f>
        <v>47.8811519709826</v>
      </c>
      <c r="I100" s="6" t="n">
        <f aca="false">Thesis!I83+Thesis!I97*PL!I70+Thesis!I99-Thesis!I84-Thesis!I95</f>
        <v>62.6472166574028</v>
      </c>
      <c r="J100" s="6" t="n">
        <f aca="false">Thesis!J83+Thesis!J97*PL!J70+Thesis!J99-Thesis!J84-Thesis!J95</f>
        <v>72.7882253357034</v>
      </c>
      <c r="K100" s="6" t="n">
        <f aca="false">Thesis!K83+Thesis!K97*PL!K70+Thesis!K99-Thesis!K84-Thesis!K95</f>
        <v>79.4617812140187</v>
      </c>
    </row>
    <row r="101" customFormat="false" ht="17.15" hidden="false" customHeight="false" outlineLevel="0" collapsed="false">
      <c r="A101" s="0" t="s">
        <v>1008</v>
      </c>
      <c r="B101" s="0" t="s">
        <v>98</v>
      </c>
      <c r="E101" s="6" t="n">
        <f aca="false">Thesis!E63*(cxit_open+self_build*tk_cxfac)/1000*ai_net_open</f>
        <v>126.6980382</v>
      </c>
      <c r="F101" s="6" t="n">
        <f aca="false">Thesis!E101+Thesis!F92-Thesis!F95</f>
        <v>260.572627763768</v>
      </c>
      <c r="G101" s="6" t="n">
        <f aca="false">Thesis!F101+Thesis!G92-Thesis!G95</f>
        <v>391.782612760517</v>
      </c>
      <c r="H101" s="6" t="n">
        <f aca="false">Thesis!G101+Thesis!H92-Thesis!H95</f>
        <v>499.488526163584</v>
      </c>
      <c r="I101" s="6" t="n">
        <f aca="false">Thesis!H101+Thesis!I92-Thesis!I95</f>
        <v>553.872350090646</v>
      </c>
      <c r="J101" s="6" t="n">
        <f aca="false">Thesis!I101+Thesis!J92-Thesis!J95</f>
        <v>550.78660823699</v>
      </c>
      <c r="K101" s="6" t="n">
        <f aca="false">Thesis!J101+Thesis!K92-Thesis!K95</f>
        <v>526.736791750789</v>
      </c>
      <c r="L101" s="1" t="s">
        <v>1009</v>
      </c>
    </row>
    <row r="102" customFormat="false" ht="17.15" hidden="false" customHeight="false" outlineLevel="0" collapsed="false">
      <c r="A102" s="0" t="s">
        <v>1010</v>
      </c>
      <c r="B102" s="0" t="s">
        <v>168</v>
      </c>
      <c r="F102" s="7" t="n">
        <f aca="false">Thesis!F100*(1-tax_f)/((Thesis!E101+Thesis!F101)/2)</f>
        <v>0.0612090057246454</v>
      </c>
      <c r="G102" s="7" t="n">
        <f aca="false">Thesis!G100*(1-tax_f)/((Thesis!F101+Thesis!G101)/2)</f>
        <v>0.0761180310326695</v>
      </c>
      <c r="H102" s="7" t="n">
        <f aca="false">Thesis!H100*(1-tax_f)/((Thesis!G101+Thesis!H101)/2)</f>
        <v>0.0859557095566361</v>
      </c>
      <c r="I102" s="7" t="n">
        <f aca="false">Thesis!I100*(1-tax_f)/((Thesis!H101+Thesis!I101)/2)</f>
        <v>0.0951578408800258</v>
      </c>
      <c r="J102" s="7" t="n">
        <f aca="false">Thesis!J100*(1-tax_f)/((Thesis!I101+Thesis!J101)/2)</f>
        <v>0.105427253958487</v>
      </c>
      <c r="K102" s="7" t="n">
        <f aca="false">Thesis!K100*(1-tax_f)/((Thesis!J101+Thesis!K101)/2)</f>
        <v>0.117991729872291</v>
      </c>
    </row>
    <row r="103" customFormat="false" ht="17.15" hidden="false" customHeight="false" outlineLevel="0" collapsed="false">
      <c r="A103" s="1" t="s">
        <v>1011</v>
      </c>
      <c r="B103" s="0" t="s">
        <v>168</v>
      </c>
      <c r="F103" s="7" t="n">
        <f aca="false">(Thesis!F100-Thesis!F99)*(1-tax_f)/((Thesis!E101+Thesis!F101)/2)</f>
        <v>0.0209690655375262</v>
      </c>
      <c r="G103" s="7" t="n">
        <f aca="false">(Thesis!G100-Thesis!G99)*(1-tax_f)/((Thesis!F101+Thesis!G101)/2)</f>
        <v>0.014126436206105</v>
      </c>
      <c r="H103" s="7" t="n">
        <f aca="false">(Thesis!H100-Thesis!H99)*(1-tax_f)/((Thesis!G101+Thesis!H101)/2)</f>
        <v>0.010047899197893</v>
      </c>
      <c r="I103" s="7" t="n">
        <f aca="false">(Thesis!I100-Thesis!I99)*(1-tax_f)/((Thesis!H101+Thesis!I101)/2)</f>
        <v>0.00750705385359908</v>
      </c>
      <c r="J103" s="7" t="n">
        <f aca="false">(Thesis!J100-Thesis!J99)*(1-tax_f)/((Thesis!I101+Thesis!J101)/2)</f>
        <v>0.00623594924015468</v>
      </c>
      <c r="K103" s="7" t="n">
        <f aca="false">(Thesis!K100-Thesis!K99)*(1-tax_f)/((Thesis!J101+Thesis!K101)/2)</f>
        <v>0.00757580758951754</v>
      </c>
    </row>
    <row r="104" customFormat="false" ht="17.15" hidden="false" customHeight="false" outlineLevel="0" collapsed="false">
      <c r="A104" s="1" t="s">
        <v>1012</v>
      </c>
      <c r="B104" s="0" t="s">
        <v>168</v>
      </c>
      <c r="F104" s="7" t="n">
        <f aca="false">(Thesis!F100-Thesis!F99+Thesis!F98)*(1-tax_f)/((Thesis!E101+Thesis!F101)/2)</f>
        <v>0.0612090057246454</v>
      </c>
      <c r="G104" s="7" t="n">
        <f aca="false">(Thesis!G100-Thesis!G99+Thesis!G98)*(1-tax_f)/((Thesis!F101+Thesis!G101)/2)</f>
        <v>0.0761180310326695</v>
      </c>
      <c r="H104" s="7" t="n">
        <f aca="false">(Thesis!H100-Thesis!H99+Thesis!H98)*(1-tax_f)/((Thesis!G101+Thesis!H101)/2)</f>
        <v>0.0859557095566361</v>
      </c>
      <c r="I104" s="7" t="n">
        <f aca="false">(Thesis!I100-Thesis!I99+Thesis!I98)*(1-tax_f)/((Thesis!H101+Thesis!I101)/2)</f>
        <v>0.0951578408800258</v>
      </c>
      <c r="J104" s="7" t="n">
        <f aca="false">(Thesis!J100-Thesis!J99+Thesis!J98)*(1-tax_f)/((Thesis!I101+Thesis!J101)/2)</f>
        <v>0.105427253958487</v>
      </c>
      <c r="K104" s="7" t="n">
        <f aca="false">(Thesis!K100-Thesis!K99+Thesis!K98)*(1-tax_f)/((Thesis!J101+Thesis!K101)/2)</f>
        <v>0.117991729872291</v>
      </c>
    </row>
    <row r="105" customFormat="false" ht="17.15" hidden="false" customHeight="false" outlineLevel="0" collapsed="false">
      <c r="A105" s="1" t="s">
        <v>1013</v>
      </c>
      <c r="B105" s="0" t="s">
        <v>168</v>
      </c>
      <c r="F105" s="7" t="n">
        <f aca="false">Thesis!F96*(1-tax_f)/(Thesis!F82*(Thesis!E101+Thesis!F101)/2)</f>
        <v>0.129294830495493</v>
      </c>
      <c r="G105" s="7" t="n">
        <f aca="false">Thesis!G96*(1-tax_f)/(Thesis!G82*(Thesis!F101+Thesis!G101)/2)</f>
        <v>0.12719599062164</v>
      </c>
      <c r="H105" s="7" t="n">
        <f aca="false">Thesis!H96*(1-tax_f)/(Thesis!H82*(Thesis!G101+Thesis!H101)/2)</f>
        <v>0.130828167067624</v>
      </c>
      <c r="I105" s="7" t="n">
        <f aca="false">Thesis!I96*(1-tax_f)/(Thesis!I82*(Thesis!H101+Thesis!I101)/2)</f>
        <v>0.138614526937417</v>
      </c>
      <c r="J105" s="7" t="n">
        <f aca="false">Thesis!J96*(1-tax_f)/(Thesis!J82*(Thesis!I101+Thesis!J101)/2)</f>
        <v>0.150578919010924</v>
      </c>
      <c r="K105" s="7" t="n">
        <f aca="false">Thesis!K96*(1-tax_f)/(Thesis!K82*(Thesis!J101+Thesis!K101)/2)</f>
        <v>0.167005345886664</v>
      </c>
    </row>
    <row r="106" customFormat="false" ht="17.15" hidden="false" customHeight="false" outlineLevel="0" collapsed="false">
      <c r="A106" s="0" t="s">
        <v>1014</v>
      </c>
      <c r="B106" s="0" t="s">
        <v>253</v>
      </c>
      <c r="F106" s="7" t="n">
        <f aca="false">Thesis!F102-wacc</f>
        <v>-0.0417275852209519</v>
      </c>
      <c r="G106" s="7" t="n">
        <f aca="false">Thesis!G102-wacc</f>
        <v>-0.0268185599129278</v>
      </c>
      <c r="H106" s="7" t="n">
        <f aca="false">Thesis!H102-wacc</f>
        <v>-0.0169808813889612</v>
      </c>
      <c r="I106" s="7" t="n">
        <f aca="false">Thesis!I102-wacc</f>
        <v>-0.00777875006557149</v>
      </c>
      <c r="J106" s="7" t="n">
        <f aca="false">Thesis!J102-wacc</f>
        <v>0.0024906630128898</v>
      </c>
      <c r="K106" s="7" t="n">
        <f aca="false">Thesis!K102-wacc</f>
        <v>0.0150551389266932</v>
      </c>
    </row>
    <row r="107" customFormat="false" ht="17.15" hidden="false" customHeight="false" outlineLevel="0" collapsed="false">
      <c r="A107" s="0" t="s">
        <v>1015</v>
      </c>
      <c r="B107" s="0" t="s">
        <v>98</v>
      </c>
      <c r="F107" s="6" t="n">
        <f aca="false">Thesis!F100*(1-tax_f)-wacc*(Thesis!E101+Thesis!F101)/2</f>
        <v>-8.07993485878896</v>
      </c>
      <c r="G107" s="6" t="n">
        <f aca="false">Thesis!G100*(1-tax_f)-wacc*(Thesis!F101+Thesis!G101)/2</f>
        <v>-8.74761405125648</v>
      </c>
      <c r="H107" s="6" t="n">
        <f aca="false">Thesis!H100*(1-tax_f)-wacc*(Thesis!G101+Thesis!H101)/2</f>
        <v>-7.56728474773728</v>
      </c>
      <c r="I107" s="6" t="n">
        <f aca="false">Thesis!I100*(1-tax_f)-wacc*(Thesis!H101+Thesis!I101)/2</f>
        <v>-4.09691549261652</v>
      </c>
      <c r="J107" s="6" t="n">
        <f aca="false">Thesis!J100*(1-tax_f)-wacc*(Thesis!I101+Thesis!J101)/2</f>
        <v>1.37566660468201</v>
      </c>
      <c r="K107" s="6" t="n">
        <f aca="false">Thesis!K100*(1-tax_f)-wacc*(Thesis!J101+Thesis!K101)/2</f>
        <v>8.11113224178941</v>
      </c>
    </row>
    <row r="108" customFormat="false" ht="17.15" hidden="false" customHeight="false" outlineLevel="0" collapsed="false">
      <c r="A108" s="3" t="s">
        <v>1017</v>
      </c>
    </row>
    <row r="109" customFormat="false" ht="15" hidden="false" customHeight="false" outlineLevel="0" collapsed="false">
      <c r="A109" s="4" t="s">
        <v>43</v>
      </c>
      <c r="B109" s="4" t="s">
        <v>65</v>
      </c>
      <c r="C109" s="23" t="s">
        <v>938</v>
      </c>
      <c r="D109" s="23" t="s">
        <v>939</v>
      </c>
      <c r="E109" s="23" t="s">
        <v>940</v>
      </c>
      <c r="F109" s="23" t="s">
        <v>941</v>
      </c>
      <c r="G109" s="23" t="s">
        <v>942</v>
      </c>
      <c r="H109" s="23" t="s">
        <v>943</v>
      </c>
      <c r="I109" s="23" t="s">
        <v>944</v>
      </c>
      <c r="J109" s="23" t="s">
        <v>945</v>
      </c>
      <c r="K109" s="23" t="s">
        <v>946</v>
      </c>
      <c r="L109" s="4" t="s">
        <v>47</v>
      </c>
    </row>
    <row r="110" customFormat="false" ht="17.15" hidden="false" customHeight="false" outlineLevel="0" collapsed="false">
      <c r="A110" s="1" t="s">
        <v>947</v>
      </c>
      <c r="B110" s="1" t="s">
        <v>279</v>
      </c>
      <c r="C110" s="21" t="n">
        <v>2024</v>
      </c>
      <c r="D110" s="21" t="n">
        <v>2025</v>
      </c>
      <c r="E110" s="21" t="n">
        <v>2026</v>
      </c>
      <c r="F110" s="21" t="n">
        <v>2027</v>
      </c>
      <c r="G110" s="21" t="n">
        <v>2028</v>
      </c>
      <c r="H110" s="21" t="n">
        <v>2029</v>
      </c>
      <c r="I110" s="21" t="n">
        <v>2030</v>
      </c>
      <c r="J110" s="21" t="n">
        <v>2031</v>
      </c>
      <c r="K110" s="21" t="n">
        <v>2032</v>
      </c>
    </row>
    <row r="111" customFormat="false" ht="17.15" hidden="false" customHeight="false" outlineLevel="0" collapsed="false">
      <c r="A111" s="1" t="s">
        <v>948</v>
      </c>
      <c r="B111" s="0" t="s">
        <v>456</v>
      </c>
      <c r="F111" s="30" t="n">
        <f aca="false">pace</f>
        <v>2726.5351</v>
      </c>
      <c r="G111" s="30" t="n">
        <f aca="false">pace</f>
        <v>2726.5351</v>
      </c>
      <c r="H111" s="30" t="n">
        <f aca="false">pace</f>
        <v>2726.5351</v>
      </c>
      <c r="I111" s="30" t="n">
        <f aca="false">pace+(g_tv*Thesis!H112-pace)*MIN(1,(Thesis!I110-pace_y0)/(pace_y1-pace_y0))</f>
        <v>1931.98611966667</v>
      </c>
      <c r="J111" s="30" t="n">
        <f aca="false">pace+(g_tv*Thesis!I112-pace)*MIN(1,(Thesis!J110-pace_y0)/(pace_y1-pace_y0))</f>
        <v>1176.07686172667</v>
      </c>
      <c r="K111" s="30" t="n">
        <f aca="false">pace+(g_tv*Thesis!J112-pace)*MIN(1,(Thesis!K110-pace_y0)/(pace_y1-pace_y0))</f>
        <v>436.1300484418</v>
      </c>
      <c r="L111" s="12" t="s">
        <v>949</v>
      </c>
    </row>
    <row r="112" customFormat="false" ht="17.15" hidden="false" customHeight="false" outlineLevel="0" collapsed="false">
      <c r="A112" s="1" t="s">
        <v>950</v>
      </c>
      <c r="B112" s="0" t="s">
        <v>456</v>
      </c>
      <c r="C112" s="30" t="n">
        <f aca="false">mw_ext_24</f>
        <v>640</v>
      </c>
      <c r="D112" s="30" t="n">
        <f aca="false">mw_ext_25</f>
        <v>1630</v>
      </c>
      <c r="E112" s="30" t="n">
        <f aca="false">mw_ext_26</f>
        <v>3250</v>
      </c>
      <c r="F112" s="30" t="n">
        <f aca="false">Thesis!E112+Thesis!F111</f>
        <v>5976.5351</v>
      </c>
      <c r="G112" s="30" t="n">
        <f aca="false">Thesis!F112+Thesis!G111</f>
        <v>8703.0702</v>
      </c>
      <c r="H112" s="30" t="n">
        <f aca="false">Thesis!G112+Thesis!H111</f>
        <v>11429.6053</v>
      </c>
      <c r="I112" s="30" t="n">
        <f aca="false">Thesis!H112+Thesis!I111</f>
        <v>13361.5914196667</v>
      </c>
      <c r="J112" s="30" t="n">
        <f aca="false">Thesis!I112+Thesis!J111</f>
        <v>14537.6682813933</v>
      </c>
      <c r="K112" s="30" t="n">
        <f aca="false">Thesis!J112+Thesis!K111</f>
        <v>14973.7983298351</v>
      </c>
      <c r="L112" s="1" t="s">
        <v>951</v>
      </c>
    </row>
    <row r="113" customFormat="false" ht="17.15" hidden="false" customHeight="false" outlineLevel="0" collapsed="false">
      <c r="A113" s="1" t="s">
        <v>952</v>
      </c>
      <c r="B113" s="0" t="s">
        <v>456</v>
      </c>
      <c r="C113" s="30" t="n">
        <f aca="false">rent_ext_24</f>
        <v>150</v>
      </c>
      <c r="D113" s="30" t="n">
        <f aca="false">rent_ext_25</f>
        <v>400</v>
      </c>
      <c r="E113" s="30" t="n">
        <f aca="false">rent_ext_26</f>
        <v>550</v>
      </c>
      <c r="F113" s="30" t="n">
        <f aca="false">rent_ext_f</f>
        <v>756</v>
      </c>
      <c r="G113" s="30" t="n">
        <f aca="false">rent_ext_f</f>
        <v>756</v>
      </c>
      <c r="H113" s="30" t="n">
        <f aca="false">rent_ext_f</f>
        <v>756</v>
      </c>
      <c r="I113" s="30" t="n">
        <f aca="false">rent_ext_f</f>
        <v>756</v>
      </c>
      <c r="J113" s="30" t="n">
        <f aca="false">rent_ext_f</f>
        <v>756</v>
      </c>
      <c r="K113" s="30" t="n">
        <f aca="false">rent_ext_f</f>
        <v>756</v>
      </c>
      <c r="L113" s="1" t="s">
        <v>953</v>
      </c>
    </row>
    <row r="114" customFormat="false" ht="17.15" hidden="false" customHeight="false" outlineLevel="0" collapsed="false">
      <c r="A114" s="1" t="s">
        <v>954</v>
      </c>
      <c r="B114" s="0" t="s">
        <v>456</v>
      </c>
      <c r="C114" s="30" t="n">
        <f aca="false">Thesis!C112-Thesis!C113</f>
        <v>490</v>
      </c>
      <c r="D114" s="30" t="n">
        <f aca="false">Thesis!D112-Thesis!D113</f>
        <v>1230</v>
      </c>
      <c r="E114" s="30" t="n">
        <f aca="false">Thesis!E112-Thesis!E113</f>
        <v>2700</v>
      </c>
      <c r="F114" s="30" t="n">
        <f aca="false">Thesis!F112-Thesis!F113</f>
        <v>5220.5351</v>
      </c>
      <c r="G114" s="30" t="n">
        <f aca="false">Thesis!G112-Thesis!G113</f>
        <v>7947.0702</v>
      </c>
      <c r="H114" s="30" t="n">
        <f aca="false">Thesis!H112-Thesis!H113</f>
        <v>10673.6053</v>
      </c>
      <c r="I114" s="30" t="n">
        <f aca="false">Thesis!I112-Thesis!I113</f>
        <v>12605.5914196667</v>
      </c>
      <c r="J114" s="30" t="n">
        <f aca="false">Thesis!J112-Thesis!J113</f>
        <v>13781.6682813933</v>
      </c>
      <c r="K114" s="30" t="n">
        <f aca="false">Thesis!K112-Thesis!K113</f>
        <v>14217.7983298351</v>
      </c>
    </row>
    <row r="115" customFormat="false" ht="17.15" hidden="false" customHeight="false" outlineLevel="0" collapsed="false">
      <c r="A115" s="1" t="s">
        <v>955</v>
      </c>
      <c r="B115" s="0" t="s">
        <v>456</v>
      </c>
      <c r="C115" s="30" t="n">
        <f aca="false">Thesis!C114/ext_sh</f>
        <v>816.666666666667</v>
      </c>
      <c r="D115" s="30" t="n">
        <f aca="false">Thesis!D114/ext_sh</f>
        <v>2050</v>
      </c>
      <c r="E115" s="30" t="n">
        <f aca="false">Thesis!E114/ext_sh</f>
        <v>4500</v>
      </c>
      <c r="F115" s="30" t="n">
        <f aca="false">Thesis!F114/ext_sh</f>
        <v>8700.89183333333</v>
      </c>
      <c r="G115" s="30" t="n">
        <f aca="false">Thesis!G114/ext_sh</f>
        <v>13245.117</v>
      </c>
      <c r="H115" s="30" t="n">
        <f aca="false">Thesis!H114/ext_sh</f>
        <v>17789.3421666667</v>
      </c>
      <c r="I115" s="30" t="n">
        <f aca="false">Thesis!I114/ext_sh</f>
        <v>21009.3190327778</v>
      </c>
      <c r="J115" s="30" t="n">
        <f aca="false">Thesis!J114/ext_sh</f>
        <v>22969.4471356556</v>
      </c>
      <c r="K115" s="30" t="n">
        <f aca="false">Thesis!K114/ext_sh</f>
        <v>23696.3305497252</v>
      </c>
      <c r="L115" s="1" t="s">
        <v>956</v>
      </c>
    </row>
    <row r="116" customFormat="false" ht="17.15" hidden="false" customHeight="false" outlineLevel="0" collapsed="false">
      <c r="A116" s="1" t="s">
        <v>957</v>
      </c>
      <c r="B116" s="0" t="s">
        <v>456</v>
      </c>
      <c r="C116" s="30" t="n">
        <f aca="false">Thesis!C115-Thesis!C114</f>
        <v>326.666666666667</v>
      </c>
      <c r="D116" s="30" t="n">
        <f aca="false">Thesis!D115-Thesis!D114</f>
        <v>820</v>
      </c>
      <c r="E116" s="30" t="n">
        <f aca="false">Thesis!E115-Thesis!E114</f>
        <v>1800</v>
      </c>
      <c r="F116" s="30" t="n">
        <f aca="false">Thesis!F115-Thesis!F114</f>
        <v>3480.35673333333</v>
      </c>
      <c r="G116" s="30" t="n">
        <f aca="false">Thesis!G115-Thesis!G114</f>
        <v>5298.0468</v>
      </c>
      <c r="H116" s="30" t="n">
        <f aca="false">Thesis!H115-Thesis!H114</f>
        <v>7115.73686666667</v>
      </c>
      <c r="I116" s="30" t="n">
        <f aca="false">Thesis!I115-Thesis!I114</f>
        <v>8403.72761311111</v>
      </c>
      <c r="J116" s="30" t="n">
        <f aca="false">Thesis!J115-Thesis!J114</f>
        <v>9187.77885426222</v>
      </c>
      <c r="K116" s="30" t="n">
        <f aca="false">Thesis!K115-Thesis!K114</f>
        <v>9478.53221989009</v>
      </c>
    </row>
    <row r="117" customFormat="false" ht="17.15" hidden="false" customHeight="false" outlineLevel="0" collapsed="false">
      <c r="A117" s="1" t="s">
        <v>958</v>
      </c>
      <c r="B117" s="0" t="s">
        <v>456</v>
      </c>
      <c r="C117" s="30" t="n">
        <f aca="false">Thesis!C115</f>
        <v>816.666666666667</v>
      </c>
      <c r="D117" s="30" t="n">
        <f aca="false">Thesis!D115-Thesis!C115</f>
        <v>1233.33333333333</v>
      </c>
      <c r="E117" s="30" t="n">
        <f aca="false">Thesis!E115-Thesis!D115</f>
        <v>2450</v>
      </c>
      <c r="F117" s="30" t="n">
        <f aca="false">Thesis!F115-Thesis!E115</f>
        <v>4200.89183333333</v>
      </c>
      <c r="G117" s="30" t="n">
        <f aca="false">Thesis!G115-Thesis!F115</f>
        <v>4544.22516666667</v>
      </c>
      <c r="H117" s="30" t="n">
        <f aca="false">Thesis!H115-Thesis!G115</f>
        <v>4544.22516666667</v>
      </c>
      <c r="I117" s="30" t="n">
        <f aca="false">Thesis!I115-Thesis!H115</f>
        <v>3219.97686611111</v>
      </c>
      <c r="J117" s="30" t="n">
        <f aca="false">Thesis!J115-Thesis!I115</f>
        <v>1960.12810287778</v>
      </c>
      <c r="K117" s="30" t="n">
        <f aca="false">Thesis!K115-Thesis!J115</f>
        <v>726.883414069667</v>
      </c>
    </row>
    <row r="118" customFormat="false" ht="17.15" hidden="false" customHeight="false" outlineLevel="0" collapsed="false">
      <c r="A118" s="1" t="s">
        <v>959</v>
      </c>
      <c r="B118" s="0" t="s">
        <v>456</v>
      </c>
      <c r="D118" s="30" t="n">
        <f aca="false">Thesis!D112-Thesis!C112</f>
        <v>990</v>
      </c>
      <c r="E118" s="30" t="n">
        <f aca="false">Thesis!E112-Thesis!D112</f>
        <v>1620</v>
      </c>
      <c r="F118" s="30" t="n">
        <f aca="false">Thesis!F112-Thesis!E112</f>
        <v>2726.5351</v>
      </c>
      <c r="G118" s="30" t="n">
        <f aca="false">Thesis!G112-Thesis!F112</f>
        <v>2726.5351</v>
      </c>
      <c r="H118" s="30" t="n">
        <f aca="false">Thesis!H112-Thesis!G112</f>
        <v>2726.5351</v>
      </c>
      <c r="I118" s="30" t="n">
        <f aca="false">Thesis!I112-Thesis!H112</f>
        <v>1931.98611966667</v>
      </c>
      <c r="J118" s="30" t="n">
        <f aca="false">Thesis!J112-Thesis!I112</f>
        <v>1176.07686172667</v>
      </c>
      <c r="K118" s="30" t="n">
        <f aca="false">Thesis!K112-Thesis!J112</f>
        <v>436.130048441799</v>
      </c>
    </row>
    <row r="119" customFormat="false" ht="17.15" hidden="false" customHeight="false" outlineLevel="0" collapsed="false">
      <c r="A119" s="1" t="s">
        <v>960</v>
      </c>
      <c r="B119" s="0" t="s">
        <v>456</v>
      </c>
      <c r="F119" s="30" t="n">
        <f aca="false">Thesis!F138*ext_sh</f>
        <v>0</v>
      </c>
      <c r="G119" s="30" t="n">
        <f aca="false">Thesis!G138*ext_sh</f>
        <v>0</v>
      </c>
      <c r="H119" s="30" t="n">
        <f aca="false">Thesis!H138*ext_sh</f>
        <v>0</v>
      </c>
      <c r="I119" s="30" t="n">
        <f aca="false">Thesis!I138*ext_sh</f>
        <v>490</v>
      </c>
      <c r="J119" s="30" t="n">
        <f aca="false">Thesis!J138*ext_sh</f>
        <v>740</v>
      </c>
      <c r="K119" s="30" t="n">
        <f aca="false">Thesis!K138*ext_sh</f>
        <v>1470</v>
      </c>
      <c r="L119" s="1" t="s">
        <v>961</v>
      </c>
    </row>
    <row r="120" customFormat="false" ht="17.15" hidden="false" customHeight="false" outlineLevel="0" collapsed="false">
      <c r="A120" s="1" t="s">
        <v>962</v>
      </c>
      <c r="B120" s="0" t="s">
        <v>456</v>
      </c>
      <c r="C120" s="30" t="n">
        <f aca="false">mix_h*Thesis!C112</f>
        <v>128</v>
      </c>
      <c r="D120" s="30" t="n">
        <f aca="false">mix_h*Thesis!D112</f>
        <v>326</v>
      </c>
      <c r="E120" s="30" t="n">
        <f aca="false">mix_h*Thesis!E112</f>
        <v>650</v>
      </c>
      <c r="F120" s="30" t="n">
        <f aca="false">Thesis!E120-Thesis!F119*mix_h</f>
        <v>650</v>
      </c>
      <c r="G120" s="30" t="n">
        <f aca="false">Thesis!F120-Thesis!G119*mix_h</f>
        <v>650</v>
      </c>
      <c r="H120" s="30" t="n">
        <f aca="false">Thesis!G120-Thesis!H119*mix_h</f>
        <v>650</v>
      </c>
      <c r="I120" s="30" t="n">
        <f aca="false">Thesis!H120-Thesis!I119*mix_h</f>
        <v>552</v>
      </c>
      <c r="J120" s="30" t="n">
        <f aca="false">Thesis!I120-Thesis!J119*mix_h</f>
        <v>404</v>
      </c>
      <c r="K120" s="30" t="n">
        <f aca="false">Thesis!J120-Thesis!K119*mix_h</f>
        <v>110</v>
      </c>
    </row>
    <row r="121" customFormat="false" ht="17.15" hidden="false" customHeight="false" outlineLevel="0" collapsed="false">
      <c r="A121" s="1" t="s">
        <v>963</v>
      </c>
      <c r="B121" s="0" t="s">
        <v>456</v>
      </c>
      <c r="C121" s="30" t="n">
        <f aca="false">mix_g2*Thesis!C112</f>
        <v>288</v>
      </c>
      <c r="D121" s="30" t="n">
        <f aca="false">mix_g2*Thesis!D112</f>
        <v>733.5</v>
      </c>
      <c r="E121" s="30" t="n">
        <f aca="false">mix_g2*Thesis!E112</f>
        <v>1462.5</v>
      </c>
      <c r="F121" s="30" t="n">
        <f aca="false">Thesis!E121-Thesis!F119*mix_g2</f>
        <v>1462.5</v>
      </c>
      <c r="G121" s="30" t="n">
        <f aca="false">Thesis!F121-Thesis!G119*mix_g2</f>
        <v>1462.5</v>
      </c>
      <c r="H121" s="30" t="n">
        <f aca="false">Thesis!G121-Thesis!H119*mix_g2</f>
        <v>1462.5</v>
      </c>
      <c r="I121" s="30" t="n">
        <f aca="false">Thesis!H121-Thesis!I119*mix_g2</f>
        <v>1242</v>
      </c>
      <c r="J121" s="30" t="n">
        <f aca="false">Thesis!I121-Thesis!J119*mix_g2</f>
        <v>909</v>
      </c>
      <c r="K121" s="30" t="n">
        <f aca="false">Thesis!J121-Thesis!K119*mix_g2</f>
        <v>247.5</v>
      </c>
    </row>
    <row r="122" customFormat="false" ht="17.15" hidden="false" customHeight="false" outlineLevel="0" collapsed="false">
      <c r="A122" s="1" t="s">
        <v>964</v>
      </c>
      <c r="B122" s="0" t="s">
        <v>456</v>
      </c>
      <c r="C122" s="30" t="n">
        <f aca="false">mix_g3*Thesis!C112</f>
        <v>224</v>
      </c>
      <c r="D122" s="30" t="n">
        <f aca="false">mix_g3*Thesis!D112</f>
        <v>570.5</v>
      </c>
      <c r="E122" s="30" t="n">
        <f aca="false">mix_g3*Thesis!E112</f>
        <v>1137.5</v>
      </c>
      <c r="F122" s="30" t="n">
        <f aca="false">Thesis!E122+(Thesis!F118+Thesis!F119)*(a_g3_27-nonnv*a_mai)-Thesis!F119*mix_g3</f>
        <v>2773.42106</v>
      </c>
      <c r="G122" s="30" t="n">
        <f aca="false">Thesis!F122+(Thesis!G118+Thesis!G119)*(a_g3_28-nonnv*a_mai)-Thesis!G119*mix_g3</f>
        <v>3318.72808</v>
      </c>
      <c r="H122" s="30" t="n">
        <f aca="false">Thesis!G122+(Thesis!H118+Thesis!H119)*(a_g3_29-nonnv*a_mai)-Thesis!H119*mix_g3</f>
        <v>3318.72808</v>
      </c>
      <c r="I122" s="30" t="n">
        <f aca="false">Thesis!H122+(Thesis!I118+Thesis!I119)*(a_g3_29-nonnv*a_mai)-Thesis!I119*mix_g3</f>
        <v>3147.22808</v>
      </c>
      <c r="J122" s="30" t="n">
        <f aca="false">Thesis!I122+(Thesis!J118+Thesis!J119)*(a_g3_29-nonnv*a_mai)-Thesis!J119*mix_g3</f>
        <v>2888.22808</v>
      </c>
      <c r="K122" s="30" t="n">
        <f aca="false">Thesis!J122+(Thesis!K118+Thesis!K119)*(a_g3_29-nonnv*a_mai)-Thesis!K119*mix_g3</f>
        <v>2373.72808</v>
      </c>
    </row>
    <row r="123" customFormat="false" ht="17.15" hidden="false" customHeight="false" outlineLevel="0" collapsed="false">
      <c r="A123" s="1" t="s">
        <v>965</v>
      </c>
      <c r="B123" s="0" t="s">
        <v>456</v>
      </c>
      <c r="C123" s="30" t="n">
        <v>0</v>
      </c>
      <c r="D123" s="30" t="n">
        <v>0</v>
      </c>
      <c r="E123" s="30" t="n">
        <v>0</v>
      </c>
      <c r="F123" s="30" t="n">
        <f aca="false">Thesis!E123+(Thesis!F118+Thesis!F119)*nonnv*a_mai</f>
        <v>272.65351</v>
      </c>
      <c r="G123" s="30" t="n">
        <f aca="false">Thesis!F123+(Thesis!G118+Thesis!G119)*nonnv*a_mai</f>
        <v>545.30702</v>
      </c>
      <c r="H123" s="30" t="n">
        <f aca="false">Thesis!G123+(Thesis!H118+Thesis!H119)*nonnv*a_mai</f>
        <v>817.96053</v>
      </c>
      <c r="I123" s="30" t="n">
        <f aca="false">Thesis!H123+(Thesis!I118+Thesis!I119)*nonnv*a_mai</f>
        <v>1060.15914196667</v>
      </c>
      <c r="J123" s="30" t="n">
        <f aca="false">Thesis!I123+(Thesis!J118+Thesis!J119)*nonnv*a_mai</f>
        <v>1251.76682813933</v>
      </c>
      <c r="K123" s="30" t="n">
        <f aca="false">Thesis!J123+(Thesis!K118+Thesis!K119)*nonnv*a_mai</f>
        <v>1442.37983298351</v>
      </c>
      <c r="L123" s="12" t="s">
        <v>966</v>
      </c>
    </row>
    <row r="124" customFormat="false" ht="17.15" hidden="false" customHeight="false" outlineLevel="0" collapsed="false">
      <c r="A124" s="1" t="s">
        <v>967</v>
      </c>
      <c r="B124" s="0" t="s">
        <v>456</v>
      </c>
      <c r="C124" s="30" t="n">
        <v>0</v>
      </c>
      <c r="D124" s="30" t="n">
        <v>0</v>
      </c>
      <c r="E124" s="30" t="n">
        <v>0</v>
      </c>
      <c r="F124" s="30" t="n">
        <f aca="false">Thesis!E124+(Thesis!F118+Thesis!F119)*(1-a_g3_27)</f>
        <v>817.96053</v>
      </c>
      <c r="G124" s="30" t="n">
        <f aca="false">Thesis!F124+(Thesis!G118+Thesis!G119)*(1-a_g3_28)</f>
        <v>2726.5351</v>
      </c>
      <c r="H124" s="30" t="n">
        <f aca="false">Thesis!G124+(Thesis!H118+Thesis!H119)*(1-a_g3_29)</f>
        <v>5180.41669</v>
      </c>
      <c r="I124" s="30" t="n">
        <f aca="false">Thesis!H124+(Thesis!I118+Thesis!I119)*(1-a_g3_29)</f>
        <v>7360.2041977</v>
      </c>
      <c r="J124" s="30" t="n">
        <f aca="false">Thesis!I124+(Thesis!J118+Thesis!J119)*(1-a_g3_29)</f>
        <v>9084.673373254</v>
      </c>
      <c r="K124" s="30" t="n">
        <f aca="false">Thesis!J124+(Thesis!K118+Thesis!K119)*(1-a_g3_29)</f>
        <v>10800.1904168516</v>
      </c>
    </row>
    <row r="125" customFormat="false" ht="17.15" hidden="false" customHeight="false" outlineLevel="0" collapsed="false">
      <c r="A125" s="1" t="s">
        <v>968</v>
      </c>
      <c r="B125" s="0" t="s">
        <v>403</v>
      </c>
      <c r="C125" s="15" t="n">
        <f aca="false">(Thesis!C120*tk_hold_h100+Thesis!C121*tk_hold_gb200+Thesis!C122*tk_hold_gb300+Thesis!C124*tk_hold_vr200+Thesis!C123*nv_hold_mai*tk_hold_vr200)/Thesis!C112</f>
        <v>9.7235358126469</v>
      </c>
      <c r="D125" s="15" t="n">
        <f aca="false">(Thesis!D120*tk_hold_h100+Thesis!D121*tk_hold_gb200+Thesis!D122*tk_hold_gb300+Thesis!D124*tk_hold_vr200+Thesis!D123*nv_hold_mai*tk_hold_vr200)/Thesis!D112</f>
        <v>9.7235358126469</v>
      </c>
      <c r="E125" s="15" t="n">
        <f aca="false">(Thesis!E120*tk_hold_h100+Thesis!E121*tk_hold_gb200+Thesis!E122*tk_hold_gb300+Thesis!E124*tk_hold_vr200+Thesis!E123*nv_hold_mai*tk_hold_vr200)/Thesis!E112</f>
        <v>9.7235358126469</v>
      </c>
      <c r="F125" s="15" t="n">
        <f aca="false">(Thesis!F120*tk_hold_h100+Thesis!F121*tk_hold_gb200+Thesis!F122*tk_hold_gb300+Thesis!F124*tk_hold_vr200+Thesis!F123*nv_hold_mai*tk_hold_vr200)/Thesis!F112</f>
        <v>10.2195353876665</v>
      </c>
      <c r="G125" s="15" t="n">
        <f aca="false">(Thesis!G120*tk_hold_h100+Thesis!G121*tk_hold_gb200+Thesis!G122*tk_hold_gb300+Thesis!G124*tk_hold_vr200+Thesis!G123*nv_hold_mai*tk_hold_vr200)/Thesis!G112</f>
        <v>10.5725598017306</v>
      </c>
      <c r="H125" s="15" t="n">
        <f aca="false">(Thesis!H120*tk_hold_h100+Thesis!H121*tk_hold_gb200+Thesis!H122*tk_hold_gb300+Thesis!H124*tk_hold_vr200+Thesis!H123*nv_hold_mai*tk_hold_vr200)/Thesis!H112</f>
        <v>10.8210427149036</v>
      </c>
      <c r="I125" s="15" t="n">
        <f aca="false">(Thesis!I120*tk_hold_h100+Thesis!I121*tk_hold_gb200+Thesis!I122*tk_hold_gb300+Thesis!I124*tk_hold_vr200+Thesis!I123*nv_hold_mai*tk_hold_vr200)/Thesis!I112</f>
        <v>11.0050618241982</v>
      </c>
      <c r="J125" s="15" t="n">
        <f aca="false">(Thesis!J120*tk_hold_h100+Thesis!J121*tk_hold_gb200+Thesis!J122*tk_hold_gb300+Thesis!J124*tk_hold_vr200+Thesis!J123*nv_hold_mai*tk_hold_vr200)/Thesis!J112</f>
        <v>11.1505789658881</v>
      </c>
      <c r="K125" s="15" t="n">
        <f aca="false">(Thesis!K120*tk_hold_h100+Thesis!K121*tk_hold_gb200+Thesis!K122*tk_hold_gb300+Thesis!K124*tk_hold_vr200+Thesis!K123*nv_hold_mai*tk_hold_vr200)/Thesis!K112</f>
        <v>11.3496914757183</v>
      </c>
      <c r="L125" s="1" t="s">
        <v>969</v>
      </c>
    </row>
    <row r="126" customFormat="false" ht="17.15" hidden="false" customHeight="false" outlineLevel="0" collapsed="false">
      <c r="A126" s="1" t="s">
        <v>970</v>
      </c>
      <c r="B126" s="0" t="s">
        <v>403</v>
      </c>
      <c r="C126" s="15" t="n">
        <f aca="false">(Thesis!C120*tk_hold_h100+Thesis!C121*tk_hold_gb200+Thesis!C122*tk_hold_gb300+Thesis!C124*tk_hold_vr200+Thesis!C123*nv_out_mai*tk_hold_vr200)/Thesis!C112</f>
        <v>9.7235358126469</v>
      </c>
      <c r="D126" s="15" t="n">
        <f aca="false">(Thesis!D120*tk_hold_h100+Thesis!D121*tk_hold_gb200+Thesis!D122*tk_hold_gb300+Thesis!D124*tk_hold_vr200+Thesis!D123*nv_out_mai*tk_hold_vr200)/Thesis!D112</f>
        <v>9.7235358126469</v>
      </c>
      <c r="E126" s="15" t="n">
        <f aca="false">(Thesis!E120*tk_hold_h100+Thesis!E121*tk_hold_gb200+Thesis!E122*tk_hold_gb300+Thesis!E124*tk_hold_vr200+Thesis!E123*nv_out_mai*tk_hold_vr200)/Thesis!E112</f>
        <v>9.7235358126469</v>
      </c>
      <c r="F126" s="15" t="n">
        <f aca="false">(Thesis!F120*tk_hold_h100+Thesis!F121*tk_hold_gb200+Thesis!F122*tk_hold_gb300+Thesis!F124*tk_hold_vr200+Thesis!F123*nv_out_mai*tk_hold_vr200)/Thesis!F112</f>
        <v>10.247422093969</v>
      </c>
      <c r="G126" s="15" t="n">
        <f aca="false">(Thesis!G120*tk_hold_h100+Thesis!G121*tk_hold_gb200+Thesis!G122*tk_hold_gb300+Thesis!G124*tk_hold_vr200+Thesis!G123*nv_out_mai*tk_hold_vr200)/Thesis!G112</f>
        <v>10.6108602808053</v>
      </c>
      <c r="H126" s="15" t="n">
        <f aca="false">(Thesis!H120*tk_hold_h100+Thesis!H121*tk_hold_gb200+Thesis!H122*tk_hold_gb300+Thesis!H124*tk_hold_vr200+Thesis!H123*nv_out_mai*tk_hold_vr200)/Thesis!H112</f>
        <v>10.8647885507393</v>
      </c>
      <c r="I126" s="15" t="n">
        <f aca="false">(Thesis!I120*tk_hold_h100+Thesis!I121*tk_hold_gb200+Thesis!I122*tk_hold_gb300+Thesis!I124*tk_hold_vr200+Thesis!I123*nv_out_mai*tk_hold_vr200)/Thesis!I112</f>
        <v>11.0535625770025</v>
      </c>
      <c r="J126" s="15" t="n">
        <f aca="false">(Thesis!J120*tk_hold_h100+Thesis!J121*tk_hold_gb200+Thesis!J122*tk_hold_gb300+Thesis!J124*tk_hold_vr200+Thesis!J123*nv_out_mai*tk_hold_vr200)/Thesis!J112</f>
        <v>11.2032127128058</v>
      </c>
      <c r="K126" s="15" t="n">
        <f aca="false">(Thesis!K120*tk_hold_h100+Thesis!K121*tk_hold_gb200+Thesis!K122*tk_hold_gb300+Thesis!K124*tk_hold_vr200+Thesis!K123*nv_out_mai*tk_hold_vr200)/Thesis!K112</f>
        <v>11.4085735724225</v>
      </c>
      <c r="L126" s="12" t="s">
        <v>971</v>
      </c>
    </row>
    <row r="127" customFormat="false" ht="17.15" hidden="false" customHeight="false" outlineLevel="0" collapsed="false">
      <c r="A127" s="0" t="s">
        <v>972</v>
      </c>
      <c r="B127" s="0" t="s">
        <v>229</v>
      </c>
      <c r="C127" s="15" t="n">
        <f aca="false">k_B</f>
        <v>1.17213932619116</v>
      </c>
      <c r="D127" s="15" t="n">
        <f aca="false">k_B</f>
        <v>1.17213932619116</v>
      </c>
      <c r="E127" s="15" t="n">
        <f aca="false">k_B</f>
        <v>1.17213932619116</v>
      </c>
      <c r="F127" s="15" t="n">
        <f aca="false">(k_B+((ls_C*k_long+(1-ls_C)*k_spot)-k_B)*MIN(1,(Thesis!F110-base_fy)/k_ramp))</f>
        <v>1.07843258004497</v>
      </c>
      <c r="G127" s="15" t="n">
        <f aca="false">(k_B+((ls_C*k_long+(1-ls_C)*k_spot)-k_B)*MIN(1,(Thesis!G110-base_fy)/k_ramp))</f>
        <v>0.984725833898784</v>
      </c>
      <c r="H127" s="15" t="n">
        <f aca="false">(k_B+((ls_C*k_long+(1-ls_C)*k_spot)-k_B)*MIN(1,(Thesis!H110-base_fy)/k_ramp))</f>
        <v>0.891019087752599</v>
      </c>
      <c r="I127" s="15" t="n">
        <f aca="false">(k_B+((ls_C*k_long+(1-ls_C)*k_spot)-k_B)*MIN(1,(Thesis!I110-base_fy)/k_ramp))</f>
        <v>0.891019087752599</v>
      </c>
      <c r="J127" s="15" t="n">
        <f aca="false">(k_B+((ls_C*k_long+(1-ls_C)*k_spot)-k_B)*MIN(1,(Thesis!J110-base_fy)/k_ramp))</f>
        <v>0.891019087752599</v>
      </c>
      <c r="K127" s="15" t="n">
        <f aca="false">(k_B+((ls_C*k_long+(1-ls_C)*k_spot)-k_B)*MIN(1,(Thesis!K110-base_fy)/k_ramp))</f>
        <v>0.891019087752599</v>
      </c>
      <c r="L127" s="1" t="s">
        <v>973</v>
      </c>
    </row>
    <row r="128" customFormat="false" ht="17.15" hidden="false" customHeight="false" outlineLevel="0" collapsed="false">
      <c r="A128" s="1" t="s">
        <v>974</v>
      </c>
      <c r="B128" s="0" t="s">
        <v>403</v>
      </c>
      <c r="C128" s="15" t="n">
        <f aca="false">Thesis!C126*Thesis!C127*chip_f</f>
        <v>11.3973387156315</v>
      </c>
      <c r="D128" s="15" t="n">
        <f aca="false">Thesis!D126*Thesis!D127*chip_f</f>
        <v>11.3973387156315</v>
      </c>
      <c r="E128" s="15" t="n">
        <f aca="false">Thesis!E126*Thesis!E127*chip_f</f>
        <v>11.3973387156315</v>
      </c>
      <c r="F128" s="15" t="n">
        <f aca="false">Thesis!F126*Thesis!F127*chip_f</f>
        <v>11.0511538476088</v>
      </c>
      <c r="G128" s="15" t="n">
        <f aca="false">Thesis!G126*Thesis!G127*chip_f</f>
        <v>10.4487882383995</v>
      </c>
      <c r="H128" s="15" t="n">
        <f aca="false">Thesis!H126*Thesis!H127*chip_f</f>
        <v>9.68073398310464</v>
      </c>
      <c r="I128" s="15" t="n">
        <f aca="false">Thesis!I126*Thesis!I127*chip_f</f>
        <v>9.84893524377706</v>
      </c>
      <c r="J128" s="15" t="n">
        <f aca="false">Thesis!J126*Thesis!J127*chip_f</f>
        <v>9.98227637126252</v>
      </c>
      <c r="K128" s="15" t="n">
        <f aca="false">Thesis!K126*Thesis!K127*chip_f</f>
        <v>10.1652568170583</v>
      </c>
      <c r="L128" s="1" t="s">
        <v>975</v>
      </c>
    </row>
    <row r="129" customFormat="false" ht="17.15" hidden="false" customHeight="false" outlineLevel="0" collapsed="false">
      <c r="A129" s="0" t="s">
        <v>976</v>
      </c>
      <c r="B129" s="0" t="s">
        <v>98</v>
      </c>
      <c r="D129" s="6" t="n">
        <f aca="false">(Thesis!C112+Thesis!D112)/2*Thesis!D128/1000</f>
        <v>12.9359794422418</v>
      </c>
      <c r="E129" s="6" t="n">
        <f aca="false">(Thesis!D112+Thesis!E112)/2*Thesis!E128/1000</f>
        <v>27.8095064661409</v>
      </c>
      <c r="F129" s="6" t="n">
        <f aca="false">(Thesis!E112+Thesis!F112)/2*Thesis!F128/1000</f>
        <v>50.9819294352312</v>
      </c>
      <c r="G129" s="6" t="n">
        <f aca="false">(Thesis!F112+Thesis!G112)/2*Thesis!G128/1000</f>
        <v>76.6920436014933</v>
      </c>
      <c r="H129" s="6" t="n">
        <f aca="false">(Thesis!G112+Thesis!H112)/2*Thesis!H128/1000</f>
        <v>97.4495379418341</v>
      </c>
      <c r="I129" s="6" t="n">
        <f aca="false">(Thesis!H112+Thesis!I112)/2*Thesis!I128/1000</f>
        <v>122.083445553868</v>
      </c>
      <c r="J129" s="6" t="n">
        <f aca="false">(Thesis!I112+Thesis!J112)/2*Thesis!J128/1000</f>
        <v>139.249060444804</v>
      </c>
      <c r="K129" s="6" t="n">
        <f aca="false">(Thesis!J112+Thesis!K112)/2*Thesis!K128/1000</f>
        <v>149.995818575589</v>
      </c>
      <c r="L129" s="12" t="s">
        <v>977</v>
      </c>
    </row>
    <row r="130" customFormat="false" ht="17.15" hidden="false" customHeight="false" outlineLevel="0" collapsed="false">
      <c r="A130" s="1" t="s">
        <v>978</v>
      </c>
      <c r="B130" s="0" t="s">
        <v>403</v>
      </c>
      <c r="C130" s="15" t="n">
        <f aca="false">(Thesis!C120*tk_opex_h100+Thesis!C121*tk_opex_gb200+Thesis!C122*tk_opex_gb300+(Thesis!C124+Thesis!C123)*tk_opex_vr200)/Thesis!C112</f>
        <v>1.88636041306092</v>
      </c>
      <c r="D130" s="15" t="n">
        <f aca="false">(Thesis!D120*tk_opex_h100+Thesis!D121*tk_opex_gb200+Thesis!D122*tk_opex_gb300+(Thesis!D124+Thesis!D123)*tk_opex_vr200)/Thesis!D112</f>
        <v>1.88636041306092</v>
      </c>
      <c r="E130" s="15" t="n">
        <f aca="false">(Thesis!E120*tk_opex_h100+Thesis!E121*tk_opex_gb200+Thesis!E122*tk_opex_gb300+(Thesis!E124+Thesis!E123)*tk_opex_vr200)/Thesis!E112</f>
        <v>1.88636041306092</v>
      </c>
      <c r="F130" s="15" t="n">
        <f aca="false">(Thesis!F120*tk_opex_h100+Thesis!F121*tk_opex_gb200+Thesis!F122*tk_opex_gb300+(Thesis!F124+Thesis!F123)*tk_opex_vr200)/Thesis!F112</f>
        <v>1.95051159746876</v>
      </c>
      <c r="G130" s="15" t="n">
        <f aca="false">(Thesis!G120*tk_opex_h100+Thesis!G121*tk_opex_gb200+Thesis!G122*tk_opex_gb300+(Thesis!G124+Thesis!G123)*tk_opex_vr200)/Thesis!G112</f>
        <v>1.98836003669956</v>
      </c>
      <c r="H130" s="15" t="n">
        <f aca="false">(Thesis!H120*tk_opex_h100+Thesis!H121*tk_opex_gb200+Thesis!H122*tk_opex_gb300+(Thesis!H124+Thesis!H123)*tk_opex_vr200)/Thesis!H112</f>
        <v>2.01344013834343</v>
      </c>
      <c r="I130" s="15" t="n">
        <f aca="false">(Thesis!I120*tk_opex_h100+Thesis!I121*tk_opex_gb200+Thesis!I122*tk_opex_gb300+(Thesis!I124+Thesis!I123)*tk_opex_vr200)/Thesis!I112</f>
        <v>2.03261166882178</v>
      </c>
      <c r="J130" s="15" t="n">
        <f aca="false">(Thesis!J120*tk_opex_h100+Thesis!J121*tk_opex_gb200+Thesis!J122*tk_opex_gb300+(Thesis!J124+Thesis!J123)*tk_opex_vr200)/Thesis!J112</f>
        <v>2.04808073288745</v>
      </c>
      <c r="K130" s="15" t="n">
        <f aca="false">(Thesis!K120*tk_opex_h100+Thesis!K121*tk_opex_gb200+Thesis!K122*tk_opex_gb300+(Thesis!K124+Thesis!K123)*tk_opex_vr200)/Thesis!K112</f>
        <v>2.06973825807449</v>
      </c>
      <c r="L130" s="12" t="s">
        <v>979</v>
      </c>
    </row>
    <row r="131" customFormat="false" ht="17.15" hidden="false" customHeight="false" outlineLevel="0" collapsed="false">
      <c r="A131" s="0" t="s">
        <v>980</v>
      </c>
      <c r="B131" s="0" t="s">
        <v>98</v>
      </c>
      <c r="D131" s="6" t="n">
        <f aca="false">(Thesis!C115+Thesis!D115)/2*Thesis!D130/1000</f>
        <v>2.70378325872065</v>
      </c>
      <c r="E131" s="6" t="n">
        <f aca="false">(Thesis!D115+Thesis!E115)/2*Thesis!E130/1000</f>
        <v>6.17783035277451</v>
      </c>
      <c r="F131" s="6" t="n">
        <f aca="false">(Thesis!E115+Thesis!F115)/2*Thesis!F130/1000</f>
        <v>12.8742463089237</v>
      </c>
      <c r="G131" s="6" t="n">
        <f aca="false">(Thesis!F115+Thesis!G115)/2*Thesis!G130/1000</f>
        <v>21.8182834646277</v>
      </c>
      <c r="H131" s="6" t="n">
        <f aca="false">(Thesis!G115+Thesis!H115)/2*Thesis!H130/1000</f>
        <v>31.2430128789734</v>
      </c>
      <c r="I131" s="6" t="n">
        <f aca="false">(Thesis!H115+Thesis!I115)/2*Thesis!I130/1000</f>
        <v>39.4313057443268</v>
      </c>
      <c r="J131" s="6" t="n">
        <f aca="false">(Thesis!I115+Thesis!J115)/2*Thesis!J130/1000</f>
        <v>45.0360318228653</v>
      </c>
      <c r="K131" s="6" t="n">
        <f aca="false">(Thesis!J115+Thesis!K115)/2*Thesis!K130/1000</f>
        <v>48.2929727091156</v>
      </c>
    </row>
    <row r="132" customFormat="false" ht="17.15" hidden="false" customHeight="false" outlineLevel="0" collapsed="false">
      <c r="A132" s="0" t="s">
        <v>981</v>
      </c>
      <c r="B132" s="0" t="s">
        <v>98</v>
      </c>
      <c r="D132" s="6" t="n">
        <f aca="false">(Thesis!C113+Thesis!D113)/2*rent_mw/1000</f>
        <v>2.44475</v>
      </c>
      <c r="E132" s="6" t="n">
        <f aca="false">(Thesis!D113+Thesis!E113)/2*rent_mw/1000</f>
        <v>4.22275</v>
      </c>
      <c r="F132" s="6" t="n">
        <f aca="false">(Thesis!E113+Thesis!F113)/2*rent_mw/1000</f>
        <v>5.80517</v>
      </c>
      <c r="G132" s="6" t="n">
        <f aca="false">(Thesis!F113+Thesis!G113)/2*rent_mw/1000</f>
        <v>6.72084</v>
      </c>
      <c r="H132" s="6" t="n">
        <f aca="false">(Thesis!G113+Thesis!H113)/2*rent_mw/1000</f>
        <v>6.72084</v>
      </c>
      <c r="I132" s="6" t="n">
        <f aca="false">(Thesis!H113+Thesis!I113)/2*rent_mw/1000</f>
        <v>6.72084</v>
      </c>
      <c r="J132" s="6" t="n">
        <f aca="false">(Thesis!I113+Thesis!J113)/2*rent_mw/1000</f>
        <v>6.72084</v>
      </c>
      <c r="K132" s="6" t="n">
        <f aca="false">(Thesis!J113+Thesis!K113)/2*rent_mw/1000</f>
        <v>6.72084</v>
      </c>
    </row>
    <row r="133" customFormat="false" ht="17.15" hidden="false" customHeight="false" outlineLevel="0" collapsed="false">
      <c r="A133" s="0" t="s">
        <v>982</v>
      </c>
      <c r="B133" s="0" t="s">
        <v>98</v>
      </c>
      <c r="D133" s="6" t="n">
        <f aca="false">(Thesis!C115+Thesis!D115)/2*(1-self_build)*fac_rent/1000</f>
        <v>0.853242375631075</v>
      </c>
      <c r="E133" s="6" t="n">
        <f aca="false">(Thesis!D115+Thesis!E115)/2*(1-self_build)*fac_rent/1000</f>
        <v>1.94955961408728</v>
      </c>
      <c r="F133" s="6" t="n">
        <f aca="false">(Thesis!E115+Thesis!F115)/2*(1-self_build)*fac_rent/1000</f>
        <v>3.92914894476356</v>
      </c>
      <c r="G133" s="6" t="n">
        <f aca="false">(Thesis!F115+Thesis!G115)/2*(1-self_build)*fac_rent/1000</f>
        <v>6.53206908578159</v>
      </c>
      <c r="H133" s="6" t="n">
        <f aca="false">(Thesis!G115+Thesis!H115)/2*(1-self_build)*fac_rent/1000</f>
        <v>9.23717988341591</v>
      </c>
      <c r="I133" s="6" t="n">
        <f aca="false">(Thesis!H115+Thesis!I115)/2*(1-self_build)*fac_rent/1000</f>
        <v>11.5481378557393</v>
      </c>
      <c r="J133" s="6" t="n">
        <f aca="false">(Thesis!I115+Thesis!J115)/2*(1-self_build)*fac_rent/1000</f>
        <v>13.0899582289108</v>
      </c>
      <c r="K133" s="6" t="n">
        <f aca="false">(Thesis!J115+Thesis!K115)/2*(1-self_build)*fac_rent/1000</f>
        <v>13.8897275626556</v>
      </c>
      <c r="L133" s="12" t="s">
        <v>983</v>
      </c>
    </row>
    <row r="134" customFormat="false" ht="17.15" hidden="false" customHeight="false" outlineLevel="0" collapsed="false">
      <c r="A134" s="1" t="s">
        <v>984</v>
      </c>
      <c r="B134" s="0" t="s">
        <v>168</v>
      </c>
      <c r="D134" s="7" t="n">
        <f aca="false">(Thesis!C114+Thesis!D114)/(Thesis!C115+Thesis!D115)</f>
        <v>0.6</v>
      </c>
      <c r="E134" s="7" t="n">
        <f aca="false">(Thesis!D114+Thesis!E114)/(Thesis!D115+Thesis!E115)</f>
        <v>0.6</v>
      </c>
      <c r="F134" s="7" t="n">
        <f aca="false">(Thesis!E114+Thesis!F114)/(Thesis!E115+Thesis!F115)</f>
        <v>0.6</v>
      </c>
      <c r="G134" s="7" t="n">
        <f aca="false">(Thesis!F114+Thesis!G114)/(Thesis!F115+Thesis!G115)</f>
        <v>0.6</v>
      </c>
      <c r="H134" s="7" t="n">
        <f aca="false">(Thesis!G114+Thesis!H114)/(Thesis!G115+Thesis!H115)</f>
        <v>0.6</v>
      </c>
      <c r="I134" s="7" t="n">
        <f aca="false">(Thesis!H114+Thesis!I114)/(Thesis!H115+Thesis!I115)</f>
        <v>0.6</v>
      </c>
      <c r="J134" s="7" t="n">
        <f aca="false">(Thesis!I114+Thesis!J114)/(Thesis!I115+Thesis!J115)</f>
        <v>0.6</v>
      </c>
      <c r="K134" s="7" t="n">
        <f aca="false">(Thesis!J114+Thesis!K114)/(Thesis!J115+Thesis!K115)</f>
        <v>0.6</v>
      </c>
    </row>
    <row r="135" customFormat="false" ht="17.15" hidden="false" customHeight="false" outlineLevel="0" collapsed="false">
      <c r="A135" s="0" t="s">
        <v>985</v>
      </c>
      <c r="B135" s="0" t="s">
        <v>98</v>
      </c>
      <c r="D135" s="6" t="n">
        <f aca="false">Thesis!D129-Thesis!D134*(Thesis!D131+Thesis!D133)-Thesis!D132</f>
        <v>8.35701406163072</v>
      </c>
      <c r="E135" s="6" t="n">
        <f aca="false">Thesis!E129-Thesis!E134*(Thesis!E131+Thesis!E133)-Thesis!E132</f>
        <v>18.7103224860238</v>
      </c>
      <c r="F135" s="6" t="n">
        <f aca="false">Thesis!F129-Thesis!F134*(Thesis!F131+Thesis!F133)-Thesis!F132</f>
        <v>35.0947222830189</v>
      </c>
      <c r="G135" s="6" t="n">
        <f aca="false">Thesis!G129-Thesis!G134*(Thesis!G131+Thesis!G133)-Thesis!G132</f>
        <v>52.9609920712477</v>
      </c>
      <c r="H135" s="6" t="n">
        <f aca="false">Thesis!H129-Thesis!H134*(Thesis!H131+Thesis!H133)-Thesis!H132</f>
        <v>66.4405822844005</v>
      </c>
      <c r="I135" s="6" t="n">
        <f aca="false">Thesis!I129-Thesis!I134*(Thesis!I131+Thesis!I133)-Thesis!I132</f>
        <v>84.7749393938279</v>
      </c>
      <c r="J135" s="6" t="n">
        <f aca="false">Thesis!J129-Thesis!J134*(Thesis!J131+Thesis!J133)-Thesis!J132</f>
        <v>97.6526264137382</v>
      </c>
      <c r="K135" s="6" t="n">
        <f aca="false">Thesis!K129-Thesis!K134*(Thesis!K131+Thesis!K133)-Thesis!K132</f>
        <v>105.965358412527</v>
      </c>
    </row>
    <row r="136" customFormat="false" ht="17.15" hidden="false" customHeight="false" outlineLevel="0" collapsed="false">
      <c r="A136" s="1" t="s">
        <v>986</v>
      </c>
      <c r="B136" s="0" t="s">
        <v>98</v>
      </c>
      <c r="D136" s="6" t="n">
        <f aca="false">(1-Thesis!D134)*(Thesis!D131+Thesis!D133)</f>
        <v>1.42281025374069</v>
      </c>
      <c r="E136" s="6" t="n">
        <f aca="false">(1-Thesis!E134)*(Thesis!E131+Thesis!E133)</f>
        <v>3.25095598674472</v>
      </c>
      <c r="F136" s="6" t="n">
        <f aca="false">(1-Thesis!F134)*(Thesis!F131+Thesis!F133)</f>
        <v>6.72135810147489</v>
      </c>
      <c r="G136" s="6" t="n">
        <f aca="false">(1-Thesis!G134)*(Thesis!G131+Thesis!G133)</f>
        <v>11.3401410201637</v>
      </c>
      <c r="H136" s="6" t="n">
        <f aca="false">(1-Thesis!H134)*(Thesis!H131+Thesis!H133)</f>
        <v>16.1920771049557</v>
      </c>
      <c r="I136" s="6" t="n">
        <f aca="false">(1-Thesis!I134)*(Thesis!I131+Thesis!I133)</f>
        <v>20.3917774400264</v>
      </c>
      <c r="J136" s="6" t="n">
        <f aca="false">(1-Thesis!J134)*(Thesis!J131+Thesis!J133)</f>
        <v>23.2503960207104</v>
      </c>
      <c r="K136" s="6" t="n">
        <f aca="false">(1-Thesis!K134)*(Thesis!K131+Thesis!K133)</f>
        <v>24.8730801087085</v>
      </c>
    </row>
    <row r="137" customFormat="false" ht="17.15" hidden="false" customHeight="false" outlineLevel="0" collapsed="false">
      <c r="A137" s="1" t="s">
        <v>987</v>
      </c>
      <c r="B137" s="0" t="s">
        <v>414</v>
      </c>
      <c r="C137" s="8" t="n">
        <f aca="false">cxit_open</f>
        <v>27.5918995</v>
      </c>
      <c r="D137" s="8" t="n">
        <f aca="false">cxit_open</f>
        <v>27.5918995</v>
      </c>
      <c r="E137" s="8" t="n">
        <f aca="false">cxit_open</f>
        <v>27.5918995</v>
      </c>
      <c r="F137" s="8" t="n">
        <f aca="false">((a_g3_27-nonnv*a_mai)*tk_cxit_gb300+nonnv*a_mai*nv_hold_mai*tk_cxit_vr200+(1-a_g3_27)*tk_cxit_vr200)</f>
        <v>32.4975576</v>
      </c>
      <c r="G137" s="8" t="n">
        <f aca="false">((a_g3_28-nonnv*a_mai)*tk_cxit_gb300+nonnv*a_mai*nv_hold_mai*tk_cxit_vr200+(1-a_g3_28)*tk_cxit_vr200)</f>
        <v>34.6372088</v>
      </c>
      <c r="H137" s="8" t="n">
        <f aca="false">((a_g3_29-nonnv*a_mai)*tk_cxit_gb300+nonnv*a_mai*nv_hold_mai*tk_cxit_vr200+(1-a_g3_29)*tk_cxit_vr200)</f>
        <v>35.7070344</v>
      </c>
      <c r="I137" s="8" t="n">
        <f aca="false">((a_g3_29-nonnv*a_mai)*tk_cxit_gb300+nonnv*a_mai*nv_hold_mai*tk_cxit_vr200+(1-a_g3_29)*tk_cxit_vr200)</f>
        <v>35.7070344</v>
      </c>
      <c r="J137" s="8" t="n">
        <f aca="false">((a_g3_29-nonnv*a_mai)*tk_cxit_gb300+nonnv*a_mai*nv_hold_mai*tk_cxit_vr200+(1-a_g3_29)*tk_cxit_vr200)</f>
        <v>35.7070344</v>
      </c>
      <c r="K137" s="8" t="n">
        <f aca="false">((a_g3_29-nonnv*a_mai)*tk_cxit_gb300+nonnv*a_mai*nv_hold_mai*tk_cxit_vr200+(1-a_g3_29)*tk_cxit_vr200)</f>
        <v>35.7070344</v>
      </c>
      <c r="L137" s="12" t="s">
        <v>988</v>
      </c>
    </row>
    <row r="138" customFormat="false" ht="17.15" hidden="false" customHeight="false" outlineLevel="0" collapsed="false">
      <c r="A138" s="0" t="s">
        <v>989</v>
      </c>
      <c r="B138" s="0" t="s">
        <v>456</v>
      </c>
      <c r="F138" s="30" t="n">
        <f aca="false">Thesis!C117*IF(Thesis!F110-Thesis!C110=life_it,1,0)+Thesis!D117*IF(Thesis!F110-Thesis!D110=life_it,1,0)+Thesis!E117*IF(Thesis!F110-Thesis!E110=life_it,1,0)</f>
        <v>0</v>
      </c>
      <c r="G138" s="30" t="n">
        <f aca="false">Thesis!C117*IF(Thesis!G110-Thesis!C110=life_it,1,0)+Thesis!D117*IF(Thesis!G110-Thesis!D110=life_it,1,0)+Thesis!E117*IF(Thesis!G110-Thesis!E110=life_it,1,0)+Thesis!F117*IF(Thesis!G110-Thesis!F110=life_it,1,0)</f>
        <v>0</v>
      </c>
      <c r="H138" s="30" t="n">
        <f aca="false">Thesis!C117*IF(Thesis!H110-Thesis!C110=life_it,1,0)+Thesis!D117*IF(Thesis!H110-Thesis!D110=life_it,1,0)+Thesis!E117*IF(Thesis!H110-Thesis!E110=life_it,1,0)+Thesis!F117*IF(Thesis!H110-Thesis!F110=life_it,1,0)+Thesis!G117*IF(Thesis!H110-Thesis!G110=life_it,1,0)</f>
        <v>0</v>
      </c>
      <c r="I138" s="30" t="n">
        <f aca="false">Thesis!C117*IF(Thesis!I110-Thesis!C110=life_it,1,0)+Thesis!D117*IF(Thesis!I110-Thesis!D110=life_it,1,0)+Thesis!E117*IF(Thesis!I110-Thesis!E110=life_it,1,0)+Thesis!F117*IF(Thesis!I110-Thesis!F110=life_it,1,0)+Thesis!G117*IF(Thesis!I110-Thesis!G110=life_it,1,0)+Thesis!H117*IF(Thesis!I110-Thesis!H110=life_it,1,0)</f>
        <v>816.666666666667</v>
      </c>
      <c r="J138" s="30" t="n">
        <f aca="false">Thesis!C117*IF(Thesis!J110-Thesis!C110=life_it,1,0)+Thesis!D117*IF(Thesis!J110-Thesis!D110=life_it,1,0)+Thesis!E117*IF(Thesis!J110-Thesis!E110=life_it,1,0)+Thesis!F117*IF(Thesis!J110-Thesis!F110=life_it,1,0)+Thesis!G117*IF(Thesis!J110-Thesis!G110=life_it,1,0)+Thesis!H117*IF(Thesis!J110-Thesis!H110=life_it,1,0)+Thesis!I117*IF(Thesis!J110-Thesis!I110=life_it,1,0)</f>
        <v>1233.33333333333</v>
      </c>
      <c r="K138" s="30" t="n">
        <f aca="false">Thesis!C117*IF(Thesis!K110-Thesis!C110=life_it,1,0)+Thesis!D117*IF(Thesis!K110-Thesis!D110=life_it,1,0)+Thesis!E117*IF(Thesis!K110-Thesis!E110=life_it,1,0)+Thesis!F117*IF(Thesis!K110-Thesis!F110=life_it,1,0)+Thesis!G117*IF(Thesis!K110-Thesis!G110=life_it,1,0)+Thesis!H117*IF(Thesis!K110-Thesis!H110=life_it,1,0)+Thesis!I117*IF(Thesis!K110-Thesis!I110=life_it,1,0)+Thesis!J117*IF(Thesis!K110-Thesis!J110=life_it,1,0)</f>
        <v>2450</v>
      </c>
      <c r="L138" s="1" t="s">
        <v>990</v>
      </c>
    </row>
    <row r="139" customFormat="false" ht="17.15" hidden="false" customHeight="false" outlineLevel="0" collapsed="false">
      <c r="A139" s="0" t="s">
        <v>991</v>
      </c>
      <c r="B139" s="0" t="s">
        <v>98</v>
      </c>
      <c r="C139" s="6" t="n">
        <f aca="false">Thesis!C117*Thesis!C137/1000</f>
        <v>22.5333845916667</v>
      </c>
      <c r="D139" s="6" t="n">
        <f aca="false">Thesis!D117*Thesis!D137/1000</f>
        <v>34.0300093833333</v>
      </c>
      <c r="E139" s="6" t="n">
        <f aca="false">Thesis!E117*Thesis!E137/1000</f>
        <v>67.600153775</v>
      </c>
      <c r="F139" s="6" t="n">
        <f aca="false">(Thesis!F117+Thesis!F138)*Thesis!F137/1000</f>
        <v>136.51872432512</v>
      </c>
      <c r="G139" s="6" t="n">
        <f aca="false">(Thesis!G117+Thesis!G138)*Thesis!G137/1000</f>
        <v>157.399275932048</v>
      </c>
      <c r="H139" s="6" t="n">
        <f aca="false">(Thesis!H117+Thesis!H138)*Thesis!H137/1000</f>
        <v>162.260804347512</v>
      </c>
      <c r="I139" s="6" t="n">
        <f aca="false">(Thesis!I117+Thesis!I138)*Thesis!I137/1000</f>
        <v>144.136569485434</v>
      </c>
      <c r="J139" s="6" t="n">
        <f aca="false">(Thesis!J117+Thesis!J138)*Thesis!J137/1000</f>
        <v>114.029037357864</v>
      </c>
      <c r="K139" s="6" t="n">
        <f aca="false">(Thesis!K117+Thesis!K138)*Thesis!K137/1000</f>
        <v>113.437085350975</v>
      </c>
    </row>
    <row r="140" customFormat="false" ht="17.15" hidden="false" customHeight="false" outlineLevel="0" collapsed="false">
      <c r="A140" s="0" t="s">
        <v>992</v>
      </c>
      <c r="B140" s="0" t="s">
        <v>98</v>
      </c>
      <c r="C140" s="6" t="n">
        <f aca="false">Thesis!C117*self_build*tk_cxfac/1000</f>
        <v>6.2083</v>
      </c>
      <c r="D140" s="6" t="n">
        <f aca="false">Thesis!D117*self_build*tk_cxfac/1000</f>
        <v>9.3758</v>
      </c>
      <c r="E140" s="6" t="n">
        <f aca="false">Thesis!E117*self_build*tk_cxfac/1000</f>
        <v>18.6249</v>
      </c>
      <c r="F140" s="6" t="n">
        <f aca="false">Thesis!F117*self_build*tk_cxfac/1000</f>
        <v>31.935179717</v>
      </c>
      <c r="G140" s="6" t="n">
        <f aca="false">Thesis!G117*self_build*tk_cxfac/1000</f>
        <v>34.545199717</v>
      </c>
      <c r="H140" s="6" t="n">
        <f aca="false">Thesis!H117*self_build*tk_cxfac/1000</f>
        <v>34.545199717</v>
      </c>
      <c r="I140" s="6" t="n">
        <f aca="false">Thesis!I117*self_build*tk_cxfac/1000</f>
        <v>24.4782641361767</v>
      </c>
      <c r="J140" s="6" t="n">
        <f aca="false">Thesis!J117*self_build*tk_cxfac/1000</f>
        <v>14.9008938380769</v>
      </c>
      <c r="K140" s="6" t="n">
        <f aca="false">Thesis!K117*self_build*tk_cxfac/1000</f>
        <v>5.52576771375761</v>
      </c>
    </row>
    <row r="141" customFormat="false" ht="17.15" hidden="false" customHeight="false" outlineLevel="0" collapsed="false">
      <c r="A141" s="0" t="s">
        <v>993</v>
      </c>
      <c r="B141" s="0" t="s">
        <v>98</v>
      </c>
      <c r="F141" s="15" t="n">
        <f aca="false">capex_floor27-Thesis!F139-Thesis!F140-CF!F89</f>
        <v>-0.0799631154216058</v>
      </c>
      <c r="L141" s="12" t="s">
        <v>994</v>
      </c>
    </row>
    <row r="142" customFormat="false" ht="17.15" hidden="false" customHeight="false" outlineLevel="0" collapsed="false">
      <c r="A142" s="0" t="s">
        <v>995</v>
      </c>
      <c r="B142" s="0" t="s">
        <v>98</v>
      </c>
      <c r="F142" s="6" t="n">
        <f aca="false">MAX(0,Thesis!F141)</f>
        <v>0</v>
      </c>
    </row>
    <row r="143" customFormat="false" ht="17.15" hidden="false" customHeight="false" outlineLevel="0" collapsed="false">
      <c r="A143" s="0" t="s">
        <v>996</v>
      </c>
      <c r="B143" s="0" t="s">
        <v>98</v>
      </c>
      <c r="C143" s="6" t="n">
        <f aca="false">Thesis!C139</f>
        <v>22.5333845916667</v>
      </c>
      <c r="D143" s="6" t="n">
        <f aca="false">Thesis!D139</f>
        <v>34.0300093833333</v>
      </c>
      <c r="E143" s="6" t="n">
        <f aca="false">Thesis!E139</f>
        <v>67.600153775</v>
      </c>
      <c r="F143" s="6" t="n">
        <f aca="false">Thesis!F139</f>
        <v>136.51872432512</v>
      </c>
      <c r="G143" s="6" t="n">
        <f aca="false">Thesis!G139</f>
        <v>157.399275932048</v>
      </c>
      <c r="H143" s="6" t="n">
        <f aca="false">Thesis!H139</f>
        <v>162.260804347512</v>
      </c>
      <c r="I143" s="6" t="n">
        <f aca="false">Thesis!I139</f>
        <v>144.136569485434</v>
      </c>
      <c r="J143" s="6" t="n">
        <f aca="false">Thesis!J139</f>
        <v>114.029037357864</v>
      </c>
      <c r="K143" s="6" t="n">
        <f aca="false">Thesis!K139</f>
        <v>113.437085350975</v>
      </c>
    </row>
    <row r="144" customFormat="false" ht="17.15" hidden="false" customHeight="false" outlineLevel="0" collapsed="false">
      <c r="A144" s="0" t="s">
        <v>997</v>
      </c>
      <c r="B144" s="0" t="s">
        <v>98</v>
      </c>
      <c r="C144" s="6" t="n">
        <f aca="false">Thesis!C143+Thesis!C140</f>
        <v>28.7416845916667</v>
      </c>
      <c r="D144" s="6" t="n">
        <f aca="false">Thesis!D143+Thesis!D140</f>
        <v>43.4058093833333</v>
      </c>
      <c r="E144" s="6" t="n">
        <f aca="false">Thesis!E143+Thesis!E140</f>
        <v>86.225053775</v>
      </c>
      <c r="F144" s="6" t="n">
        <f aca="false">Thesis!F143+Thesis!F140</f>
        <v>168.45390404212</v>
      </c>
      <c r="G144" s="6" t="n">
        <f aca="false">Thesis!G143+Thesis!G140</f>
        <v>191.944475649048</v>
      </c>
      <c r="H144" s="6" t="n">
        <f aca="false">Thesis!H143+Thesis!H140</f>
        <v>196.806004064512</v>
      </c>
      <c r="I144" s="6" t="n">
        <f aca="false">Thesis!I143+Thesis!I140</f>
        <v>168.61483362161</v>
      </c>
      <c r="J144" s="6" t="n">
        <f aca="false">Thesis!J143+Thesis!J140</f>
        <v>128.92993119594</v>
      </c>
      <c r="K144" s="6" t="n">
        <f aca="false">Thesis!K143+Thesis!K140</f>
        <v>118.962853064733</v>
      </c>
      <c r="L144" s="12" t="s">
        <v>998</v>
      </c>
    </row>
    <row r="145" customFormat="false" ht="17.15" hidden="false" customHeight="false" outlineLevel="0" collapsed="false">
      <c r="A145" s="0" t="s">
        <v>999</v>
      </c>
      <c r="B145" s="0" t="s">
        <v>98</v>
      </c>
      <c r="E145" s="6" t="n">
        <f aca="false">(Thesis!C143*IF(2&lt;life_it,1,IF(2=life_it,0.5,0))+Thesis!D143*IF(1&lt;life_it,1,IF(1=life_it,0.5,0))+Thesis!E143*0.5)/life_it</f>
        <v>15.0605784770833</v>
      </c>
      <c r="F145" s="6" t="n">
        <f aca="false">(Thesis!C143*IF(3&lt;life_it,1,IF(3=life_it,0.5,0))+Thesis!D143*IF(2&lt;life_it,1,IF(2=life_it,0.5,0))+Thesis!E143*IF(1&lt;life_it,1,IF(1=life_it,0.5,0))+Thesis!F143*0.5)/life_it</f>
        <v>32.0704849854266</v>
      </c>
      <c r="G145" s="6" t="n">
        <f aca="false">(Thesis!C143*IF(4&lt;life_it,1,IF(4=life_it,0.5,0))+Thesis!D143*IF(3&lt;life_it,1,IF(3=life_it,0.5,0))+Thesis!E143*IF(2&lt;life_it,1,IF(2=life_it,0.5,0))+Thesis!F143*IF(1&lt;life_it,1,IF(1=life_it,0.5,0))+Thesis!G143*0.5)/life_it</f>
        <v>56.5636516735239</v>
      </c>
      <c r="H145" s="6" t="n">
        <f aca="false">(Thesis!C143*IF(5&lt;life_it,1,IF(5=life_it,0.5,0))+Thesis!D143*IF(4&lt;life_it,1,IF(4=life_it,0.5,0))+Thesis!E143*IF(3&lt;life_it,1,IF(3=life_it,0.5,0))+Thesis!F143*IF(2&lt;life_it,1,IF(2=life_it,0.5,0))+Thesis!G143*IF(1&lt;life_it,1,IF(1=life_it,0.5,0))+Thesis!H143*0.5)/life_it</f>
        <v>83.2019916968207</v>
      </c>
      <c r="I145" s="6" t="n">
        <f aca="false">(Thesis!C143*IF(6&lt;life_it,1,IF(6=life_it,0.5,0))+Thesis!D143*IF(5&lt;life_it,1,IF(5=life_it,0.5,0))+Thesis!E143*IF(4&lt;life_it,1,IF(4=life_it,0.5,0))+Thesis!F143*IF(3&lt;life_it,1,IF(3=life_it,0.5,0))+Thesis!G143*IF(2&lt;life_it,1,IF(2=life_it,0.5,0))+Thesis!H143*IF(1&lt;life_it,1,IF(1=life_it,0.5,0))+Thesis!I143*0.5)/life_it</f>
        <v>106.857324133594</v>
      </c>
      <c r="J145" s="6" t="n">
        <f aca="false">(Thesis!C143*IF(7&lt;life_it,1,IF(7=life_it,0.5,0))+Thesis!D143*IF(6&lt;life_it,1,IF(6=life_it,0.5,0))+Thesis!E143*IF(5&lt;life_it,1,IF(5=life_it,0.5,0))+Thesis!F143*IF(4&lt;life_it,1,IF(4=life_it,0.5,0))+Thesis!G143*IF(3&lt;life_it,1,IF(3=life_it,0.5,0))+Thesis!H143*IF(2&lt;life_it,1,IF(2=life_it,0.5,0))+Thesis!I143*IF(1&lt;life_it,1,IF(1=life_it,0.5,0))+Thesis!J143*0.5)/life_it</f>
        <v>123.657508539285</v>
      </c>
      <c r="K145" s="6" t="n">
        <f aca="false">(Thesis!C143*IF(8&lt;life_it,1,IF(8=life_it,0.5,0))+Thesis!D143*IF(7&lt;life_it,1,IF(7=life_it,0.5,0))+Thesis!E143*IF(6&lt;life_it,1,IF(6=life_it,0.5,0))+Thesis!F143*IF(5&lt;life_it,1,IF(5=life_it,0.5,0))+Thesis!G143*IF(4&lt;life_it,1,IF(4=life_it,0.5,0))+Thesis!H143*IF(3&lt;life_it,1,IF(3=life_it,0.5,0))+Thesis!I143*IF(2&lt;life_it,1,IF(2=life_it,0.5,0))+Thesis!J143*IF(1&lt;life_it,1,IF(1=life_it,0.5,0))+Thesis!K143*0.5)/life_it</f>
        <v>134.143838501827</v>
      </c>
    </row>
    <row r="146" customFormat="false" ht="17.15" hidden="false" customHeight="false" outlineLevel="0" collapsed="false">
      <c r="A146" s="0" t="s">
        <v>1000</v>
      </c>
      <c r="B146" s="0" t="s">
        <v>98</v>
      </c>
      <c r="E146" s="6" t="n">
        <f aca="false">(Thesis!C140*IF(2&lt;life_fac,1,IF(2=life_fac,0.5,0))+Thesis!D140*IF(1&lt;life_fac,1,IF(1=life_fac,0.5,0))+Thesis!E140*0.5)/life_fac</f>
        <v>1.2448275</v>
      </c>
      <c r="F146" s="6" t="n">
        <f aca="false">(Thesis!C140*IF(3&lt;life_fac,1,IF(3=life_fac,0.5,0))+Thesis!D140*IF(2&lt;life_fac,1,IF(2=life_fac,0.5,0))+Thesis!E140*IF(1&lt;life_fac,1,IF(1=life_fac,0.5,0))+Thesis!F140*0.5)/life_fac</f>
        <v>2.508829492925</v>
      </c>
      <c r="G146" s="6" t="n">
        <f aca="false">(Thesis!C140*IF(4&lt;life_fac,1,IF(4=life_fac,0.5,0))+Thesis!D140*IF(3&lt;life_fac,1,IF(3=life_fac,0.5,0))+Thesis!E140*IF(2&lt;life_fac,1,IF(2=life_fac,0.5,0))+Thesis!F140*IF(1&lt;life_fac,1,IF(1=life_fac,0.5,0))+Thesis!G140*0.5)/life_fac</f>
        <v>4.170838978775</v>
      </c>
      <c r="H146" s="6" t="n">
        <f aca="false">(Thesis!C140*IF(5&lt;life_fac,1,IF(5=life_fac,0.5,0))+Thesis!D140*IF(4&lt;life_fac,1,IF(4=life_fac,0.5,0))+Thesis!E140*IF(3&lt;life_fac,1,IF(3=life_fac,0.5,0))+Thesis!F140*IF(2&lt;life_fac,1,IF(2=life_fac,0.5,0))+Thesis!G140*IF(1&lt;life_fac,1,IF(1=life_fac,0.5,0))+Thesis!H140*0.5)/life_fac</f>
        <v>5.898098964625</v>
      </c>
      <c r="I146" s="6" t="n">
        <f aca="false">(Thesis!C140*IF(6&lt;life_fac,1,IF(6=life_fac,0.5,0))+Thesis!D140*IF(5&lt;life_fac,1,IF(5=life_fac,0.5,0))+Thesis!E140*IF(4&lt;life_fac,1,IF(4=life_fac,0.5,0))+Thesis!F140*IF(3&lt;life_fac,1,IF(3=life_fac,0.5,0))+Thesis!G140*IF(2&lt;life_fac,1,IF(2=life_fac,0.5,0))+Thesis!H140*IF(1&lt;life_fac,1,IF(1=life_fac,0.5,0))+Thesis!I140*0.5)/life_fac</f>
        <v>7.37368556095442</v>
      </c>
      <c r="J146" s="6" t="n">
        <f aca="false">(Thesis!C140*IF(7&lt;life_fac,1,IF(7=life_fac,0.5,0))+Thesis!D140*IF(6&lt;life_fac,1,IF(6=life_fac,0.5,0))+Thesis!E140*IF(5&lt;life_fac,1,IF(5=life_fac,0.5,0))+Thesis!F140*IF(4&lt;life_fac,1,IF(4=life_fac,0.5,0))+Thesis!G140*IF(3&lt;life_fac,1,IF(3=life_fac,0.5,0))+Thesis!H140*IF(2&lt;life_fac,1,IF(2=life_fac,0.5,0))+Thesis!I140*IF(1&lt;life_fac,1,IF(1=life_fac,0.5,0))+Thesis!J140*0.5)/life_fac</f>
        <v>8.35816451031075</v>
      </c>
      <c r="K146" s="6" t="n">
        <f aca="false">(Thesis!C140*IF(8&lt;life_fac,1,IF(8=life_fac,0.5,0))+Thesis!D140*IF(7&lt;life_fac,1,IF(7=life_fac,0.5,0))+Thesis!E140*IF(6&lt;life_fac,1,IF(6=life_fac,0.5,0))+Thesis!F140*IF(5&lt;life_fac,1,IF(5=life_fac,0.5,0))+Thesis!G140*IF(4&lt;life_fac,1,IF(4=life_fac,0.5,0))+Thesis!H140*IF(3&lt;life_fac,1,IF(3=life_fac,0.5,0))+Thesis!I140*IF(2&lt;life_fac,1,IF(2=life_fac,0.5,0))+Thesis!J140*IF(1&lt;life_fac,1,IF(1=life_fac,0.5,0))+Thesis!K140*0.5)/life_fac</f>
        <v>8.86883104910662</v>
      </c>
    </row>
    <row r="147" customFormat="false" ht="17.15" hidden="false" customHeight="false" outlineLevel="0" collapsed="false">
      <c r="A147" s="0" t="s">
        <v>1001</v>
      </c>
      <c r="B147" s="0" t="s">
        <v>98</v>
      </c>
      <c r="E147" s="6" t="n">
        <f aca="false">Thesis!E145+Thesis!E146</f>
        <v>16.3054059770833</v>
      </c>
      <c r="F147" s="6" t="n">
        <f aca="false">Thesis!F145+Thesis!F146</f>
        <v>34.5793144783516</v>
      </c>
      <c r="G147" s="6" t="n">
        <f aca="false">Thesis!G145+Thesis!G146</f>
        <v>60.7344906522989</v>
      </c>
      <c r="H147" s="6" t="n">
        <f aca="false">Thesis!H145+Thesis!H146</f>
        <v>89.1000906614457</v>
      </c>
      <c r="I147" s="6" t="n">
        <f aca="false">Thesis!I145+Thesis!I146</f>
        <v>114.231009694548</v>
      </c>
      <c r="J147" s="6" t="n">
        <f aca="false">Thesis!J145+Thesis!J146</f>
        <v>132.015673049596</v>
      </c>
      <c r="K147" s="6" t="n">
        <f aca="false">Thesis!K145+Thesis!K146</f>
        <v>143.012669550934</v>
      </c>
    </row>
    <row r="148" customFormat="false" ht="17.15" hidden="false" customHeight="false" outlineLevel="0" collapsed="false">
      <c r="A148" s="0" t="s">
        <v>1002</v>
      </c>
      <c r="B148" s="0" t="s">
        <v>98</v>
      </c>
      <c r="E148" s="6" t="n">
        <f aca="false">Thesis!E135-Thesis!E134*Thesis!E147</f>
        <v>8.92707889977379</v>
      </c>
      <c r="F148" s="6" t="n">
        <f aca="false">Thesis!F135-Thesis!F134*Thesis!F147</f>
        <v>14.3471335960079</v>
      </c>
      <c r="G148" s="6" t="n">
        <f aca="false">Thesis!G135-Thesis!G134*Thesis!G147</f>
        <v>16.5202976798683</v>
      </c>
      <c r="H148" s="6" t="n">
        <f aca="false">Thesis!H135-Thesis!H134*Thesis!H147</f>
        <v>12.9805278875331</v>
      </c>
      <c r="I148" s="6" t="n">
        <f aca="false">Thesis!I135-Thesis!I134*Thesis!I147</f>
        <v>16.2363335770989</v>
      </c>
      <c r="J148" s="6" t="n">
        <f aca="false">Thesis!J135-Thesis!J134*Thesis!J147</f>
        <v>18.4432225839805</v>
      </c>
      <c r="K148" s="6" t="n">
        <f aca="false">Thesis!K135-Thesis!K134*Thesis!K147</f>
        <v>20.1577566819661</v>
      </c>
    </row>
    <row r="149" customFormat="false" ht="17.15" hidden="false" customHeight="false" outlineLevel="0" collapsed="false">
      <c r="A149" s="0" t="s">
        <v>1003</v>
      </c>
      <c r="B149" s="0" t="s">
        <v>98</v>
      </c>
      <c r="E149" s="6" t="n">
        <f aca="false">Seg!E65</f>
        <v>5.25</v>
      </c>
      <c r="F149" s="6" t="n">
        <f aca="false">Seg!F65</f>
        <v>10.5</v>
      </c>
      <c r="G149" s="6" t="n">
        <f aca="false">Seg!G65</f>
        <v>13.5</v>
      </c>
      <c r="H149" s="6" t="n">
        <f aca="false">Seg!H65</f>
        <v>16.5</v>
      </c>
      <c r="I149" s="6" t="n">
        <f aca="false">Seg!I65</f>
        <v>18.75</v>
      </c>
      <c r="J149" s="6" t="n">
        <f aca="false">Seg!J65</f>
        <v>20.25</v>
      </c>
      <c r="K149" s="6" t="n">
        <f aca="false">Seg!K65</f>
        <v>21.75</v>
      </c>
    </row>
    <row r="150" customFormat="false" ht="17.15" hidden="false" customHeight="false" outlineLevel="0" collapsed="false">
      <c r="A150" s="1" t="s">
        <v>1004</v>
      </c>
      <c r="B150" s="0" t="s">
        <v>98</v>
      </c>
      <c r="F150" s="6" t="n">
        <f aca="false">MAX(0,((Thesis!E116+Thesis!F116)/2-(shadow_base*(Thesis!$D$116+Thesis!$E$116)/2+(1-shadow_base)*Thesis!$E$116))*Thesis!F125/1000-(Thesis!F149-Thesis!$E$149)*PL!F109)</f>
        <v>10.5962787979473</v>
      </c>
      <c r="G150" s="6" t="n">
        <f aca="false">MAX(0,((Thesis!F116+Thesis!G116)/2-(shadow_base*(Thesis!$D$116+Thesis!$E$116)/2+(1-shadow_base)*Thesis!$E$116))*Thesis!G125/1000-(Thesis!G149-Thesis!$E$149)*PL!G109)</f>
        <v>27.844646674932</v>
      </c>
      <c r="H150" s="6" t="n">
        <f aca="false">MAX(0,((Thesis!G116+Thesis!H116)/2-(shadow_base*(Thesis!$D$116+Thesis!$E$116)/2+(1-shadow_base)*Thesis!$E$116))*Thesis!H125/1000-(Thesis!H149-Thesis!$E$149)*PL!H109)</f>
        <v>46.566205501382</v>
      </c>
      <c r="I150" s="6" t="n">
        <f aca="false">MAX(0,((Thesis!H116+Thesis!I116)/2-(shadow_base*(Thesis!$D$116+Thesis!$E$116)/2+(1-shadow_base)*Thesis!$E$116))*Thesis!I125/1000-(Thesis!I149-Thesis!$E$149)*PL!I109)</f>
        <v>63.2717778126444</v>
      </c>
      <c r="J150" s="6" t="n">
        <f aca="false">MAX(0,((Thesis!I116+Thesis!J116)/2-(shadow_base*(Thesis!$D$116+Thesis!$E$116)/2+(1-shadow_base)*Thesis!$E$116))*Thesis!J125/1000-(Thesis!J149-Thesis!$E$149)*PL!J109)</f>
        <v>74.9061222882009</v>
      </c>
      <c r="K150" s="6" t="n">
        <f aca="false">MAX(0,((Thesis!J116+Thesis!K116)/2-(shadow_base*(Thesis!$D$116+Thesis!$E$116)/2+(1-shadow_base)*Thesis!$E$116))*Thesis!K125/1000-(Thesis!K149-Thesis!$E$149)*PL!K109)</f>
        <v>81.6395437180232</v>
      </c>
      <c r="L150" s="1" t="s">
        <v>1005</v>
      </c>
    </row>
    <row r="151" customFormat="false" ht="17.15" hidden="false" customHeight="false" outlineLevel="0" collapsed="false">
      <c r="A151" s="1" t="s">
        <v>1006</v>
      </c>
      <c r="B151" s="0" t="s">
        <v>98</v>
      </c>
      <c r="F151" s="6" t="n">
        <f aca="false">IF(internal_ai_reading=2,1,0)*Thesis!F150</f>
        <v>10.5962787979473</v>
      </c>
      <c r="G151" s="6" t="n">
        <f aca="false">IF(internal_ai_reading=2,1,0)*Thesis!G150</f>
        <v>27.844646674932</v>
      </c>
      <c r="H151" s="6" t="n">
        <f aca="false">IF(internal_ai_reading=2,1,0)*Thesis!H150</f>
        <v>46.566205501382</v>
      </c>
      <c r="I151" s="6" t="n">
        <f aca="false">IF(internal_ai_reading=2,1,0)*Thesis!I150</f>
        <v>63.2717778126444</v>
      </c>
      <c r="J151" s="6" t="n">
        <f aca="false">IF(internal_ai_reading=2,1,0)*Thesis!J150</f>
        <v>74.9061222882009</v>
      </c>
      <c r="K151" s="6" t="n">
        <f aca="false">IF(internal_ai_reading=2,1,0)*Thesis!K150</f>
        <v>81.6395437180232</v>
      </c>
    </row>
    <row r="152" customFormat="false" ht="17.15" hidden="false" customHeight="false" outlineLevel="0" collapsed="false">
      <c r="A152" s="0" t="s">
        <v>1007</v>
      </c>
      <c r="B152" s="0" t="s">
        <v>98</v>
      </c>
      <c r="F152" s="6" t="n">
        <f aca="false">Thesis!F135+Thesis!F149*PL!F109+Thesis!F151-Thesis!F136-Thesis!F147</f>
        <v>10.3853806853618</v>
      </c>
      <c r="G152" s="6" t="n">
        <f aca="false">Thesis!G135+Thesis!G149*PL!G109+Thesis!G151-Thesis!G136-Thesis!G147</f>
        <v>16.4389313105741</v>
      </c>
      <c r="H152" s="6" t="n">
        <f aca="false">Thesis!H135+Thesis!H149*PL!H109+Thesis!H151-Thesis!H136-Thesis!H147</f>
        <v>17.135416308873</v>
      </c>
      <c r="I152" s="6" t="n">
        <f aca="false">Thesis!I135+Thesis!I149*PL!I109+Thesis!I151-Thesis!I136-Thesis!I147</f>
        <v>24.1293804008657</v>
      </c>
      <c r="J152" s="6" t="n">
        <f aca="false">Thesis!J135+Thesis!J149*PL!J109+Thesis!J151-Thesis!J136-Thesis!J147</f>
        <v>28.8545659869181</v>
      </c>
      <c r="K152" s="6" t="n">
        <f aca="false">Thesis!K135+Thesis!K149*PL!K109+Thesis!K151-Thesis!K136-Thesis!K147</f>
        <v>32.13747485251</v>
      </c>
    </row>
    <row r="153" customFormat="false" ht="17.15" hidden="false" customHeight="false" outlineLevel="0" collapsed="false">
      <c r="A153" s="0" t="s">
        <v>1008</v>
      </c>
      <c r="B153" s="0" t="s">
        <v>98</v>
      </c>
      <c r="E153" s="6" t="n">
        <f aca="false">Thesis!E115*(cxit_open+self_build*tk_cxfac)/1000*ai_net_open</f>
        <v>126.6980382</v>
      </c>
      <c r="F153" s="6" t="n">
        <f aca="false">Thesis!E153+Thesis!F144-Thesis!F147</f>
        <v>260.572627763768</v>
      </c>
      <c r="G153" s="6" t="n">
        <f aca="false">Thesis!F153+Thesis!G144-Thesis!G147</f>
        <v>391.782612760517</v>
      </c>
      <c r="H153" s="6" t="n">
        <f aca="false">Thesis!G153+Thesis!H144-Thesis!H147</f>
        <v>499.488526163584</v>
      </c>
      <c r="I153" s="6" t="n">
        <f aca="false">Thesis!H153+Thesis!I144-Thesis!I147</f>
        <v>553.872350090646</v>
      </c>
      <c r="J153" s="6" t="n">
        <f aca="false">Thesis!I153+Thesis!J144-Thesis!J147</f>
        <v>550.78660823699</v>
      </c>
      <c r="K153" s="6" t="n">
        <f aca="false">Thesis!J153+Thesis!K144-Thesis!K147</f>
        <v>526.736791750789</v>
      </c>
      <c r="L153" s="1" t="s">
        <v>1009</v>
      </c>
    </row>
    <row r="154" customFormat="false" ht="17.15" hidden="false" customHeight="false" outlineLevel="0" collapsed="false">
      <c r="A154" s="0" t="s">
        <v>1010</v>
      </c>
      <c r="B154" s="0" t="s">
        <v>168</v>
      </c>
      <c r="F154" s="7" t="n">
        <f aca="false">Thesis!F152*(1-tax_f)/((Thesis!E153+Thesis!F153)/2)</f>
        <v>0.0429069654816909</v>
      </c>
      <c r="G154" s="7" t="n">
        <f aca="false">Thesis!G152*(1-tax_f)/((Thesis!F153+Thesis!G153)/2)</f>
        <v>0.0403189680453549</v>
      </c>
      <c r="H154" s="7" t="n">
        <f aca="false">Thesis!H152*(1-tax_f)/((Thesis!G153+Thesis!H153)/2)</f>
        <v>0.0307613080877867</v>
      </c>
      <c r="I154" s="7" t="n">
        <f aca="false">Thesis!I152*(1-tax_f)/((Thesis!H153+Thesis!I153)/2)</f>
        <v>0.0366512650238846</v>
      </c>
      <c r="J154" s="7" t="n">
        <f aca="false">Thesis!J152*(1-tax_f)/((Thesis!I153+Thesis!J153)/2)</f>
        <v>0.0417932659044041</v>
      </c>
      <c r="K154" s="7" t="n">
        <f aca="false">Thesis!K152*(1-tax_f)/((Thesis!J153+Thesis!K153)/2)</f>
        <v>0.0477205040415821</v>
      </c>
    </row>
    <row r="155" customFormat="false" ht="17.15" hidden="false" customHeight="false" outlineLevel="0" collapsed="false">
      <c r="A155" s="1" t="s">
        <v>1011</v>
      </c>
      <c r="B155" s="0" t="s">
        <v>168</v>
      </c>
      <c r="F155" s="7" t="n">
        <f aca="false">(Thesis!F152-Thesis!F151)*(1-tax_f)/((Thesis!E153+Thesis!F153)/2)</f>
        <v>-0.000871320783610466</v>
      </c>
      <c r="G155" s="7" t="n">
        <f aca="false">(Thesis!G152-Thesis!G151)*(1-tax_f)/((Thesis!F153+Thesis!G153)/2)</f>
        <v>-0.0279742438618356</v>
      </c>
      <c r="H155" s="7" t="n">
        <f aca="false">(Thesis!H152-Thesis!H151)*(1-tax_f)/((Thesis!G153+Thesis!H153)/2)</f>
        <v>-0.0528338242443913</v>
      </c>
      <c r="I155" s="7" t="n">
        <f aca="false">(Thesis!I152-Thesis!I151)*(1-tax_f)/((Thesis!H153+Thesis!I153)/2)</f>
        <v>-0.059455251538819</v>
      </c>
      <c r="J155" s="7" t="n">
        <f aca="false">(Thesis!J152-Thesis!J151)*(1-tax_f)/((Thesis!I153+Thesis!J153)/2)</f>
        <v>-0.0667015729394002</v>
      </c>
      <c r="K155" s="7" t="n">
        <f aca="false">(Thesis!K152-Thesis!K151)*(1-tax_f)/((Thesis!J153+Thesis!K153)/2)</f>
        <v>-0.0735049560740113</v>
      </c>
    </row>
    <row r="156" customFormat="false" ht="17.15" hidden="false" customHeight="false" outlineLevel="0" collapsed="false">
      <c r="A156" s="1" t="s">
        <v>1012</v>
      </c>
      <c r="B156" s="0" t="s">
        <v>168</v>
      </c>
      <c r="F156" s="7" t="n">
        <f aca="false">(Thesis!F152-Thesis!F151+Thesis!F150)*(1-tax_f)/((Thesis!E153+Thesis!F153)/2)</f>
        <v>0.0429069654816909</v>
      </c>
      <c r="G156" s="7" t="n">
        <f aca="false">(Thesis!G152-Thesis!G151+Thesis!G150)*(1-tax_f)/((Thesis!F153+Thesis!G153)/2)</f>
        <v>0.0403189680453549</v>
      </c>
      <c r="H156" s="7" t="n">
        <f aca="false">(Thesis!H152-Thesis!H151+Thesis!H150)*(1-tax_f)/((Thesis!G153+Thesis!H153)/2)</f>
        <v>0.0307613080877867</v>
      </c>
      <c r="I156" s="7" t="n">
        <f aca="false">(Thesis!I152-Thesis!I151+Thesis!I150)*(1-tax_f)/((Thesis!H153+Thesis!I153)/2)</f>
        <v>0.0366512650238846</v>
      </c>
      <c r="J156" s="7" t="n">
        <f aca="false">(Thesis!J152-Thesis!J151+Thesis!J150)*(1-tax_f)/((Thesis!I153+Thesis!J153)/2)</f>
        <v>0.0417932659044041</v>
      </c>
      <c r="K156" s="7" t="n">
        <f aca="false">(Thesis!K152-Thesis!K151+Thesis!K150)*(1-tax_f)/((Thesis!J153+Thesis!K153)/2)</f>
        <v>0.0477205040415821</v>
      </c>
    </row>
    <row r="157" customFormat="false" ht="17.15" hidden="false" customHeight="false" outlineLevel="0" collapsed="false">
      <c r="A157" s="1" t="s">
        <v>1013</v>
      </c>
      <c r="B157" s="0" t="s">
        <v>168</v>
      </c>
      <c r="F157" s="7" t="n">
        <f aca="false">Thesis!F148*(1-tax_f)/(Thesis!F134*(Thesis!E153+Thesis!F153)/2)</f>
        <v>0.098791430090569</v>
      </c>
      <c r="G157" s="7" t="n">
        <f aca="false">Thesis!G148*(1-tax_f)/(Thesis!G134*(Thesis!F153+Thesis!G153)/2)</f>
        <v>0.0675308856427828</v>
      </c>
      <c r="H157" s="7" t="n">
        <f aca="false">Thesis!H148*(1-tax_f)/(Thesis!H134*(Thesis!G153+Thesis!H153)/2)</f>
        <v>0.0388374979528754</v>
      </c>
      <c r="I157" s="7" t="n">
        <f aca="false">Thesis!I148*(1-tax_f)/(Thesis!I134*(Thesis!H153+Thesis!I153)/2)</f>
        <v>0.0411035671771815</v>
      </c>
      <c r="J157" s="7" t="n">
        <f aca="false">Thesis!J148*(1-tax_f)/(Thesis!J134*(Thesis!I153+Thesis!J153)/2)</f>
        <v>0.0445222722541192</v>
      </c>
      <c r="K157" s="7" t="n">
        <f aca="false">Thesis!K148*(1-tax_f)/(Thesis!K134*(Thesis!J153+Thesis!K153)/2)</f>
        <v>0.0498866361688162</v>
      </c>
    </row>
    <row r="158" customFormat="false" ht="17.15" hidden="false" customHeight="false" outlineLevel="0" collapsed="false">
      <c r="A158" s="0" t="s">
        <v>1014</v>
      </c>
      <c r="B158" s="0" t="s">
        <v>253</v>
      </c>
      <c r="F158" s="7" t="n">
        <f aca="false">Thesis!F154-wacc</f>
        <v>-0.0600296254639064</v>
      </c>
      <c r="G158" s="7" t="n">
        <f aca="false">Thesis!G154-wacc</f>
        <v>-0.0626176229002424</v>
      </c>
      <c r="H158" s="7" t="n">
        <f aca="false">Thesis!H154-wacc</f>
        <v>-0.0721752828578106</v>
      </c>
      <c r="I158" s="7" t="n">
        <f aca="false">Thesis!I154-wacc</f>
        <v>-0.0662853259217127</v>
      </c>
      <c r="J158" s="7" t="n">
        <f aca="false">Thesis!J154-wacc</f>
        <v>-0.0611433250411932</v>
      </c>
      <c r="K158" s="7" t="n">
        <f aca="false">Thesis!K154-wacc</f>
        <v>-0.0552160869040152</v>
      </c>
    </row>
    <row r="159" customFormat="false" ht="17.15" hidden="false" customHeight="false" outlineLevel="0" collapsed="false">
      <c r="A159" s="0" t="s">
        <v>1015</v>
      </c>
      <c r="B159" s="0" t="s">
        <v>98</v>
      </c>
      <c r="F159" s="6" t="n">
        <f aca="false">Thesis!F152*(1-tax_f)-wacc*(Thesis!E153+Thesis!F153)/2</f>
        <v>-11.6238565154813</v>
      </c>
      <c r="G159" s="6" t="n">
        <f aca="false">Thesis!G152*(1-tax_f)-wacc*(Thesis!F153+Thesis!G153)/2</f>
        <v>-20.4244672240733</v>
      </c>
      <c r="H159" s="6" t="n">
        <f aca="false">Thesis!H152*(1-tax_f)-wacc*(Thesis!G153+Thesis!H153)/2</f>
        <v>-32.163873277425</v>
      </c>
      <c r="I159" s="6" t="n">
        <f aca="false">Thesis!I152*(1-tax_f)-wacc*(Thesis!H153+Thesis!I153)/2</f>
        <v>-34.9111844978462</v>
      </c>
      <c r="J159" s="6" t="n">
        <f aca="false">Thesis!J152*(1-tax_f)-wacc*(Thesis!I153+Thesis!J153)/2</f>
        <v>-33.7712608743463</v>
      </c>
      <c r="K159" s="6" t="n">
        <f aca="false">Thesis!K152*(1-tax_f)-wacc*(Thesis!J153+Thesis!K153)/2</f>
        <v>-29.7483128474176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1018</v>
      </c>
    </row>
    <row r="2" customFormat="false" ht="17.15" hidden="false" customHeight="false" outlineLevel="0" collapsed="false">
      <c r="A2" s="1" t="s">
        <v>1019</v>
      </c>
    </row>
    <row r="4" customFormat="false" ht="17.15" hidden="false" customHeight="false" outlineLevel="0" collapsed="false">
      <c r="A4" s="3" t="s">
        <v>1020</v>
      </c>
    </row>
    <row r="5" customFormat="false" ht="15" hidden="false" customHeight="false" outlineLevel="0" collapsed="false">
      <c r="A5" s="4" t="s">
        <v>43</v>
      </c>
      <c r="B5" s="4" t="s">
        <v>65</v>
      </c>
      <c r="C5" s="23" t="s">
        <v>938</v>
      </c>
      <c r="D5" s="23" t="s">
        <v>939</v>
      </c>
      <c r="E5" s="23" t="s">
        <v>940</v>
      </c>
      <c r="F5" s="23" t="s">
        <v>941</v>
      </c>
      <c r="G5" s="23" t="s">
        <v>942</v>
      </c>
      <c r="H5" s="23" t="s">
        <v>943</v>
      </c>
      <c r="I5" s="23" t="s">
        <v>944</v>
      </c>
      <c r="J5" s="23" t="s">
        <v>945</v>
      </c>
      <c r="K5" s="23" t="s">
        <v>946</v>
      </c>
      <c r="L5" s="4" t="s">
        <v>47</v>
      </c>
    </row>
    <row r="6" customFormat="false" ht="17.15" hidden="false" customHeight="false" outlineLevel="0" collapsed="false">
      <c r="A6" s="0" t="s">
        <v>1021</v>
      </c>
      <c r="B6" s="0" t="s">
        <v>98</v>
      </c>
      <c r="D6" s="6" t="n">
        <f aca="false">Thesis!D25</f>
        <v>12.9359794422418</v>
      </c>
      <c r="E6" s="6" t="n">
        <f aca="false">Thesis!E25</f>
        <v>27.8095064661409</v>
      </c>
      <c r="F6" s="6" t="n">
        <f aca="false">Thesis!F25</f>
        <v>59.1034165651511</v>
      </c>
      <c r="G6" s="6" t="n">
        <f aca="false">Thesis!G25</f>
        <v>103.451498789198</v>
      </c>
      <c r="H6" s="6" t="n">
        <f aca="false">Thesis!H25</f>
        <v>153.816719989035</v>
      </c>
      <c r="I6" s="6" t="n">
        <f aca="false">Thesis!I25</f>
        <v>192.699478690852</v>
      </c>
      <c r="J6" s="6" t="n">
        <f aca="false">Thesis!J25</f>
        <v>219.794102584244</v>
      </c>
      <c r="K6" s="6" t="n">
        <f aca="false">Thesis!K25</f>
        <v>236.757046905022</v>
      </c>
    </row>
    <row r="7" customFormat="false" ht="17.15" hidden="false" customHeight="false" outlineLevel="0" collapsed="false">
      <c r="A7" s="0" t="s">
        <v>1022</v>
      </c>
      <c r="B7" s="0" t="s">
        <v>98</v>
      </c>
      <c r="D7" s="6" t="n">
        <f aca="false">Q!L6-Seg!D6</f>
        <v>59.6740205577583</v>
      </c>
      <c r="E7" s="6" t="n">
        <f aca="false">Q!M6-Seg!E6</f>
        <v>74.1284935338591</v>
      </c>
      <c r="F7" s="6" t="n">
        <f aca="false">Q!$I$6+(Seg!F6+Seg!E7*(1+Seg!F8))*(1-Q!$E$6/Q!M6)-Seg!F6</f>
        <v>90.4866018070994</v>
      </c>
      <c r="G7" s="6" t="n">
        <f aca="false">Seg!F7*(1+Seg!G8)</f>
        <v>107.511588557154</v>
      </c>
      <c r="H7" s="6" t="n">
        <f aca="false">Seg!G7*(1+Seg!H8)</f>
        <v>124.832989325489</v>
      </c>
      <c r="I7" s="6" t="n">
        <f aca="false">Seg!H7*(1+Seg!I8)</f>
        <v>141.56992589148</v>
      </c>
      <c r="J7" s="6" t="n">
        <f aca="false">Seg!I7*(1+Seg!J8)</f>
        <v>156.723190479428</v>
      </c>
      <c r="K7" s="6" t="n">
        <f aca="false">Seg!J7*(1+Seg!K8)</f>
        <v>169.261045717783</v>
      </c>
      <c r="L7" s="12" t="s">
        <v>1023</v>
      </c>
    </row>
    <row r="8" customFormat="false" ht="15" hidden="false" customHeight="false" outlineLevel="0" collapsed="false">
      <c r="A8" s="1" t="s">
        <v>1024</v>
      </c>
      <c r="B8" s="0" t="s">
        <v>168</v>
      </c>
      <c r="E8" s="7" t="n">
        <f aca="false">Seg!E7/Seg!D7-1</f>
        <v>0.242223883039864</v>
      </c>
      <c r="F8" s="7" t="n">
        <f aca="false">Seg!$E$8+(glt_azo-Seg!$E$8)*MIN(1,(Thesis!F6-base_fy)/n_conv)</f>
        <v>0.215186569199887</v>
      </c>
      <c r="G8" s="7" t="n">
        <f aca="false">Seg!$E$8+(glt_azo-Seg!$E$8)*MIN(1,(Thesis!G6-base_fy)/n_conv)</f>
        <v>0.18814925535991</v>
      </c>
      <c r="H8" s="7" t="n">
        <f aca="false">Seg!$E$8+(glt_azo-Seg!$E$8)*MIN(1,(Thesis!H6-base_fy)/n_conv)</f>
        <v>0.161111941519932</v>
      </c>
      <c r="I8" s="7" t="n">
        <f aca="false">Seg!$E$8+(glt_azo-Seg!$E$8)*MIN(1,(Thesis!I6-base_fy)/n_conv)</f>
        <v>0.134074627679955</v>
      </c>
      <c r="J8" s="7" t="n">
        <f aca="false">Seg!$E$8+(glt_azo-Seg!$E$8)*MIN(1,(Thesis!J6-base_fy)/n_conv)</f>
        <v>0.107037313839977</v>
      </c>
      <c r="K8" s="7" t="n">
        <f aca="false">Seg!$E$8+(glt_azo-Seg!$E$8)*MIN(1,(Thesis!K6-base_fy)/n_conv)</f>
        <v>0.08</v>
      </c>
    </row>
    <row r="9" customFormat="false" ht="15" hidden="false" customHeight="false" outlineLevel="0" collapsed="false">
      <c r="A9" s="0" t="s">
        <v>1025</v>
      </c>
      <c r="B9" s="0" t="s">
        <v>98</v>
      </c>
      <c r="D9" s="6" t="n">
        <f aca="false">Seg!D6+Seg!D7</f>
        <v>72.61</v>
      </c>
      <c r="E9" s="6" t="n">
        <f aca="false">Seg!E6+Seg!E7</f>
        <v>101.938</v>
      </c>
      <c r="F9" s="6" t="n">
        <f aca="false">Seg!F6+Seg!F7</f>
        <v>149.59001837225</v>
      </c>
      <c r="G9" s="6" t="n">
        <f aca="false">Seg!G6+Seg!G7</f>
        <v>210.963087346352</v>
      </c>
      <c r="H9" s="6" t="n">
        <f aca="false">Seg!H6+Seg!H7</f>
        <v>278.649709314524</v>
      </c>
      <c r="I9" s="6" t="n">
        <f aca="false">Seg!I6+Seg!I7</f>
        <v>334.269404582332</v>
      </c>
      <c r="J9" s="6" t="n">
        <f aca="false">Seg!J6+Seg!J7</f>
        <v>376.517293063672</v>
      </c>
      <c r="K9" s="6" t="n">
        <f aca="false">Seg!K6+Seg!K7</f>
        <v>406.018092622804</v>
      </c>
    </row>
    <row r="10" customFormat="false" ht="17.15" hidden="false" customHeight="false" outlineLevel="0" collapsed="false">
      <c r="A10" s="0" t="s">
        <v>1026</v>
      </c>
      <c r="B10" s="1" t="s">
        <v>610</v>
      </c>
      <c r="C10" s="30" t="n">
        <f aca="false">cop_s24</f>
        <v>1</v>
      </c>
      <c r="D10" s="30" t="n">
        <f aca="false">cop_s25</f>
        <v>5</v>
      </c>
      <c r="E10" s="30" t="n">
        <f aca="false">cop_s26</f>
        <v>30</v>
      </c>
      <c r="F10" s="30" t="n">
        <f aca="false">Seg!E10+cop_add_A</f>
        <v>60</v>
      </c>
      <c r="G10" s="30" t="n">
        <f aca="false">Seg!F10+cop_add_A</f>
        <v>90</v>
      </c>
      <c r="H10" s="30" t="n">
        <f aca="false">Seg!G10+cop_add_A</f>
        <v>120</v>
      </c>
      <c r="I10" s="30" t="n">
        <f aca="false">Seg!H10+cop_add_A*cop_tail</f>
        <v>135</v>
      </c>
      <c r="J10" s="30" t="n">
        <f aca="false">Seg!I10+cop_add_A*cop_tail</f>
        <v>150</v>
      </c>
      <c r="K10" s="30" t="n">
        <f aca="false">Seg!J10+cop_add_A*cop_tail</f>
        <v>165</v>
      </c>
      <c r="L10" s="12" t="s">
        <v>1027</v>
      </c>
    </row>
    <row r="11" customFormat="false" ht="17.15" hidden="false" customHeight="false" outlineLevel="0" collapsed="false">
      <c r="A11" s="0" t="s">
        <v>1028</v>
      </c>
      <c r="B11" s="0" t="s">
        <v>98</v>
      </c>
      <c r="D11" s="6" t="n">
        <f aca="false">(Seg!C10+Seg!D10)/2*cop_px*12/1000</f>
        <v>0.9</v>
      </c>
      <c r="E11" s="6" t="n">
        <f aca="false">(Seg!D10+Seg!E10)/2*cop_px*12/1000</f>
        <v>5.25</v>
      </c>
      <c r="F11" s="6" t="n">
        <f aca="false">(Seg!E10+Seg!F10)/2*cop_px*12/1000</f>
        <v>13.5</v>
      </c>
      <c r="G11" s="6" t="n">
        <f aca="false">(Seg!F10+Seg!G10)/2*cop_px*12/1000</f>
        <v>22.5</v>
      </c>
      <c r="H11" s="6" t="n">
        <f aca="false">(Seg!G10+Seg!H10)/2*cop_px*12/1000</f>
        <v>31.5</v>
      </c>
      <c r="I11" s="6" t="n">
        <f aca="false">(Seg!H10+Seg!I10)/2*cop_px*12/1000</f>
        <v>38.25</v>
      </c>
      <c r="J11" s="6" t="n">
        <f aca="false">(Seg!I10+Seg!J10)/2*cop_px*12/1000</f>
        <v>42.75</v>
      </c>
      <c r="K11" s="6" t="n">
        <f aca="false">(Seg!J10+Seg!K10)/2*cop_px*12/1000</f>
        <v>47.25</v>
      </c>
      <c r="L11" s="1" t="s">
        <v>1029</v>
      </c>
    </row>
    <row r="12" customFormat="false" ht="17.15" hidden="false" customHeight="false" outlineLevel="0" collapsed="false">
      <c r="A12" s="0" t="s">
        <v>1030</v>
      </c>
      <c r="B12" s="0" t="s">
        <v>98</v>
      </c>
      <c r="D12" s="6" t="n">
        <f aca="false">Q!L7-Seg!D11</f>
        <v>83.705</v>
      </c>
      <c r="E12" s="6" t="n">
        <f aca="false">Q!M7-Seg!E11</f>
        <v>95.049</v>
      </c>
      <c r="F12" s="6" t="n">
        <f aca="false">Q!$I$7+(Seg!E12*(1+Seg!F13)+Seg!F11)*(1-Q!$E$7/Q!M7)-Seg!F11</f>
        <v>106.229653205718</v>
      </c>
      <c r="G12" s="6" t="n">
        <f aca="false">Seg!F12*(1+Seg!G13)</f>
        <v>118.306092647576</v>
      </c>
      <c r="H12" s="6" t="n">
        <f aca="false">Seg!G12*(1+Seg!H13)</f>
        <v>130.463437602768</v>
      </c>
      <c r="I12" s="6" t="n">
        <f aca="false">Seg!H12*(1+Seg!I13)</f>
        <v>142.445354741933</v>
      </c>
      <c r="J12" s="6" t="n">
        <f aca="false">Seg!I12*(1+Seg!J13)</f>
        <v>153.972117481571</v>
      </c>
      <c r="K12" s="6" t="n">
        <f aca="false">Seg!J12*(1+Seg!K13)</f>
        <v>164.75016570528</v>
      </c>
      <c r="L12" s="12" t="s">
        <v>1031</v>
      </c>
    </row>
    <row r="13" customFormat="false" ht="15" hidden="false" customHeight="false" outlineLevel="0" collapsed="false">
      <c r="A13" s="1" t="s">
        <v>1024</v>
      </c>
      <c r="B13" s="0" t="s">
        <v>168</v>
      </c>
      <c r="E13" s="7" t="n">
        <f aca="false">Seg!E12/Seg!D12-1</f>
        <v>0.135523564900544</v>
      </c>
      <c r="F13" s="7" t="n">
        <f aca="false">Seg!$E$13+(glt_m365b-Seg!$E$13)*MIN(1,(Thesis!F6-base_fy)/n_conv)</f>
        <v>0.124602970750453</v>
      </c>
      <c r="G13" s="7" t="n">
        <f aca="false">Seg!$E$13+(glt_m365b-Seg!$E$13)*MIN(1,(Thesis!G6-base_fy)/n_conv)</f>
        <v>0.113682376600363</v>
      </c>
      <c r="H13" s="7" t="n">
        <f aca="false">Seg!$E$13+(glt_m365b-Seg!$E$13)*MIN(1,(Thesis!H6-base_fy)/n_conv)</f>
        <v>0.102761782450272</v>
      </c>
      <c r="I13" s="7" t="n">
        <f aca="false">Seg!$E$13+(glt_m365b-Seg!$E$13)*MIN(1,(Thesis!I6-base_fy)/n_conv)</f>
        <v>0.0918411883001813</v>
      </c>
      <c r="J13" s="7" t="n">
        <f aca="false">Seg!$E$13+(glt_m365b-Seg!$E$13)*MIN(1,(Thesis!J6-base_fy)/n_conv)</f>
        <v>0.0809205941500906</v>
      </c>
      <c r="K13" s="7" t="n">
        <f aca="false">Seg!$E$13+(glt_m365b-Seg!$E$13)*MIN(1,(Thesis!K6-base_fy)/n_conv)</f>
        <v>0.07</v>
      </c>
    </row>
    <row r="14" customFormat="false" ht="15" hidden="false" customHeight="false" outlineLevel="0" collapsed="false">
      <c r="A14" s="0" t="s">
        <v>1032</v>
      </c>
      <c r="B14" s="0" t="s">
        <v>98</v>
      </c>
      <c r="D14" s="6" t="n">
        <f aca="false">Seg!D12+Seg!D11</f>
        <v>84.605</v>
      </c>
      <c r="E14" s="6" t="n">
        <f aca="false">Seg!E12+Seg!E11</f>
        <v>100.299</v>
      </c>
      <c r="F14" s="6" t="n">
        <f aca="false">Seg!F12+Seg!F11</f>
        <v>119.729653205718</v>
      </c>
      <c r="G14" s="6" t="n">
        <f aca="false">Seg!G12+Seg!G11</f>
        <v>140.806092647576</v>
      </c>
      <c r="H14" s="6" t="n">
        <f aca="false">Seg!H12+Seg!H11</f>
        <v>161.963437602768</v>
      </c>
      <c r="I14" s="6" t="n">
        <f aca="false">Seg!I12+Seg!I11</f>
        <v>180.695354741933</v>
      </c>
      <c r="J14" s="6" t="n">
        <f aca="false">Seg!J12+Seg!J11</f>
        <v>196.722117481571</v>
      </c>
      <c r="K14" s="6" t="n">
        <f aca="false">Seg!K12+Seg!K11</f>
        <v>212.00016570528</v>
      </c>
    </row>
    <row r="15" customFormat="false" ht="17.15" hidden="false" customHeight="false" outlineLevel="0" collapsed="false">
      <c r="A15" s="0" t="s">
        <v>1033</v>
      </c>
      <c r="B15" s="0" t="s">
        <v>98</v>
      </c>
      <c r="D15" s="6" t="n">
        <f aca="false">Q!L8</f>
        <v>35.391</v>
      </c>
      <c r="E15" s="6" t="n">
        <f aca="false">Q!M8</f>
        <v>37.285</v>
      </c>
      <c r="F15" s="6" t="n">
        <f aca="false">Q!$I$8+(Q!M8-Q!$E$8)*(1+Seg!F16)</f>
        <v>38.3851437782675</v>
      </c>
      <c r="G15" s="6" t="n">
        <f aca="false">Seg!F15*(1+Seg!G16)</f>
        <v>40.0105353288615</v>
      </c>
      <c r="H15" s="6" t="n">
        <f aca="false">Seg!G15*(1+Seg!H16)</f>
        <v>41.4812512033683</v>
      </c>
      <c r="I15" s="6" t="n">
        <f aca="false">Seg!H15*(1+Seg!I16)</f>
        <v>42.7743107216329</v>
      </c>
      <c r="J15" s="6" t="n">
        <f aca="false">Seg!I15*(1+Seg!J16)</f>
        <v>43.8687373064601</v>
      </c>
      <c r="K15" s="6" t="n">
        <f aca="false">Seg!J15*(1+Seg!K16)</f>
        <v>44.7461120525893</v>
      </c>
      <c r="L15" s="12" t="s">
        <v>1034</v>
      </c>
    </row>
    <row r="16" customFormat="false" ht="15" hidden="false" customHeight="false" outlineLevel="0" collapsed="false">
      <c r="A16" s="1" t="s">
        <v>1024</v>
      </c>
      <c r="B16" s="0" t="s">
        <v>168</v>
      </c>
      <c r="E16" s="7" t="n">
        <f aca="false">Seg!E15/Seg!D15-1</f>
        <v>0.0535164307309768</v>
      </c>
      <c r="F16" s="7" t="n">
        <f aca="false">Seg!$E$16+(glt_lic-Seg!$E$16)*MIN(1,(Thesis!F6-base_fy)/n_conv)</f>
        <v>0.0479303589424807</v>
      </c>
      <c r="G16" s="7" t="n">
        <f aca="false">Seg!$E$16+(glt_lic-Seg!$E$16)*MIN(1,(Thesis!G6-base_fy)/n_conv)</f>
        <v>0.0423442871539845</v>
      </c>
      <c r="H16" s="7" t="n">
        <f aca="false">Seg!$E$16+(glt_lic-Seg!$E$16)*MIN(1,(Thesis!H6-base_fy)/n_conv)</f>
        <v>0.0367582153654884</v>
      </c>
      <c r="I16" s="7" t="n">
        <f aca="false">Seg!$E$16+(glt_lic-Seg!$E$16)*MIN(1,(Thesis!I6-base_fy)/n_conv)</f>
        <v>0.0311721435769923</v>
      </c>
      <c r="J16" s="7" t="n">
        <f aca="false">Seg!$E$16+(glt_lic-Seg!$E$16)*MIN(1,(Thesis!J6-base_fy)/n_conv)</f>
        <v>0.0255860717884961</v>
      </c>
      <c r="K16" s="7" t="n">
        <f aca="false">Seg!$E$16+(glt_lic-Seg!$E$16)*MIN(1,(Thesis!K6-base_fy)/n_conv)</f>
        <v>0.02</v>
      </c>
    </row>
    <row r="17" customFormat="false" ht="17.15" hidden="false" customHeight="false" outlineLevel="0" collapsed="false">
      <c r="A17" s="0" t="s">
        <v>1035</v>
      </c>
      <c r="B17" s="0" t="s">
        <v>98</v>
      </c>
      <c r="D17" s="6" t="n">
        <f aca="false">Q!L9</f>
        <v>18.417</v>
      </c>
      <c r="E17" s="6" t="n">
        <f aca="false">Q!M9</f>
        <v>20.345</v>
      </c>
      <c r="F17" s="6" t="n">
        <f aca="false">Q!$I$9+(Q!M9-Q!$E$9)*(1+Seg!F18)</f>
        <v>22.3161797133988</v>
      </c>
      <c r="G17" s="6" t="n">
        <f aca="false">Seg!F17*(1+Seg!G18)</f>
        <v>24.3943499673233</v>
      </c>
      <c r="H17" s="6" t="n">
        <f aca="false">Seg!G17*(1+Seg!H18)</f>
        <v>26.5250243109019</v>
      </c>
      <c r="I17" s="6" t="n">
        <f aca="false">Seg!H17*(1+Seg!I18)</f>
        <v>28.6884573538181</v>
      </c>
      <c r="J17" s="6" t="n">
        <f aca="false">Seg!I17*(1+Seg!J18)</f>
        <v>30.8624968052127</v>
      </c>
      <c r="K17" s="6" t="n">
        <f aca="false">Seg!J17*(1+Seg!K18)</f>
        <v>33.0228715815776</v>
      </c>
      <c r="L17" s="12" t="s">
        <v>1034</v>
      </c>
    </row>
    <row r="18" customFormat="false" ht="15" hidden="false" customHeight="false" outlineLevel="0" collapsed="false">
      <c r="A18" s="1" t="s">
        <v>1024</v>
      </c>
      <c r="B18" s="0" t="s">
        <v>168</v>
      </c>
      <c r="E18" s="7" t="n">
        <f aca="false">Seg!E17/Seg!D17-1</f>
        <v>0.104685888038225</v>
      </c>
      <c r="F18" s="7" t="n">
        <f aca="false">Seg!$E$18+(glt_ind-Seg!$E$18)*MIN(1,(Thesis!F6-base_fy)/n_conv)</f>
        <v>0.0989049066985211</v>
      </c>
      <c r="G18" s="7" t="n">
        <f aca="false">Seg!$E$18+(glt_ind-Seg!$E$18)*MIN(1,(Thesis!G6-base_fy)/n_conv)</f>
        <v>0.0931239253588169</v>
      </c>
      <c r="H18" s="7" t="n">
        <f aca="false">Seg!$E$18+(glt_ind-Seg!$E$18)*MIN(1,(Thesis!H6-base_fy)/n_conv)</f>
        <v>0.0873429440191127</v>
      </c>
      <c r="I18" s="7" t="n">
        <f aca="false">Seg!$E$18+(glt_ind-Seg!$E$18)*MIN(1,(Thesis!I6-base_fy)/n_conv)</f>
        <v>0.0815619626794085</v>
      </c>
      <c r="J18" s="7" t="n">
        <f aca="false">Seg!$E$18+(glt_ind-Seg!$E$18)*MIN(1,(Thesis!J6-base_fy)/n_conv)</f>
        <v>0.0757809813397042</v>
      </c>
      <c r="K18" s="7" t="n">
        <f aca="false">Seg!$E$18+(glt_ind-Seg!$E$18)*MIN(1,(Thesis!K6-base_fy)/n_conv)</f>
        <v>0.07</v>
      </c>
    </row>
    <row r="19" customFormat="false" ht="17.15" hidden="false" customHeight="false" outlineLevel="0" collapsed="false">
      <c r="A19" s="0" t="s">
        <v>1036</v>
      </c>
      <c r="B19" s="0" t="s">
        <v>98</v>
      </c>
      <c r="D19" s="6" t="n">
        <f aca="false">Q!L10</f>
        <v>7.76</v>
      </c>
      <c r="E19" s="6" t="n">
        <f aca="false">Q!M10</f>
        <v>8.26</v>
      </c>
      <c r="F19" s="6" t="n">
        <f aca="false">Q!$I$10+(Q!M10-Q!$E$10)*(1+Seg!F20)</f>
        <v>8.75372082474227</v>
      </c>
      <c r="G19" s="6" t="n">
        <f aca="false">Seg!F19*(1+Seg!G20)</f>
        <v>9.33399324642364</v>
      </c>
      <c r="H19" s="6" t="n">
        <f aca="false">Seg!G19*(1+Seg!H20)</f>
        <v>9.96139155535851</v>
      </c>
      <c r="I19" s="6" t="n">
        <f aca="false">Seg!H19*(1+Seg!I20)</f>
        <v>10.6402039077391</v>
      </c>
      <c r="J19" s="6" t="n">
        <f aca="false">Seg!I19*(1+Seg!J20)</f>
        <v>11.3751458271397</v>
      </c>
      <c r="K19" s="6" t="n">
        <f aca="false">Seg!J19*(1+Seg!K20)</f>
        <v>12.1714060350394</v>
      </c>
      <c r="L19" s="12" t="s">
        <v>1034</v>
      </c>
    </row>
    <row r="20" customFormat="false" ht="15" hidden="false" customHeight="false" outlineLevel="0" collapsed="false">
      <c r="A20" s="1" t="s">
        <v>1024</v>
      </c>
      <c r="B20" s="0" t="s">
        <v>168</v>
      </c>
      <c r="E20" s="7" t="n">
        <f aca="false">Seg!E19/Seg!D19-1</f>
        <v>0.0644329896907216</v>
      </c>
      <c r="F20" s="7" t="n">
        <f aca="false">Seg!$E$20+(glt_fro-Seg!$E$20)*MIN(1,(Thesis!F6-base_fy)/n_conv)</f>
        <v>0.065360824742268</v>
      </c>
      <c r="G20" s="7" t="n">
        <f aca="false">Seg!$E$20+(glt_fro-Seg!$E$20)*MIN(1,(Thesis!G6-base_fy)/n_conv)</f>
        <v>0.0662886597938144</v>
      </c>
      <c r="H20" s="7" t="n">
        <f aca="false">Seg!$E$20+(glt_fro-Seg!$E$20)*MIN(1,(Thesis!H6-base_fy)/n_conv)</f>
        <v>0.0672164948453608</v>
      </c>
      <c r="I20" s="7" t="n">
        <f aca="false">Seg!$E$20+(glt_fro-Seg!$E$20)*MIN(1,(Thesis!I6-base_fy)/n_conv)</f>
        <v>0.0681443298969072</v>
      </c>
      <c r="J20" s="7" t="n">
        <f aca="false">Seg!$E$20+(glt_fro-Seg!$E$20)*MIN(1,(Thesis!J6-base_fy)/n_conv)</f>
        <v>0.0690721649484536</v>
      </c>
      <c r="K20" s="7" t="n">
        <f aca="false">Seg!$E$20+(glt_fro-Seg!$E$20)*MIN(1,(Thesis!K6-base_fy)/n_conv)</f>
        <v>0.07</v>
      </c>
    </row>
    <row r="21" customFormat="false" ht="15" hidden="false" customHeight="false" outlineLevel="0" collapsed="false">
      <c r="A21" s="0" t="s">
        <v>852</v>
      </c>
      <c r="B21" s="0" t="s">
        <v>98</v>
      </c>
      <c r="D21" s="6" t="n">
        <f aca="false">Seg!D9+Seg!D14+Seg!D15+Seg!D17+Seg!D19</f>
        <v>218.783</v>
      </c>
      <c r="E21" s="6" t="n">
        <f aca="false">Seg!E9+Seg!E14+Seg!E15+Seg!E17+Seg!E19</f>
        <v>268.127</v>
      </c>
      <c r="F21" s="6" t="n">
        <f aca="false">Seg!F9+Seg!F14+Seg!F15+Seg!F17+Seg!F19</f>
        <v>338.774715894377</v>
      </c>
      <c r="G21" s="6" t="n">
        <f aca="false">Seg!G9+Seg!G14+Seg!G15+Seg!G17+Seg!G19</f>
        <v>425.508058536537</v>
      </c>
      <c r="H21" s="6" t="n">
        <f aca="false">Seg!H9+Seg!H14+Seg!H15+Seg!H17+Seg!H19</f>
        <v>518.580813986921</v>
      </c>
      <c r="I21" s="6" t="n">
        <f aca="false">Seg!I9+Seg!I14+Seg!I15+Seg!I17+Seg!I19</f>
        <v>597.067731307455</v>
      </c>
      <c r="J21" s="6" t="n">
        <f aca="false">Seg!J9+Seg!J14+Seg!J15+Seg!J17+Seg!J19</f>
        <v>659.345790484055</v>
      </c>
      <c r="K21" s="6" t="n">
        <f aca="false">Seg!K9+Seg!K14+Seg!K15+Seg!K17+Seg!K19</f>
        <v>707.958647997291</v>
      </c>
    </row>
    <row r="22" customFormat="false" ht="17.15" hidden="false" customHeight="false" outlineLevel="0" collapsed="false">
      <c r="A22" s="0" t="s">
        <v>1037</v>
      </c>
      <c r="B22" s="0" t="s">
        <v>98</v>
      </c>
      <c r="D22" s="6" t="n">
        <f aca="false">Q!L13</f>
        <v>22.171</v>
      </c>
      <c r="E22" s="6" t="n">
        <f aca="false">Q!M13</f>
        <v>24.835</v>
      </c>
      <c r="F22" s="6" t="n">
        <f aca="false">Q!$I$13+(Q!M13-Q!$E$13)*(1+Seg!F23)</f>
        <v>27.5591895660247</v>
      </c>
      <c r="G22" s="6" t="n">
        <f aca="false">Seg!F22*(1+Seg!G23)</f>
        <v>30.4098563144583</v>
      </c>
      <c r="H22" s="6" t="n">
        <f aca="false">Seg!G22*(1+Seg!H23)</f>
        <v>33.3011792571777</v>
      </c>
      <c r="I22" s="6" t="n">
        <f aca="false">Seg!H22*(1+Seg!I23)</f>
        <v>36.189023797112</v>
      </c>
      <c r="J22" s="6" t="n">
        <f aca="false">Seg!I22*(1+Seg!J23)</f>
        <v>39.0247773769199</v>
      </c>
      <c r="K22" s="6" t="n">
        <f aca="false">Seg!J22*(1+Seg!K23)</f>
        <v>41.7565117933043</v>
      </c>
      <c r="L22" s="12" t="s">
        <v>1034</v>
      </c>
    </row>
    <row r="23" customFormat="false" ht="15" hidden="false" customHeight="false" outlineLevel="0" collapsed="false">
      <c r="A23" s="1" t="s">
        <v>1024</v>
      </c>
      <c r="B23" s="0" t="s">
        <v>168</v>
      </c>
      <c r="E23" s="7" t="n">
        <f aca="false">Seg!E22/Seg!D22-1</f>
        <v>0.120156961796942</v>
      </c>
      <c r="F23" s="7" t="n">
        <f aca="false">Seg!$E$23+(glt_srch-Seg!$E$23)*MIN(1,(Thesis!F6-base_fy)/n_conv)</f>
        <v>0.111797468164118</v>
      </c>
      <c r="G23" s="7" t="n">
        <f aca="false">Seg!$E$23+(glt_srch-Seg!$E$23)*MIN(1,(Thesis!G6-base_fy)/n_conv)</f>
        <v>0.103437974531295</v>
      </c>
      <c r="H23" s="7" t="n">
        <f aca="false">Seg!$E$23+(glt_srch-Seg!$E$23)*MIN(1,(Thesis!H6-base_fy)/n_conv)</f>
        <v>0.095078480898471</v>
      </c>
      <c r="I23" s="7" t="n">
        <f aca="false">Seg!$E$23+(glt_srch-Seg!$E$23)*MIN(1,(Thesis!I6-base_fy)/n_conv)</f>
        <v>0.0867189872656474</v>
      </c>
      <c r="J23" s="7" t="n">
        <f aca="false">Seg!$E$23+(glt_srch-Seg!$E$23)*MIN(1,(Thesis!J6-base_fy)/n_conv)</f>
        <v>0.0783594936328237</v>
      </c>
      <c r="K23" s="7" t="n">
        <f aca="false">Seg!$E$23+(glt_srch-Seg!$E$23)*MIN(1,(Thesis!K6-base_fy)/n_conv)</f>
        <v>0.07</v>
      </c>
    </row>
    <row r="24" customFormat="false" ht="17.15" hidden="false" customHeight="false" outlineLevel="0" collapsed="false">
      <c r="A24" s="0" t="s">
        <v>1038</v>
      </c>
      <c r="B24" s="0" t="s">
        <v>98</v>
      </c>
      <c r="D24" s="6" t="n">
        <f aca="false">Q!L14</f>
        <v>23.455</v>
      </c>
      <c r="E24" s="6" t="n">
        <f aca="false">Q!M14</f>
        <v>21.79</v>
      </c>
      <c r="F24" s="6" t="n">
        <f aca="false">Q!$I$14+(Q!M14-Q!$E$14)*(1+Seg!F25)</f>
        <v>20.7520981041711</v>
      </c>
      <c r="G24" s="6" t="n">
        <f aca="false">Seg!F24*(1+Seg!G25)</f>
        <v>19.9083593495882</v>
      </c>
      <c r="H24" s="6" t="n">
        <f aca="false">Seg!G24*(1+Seg!H25)</f>
        <v>19.4008256265831</v>
      </c>
      <c r="I24" s="6" t="n">
        <f aca="false">Seg!H24*(1+Seg!I25)</f>
        <v>19.200434522122</v>
      </c>
      <c r="J24" s="6" t="n">
        <f aca="false">Seg!I24*(1+Seg!J25)</f>
        <v>19.2932782348507</v>
      </c>
      <c r="K24" s="6" t="n">
        <f aca="false">Seg!J24*(1+Seg!K25)</f>
        <v>19.6791437995477</v>
      </c>
      <c r="L24" s="12" t="s">
        <v>1034</v>
      </c>
    </row>
    <row r="25" customFormat="false" ht="15" hidden="false" customHeight="false" outlineLevel="0" collapsed="false">
      <c r="A25" s="1" t="s">
        <v>1024</v>
      </c>
      <c r="B25" s="0" t="s">
        <v>168</v>
      </c>
      <c r="E25" s="7" t="n">
        <f aca="false">Seg!E24/Seg!D24-1</f>
        <v>-0.0709869963760392</v>
      </c>
      <c r="F25" s="7" t="n">
        <f aca="false">Seg!$E$25+(glt_xbox-Seg!$E$25)*MIN(1,(Thesis!F6-base_fy)/n_conv)</f>
        <v>-0.0558224969800327</v>
      </c>
      <c r="G25" s="7" t="n">
        <f aca="false">Seg!$E$25+(glt_xbox-Seg!$E$25)*MIN(1,(Thesis!G6-base_fy)/n_conv)</f>
        <v>-0.0406579975840262</v>
      </c>
      <c r="H25" s="7" t="n">
        <f aca="false">Seg!$E$25+(glt_xbox-Seg!$E$25)*MIN(1,(Thesis!H6-base_fy)/n_conv)</f>
        <v>-0.0254934981880196</v>
      </c>
      <c r="I25" s="7" t="n">
        <f aca="false">Seg!$E$25+(glt_xbox-Seg!$E$25)*MIN(1,(Thesis!I6-base_fy)/n_conv)</f>
        <v>-0.0103289987920131</v>
      </c>
      <c r="J25" s="7" t="n">
        <f aca="false">Seg!$E$25+(glt_xbox-Seg!$E$25)*MIN(1,(Thesis!J6-base_fy)/n_conv)</f>
        <v>0.00483550060399347</v>
      </c>
      <c r="K25" s="7" t="n">
        <f aca="false">Seg!$E$25+(glt_xbox-Seg!$E$25)*MIN(1,(Thesis!K6-base_fy)/n_conv)</f>
        <v>0.02</v>
      </c>
    </row>
    <row r="26" customFormat="false" ht="17.15" hidden="false" customHeight="false" outlineLevel="0" collapsed="false">
      <c r="A26" s="0" t="s">
        <v>1039</v>
      </c>
      <c r="B26" s="0" t="s">
        <v>98</v>
      </c>
      <c r="D26" s="6" t="n">
        <f aca="false">Q!L15</f>
        <v>17.315</v>
      </c>
      <c r="E26" s="6" t="n">
        <f aca="false">Q!M15</f>
        <v>17.087</v>
      </c>
      <c r="F26" s="6" t="n">
        <f aca="false">Q!$I$15+(Q!M15-Q!$E$15)*(1+Seg!F27)</f>
        <v>15.9912273250553</v>
      </c>
      <c r="G26" s="6" t="n">
        <f aca="false">Seg!F26*(1+Seg!G27)</f>
        <v>15.9574562664827</v>
      </c>
      <c r="H26" s="6" t="n">
        <f aca="false">Seg!G26*(1+Seg!H27)</f>
        <v>16.0119687434196</v>
      </c>
      <c r="I26" s="6" t="n">
        <f aca="false">Seg!H26*(1+Seg!I27)</f>
        <v>16.1551810001948</v>
      </c>
      <c r="J26" s="6" t="n">
        <f aca="false">Seg!I26*(1+Seg!J27)</f>
        <v>16.3889793892005</v>
      </c>
      <c r="K26" s="6" t="n">
        <f aca="false">Seg!J26*(1+Seg!K27)</f>
        <v>16.7167589769845</v>
      </c>
      <c r="L26" s="12" t="s">
        <v>1034</v>
      </c>
    </row>
    <row r="27" customFormat="false" ht="15" hidden="false" customHeight="false" outlineLevel="0" collapsed="false">
      <c r="A27" s="1" t="s">
        <v>1024</v>
      </c>
      <c r="B27" s="0" t="s">
        <v>168</v>
      </c>
      <c r="E27" s="7" t="n">
        <f aca="false">Seg!E26/Seg!D26-1</f>
        <v>-0.0131677736066995</v>
      </c>
      <c r="F27" s="7" t="n">
        <f aca="false">Seg!$E$27+(glt_win-Seg!$E$27)*MIN(1,(Thesis!F6-base_fy)/n_conv)</f>
        <v>-0.00763981133891627</v>
      </c>
      <c r="G27" s="7" t="n">
        <f aca="false">Seg!$E$27+(glt_win-Seg!$E$27)*MIN(1,(Thesis!G6-base_fy)/n_conv)</f>
        <v>-0.00211184907113301</v>
      </c>
      <c r="H27" s="7" t="n">
        <f aca="false">Seg!$E$27+(glt_win-Seg!$E$27)*MIN(1,(Thesis!H6-base_fy)/n_conv)</f>
        <v>0.00341611319665024</v>
      </c>
      <c r="I27" s="7" t="n">
        <f aca="false">Seg!$E$27+(glt_win-Seg!$E$27)*MIN(1,(Thesis!I6-base_fy)/n_conv)</f>
        <v>0.00894407546443349</v>
      </c>
      <c r="J27" s="7" t="n">
        <f aca="false">Seg!$E$27+(glt_win-Seg!$E$27)*MIN(1,(Thesis!J6-base_fy)/n_conv)</f>
        <v>0.0144720377322168</v>
      </c>
      <c r="K27" s="7" t="n">
        <f aca="false">Seg!$E$27+(glt_win-Seg!$E$27)*MIN(1,(Thesis!K6-base_fy)/n_conv)</f>
        <v>0.02</v>
      </c>
    </row>
    <row r="28" customFormat="false" ht="15" hidden="false" customHeight="false" outlineLevel="0" collapsed="false">
      <c r="A28" s="0" t="s">
        <v>866</v>
      </c>
      <c r="B28" s="0" t="s">
        <v>98</v>
      </c>
      <c r="D28" s="6" t="n">
        <f aca="false">Seg!D22+Seg!D24+Seg!D26</f>
        <v>62.941</v>
      </c>
      <c r="E28" s="6" t="n">
        <f aca="false">Seg!E22+Seg!E24+Seg!E26</f>
        <v>63.712</v>
      </c>
      <c r="F28" s="6" t="n">
        <f aca="false">Seg!F22+Seg!F24+Seg!F26</f>
        <v>64.3025149952511</v>
      </c>
      <c r="G28" s="6" t="n">
        <f aca="false">Seg!G22+Seg!G24+Seg!G26</f>
        <v>66.2756719305292</v>
      </c>
      <c r="H28" s="6" t="n">
        <f aca="false">Seg!H22+Seg!H24+Seg!H26</f>
        <v>68.7139736271804</v>
      </c>
      <c r="I28" s="6" t="n">
        <f aca="false">Seg!I22+Seg!I24+Seg!I26</f>
        <v>71.5446393194289</v>
      </c>
      <c r="J28" s="6" t="n">
        <f aca="false">Seg!J22+Seg!J24+Seg!J26</f>
        <v>74.707035000971</v>
      </c>
      <c r="K28" s="6" t="n">
        <f aca="false">Seg!K22+Seg!K24+Seg!K26</f>
        <v>78.1524145698365</v>
      </c>
    </row>
    <row r="29" customFormat="false" ht="15" hidden="false" customHeight="false" outlineLevel="0" collapsed="false">
      <c r="A29" s="1" t="s">
        <v>1040</v>
      </c>
      <c r="B29" s="0" t="s">
        <v>98</v>
      </c>
      <c r="D29" s="6" t="n">
        <f aca="false">Seg!D21+Seg!D28</f>
        <v>281.724</v>
      </c>
      <c r="E29" s="6" t="n">
        <f aca="false">Seg!E21+Seg!E28</f>
        <v>331.839</v>
      </c>
      <c r="F29" s="6" t="n">
        <f aca="false">Seg!F21+Seg!F28</f>
        <v>403.077230889628</v>
      </c>
      <c r="G29" s="6" t="n">
        <f aca="false">Seg!G21+Seg!G28</f>
        <v>491.783730467066</v>
      </c>
      <c r="H29" s="6" t="n">
        <f aca="false">Seg!H21+Seg!H28</f>
        <v>587.294787614101</v>
      </c>
      <c r="I29" s="6" t="n">
        <f aca="false">Seg!I21+Seg!I28</f>
        <v>668.612370626884</v>
      </c>
      <c r="J29" s="6" t="n">
        <f aca="false">Seg!J21+Seg!J28</f>
        <v>734.052825485026</v>
      </c>
      <c r="K29" s="6" t="n">
        <f aca="false">Seg!K21+Seg!K28</f>
        <v>786.111062567128</v>
      </c>
    </row>
    <row r="30" customFormat="false" ht="15" hidden="false" customHeight="false" outlineLevel="0" collapsed="false">
      <c r="A30" s="26" t="s">
        <v>1041</v>
      </c>
      <c r="B30" s="31" t="s">
        <v>98</v>
      </c>
      <c r="C30" s="31"/>
      <c r="D30" s="27" t="n">
        <f aca="false">(Seg!D9+Seg!D14+Seg!D15+Seg!D17+Seg!D19-Seg!D21)+(Seg!D22+Seg!D24+Seg!D26-Seg!D28)+(Seg!D21-Q!L5)+(Seg!D28-Q!L12)+(Seg!D9-Q!L6)+(Seg!D14-Q!L7)</f>
        <v>0</v>
      </c>
      <c r="E30" s="27" t="n">
        <f aca="false">(Seg!E9+Seg!E14+Seg!E15+Seg!E17+Seg!E19-Seg!E21)+(Seg!E22+Seg!E24+Seg!E26-Seg!E28)+(Seg!E21-Q!M5)+(Seg!E28-Q!M12)+(Seg!E9-Q!M6)+(Seg!E14-Q!M7)</f>
        <v>0</v>
      </c>
      <c r="F30" s="27" t="n">
        <f aca="false">(Seg!F9+Seg!F14+Seg!F15+Seg!F17+Seg!F19-Seg!F21)+(Seg!F22+Seg!F24+Seg!F26-Seg!F28)</f>
        <v>0</v>
      </c>
      <c r="G30" s="27" t="n">
        <f aca="false">(Seg!G9+Seg!G14+Seg!G15+Seg!G17+Seg!G19-Seg!G21)+(Seg!G22+Seg!G24+Seg!G26-Seg!G28)</f>
        <v>0</v>
      </c>
      <c r="H30" s="27" t="n">
        <f aca="false">(Seg!H9+Seg!H14+Seg!H15+Seg!H17+Seg!H19-Seg!H21)+(Seg!H22+Seg!H24+Seg!H26-Seg!H28)</f>
        <v>0</v>
      </c>
      <c r="I30" s="27" t="n">
        <f aca="false">(Seg!I9+Seg!I14+Seg!I15+Seg!I17+Seg!I19-Seg!I21)+(Seg!I22+Seg!I24+Seg!I26-Seg!I28)</f>
        <v>0</v>
      </c>
      <c r="J30" s="27" t="n">
        <f aca="false">(Seg!J9+Seg!J14+Seg!J15+Seg!J17+Seg!J19-Seg!J21)+(Seg!J22+Seg!J24+Seg!J26-Seg!J28)</f>
        <v>0</v>
      </c>
      <c r="K30" s="27" t="n">
        <f aca="false">(Seg!K9+Seg!K14+Seg!K15+Seg!K17+Seg!K19-Seg!K21)+(Seg!K22+Seg!K24+Seg!K26-Seg!K28)</f>
        <v>0</v>
      </c>
    </row>
    <row r="31" customFormat="false" ht="17.15" hidden="false" customHeight="false" outlineLevel="0" collapsed="false">
      <c r="A31" s="3" t="s">
        <v>1042</v>
      </c>
    </row>
    <row r="32" customFormat="false" ht="15" hidden="false" customHeight="false" outlineLevel="0" collapsed="false">
      <c r="A32" s="4" t="s">
        <v>43</v>
      </c>
      <c r="B32" s="4" t="s">
        <v>65</v>
      </c>
      <c r="C32" s="23" t="s">
        <v>938</v>
      </c>
      <c r="D32" s="23" t="s">
        <v>939</v>
      </c>
      <c r="E32" s="23" t="s">
        <v>940</v>
      </c>
      <c r="F32" s="23" t="s">
        <v>941</v>
      </c>
      <c r="G32" s="23" t="s">
        <v>942</v>
      </c>
      <c r="H32" s="23" t="s">
        <v>943</v>
      </c>
      <c r="I32" s="23" t="s">
        <v>944</v>
      </c>
      <c r="J32" s="23" t="s">
        <v>945</v>
      </c>
      <c r="K32" s="23" t="s">
        <v>946</v>
      </c>
      <c r="L32" s="4" t="s">
        <v>47</v>
      </c>
    </row>
    <row r="33" customFormat="false" ht="17.15" hidden="false" customHeight="false" outlineLevel="0" collapsed="false">
      <c r="A33" s="0" t="s">
        <v>1021</v>
      </c>
      <c r="B33" s="0" t="s">
        <v>98</v>
      </c>
      <c r="D33" s="6" t="n">
        <f aca="false">Thesis!D77</f>
        <v>12.9359794422418</v>
      </c>
      <c r="E33" s="6" t="n">
        <f aca="false">Thesis!E77</f>
        <v>27.8095064661409</v>
      </c>
      <c r="F33" s="6" t="n">
        <f aca="false">Thesis!F77</f>
        <v>55.4118315060966</v>
      </c>
      <c r="G33" s="6" t="n">
        <f aca="false">Thesis!G77</f>
        <v>91.2881100675143</v>
      </c>
      <c r="H33" s="6" t="n">
        <f aca="false">Thesis!H77</f>
        <v>128.195273603944</v>
      </c>
      <c r="I33" s="6" t="n">
        <f aca="false">Thesis!I77</f>
        <v>160.601281810405</v>
      </c>
      <c r="J33" s="6" t="n">
        <f aca="false">Thesis!J77</f>
        <v>183.182719793589</v>
      </c>
      <c r="K33" s="6" t="n">
        <f aca="false">Thesis!K77</f>
        <v>197.320124937098</v>
      </c>
    </row>
    <row r="34" customFormat="false" ht="17.15" hidden="false" customHeight="false" outlineLevel="0" collapsed="false">
      <c r="A34" s="0" t="s">
        <v>1022</v>
      </c>
      <c r="B34" s="0" t="s">
        <v>98</v>
      </c>
      <c r="D34" s="6" t="n">
        <f aca="false">Q!L6-Seg!D33</f>
        <v>59.6740205577583</v>
      </c>
      <c r="E34" s="6" t="n">
        <f aca="false">Q!M6-Seg!E33</f>
        <v>74.1284935338591</v>
      </c>
      <c r="F34" s="6" t="n">
        <f aca="false">Q!$I$6+(Seg!F33+Seg!E34*(1+Seg!F35))*(1-Q!$E$6/Q!M6)-Seg!F33</f>
        <v>91.2972164940844</v>
      </c>
      <c r="G34" s="6" t="n">
        <f aca="false">Seg!F34*(1+Seg!G35)</f>
        <v>108.474719793879</v>
      </c>
      <c r="H34" s="6" t="n">
        <f aca="false">Seg!G34*(1+Seg!H35)</f>
        <v>125.951292505701</v>
      </c>
      <c r="I34" s="6" t="n">
        <f aca="false">Seg!H34*(1+Seg!I35)</f>
        <v>142.838165154212</v>
      </c>
      <c r="J34" s="6" t="n">
        <f aca="false">Seg!I34*(1+Seg!J35)</f>
        <v>158.12717866615</v>
      </c>
      <c r="K34" s="6" t="n">
        <f aca="false">Seg!J34*(1+Seg!K35)</f>
        <v>170.777352959442</v>
      </c>
      <c r="L34" s="12" t="s">
        <v>1023</v>
      </c>
    </row>
    <row r="35" customFormat="false" ht="15" hidden="false" customHeight="false" outlineLevel="0" collapsed="false">
      <c r="A35" s="1" t="s">
        <v>1024</v>
      </c>
      <c r="B35" s="0" t="s">
        <v>168</v>
      </c>
      <c r="E35" s="7" t="n">
        <f aca="false">Seg!E34/Seg!D34-1</f>
        <v>0.242223883039864</v>
      </c>
      <c r="F35" s="7" t="n">
        <f aca="false">Seg!$E$35+(glt_azo-Seg!$E$35)*MIN(1,(Thesis!F58-base_fy)/n_conv)</f>
        <v>0.215186569199887</v>
      </c>
      <c r="G35" s="7" t="n">
        <f aca="false">Seg!$E$35+(glt_azo-Seg!$E$35)*MIN(1,(Thesis!G58-base_fy)/n_conv)</f>
        <v>0.18814925535991</v>
      </c>
      <c r="H35" s="7" t="n">
        <f aca="false">Seg!$E$35+(glt_azo-Seg!$E$35)*MIN(1,(Thesis!H58-base_fy)/n_conv)</f>
        <v>0.161111941519932</v>
      </c>
      <c r="I35" s="7" t="n">
        <f aca="false">Seg!$E$35+(glt_azo-Seg!$E$35)*MIN(1,(Thesis!I58-base_fy)/n_conv)</f>
        <v>0.134074627679955</v>
      </c>
      <c r="J35" s="7" t="n">
        <f aca="false">Seg!$E$35+(glt_azo-Seg!$E$35)*MIN(1,(Thesis!J58-base_fy)/n_conv)</f>
        <v>0.107037313839977</v>
      </c>
      <c r="K35" s="7" t="n">
        <f aca="false">Seg!$E$35+(glt_azo-Seg!$E$35)*MIN(1,(Thesis!K58-base_fy)/n_conv)</f>
        <v>0.08</v>
      </c>
    </row>
    <row r="36" customFormat="false" ht="15" hidden="false" customHeight="false" outlineLevel="0" collapsed="false">
      <c r="A36" s="0" t="s">
        <v>1025</v>
      </c>
      <c r="B36" s="0" t="s">
        <v>98</v>
      </c>
      <c r="D36" s="6" t="n">
        <f aca="false">Seg!D33+Seg!D34</f>
        <v>72.61</v>
      </c>
      <c r="E36" s="6" t="n">
        <f aca="false">Seg!E33+Seg!E34</f>
        <v>101.938</v>
      </c>
      <c r="F36" s="6" t="n">
        <f aca="false">Seg!F33+Seg!F34</f>
        <v>146.709048000181</v>
      </c>
      <c r="G36" s="6" t="n">
        <f aca="false">Seg!G33+Seg!G34</f>
        <v>199.762829861393</v>
      </c>
      <c r="H36" s="6" t="n">
        <f aca="false">Seg!H33+Seg!H34</f>
        <v>254.146566109645</v>
      </c>
      <c r="I36" s="6" t="n">
        <f aca="false">Seg!I33+Seg!I34</f>
        <v>303.439446964617</v>
      </c>
      <c r="J36" s="6" t="n">
        <f aca="false">Seg!J33+Seg!J34</f>
        <v>341.309898459739</v>
      </c>
      <c r="K36" s="6" t="n">
        <f aca="false">Seg!K33+Seg!K34</f>
        <v>368.09747789654</v>
      </c>
    </row>
    <row r="37" customFormat="false" ht="17.15" hidden="false" customHeight="false" outlineLevel="0" collapsed="false">
      <c r="A37" s="0" t="s">
        <v>1026</v>
      </c>
      <c r="B37" s="1" t="s">
        <v>610</v>
      </c>
      <c r="C37" s="30" t="n">
        <f aca="false">cop_s24</f>
        <v>1</v>
      </c>
      <c r="D37" s="30" t="n">
        <f aca="false">cop_s25</f>
        <v>5</v>
      </c>
      <c r="E37" s="30" t="n">
        <f aca="false">cop_s26</f>
        <v>30</v>
      </c>
      <c r="F37" s="30" t="n">
        <f aca="false">Seg!E37+cop_add_B</f>
        <v>50</v>
      </c>
      <c r="G37" s="30" t="n">
        <f aca="false">Seg!F37+cop_add_B</f>
        <v>70</v>
      </c>
      <c r="H37" s="30" t="n">
        <f aca="false">Seg!G37+cop_add_B</f>
        <v>90</v>
      </c>
      <c r="I37" s="30" t="n">
        <f aca="false">Seg!H37+cop_add_B*cop_tail</f>
        <v>100</v>
      </c>
      <c r="J37" s="30" t="n">
        <f aca="false">Seg!I37+cop_add_B*cop_tail</f>
        <v>110</v>
      </c>
      <c r="K37" s="30" t="n">
        <f aca="false">Seg!J37+cop_add_B*cop_tail</f>
        <v>120</v>
      </c>
      <c r="L37" s="12" t="s">
        <v>1027</v>
      </c>
    </row>
    <row r="38" customFormat="false" ht="17.15" hidden="false" customHeight="false" outlineLevel="0" collapsed="false">
      <c r="A38" s="0" t="s">
        <v>1028</v>
      </c>
      <c r="B38" s="0" t="s">
        <v>98</v>
      </c>
      <c r="D38" s="6" t="n">
        <f aca="false">(Seg!C37+Seg!D37)/2*cop_px*12/1000</f>
        <v>0.9</v>
      </c>
      <c r="E38" s="6" t="n">
        <f aca="false">(Seg!D37+Seg!E37)/2*cop_px*12/1000</f>
        <v>5.25</v>
      </c>
      <c r="F38" s="6" t="n">
        <f aca="false">(Seg!E37+Seg!F37)/2*cop_px*12/1000</f>
        <v>12</v>
      </c>
      <c r="G38" s="6" t="n">
        <f aca="false">(Seg!F37+Seg!G37)/2*cop_px*12/1000</f>
        <v>18</v>
      </c>
      <c r="H38" s="6" t="n">
        <f aca="false">(Seg!G37+Seg!H37)/2*cop_px*12/1000</f>
        <v>24</v>
      </c>
      <c r="I38" s="6" t="n">
        <f aca="false">(Seg!H37+Seg!I37)/2*cop_px*12/1000</f>
        <v>28.5</v>
      </c>
      <c r="J38" s="6" t="n">
        <f aca="false">(Seg!I37+Seg!J37)/2*cop_px*12/1000</f>
        <v>31.5</v>
      </c>
      <c r="K38" s="6" t="n">
        <f aca="false">(Seg!J37+Seg!K37)/2*cop_px*12/1000</f>
        <v>34.5</v>
      </c>
      <c r="L38" s="1" t="s">
        <v>1029</v>
      </c>
    </row>
    <row r="39" customFormat="false" ht="17.15" hidden="false" customHeight="false" outlineLevel="0" collapsed="false">
      <c r="A39" s="0" t="s">
        <v>1030</v>
      </c>
      <c r="B39" s="0" t="s">
        <v>98</v>
      </c>
      <c r="D39" s="6" t="n">
        <f aca="false">Q!L7-Seg!D38</f>
        <v>83.705</v>
      </c>
      <c r="E39" s="6" t="n">
        <f aca="false">Q!M7-Seg!E38</f>
        <v>95.049</v>
      </c>
      <c r="F39" s="6" t="n">
        <f aca="false">Q!$I$7+(Seg!E39*(1+Seg!F40)+Seg!F38)*(1-Q!$E$7/Q!M7)-Seg!F38</f>
        <v>106.584003697747</v>
      </c>
      <c r="G39" s="6" t="n">
        <f aca="false">Seg!F39*(1+Seg!G40)</f>
        <v>118.700726545688</v>
      </c>
      <c r="H39" s="6" t="n">
        <f aca="false">Seg!G39*(1+Seg!H40)</f>
        <v>130.898624783666</v>
      </c>
      <c r="I39" s="6" t="n">
        <f aca="false">Seg!H39*(1+Seg!I40)</f>
        <v>142.920510030657</v>
      </c>
      <c r="J39" s="6" t="n">
        <f aca="false">Seg!I39*(1+Seg!J40)</f>
        <v>154.485722618572</v>
      </c>
      <c r="K39" s="6" t="n">
        <f aca="false">Seg!J39*(1+Seg!K40)</f>
        <v>165.299723201872</v>
      </c>
      <c r="L39" s="12" t="s">
        <v>1031</v>
      </c>
    </row>
    <row r="40" customFormat="false" ht="15" hidden="false" customHeight="false" outlineLevel="0" collapsed="false">
      <c r="A40" s="1" t="s">
        <v>1024</v>
      </c>
      <c r="B40" s="0" t="s">
        <v>168</v>
      </c>
      <c r="E40" s="7" t="n">
        <f aca="false">Seg!E39/Seg!D39-1</f>
        <v>0.135523564900544</v>
      </c>
      <c r="F40" s="7" t="n">
        <f aca="false">Seg!$E$40+(glt_m365b-Seg!$E$40)*MIN(1,(Thesis!F58-base_fy)/n_conv)</f>
        <v>0.124602970750453</v>
      </c>
      <c r="G40" s="7" t="n">
        <f aca="false">Seg!$E$40+(glt_m365b-Seg!$E$40)*MIN(1,(Thesis!G58-base_fy)/n_conv)</f>
        <v>0.113682376600363</v>
      </c>
      <c r="H40" s="7" t="n">
        <f aca="false">Seg!$E$40+(glt_m365b-Seg!$E$40)*MIN(1,(Thesis!H58-base_fy)/n_conv)</f>
        <v>0.102761782450272</v>
      </c>
      <c r="I40" s="7" t="n">
        <f aca="false">Seg!$E$40+(glt_m365b-Seg!$E$40)*MIN(1,(Thesis!I58-base_fy)/n_conv)</f>
        <v>0.0918411883001813</v>
      </c>
      <c r="J40" s="7" t="n">
        <f aca="false">Seg!$E$40+(glt_m365b-Seg!$E$40)*MIN(1,(Thesis!J58-base_fy)/n_conv)</f>
        <v>0.0809205941500906</v>
      </c>
      <c r="K40" s="7" t="n">
        <f aca="false">Seg!$E$40+(glt_m365b-Seg!$E$40)*MIN(1,(Thesis!K58-base_fy)/n_conv)</f>
        <v>0.07</v>
      </c>
    </row>
    <row r="41" customFormat="false" ht="15" hidden="false" customHeight="false" outlineLevel="0" collapsed="false">
      <c r="A41" s="0" t="s">
        <v>1032</v>
      </c>
      <c r="B41" s="0" t="s">
        <v>98</v>
      </c>
      <c r="D41" s="6" t="n">
        <f aca="false">Seg!D39+Seg!D38</f>
        <v>84.605</v>
      </c>
      <c r="E41" s="6" t="n">
        <f aca="false">Seg!E39+Seg!E38</f>
        <v>100.299</v>
      </c>
      <c r="F41" s="6" t="n">
        <f aca="false">Seg!F39+Seg!F38</f>
        <v>118.584003697747</v>
      </c>
      <c r="G41" s="6" t="n">
        <f aca="false">Seg!G39+Seg!G38</f>
        <v>136.700726545688</v>
      </c>
      <c r="H41" s="6" t="n">
        <f aca="false">Seg!H39+Seg!H38</f>
        <v>154.898624783666</v>
      </c>
      <c r="I41" s="6" t="n">
        <f aca="false">Seg!I39+Seg!I38</f>
        <v>171.420510030657</v>
      </c>
      <c r="J41" s="6" t="n">
        <f aca="false">Seg!J39+Seg!J38</f>
        <v>185.985722618572</v>
      </c>
      <c r="K41" s="6" t="n">
        <f aca="false">Seg!K39+Seg!K38</f>
        <v>199.799723201872</v>
      </c>
    </row>
    <row r="42" customFormat="false" ht="17.15" hidden="false" customHeight="false" outlineLevel="0" collapsed="false">
      <c r="A42" s="0" t="s">
        <v>1033</v>
      </c>
      <c r="B42" s="0" t="s">
        <v>98</v>
      </c>
      <c r="D42" s="6" t="n">
        <f aca="false">Q!L8</f>
        <v>35.391</v>
      </c>
      <c r="E42" s="6" t="n">
        <f aca="false">Q!M8</f>
        <v>37.285</v>
      </c>
      <c r="F42" s="6" t="n">
        <f aca="false">Q!$I$8+(Q!M8-Q!$E$8)*(1+Seg!F43)</f>
        <v>38.3851437782675</v>
      </c>
      <c r="G42" s="6" t="n">
        <f aca="false">Seg!F42*(1+Seg!G43)</f>
        <v>40.0105353288615</v>
      </c>
      <c r="H42" s="6" t="n">
        <f aca="false">Seg!G42*(1+Seg!H43)</f>
        <v>41.4812512033683</v>
      </c>
      <c r="I42" s="6" t="n">
        <f aca="false">Seg!H42*(1+Seg!I43)</f>
        <v>42.7743107216329</v>
      </c>
      <c r="J42" s="6" t="n">
        <f aca="false">Seg!I42*(1+Seg!J43)</f>
        <v>43.8687373064601</v>
      </c>
      <c r="K42" s="6" t="n">
        <f aca="false">Seg!J42*(1+Seg!K43)</f>
        <v>44.7461120525893</v>
      </c>
      <c r="L42" s="12" t="s">
        <v>1034</v>
      </c>
    </row>
    <row r="43" customFormat="false" ht="15" hidden="false" customHeight="false" outlineLevel="0" collapsed="false">
      <c r="A43" s="1" t="s">
        <v>1024</v>
      </c>
      <c r="B43" s="0" t="s">
        <v>168</v>
      </c>
      <c r="E43" s="7" t="n">
        <f aca="false">Seg!E42/Seg!D42-1</f>
        <v>0.0535164307309768</v>
      </c>
      <c r="F43" s="7" t="n">
        <f aca="false">Seg!$E$43+(glt_lic-Seg!$E$43)*MIN(1,(Thesis!F58-base_fy)/n_conv)</f>
        <v>0.0479303589424807</v>
      </c>
      <c r="G43" s="7" t="n">
        <f aca="false">Seg!$E$43+(glt_lic-Seg!$E$43)*MIN(1,(Thesis!G58-base_fy)/n_conv)</f>
        <v>0.0423442871539845</v>
      </c>
      <c r="H43" s="7" t="n">
        <f aca="false">Seg!$E$43+(glt_lic-Seg!$E$43)*MIN(1,(Thesis!H58-base_fy)/n_conv)</f>
        <v>0.0367582153654884</v>
      </c>
      <c r="I43" s="7" t="n">
        <f aca="false">Seg!$E$43+(glt_lic-Seg!$E$43)*MIN(1,(Thesis!I58-base_fy)/n_conv)</f>
        <v>0.0311721435769923</v>
      </c>
      <c r="J43" s="7" t="n">
        <f aca="false">Seg!$E$43+(glt_lic-Seg!$E$43)*MIN(1,(Thesis!J58-base_fy)/n_conv)</f>
        <v>0.0255860717884961</v>
      </c>
      <c r="K43" s="7" t="n">
        <f aca="false">Seg!$E$43+(glt_lic-Seg!$E$43)*MIN(1,(Thesis!K58-base_fy)/n_conv)</f>
        <v>0.02</v>
      </c>
    </row>
    <row r="44" customFormat="false" ht="17.15" hidden="false" customHeight="false" outlineLevel="0" collapsed="false">
      <c r="A44" s="0" t="s">
        <v>1035</v>
      </c>
      <c r="B44" s="0" t="s">
        <v>98</v>
      </c>
      <c r="D44" s="6" t="n">
        <f aca="false">Q!L9</f>
        <v>18.417</v>
      </c>
      <c r="E44" s="6" t="n">
        <f aca="false">Q!M9</f>
        <v>20.345</v>
      </c>
      <c r="F44" s="6" t="n">
        <f aca="false">Q!$I$9+(Q!M9-Q!$E$9)*(1+Seg!F45)</f>
        <v>22.3161797133988</v>
      </c>
      <c r="G44" s="6" t="n">
        <f aca="false">Seg!F44*(1+Seg!G45)</f>
        <v>24.3943499673233</v>
      </c>
      <c r="H44" s="6" t="n">
        <f aca="false">Seg!G44*(1+Seg!H45)</f>
        <v>26.5250243109019</v>
      </c>
      <c r="I44" s="6" t="n">
        <f aca="false">Seg!H44*(1+Seg!I45)</f>
        <v>28.6884573538181</v>
      </c>
      <c r="J44" s="6" t="n">
        <f aca="false">Seg!I44*(1+Seg!J45)</f>
        <v>30.8624968052127</v>
      </c>
      <c r="K44" s="6" t="n">
        <f aca="false">Seg!J44*(1+Seg!K45)</f>
        <v>33.0228715815776</v>
      </c>
      <c r="L44" s="12" t="s">
        <v>1034</v>
      </c>
    </row>
    <row r="45" customFormat="false" ht="15" hidden="false" customHeight="false" outlineLevel="0" collapsed="false">
      <c r="A45" s="1" t="s">
        <v>1024</v>
      </c>
      <c r="B45" s="0" t="s">
        <v>168</v>
      </c>
      <c r="E45" s="7" t="n">
        <f aca="false">Seg!E44/Seg!D44-1</f>
        <v>0.104685888038225</v>
      </c>
      <c r="F45" s="7" t="n">
        <f aca="false">Seg!$E$45+(glt_ind-Seg!$E$45)*MIN(1,(Thesis!F58-base_fy)/n_conv)</f>
        <v>0.0989049066985211</v>
      </c>
      <c r="G45" s="7" t="n">
        <f aca="false">Seg!$E$45+(glt_ind-Seg!$E$45)*MIN(1,(Thesis!G58-base_fy)/n_conv)</f>
        <v>0.0931239253588169</v>
      </c>
      <c r="H45" s="7" t="n">
        <f aca="false">Seg!$E$45+(glt_ind-Seg!$E$45)*MIN(1,(Thesis!H58-base_fy)/n_conv)</f>
        <v>0.0873429440191127</v>
      </c>
      <c r="I45" s="7" t="n">
        <f aca="false">Seg!$E$45+(glt_ind-Seg!$E$45)*MIN(1,(Thesis!I58-base_fy)/n_conv)</f>
        <v>0.0815619626794085</v>
      </c>
      <c r="J45" s="7" t="n">
        <f aca="false">Seg!$E$45+(glt_ind-Seg!$E$45)*MIN(1,(Thesis!J58-base_fy)/n_conv)</f>
        <v>0.0757809813397042</v>
      </c>
      <c r="K45" s="7" t="n">
        <f aca="false">Seg!$E$45+(glt_ind-Seg!$E$45)*MIN(1,(Thesis!K58-base_fy)/n_conv)</f>
        <v>0.07</v>
      </c>
    </row>
    <row r="46" customFormat="false" ht="17.15" hidden="false" customHeight="false" outlineLevel="0" collapsed="false">
      <c r="A46" s="0" t="s">
        <v>1036</v>
      </c>
      <c r="B46" s="0" t="s">
        <v>98</v>
      </c>
      <c r="D46" s="6" t="n">
        <f aca="false">Q!L10</f>
        <v>7.76</v>
      </c>
      <c r="E46" s="6" t="n">
        <f aca="false">Q!M10</f>
        <v>8.26</v>
      </c>
      <c r="F46" s="6" t="n">
        <f aca="false">Q!$I$10+(Q!M10-Q!$E$10)*(1+Seg!F47)</f>
        <v>8.75372082474227</v>
      </c>
      <c r="G46" s="6" t="n">
        <f aca="false">Seg!F46*(1+Seg!G47)</f>
        <v>9.33399324642364</v>
      </c>
      <c r="H46" s="6" t="n">
        <f aca="false">Seg!G46*(1+Seg!H47)</f>
        <v>9.96139155535851</v>
      </c>
      <c r="I46" s="6" t="n">
        <f aca="false">Seg!H46*(1+Seg!I47)</f>
        <v>10.6402039077391</v>
      </c>
      <c r="J46" s="6" t="n">
        <f aca="false">Seg!I46*(1+Seg!J47)</f>
        <v>11.3751458271397</v>
      </c>
      <c r="K46" s="6" t="n">
        <f aca="false">Seg!J46*(1+Seg!K47)</f>
        <v>12.1714060350394</v>
      </c>
      <c r="L46" s="12" t="s">
        <v>1034</v>
      </c>
    </row>
    <row r="47" customFormat="false" ht="15" hidden="false" customHeight="false" outlineLevel="0" collapsed="false">
      <c r="A47" s="1" t="s">
        <v>1024</v>
      </c>
      <c r="B47" s="0" t="s">
        <v>168</v>
      </c>
      <c r="E47" s="7" t="n">
        <f aca="false">Seg!E46/Seg!D46-1</f>
        <v>0.0644329896907216</v>
      </c>
      <c r="F47" s="7" t="n">
        <f aca="false">Seg!$E$47+(glt_fro-Seg!$E$47)*MIN(1,(Thesis!F58-base_fy)/n_conv)</f>
        <v>0.065360824742268</v>
      </c>
      <c r="G47" s="7" t="n">
        <f aca="false">Seg!$E$47+(glt_fro-Seg!$E$47)*MIN(1,(Thesis!G58-base_fy)/n_conv)</f>
        <v>0.0662886597938144</v>
      </c>
      <c r="H47" s="7" t="n">
        <f aca="false">Seg!$E$47+(glt_fro-Seg!$E$47)*MIN(1,(Thesis!H58-base_fy)/n_conv)</f>
        <v>0.0672164948453608</v>
      </c>
      <c r="I47" s="7" t="n">
        <f aca="false">Seg!$E$47+(glt_fro-Seg!$E$47)*MIN(1,(Thesis!I58-base_fy)/n_conv)</f>
        <v>0.0681443298969072</v>
      </c>
      <c r="J47" s="7" t="n">
        <f aca="false">Seg!$E$47+(glt_fro-Seg!$E$47)*MIN(1,(Thesis!J58-base_fy)/n_conv)</f>
        <v>0.0690721649484536</v>
      </c>
      <c r="K47" s="7" t="n">
        <f aca="false">Seg!$E$47+(glt_fro-Seg!$E$47)*MIN(1,(Thesis!K58-base_fy)/n_conv)</f>
        <v>0.07</v>
      </c>
    </row>
    <row r="48" customFormat="false" ht="15" hidden="false" customHeight="false" outlineLevel="0" collapsed="false">
      <c r="A48" s="0" t="s">
        <v>852</v>
      </c>
      <c r="B48" s="0" t="s">
        <v>98</v>
      </c>
      <c r="D48" s="6" t="n">
        <f aca="false">Seg!D36+Seg!D41+Seg!D42+Seg!D44+Seg!D46</f>
        <v>218.783</v>
      </c>
      <c r="E48" s="6" t="n">
        <f aca="false">Seg!E36+Seg!E41+Seg!E42+Seg!E44+Seg!E46</f>
        <v>268.127</v>
      </c>
      <c r="F48" s="6" t="n">
        <f aca="false">Seg!F36+Seg!F41+Seg!F42+Seg!F44+Seg!F46</f>
        <v>334.748096014336</v>
      </c>
      <c r="G48" s="6" t="n">
        <f aca="false">Seg!G36+Seg!G41+Seg!G42+Seg!G44+Seg!G46</f>
        <v>410.20243494969</v>
      </c>
      <c r="H48" s="6" t="n">
        <f aca="false">Seg!H36+Seg!H41+Seg!H42+Seg!H44+Seg!H46</f>
        <v>487.012857962939</v>
      </c>
      <c r="I48" s="6" t="n">
        <f aca="false">Seg!I36+Seg!I41+Seg!I42+Seg!I44+Seg!I46</f>
        <v>556.962928978464</v>
      </c>
      <c r="J48" s="6" t="n">
        <f aca="false">Seg!J36+Seg!J41+Seg!J42+Seg!J44+Seg!J46</f>
        <v>613.402001017124</v>
      </c>
      <c r="K48" s="6" t="n">
        <f aca="false">Seg!K36+Seg!K41+Seg!K42+Seg!K44+Seg!K46</f>
        <v>657.837590767618</v>
      </c>
    </row>
    <row r="49" customFormat="false" ht="17.15" hidden="false" customHeight="false" outlineLevel="0" collapsed="false">
      <c r="A49" s="0" t="s">
        <v>1037</v>
      </c>
      <c r="B49" s="0" t="s">
        <v>98</v>
      </c>
      <c r="D49" s="6" t="n">
        <f aca="false">Q!L13</f>
        <v>22.171</v>
      </c>
      <c r="E49" s="6" t="n">
        <f aca="false">Q!M13</f>
        <v>24.835</v>
      </c>
      <c r="F49" s="6" t="n">
        <f aca="false">Q!$I$13+(Q!M13-Q!$E$13)*(1+Seg!F50)</f>
        <v>27.5591895660247</v>
      </c>
      <c r="G49" s="6" t="n">
        <f aca="false">Seg!F49*(1+Seg!G50)</f>
        <v>30.4098563144583</v>
      </c>
      <c r="H49" s="6" t="n">
        <f aca="false">Seg!G49*(1+Seg!H50)</f>
        <v>33.3011792571777</v>
      </c>
      <c r="I49" s="6" t="n">
        <f aca="false">Seg!H49*(1+Seg!I50)</f>
        <v>36.189023797112</v>
      </c>
      <c r="J49" s="6" t="n">
        <f aca="false">Seg!I49*(1+Seg!J50)</f>
        <v>39.0247773769199</v>
      </c>
      <c r="K49" s="6" t="n">
        <f aca="false">Seg!J49*(1+Seg!K50)</f>
        <v>41.7565117933043</v>
      </c>
      <c r="L49" s="12" t="s">
        <v>1034</v>
      </c>
    </row>
    <row r="50" customFormat="false" ht="15" hidden="false" customHeight="false" outlineLevel="0" collapsed="false">
      <c r="A50" s="1" t="s">
        <v>1024</v>
      </c>
      <c r="B50" s="0" t="s">
        <v>168</v>
      </c>
      <c r="E50" s="7" t="n">
        <f aca="false">Seg!E49/Seg!D49-1</f>
        <v>0.120156961796942</v>
      </c>
      <c r="F50" s="7" t="n">
        <f aca="false">Seg!$E$50+(glt_srch-Seg!$E$50)*MIN(1,(Thesis!F58-base_fy)/n_conv)</f>
        <v>0.111797468164118</v>
      </c>
      <c r="G50" s="7" t="n">
        <f aca="false">Seg!$E$50+(glt_srch-Seg!$E$50)*MIN(1,(Thesis!G58-base_fy)/n_conv)</f>
        <v>0.103437974531295</v>
      </c>
      <c r="H50" s="7" t="n">
        <f aca="false">Seg!$E$50+(glt_srch-Seg!$E$50)*MIN(1,(Thesis!H58-base_fy)/n_conv)</f>
        <v>0.095078480898471</v>
      </c>
      <c r="I50" s="7" t="n">
        <f aca="false">Seg!$E$50+(glt_srch-Seg!$E$50)*MIN(1,(Thesis!I58-base_fy)/n_conv)</f>
        <v>0.0867189872656474</v>
      </c>
      <c r="J50" s="7" t="n">
        <f aca="false">Seg!$E$50+(glt_srch-Seg!$E$50)*MIN(1,(Thesis!J58-base_fy)/n_conv)</f>
        <v>0.0783594936328237</v>
      </c>
      <c r="K50" s="7" t="n">
        <f aca="false">Seg!$E$50+(glt_srch-Seg!$E$50)*MIN(1,(Thesis!K58-base_fy)/n_conv)</f>
        <v>0.07</v>
      </c>
    </row>
    <row r="51" customFormat="false" ht="17.15" hidden="false" customHeight="false" outlineLevel="0" collapsed="false">
      <c r="A51" s="0" t="s">
        <v>1038</v>
      </c>
      <c r="B51" s="0" t="s">
        <v>98</v>
      </c>
      <c r="D51" s="6" t="n">
        <f aca="false">Q!L14</f>
        <v>23.455</v>
      </c>
      <c r="E51" s="6" t="n">
        <f aca="false">Q!M14</f>
        <v>21.79</v>
      </c>
      <c r="F51" s="6" t="n">
        <f aca="false">Q!$I$14+(Q!M14-Q!$E$14)*(1+Seg!F52)</f>
        <v>20.7520981041711</v>
      </c>
      <c r="G51" s="6" t="n">
        <f aca="false">Seg!F51*(1+Seg!G52)</f>
        <v>19.9083593495882</v>
      </c>
      <c r="H51" s="6" t="n">
        <f aca="false">Seg!G51*(1+Seg!H52)</f>
        <v>19.4008256265831</v>
      </c>
      <c r="I51" s="6" t="n">
        <f aca="false">Seg!H51*(1+Seg!I52)</f>
        <v>19.200434522122</v>
      </c>
      <c r="J51" s="6" t="n">
        <f aca="false">Seg!I51*(1+Seg!J52)</f>
        <v>19.2932782348507</v>
      </c>
      <c r="K51" s="6" t="n">
        <f aca="false">Seg!J51*(1+Seg!K52)</f>
        <v>19.6791437995477</v>
      </c>
      <c r="L51" s="12" t="s">
        <v>1034</v>
      </c>
    </row>
    <row r="52" customFormat="false" ht="15" hidden="false" customHeight="false" outlineLevel="0" collapsed="false">
      <c r="A52" s="1" t="s">
        <v>1024</v>
      </c>
      <c r="B52" s="0" t="s">
        <v>168</v>
      </c>
      <c r="E52" s="7" t="n">
        <f aca="false">Seg!E51/Seg!D51-1</f>
        <v>-0.0709869963760392</v>
      </c>
      <c r="F52" s="7" t="n">
        <f aca="false">Seg!$E$52+(glt_xbox-Seg!$E$52)*MIN(1,(Thesis!F58-base_fy)/n_conv)</f>
        <v>-0.0558224969800327</v>
      </c>
      <c r="G52" s="7" t="n">
        <f aca="false">Seg!$E$52+(glt_xbox-Seg!$E$52)*MIN(1,(Thesis!G58-base_fy)/n_conv)</f>
        <v>-0.0406579975840262</v>
      </c>
      <c r="H52" s="7" t="n">
        <f aca="false">Seg!$E$52+(glt_xbox-Seg!$E$52)*MIN(1,(Thesis!H58-base_fy)/n_conv)</f>
        <v>-0.0254934981880196</v>
      </c>
      <c r="I52" s="7" t="n">
        <f aca="false">Seg!$E$52+(glt_xbox-Seg!$E$52)*MIN(1,(Thesis!I58-base_fy)/n_conv)</f>
        <v>-0.0103289987920131</v>
      </c>
      <c r="J52" s="7" t="n">
        <f aca="false">Seg!$E$52+(glt_xbox-Seg!$E$52)*MIN(1,(Thesis!J58-base_fy)/n_conv)</f>
        <v>0.00483550060399347</v>
      </c>
      <c r="K52" s="7" t="n">
        <f aca="false">Seg!$E$52+(glt_xbox-Seg!$E$52)*MIN(1,(Thesis!K58-base_fy)/n_conv)</f>
        <v>0.02</v>
      </c>
    </row>
    <row r="53" customFormat="false" ht="17.15" hidden="false" customHeight="false" outlineLevel="0" collapsed="false">
      <c r="A53" s="0" t="s">
        <v>1039</v>
      </c>
      <c r="B53" s="0" t="s">
        <v>98</v>
      </c>
      <c r="D53" s="6" t="n">
        <f aca="false">Q!L15</f>
        <v>17.315</v>
      </c>
      <c r="E53" s="6" t="n">
        <f aca="false">Q!M15</f>
        <v>17.087</v>
      </c>
      <c r="F53" s="6" t="n">
        <f aca="false">Q!$I$15+(Q!M15-Q!$E$15)*(1+Seg!F54)</f>
        <v>15.9912273250553</v>
      </c>
      <c r="G53" s="6" t="n">
        <f aca="false">Seg!F53*(1+Seg!G54)</f>
        <v>15.9574562664827</v>
      </c>
      <c r="H53" s="6" t="n">
        <f aca="false">Seg!G53*(1+Seg!H54)</f>
        <v>16.0119687434196</v>
      </c>
      <c r="I53" s="6" t="n">
        <f aca="false">Seg!H53*(1+Seg!I54)</f>
        <v>16.1551810001948</v>
      </c>
      <c r="J53" s="6" t="n">
        <f aca="false">Seg!I53*(1+Seg!J54)</f>
        <v>16.3889793892005</v>
      </c>
      <c r="K53" s="6" t="n">
        <f aca="false">Seg!J53*(1+Seg!K54)</f>
        <v>16.7167589769845</v>
      </c>
      <c r="L53" s="12" t="s">
        <v>1034</v>
      </c>
    </row>
    <row r="54" customFormat="false" ht="15" hidden="false" customHeight="false" outlineLevel="0" collapsed="false">
      <c r="A54" s="1" t="s">
        <v>1024</v>
      </c>
      <c r="B54" s="0" t="s">
        <v>168</v>
      </c>
      <c r="E54" s="7" t="n">
        <f aca="false">Seg!E53/Seg!D53-1</f>
        <v>-0.0131677736066995</v>
      </c>
      <c r="F54" s="7" t="n">
        <f aca="false">Seg!$E$54+(glt_win-Seg!$E$54)*MIN(1,(Thesis!F58-base_fy)/n_conv)</f>
        <v>-0.00763981133891627</v>
      </c>
      <c r="G54" s="7" t="n">
        <f aca="false">Seg!$E$54+(glt_win-Seg!$E$54)*MIN(1,(Thesis!G58-base_fy)/n_conv)</f>
        <v>-0.00211184907113301</v>
      </c>
      <c r="H54" s="7" t="n">
        <f aca="false">Seg!$E$54+(glt_win-Seg!$E$54)*MIN(1,(Thesis!H58-base_fy)/n_conv)</f>
        <v>0.00341611319665024</v>
      </c>
      <c r="I54" s="7" t="n">
        <f aca="false">Seg!$E$54+(glt_win-Seg!$E$54)*MIN(1,(Thesis!I58-base_fy)/n_conv)</f>
        <v>0.00894407546443349</v>
      </c>
      <c r="J54" s="7" t="n">
        <f aca="false">Seg!$E$54+(glt_win-Seg!$E$54)*MIN(1,(Thesis!J58-base_fy)/n_conv)</f>
        <v>0.0144720377322168</v>
      </c>
      <c r="K54" s="7" t="n">
        <f aca="false">Seg!$E$54+(glt_win-Seg!$E$54)*MIN(1,(Thesis!K58-base_fy)/n_conv)</f>
        <v>0.02</v>
      </c>
    </row>
    <row r="55" customFormat="false" ht="15" hidden="false" customHeight="false" outlineLevel="0" collapsed="false">
      <c r="A55" s="0" t="s">
        <v>866</v>
      </c>
      <c r="B55" s="0" t="s">
        <v>98</v>
      </c>
      <c r="D55" s="6" t="n">
        <f aca="false">Seg!D49+Seg!D51+Seg!D53</f>
        <v>62.941</v>
      </c>
      <c r="E55" s="6" t="n">
        <f aca="false">Seg!E49+Seg!E51+Seg!E53</f>
        <v>63.712</v>
      </c>
      <c r="F55" s="6" t="n">
        <f aca="false">Seg!F49+Seg!F51+Seg!F53</f>
        <v>64.3025149952511</v>
      </c>
      <c r="G55" s="6" t="n">
        <f aca="false">Seg!G49+Seg!G51+Seg!G53</f>
        <v>66.2756719305292</v>
      </c>
      <c r="H55" s="6" t="n">
        <f aca="false">Seg!H49+Seg!H51+Seg!H53</f>
        <v>68.7139736271804</v>
      </c>
      <c r="I55" s="6" t="n">
        <f aca="false">Seg!I49+Seg!I51+Seg!I53</f>
        <v>71.5446393194289</v>
      </c>
      <c r="J55" s="6" t="n">
        <f aca="false">Seg!J49+Seg!J51+Seg!J53</f>
        <v>74.707035000971</v>
      </c>
      <c r="K55" s="6" t="n">
        <f aca="false">Seg!K49+Seg!K51+Seg!K53</f>
        <v>78.1524145698365</v>
      </c>
    </row>
    <row r="56" customFormat="false" ht="15" hidden="false" customHeight="false" outlineLevel="0" collapsed="false">
      <c r="A56" s="1" t="s">
        <v>1040</v>
      </c>
      <c r="B56" s="0" t="s">
        <v>98</v>
      </c>
      <c r="D56" s="6" t="n">
        <f aca="false">Seg!D48+Seg!D55</f>
        <v>281.724</v>
      </c>
      <c r="E56" s="6" t="n">
        <f aca="false">Seg!E48+Seg!E55</f>
        <v>331.839</v>
      </c>
      <c r="F56" s="6" t="n">
        <f aca="false">Seg!F48+Seg!F55</f>
        <v>399.050611009588</v>
      </c>
      <c r="G56" s="6" t="n">
        <f aca="false">Seg!G48+Seg!G55</f>
        <v>476.478106880219</v>
      </c>
      <c r="H56" s="6" t="n">
        <f aca="false">Seg!H48+Seg!H55</f>
        <v>555.72683159012</v>
      </c>
      <c r="I56" s="6" t="n">
        <f aca="false">Seg!I48+Seg!I55</f>
        <v>628.507568297893</v>
      </c>
      <c r="J56" s="6" t="n">
        <f aca="false">Seg!J48+Seg!J55</f>
        <v>688.109036018095</v>
      </c>
      <c r="K56" s="6" t="n">
        <f aca="false">Seg!K48+Seg!K55</f>
        <v>735.990005337455</v>
      </c>
    </row>
    <row r="57" customFormat="false" ht="15" hidden="false" customHeight="false" outlineLevel="0" collapsed="false">
      <c r="A57" s="26" t="s">
        <v>1041</v>
      </c>
      <c r="B57" s="31" t="s">
        <v>98</v>
      </c>
      <c r="C57" s="31"/>
      <c r="D57" s="27" t="n">
        <f aca="false">(Seg!D36+Seg!D41+Seg!D42+Seg!D44+Seg!D46-Seg!D48)+(Seg!D49+Seg!D51+Seg!D53-Seg!D55)+(Seg!D48-Q!L5)+(Seg!D55-Q!L12)+(Seg!D36-Q!L6)+(Seg!D41-Q!L7)</f>
        <v>0</v>
      </c>
      <c r="E57" s="27" t="n">
        <f aca="false">(Seg!E36+Seg!E41+Seg!E42+Seg!E44+Seg!E46-Seg!E48)+(Seg!E49+Seg!E51+Seg!E53-Seg!E55)+(Seg!E48-Q!M5)+(Seg!E55-Q!M12)+(Seg!E36-Q!M6)+(Seg!E41-Q!M7)</f>
        <v>0</v>
      </c>
      <c r="F57" s="27" t="n">
        <f aca="false">(Seg!F36+Seg!F41+Seg!F42+Seg!F44+Seg!F46-Seg!F48)+(Seg!F49+Seg!F51+Seg!F53-Seg!F55)</f>
        <v>0</v>
      </c>
      <c r="G57" s="27" t="n">
        <f aca="false">(Seg!G36+Seg!G41+Seg!G42+Seg!G44+Seg!G46-Seg!G48)+(Seg!G49+Seg!G51+Seg!G53-Seg!G55)</f>
        <v>0</v>
      </c>
      <c r="H57" s="27" t="n">
        <f aca="false">(Seg!H36+Seg!H41+Seg!H42+Seg!H44+Seg!H46-Seg!H48)+(Seg!H49+Seg!H51+Seg!H53-Seg!H55)</f>
        <v>0</v>
      </c>
      <c r="I57" s="27" t="n">
        <f aca="false">(Seg!I36+Seg!I41+Seg!I42+Seg!I44+Seg!I46-Seg!I48)+(Seg!I49+Seg!I51+Seg!I53-Seg!I55)</f>
        <v>0</v>
      </c>
      <c r="J57" s="27" t="n">
        <f aca="false">(Seg!J36+Seg!J41+Seg!J42+Seg!J44+Seg!J46-Seg!J48)+(Seg!J49+Seg!J51+Seg!J53-Seg!J55)</f>
        <v>0</v>
      </c>
      <c r="K57" s="27" t="n">
        <f aca="false">(Seg!K36+Seg!K41+Seg!K42+Seg!K44+Seg!K46-Seg!K48)+(Seg!K49+Seg!K51+Seg!K53-Seg!K55)</f>
        <v>0</v>
      </c>
    </row>
    <row r="58" customFormat="false" ht="17.15" hidden="false" customHeight="false" outlineLevel="0" collapsed="false">
      <c r="A58" s="3" t="s">
        <v>1043</v>
      </c>
    </row>
    <row r="59" customFormat="false" ht="15" hidden="false" customHeight="false" outlineLevel="0" collapsed="false">
      <c r="A59" s="4" t="s">
        <v>43</v>
      </c>
      <c r="B59" s="4" t="s">
        <v>65</v>
      </c>
      <c r="C59" s="23" t="s">
        <v>938</v>
      </c>
      <c r="D59" s="23" t="s">
        <v>939</v>
      </c>
      <c r="E59" s="23" t="s">
        <v>940</v>
      </c>
      <c r="F59" s="23" t="s">
        <v>941</v>
      </c>
      <c r="G59" s="23" t="s">
        <v>942</v>
      </c>
      <c r="H59" s="23" t="s">
        <v>943</v>
      </c>
      <c r="I59" s="23" t="s">
        <v>944</v>
      </c>
      <c r="J59" s="23" t="s">
        <v>945</v>
      </c>
      <c r="K59" s="23" t="s">
        <v>946</v>
      </c>
      <c r="L59" s="4" t="s">
        <v>47</v>
      </c>
    </row>
    <row r="60" customFormat="false" ht="17.15" hidden="false" customHeight="false" outlineLevel="0" collapsed="false">
      <c r="A60" s="0" t="s">
        <v>1021</v>
      </c>
      <c r="B60" s="0" t="s">
        <v>98</v>
      </c>
      <c r="D60" s="6" t="n">
        <f aca="false">Thesis!D129</f>
        <v>12.9359794422418</v>
      </c>
      <c r="E60" s="6" t="n">
        <f aca="false">Thesis!E129</f>
        <v>27.8095064661409</v>
      </c>
      <c r="F60" s="6" t="n">
        <f aca="false">Thesis!F129</f>
        <v>50.9819294352312</v>
      </c>
      <c r="G60" s="6" t="n">
        <f aca="false">Thesis!G129</f>
        <v>76.6920436014933</v>
      </c>
      <c r="H60" s="6" t="n">
        <f aca="false">Thesis!H129</f>
        <v>97.4495379418341</v>
      </c>
      <c r="I60" s="6" t="n">
        <f aca="false">Thesis!I129</f>
        <v>122.083445553868</v>
      </c>
      <c r="J60" s="6" t="n">
        <f aca="false">Thesis!J129</f>
        <v>139.249060444804</v>
      </c>
      <c r="K60" s="6" t="n">
        <f aca="false">Thesis!K129</f>
        <v>149.995818575589</v>
      </c>
    </row>
    <row r="61" customFormat="false" ht="17.15" hidden="false" customHeight="false" outlineLevel="0" collapsed="false">
      <c r="A61" s="0" t="s">
        <v>1022</v>
      </c>
      <c r="B61" s="0" t="s">
        <v>98</v>
      </c>
      <c r="D61" s="6" t="n">
        <f aca="false">Q!L6-Seg!D60</f>
        <v>59.6740205577583</v>
      </c>
      <c r="E61" s="6" t="n">
        <f aca="false">Q!M6-Seg!E60</f>
        <v>74.1284935338591</v>
      </c>
      <c r="F61" s="6" t="n">
        <f aca="false">Q!$I$6+(Seg!F60+Seg!E61*(1+Seg!F62))*(1-Q!$E$6/Q!M6)-Seg!F60</f>
        <v>92.2699541184664</v>
      </c>
      <c r="G61" s="6" t="n">
        <f aca="false">Seg!F61*(1+Seg!G62)</f>
        <v>109.630477277949</v>
      </c>
      <c r="H61" s="6" t="n">
        <f aca="false">Seg!G61*(1+Seg!H62)</f>
        <v>127.293256321956</v>
      </c>
      <c r="I61" s="6" t="n">
        <f aca="false">Seg!H61*(1+Seg!I62)</f>
        <v>144.360052269491</v>
      </c>
      <c r="J61" s="6" t="n">
        <f aca="false">Seg!I61*(1+Seg!J62)</f>
        <v>159.811964490216</v>
      </c>
      <c r="K61" s="6" t="n">
        <f aca="false">Seg!J61*(1+Seg!K62)</f>
        <v>172.596921649434</v>
      </c>
      <c r="L61" s="12" t="s">
        <v>1023</v>
      </c>
    </row>
    <row r="62" customFormat="false" ht="15" hidden="false" customHeight="false" outlineLevel="0" collapsed="false">
      <c r="A62" s="1" t="s">
        <v>1024</v>
      </c>
      <c r="B62" s="0" t="s">
        <v>168</v>
      </c>
      <c r="E62" s="7" t="n">
        <f aca="false">Seg!E61/Seg!D61-1</f>
        <v>0.242223883039864</v>
      </c>
      <c r="F62" s="7" t="n">
        <f aca="false">Seg!$E$62+(glt_azo-Seg!$E$62)*MIN(1,(Thesis!F110-base_fy)/n_conv)</f>
        <v>0.215186569199887</v>
      </c>
      <c r="G62" s="7" t="n">
        <f aca="false">Seg!$E$62+(glt_azo-Seg!$E$62)*MIN(1,(Thesis!G110-base_fy)/n_conv)</f>
        <v>0.18814925535991</v>
      </c>
      <c r="H62" s="7" t="n">
        <f aca="false">Seg!$E$62+(glt_azo-Seg!$E$62)*MIN(1,(Thesis!H110-base_fy)/n_conv)</f>
        <v>0.161111941519932</v>
      </c>
      <c r="I62" s="7" t="n">
        <f aca="false">Seg!$E$62+(glt_azo-Seg!$E$62)*MIN(1,(Thesis!I110-base_fy)/n_conv)</f>
        <v>0.134074627679955</v>
      </c>
      <c r="J62" s="7" t="n">
        <f aca="false">Seg!$E$62+(glt_azo-Seg!$E$62)*MIN(1,(Thesis!J110-base_fy)/n_conv)</f>
        <v>0.107037313839977</v>
      </c>
      <c r="K62" s="7" t="n">
        <f aca="false">Seg!$E$62+(glt_azo-Seg!$E$62)*MIN(1,(Thesis!K110-base_fy)/n_conv)</f>
        <v>0.08</v>
      </c>
    </row>
    <row r="63" customFormat="false" ht="15" hidden="false" customHeight="false" outlineLevel="0" collapsed="false">
      <c r="A63" s="0" t="s">
        <v>1025</v>
      </c>
      <c r="B63" s="0" t="s">
        <v>98</v>
      </c>
      <c r="D63" s="6" t="n">
        <f aca="false">Seg!D60+Seg!D61</f>
        <v>72.61</v>
      </c>
      <c r="E63" s="6" t="n">
        <f aca="false">Seg!E60+Seg!E61</f>
        <v>101.938</v>
      </c>
      <c r="F63" s="6" t="n">
        <f aca="false">Seg!F60+Seg!F61</f>
        <v>143.251883553698</v>
      </c>
      <c r="G63" s="6" t="n">
        <f aca="false">Seg!G60+Seg!G61</f>
        <v>186.322520879442</v>
      </c>
      <c r="H63" s="6" t="n">
        <f aca="false">Seg!H60+Seg!H61</f>
        <v>224.74279426379</v>
      </c>
      <c r="I63" s="6" t="n">
        <f aca="false">Seg!I60+Seg!I61</f>
        <v>266.443497823359</v>
      </c>
      <c r="J63" s="6" t="n">
        <f aca="false">Seg!J60+Seg!J61</f>
        <v>299.06102493502</v>
      </c>
      <c r="K63" s="6" t="n">
        <f aca="false">Seg!K60+Seg!K61</f>
        <v>322.592740225023</v>
      </c>
    </row>
    <row r="64" customFormat="false" ht="17.15" hidden="false" customHeight="false" outlineLevel="0" collapsed="false">
      <c r="A64" s="0" t="s">
        <v>1026</v>
      </c>
      <c r="B64" s="1" t="s">
        <v>610</v>
      </c>
      <c r="C64" s="30" t="n">
        <f aca="false">cop_s24</f>
        <v>1</v>
      </c>
      <c r="D64" s="30" t="n">
        <f aca="false">cop_s25</f>
        <v>5</v>
      </c>
      <c r="E64" s="30" t="n">
        <f aca="false">cop_s26</f>
        <v>30</v>
      </c>
      <c r="F64" s="30" t="n">
        <f aca="false">Seg!E64+cop_add_C</f>
        <v>40</v>
      </c>
      <c r="G64" s="30" t="n">
        <f aca="false">Seg!F64+cop_add_C</f>
        <v>50</v>
      </c>
      <c r="H64" s="30" t="n">
        <f aca="false">Seg!G64+cop_add_C</f>
        <v>60</v>
      </c>
      <c r="I64" s="30" t="n">
        <f aca="false">Seg!H64+cop_add_C*cop_tail</f>
        <v>65</v>
      </c>
      <c r="J64" s="30" t="n">
        <f aca="false">Seg!I64+cop_add_C*cop_tail</f>
        <v>70</v>
      </c>
      <c r="K64" s="30" t="n">
        <f aca="false">Seg!J64+cop_add_C*cop_tail</f>
        <v>75</v>
      </c>
      <c r="L64" s="12" t="s">
        <v>1027</v>
      </c>
    </row>
    <row r="65" customFormat="false" ht="17.15" hidden="false" customHeight="false" outlineLevel="0" collapsed="false">
      <c r="A65" s="0" t="s">
        <v>1028</v>
      </c>
      <c r="B65" s="0" t="s">
        <v>98</v>
      </c>
      <c r="D65" s="6" t="n">
        <f aca="false">(Seg!C64+Seg!D64)/2*cop_px*12/1000</f>
        <v>0.9</v>
      </c>
      <c r="E65" s="6" t="n">
        <f aca="false">(Seg!D64+Seg!E64)/2*cop_px*12/1000</f>
        <v>5.25</v>
      </c>
      <c r="F65" s="6" t="n">
        <f aca="false">(Seg!E64+Seg!F64)/2*cop_px*12/1000</f>
        <v>10.5</v>
      </c>
      <c r="G65" s="6" t="n">
        <f aca="false">(Seg!F64+Seg!G64)/2*cop_px*12/1000</f>
        <v>13.5</v>
      </c>
      <c r="H65" s="6" t="n">
        <f aca="false">(Seg!G64+Seg!H64)/2*cop_px*12/1000</f>
        <v>16.5</v>
      </c>
      <c r="I65" s="6" t="n">
        <f aca="false">(Seg!H64+Seg!I64)/2*cop_px*12/1000</f>
        <v>18.75</v>
      </c>
      <c r="J65" s="6" t="n">
        <f aca="false">(Seg!I64+Seg!J64)/2*cop_px*12/1000</f>
        <v>20.25</v>
      </c>
      <c r="K65" s="6" t="n">
        <f aca="false">(Seg!J64+Seg!K64)/2*cop_px*12/1000</f>
        <v>21.75</v>
      </c>
      <c r="L65" s="1" t="s">
        <v>1029</v>
      </c>
    </row>
    <row r="66" customFormat="false" ht="17.15" hidden="false" customHeight="false" outlineLevel="0" collapsed="false">
      <c r="A66" s="0" t="s">
        <v>1030</v>
      </c>
      <c r="B66" s="0" t="s">
        <v>98</v>
      </c>
      <c r="D66" s="6" t="n">
        <f aca="false">Q!L7-Seg!D65</f>
        <v>83.705</v>
      </c>
      <c r="E66" s="6" t="n">
        <f aca="false">Q!M7-Seg!E65</f>
        <v>95.049</v>
      </c>
      <c r="F66" s="6" t="n">
        <f aca="false">Q!$I$7+(Seg!E66*(1+Seg!F67)+Seg!F65)*(1-Q!$E$7/Q!M7)-Seg!F65</f>
        <v>106.938354189776</v>
      </c>
      <c r="G66" s="6" t="n">
        <f aca="false">Seg!F66*(1+Seg!G67)</f>
        <v>119.095360443801</v>
      </c>
      <c r="H66" s="6" t="n">
        <f aca="false">Seg!G66*(1+Seg!H67)</f>
        <v>131.333811964563</v>
      </c>
      <c r="I66" s="6" t="n">
        <f aca="false">Seg!H66*(1+Seg!I67)</f>
        <v>143.395665319381</v>
      </c>
      <c r="J66" s="6" t="n">
        <f aca="false">Seg!I66*(1+Seg!J67)</f>
        <v>154.999327755573</v>
      </c>
      <c r="K66" s="6" t="n">
        <f aca="false">Seg!J66*(1+Seg!K67)</f>
        <v>165.849280698463</v>
      </c>
      <c r="L66" s="12" t="s">
        <v>1031</v>
      </c>
    </row>
    <row r="67" customFormat="false" ht="15" hidden="false" customHeight="false" outlineLevel="0" collapsed="false">
      <c r="A67" s="1" t="s">
        <v>1024</v>
      </c>
      <c r="B67" s="0" t="s">
        <v>168</v>
      </c>
      <c r="E67" s="7" t="n">
        <f aca="false">Seg!E66/Seg!D66-1</f>
        <v>0.135523564900544</v>
      </c>
      <c r="F67" s="7" t="n">
        <f aca="false">Seg!$E$67+(glt_m365b-Seg!$E$67)*MIN(1,(Thesis!F110-base_fy)/n_conv)</f>
        <v>0.124602970750453</v>
      </c>
      <c r="G67" s="7" t="n">
        <f aca="false">Seg!$E$67+(glt_m365b-Seg!$E$67)*MIN(1,(Thesis!G110-base_fy)/n_conv)</f>
        <v>0.113682376600363</v>
      </c>
      <c r="H67" s="7" t="n">
        <f aca="false">Seg!$E$67+(glt_m365b-Seg!$E$67)*MIN(1,(Thesis!H110-base_fy)/n_conv)</f>
        <v>0.102761782450272</v>
      </c>
      <c r="I67" s="7" t="n">
        <f aca="false">Seg!$E$67+(glt_m365b-Seg!$E$67)*MIN(1,(Thesis!I110-base_fy)/n_conv)</f>
        <v>0.0918411883001813</v>
      </c>
      <c r="J67" s="7" t="n">
        <f aca="false">Seg!$E$67+(glt_m365b-Seg!$E$67)*MIN(1,(Thesis!J110-base_fy)/n_conv)</f>
        <v>0.0809205941500906</v>
      </c>
      <c r="K67" s="7" t="n">
        <f aca="false">Seg!$E$67+(glt_m365b-Seg!$E$67)*MIN(1,(Thesis!K110-base_fy)/n_conv)</f>
        <v>0.07</v>
      </c>
    </row>
    <row r="68" customFormat="false" ht="15" hidden="false" customHeight="false" outlineLevel="0" collapsed="false">
      <c r="A68" s="0" t="s">
        <v>1032</v>
      </c>
      <c r="B68" s="0" t="s">
        <v>98</v>
      </c>
      <c r="D68" s="6" t="n">
        <f aca="false">Seg!D66+Seg!D65</f>
        <v>84.605</v>
      </c>
      <c r="E68" s="6" t="n">
        <f aca="false">Seg!E66+Seg!E65</f>
        <v>100.299</v>
      </c>
      <c r="F68" s="6" t="n">
        <f aca="false">Seg!F66+Seg!F65</f>
        <v>117.438354189776</v>
      </c>
      <c r="G68" s="6" t="n">
        <f aca="false">Seg!G66+Seg!G65</f>
        <v>132.595360443801</v>
      </c>
      <c r="H68" s="6" t="n">
        <f aca="false">Seg!H66+Seg!H65</f>
        <v>147.833811964563</v>
      </c>
      <c r="I68" s="6" t="n">
        <f aca="false">Seg!I66+Seg!I65</f>
        <v>162.145665319381</v>
      </c>
      <c r="J68" s="6" t="n">
        <f aca="false">Seg!J66+Seg!J65</f>
        <v>175.249327755573</v>
      </c>
      <c r="K68" s="6" t="n">
        <f aca="false">Seg!K66+Seg!K65</f>
        <v>187.599280698463</v>
      </c>
    </row>
    <row r="69" customFormat="false" ht="17.15" hidden="false" customHeight="false" outlineLevel="0" collapsed="false">
      <c r="A69" s="0" t="s">
        <v>1033</v>
      </c>
      <c r="B69" s="0" t="s">
        <v>98</v>
      </c>
      <c r="D69" s="6" t="n">
        <f aca="false">Q!L8</f>
        <v>35.391</v>
      </c>
      <c r="E69" s="6" t="n">
        <f aca="false">Q!M8</f>
        <v>37.285</v>
      </c>
      <c r="F69" s="6" t="n">
        <f aca="false">Q!$I$8+(Q!M8-Q!$E$8)*(1+Seg!F70)</f>
        <v>38.3851437782675</v>
      </c>
      <c r="G69" s="6" t="n">
        <f aca="false">Seg!F69*(1+Seg!G70)</f>
        <v>40.0105353288615</v>
      </c>
      <c r="H69" s="6" t="n">
        <f aca="false">Seg!G69*(1+Seg!H70)</f>
        <v>41.4812512033683</v>
      </c>
      <c r="I69" s="6" t="n">
        <f aca="false">Seg!H69*(1+Seg!I70)</f>
        <v>42.7743107216329</v>
      </c>
      <c r="J69" s="6" t="n">
        <f aca="false">Seg!I69*(1+Seg!J70)</f>
        <v>43.8687373064601</v>
      </c>
      <c r="K69" s="6" t="n">
        <f aca="false">Seg!J69*(1+Seg!K70)</f>
        <v>44.7461120525893</v>
      </c>
      <c r="L69" s="12" t="s">
        <v>1034</v>
      </c>
    </row>
    <row r="70" customFormat="false" ht="15" hidden="false" customHeight="false" outlineLevel="0" collapsed="false">
      <c r="A70" s="1" t="s">
        <v>1024</v>
      </c>
      <c r="B70" s="0" t="s">
        <v>168</v>
      </c>
      <c r="E70" s="7" t="n">
        <f aca="false">Seg!E69/Seg!D69-1</f>
        <v>0.0535164307309768</v>
      </c>
      <c r="F70" s="7" t="n">
        <f aca="false">Seg!$E$70+(glt_lic-Seg!$E$70)*MIN(1,(Thesis!F110-base_fy)/n_conv)</f>
        <v>0.0479303589424807</v>
      </c>
      <c r="G70" s="7" t="n">
        <f aca="false">Seg!$E$70+(glt_lic-Seg!$E$70)*MIN(1,(Thesis!G110-base_fy)/n_conv)</f>
        <v>0.0423442871539845</v>
      </c>
      <c r="H70" s="7" t="n">
        <f aca="false">Seg!$E$70+(glt_lic-Seg!$E$70)*MIN(1,(Thesis!H110-base_fy)/n_conv)</f>
        <v>0.0367582153654884</v>
      </c>
      <c r="I70" s="7" t="n">
        <f aca="false">Seg!$E$70+(glt_lic-Seg!$E$70)*MIN(1,(Thesis!I110-base_fy)/n_conv)</f>
        <v>0.0311721435769923</v>
      </c>
      <c r="J70" s="7" t="n">
        <f aca="false">Seg!$E$70+(glt_lic-Seg!$E$70)*MIN(1,(Thesis!J110-base_fy)/n_conv)</f>
        <v>0.0255860717884961</v>
      </c>
      <c r="K70" s="7" t="n">
        <f aca="false">Seg!$E$70+(glt_lic-Seg!$E$70)*MIN(1,(Thesis!K110-base_fy)/n_conv)</f>
        <v>0.02</v>
      </c>
    </row>
    <row r="71" customFormat="false" ht="17.15" hidden="false" customHeight="false" outlineLevel="0" collapsed="false">
      <c r="A71" s="0" t="s">
        <v>1035</v>
      </c>
      <c r="B71" s="0" t="s">
        <v>98</v>
      </c>
      <c r="D71" s="6" t="n">
        <f aca="false">Q!L9</f>
        <v>18.417</v>
      </c>
      <c r="E71" s="6" t="n">
        <f aca="false">Q!M9</f>
        <v>20.345</v>
      </c>
      <c r="F71" s="6" t="n">
        <f aca="false">Q!$I$9+(Q!M9-Q!$E$9)*(1+Seg!F72)</f>
        <v>22.3161797133988</v>
      </c>
      <c r="G71" s="6" t="n">
        <f aca="false">Seg!F71*(1+Seg!G72)</f>
        <v>24.3943499673233</v>
      </c>
      <c r="H71" s="6" t="n">
        <f aca="false">Seg!G71*(1+Seg!H72)</f>
        <v>26.5250243109019</v>
      </c>
      <c r="I71" s="6" t="n">
        <f aca="false">Seg!H71*(1+Seg!I72)</f>
        <v>28.6884573538181</v>
      </c>
      <c r="J71" s="6" t="n">
        <f aca="false">Seg!I71*(1+Seg!J72)</f>
        <v>30.8624968052127</v>
      </c>
      <c r="K71" s="6" t="n">
        <f aca="false">Seg!J71*(1+Seg!K72)</f>
        <v>33.0228715815776</v>
      </c>
      <c r="L71" s="12" t="s">
        <v>1034</v>
      </c>
    </row>
    <row r="72" customFormat="false" ht="15" hidden="false" customHeight="false" outlineLevel="0" collapsed="false">
      <c r="A72" s="1" t="s">
        <v>1024</v>
      </c>
      <c r="B72" s="0" t="s">
        <v>168</v>
      </c>
      <c r="E72" s="7" t="n">
        <f aca="false">Seg!E71/Seg!D71-1</f>
        <v>0.104685888038225</v>
      </c>
      <c r="F72" s="7" t="n">
        <f aca="false">Seg!$E$72+(glt_ind-Seg!$E$72)*MIN(1,(Thesis!F110-base_fy)/n_conv)</f>
        <v>0.0989049066985211</v>
      </c>
      <c r="G72" s="7" t="n">
        <f aca="false">Seg!$E$72+(glt_ind-Seg!$E$72)*MIN(1,(Thesis!G110-base_fy)/n_conv)</f>
        <v>0.0931239253588169</v>
      </c>
      <c r="H72" s="7" t="n">
        <f aca="false">Seg!$E$72+(glt_ind-Seg!$E$72)*MIN(1,(Thesis!H110-base_fy)/n_conv)</f>
        <v>0.0873429440191127</v>
      </c>
      <c r="I72" s="7" t="n">
        <f aca="false">Seg!$E$72+(glt_ind-Seg!$E$72)*MIN(1,(Thesis!I110-base_fy)/n_conv)</f>
        <v>0.0815619626794085</v>
      </c>
      <c r="J72" s="7" t="n">
        <f aca="false">Seg!$E$72+(glt_ind-Seg!$E$72)*MIN(1,(Thesis!J110-base_fy)/n_conv)</f>
        <v>0.0757809813397042</v>
      </c>
      <c r="K72" s="7" t="n">
        <f aca="false">Seg!$E$72+(glt_ind-Seg!$E$72)*MIN(1,(Thesis!K110-base_fy)/n_conv)</f>
        <v>0.07</v>
      </c>
    </row>
    <row r="73" customFormat="false" ht="17.15" hidden="false" customHeight="false" outlineLevel="0" collapsed="false">
      <c r="A73" s="0" t="s">
        <v>1036</v>
      </c>
      <c r="B73" s="0" t="s">
        <v>98</v>
      </c>
      <c r="D73" s="6" t="n">
        <f aca="false">Q!L10</f>
        <v>7.76</v>
      </c>
      <c r="E73" s="6" t="n">
        <f aca="false">Q!M10</f>
        <v>8.26</v>
      </c>
      <c r="F73" s="6" t="n">
        <f aca="false">Q!$I$10+(Q!M10-Q!$E$10)*(1+Seg!F74)</f>
        <v>8.75372082474227</v>
      </c>
      <c r="G73" s="6" t="n">
        <f aca="false">Seg!F73*(1+Seg!G74)</f>
        <v>9.33399324642364</v>
      </c>
      <c r="H73" s="6" t="n">
        <f aca="false">Seg!G73*(1+Seg!H74)</f>
        <v>9.96139155535851</v>
      </c>
      <c r="I73" s="6" t="n">
        <f aca="false">Seg!H73*(1+Seg!I74)</f>
        <v>10.6402039077391</v>
      </c>
      <c r="J73" s="6" t="n">
        <f aca="false">Seg!I73*(1+Seg!J74)</f>
        <v>11.3751458271397</v>
      </c>
      <c r="K73" s="6" t="n">
        <f aca="false">Seg!J73*(1+Seg!K74)</f>
        <v>12.1714060350394</v>
      </c>
      <c r="L73" s="12" t="s">
        <v>1034</v>
      </c>
    </row>
    <row r="74" customFormat="false" ht="15" hidden="false" customHeight="false" outlineLevel="0" collapsed="false">
      <c r="A74" s="1" t="s">
        <v>1024</v>
      </c>
      <c r="B74" s="0" t="s">
        <v>168</v>
      </c>
      <c r="E74" s="7" t="n">
        <f aca="false">Seg!E73/Seg!D73-1</f>
        <v>0.0644329896907216</v>
      </c>
      <c r="F74" s="7" t="n">
        <f aca="false">Seg!$E$74+(glt_fro-Seg!$E$74)*MIN(1,(Thesis!F110-base_fy)/n_conv)</f>
        <v>0.065360824742268</v>
      </c>
      <c r="G74" s="7" t="n">
        <f aca="false">Seg!$E$74+(glt_fro-Seg!$E$74)*MIN(1,(Thesis!G110-base_fy)/n_conv)</f>
        <v>0.0662886597938144</v>
      </c>
      <c r="H74" s="7" t="n">
        <f aca="false">Seg!$E$74+(glt_fro-Seg!$E$74)*MIN(1,(Thesis!H110-base_fy)/n_conv)</f>
        <v>0.0672164948453608</v>
      </c>
      <c r="I74" s="7" t="n">
        <f aca="false">Seg!$E$74+(glt_fro-Seg!$E$74)*MIN(1,(Thesis!I110-base_fy)/n_conv)</f>
        <v>0.0681443298969072</v>
      </c>
      <c r="J74" s="7" t="n">
        <f aca="false">Seg!$E$74+(glt_fro-Seg!$E$74)*MIN(1,(Thesis!J110-base_fy)/n_conv)</f>
        <v>0.0690721649484536</v>
      </c>
      <c r="K74" s="7" t="n">
        <f aca="false">Seg!$E$74+(glt_fro-Seg!$E$74)*MIN(1,(Thesis!K110-base_fy)/n_conv)</f>
        <v>0.07</v>
      </c>
    </row>
    <row r="75" customFormat="false" ht="15" hidden="false" customHeight="false" outlineLevel="0" collapsed="false">
      <c r="A75" s="0" t="s">
        <v>852</v>
      </c>
      <c r="B75" s="0" t="s">
        <v>98</v>
      </c>
      <c r="D75" s="6" t="n">
        <f aca="false">Seg!D63+Seg!D68+Seg!D69+Seg!D71+Seg!D73</f>
        <v>218.783</v>
      </c>
      <c r="E75" s="6" t="n">
        <f aca="false">Seg!E63+Seg!E68+Seg!E69+Seg!E71+Seg!E73</f>
        <v>268.127</v>
      </c>
      <c r="F75" s="6" t="n">
        <f aca="false">Seg!F63+Seg!F68+Seg!F69+Seg!F71+Seg!F73</f>
        <v>330.145282059882</v>
      </c>
      <c r="G75" s="6" t="n">
        <f aca="false">Seg!G63+Seg!G68+Seg!G69+Seg!G71+Seg!G73</f>
        <v>392.656759865851</v>
      </c>
      <c r="H75" s="6" t="n">
        <f aca="false">Seg!H63+Seg!H68+Seg!H69+Seg!H71+Seg!H73</f>
        <v>450.544273297982</v>
      </c>
      <c r="I75" s="6" t="n">
        <f aca="false">Seg!I63+Seg!I68+Seg!I69+Seg!I71+Seg!I73</f>
        <v>510.69213512593</v>
      </c>
      <c r="J75" s="6" t="n">
        <f aca="false">Seg!J63+Seg!J68+Seg!J69+Seg!J71+Seg!J73</f>
        <v>560.416732629406</v>
      </c>
      <c r="K75" s="6" t="n">
        <f aca="false">Seg!K63+Seg!K68+Seg!K69+Seg!K71+Seg!K73</f>
        <v>600.132410592692</v>
      </c>
    </row>
    <row r="76" customFormat="false" ht="17.15" hidden="false" customHeight="false" outlineLevel="0" collapsed="false">
      <c r="A76" s="0" t="s">
        <v>1037</v>
      </c>
      <c r="B76" s="0" t="s">
        <v>98</v>
      </c>
      <c r="D76" s="6" t="n">
        <f aca="false">Q!L13</f>
        <v>22.171</v>
      </c>
      <c r="E76" s="6" t="n">
        <f aca="false">Q!M13</f>
        <v>24.835</v>
      </c>
      <c r="F76" s="6" t="n">
        <f aca="false">Q!$I$13+(Q!M13-Q!$E$13)*(1+Seg!F77)</f>
        <v>27.5591895660247</v>
      </c>
      <c r="G76" s="6" t="n">
        <f aca="false">Seg!F76*(1+Seg!G77)</f>
        <v>30.4098563144583</v>
      </c>
      <c r="H76" s="6" t="n">
        <f aca="false">Seg!G76*(1+Seg!H77)</f>
        <v>33.3011792571777</v>
      </c>
      <c r="I76" s="6" t="n">
        <f aca="false">Seg!H76*(1+Seg!I77)</f>
        <v>36.189023797112</v>
      </c>
      <c r="J76" s="6" t="n">
        <f aca="false">Seg!I76*(1+Seg!J77)</f>
        <v>39.0247773769199</v>
      </c>
      <c r="K76" s="6" t="n">
        <f aca="false">Seg!J76*(1+Seg!K77)</f>
        <v>41.7565117933043</v>
      </c>
      <c r="L76" s="12" t="s">
        <v>1034</v>
      </c>
    </row>
    <row r="77" customFormat="false" ht="15" hidden="false" customHeight="false" outlineLevel="0" collapsed="false">
      <c r="A77" s="1" t="s">
        <v>1024</v>
      </c>
      <c r="B77" s="0" t="s">
        <v>168</v>
      </c>
      <c r="E77" s="7" t="n">
        <f aca="false">Seg!E76/Seg!D76-1</f>
        <v>0.120156961796942</v>
      </c>
      <c r="F77" s="7" t="n">
        <f aca="false">Seg!$E$77+(glt_srch-Seg!$E$77)*MIN(1,(Thesis!F110-base_fy)/n_conv)</f>
        <v>0.111797468164118</v>
      </c>
      <c r="G77" s="7" t="n">
        <f aca="false">Seg!$E$77+(glt_srch-Seg!$E$77)*MIN(1,(Thesis!G110-base_fy)/n_conv)</f>
        <v>0.103437974531295</v>
      </c>
      <c r="H77" s="7" t="n">
        <f aca="false">Seg!$E$77+(glt_srch-Seg!$E$77)*MIN(1,(Thesis!H110-base_fy)/n_conv)</f>
        <v>0.095078480898471</v>
      </c>
      <c r="I77" s="7" t="n">
        <f aca="false">Seg!$E$77+(glt_srch-Seg!$E$77)*MIN(1,(Thesis!I110-base_fy)/n_conv)</f>
        <v>0.0867189872656474</v>
      </c>
      <c r="J77" s="7" t="n">
        <f aca="false">Seg!$E$77+(glt_srch-Seg!$E$77)*MIN(1,(Thesis!J110-base_fy)/n_conv)</f>
        <v>0.0783594936328237</v>
      </c>
      <c r="K77" s="7" t="n">
        <f aca="false">Seg!$E$77+(glt_srch-Seg!$E$77)*MIN(1,(Thesis!K110-base_fy)/n_conv)</f>
        <v>0.07</v>
      </c>
    </row>
    <row r="78" customFormat="false" ht="17.15" hidden="false" customHeight="false" outlineLevel="0" collapsed="false">
      <c r="A78" s="0" t="s">
        <v>1038</v>
      </c>
      <c r="B78" s="0" t="s">
        <v>98</v>
      </c>
      <c r="D78" s="6" t="n">
        <f aca="false">Q!L14</f>
        <v>23.455</v>
      </c>
      <c r="E78" s="6" t="n">
        <f aca="false">Q!M14</f>
        <v>21.79</v>
      </c>
      <c r="F78" s="6" t="n">
        <f aca="false">Q!$I$14+(Q!M14-Q!$E$14)*(1+Seg!F79)</f>
        <v>20.7520981041711</v>
      </c>
      <c r="G78" s="6" t="n">
        <f aca="false">Seg!F78*(1+Seg!G79)</f>
        <v>19.9083593495882</v>
      </c>
      <c r="H78" s="6" t="n">
        <f aca="false">Seg!G78*(1+Seg!H79)</f>
        <v>19.4008256265831</v>
      </c>
      <c r="I78" s="6" t="n">
        <f aca="false">Seg!H78*(1+Seg!I79)</f>
        <v>19.200434522122</v>
      </c>
      <c r="J78" s="6" t="n">
        <f aca="false">Seg!I78*(1+Seg!J79)</f>
        <v>19.2932782348507</v>
      </c>
      <c r="K78" s="6" t="n">
        <f aca="false">Seg!J78*(1+Seg!K79)</f>
        <v>19.6791437995477</v>
      </c>
      <c r="L78" s="12" t="s">
        <v>1034</v>
      </c>
    </row>
    <row r="79" customFormat="false" ht="15" hidden="false" customHeight="false" outlineLevel="0" collapsed="false">
      <c r="A79" s="1" t="s">
        <v>1024</v>
      </c>
      <c r="B79" s="0" t="s">
        <v>168</v>
      </c>
      <c r="E79" s="7" t="n">
        <f aca="false">Seg!E78/Seg!D78-1</f>
        <v>-0.0709869963760392</v>
      </c>
      <c r="F79" s="7" t="n">
        <f aca="false">Seg!$E$79+(glt_xbox-Seg!$E$79)*MIN(1,(Thesis!F110-base_fy)/n_conv)</f>
        <v>-0.0558224969800327</v>
      </c>
      <c r="G79" s="7" t="n">
        <f aca="false">Seg!$E$79+(glt_xbox-Seg!$E$79)*MIN(1,(Thesis!G110-base_fy)/n_conv)</f>
        <v>-0.0406579975840262</v>
      </c>
      <c r="H79" s="7" t="n">
        <f aca="false">Seg!$E$79+(glt_xbox-Seg!$E$79)*MIN(1,(Thesis!H110-base_fy)/n_conv)</f>
        <v>-0.0254934981880196</v>
      </c>
      <c r="I79" s="7" t="n">
        <f aca="false">Seg!$E$79+(glt_xbox-Seg!$E$79)*MIN(1,(Thesis!I110-base_fy)/n_conv)</f>
        <v>-0.0103289987920131</v>
      </c>
      <c r="J79" s="7" t="n">
        <f aca="false">Seg!$E$79+(glt_xbox-Seg!$E$79)*MIN(1,(Thesis!J110-base_fy)/n_conv)</f>
        <v>0.00483550060399347</v>
      </c>
      <c r="K79" s="7" t="n">
        <f aca="false">Seg!$E$79+(glt_xbox-Seg!$E$79)*MIN(1,(Thesis!K110-base_fy)/n_conv)</f>
        <v>0.02</v>
      </c>
    </row>
    <row r="80" customFormat="false" ht="17.15" hidden="false" customHeight="false" outlineLevel="0" collapsed="false">
      <c r="A80" s="0" t="s">
        <v>1039</v>
      </c>
      <c r="B80" s="0" t="s">
        <v>98</v>
      </c>
      <c r="D80" s="6" t="n">
        <f aca="false">Q!L15</f>
        <v>17.315</v>
      </c>
      <c r="E80" s="6" t="n">
        <f aca="false">Q!M15</f>
        <v>17.087</v>
      </c>
      <c r="F80" s="6" t="n">
        <f aca="false">Q!$I$15+(Q!M15-Q!$E$15)*(1+Seg!F81)</f>
        <v>15.9912273250553</v>
      </c>
      <c r="G80" s="6" t="n">
        <f aca="false">Seg!F80*(1+Seg!G81)</f>
        <v>15.9574562664827</v>
      </c>
      <c r="H80" s="6" t="n">
        <f aca="false">Seg!G80*(1+Seg!H81)</f>
        <v>16.0119687434196</v>
      </c>
      <c r="I80" s="6" t="n">
        <f aca="false">Seg!H80*(1+Seg!I81)</f>
        <v>16.1551810001948</v>
      </c>
      <c r="J80" s="6" t="n">
        <f aca="false">Seg!I80*(1+Seg!J81)</f>
        <v>16.3889793892005</v>
      </c>
      <c r="K80" s="6" t="n">
        <f aca="false">Seg!J80*(1+Seg!K81)</f>
        <v>16.7167589769845</v>
      </c>
      <c r="L80" s="12" t="s">
        <v>1034</v>
      </c>
    </row>
    <row r="81" customFormat="false" ht="15" hidden="false" customHeight="false" outlineLevel="0" collapsed="false">
      <c r="A81" s="1" t="s">
        <v>1024</v>
      </c>
      <c r="B81" s="0" t="s">
        <v>168</v>
      </c>
      <c r="E81" s="7" t="n">
        <f aca="false">Seg!E80/Seg!D80-1</f>
        <v>-0.0131677736066995</v>
      </c>
      <c r="F81" s="7" t="n">
        <f aca="false">Seg!$E$81+(glt_win-Seg!$E$81)*MIN(1,(Thesis!F110-base_fy)/n_conv)</f>
        <v>-0.00763981133891627</v>
      </c>
      <c r="G81" s="7" t="n">
        <f aca="false">Seg!$E$81+(glt_win-Seg!$E$81)*MIN(1,(Thesis!G110-base_fy)/n_conv)</f>
        <v>-0.00211184907113301</v>
      </c>
      <c r="H81" s="7" t="n">
        <f aca="false">Seg!$E$81+(glt_win-Seg!$E$81)*MIN(1,(Thesis!H110-base_fy)/n_conv)</f>
        <v>0.00341611319665024</v>
      </c>
      <c r="I81" s="7" t="n">
        <f aca="false">Seg!$E$81+(glt_win-Seg!$E$81)*MIN(1,(Thesis!I110-base_fy)/n_conv)</f>
        <v>0.00894407546443349</v>
      </c>
      <c r="J81" s="7" t="n">
        <f aca="false">Seg!$E$81+(glt_win-Seg!$E$81)*MIN(1,(Thesis!J110-base_fy)/n_conv)</f>
        <v>0.0144720377322168</v>
      </c>
      <c r="K81" s="7" t="n">
        <f aca="false">Seg!$E$81+(glt_win-Seg!$E$81)*MIN(1,(Thesis!K110-base_fy)/n_conv)</f>
        <v>0.02</v>
      </c>
    </row>
    <row r="82" customFormat="false" ht="15" hidden="false" customHeight="false" outlineLevel="0" collapsed="false">
      <c r="A82" s="0" t="s">
        <v>866</v>
      </c>
      <c r="B82" s="0" t="s">
        <v>98</v>
      </c>
      <c r="D82" s="6" t="n">
        <f aca="false">Seg!D76+Seg!D78+Seg!D80</f>
        <v>62.941</v>
      </c>
      <c r="E82" s="6" t="n">
        <f aca="false">Seg!E76+Seg!E78+Seg!E80</f>
        <v>63.712</v>
      </c>
      <c r="F82" s="6" t="n">
        <f aca="false">Seg!F76+Seg!F78+Seg!F80</f>
        <v>64.3025149952511</v>
      </c>
      <c r="G82" s="6" t="n">
        <f aca="false">Seg!G76+Seg!G78+Seg!G80</f>
        <v>66.2756719305292</v>
      </c>
      <c r="H82" s="6" t="n">
        <f aca="false">Seg!H76+Seg!H78+Seg!H80</f>
        <v>68.7139736271804</v>
      </c>
      <c r="I82" s="6" t="n">
        <f aca="false">Seg!I76+Seg!I78+Seg!I80</f>
        <v>71.5446393194289</v>
      </c>
      <c r="J82" s="6" t="n">
        <f aca="false">Seg!J76+Seg!J78+Seg!J80</f>
        <v>74.707035000971</v>
      </c>
      <c r="K82" s="6" t="n">
        <f aca="false">Seg!K76+Seg!K78+Seg!K80</f>
        <v>78.1524145698365</v>
      </c>
    </row>
    <row r="83" customFormat="false" ht="15" hidden="false" customHeight="false" outlineLevel="0" collapsed="false">
      <c r="A83" s="1" t="s">
        <v>1040</v>
      </c>
      <c r="B83" s="0" t="s">
        <v>98</v>
      </c>
      <c r="D83" s="6" t="n">
        <f aca="false">Seg!D75+Seg!D82</f>
        <v>281.724</v>
      </c>
      <c r="E83" s="6" t="n">
        <f aca="false">Seg!E75+Seg!E82</f>
        <v>331.839</v>
      </c>
      <c r="F83" s="6" t="n">
        <f aca="false">Seg!F75+Seg!F82</f>
        <v>394.447797055133</v>
      </c>
      <c r="G83" s="6" t="n">
        <f aca="false">Seg!G75+Seg!G82</f>
        <v>458.93243179638</v>
      </c>
      <c r="H83" s="6" t="n">
        <f aca="false">Seg!H75+Seg!H82</f>
        <v>519.258246925162</v>
      </c>
      <c r="I83" s="6" t="n">
        <f aca="false">Seg!I75+Seg!I82</f>
        <v>582.236774445359</v>
      </c>
      <c r="J83" s="6" t="n">
        <f aca="false">Seg!J75+Seg!J82</f>
        <v>635.123767630377</v>
      </c>
      <c r="K83" s="6" t="n">
        <f aca="false">Seg!K75+Seg!K82</f>
        <v>678.284825162529</v>
      </c>
    </row>
    <row r="84" customFormat="false" ht="15" hidden="false" customHeight="false" outlineLevel="0" collapsed="false">
      <c r="A84" s="26" t="s">
        <v>1041</v>
      </c>
      <c r="B84" s="31" t="s">
        <v>98</v>
      </c>
      <c r="C84" s="31"/>
      <c r="D84" s="27" t="n">
        <f aca="false">(Seg!D63+Seg!D68+Seg!D69+Seg!D71+Seg!D73-Seg!D75)+(Seg!D76+Seg!D78+Seg!D80-Seg!D82)+(Seg!D75-Q!L5)+(Seg!D82-Q!L12)+(Seg!D63-Q!L6)+(Seg!D68-Q!L7)</f>
        <v>0</v>
      </c>
      <c r="E84" s="27" t="n">
        <f aca="false">(Seg!E63+Seg!E68+Seg!E69+Seg!E71+Seg!E73-Seg!E75)+(Seg!E76+Seg!E78+Seg!E80-Seg!E82)+(Seg!E75-Q!M5)+(Seg!E82-Q!M12)+(Seg!E63-Q!M6)+(Seg!E68-Q!M7)</f>
        <v>0</v>
      </c>
      <c r="F84" s="27" t="n">
        <f aca="false">(Seg!F63+Seg!F68+Seg!F69+Seg!F71+Seg!F73-Seg!F75)+(Seg!F76+Seg!F78+Seg!F80-Seg!F82)</f>
        <v>0</v>
      </c>
      <c r="G84" s="27" t="n">
        <f aca="false">(Seg!G63+Seg!G68+Seg!G69+Seg!G71+Seg!G73-Seg!G75)+(Seg!G76+Seg!G78+Seg!G80-Seg!G82)</f>
        <v>0</v>
      </c>
      <c r="H84" s="27" t="n">
        <f aca="false">(Seg!H63+Seg!H68+Seg!H69+Seg!H71+Seg!H73-Seg!H75)+(Seg!H76+Seg!H78+Seg!H80-Seg!H82)</f>
        <v>0</v>
      </c>
      <c r="I84" s="27" t="n">
        <f aca="false">(Seg!I63+Seg!I68+Seg!I69+Seg!I71+Seg!I73-Seg!I75)+(Seg!I76+Seg!I78+Seg!I80-Seg!I82)</f>
        <v>0</v>
      </c>
      <c r="J84" s="27" t="n">
        <f aca="false">(Seg!J63+Seg!J68+Seg!J69+Seg!J71+Seg!J73-Seg!J75)+(Seg!J76+Seg!J78+Seg!J80-Seg!J82)</f>
        <v>0</v>
      </c>
      <c r="K84" s="27" t="n">
        <f aca="false">(Seg!K63+Seg!K68+Seg!K69+Seg!K71+Seg!K73-Seg!K75)+(Seg!K76+Seg!K78+Seg!K80-Seg!K82)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1044</v>
      </c>
    </row>
    <row r="2" customFormat="false" ht="17.15" hidden="false" customHeight="false" outlineLevel="0" collapsed="false">
      <c r="A2" s="1" t="s">
        <v>1045</v>
      </c>
    </row>
    <row r="3" customFormat="false" ht="15" hidden="false" customHeight="false" outlineLevel="0" collapsed="false">
      <c r="A3" s="4" t="s">
        <v>43</v>
      </c>
      <c r="B3" s="4" t="s">
        <v>65</v>
      </c>
      <c r="C3" s="23" t="s">
        <v>938</v>
      </c>
      <c r="D3" s="23" t="s">
        <v>939</v>
      </c>
      <c r="E3" s="23" t="s">
        <v>940</v>
      </c>
      <c r="F3" s="23" t="s">
        <v>941</v>
      </c>
      <c r="G3" s="23" t="s">
        <v>942</v>
      </c>
      <c r="H3" s="23" t="s">
        <v>943</v>
      </c>
      <c r="I3" s="23" t="s">
        <v>944</v>
      </c>
      <c r="J3" s="23" t="s">
        <v>945</v>
      </c>
      <c r="K3" s="23" t="s">
        <v>946</v>
      </c>
      <c r="L3" s="4" t="s">
        <v>47</v>
      </c>
    </row>
    <row r="4" customFormat="false" ht="15" hidden="false" customHeight="false" outlineLevel="0" collapsed="false">
      <c r="A4" s="26" t="s">
        <v>1046</v>
      </c>
      <c r="B4" s="31" t="s">
        <v>98</v>
      </c>
      <c r="C4" s="31"/>
      <c r="D4" s="27" t="n">
        <f aca="false">ABS(PL!D23+PL!D27-PL!D28)+ABS(PL!D28-Q!L18)+ABS(PL!D62+PL!D66-PL!D67)+ABS(PL!D67-Q!L18)+ABS(PL!D101+PL!D105-PL!D106)+ABS(PL!D106-Q!L18)</f>
        <v>0</v>
      </c>
      <c r="E4" s="27" t="n">
        <f aca="false">ABS(PL!E23+PL!E27-PL!E28)+ABS(PL!E28-Q!M18)+ABS(PL!E62+PL!E66-PL!E67)+ABS(PL!E67-Q!M18)+ABS(PL!E101+PL!E105-PL!E106)+ABS(PL!E106-Q!M18)</f>
        <v>0</v>
      </c>
      <c r="F4" s="27" t="n">
        <f aca="false">ABS(PL!F23+PL!F27-PL!F28)+ABS(PL!F62+PL!F66-PL!F67)+ABS(PL!F101+PL!F105-PL!F106)</f>
        <v>0</v>
      </c>
      <c r="G4" s="27" t="n">
        <f aca="false">ABS(PL!G23+PL!G27-PL!G28)+ABS(PL!G62+PL!G66-PL!G67)+ABS(PL!G101+PL!G105-PL!G106)</f>
        <v>0</v>
      </c>
      <c r="H4" s="27" t="n">
        <f aca="false">ABS(PL!H23+PL!H27-PL!H28)+ABS(PL!H62+PL!H66-PL!H67)+ABS(PL!H101+PL!H105-PL!H106)</f>
        <v>0</v>
      </c>
      <c r="I4" s="27" t="n">
        <f aca="false">ABS(PL!I23+PL!I27-PL!I28)+ABS(PL!I62+PL!I66-PL!I67)+ABS(PL!I101+PL!I105-PL!I106)</f>
        <v>0</v>
      </c>
      <c r="J4" s="27" t="n">
        <f aca="false">ABS(PL!J23+PL!J27-PL!J28)+ABS(PL!J62+PL!J66-PL!J67)+ABS(PL!J101+PL!J105-PL!J106)</f>
        <v>0</v>
      </c>
      <c r="K4" s="27" t="n">
        <f aca="false">ABS(PL!K23+PL!K27-PL!K28)+ABS(PL!K62+PL!K66-PL!K67)+ABS(PL!K101+PL!K105-PL!K106)</f>
        <v>0</v>
      </c>
    </row>
    <row r="5" customFormat="false" ht="15" hidden="false" customHeight="false" outlineLevel="0" collapsed="false">
      <c r="A5" s="26" t="s">
        <v>1047</v>
      </c>
      <c r="B5" s="31" t="s">
        <v>98</v>
      </c>
      <c r="C5" s="31"/>
      <c r="D5" s="27" t="n">
        <f aca="false">ABS(Seg!D30)+ABS(Seg!D57)+ABS(Seg!D84)</f>
        <v>0</v>
      </c>
      <c r="E5" s="27" t="n">
        <f aca="false">ABS(Seg!E30)+ABS(Seg!E57)+ABS(Seg!E84)</f>
        <v>0</v>
      </c>
      <c r="F5" s="27" t="n">
        <f aca="false">ABS(Seg!F30)+ABS(Seg!F57)+ABS(Seg!F84)</f>
        <v>0</v>
      </c>
      <c r="G5" s="27" t="n">
        <f aca="false">ABS(Seg!G30)+ABS(Seg!G57)+ABS(Seg!G84)</f>
        <v>0</v>
      </c>
      <c r="H5" s="27" t="n">
        <f aca="false">ABS(Seg!H30)+ABS(Seg!H57)+ABS(Seg!H84)</f>
        <v>0</v>
      </c>
      <c r="I5" s="27" t="n">
        <f aca="false">ABS(Seg!I30)+ABS(Seg!I57)+ABS(Seg!I84)</f>
        <v>0</v>
      </c>
      <c r="J5" s="27" t="n">
        <f aca="false">ABS(Seg!J30)+ABS(Seg!J57)+ABS(Seg!J84)</f>
        <v>0</v>
      </c>
      <c r="K5" s="27" t="n">
        <f aca="false">ABS(Seg!K30)+ABS(Seg!K57)+ABS(Seg!K84)</f>
        <v>0</v>
      </c>
    </row>
    <row r="6" customFormat="false" ht="17.15" hidden="false" customHeight="false" outlineLevel="0" collapsed="false">
      <c r="A6" s="26" t="s">
        <v>1048</v>
      </c>
      <c r="B6" s="31" t="s">
        <v>98</v>
      </c>
      <c r="C6" s="31"/>
      <c r="D6" s="27" t="n">
        <f aca="false">ABS(PL!D15+PL!D16-PL!D14)+ABS(PL!D18+PL!D19-PL!D17)+ABS(PL!D54+PL!D55-PL!D53)+ABS(PL!D57+PL!D58-PL!D56)+ABS(PL!D93+PL!D94-PL!D92)+ABS(PL!D96+PL!D97-PL!D95)</f>
        <v>0</v>
      </c>
      <c r="E6" s="27" t="n">
        <f aca="false">ABS(PL!E15+PL!E16-PL!E14)+ABS(PL!E18+PL!E19-PL!E17)+ABS(PL!E54+PL!E55-PL!E53)+ABS(PL!E57+PL!E58-PL!E56)+ABS(PL!E93+PL!E94-PL!E92)+ABS(PL!E96+PL!E97-PL!E95)</f>
        <v>0</v>
      </c>
      <c r="F6" s="27" t="n">
        <f aca="false">ABS(PL!F15+PL!F16-PL!F14)+ABS(PL!F18+PL!F19-PL!F17)+ABS(PL!F54+PL!F55-PL!F53)+ABS(PL!F57+PL!F58-PL!F56)+ABS(PL!F93+PL!F94-PL!F92)+ABS(PL!F96+PL!F97-PL!F95)</f>
        <v>0</v>
      </c>
      <c r="G6" s="27" t="n">
        <f aca="false">ABS(PL!G15+PL!G16-PL!G14)+ABS(PL!G18+PL!G19-PL!G17)+ABS(PL!G54+PL!G55-PL!G53)+ABS(PL!G57+PL!G58-PL!G56)+ABS(PL!G93+PL!G94-PL!G92)+ABS(PL!G96+PL!G97-PL!G95)</f>
        <v>0</v>
      </c>
      <c r="H6" s="27" t="n">
        <f aca="false">ABS(PL!H15+PL!H16-PL!H14)+ABS(PL!H18+PL!H19-PL!H17)+ABS(PL!H54+PL!H55-PL!H53)+ABS(PL!H57+PL!H58-PL!H56)+ABS(PL!H93+PL!H94-PL!H92)+ABS(PL!H96+PL!H97-PL!H95)</f>
        <v>0</v>
      </c>
      <c r="I6" s="27" t="n">
        <f aca="false">ABS(PL!I15+PL!I16-PL!I14)+ABS(PL!I18+PL!I19-PL!I17)+ABS(PL!I54+PL!I55-PL!I53)+ABS(PL!I57+PL!I58-PL!I56)+ABS(PL!I93+PL!I94-PL!I92)+ABS(PL!I96+PL!I97-PL!I95)</f>
        <v>0</v>
      </c>
      <c r="J6" s="27" t="n">
        <f aca="false">ABS(PL!J15+PL!J16-PL!J14)+ABS(PL!J18+PL!J19-PL!J17)+ABS(PL!J54+PL!J55-PL!J53)+ABS(PL!J57+PL!J58-PL!J56)+ABS(PL!J93+PL!J94-PL!J92)+ABS(PL!J96+PL!J97-PL!J95)</f>
        <v>0</v>
      </c>
      <c r="K6" s="27" t="n">
        <f aca="false">ABS(PL!K15+PL!K16-PL!K14)+ABS(PL!K18+PL!K19-PL!K17)+ABS(PL!K54+PL!K55-PL!K53)+ABS(PL!K57+PL!K58-PL!K56)+ABS(PL!K93+PL!K94-PL!K92)+ABS(PL!K96+PL!K97-PL!K95)</f>
        <v>0</v>
      </c>
    </row>
    <row r="7" customFormat="false" ht="15" hidden="false" customHeight="false" outlineLevel="0" collapsed="false">
      <c r="A7" s="26" t="s">
        <v>1049</v>
      </c>
      <c r="B7" s="31" t="s">
        <v>98</v>
      </c>
      <c r="C7" s="31"/>
      <c r="D7" s="27" t="n">
        <f aca="false">ABS(PL!D32+PL!D34-PL!D35)+ABS(PL!D36)+ABS(PL!D71+PL!D73-PL!D74)+ABS(PL!D75)+ABS(PL!D110+PL!D112-PL!D113)+ABS(PL!D114)</f>
        <v>0</v>
      </c>
      <c r="E7" s="27" t="n">
        <f aca="false">ABS(PL!E32+PL!E34-PL!E35)+ABS(PL!E36)+ABS(PL!E71+PL!E73-PL!E74)+ABS(PL!E75)+ABS(PL!E110+PL!E112-PL!E113)+ABS(PL!E114)</f>
        <v>0</v>
      </c>
      <c r="F7" s="27" t="n">
        <f aca="false">ABS(PL!F32+PL!F34-PL!F35)+ABS(PL!F71+PL!F73-PL!F74)+ABS(PL!F110+PL!F112-PL!F113)</f>
        <v>0</v>
      </c>
      <c r="G7" s="27" t="n">
        <f aca="false">ABS(PL!G32+PL!G34-PL!G35)+ABS(PL!G71+PL!G73-PL!G74)+ABS(PL!G110+PL!G112-PL!G113)</f>
        <v>0</v>
      </c>
      <c r="H7" s="27" t="n">
        <f aca="false">ABS(PL!H32+PL!H34-PL!H35)+ABS(PL!H71+PL!H73-PL!H74)+ABS(PL!H110+PL!H112-PL!H113)</f>
        <v>0</v>
      </c>
      <c r="I7" s="27" t="n">
        <f aca="false">ABS(PL!I32+PL!I34-PL!I35)+ABS(PL!I71+PL!I73-PL!I74)+ABS(PL!I110+PL!I112-PL!I113)</f>
        <v>0</v>
      </c>
      <c r="J7" s="27" t="n">
        <f aca="false">ABS(PL!J32+PL!J34-PL!J35)+ABS(PL!J71+PL!J73-PL!J74)+ABS(PL!J110+PL!J112-PL!J113)</f>
        <v>0</v>
      </c>
      <c r="K7" s="27" t="n">
        <f aca="false">ABS(PL!K32+PL!K34-PL!K35)+ABS(PL!K71+PL!K73-PL!K74)+ABS(PL!K110+PL!K112-PL!K113)</f>
        <v>0</v>
      </c>
    </row>
    <row r="9" customFormat="false" ht="17.15" hidden="false" customHeight="false" outlineLevel="0" collapsed="false">
      <c r="A9" s="1" t="s">
        <v>1050</v>
      </c>
    </row>
    <row r="12" customFormat="false" ht="17.15" hidden="false" customHeight="false" outlineLevel="0" collapsed="false">
      <c r="A12" s="3" t="s">
        <v>1051</v>
      </c>
    </row>
    <row r="13" customFormat="false" ht="15" hidden="false" customHeight="false" outlineLevel="0" collapsed="false">
      <c r="A13" s="4" t="s">
        <v>43</v>
      </c>
      <c r="B13" s="4" t="s">
        <v>65</v>
      </c>
      <c r="C13" s="23" t="s">
        <v>938</v>
      </c>
      <c r="D13" s="23" t="s">
        <v>939</v>
      </c>
      <c r="E13" s="23" t="s">
        <v>940</v>
      </c>
      <c r="F13" s="23" t="s">
        <v>941</v>
      </c>
      <c r="G13" s="23" t="s">
        <v>942</v>
      </c>
      <c r="H13" s="23" t="s">
        <v>943</v>
      </c>
      <c r="I13" s="23" t="s">
        <v>944</v>
      </c>
      <c r="J13" s="23" t="s">
        <v>945</v>
      </c>
      <c r="K13" s="23" t="s">
        <v>946</v>
      </c>
      <c r="L13" s="4" t="s">
        <v>47</v>
      </c>
    </row>
    <row r="14" customFormat="false" ht="15" hidden="false" customHeight="false" outlineLevel="0" collapsed="false">
      <c r="A14" s="0" t="s">
        <v>1025</v>
      </c>
      <c r="B14" s="0" t="s">
        <v>98</v>
      </c>
      <c r="D14" s="6" t="n">
        <f aca="false">Seg!D9</f>
        <v>72.61</v>
      </c>
      <c r="E14" s="6" t="n">
        <f aca="false">Seg!E9</f>
        <v>101.938</v>
      </c>
      <c r="F14" s="6" t="n">
        <f aca="false">Seg!F9</f>
        <v>149.59001837225</v>
      </c>
      <c r="G14" s="6" t="n">
        <f aca="false">Seg!G9</f>
        <v>210.963087346352</v>
      </c>
      <c r="H14" s="6" t="n">
        <f aca="false">Seg!H9</f>
        <v>278.649709314524</v>
      </c>
      <c r="I14" s="6" t="n">
        <f aca="false">Seg!I9</f>
        <v>334.269404582332</v>
      </c>
      <c r="J14" s="6" t="n">
        <f aca="false">Seg!J9</f>
        <v>376.517293063672</v>
      </c>
      <c r="K14" s="6" t="n">
        <f aca="false">Seg!K9</f>
        <v>406.018092622804</v>
      </c>
    </row>
    <row r="15" customFormat="false" ht="17.15" hidden="false" customHeight="false" outlineLevel="0" collapsed="false">
      <c r="A15" s="0" t="s">
        <v>1021</v>
      </c>
      <c r="B15" s="0" t="s">
        <v>98</v>
      </c>
      <c r="D15" s="6" t="n">
        <f aca="false">Seg!D6</f>
        <v>12.9359794422418</v>
      </c>
      <c r="E15" s="6" t="n">
        <f aca="false">Seg!E6</f>
        <v>27.8095064661409</v>
      </c>
      <c r="F15" s="6" t="n">
        <f aca="false">Seg!F6</f>
        <v>59.1034165651511</v>
      </c>
      <c r="G15" s="6" t="n">
        <f aca="false">Seg!G6</f>
        <v>103.451498789198</v>
      </c>
      <c r="H15" s="6" t="n">
        <f aca="false">Seg!H6</f>
        <v>153.816719989035</v>
      </c>
      <c r="I15" s="6" t="n">
        <f aca="false">Seg!I6</f>
        <v>192.699478690852</v>
      </c>
      <c r="J15" s="6" t="n">
        <f aca="false">Seg!J6</f>
        <v>219.794102584244</v>
      </c>
      <c r="K15" s="6" t="n">
        <f aca="false">Seg!K6</f>
        <v>236.757046905022</v>
      </c>
    </row>
    <row r="16" customFormat="false" ht="17.15" hidden="false" customHeight="false" outlineLevel="0" collapsed="false">
      <c r="A16" s="0" t="s">
        <v>1052</v>
      </c>
      <c r="B16" s="0" t="s">
        <v>98</v>
      </c>
      <c r="D16" s="6" t="n">
        <f aca="false">Seg!D7</f>
        <v>59.6740205577583</v>
      </c>
      <c r="E16" s="6" t="n">
        <f aca="false">Seg!E7</f>
        <v>74.1284935338591</v>
      </c>
      <c r="F16" s="6" t="n">
        <f aca="false">Seg!F7</f>
        <v>90.4866018070994</v>
      </c>
      <c r="G16" s="6" t="n">
        <f aca="false">Seg!G7</f>
        <v>107.511588557154</v>
      </c>
      <c r="H16" s="6" t="n">
        <f aca="false">Seg!H7</f>
        <v>124.832989325489</v>
      </c>
      <c r="I16" s="6" t="n">
        <f aca="false">Seg!I7</f>
        <v>141.56992589148</v>
      </c>
      <c r="J16" s="6" t="n">
        <f aca="false">Seg!J7</f>
        <v>156.723190479428</v>
      </c>
      <c r="K16" s="6" t="n">
        <f aca="false">Seg!K7</f>
        <v>169.261045717783</v>
      </c>
    </row>
    <row r="17" customFormat="false" ht="15" hidden="false" customHeight="false" outlineLevel="0" collapsed="false">
      <c r="A17" s="0" t="s">
        <v>1032</v>
      </c>
      <c r="B17" s="0" t="s">
        <v>98</v>
      </c>
      <c r="D17" s="6" t="n">
        <f aca="false">Seg!D14</f>
        <v>84.605</v>
      </c>
      <c r="E17" s="6" t="n">
        <f aca="false">Seg!E14</f>
        <v>100.299</v>
      </c>
      <c r="F17" s="6" t="n">
        <f aca="false">Seg!F14</f>
        <v>119.729653205718</v>
      </c>
      <c r="G17" s="6" t="n">
        <f aca="false">Seg!G14</f>
        <v>140.806092647576</v>
      </c>
      <c r="H17" s="6" t="n">
        <f aca="false">Seg!H14</f>
        <v>161.963437602768</v>
      </c>
      <c r="I17" s="6" t="n">
        <f aca="false">Seg!I14</f>
        <v>180.695354741933</v>
      </c>
      <c r="J17" s="6" t="n">
        <f aca="false">Seg!J14</f>
        <v>196.722117481571</v>
      </c>
      <c r="K17" s="6" t="n">
        <f aca="false">Seg!K14</f>
        <v>212.00016570528</v>
      </c>
    </row>
    <row r="18" customFormat="false" ht="17.15" hidden="false" customHeight="false" outlineLevel="0" collapsed="false">
      <c r="A18" s="0" t="s">
        <v>1053</v>
      </c>
      <c r="B18" s="0" t="s">
        <v>98</v>
      </c>
      <c r="D18" s="6" t="n">
        <f aca="false">Seg!D12</f>
        <v>83.705</v>
      </c>
      <c r="E18" s="6" t="n">
        <f aca="false">Seg!E12</f>
        <v>95.049</v>
      </c>
      <c r="F18" s="6" t="n">
        <f aca="false">Seg!F12</f>
        <v>106.229653205718</v>
      </c>
      <c r="G18" s="6" t="n">
        <f aca="false">Seg!G12</f>
        <v>118.306092647576</v>
      </c>
      <c r="H18" s="6" t="n">
        <f aca="false">Seg!H12</f>
        <v>130.463437602768</v>
      </c>
      <c r="I18" s="6" t="n">
        <f aca="false">Seg!I12</f>
        <v>142.445354741933</v>
      </c>
      <c r="J18" s="6" t="n">
        <f aca="false">Seg!J12</f>
        <v>153.972117481571</v>
      </c>
      <c r="K18" s="6" t="n">
        <f aca="false">Seg!K12</f>
        <v>164.75016570528</v>
      </c>
    </row>
    <row r="19" customFormat="false" ht="17.15" hidden="false" customHeight="false" outlineLevel="0" collapsed="false">
      <c r="A19" s="0" t="s">
        <v>1054</v>
      </c>
      <c r="B19" s="0" t="s">
        <v>98</v>
      </c>
      <c r="D19" s="6" t="n">
        <f aca="false">Seg!D11</f>
        <v>0.9</v>
      </c>
      <c r="E19" s="6" t="n">
        <f aca="false">Seg!E11</f>
        <v>5.25</v>
      </c>
      <c r="F19" s="6" t="n">
        <f aca="false">Seg!F11</f>
        <v>13.5</v>
      </c>
      <c r="G19" s="6" t="n">
        <f aca="false">Seg!G11</f>
        <v>22.5</v>
      </c>
      <c r="H19" s="6" t="n">
        <f aca="false">Seg!H11</f>
        <v>31.5</v>
      </c>
      <c r="I19" s="6" t="n">
        <f aca="false">Seg!I11</f>
        <v>38.25</v>
      </c>
      <c r="J19" s="6" t="n">
        <f aca="false">Seg!J11</f>
        <v>42.75</v>
      </c>
      <c r="K19" s="6" t="n">
        <f aca="false">Seg!K11</f>
        <v>47.25</v>
      </c>
    </row>
    <row r="20" customFormat="false" ht="15" hidden="false" customHeight="false" outlineLevel="0" collapsed="false">
      <c r="A20" s="0" t="s">
        <v>1033</v>
      </c>
      <c r="B20" s="0" t="s">
        <v>98</v>
      </c>
      <c r="D20" s="6" t="n">
        <f aca="false">Seg!D15</f>
        <v>35.391</v>
      </c>
      <c r="E20" s="6" t="n">
        <f aca="false">Seg!E15</f>
        <v>37.285</v>
      </c>
      <c r="F20" s="6" t="n">
        <f aca="false">Seg!F15</f>
        <v>38.3851437782675</v>
      </c>
      <c r="G20" s="6" t="n">
        <f aca="false">Seg!G15</f>
        <v>40.0105353288615</v>
      </c>
      <c r="H20" s="6" t="n">
        <f aca="false">Seg!H15</f>
        <v>41.4812512033683</v>
      </c>
      <c r="I20" s="6" t="n">
        <f aca="false">Seg!I15</f>
        <v>42.7743107216329</v>
      </c>
      <c r="J20" s="6" t="n">
        <f aca="false">Seg!J15</f>
        <v>43.8687373064601</v>
      </c>
      <c r="K20" s="6" t="n">
        <f aca="false">Seg!K15</f>
        <v>44.7461120525893</v>
      </c>
    </row>
    <row r="21" customFormat="false" ht="15" hidden="false" customHeight="false" outlineLevel="0" collapsed="false">
      <c r="A21" s="0" t="s">
        <v>1035</v>
      </c>
      <c r="B21" s="0" t="s">
        <v>98</v>
      </c>
      <c r="D21" s="6" t="n">
        <f aca="false">Seg!D17</f>
        <v>18.417</v>
      </c>
      <c r="E21" s="6" t="n">
        <f aca="false">Seg!E17</f>
        <v>20.345</v>
      </c>
      <c r="F21" s="6" t="n">
        <f aca="false">Seg!F17</f>
        <v>22.3161797133988</v>
      </c>
      <c r="G21" s="6" t="n">
        <f aca="false">Seg!G17</f>
        <v>24.3943499673233</v>
      </c>
      <c r="H21" s="6" t="n">
        <f aca="false">Seg!H17</f>
        <v>26.5250243109019</v>
      </c>
      <c r="I21" s="6" t="n">
        <f aca="false">Seg!I17</f>
        <v>28.6884573538181</v>
      </c>
      <c r="J21" s="6" t="n">
        <f aca="false">Seg!J17</f>
        <v>30.8624968052127</v>
      </c>
      <c r="K21" s="6" t="n">
        <f aca="false">Seg!K17</f>
        <v>33.0228715815776</v>
      </c>
    </row>
    <row r="22" customFormat="false" ht="15" hidden="false" customHeight="false" outlineLevel="0" collapsed="false">
      <c r="A22" s="0" t="s">
        <v>1036</v>
      </c>
      <c r="B22" s="0" t="s">
        <v>98</v>
      </c>
      <c r="D22" s="6" t="n">
        <f aca="false">Seg!D19</f>
        <v>7.76</v>
      </c>
      <c r="E22" s="6" t="n">
        <f aca="false">Seg!E19</f>
        <v>8.26</v>
      </c>
      <c r="F22" s="6" t="n">
        <f aca="false">Seg!F19</f>
        <v>8.75372082474227</v>
      </c>
      <c r="G22" s="6" t="n">
        <f aca="false">Seg!G19</f>
        <v>9.33399324642364</v>
      </c>
      <c r="H22" s="6" t="n">
        <f aca="false">Seg!H19</f>
        <v>9.96139155535851</v>
      </c>
      <c r="I22" s="6" t="n">
        <f aca="false">Seg!I19</f>
        <v>10.6402039077391</v>
      </c>
      <c r="J22" s="6" t="n">
        <f aca="false">Seg!J19</f>
        <v>11.3751458271397</v>
      </c>
      <c r="K22" s="6" t="n">
        <f aca="false">Seg!K19</f>
        <v>12.1714060350394</v>
      </c>
    </row>
    <row r="23" customFormat="false" ht="15" hidden="false" customHeight="false" outlineLevel="0" collapsed="false">
      <c r="A23" s="0" t="s">
        <v>852</v>
      </c>
      <c r="B23" s="0" t="s">
        <v>98</v>
      </c>
      <c r="D23" s="6" t="n">
        <f aca="false">Seg!D21</f>
        <v>218.783</v>
      </c>
      <c r="E23" s="6" t="n">
        <f aca="false">Seg!E21</f>
        <v>268.127</v>
      </c>
      <c r="F23" s="6" t="n">
        <f aca="false">Seg!F21</f>
        <v>338.774715894377</v>
      </c>
      <c r="G23" s="6" t="n">
        <f aca="false">Seg!G21</f>
        <v>425.508058536537</v>
      </c>
      <c r="H23" s="6" t="n">
        <f aca="false">Seg!H21</f>
        <v>518.580813986921</v>
      </c>
      <c r="I23" s="6" t="n">
        <f aca="false">Seg!I21</f>
        <v>597.067731307455</v>
      </c>
      <c r="J23" s="6" t="n">
        <f aca="false">Seg!J21</f>
        <v>659.345790484055</v>
      </c>
      <c r="K23" s="6" t="n">
        <f aca="false">Seg!K21</f>
        <v>707.958647997291</v>
      </c>
    </row>
    <row r="24" customFormat="false" ht="15" hidden="false" customHeight="false" outlineLevel="0" collapsed="false">
      <c r="A24" s="0" t="s">
        <v>1037</v>
      </c>
      <c r="B24" s="0" t="s">
        <v>98</v>
      </c>
      <c r="D24" s="6" t="n">
        <f aca="false">Seg!D22</f>
        <v>22.171</v>
      </c>
      <c r="E24" s="6" t="n">
        <f aca="false">Seg!E22</f>
        <v>24.835</v>
      </c>
      <c r="F24" s="6" t="n">
        <f aca="false">Seg!F22</f>
        <v>27.5591895660247</v>
      </c>
      <c r="G24" s="6" t="n">
        <f aca="false">Seg!G22</f>
        <v>30.4098563144583</v>
      </c>
      <c r="H24" s="6" t="n">
        <f aca="false">Seg!H22</f>
        <v>33.3011792571777</v>
      </c>
      <c r="I24" s="6" t="n">
        <f aca="false">Seg!I22</f>
        <v>36.189023797112</v>
      </c>
      <c r="J24" s="6" t="n">
        <f aca="false">Seg!J22</f>
        <v>39.0247773769199</v>
      </c>
      <c r="K24" s="6" t="n">
        <f aca="false">Seg!K22</f>
        <v>41.7565117933043</v>
      </c>
    </row>
    <row r="25" customFormat="false" ht="15" hidden="false" customHeight="false" outlineLevel="0" collapsed="false">
      <c r="A25" s="0" t="s">
        <v>1038</v>
      </c>
      <c r="B25" s="0" t="s">
        <v>98</v>
      </c>
      <c r="D25" s="6" t="n">
        <f aca="false">Seg!D24</f>
        <v>23.455</v>
      </c>
      <c r="E25" s="6" t="n">
        <f aca="false">Seg!E24</f>
        <v>21.79</v>
      </c>
      <c r="F25" s="6" t="n">
        <f aca="false">Seg!F24</f>
        <v>20.7520981041711</v>
      </c>
      <c r="G25" s="6" t="n">
        <f aca="false">Seg!G24</f>
        <v>19.9083593495882</v>
      </c>
      <c r="H25" s="6" t="n">
        <f aca="false">Seg!H24</f>
        <v>19.4008256265831</v>
      </c>
      <c r="I25" s="6" t="n">
        <f aca="false">Seg!I24</f>
        <v>19.200434522122</v>
      </c>
      <c r="J25" s="6" t="n">
        <f aca="false">Seg!J24</f>
        <v>19.2932782348507</v>
      </c>
      <c r="K25" s="6" t="n">
        <f aca="false">Seg!K24</f>
        <v>19.6791437995477</v>
      </c>
    </row>
    <row r="26" customFormat="false" ht="15" hidden="false" customHeight="false" outlineLevel="0" collapsed="false">
      <c r="A26" s="0" t="s">
        <v>1039</v>
      </c>
      <c r="B26" s="0" t="s">
        <v>98</v>
      </c>
      <c r="D26" s="6" t="n">
        <f aca="false">Seg!D26</f>
        <v>17.315</v>
      </c>
      <c r="E26" s="6" t="n">
        <f aca="false">Seg!E26</f>
        <v>17.087</v>
      </c>
      <c r="F26" s="6" t="n">
        <f aca="false">Seg!F26</f>
        <v>15.9912273250553</v>
      </c>
      <c r="G26" s="6" t="n">
        <f aca="false">Seg!G26</f>
        <v>15.9574562664827</v>
      </c>
      <c r="H26" s="6" t="n">
        <f aca="false">Seg!H26</f>
        <v>16.0119687434196</v>
      </c>
      <c r="I26" s="6" t="n">
        <f aca="false">Seg!I26</f>
        <v>16.1551810001948</v>
      </c>
      <c r="J26" s="6" t="n">
        <f aca="false">Seg!J26</f>
        <v>16.3889793892005</v>
      </c>
      <c r="K26" s="6" t="n">
        <f aca="false">Seg!K26</f>
        <v>16.7167589769845</v>
      </c>
    </row>
    <row r="27" customFormat="false" ht="15" hidden="false" customHeight="false" outlineLevel="0" collapsed="false">
      <c r="A27" s="0" t="s">
        <v>866</v>
      </c>
      <c r="B27" s="0" t="s">
        <v>98</v>
      </c>
      <c r="D27" s="6" t="n">
        <f aca="false">Seg!D28</f>
        <v>62.941</v>
      </c>
      <c r="E27" s="6" t="n">
        <f aca="false">Seg!E28</f>
        <v>63.712</v>
      </c>
      <c r="F27" s="6" t="n">
        <f aca="false">Seg!F28</f>
        <v>64.3025149952511</v>
      </c>
      <c r="G27" s="6" t="n">
        <f aca="false">Seg!G28</f>
        <v>66.2756719305292</v>
      </c>
      <c r="H27" s="6" t="n">
        <f aca="false">Seg!H28</f>
        <v>68.7139736271804</v>
      </c>
      <c r="I27" s="6" t="n">
        <f aca="false">Seg!I28</f>
        <v>71.5446393194289</v>
      </c>
      <c r="J27" s="6" t="n">
        <f aca="false">Seg!J28</f>
        <v>74.707035000971</v>
      </c>
      <c r="K27" s="6" t="n">
        <f aca="false">Seg!K28</f>
        <v>78.1524145698365</v>
      </c>
    </row>
    <row r="28" customFormat="false" ht="15" hidden="false" customHeight="false" outlineLevel="0" collapsed="false">
      <c r="A28" s="1" t="s">
        <v>1055</v>
      </c>
      <c r="B28" s="0" t="s">
        <v>98</v>
      </c>
      <c r="D28" s="6" t="n">
        <f aca="false">Seg!D29</f>
        <v>281.724</v>
      </c>
      <c r="E28" s="6" t="n">
        <f aca="false">Seg!E29</f>
        <v>331.839</v>
      </c>
      <c r="F28" s="6" t="n">
        <f aca="false">Seg!F29</f>
        <v>403.077230889628</v>
      </c>
      <c r="G28" s="6" t="n">
        <f aca="false">Seg!G29</f>
        <v>491.783730467066</v>
      </c>
      <c r="H28" s="6" t="n">
        <f aca="false">Seg!H29</f>
        <v>587.294787614101</v>
      </c>
      <c r="I28" s="6" t="n">
        <f aca="false">Seg!I29</f>
        <v>668.612370626884</v>
      </c>
      <c r="J28" s="6" t="n">
        <f aca="false">Seg!J29</f>
        <v>734.052825485026</v>
      </c>
      <c r="K28" s="6" t="n">
        <f aca="false">Seg!K29</f>
        <v>786.111062567128</v>
      </c>
    </row>
    <row r="29" customFormat="false" ht="15" hidden="false" customHeight="false" outlineLevel="0" collapsed="false">
      <c r="A29" s="1" t="s">
        <v>1056</v>
      </c>
      <c r="B29" s="0" t="s">
        <v>168</v>
      </c>
      <c r="E29" s="7" t="n">
        <f aca="false">PL!E28/PL!D28-1</f>
        <v>0.177886867998467</v>
      </c>
      <c r="F29" s="7" t="n">
        <f aca="false">PL!F28/PL!E28-1</f>
        <v>0.21467709006364</v>
      </c>
      <c r="G29" s="7" t="n">
        <f aca="false">PL!G28/PL!F28-1</f>
        <v>0.220073208753704</v>
      </c>
      <c r="H29" s="7" t="n">
        <f aca="false">PL!H28/PL!G28-1</f>
        <v>0.194213535808362</v>
      </c>
      <c r="I29" s="7" t="n">
        <f aca="false">PL!I28/PL!H28-1</f>
        <v>0.13846127145643</v>
      </c>
      <c r="J29" s="7" t="n">
        <f aca="false">PL!J28/PL!I28-1</f>
        <v>0.0978750285412546</v>
      </c>
      <c r="K29" s="7" t="n">
        <f aca="false">PL!K28/PL!J28-1</f>
        <v>0.0709189247350204</v>
      </c>
    </row>
    <row r="30" customFormat="false" ht="17.15" hidden="false" customHeight="false" outlineLevel="0" collapsed="false">
      <c r="A30" s="26" t="s">
        <v>1057</v>
      </c>
      <c r="B30" s="31" t="s">
        <v>98</v>
      </c>
      <c r="C30" s="31"/>
      <c r="D30" s="27" t="n">
        <f aca="false">(PL!D23+PL!D27-PL!D28)+(PL!D15+PL!D16-PL!D14)+(PL!D18+PL!D19-PL!D17)+(PL!D28-Q!L18)</f>
        <v>0</v>
      </c>
      <c r="E30" s="27" t="n">
        <f aca="false">(PL!E23+PL!E27-PL!E28)+(PL!E15+PL!E16-PL!E14)+(PL!E18+PL!E19-PL!E17)+(PL!E28-Q!M18)</f>
        <v>0</v>
      </c>
      <c r="F30" s="27" t="n">
        <f aca="false">(PL!F23+PL!F27-PL!F28)+(PL!F15+PL!F16-PL!F14)+(PL!F18+PL!F19-PL!F17)</f>
        <v>0</v>
      </c>
      <c r="G30" s="27" t="n">
        <f aca="false">(PL!G23+PL!G27-PL!G28)+(PL!G15+PL!G16-PL!G14)+(PL!G18+PL!G19-PL!G17)</f>
        <v>0</v>
      </c>
      <c r="H30" s="27" t="n">
        <f aca="false">(PL!H23+PL!H27-PL!H28)+(PL!H15+PL!H16-PL!H14)+(PL!H18+PL!H19-PL!H17)</f>
        <v>0</v>
      </c>
      <c r="I30" s="27" t="n">
        <f aca="false">(PL!I23+PL!I27-PL!I28)+(PL!I15+PL!I16-PL!I14)+(PL!I18+PL!I19-PL!I17)</f>
        <v>0</v>
      </c>
      <c r="J30" s="27" t="n">
        <f aca="false">(PL!J23+PL!J27-PL!J28)+(PL!J15+PL!J16-PL!J14)+(PL!J18+PL!J19-PL!J17)</f>
        <v>0</v>
      </c>
      <c r="K30" s="27" t="n">
        <f aca="false">(PL!K23+PL!K27-PL!K28)+(PL!K15+PL!K16-PL!K14)+(PL!K18+PL!K19-PL!K17)</f>
        <v>0</v>
      </c>
    </row>
    <row r="31" customFormat="false" ht="17.15" hidden="false" customHeight="false" outlineLevel="0" collapsed="false">
      <c r="A31" s="0" t="s">
        <v>1058</v>
      </c>
      <c r="B31" s="0" t="s">
        <v>168</v>
      </c>
      <c r="E31" s="7" t="n">
        <f aca="false">(Q!M21+Thesis!E27+Thesis!E28+Thesis!E29+Thesis!E43-Thesis!E25)/(Q!M5-Thesis!E25)</f>
        <v>0.570957350878296</v>
      </c>
      <c r="F31" s="7" t="n">
        <f aca="false">PL!$E$31+dm_seg</f>
        <v>0.570957350878296</v>
      </c>
      <c r="G31" s="7" t="n">
        <f aca="false">PL!$E$31+dm_seg</f>
        <v>0.570957350878296</v>
      </c>
      <c r="H31" s="7" t="n">
        <f aca="false">PL!$E$31+dm_seg</f>
        <v>0.570957350878296</v>
      </c>
      <c r="I31" s="7" t="n">
        <f aca="false">PL!$E$31+dm_seg</f>
        <v>0.570957350878296</v>
      </c>
      <c r="J31" s="7" t="n">
        <f aca="false">PL!$E$31+dm_seg</f>
        <v>0.570957350878296</v>
      </c>
      <c r="K31" s="7" t="n">
        <f aca="false">PL!$E$31+dm_seg</f>
        <v>0.570957350878296</v>
      </c>
      <c r="L31" s="12" t="s">
        <v>1059</v>
      </c>
    </row>
    <row r="32" customFormat="false" ht="17.15" hidden="false" customHeight="false" outlineLevel="0" collapsed="false">
      <c r="A32" s="0" t="s">
        <v>880</v>
      </c>
      <c r="B32" s="0" t="s">
        <v>98</v>
      </c>
      <c r="D32" s="6" t="n">
        <f aca="false">Q!L21</f>
        <v>110.814</v>
      </c>
      <c r="E32" s="6" t="n">
        <f aca="false">Q!M21</f>
        <v>136.365</v>
      </c>
      <c r="F32" s="6" t="n">
        <f aca="false">Q!$I$21+(PL!F31*(Seg!F21-Thesis!F25)+Thesis!F25-(Thesis!F27+Thesis!F28+Thesis!F29)-Thesis!F43-CF!F18)*(Seg!F21-Q!$I$5)/Seg!F21</f>
        <v>165.518940289865</v>
      </c>
      <c r="G32" s="6" t="n">
        <f aca="false">(PL!G31*(Seg!G21-Thesis!G25)+Thesis!G25-(Thesis!G27+Thesis!G28+Thesis!G29)-Thesis!G43-CF!G18)</f>
        <v>191.522093802735</v>
      </c>
      <c r="H32" s="6" t="n">
        <f aca="false">(PL!H31*(Seg!H21-Thesis!H25)+Thesis!H25-(Thesis!H27+Thesis!H28+Thesis!H29)-Thesis!H43-CF!H18)</f>
        <v>225.776483596689</v>
      </c>
      <c r="I32" s="6" t="n">
        <f aca="false">(PL!I31*(Seg!I21-Thesis!I25)+Thesis!I25-(Thesis!I27+Thesis!I28+Thesis!I29)-Thesis!I43-CF!I18)</f>
        <v>251.64174329374</v>
      </c>
      <c r="J32" s="6" t="n">
        <f aca="false">(PL!J31*(Seg!J21-Thesis!J25)+Thesis!J25-(Thesis!J27+Thesis!J28+Thesis!J29)-Thesis!J43-CF!J18)</f>
        <v>273.893745224048</v>
      </c>
      <c r="K32" s="6" t="n">
        <f aca="false">(PL!K31*(Seg!K21-Thesis!K25)+Thesis!K25-(Thesis!K27+Thesis!K28+Thesis!K29)-Thesis!K43-CF!K18)</f>
        <v>293.874045571005</v>
      </c>
      <c r="L32" s="1" t="s">
        <v>1060</v>
      </c>
    </row>
    <row r="33" customFormat="false" ht="17.15" hidden="false" customHeight="false" outlineLevel="0" collapsed="false">
      <c r="A33" s="0" t="s">
        <v>1061</v>
      </c>
      <c r="B33" s="0" t="s">
        <v>168</v>
      </c>
      <c r="E33" s="7" t="n">
        <f aca="false">Q!M22/Q!M12</f>
        <v>0.296207935710698</v>
      </c>
      <c r="F33" s="7" t="n">
        <f aca="false">PL!$E$33+dm_seg</f>
        <v>0.296207935710698</v>
      </c>
      <c r="G33" s="7" t="n">
        <f aca="false">PL!$E$33+dm_seg</f>
        <v>0.296207935710698</v>
      </c>
      <c r="H33" s="7" t="n">
        <f aca="false">PL!$E$33+dm_seg</f>
        <v>0.296207935710698</v>
      </c>
      <c r="I33" s="7" t="n">
        <f aca="false">PL!$E$33+dm_seg</f>
        <v>0.296207935710698</v>
      </c>
      <c r="J33" s="7" t="n">
        <f aca="false">PL!$E$33+dm_seg</f>
        <v>0.296207935710698</v>
      </c>
      <c r="K33" s="7" t="n">
        <f aca="false">PL!$E$33+dm_seg</f>
        <v>0.296207935710698</v>
      </c>
      <c r="L33" s="12" t="s">
        <v>1062</v>
      </c>
    </row>
    <row r="34" customFormat="false" ht="17.15" hidden="false" customHeight="false" outlineLevel="0" collapsed="false">
      <c r="A34" s="0" t="s">
        <v>882</v>
      </c>
      <c r="B34" s="0" t="s">
        <v>98</v>
      </c>
      <c r="D34" s="6" t="n">
        <f aca="false">Q!L22</f>
        <v>17.714</v>
      </c>
      <c r="E34" s="6" t="n">
        <f aca="false">Q!M22</f>
        <v>18.872</v>
      </c>
      <c r="F34" s="6" t="n">
        <f aca="false">Q!$I$22+(Seg!F28-Q!$I$12)*PL!F33</f>
        <v>19.8174315512051</v>
      </c>
      <c r="G34" s="6" t="n">
        <f aca="false">Seg!G28*PL!G33</f>
        <v>19.6313799703815</v>
      </c>
      <c r="H34" s="6" t="n">
        <f aca="false">Seg!H28*PL!H33</f>
        <v>20.3536242825865</v>
      </c>
      <c r="I34" s="6" t="n">
        <f aca="false">Seg!I28*PL!I33</f>
        <v>21.1920899239745</v>
      </c>
      <c r="J34" s="6" t="n">
        <f aca="false">Seg!J28*PL!J33</f>
        <v>22.1288166207045</v>
      </c>
      <c r="K34" s="6" t="n">
        <f aca="false">Seg!K28*PL!K33</f>
        <v>23.1493653905379</v>
      </c>
      <c r="L34" s="12" t="s">
        <v>1063</v>
      </c>
    </row>
    <row r="35" customFormat="false" ht="15" hidden="false" customHeight="false" outlineLevel="0" collapsed="false">
      <c r="A35" s="1" t="s">
        <v>1064</v>
      </c>
      <c r="B35" s="0" t="s">
        <v>98</v>
      </c>
      <c r="D35" s="6" t="n">
        <f aca="false">PL!D32+PL!D34</f>
        <v>128.528</v>
      </c>
      <c r="E35" s="6" t="n">
        <f aca="false">PL!E32+PL!E34</f>
        <v>155.237</v>
      </c>
      <c r="F35" s="6" t="n">
        <f aca="false">PL!F32+PL!F34</f>
        <v>185.33637184107</v>
      </c>
      <c r="G35" s="6" t="n">
        <f aca="false">PL!G32+PL!G34</f>
        <v>211.153473773117</v>
      </c>
      <c r="H35" s="6" t="n">
        <f aca="false">PL!H32+PL!H34</f>
        <v>246.130107879275</v>
      </c>
      <c r="I35" s="6" t="n">
        <f aca="false">PL!I32+PL!I34</f>
        <v>272.833833217714</v>
      </c>
      <c r="J35" s="6" t="n">
        <f aca="false">PL!J32+PL!J34</f>
        <v>296.022561844752</v>
      </c>
      <c r="K35" s="6" t="n">
        <f aca="false">PL!K32+PL!K34</f>
        <v>317.023410961543</v>
      </c>
    </row>
    <row r="36" customFormat="false" ht="15" hidden="false" customHeight="false" outlineLevel="0" collapsed="false">
      <c r="A36" s="26" t="s">
        <v>1065</v>
      </c>
      <c r="B36" s="31" t="s">
        <v>98</v>
      </c>
      <c r="C36" s="31"/>
      <c r="D36" s="27" t="n">
        <f aca="false">PL!D35-Q!L23</f>
        <v>0</v>
      </c>
      <c r="E36" s="27" t="n">
        <f aca="false">PL!E35-Q!M23</f>
        <v>0</v>
      </c>
      <c r="F36" s="31"/>
      <c r="G36" s="31"/>
      <c r="H36" s="31"/>
      <c r="I36" s="31"/>
      <c r="J36" s="31"/>
      <c r="K36" s="31"/>
    </row>
    <row r="37" customFormat="false" ht="15" hidden="false" customHeight="false" outlineLevel="0" collapsed="false">
      <c r="A37" s="1" t="s">
        <v>1066</v>
      </c>
      <c r="B37" s="0" t="s">
        <v>168</v>
      </c>
      <c r="D37" s="7" t="n">
        <f aca="false">PL!D35/PL!D28</f>
        <v>0.456219562408598</v>
      </c>
      <c r="E37" s="7" t="n">
        <f aca="false">PL!E35/PL!E28</f>
        <v>0.467808184089272</v>
      </c>
      <c r="F37" s="7" t="n">
        <f aca="false">PL!F35/PL!F28</f>
        <v>0.45980362480911</v>
      </c>
      <c r="G37" s="7" t="n">
        <f aca="false">PL!G35/PL!G28</f>
        <v>0.429362462992779</v>
      </c>
      <c r="H37" s="7" t="n">
        <f aca="false">PL!H35/PL!H28</f>
        <v>0.419091252076636</v>
      </c>
      <c r="I37" s="7" t="n">
        <f aca="false">PL!I35/PL!I28</f>
        <v>0.408059804460256</v>
      </c>
      <c r="J37" s="7" t="n">
        <f aca="false">PL!J35/PL!J28</f>
        <v>0.403271469800767</v>
      </c>
      <c r="K37" s="7" t="n">
        <f aca="false">PL!K35/PL!K28</f>
        <v>0.403280689024106</v>
      </c>
    </row>
    <row r="38" customFormat="false" ht="17.15" hidden="false" customHeight="false" outlineLevel="0" collapsed="false">
      <c r="A38" s="1" t="s">
        <v>1067</v>
      </c>
      <c r="B38" s="0" t="s">
        <v>98</v>
      </c>
      <c r="F38" s="6" t="n">
        <f aca="false">Thesis!F47</f>
        <v>8.88340674531245</v>
      </c>
      <c r="G38" s="6" t="n">
        <f aca="false">Thesis!G47</f>
        <v>22.7060305170273</v>
      </c>
      <c r="H38" s="6" t="n">
        <f aca="false">Thesis!H47</f>
        <v>38.0018452382075</v>
      </c>
      <c r="I38" s="6" t="n">
        <f aca="false">Thesis!I47</f>
        <v>52.1381094705177</v>
      </c>
      <c r="J38" s="6" t="n">
        <f aca="false">Thesis!J47</f>
        <v>62.0595818934393</v>
      </c>
      <c r="K38" s="6" t="n">
        <f aca="false">Thesis!K47</f>
        <v>67.0801312706266</v>
      </c>
      <c r="L38" s="1" t="s">
        <v>1068</v>
      </c>
    </row>
    <row r="39" customFormat="false" ht="17.15" hidden="false" customHeight="false" outlineLevel="0" collapsed="false">
      <c r="A39" s="1" t="s">
        <v>1069</v>
      </c>
      <c r="B39" s="0" t="s">
        <v>98</v>
      </c>
      <c r="D39" s="6" t="n">
        <f aca="false">PL!D35</f>
        <v>128.528</v>
      </c>
      <c r="E39" s="6" t="n">
        <f aca="false">PL!E35</f>
        <v>155.237</v>
      </c>
      <c r="F39" s="6" t="n">
        <f aca="false">PL!F35+PL!F38</f>
        <v>194.219778586382</v>
      </c>
      <c r="G39" s="6" t="n">
        <f aca="false">PL!G35+PL!G38</f>
        <v>233.859504290144</v>
      </c>
      <c r="H39" s="6" t="n">
        <f aca="false">PL!H35+PL!H38</f>
        <v>284.131953117483</v>
      </c>
      <c r="I39" s="6" t="n">
        <f aca="false">PL!I35+PL!I38</f>
        <v>324.971942688232</v>
      </c>
      <c r="J39" s="6" t="n">
        <f aca="false">PL!J35+PL!J38</f>
        <v>358.082143738192</v>
      </c>
      <c r="K39" s="6" t="n">
        <f aca="false">PL!K35+PL!K38</f>
        <v>384.10354223217</v>
      </c>
    </row>
    <row r="40" customFormat="false" ht="17.15" hidden="false" customHeight="false" outlineLevel="0" collapsed="false">
      <c r="A40" s="1" t="s">
        <v>1070</v>
      </c>
      <c r="B40" s="0" t="s">
        <v>98</v>
      </c>
      <c r="E40" s="6" t="n">
        <f aca="false">Thesis!E43</f>
        <v>16.3054059770833</v>
      </c>
      <c r="F40" s="6" t="n">
        <f aca="false">Thesis!F43</f>
        <v>34.5793144783516</v>
      </c>
      <c r="G40" s="6" t="n">
        <f aca="false">Thesis!G43</f>
        <v>60.7344906522989</v>
      </c>
      <c r="H40" s="6" t="n">
        <f aca="false">Thesis!H43</f>
        <v>89.1000906614457</v>
      </c>
      <c r="I40" s="6" t="n">
        <f aca="false">Thesis!I43</f>
        <v>114.231009694548</v>
      </c>
      <c r="J40" s="6" t="n">
        <f aca="false">Thesis!J43</f>
        <v>132.015673049596</v>
      </c>
      <c r="K40" s="6" t="n">
        <f aca="false">Thesis!K43</f>
        <v>143.012669550934</v>
      </c>
    </row>
    <row r="41" customFormat="false" ht="17.15" hidden="false" customHeight="false" outlineLevel="0" collapsed="false">
      <c r="A41" s="1" t="s">
        <v>1071</v>
      </c>
      <c r="B41" s="0" t="s">
        <v>98</v>
      </c>
      <c r="E41" s="6" t="n">
        <f aca="false">CF!E17</f>
        <v>22.2285940229167</v>
      </c>
      <c r="F41" s="6" t="n">
        <f aca="false">CF!F17</f>
        <v>23.580344216413</v>
      </c>
      <c r="G41" s="6" t="n">
        <f aca="false">CF!G17</f>
        <v>25.3801415764809</v>
      </c>
      <c r="H41" s="6" t="n">
        <f aca="false">CF!H17</f>
        <v>27.5964639802758</v>
      </c>
      <c r="I41" s="6" t="n">
        <f aca="false">CF!I17</f>
        <v>30.152940612192</v>
      </c>
      <c r="J41" s="6" t="n">
        <f aca="false">CF!J17</f>
        <v>32.9575022150393</v>
      </c>
      <c r="K41" s="6" t="n">
        <f aca="false">CF!K17</f>
        <v>35.9256779798081</v>
      </c>
    </row>
    <row r="42" customFormat="false" ht="17.15" hidden="false" customHeight="false" outlineLevel="0" collapsed="false">
      <c r="A42" s="1" t="s">
        <v>1072</v>
      </c>
      <c r="B42" s="0" t="s">
        <v>98</v>
      </c>
      <c r="D42" s="6" t="n">
        <f aca="false">Q!L27</f>
        <v>-4.901</v>
      </c>
      <c r="E42" s="6" t="n">
        <f aca="false">Q!M27</f>
        <v>10.697</v>
      </c>
      <c r="F42" s="6" t="n">
        <f aca="false">Q!$I$27+oie_f*(q_per_yr-1)/q_per_yr</f>
        <v>-0.862</v>
      </c>
      <c r="G42" s="6" t="n">
        <f aca="false">oie_f</f>
        <v>-1.2</v>
      </c>
      <c r="H42" s="6" t="n">
        <f aca="false">oie_f</f>
        <v>-1.2</v>
      </c>
      <c r="I42" s="6" t="n">
        <f aca="false">oie_f</f>
        <v>-1.2</v>
      </c>
      <c r="J42" s="6" t="n">
        <f aca="false">oie_f</f>
        <v>-1.2</v>
      </c>
      <c r="K42" s="6" t="n">
        <f aca="false">oie_f</f>
        <v>-1.2</v>
      </c>
      <c r="L42" s="12" t="s">
        <v>1073</v>
      </c>
    </row>
    <row r="43" customFormat="false" ht="15" hidden="false" customHeight="false" outlineLevel="0" collapsed="false">
      <c r="A43" s="1" t="s">
        <v>1074</v>
      </c>
      <c r="B43" s="0" t="s">
        <v>98</v>
      </c>
      <c r="D43" s="6" t="n">
        <f aca="false">PL!D35+PL!D42</f>
        <v>123.627</v>
      </c>
      <c r="E43" s="6" t="n">
        <f aca="false">PL!E35+PL!E42</f>
        <v>165.934</v>
      </c>
      <c r="F43" s="6" t="n">
        <f aca="false">PL!F35+PL!F42</f>
        <v>184.47437184107</v>
      </c>
      <c r="G43" s="6" t="n">
        <f aca="false">PL!G35+PL!G42</f>
        <v>209.953473773117</v>
      </c>
      <c r="H43" s="6" t="n">
        <f aca="false">PL!H35+PL!H42</f>
        <v>244.930107879275</v>
      </c>
      <c r="I43" s="6" t="n">
        <f aca="false">PL!I35+PL!I42</f>
        <v>271.633833217714</v>
      </c>
      <c r="J43" s="6" t="n">
        <f aca="false">PL!J35+PL!J42</f>
        <v>294.822561844752</v>
      </c>
      <c r="K43" s="6" t="n">
        <f aca="false">PL!K35+PL!K42</f>
        <v>315.823410961543</v>
      </c>
    </row>
    <row r="44" customFormat="false" ht="15" hidden="false" customHeight="false" outlineLevel="0" collapsed="false">
      <c r="A44" s="1" t="s">
        <v>1075</v>
      </c>
      <c r="B44" s="0" t="s">
        <v>98</v>
      </c>
      <c r="D44" s="6" t="n">
        <f aca="false">Q!L29</f>
        <v>21.795</v>
      </c>
      <c r="E44" s="6" t="n">
        <f aca="false">Q!M29</f>
        <v>32.185</v>
      </c>
      <c r="F44" s="6" t="n">
        <f aca="false">Q!$I$29+(PL!F43-Q!$I$28)*tax_f</f>
        <v>37.0282743682139</v>
      </c>
      <c r="G44" s="6" t="n">
        <f aca="false">PL!G43*tax_f</f>
        <v>41.9906947546233</v>
      </c>
      <c r="H44" s="6" t="n">
        <f aca="false">PL!H43*tax_f</f>
        <v>48.9860215758551</v>
      </c>
      <c r="I44" s="6" t="n">
        <f aca="false">PL!I43*tax_f</f>
        <v>54.3267666435428</v>
      </c>
      <c r="J44" s="6" t="n">
        <f aca="false">PL!J43*tax_f</f>
        <v>58.9645123689505</v>
      </c>
      <c r="K44" s="6" t="n">
        <f aca="false">PL!K43*tax_f</f>
        <v>63.1646821923086</v>
      </c>
    </row>
    <row r="45" customFormat="false" ht="15" hidden="false" customHeight="false" outlineLevel="0" collapsed="false">
      <c r="A45" s="1" t="s">
        <v>1076</v>
      </c>
      <c r="B45" s="0" t="s">
        <v>98</v>
      </c>
      <c r="D45" s="6" t="n">
        <f aca="false">PL!D43-PL!D44</f>
        <v>101.832</v>
      </c>
      <c r="E45" s="6" t="n">
        <f aca="false">PL!E43-PL!E44</f>
        <v>133.749</v>
      </c>
      <c r="F45" s="6" t="n">
        <f aca="false">PL!F43-PL!F44</f>
        <v>147.446097472856</v>
      </c>
      <c r="G45" s="6" t="n">
        <f aca="false">PL!G43-PL!G44</f>
        <v>167.962779018493</v>
      </c>
      <c r="H45" s="6" t="n">
        <f aca="false">PL!H43-PL!H44</f>
        <v>195.94408630342</v>
      </c>
      <c r="I45" s="6" t="n">
        <f aca="false">PL!I43-PL!I44</f>
        <v>217.307066574171</v>
      </c>
      <c r="J45" s="6" t="n">
        <f aca="false">PL!J43-PL!J44</f>
        <v>235.858049475802</v>
      </c>
      <c r="K45" s="6" t="n">
        <f aca="false">PL!K43-PL!K44</f>
        <v>252.658728769235</v>
      </c>
    </row>
    <row r="46" customFormat="false" ht="17.15" hidden="false" customHeight="false" outlineLevel="0" collapsed="false">
      <c r="A46" s="1" t="s">
        <v>1077</v>
      </c>
      <c r="B46" s="1" t="s">
        <v>81</v>
      </c>
      <c r="D46" s="15" t="n">
        <f aca="false">Q!L31</f>
        <v>7.465</v>
      </c>
      <c r="E46" s="15" t="n">
        <f aca="false">Q!M31</f>
        <v>7.453</v>
      </c>
      <c r="F46" s="15" t="n">
        <f aca="false">CF!F42</f>
        <v>7.4706326876771</v>
      </c>
      <c r="G46" s="15" t="n">
        <f aca="false">CF!G42</f>
        <v>7.50990360175967</v>
      </c>
      <c r="H46" s="15" t="n">
        <f aca="false">CF!H42</f>
        <v>7.53474176719395</v>
      </c>
      <c r="I46" s="15" t="n">
        <f aca="false">CF!I42</f>
        <v>7.54642313124942</v>
      </c>
      <c r="J46" s="15" t="n">
        <f aca="false">CF!J42</f>
        <v>7.56057254241189</v>
      </c>
      <c r="K46" s="15" t="n">
        <f aca="false">CF!K42</f>
        <v>7.57700718237714</v>
      </c>
    </row>
    <row r="47" customFormat="false" ht="17.15" hidden="false" customHeight="false" outlineLevel="0" collapsed="false">
      <c r="A47" s="0" t="s">
        <v>1078</v>
      </c>
      <c r="B47" s="0" t="s">
        <v>75</v>
      </c>
      <c r="D47" s="8" t="n">
        <f aca="false">PL!D45/PL!D46</f>
        <v>13.641259209645</v>
      </c>
      <c r="E47" s="8" t="n">
        <f aca="false">PL!E45/PL!E46</f>
        <v>17.9456594659869</v>
      </c>
      <c r="F47" s="8" t="n">
        <f aca="false">PL!F45/PL!F46</f>
        <v>19.7367617492518</v>
      </c>
      <c r="G47" s="8" t="n">
        <f aca="false">PL!G45/PL!G46</f>
        <v>22.365503996501</v>
      </c>
      <c r="H47" s="8" t="n">
        <f aca="false">PL!H45/PL!H46</f>
        <v>26.0054149641273</v>
      </c>
      <c r="I47" s="8" t="n">
        <f aca="false">PL!I45/PL!I46</f>
        <v>28.7960352599779</v>
      </c>
      <c r="J47" s="8" t="n">
        <f aca="false">PL!J45/PL!J46</f>
        <v>31.195792137795</v>
      </c>
      <c r="K47" s="8" t="n">
        <f aca="false">PL!K45/PL!K46</f>
        <v>33.3454519294738</v>
      </c>
      <c r="L47" s="1" t="s">
        <v>1079</v>
      </c>
    </row>
    <row r="48" customFormat="false" ht="17.15" hidden="false" customHeight="false" outlineLevel="0" collapsed="false">
      <c r="A48" s="1" t="s">
        <v>1080</v>
      </c>
      <c r="B48" s="0" t="s">
        <v>98</v>
      </c>
      <c r="D48" s="6" t="n">
        <f aca="false">PL!D45</f>
        <v>101.832</v>
      </c>
      <c r="E48" s="6" t="n">
        <f aca="false">PL!E45</f>
        <v>133.749</v>
      </c>
      <c r="F48" s="6" t="n">
        <f aca="false">PL!F45+PL!F38*(1-tax_f)</f>
        <v>154.552822869106</v>
      </c>
      <c r="G48" s="6" t="n">
        <f aca="false">PL!G45+PL!G38*(1-tax_f)</f>
        <v>186.127603432115</v>
      </c>
      <c r="H48" s="6" t="n">
        <f aca="false">PL!H45+PL!H38*(1-tax_f)</f>
        <v>226.345562493986</v>
      </c>
      <c r="I48" s="6" t="n">
        <f aca="false">PL!I45+PL!I38*(1-tax_f)</f>
        <v>259.017554150585</v>
      </c>
      <c r="J48" s="6" t="n">
        <f aca="false">PL!J45+PL!J38*(1-tax_f)</f>
        <v>285.505714990553</v>
      </c>
      <c r="K48" s="6" t="n">
        <f aca="false">PL!K45+PL!K38*(1-tax_f)</f>
        <v>306.322833785736</v>
      </c>
    </row>
    <row r="49" customFormat="false" ht="17.15" hidden="false" customHeight="false" outlineLevel="0" collapsed="false">
      <c r="A49" s="0" t="s">
        <v>1081</v>
      </c>
      <c r="B49" s="0" t="s">
        <v>75</v>
      </c>
      <c r="D49" s="8" t="n">
        <f aca="false">PL!D48/PL!D46</f>
        <v>13.641259209645</v>
      </c>
      <c r="E49" s="8" t="n">
        <f aca="false">PL!E48/PL!E46</f>
        <v>17.9456594659869</v>
      </c>
      <c r="F49" s="8" t="n">
        <f aca="false">PL!F48/PL!F46</f>
        <v>20.6880500394622</v>
      </c>
      <c r="G49" s="8" t="n">
        <f aca="false">PL!G48/PL!G46</f>
        <v>24.7842866303241</v>
      </c>
      <c r="H49" s="8" t="n">
        <f aca="false">PL!H48/PL!H46</f>
        <v>30.0402547940645</v>
      </c>
      <c r="I49" s="8" t="n">
        <f aca="false">PL!I48/PL!I46</f>
        <v>34.3232216966479</v>
      </c>
      <c r="J49" s="8" t="n">
        <f aca="false">PL!J48/PL!J46</f>
        <v>37.7624463476776</v>
      </c>
      <c r="K49" s="8" t="n">
        <f aca="false">PL!K48/PL!K46</f>
        <v>40.427945547972</v>
      </c>
      <c r="L49" s="1" t="s">
        <v>1082</v>
      </c>
    </row>
    <row r="50" customFormat="false" ht="17.15" hidden="false" customHeight="false" outlineLevel="0" collapsed="false">
      <c r="A50" s="0" t="s">
        <v>1083</v>
      </c>
      <c r="B50" s="0" t="s">
        <v>168</v>
      </c>
      <c r="E50" s="7" t="n">
        <f aca="false">PL!E49/PL!D49-1</f>
        <v>0.315542736208578</v>
      </c>
      <c r="F50" s="7" t="n">
        <f aca="false">PL!F49/PL!E49-1</f>
        <v>0.152816372041</v>
      </c>
      <c r="G50" s="7" t="n">
        <f aca="false">PL!G49/PL!F49-1</f>
        <v>0.198000129690735</v>
      </c>
      <c r="H50" s="7" t="n">
        <f aca="false">PL!H49/PL!G49-1</f>
        <v>0.212068567562063</v>
      </c>
      <c r="I50" s="7" t="n">
        <f aca="false">PL!I49/PL!H49-1</f>
        <v>0.14257425351231</v>
      </c>
      <c r="J50" s="7" t="n">
        <f aca="false">PL!J49/PL!I49-1</f>
        <v>0.100201102373953</v>
      </c>
      <c r="K50" s="7" t="n">
        <f aca="false">PL!K49/PL!J49-1</f>
        <v>0.0705859778191604</v>
      </c>
    </row>
    <row r="51" customFormat="false" ht="17.15" hidden="false" customHeight="false" outlineLevel="0" collapsed="false">
      <c r="A51" s="3" t="s">
        <v>1084</v>
      </c>
    </row>
    <row r="52" customFormat="false" ht="15" hidden="false" customHeight="false" outlineLevel="0" collapsed="false">
      <c r="A52" s="4" t="s">
        <v>43</v>
      </c>
      <c r="B52" s="4" t="s">
        <v>65</v>
      </c>
      <c r="C52" s="23" t="s">
        <v>938</v>
      </c>
      <c r="D52" s="23" t="s">
        <v>939</v>
      </c>
      <c r="E52" s="23" t="s">
        <v>940</v>
      </c>
      <c r="F52" s="23" t="s">
        <v>941</v>
      </c>
      <c r="G52" s="23" t="s">
        <v>942</v>
      </c>
      <c r="H52" s="23" t="s">
        <v>943</v>
      </c>
      <c r="I52" s="23" t="s">
        <v>944</v>
      </c>
      <c r="J52" s="23" t="s">
        <v>945</v>
      </c>
      <c r="K52" s="23" t="s">
        <v>946</v>
      </c>
      <c r="L52" s="4" t="s">
        <v>47</v>
      </c>
    </row>
    <row r="53" customFormat="false" ht="15" hidden="false" customHeight="false" outlineLevel="0" collapsed="false">
      <c r="A53" s="0" t="s">
        <v>1025</v>
      </c>
      <c r="B53" s="0" t="s">
        <v>98</v>
      </c>
      <c r="D53" s="6" t="n">
        <f aca="false">Seg!D36</f>
        <v>72.61</v>
      </c>
      <c r="E53" s="6" t="n">
        <f aca="false">Seg!E36</f>
        <v>101.938</v>
      </c>
      <c r="F53" s="6" t="n">
        <f aca="false">Seg!F36</f>
        <v>146.709048000181</v>
      </c>
      <c r="G53" s="6" t="n">
        <f aca="false">Seg!G36</f>
        <v>199.762829861393</v>
      </c>
      <c r="H53" s="6" t="n">
        <f aca="false">Seg!H36</f>
        <v>254.146566109645</v>
      </c>
      <c r="I53" s="6" t="n">
        <f aca="false">Seg!I36</f>
        <v>303.439446964617</v>
      </c>
      <c r="J53" s="6" t="n">
        <f aca="false">Seg!J36</f>
        <v>341.309898459739</v>
      </c>
      <c r="K53" s="6" t="n">
        <f aca="false">Seg!K36</f>
        <v>368.09747789654</v>
      </c>
    </row>
    <row r="54" customFormat="false" ht="17.15" hidden="false" customHeight="false" outlineLevel="0" collapsed="false">
      <c r="A54" s="0" t="s">
        <v>1021</v>
      </c>
      <c r="B54" s="0" t="s">
        <v>98</v>
      </c>
      <c r="D54" s="6" t="n">
        <f aca="false">Seg!D33</f>
        <v>12.9359794422418</v>
      </c>
      <c r="E54" s="6" t="n">
        <f aca="false">Seg!E33</f>
        <v>27.8095064661409</v>
      </c>
      <c r="F54" s="6" t="n">
        <f aca="false">Seg!F33</f>
        <v>55.4118315060966</v>
      </c>
      <c r="G54" s="6" t="n">
        <f aca="false">Seg!G33</f>
        <v>91.2881100675143</v>
      </c>
      <c r="H54" s="6" t="n">
        <f aca="false">Seg!H33</f>
        <v>128.195273603944</v>
      </c>
      <c r="I54" s="6" t="n">
        <f aca="false">Seg!I33</f>
        <v>160.601281810405</v>
      </c>
      <c r="J54" s="6" t="n">
        <f aca="false">Seg!J33</f>
        <v>183.182719793589</v>
      </c>
      <c r="K54" s="6" t="n">
        <f aca="false">Seg!K33</f>
        <v>197.320124937098</v>
      </c>
    </row>
    <row r="55" customFormat="false" ht="17.15" hidden="false" customHeight="false" outlineLevel="0" collapsed="false">
      <c r="A55" s="0" t="s">
        <v>1052</v>
      </c>
      <c r="B55" s="0" t="s">
        <v>98</v>
      </c>
      <c r="D55" s="6" t="n">
        <f aca="false">Seg!D34</f>
        <v>59.6740205577583</v>
      </c>
      <c r="E55" s="6" t="n">
        <f aca="false">Seg!E34</f>
        <v>74.1284935338591</v>
      </c>
      <c r="F55" s="6" t="n">
        <f aca="false">Seg!F34</f>
        <v>91.2972164940844</v>
      </c>
      <c r="G55" s="6" t="n">
        <f aca="false">Seg!G34</f>
        <v>108.474719793879</v>
      </c>
      <c r="H55" s="6" t="n">
        <f aca="false">Seg!H34</f>
        <v>125.951292505701</v>
      </c>
      <c r="I55" s="6" t="n">
        <f aca="false">Seg!I34</f>
        <v>142.838165154212</v>
      </c>
      <c r="J55" s="6" t="n">
        <f aca="false">Seg!J34</f>
        <v>158.12717866615</v>
      </c>
      <c r="K55" s="6" t="n">
        <f aca="false">Seg!K34</f>
        <v>170.777352959442</v>
      </c>
    </row>
    <row r="56" customFormat="false" ht="15" hidden="false" customHeight="false" outlineLevel="0" collapsed="false">
      <c r="A56" s="0" t="s">
        <v>1032</v>
      </c>
      <c r="B56" s="0" t="s">
        <v>98</v>
      </c>
      <c r="D56" s="6" t="n">
        <f aca="false">Seg!D41</f>
        <v>84.605</v>
      </c>
      <c r="E56" s="6" t="n">
        <f aca="false">Seg!E41</f>
        <v>100.299</v>
      </c>
      <c r="F56" s="6" t="n">
        <f aca="false">Seg!F41</f>
        <v>118.584003697747</v>
      </c>
      <c r="G56" s="6" t="n">
        <f aca="false">Seg!G41</f>
        <v>136.700726545688</v>
      </c>
      <c r="H56" s="6" t="n">
        <f aca="false">Seg!H41</f>
        <v>154.898624783666</v>
      </c>
      <c r="I56" s="6" t="n">
        <f aca="false">Seg!I41</f>
        <v>171.420510030657</v>
      </c>
      <c r="J56" s="6" t="n">
        <f aca="false">Seg!J41</f>
        <v>185.985722618572</v>
      </c>
      <c r="K56" s="6" t="n">
        <f aca="false">Seg!K41</f>
        <v>199.799723201872</v>
      </c>
    </row>
    <row r="57" customFormat="false" ht="17.15" hidden="false" customHeight="false" outlineLevel="0" collapsed="false">
      <c r="A57" s="0" t="s">
        <v>1053</v>
      </c>
      <c r="B57" s="0" t="s">
        <v>98</v>
      </c>
      <c r="D57" s="6" t="n">
        <f aca="false">Seg!D39</f>
        <v>83.705</v>
      </c>
      <c r="E57" s="6" t="n">
        <f aca="false">Seg!E39</f>
        <v>95.049</v>
      </c>
      <c r="F57" s="6" t="n">
        <f aca="false">Seg!F39</f>
        <v>106.584003697747</v>
      </c>
      <c r="G57" s="6" t="n">
        <f aca="false">Seg!G39</f>
        <v>118.700726545688</v>
      </c>
      <c r="H57" s="6" t="n">
        <f aca="false">Seg!H39</f>
        <v>130.898624783666</v>
      </c>
      <c r="I57" s="6" t="n">
        <f aca="false">Seg!I39</f>
        <v>142.920510030657</v>
      </c>
      <c r="J57" s="6" t="n">
        <f aca="false">Seg!J39</f>
        <v>154.485722618572</v>
      </c>
      <c r="K57" s="6" t="n">
        <f aca="false">Seg!K39</f>
        <v>165.299723201872</v>
      </c>
    </row>
    <row r="58" customFormat="false" ht="17.15" hidden="false" customHeight="false" outlineLevel="0" collapsed="false">
      <c r="A58" s="0" t="s">
        <v>1054</v>
      </c>
      <c r="B58" s="0" t="s">
        <v>98</v>
      </c>
      <c r="D58" s="6" t="n">
        <f aca="false">Seg!D38</f>
        <v>0.9</v>
      </c>
      <c r="E58" s="6" t="n">
        <f aca="false">Seg!E38</f>
        <v>5.25</v>
      </c>
      <c r="F58" s="6" t="n">
        <f aca="false">Seg!F38</f>
        <v>12</v>
      </c>
      <c r="G58" s="6" t="n">
        <f aca="false">Seg!G38</f>
        <v>18</v>
      </c>
      <c r="H58" s="6" t="n">
        <f aca="false">Seg!H38</f>
        <v>24</v>
      </c>
      <c r="I58" s="6" t="n">
        <f aca="false">Seg!I38</f>
        <v>28.5</v>
      </c>
      <c r="J58" s="6" t="n">
        <f aca="false">Seg!J38</f>
        <v>31.5</v>
      </c>
      <c r="K58" s="6" t="n">
        <f aca="false">Seg!K38</f>
        <v>34.5</v>
      </c>
    </row>
    <row r="59" customFormat="false" ht="15" hidden="false" customHeight="false" outlineLevel="0" collapsed="false">
      <c r="A59" s="0" t="s">
        <v>1033</v>
      </c>
      <c r="B59" s="0" t="s">
        <v>98</v>
      </c>
      <c r="D59" s="6" t="n">
        <f aca="false">Seg!D42</f>
        <v>35.391</v>
      </c>
      <c r="E59" s="6" t="n">
        <f aca="false">Seg!E42</f>
        <v>37.285</v>
      </c>
      <c r="F59" s="6" t="n">
        <f aca="false">Seg!F42</f>
        <v>38.3851437782675</v>
      </c>
      <c r="G59" s="6" t="n">
        <f aca="false">Seg!G42</f>
        <v>40.0105353288615</v>
      </c>
      <c r="H59" s="6" t="n">
        <f aca="false">Seg!H42</f>
        <v>41.4812512033683</v>
      </c>
      <c r="I59" s="6" t="n">
        <f aca="false">Seg!I42</f>
        <v>42.7743107216329</v>
      </c>
      <c r="J59" s="6" t="n">
        <f aca="false">Seg!J42</f>
        <v>43.8687373064601</v>
      </c>
      <c r="K59" s="6" t="n">
        <f aca="false">Seg!K42</f>
        <v>44.7461120525893</v>
      </c>
    </row>
    <row r="60" customFormat="false" ht="15" hidden="false" customHeight="false" outlineLevel="0" collapsed="false">
      <c r="A60" s="0" t="s">
        <v>1035</v>
      </c>
      <c r="B60" s="0" t="s">
        <v>98</v>
      </c>
      <c r="D60" s="6" t="n">
        <f aca="false">Seg!D44</f>
        <v>18.417</v>
      </c>
      <c r="E60" s="6" t="n">
        <f aca="false">Seg!E44</f>
        <v>20.345</v>
      </c>
      <c r="F60" s="6" t="n">
        <f aca="false">Seg!F44</f>
        <v>22.3161797133988</v>
      </c>
      <c r="G60" s="6" t="n">
        <f aca="false">Seg!G44</f>
        <v>24.3943499673233</v>
      </c>
      <c r="H60" s="6" t="n">
        <f aca="false">Seg!H44</f>
        <v>26.5250243109019</v>
      </c>
      <c r="I60" s="6" t="n">
        <f aca="false">Seg!I44</f>
        <v>28.6884573538181</v>
      </c>
      <c r="J60" s="6" t="n">
        <f aca="false">Seg!J44</f>
        <v>30.8624968052127</v>
      </c>
      <c r="K60" s="6" t="n">
        <f aca="false">Seg!K44</f>
        <v>33.0228715815776</v>
      </c>
    </row>
    <row r="61" customFormat="false" ht="15" hidden="false" customHeight="false" outlineLevel="0" collapsed="false">
      <c r="A61" s="0" t="s">
        <v>1036</v>
      </c>
      <c r="B61" s="0" t="s">
        <v>98</v>
      </c>
      <c r="D61" s="6" t="n">
        <f aca="false">Seg!D46</f>
        <v>7.76</v>
      </c>
      <c r="E61" s="6" t="n">
        <f aca="false">Seg!E46</f>
        <v>8.26</v>
      </c>
      <c r="F61" s="6" t="n">
        <f aca="false">Seg!F46</f>
        <v>8.75372082474227</v>
      </c>
      <c r="G61" s="6" t="n">
        <f aca="false">Seg!G46</f>
        <v>9.33399324642364</v>
      </c>
      <c r="H61" s="6" t="n">
        <f aca="false">Seg!H46</f>
        <v>9.96139155535851</v>
      </c>
      <c r="I61" s="6" t="n">
        <f aca="false">Seg!I46</f>
        <v>10.6402039077391</v>
      </c>
      <c r="J61" s="6" t="n">
        <f aca="false">Seg!J46</f>
        <v>11.3751458271397</v>
      </c>
      <c r="K61" s="6" t="n">
        <f aca="false">Seg!K46</f>
        <v>12.1714060350394</v>
      </c>
    </row>
    <row r="62" customFormat="false" ht="15" hidden="false" customHeight="false" outlineLevel="0" collapsed="false">
      <c r="A62" s="0" t="s">
        <v>852</v>
      </c>
      <c r="B62" s="0" t="s">
        <v>98</v>
      </c>
      <c r="D62" s="6" t="n">
        <f aca="false">Seg!D48</f>
        <v>218.783</v>
      </c>
      <c r="E62" s="6" t="n">
        <f aca="false">Seg!E48</f>
        <v>268.127</v>
      </c>
      <c r="F62" s="6" t="n">
        <f aca="false">Seg!F48</f>
        <v>334.748096014336</v>
      </c>
      <c r="G62" s="6" t="n">
        <f aca="false">Seg!G48</f>
        <v>410.20243494969</v>
      </c>
      <c r="H62" s="6" t="n">
        <f aca="false">Seg!H48</f>
        <v>487.012857962939</v>
      </c>
      <c r="I62" s="6" t="n">
        <f aca="false">Seg!I48</f>
        <v>556.962928978464</v>
      </c>
      <c r="J62" s="6" t="n">
        <f aca="false">Seg!J48</f>
        <v>613.402001017124</v>
      </c>
      <c r="K62" s="6" t="n">
        <f aca="false">Seg!K48</f>
        <v>657.837590767618</v>
      </c>
    </row>
    <row r="63" customFormat="false" ht="15" hidden="false" customHeight="false" outlineLevel="0" collapsed="false">
      <c r="A63" s="0" t="s">
        <v>1037</v>
      </c>
      <c r="B63" s="0" t="s">
        <v>98</v>
      </c>
      <c r="D63" s="6" t="n">
        <f aca="false">Seg!D49</f>
        <v>22.171</v>
      </c>
      <c r="E63" s="6" t="n">
        <f aca="false">Seg!E49</f>
        <v>24.835</v>
      </c>
      <c r="F63" s="6" t="n">
        <f aca="false">Seg!F49</f>
        <v>27.5591895660247</v>
      </c>
      <c r="G63" s="6" t="n">
        <f aca="false">Seg!G49</f>
        <v>30.4098563144583</v>
      </c>
      <c r="H63" s="6" t="n">
        <f aca="false">Seg!H49</f>
        <v>33.3011792571777</v>
      </c>
      <c r="I63" s="6" t="n">
        <f aca="false">Seg!I49</f>
        <v>36.189023797112</v>
      </c>
      <c r="J63" s="6" t="n">
        <f aca="false">Seg!J49</f>
        <v>39.0247773769199</v>
      </c>
      <c r="K63" s="6" t="n">
        <f aca="false">Seg!K49</f>
        <v>41.7565117933043</v>
      </c>
    </row>
    <row r="64" customFormat="false" ht="15" hidden="false" customHeight="false" outlineLevel="0" collapsed="false">
      <c r="A64" s="0" t="s">
        <v>1038</v>
      </c>
      <c r="B64" s="0" t="s">
        <v>98</v>
      </c>
      <c r="D64" s="6" t="n">
        <f aca="false">Seg!D51</f>
        <v>23.455</v>
      </c>
      <c r="E64" s="6" t="n">
        <f aca="false">Seg!E51</f>
        <v>21.79</v>
      </c>
      <c r="F64" s="6" t="n">
        <f aca="false">Seg!F51</f>
        <v>20.7520981041711</v>
      </c>
      <c r="G64" s="6" t="n">
        <f aca="false">Seg!G51</f>
        <v>19.9083593495882</v>
      </c>
      <c r="H64" s="6" t="n">
        <f aca="false">Seg!H51</f>
        <v>19.4008256265831</v>
      </c>
      <c r="I64" s="6" t="n">
        <f aca="false">Seg!I51</f>
        <v>19.200434522122</v>
      </c>
      <c r="J64" s="6" t="n">
        <f aca="false">Seg!J51</f>
        <v>19.2932782348507</v>
      </c>
      <c r="K64" s="6" t="n">
        <f aca="false">Seg!K51</f>
        <v>19.6791437995477</v>
      </c>
    </row>
    <row r="65" customFormat="false" ht="15" hidden="false" customHeight="false" outlineLevel="0" collapsed="false">
      <c r="A65" s="0" t="s">
        <v>1039</v>
      </c>
      <c r="B65" s="0" t="s">
        <v>98</v>
      </c>
      <c r="D65" s="6" t="n">
        <f aca="false">Seg!D53</f>
        <v>17.315</v>
      </c>
      <c r="E65" s="6" t="n">
        <f aca="false">Seg!E53</f>
        <v>17.087</v>
      </c>
      <c r="F65" s="6" t="n">
        <f aca="false">Seg!F53</f>
        <v>15.9912273250553</v>
      </c>
      <c r="G65" s="6" t="n">
        <f aca="false">Seg!G53</f>
        <v>15.9574562664827</v>
      </c>
      <c r="H65" s="6" t="n">
        <f aca="false">Seg!H53</f>
        <v>16.0119687434196</v>
      </c>
      <c r="I65" s="6" t="n">
        <f aca="false">Seg!I53</f>
        <v>16.1551810001948</v>
      </c>
      <c r="J65" s="6" t="n">
        <f aca="false">Seg!J53</f>
        <v>16.3889793892005</v>
      </c>
      <c r="K65" s="6" t="n">
        <f aca="false">Seg!K53</f>
        <v>16.7167589769845</v>
      </c>
    </row>
    <row r="66" customFormat="false" ht="15" hidden="false" customHeight="false" outlineLevel="0" collapsed="false">
      <c r="A66" s="0" t="s">
        <v>866</v>
      </c>
      <c r="B66" s="0" t="s">
        <v>98</v>
      </c>
      <c r="D66" s="6" t="n">
        <f aca="false">Seg!D55</f>
        <v>62.941</v>
      </c>
      <c r="E66" s="6" t="n">
        <f aca="false">Seg!E55</f>
        <v>63.712</v>
      </c>
      <c r="F66" s="6" t="n">
        <f aca="false">Seg!F55</f>
        <v>64.3025149952511</v>
      </c>
      <c r="G66" s="6" t="n">
        <f aca="false">Seg!G55</f>
        <v>66.2756719305292</v>
      </c>
      <c r="H66" s="6" t="n">
        <f aca="false">Seg!H55</f>
        <v>68.7139736271804</v>
      </c>
      <c r="I66" s="6" t="n">
        <f aca="false">Seg!I55</f>
        <v>71.5446393194289</v>
      </c>
      <c r="J66" s="6" t="n">
        <f aca="false">Seg!J55</f>
        <v>74.707035000971</v>
      </c>
      <c r="K66" s="6" t="n">
        <f aca="false">Seg!K55</f>
        <v>78.1524145698365</v>
      </c>
    </row>
    <row r="67" customFormat="false" ht="15" hidden="false" customHeight="false" outlineLevel="0" collapsed="false">
      <c r="A67" s="1" t="s">
        <v>1055</v>
      </c>
      <c r="B67" s="0" t="s">
        <v>98</v>
      </c>
      <c r="D67" s="6" t="n">
        <f aca="false">Seg!D56</f>
        <v>281.724</v>
      </c>
      <c r="E67" s="6" t="n">
        <f aca="false">Seg!E56</f>
        <v>331.839</v>
      </c>
      <c r="F67" s="6" t="n">
        <f aca="false">Seg!F56</f>
        <v>399.050611009588</v>
      </c>
      <c r="G67" s="6" t="n">
        <f aca="false">Seg!G56</f>
        <v>476.478106880219</v>
      </c>
      <c r="H67" s="6" t="n">
        <f aca="false">Seg!H56</f>
        <v>555.72683159012</v>
      </c>
      <c r="I67" s="6" t="n">
        <f aca="false">Seg!I56</f>
        <v>628.507568297893</v>
      </c>
      <c r="J67" s="6" t="n">
        <f aca="false">Seg!J56</f>
        <v>688.109036018095</v>
      </c>
      <c r="K67" s="6" t="n">
        <f aca="false">Seg!K56</f>
        <v>735.990005337455</v>
      </c>
    </row>
    <row r="68" customFormat="false" ht="15" hidden="false" customHeight="false" outlineLevel="0" collapsed="false">
      <c r="A68" s="1" t="s">
        <v>1056</v>
      </c>
      <c r="B68" s="0" t="s">
        <v>168</v>
      </c>
      <c r="E68" s="7" t="n">
        <f aca="false">PL!E67/PL!D67-1</f>
        <v>0.177886867998467</v>
      </c>
      <c r="F68" s="7" t="n">
        <f aca="false">PL!F67/PL!E67-1</f>
        <v>0.202542832547071</v>
      </c>
      <c r="G68" s="7" t="n">
        <f aca="false">PL!G67/PL!F67-1</f>
        <v>0.194029262791359</v>
      </c>
      <c r="H68" s="7" t="n">
        <f aca="false">PL!H67/PL!G67-1</f>
        <v>0.166321859421387</v>
      </c>
      <c r="I68" s="7" t="n">
        <f aca="false">PL!I67/PL!H67-1</f>
        <v>0.13096494999085</v>
      </c>
      <c r="J68" s="7" t="n">
        <f aca="false">PL!J67/PL!I67-1</f>
        <v>0.0948301511811749</v>
      </c>
      <c r="K68" s="7" t="n">
        <f aca="false">PL!K67/PL!J67-1</f>
        <v>0.0695834043924704</v>
      </c>
    </row>
    <row r="69" customFormat="false" ht="17.15" hidden="false" customHeight="false" outlineLevel="0" collapsed="false">
      <c r="A69" s="26" t="s">
        <v>1057</v>
      </c>
      <c r="B69" s="31" t="s">
        <v>98</v>
      </c>
      <c r="C69" s="31"/>
      <c r="D69" s="27" t="n">
        <f aca="false">(PL!D62+PL!D66-PL!D67)+(PL!D54+PL!D55-PL!D53)+(PL!D57+PL!D58-PL!D56)+(PL!D67-Q!L18)</f>
        <v>0</v>
      </c>
      <c r="E69" s="27" t="n">
        <f aca="false">(PL!E62+PL!E66-PL!E67)+(PL!E54+PL!E55-PL!E53)+(PL!E57+PL!E58-PL!E56)+(PL!E67-Q!M18)</f>
        <v>0</v>
      </c>
      <c r="F69" s="27" t="n">
        <f aca="false">(PL!F62+PL!F66-PL!F67)+(PL!F54+PL!F55-PL!F53)+(PL!F57+PL!F58-PL!F56)</f>
        <v>0</v>
      </c>
      <c r="G69" s="27" t="n">
        <f aca="false">(PL!G62+PL!G66-PL!G67)+(PL!G54+PL!G55-PL!G53)+(PL!G57+PL!G58-PL!G56)</f>
        <v>0</v>
      </c>
      <c r="H69" s="27" t="n">
        <f aca="false">(PL!H62+PL!H66-PL!H67)+(PL!H54+PL!H55-PL!H53)+(PL!H57+PL!H58-PL!H56)</f>
        <v>0</v>
      </c>
      <c r="I69" s="27" t="n">
        <f aca="false">(PL!I62+PL!I66-PL!I67)+(PL!I54+PL!I55-PL!I53)+(PL!I57+PL!I58-PL!I56)</f>
        <v>0</v>
      </c>
      <c r="J69" s="27" t="n">
        <f aca="false">(PL!J62+PL!J66-PL!J67)+(PL!J54+PL!J55-PL!J53)+(PL!J57+PL!J58-PL!J56)</f>
        <v>0</v>
      </c>
      <c r="K69" s="27" t="n">
        <f aca="false">(PL!K62+PL!K66-PL!K67)+(PL!K54+PL!K55-PL!K53)+(PL!K57+PL!K58-PL!K56)</f>
        <v>0</v>
      </c>
    </row>
    <row r="70" customFormat="false" ht="17.15" hidden="false" customHeight="false" outlineLevel="0" collapsed="false">
      <c r="A70" s="0" t="s">
        <v>1058</v>
      </c>
      <c r="B70" s="0" t="s">
        <v>168</v>
      </c>
      <c r="E70" s="7" t="n">
        <f aca="false">(Q!M21+Thesis!E79+Thesis!E80+Thesis!E81+Thesis!E95-Thesis!E77)/(Q!M5-Thesis!E77)</f>
        <v>0.570957350878296</v>
      </c>
      <c r="F70" s="7" t="n">
        <f aca="false">PL!$E$70+dm_seg</f>
        <v>0.570957350878296</v>
      </c>
      <c r="G70" s="7" t="n">
        <f aca="false">PL!$E$70+dm_seg</f>
        <v>0.570957350878296</v>
      </c>
      <c r="H70" s="7" t="n">
        <f aca="false">PL!$E$70+dm_seg</f>
        <v>0.570957350878296</v>
      </c>
      <c r="I70" s="7" t="n">
        <f aca="false">PL!$E$70+dm_seg</f>
        <v>0.570957350878296</v>
      </c>
      <c r="J70" s="7" t="n">
        <f aca="false">PL!$E$70+dm_seg</f>
        <v>0.570957350878296</v>
      </c>
      <c r="K70" s="7" t="n">
        <f aca="false">PL!$E$70+dm_seg</f>
        <v>0.570957350878296</v>
      </c>
      <c r="L70" s="12" t="s">
        <v>1059</v>
      </c>
    </row>
    <row r="71" customFormat="false" ht="17.15" hidden="false" customHeight="false" outlineLevel="0" collapsed="false">
      <c r="A71" s="0" t="s">
        <v>880</v>
      </c>
      <c r="B71" s="0" t="s">
        <v>98</v>
      </c>
      <c r="D71" s="6" t="n">
        <f aca="false">Q!L21</f>
        <v>110.814</v>
      </c>
      <c r="E71" s="6" t="n">
        <f aca="false">Q!M21</f>
        <v>136.365</v>
      </c>
      <c r="F71" s="6" t="n">
        <f aca="false">Q!$I$21+(PL!F70*(Seg!F48-Thesis!F77)+Thesis!F77-(Thesis!F79+Thesis!F80+Thesis!F81)-Thesis!F95-CF!F50)*(Seg!F48-Q!$I$5)/Seg!F48</f>
        <v>162.089887157538</v>
      </c>
      <c r="G71" s="6" t="n">
        <f aca="false">(PL!G70*(Seg!G48-Thesis!G77)+Thesis!G77-(Thesis!G79+Thesis!G80+Thesis!G81)-Thesis!G95-CF!G50)</f>
        <v>177.568903205394</v>
      </c>
      <c r="H71" s="6" t="n">
        <f aca="false">(PL!H70*(Seg!H48-Thesis!H77)+Thesis!H77-(Thesis!H79+Thesis!H80+Thesis!H81)-Thesis!H95-CF!H50)</f>
        <v>196.763686018119</v>
      </c>
      <c r="I71" s="6" t="n">
        <f aca="false">(PL!I70*(Seg!I48-Thesis!I77)+Thesis!I77-(Thesis!I79+Thesis!I80+Thesis!I81)-Thesis!I95-CF!I50)</f>
        <v>214.975583154087</v>
      </c>
      <c r="J71" s="6" t="n">
        <f aca="false">(PL!J70*(Seg!J48-Thesis!J77)+Thesis!J77-(Thesis!J79+Thesis!J80+Thesis!J81)-Thesis!J95-CF!J50)</f>
        <v>231.957076519688</v>
      </c>
      <c r="K71" s="6" t="n">
        <f aca="false">(PL!K70*(Seg!K48-Thesis!K77)+Thesis!K77-(Thesis!K79+Thesis!K80+Thesis!K81)-Thesis!K95-CF!K50)</f>
        <v>248.339746289158</v>
      </c>
      <c r="L71" s="1" t="s">
        <v>1060</v>
      </c>
    </row>
    <row r="72" customFormat="false" ht="17.15" hidden="false" customHeight="false" outlineLevel="0" collapsed="false">
      <c r="A72" s="0" t="s">
        <v>1061</v>
      </c>
      <c r="B72" s="0" t="s">
        <v>168</v>
      </c>
      <c r="E72" s="7" t="n">
        <f aca="false">Q!M22/Q!M12</f>
        <v>0.296207935710698</v>
      </c>
      <c r="F72" s="7" t="n">
        <f aca="false">PL!$E$72+dm_seg</f>
        <v>0.296207935710698</v>
      </c>
      <c r="G72" s="7" t="n">
        <f aca="false">PL!$E$72+dm_seg</f>
        <v>0.296207935710698</v>
      </c>
      <c r="H72" s="7" t="n">
        <f aca="false">PL!$E$72+dm_seg</f>
        <v>0.296207935710698</v>
      </c>
      <c r="I72" s="7" t="n">
        <f aca="false">PL!$E$72+dm_seg</f>
        <v>0.296207935710698</v>
      </c>
      <c r="J72" s="7" t="n">
        <f aca="false">PL!$E$72+dm_seg</f>
        <v>0.296207935710698</v>
      </c>
      <c r="K72" s="7" t="n">
        <f aca="false">PL!$E$72+dm_seg</f>
        <v>0.296207935710698</v>
      </c>
      <c r="L72" s="12" t="s">
        <v>1062</v>
      </c>
    </row>
    <row r="73" customFormat="false" ht="17.15" hidden="false" customHeight="false" outlineLevel="0" collapsed="false">
      <c r="A73" s="0" t="s">
        <v>882</v>
      </c>
      <c r="B73" s="0" t="s">
        <v>98</v>
      </c>
      <c r="D73" s="6" t="n">
        <f aca="false">Q!L22</f>
        <v>17.714</v>
      </c>
      <c r="E73" s="6" t="n">
        <f aca="false">Q!M22</f>
        <v>18.872</v>
      </c>
      <c r="F73" s="6" t="n">
        <f aca="false">Q!$I$22+(Seg!F55-Q!$I$12)*PL!F72</f>
        <v>19.8174315512051</v>
      </c>
      <c r="G73" s="6" t="n">
        <f aca="false">Seg!G55*PL!G72</f>
        <v>19.6313799703815</v>
      </c>
      <c r="H73" s="6" t="n">
        <f aca="false">Seg!H55*PL!H72</f>
        <v>20.3536242825865</v>
      </c>
      <c r="I73" s="6" t="n">
        <f aca="false">Seg!I55*PL!I72</f>
        <v>21.1920899239745</v>
      </c>
      <c r="J73" s="6" t="n">
        <f aca="false">Seg!J55*PL!J72</f>
        <v>22.1288166207045</v>
      </c>
      <c r="K73" s="6" t="n">
        <f aca="false">Seg!K55*PL!K72</f>
        <v>23.1493653905379</v>
      </c>
      <c r="L73" s="12" t="s">
        <v>1063</v>
      </c>
    </row>
    <row r="74" customFormat="false" ht="15" hidden="false" customHeight="false" outlineLevel="0" collapsed="false">
      <c r="A74" s="1" t="s">
        <v>1064</v>
      </c>
      <c r="B74" s="0" t="s">
        <v>98</v>
      </c>
      <c r="D74" s="6" t="n">
        <f aca="false">PL!D71+PL!D73</f>
        <v>128.528</v>
      </c>
      <c r="E74" s="6" t="n">
        <f aca="false">PL!E71+PL!E73</f>
        <v>155.237</v>
      </c>
      <c r="F74" s="6" t="n">
        <f aca="false">PL!F71+PL!F73</f>
        <v>181.907318708743</v>
      </c>
      <c r="G74" s="6" t="n">
        <f aca="false">PL!G71+PL!G73</f>
        <v>197.200283175776</v>
      </c>
      <c r="H74" s="6" t="n">
        <f aca="false">PL!H71+PL!H73</f>
        <v>217.117310300706</v>
      </c>
      <c r="I74" s="6" t="n">
        <f aca="false">PL!I71+PL!I73</f>
        <v>236.167673078062</v>
      </c>
      <c r="J74" s="6" t="n">
        <f aca="false">PL!J71+PL!J73</f>
        <v>254.085893140393</v>
      </c>
      <c r="K74" s="6" t="n">
        <f aca="false">PL!K71+PL!K73</f>
        <v>271.489111679696</v>
      </c>
    </row>
    <row r="75" customFormat="false" ht="15" hidden="false" customHeight="false" outlineLevel="0" collapsed="false">
      <c r="A75" s="26" t="s">
        <v>1065</v>
      </c>
      <c r="B75" s="31" t="s">
        <v>98</v>
      </c>
      <c r="C75" s="31"/>
      <c r="D75" s="27" t="n">
        <f aca="false">PL!D74-Q!L23</f>
        <v>0</v>
      </c>
      <c r="E75" s="27" t="n">
        <f aca="false">PL!E74-Q!M23</f>
        <v>0</v>
      </c>
      <c r="F75" s="31"/>
      <c r="G75" s="31"/>
      <c r="H75" s="31"/>
      <c r="I75" s="31"/>
      <c r="J75" s="31"/>
      <c r="K75" s="31"/>
    </row>
    <row r="76" customFormat="false" ht="15" hidden="false" customHeight="false" outlineLevel="0" collapsed="false">
      <c r="A76" s="1" t="s">
        <v>1066</v>
      </c>
      <c r="B76" s="0" t="s">
        <v>168</v>
      </c>
      <c r="D76" s="7" t="n">
        <f aca="false">PL!D74/PL!D67</f>
        <v>0.456219562408598</v>
      </c>
      <c r="E76" s="7" t="n">
        <f aca="false">PL!E74/PL!E67</f>
        <v>0.467808184089272</v>
      </c>
      <c r="F76" s="7" t="n">
        <f aca="false">PL!F74/PL!F67</f>
        <v>0.455850244781037</v>
      </c>
      <c r="G76" s="7" t="n">
        <f aca="false">PL!G74/PL!G67</f>
        <v>0.41387060670418</v>
      </c>
      <c r="H76" s="7" t="n">
        <f aca="false">PL!H74/PL!H67</f>
        <v>0.390690709821335</v>
      </c>
      <c r="I76" s="7" t="n">
        <f aca="false">PL!I74/PL!I67</f>
        <v>0.375759473696784</v>
      </c>
      <c r="J76" s="7" t="n">
        <f aca="false">PL!J74/PL!J67</f>
        <v>0.369252371122345</v>
      </c>
      <c r="K76" s="7" t="n">
        <f aca="false">PL!K74/PL!K67</f>
        <v>0.368876084880008</v>
      </c>
    </row>
    <row r="77" customFormat="false" ht="17.15" hidden="false" customHeight="false" outlineLevel="0" collapsed="false">
      <c r="A77" s="1" t="s">
        <v>1067</v>
      </c>
      <c r="B77" s="0" t="s">
        <v>98</v>
      </c>
      <c r="F77" s="6" t="n">
        <f aca="false">Thesis!F99</f>
        <v>9.7398427716299</v>
      </c>
      <c r="G77" s="6" t="n">
        <f aca="false">Thesis!G99</f>
        <v>25.2753385959797</v>
      </c>
      <c r="H77" s="6" t="n">
        <f aca="false">Thesis!H99</f>
        <v>42.2840253697948</v>
      </c>
      <c r="I77" s="6" t="n">
        <f aca="false">Thesis!I99</f>
        <v>57.704943641581</v>
      </c>
      <c r="J77" s="6" t="n">
        <f aca="false">Thesis!J99</f>
        <v>68.4828520908201</v>
      </c>
      <c r="K77" s="6" t="n">
        <f aca="false">Thesis!K99</f>
        <v>74.3598374943249</v>
      </c>
      <c r="L77" s="1" t="s">
        <v>1068</v>
      </c>
    </row>
    <row r="78" customFormat="false" ht="17.15" hidden="false" customHeight="false" outlineLevel="0" collapsed="false">
      <c r="A78" s="1" t="s">
        <v>1069</v>
      </c>
      <c r="B78" s="0" t="s">
        <v>98</v>
      </c>
      <c r="D78" s="6" t="n">
        <f aca="false">PL!D74</f>
        <v>128.528</v>
      </c>
      <c r="E78" s="6" t="n">
        <f aca="false">PL!E74</f>
        <v>155.237</v>
      </c>
      <c r="F78" s="6" t="n">
        <f aca="false">PL!F74+PL!F77</f>
        <v>191.647161480373</v>
      </c>
      <c r="G78" s="6" t="n">
        <f aca="false">PL!G74+PL!G77</f>
        <v>222.475621771755</v>
      </c>
      <c r="H78" s="6" t="n">
        <f aca="false">PL!H74+PL!H77</f>
        <v>259.4013356705</v>
      </c>
      <c r="I78" s="6" t="n">
        <f aca="false">PL!I74+PL!I77</f>
        <v>293.872616719643</v>
      </c>
      <c r="J78" s="6" t="n">
        <f aca="false">PL!J74+PL!J77</f>
        <v>322.568745231213</v>
      </c>
      <c r="K78" s="6" t="n">
        <f aca="false">PL!K74+PL!K77</f>
        <v>345.848949174021</v>
      </c>
    </row>
    <row r="79" customFormat="false" ht="17.15" hidden="false" customHeight="false" outlineLevel="0" collapsed="false">
      <c r="A79" s="1" t="s">
        <v>1070</v>
      </c>
      <c r="B79" s="0" t="s">
        <v>98</v>
      </c>
      <c r="E79" s="6" t="n">
        <f aca="false">Thesis!E95</f>
        <v>16.3054059770833</v>
      </c>
      <c r="F79" s="6" t="n">
        <f aca="false">Thesis!F95</f>
        <v>34.5793144783516</v>
      </c>
      <c r="G79" s="6" t="n">
        <f aca="false">Thesis!G95</f>
        <v>60.7344906522989</v>
      </c>
      <c r="H79" s="6" t="n">
        <f aca="false">Thesis!H95</f>
        <v>89.1000906614457</v>
      </c>
      <c r="I79" s="6" t="n">
        <f aca="false">Thesis!I95</f>
        <v>114.231009694548</v>
      </c>
      <c r="J79" s="6" t="n">
        <f aca="false">Thesis!J95</f>
        <v>132.015673049596</v>
      </c>
      <c r="K79" s="6" t="n">
        <f aca="false">Thesis!K95</f>
        <v>143.012669550934</v>
      </c>
    </row>
    <row r="80" customFormat="false" ht="17.15" hidden="false" customHeight="false" outlineLevel="0" collapsed="false">
      <c r="A80" s="1" t="s">
        <v>1071</v>
      </c>
      <c r="B80" s="0" t="s">
        <v>98</v>
      </c>
      <c r="E80" s="6" t="n">
        <f aca="false">CF!E49</f>
        <v>22.2285940229167</v>
      </c>
      <c r="F80" s="6" t="n">
        <f aca="false">CF!F49</f>
        <v>23.580344216413</v>
      </c>
      <c r="G80" s="6" t="n">
        <f aca="false">CF!G49</f>
        <v>25.3583505401965</v>
      </c>
      <c r="H80" s="6" t="n">
        <f aca="false">CF!H49</f>
        <v>27.528569983033</v>
      </c>
      <c r="I80" s="6" t="n">
        <f aca="false">CF!I49</f>
        <v>30.0244523528154</v>
      </c>
      <c r="J80" s="6" t="n">
        <f aca="false">CF!J49</f>
        <v>32.7625785967048</v>
      </c>
      <c r="K80" s="6" t="n">
        <f aca="false">CF!K49</f>
        <v>35.6585684431062</v>
      </c>
    </row>
    <row r="81" customFormat="false" ht="17.15" hidden="false" customHeight="false" outlineLevel="0" collapsed="false">
      <c r="A81" s="1" t="s">
        <v>1072</v>
      </c>
      <c r="B81" s="0" t="s">
        <v>98</v>
      </c>
      <c r="D81" s="6" t="n">
        <f aca="false">Q!L27</f>
        <v>-4.901</v>
      </c>
      <c r="E81" s="6" t="n">
        <f aca="false">Q!M27</f>
        <v>10.697</v>
      </c>
      <c r="F81" s="6" t="n">
        <f aca="false">Q!$I$27+oie_f*(q_per_yr-1)/q_per_yr</f>
        <v>-0.862</v>
      </c>
      <c r="G81" s="6" t="n">
        <f aca="false">oie_f</f>
        <v>-1.2</v>
      </c>
      <c r="H81" s="6" t="n">
        <f aca="false">oie_f</f>
        <v>-1.2</v>
      </c>
      <c r="I81" s="6" t="n">
        <f aca="false">oie_f</f>
        <v>-1.2</v>
      </c>
      <c r="J81" s="6" t="n">
        <f aca="false">oie_f</f>
        <v>-1.2</v>
      </c>
      <c r="K81" s="6" t="n">
        <f aca="false">oie_f</f>
        <v>-1.2</v>
      </c>
      <c r="L81" s="12" t="s">
        <v>1073</v>
      </c>
    </row>
    <row r="82" customFormat="false" ht="15" hidden="false" customHeight="false" outlineLevel="0" collapsed="false">
      <c r="A82" s="1" t="s">
        <v>1074</v>
      </c>
      <c r="B82" s="0" t="s">
        <v>98</v>
      </c>
      <c r="D82" s="6" t="n">
        <f aca="false">PL!D74+PL!D81</f>
        <v>123.627</v>
      </c>
      <c r="E82" s="6" t="n">
        <f aca="false">PL!E74+PL!E81</f>
        <v>165.934</v>
      </c>
      <c r="F82" s="6" t="n">
        <f aca="false">PL!F74+PL!F81</f>
        <v>181.045318708743</v>
      </c>
      <c r="G82" s="6" t="n">
        <f aca="false">PL!G74+PL!G81</f>
        <v>196.000283175776</v>
      </c>
      <c r="H82" s="6" t="n">
        <f aca="false">PL!H74+PL!H81</f>
        <v>215.917310300706</v>
      </c>
      <c r="I82" s="6" t="n">
        <f aca="false">PL!I74+PL!I81</f>
        <v>234.967673078062</v>
      </c>
      <c r="J82" s="6" t="n">
        <f aca="false">PL!J74+PL!J81</f>
        <v>252.885893140393</v>
      </c>
      <c r="K82" s="6" t="n">
        <f aca="false">PL!K74+PL!K81</f>
        <v>270.289111679696</v>
      </c>
    </row>
    <row r="83" customFormat="false" ht="15" hidden="false" customHeight="false" outlineLevel="0" collapsed="false">
      <c r="A83" s="1" t="s">
        <v>1075</v>
      </c>
      <c r="B83" s="0" t="s">
        <v>98</v>
      </c>
      <c r="D83" s="6" t="n">
        <f aca="false">Q!L29</f>
        <v>21.795</v>
      </c>
      <c r="E83" s="6" t="n">
        <f aca="false">Q!M29</f>
        <v>32.185</v>
      </c>
      <c r="F83" s="6" t="n">
        <f aca="false">Q!$I$29+(PL!F82-Q!$I$28)*tax_f</f>
        <v>36.3424637417486</v>
      </c>
      <c r="G83" s="6" t="n">
        <f aca="false">PL!G82*tax_f</f>
        <v>39.2000566351551</v>
      </c>
      <c r="H83" s="6" t="n">
        <f aca="false">PL!H82*tax_f</f>
        <v>43.1834620601411</v>
      </c>
      <c r="I83" s="6" t="n">
        <f aca="false">PL!I82*tax_f</f>
        <v>46.9935346156123</v>
      </c>
      <c r="J83" s="6" t="n">
        <f aca="false">PL!J82*tax_f</f>
        <v>50.5771786280786</v>
      </c>
      <c r="K83" s="6" t="n">
        <f aca="false">PL!K82*tax_f</f>
        <v>54.0578223359393</v>
      </c>
    </row>
    <row r="84" customFormat="false" ht="15" hidden="false" customHeight="false" outlineLevel="0" collapsed="false">
      <c r="A84" s="1" t="s">
        <v>1076</v>
      </c>
      <c r="B84" s="0" t="s">
        <v>98</v>
      </c>
      <c r="D84" s="6" t="n">
        <f aca="false">PL!D82-PL!D83</f>
        <v>101.832</v>
      </c>
      <c r="E84" s="6" t="n">
        <f aca="false">PL!E82-PL!E83</f>
        <v>133.749</v>
      </c>
      <c r="F84" s="6" t="n">
        <f aca="false">PL!F82-PL!F83</f>
        <v>144.702854966994</v>
      </c>
      <c r="G84" s="6" t="n">
        <f aca="false">PL!G82-PL!G83</f>
        <v>156.80022654062</v>
      </c>
      <c r="H84" s="6" t="n">
        <f aca="false">PL!H82-PL!H83</f>
        <v>172.733848240564</v>
      </c>
      <c r="I84" s="6" t="n">
        <f aca="false">PL!I82-PL!I83</f>
        <v>187.974138462449</v>
      </c>
      <c r="J84" s="6" t="n">
        <f aca="false">PL!J82-PL!J83</f>
        <v>202.308714512314</v>
      </c>
      <c r="K84" s="6" t="n">
        <f aca="false">PL!K82-PL!K83</f>
        <v>216.231289343757</v>
      </c>
    </row>
    <row r="85" customFormat="false" ht="17.15" hidden="false" customHeight="false" outlineLevel="0" collapsed="false">
      <c r="A85" s="1" t="s">
        <v>1077</v>
      </c>
      <c r="B85" s="1" t="s">
        <v>81</v>
      </c>
      <c r="D85" s="15" t="n">
        <f aca="false">Q!L31</f>
        <v>7.465</v>
      </c>
      <c r="E85" s="15" t="n">
        <f aca="false">Q!M31</f>
        <v>7.453</v>
      </c>
      <c r="F85" s="15" t="n">
        <f aca="false">CF!F74</f>
        <v>7.47325460584037</v>
      </c>
      <c r="G85" s="15" t="n">
        <f aca="false">CF!G74</f>
        <v>7.51800921168074</v>
      </c>
      <c r="H85" s="15" t="n">
        <f aca="false">CF!H74</f>
        <v>7.54570915070954</v>
      </c>
      <c r="I85" s="15" t="n">
        <f aca="false">CF!I74</f>
        <v>7.55739051476501</v>
      </c>
      <c r="J85" s="15" t="n">
        <f aca="false">CF!J74</f>
        <v>7.57153992592748</v>
      </c>
      <c r="K85" s="15" t="n">
        <f aca="false">CF!K74</f>
        <v>7.58797456589273</v>
      </c>
    </row>
    <row r="86" customFormat="false" ht="17.15" hidden="false" customHeight="false" outlineLevel="0" collapsed="false">
      <c r="A86" s="0" t="s">
        <v>1078</v>
      </c>
      <c r="B86" s="0" t="s">
        <v>75</v>
      </c>
      <c r="D86" s="8" t="n">
        <f aca="false">PL!D84/PL!D85</f>
        <v>13.641259209645</v>
      </c>
      <c r="E86" s="8" t="n">
        <f aca="false">PL!E84/PL!E85</f>
        <v>17.9456594659869</v>
      </c>
      <c r="F86" s="8" t="n">
        <f aca="false">PL!F84/PL!F85</f>
        <v>19.3627626247216</v>
      </c>
      <c r="G86" s="8" t="n">
        <f aca="false">PL!G84/PL!G85</f>
        <v>20.8566153785765</v>
      </c>
      <c r="H86" s="8" t="n">
        <f aca="false">PL!H84/PL!H85</f>
        <v>22.8916652882548</v>
      </c>
      <c r="I86" s="8" t="n">
        <f aca="false">PL!I84/PL!I85</f>
        <v>24.8728894047755</v>
      </c>
      <c r="J86" s="8" t="n">
        <f aca="false">PL!J84/PL!J85</f>
        <v>26.7196259270246</v>
      </c>
      <c r="K86" s="8" t="n">
        <f aca="false">PL!K84/PL!K85</f>
        <v>28.496575399145</v>
      </c>
      <c r="L86" s="1" t="s">
        <v>1079</v>
      </c>
    </row>
    <row r="87" customFormat="false" ht="17.15" hidden="false" customHeight="false" outlineLevel="0" collapsed="false">
      <c r="A87" s="1" t="s">
        <v>1080</v>
      </c>
      <c r="B87" s="0" t="s">
        <v>98</v>
      </c>
      <c r="D87" s="6" t="n">
        <f aca="false">PL!D84</f>
        <v>101.832</v>
      </c>
      <c r="E87" s="6" t="n">
        <f aca="false">PL!E84</f>
        <v>133.749</v>
      </c>
      <c r="F87" s="6" t="n">
        <f aca="false">PL!F84+PL!F77*(1-tax_f)</f>
        <v>152.494729184298</v>
      </c>
      <c r="G87" s="6" t="n">
        <f aca="false">PL!G84+PL!G77*(1-tax_f)</f>
        <v>177.020497417404</v>
      </c>
      <c r="H87" s="6" t="n">
        <f aca="false">PL!H84+PL!H77*(1-tax_f)</f>
        <v>206.5610685364</v>
      </c>
      <c r="I87" s="6" t="n">
        <f aca="false">PL!I84+PL!I77*(1-tax_f)</f>
        <v>234.138093375714</v>
      </c>
      <c r="J87" s="6" t="n">
        <f aca="false">PL!J84+PL!J77*(1-tax_f)</f>
        <v>257.09499618497</v>
      </c>
      <c r="K87" s="6" t="n">
        <f aca="false">PL!K84+PL!K77*(1-tax_f)</f>
        <v>275.719159339217</v>
      </c>
    </row>
    <row r="88" customFormat="false" ht="17.15" hidden="false" customHeight="false" outlineLevel="0" collapsed="false">
      <c r="A88" s="0" t="s">
        <v>1081</v>
      </c>
      <c r="B88" s="0" t="s">
        <v>75</v>
      </c>
      <c r="D88" s="8" t="n">
        <f aca="false">PL!D87/PL!D85</f>
        <v>13.641259209645</v>
      </c>
      <c r="E88" s="8" t="n">
        <f aca="false">PL!E87/PL!E85</f>
        <v>17.9456594659869</v>
      </c>
      <c r="F88" s="8" t="n">
        <f aca="false">PL!F87/PL!F85</f>
        <v>20.405397276994</v>
      </c>
      <c r="G88" s="8" t="n">
        <f aca="false">PL!G87/PL!G85</f>
        <v>23.5461932052926</v>
      </c>
      <c r="H88" s="8" t="n">
        <f aca="false">PL!H87/PL!H85</f>
        <v>27.3746396012331</v>
      </c>
      <c r="I88" s="8" t="n">
        <f aca="false">PL!I87/PL!I85</f>
        <v>30.9813411015713</v>
      </c>
      <c r="J88" s="8" t="n">
        <f aca="false">PL!J87/PL!J85</f>
        <v>33.9554435029248</v>
      </c>
      <c r="K88" s="8" t="n">
        <f aca="false">PL!K87/PL!K85</f>
        <v>36.3363315130957</v>
      </c>
      <c r="L88" s="1" t="s">
        <v>1082</v>
      </c>
    </row>
    <row r="89" customFormat="false" ht="17.15" hidden="false" customHeight="false" outlineLevel="0" collapsed="false">
      <c r="A89" s="0" t="s">
        <v>1083</v>
      </c>
      <c r="B89" s="0" t="s">
        <v>168</v>
      </c>
      <c r="E89" s="7" t="n">
        <f aca="false">PL!E88/PL!D88-1</f>
        <v>0.315542736208578</v>
      </c>
      <c r="F89" s="7" t="n">
        <f aca="false">PL!F88/PL!E88-1</f>
        <v>0.137065891374415</v>
      </c>
      <c r="G89" s="7" t="n">
        <f aca="false">PL!G88/PL!F88-1</f>
        <v>0.153919861773023</v>
      </c>
      <c r="H89" s="7" t="n">
        <f aca="false">PL!H88/PL!G88-1</f>
        <v>0.162593008668592</v>
      </c>
      <c r="I89" s="7" t="n">
        <f aca="false">PL!I88/PL!H88-1</f>
        <v>0.131753387546908</v>
      </c>
      <c r="J89" s="7" t="n">
        <f aca="false">PL!J88/PL!I88-1</f>
        <v>0.0959965674695318</v>
      </c>
      <c r="K89" s="7" t="n">
        <f aca="false">PL!K88/PL!J88-1</f>
        <v>0.0701180065566158</v>
      </c>
    </row>
    <row r="90" customFormat="false" ht="17.15" hidden="false" customHeight="false" outlineLevel="0" collapsed="false">
      <c r="A90" s="3" t="s">
        <v>1085</v>
      </c>
    </row>
    <row r="91" customFormat="false" ht="15" hidden="false" customHeight="false" outlineLevel="0" collapsed="false">
      <c r="A91" s="4" t="s">
        <v>43</v>
      </c>
      <c r="B91" s="4" t="s">
        <v>65</v>
      </c>
      <c r="C91" s="23" t="s">
        <v>938</v>
      </c>
      <c r="D91" s="23" t="s">
        <v>939</v>
      </c>
      <c r="E91" s="23" t="s">
        <v>940</v>
      </c>
      <c r="F91" s="23" t="s">
        <v>941</v>
      </c>
      <c r="G91" s="23" t="s">
        <v>942</v>
      </c>
      <c r="H91" s="23" t="s">
        <v>943</v>
      </c>
      <c r="I91" s="23" t="s">
        <v>944</v>
      </c>
      <c r="J91" s="23" t="s">
        <v>945</v>
      </c>
      <c r="K91" s="23" t="s">
        <v>946</v>
      </c>
      <c r="L91" s="4" t="s">
        <v>47</v>
      </c>
    </row>
    <row r="92" customFormat="false" ht="15" hidden="false" customHeight="false" outlineLevel="0" collapsed="false">
      <c r="A92" s="0" t="s">
        <v>1025</v>
      </c>
      <c r="B92" s="0" t="s">
        <v>98</v>
      </c>
      <c r="D92" s="6" t="n">
        <f aca="false">Seg!D63</f>
        <v>72.61</v>
      </c>
      <c r="E92" s="6" t="n">
        <f aca="false">Seg!E63</f>
        <v>101.938</v>
      </c>
      <c r="F92" s="6" t="n">
        <f aca="false">Seg!F63</f>
        <v>143.251883553698</v>
      </c>
      <c r="G92" s="6" t="n">
        <f aca="false">Seg!G63</f>
        <v>186.322520879442</v>
      </c>
      <c r="H92" s="6" t="n">
        <f aca="false">Seg!H63</f>
        <v>224.74279426379</v>
      </c>
      <c r="I92" s="6" t="n">
        <f aca="false">Seg!I63</f>
        <v>266.443497823359</v>
      </c>
      <c r="J92" s="6" t="n">
        <f aca="false">Seg!J63</f>
        <v>299.06102493502</v>
      </c>
      <c r="K92" s="6" t="n">
        <f aca="false">Seg!K63</f>
        <v>322.592740225023</v>
      </c>
    </row>
    <row r="93" customFormat="false" ht="17.15" hidden="false" customHeight="false" outlineLevel="0" collapsed="false">
      <c r="A93" s="0" t="s">
        <v>1021</v>
      </c>
      <c r="B93" s="0" t="s">
        <v>98</v>
      </c>
      <c r="D93" s="6" t="n">
        <f aca="false">Seg!D60</f>
        <v>12.9359794422418</v>
      </c>
      <c r="E93" s="6" t="n">
        <f aca="false">Seg!E60</f>
        <v>27.8095064661409</v>
      </c>
      <c r="F93" s="6" t="n">
        <f aca="false">Seg!F60</f>
        <v>50.9819294352312</v>
      </c>
      <c r="G93" s="6" t="n">
        <f aca="false">Seg!G60</f>
        <v>76.6920436014933</v>
      </c>
      <c r="H93" s="6" t="n">
        <f aca="false">Seg!H60</f>
        <v>97.4495379418341</v>
      </c>
      <c r="I93" s="6" t="n">
        <f aca="false">Seg!I60</f>
        <v>122.083445553868</v>
      </c>
      <c r="J93" s="6" t="n">
        <f aca="false">Seg!J60</f>
        <v>139.249060444804</v>
      </c>
      <c r="K93" s="6" t="n">
        <f aca="false">Seg!K60</f>
        <v>149.995818575589</v>
      </c>
    </row>
    <row r="94" customFormat="false" ht="17.15" hidden="false" customHeight="false" outlineLevel="0" collapsed="false">
      <c r="A94" s="0" t="s">
        <v>1052</v>
      </c>
      <c r="B94" s="0" t="s">
        <v>98</v>
      </c>
      <c r="D94" s="6" t="n">
        <f aca="false">Seg!D61</f>
        <v>59.6740205577583</v>
      </c>
      <c r="E94" s="6" t="n">
        <f aca="false">Seg!E61</f>
        <v>74.1284935338591</v>
      </c>
      <c r="F94" s="6" t="n">
        <f aca="false">Seg!F61</f>
        <v>92.2699541184664</v>
      </c>
      <c r="G94" s="6" t="n">
        <f aca="false">Seg!G61</f>
        <v>109.630477277949</v>
      </c>
      <c r="H94" s="6" t="n">
        <f aca="false">Seg!H61</f>
        <v>127.293256321956</v>
      </c>
      <c r="I94" s="6" t="n">
        <f aca="false">Seg!I61</f>
        <v>144.360052269491</v>
      </c>
      <c r="J94" s="6" t="n">
        <f aca="false">Seg!J61</f>
        <v>159.811964490216</v>
      </c>
      <c r="K94" s="6" t="n">
        <f aca="false">Seg!K61</f>
        <v>172.596921649434</v>
      </c>
    </row>
    <row r="95" customFormat="false" ht="15" hidden="false" customHeight="false" outlineLevel="0" collapsed="false">
      <c r="A95" s="0" t="s">
        <v>1032</v>
      </c>
      <c r="B95" s="0" t="s">
        <v>98</v>
      </c>
      <c r="D95" s="6" t="n">
        <f aca="false">Seg!D68</f>
        <v>84.605</v>
      </c>
      <c r="E95" s="6" t="n">
        <f aca="false">Seg!E68</f>
        <v>100.299</v>
      </c>
      <c r="F95" s="6" t="n">
        <f aca="false">Seg!F68</f>
        <v>117.438354189776</v>
      </c>
      <c r="G95" s="6" t="n">
        <f aca="false">Seg!G68</f>
        <v>132.595360443801</v>
      </c>
      <c r="H95" s="6" t="n">
        <f aca="false">Seg!H68</f>
        <v>147.833811964563</v>
      </c>
      <c r="I95" s="6" t="n">
        <f aca="false">Seg!I68</f>
        <v>162.145665319381</v>
      </c>
      <c r="J95" s="6" t="n">
        <f aca="false">Seg!J68</f>
        <v>175.249327755573</v>
      </c>
      <c r="K95" s="6" t="n">
        <f aca="false">Seg!K68</f>
        <v>187.599280698463</v>
      </c>
    </row>
    <row r="96" customFormat="false" ht="17.15" hidden="false" customHeight="false" outlineLevel="0" collapsed="false">
      <c r="A96" s="0" t="s">
        <v>1053</v>
      </c>
      <c r="B96" s="0" t="s">
        <v>98</v>
      </c>
      <c r="D96" s="6" t="n">
        <f aca="false">Seg!D66</f>
        <v>83.705</v>
      </c>
      <c r="E96" s="6" t="n">
        <f aca="false">Seg!E66</f>
        <v>95.049</v>
      </c>
      <c r="F96" s="6" t="n">
        <f aca="false">Seg!F66</f>
        <v>106.938354189776</v>
      </c>
      <c r="G96" s="6" t="n">
        <f aca="false">Seg!G66</f>
        <v>119.095360443801</v>
      </c>
      <c r="H96" s="6" t="n">
        <f aca="false">Seg!H66</f>
        <v>131.333811964563</v>
      </c>
      <c r="I96" s="6" t="n">
        <f aca="false">Seg!I66</f>
        <v>143.395665319381</v>
      </c>
      <c r="J96" s="6" t="n">
        <f aca="false">Seg!J66</f>
        <v>154.999327755573</v>
      </c>
      <c r="K96" s="6" t="n">
        <f aca="false">Seg!K66</f>
        <v>165.849280698463</v>
      </c>
    </row>
    <row r="97" customFormat="false" ht="17.15" hidden="false" customHeight="false" outlineLevel="0" collapsed="false">
      <c r="A97" s="0" t="s">
        <v>1054</v>
      </c>
      <c r="B97" s="0" t="s">
        <v>98</v>
      </c>
      <c r="D97" s="6" t="n">
        <f aca="false">Seg!D65</f>
        <v>0.9</v>
      </c>
      <c r="E97" s="6" t="n">
        <f aca="false">Seg!E65</f>
        <v>5.25</v>
      </c>
      <c r="F97" s="6" t="n">
        <f aca="false">Seg!F65</f>
        <v>10.5</v>
      </c>
      <c r="G97" s="6" t="n">
        <f aca="false">Seg!G65</f>
        <v>13.5</v>
      </c>
      <c r="H97" s="6" t="n">
        <f aca="false">Seg!H65</f>
        <v>16.5</v>
      </c>
      <c r="I97" s="6" t="n">
        <f aca="false">Seg!I65</f>
        <v>18.75</v>
      </c>
      <c r="J97" s="6" t="n">
        <f aca="false">Seg!J65</f>
        <v>20.25</v>
      </c>
      <c r="K97" s="6" t="n">
        <f aca="false">Seg!K65</f>
        <v>21.75</v>
      </c>
    </row>
    <row r="98" customFormat="false" ht="15" hidden="false" customHeight="false" outlineLevel="0" collapsed="false">
      <c r="A98" s="0" t="s">
        <v>1033</v>
      </c>
      <c r="B98" s="0" t="s">
        <v>98</v>
      </c>
      <c r="D98" s="6" t="n">
        <f aca="false">Seg!D69</f>
        <v>35.391</v>
      </c>
      <c r="E98" s="6" t="n">
        <f aca="false">Seg!E69</f>
        <v>37.285</v>
      </c>
      <c r="F98" s="6" t="n">
        <f aca="false">Seg!F69</f>
        <v>38.3851437782675</v>
      </c>
      <c r="G98" s="6" t="n">
        <f aca="false">Seg!G69</f>
        <v>40.0105353288615</v>
      </c>
      <c r="H98" s="6" t="n">
        <f aca="false">Seg!H69</f>
        <v>41.4812512033683</v>
      </c>
      <c r="I98" s="6" t="n">
        <f aca="false">Seg!I69</f>
        <v>42.7743107216329</v>
      </c>
      <c r="J98" s="6" t="n">
        <f aca="false">Seg!J69</f>
        <v>43.8687373064601</v>
      </c>
      <c r="K98" s="6" t="n">
        <f aca="false">Seg!K69</f>
        <v>44.7461120525893</v>
      </c>
    </row>
    <row r="99" customFormat="false" ht="15" hidden="false" customHeight="false" outlineLevel="0" collapsed="false">
      <c r="A99" s="0" t="s">
        <v>1035</v>
      </c>
      <c r="B99" s="0" t="s">
        <v>98</v>
      </c>
      <c r="D99" s="6" t="n">
        <f aca="false">Seg!D71</f>
        <v>18.417</v>
      </c>
      <c r="E99" s="6" t="n">
        <f aca="false">Seg!E71</f>
        <v>20.345</v>
      </c>
      <c r="F99" s="6" t="n">
        <f aca="false">Seg!F71</f>
        <v>22.3161797133988</v>
      </c>
      <c r="G99" s="6" t="n">
        <f aca="false">Seg!G71</f>
        <v>24.3943499673233</v>
      </c>
      <c r="H99" s="6" t="n">
        <f aca="false">Seg!H71</f>
        <v>26.5250243109019</v>
      </c>
      <c r="I99" s="6" t="n">
        <f aca="false">Seg!I71</f>
        <v>28.6884573538181</v>
      </c>
      <c r="J99" s="6" t="n">
        <f aca="false">Seg!J71</f>
        <v>30.8624968052127</v>
      </c>
      <c r="K99" s="6" t="n">
        <f aca="false">Seg!K71</f>
        <v>33.0228715815776</v>
      </c>
    </row>
    <row r="100" customFormat="false" ht="15" hidden="false" customHeight="false" outlineLevel="0" collapsed="false">
      <c r="A100" s="0" t="s">
        <v>1036</v>
      </c>
      <c r="B100" s="0" t="s">
        <v>98</v>
      </c>
      <c r="D100" s="6" t="n">
        <f aca="false">Seg!D73</f>
        <v>7.76</v>
      </c>
      <c r="E100" s="6" t="n">
        <f aca="false">Seg!E73</f>
        <v>8.26</v>
      </c>
      <c r="F100" s="6" t="n">
        <f aca="false">Seg!F73</f>
        <v>8.75372082474227</v>
      </c>
      <c r="G100" s="6" t="n">
        <f aca="false">Seg!G73</f>
        <v>9.33399324642364</v>
      </c>
      <c r="H100" s="6" t="n">
        <f aca="false">Seg!H73</f>
        <v>9.96139155535851</v>
      </c>
      <c r="I100" s="6" t="n">
        <f aca="false">Seg!I73</f>
        <v>10.6402039077391</v>
      </c>
      <c r="J100" s="6" t="n">
        <f aca="false">Seg!J73</f>
        <v>11.3751458271397</v>
      </c>
      <c r="K100" s="6" t="n">
        <f aca="false">Seg!K73</f>
        <v>12.1714060350394</v>
      </c>
    </row>
    <row r="101" customFormat="false" ht="15" hidden="false" customHeight="false" outlineLevel="0" collapsed="false">
      <c r="A101" s="0" t="s">
        <v>852</v>
      </c>
      <c r="B101" s="0" t="s">
        <v>98</v>
      </c>
      <c r="D101" s="6" t="n">
        <f aca="false">Seg!D75</f>
        <v>218.783</v>
      </c>
      <c r="E101" s="6" t="n">
        <f aca="false">Seg!E75</f>
        <v>268.127</v>
      </c>
      <c r="F101" s="6" t="n">
        <f aca="false">Seg!F75</f>
        <v>330.145282059882</v>
      </c>
      <c r="G101" s="6" t="n">
        <f aca="false">Seg!G75</f>
        <v>392.656759865851</v>
      </c>
      <c r="H101" s="6" t="n">
        <f aca="false">Seg!H75</f>
        <v>450.544273297982</v>
      </c>
      <c r="I101" s="6" t="n">
        <f aca="false">Seg!I75</f>
        <v>510.69213512593</v>
      </c>
      <c r="J101" s="6" t="n">
        <f aca="false">Seg!J75</f>
        <v>560.416732629406</v>
      </c>
      <c r="K101" s="6" t="n">
        <f aca="false">Seg!K75</f>
        <v>600.132410592692</v>
      </c>
    </row>
    <row r="102" customFormat="false" ht="15" hidden="false" customHeight="false" outlineLevel="0" collapsed="false">
      <c r="A102" s="0" t="s">
        <v>1037</v>
      </c>
      <c r="B102" s="0" t="s">
        <v>98</v>
      </c>
      <c r="D102" s="6" t="n">
        <f aca="false">Seg!D76</f>
        <v>22.171</v>
      </c>
      <c r="E102" s="6" t="n">
        <f aca="false">Seg!E76</f>
        <v>24.835</v>
      </c>
      <c r="F102" s="6" t="n">
        <f aca="false">Seg!F76</f>
        <v>27.5591895660247</v>
      </c>
      <c r="G102" s="6" t="n">
        <f aca="false">Seg!G76</f>
        <v>30.4098563144583</v>
      </c>
      <c r="H102" s="6" t="n">
        <f aca="false">Seg!H76</f>
        <v>33.3011792571777</v>
      </c>
      <c r="I102" s="6" t="n">
        <f aca="false">Seg!I76</f>
        <v>36.189023797112</v>
      </c>
      <c r="J102" s="6" t="n">
        <f aca="false">Seg!J76</f>
        <v>39.0247773769199</v>
      </c>
      <c r="K102" s="6" t="n">
        <f aca="false">Seg!K76</f>
        <v>41.7565117933043</v>
      </c>
    </row>
    <row r="103" customFormat="false" ht="15" hidden="false" customHeight="false" outlineLevel="0" collapsed="false">
      <c r="A103" s="0" t="s">
        <v>1038</v>
      </c>
      <c r="B103" s="0" t="s">
        <v>98</v>
      </c>
      <c r="D103" s="6" t="n">
        <f aca="false">Seg!D78</f>
        <v>23.455</v>
      </c>
      <c r="E103" s="6" t="n">
        <f aca="false">Seg!E78</f>
        <v>21.79</v>
      </c>
      <c r="F103" s="6" t="n">
        <f aca="false">Seg!F78</f>
        <v>20.7520981041711</v>
      </c>
      <c r="G103" s="6" t="n">
        <f aca="false">Seg!G78</f>
        <v>19.9083593495882</v>
      </c>
      <c r="H103" s="6" t="n">
        <f aca="false">Seg!H78</f>
        <v>19.4008256265831</v>
      </c>
      <c r="I103" s="6" t="n">
        <f aca="false">Seg!I78</f>
        <v>19.200434522122</v>
      </c>
      <c r="J103" s="6" t="n">
        <f aca="false">Seg!J78</f>
        <v>19.2932782348507</v>
      </c>
      <c r="K103" s="6" t="n">
        <f aca="false">Seg!K78</f>
        <v>19.6791437995477</v>
      </c>
    </row>
    <row r="104" customFormat="false" ht="15" hidden="false" customHeight="false" outlineLevel="0" collapsed="false">
      <c r="A104" s="0" t="s">
        <v>1039</v>
      </c>
      <c r="B104" s="0" t="s">
        <v>98</v>
      </c>
      <c r="D104" s="6" t="n">
        <f aca="false">Seg!D80</f>
        <v>17.315</v>
      </c>
      <c r="E104" s="6" t="n">
        <f aca="false">Seg!E80</f>
        <v>17.087</v>
      </c>
      <c r="F104" s="6" t="n">
        <f aca="false">Seg!F80</f>
        <v>15.9912273250553</v>
      </c>
      <c r="G104" s="6" t="n">
        <f aca="false">Seg!G80</f>
        <v>15.9574562664827</v>
      </c>
      <c r="H104" s="6" t="n">
        <f aca="false">Seg!H80</f>
        <v>16.0119687434196</v>
      </c>
      <c r="I104" s="6" t="n">
        <f aca="false">Seg!I80</f>
        <v>16.1551810001948</v>
      </c>
      <c r="J104" s="6" t="n">
        <f aca="false">Seg!J80</f>
        <v>16.3889793892005</v>
      </c>
      <c r="K104" s="6" t="n">
        <f aca="false">Seg!K80</f>
        <v>16.7167589769845</v>
      </c>
    </row>
    <row r="105" customFormat="false" ht="15" hidden="false" customHeight="false" outlineLevel="0" collapsed="false">
      <c r="A105" s="0" t="s">
        <v>866</v>
      </c>
      <c r="B105" s="0" t="s">
        <v>98</v>
      </c>
      <c r="D105" s="6" t="n">
        <f aca="false">Seg!D82</f>
        <v>62.941</v>
      </c>
      <c r="E105" s="6" t="n">
        <f aca="false">Seg!E82</f>
        <v>63.712</v>
      </c>
      <c r="F105" s="6" t="n">
        <f aca="false">Seg!F82</f>
        <v>64.3025149952511</v>
      </c>
      <c r="G105" s="6" t="n">
        <f aca="false">Seg!G82</f>
        <v>66.2756719305292</v>
      </c>
      <c r="H105" s="6" t="n">
        <f aca="false">Seg!H82</f>
        <v>68.7139736271804</v>
      </c>
      <c r="I105" s="6" t="n">
        <f aca="false">Seg!I82</f>
        <v>71.5446393194289</v>
      </c>
      <c r="J105" s="6" t="n">
        <f aca="false">Seg!J82</f>
        <v>74.707035000971</v>
      </c>
      <c r="K105" s="6" t="n">
        <f aca="false">Seg!K82</f>
        <v>78.1524145698365</v>
      </c>
    </row>
    <row r="106" customFormat="false" ht="15" hidden="false" customHeight="false" outlineLevel="0" collapsed="false">
      <c r="A106" s="1" t="s">
        <v>1055</v>
      </c>
      <c r="B106" s="0" t="s">
        <v>98</v>
      </c>
      <c r="D106" s="6" t="n">
        <f aca="false">Seg!D83</f>
        <v>281.724</v>
      </c>
      <c r="E106" s="6" t="n">
        <f aca="false">Seg!E83</f>
        <v>331.839</v>
      </c>
      <c r="F106" s="6" t="n">
        <f aca="false">Seg!F83</f>
        <v>394.447797055133</v>
      </c>
      <c r="G106" s="6" t="n">
        <f aca="false">Seg!G83</f>
        <v>458.93243179638</v>
      </c>
      <c r="H106" s="6" t="n">
        <f aca="false">Seg!H83</f>
        <v>519.258246925162</v>
      </c>
      <c r="I106" s="6" t="n">
        <f aca="false">Seg!I83</f>
        <v>582.236774445359</v>
      </c>
      <c r="J106" s="6" t="n">
        <f aca="false">Seg!J83</f>
        <v>635.123767630377</v>
      </c>
      <c r="K106" s="6" t="n">
        <f aca="false">Seg!K83</f>
        <v>678.284825162529</v>
      </c>
    </row>
    <row r="107" customFormat="false" ht="15" hidden="false" customHeight="false" outlineLevel="0" collapsed="false">
      <c r="A107" s="1" t="s">
        <v>1056</v>
      </c>
      <c r="B107" s="0" t="s">
        <v>168</v>
      </c>
      <c r="E107" s="7" t="n">
        <f aca="false">PL!E106/PL!D106-1</f>
        <v>0.177886867998467</v>
      </c>
      <c r="F107" s="7" t="n">
        <f aca="false">PL!F106/PL!E106-1</f>
        <v>0.188672208676897</v>
      </c>
      <c r="G107" s="7" t="n">
        <f aca="false">PL!G106/PL!F106-1</f>
        <v>0.16348078306604</v>
      </c>
      <c r="H107" s="7" t="n">
        <f aca="false">PL!H106/PL!G106-1</f>
        <v>0.131448141271366</v>
      </c>
      <c r="I107" s="7" t="n">
        <f aca="false">PL!I106/PL!H106-1</f>
        <v>0.121285560495438</v>
      </c>
      <c r="J107" s="7" t="n">
        <f aca="false">PL!J106/PL!I106-1</f>
        <v>0.0908341683422489</v>
      </c>
      <c r="K107" s="7" t="n">
        <f aca="false">PL!K106/PL!J106-1</f>
        <v>0.0679569238814417</v>
      </c>
    </row>
    <row r="108" customFormat="false" ht="17.15" hidden="false" customHeight="false" outlineLevel="0" collapsed="false">
      <c r="A108" s="26" t="s">
        <v>1057</v>
      </c>
      <c r="B108" s="31" t="s">
        <v>98</v>
      </c>
      <c r="C108" s="31"/>
      <c r="D108" s="27" t="n">
        <f aca="false">(PL!D101+PL!D105-PL!D106)+(PL!D93+PL!D94-PL!D92)+(PL!D96+PL!D97-PL!D95)+(PL!D106-Q!L18)</f>
        <v>0</v>
      </c>
      <c r="E108" s="27" t="n">
        <f aca="false">(PL!E101+PL!E105-PL!E106)+(PL!E93+PL!E94-PL!E92)+(PL!E96+PL!E97-PL!E95)+(PL!E106-Q!M18)</f>
        <v>0</v>
      </c>
      <c r="F108" s="27" t="n">
        <f aca="false">(PL!F101+PL!F105-PL!F106)+(PL!F93+PL!F94-PL!F92)+(PL!F96+PL!F97-PL!F95)</f>
        <v>0</v>
      </c>
      <c r="G108" s="27" t="n">
        <f aca="false">(PL!G101+PL!G105-PL!G106)+(PL!G93+PL!G94-PL!G92)+(PL!G96+PL!G97-PL!G95)</f>
        <v>0</v>
      </c>
      <c r="H108" s="27" t="n">
        <f aca="false">(PL!H101+PL!H105-PL!H106)+(PL!H93+PL!H94-PL!H92)+(PL!H96+PL!H97-PL!H95)</f>
        <v>0</v>
      </c>
      <c r="I108" s="27" t="n">
        <f aca="false">(PL!I101+PL!I105-PL!I106)+(PL!I93+PL!I94-PL!I92)+(PL!I96+PL!I97-PL!I95)</f>
        <v>0</v>
      </c>
      <c r="J108" s="27" t="n">
        <f aca="false">(PL!J101+PL!J105-PL!J106)+(PL!J93+PL!J94-PL!J92)+(PL!J96+PL!J97-PL!J95)</f>
        <v>0</v>
      </c>
      <c r="K108" s="27" t="n">
        <f aca="false">(PL!K101+PL!K105-PL!K106)+(PL!K93+PL!K94-PL!K92)+(PL!K96+PL!K97-PL!K95)</f>
        <v>0</v>
      </c>
    </row>
    <row r="109" customFormat="false" ht="17.15" hidden="false" customHeight="false" outlineLevel="0" collapsed="false">
      <c r="A109" s="0" t="s">
        <v>1058</v>
      </c>
      <c r="B109" s="0" t="s">
        <v>168</v>
      </c>
      <c r="E109" s="7" t="n">
        <f aca="false">(Q!M21+Thesis!E131+Thesis!E132+Thesis!E133+Thesis!E147-Thesis!E129)/(Q!M5-Thesis!E129)</f>
        <v>0.570957350878296</v>
      </c>
      <c r="F109" s="7" t="n">
        <f aca="false">PL!$E$109+dm_seg</f>
        <v>0.570957350878296</v>
      </c>
      <c r="G109" s="7" t="n">
        <f aca="false">PL!$E$109+dm_seg</f>
        <v>0.570957350878296</v>
      </c>
      <c r="H109" s="7" t="n">
        <f aca="false">PL!$E$109+dm_seg</f>
        <v>0.570957350878296</v>
      </c>
      <c r="I109" s="7" t="n">
        <f aca="false">PL!$E$109+dm_seg</f>
        <v>0.570957350878296</v>
      </c>
      <c r="J109" s="7" t="n">
        <f aca="false">PL!$E$109+dm_seg</f>
        <v>0.570957350878296</v>
      </c>
      <c r="K109" s="7" t="n">
        <f aca="false">PL!$E$109+dm_seg</f>
        <v>0.570957350878296</v>
      </c>
      <c r="L109" s="12" t="s">
        <v>1059</v>
      </c>
    </row>
    <row r="110" customFormat="false" ht="17.15" hidden="false" customHeight="false" outlineLevel="0" collapsed="false">
      <c r="A110" s="0" t="s">
        <v>880</v>
      </c>
      <c r="B110" s="0" t="s">
        <v>98</v>
      </c>
      <c r="D110" s="6" t="n">
        <f aca="false">Q!L21</f>
        <v>110.814</v>
      </c>
      <c r="E110" s="6" t="n">
        <f aca="false">Q!M21</f>
        <v>136.365</v>
      </c>
      <c r="F110" s="6" t="n">
        <f aca="false">Q!$I$21+(PL!F109*(Seg!F75-Thesis!F129)+Thesis!F129-(Thesis!F131+Thesis!F132+Thesis!F133)-Thesis!F147-CF!F82)*(Seg!F75-Q!$I$5)/Seg!F75</f>
        <v>158.110234156687</v>
      </c>
      <c r="G110" s="6" t="n">
        <f aca="false">(PL!G109*(Seg!G75-Thesis!G129)+Thesis!G129-(Thesis!G131+Thesis!G132+Thesis!G133)-Thesis!G147-CF!G82)</f>
        <v>161.288737768095</v>
      </c>
      <c r="H110" s="6" t="n">
        <f aca="false">(PL!H109*(Seg!H75-Thesis!H129)+Thesis!H129-(Thesis!H131+Thesis!H132+Thesis!H133)-Thesis!H147-CF!H82)</f>
        <v>162.750449226018</v>
      </c>
      <c r="I110" s="6" t="n">
        <f aca="false">(PL!I109*(Seg!I75-Thesis!I129)+Thesis!I129-(Thesis!I131+Thesis!I132+Thesis!I133)-Thesis!I147-CF!I82)</f>
        <v>172.031140185604</v>
      </c>
      <c r="J110" s="6" t="n">
        <f aca="false">(PL!J109*(Seg!J75-Thesis!J129)+Thesis!J129-(Thesis!J131+Thesis!J132+Thesis!J133)-Thesis!J147-CF!J82)</f>
        <v>182.855335729531</v>
      </c>
      <c r="K110" s="6" t="n">
        <f aca="false">(PL!K109*(Seg!K75-Thesis!K129)+Thesis!K129-(Thesis!K131+Thesis!K132+Thesis!K133)-Thesis!K147-CF!K82)</f>
        <v>195.088404864353</v>
      </c>
      <c r="L110" s="1" t="s">
        <v>1060</v>
      </c>
    </row>
    <row r="111" customFormat="false" ht="17.15" hidden="false" customHeight="false" outlineLevel="0" collapsed="false">
      <c r="A111" s="0" t="s">
        <v>1061</v>
      </c>
      <c r="B111" s="0" t="s">
        <v>168</v>
      </c>
      <c r="E111" s="7" t="n">
        <f aca="false">Q!M22/Q!M12</f>
        <v>0.296207935710698</v>
      </c>
      <c r="F111" s="7" t="n">
        <f aca="false">PL!$E$111+dm_seg</f>
        <v>0.296207935710698</v>
      </c>
      <c r="G111" s="7" t="n">
        <f aca="false">PL!$E$111+dm_seg</f>
        <v>0.296207935710698</v>
      </c>
      <c r="H111" s="7" t="n">
        <f aca="false">PL!$E$111+dm_seg</f>
        <v>0.296207935710698</v>
      </c>
      <c r="I111" s="7" t="n">
        <f aca="false">PL!$E$111+dm_seg</f>
        <v>0.296207935710698</v>
      </c>
      <c r="J111" s="7" t="n">
        <f aca="false">PL!$E$111+dm_seg</f>
        <v>0.296207935710698</v>
      </c>
      <c r="K111" s="7" t="n">
        <f aca="false">PL!$E$111+dm_seg</f>
        <v>0.296207935710698</v>
      </c>
      <c r="L111" s="12" t="s">
        <v>1062</v>
      </c>
    </row>
    <row r="112" customFormat="false" ht="17.15" hidden="false" customHeight="false" outlineLevel="0" collapsed="false">
      <c r="A112" s="0" t="s">
        <v>882</v>
      </c>
      <c r="B112" s="0" t="s">
        <v>98</v>
      </c>
      <c r="D112" s="6" t="n">
        <f aca="false">Q!L22</f>
        <v>17.714</v>
      </c>
      <c r="E112" s="6" t="n">
        <f aca="false">Q!M22</f>
        <v>18.872</v>
      </c>
      <c r="F112" s="6" t="n">
        <f aca="false">Q!$I$22+(Seg!F82-Q!$I$12)*PL!F111</f>
        <v>19.8174315512051</v>
      </c>
      <c r="G112" s="6" t="n">
        <f aca="false">Seg!G82*PL!G111</f>
        <v>19.6313799703815</v>
      </c>
      <c r="H112" s="6" t="n">
        <f aca="false">Seg!H82*PL!H111</f>
        <v>20.3536242825865</v>
      </c>
      <c r="I112" s="6" t="n">
        <f aca="false">Seg!I82*PL!I111</f>
        <v>21.1920899239745</v>
      </c>
      <c r="J112" s="6" t="n">
        <f aca="false">Seg!J82*PL!J111</f>
        <v>22.1288166207045</v>
      </c>
      <c r="K112" s="6" t="n">
        <f aca="false">Seg!K82*PL!K111</f>
        <v>23.1493653905379</v>
      </c>
      <c r="L112" s="12" t="s">
        <v>1063</v>
      </c>
    </row>
    <row r="113" customFormat="false" ht="15" hidden="false" customHeight="false" outlineLevel="0" collapsed="false">
      <c r="A113" s="1" t="s">
        <v>1064</v>
      </c>
      <c r="B113" s="0" t="s">
        <v>98</v>
      </c>
      <c r="D113" s="6" t="n">
        <f aca="false">PL!D110+PL!D112</f>
        <v>128.528</v>
      </c>
      <c r="E113" s="6" t="n">
        <f aca="false">PL!E110+PL!E112</f>
        <v>155.237</v>
      </c>
      <c r="F113" s="6" t="n">
        <f aca="false">PL!F110+PL!F112</f>
        <v>177.927665707892</v>
      </c>
      <c r="G113" s="6" t="n">
        <f aca="false">PL!G110+PL!G112</f>
        <v>180.920117738477</v>
      </c>
      <c r="H113" s="6" t="n">
        <f aca="false">PL!H110+PL!H112</f>
        <v>183.104073508605</v>
      </c>
      <c r="I113" s="6" t="n">
        <f aca="false">PL!I110+PL!I112</f>
        <v>193.223230109579</v>
      </c>
      <c r="J113" s="6" t="n">
        <f aca="false">PL!J110+PL!J112</f>
        <v>204.984152350235</v>
      </c>
      <c r="K113" s="6" t="n">
        <f aca="false">PL!K110+PL!K112</f>
        <v>218.237770254891</v>
      </c>
    </row>
    <row r="114" customFormat="false" ht="15" hidden="false" customHeight="false" outlineLevel="0" collapsed="false">
      <c r="A114" s="26" t="s">
        <v>1065</v>
      </c>
      <c r="B114" s="31" t="s">
        <v>98</v>
      </c>
      <c r="C114" s="31"/>
      <c r="D114" s="27" t="n">
        <f aca="false">PL!D113-Q!L23</f>
        <v>0</v>
      </c>
      <c r="E114" s="27" t="n">
        <f aca="false">PL!E113-Q!M23</f>
        <v>0</v>
      </c>
      <c r="F114" s="31"/>
      <c r="G114" s="31"/>
      <c r="H114" s="31"/>
      <c r="I114" s="31"/>
      <c r="J114" s="31"/>
      <c r="K114" s="31"/>
    </row>
    <row r="115" customFormat="false" ht="15" hidden="false" customHeight="false" outlineLevel="0" collapsed="false">
      <c r="A115" s="1" t="s">
        <v>1066</v>
      </c>
      <c r="B115" s="0" t="s">
        <v>168</v>
      </c>
      <c r="D115" s="7" t="n">
        <f aca="false">PL!D113/PL!D106</f>
        <v>0.456219562408598</v>
      </c>
      <c r="E115" s="7" t="n">
        <f aca="false">PL!E113/PL!E106</f>
        <v>0.467808184089272</v>
      </c>
      <c r="F115" s="7" t="n">
        <f aca="false">PL!F113/PL!F106</f>
        <v>0.451080388929191</v>
      </c>
      <c r="G115" s="7" t="n">
        <f aca="false">PL!G113/PL!G106</f>
        <v>0.394219508589333</v>
      </c>
      <c r="H115" s="7" t="n">
        <f aca="false">PL!H113/PL!H106</f>
        <v>0.352626221331819</v>
      </c>
      <c r="I115" s="7" t="n">
        <f aca="false">PL!I113/PL!I106</f>
        <v>0.331863665419698</v>
      </c>
      <c r="J115" s="7" t="n">
        <f aca="false">PL!J113/PL!J106</f>
        <v>0.32274678227682</v>
      </c>
      <c r="K115" s="7" t="n">
        <f aca="false">PL!K113/PL!K106</f>
        <v>0.3217494512023</v>
      </c>
    </row>
    <row r="116" customFormat="false" ht="17.15" hidden="false" customHeight="false" outlineLevel="0" collapsed="false">
      <c r="A116" s="1" t="s">
        <v>1067</v>
      </c>
      <c r="B116" s="0" t="s">
        <v>98</v>
      </c>
      <c r="F116" s="6" t="n">
        <f aca="false">Thesis!F151</f>
        <v>10.5962787979473</v>
      </c>
      <c r="G116" s="6" t="n">
        <f aca="false">Thesis!G151</f>
        <v>27.844646674932</v>
      </c>
      <c r="H116" s="6" t="n">
        <f aca="false">Thesis!H151</f>
        <v>46.566205501382</v>
      </c>
      <c r="I116" s="6" t="n">
        <f aca="false">Thesis!I151</f>
        <v>63.2717778126444</v>
      </c>
      <c r="J116" s="6" t="n">
        <f aca="false">Thesis!J151</f>
        <v>74.9061222882009</v>
      </c>
      <c r="K116" s="6" t="n">
        <f aca="false">Thesis!K151</f>
        <v>81.6395437180232</v>
      </c>
      <c r="L116" s="1" t="s">
        <v>1068</v>
      </c>
    </row>
    <row r="117" customFormat="false" ht="17.15" hidden="false" customHeight="false" outlineLevel="0" collapsed="false">
      <c r="A117" s="1" t="s">
        <v>1069</v>
      </c>
      <c r="B117" s="0" t="s">
        <v>98</v>
      </c>
      <c r="D117" s="6" t="n">
        <f aca="false">PL!D113</f>
        <v>128.528</v>
      </c>
      <c r="E117" s="6" t="n">
        <f aca="false">PL!E113</f>
        <v>155.237</v>
      </c>
      <c r="F117" s="6" t="n">
        <f aca="false">PL!F113+PL!F116</f>
        <v>188.523944505839</v>
      </c>
      <c r="G117" s="6" t="n">
        <f aca="false">PL!G113+PL!G116</f>
        <v>208.764764413409</v>
      </c>
      <c r="H117" s="6" t="n">
        <f aca="false">PL!H113+PL!H116</f>
        <v>229.670279009987</v>
      </c>
      <c r="I117" s="6" t="n">
        <f aca="false">PL!I113+PL!I116</f>
        <v>256.495007922223</v>
      </c>
      <c r="J117" s="6" t="n">
        <f aca="false">PL!J113+PL!J116</f>
        <v>279.890274638436</v>
      </c>
      <c r="K117" s="6" t="n">
        <f aca="false">PL!K113+PL!K116</f>
        <v>299.877313972915</v>
      </c>
    </row>
    <row r="118" customFormat="false" ht="17.15" hidden="false" customHeight="false" outlineLevel="0" collapsed="false">
      <c r="A118" s="1" t="s">
        <v>1070</v>
      </c>
      <c r="B118" s="0" t="s">
        <v>98</v>
      </c>
      <c r="E118" s="6" t="n">
        <f aca="false">Thesis!E147</f>
        <v>16.3054059770833</v>
      </c>
      <c r="F118" s="6" t="n">
        <f aca="false">Thesis!F147</f>
        <v>34.5793144783516</v>
      </c>
      <c r="G118" s="6" t="n">
        <f aca="false">Thesis!G147</f>
        <v>60.7344906522989</v>
      </c>
      <c r="H118" s="6" t="n">
        <f aca="false">Thesis!H147</f>
        <v>89.1000906614457</v>
      </c>
      <c r="I118" s="6" t="n">
        <f aca="false">Thesis!I147</f>
        <v>114.231009694548</v>
      </c>
      <c r="J118" s="6" t="n">
        <f aca="false">Thesis!J147</f>
        <v>132.015673049596</v>
      </c>
      <c r="K118" s="6" t="n">
        <f aca="false">Thesis!K147</f>
        <v>143.012669550934</v>
      </c>
    </row>
    <row r="119" customFormat="false" ht="17.15" hidden="false" customHeight="false" outlineLevel="0" collapsed="false">
      <c r="A119" s="1" t="s">
        <v>1071</v>
      </c>
      <c r="B119" s="0" t="s">
        <v>98</v>
      </c>
      <c r="E119" s="6" t="n">
        <f aca="false">CF!E81</f>
        <v>22.2285940229167</v>
      </c>
      <c r="F119" s="6" t="n">
        <f aca="false">CF!F81</f>
        <v>23.5883405279552</v>
      </c>
      <c r="G119" s="6" t="n">
        <f aca="false">CF!G81</f>
        <v>25.347608709247</v>
      </c>
      <c r="H119" s="6" t="n">
        <f aca="false">CF!H81</f>
        <v>27.4750934833125</v>
      </c>
      <c r="I119" s="6" t="n">
        <f aca="false">CF!I81</f>
        <v>29.9140127982598</v>
      </c>
      <c r="J119" s="6" t="n">
        <f aca="false">CF!J81</f>
        <v>32.5895147654561</v>
      </c>
      <c r="K119" s="6" t="n">
        <f aca="false">CF!K81</f>
        <v>35.4171979437481</v>
      </c>
    </row>
    <row r="120" customFormat="false" ht="17.15" hidden="false" customHeight="false" outlineLevel="0" collapsed="false">
      <c r="A120" s="1" t="s">
        <v>1072</v>
      </c>
      <c r="B120" s="0" t="s">
        <v>98</v>
      </c>
      <c r="D120" s="6" t="n">
        <f aca="false">Q!L27</f>
        <v>-4.901</v>
      </c>
      <c r="E120" s="6" t="n">
        <f aca="false">Q!M27</f>
        <v>10.697</v>
      </c>
      <c r="F120" s="6" t="n">
        <f aca="false">Q!$I$27+oie_f*(q_per_yr-1)/q_per_yr</f>
        <v>-0.862</v>
      </c>
      <c r="G120" s="6" t="n">
        <f aca="false">oie_f</f>
        <v>-1.2</v>
      </c>
      <c r="H120" s="6" t="n">
        <f aca="false">oie_f</f>
        <v>-1.2</v>
      </c>
      <c r="I120" s="6" t="n">
        <f aca="false">oie_f</f>
        <v>-1.2</v>
      </c>
      <c r="J120" s="6" t="n">
        <f aca="false">oie_f</f>
        <v>-1.2</v>
      </c>
      <c r="K120" s="6" t="n">
        <f aca="false">oie_f</f>
        <v>-1.2</v>
      </c>
      <c r="L120" s="12" t="s">
        <v>1073</v>
      </c>
    </row>
    <row r="121" customFormat="false" ht="15" hidden="false" customHeight="false" outlineLevel="0" collapsed="false">
      <c r="A121" s="1" t="s">
        <v>1074</v>
      </c>
      <c r="B121" s="0" t="s">
        <v>98</v>
      </c>
      <c r="D121" s="6" t="n">
        <f aca="false">PL!D113+PL!D120</f>
        <v>123.627</v>
      </c>
      <c r="E121" s="6" t="n">
        <f aca="false">PL!E113+PL!E120</f>
        <v>165.934</v>
      </c>
      <c r="F121" s="6" t="n">
        <f aca="false">PL!F113+PL!F120</f>
        <v>177.065665707892</v>
      </c>
      <c r="G121" s="6" t="n">
        <f aca="false">PL!G113+PL!G120</f>
        <v>179.720117738477</v>
      </c>
      <c r="H121" s="6" t="n">
        <f aca="false">PL!H113+PL!H120</f>
        <v>181.904073508605</v>
      </c>
      <c r="I121" s="6" t="n">
        <f aca="false">PL!I113+PL!I120</f>
        <v>192.023230109579</v>
      </c>
      <c r="J121" s="6" t="n">
        <f aca="false">PL!J113+PL!J120</f>
        <v>203.784152350235</v>
      </c>
      <c r="K121" s="6" t="n">
        <f aca="false">PL!K113+PL!K120</f>
        <v>217.037770254891</v>
      </c>
    </row>
    <row r="122" customFormat="false" ht="15" hidden="false" customHeight="false" outlineLevel="0" collapsed="false">
      <c r="A122" s="1" t="s">
        <v>1075</v>
      </c>
      <c r="B122" s="0" t="s">
        <v>98</v>
      </c>
      <c r="D122" s="6" t="n">
        <f aca="false">Q!L29</f>
        <v>21.795</v>
      </c>
      <c r="E122" s="6" t="n">
        <f aca="false">Q!M29</f>
        <v>32.185</v>
      </c>
      <c r="F122" s="6" t="n">
        <f aca="false">Q!$I$29+(PL!F121-Q!$I$28)*tax_f</f>
        <v>35.5465331415784</v>
      </c>
      <c r="G122" s="6" t="n">
        <f aca="false">PL!G121*tax_f</f>
        <v>35.9440235476954</v>
      </c>
      <c r="H122" s="6" t="n">
        <f aca="false">PL!H121*tax_f</f>
        <v>36.380814701721</v>
      </c>
      <c r="I122" s="6" t="n">
        <f aca="false">PL!I121*tax_f</f>
        <v>38.4046460219157</v>
      </c>
      <c r="J122" s="6" t="n">
        <f aca="false">PL!J121*tax_f</f>
        <v>40.756830470047</v>
      </c>
      <c r="K122" s="6" t="n">
        <f aca="false">PL!K121*tax_f</f>
        <v>43.4075540509783</v>
      </c>
    </row>
    <row r="123" customFormat="false" ht="15" hidden="false" customHeight="false" outlineLevel="0" collapsed="false">
      <c r="A123" s="1" t="s">
        <v>1076</v>
      </c>
      <c r="B123" s="0" t="s">
        <v>98</v>
      </c>
      <c r="D123" s="6" t="n">
        <f aca="false">PL!D121-PL!D122</f>
        <v>101.832</v>
      </c>
      <c r="E123" s="6" t="n">
        <f aca="false">PL!E121-PL!E122</f>
        <v>133.749</v>
      </c>
      <c r="F123" s="6" t="n">
        <f aca="false">PL!F121-PL!F122</f>
        <v>141.519132566314</v>
      </c>
      <c r="G123" s="6" t="n">
        <f aca="false">PL!G121-PL!G122</f>
        <v>143.776094190781</v>
      </c>
      <c r="H123" s="6" t="n">
        <f aca="false">PL!H121-PL!H122</f>
        <v>145.523258806884</v>
      </c>
      <c r="I123" s="6" t="n">
        <f aca="false">PL!I121-PL!I122</f>
        <v>153.618584087663</v>
      </c>
      <c r="J123" s="6" t="n">
        <f aca="false">PL!J121-PL!J122</f>
        <v>163.027321880188</v>
      </c>
      <c r="K123" s="6" t="n">
        <f aca="false">PL!K121-PL!K122</f>
        <v>173.630216203913</v>
      </c>
    </row>
    <row r="124" customFormat="false" ht="17.15" hidden="false" customHeight="false" outlineLevel="0" collapsed="false">
      <c r="A124" s="1" t="s">
        <v>1077</v>
      </c>
      <c r="B124" s="1" t="s">
        <v>81</v>
      </c>
      <c r="D124" s="15" t="n">
        <f aca="false">Q!L31</f>
        <v>7.465</v>
      </c>
      <c r="E124" s="15" t="n">
        <f aca="false">Q!M31</f>
        <v>7.453</v>
      </c>
      <c r="F124" s="15" t="n">
        <f aca="false">CF!F106</f>
        <v>7.4735</v>
      </c>
      <c r="G124" s="15" t="n">
        <f aca="false">CF!G106</f>
        <v>7.5185</v>
      </c>
      <c r="H124" s="15" t="n">
        <f aca="false">CF!H106</f>
        <v>7.5635</v>
      </c>
      <c r="I124" s="15" t="n">
        <f aca="false">CF!I106</f>
        <v>7.59248142502667</v>
      </c>
      <c r="J124" s="15" t="n">
        <f aca="false">CF!J106</f>
        <v>7.60663083618914</v>
      </c>
      <c r="K124" s="15" t="n">
        <f aca="false">CF!K106</f>
        <v>7.62306547615439</v>
      </c>
    </row>
    <row r="125" customFormat="false" ht="17.15" hidden="false" customHeight="false" outlineLevel="0" collapsed="false">
      <c r="A125" s="0" t="s">
        <v>1078</v>
      </c>
      <c r="B125" s="0" t="s">
        <v>75</v>
      </c>
      <c r="D125" s="8" t="n">
        <f aca="false">PL!D123/PL!D124</f>
        <v>13.641259209645</v>
      </c>
      <c r="E125" s="8" t="n">
        <f aca="false">PL!E123/PL!E124</f>
        <v>17.9456594659869</v>
      </c>
      <c r="F125" s="8" t="n">
        <f aca="false">PL!F123/PL!F124</f>
        <v>18.9361253182998</v>
      </c>
      <c r="G125" s="8" t="n">
        <f aca="false">PL!G123/PL!G124</f>
        <v>19.1229758849214</v>
      </c>
      <c r="H125" s="8" t="n">
        <f aca="false">PL!H123/PL!H124</f>
        <v>19.2402008074151</v>
      </c>
      <c r="I125" s="8" t="n">
        <f aca="false">PL!I123/PL!I124</f>
        <v>20.2329878057125</v>
      </c>
      <c r="J125" s="8" t="n">
        <f aca="false">PL!J123/PL!J124</f>
        <v>21.4322642167111</v>
      </c>
      <c r="K125" s="8" t="n">
        <f aca="false">PL!K123/PL!K124</f>
        <v>22.7769545922232</v>
      </c>
      <c r="L125" s="1" t="s">
        <v>1079</v>
      </c>
    </row>
    <row r="126" customFormat="false" ht="17.15" hidden="false" customHeight="false" outlineLevel="0" collapsed="false">
      <c r="A126" s="1" t="s">
        <v>1080</v>
      </c>
      <c r="B126" s="0" t="s">
        <v>98</v>
      </c>
      <c r="D126" s="6" t="n">
        <f aca="false">PL!D123</f>
        <v>101.832</v>
      </c>
      <c r="E126" s="6" t="n">
        <f aca="false">PL!E123</f>
        <v>133.749</v>
      </c>
      <c r="F126" s="6" t="n">
        <f aca="false">PL!F123+PL!F116*(1-tax_f)</f>
        <v>149.996155604671</v>
      </c>
      <c r="G126" s="6" t="n">
        <f aca="false">PL!G123+PL!G116*(1-tax_f)</f>
        <v>166.051811530727</v>
      </c>
      <c r="H126" s="6" t="n">
        <f aca="false">PL!H123+PL!H116*(1-tax_f)</f>
        <v>182.776223207989</v>
      </c>
      <c r="I126" s="6" t="n">
        <f aca="false">PL!I123+PL!I116*(1-tax_f)</f>
        <v>204.236006337778</v>
      </c>
      <c r="J126" s="6" t="n">
        <f aca="false">PL!J123+PL!J116*(1-tax_f)</f>
        <v>222.952219710749</v>
      </c>
      <c r="K126" s="6" t="n">
        <f aca="false">PL!K123+PL!K116*(1-tax_f)</f>
        <v>238.941851178332</v>
      </c>
    </row>
    <row r="127" customFormat="false" ht="17.15" hidden="false" customHeight="false" outlineLevel="0" collapsed="false">
      <c r="A127" s="0" t="s">
        <v>1081</v>
      </c>
      <c r="B127" s="0" t="s">
        <v>75</v>
      </c>
      <c r="D127" s="8" t="n">
        <f aca="false">PL!D126/PL!D124</f>
        <v>13.641259209645</v>
      </c>
      <c r="E127" s="8" t="n">
        <f aca="false">PL!E126/PL!E124</f>
        <v>17.9456594659869</v>
      </c>
      <c r="F127" s="8" t="n">
        <f aca="false">PL!F126/PL!F124</f>
        <v>20.0704028373147</v>
      </c>
      <c r="G127" s="8" t="n">
        <f aca="false">PL!G126/PL!G124</f>
        <v>22.0857633212379</v>
      </c>
      <c r="H127" s="8" t="n">
        <f aca="false">PL!H126/PL!H124</f>
        <v>24.1655613417055</v>
      </c>
      <c r="I127" s="8" t="n">
        <f aca="false">PL!I126/PL!I124</f>
        <v>26.8997702996766</v>
      </c>
      <c r="J127" s="8" t="n">
        <f aca="false">PL!J126/PL!J124</f>
        <v>29.3102458252655</v>
      </c>
      <c r="K127" s="8" t="n">
        <f aca="false">PL!K126/PL!K124</f>
        <v>31.3445885944129</v>
      </c>
      <c r="L127" s="1" t="s">
        <v>1082</v>
      </c>
    </row>
    <row r="128" customFormat="false" ht="17.15" hidden="false" customHeight="false" outlineLevel="0" collapsed="false">
      <c r="A128" s="0" t="s">
        <v>1083</v>
      </c>
      <c r="B128" s="0" t="s">
        <v>168</v>
      </c>
      <c r="E128" s="7" t="n">
        <f aca="false">PL!E127/PL!D127-1</f>
        <v>0.315542736208578</v>
      </c>
      <c r="F128" s="7" t="n">
        <f aca="false">PL!F127/PL!E127-1</f>
        <v>0.118398734543858</v>
      </c>
      <c r="G128" s="7" t="n">
        <f aca="false">PL!G127/PL!F127-1</f>
        <v>0.100414550732198</v>
      </c>
      <c r="H128" s="7" t="n">
        <f aca="false">PL!H127/PL!G127-1</f>
        <v>0.0941691708915331</v>
      </c>
      <c r="I128" s="7" t="n">
        <f aca="false">PL!I127/PL!H127-1</f>
        <v>0.113144855991916</v>
      </c>
      <c r="J128" s="7" t="n">
        <f aca="false">PL!J127/PL!I127-1</f>
        <v>0.0896095207778762</v>
      </c>
      <c r="K128" s="7" t="n">
        <f aca="false">PL!K127/PL!J127-1</f>
        <v>0.0694072230330376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1086</v>
      </c>
    </row>
    <row r="2" customFormat="false" ht="17.15" hidden="false" customHeight="false" outlineLevel="0" collapsed="false">
      <c r="A2" s="1" t="s">
        <v>1087</v>
      </c>
    </row>
    <row r="4" customFormat="false" ht="17.15" hidden="false" customHeight="fals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</row>
    <row r="5" customFormat="false" ht="17.15" hidden="false" customHeight="false" outlineLevel="0" collapsed="false">
      <c r="A5" s="18" t="s">
        <v>1088</v>
      </c>
      <c r="B5" s="32" t="n">
        <f aca="false">CF!$C$43</f>
        <v>363.185394407545</v>
      </c>
      <c r="C5" s="32" t="n">
        <f aca="false">CF!$C$75</f>
        <v>259.640219939081</v>
      </c>
      <c r="D5" s="32" t="n">
        <f aca="false">CF!$C$107</f>
        <v>137.882463313615</v>
      </c>
      <c r="E5" s="17" t="s">
        <v>1089</v>
      </c>
    </row>
    <row r="6" customFormat="false" ht="17.15" hidden="false" customHeight="false" outlineLevel="0" collapsed="false">
      <c r="A6" s="1" t="s">
        <v>1090</v>
      </c>
      <c r="B6" s="0" t="str">
        <f aca="false">CF!$C$45</f>
        <v>不需舉債；回購較每年 22.3 的目標少 38.0 十億美元（2 年減少）</v>
      </c>
      <c r="C6" s="0" t="str">
        <f aca="false">CF!$C$77</f>
        <v>需要舉債 8.1 十億美元；回購較每年 22.3 的目標少 44.3 十億美元（2 年減少）</v>
      </c>
      <c r="D6" s="0" t="str">
        <f aca="false">CF!$C$109</f>
        <v>需要舉債 26.6 十億美元；回購較每年 22.3 的目標少 66.8 十億美元（3 年減少）</v>
      </c>
    </row>
    <row r="7" customFormat="false" ht="17.15" hidden="false" customHeight="false" outlineLevel="0" collapsed="false">
      <c r="A7" s="1" t="s">
        <v>1091</v>
      </c>
      <c r="B7" s="6" t="n">
        <f aca="false">CF!F30</f>
        <v>14.1655554698598</v>
      </c>
      <c r="C7" s="6" t="n">
        <f aca="false">CF!F62</f>
        <v>11.2717874995055</v>
      </c>
      <c r="D7" s="6" t="n">
        <f aca="false">CF!F94</f>
        <v>7.8440332058357</v>
      </c>
    </row>
    <row r="8" customFormat="false" ht="17.15" hidden="false" customHeight="false" outlineLevel="0" collapsed="false">
      <c r="A8" s="1" t="s">
        <v>1092</v>
      </c>
      <c r="B8" s="6" t="n">
        <f aca="false">CF!H30</f>
        <v>86.1872783032704</v>
      </c>
      <c r="C8" s="6" t="n">
        <f aca="false">CF!H62</f>
        <v>62.2118750539102</v>
      </c>
      <c r="D8" s="6" t="n">
        <f aca="false">CF!H94</f>
        <v>34.0226076317587</v>
      </c>
    </row>
    <row r="9" customFormat="false" ht="17.15" hidden="false" customHeight="false" outlineLevel="0" collapsed="false">
      <c r="A9" s="1" t="s">
        <v>1093</v>
      </c>
      <c r="B9" s="6" t="n">
        <f aca="false">CF!F27</f>
        <v>204.2</v>
      </c>
      <c r="C9" s="6" t="n">
        <f aca="false">CF!F59</f>
        <v>204.2</v>
      </c>
      <c r="D9" s="6" t="n">
        <f aca="false">CF!F91</f>
        <v>204.279963115422</v>
      </c>
    </row>
    <row r="10" customFormat="false" ht="17.15" hidden="false" customHeight="false" outlineLevel="0" collapsed="false">
      <c r="A10" s="1" t="s">
        <v>1094</v>
      </c>
      <c r="B10" s="6" t="n">
        <f aca="false">SUM(CF!F35:J35)</f>
        <v>73.3887773335768</v>
      </c>
      <c r="C10" s="6" t="n">
        <f aca="false">SUM(CF!F67:J67)</f>
        <v>67.0838374995055</v>
      </c>
      <c r="D10" s="6" t="n">
        <f aca="false">SUM(CF!F99:J99)</f>
        <v>44.542</v>
      </c>
    </row>
    <row r="11" customFormat="false" ht="17.15" hidden="false" customHeight="false" outlineLevel="0" collapsed="false">
      <c r="A11" s="1" t="s">
        <v>1095</v>
      </c>
      <c r="B11" s="6" t="n">
        <f aca="false">SUM(CF!F36:J36)</f>
        <v>0</v>
      </c>
      <c r="C11" s="6" t="n">
        <f aca="false">SUM(CF!F68:J68)</f>
        <v>8.14922895110651</v>
      </c>
      <c r="D11" s="6" t="n">
        <f aca="false">SUM(CF!F100:J100)</f>
        <v>26.5541114688518</v>
      </c>
    </row>
    <row r="12" customFormat="false" ht="15" hidden="false" customHeight="false" outlineLevel="0" collapsed="false">
      <c r="A12" s="26" t="s">
        <v>1096</v>
      </c>
      <c r="B12" s="27" t="n">
        <f aca="false">B5-(CF!F33+CF!G33+CF!H33+CF!I33+CF!J33)</f>
        <v>0</v>
      </c>
      <c r="C12" s="27" t="n">
        <f aca="false">C5-(CF!F65+CF!G65+CF!H65+CF!I65+CF!J65)</f>
        <v>0</v>
      </c>
      <c r="D12" s="27" t="n">
        <f aca="false">D5-(CF!F97+CF!G97+CF!H97+CF!I97+CF!J97)</f>
        <v>0</v>
      </c>
      <c r="E12" s="31"/>
    </row>
    <row r="14" customFormat="false" ht="17.15" hidden="false" customHeight="false" outlineLevel="0" collapsed="false">
      <c r="A14" s="3" t="s">
        <v>1097</v>
      </c>
    </row>
    <row r="15" customFormat="false" ht="15" hidden="false" customHeight="false" outlineLevel="0" collapsed="false">
      <c r="A15" s="4" t="s">
        <v>43</v>
      </c>
      <c r="B15" s="4" t="s">
        <v>65</v>
      </c>
      <c r="C15" s="23" t="s">
        <v>938</v>
      </c>
      <c r="D15" s="23" t="s">
        <v>939</v>
      </c>
      <c r="E15" s="23" t="s">
        <v>940</v>
      </c>
      <c r="F15" s="23" t="s">
        <v>941</v>
      </c>
      <c r="G15" s="23" t="s">
        <v>942</v>
      </c>
      <c r="H15" s="23" t="s">
        <v>943</v>
      </c>
      <c r="I15" s="23" t="s">
        <v>944</v>
      </c>
      <c r="J15" s="23" t="s">
        <v>945</v>
      </c>
      <c r="K15" s="23" t="s">
        <v>946</v>
      </c>
      <c r="L15" s="4" t="s">
        <v>47</v>
      </c>
    </row>
    <row r="16" customFormat="false" ht="15" hidden="false" customHeight="false" outlineLevel="0" collapsed="false">
      <c r="A16" s="1" t="s">
        <v>1076</v>
      </c>
      <c r="B16" s="0" t="s">
        <v>98</v>
      </c>
      <c r="F16" s="6" t="n">
        <f aca="false">PL!F45</f>
        <v>147.446097472856</v>
      </c>
      <c r="G16" s="6" t="n">
        <f aca="false">PL!G45</f>
        <v>167.962779018493</v>
      </c>
      <c r="H16" s="6" t="n">
        <f aca="false">PL!H45</f>
        <v>195.94408630342</v>
      </c>
      <c r="I16" s="6" t="n">
        <f aca="false">PL!I45</f>
        <v>217.307066574171</v>
      </c>
      <c r="J16" s="6" t="n">
        <f aca="false">PL!J45</f>
        <v>235.858049475802</v>
      </c>
      <c r="K16" s="6" t="n">
        <f aca="false">PL!K45</f>
        <v>252.658728769235</v>
      </c>
    </row>
    <row r="17" customFormat="false" ht="17.15" hidden="false" customHeight="false" outlineLevel="0" collapsed="false">
      <c r="A17" s="1" t="s">
        <v>1098</v>
      </c>
      <c r="B17" s="0" t="s">
        <v>98</v>
      </c>
      <c r="E17" s="6" t="n">
        <f aca="false">Q!M38-Thesis!E43</f>
        <v>22.2285940229167</v>
      </c>
      <c r="F17" s="6" t="n">
        <f aca="false">CF!E17*(1-1/life_nonai)+(CF!F25+CF!F26)/life_nonai</f>
        <v>23.580344216413</v>
      </c>
      <c r="G17" s="6" t="n">
        <f aca="false">CF!F17*(1-1/life_nonai)+(CF!G25)/life_nonai</f>
        <v>25.3801415764809</v>
      </c>
      <c r="H17" s="6" t="n">
        <f aca="false">CF!G17*(1-1/life_nonai)+(CF!H25)/life_nonai</f>
        <v>27.5964639802758</v>
      </c>
      <c r="I17" s="6" t="n">
        <f aca="false">CF!H17*(1-1/life_nonai)+(CF!I25)/life_nonai</f>
        <v>30.152940612192</v>
      </c>
      <c r="J17" s="6" t="n">
        <f aca="false">CF!I17*(1-1/life_nonai)+(CF!J25)/life_nonai</f>
        <v>32.9575022150393</v>
      </c>
      <c r="K17" s="6" t="n">
        <f aca="false">CF!J17*(1-1/life_nonai)+(CF!K25)/life_nonai</f>
        <v>35.9256779798081</v>
      </c>
      <c r="L17" s="12" t="s">
        <v>1099</v>
      </c>
    </row>
    <row r="18" customFormat="false" ht="17.15" hidden="false" customHeight="false" outlineLevel="0" collapsed="false">
      <c r="A18" s="1" t="s">
        <v>1100</v>
      </c>
      <c r="B18" s="0" t="s">
        <v>98</v>
      </c>
      <c r="F18" s="6" t="n">
        <f aca="false">CF!$F$26/life_nonai*(1-1/life_nonai)^(Thesis!F6-2027)</f>
        <v>0.00475774452575592</v>
      </c>
      <c r="G18" s="6" t="n">
        <f aca="false">CF!$F$26/life_nonai*(1-1/life_nonai)^(Thesis!G6-2027)</f>
        <v>0.00428197007318033</v>
      </c>
      <c r="H18" s="6" t="n">
        <f aca="false">CF!$F$26/life_nonai*(1-1/life_nonai)^(Thesis!H6-2027)</f>
        <v>0.0038537730658623</v>
      </c>
      <c r="I18" s="6" t="n">
        <f aca="false">CF!$F$26/life_nonai*(1-1/life_nonai)^(Thesis!I6-2027)</f>
        <v>0.00346839575927607</v>
      </c>
      <c r="J18" s="6" t="n">
        <f aca="false">CF!$F$26/life_nonai*(1-1/life_nonai)^(Thesis!J6-2027)</f>
        <v>0.00312155618334846</v>
      </c>
      <c r="K18" s="6" t="n">
        <f aca="false">CF!$F$26/life_nonai*(1-1/life_nonai)^(Thesis!K6-2027)</f>
        <v>0.00280940056501362</v>
      </c>
      <c r="L18" s="1" t="s">
        <v>1101</v>
      </c>
    </row>
    <row r="19" customFormat="false" ht="17.15" hidden="false" customHeight="false" outlineLevel="0" collapsed="false">
      <c r="A19" s="1" t="s">
        <v>1102</v>
      </c>
      <c r="B19" s="0" t="s">
        <v>98</v>
      </c>
      <c r="E19" s="6" t="n">
        <f aca="false">Thesis!E43+CF!E17</f>
        <v>38.534</v>
      </c>
      <c r="F19" s="6" t="n">
        <f aca="false">Thesis!F43+CF!F17</f>
        <v>58.1596586947647</v>
      </c>
      <c r="G19" s="6" t="n">
        <f aca="false">Thesis!G43+CF!G17</f>
        <v>86.1146322287799</v>
      </c>
      <c r="H19" s="6" t="n">
        <f aca="false">Thesis!H43+CF!H17</f>
        <v>116.696554641721</v>
      </c>
      <c r="I19" s="6" t="n">
        <f aca="false">Thesis!I43+CF!I17</f>
        <v>144.38395030674</v>
      </c>
      <c r="J19" s="6" t="n">
        <f aca="false">Thesis!J43+CF!J17</f>
        <v>164.973175264635</v>
      </c>
      <c r="K19" s="6" t="n">
        <f aca="false">Thesis!K43+CF!K17</f>
        <v>178.938347530742</v>
      </c>
    </row>
    <row r="20" customFormat="false" ht="17.15" hidden="false" customHeight="false" outlineLevel="0" collapsed="false">
      <c r="A20" s="1" t="s">
        <v>1103</v>
      </c>
      <c r="B20" s="0" t="s">
        <v>98</v>
      </c>
      <c r="F20" s="6" t="n">
        <f aca="false">Seg!F29*sbc_r</f>
        <v>15.0680693022395</v>
      </c>
      <c r="G20" s="6" t="n">
        <f aca="false">Seg!G29*sbc_r</f>
        <v>18.3841476633065</v>
      </c>
      <c r="H20" s="6" t="n">
        <f aca="false">Seg!H29*sbc_r</f>
        <v>21.9545979838202</v>
      </c>
      <c r="I20" s="6" t="n">
        <f aca="false">Seg!I29*sbc_r</f>
        <v>24.9944595349748</v>
      </c>
      <c r="J20" s="6" t="n">
        <f aca="false">Seg!J29*sbc_r</f>
        <v>27.4407929753337</v>
      </c>
      <c r="K20" s="6" t="n">
        <f aca="false">Seg!K29*sbc_r</f>
        <v>29.3868645070206</v>
      </c>
    </row>
    <row r="21" customFormat="false" ht="17.15" hidden="false" customHeight="false" outlineLevel="0" collapsed="false">
      <c r="A21" s="1" t="s">
        <v>1104</v>
      </c>
      <c r="B21" s="0" t="s">
        <v>98</v>
      </c>
      <c r="F21" s="6" t="n">
        <f aca="false">wc27-wc26q1</f>
        <v>-4.677</v>
      </c>
      <c r="G21" s="6" t="n">
        <f aca="false">wc_f</f>
        <v>0</v>
      </c>
      <c r="H21" s="6" t="n">
        <f aca="false">wc_f</f>
        <v>0</v>
      </c>
      <c r="I21" s="6" t="n">
        <f aca="false">wc_f</f>
        <v>0</v>
      </c>
      <c r="J21" s="6" t="n">
        <f aca="false">wc_f</f>
        <v>0</v>
      </c>
      <c r="K21" s="6" t="n">
        <f aca="false">wc_f</f>
        <v>0</v>
      </c>
      <c r="L21" s="12" t="s">
        <v>1105</v>
      </c>
    </row>
    <row r="22" customFormat="false" ht="17.15" hidden="false" customHeight="false" outlineLevel="0" collapsed="false">
      <c r="A22" s="0" t="s">
        <v>1106</v>
      </c>
      <c r="B22" s="0" t="s">
        <v>98</v>
      </c>
      <c r="F22" s="6" t="n">
        <f aca="false">Q!$I$35-Q!$I$26-Q!$I$38-Q!$I$39</f>
        <v>6.493</v>
      </c>
      <c r="L22" s="1" t="s">
        <v>1107</v>
      </c>
    </row>
    <row r="23" customFormat="false" ht="15" hidden="false" customHeight="false" outlineLevel="0" collapsed="false">
      <c r="A23" s="1" t="s">
        <v>904</v>
      </c>
      <c r="B23" s="0" t="s">
        <v>98</v>
      </c>
      <c r="E23" s="6" t="n">
        <f aca="false">Q!M35</f>
        <v>182.935</v>
      </c>
      <c r="F23" s="6" t="n">
        <f aca="false">CF!F16+CF!F19+CF!F20+CF!F21+CF!F22</f>
        <v>222.48982546986</v>
      </c>
      <c r="G23" s="6" t="n">
        <f aca="false">CF!G16+CF!G19+CF!G20+CF!G21</f>
        <v>272.46155891058</v>
      </c>
      <c r="H23" s="6" t="n">
        <f aca="false">CF!H16+CF!H19+CF!H20+CF!H21</f>
        <v>334.595238928962</v>
      </c>
      <c r="I23" s="6" t="n">
        <f aca="false">CF!I16+CF!I19+CF!I20+CF!I21</f>
        <v>386.685476415886</v>
      </c>
      <c r="J23" s="6" t="n">
        <f aca="false">CF!J16+CF!J19+CF!J20+CF!J21</f>
        <v>428.272017715771</v>
      </c>
      <c r="K23" s="6" t="n">
        <f aca="false">CF!K16+CF!K19+CF!K20+CF!K21</f>
        <v>460.983940806997</v>
      </c>
    </row>
    <row r="24" customFormat="false" ht="17.15" hidden="false" customHeight="false" outlineLevel="0" collapsed="false">
      <c r="A24" s="0" t="s">
        <v>1108</v>
      </c>
      <c r="B24" s="0" t="s">
        <v>98</v>
      </c>
      <c r="F24" s="6" t="n">
        <f aca="false">Thesis!F40</f>
        <v>168.45390404212</v>
      </c>
      <c r="G24" s="6" t="n">
        <f aca="false">Thesis!G40</f>
        <v>191.944475649048</v>
      </c>
      <c r="H24" s="6" t="n">
        <f aca="false">Thesis!H40</f>
        <v>196.806004064512</v>
      </c>
      <c r="I24" s="6" t="n">
        <f aca="false">Thesis!I40</f>
        <v>168.61483362161</v>
      </c>
      <c r="J24" s="6" t="n">
        <f aca="false">Thesis!J40</f>
        <v>128.92993119594</v>
      </c>
      <c r="K24" s="6" t="n">
        <f aca="false">Thesis!K40</f>
        <v>118.962853064733</v>
      </c>
    </row>
    <row r="25" customFormat="false" ht="17.15" hidden="false" customHeight="false" outlineLevel="0" collapsed="false">
      <c r="A25" s="1" t="s">
        <v>1109</v>
      </c>
      <c r="B25" s="0" t="s">
        <v>98</v>
      </c>
      <c r="E25" s="6" t="n">
        <f aca="false">Seg!E7*cx_azo+Seg!E14*cx_m365+Seg!E15*cx_lic+(Seg!E17+Seg!E19)*cx_ind+Seg!E22*cx_srch+(Seg!E24+Seg!E26)*cx_dev</f>
        <v>30.1846587067718</v>
      </c>
      <c r="F25" s="6" t="n">
        <f aca="false">Seg!F7*cx_azo+Seg!F14*cx_m365+Seg!F15*cx_lic+(Seg!F17+Seg!F19)*cx_ind+Seg!F22*cx_srch+(Seg!F24+Seg!F26)*cx_dev</f>
        <v>35.6985185126228</v>
      </c>
      <c r="G25" s="6" t="n">
        <f aca="false">Seg!G7*cx_azo+Seg!G14*cx_m365+Seg!G15*cx_lic+(Seg!G17+Seg!G19)*cx_ind+Seg!G22*cx_srch+(Seg!G24+Seg!G26)*cx_dev</f>
        <v>41.5783178170917</v>
      </c>
      <c r="H25" s="6" t="n">
        <f aca="false">Seg!H7*cx_azo+Seg!H14*cx_m365+Seg!H15*cx_lic+(Seg!H17+Seg!H19)*cx_ind+Seg!H22*cx_srch+(Seg!H24+Seg!H26)*cx_dev</f>
        <v>47.5433656144293</v>
      </c>
      <c r="I25" s="6" t="n">
        <f aca="false">Seg!I7*cx_azo+Seg!I14*cx_m365+Seg!I15*cx_lic+(Seg!I17+Seg!I19)*cx_ind+Seg!I22*cx_srch+(Seg!I24+Seg!I26)*cx_dev</f>
        <v>53.1612302994382</v>
      </c>
      <c r="J25" s="6" t="n">
        <f aca="false">Seg!J7*cx_azo+Seg!J14*cx_m365+Seg!J15*cx_lic+(Seg!J17+Seg!J19)*cx_ind+Seg!J22*cx_srch+(Seg!J24+Seg!J26)*cx_dev</f>
        <v>58.1985566406647</v>
      </c>
      <c r="K25" s="6" t="n">
        <f aca="false">Seg!K7*cx_azo+Seg!K14*cx_m365+Seg!K15*cx_lic+(Seg!K17+Seg!K19)*cx_ind+Seg!K22*cx_srch+(Seg!K24+Seg!K26)*cx_dev</f>
        <v>62.6392598627275</v>
      </c>
    </row>
    <row r="26" customFormat="false" ht="17.15" hidden="false" customHeight="false" outlineLevel="0" collapsed="false">
      <c r="A26" s="0" t="s">
        <v>1110</v>
      </c>
      <c r="B26" s="0" t="s">
        <v>98</v>
      </c>
      <c r="F26" s="6" t="n">
        <f aca="false">Thesis!F38</f>
        <v>0.0475774452575593</v>
      </c>
      <c r="L26" s="1" t="s">
        <v>1111</v>
      </c>
    </row>
    <row r="27" customFormat="false" ht="17.15" hidden="false" customHeight="false" outlineLevel="0" collapsed="false">
      <c r="A27" s="1" t="s">
        <v>1112</v>
      </c>
      <c r="B27" s="0" t="s">
        <v>98</v>
      </c>
      <c r="E27" s="6" t="n">
        <f aca="false">Q!M43</f>
        <v>145.3</v>
      </c>
      <c r="F27" s="6" t="n">
        <f aca="false">CF!F24+CF!F25+CF!F26</f>
        <v>204.2</v>
      </c>
      <c r="G27" s="6" t="n">
        <f aca="false">CF!G24+CF!G25</f>
        <v>233.52279346614</v>
      </c>
      <c r="H27" s="6" t="n">
        <f aca="false">CF!H24+CF!H25</f>
        <v>244.349369678942</v>
      </c>
      <c r="I27" s="6" t="n">
        <f aca="false">CF!I24+CF!I25</f>
        <v>221.776063921049</v>
      </c>
      <c r="J27" s="6" t="n">
        <f aca="false">CF!J24+CF!J25</f>
        <v>187.128487836605</v>
      </c>
      <c r="K27" s="6" t="n">
        <f aca="false">CF!K24+CF!K25</f>
        <v>181.60211292746</v>
      </c>
      <c r="L27" s="1" t="s">
        <v>1113</v>
      </c>
    </row>
    <row r="28" customFormat="false" ht="15" hidden="false" customHeight="false" outlineLevel="0" collapsed="false">
      <c r="A28" s="1" t="s">
        <v>1114</v>
      </c>
      <c r="B28" s="0" t="s">
        <v>98</v>
      </c>
      <c r="E28" s="6" t="n">
        <f aca="false">fl_liab</f>
        <v>66.594</v>
      </c>
      <c r="F28" s="6" t="n">
        <f aca="false">CF!E28-CF!F29</f>
        <v>62.46973</v>
      </c>
      <c r="G28" s="6" t="n">
        <f aca="false">CF!F28-CF!G29</f>
        <v>57.98686785</v>
      </c>
      <c r="H28" s="6" t="n">
        <f aca="false">CF!G28-CF!H29</f>
        <v>53.92827690325</v>
      </c>
      <c r="I28" s="6" t="n">
        <f aca="false">CF!H28-CF!I29</f>
        <v>49.7850493638962</v>
      </c>
      <c r="J28" s="6" t="n">
        <f aca="false">CF!I28-CF!J29</f>
        <v>45.4823765852716</v>
      </c>
      <c r="K28" s="6" t="n">
        <f aca="false">CF!J28-CF!K29</f>
        <v>40.9860835316088</v>
      </c>
    </row>
    <row r="29" customFormat="false" ht="15" hidden="false" customHeight="false" outlineLevel="0" collapsed="false">
      <c r="A29" s="1" t="s">
        <v>1115</v>
      </c>
      <c r="B29" s="0" t="s">
        <v>98</v>
      </c>
      <c r="F29" s="6" t="n">
        <f aca="false">fl_pay_27-CF!E28*fl_rate</f>
        <v>4.12427</v>
      </c>
      <c r="G29" s="6" t="n">
        <f aca="false">fl_pay_28-CF!F28*fl_rate</f>
        <v>4.48286215</v>
      </c>
      <c r="H29" s="6" t="n">
        <f aca="false">fl_pay_29-CF!G28*fl_rate</f>
        <v>4.05859094675</v>
      </c>
      <c r="I29" s="6" t="n">
        <f aca="false">fl_pay_30-CF!H28*fl_rate</f>
        <v>4.14322753935375</v>
      </c>
      <c r="J29" s="6" t="n">
        <f aca="false">fl_pay_31-CF!I28*fl_rate</f>
        <v>4.30267277862467</v>
      </c>
      <c r="K29" s="6" t="n">
        <f aca="false">fl_pay_32-CF!J28*fl_rate</f>
        <v>4.49629305366278</v>
      </c>
    </row>
    <row r="30" customFormat="false" ht="17.15" hidden="false" customHeight="false" outlineLevel="0" collapsed="false">
      <c r="A30" s="1" t="s">
        <v>1116</v>
      </c>
      <c r="B30" s="0" t="s">
        <v>98</v>
      </c>
      <c r="E30" s="6" t="n">
        <f aca="false">Q!M35-Q!M36-Q!M44</f>
        <v>63.886</v>
      </c>
      <c r="F30" s="6" t="n">
        <f aca="false">CF!F23-CF!F27-CF!F29</f>
        <v>14.1655554698598</v>
      </c>
      <c r="G30" s="6" t="n">
        <f aca="false">CF!G23-CF!G27-CF!G29</f>
        <v>34.4559032944397</v>
      </c>
      <c r="H30" s="6" t="n">
        <f aca="false">CF!H23-CF!H27-CF!H29</f>
        <v>86.1872783032704</v>
      </c>
      <c r="I30" s="6" t="n">
        <f aca="false">CF!I23-CF!I27-CF!I29</f>
        <v>160.766184955484</v>
      </c>
      <c r="J30" s="6" t="n">
        <f aca="false">CF!J23-CF!J27-CF!J29</f>
        <v>236.840857100541</v>
      </c>
      <c r="K30" s="6" t="n">
        <f aca="false">CF!K23-CF!K27-CF!K29</f>
        <v>274.885534825874</v>
      </c>
      <c r="L30" s="12" t="s">
        <v>1117</v>
      </c>
    </row>
    <row r="31" customFormat="false" ht="15" hidden="false" customHeight="false" outlineLevel="0" collapsed="false">
      <c r="A31" s="1" t="s">
        <v>1118</v>
      </c>
      <c r="B31" s="0" t="s">
        <v>75</v>
      </c>
      <c r="F31" s="8" t="n">
        <f aca="false">dps_27</f>
        <v>3.85</v>
      </c>
      <c r="G31" s="8" t="n">
        <f aca="false">CF!F31*(1+dps_g)</f>
        <v>4.158</v>
      </c>
      <c r="H31" s="8" t="n">
        <f aca="false">CF!G31*(1+dps_g)</f>
        <v>4.49064</v>
      </c>
      <c r="I31" s="8" t="n">
        <f aca="false">CF!H31*(1+dps_g)</f>
        <v>4.8498912</v>
      </c>
      <c r="J31" s="8" t="n">
        <f aca="false">CF!I31*(1+dps_g)</f>
        <v>5.237882496</v>
      </c>
      <c r="K31" s="8" t="n">
        <f aca="false">CF!J31*(1+dps_g)</f>
        <v>5.65691309568</v>
      </c>
    </row>
    <row r="32" customFormat="false" ht="17.15" hidden="false" customHeight="false" outlineLevel="0" collapsed="false">
      <c r="A32" s="1" t="s">
        <v>1119</v>
      </c>
      <c r="B32" s="0" t="s">
        <v>98</v>
      </c>
      <c r="E32" s="6" t="n">
        <f aca="false">Q!M41</f>
        <v>26.445</v>
      </c>
      <c r="F32" s="6" t="n">
        <f aca="false">CF!F31*CF!E41</f>
        <v>28.59395</v>
      </c>
      <c r="G32" s="6" t="n">
        <f aca="false">CF!G31*CF!F41</f>
        <v>31.0447314307227</v>
      </c>
      <c r="H32" s="6" t="n">
        <f aca="false">CF!H31*CF!G41</f>
        <v>33.7046863552316</v>
      </c>
      <c r="I32" s="6" t="n">
        <f aca="false">CF!I31*CF!H41</f>
        <v>36.4514995407227</v>
      </c>
      <c r="J32" s="6" t="n">
        <f aca="false">CF!J31*CF!I41</f>
        <v>39.4355173893732</v>
      </c>
      <c r="K32" s="6" t="n">
        <f aca="false">CF!K31*CF!J41</f>
        <v>42.6771130429013</v>
      </c>
      <c r="L32" s="1" t="s">
        <v>1120</v>
      </c>
    </row>
    <row r="33" customFormat="false" ht="15" hidden="false" customHeight="false" outlineLevel="0" collapsed="false">
      <c r="A33" s="1" t="s">
        <v>1121</v>
      </c>
      <c r="B33" s="0" t="s">
        <v>98</v>
      </c>
      <c r="E33" s="6" t="n">
        <f aca="false">CF!E30-CF!E32</f>
        <v>37.441</v>
      </c>
      <c r="F33" s="6" t="n">
        <f aca="false">CF!F30-CF!F32</f>
        <v>-14.4283945301402</v>
      </c>
      <c r="G33" s="6" t="n">
        <f aca="false">CF!G30-CF!G32</f>
        <v>3.41117186371696</v>
      </c>
      <c r="H33" s="6" t="n">
        <f aca="false">CF!H30-CF!H32</f>
        <v>52.4825919480388</v>
      </c>
      <c r="I33" s="6" t="n">
        <f aca="false">CF!I30-CF!I32</f>
        <v>124.314685414761</v>
      </c>
      <c r="J33" s="6" t="n">
        <f aca="false">CF!J30-CF!J32</f>
        <v>197.405339711168</v>
      </c>
      <c r="K33" s="6" t="n">
        <f aca="false">CF!K30-CF!K32</f>
        <v>232.208421782973</v>
      </c>
    </row>
    <row r="34" customFormat="false" ht="15" hidden="false" customHeight="false" outlineLevel="0" collapsed="false">
      <c r="A34" s="1" t="s">
        <v>1122</v>
      </c>
      <c r="B34" s="0" t="s">
        <v>98</v>
      </c>
      <c r="F34" s="6" t="n">
        <f aca="false">debt_mat_27</f>
        <v>9.25</v>
      </c>
      <c r="G34" s="6" t="n">
        <f aca="false">debt_mat_28</f>
        <v>0</v>
      </c>
      <c r="H34" s="6" t="n">
        <f aca="false">debt_mat_29</f>
        <v>2.001</v>
      </c>
      <c r="I34" s="6" t="n">
        <f aca="false">debt_mat_30</f>
        <v>0</v>
      </c>
      <c r="J34" s="6" t="n">
        <f aca="false">debt_mat_31</f>
        <v>0.5</v>
      </c>
      <c r="K34" s="6" t="n">
        <f aca="false">debt_mat_32</f>
        <v>0</v>
      </c>
    </row>
    <row r="35" customFormat="false" ht="15" hidden="false" customHeight="false" outlineLevel="0" collapsed="false">
      <c r="A35" s="1" t="s">
        <v>1123</v>
      </c>
      <c r="B35" s="0" t="s">
        <v>98</v>
      </c>
      <c r="E35" s="6" t="n">
        <f aca="false">Q!M40</f>
        <v>22.271</v>
      </c>
      <c r="F35" s="6" t="n">
        <f aca="false">MAX(0,MIN(bb_target,CF!E37+CF!F33-CF!F34-min_cash))</f>
        <v>3.16460546985984</v>
      </c>
      <c r="G35" s="6" t="n">
        <f aca="false">MAX(0,MIN(bb_target,CF!F37+CF!G33-CF!G34-min_cash))</f>
        <v>3.41117186371696</v>
      </c>
      <c r="H35" s="6" t="n">
        <f aca="false">MAX(0,MIN(bb_target,CF!G37+CF!H33-CF!H34-min_cash))</f>
        <v>22.271</v>
      </c>
      <c r="I35" s="6" t="n">
        <f aca="false">MAX(0,MIN(bb_target,CF!H37+CF!I33-CF!I34-min_cash))</f>
        <v>22.271</v>
      </c>
      <c r="J35" s="6" t="n">
        <f aca="false">MAX(0,MIN(bb_target,CF!I37+CF!J33-CF!J34-min_cash))</f>
        <v>22.271</v>
      </c>
      <c r="K35" s="6" t="n">
        <f aca="false">MAX(0,MIN(bb_target,CF!J37+CF!K33-CF!K34-min_cash))</f>
        <v>22.271</v>
      </c>
    </row>
    <row r="36" customFormat="false" ht="15" hidden="false" customHeight="false" outlineLevel="0" collapsed="false">
      <c r="A36" s="1" t="s">
        <v>1124</v>
      </c>
      <c r="B36" s="0" t="s">
        <v>98</v>
      </c>
      <c r="F36" s="6" t="n">
        <f aca="false">MAX(0,min_cash-(CF!E37+CF!F33-CF!F34-CF!F35))</f>
        <v>0</v>
      </c>
      <c r="G36" s="6" t="n">
        <f aca="false">MAX(0,min_cash-(CF!F37+CF!G33-CF!G34-CF!G35))</f>
        <v>0</v>
      </c>
      <c r="H36" s="6" t="n">
        <f aca="false">MAX(0,min_cash-(CF!G37+CF!H33-CF!H34-CF!H35))</f>
        <v>0</v>
      </c>
      <c r="I36" s="6" t="n">
        <f aca="false">MAX(0,min_cash-(CF!H37+CF!I33-CF!I34-CF!I35))</f>
        <v>0</v>
      </c>
      <c r="J36" s="6" t="n">
        <f aca="false">MAX(0,min_cash-(CF!I37+CF!J33-CF!J34-CF!J35))</f>
        <v>0</v>
      </c>
      <c r="K36" s="6" t="n">
        <f aca="false">MAX(0,min_cash-(CF!J37+CF!K33-CF!K34-CF!K35))</f>
        <v>0</v>
      </c>
    </row>
    <row r="37" customFormat="false" ht="15" hidden="false" customHeight="false" outlineLevel="0" collapsed="false">
      <c r="A37" s="1" t="s">
        <v>1125</v>
      </c>
      <c r="B37" s="0" t="s">
        <v>98</v>
      </c>
      <c r="E37" s="6" t="n">
        <f aca="false">cash_open</f>
        <v>76.843</v>
      </c>
      <c r="F37" s="6" t="n">
        <f aca="false">CF!E37+CF!F33-CF!F34-CF!F35+CF!F36</f>
        <v>50</v>
      </c>
      <c r="G37" s="6" t="n">
        <f aca="false">CF!F37+CF!G33-CF!G34-CF!G35+CF!G36</f>
        <v>50</v>
      </c>
      <c r="H37" s="6" t="n">
        <f aca="false">CF!G37+CF!H33-CF!H34-CF!H35+CF!H36</f>
        <v>78.2105919480388</v>
      </c>
      <c r="I37" s="6" t="n">
        <f aca="false">CF!H37+CF!I33-CF!I34-CF!I35+CF!I36</f>
        <v>180.2542773628</v>
      </c>
      <c r="J37" s="6" t="n">
        <f aca="false">CF!I37+CF!J33-CF!J34-CF!J35+CF!J36</f>
        <v>354.888617073968</v>
      </c>
      <c r="K37" s="6" t="n">
        <f aca="false">CF!J37+CF!K33-CF!K34-CF!K35+CF!K36</f>
        <v>564.826038856941</v>
      </c>
    </row>
    <row r="38" customFormat="false" ht="15" hidden="false" customHeight="false" outlineLevel="0" collapsed="false">
      <c r="A38" s="1" t="s">
        <v>1126</v>
      </c>
      <c r="B38" s="0" t="s">
        <v>98</v>
      </c>
      <c r="E38" s="6" t="n">
        <f aca="false">debt_face</f>
        <v>46.136</v>
      </c>
      <c r="F38" s="6" t="n">
        <f aca="false">CF!E38-CF!F34+CF!F36</f>
        <v>36.886</v>
      </c>
      <c r="G38" s="6" t="n">
        <f aca="false">CF!F38-CF!G34+CF!G36</f>
        <v>36.886</v>
      </c>
      <c r="H38" s="6" t="n">
        <f aca="false">CF!G38-CF!H34+CF!H36</f>
        <v>34.885</v>
      </c>
      <c r="I38" s="6" t="n">
        <f aca="false">CF!H38-CF!I34+CF!I36</f>
        <v>34.885</v>
      </c>
      <c r="J38" s="6" t="n">
        <f aca="false">CF!I38-CF!J34+CF!J36</f>
        <v>34.385</v>
      </c>
      <c r="K38" s="6" t="n">
        <f aca="false">CF!J38-CF!K34+CF!K36</f>
        <v>34.385</v>
      </c>
    </row>
    <row r="39" customFormat="false" ht="15" hidden="false" customHeight="false" outlineLevel="0" collapsed="false">
      <c r="A39" s="1" t="s">
        <v>1127</v>
      </c>
      <c r="B39" s="0" t="s">
        <v>98</v>
      </c>
      <c r="E39" s="6" t="n">
        <f aca="false">CF!E37-CF!E38</f>
        <v>30.707</v>
      </c>
      <c r="F39" s="6" t="n">
        <f aca="false">CF!F37-CF!F38</f>
        <v>13.114</v>
      </c>
      <c r="G39" s="6" t="n">
        <f aca="false">CF!G37-CF!G38</f>
        <v>13.114</v>
      </c>
      <c r="H39" s="6" t="n">
        <f aca="false">CF!H37-CF!H38</f>
        <v>43.3255919480388</v>
      </c>
      <c r="I39" s="6" t="n">
        <f aca="false">CF!I37-CF!I38</f>
        <v>145.3692773628</v>
      </c>
      <c r="J39" s="6" t="n">
        <f aca="false">CF!J37-CF!J38</f>
        <v>320.503617073968</v>
      </c>
      <c r="K39" s="6" t="n">
        <f aca="false">CF!K37-CF!K38</f>
        <v>530.441038856941</v>
      </c>
    </row>
    <row r="40" customFormat="false" ht="15" hidden="false" customHeight="false" outlineLevel="0" collapsed="false">
      <c r="A40" s="1" t="s">
        <v>1128</v>
      </c>
      <c r="B40" s="0" t="s">
        <v>75</v>
      </c>
      <c r="F40" s="30" t="n">
        <f aca="false">px*(1+bb_g)^(Thesis!F6-base_fy-mid_yr)</f>
        <v>551.84177959629</v>
      </c>
      <c r="G40" s="30" t="n">
        <f aca="false">px*(1+bb_g)^(Thesis!G6-base_fy-mid_yr)</f>
        <v>595.989121963993</v>
      </c>
      <c r="H40" s="30" t="n">
        <f aca="false">px*(1+bb_g)^(Thesis!H6-base_fy-mid_yr)</f>
        <v>643.668251721112</v>
      </c>
      <c r="I40" s="30" t="n">
        <f aca="false">px*(1+bb_g)^(Thesis!I6-base_fy-mid_yr)</f>
        <v>695.161711858801</v>
      </c>
      <c r="J40" s="30" t="n">
        <f aca="false">px*(1+bb_g)^(Thesis!J6-base_fy-mid_yr)</f>
        <v>750.774648807506</v>
      </c>
      <c r="K40" s="30" t="n">
        <f aca="false">px*(1+bb_g)^(Thesis!K6-base_fy-mid_yr)</f>
        <v>810.836620712106</v>
      </c>
    </row>
    <row r="41" customFormat="false" ht="15" hidden="false" customHeight="false" outlineLevel="0" collapsed="false">
      <c r="A41" s="1" t="s">
        <v>1129</v>
      </c>
      <c r="B41" s="1" t="s">
        <v>81</v>
      </c>
      <c r="E41" s="15" t="n">
        <f aca="false">sh_out26</f>
        <v>7.427</v>
      </c>
      <c r="F41" s="15" t="n">
        <f aca="false">CF!E41+sh_iss-CF!F35/CF!F40</f>
        <v>7.46626537535419</v>
      </c>
      <c r="G41" s="15" t="n">
        <f aca="false">CF!F41+sh_iss-CF!G35/CF!G40</f>
        <v>7.50554182816515</v>
      </c>
      <c r="H41" s="15" t="n">
        <f aca="false">CF!G41+sh_iss-CF!H35/CF!H40</f>
        <v>7.51594170622275</v>
      </c>
      <c r="I41" s="15" t="n">
        <f aca="false">CF!H41+sh_iss-CF!I35/CF!I40</f>
        <v>7.52890455627609</v>
      </c>
      <c r="J41" s="15" t="n">
        <f aca="false">CF!I41+sh_iss-CF!J35/CF!J40</f>
        <v>7.5442405285477</v>
      </c>
      <c r="K41" s="15" t="n">
        <f aca="false">CF!J41+sh_iss-CF!K35/CF!K40</f>
        <v>7.56177383620659</v>
      </c>
    </row>
    <row r="42" customFormat="false" ht="15" hidden="false" customHeight="false" outlineLevel="0" collapsed="false">
      <c r="A42" s="1" t="s">
        <v>1130</v>
      </c>
      <c r="B42" s="1" t="s">
        <v>81</v>
      </c>
      <c r="E42" s="15" t="n">
        <f aca="false">sh_dil26</f>
        <v>7.453</v>
      </c>
      <c r="F42" s="15" t="n">
        <f aca="false">(CF!E41+CF!F41)/2+dil_gap</f>
        <v>7.4706326876771</v>
      </c>
      <c r="G42" s="15" t="n">
        <f aca="false">(CF!F41+CF!G41)/2+dil_gap</f>
        <v>7.50990360175967</v>
      </c>
      <c r="H42" s="15" t="n">
        <f aca="false">(CF!G41+CF!H41)/2+dil_gap</f>
        <v>7.53474176719395</v>
      </c>
      <c r="I42" s="15" t="n">
        <f aca="false">(CF!H41+CF!I41)/2+dil_gap</f>
        <v>7.54642313124942</v>
      </c>
      <c r="J42" s="15" t="n">
        <f aca="false">(CF!I41+CF!J41)/2+dil_gap</f>
        <v>7.56057254241189</v>
      </c>
      <c r="K42" s="15" t="n">
        <f aca="false">(CF!J41+CF!K41)/2+dil_gap</f>
        <v>7.57700718237714</v>
      </c>
    </row>
    <row r="43" customFormat="false" ht="17.15" hidden="false" customHeight="false" outlineLevel="0" collapsed="false">
      <c r="A43" s="1" t="s">
        <v>1131</v>
      </c>
      <c r="B43" s="0" t="s">
        <v>98</v>
      </c>
      <c r="C43" s="6" t="n">
        <f aca="false">SUM(CF!F33:J33)</f>
        <v>363.185394407545</v>
      </c>
    </row>
    <row r="44" customFormat="false" ht="15" hidden="false" customHeight="false" outlineLevel="0" collapsed="false">
      <c r="A44" s="26" t="s">
        <v>1096</v>
      </c>
      <c r="B44" s="31" t="s">
        <v>98</v>
      </c>
      <c r="C44" s="27" t="n">
        <f aca="false">CF!$C$43-(CF!F33+CF!G33+CF!H33+CF!I33+CF!J33)</f>
        <v>0</v>
      </c>
      <c r="D44" s="31"/>
      <c r="E44" s="31"/>
      <c r="F44" s="31"/>
      <c r="G44" s="31"/>
      <c r="H44" s="31"/>
      <c r="I44" s="31"/>
      <c r="J44" s="31"/>
      <c r="K44" s="31"/>
    </row>
    <row r="45" customFormat="false" ht="17.15" hidden="false" customHeight="false" outlineLevel="0" collapsed="false">
      <c r="A45" s="1" t="s">
        <v>1090</v>
      </c>
      <c r="B45" s="1" t="s">
        <v>1132</v>
      </c>
      <c r="C45" s="33" t="str">
        <f aca="false">IF(SUM(CF!F36:J36)&gt;0.05,"需要舉債 "&amp;TEXT(SUM(CF!F36:J36),"0.0")&amp;" 十億美元","不需舉債")&amp;"；"&amp;IF(SUM(CF!F35:J35)&lt;COUNT(CF!F35:J35)*bb_target-0.05,"回購較每年 "&amp;TEXT(bb_target,"0.0")&amp;" 的目標少 "&amp;TEXT(COUNT(CF!F35:J35)*bb_target-SUM(CF!F35:J35),"0.0")&amp;" 十億美元（"&amp;TEXT(COUNTIF(CF!F35:J35,"&lt;"&amp;(bb_target-0.05)),"0")&amp;" 年減少）","回購不減")</f>
        <v>不需舉債；回購較每年 22.3 的目標少 38.0 十億美元（2 年減少）</v>
      </c>
    </row>
    <row r="46" customFormat="false" ht="17.15" hidden="false" customHeight="false" outlineLevel="0" collapsed="false">
      <c r="A46" s="3" t="s">
        <v>1133</v>
      </c>
    </row>
    <row r="47" customFormat="false" ht="15" hidden="false" customHeight="false" outlineLevel="0" collapsed="false">
      <c r="A47" s="4" t="s">
        <v>43</v>
      </c>
      <c r="B47" s="4" t="s">
        <v>65</v>
      </c>
      <c r="C47" s="23" t="s">
        <v>938</v>
      </c>
      <c r="D47" s="23" t="s">
        <v>939</v>
      </c>
      <c r="E47" s="23" t="s">
        <v>940</v>
      </c>
      <c r="F47" s="23" t="s">
        <v>941</v>
      </c>
      <c r="G47" s="23" t="s">
        <v>942</v>
      </c>
      <c r="H47" s="23" t="s">
        <v>943</v>
      </c>
      <c r="I47" s="23" t="s">
        <v>944</v>
      </c>
      <c r="J47" s="23" t="s">
        <v>945</v>
      </c>
      <c r="K47" s="23" t="s">
        <v>946</v>
      </c>
      <c r="L47" s="4" t="s">
        <v>47</v>
      </c>
    </row>
    <row r="48" customFormat="false" ht="15" hidden="false" customHeight="false" outlineLevel="0" collapsed="false">
      <c r="A48" s="1" t="s">
        <v>1076</v>
      </c>
      <c r="B48" s="0" t="s">
        <v>98</v>
      </c>
      <c r="F48" s="6" t="n">
        <f aca="false">PL!F84</f>
        <v>144.702854966994</v>
      </c>
      <c r="G48" s="6" t="n">
        <f aca="false">PL!G84</f>
        <v>156.80022654062</v>
      </c>
      <c r="H48" s="6" t="n">
        <f aca="false">PL!H84</f>
        <v>172.733848240564</v>
      </c>
      <c r="I48" s="6" t="n">
        <f aca="false">PL!I84</f>
        <v>187.974138462449</v>
      </c>
      <c r="J48" s="6" t="n">
        <f aca="false">PL!J84</f>
        <v>202.308714512314</v>
      </c>
      <c r="K48" s="6" t="n">
        <f aca="false">PL!K84</f>
        <v>216.231289343757</v>
      </c>
    </row>
    <row r="49" customFormat="false" ht="17.15" hidden="false" customHeight="false" outlineLevel="0" collapsed="false">
      <c r="A49" s="1" t="s">
        <v>1098</v>
      </c>
      <c r="B49" s="0" t="s">
        <v>98</v>
      </c>
      <c r="E49" s="6" t="n">
        <f aca="false">Q!M38-Thesis!E95</f>
        <v>22.2285940229167</v>
      </c>
      <c r="F49" s="6" t="n">
        <f aca="false">CF!E49*(1-1/life_nonai)+(CF!F57+CF!F58)/life_nonai</f>
        <v>23.580344216413</v>
      </c>
      <c r="G49" s="6" t="n">
        <f aca="false">CF!F49*(1-1/life_nonai)+(CF!G57)/life_nonai</f>
        <v>25.3583505401965</v>
      </c>
      <c r="H49" s="6" t="n">
        <f aca="false">CF!G49*(1-1/life_nonai)+(CF!H57)/life_nonai</f>
        <v>27.528569983033</v>
      </c>
      <c r="I49" s="6" t="n">
        <f aca="false">CF!H49*(1-1/life_nonai)+(CF!I57)/life_nonai</f>
        <v>30.0244523528154</v>
      </c>
      <c r="J49" s="6" t="n">
        <f aca="false">CF!I49*(1-1/life_nonai)+(CF!J57)/life_nonai</f>
        <v>32.7625785967048</v>
      </c>
      <c r="K49" s="6" t="n">
        <f aca="false">CF!J49*(1-1/life_nonai)+(CF!K57)/life_nonai</f>
        <v>35.6585684431062</v>
      </c>
      <c r="L49" s="12" t="s">
        <v>1099</v>
      </c>
    </row>
    <row r="50" customFormat="false" ht="17.15" hidden="false" customHeight="false" outlineLevel="0" collapsed="false">
      <c r="A50" s="1" t="s">
        <v>1100</v>
      </c>
      <c r="B50" s="0" t="s">
        <v>98</v>
      </c>
      <c r="F50" s="6" t="n">
        <f aca="false">CF!$F$58/life_nonai*(1-1/life_nonai)^(Thesis!F58-2027)</f>
        <v>1.94586576753864E-006</v>
      </c>
      <c r="G50" s="6" t="n">
        <f aca="false">CF!$F$58/life_nonai*(1-1/life_nonai)^(Thesis!G58-2027)</f>
        <v>1.75127919078477E-006</v>
      </c>
      <c r="H50" s="6" t="n">
        <f aca="false">CF!$F$58/life_nonai*(1-1/life_nonai)^(Thesis!H58-2027)</f>
        <v>1.57615127170629E-006</v>
      </c>
      <c r="I50" s="6" t="n">
        <f aca="false">CF!$F$58/life_nonai*(1-1/life_nonai)^(Thesis!I58-2027)</f>
        <v>1.41853614453567E-006</v>
      </c>
      <c r="J50" s="6" t="n">
        <f aca="false">CF!$F$58/life_nonai*(1-1/life_nonai)^(Thesis!J58-2027)</f>
        <v>1.2766825300821E-006</v>
      </c>
      <c r="K50" s="6" t="n">
        <f aca="false">CF!$F$58/life_nonai*(1-1/life_nonai)^(Thesis!K58-2027)</f>
        <v>1.14901427707389E-006</v>
      </c>
      <c r="L50" s="1" t="s">
        <v>1101</v>
      </c>
    </row>
    <row r="51" customFormat="false" ht="17.15" hidden="false" customHeight="false" outlineLevel="0" collapsed="false">
      <c r="A51" s="1" t="s">
        <v>1102</v>
      </c>
      <c r="B51" s="0" t="s">
        <v>98</v>
      </c>
      <c r="E51" s="6" t="n">
        <f aca="false">Thesis!E95+CF!E49</f>
        <v>38.534</v>
      </c>
      <c r="F51" s="6" t="n">
        <f aca="false">Thesis!F95+CF!F49</f>
        <v>58.1596586947647</v>
      </c>
      <c r="G51" s="6" t="n">
        <f aca="false">Thesis!G95+CF!G49</f>
        <v>86.0928411924955</v>
      </c>
      <c r="H51" s="6" t="n">
        <f aca="false">Thesis!H95+CF!H49</f>
        <v>116.628660644479</v>
      </c>
      <c r="I51" s="6" t="n">
        <f aca="false">Thesis!I95+CF!I49</f>
        <v>144.255462047364</v>
      </c>
      <c r="J51" s="6" t="n">
        <f aca="false">Thesis!J95+CF!J49</f>
        <v>164.778251646301</v>
      </c>
      <c r="K51" s="6" t="n">
        <f aca="false">Thesis!K95+CF!K49</f>
        <v>178.67123799404</v>
      </c>
    </row>
    <row r="52" customFormat="false" ht="17.15" hidden="false" customHeight="false" outlineLevel="0" collapsed="false">
      <c r="A52" s="1" t="s">
        <v>1103</v>
      </c>
      <c r="B52" s="0" t="s">
        <v>98</v>
      </c>
      <c r="F52" s="6" t="n">
        <f aca="false">Seg!F56*sbc_r</f>
        <v>14.9175438377464</v>
      </c>
      <c r="G52" s="6" t="n">
        <f aca="false">Seg!G56*sbc_r</f>
        <v>17.8119838712421</v>
      </c>
      <c r="H52" s="6" t="n">
        <f aca="false">Seg!H56*sbc_r</f>
        <v>20.7745061486909</v>
      </c>
      <c r="I52" s="6" t="n">
        <f aca="false">Seg!I56*sbc_r</f>
        <v>23.4952383075388</v>
      </c>
      <c r="J52" s="6" t="n">
        <f aca="false">Seg!J56*sbc_r</f>
        <v>25.7232953082804</v>
      </c>
      <c r="K52" s="6" t="n">
        <f aca="false">Seg!K56*sbc_r</f>
        <v>27.5132097680234</v>
      </c>
    </row>
    <row r="53" customFormat="false" ht="17.15" hidden="false" customHeight="false" outlineLevel="0" collapsed="false">
      <c r="A53" s="1" t="s">
        <v>1104</v>
      </c>
      <c r="B53" s="0" t="s">
        <v>98</v>
      </c>
      <c r="F53" s="6" t="n">
        <f aca="false">wc27-wc26q1</f>
        <v>-4.677</v>
      </c>
      <c r="G53" s="6" t="n">
        <f aca="false">wc_f</f>
        <v>0</v>
      </c>
      <c r="H53" s="6" t="n">
        <f aca="false">wc_f</f>
        <v>0</v>
      </c>
      <c r="I53" s="6" t="n">
        <f aca="false">wc_f</f>
        <v>0</v>
      </c>
      <c r="J53" s="6" t="n">
        <f aca="false">wc_f</f>
        <v>0</v>
      </c>
      <c r="K53" s="6" t="n">
        <f aca="false">wc_f</f>
        <v>0</v>
      </c>
      <c r="L53" s="12" t="s">
        <v>1105</v>
      </c>
    </row>
    <row r="54" customFormat="false" ht="17.15" hidden="false" customHeight="false" outlineLevel="0" collapsed="false">
      <c r="A54" s="0" t="s">
        <v>1106</v>
      </c>
      <c r="B54" s="0" t="s">
        <v>98</v>
      </c>
      <c r="F54" s="6" t="n">
        <f aca="false">Q!$I$35-Q!$I$26-Q!$I$38-Q!$I$39</f>
        <v>6.493</v>
      </c>
      <c r="L54" s="1" t="s">
        <v>1107</v>
      </c>
    </row>
    <row r="55" customFormat="false" ht="15" hidden="false" customHeight="false" outlineLevel="0" collapsed="false">
      <c r="A55" s="1" t="s">
        <v>904</v>
      </c>
      <c r="B55" s="0" t="s">
        <v>98</v>
      </c>
      <c r="E55" s="6" t="n">
        <f aca="false">Q!M35</f>
        <v>182.935</v>
      </c>
      <c r="F55" s="6" t="n">
        <f aca="false">CF!F48+CF!F51+CF!F52+CF!F53+CF!F54</f>
        <v>219.596057499506</v>
      </c>
      <c r="G55" s="6" t="n">
        <f aca="false">CF!G48+CF!G51+CF!G52+CF!G53</f>
        <v>260.705051604358</v>
      </c>
      <c r="H55" s="6" t="n">
        <f aca="false">CF!H48+CF!H51+CF!H52+CF!H53</f>
        <v>310.137015033734</v>
      </c>
      <c r="I55" s="6" t="n">
        <f aca="false">CF!I48+CF!I51+CF!I52+CF!I53</f>
        <v>355.724838817352</v>
      </c>
      <c r="J55" s="6" t="n">
        <f aca="false">CF!J48+CF!J51+CF!J52+CF!J53</f>
        <v>392.810261466896</v>
      </c>
      <c r="K55" s="6" t="n">
        <f aca="false">CF!K48+CF!K51+CF!K52+CF!K53</f>
        <v>422.415737105821</v>
      </c>
    </row>
    <row r="56" customFormat="false" ht="17.15" hidden="false" customHeight="false" outlineLevel="0" collapsed="false">
      <c r="A56" s="0" t="s">
        <v>1108</v>
      </c>
      <c r="B56" s="0" t="s">
        <v>98</v>
      </c>
      <c r="F56" s="6" t="n">
        <f aca="false">Thesis!F92</f>
        <v>168.45390404212</v>
      </c>
      <c r="G56" s="6" t="n">
        <f aca="false">Thesis!G92</f>
        <v>191.944475649048</v>
      </c>
      <c r="H56" s="6" t="n">
        <f aca="false">Thesis!H92</f>
        <v>196.806004064512</v>
      </c>
      <c r="I56" s="6" t="n">
        <f aca="false">Thesis!I92</f>
        <v>168.61483362161</v>
      </c>
      <c r="J56" s="6" t="n">
        <f aca="false">Thesis!J92</f>
        <v>128.92993119594</v>
      </c>
      <c r="K56" s="6" t="n">
        <f aca="false">Thesis!K92</f>
        <v>118.962853064733</v>
      </c>
    </row>
    <row r="57" customFormat="false" ht="17.15" hidden="false" customHeight="false" outlineLevel="0" collapsed="false">
      <c r="A57" s="1" t="s">
        <v>1109</v>
      </c>
      <c r="B57" s="0" t="s">
        <v>98</v>
      </c>
      <c r="E57" s="6" t="n">
        <f aca="false">Seg!E34*cx_azo+Seg!E41*cx_m365+Seg!E42*cx_lic+(Seg!E44+Seg!E46)*cx_ind+Seg!E49*cx_srch+(Seg!E51+Seg!E53)*cx_dev</f>
        <v>30.1846587067718</v>
      </c>
      <c r="F57" s="6" t="n">
        <f aca="false">Seg!F34*cx_azo+Seg!F41*cx_m365+Seg!F42*cx_lic+(Seg!F44+Seg!F46)*cx_ind+Seg!F49*cx_srch+(Seg!F51+Seg!F53)*cx_dev</f>
        <v>35.7460764992227</v>
      </c>
      <c r="G57" s="6" t="n">
        <f aca="false">Seg!G34*cx_azo+Seg!G41*cx_m365+Seg!G42*cx_lic+(Seg!G44+Seg!G46)*cx_ind+Seg!G49*cx_srch+(Seg!G51+Seg!G53)*cx_dev</f>
        <v>41.360407454248</v>
      </c>
      <c r="H57" s="6" t="n">
        <f aca="false">Seg!H34*cx_azo+Seg!H41*cx_m365+Seg!H42*cx_lic+(Seg!H44+Seg!H46)*cx_ind+Seg!H49*cx_srch+(Seg!H51+Seg!H53)*cx_dev</f>
        <v>47.0605449685615</v>
      </c>
      <c r="I57" s="6" t="n">
        <f aca="false">Seg!I34*cx_azo+Seg!I41*cx_m365+Seg!I42*cx_lic+(Seg!I44+Seg!I46)*cx_ind+Seg!I49*cx_srch+(Seg!I51+Seg!I53)*cx_dev</f>
        <v>52.4873936808571</v>
      </c>
      <c r="J57" s="6" t="n">
        <f aca="false">Seg!J34*cx_azo+Seg!J41*cx_m365+Seg!J42*cx_lic+(Seg!J44+Seg!J46)*cx_ind+Seg!J49*cx_srch+(Seg!J51+Seg!J53)*cx_dev</f>
        <v>57.4057147917091</v>
      </c>
      <c r="K57" s="6" t="n">
        <f aca="false">Seg!K34*cx_azo+Seg!K41*cx_m365+Seg!K42*cx_lic+(Seg!K44+Seg!K46)*cx_ind+Seg!K49*cx_srch+(Seg!K51+Seg!K53)*cx_dev</f>
        <v>61.7224770607185</v>
      </c>
    </row>
    <row r="58" customFormat="false" ht="17.15" hidden="false" customHeight="false" outlineLevel="0" collapsed="false">
      <c r="A58" s="0" t="s">
        <v>1110</v>
      </c>
      <c r="B58" s="0" t="s">
        <v>98</v>
      </c>
      <c r="F58" s="6" t="n">
        <f aca="false">Thesis!F90</f>
        <v>1.94586576753863E-005</v>
      </c>
      <c r="L58" s="1" t="s">
        <v>1111</v>
      </c>
    </row>
    <row r="59" customFormat="false" ht="17.15" hidden="false" customHeight="false" outlineLevel="0" collapsed="false">
      <c r="A59" s="1" t="s">
        <v>1112</v>
      </c>
      <c r="B59" s="0" t="s">
        <v>98</v>
      </c>
      <c r="E59" s="6" t="n">
        <f aca="false">Q!M43</f>
        <v>145.3</v>
      </c>
      <c r="F59" s="6" t="n">
        <f aca="false">CF!F56+CF!F57+CF!F58</f>
        <v>204.2</v>
      </c>
      <c r="G59" s="6" t="n">
        <f aca="false">CF!G56+CF!G57</f>
        <v>233.304883103296</v>
      </c>
      <c r="H59" s="6" t="n">
        <f aca="false">CF!H56+CF!H57</f>
        <v>243.866549033074</v>
      </c>
      <c r="I59" s="6" t="n">
        <f aca="false">CF!I56+CF!I57</f>
        <v>221.102227302467</v>
      </c>
      <c r="J59" s="6" t="n">
        <f aca="false">CF!J56+CF!J57</f>
        <v>186.33564598765</v>
      </c>
      <c r="K59" s="6" t="n">
        <f aca="false">CF!K56+CF!K57</f>
        <v>180.685330125451</v>
      </c>
      <c r="L59" s="1" t="s">
        <v>1113</v>
      </c>
    </row>
    <row r="60" customFormat="false" ht="15" hidden="false" customHeight="false" outlineLevel="0" collapsed="false">
      <c r="A60" s="1" t="s">
        <v>1114</v>
      </c>
      <c r="B60" s="0" t="s">
        <v>98</v>
      </c>
      <c r="E60" s="6" t="n">
        <f aca="false">fl_liab</f>
        <v>66.594</v>
      </c>
      <c r="F60" s="6" t="n">
        <f aca="false">CF!E60-CF!F61</f>
        <v>62.46973</v>
      </c>
      <c r="G60" s="6" t="n">
        <f aca="false">CF!F60-CF!G61</f>
        <v>57.98686785</v>
      </c>
      <c r="H60" s="6" t="n">
        <f aca="false">CF!G60-CF!H61</f>
        <v>53.92827690325</v>
      </c>
      <c r="I60" s="6" t="n">
        <f aca="false">CF!H60-CF!I61</f>
        <v>49.7850493638962</v>
      </c>
      <c r="J60" s="6" t="n">
        <f aca="false">CF!I60-CF!J61</f>
        <v>45.4823765852716</v>
      </c>
      <c r="K60" s="6" t="n">
        <f aca="false">CF!J60-CF!K61</f>
        <v>40.9860835316088</v>
      </c>
    </row>
    <row r="61" customFormat="false" ht="15" hidden="false" customHeight="false" outlineLevel="0" collapsed="false">
      <c r="A61" s="1" t="s">
        <v>1115</v>
      </c>
      <c r="B61" s="0" t="s">
        <v>98</v>
      </c>
      <c r="F61" s="6" t="n">
        <f aca="false">fl_pay_27-CF!E60*fl_rate</f>
        <v>4.12427</v>
      </c>
      <c r="G61" s="6" t="n">
        <f aca="false">fl_pay_28-CF!F60*fl_rate</f>
        <v>4.48286215</v>
      </c>
      <c r="H61" s="6" t="n">
        <f aca="false">fl_pay_29-CF!G60*fl_rate</f>
        <v>4.05859094675</v>
      </c>
      <c r="I61" s="6" t="n">
        <f aca="false">fl_pay_30-CF!H60*fl_rate</f>
        <v>4.14322753935375</v>
      </c>
      <c r="J61" s="6" t="n">
        <f aca="false">fl_pay_31-CF!I60*fl_rate</f>
        <v>4.30267277862467</v>
      </c>
      <c r="K61" s="6" t="n">
        <f aca="false">fl_pay_32-CF!J60*fl_rate</f>
        <v>4.49629305366278</v>
      </c>
    </row>
    <row r="62" customFormat="false" ht="17.15" hidden="false" customHeight="false" outlineLevel="0" collapsed="false">
      <c r="A62" s="1" t="s">
        <v>1116</v>
      </c>
      <c r="B62" s="0" t="s">
        <v>98</v>
      </c>
      <c r="E62" s="6" t="n">
        <f aca="false">Q!M35-Q!M36-Q!M44</f>
        <v>63.886</v>
      </c>
      <c r="F62" s="6" t="n">
        <f aca="false">CF!F55-CF!F59-CF!F61</f>
        <v>11.2717874995055</v>
      </c>
      <c r="G62" s="6" t="n">
        <f aca="false">CF!G55-CF!G59-CF!G61</f>
        <v>22.917306351062</v>
      </c>
      <c r="H62" s="6" t="n">
        <f aca="false">CF!H55-CF!H59-CF!H61</f>
        <v>62.2118750539102</v>
      </c>
      <c r="I62" s="6" t="n">
        <f aca="false">CF!I55-CF!I59-CF!I61</f>
        <v>130.479383975531</v>
      </c>
      <c r="J62" s="6" t="n">
        <f aca="false">CF!J55-CF!J59-CF!J61</f>
        <v>202.171942700621</v>
      </c>
      <c r="K62" s="6" t="n">
        <f aca="false">CF!K55-CF!K59-CF!K61</f>
        <v>237.234113926707</v>
      </c>
      <c r="L62" s="12" t="s">
        <v>1117</v>
      </c>
    </row>
    <row r="63" customFormat="false" ht="15" hidden="false" customHeight="false" outlineLevel="0" collapsed="false">
      <c r="A63" s="1" t="s">
        <v>1118</v>
      </c>
      <c r="B63" s="0" t="s">
        <v>75</v>
      </c>
      <c r="F63" s="8" t="n">
        <f aca="false">dps_27</f>
        <v>3.85</v>
      </c>
      <c r="G63" s="8" t="n">
        <f aca="false">CF!F63*(1+dps_g)</f>
        <v>4.158</v>
      </c>
      <c r="H63" s="8" t="n">
        <f aca="false">CF!G63*(1+dps_g)</f>
        <v>4.49064</v>
      </c>
      <c r="I63" s="8" t="n">
        <f aca="false">CF!H63*(1+dps_g)</f>
        <v>4.8498912</v>
      </c>
      <c r="J63" s="8" t="n">
        <f aca="false">CF!I63*(1+dps_g)</f>
        <v>5.237882496</v>
      </c>
      <c r="K63" s="8" t="n">
        <f aca="false">CF!J63*(1+dps_g)</f>
        <v>5.65691309568</v>
      </c>
    </row>
    <row r="64" customFormat="false" ht="17.15" hidden="false" customHeight="false" outlineLevel="0" collapsed="false">
      <c r="A64" s="1" t="s">
        <v>1119</v>
      </c>
      <c r="B64" s="0" t="s">
        <v>98</v>
      </c>
      <c r="E64" s="6" t="n">
        <f aca="false">Q!M41</f>
        <v>26.445</v>
      </c>
      <c r="F64" s="6" t="n">
        <f aca="false">CF!F63*CF!E73</f>
        <v>28.59395</v>
      </c>
      <c r="G64" s="6" t="n">
        <f aca="false">CF!G63*CF!F73</f>
        <v>31.0665353021685</v>
      </c>
      <c r="H64" s="6" t="n">
        <f aca="false">CF!H63*CF!G73</f>
        <v>33.753936926342</v>
      </c>
      <c r="I64" s="6" t="n">
        <f aca="false">CF!I63*CF!H73</f>
        <v>36.504690157522</v>
      </c>
      <c r="J64" s="6" t="n">
        <f aca="false">CF!J63*CF!I73</f>
        <v>39.4929632555164</v>
      </c>
      <c r="K64" s="6" t="n">
        <f aca="false">CF!K63*CF!J73</f>
        <v>42.739154578336</v>
      </c>
      <c r="L64" s="1" t="s">
        <v>1120</v>
      </c>
    </row>
    <row r="65" customFormat="false" ht="15" hidden="false" customHeight="false" outlineLevel="0" collapsed="false">
      <c r="A65" s="1" t="s">
        <v>1121</v>
      </c>
      <c r="B65" s="0" t="s">
        <v>98</v>
      </c>
      <c r="E65" s="6" t="n">
        <f aca="false">CF!E62-CF!E64</f>
        <v>37.441</v>
      </c>
      <c r="F65" s="6" t="n">
        <f aca="false">CF!F62-CF!F64</f>
        <v>-17.3221625004945</v>
      </c>
      <c r="G65" s="6" t="n">
        <f aca="false">CF!G62-CF!G64</f>
        <v>-8.14922895110651</v>
      </c>
      <c r="H65" s="6" t="n">
        <f aca="false">CF!H62-CF!H64</f>
        <v>28.4579381275682</v>
      </c>
      <c r="I65" s="6" t="n">
        <f aca="false">CF!I62-CF!I64</f>
        <v>93.9746938180087</v>
      </c>
      <c r="J65" s="6" t="n">
        <f aca="false">CF!J62-CF!J64</f>
        <v>162.678979445105</v>
      </c>
      <c r="K65" s="6" t="n">
        <f aca="false">CF!K62-CF!K64</f>
        <v>194.494959348371</v>
      </c>
    </row>
    <row r="66" customFormat="false" ht="15" hidden="false" customHeight="false" outlineLevel="0" collapsed="false">
      <c r="A66" s="1" t="s">
        <v>1122</v>
      </c>
      <c r="B66" s="0" t="s">
        <v>98</v>
      </c>
      <c r="F66" s="6" t="n">
        <f aca="false">debt_mat_27</f>
        <v>9.25</v>
      </c>
      <c r="G66" s="6" t="n">
        <f aca="false">debt_mat_28</f>
        <v>0</v>
      </c>
      <c r="H66" s="6" t="n">
        <f aca="false">debt_mat_29</f>
        <v>2.001</v>
      </c>
      <c r="I66" s="6" t="n">
        <f aca="false">debt_mat_30</f>
        <v>0</v>
      </c>
      <c r="J66" s="6" t="n">
        <f aca="false">debt_mat_31</f>
        <v>0.5</v>
      </c>
      <c r="K66" s="6" t="n">
        <f aca="false">debt_mat_32</f>
        <v>0</v>
      </c>
    </row>
    <row r="67" customFormat="false" ht="15" hidden="false" customHeight="false" outlineLevel="0" collapsed="false">
      <c r="A67" s="1" t="s">
        <v>1123</v>
      </c>
      <c r="B67" s="0" t="s">
        <v>98</v>
      </c>
      <c r="E67" s="6" t="n">
        <f aca="false">Q!M40</f>
        <v>22.271</v>
      </c>
      <c r="F67" s="6" t="n">
        <f aca="false">MAX(0,MIN(bb_target,CF!E69+CF!F65-CF!F66-min_cash))</f>
        <v>0.270837499505504</v>
      </c>
      <c r="G67" s="6" t="n">
        <f aca="false">MAX(0,MIN(bb_target,CF!F69+CF!G65-CF!G66-min_cash))</f>
        <v>0</v>
      </c>
      <c r="H67" s="6" t="n">
        <f aca="false">MAX(0,MIN(bb_target,CF!G69+CF!H65-CF!H66-min_cash))</f>
        <v>22.271</v>
      </c>
      <c r="I67" s="6" t="n">
        <f aca="false">MAX(0,MIN(bb_target,CF!H69+CF!I65-CF!I66-min_cash))</f>
        <v>22.271</v>
      </c>
      <c r="J67" s="6" t="n">
        <f aca="false">MAX(0,MIN(bb_target,CF!I69+CF!J65-CF!J66-min_cash))</f>
        <v>22.271</v>
      </c>
      <c r="K67" s="6" t="n">
        <f aca="false">MAX(0,MIN(bb_target,CF!J69+CF!K65-CF!K66-min_cash))</f>
        <v>22.271</v>
      </c>
    </row>
    <row r="68" customFormat="false" ht="15" hidden="false" customHeight="false" outlineLevel="0" collapsed="false">
      <c r="A68" s="1" t="s">
        <v>1124</v>
      </c>
      <c r="B68" s="0" t="s">
        <v>98</v>
      </c>
      <c r="F68" s="6" t="n">
        <f aca="false">MAX(0,min_cash-(CF!E69+CF!F65-CF!F66-CF!F67))</f>
        <v>0</v>
      </c>
      <c r="G68" s="6" t="n">
        <f aca="false">MAX(0,min_cash-(CF!F69+CF!G65-CF!G66-CF!G67))</f>
        <v>8.14922895110651</v>
      </c>
      <c r="H68" s="6" t="n">
        <f aca="false">MAX(0,min_cash-(CF!G69+CF!H65-CF!H66-CF!H67))</f>
        <v>0</v>
      </c>
      <c r="I68" s="6" t="n">
        <f aca="false">MAX(0,min_cash-(CF!H69+CF!I65-CF!I66-CF!I67))</f>
        <v>0</v>
      </c>
      <c r="J68" s="6" t="n">
        <f aca="false">MAX(0,min_cash-(CF!I69+CF!J65-CF!J66-CF!J67))</f>
        <v>0</v>
      </c>
      <c r="K68" s="6" t="n">
        <f aca="false">MAX(0,min_cash-(CF!J69+CF!K65-CF!K66-CF!K67))</f>
        <v>0</v>
      </c>
    </row>
    <row r="69" customFormat="false" ht="15" hidden="false" customHeight="false" outlineLevel="0" collapsed="false">
      <c r="A69" s="1" t="s">
        <v>1125</v>
      </c>
      <c r="B69" s="0" t="s">
        <v>98</v>
      </c>
      <c r="E69" s="6" t="n">
        <f aca="false">cash_open</f>
        <v>76.843</v>
      </c>
      <c r="F69" s="6" t="n">
        <f aca="false">CF!E69+CF!F65-CF!F66-CF!F67+CF!F68</f>
        <v>50</v>
      </c>
      <c r="G69" s="6" t="n">
        <f aca="false">CF!F69+CF!G65-CF!G66-CF!G67+CF!G68</f>
        <v>50</v>
      </c>
      <c r="H69" s="6" t="n">
        <f aca="false">CF!G69+CF!H65-CF!H66-CF!H67+CF!H68</f>
        <v>54.1859381275682</v>
      </c>
      <c r="I69" s="6" t="n">
        <f aca="false">CF!H69+CF!I65-CF!I66-CF!I67+CF!I68</f>
        <v>125.889631945577</v>
      </c>
      <c r="J69" s="6" t="n">
        <f aca="false">CF!I69+CF!J65-CF!J66-CF!J67+CF!J68</f>
        <v>265.797611390682</v>
      </c>
      <c r="K69" s="6" t="n">
        <f aca="false">CF!J69+CF!K65-CF!K66-CF!K67+CF!K68</f>
        <v>438.021570739053</v>
      </c>
    </row>
    <row r="70" customFormat="false" ht="15" hidden="false" customHeight="false" outlineLevel="0" collapsed="false">
      <c r="A70" s="1" t="s">
        <v>1126</v>
      </c>
      <c r="B70" s="0" t="s">
        <v>98</v>
      </c>
      <c r="E70" s="6" t="n">
        <f aca="false">debt_face</f>
        <v>46.136</v>
      </c>
      <c r="F70" s="6" t="n">
        <f aca="false">CF!E70-CF!F66+CF!F68</f>
        <v>36.886</v>
      </c>
      <c r="G70" s="6" t="n">
        <f aca="false">CF!F70-CF!G66+CF!G68</f>
        <v>45.0352289511065</v>
      </c>
      <c r="H70" s="6" t="n">
        <f aca="false">CF!G70-CF!H66+CF!H68</f>
        <v>43.0342289511065</v>
      </c>
      <c r="I70" s="6" t="n">
        <f aca="false">CF!H70-CF!I66+CF!I68</f>
        <v>43.0342289511065</v>
      </c>
      <c r="J70" s="6" t="n">
        <f aca="false">CF!I70-CF!J66+CF!J68</f>
        <v>42.5342289511065</v>
      </c>
      <c r="K70" s="6" t="n">
        <f aca="false">CF!J70-CF!K66+CF!K68</f>
        <v>42.5342289511065</v>
      </c>
    </row>
    <row r="71" customFormat="false" ht="15" hidden="false" customHeight="false" outlineLevel="0" collapsed="false">
      <c r="A71" s="1" t="s">
        <v>1127</v>
      </c>
      <c r="B71" s="0" t="s">
        <v>98</v>
      </c>
      <c r="E71" s="6" t="n">
        <f aca="false">CF!E69-CF!E70</f>
        <v>30.707</v>
      </c>
      <c r="F71" s="6" t="n">
        <f aca="false">CF!F69-CF!F70</f>
        <v>13.114</v>
      </c>
      <c r="G71" s="6" t="n">
        <f aca="false">CF!G69-CF!G70</f>
        <v>4.96477104889349</v>
      </c>
      <c r="H71" s="6" t="n">
        <f aca="false">CF!H69-CF!H70</f>
        <v>11.1517091764617</v>
      </c>
      <c r="I71" s="6" t="n">
        <f aca="false">CF!I69-CF!I70</f>
        <v>82.8554029944703</v>
      </c>
      <c r="J71" s="6" t="n">
        <f aca="false">CF!J69-CF!J70</f>
        <v>223.263382439575</v>
      </c>
      <c r="K71" s="6" t="n">
        <f aca="false">CF!K69-CF!K70</f>
        <v>395.487341787946</v>
      </c>
    </row>
    <row r="72" customFormat="false" ht="15" hidden="false" customHeight="false" outlineLevel="0" collapsed="false">
      <c r="A72" s="1" t="s">
        <v>1128</v>
      </c>
      <c r="B72" s="0" t="s">
        <v>75</v>
      </c>
      <c r="F72" s="30" t="n">
        <f aca="false">px*(1+bb_g)^(Thesis!F58-base_fy-mid_yr)</f>
        <v>551.84177959629</v>
      </c>
      <c r="G72" s="30" t="n">
        <f aca="false">px*(1+bb_g)^(Thesis!G58-base_fy-mid_yr)</f>
        <v>595.989121963993</v>
      </c>
      <c r="H72" s="30" t="n">
        <f aca="false">px*(1+bb_g)^(Thesis!H58-base_fy-mid_yr)</f>
        <v>643.668251721112</v>
      </c>
      <c r="I72" s="30" t="n">
        <f aca="false">px*(1+bb_g)^(Thesis!I58-base_fy-mid_yr)</f>
        <v>695.161711858801</v>
      </c>
      <c r="J72" s="30" t="n">
        <f aca="false">px*(1+bb_g)^(Thesis!J58-base_fy-mid_yr)</f>
        <v>750.774648807506</v>
      </c>
      <c r="K72" s="30" t="n">
        <f aca="false">px*(1+bb_g)^(Thesis!K58-base_fy-mid_yr)</f>
        <v>810.836620712106</v>
      </c>
    </row>
    <row r="73" customFormat="false" ht="15" hidden="false" customHeight="false" outlineLevel="0" collapsed="false">
      <c r="A73" s="1" t="s">
        <v>1129</v>
      </c>
      <c r="B73" s="1" t="s">
        <v>81</v>
      </c>
      <c r="E73" s="15" t="n">
        <f aca="false">sh_out26</f>
        <v>7.427</v>
      </c>
      <c r="F73" s="15" t="n">
        <f aca="false">CF!E73+sh_iss-CF!F67/CF!F72</f>
        <v>7.47150921168074</v>
      </c>
      <c r="G73" s="15" t="n">
        <f aca="false">CF!F73+sh_iss-CF!G67/CF!G72</f>
        <v>7.51650921168074</v>
      </c>
      <c r="H73" s="15" t="n">
        <f aca="false">CF!G73+sh_iss-CF!H67/CF!H72</f>
        <v>7.52690908973834</v>
      </c>
      <c r="I73" s="15" t="n">
        <f aca="false">CF!H73+sh_iss-CF!I67/CF!I72</f>
        <v>7.53987193979168</v>
      </c>
      <c r="J73" s="15" t="n">
        <f aca="false">CF!I73+sh_iss-CF!J67/CF!J72</f>
        <v>7.55520791206329</v>
      </c>
      <c r="K73" s="15" t="n">
        <f aca="false">CF!J73+sh_iss-CF!K67/CF!K72</f>
        <v>7.57274121972218</v>
      </c>
    </row>
    <row r="74" customFormat="false" ht="15" hidden="false" customHeight="false" outlineLevel="0" collapsed="false">
      <c r="A74" s="1" t="s">
        <v>1130</v>
      </c>
      <c r="B74" s="1" t="s">
        <v>81</v>
      </c>
      <c r="E74" s="15" t="n">
        <f aca="false">sh_dil26</f>
        <v>7.453</v>
      </c>
      <c r="F74" s="15" t="n">
        <f aca="false">(CF!E73+CF!F73)/2+dil_gap</f>
        <v>7.47325460584037</v>
      </c>
      <c r="G74" s="15" t="n">
        <f aca="false">(CF!F73+CF!G73)/2+dil_gap</f>
        <v>7.51800921168074</v>
      </c>
      <c r="H74" s="15" t="n">
        <f aca="false">(CF!G73+CF!H73)/2+dil_gap</f>
        <v>7.54570915070954</v>
      </c>
      <c r="I74" s="15" t="n">
        <f aca="false">(CF!H73+CF!I73)/2+dil_gap</f>
        <v>7.55739051476501</v>
      </c>
      <c r="J74" s="15" t="n">
        <f aca="false">(CF!I73+CF!J73)/2+dil_gap</f>
        <v>7.57153992592748</v>
      </c>
      <c r="K74" s="15" t="n">
        <f aca="false">(CF!J73+CF!K73)/2+dil_gap</f>
        <v>7.58797456589273</v>
      </c>
    </row>
    <row r="75" customFormat="false" ht="17.15" hidden="false" customHeight="false" outlineLevel="0" collapsed="false">
      <c r="A75" s="1" t="s">
        <v>1131</v>
      </c>
      <c r="B75" s="0" t="s">
        <v>98</v>
      </c>
      <c r="C75" s="6" t="n">
        <f aca="false">SUM(CF!F65:J65)</f>
        <v>259.640219939081</v>
      </c>
    </row>
    <row r="76" customFormat="false" ht="15" hidden="false" customHeight="false" outlineLevel="0" collapsed="false">
      <c r="A76" s="26" t="s">
        <v>1096</v>
      </c>
      <c r="B76" s="31" t="s">
        <v>98</v>
      </c>
      <c r="C76" s="27" t="n">
        <f aca="false">CF!$C$75-(CF!F65+CF!G65+CF!H65+CF!I65+CF!J65)</f>
        <v>0</v>
      </c>
      <c r="D76" s="31"/>
      <c r="E76" s="31"/>
      <c r="F76" s="31"/>
      <c r="G76" s="31"/>
      <c r="H76" s="31"/>
      <c r="I76" s="31"/>
      <c r="J76" s="31"/>
      <c r="K76" s="31"/>
    </row>
    <row r="77" customFormat="false" ht="17.15" hidden="false" customHeight="false" outlineLevel="0" collapsed="false">
      <c r="A77" s="1" t="s">
        <v>1090</v>
      </c>
      <c r="B77" s="1" t="s">
        <v>1132</v>
      </c>
      <c r="C77" s="33" t="str">
        <f aca="false">IF(SUM(CF!F68:J68)&gt;0.05,"需要舉債 "&amp;TEXT(SUM(CF!F68:J68),"0.0")&amp;" 十億美元","不需舉債")&amp;"；"&amp;IF(SUM(CF!F67:J67)&lt;COUNT(CF!F67:J67)*bb_target-0.05,"回購較每年 "&amp;TEXT(bb_target,"0.0")&amp;" 的目標少 "&amp;TEXT(COUNT(CF!F67:J67)*bb_target-SUM(CF!F67:J67),"0.0")&amp;" 十億美元（"&amp;TEXT(COUNTIF(CF!F67:J67,"&lt;"&amp;(bb_target-0.05)),"0")&amp;" 年減少）","回購不減")</f>
        <v>需要舉債 8.1 十億美元；回購較每年 22.3 的目標少 44.3 十億美元（2 年減少）</v>
      </c>
    </row>
    <row r="78" customFormat="false" ht="17.15" hidden="false" customHeight="false" outlineLevel="0" collapsed="false">
      <c r="A78" s="3" t="s">
        <v>1134</v>
      </c>
    </row>
    <row r="79" customFormat="false" ht="15" hidden="false" customHeight="false" outlineLevel="0" collapsed="false">
      <c r="A79" s="4" t="s">
        <v>43</v>
      </c>
      <c r="B79" s="4" t="s">
        <v>65</v>
      </c>
      <c r="C79" s="23" t="s">
        <v>938</v>
      </c>
      <c r="D79" s="23" t="s">
        <v>939</v>
      </c>
      <c r="E79" s="23" t="s">
        <v>940</v>
      </c>
      <c r="F79" s="23" t="s">
        <v>941</v>
      </c>
      <c r="G79" s="23" t="s">
        <v>942</v>
      </c>
      <c r="H79" s="23" t="s">
        <v>943</v>
      </c>
      <c r="I79" s="23" t="s">
        <v>944</v>
      </c>
      <c r="J79" s="23" t="s">
        <v>945</v>
      </c>
      <c r="K79" s="23" t="s">
        <v>946</v>
      </c>
      <c r="L79" s="4" t="s">
        <v>47</v>
      </c>
    </row>
    <row r="80" customFormat="false" ht="15" hidden="false" customHeight="false" outlineLevel="0" collapsed="false">
      <c r="A80" s="1" t="s">
        <v>1076</v>
      </c>
      <c r="B80" s="0" t="s">
        <v>98</v>
      </c>
      <c r="F80" s="6" t="n">
        <f aca="false">PL!F123</f>
        <v>141.519132566314</v>
      </c>
      <c r="G80" s="6" t="n">
        <f aca="false">PL!G123</f>
        <v>143.776094190781</v>
      </c>
      <c r="H80" s="6" t="n">
        <f aca="false">PL!H123</f>
        <v>145.523258806884</v>
      </c>
      <c r="I80" s="6" t="n">
        <f aca="false">PL!I123</f>
        <v>153.618584087663</v>
      </c>
      <c r="J80" s="6" t="n">
        <f aca="false">PL!J123</f>
        <v>163.027321880188</v>
      </c>
      <c r="K80" s="6" t="n">
        <f aca="false">PL!K123</f>
        <v>173.630216203913</v>
      </c>
    </row>
    <row r="81" customFormat="false" ht="17.15" hidden="false" customHeight="false" outlineLevel="0" collapsed="false">
      <c r="A81" s="1" t="s">
        <v>1098</v>
      </c>
      <c r="B81" s="0" t="s">
        <v>98</v>
      </c>
      <c r="E81" s="6" t="n">
        <f aca="false">Q!M38-Thesis!E147</f>
        <v>22.2285940229167</v>
      </c>
      <c r="F81" s="6" t="n">
        <f aca="false">CF!E81*(1-1/life_nonai)+(CF!F89+CF!F90)/life_nonai</f>
        <v>23.5883405279552</v>
      </c>
      <c r="G81" s="6" t="n">
        <f aca="false">CF!F81*(1-1/life_nonai)+(CF!G89)/life_nonai</f>
        <v>25.347608709247</v>
      </c>
      <c r="H81" s="6" t="n">
        <f aca="false">CF!G81*(1-1/life_nonai)+(CF!H89)/life_nonai</f>
        <v>27.4750934833125</v>
      </c>
      <c r="I81" s="6" t="n">
        <f aca="false">CF!H81*(1-1/life_nonai)+(CF!I89)/life_nonai</f>
        <v>29.9140127982598</v>
      </c>
      <c r="J81" s="6" t="n">
        <f aca="false">CF!I81*(1-1/life_nonai)+(CF!J89)/life_nonai</f>
        <v>32.5895147654561</v>
      </c>
      <c r="K81" s="6" t="n">
        <f aca="false">CF!J81*(1-1/life_nonai)+(CF!K89)/life_nonai</f>
        <v>35.4171979437481</v>
      </c>
      <c r="L81" s="12" t="s">
        <v>1099</v>
      </c>
    </row>
    <row r="82" customFormat="false" ht="17.15" hidden="false" customHeight="false" outlineLevel="0" collapsed="false">
      <c r="A82" s="1" t="s">
        <v>1100</v>
      </c>
      <c r="B82" s="0" t="s">
        <v>98</v>
      </c>
      <c r="F82" s="6" t="n">
        <f aca="false">CF!$F$90/life_nonai*(1-1/life_nonai)^(Thesis!F110-2027)</f>
        <v>0</v>
      </c>
      <c r="G82" s="6" t="n">
        <f aca="false">CF!$F$90/life_nonai*(1-1/life_nonai)^(Thesis!G110-2027)</f>
        <v>0</v>
      </c>
      <c r="H82" s="6" t="n">
        <f aca="false">CF!$F$90/life_nonai*(1-1/life_nonai)^(Thesis!H110-2027)</f>
        <v>0</v>
      </c>
      <c r="I82" s="6" t="n">
        <f aca="false">CF!$F$90/life_nonai*(1-1/life_nonai)^(Thesis!I110-2027)</f>
        <v>0</v>
      </c>
      <c r="J82" s="6" t="n">
        <f aca="false">CF!$F$90/life_nonai*(1-1/life_nonai)^(Thesis!J110-2027)</f>
        <v>0</v>
      </c>
      <c r="K82" s="6" t="n">
        <f aca="false">CF!$F$90/life_nonai*(1-1/life_nonai)^(Thesis!K110-2027)</f>
        <v>0</v>
      </c>
      <c r="L82" s="1" t="s">
        <v>1101</v>
      </c>
    </row>
    <row r="83" customFormat="false" ht="17.15" hidden="false" customHeight="false" outlineLevel="0" collapsed="false">
      <c r="A83" s="1" t="s">
        <v>1102</v>
      </c>
      <c r="B83" s="0" t="s">
        <v>98</v>
      </c>
      <c r="E83" s="6" t="n">
        <f aca="false">Thesis!E147+CF!E81</f>
        <v>38.534</v>
      </c>
      <c r="F83" s="6" t="n">
        <f aca="false">Thesis!F147+CF!F81</f>
        <v>58.1676550063068</v>
      </c>
      <c r="G83" s="6" t="n">
        <f aca="false">Thesis!G147+CF!G81</f>
        <v>86.0820993615459</v>
      </c>
      <c r="H83" s="6" t="n">
        <f aca="false">Thesis!H147+CF!H81</f>
        <v>116.575184144758</v>
      </c>
      <c r="I83" s="6" t="n">
        <f aca="false">Thesis!I147+CF!I81</f>
        <v>144.145022492808</v>
      </c>
      <c r="J83" s="6" t="n">
        <f aca="false">Thesis!J147+CF!J81</f>
        <v>164.605187815052</v>
      </c>
      <c r="K83" s="6" t="n">
        <f aca="false">Thesis!K147+CF!K81</f>
        <v>178.429867494682</v>
      </c>
    </row>
    <row r="84" customFormat="false" ht="17.15" hidden="false" customHeight="false" outlineLevel="0" collapsed="false">
      <c r="A84" s="1" t="s">
        <v>1103</v>
      </c>
      <c r="B84" s="0" t="s">
        <v>98</v>
      </c>
      <c r="F84" s="6" t="n">
        <f aca="false">Seg!F83*sbc_r</f>
        <v>14.7454787486369</v>
      </c>
      <c r="G84" s="6" t="n">
        <f aca="false">Seg!G83*sbc_r</f>
        <v>17.1560811611477</v>
      </c>
      <c r="H84" s="6" t="n">
        <f aca="false">Seg!H83*sbc_r</f>
        <v>19.4112161412813</v>
      </c>
      <c r="I84" s="6" t="n">
        <f aca="false">Seg!I83*sbc_r</f>
        <v>21.7655163708747</v>
      </c>
      <c r="J84" s="6" t="n">
        <f aca="false">Seg!J83*sbc_r</f>
        <v>23.7425689489627</v>
      </c>
      <c r="K84" s="6" t="n">
        <f aca="false">Seg!K83*sbc_r</f>
        <v>25.3560408997772</v>
      </c>
    </row>
    <row r="85" customFormat="false" ht="17.15" hidden="false" customHeight="false" outlineLevel="0" collapsed="false">
      <c r="A85" s="1" t="s">
        <v>1104</v>
      </c>
      <c r="B85" s="0" t="s">
        <v>98</v>
      </c>
      <c r="F85" s="6" t="n">
        <f aca="false">wc27-wc26q1</f>
        <v>-4.677</v>
      </c>
      <c r="G85" s="6" t="n">
        <f aca="false">wc_f</f>
        <v>0</v>
      </c>
      <c r="H85" s="6" t="n">
        <f aca="false">wc_f</f>
        <v>0</v>
      </c>
      <c r="I85" s="6" t="n">
        <f aca="false">wc_f</f>
        <v>0</v>
      </c>
      <c r="J85" s="6" t="n">
        <f aca="false">wc_f</f>
        <v>0</v>
      </c>
      <c r="K85" s="6" t="n">
        <f aca="false">wc_f</f>
        <v>0</v>
      </c>
      <c r="L85" s="12" t="s">
        <v>1105</v>
      </c>
    </row>
    <row r="86" customFormat="false" ht="17.15" hidden="false" customHeight="false" outlineLevel="0" collapsed="false">
      <c r="A86" s="0" t="s">
        <v>1106</v>
      </c>
      <c r="B86" s="0" t="s">
        <v>98</v>
      </c>
      <c r="F86" s="6" t="n">
        <f aca="false">Q!$I$35-Q!$I$26-Q!$I$38-Q!$I$39</f>
        <v>6.493</v>
      </c>
      <c r="L86" s="1" t="s">
        <v>1107</v>
      </c>
    </row>
    <row r="87" customFormat="false" ht="15" hidden="false" customHeight="false" outlineLevel="0" collapsed="false">
      <c r="A87" s="1" t="s">
        <v>904</v>
      </c>
      <c r="B87" s="0" t="s">
        <v>98</v>
      </c>
      <c r="E87" s="6" t="n">
        <f aca="false">Q!M35</f>
        <v>182.935</v>
      </c>
      <c r="F87" s="6" t="n">
        <f aca="false">CF!F80+CF!F83+CF!F84+CF!F85+CF!F86</f>
        <v>216.248266321257</v>
      </c>
      <c r="G87" s="6" t="n">
        <f aca="false">CF!G80+CF!G83+CF!G84+CF!G85</f>
        <v>247.014274713475</v>
      </c>
      <c r="H87" s="6" t="n">
        <f aca="false">CF!H80+CF!H83+CF!H84+CF!H85</f>
        <v>281.509659092923</v>
      </c>
      <c r="I87" s="6" t="n">
        <f aca="false">CF!I80+CF!I83+CF!I84+CF!I85</f>
        <v>319.529122951346</v>
      </c>
      <c r="J87" s="6" t="n">
        <f aca="false">CF!J80+CF!J83+CF!J84+CF!J85</f>
        <v>351.375078644203</v>
      </c>
      <c r="K87" s="6" t="n">
        <f aca="false">CF!K80+CF!K83+CF!K84+CF!K85</f>
        <v>377.416124598373</v>
      </c>
    </row>
    <row r="88" customFormat="false" ht="17.15" hidden="false" customHeight="false" outlineLevel="0" collapsed="false">
      <c r="A88" s="0" t="s">
        <v>1108</v>
      </c>
      <c r="B88" s="0" t="s">
        <v>98</v>
      </c>
      <c r="F88" s="6" t="n">
        <f aca="false">Thesis!F144</f>
        <v>168.45390404212</v>
      </c>
      <c r="G88" s="6" t="n">
        <f aca="false">Thesis!G144</f>
        <v>191.944475649048</v>
      </c>
      <c r="H88" s="6" t="n">
        <f aca="false">Thesis!H144</f>
        <v>196.806004064512</v>
      </c>
      <c r="I88" s="6" t="n">
        <f aca="false">Thesis!I144</f>
        <v>168.61483362161</v>
      </c>
      <c r="J88" s="6" t="n">
        <f aca="false">Thesis!J144</f>
        <v>128.92993119594</v>
      </c>
      <c r="K88" s="6" t="n">
        <f aca="false">Thesis!K144</f>
        <v>118.962853064733</v>
      </c>
    </row>
    <row r="89" customFormat="false" ht="17.15" hidden="false" customHeight="false" outlineLevel="0" collapsed="false">
      <c r="A89" s="1" t="s">
        <v>1109</v>
      </c>
      <c r="B89" s="0" t="s">
        <v>98</v>
      </c>
      <c r="E89" s="6" t="n">
        <f aca="false">Seg!E61*cx_azo+Seg!E68*cx_m365+Seg!E69*cx_lic+(Seg!E71+Seg!E73)*cx_ind+Seg!E76*cx_srch+(Seg!E78+Seg!E80)*cx_dev</f>
        <v>30.1846587067718</v>
      </c>
      <c r="F89" s="6" t="n">
        <f aca="false">Seg!F61*cx_azo+Seg!F68*cx_m365+Seg!F69*cx_lic+(Seg!F71+Seg!F73)*cx_ind+Seg!F76*cx_srch+(Seg!F78+Seg!F80)*cx_dev</f>
        <v>35.826059073302</v>
      </c>
      <c r="G89" s="6" t="n">
        <f aca="false">Seg!G61*cx_azo+Seg!G68*cx_m365+Seg!G69*cx_lic+(Seg!G71+Seg!G73)*cx_ind+Seg!G76*cx_srch+(Seg!G78+Seg!G80)*cx_dev</f>
        <v>41.1810223408732</v>
      </c>
      <c r="H89" s="6" t="n">
        <f aca="false">Seg!H61*cx_azo+Seg!H68*cx_m365+Seg!H69*cx_lic+(Seg!H71+Seg!H73)*cx_ind+Seg!H76*cx_srch+(Seg!H78+Seg!H80)*cx_dev</f>
        <v>46.6224564499022</v>
      </c>
      <c r="I89" s="6" t="n">
        <f aca="false">Seg!I61*cx_azo+Seg!I68*cx_m365+Seg!I69*cx_lic+(Seg!I71+Seg!I73)*cx_ind+Seg!I76*cx_srch+(Seg!I78+Seg!I80)*cx_dev</f>
        <v>51.8642866327854</v>
      </c>
      <c r="J89" s="6" t="n">
        <f aca="false">Seg!J61*cx_azo+Seg!J68*cx_m365+Seg!J69*cx_lic+(Seg!J71+Seg!J73)*cx_ind+Seg!J76*cx_srch+(Seg!J78+Seg!J80)*cx_dev</f>
        <v>56.6690324702225</v>
      </c>
      <c r="K89" s="6" t="n">
        <f aca="false">Seg!K61*cx_azo+Seg!K68*cx_m365+Seg!K69*cx_lic+(Seg!K71+Seg!K73)*cx_ind+Seg!K76*cx_srch+(Seg!K78+Seg!K80)*cx_dev</f>
        <v>60.866346548376</v>
      </c>
    </row>
    <row r="90" customFormat="false" ht="17.15" hidden="false" customHeight="false" outlineLevel="0" collapsed="false">
      <c r="A90" s="0" t="s">
        <v>1110</v>
      </c>
      <c r="B90" s="0" t="s">
        <v>98</v>
      </c>
      <c r="F90" s="6" t="n">
        <f aca="false">Thesis!F142</f>
        <v>0</v>
      </c>
      <c r="L90" s="1" t="s">
        <v>1111</v>
      </c>
    </row>
    <row r="91" customFormat="false" ht="17.15" hidden="false" customHeight="false" outlineLevel="0" collapsed="false">
      <c r="A91" s="1" t="s">
        <v>1112</v>
      </c>
      <c r="B91" s="0" t="s">
        <v>98</v>
      </c>
      <c r="E91" s="6" t="n">
        <f aca="false">Q!M43</f>
        <v>145.3</v>
      </c>
      <c r="F91" s="6" t="n">
        <f aca="false">CF!F88+CF!F89+CF!F90</f>
        <v>204.279963115422</v>
      </c>
      <c r="G91" s="6" t="n">
        <f aca="false">CF!G88+CF!G89</f>
        <v>233.125497989921</v>
      </c>
      <c r="H91" s="6" t="n">
        <f aca="false">CF!H88+CF!H89</f>
        <v>243.428460514415</v>
      </c>
      <c r="I91" s="6" t="n">
        <f aca="false">CF!I88+CF!I89</f>
        <v>220.479120254396</v>
      </c>
      <c r="J91" s="6" t="n">
        <f aca="false">CF!J88+CF!J89</f>
        <v>185.598963666163</v>
      </c>
      <c r="K91" s="6" t="n">
        <f aca="false">CF!K88+CF!K89</f>
        <v>179.829199613109</v>
      </c>
      <c r="L91" s="1" t="s">
        <v>1113</v>
      </c>
    </row>
    <row r="92" customFormat="false" ht="15" hidden="false" customHeight="false" outlineLevel="0" collapsed="false">
      <c r="A92" s="1" t="s">
        <v>1114</v>
      </c>
      <c r="B92" s="0" t="s">
        <v>98</v>
      </c>
      <c r="E92" s="6" t="n">
        <f aca="false">fl_liab</f>
        <v>66.594</v>
      </c>
      <c r="F92" s="6" t="n">
        <f aca="false">CF!E92-CF!F93</f>
        <v>62.46973</v>
      </c>
      <c r="G92" s="6" t="n">
        <f aca="false">CF!F92-CF!G93</f>
        <v>57.98686785</v>
      </c>
      <c r="H92" s="6" t="n">
        <f aca="false">CF!G92-CF!H93</f>
        <v>53.92827690325</v>
      </c>
      <c r="I92" s="6" t="n">
        <f aca="false">CF!H92-CF!I93</f>
        <v>49.7850493638962</v>
      </c>
      <c r="J92" s="6" t="n">
        <f aca="false">CF!I92-CF!J93</f>
        <v>45.4823765852716</v>
      </c>
      <c r="K92" s="6" t="n">
        <f aca="false">CF!J92-CF!K93</f>
        <v>40.9860835316088</v>
      </c>
    </row>
    <row r="93" customFormat="false" ht="15" hidden="false" customHeight="false" outlineLevel="0" collapsed="false">
      <c r="A93" s="1" t="s">
        <v>1115</v>
      </c>
      <c r="B93" s="0" t="s">
        <v>98</v>
      </c>
      <c r="F93" s="6" t="n">
        <f aca="false">fl_pay_27-CF!E92*fl_rate</f>
        <v>4.12427</v>
      </c>
      <c r="G93" s="6" t="n">
        <f aca="false">fl_pay_28-CF!F92*fl_rate</f>
        <v>4.48286215</v>
      </c>
      <c r="H93" s="6" t="n">
        <f aca="false">fl_pay_29-CF!G92*fl_rate</f>
        <v>4.05859094675</v>
      </c>
      <c r="I93" s="6" t="n">
        <f aca="false">fl_pay_30-CF!H92*fl_rate</f>
        <v>4.14322753935375</v>
      </c>
      <c r="J93" s="6" t="n">
        <f aca="false">fl_pay_31-CF!I92*fl_rate</f>
        <v>4.30267277862467</v>
      </c>
      <c r="K93" s="6" t="n">
        <f aca="false">fl_pay_32-CF!J92*fl_rate</f>
        <v>4.49629305366278</v>
      </c>
    </row>
    <row r="94" customFormat="false" ht="17.15" hidden="false" customHeight="false" outlineLevel="0" collapsed="false">
      <c r="A94" s="1" t="s">
        <v>1116</v>
      </c>
      <c r="B94" s="0" t="s">
        <v>98</v>
      </c>
      <c r="E94" s="6" t="n">
        <f aca="false">Q!M35-Q!M36-Q!M44</f>
        <v>63.886</v>
      </c>
      <c r="F94" s="6" t="n">
        <f aca="false">CF!F87-CF!F91-CF!F93</f>
        <v>7.8440332058357</v>
      </c>
      <c r="G94" s="6" t="n">
        <f aca="false">CF!G87-CF!G91-CF!G93</f>
        <v>9.40591457355372</v>
      </c>
      <c r="H94" s="6" t="n">
        <f aca="false">CF!H87-CF!H91-CF!H93</f>
        <v>34.0226076317587</v>
      </c>
      <c r="I94" s="6" t="n">
        <f aca="false">CF!I87-CF!I91-CF!I93</f>
        <v>94.9067751575962</v>
      </c>
      <c r="J94" s="6" t="n">
        <f aca="false">CF!J87-CF!J91-CF!J93</f>
        <v>161.473442199415</v>
      </c>
      <c r="K94" s="6" t="n">
        <f aca="false">CF!K87-CF!K91-CF!K93</f>
        <v>193.090631931601</v>
      </c>
      <c r="L94" s="12" t="s">
        <v>1117</v>
      </c>
    </row>
    <row r="95" customFormat="false" ht="15" hidden="false" customHeight="false" outlineLevel="0" collapsed="false">
      <c r="A95" s="1" t="s">
        <v>1118</v>
      </c>
      <c r="B95" s="0" t="s">
        <v>75</v>
      </c>
      <c r="F95" s="8" t="n">
        <f aca="false">dps_27</f>
        <v>3.85</v>
      </c>
      <c r="G95" s="8" t="n">
        <f aca="false">CF!F95*(1+dps_g)</f>
        <v>4.158</v>
      </c>
      <c r="H95" s="8" t="n">
        <f aca="false">CF!G95*(1+dps_g)</f>
        <v>4.49064</v>
      </c>
      <c r="I95" s="8" t="n">
        <f aca="false">CF!H95*(1+dps_g)</f>
        <v>4.8498912</v>
      </c>
      <c r="J95" s="8" t="n">
        <f aca="false">CF!I95*(1+dps_g)</f>
        <v>5.237882496</v>
      </c>
      <c r="K95" s="8" t="n">
        <f aca="false">CF!J95*(1+dps_g)</f>
        <v>5.65691309568</v>
      </c>
    </row>
    <row r="96" customFormat="false" ht="17.15" hidden="false" customHeight="false" outlineLevel="0" collapsed="false">
      <c r="A96" s="1" t="s">
        <v>1119</v>
      </c>
      <c r="B96" s="0" t="s">
        <v>98</v>
      </c>
      <c r="E96" s="6" t="n">
        <f aca="false">Q!M41</f>
        <v>26.445</v>
      </c>
      <c r="F96" s="6" t="n">
        <f aca="false">CF!F95*CF!E105</f>
        <v>28.59395</v>
      </c>
      <c r="G96" s="6" t="n">
        <f aca="false">CF!G95*CF!F105</f>
        <v>31.068576</v>
      </c>
      <c r="H96" s="6" t="n">
        <f aca="false">CF!H95*CF!G105</f>
        <v>33.75614088</v>
      </c>
      <c r="I96" s="6" t="n">
        <f aca="false">CF!I95*CF!H105</f>
        <v>36.6748772544</v>
      </c>
      <c r="J96" s="6" t="n">
        <f aca="false">CF!J95*CF!I105</f>
        <v>39.6767653201446</v>
      </c>
      <c r="K96" s="6" t="n">
        <f aca="false">CF!K95*CF!J105</f>
        <v>42.9376608081345</v>
      </c>
      <c r="L96" s="1" t="s">
        <v>1120</v>
      </c>
    </row>
    <row r="97" customFormat="false" ht="15" hidden="false" customHeight="false" outlineLevel="0" collapsed="false">
      <c r="A97" s="1" t="s">
        <v>1121</v>
      </c>
      <c r="B97" s="0" t="s">
        <v>98</v>
      </c>
      <c r="E97" s="6" t="n">
        <f aca="false">CF!E94-CF!E96</f>
        <v>37.441</v>
      </c>
      <c r="F97" s="6" t="n">
        <f aca="false">CF!F94-CF!F96</f>
        <v>-20.7499167941643</v>
      </c>
      <c r="G97" s="6" t="n">
        <f aca="false">CF!G94-CF!G96</f>
        <v>-21.6626614264463</v>
      </c>
      <c r="H97" s="6" t="n">
        <f aca="false">CF!H94-CF!H96</f>
        <v>0.266466751758742</v>
      </c>
      <c r="I97" s="6" t="n">
        <f aca="false">CF!I94-CF!I96</f>
        <v>58.2318979031962</v>
      </c>
      <c r="J97" s="6" t="n">
        <f aca="false">CF!J94-CF!J96</f>
        <v>121.796676879271</v>
      </c>
      <c r="K97" s="6" t="n">
        <f aca="false">CF!K94-CF!K96</f>
        <v>150.152971123467</v>
      </c>
    </row>
    <row r="98" customFormat="false" ht="15" hidden="false" customHeight="false" outlineLevel="0" collapsed="false">
      <c r="A98" s="1" t="s">
        <v>1122</v>
      </c>
      <c r="B98" s="0" t="s">
        <v>98</v>
      </c>
      <c r="F98" s="6" t="n">
        <f aca="false">debt_mat_27</f>
        <v>9.25</v>
      </c>
      <c r="G98" s="6" t="n">
        <f aca="false">debt_mat_28</f>
        <v>0</v>
      </c>
      <c r="H98" s="6" t="n">
        <f aca="false">debt_mat_29</f>
        <v>2.001</v>
      </c>
      <c r="I98" s="6" t="n">
        <f aca="false">debt_mat_30</f>
        <v>0</v>
      </c>
      <c r="J98" s="6" t="n">
        <f aca="false">debt_mat_31</f>
        <v>0.5</v>
      </c>
      <c r="K98" s="6" t="n">
        <f aca="false">debt_mat_32</f>
        <v>0</v>
      </c>
    </row>
    <row r="99" customFormat="false" ht="15" hidden="false" customHeight="false" outlineLevel="0" collapsed="false">
      <c r="A99" s="1" t="s">
        <v>1123</v>
      </c>
      <c r="B99" s="0" t="s">
        <v>98</v>
      </c>
      <c r="E99" s="6" t="n">
        <f aca="false">Q!M40</f>
        <v>22.271</v>
      </c>
      <c r="F99" s="6" t="n">
        <f aca="false">MAX(0,MIN(bb_target,CF!E101+CF!F97-CF!F98-min_cash))</f>
        <v>0</v>
      </c>
      <c r="G99" s="6" t="n">
        <f aca="false">MAX(0,MIN(bb_target,CF!F101+CF!G97-CF!G98-min_cash))</f>
        <v>0</v>
      </c>
      <c r="H99" s="6" t="n">
        <f aca="false">MAX(0,MIN(bb_target,CF!G101+CF!H97-CF!H98-min_cash))</f>
        <v>0</v>
      </c>
      <c r="I99" s="6" t="n">
        <f aca="false">MAX(0,MIN(bb_target,CF!H101+CF!I97-CF!I98-min_cash))</f>
        <v>22.271</v>
      </c>
      <c r="J99" s="6" t="n">
        <f aca="false">MAX(0,MIN(bb_target,CF!I101+CF!J97-CF!J98-min_cash))</f>
        <v>22.271</v>
      </c>
      <c r="K99" s="6" t="n">
        <f aca="false">MAX(0,MIN(bb_target,CF!J101+CF!K97-CF!K98-min_cash))</f>
        <v>22.271</v>
      </c>
    </row>
    <row r="100" customFormat="false" ht="15" hidden="false" customHeight="false" outlineLevel="0" collapsed="false">
      <c r="A100" s="1" t="s">
        <v>1124</v>
      </c>
      <c r="B100" s="0" t="s">
        <v>98</v>
      </c>
      <c r="F100" s="6" t="n">
        <f aca="false">MAX(0,min_cash-(CF!E101+CF!F97-CF!F98-CF!F99))</f>
        <v>3.1569167941643</v>
      </c>
      <c r="G100" s="6" t="n">
        <f aca="false">MAX(0,min_cash-(CF!F101+CF!G97-CF!G98-CF!G99))</f>
        <v>21.6626614264463</v>
      </c>
      <c r="H100" s="6" t="n">
        <f aca="false">MAX(0,min_cash-(CF!G101+CF!H97-CF!H98-CF!H99))</f>
        <v>1.73453324824126</v>
      </c>
      <c r="I100" s="6" t="n">
        <f aca="false">MAX(0,min_cash-(CF!H101+CF!I97-CF!I98-CF!I99))</f>
        <v>0</v>
      </c>
      <c r="J100" s="6" t="n">
        <f aca="false">MAX(0,min_cash-(CF!I101+CF!J97-CF!J98-CF!J99))</f>
        <v>0</v>
      </c>
      <c r="K100" s="6" t="n">
        <f aca="false">MAX(0,min_cash-(CF!J101+CF!K97-CF!K98-CF!K99))</f>
        <v>0</v>
      </c>
    </row>
    <row r="101" customFormat="false" ht="15" hidden="false" customHeight="false" outlineLevel="0" collapsed="false">
      <c r="A101" s="1" t="s">
        <v>1125</v>
      </c>
      <c r="B101" s="0" t="s">
        <v>98</v>
      </c>
      <c r="E101" s="6" t="n">
        <f aca="false">cash_open</f>
        <v>76.843</v>
      </c>
      <c r="F101" s="6" t="n">
        <f aca="false">CF!E101+CF!F97-CF!F98-CF!F99+CF!F100</f>
        <v>50</v>
      </c>
      <c r="G101" s="6" t="n">
        <f aca="false">CF!F101+CF!G97-CF!G98-CF!G99+CF!G100</f>
        <v>50</v>
      </c>
      <c r="H101" s="6" t="n">
        <f aca="false">CF!G101+CF!H97-CF!H98-CF!H99+CF!H100</f>
        <v>50</v>
      </c>
      <c r="I101" s="6" t="n">
        <f aca="false">CF!H101+CF!I97-CF!I98-CF!I99+CF!I100</f>
        <v>85.9608979031962</v>
      </c>
      <c r="J101" s="6" t="n">
        <f aca="false">CF!I101+CF!J97-CF!J98-CF!J99+CF!J100</f>
        <v>184.986574782467</v>
      </c>
      <c r="K101" s="6" t="n">
        <f aca="false">CF!J101+CF!K97-CF!K98-CF!K99+CF!K100</f>
        <v>312.868545905934</v>
      </c>
    </row>
    <row r="102" customFormat="false" ht="15" hidden="false" customHeight="false" outlineLevel="0" collapsed="false">
      <c r="A102" s="1" t="s">
        <v>1126</v>
      </c>
      <c r="B102" s="0" t="s">
        <v>98</v>
      </c>
      <c r="E102" s="6" t="n">
        <f aca="false">debt_face</f>
        <v>46.136</v>
      </c>
      <c r="F102" s="6" t="n">
        <f aca="false">CF!E102-CF!F98+CF!F100</f>
        <v>40.0429167941643</v>
      </c>
      <c r="G102" s="6" t="n">
        <f aca="false">CF!F102-CF!G98+CF!G100</f>
        <v>61.7055782206106</v>
      </c>
      <c r="H102" s="6" t="n">
        <f aca="false">CF!G102-CF!H98+CF!H100</f>
        <v>61.4391114688519</v>
      </c>
      <c r="I102" s="6" t="n">
        <f aca="false">CF!H102-CF!I98+CF!I100</f>
        <v>61.4391114688519</v>
      </c>
      <c r="J102" s="6" t="n">
        <f aca="false">CF!I102-CF!J98+CF!J100</f>
        <v>60.9391114688519</v>
      </c>
      <c r="K102" s="6" t="n">
        <f aca="false">CF!J102-CF!K98+CF!K100</f>
        <v>60.9391114688519</v>
      </c>
    </row>
    <row r="103" customFormat="false" ht="15" hidden="false" customHeight="false" outlineLevel="0" collapsed="false">
      <c r="A103" s="1" t="s">
        <v>1127</v>
      </c>
      <c r="B103" s="0" t="s">
        <v>98</v>
      </c>
      <c r="E103" s="6" t="n">
        <f aca="false">CF!E101-CF!E102</f>
        <v>30.707</v>
      </c>
      <c r="F103" s="6" t="n">
        <f aca="false">CF!F101-CF!F102</f>
        <v>9.95708320583569</v>
      </c>
      <c r="G103" s="6" t="n">
        <f aca="false">CF!G101-CF!G102</f>
        <v>-11.7055782206106</v>
      </c>
      <c r="H103" s="6" t="n">
        <f aca="false">CF!H101-CF!H102</f>
        <v>-11.4391114688518</v>
      </c>
      <c r="I103" s="6" t="n">
        <f aca="false">CF!I101-CF!I102</f>
        <v>24.5217864343444</v>
      </c>
      <c r="J103" s="6" t="n">
        <f aca="false">CF!J101-CF!J102</f>
        <v>124.047463313615</v>
      </c>
      <c r="K103" s="6" t="n">
        <f aca="false">CF!K101-CF!K102</f>
        <v>251.929434437082</v>
      </c>
    </row>
    <row r="104" customFormat="false" ht="15" hidden="false" customHeight="false" outlineLevel="0" collapsed="false">
      <c r="A104" s="1" t="s">
        <v>1128</v>
      </c>
      <c r="B104" s="0" t="s">
        <v>75</v>
      </c>
      <c r="F104" s="30" t="n">
        <f aca="false">px*(1+bb_g)^(Thesis!F110-base_fy-mid_yr)</f>
        <v>551.84177959629</v>
      </c>
      <c r="G104" s="30" t="n">
        <f aca="false">px*(1+bb_g)^(Thesis!G110-base_fy-mid_yr)</f>
        <v>595.989121963993</v>
      </c>
      <c r="H104" s="30" t="n">
        <f aca="false">px*(1+bb_g)^(Thesis!H110-base_fy-mid_yr)</f>
        <v>643.668251721112</v>
      </c>
      <c r="I104" s="30" t="n">
        <f aca="false">px*(1+bb_g)^(Thesis!I110-base_fy-mid_yr)</f>
        <v>695.161711858801</v>
      </c>
      <c r="J104" s="30" t="n">
        <f aca="false">px*(1+bb_g)^(Thesis!J110-base_fy-mid_yr)</f>
        <v>750.774648807506</v>
      </c>
      <c r="K104" s="30" t="n">
        <f aca="false">px*(1+bb_g)^(Thesis!K110-base_fy-mid_yr)</f>
        <v>810.836620712106</v>
      </c>
    </row>
    <row r="105" customFormat="false" ht="15" hidden="false" customHeight="false" outlineLevel="0" collapsed="false">
      <c r="A105" s="1" t="s">
        <v>1129</v>
      </c>
      <c r="B105" s="1" t="s">
        <v>81</v>
      </c>
      <c r="E105" s="15" t="n">
        <f aca="false">sh_out26</f>
        <v>7.427</v>
      </c>
      <c r="F105" s="15" t="n">
        <f aca="false">CF!E105+sh_iss-CF!F99/CF!F104</f>
        <v>7.472</v>
      </c>
      <c r="G105" s="15" t="n">
        <f aca="false">CF!F105+sh_iss-CF!G99/CF!G104</f>
        <v>7.517</v>
      </c>
      <c r="H105" s="15" t="n">
        <f aca="false">CF!G105+sh_iss-CF!H99/CF!H104</f>
        <v>7.562</v>
      </c>
      <c r="I105" s="15" t="n">
        <f aca="false">CF!H105+sh_iss-CF!I99/CF!I104</f>
        <v>7.57496285005334</v>
      </c>
      <c r="J105" s="15" t="n">
        <f aca="false">CF!I105+sh_iss-CF!J99/CF!J104</f>
        <v>7.59029882232494</v>
      </c>
      <c r="K105" s="15" t="n">
        <f aca="false">CF!J105+sh_iss-CF!K99/CF!K104</f>
        <v>7.60783212998384</v>
      </c>
    </row>
    <row r="106" customFormat="false" ht="15" hidden="false" customHeight="false" outlineLevel="0" collapsed="false">
      <c r="A106" s="1" t="s">
        <v>1130</v>
      </c>
      <c r="B106" s="1" t="s">
        <v>81</v>
      </c>
      <c r="E106" s="15" t="n">
        <f aca="false">sh_dil26</f>
        <v>7.453</v>
      </c>
      <c r="F106" s="15" t="n">
        <f aca="false">(CF!E105+CF!F105)/2+dil_gap</f>
        <v>7.4735</v>
      </c>
      <c r="G106" s="15" t="n">
        <f aca="false">(CF!F105+CF!G105)/2+dil_gap</f>
        <v>7.5185</v>
      </c>
      <c r="H106" s="15" t="n">
        <f aca="false">(CF!G105+CF!H105)/2+dil_gap</f>
        <v>7.5635</v>
      </c>
      <c r="I106" s="15" t="n">
        <f aca="false">(CF!H105+CF!I105)/2+dil_gap</f>
        <v>7.59248142502667</v>
      </c>
      <c r="J106" s="15" t="n">
        <f aca="false">(CF!I105+CF!J105)/2+dil_gap</f>
        <v>7.60663083618914</v>
      </c>
      <c r="K106" s="15" t="n">
        <f aca="false">(CF!J105+CF!K105)/2+dil_gap</f>
        <v>7.62306547615439</v>
      </c>
    </row>
    <row r="107" customFormat="false" ht="17.15" hidden="false" customHeight="false" outlineLevel="0" collapsed="false">
      <c r="A107" s="1" t="s">
        <v>1131</v>
      </c>
      <c r="B107" s="0" t="s">
        <v>98</v>
      </c>
      <c r="C107" s="6" t="n">
        <f aca="false">SUM(CF!F97:J97)</f>
        <v>137.882463313615</v>
      </c>
    </row>
    <row r="108" customFormat="false" ht="15" hidden="false" customHeight="false" outlineLevel="0" collapsed="false">
      <c r="A108" s="26" t="s">
        <v>1096</v>
      </c>
      <c r="B108" s="31" t="s">
        <v>98</v>
      </c>
      <c r="C108" s="27" t="n">
        <f aca="false">CF!$C$107-(CF!F97+CF!G97+CF!H97+CF!I97+CF!J97)</f>
        <v>0</v>
      </c>
      <c r="D108" s="31"/>
      <c r="E108" s="31"/>
      <c r="F108" s="31"/>
      <c r="G108" s="31"/>
      <c r="H108" s="31"/>
      <c r="I108" s="31"/>
      <c r="J108" s="31"/>
      <c r="K108" s="31"/>
    </row>
    <row r="109" customFormat="false" ht="17.15" hidden="false" customHeight="false" outlineLevel="0" collapsed="false">
      <c r="A109" s="1" t="s">
        <v>1090</v>
      </c>
      <c r="B109" s="1" t="s">
        <v>1132</v>
      </c>
      <c r="C109" s="33" t="str">
        <f aca="false">IF(SUM(CF!F100:J100)&gt;0.05,"需要舉債 "&amp;TEXT(SUM(CF!F100:J100),"0.0")&amp;" 十億美元","不需舉債")&amp;"；"&amp;IF(SUM(CF!F99:J99)&lt;COUNT(CF!F99:J99)*bb_target-0.05,"回購較每年 "&amp;TEXT(bb_target,"0.0")&amp;" 的目標少 "&amp;TEXT(COUNT(CF!F99:J99)*bb_target-SUM(CF!F99:J99),"0.0")&amp;" 十億美元（"&amp;TEXT(COUNTIF(CF!F99:J99,"&lt;"&amp;(bb_target-0.05)),"0")&amp;" 年減少）","回購不減")</f>
        <v>需要舉債 26.6 十億美元；回購較每年 22.3 的目標少 66.8 十億美元（3 年減少）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11" min="6" style="0" width="11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0" t="s">
        <v>1135</v>
      </c>
    </row>
    <row r="2" customFormat="false" ht="17.15" hidden="false" customHeight="false" outlineLevel="0" collapsed="false">
      <c r="A2" s="1" t="s">
        <v>1136</v>
      </c>
    </row>
    <row r="4" customFormat="false" ht="17.15" hidden="false" customHeight="false" outlineLevel="0" collapsed="false">
      <c r="A4" s="10" t="s">
        <v>1137</v>
      </c>
    </row>
    <row r="5" customFormat="false" ht="17.15" hidden="false" customHeight="false" outlineLevel="0" collapsed="false">
      <c r="A5" s="10" t="s">
        <v>1138</v>
      </c>
    </row>
    <row r="6" customFormat="false" ht="17.15" hidden="false" customHeight="false" outlineLevel="0" collapsed="false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</row>
    <row r="7" customFormat="false" ht="17.15" hidden="false" customHeight="false" outlineLevel="0" collapsed="false">
      <c r="A7" s="0" t="s">
        <v>1139</v>
      </c>
      <c r="B7" s="6" t="n">
        <f aca="false">Val!$C$83</f>
        <v>2350.52316370017</v>
      </c>
      <c r="C7" s="6" t="n">
        <f aca="false">Val!$C$132</f>
        <v>2096.62227502262</v>
      </c>
      <c r="D7" s="6" t="n">
        <f aca="false">Val!$C$181</f>
        <v>1790.9538464592</v>
      </c>
      <c r="E7" s="12" t="s">
        <v>1140</v>
      </c>
    </row>
    <row r="8" customFormat="false" ht="17.15" hidden="false" customHeight="false" outlineLevel="0" collapsed="false">
      <c r="A8" s="1" t="s">
        <v>1141</v>
      </c>
      <c r="B8" s="7" t="n">
        <f aca="false">Val!$C$84</f>
        <v>0.744840024638574</v>
      </c>
      <c r="C8" s="7" t="n">
        <f aca="false">Val!$C$133</f>
        <v>0.751874738831729</v>
      </c>
      <c r="D8" s="7" t="n">
        <f aca="false">Val!$C$182</f>
        <v>0.763200149941769</v>
      </c>
      <c r="E8" s="1" t="s">
        <v>1142</v>
      </c>
    </row>
    <row r="9" customFormat="false" ht="17.15" hidden="false" customHeight="false" outlineLevel="0" collapsed="false">
      <c r="A9" s="1" t="s">
        <v>1143</v>
      </c>
      <c r="B9" s="6" t="n">
        <f aca="false">cash_val-debt_val</f>
        <v>23.24</v>
      </c>
      <c r="C9" s="6" t="n">
        <f aca="false">cash_val-debt_val</f>
        <v>23.24</v>
      </c>
      <c r="D9" s="6" t="n">
        <f aca="false">cash_val-debt_val</f>
        <v>23.24</v>
      </c>
      <c r="E9" s="1" t="s">
        <v>1144</v>
      </c>
    </row>
    <row r="10" customFormat="false" ht="17.15" hidden="false" customHeight="false" outlineLevel="0" collapsed="false">
      <c r="A10" s="1" t="s">
        <v>1145</v>
      </c>
      <c r="B10" s="6" t="n">
        <f aca="false">fl_val</f>
        <v>70.973</v>
      </c>
      <c r="C10" s="6" t="n">
        <f aca="false">fl_val</f>
        <v>70.973</v>
      </c>
      <c r="D10" s="6" t="n">
        <f aca="false">fl_val</f>
        <v>70.973</v>
      </c>
      <c r="E10" s="1" t="s">
        <v>1146</v>
      </c>
    </row>
    <row r="11" customFormat="false" ht="17.15" hidden="false" customHeight="false" outlineLevel="0" collapsed="false">
      <c r="A11" s="1" t="s">
        <v>1147</v>
      </c>
      <c r="B11" s="6" t="n">
        <f aca="false">oai_v</f>
        <v>163.584</v>
      </c>
      <c r="C11" s="6" t="n">
        <f aca="false">oai_v</f>
        <v>163.584</v>
      </c>
      <c r="D11" s="6" t="n">
        <f aca="false">oai_v</f>
        <v>163.584</v>
      </c>
      <c r="E11" s="12" t="s">
        <v>1148</v>
      </c>
    </row>
    <row r="12" customFormat="false" ht="17.15" hidden="false" customHeight="false" outlineLevel="0" collapsed="false">
      <c r="A12" s="0" t="s">
        <v>1149</v>
      </c>
      <c r="B12" s="5" t="n">
        <f aca="false">Val!$C$86</f>
        <v>331.234778901447</v>
      </c>
      <c r="C12" s="5" t="n">
        <f aca="false">Val!$C$135</f>
        <v>297.13581453433</v>
      </c>
      <c r="D12" s="5" t="n">
        <f aca="false">Val!$C$184</f>
        <v>256.084454265269</v>
      </c>
      <c r="E12" s="12" t="s">
        <v>1150</v>
      </c>
    </row>
    <row r="13" customFormat="false" ht="17.15" hidden="false" customHeight="false" outlineLevel="0" collapsed="false">
      <c r="A13" s="0" t="s">
        <v>1151</v>
      </c>
      <c r="B13" s="5" t="n">
        <f aca="false">Val!$C$88</f>
        <v>364.206443208347</v>
      </c>
      <c r="C13" s="5" t="n">
        <f aca="false">Val!$C$137</f>
        <v>326.303541225732</v>
      </c>
      <c r="D13" s="5" t="n">
        <f aca="false">Val!$C$186</f>
        <v>280.67266317972</v>
      </c>
      <c r="E13" s="12" t="s">
        <v>1152</v>
      </c>
    </row>
    <row r="14" customFormat="false" ht="17.15" hidden="false" customHeight="false" outlineLevel="0" collapsed="false">
      <c r="A14" s="0" t="s">
        <v>1153</v>
      </c>
      <c r="B14" s="34" t="n">
        <f aca="false">w_A*B13+w_B*C13+w_C*D13</f>
        <v>324.371547209883</v>
      </c>
      <c r="E14" s="12" t="s">
        <v>1154</v>
      </c>
    </row>
    <row r="15" customFormat="false" ht="17.15" hidden="false" customHeight="false" outlineLevel="0" collapsed="false">
      <c r="A15" s="0" t="s">
        <v>1155</v>
      </c>
      <c r="B15" s="35" t="n">
        <f aca="false">wacc</f>
        <v>0.102936590945597</v>
      </c>
      <c r="C15" s="35" t="n">
        <f aca="false">g_tv</f>
        <v>0.03</v>
      </c>
      <c r="E15" s="12" t="s">
        <v>1156</v>
      </c>
    </row>
    <row r="17" customFormat="false" ht="17.15" hidden="false" customHeight="false" outlineLevel="0" collapsed="false">
      <c r="A17" s="10" t="s">
        <v>1157</v>
      </c>
    </row>
    <row r="18" customFormat="false" ht="17.15" hidden="false" customHeight="false" outlineLevel="0" collapsed="false">
      <c r="A18" s="4" t="s">
        <v>43</v>
      </c>
      <c r="B18" s="4" t="s">
        <v>44</v>
      </c>
      <c r="C18" s="4" t="s">
        <v>45</v>
      </c>
      <c r="D18" s="4" t="s">
        <v>46</v>
      </c>
      <c r="E18" s="4" t="s">
        <v>1158</v>
      </c>
    </row>
    <row r="19" customFormat="false" ht="17.15" hidden="false" customHeight="false" outlineLevel="0" collapsed="false">
      <c r="A19" s="0" t="s">
        <v>1159</v>
      </c>
      <c r="B19" s="6" t="n">
        <f aca="false">Val!$C$104</f>
        <v>424.259738494477</v>
      </c>
      <c r="C19" s="6" t="n">
        <f aca="false">Val!$C$153</f>
        <v>186.592133308255</v>
      </c>
      <c r="D19" s="6" t="n">
        <f aca="false">Val!$C$202</f>
        <v>-109.248827617462</v>
      </c>
    </row>
    <row r="20" customFormat="false" ht="17.15" hidden="false" customHeight="false" outlineLevel="0" collapsed="false">
      <c r="A20" s="0" t="s">
        <v>1160</v>
      </c>
      <c r="B20" s="6" t="n">
        <f aca="false">Val!$C$106</f>
        <v>1085.17964696599</v>
      </c>
      <c r="C20" s="6" t="n">
        <f aca="false">Val!$C$155</f>
        <v>1089.03436702245</v>
      </c>
      <c r="D20" s="6" t="n">
        <f aca="false">Val!$C$204</f>
        <v>1093.03877543039</v>
      </c>
      <c r="E20" s="8" t="n">
        <f aca="false">m_cloud</f>
        <v>13.82</v>
      </c>
    </row>
    <row r="21" customFormat="false" ht="17.15" hidden="false" customHeight="false" outlineLevel="0" collapsed="false">
      <c r="A21" s="0" t="s">
        <v>1161</v>
      </c>
      <c r="B21" s="6" t="n">
        <f aca="false">Val!$C$107</f>
        <v>1120.47763155275</v>
      </c>
      <c r="C21" s="6" t="n">
        <f aca="false">Val!$C$156</f>
        <v>1082.84962646159</v>
      </c>
      <c r="D21" s="6" t="n">
        <f aca="false">Val!$C$205</f>
        <v>1045.17056616266</v>
      </c>
      <c r="E21" s="8" t="n">
        <f aca="false">m_sw</f>
        <v>10.8</v>
      </c>
    </row>
    <row r="22" customFormat="false" ht="17.15" hidden="false" customHeight="false" outlineLevel="0" collapsed="false">
      <c r="A22" s="0" t="s">
        <v>1162</v>
      </c>
      <c r="B22" s="6" t="n">
        <f aca="false">Val!$C$108</f>
        <v>372.68398809041</v>
      </c>
      <c r="C22" s="6" t="n">
        <f aca="false">Val!$C$157</f>
        <v>372.929250898731</v>
      </c>
      <c r="D22" s="6" t="n">
        <f aca="false">Val!$C$206</f>
        <v>373.178444957791</v>
      </c>
      <c r="E22" s="8" t="n">
        <f aca="false">m_sw</f>
        <v>10.8</v>
      </c>
    </row>
    <row r="23" customFormat="false" ht="17.15" hidden="false" customHeight="false" outlineLevel="0" collapsed="false">
      <c r="A23" s="0" t="s">
        <v>1163</v>
      </c>
      <c r="B23" s="6" t="n">
        <f aca="false">Val!$C$109</f>
        <v>108.992632332144</v>
      </c>
      <c r="C23" s="6" t="n">
        <f aca="false">Val!$C$158</f>
        <v>109.1453525431</v>
      </c>
      <c r="D23" s="6" t="n">
        <f aca="false">Val!$C$207</f>
        <v>109.30055788101</v>
      </c>
      <c r="E23" s="8" t="n">
        <f aca="false">m_sw</f>
        <v>10.8</v>
      </c>
    </row>
    <row r="24" customFormat="false" ht="17.15" hidden="false" customHeight="false" outlineLevel="0" collapsed="false">
      <c r="A24" s="0" t="s">
        <v>1164</v>
      </c>
      <c r="B24" s="6" t="n">
        <f aca="false">Val!$C$110</f>
        <v>41.4362652527414</v>
      </c>
      <c r="C24" s="6" t="n">
        <f aca="false">Val!$C$159</f>
        <v>41.4942157634893</v>
      </c>
      <c r="D24" s="6" t="n">
        <f aca="false">Val!$C$208</f>
        <v>41.5531037214606</v>
      </c>
      <c r="E24" s="8" t="n">
        <f aca="false">m_sw</f>
        <v>10.8</v>
      </c>
    </row>
    <row r="25" customFormat="false" ht="17.15" hidden="false" customHeight="false" outlineLevel="0" collapsed="false">
      <c r="A25" s="0" t="s">
        <v>1165</v>
      </c>
      <c r="B25" s="6" t="n">
        <f aca="false">Val!$C$111</f>
        <v>114.891070326937</v>
      </c>
      <c r="C25" s="6" t="n">
        <f aca="false">Val!$C$160</f>
        <v>115.052171478463</v>
      </c>
      <c r="D25" s="6" t="n">
        <f aca="false">Val!$C$209</f>
        <v>115.215899994784</v>
      </c>
      <c r="E25" s="8" t="n">
        <f aca="false">m_ads</f>
        <v>9.11</v>
      </c>
    </row>
    <row r="26" customFormat="false" ht="17.15" hidden="false" customHeight="false" outlineLevel="0" collapsed="false">
      <c r="A26" s="0" t="s">
        <v>1166</v>
      </c>
      <c r="B26" s="6" t="n">
        <f aca="false">Val!$C$112</f>
        <v>98.505199156718</v>
      </c>
      <c r="C26" s="6" t="n">
        <f aca="false">Val!$C$161</f>
        <v>98.6441755076202</v>
      </c>
      <c r="D26" s="6" t="n">
        <f aca="false">Val!$C$210</f>
        <v>98.7853357615783</v>
      </c>
      <c r="E26" s="8" t="n">
        <f aca="false">m_game</f>
        <v>12.63</v>
      </c>
    </row>
    <row r="27" customFormat="false" ht="17.15" hidden="false" customHeight="false" outlineLevel="0" collapsed="false">
      <c r="A27" s="0" t="s">
        <v>1167</v>
      </c>
      <c r="B27" s="6" t="n">
        <f aca="false">Val!$C$113</f>
        <v>91.3231561150564</v>
      </c>
      <c r="C27" s="6" t="n">
        <f aca="false">Val!$C$162</f>
        <v>91.4523754763561</v>
      </c>
      <c r="D27" s="6" t="n">
        <f aca="false">Val!$C$211</f>
        <v>91.5836445602173</v>
      </c>
      <c r="E27" s="8" t="n">
        <f aca="false">m_pc</f>
        <v>14.47</v>
      </c>
    </row>
    <row r="28" customFormat="false" ht="17.15" hidden="false" customHeight="false" outlineLevel="0" collapsed="false">
      <c r="A28" s="1" t="s">
        <v>1168</v>
      </c>
      <c r="B28" s="6" t="n">
        <f aca="false">Val!$C$114</f>
        <v>3457.74932828722</v>
      </c>
      <c r="C28" s="6" t="n">
        <f aca="false">Val!$C$163</f>
        <v>3187.19366846006</v>
      </c>
      <c r="D28" s="6" t="n">
        <f aca="false">Val!$C$212</f>
        <v>2858.57750085243</v>
      </c>
      <c r="E28" s="12" t="s">
        <v>98</v>
      </c>
    </row>
    <row r="29" customFormat="false" ht="17.15" hidden="false" customHeight="false" outlineLevel="0" collapsed="false">
      <c r="A29" s="1" t="s">
        <v>1169</v>
      </c>
      <c r="B29" s="6" t="n">
        <f aca="false">Val!$C$116</f>
        <v>162.511563116032</v>
      </c>
      <c r="C29" s="6" t="n">
        <f aca="false">Val!$C$165</f>
        <v>162.101912751511</v>
      </c>
      <c r="D29" s="6" t="n">
        <f aca="false">Val!$C$214</f>
        <v>158.55427008544</v>
      </c>
      <c r="E29" s="1" t="s">
        <v>1170</v>
      </c>
    </row>
    <row r="30" customFormat="false" ht="17.15" hidden="false" customHeight="false" outlineLevel="0" collapsed="false">
      <c r="A30" s="1" t="s">
        <v>1171</v>
      </c>
      <c r="B30" s="5" t="n">
        <f aca="false">Val!$C$117</f>
        <v>482.289288765653</v>
      </c>
      <c r="C30" s="5" t="n">
        <f aca="false">Val!$C$166</f>
        <v>445.800799521231</v>
      </c>
      <c r="D30" s="5" t="n">
        <f aca="false">Val!$C$215</f>
        <v>401.459402206225</v>
      </c>
      <c r="E30" s="12" t="s">
        <v>1172</v>
      </c>
    </row>
    <row r="31" customFormat="false" ht="17.15" hidden="false" customHeight="false" outlineLevel="0" collapsed="false">
      <c r="A31" s="0" t="s">
        <v>1173</v>
      </c>
      <c r="B31" s="34" t="n">
        <f aca="false">w_A*B30+w_B*C30+w_C*D30</f>
        <v>443.837572503585</v>
      </c>
      <c r="E31" s="1" t="s">
        <v>1174</v>
      </c>
    </row>
    <row r="32" customFormat="false" ht="17.15" hidden="false" customHeight="false" outlineLevel="0" collapsed="false">
      <c r="A32" s="1" t="s">
        <v>1175</v>
      </c>
      <c r="B32" s="6" t="n">
        <f aca="false">Val!$C$105</f>
        <v>563.316843258668</v>
      </c>
      <c r="C32" s="6" t="n">
        <f aca="false">Val!$C$154</f>
        <v>463.789109510335</v>
      </c>
      <c r="D32" s="6" t="n">
        <f aca="false">Val!$C$203</f>
        <v>344.355829012336</v>
      </c>
      <c r="E32" s="12" t="s">
        <v>1176</v>
      </c>
    </row>
    <row r="34" customFormat="false" ht="17.15" hidden="false" customHeight="false" outlineLevel="0" collapsed="false">
      <c r="A34" s="10" t="s">
        <v>1177</v>
      </c>
    </row>
    <row r="35" customFormat="false" ht="15" hidden="false" customHeight="false" outlineLevel="0" collapsed="false">
      <c r="A35" s="4" t="s">
        <v>43</v>
      </c>
      <c r="B35" s="4" t="s">
        <v>1178</v>
      </c>
      <c r="C35" s="4" t="s">
        <v>1179</v>
      </c>
      <c r="D35" s="4" t="s">
        <v>1179</v>
      </c>
      <c r="E35" s="4" t="s">
        <v>47</v>
      </c>
    </row>
    <row r="36" customFormat="false" ht="17.15" hidden="false" customHeight="false" outlineLevel="0" collapsed="false">
      <c r="A36" s="1" t="s">
        <v>1180</v>
      </c>
      <c r="B36" s="34" t="n">
        <f aca="false">w_dcf*$B$14+(1-w_dcf)*$B$31</f>
        <v>384.104559856734</v>
      </c>
      <c r="E36" s="12" t="s">
        <v>1181</v>
      </c>
    </row>
    <row r="37" customFormat="false" ht="17.15" hidden="false" customHeight="false" outlineLevel="0" collapsed="false">
      <c r="A37" s="0" t="s">
        <v>1153</v>
      </c>
      <c r="B37" s="5" t="n">
        <f aca="false">$B$14</f>
        <v>324.371547209883</v>
      </c>
    </row>
    <row r="38" customFormat="false" ht="17.15" hidden="false" customHeight="false" outlineLevel="0" collapsed="false">
      <c r="A38" s="1" t="s">
        <v>1182</v>
      </c>
      <c r="B38" s="5" t="n">
        <f aca="false">cons_tp</f>
        <v>605.12</v>
      </c>
      <c r="C38" s="5" t="n">
        <f aca="false">cons_tp_lo</f>
        <v>440</v>
      </c>
      <c r="D38" s="5" t="n">
        <f aca="false">cons_tp_hi</f>
        <v>870</v>
      </c>
      <c r="E38" s="12" t="s">
        <v>1183</v>
      </c>
    </row>
    <row r="39" customFormat="false" ht="17.15" hidden="false" customHeight="false" outlineLevel="0" collapsed="false">
      <c r="A39" s="1" t="s">
        <v>74</v>
      </c>
      <c r="B39" s="5" t="n">
        <f aca="false">px</f>
        <v>531.01</v>
      </c>
      <c r="E39" s="12" t="s">
        <v>1184</v>
      </c>
    </row>
    <row r="40" customFormat="false" ht="17.15" hidden="false" customHeight="false" outlineLevel="0" collapsed="false">
      <c r="A40" s="1" t="s">
        <v>1185</v>
      </c>
      <c r="B40" s="7" t="n">
        <f aca="false">$B$36/px-1</f>
        <v>-0.276652869330645</v>
      </c>
      <c r="E40" s="1" t="s">
        <v>1186</v>
      </c>
    </row>
    <row r="41" customFormat="false" ht="17.15" hidden="false" customHeight="false" outlineLevel="0" collapsed="false">
      <c r="A41" s="1" t="s">
        <v>1187</v>
      </c>
      <c r="B41" s="7" t="n">
        <f aca="false">$B$31/px-1</f>
        <v>-0.164163438534895</v>
      </c>
    </row>
    <row r="42" customFormat="false" ht="17.15" hidden="false" customHeight="false" outlineLevel="0" collapsed="false">
      <c r="A42" s="1" t="s">
        <v>1188</v>
      </c>
      <c r="B42" s="33" t="str">
        <f aca="false">IF($B$40&gt;=0.5,"≥ +50%",IF($B$40&gt;=0.25,"+25%～+50%",IF($B$40&gt;=0,"0%～+25%",IF($B$40&gt;-0.25,"−25%～0%",IF($B$40&gt;-0.5,"−50%～−25%","≤ −50%")))))</f>
        <v>−50%～−25%</v>
      </c>
      <c r="E42" s="1" t="s">
        <v>1189</v>
      </c>
    </row>
    <row r="43" customFormat="false" ht="17.15" hidden="false" customHeight="false" outlineLevel="0" collapsed="false">
      <c r="A43" s="18" t="s">
        <v>1190</v>
      </c>
      <c r="B43" s="36" t="str">
        <f aca="false">IF($B$40&gt;=0.5,"強力買進",IF($B$40&gt;=0.25,"買進",IF($B$40&gt;-0.25,"中立",IF($B$40&gt;-0.5,"放空","強力放空"))))</f>
        <v>放空</v>
      </c>
      <c r="C43" s="17"/>
      <c r="D43" s="17"/>
      <c r="E43" s="18" t="s">
        <v>1191</v>
      </c>
    </row>
    <row r="44" customFormat="false" ht="17.15" hidden="false" customHeight="false" outlineLevel="0" collapsed="false">
      <c r="A44" s="1" t="s">
        <v>1192</v>
      </c>
      <c r="B44" s="5" t="n">
        <f aca="false">Val!$C$118</f>
        <v>423.247865987</v>
      </c>
      <c r="C44" s="5" t="n">
        <f aca="false">Val!$C$167</f>
        <v>386.052170373482</v>
      </c>
      <c r="D44" s="5" t="n">
        <f aca="false">Val!$C$216</f>
        <v>341.066032692973</v>
      </c>
      <c r="E44" s="12" t="s">
        <v>1193</v>
      </c>
    </row>
    <row r="45" customFormat="false" ht="15" hidden="false" customHeight="false" outlineLevel="0" collapsed="false">
      <c r="A45" s="1" t="s">
        <v>1194</v>
      </c>
      <c r="B45" s="7" t="n">
        <f aca="false">B44/px-1</f>
        <v>-0.202938050155363</v>
      </c>
      <c r="C45" s="7" t="n">
        <f aca="false">C44/px-1</f>
        <v>-0.272985121987379</v>
      </c>
      <c r="D45" s="7" t="n">
        <f aca="false">D44/px-1</f>
        <v>-0.357703183192458</v>
      </c>
    </row>
    <row r="46" customFormat="false" ht="17.15" hidden="false" customHeight="false" outlineLevel="0" collapsed="false">
      <c r="A46" s="1" t="s">
        <v>1195</v>
      </c>
      <c r="C46" s="33" t="str">
        <f aca="false">IF(C45&gt;=0.5,"強力買進",IF(C45&gt;=0.25,"買進",IF(C45&gt;-0.25,"中立",IF(C45&gt;-0.5,"放空","強力放空"))))</f>
        <v>放空</v>
      </c>
      <c r="E46" s="1" t="s">
        <v>1196</v>
      </c>
    </row>
    <row r="47" customFormat="false" ht="17.15" hidden="false" customHeight="false" outlineLevel="0" collapsed="false">
      <c r="A47" s="1" t="s">
        <v>1197</v>
      </c>
      <c r="B47" s="5" t="n">
        <f aca="false">Sens!C4</f>
        <v>310.883696018351</v>
      </c>
      <c r="E47" s="12" t="s">
        <v>1198</v>
      </c>
    </row>
    <row r="48" customFormat="false" ht="17.15" hidden="false" customHeight="false" outlineLevel="0" collapsed="false">
      <c r="A48" s="1" t="s">
        <v>1199</v>
      </c>
      <c r="B48" s="7" t="n">
        <f aca="false">$B$47/px-1</f>
        <v>-0.414542671478219</v>
      </c>
    </row>
    <row r="49" customFormat="false" ht="17.15" hidden="false" customHeight="false" outlineLevel="0" collapsed="false">
      <c r="A49" s="1" t="s">
        <v>1200</v>
      </c>
      <c r="B49" s="0" t="str">
        <f aca="false">IF($B$48&gt;=0.5,"強力買進",IF($B$48&gt;=0.25,"買進",IF($B$48&gt;-0.25,"中立",IF($B$48&gt;-0.5,"放空","強力放空"))))</f>
        <v>放空</v>
      </c>
    </row>
    <row r="50" customFormat="false" ht="17.15" hidden="false" customHeight="false" outlineLevel="0" collapsed="false">
      <c r="A50" s="1" t="s">
        <v>1201</v>
      </c>
      <c r="B50" s="5" t="n">
        <f aca="false">D13</f>
        <v>280.67266317972</v>
      </c>
      <c r="E50" s="1" t="s">
        <v>1202</v>
      </c>
    </row>
    <row r="51" customFormat="false" ht="17.15" hidden="false" customHeight="false" outlineLevel="0" collapsed="false">
      <c r="A51" s="1" t="s">
        <v>1203</v>
      </c>
      <c r="B51" s="5" t="n">
        <f aca="false">D13</f>
        <v>280.67266317972</v>
      </c>
      <c r="C51" s="5" t="n">
        <f aca="false">B13</f>
        <v>364.206443208347</v>
      </c>
      <c r="E51" s="12" t="s">
        <v>1204</v>
      </c>
    </row>
    <row r="52" customFormat="false" ht="17.15" hidden="false" customHeight="false" outlineLevel="0" collapsed="false">
      <c r="A52" s="1" t="s">
        <v>1205</v>
      </c>
      <c r="B52" s="37" t="n">
        <f aca="false">px/PL!G49</f>
        <v>21.4252686760932</v>
      </c>
      <c r="C52" s="37" t="n">
        <f aca="false">px/PL!G88</f>
        <v>22.551840774017</v>
      </c>
      <c r="D52" s="37" t="n">
        <f aca="false">px/PL!G127</f>
        <v>24.0430902150154</v>
      </c>
      <c r="E52" s="12" t="s">
        <v>1206</v>
      </c>
    </row>
    <row r="53" customFormat="false" ht="17.15" hidden="false" customHeight="false" outlineLevel="0" collapsed="false">
      <c r="A53" s="1" t="s">
        <v>1207</v>
      </c>
      <c r="B53" s="37" t="n">
        <f aca="false">$B$36/PL!G88</f>
        <v>16.3128093151974</v>
      </c>
    </row>
    <row r="54" customFormat="false" ht="17.15" hidden="false" customHeight="false" outlineLevel="0" collapsed="false">
      <c r="A54" s="1" t="s">
        <v>1208</v>
      </c>
      <c r="B54" s="0" t="s">
        <v>1209</v>
      </c>
    </row>
    <row r="56" customFormat="false" ht="17.15" hidden="false" customHeight="false" outlineLevel="0" collapsed="false">
      <c r="A56" s="10" t="s">
        <v>1210</v>
      </c>
    </row>
    <row r="70" customFormat="false" ht="17.15" hidden="false" customHeight="false" outlineLevel="0" collapsed="false">
      <c r="A70" s="3" t="s">
        <v>1211</v>
      </c>
    </row>
    <row r="71" customFormat="false" ht="15" hidden="false" customHeight="false" outlineLevel="0" collapsed="false">
      <c r="A71" s="4" t="s">
        <v>43</v>
      </c>
      <c r="B71" s="4" t="s">
        <v>65</v>
      </c>
      <c r="C71" s="23" t="s">
        <v>938</v>
      </c>
      <c r="D71" s="23" t="s">
        <v>939</v>
      </c>
      <c r="E71" s="23" t="s">
        <v>940</v>
      </c>
      <c r="F71" s="23" t="s">
        <v>941</v>
      </c>
      <c r="G71" s="23" t="s">
        <v>942</v>
      </c>
      <c r="H71" s="23" t="s">
        <v>943</v>
      </c>
      <c r="I71" s="23" t="s">
        <v>944</v>
      </c>
      <c r="J71" s="23" t="s">
        <v>945</v>
      </c>
      <c r="K71" s="23" t="s">
        <v>946</v>
      </c>
      <c r="L71" s="4" t="s">
        <v>47</v>
      </c>
    </row>
    <row r="72" customFormat="false" ht="17.15" hidden="false" customHeight="false" outlineLevel="0" collapsed="false">
      <c r="A72" s="1" t="s">
        <v>1212</v>
      </c>
      <c r="B72" s="1" t="s">
        <v>279</v>
      </c>
      <c r="F72" s="8" t="n">
        <f aca="false">(1-v_off)*mid_yr</f>
        <v>0.373972602739726</v>
      </c>
      <c r="G72" s="8" t="n">
        <f aca="false">Thesis!G6-base_fy-mid_yr-v_off</f>
        <v>1.24794520547945</v>
      </c>
      <c r="H72" s="8" t="n">
        <f aca="false">Thesis!H6-base_fy-mid_yr-v_off</f>
        <v>2.24794520547945</v>
      </c>
      <c r="I72" s="8" t="n">
        <f aca="false">Thesis!I6-base_fy-mid_yr-v_off</f>
        <v>3.24794520547945</v>
      </c>
      <c r="J72" s="8" t="n">
        <f aca="false">Thesis!J6-base_fy-mid_yr-v_off</f>
        <v>4.24794520547945</v>
      </c>
      <c r="K72" s="8" t="n">
        <f aca="false">Thesis!K6-base_fy-mid_yr-v_off</f>
        <v>5.24794520547945</v>
      </c>
      <c r="L72" s="12" t="s">
        <v>1213</v>
      </c>
    </row>
    <row r="73" customFormat="false" ht="15" hidden="false" customHeight="false" outlineLevel="0" collapsed="false">
      <c r="A73" s="1" t="s">
        <v>1214</v>
      </c>
      <c r="B73" s="1" t="s">
        <v>279</v>
      </c>
      <c r="F73" s="8" t="n">
        <f aca="false">Thesis!F6-base_fy-v_off</f>
        <v>0.747945205479452</v>
      </c>
      <c r="G73" s="8" t="n">
        <f aca="false">Thesis!G6-base_fy-v_off</f>
        <v>1.74794520547945</v>
      </c>
      <c r="H73" s="8" t="n">
        <f aca="false">Thesis!H6-base_fy-v_off</f>
        <v>2.74794520547945</v>
      </c>
      <c r="I73" s="8" t="n">
        <f aca="false">Thesis!I6-base_fy-v_off</f>
        <v>3.74794520547945</v>
      </c>
      <c r="J73" s="8" t="n">
        <f aca="false">Thesis!J6-base_fy-v_off</f>
        <v>4.74794520547945</v>
      </c>
      <c r="K73" s="8" t="n">
        <f aca="false">Thesis!K6-base_fy-v_off</f>
        <v>5.74794520547945</v>
      </c>
    </row>
    <row r="74" customFormat="false" ht="15" hidden="false" customHeight="false" outlineLevel="0" collapsed="false">
      <c r="A74" s="1" t="s">
        <v>1215</v>
      </c>
      <c r="B74" s="0" t="s">
        <v>229</v>
      </c>
      <c r="F74" s="15" t="n">
        <f aca="false">1/(1+wacc)^Val!F72</f>
        <v>0.964022703286649</v>
      </c>
      <c r="G74" s="15" t="n">
        <f aca="false">1/(1+wacc)^Val!G72</f>
        <v>0.884910302296739</v>
      </c>
      <c r="H74" s="15" t="n">
        <f aca="false">1/(1+wacc)^Val!H72</f>
        <v>0.802322009770358</v>
      </c>
      <c r="I74" s="15" t="n">
        <f aca="false">1/(1+wacc)^Val!I72</f>
        <v>0.727441646561469</v>
      </c>
      <c r="J74" s="15" t="n">
        <f aca="false">1/(1+wacc)^Val!J72</f>
        <v>0.659549834988973</v>
      </c>
      <c r="K74" s="15" t="n">
        <f aca="false">1/(1+wacc)^Val!K72</f>
        <v>0.597994336576966</v>
      </c>
    </row>
    <row r="75" customFormat="false" ht="17.15" hidden="false" customHeight="false" outlineLevel="0" collapsed="false">
      <c r="A75" s="1" t="s">
        <v>1216</v>
      </c>
      <c r="B75" s="0" t="s">
        <v>98</v>
      </c>
      <c r="F75" s="6" t="n">
        <f aca="false">Q!$I$35-Q!$I$39-Q!$I$43</f>
        <v>9.666</v>
      </c>
      <c r="L75" s="12" t="s">
        <v>1217</v>
      </c>
    </row>
    <row r="76" customFormat="false" ht="17.15" hidden="false" customHeight="false" outlineLevel="0" collapsed="false">
      <c r="A76" s="1" t="s">
        <v>1218</v>
      </c>
      <c r="B76" s="0" t="s">
        <v>98</v>
      </c>
      <c r="F76" s="6" t="n">
        <f aca="false">CF!F23-CF!F20-CF!F27+Thesis!F47*(1-tax_f)*(1-v_off)-Val!F75</f>
        <v>-1.12880264559539</v>
      </c>
      <c r="G76" s="6" t="n">
        <f aca="false">CF!G23-CF!G20-CF!G27+Thesis!G47*(1-tax_f)</f>
        <v>38.7194421947551</v>
      </c>
      <c r="H76" s="6" t="n">
        <f aca="false">CF!H23-CF!H20-CF!H27+Thesis!H47*(1-tax_f)</f>
        <v>98.6927474567662</v>
      </c>
      <c r="I76" s="6" t="n">
        <f aca="false">CF!I23-CF!I20-CF!I27+Thesis!I47*(1-tax_f)</f>
        <v>181.625440536277</v>
      </c>
      <c r="J76" s="6" t="n">
        <f aca="false">CF!J23-CF!J20-CF!J27+Thesis!J47*(1-tax_f)</f>
        <v>263.350402418584</v>
      </c>
      <c r="K76" s="6" t="n">
        <f aca="false">CF!K23-CF!K20-CF!K27+Thesis!K47*(1-tax_f)</f>
        <v>303.659068389018</v>
      </c>
      <c r="L76" s="1" t="s">
        <v>1219</v>
      </c>
    </row>
    <row r="77" customFormat="false" ht="15" hidden="false" customHeight="false" outlineLevel="0" collapsed="false">
      <c r="A77" s="1" t="s">
        <v>1220</v>
      </c>
      <c r="B77" s="0" t="s">
        <v>98</v>
      </c>
      <c r="F77" s="6" t="n">
        <f aca="false">Val!F76*Val!F74</f>
        <v>-1.08819137788399</v>
      </c>
      <c r="G77" s="6" t="n">
        <f aca="false">Val!G76*Val!G74</f>
        <v>34.2632332973219</v>
      </c>
      <c r="H77" s="6" t="n">
        <f aca="false">Val!H76*Val!H74</f>
        <v>79.183363489271</v>
      </c>
      <c r="I77" s="6" t="n">
        <f aca="false">Val!I76*Val!I74</f>
        <v>132.121909521162</v>
      </c>
      <c r="J77" s="6" t="n">
        <f aca="false">Val!J76*Val!J74</f>
        <v>173.692714459456</v>
      </c>
      <c r="K77" s="6" t="n">
        <f aca="false">Val!K76*Val!K74</f>
        <v>181.58640314687</v>
      </c>
    </row>
    <row r="78" customFormat="false" ht="17.15" hidden="false" customHeight="false" outlineLevel="0" collapsed="false">
      <c r="A78" s="1" t="s">
        <v>1221</v>
      </c>
      <c r="B78" s="0" t="s">
        <v>98</v>
      </c>
      <c r="C78" s="6" t="n">
        <f aca="false">SUM(Val!F77:K77)</f>
        <v>599.759432536197</v>
      </c>
    </row>
    <row r="79" customFormat="false" ht="17.15" hidden="false" customHeight="false" outlineLevel="0" collapsed="false">
      <c r="A79" s="1" t="s">
        <v>1222</v>
      </c>
      <c r="B79" s="0" t="s">
        <v>98</v>
      </c>
      <c r="C79" s="6" t="n">
        <f aca="false">PL!K39*(1+g_tv)*(1-tax_f)</f>
        <v>316.501318799308</v>
      </c>
    </row>
    <row r="80" customFormat="false" ht="17.15" hidden="false" customHeight="false" outlineLevel="0" collapsed="false">
      <c r="A80" s="1" t="s">
        <v>1223</v>
      </c>
      <c r="B80" s="0" t="s">
        <v>98</v>
      </c>
      <c r="C80" s="6" t="n">
        <f aca="false">Val!$C$79*(1-g_tv/(wacc+ronic_prem))</f>
        <v>224.25968269347</v>
      </c>
    </row>
    <row r="81" customFormat="false" ht="17.15" hidden="false" customHeight="false" outlineLevel="0" collapsed="false">
      <c r="A81" s="1" t="s">
        <v>1224</v>
      </c>
      <c r="B81" s="0" t="s">
        <v>98</v>
      </c>
      <c r="C81" s="6" t="n">
        <f aca="false">Val!$C$80/(wacc-g_tv)</f>
        <v>3074.72120352792</v>
      </c>
    </row>
    <row r="82" customFormat="false" ht="15" hidden="false" customHeight="false" outlineLevel="0" collapsed="false">
      <c r="A82" s="1" t="s">
        <v>1225</v>
      </c>
      <c r="B82" s="0" t="s">
        <v>98</v>
      </c>
      <c r="C82" s="6" t="n">
        <f aca="false">Val!$C$81/(1+wacc)^Val!K73</f>
        <v>1750.76373116397</v>
      </c>
    </row>
    <row r="83" customFormat="false" ht="17.15" hidden="false" customHeight="false" outlineLevel="0" collapsed="false">
      <c r="A83" s="0" t="s">
        <v>1226</v>
      </c>
      <c r="B83" s="0" t="s">
        <v>98</v>
      </c>
      <c r="C83" s="6" t="n">
        <f aca="false">Val!$C$78+Val!$C$82</f>
        <v>2350.52316370017</v>
      </c>
    </row>
    <row r="84" customFormat="false" ht="15" hidden="false" customHeight="false" outlineLevel="0" collapsed="false">
      <c r="A84" s="1" t="s">
        <v>1141</v>
      </c>
      <c r="B84" s="0" t="s">
        <v>168</v>
      </c>
      <c r="C84" s="7" t="n">
        <f aca="false">Val!$C$82/Val!$C$83</f>
        <v>0.744840024638574</v>
      </c>
    </row>
    <row r="85" customFormat="false" ht="17.15" hidden="false" customHeight="false" outlineLevel="0" collapsed="false">
      <c r="A85" s="1" t="s">
        <v>1227</v>
      </c>
      <c r="B85" s="0" t="s">
        <v>98</v>
      </c>
      <c r="C85" s="6" t="n">
        <f aca="false">Val!$C$83+cash_val-debt_val-fl_val+oai_v</f>
        <v>2466.37416370017</v>
      </c>
    </row>
    <row r="86" customFormat="false" ht="17.15" hidden="false" customHeight="false" outlineLevel="0" collapsed="false">
      <c r="A86" s="0" t="s">
        <v>1149</v>
      </c>
      <c r="B86" s="0" t="s">
        <v>75</v>
      </c>
      <c r="C86" s="5" t="n">
        <f aca="false">Val!$C$85/shd_val</f>
        <v>331.234778901447</v>
      </c>
    </row>
    <row r="87" customFormat="false" ht="15" hidden="false" customHeight="false" outlineLevel="0" collapsed="false">
      <c r="A87" s="1" t="s">
        <v>1228</v>
      </c>
      <c r="B87" s="0" t="s">
        <v>75</v>
      </c>
      <c r="C87" s="8" t="n">
        <f aca="false">div_rem27+CF!G31*roll_div_q/q_per_yr</f>
        <v>3.9795</v>
      </c>
    </row>
    <row r="88" customFormat="false" ht="17.15" hidden="false" customHeight="false" outlineLevel="0" collapsed="false">
      <c r="A88" s="0" t="s">
        <v>1229</v>
      </c>
      <c r="B88" s="0" t="s">
        <v>75</v>
      </c>
      <c r="C88" s="5" t="n">
        <f aca="false">Val!$C$86*(1+wacc)^t_roll-Val!$C$87</f>
        <v>364.206443208347</v>
      </c>
    </row>
    <row r="89" customFormat="false" ht="17.15" hidden="false" customHeight="false" outlineLevel="0" collapsed="false">
      <c r="A89" s="1" t="s">
        <v>1230</v>
      </c>
      <c r="B89" s="0" t="s">
        <v>168</v>
      </c>
      <c r="F89" s="7" t="n">
        <f aca="false">CF!F17/(Seg!F29-Thesis!F25)</f>
        <v>0.0685527305696859</v>
      </c>
      <c r="G89" s="7" t="n">
        <f aca="false">CF!G17/(Seg!G29-Thesis!G25)</f>
        <v>0.0653567731599844</v>
      </c>
      <c r="H89" s="7" t="n">
        <f aca="false">CF!H17/(Seg!H29-Thesis!H25)</f>
        <v>0.0636628841026972</v>
      </c>
      <c r="I89" s="7" t="n">
        <f aca="false">CF!I17/(Seg!I29-Thesis!I25)</f>
        <v>0.0633581084335176</v>
      </c>
      <c r="J89" s="7" t="n">
        <f aca="false">CF!J17/(Seg!J29-Thesis!J25)</f>
        <v>0.0640873955995062</v>
      </c>
      <c r="K89" s="7" t="n">
        <f aca="false">CF!K17/(Seg!K29-Thesis!K25)</f>
        <v>0.0653962234835198</v>
      </c>
    </row>
    <row r="90" customFormat="false" ht="17.15" hidden="false" customHeight="false" outlineLevel="0" collapsed="false">
      <c r="A90" s="0" t="s">
        <v>1231</v>
      </c>
      <c r="B90" s="0" t="s">
        <v>98</v>
      </c>
      <c r="F90" s="6" t="n">
        <f aca="false">Seg!F14*(al_m365+Val!F89+sbc_r)</f>
        <v>84.5213906545575</v>
      </c>
      <c r="G90" s="6" t="n">
        <f aca="false">Seg!G14*(al_m365+Val!G89+sbc_r)</f>
        <v>98.949983331796</v>
      </c>
      <c r="H90" s="6" t="n">
        <f aca="false">Seg!H14*(al_m365+Val!H89+sbc_r)</f>
        <v>113.543734275326</v>
      </c>
      <c r="I90" s="6" t="n">
        <f aca="false">Seg!I14*(al_m365+Val!I89+sbc_r)</f>
        <v>126.62058838692</v>
      </c>
      <c r="J90" s="6" t="n">
        <f aca="false">Seg!J14*(al_m365+Val!J89+sbc_r)</f>
        <v>137.994660156303</v>
      </c>
      <c r="K90" s="6" t="n">
        <f aca="false">Seg!K14*(al_m365+Val!K89+sbc_r)</f>
        <v>148.989224092997</v>
      </c>
      <c r="L90" s="12" t="s">
        <v>1232</v>
      </c>
    </row>
    <row r="91" customFormat="false" ht="17.15" hidden="false" customHeight="false" outlineLevel="0" collapsed="false">
      <c r="A91" s="0" t="s">
        <v>1233</v>
      </c>
      <c r="B91" s="0" t="s">
        <v>98</v>
      </c>
      <c r="F91" s="6" t="n">
        <f aca="false">Seg!F15*(al_lic+Val!F89+sbc_r)</f>
        <v>32.855200196554</v>
      </c>
      <c r="G91" s="6" t="n">
        <f aca="false">Seg!G15*(al_lic+Val!G89+sbc_r)</f>
        <v>34.1185582613282</v>
      </c>
      <c r="H91" s="6" t="n">
        <f aca="false">Seg!H15*(al_lic+Val!H89+sbc_r)</f>
        <v>35.3024309363621</v>
      </c>
      <c r="I91" s="6" t="n">
        <f aca="false">Seg!I15*(al_lic+Val!I89+sbc_r)</f>
        <v>36.3898468129533</v>
      </c>
      <c r="J91" s="6" t="n">
        <f aca="false">Seg!J15*(al_lic+Val!J89+sbc_r)</f>
        <v>37.3529129529876</v>
      </c>
      <c r="K91" s="6" t="n">
        <f aca="false">Seg!K15*(al_lic+Val!K89+sbc_r)</f>
        <v>38.158536171203</v>
      </c>
    </row>
    <row r="92" customFormat="false" ht="17.15" hidden="false" customHeight="false" outlineLevel="0" collapsed="false">
      <c r="A92" s="0" t="s">
        <v>1234</v>
      </c>
      <c r="B92" s="0" t="s">
        <v>98</v>
      </c>
      <c r="F92" s="6" t="n">
        <f aca="false">Seg!F17*(al_ind+Val!F89+sbc_r)</f>
        <v>9.05892547956683</v>
      </c>
      <c r="G92" s="6" t="n">
        <f aca="false">Seg!G17*(al_ind+Val!G89+sbc_r)</f>
        <v>9.82456487622418</v>
      </c>
      <c r="H92" s="6" t="n">
        <f aca="false">Seg!H17*(al_ind+Val!H89+sbc_r)</f>
        <v>10.6377408477959</v>
      </c>
      <c r="I92" s="6" t="n">
        <f aca="false">Seg!I17*(al_ind+Val!I89+sbc_r)</f>
        <v>11.4966323260293</v>
      </c>
      <c r="J92" s="6" t="n">
        <f aca="false">Seg!J17*(al_ind+Val!J89+sbc_r)</f>
        <v>12.3903660286279</v>
      </c>
      <c r="K92" s="6" t="n">
        <f aca="false">Seg!K17*(al_ind+Val!K89+sbc_r)</f>
        <v>13.3009129057681</v>
      </c>
    </row>
    <row r="93" customFormat="false" ht="17.15" hidden="false" customHeight="false" outlineLevel="0" collapsed="false">
      <c r="A93" s="0" t="s">
        <v>1235</v>
      </c>
      <c r="B93" s="0" t="s">
        <v>98</v>
      </c>
      <c r="F93" s="6" t="n">
        <f aca="false">Seg!F19*(al_fro+Val!F89+sbc_r)</f>
        <v>3.55344443532423</v>
      </c>
      <c r="G93" s="6" t="n">
        <f aca="false">Seg!G19*(al_fro+Val!G89+sbc_r)</f>
        <v>3.75916645971565</v>
      </c>
      <c r="H93" s="6" t="n">
        <f aca="false">Seg!H19*(al_fro+Val!H89+sbc_r)</f>
        <v>3.994970960527</v>
      </c>
      <c r="I93" s="6" t="n">
        <f aca="false">Seg!I19*(al_fro+Val!I89+sbc_r)</f>
        <v>4.26396270432353</v>
      </c>
      <c r="J93" s="6" t="n">
        <f aca="false">Seg!J19*(al_fro+Val!J89+sbc_r)</f>
        <v>4.5667795874336</v>
      </c>
      <c r="K93" s="6" t="n">
        <f aca="false">Seg!K19*(al_fro+Val!K89+sbc_r)</f>
        <v>4.90238443416026</v>
      </c>
    </row>
    <row r="94" customFormat="false" ht="17.15" hidden="false" customHeight="false" outlineLevel="0" collapsed="false">
      <c r="A94" s="0" t="s">
        <v>1236</v>
      </c>
      <c r="B94" s="0" t="s">
        <v>98</v>
      </c>
      <c r="F94" s="6" t="n">
        <f aca="false">Seg!F22*(al_srch+Val!F89+sbc_r)</f>
        <v>11.1872483445711</v>
      </c>
      <c r="G94" s="6" t="n">
        <f aca="false">Seg!G22*(al_srch+Val!G89+sbc_r)</f>
        <v>12.247246048296</v>
      </c>
      <c r="H94" s="6" t="n">
        <f aca="false">Seg!H22*(al_srch+Val!H89+sbc_r)</f>
        <v>13.3552870946193</v>
      </c>
      <c r="I94" s="6" t="n">
        <f aca="false">Seg!I22*(al_srch+Val!I89+sbc_r)</f>
        <v>14.5024145321619</v>
      </c>
      <c r="J94" s="6" t="n">
        <f aca="false">Seg!J22*(al_srch+Val!J89+sbc_r)</f>
        <v>15.667276660652</v>
      </c>
      <c r="K94" s="6" t="n">
        <f aca="false">Seg!K22*(al_srch+Val!K89+sbc_r)</f>
        <v>16.8186381138719</v>
      </c>
    </row>
    <row r="95" customFormat="false" ht="17.15" hidden="false" customHeight="false" outlineLevel="0" collapsed="false">
      <c r="A95" s="0" t="s">
        <v>1237</v>
      </c>
      <c r="B95" s="0" t="s">
        <v>98</v>
      </c>
      <c r="F95" s="6" t="n">
        <f aca="false">Thesis!F31-Thesis!F32+Thesis!F47</f>
        <v>45.3782580567763</v>
      </c>
      <c r="G95" s="6" t="n">
        <f aca="false">Thesis!G31-Thesis!G32+Thesis!G47</f>
        <v>91.0863367558165</v>
      </c>
      <c r="H95" s="6" t="n">
        <f aca="false">Thesis!H31-Thesis!H32+Thesis!H47</f>
        <v>144.617532464853</v>
      </c>
      <c r="I95" s="6" t="n">
        <f aca="false">Thesis!I31-Thesis!I32+Thesis!I47</f>
        <v>187.137304561304</v>
      </c>
      <c r="J95" s="6" t="n">
        <f aca="false">Thesis!J31-Thesis!J32+Thesis!J47</f>
        <v>217.006854425907</v>
      </c>
      <c r="K95" s="6" t="n">
        <f aca="false">Thesis!K31-Thesis!K32+Thesis!K47</f>
        <v>234.933637903877</v>
      </c>
    </row>
    <row r="96" customFormat="false" ht="17.15" hidden="false" customHeight="false" outlineLevel="0" collapsed="false">
      <c r="A96" s="0" t="s">
        <v>1238</v>
      </c>
      <c r="B96" s="0" t="s">
        <v>98</v>
      </c>
      <c r="F96" s="6" t="n">
        <f aca="false">PL!F32+Thesis!F47+Thesis!F43+Val!F89*(Seg!F21-Thesis!F25)+sbc_r*Seg!F21</f>
        <v>240.818167741339</v>
      </c>
      <c r="G96" s="6" t="n">
        <f aca="false">PL!G32+Thesis!G47+Thesis!G43+Val!G89*(Seg!G21-Thesis!G25)+sbc_r*Seg!G21</f>
        <v>311.917784140952</v>
      </c>
      <c r="H96" s="6" t="n">
        <f aca="false">PL!H32+Thesis!H47+Thesis!H43+Val!H89*(Seg!H21-Thesis!H25)+sbc_r*Seg!H21</f>
        <v>395.486245683473</v>
      </c>
      <c r="I96" s="6" t="n">
        <f aca="false">PL!I32+Thesis!I47+Thesis!I43+Val!I89*(Seg!I21-Thesis!I25)+sbc_r*Seg!I21</f>
        <v>465.950805948377</v>
      </c>
      <c r="J96" s="6" t="n">
        <f aca="false">PL!J32+Thesis!J47+Thesis!J43+Val!J89*(Seg!J21-Thesis!J25)+sbc_r*Seg!J21</f>
        <v>520.78677388057</v>
      </c>
      <c r="K96" s="6" t="n">
        <f aca="false">PL!K32+Thesis!K47+Thesis!K43+Val!K89*(Seg!K21-Thesis!K25)+sbc_r*Seg!K21</f>
        <v>561.2469767412</v>
      </c>
    </row>
    <row r="97" customFormat="false" ht="17.15" hidden="false" customHeight="false" outlineLevel="0" collapsed="false">
      <c r="A97" s="0" t="s">
        <v>1239</v>
      </c>
      <c r="B97" s="0" t="s">
        <v>98</v>
      </c>
      <c r="F97" s="6" t="n">
        <f aca="false">Val!F96-Val!F90-Val!F91-Val!F92-Val!F93-Val!F95</f>
        <v>65.4509489185601</v>
      </c>
      <c r="G97" s="6" t="n">
        <f aca="false">Val!G96-Val!G90-Val!G91-Val!G92-Val!G93-Val!G95</f>
        <v>74.1791744560715</v>
      </c>
      <c r="H97" s="6" t="n">
        <f aca="false">Val!H96-Val!H90-Val!H91-Val!H92-Val!H93-Val!H95</f>
        <v>87.3898361986086</v>
      </c>
      <c r="I97" s="6" t="n">
        <f aca="false">Val!I96-Val!I90-Val!I91-Val!I92-Val!I93-Val!I95</f>
        <v>100.042471156846</v>
      </c>
      <c r="J97" s="6" t="n">
        <f aca="false">Val!J96-Val!J90-Val!J91-Val!J92-Val!J93-Val!J95</f>
        <v>111.475200729312</v>
      </c>
      <c r="K97" s="6" t="n">
        <f aca="false">Val!K96-Val!K90-Val!K91-Val!K92-Val!K93-Val!K95</f>
        <v>120.962281233195</v>
      </c>
    </row>
    <row r="98" customFormat="false" ht="17.15" hidden="false" customHeight="false" outlineLevel="0" collapsed="false">
      <c r="A98" s="0" t="s">
        <v>1240</v>
      </c>
      <c r="B98" s="0" t="s">
        <v>98</v>
      </c>
      <c r="F98" s="6" t="n">
        <f aca="false">PL!F34+Val!F89*Seg!F28+sbc_r*Seg!F28</f>
        <v>26.6293388420472</v>
      </c>
      <c r="G98" s="6" t="n">
        <f aca="false">PL!G34+Val!G89*Seg!G28+sbc_r*Seg!G28</f>
        <v>26.4405000412783</v>
      </c>
      <c r="H98" s="6" t="n">
        <f aca="false">PL!H34+Val!H89*Seg!H28+sbc_r*Seg!H28</f>
        <v>27.296860059552</v>
      </c>
      <c r="I98" s="6" t="n">
        <f aca="false">PL!I34+Val!I89*Seg!I28+sbc_r*Seg!I28</f>
        <v>28.3995465815703</v>
      </c>
      <c r="J98" s="6" t="n">
        <f aca="false">PL!J34+Val!J89*Seg!J28+sbc_r*Seg!J28</f>
        <v>29.7093380975903</v>
      </c>
      <c r="K98" s="6" t="n">
        <f aca="false">PL!K34+Val!K89*Seg!K28+sbc_r*Seg!K28</f>
        <v>31.1817775287323</v>
      </c>
    </row>
    <row r="99" customFormat="false" ht="17.15" hidden="false" customHeight="false" outlineLevel="0" collapsed="false">
      <c r="A99" s="0" t="s">
        <v>1241</v>
      </c>
      <c r="B99" s="0" t="s">
        <v>98</v>
      </c>
      <c r="F99" s="6" t="n">
        <f aca="false">(Val!F98-Val!F94)*Seg!F24/(Seg!F24+Seg!F26)</f>
        <v>8.72146908842971</v>
      </c>
      <c r="G99" s="6" t="n">
        <f aca="false">(Val!G98-Val!G94)*Seg!G24/(Seg!G24+Seg!G26)</f>
        <v>7.87837655379173</v>
      </c>
      <c r="H99" s="6" t="n">
        <f aca="false">(Val!H98-Val!H94)*Seg!H24/(Seg!H24+Seg!H26)</f>
        <v>7.63786170689933</v>
      </c>
      <c r="I99" s="6" t="n">
        <f aca="false">(Val!I98-Val!I94)*Seg!I24/(Seg!I24+Seg!I26)</f>
        <v>7.5470606300581</v>
      </c>
      <c r="J99" s="6" t="n">
        <f aca="false">(Val!J98-Val!J94)*Seg!J24/(Seg!J24+Seg!J26)</f>
        <v>7.59249600034024</v>
      </c>
      <c r="K99" s="6" t="n">
        <f aca="false">(Val!K98-Val!K94)*Seg!K24/(Seg!K24+Seg!K26)</f>
        <v>7.76610179704742</v>
      </c>
    </row>
    <row r="100" customFormat="false" ht="17.15" hidden="false" customHeight="false" outlineLevel="0" collapsed="false">
      <c r="A100" s="0" t="s">
        <v>1242</v>
      </c>
      <c r="B100" s="0" t="s">
        <v>98</v>
      </c>
      <c r="F100" s="6" t="n">
        <f aca="false">Val!F98-Val!F94-Val!F99</f>
        <v>6.72062140904636</v>
      </c>
      <c r="G100" s="6" t="n">
        <f aca="false">Val!G98-Val!G94-Val!G99</f>
        <v>6.31487743919059</v>
      </c>
      <c r="H100" s="6" t="n">
        <f aca="false">Val!H98-Val!H94-Val!H99</f>
        <v>6.30371125803333</v>
      </c>
      <c r="I100" s="6" t="n">
        <f aca="false">Val!I98-Val!I94-Val!I99</f>
        <v>6.35007141935025</v>
      </c>
      <c r="J100" s="6" t="n">
        <f aca="false">Val!J98-Val!J94-Val!J99</f>
        <v>6.44956543659808</v>
      </c>
      <c r="K100" s="6" t="n">
        <f aca="false">Val!K98-Val!K94-Val!K99</f>
        <v>6.597037617813</v>
      </c>
    </row>
    <row r="101" customFormat="false" ht="17.15" hidden="false" customHeight="false" outlineLevel="0" collapsed="false">
      <c r="A101" s="0" t="s">
        <v>1243</v>
      </c>
      <c r="B101" s="0" t="s">
        <v>98</v>
      </c>
      <c r="F101" s="6" t="n">
        <f aca="false">Val!F95-tax_f*(Val!F95-Thesis!F43)-Thesis!F40</f>
        <v>-125.235434701028</v>
      </c>
      <c r="G101" s="6" t="n">
        <f aca="false">Val!G95-tax_f*(Val!G95-Thesis!G43)-Thesis!G40</f>
        <v>-106.928508113935</v>
      </c>
      <c r="H101" s="6" t="n">
        <f aca="false">Val!H95-tax_f*(Val!H95-Thesis!H43)-Thesis!H40</f>
        <v>-63.2919599603405</v>
      </c>
      <c r="I101" s="6" t="n">
        <f aca="false">Val!I95-tax_f*(Val!I95-Thesis!I43)-Thesis!I40</f>
        <v>3.94121196634245</v>
      </c>
      <c r="J101" s="6" t="n">
        <f aca="false">Val!J95-tax_f*(Val!J95-Thesis!J43)-Thesis!J40</f>
        <v>71.0786869547042</v>
      </c>
      <c r="K101" s="6" t="n">
        <f aca="false">Val!K95-tax_f*(Val!K95-Thesis!K43)-Thesis!K40</f>
        <v>97.5865911685559</v>
      </c>
    </row>
    <row r="102" customFormat="false" ht="17.15" hidden="false" customHeight="false" outlineLevel="0" collapsed="false">
      <c r="A102" s="0" t="s">
        <v>1244</v>
      </c>
      <c r="B102" s="0" t="s">
        <v>98</v>
      </c>
      <c r="G102" s="6" t="n">
        <f aca="false">Val!G101/(1+wacc)^(Val!G72-Val!F73)</f>
        <v>-101.81651667568</v>
      </c>
      <c r="H102" s="6" t="n">
        <f aca="false">Val!H101/(1+wacc)^(Val!H72-Val!F73)</f>
        <v>-54.6415143556151</v>
      </c>
      <c r="I102" s="6" t="n">
        <f aca="false">Val!I101/(1+wacc)^(Val!I72-Val!F73)</f>
        <v>3.08498765169516</v>
      </c>
      <c r="J102" s="6" t="n">
        <f aca="false">Val!J101/(1+wacc)^(Val!J72-Val!F73)</f>
        <v>50.4443451596971</v>
      </c>
      <c r="K102" s="6" t="n">
        <f aca="false">Val!K101/(1+wacc)^(Val!K72-Val!F73)</f>
        <v>62.7932114544856</v>
      </c>
      <c r="L102" s="1" t="s">
        <v>1245</v>
      </c>
    </row>
    <row r="103" customFormat="false" ht="17.15" hidden="false" customHeight="false" outlineLevel="0" collapsed="false">
      <c r="A103" s="0" t="s">
        <v>1246</v>
      </c>
      <c r="B103" s="0" t="s">
        <v>98</v>
      </c>
      <c r="C103" s="6" t="n">
        <f aca="false">(Val!K95-Thesis!K43)*(1-tax_f)*(1+g_tv)*(1-g_tv/(wacc+ronic_prem))/(wacc-g_tv)/(1+wacc)^(Val!K73-Val!F73)</f>
        <v>450.836735002813</v>
      </c>
    </row>
    <row r="104" customFormat="false" ht="17.15" hidden="false" customHeight="false" outlineLevel="0" collapsed="false">
      <c r="A104" s="1" t="s">
        <v>1247</v>
      </c>
      <c r="B104" s="0" t="s">
        <v>98</v>
      </c>
      <c r="C104" s="6" t="n">
        <f aca="false">(SUM(Val!G102:K102)+Val!$C$103)*(1+wacc)^(t_roll-Val!F73)</f>
        <v>424.259738494477</v>
      </c>
      <c r="L104" s="12" t="s">
        <v>1248</v>
      </c>
    </row>
    <row r="105" customFormat="false" ht="17.15" hidden="false" customHeight="false" outlineLevel="0" collapsed="false">
      <c r="A105" s="1" t="s">
        <v>1249</v>
      </c>
      <c r="B105" s="0" t="s">
        <v>98</v>
      </c>
      <c r="C105" s="6" t="n">
        <f aca="false">(w_ntm28*Thesis!G31+(1-w_ntm28)*Thesis!H31)*m_ai</f>
        <v>563.316843258668</v>
      </c>
    </row>
    <row r="106" customFormat="false" ht="17.15" hidden="false" customHeight="false" outlineLevel="0" collapsed="false">
      <c r="A106" s="1" t="s">
        <v>1250</v>
      </c>
      <c r="B106" s="0" t="s">
        <v>98</v>
      </c>
      <c r="C106" s="6" t="n">
        <f aca="false">(w_ntm28*Val!G97+(1-w_ntm28)*Val!H97)*m_cloud</f>
        <v>1085.17964696599</v>
      </c>
    </row>
    <row r="107" customFormat="false" ht="17.15" hidden="false" customHeight="false" outlineLevel="0" collapsed="false">
      <c r="A107" s="1" t="s">
        <v>1251</v>
      </c>
      <c r="B107" s="0" t="s">
        <v>98</v>
      </c>
      <c r="C107" s="6" t="n">
        <f aca="false">(w_ntm28*Val!G90+(1-w_ntm28)*Val!H90)*m_sw</f>
        <v>1120.47763155275</v>
      </c>
    </row>
    <row r="108" customFormat="false" ht="17.15" hidden="false" customHeight="false" outlineLevel="0" collapsed="false">
      <c r="A108" s="1" t="s">
        <v>1252</v>
      </c>
      <c r="B108" s="0" t="s">
        <v>98</v>
      </c>
      <c r="C108" s="6" t="n">
        <f aca="false">(w_ntm28*Val!G91+(1-w_ntm28)*Val!H91)*m_sw</f>
        <v>372.68398809041</v>
      </c>
    </row>
    <row r="109" customFormat="false" ht="17.15" hidden="false" customHeight="false" outlineLevel="0" collapsed="false">
      <c r="A109" s="1" t="s">
        <v>1253</v>
      </c>
      <c r="B109" s="0" t="s">
        <v>98</v>
      </c>
      <c r="C109" s="6" t="n">
        <f aca="false">(w_ntm28*Val!G92+(1-w_ntm28)*Val!H92)*m_sw</f>
        <v>108.992632332144</v>
      </c>
    </row>
    <row r="110" customFormat="false" ht="17.15" hidden="false" customHeight="false" outlineLevel="0" collapsed="false">
      <c r="A110" s="1" t="s">
        <v>1254</v>
      </c>
      <c r="B110" s="0" t="s">
        <v>98</v>
      </c>
      <c r="C110" s="6" t="n">
        <f aca="false">(w_ntm28*Val!G93+(1-w_ntm28)*Val!H93)*m_sw</f>
        <v>41.4362652527414</v>
      </c>
    </row>
    <row r="111" customFormat="false" ht="17.15" hidden="false" customHeight="false" outlineLevel="0" collapsed="false">
      <c r="A111" s="1" t="s">
        <v>1255</v>
      </c>
      <c r="B111" s="0" t="s">
        <v>98</v>
      </c>
      <c r="C111" s="6" t="n">
        <f aca="false">(w_ntm28*Val!G94+(1-w_ntm28)*Val!H94)*m_ads</f>
        <v>114.891070326937</v>
      </c>
    </row>
    <row r="112" customFormat="false" ht="17.15" hidden="false" customHeight="false" outlineLevel="0" collapsed="false">
      <c r="A112" s="1" t="s">
        <v>1256</v>
      </c>
      <c r="B112" s="0" t="s">
        <v>98</v>
      </c>
      <c r="C112" s="6" t="n">
        <f aca="false">(w_ntm28*Val!G99+(1-w_ntm28)*Val!H99)*m_game</f>
        <v>98.505199156718</v>
      </c>
    </row>
    <row r="113" customFormat="false" ht="17.15" hidden="false" customHeight="false" outlineLevel="0" collapsed="false">
      <c r="A113" s="1" t="s">
        <v>1257</v>
      </c>
      <c r="B113" s="0" t="s">
        <v>98</v>
      </c>
      <c r="C113" s="6" t="n">
        <f aca="false">(w_ntm28*Val!G100+(1-w_ntm28)*Val!H100)*m_pc</f>
        <v>91.3231561150564</v>
      </c>
    </row>
    <row r="114" customFormat="false" ht="17.15" hidden="false" customHeight="false" outlineLevel="0" collapsed="false">
      <c r="A114" s="1" t="s">
        <v>1258</v>
      </c>
      <c r="B114" s="0" t="s">
        <v>98</v>
      </c>
      <c r="C114" s="6" t="n">
        <f aca="false">Val!$C$104+Val!$C$106+Val!$C$107+Val!$C$108+Val!$C$109+Val!$C$110+Val!$C$111+Val!$C$112+Val!$C$113</f>
        <v>3457.74932828722</v>
      </c>
    </row>
    <row r="115" customFormat="false" ht="17.15" hidden="false" customHeight="false" outlineLevel="0" collapsed="false">
      <c r="A115" s="1" t="s">
        <v>1259</v>
      </c>
      <c r="B115" s="0" t="s">
        <v>98</v>
      </c>
      <c r="C115" s="6" t="n">
        <f aca="false">(Val!G76-Val!G101)*t_stub</f>
        <v>48.2832931160316</v>
      </c>
      <c r="L115" s="1" t="s">
        <v>1260</v>
      </c>
    </row>
    <row r="116" customFormat="false" ht="17.15" hidden="false" customHeight="false" outlineLevel="0" collapsed="false">
      <c r="A116" s="1" t="s">
        <v>1169</v>
      </c>
      <c r="B116" s="0" t="s">
        <v>98</v>
      </c>
      <c r="C116" s="6" t="n">
        <f aca="false">CF!F39+oai_v-CF!F28+Val!$C$115</f>
        <v>162.511563116032</v>
      </c>
      <c r="L116" s="1" t="s">
        <v>1261</v>
      </c>
    </row>
    <row r="117" customFormat="false" ht="17.15" hidden="false" customHeight="false" outlineLevel="0" collapsed="false">
      <c r="A117" s="1" t="s">
        <v>1262</v>
      </c>
      <c r="B117" s="0" t="s">
        <v>75</v>
      </c>
      <c r="C117" s="5" t="n">
        <f aca="false">(Val!$C$114+Val!$C$116)/(CF!F41+dil_gap)-CF!G31*roll_div_q/q_per_yr</f>
        <v>482.289288765653</v>
      </c>
      <c r="L117" s="1" t="s">
        <v>1263</v>
      </c>
    </row>
    <row r="118" customFormat="false" ht="17.15" hidden="false" customHeight="false" outlineLevel="0" collapsed="false">
      <c r="A118" s="1" t="s">
        <v>1264</v>
      </c>
      <c r="B118" s="0" t="s">
        <v>75</v>
      </c>
      <c r="C118" s="5" t="n">
        <f aca="false">w_dcf*Val!$C$88+(1-w_dcf)*Val!$C$117</f>
        <v>423.247865987</v>
      </c>
    </row>
    <row r="119" customFormat="false" ht="17.15" hidden="false" customHeight="false" outlineLevel="0" collapsed="false">
      <c r="A119" s="3" t="s">
        <v>1265</v>
      </c>
    </row>
    <row r="120" customFormat="false" ht="15" hidden="false" customHeight="false" outlineLevel="0" collapsed="false">
      <c r="A120" s="4" t="s">
        <v>43</v>
      </c>
      <c r="B120" s="4" t="s">
        <v>65</v>
      </c>
      <c r="C120" s="23" t="s">
        <v>938</v>
      </c>
      <c r="D120" s="23" t="s">
        <v>939</v>
      </c>
      <c r="E120" s="23" t="s">
        <v>940</v>
      </c>
      <c r="F120" s="23" t="s">
        <v>941</v>
      </c>
      <c r="G120" s="23" t="s">
        <v>942</v>
      </c>
      <c r="H120" s="23" t="s">
        <v>943</v>
      </c>
      <c r="I120" s="23" t="s">
        <v>944</v>
      </c>
      <c r="J120" s="23" t="s">
        <v>945</v>
      </c>
      <c r="K120" s="23" t="s">
        <v>946</v>
      </c>
      <c r="L120" s="4" t="s">
        <v>47</v>
      </c>
    </row>
    <row r="121" customFormat="false" ht="17.15" hidden="false" customHeight="false" outlineLevel="0" collapsed="false">
      <c r="A121" s="1" t="s">
        <v>1212</v>
      </c>
      <c r="B121" s="1" t="s">
        <v>279</v>
      </c>
      <c r="F121" s="8" t="n">
        <f aca="false">(1-v_off)*mid_yr</f>
        <v>0.373972602739726</v>
      </c>
      <c r="G121" s="8" t="n">
        <f aca="false">Thesis!G58-base_fy-mid_yr-v_off</f>
        <v>1.24794520547945</v>
      </c>
      <c r="H121" s="8" t="n">
        <f aca="false">Thesis!H58-base_fy-mid_yr-v_off</f>
        <v>2.24794520547945</v>
      </c>
      <c r="I121" s="8" t="n">
        <f aca="false">Thesis!I58-base_fy-mid_yr-v_off</f>
        <v>3.24794520547945</v>
      </c>
      <c r="J121" s="8" t="n">
        <f aca="false">Thesis!J58-base_fy-mid_yr-v_off</f>
        <v>4.24794520547945</v>
      </c>
      <c r="K121" s="8" t="n">
        <f aca="false">Thesis!K58-base_fy-mid_yr-v_off</f>
        <v>5.24794520547945</v>
      </c>
      <c r="L121" s="12" t="s">
        <v>1213</v>
      </c>
    </row>
    <row r="122" customFormat="false" ht="15" hidden="false" customHeight="false" outlineLevel="0" collapsed="false">
      <c r="A122" s="1" t="s">
        <v>1214</v>
      </c>
      <c r="B122" s="1" t="s">
        <v>279</v>
      </c>
      <c r="F122" s="8" t="n">
        <f aca="false">Thesis!F58-base_fy-v_off</f>
        <v>0.747945205479452</v>
      </c>
      <c r="G122" s="8" t="n">
        <f aca="false">Thesis!G58-base_fy-v_off</f>
        <v>1.74794520547945</v>
      </c>
      <c r="H122" s="8" t="n">
        <f aca="false">Thesis!H58-base_fy-v_off</f>
        <v>2.74794520547945</v>
      </c>
      <c r="I122" s="8" t="n">
        <f aca="false">Thesis!I58-base_fy-v_off</f>
        <v>3.74794520547945</v>
      </c>
      <c r="J122" s="8" t="n">
        <f aca="false">Thesis!J58-base_fy-v_off</f>
        <v>4.74794520547945</v>
      </c>
      <c r="K122" s="8" t="n">
        <f aca="false">Thesis!K58-base_fy-v_off</f>
        <v>5.74794520547945</v>
      </c>
    </row>
    <row r="123" customFormat="false" ht="15" hidden="false" customHeight="false" outlineLevel="0" collapsed="false">
      <c r="A123" s="1" t="s">
        <v>1215</v>
      </c>
      <c r="B123" s="0" t="s">
        <v>229</v>
      </c>
      <c r="F123" s="15" t="n">
        <f aca="false">1/(1+wacc)^Val!F121</f>
        <v>0.964022703286649</v>
      </c>
      <c r="G123" s="15" t="n">
        <f aca="false">1/(1+wacc)^Val!G121</f>
        <v>0.884910302296739</v>
      </c>
      <c r="H123" s="15" t="n">
        <f aca="false">1/(1+wacc)^Val!H121</f>
        <v>0.802322009770358</v>
      </c>
      <c r="I123" s="15" t="n">
        <f aca="false">1/(1+wacc)^Val!I121</f>
        <v>0.727441646561469</v>
      </c>
      <c r="J123" s="15" t="n">
        <f aca="false">1/(1+wacc)^Val!J121</f>
        <v>0.659549834988973</v>
      </c>
      <c r="K123" s="15" t="n">
        <f aca="false">1/(1+wacc)^Val!K121</f>
        <v>0.597994336576966</v>
      </c>
    </row>
    <row r="124" customFormat="false" ht="17.15" hidden="false" customHeight="false" outlineLevel="0" collapsed="false">
      <c r="A124" s="1" t="s">
        <v>1216</v>
      </c>
      <c r="B124" s="0" t="s">
        <v>98</v>
      </c>
      <c r="F124" s="6" t="n">
        <f aca="false">Q!$I$35-Q!$I$39-Q!$I$43</f>
        <v>9.666</v>
      </c>
      <c r="L124" s="12" t="s">
        <v>1217</v>
      </c>
    </row>
    <row r="125" customFormat="false" ht="17.15" hidden="false" customHeight="false" outlineLevel="0" collapsed="false">
      <c r="A125" s="1" t="s">
        <v>1218</v>
      </c>
      <c r="B125" s="0" t="s">
        <v>98</v>
      </c>
      <c r="F125" s="6" t="n">
        <f aca="false">CF!F55-CF!F52-CF!F59+Thesis!F99*(1-tax_f)*(1-v_off)-Val!F124</f>
        <v>-3.35959137570949</v>
      </c>
      <c r="G125" s="6" t="n">
        <f aca="false">CF!G55-CF!G52-CF!G59+Thesis!G99*(1-tax_f)</f>
        <v>29.8084555066036</v>
      </c>
      <c r="H125" s="6" t="n">
        <f aca="false">CF!H55-CF!H52-CF!H59+Thesis!H99*(1-tax_f)</f>
        <v>79.3231801478051</v>
      </c>
      <c r="I125" s="6" t="n">
        <f aca="false">CF!I55-CF!I52-CF!I59+Thesis!I99*(1-tax_f)</f>
        <v>157.29132812061</v>
      </c>
      <c r="J125" s="6" t="n">
        <f aca="false">CF!J55-CF!J52-CF!J59+Thesis!J99*(1-tax_f)</f>
        <v>235.537601843622</v>
      </c>
      <c r="K125" s="6" t="n">
        <f aca="false">CF!K55-CF!K52-CF!K59+Thesis!K99*(1-tax_f)</f>
        <v>273.705067207806</v>
      </c>
      <c r="L125" s="1" t="s">
        <v>1219</v>
      </c>
    </row>
    <row r="126" customFormat="false" ht="15" hidden="false" customHeight="false" outlineLevel="0" collapsed="false">
      <c r="A126" s="1" t="s">
        <v>1220</v>
      </c>
      <c r="B126" s="0" t="s">
        <v>98</v>
      </c>
      <c r="F126" s="6" t="n">
        <f aca="false">Val!F125*Val!F123</f>
        <v>-3.23872235994998</v>
      </c>
      <c r="G126" s="6" t="n">
        <f aca="false">Val!G125*Val!G123</f>
        <v>26.3778093733475</v>
      </c>
      <c r="H126" s="6" t="n">
        <f aca="false">Val!H125*Val!H123</f>
        <v>63.6427333175632</v>
      </c>
      <c r="I126" s="6" t="n">
        <f aca="false">Val!I125*Val!I123</f>
        <v>114.420262717897</v>
      </c>
      <c r="J126" s="6" t="n">
        <f aca="false">Val!J125*Val!J123</f>
        <v>155.348786429659</v>
      </c>
      <c r="K126" s="6" t="n">
        <f aca="false">Val!K125*Val!K123</f>
        <v>163.674080082686</v>
      </c>
    </row>
    <row r="127" customFormat="false" ht="17.15" hidden="false" customHeight="false" outlineLevel="0" collapsed="false">
      <c r="A127" s="1" t="s">
        <v>1221</v>
      </c>
      <c r="B127" s="0" t="s">
        <v>98</v>
      </c>
      <c r="C127" s="6" t="n">
        <f aca="false">SUM(Val!F126:K126)</f>
        <v>520.224949561203</v>
      </c>
    </row>
    <row r="128" customFormat="false" ht="17.15" hidden="false" customHeight="false" outlineLevel="0" collapsed="false">
      <c r="A128" s="1" t="s">
        <v>1222</v>
      </c>
      <c r="B128" s="0" t="s">
        <v>98</v>
      </c>
      <c r="C128" s="6" t="n">
        <f aca="false">PL!K78*(1+g_tv)*(1-tax_f)</f>
        <v>284.979534119394</v>
      </c>
    </row>
    <row r="129" customFormat="false" ht="17.15" hidden="false" customHeight="false" outlineLevel="0" collapsed="false">
      <c r="A129" s="1" t="s">
        <v>1223</v>
      </c>
      <c r="B129" s="0" t="s">
        <v>98</v>
      </c>
      <c r="C129" s="6" t="n">
        <f aca="false">Val!$C$128*(1-g_tv/(wacc+ronic_prem))</f>
        <v>201.924655916751</v>
      </c>
    </row>
    <row r="130" customFormat="false" ht="17.15" hidden="false" customHeight="false" outlineLevel="0" collapsed="false">
      <c r="A130" s="1" t="s">
        <v>1224</v>
      </c>
      <c r="B130" s="0" t="s">
        <v>98</v>
      </c>
      <c r="C130" s="6" t="n">
        <f aca="false">Val!$C$129/(wacc-g_tv)</f>
        <v>2768.49594008808</v>
      </c>
    </row>
    <row r="131" customFormat="false" ht="15" hidden="false" customHeight="false" outlineLevel="0" collapsed="false">
      <c r="A131" s="1" t="s">
        <v>1225</v>
      </c>
      <c r="B131" s="0" t="s">
        <v>98</v>
      </c>
      <c r="C131" s="6" t="n">
        <f aca="false">Val!$C$130/(1+wacc)^Val!K122</f>
        <v>1576.39732546142</v>
      </c>
    </row>
    <row r="132" customFormat="false" ht="17.15" hidden="false" customHeight="false" outlineLevel="0" collapsed="false">
      <c r="A132" s="0" t="s">
        <v>1226</v>
      </c>
      <c r="B132" s="0" t="s">
        <v>98</v>
      </c>
      <c r="C132" s="6" t="n">
        <f aca="false">Val!$C$127+Val!$C$131</f>
        <v>2096.62227502262</v>
      </c>
    </row>
    <row r="133" customFormat="false" ht="15" hidden="false" customHeight="false" outlineLevel="0" collapsed="false">
      <c r="A133" s="1" t="s">
        <v>1141</v>
      </c>
      <c r="B133" s="0" t="s">
        <v>168</v>
      </c>
      <c r="C133" s="7" t="n">
        <f aca="false">Val!$C$131/Val!$C$132</f>
        <v>0.751874738831729</v>
      </c>
    </row>
    <row r="134" customFormat="false" ht="17.15" hidden="false" customHeight="false" outlineLevel="0" collapsed="false">
      <c r="A134" s="1" t="s">
        <v>1227</v>
      </c>
      <c r="B134" s="0" t="s">
        <v>98</v>
      </c>
      <c r="C134" s="6" t="n">
        <f aca="false">Val!$C$132+cash_val-debt_val-fl_val+oai_v</f>
        <v>2212.47327502262</v>
      </c>
    </row>
    <row r="135" customFormat="false" ht="17.15" hidden="false" customHeight="false" outlineLevel="0" collapsed="false">
      <c r="A135" s="0" t="s">
        <v>1149</v>
      </c>
      <c r="B135" s="0" t="s">
        <v>75</v>
      </c>
      <c r="C135" s="5" t="n">
        <f aca="false">Val!$C$134/shd_val</f>
        <v>297.13581453433</v>
      </c>
    </row>
    <row r="136" customFormat="false" ht="15" hidden="false" customHeight="false" outlineLevel="0" collapsed="false">
      <c r="A136" s="1" t="s">
        <v>1228</v>
      </c>
      <c r="B136" s="0" t="s">
        <v>75</v>
      </c>
      <c r="C136" s="8" t="n">
        <f aca="false">div_rem27+CF!G63*roll_div_q/q_per_yr</f>
        <v>3.9795</v>
      </c>
    </row>
    <row r="137" customFormat="false" ht="17.15" hidden="false" customHeight="false" outlineLevel="0" collapsed="false">
      <c r="A137" s="0" t="s">
        <v>1229</v>
      </c>
      <c r="B137" s="0" t="s">
        <v>75</v>
      </c>
      <c r="C137" s="5" t="n">
        <f aca="false">Val!$C$135*(1+wacc)^t_roll-Val!$C$136</f>
        <v>326.303541225732</v>
      </c>
    </row>
    <row r="138" customFormat="false" ht="17.15" hidden="false" customHeight="false" outlineLevel="0" collapsed="false">
      <c r="A138" s="1" t="s">
        <v>1230</v>
      </c>
      <c r="B138" s="0" t="s">
        <v>168</v>
      </c>
      <c r="F138" s="7" t="n">
        <f aca="false">CF!F49/(Seg!F56-Thesis!F77)</f>
        <v>0.0686195668908011</v>
      </c>
      <c r="G138" s="7" t="n">
        <f aca="false">CF!G49/(Seg!G56-Thesis!G77)</f>
        <v>0.0658333569148391</v>
      </c>
      <c r="H138" s="7" t="n">
        <f aca="false">CF!H49/(Seg!H56-Thesis!H77)</f>
        <v>0.0643895625218926</v>
      </c>
      <c r="I138" s="7" t="n">
        <f aca="false">CF!I49/(Seg!I56-Thesis!I77)</f>
        <v>0.0641676618157989</v>
      </c>
      <c r="J138" s="7" t="n">
        <f aca="false">CF!J49/(Seg!J56-Thesis!J77)</f>
        <v>0.0648858606572163</v>
      </c>
      <c r="K138" s="7" t="n">
        <f aca="false">CF!K49/(Seg!K56-Thesis!K77)</f>
        <v>0.0661974425163768</v>
      </c>
    </row>
    <row r="139" customFormat="false" ht="17.15" hidden="false" customHeight="false" outlineLevel="0" collapsed="false">
      <c r="A139" s="0" t="s">
        <v>1231</v>
      </c>
      <c r="B139" s="0" t="s">
        <v>98</v>
      </c>
      <c r="F139" s="6" t="n">
        <f aca="false">Seg!F41*(al_m365+Val!F138+sbc_r)</f>
        <v>83.7205619248671</v>
      </c>
      <c r="G139" s="6" t="n">
        <f aca="false">Seg!G41*(al_m365+Val!G138+sbc_r)</f>
        <v>96.1301303332381</v>
      </c>
      <c r="H139" s="6" t="n">
        <f aca="false">Seg!H41*(al_m365+Val!H138+sbc_r)</f>
        <v>108.70354073822</v>
      </c>
      <c r="I139" s="6" t="n">
        <f aca="false">Seg!I41*(al_m365+Val!I138+sbc_r)</f>
        <v>120.260101315626</v>
      </c>
      <c r="J139" s="6" t="n">
        <f aca="false">Seg!J41*(al_m365+Val!J138+sbc_r)</f>
        <v>130.611904548619</v>
      </c>
      <c r="K139" s="6" t="n">
        <f aca="false">Seg!K41*(al_m365+Val!K138+sbc_r)</f>
        <v>140.575094974638</v>
      </c>
      <c r="L139" s="12" t="s">
        <v>1232</v>
      </c>
    </row>
    <row r="140" customFormat="false" ht="17.15" hidden="false" customHeight="false" outlineLevel="0" collapsed="false">
      <c r="A140" s="0" t="s">
        <v>1233</v>
      </c>
      <c r="B140" s="0" t="s">
        <v>98</v>
      </c>
      <c r="F140" s="6" t="n">
        <f aca="false">Seg!F42*(al_lic+Val!F138+sbc_r)</f>
        <v>32.8577657183496</v>
      </c>
      <c r="G140" s="6" t="n">
        <f aca="false">Seg!G42*(al_lic+Val!G138+sbc_r)</f>
        <v>34.1376266324889</v>
      </c>
      <c r="H140" s="6" t="n">
        <f aca="false">Seg!H42*(al_lic+Val!H138+sbc_r)</f>
        <v>35.3325744664128</v>
      </c>
      <c r="I140" s="6" t="n">
        <f aca="false">Seg!I42*(al_lic+Val!I138+sbc_r)</f>
        <v>36.4244749008727</v>
      </c>
      <c r="J140" s="6" t="n">
        <f aca="false">Seg!J42*(al_lic+Val!J138+sbc_r)</f>
        <v>37.3879406068527</v>
      </c>
      <c r="K140" s="6" t="n">
        <f aca="false">Seg!K42*(al_lic+Val!K138+sbc_r)</f>
        <v>38.1943876078259</v>
      </c>
    </row>
    <row r="141" customFormat="false" ht="17.15" hidden="false" customHeight="false" outlineLevel="0" collapsed="false">
      <c r="A141" s="0" t="s">
        <v>1234</v>
      </c>
      <c r="B141" s="0" t="s">
        <v>98</v>
      </c>
      <c r="F141" s="6" t="n">
        <f aca="false">Seg!F44*(al_ind+Val!F138+sbc_r)</f>
        <v>9.06041701092022</v>
      </c>
      <c r="G141" s="6" t="n">
        <f aca="false">Seg!G44*(al_ind+Val!G138+sbc_r)</f>
        <v>9.83619082712885</v>
      </c>
      <c r="H141" s="6" t="n">
        <f aca="false">Seg!H44*(al_ind+Val!H138+sbc_r)</f>
        <v>10.6570160105312</v>
      </c>
      <c r="I141" s="6" t="n">
        <f aca="false">Seg!I44*(al_ind+Val!I138+sbc_r)</f>
        <v>11.5198571637125</v>
      </c>
      <c r="J141" s="6" t="n">
        <f aca="false">Seg!J44*(al_ind+Val!J138+sbc_r)</f>
        <v>12.4150086539206</v>
      </c>
      <c r="K141" s="6" t="n">
        <f aca="false">Seg!K44*(al_ind+Val!K138+sbc_r)</f>
        <v>13.3273714589988</v>
      </c>
    </row>
    <row r="142" customFormat="false" ht="17.15" hidden="false" customHeight="false" outlineLevel="0" collapsed="false">
      <c r="A142" s="0" t="s">
        <v>1235</v>
      </c>
      <c r="B142" s="0" t="s">
        <v>98</v>
      </c>
      <c r="F142" s="6" t="n">
        <f aca="false">Seg!F46*(al_fro+Val!F138+sbc_r)</f>
        <v>3.55402950182022</v>
      </c>
      <c r="G142" s="6" t="n">
        <f aca="false">Seg!G46*(al_fro+Val!G138+sbc_r)</f>
        <v>3.76361488926481</v>
      </c>
      <c r="H142" s="6" t="n">
        <f aca="false">Seg!H46*(al_fro+Val!H138+sbc_r)</f>
        <v>4.00220968879544</v>
      </c>
      <c r="I142" s="6" t="n">
        <f aca="false">Seg!I46*(al_fro+Val!I138+sbc_r)</f>
        <v>4.2725765173852</v>
      </c>
      <c r="J142" s="6" t="n">
        <f aca="false">Seg!J46*(al_fro+Val!J138+sbc_r)</f>
        <v>4.57586224390293</v>
      </c>
      <c r="K142" s="6" t="n">
        <f aca="false">Seg!K46*(al_fro+Val!K138+sbc_r)</f>
        <v>4.91213639633217</v>
      </c>
    </row>
    <row r="143" customFormat="false" ht="17.15" hidden="false" customHeight="false" outlineLevel="0" collapsed="false">
      <c r="A143" s="0" t="s">
        <v>1236</v>
      </c>
      <c r="B143" s="0" t="s">
        <v>98</v>
      </c>
      <c r="F143" s="6" t="n">
        <f aca="false">Seg!F49*(al_srch+Val!F138+sbc_r)</f>
        <v>11.1890902994147</v>
      </c>
      <c r="G143" s="6" t="n">
        <f aca="false">Seg!G49*(al_srch+Val!G138+sbc_r)</f>
        <v>12.261738891803</v>
      </c>
      <c r="H143" s="6" t="n">
        <f aca="false">Seg!H49*(al_srch+Val!H138+sbc_r)</f>
        <v>13.3794863429193</v>
      </c>
      <c r="I143" s="6" t="n">
        <f aca="false">Seg!I49*(al_srch+Val!I138+sbc_r)</f>
        <v>14.5317114787784</v>
      </c>
      <c r="J143" s="6" t="n">
        <f aca="false">Seg!J49*(al_srch+Val!J138+sbc_r)</f>
        <v>15.6984365817724</v>
      </c>
      <c r="K143" s="6" t="n">
        <f aca="false">Seg!K49*(al_srch+Val!K138+sbc_r)</f>
        <v>16.8520942258664</v>
      </c>
    </row>
    <row r="144" customFormat="false" ht="17.15" hidden="false" customHeight="false" outlineLevel="0" collapsed="false">
      <c r="A144" s="0" t="s">
        <v>1237</v>
      </c>
      <c r="B144" s="0" t="s">
        <v>98</v>
      </c>
      <c r="F144" s="6" t="n">
        <f aca="false">Thesis!F83-Thesis!F84+Thesis!F99</f>
        <v>42.5431090240393</v>
      </c>
      <c r="G144" s="6" t="n">
        <f aca="false">Thesis!G83-Thesis!G84+Thesis!G99</f>
        <v>81.4922561130847</v>
      </c>
      <c r="H144" s="6" t="n">
        <f aca="false">Thesis!H83-Thesis!H84+Thesis!H99</f>
        <v>123.278266211349</v>
      </c>
      <c r="I144" s="6" t="n">
        <f aca="false">Thesis!I83-Thesis!I84+Thesis!I99</f>
        <v>160.60594185192</v>
      </c>
      <c r="J144" s="6" t="n">
        <f aca="false">Thesis!J83-Thesis!J84+Thesis!J99</f>
        <v>186.818741832633</v>
      </c>
      <c r="K144" s="6" t="n">
        <f aca="false">Thesis!K83-Thesis!K84+Thesis!K99</f>
        <v>202.776422159652</v>
      </c>
    </row>
    <row r="145" customFormat="false" ht="17.15" hidden="false" customHeight="false" outlineLevel="0" collapsed="false">
      <c r="A145" s="0" t="s">
        <v>1238</v>
      </c>
      <c r="B145" s="0" t="s">
        <v>98</v>
      </c>
      <c r="F145" s="6" t="n">
        <f aca="false">PL!F71+Thesis!F99+Thesis!F95+Val!F138*(Seg!F48-Thesis!F77)+sbc_r*Seg!F48</f>
        <v>238.090727427296</v>
      </c>
      <c r="G145" s="6" t="n">
        <f aca="false">PL!G71+Thesis!G99+Thesis!G95+Val!G138*(Seg!G48-Thesis!G77)+sbc_r*Seg!G48</f>
        <v>299.90836088563</v>
      </c>
      <c r="H145" s="6" t="n">
        <f aca="false">PL!H71+Thesis!H99+Thesis!H95+Val!H138*(Seg!H48-Thesis!H77)+sbc_r*Seg!H48</f>
        <v>369.457709442386</v>
      </c>
      <c r="I145" s="6" t="n">
        <f aca="false">PL!I71+Thesis!I99+Thesis!I95+Val!I138*(Seg!I48-Thesis!I77)+sbc_r*Seg!I48</f>
        <v>433.16585128823</v>
      </c>
      <c r="J145" s="6" t="n">
        <f aca="false">PL!J71+Thesis!J99+Thesis!J95+Val!J138*(Seg!J48-Thesis!J77)+sbc_r*Seg!J48</f>
        <v>483.301303131191</v>
      </c>
      <c r="K145" s="6" t="n">
        <f aca="false">PL!K71+Thesis!K99+Thesis!K95+Val!K138*(Seg!K48-Thesis!K77)+sbc_r*Seg!K48</f>
        <v>520.789002205336</v>
      </c>
    </row>
    <row r="146" customFormat="false" ht="17.15" hidden="false" customHeight="false" outlineLevel="0" collapsed="false">
      <c r="A146" s="0" t="s">
        <v>1239</v>
      </c>
      <c r="B146" s="0" t="s">
        <v>98</v>
      </c>
      <c r="F146" s="6" t="n">
        <f aca="false">Val!F145-Val!F139-Val!F140-Val!F141-Val!F142-Val!F144</f>
        <v>66.3548442472996</v>
      </c>
      <c r="G146" s="6" t="n">
        <f aca="false">Val!G145-Val!G139-Val!G140-Val!G141-Val!G142-Val!G144</f>
        <v>74.548542090425</v>
      </c>
      <c r="H146" s="6" t="n">
        <f aca="false">Val!H145-Val!H139-Val!H140-Val!H141-Val!H142-Val!H144</f>
        <v>87.4841023270775</v>
      </c>
      <c r="I146" s="6" t="n">
        <f aca="false">Val!I145-Val!I139-Val!I140-Val!I141-Val!I142-Val!I144</f>
        <v>100.082899538713</v>
      </c>
      <c r="J146" s="6" t="n">
        <f aca="false">Val!J145-Val!J139-Val!J140-Val!J141-Val!J142-Val!J144</f>
        <v>111.491845245262</v>
      </c>
      <c r="K146" s="6" t="n">
        <f aca="false">Val!K145-Val!K139-Val!K140-Val!K141-Val!K142-Val!K144</f>
        <v>121.003589607889</v>
      </c>
    </row>
    <row r="147" customFormat="false" ht="17.15" hidden="false" customHeight="false" outlineLevel="0" collapsed="false">
      <c r="A147" s="0" t="s">
        <v>1240</v>
      </c>
      <c r="B147" s="0" t="s">
        <v>98</v>
      </c>
      <c r="F147" s="6" t="n">
        <f aca="false">PL!F73+Val!F138*Seg!F55+sbc_r*Seg!F55</f>
        <v>26.6336365855879</v>
      </c>
      <c r="G147" s="6" t="n">
        <f aca="false">PL!G73+Val!G138*Seg!G55+sbc_r*Seg!G55</f>
        <v>26.4720859498625</v>
      </c>
      <c r="H147" s="6" t="n">
        <f aca="false">PL!H73+Val!H138*Seg!H55+sbc_r*Seg!H55</f>
        <v>27.346793021284</v>
      </c>
      <c r="I147" s="6" t="n">
        <f aca="false">PL!I73+Val!I138*Seg!I55+sbc_r*Seg!I55</f>
        <v>28.4574657863154</v>
      </c>
      <c r="J147" s="6" t="n">
        <f aca="false">PL!J73+Val!J138*Seg!J55+sbc_r*Seg!J55</f>
        <v>29.7689890546037</v>
      </c>
      <c r="K147" s="6" t="n">
        <f aca="false">PL!K73+Val!K138*Seg!K55+sbc_r*Seg!K55</f>
        <v>31.2443947307494</v>
      </c>
    </row>
    <row r="148" customFormat="false" ht="17.15" hidden="false" customHeight="false" outlineLevel="0" collapsed="false">
      <c r="A148" s="0" t="s">
        <v>1241</v>
      </c>
      <c r="B148" s="0" t="s">
        <v>98</v>
      </c>
      <c r="F148" s="6" t="n">
        <f aca="false">(Val!F147-Val!F143)*Seg!F51/(Seg!F51+Seg!F53)</f>
        <v>8.72285608232241</v>
      </c>
      <c r="G148" s="6" t="n">
        <f aca="false">(Val!G147-Val!G143)*Seg!G51/(Seg!G51+Seg!G53)</f>
        <v>7.88786455444355</v>
      </c>
      <c r="H148" s="6" t="n">
        <f aca="false">(Val!H147-Val!H143)*Seg!H51/(Seg!H51+Seg!H53)</f>
        <v>7.65195986819674</v>
      </c>
      <c r="I148" s="6" t="n">
        <f aca="false">(Val!I147-Val!I143)*Seg!I51/(Seg!I51+Seg!I53)</f>
        <v>7.56260440676676</v>
      </c>
      <c r="J148" s="6" t="n">
        <f aca="false">(Val!J147-Val!J143)*Seg!J51/(Seg!J51+Seg!J53)</f>
        <v>7.60790100885945</v>
      </c>
      <c r="K148" s="6" t="n">
        <f aca="false">(Val!K147-Val!K143)*Seg!K51/(Seg!K51+Seg!K53)</f>
        <v>7.78186910160995</v>
      </c>
    </row>
    <row r="149" customFormat="false" ht="17.15" hidden="false" customHeight="false" outlineLevel="0" collapsed="false">
      <c r="A149" s="0" t="s">
        <v>1242</v>
      </c>
      <c r="B149" s="0" t="s">
        <v>98</v>
      </c>
      <c r="F149" s="6" t="n">
        <f aca="false">Val!F147-Val!F143-Val!F148</f>
        <v>6.72169020385088</v>
      </c>
      <c r="G149" s="6" t="n">
        <f aca="false">Val!G147-Val!G143-Val!G148</f>
        <v>6.322482503616</v>
      </c>
      <c r="H149" s="6" t="n">
        <f aca="false">Val!H147-Val!H143-Val!H148</f>
        <v>6.315346810168</v>
      </c>
      <c r="I149" s="6" t="n">
        <f aca="false">Val!I147-Val!I143-Val!I148</f>
        <v>6.36314990077033</v>
      </c>
      <c r="J149" s="6" t="n">
        <f aca="false">Val!J147-Val!J143-Val!J148</f>
        <v>6.46265146397189</v>
      </c>
      <c r="K149" s="6" t="n">
        <f aca="false">Val!K147-Val!K143-Val!K148</f>
        <v>6.61043140327304</v>
      </c>
    </row>
    <row r="150" customFormat="false" ht="17.15" hidden="false" customHeight="false" outlineLevel="0" collapsed="false">
      <c r="A150" s="0" t="s">
        <v>1243</v>
      </c>
      <c r="B150" s="0" t="s">
        <v>98</v>
      </c>
      <c r="F150" s="6" t="n">
        <f aca="false">Val!F144-tax_f*(Val!F144-Thesis!F95)-Thesis!F92</f>
        <v>-127.503553927218</v>
      </c>
      <c r="G150" s="6" t="n">
        <f aca="false">Val!G144-tax_f*(Val!G144-Thesis!G95)-Thesis!G92</f>
        <v>-114.603772628121</v>
      </c>
      <c r="H150" s="6" t="n">
        <f aca="false">Val!H144-tax_f*(Val!H144-Thesis!H95)-Thesis!H92</f>
        <v>-80.3633729631438</v>
      </c>
      <c r="I150" s="6" t="n">
        <f aca="false">Val!I144-tax_f*(Val!I144-Thesis!I95)-Thesis!I92</f>
        <v>-17.2838782011649</v>
      </c>
      <c r="J150" s="6" t="n">
        <f aca="false">Val!J144-tax_f*(Val!J144-Thesis!J95)-Thesis!J92</f>
        <v>46.9281968800854</v>
      </c>
      <c r="K150" s="6" t="n">
        <f aca="false">Val!K144-tax_f*(Val!K144-Thesis!K95)-Thesis!K92</f>
        <v>71.8608185731755</v>
      </c>
    </row>
    <row r="151" customFormat="false" ht="17.15" hidden="false" customHeight="false" outlineLevel="0" collapsed="false">
      <c r="A151" s="0" t="s">
        <v>1244</v>
      </c>
      <c r="B151" s="0" t="s">
        <v>98</v>
      </c>
      <c r="G151" s="6" t="n">
        <f aca="false">Val!G150/(1+wacc)^(Val!G121-Val!F122)</f>
        <v>-109.124845494465</v>
      </c>
      <c r="H151" s="6" t="n">
        <f aca="false">Val!H150/(1+wacc)^(Val!H121-Val!F122)</f>
        <v>-69.3796874071025</v>
      </c>
      <c r="I151" s="6" t="n">
        <f aca="false">Val!I150/(1+wacc)^(Val!I121-Val!F122)</f>
        <v>-13.5289731380471</v>
      </c>
      <c r="J151" s="6" t="n">
        <f aca="false">Val!J150/(1+wacc)^(Val!J121-Val!F122)</f>
        <v>33.3048099587126</v>
      </c>
      <c r="K151" s="6" t="n">
        <f aca="false">Val!K150/(1+wacc)^(Val!K121-Val!F122)</f>
        <v>46.2396679904913</v>
      </c>
      <c r="L151" s="1" t="s">
        <v>1245</v>
      </c>
    </row>
    <row r="152" customFormat="false" ht="17.15" hidden="false" customHeight="false" outlineLevel="0" collapsed="false">
      <c r="A152" s="0" t="s">
        <v>1246</v>
      </c>
      <c r="B152" s="0" t="s">
        <v>98</v>
      </c>
      <c r="C152" s="6" t="n">
        <f aca="false">(Val!K144-Thesis!K95)*(1-tax_f)*(1+g_tv)*(1-g_tv/(wacc+ronic_prem))/(wacc-g_tv)/(1+wacc)^(Val!K122-Val!F122)</f>
        <v>293.118051086843</v>
      </c>
    </row>
    <row r="153" customFormat="false" ht="17.15" hidden="false" customHeight="false" outlineLevel="0" collapsed="false">
      <c r="A153" s="1" t="s">
        <v>1247</v>
      </c>
      <c r="B153" s="0" t="s">
        <v>98</v>
      </c>
      <c r="C153" s="6" t="n">
        <f aca="false">(SUM(Val!G151:K151)+Val!$C$152)*(1+wacc)^(t_roll-Val!F122)</f>
        <v>186.592133308255</v>
      </c>
      <c r="L153" s="12" t="s">
        <v>1248</v>
      </c>
    </row>
    <row r="154" customFormat="false" ht="17.15" hidden="false" customHeight="false" outlineLevel="0" collapsed="false">
      <c r="A154" s="1" t="s">
        <v>1249</v>
      </c>
      <c r="B154" s="0" t="s">
        <v>98</v>
      </c>
      <c r="C154" s="6" t="n">
        <f aca="false">(w_ntm28*Thesis!G83+(1-w_ntm28)*Thesis!H83)*m_ai</f>
        <v>463.789109510335</v>
      </c>
    </row>
    <row r="155" customFormat="false" ht="17.15" hidden="false" customHeight="false" outlineLevel="0" collapsed="false">
      <c r="A155" s="1" t="s">
        <v>1250</v>
      </c>
      <c r="B155" s="0" t="s">
        <v>98</v>
      </c>
      <c r="C155" s="6" t="n">
        <f aca="false">(w_ntm28*Val!G146+(1-w_ntm28)*Val!H146)*m_cloud</f>
        <v>1089.03436702245</v>
      </c>
    </row>
    <row r="156" customFormat="false" ht="17.15" hidden="false" customHeight="false" outlineLevel="0" collapsed="false">
      <c r="A156" s="1" t="s">
        <v>1251</v>
      </c>
      <c r="B156" s="0" t="s">
        <v>98</v>
      </c>
      <c r="C156" s="6" t="n">
        <f aca="false">(w_ntm28*Val!G139+(1-w_ntm28)*Val!H139)*m_sw</f>
        <v>1082.84962646159</v>
      </c>
    </row>
    <row r="157" customFormat="false" ht="17.15" hidden="false" customHeight="false" outlineLevel="0" collapsed="false">
      <c r="A157" s="1" t="s">
        <v>1252</v>
      </c>
      <c r="B157" s="0" t="s">
        <v>98</v>
      </c>
      <c r="C157" s="6" t="n">
        <f aca="false">(w_ntm28*Val!G140+(1-w_ntm28)*Val!H140)*m_sw</f>
        <v>372.929250898731</v>
      </c>
    </row>
    <row r="158" customFormat="false" ht="17.15" hidden="false" customHeight="false" outlineLevel="0" collapsed="false">
      <c r="A158" s="1" t="s">
        <v>1253</v>
      </c>
      <c r="B158" s="0" t="s">
        <v>98</v>
      </c>
      <c r="C158" s="6" t="n">
        <f aca="false">(w_ntm28*Val!G141+(1-w_ntm28)*Val!H141)*m_sw</f>
        <v>109.1453525431</v>
      </c>
    </row>
    <row r="159" customFormat="false" ht="17.15" hidden="false" customHeight="false" outlineLevel="0" collapsed="false">
      <c r="A159" s="1" t="s">
        <v>1254</v>
      </c>
      <c r="B159" s="0" t="s">
        <v>98</v>
      </c>
      <c r="C159" s="6" t="n">
        <f aca="false">(w_ntm28*Val!G142+(1-w_ntm28)*Val!H142)*m_sw</f>
        <v>41.4942157634893</v>
      </c>
    </row>
    <row r="160" customFormat="false" ht="17.15" hidden="false" customHeight="false" outlineLevel="0" collapsed="false">
      <c r="A160" s="1" t="s">
        <v>1255</v>
      </c>
      <c r="B160" s="0" t="s">
        <v>98</v>
      </c>
      <c r="C160" s="6" t="n">
        <f aca="false">(w_ntm28*Val!G143+(1-w_ntm28)*Val!H143)*m_ads</f>
        <v>115.052171478463</v>
      </c>
    </row>
    <row r="161" customFormat="false" ht="17.15" hidden="false" customHeight="false" outlineLevel="0" collapsed="false">
      <c r="A161" s="1" t="s">
        <v>1256</v>
      </c>
      <c r="B161" s="0" t="s">
        <v>98</v>
      </c>
      <c r="C161" s="6" t="n">
        <f aca="false">(w_ntm28*Val!G148+(1-w_ntm28)*Val!H148)*m_game</f>
        <v>98.6441755076202</v>
      </c>
    </row>
    <row r="162" customFormat="false" ht="17.15" hidden="false" customHeight="false" outlineLevel="0" collapsed="false">
      <c r="A162" s="1" t="s">
        <v>1257</v>
      </c>
      <c r="B162" s="0" t="s">
        <v>98</v>
      </c>
      <c r="C162" s="6" t="n">
        <f aca="false">(w_ntm28*Val!G149+(1-w_ntm28)*Val!H149)*m_pc</f>
        <v>91.4523754763561</v>
      </c>
    </row>
    <row r="163" customFormat="false" ht="17.15" hidden="false" customHeight="false" outlineLevel="0" collapsed="false">
      <c r="A163" s="1" t="s">
        <v>1258</v>
      </c>
      <c r="B163" s="0" t="s">
        <v>98</v>
      </c>
      <c r="C163" s="6" t="n">
        <f aca="false">Val!$C$153+Val!$C$155+Val!$C$156+Val!$C$157+Val!$C$158+Val!$C$159+Val!$C$160+Val!$C$161+Val!$C$162</f>
        <v>3187.19366846006</v>
      </c>
    </row>
    <row r="164" customFormat="false" ht="17.15" hidden="false" customHeight="false" outlineLevel="0" collapsed="false">
      <c r="A164" s="1" t="s">
        <v>1259</v>
      </c>
      <c r="B164" s="0" t="s">
        <v>98</v>
      </c>
      <c r="C164" s="6" t="n">
        <f aca="false">(Val!G125-Val!G150)*t_stub</f>
        <v>47.8736427515113</v>
      </c>
      <c r="L164" s="1" t="s">
        <v>1260</v>
      </c>
    </row>
    <row r="165" customFormat="false" ht="17.15" hidden="false" customHeight="false" outlineLevel="0" collapsed="false">
      <c r="A165" s="1" t="s">
        <v>1169</v>
      </c>
      <c r="B165" s="0" t="s">
        <v>98</v>
      </c>
      <c r="C165" s="6" t="n">
        <f aca="false">CF!F71+oai_v-CF!F60+Val!$C$164</f>
        <v>162.101912751511</v>
      </c>
      <c r="L165" s="1" t="s">
        <v>1261</v>
      </c>
    </row>
    <row r="166" customFormat="false" ht="17.15" hidden="false" customHeight="false" outlineLevel="0" collapsed="false">
      <c r="A166" s="1" t="s">
        <v>1262</v>
      </c>
      <c r="B166" s="0" t="s">
        <v>75</v>
      </c>
      <c r="C166" s="5" t="n">
        <f aca="false">(Val!$C$163+Val!$C$165)/(CF!F73+dil_gap)-CF!G63*roll_div_q/q_per_yr</f>
        <v>445.800799521231</v>
      </c>
      <c r="L166" s="1" t="s">
        <v>1263</v>
      </c>
    </row>
    <row r="167" customFormat="false" ht="17.15" hidden="false" customHeight="false" outlineLevel="0" collapsed="false">
      <c r="A167" s="1" t="s">
        <v>1264</v>
      </c>
      <c r="B167" s="0" t="s">
        <v>75</v>
      </c>
      <c r="C167" s="5" t="n">
        <f aca="false">w_dcf*Val!$C$137+(1-w_dcf)*Val!$C$166</f>
        <v>386.052170373482</v>
      </c>
    </row>
    <row r="168" customFormat="false" ht="17.15" hidden="false" customHeight="false" outlineLevel="0" collapsed="false">
      <c r="A168" s="3" t="s">
        <v>1266</v>
      </c>
    </row>
    <row r="169" customFormat="false" ht="15" hidden="false" customHeight="false" outlineLevel="0" collapsed="false">
      <c r="A169" s="4" t="s">
        <v>43</v>
      </c>
      <c r="B169" s="4" t="s">
        <v>65</v>
      </c>
      <c r="C169" s="23" t="s">
        <v>938</v>
      </c>
      <c r="D169" s="23" t="s">
        <v>939</v>
      </c>
      <c r="E169" s="23" t="s">
        <v>940</v>
      </c>
      <c r="F169" s="23" t="s">
        <v>941</v>
      </c>
      <c r="G169" s="23" t="s">
        <v>942</v>
      </c>
      <c r="H169" s="23" t="s">
        <v>943</v>
      </c>
      <c r="I169" s="23" t="s">
        <v>944</v>
      </c>
      <c r="J169" s="23" t="s">
        <v>945</v>
      </c>
      <c r="K169" s="23" t="s">
        <v>946</v>
      </c>
      <c r="L169" s="4" t="s">
        <v>47</v>
      </c>
    </row>
    <row r="170" customFormat="false" ht="17.15" hidden="false" customHeight="false" outlineLevel="0" collapsed="false">
      <c r="A170" s="1" t="s">
        <v>1212</v>
      </c>
      <c r="B170" s="1" t="s">
        <v>279</v>
      </c>
      <c r="F170" s="8" t="n">
        <f aca="false">(1-v_off)*mid_yr</f>
        <v>0.373972602739726</v>
      </c>
      <c r="G170" s="8" t="n">
        <f aca="false">Thesis!G110-base_fy-mid_yr-v_off</f>
        <v>1.24794520547945</v>
      </c>
      <c r="H170" s="8" t="n">
        <f aca="false">Thesis!H110-base_fy-mid_yr-v_off</f>
        <v>2.24794520547945</v>
      </c>
      <c r="I170" s="8" t="n">
        <f aca="false">Thesis!I110-base_fy-mid_yr-v_off</f>
        <v>3.24794520547945</v>
      </c>
      <c r="J170" s="8" t="n">
        <f aca="false">Thesis!J110-base_fy-mid_yr-v_off</f>
        <v>4.24794520547945</v>
      </c>
      <c r="K170" s="8" t="n">
        <f aca="false">Thesis!K110-base_fy-mid_yr-v_off</f>
        <v>5.24794520547945</v>
      </c>
      <c r="L170" s="12" t="s">
        <v>1213</v>
      </c>
    </row>
    <row r="171" customFormat="false" ht="15" hidden="false" customHeight="false" outlineLevel="0" collapsed="false">
      <c r="A171" s="1" t="s">
        <v>1214</v>
      </c>
      <c r="B171" s="1" t="s">
        <v>279</v>
      </c>
      <c r="F171" s="8" t="n">
        <f aca="false">Thesis!F110-base_fy-v_off</f>
        <v>0.747945205479452</v>
      </c>
      <c r="G171" s="8" t="n">
        <f aca="false">Thesis!G110-base_fy-v_off</f>
        <v>1.74794520547945</v>
      </c>
      <c r="H171" s="8" t="n">
        <f aca="false">Thesis!H110-base_fy-v_off</f>
        <v>2.74794520547945</v>
      </c>
      <c r="I171" s="8" t="n">
        <f aca="false">Thesis!I110-base_fy-v_off</f>
        <v>3.74794520547945</v>
      </c>
      <c r="J171" s="8" t="n">
        <f aca="false">Thesis!J110-base_fy-v_off</f>
        <v>4.74794520547945</v>
      </c>
      <c r="K171" s="8" t="n">
        <f aca="false">Thesis!K110-base_fy-v_off</f>
        <v>5.74794520547945</v>
      </c>
    </row>
    <row r="172" customFormat="false" ht="15" hidden="false" customHeight="false" outlineLevel="0" collapsed="false">
      <c r="A172" s="1" t="s">
        <v>1215</v>
      </c>
      <c r="B172" s="0" t="s">
        <v>229</v>
      </c>
      <c r="F172" s="15" t="n">
        <f aca="false">1/(1+wacc)^Val!F170</f>
        <v>0.964022703286649</v>
      </c>
      <c r="G172" s="15" t="n">
        <f aca="false">1/(1+wacc)^Val!G170</f>
        <v>0.884910302296739</v>
      </c>
      <c r="H172" s="15" t="n">
        <f aca="false">1/(1+wacc)^Val!H170</f>
        <v>0.802322009770358</v>
      </c>
      <c r="I172" s="15" t="n">
        <f aca="false">1/(1+wacc)^Val!I170</f>
        <v>0.727441646561469</v>
      </c>
      <c r="J172" s="15" t="n">
        <f aca="false">1/(1+wacc)^Val!J170</f>
        <v>0.659549834988973</v>
      </c>
      <c r="K172" s="15" t="n">
        <f aca="false">1/(1+wacc)^Val!K170</f>
        <v>0.597994336576966</v>
      </c>
    </row>
    <row r="173" customFormat="false" ht="17.15" hidden="false" customHeight="false" outlineLevel="0" collapsed="false">
      <c r="A173" s="1" t="s">
        <v>1216</v>
      </c>
      <c r="B173" s="0" t="s">
        <v>98</v>
      </c>
      <c r="F173" s="6" t="n">
        <f aca="false">Q!$I$35-Q!$I$39-Q!$I$43</f>
        <v>9.666</v>
      </c>
      <c r="L173" s="12" t="s">
        <v>1217</v>
      </c>
    </row>
    <row r="174" customFormat="false" ht="17.15" hidden="false" customHeight="false" outlineLevel="0" collapsed="false">
      <c r="A174" s="1" t="s">
        <v>1218</v>
      </c>
      <c r="B174" s="0" t="s">
        <v>98</v>
      </c>
      <c r="F174" s="6" t="n">
        <f aca="false">CF!F87-CF!F84-CF!F91+Thesis!F151*(1-tax_f)*(1-v_off)-Val!F173</f>
        <v>-6.10282680452259</v>
      </c>
      <c r="G174" s="6" t="n">
        <f aca="false">CF!G87-CF!G84-CF!G91+Thesis!G151*(1-tax_f)</f>
        <v>19.0084129023516</v>
      </c>
      <c r="H174" s="6" t="n">
        <f aca="false">CF!H87-CF!H84-CF!H91+Thesis!H151*(1-tax_f)</f>
        <v>55.9229468383331</v>
      </c>
      <c r="I174" s="6" t="n">
        <f aca="false">CF!I87-CF!I84-CF!I91+Thesis!I151*(1-tax_f)</f>
        <v>127.901908576191</v>
      </c>
      <c r="J174" s="6" t="n">
        <f aca="false">CF!J87-CF!J84-CF!J91+Thesis!J151*(1-tax_f)</f>
        <v>201.958443859638</v>
      </c>
      <c r="K174" s="6" t="n">
        <f aca="false">CF!K87-CF!K84-CF!K91+Thesis!K151*(1-tax_f)</f>
        <v>237.542519059905</v>
      </c>
      <c r="L174" s="1" t="s">
        <v>1219</v>
      </c>
    </row>
    <row r="175" customFormat="false" ht="15" hidden="false" customHeight="false" outlineLevel="0" collapsed="false">
      <c r="A175" s="1" t="s">
        <v>1220</v>
      </c>
      <c r="B175" s="0" t="s">
        <v>98</v>
      </c>
      <c r="F175" s="6" t="n">
        <f aca="false">Val!F174*Val!F172</f>
        <v>-5.88326359378609</v>
      </c>
      <c r="G175" s="6" t="n">
        <f aca="false">Val!G174*Val!G172</f>
        <v>16.8207404076012</v>
      </c>
      <c r="H175" s="6" t="n">
        <f aca="false">Val!H174*Val!H172</f>
        <v>44.8682110996123</v>
      </c>
      <c r="I175" s="6" t="n">
        <f aca="false">Val!I174*Val!I172</f>
        <v>93.0411749730187</v>
      </c>
      <c r="J175" s="6" t="n">
        <f aca="false">Val!J174*Val!J172</f>
        <v>133.201658322254</v>
      </c>
      <c r="K175" s="6" t="n">
        <f aca="false">Val!K174*Val!K172</f>
        <v>142.049081094049</v>
      </c>
    </row>
    <row r="176" customFormat="false" ht="17.15" hidden="false" customHeight="false" outlineLevel="0" collapsed="false">
      <c r="A176" s="1" t="s">
        <v>1221</v>
      </c>
      <c r="B176" s="0" t="s">
        <v>98</v>
      </c>
      <c r="C176" s="6" t="n">
        <f aca="false">SUM(Val!F175:K175)</f>
        <v>424.097602302749</v>
      </c>
    </row>
    <row r="177" customFormat="false" ht="17.15" hidden="false" customHeight="false" outlineLevel="0" collapsed="false">
      <c r="A177" s="1" t="s">
        <v>1222</v>
      </c>
      <c r="B177" s="0" t="s">
        <v>98</v>
      </c>
      <c r="C177" s="6" t="n">
        <f aca="false">PL!K117*(1+g_tv)*(1-tax_f)</f>
        <v>247.098906713682</v>
      </c>
    </row>
    <row r="178" customFormat="false" ht="17.15" hidden="false" customHeight="false" outlineLevel="0" collapsed="false">
      <c r="A178" s="1" t="s">
        <v>1223</v>
      </c>
      <c r="B178" s="0" t="s">
        <v>98</v>
      </c>
      <c r="C178" s="6" t="n">
        <f aca="false">Val!$C$177*(1-g_tv/(wacc+ronic_prem))</f>
        <v>175.084017418113</v>
      </c>
    </row>
    <row r="179" customFormat="false" ht="17.15" hidden="false" customHeight="false" outlineLevel="0" collapsed="false">
      <c r="A179" s="1" t="s">
        <v>1224</v>
      </c>
      <c r="B179" s="0" t="s">
        <v>98</v>
      </c>
      <c r="C179" s="6" t="n">
        <f aca="false">Val!$C$178/(wacc-g_tv)</f>
        <v>2400.4963098523</v>
      </c>
    </row>
    <row r="180" customFormat="false" ht="15" hidden="false" customHeight="false" outlineLevel="0" collapsed="false">
      <c r="A180" s="1" t="s">
        <v>1225</v>
      </c>
      <c r="B180" s="0" t="s">
        <v>98</v>
      </c>
      <c r="C180" s="6" t="n">
        <f aca="false">Val!$C$179/(1+wacc)^Val!K171</f>
        <v>1366.85624415645</v>
      </c>
    </row>
    <row r="181" customFormat="false" ht="17.15" hidden="false" customHeight="false" outlineLevel="0" collapsed="false">
      <c r="A181" s="0" t="s">
        <v>1226</v>
      </c>
      <c r="B181" s="0" t="s">
        <v>98</v>
      </c>
      <c r="C181" s="6" t="n">
        <f aca="false">Val!$C$176+Val!$C$180</f>
        <v>1790.9538464592</v>
      </c>
    </row>
    <row r="182" customFormat="false" ht="15" hidden="false" customHeight="false" outlineLevel="0" collapsed="false">
      <c r="A182" s="1" t="s">
        <v>1141</v>
      </c>
      <c r="B182" s="0" t="s">
        <v>168</v>
      </c>
      <c r="C182" s="7" t="n">
        <f aca="false">Val!$C$180/Val!$C$181</f>
        <v>0.763200149941769</v>
      </c>
    </row>
    <row r="183" customFormat="false" ht="17.15" hidden="false" customHeight="false" outlineLevel="0" collapsed="false">
      <c r="A183" s="1" t="s">
        <v>1227</v>
      </c>
      <c r="B183" s="0" t="s">
        <v>98</v>
      </c>
      <c r="C183" s="6" t="n">
        <f aca="false">Val!$C$181+cash_val-debt_val-fl_val+oai_v</f>
        <v>1906.8048464592</v>
      </c>
    </row>
    <row r="184" customFormat="false" ht="17.15" hidden="false" customHeight="false" outlineLevel="0" collapsed="false">
      <c r="A184" s="0" t="s">
        <v>1149</v>
      </c>
      <c r="B184" s="0" t="s">
        <v>75</v>
      </c>
      <c r="C184" s="5" t="n">
        <f aca="false">Val!$C$183/shd_val</f>
        <v>256.084454265269</v>
      </c>
    </row>
    <row r="185" customFormat="false" ht="15" hidden="false" customHeight="false" outlineLevel="0" collapsed="false">
      <c r="A185" s="1" t="s">
        <v>1228</v>
      </c>
      <c r="B185" s="0" t="s">
        <v>75</v>
      </c>
      <c r="C185" s="8" t="n">
        <f aca="false">div_rem27+CF!G95*roll_div_q/q_per_yr</f>
        <v>3.9795</v>
      </c>
    </row>
    <row r="186" customFormat="false" ht="17.15" hidden="false" customHeight="false" outlineLevel="0" collapsed="false">
      <c r="A186" s="0" t="s">
        <v>1229</v>
      </c>
      <c r="B186" s="0" t="s">
        <v>75</v>
      </c>
      <c r="C186" s="5" t="n">
        <f aca="false">Val!$C$184*(1+wacc)^t_roll-Val!$C$185</f>
        <v>280.67266317972</v>
      </c>
    </row>
    <row r="187" customFormat="false" ht="17.15" hidden="false" customHeight="false" outlineLevel="0" collapsed="false">
      <c r="A187" s="1" t="s">
        <v>1230</v>
      </c>
      <c r="B187" s="0" t="s">
        <v>168</v>
      </c>
      <c r="F187" s="7" t="n">
        <f aca="false">CF!F81/(Seg!F83-Thesis!F129)</f>
        <v>0.068677393452264</v>
      </c>
      <c r="G187" s="7" t="n">
        <f aca="false">CF!G81/(Seg!G83-Thesis!G129)</f>
        <v>0.0663132664471956</v>
      </c>
      <c r="H187" s="7" t="n">
        <f aca="false">CF!H81/(Seg!H83-Thesis!H129)</f>
        <v>0.0651363826734039</v>
      </c>
      <c r="I187" s="7" t="n">
        <f aca="false">CF!I81/(Seg!I83-Thesis!I129)</f>
        <v>0.0650087936347709</v>
      </c>
      <c r="J187" s="7" t="n">
        <f aca="false">CF!J81/(Seg!J83-Thesis!J129)</f>
        <v>0.0657212684841778</v>
      </c>
      <c r="K187" s="7" t="n">
        <f aca="false">CF!K81/(Seg!K83-Thesis!K129)</f>
        <v>0.0670413306015285</v>
      </c>
    </row>
    <row r="188" customFormat="false" ht="17.15" hidden="false" customHeight="false" outlineLevel="0" collapsed="false">
      <c r="A188" s="0" t="s">
        <v>1231</v>
      </c>
      <c r="B188" s="0" t="s">
        <v>98</v>
      </c>
      <c r="F188" s="6" t="n">
        <f aca="false">Seg!F68*(al_m365+Val!F187+sbc_r)</f>
        <v>82.9185219618347</v>
      </c>
      <c r="G188" s="6" t="n">
        <f aca="false">Seg!G68*(al_m365+Val!G187+sbc_r)</f>
        <v>93.3068052157631</v>
      </c>
      <c r="H188" s="6" t="n">
        <f aca="false">Seg!H68*(al_m365+Val!H187+sbc_r)</f>
        <v>103.856057136159</v>
      </c>
      <c r="I188" s="6" t="n">
        <f aca="false">Seg!I68*(al_m365+Val!I187+sbc_r)</f>
        <v>113.889717587147</v>
      </c>
      <c r="J188" s="6" t="n">
        <f aca="false">Seg!J68*(al_m365+Val!J187+sbc_r)</f>
        <v>123.218477864124</v>
      </c>
      <c r="K188" s="6" t="n">
        <f aca="false">Seg!K68*(al_m365+Val!K187+sbc_r)</f>
        <v>132.149420086311</v>
      </c>
      <c r="L188" s="12" t="s">
        <v>1232</v>
      </c>
    </row>
    <row r="189" customFormat="false" ht="17.15" hidden="false" customHeight="false" outlineLevel="0" collapsed="false">
      <c r="A189" s="0" t="s">
        <v>1233</v>
      </c>
      <c r="B189" s="0" t="s">
        <v>98</v>
      </c>
      <c r="F189" s="6" t="n">
        <f aca="false">Seg!F69*(al_lic+Val!F187+sbc_r)</f>
        <v>32.8599853992256</v>
      </c>
      <c r="G189" s="6" t="n">
        <f aca="false">Seg!G69*(al_lic+Val!G187+sbc_r)</f>
        <v>34.1568280697879</v>
      </c>
      <c r="H189" s="6" t="n">
        <f aca="false">Seg!H69*(al_lic+Val!H187+sbc_r)</f>
        <v>35.3635535007213</v>
      </c>
      <c r="I189" s="6" t="n">
        <f aca="false">Seg!I69*(al_lic+Val!I187+sbc_r)</f>
        <v>36.4604537346553</v>
      </c>
      <c r="J189" s="6" t="n">
        <f aca="false">Seg!J69*(al_lic+Val!J187+sbc_r)</f>
        <v>37.4245888933574</v>
      </c>
      <c r="K189" s="6" t="n">
        <f aca="false">Seg!K69*(al_lic+Val!K187+sbc_r)</f>
        <v>38.2321483186439</v>
      </c>
    </row>
    <row r="190" customFormat="false" ht="17.15" hidden="false" customHeight="false" outlineLevel="0" collapsed="false">
      <c r="A190" s="0" t="s">
        <v>1234</v>
      </c>
      <c r="B190" s="0" t="s">
        <v>98</v>
      </c>
      <c r="F190" s="6" t="n">
        <f aca="false">Seg!F71*(al_ind+Val!F187+sbc_r)</f>
        <v>9.06170747885803</v>
      </c>
      <c r="G190" s="6" t="n">
        <f aca="false">Seg!G71*(al_ind+Val!G187+sbc_r)</f>
        <v>9.8478979082138</v>
      </c>
      <c r="H190" s="6" t="n">
        <f aca="false">Seg!H71*(al_ind+Val!H187+sbc_r)</f>
        <v>10.6768254332059</v>
      </c>
      <c r="I190" s="6" t="n">
        <f aca="false">Seg!I71*(al_ind+Val!I187+sbc_r)</f>
        <v>11.54398793803</v>
      </c>
      <c r="J190" s="6" t="n">
        <f aca="false">Seg!J71*(al_ind+Val!J187+sbc_r)</f>
        <v>12.4407914253112</v>
      </c>
      <c r="K190" s="6" t="n">
        <f aca="false">Seg!K71*(al_ind+Val!K187+sbc_r)</f>
        <v>13.355239066864</v>
      </c>
    </row>
    <row r="191" customFormat="false" ht="17.15" hidden="false" customHeight="false" outlineLevel="0" collapsed="false">
      <c r="A191" s="0" t="s">
        <v>1235</v>
      </c>
      <c r="B191" s="0" t="s">
        <v>98</v>
      </c>
      <c r="F191" s="6" t="n">
        <f aca="false">Seg!F73*(al_fro+Val!F187+sbc_r)</f>
        <v>3.55453569939552</v>
      </c>
      <c r="G191" s="6" t="n">
        <f aca="false">Seg!G73*(al_fro+Val!G187+sbc_r)</f>
        <v>3.76809436159872</v>
      </c>
      <c r="H191" s="6" t="n">
        <f aca="false">Seg!H73*(al_fro+Val!H187+sbc_r)</f>
        <v>4.00964905674607</v>
      </c>
      <c r="I191" s="6" t="n">
        <f aca="false">Seg!I73*(al_fro+Val!I187+sbc_r)</f>
        <v>4.28152633145235</v>
      </c>
      <c r="J191" s="6" t="n">
        <f aca="false">Seg!J73*(al_fro+Val!J187+sbc_r)</f>
        <v>4.58536512975975</v>
      </c>
      <c r="K191" s="6" t="n">
        <f aca="false">Seg!K73*(al_fro+Val!K187+sbc_r)</f>
        <v>4.92240770086468</v>
      </c>
    </row>
    <row r="192" customFormat="false" ht="17.15" hidden="false" customHeight="false" outlineLevel="0" collapsed="false">
      <c r="A192" s="0" t="s">
        <v>1236</v>
      </c>
      <c r="B192" s="0" t="s">
        <v>98</v>
      </c>
      <c r="F192" s="6" t="n">
        <f aca="false">Seg!F76*(al_srch+Val!F187+sbc_r)</f>
        <v>11.190683952584</v>
      </c>
      <c r="G192" s="6" t="n">
        <f aca="false">Seg!G76*(al_srch+Val!G187+sbc_r)</f>
        <v>12.2763328717258</v>
      </c>
      <c r="H192" s="6" t="n">
        <f aca="false">Seg!H76*(al_srch+Val!H187+sbc_r)</f>
        <v>13.4043563346576</v>
      </c>
      <c r="I192" s="6" t="n">
        <f aca="false">Seg!I76*(al_srch+Val!I187+sbc_r)</f>
        <v>14.5621512181916</v>
      </c>
      <c r="J192" s="6" t="n">
        <f aca="false">Seg!J76*(al_srch+Val!J187+sbc_r)</f>
        <v>15.7310381862385</v>
      </c>
      <c r="K192" s="6" t="n">
        <f aca="false">Seg!K76*(al_srch+Val!K187+sbc_r)</f>
        <v>16.8873320486462</v>
      </c>
    </row>
    <row r="193" customFormat="false" ht="17.15" hidden="false" customHeight="false" outlineLevel="0" collapsed="false">
      <c r="A193" s="0" t="s">
        <v>1237</v>
      </c>
      <c r="B193" s="0" t="s">
        <v>98</v>
      </c>
      <c r="F193" s="6" t="n">
        <f aca="false">Thesis!F135-Thesis!F136+Thesis!F151</f>
        <v>38.9696429794913</v>
      </c>
      <c r="G193" s="6" t="n">
        <f aca="false">Thesis!G135-Thesis!G136+Thesis!G151</f>
        <v>69.465497726016</v>
      </c>
      <c r="H193" s="6" t="n">
        <f aca="false">Thesis!H135-Thesis!H136+Thesis!H151</f>
        <v>96.8147106808268</v>
      </c>
      <c r="I193" s="6" t="n">
        <f aca="false">Thesis!I135-Thesis!I136+Thesis!I151</f>
        <v>127.654939766446</v>
      </c>
      <c r="J193" s="6" t="n">
        <f aca="false">Thesis!J135-Thesis!J136+Thesis!J151</f>
        <v>149.308352681229</v>
      </c>
      <c r="K193" s="6" t="n">
        <f aca="false">Thesis!K135-Thesis!K136+Thesis!K151</f>
        <v>162.731822021841</v>
      </c>
    </row>
    <row r="194" customFormat="false" ht="17.15" hidden="false" customHeight="false" outlineLevel="0" collapsed="false">
      <c r="A194" s="0" t="s">
        <v>1238</v>
      </c>
      <c r="B194" s="0" t="s">
        <v>98</v>
      </c>
      <c r="F194" s="6" t="n">
        <f aca="false">PL!F110+Thesis!F151+Thesis!F147+Val!F187*(Seg!F75-Thesis!F129)+sbc_r*Seg!F75</f>
        <v>234.79972328186</v>
      </c>
      <c r="G194" s="6" t="n">
        <f aca="false">PL!G110+Thesis!G151+Thesis!G147+Val!G187*(Seg!G75-Thesis!G129)+sbc_r*Seg!G75</f>
        <v>285.499052659517</v>
      </c>
      <c r="H194" s="6" t="n">
        <f aca="false">PL!H110+Thesis!H151+Thesis!H147+Val!H187*(Seg!H75-Thesis!H129)+sbc_r*Seg!H75</f>
        <v>338.258569294547</v>
      </c>
      <c r="I194" s="6" t="n">
        <f aca="false">PL!I110+Thesis!I151+Thesis!I147+Val!I187*(Seg!I75-Thesis!I129)+sbc_r*Seg!I75</f>
        <v>393.887902526982</v>
      </c>
      <c r="J194" s="6" t="n">
        <f aca="false">PL!J110+Thesis!J151+Thesis!J147+Val!J187*(Seg!J75-Thesis!J129)+sbc_r*Seg!J75</f>
        <v>438.406631506078</v>
      </c>
      <c r="K194" s="6" t="n">
        <f aca="false">PL!K110+Thesis!K151+Thesis!K147+Val!K187*(Seg!K75-Thesis!K129)+sbc_r*Seg!K75</f>
        <v>472.352875745143</v>
      </c>
    </row>
    <row r="195" customFormat="false" ht="17.15" hidden="false" customHeight="false" outlineLevel="0" collapsed="false">
      <c r="A195" s="0" t="s">
        <v>1239</v>
      </c>
      <c r="B195" s="0" t="s">
        <v>98</v>
      </c>
      <c r="F195" s="6" t="n">
        <f aca="false">Val!F194-Val!F188-Val!F189-Val!F190-Val!F191-Val!F193</f>
        <v>67.4353297630543</v>
      </c>
      <c r="G195" s="6" t="n">
        <f aca="false">Val!G194-Val!G188-Val!G189-Val!G190-Val!G191-Val!G193</f>
        <v>74.9539293781376</v>
      </c>
      <c r="H195" s="6" t="n">
        <f aca="false">Val!H194-Val!H188-Val!H189-Val!H190-Val!H191-Val!H193</f>
        <v>87.537773486888</v>
      </c>
      <c r="I195" s="6" t="n">
        <f aca="false">Val!I194-Val!I188-Val!I189-Val!I190-Val!I191-Val!I193</f>
        <v>100.057277169252</v>
      </c>
      <c r="J195" s="6" t="n">
        <f aca="false">Val!J194-Val!J188-Val!J189-Val!J190-Val!J191-Val!J193</f>
        <v>111.429055512297</v>
      </c>
      <c r="K195" s="6" t="n">
        <f aca="false">Val!K194-Val!K188-Val!K189-Val!K190-Val!K191-Val!K193</f>
        <v>120.961838550618</v>
      </c>
    </row>
    <row r="196" customFormat="false" ht="17.15" hidden="false" customHeight="false" outlineLevel="0" collapsed="false">
      <c r="A196" s="0" t="s">
        <v>1240</v>
      </c>
      <c r="B196" s="0" t="s">
        <v>98</v>
      </c>
      <c r="F196" s="6" t="n">
        <f aca="false">PL!F112+Val!F187*Seg!F82+sbc_r*Seg!F82</f>
        <v>26.6373549789235</v>
      </c>
      <c r="G196" s="6" t="n">
        <f aca="false">PL!G112+Val!G187*Seg!G82+sbc_r*Seg!G82</f>
        <v>26.5038922765853</v>
      </c>
      <c r="H196" s="6" t="n">
        <f aca="false">PL!H112+Val!H187*Seg!H82+sbc_r*Seg!H82</f>
        <v>27.3981100014792</v>
      </c>
      <c r="I196" s="6" t="n">
        <f aca="false">PL!I112+Val!I187*Seg!I82+sbc_r*Seg!I82</f>
        <v>28.5176442589239</v>
      </c>
      <c r="J196" s="6" t="n">
        <f aca="false">PL!J112+Val!J187*Seg!J82+sbc_r*Seg!J82</f>
        <v>29.8313998963726</v>
      </c>
      <c r="K196" s="6" t="n">
        <f aca="false">PL!K112+Val!K187*Seg!K82+sbc_r*Seg!K82</f>
        <v>31.3103466222307</v>
      </c>
    </row>
    <row r="197" customFormat="false" ht="17.15" hidden="false" customHeight="false" outlineLevel="0" collapsed="false">
      <c r="A197" s="0" t="s">
        <v>1241</v>
      </c>
      <c r="B197" s="0" t="s">
        <v>98</v>
      </c>
      <c r="F197" s="6" t="n">
        <f aca="false">(Val!F196-Val!F192)*Seg!F78/(Seg!F78+Seg!F80)</f>
        <v>8.72405610479892</v>
      </c>
      <c r="G197" s="6" t="n">
        <f aca="false">(Val!G196-Val!G192)*Seg!G78/(Seg!G78+Seg!G80)</f>
        <v>7.897418765869</v>
      </c>
      <c r="H197" s="6" t="n">
        <f aca="false">(Val!H196-Val!H192)*Seg!H78/(Seg!H78+Seg!H80)</f>
        <v>7.66644879573063</v>
      </c>
      <c r="I197" s="6" t="n">
        <f aca="false">(Val!I196-Val!I192)*Seg!I78/(Seg!I78+Seg!I80)</f>
        <v>7.5787545031814</v>
      </c>
      <c r="J197" s="6" t="n">
        <f aca="false">(Val!J196-Val!J192)*Seg!J78/(Seg!J78+Seg!J80)</f>
        <v>7.62401876450459</v>
      </c>
      <c r="K197" s="6" t="n">
        <f aca="false">(Val!K196-Val!K192)*Seg!K78/(Seg!K78+Seg!K80)</f>
        <v>7.79847609658838</v>
      </c>
    </row>
    <row r="198" customFormat="false" ht="17.15" hidden="false" customHeight="false" outlineLevel="0" collapsed="false">
      <c r="A198" s="0" t="s">
        <v>1242</v>
      </c>
      <c r="B198" s="0" t="s">
        <v>98</v>
      </c>
      <c r="F198" s="6" t="n">
        <f aca="false">Val!F196-Val!F192-Val!F197</f>
        <v>6.72261492154066</v>
      </c>
      <c r="G198" s="6" t="n">
        <f aca="false">Val!G196-Val!G192-Val!G197</f>
        <v>6.33014063899044</v>
      </c>
      <c r="H198" s="6" t="n">
        <f aca="false">Val!H196-Val!H192-Val!H197</f>
        <v>6.32730487109095</v>
      </c>
      <c r="I198" s="6" t="n">
        <f aca="false">Val!I196-Val!I192-Val!I197</f>
        <v>6.37673853755084</v>
      </c>
      <c r="J198" s="6" t="n">
        <f aca="false">Val!J196-Val!J192-Val!J197</f>
        <v>6.47634294562954</v>
      </c>
      <c r="K198" s="6" t="n">
        <f aca="false">Val!K196-Val!K192-Val!K197</f>
        <v>6.62453847699607</v>
      </c>
    </row>
    <row r="199" customFormat="false" ht="17.15" hidden="false" customHeight="false" outlineLevel="0" collapsed="false">
      <c r="A199" s="0" t="s">
        <v>1243</v>
      </c>
      <c r="B199" s="0" t="s">
        <v>98</v>
      </c>
      <c r="F199" s="6" t="n">
        <f aca="false">Val!F193-tax_f*(Val!F193-Thesis!F147)-Thesis!F144</f>
        <v>-130.362326762856</v>
      </c>
      <c r="G199" s="6" t="n">
        <f aca="false">Val!G193-tax_f*(Val!G193-Thesis!G147)-Thesis!G144</f>
        <v>-124.225179337776</v>
      </c>
      <c r="H199" s="6" t="n">
        <f aca="false">Val!H193-tax_f*(Val!H193-Thesis!H147)-Thesis!H144</f>
        <v>-101.534217387562</v>
      </c>
      <c r="I199" s="6" t="n">
        <f aca="false">Val!I193-tax_f*(Val!I193-Thesis!I147)-Thesis!I144</f>
        <v>-43.6446798695439</v>
      </c>
      <c r="J199" s="6" t="n">
        <f aca="false">Val!J193-tax_f*(Val!J193-Thesis!J147)-Thesis!J144</f>
        <v>16.9198855589618</v>
      </c>
      <c r="K199" s="6" t="n">
        <f aca="false">Val!K193-tax_f*(Val!K193-Thesis!K147)-Thesis!K144</f>
        <v>39.8251384629271</v>
      </c>
    </row>
    <row r="200" customFormat="false" ht="17.15" hidden="false" customHeight="false" outlineLevel="0" collapsed="false">
      <c r="A200" s="0" t="s">
        <v>1244</v>
      </c>
      <c r="B200" s="0" t="s">
        <v>98</v>
      </c>
      <c r="G200" s="6" t="n">
        <f aca="false">Val!G199/(1+wacc)^(Val!G170-Val!F171)</f>
        <v>-118.286276192192</v>
      </c>
      <c r="H200" s="6" t="n">
        <f aca="false">Val!H199/(1+wacc)^(Val!H170-Val!F171)</f>
        <v>-87.6570009910427</v>
      </c>
      <c r="I200" s="6" t="n">
        <f aca="false">Val!I199/(1+wacc)^(Val!I170-Val!F171)</f>
        <v>-34.1629172979204</v>
      </c>
      <c r="J200" s="6" t="n">
        <f aca="false">Val!J199/(1+wacc)^(Val!J170-Val!F171)</f>
        <v>12.0079954170053</v>
      </c>
      <c r="K200" s="6" t="n">
        <f aca="false">Val!K199/(1+wacc)^(Val!K170-Val!F171)</f>
        <v>25.6259421582556</v>
      </c>
      <c r="L200" s="1" t="s">
        <v>1245</v>
      </c>
    </row>
    <row r="201" customFormat="false" ht="17.15" hidden="false" customHeight="false" outlineLevel="0" collapsed="false">
      <c r="A201" s="0" t="s">
        <v>1246</v>
      </c>
      <c r="B201" s="0" t="s">
        <v>98</v>
      </c>
      <c r="C201" s="6" t="n">
        <f aca="false">(Val!K193-Thesis!K147)*(1-tax_f)*(1+g_tv)*(1-g_tv/(wacc+ronic_prem))/(wacc-g_tv)/(1+wacc)^(Val!K171-Val!F171)</f>
        <v>96.7148026864948</v>
      </c>
    </row>
    <row r="202" customFormat="false" ht="17.15" hidden="false" customHeight="false" outlineLevel="0" collapsed="false">
      <c r="A202" s="1" t="s">
        <v>1247</v>
      </c>
      <c r="B202" s="0" t="s">
        <v>98</v>
      </c>
      <c r="C202" s="6" t="n">
        <f aca="false">(SUM(Val!G200:K200)+Val!$C$201)*(1+wacc)^(t_roll-Val!F171)</f>
        <v>-109.248827617462</v>
      </c>
      <c r="L202" s="12" t="s">
        <v>1248</v>
      </c>
    </row>
    <row r="203" customFormat="false" ht="17.15" hidden="false" customHeight="false" outlineLevel="0" collapsed="false">
      <c r="A203" s="1" t="s">
        <v>1249</v>
      </c>
      <c r="B203" s="0" t="s">
        <v>98</v>
      </c>
      <c r="C203" s="6" t="n">
        <f aca="false">(w_ntm28*Thesis!G135+(1-w_ntm28)*Thesis!H135)*m_ai</f>
        <v>344.355829012336</v>
      </c>
    </row>
    <row r="204" customFormat="false" ht="17.15" hidden="false" customHeight="false" outlineLevel="0" collapsed="false">
      <c r="A204" s="1" t="s">
        <v>1250</v>
      </c>
      <c r="B204" s="0" t="s">
        <v>98</v>
      </c>
      <c r="C204" s="6" t="n">
        <f aca="false">(w_ntm28*Val!G195+(1-w_ntm28)*Val!H195)*m_cloud</f>
        <v>1093.03877543039</v>
      </c>
    </row>
    <row r="205" customFormat="false" ht="17.15" hidden="false" customHeight="false" outlineLevel="0" collapsed="false">
      <c r="A205" s="1" t="s">
        <v>1251</v>
      </c>
      <c r="B205" s="0" t="s">
        <v>98</v>
      </c>
      <c r="C205" s="6" t="n">
        <f aca="false">(w_ntm28*Val!G188+(1-w_ntm28)*Val!H188)*m_sw</f>
        <v>1045.17056616266</v>
      </c>
    </row>
    <row r="206" customFormat="false" ht="17.15" hidden="false" customHeight="false" outlineLevel="0" collapsed="false">
      <c r="A206" s="1" t="s">
        <v>1252</v>
      </c>
      <c r="B206" s="0" t="s">
        <v>98</v>
      </c>
      <c r="C206" s="6" t="n">
        <f aca="false">(w_ntm28*Val!G189+(1-w_ntm28)*Val!H189)*m_sw</f>
        <v>373.178444957791</v>
      </c>
    </row>
    <row r="207" customFormat="false" ht="17.15" hidden="false" customHeight="false" outlineLevel="0" collapsed="false">
      <c r="A207" s="1" t="s">
        <v>1253</v>
      </c>
      <c r="B207" s="0" t="s">
        <v>98</v>
      </c>
      <c r="C207" s="6" t="n">
        <f aca="false">(w_ntm28*Val!G190+(1-w_ntm28)*Val!H190)*m_sw</f>
        <v>109.30055788101</v>
      </c>
    </row>
    <row r="208" customFormat="false" ht="17.15" hidden="false" customHeight="false" outlineLevel="0" collapsed="false">
      <c r="A208" s="1" t="s">
        <v>1254</v>
      </c>
      <c r="B208" s="0" t="s">
        <v>98</v>
      </c>
      <c r="C208" s="6" t="n">
        <f aca="false">(w_ntm28*Val!G191+(1-w_ntm28)*Val!H191)*m_sw</f>
        <v>41.5531037214606</v>
      </c>
    </row>
    <row r="209" customFormat="false" ht="17.15" hidden="false" customHeight="false" outlineLevel="0" collapsed="false">
      <c r="A209" s="1" t="s">
        <v>1255</v>
      </c>
      <c r="B209" s="0" t="s">
        <v>98</v>
      </c>
      <c r="C209" s="6" t="n">
        <f aca="false">(w_ntm28*Val!G192+(1-w_ntm28)*Val!H192)*m_ads</f>
        <v>115.215899994784</v>
      </c>
    </row>
    <row r="210" customFormat="false" ht="17.15" hidden="false" customHeight="false" outlineLevel="0" collapsed="false">
      <c r="A210" s="1" t="s">
        <v>1256</v>
      </c>
      <c r="B210" s="0" t="s">
        <v>98</v>
      </c>
      <c r="C210" s="6" t="n">
        <f aca="false">(w_ntm28*Val!G197+(1-w_ntm28)*Val!H197)*m_game</f>
        <v>98.7853357615783</v>
      </c>
    </row>
    <row r="211" customFormat="false" ht="17.15" hidden="false" customHeight="false" outlineLevel="0" collapsed="false">
      <c r="A211" s="1" t="s">
        <v>1257</v>
      </c>
      <c r="B211" s="0" t="s">
        <v>98</v>
      </c>
      <c r="C211" s="6" t="n">
        <f aca="false">(w_ntm28*Val!G198+(1-w_ntm28)*Val!H198)*m_pc</f>
        <v>91.5836445602173</v>
      </c>
    </row>
    <row r="212" customFormat="false" ht="17.15" hidden="false" customHeight="false" outlineLevel="0" collapsed="false">
      <c r="A212" s="1" t="s">
        <v>1258</v>
      </c>
      <c r="B212" s="0" t="s">
        <v>98</v>
      </c>
      <c r="C212" s="6" t="n">
        <f aca="false">Val!$C$202+Val!$C$204+Val!$C$205+Val!$C$206+Val!$C$207+Val!$C$208+Val!$C$209+Val!$C$210+Val!$C$211</f>
        <v>2858.57750085243</v>
      </c>
    </row>
    <row r="213" customFormat="false" ht="17.15" hidden="false" customHeight="false" outlineLevel="0" collapsed="false">
      <c r="A213" s="1" t="s">
        <v>1259</v>
      </c>
      <c r="B213" s="0" t="s">
        <v>98</v>
      </c>
      <c r="C213" s="6" t="n">
        <f aca="false">(Val!G174-Val!G199)*t_stub</f>
        <v>47.4829168796038</v>
      </c>
      <c r="L213" s="1" t="s">
        <v>1260</v>
      </c>
    </row>
    <row r="214" customFormat="false" ht="17.15" hidden="false" customHeight="false" outlineLevel="0" collapsed="false">
      <c r="A214" s="1" t="s">
        <v>1169</v>
      </c>
      <c r="B214" s="0" t="s">
        <v>98</v>
      </c>
      <c r="C214" s="6" t="n">
        <f aca="false">CF!F103+oai_v-CF!F92+Val!$C$213</f>
        <v>158.55427008544</v>
      </c>
      <c r="L214" s="1" t="s">
        <v>1261</v>
      </c>
    </row>
    <row r="215" customFormat="false" ht="17.15" hidden="false" customHeight="false" outlineLevel="0" collapsed="false">
      <c r="A215" s="1" t="s">
        <v>1262</v>
      </c>
      <c r="B215" s="0" t="s">
        <v>75</v>
      </c>
      <c r="C215" s="5" t="n">
        <f aca="false">(Val!$C$212+Val!$C$214)/(CF!F105+dil_gap)-CF!G95*roll_div_q/q_per_yr</f>
        <v>401.459402206225</v>
      </c>
      <c r="L215" s="1" t="s">
        <v>1263</v>
      </c>
    </row>
    <row r="216" customFormat="false" ht="17.15" hidden="false" customHeight="false" outlineLevel="0" collapsed="false">
      <c r="A216" s="1" t="s">
        <v>1264</v>
      </c>
      <c r="B216" s="0" t="s">
        <v>75</v>
      </c>
      <c r="C216" s="5" t="n">
        <f aca="false">w_dcf*Val!$C$186+(1-w_dcf)*Val!$C$215</f>
        <v>341.066032692973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5" min="2" style="0" width="13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0" t="s">
        <v>1267</v>
      </c>
    </row>
    <row r="3" customFormat="false" ht="17.15" hidden="false" customHeight="false" outlineLevel="0" collapsed="false">
      <c r="A3" s="4" t="s">
        <v>43</v>
      </c>
      <c r="B3" s="4" t="s">
        <v>1268</v>
      </c>
      <c r="C3" s="4" t="s">
        <v>1269</v>
      </c>
      <c r="D3" s="4" t="s">
        <v>1270</v>
      </c>
      <c r="E3" s="4" t="s">
        <v>1271</v>
      </c>
      <c r="F3" s="4" t="s">
        <v>47</v>
      </c>
    </row>
    <row r="4" customFormat="false" ht="17.15" hidden="false" customHeight="false" outlineLevel="0" collapsed="false">
      <c r="A4" s="10" t="s">
        <v>1272</v>
      </c>
    </row>
    <row r="5" customFormat="false" ht="17.15" hidden="false" customHeight="false" outlineLevel="0" collapsed="false">
      <c r="A5" s="1" t="s">
        <v>1273</v>
      </c>
      <c r="B5" s="8" t="n">
        <f aca="false">Val!$B$36</f>
        <v>384.104559856734</v>
      </c>
      <c r="C5" s="8" t="n">
        <f aca="false">cons_tp</f>
        <v>605.12</v>
      </c>
      <c r="D5" s="8" t="n">
        <f aca="false">B5-C5</f>
        <v>-221.015440143266</v>
      </c>
      <c r="E5" s="38" t="n">
        <f aca="false">B5/C5-1</f>
        <v>-0.365242332336174</v>
      </c>
      <c r="F5" s="1" t="s">
        <v>1274</v>
      </c>
    </row>
    <row r="6" customFormat="false" ht="17.15" hidden="false" customHeight="false" outlineLevel="0" collapsed="false">
      <c r="A6" s="1" t="s">
        <v>1275</v>
      </c>
      <c r="B6" s="8" t="n">
        <f aca="false">Val!$B$36</f>
        <v>384.104559856734</v>
      </c>
      <c r="C6" s="8" t="n">
        <f aca="false">cons_tp_mb</f>
        <v>596.07</v>
      </c>
      <c r="D6" s="8" t="n">
        <f aca="false">B6-C6</f>
        <v>-211.965440143266</v>
      </c>
      <c r="E6" s="38" t="n">
        <f aca="false">B6/C6-1</f>
        <v>-0.355604945968202</v>
      </c>
      <c r="F6" s="1" t="s">
        <v>1276</v>
      </c>
    </row>
    <row r="7" customFormat="false" ht="17.15" hidden="false" customHeight="false" outlineLevel="0" collapsed="false">
      <c r="A7" s="1" t="s">
        <v>1277</v>
      </c>
      <c r="B7" s="6" t="n">
        <f aca="false">Seg!F56</f>
        <v>399.050611009588</v>
      </c>
      <c r="C7" s="6" t="n">
        <f aca="false">cons_rev27</f>
        <v>391.58</v>
      </c>
      <c r="D7" s="6" t="n">
        <f aca="false">B7-C7</f>
        <v>7.47061100958757</v>
      </c>
      <c r="E7" s="38" t="n">
        <f aca="false">B7/C7-1</f>
        <v>0.0190781219918983</v>
      </c>
      <c r="F7" s="1" t="s">
        <v>1278</v>
      </c>
    </row>
    <row r="8" customFormat="false" ht="17.15" hidden="false" customHeight="false" outlineLevel="0" collapsed="false">
      <c r="A8" s="1" t="s">
        <v>1279</v>
      </c>
      <c r="B8" s="6" t="n">
        <f aca="false">Seg!G56</f>
        <v>476.478106880219</v>
      </c>
      <c r="C8" s="6" t="n">
        <f aca="false">cons_rev28</f>
        <v>467.955</v>
      </c>
      <c r="D8" s="6" t="n">
        <f aca="false">B8-C8</f>
        <v>8.52310688021913</v>
      </c>
      <c r="E8" s="38" t="n">
        <f aca="false">B8/C8-1</f>
        <v>0.018213518137896</v>
      </c>
      <c r="F8" s="12" t="s">
        <v>87</v>
      </c>
    </row>
    <row r="9" customFormat="false" ht="17.15" hidden="false" customHeight="false" outlineLevel="0" collapsed="false">
      <c r="A9" s="1" t="s">
        <v>1280</v>
      </c>
      <c r="B9" s="6" t="n">
        <f aca="false">Seg!H56</f>
        <v>555.72683159012</v>
      </c>
      <c r="C9" s="6" t="n">
        <f aca="false">cons_rev29</f>
        <v>569.502</v>
      </c>
      <c r="D9" s="6" t="n">
        <f aca="false">B9-C9</f>
        <v>-13.7751684098804</v>
      </c>
      <c r="E9" s="38" t="n">
        <f aca="false">B9/C9-1</f>
        <v>-0.0241880948791758</v>
      </c>
      <c r="F9" s="12" t="s">
        <v>87</v>
      </c>
    </row>
    <row r="10" customFormat="false" ht="17.15" hidden="false" customHeight="false" outlineLevel="0" collapsed="false">
      <c r="A10" s="1" t="s">
        <v>1281</v>
      </c>
      <c r="B10" s="6" t="n">
        <f aca="false">PL!F74</f>
        <v>181.907318708743</v>
      </c>
      <c r="C10" s="6" t="n">
        <f aca="false">cons_ebit27</f>
        <v>182.305</v>
      </c>
      <c r="D10" s="6" t="n">
        <f aca="false">B10-C10</f>
        <v>-0.397681291257015</v>
      </c>
      <c r="E10" s="38" t="n">
        <f aca="false">B10/C10-1</f>
        <v>-0.00218140638631426</v>
      </c>
      <c r="F10" s="1" t="s">
        <v>1282</v>
      </c>
    </row>
    <row r="11" customFormat="false" ht="17.15" hidden="false" customHeight="false" outlineLevel="0" collapsed="false">
      <c r="A11" s="1" t="s">
        <v>1283</v>
      </c>
      <c r="B11" s="6" t="n">
        <f aca="false">PL!G74</f>
        <v>197.200283175776</v>
      </c>
      <c r="C11" s="6" t="n">
        <f aca="false">cons_ebit28</f>
        <v>217.245</v>
      </c>
      <c r="D11" s="6" t="n">
        <f aca="false">B11-C11</f>
        <v>-20.0447168242244</v>
      </c>
      <c r="E11" s="38" t="n">
        <f aca="false">B11/C11-1</f>
        <v>-0.0922677936165363</v>
      </c>
      <c r="F11" s="1" t="s">
        <v>1284</v>
      </c>
    </row>
    <row r="12" customFormat="false" ht="17.15" hidden="false" customHeight="false" outlineLevel="0" collapsed="false">
      <c r="A12" s="1" t="s">
        <v>1285</v>
      </c>
      <c r="B12" s="6" t="n">
        <f aca="false">PL!H74</f>
        <v>217.117310300706</v>
      </c>
      <c r="C12" s="6" t="n">
        <f aca="false">cons_ebit29</f>
        <v>262.608</v>
      </c>
      <c r="D12" s="6" t="n">
        <f aca="false">B12-C12</f>
        <v>-45.4906896992945</v>
      </c>
      <c r="E12" s="38" t="n">
        <f aca="false">B12/C12-1</f>
        <v>-0.173226595150546</v>
      </c>
      <c r="F12" s="1" t="s">
        <v>1284</v>
      </c>
    </row>
    <row r="13" customFormat="false" ht="17.15" hidden="false" customHeight="false" outlineLevel="0" collapsed="false">
      <c r="A13" s="0" t="s">
        <v>1286</v>
      </c>
      <c r="B13" s="8" t="n">
        <f aca="false">PL!F86</f>
        <v>19.3627626247216</v>
      </c>
      <c r="C13" s="8" t="n">
        <f aca="false">cons_eps27</f>
        <v>19.76</v>
      </c>
      <c r="D13" s="8" t="n">
        <f aca="false">B13-C13</f>
        <v>-0.397237375278412</v>
      </c>
      <c r="E13" s="38" t="n">
        <f aca="false">B13/C13-1</f>
        <v>-0.0201031060363569</v>
      </c>
      <c r="F13" s="1" t="s">
        <v>1287</v>
      </c>
    </row>
    <row r="14" customFormat="false" ht="17.15" hidden="false" customHeight="false" outlineLevel="0" collapsed="false">
      <c r="A14" s="0" t="s">
        <v>1288</v>
      </c>
      <c r="B14" s="8" t="n">
        <f aca="false">PL!G86</f>
        <v>20.8566153785765</v>
      </c>
      <c r="C14" s="8" t="n">
        <f aca="false">cons_eps28</f>
        <v>23.6</v>
      </c>
      <c r="D14" s="8" t="n">
        <f aca="false">B14-C14</f>
        <v>-2.74338462142348</v>
      </c>
      <c r="E14" s="38" t="n">
        <f aca="false">B14/C14-1</f>
        <v>-0.116245111077266</v>
      </c>
      <c r="F14" s="12" t="s">
        <v>87</v>
      </c>
    </row>
    <row r="15" customFormat="false" ht="15" hidden="false" customHeight="false" outlineLevel="0" collapsed="false">
      <c r="A15" s="0" t="s">
        <v>1289</v>
      </c>
      <c r="B15" s="8" t="n">
        <f aca="false">PL!H86</f>
        <v>22.8916652882548</v>
      </c>
      <c r="C15" s="8" t="n">
        <f aca="false">cons_eps29</f>
        <v>29.03</v>
      </c>
      <c r="D15" s="8" t="n">
        <f aca="false">B15-C15</f>
        <v>-6.13833471174517</v>
      </c>
      <c r="E15" s="38" t="n">
        <f aca="false">B15/C15-1</f>
        <v>-0.211447974913716</v>
      </c>
      <c r="F15" s="12" t="s">
        <v>87</v>
      </c>
    </row>
    <row r="16" customFormat="false" ht="17.15" hidden="false" customHeight="false" outlineLevel="0" collapsed="false">
      <c r="A16" s="1" t="s">
        <v>1290</v>
      </c>
      <c r="B16" s="6" t="n">
        <f aca="false">CF!F59</f>
        <v>204.2</v>
      </c>
      <c r="C16" s="6" t="n">
        <f aca="false">cons_cx27</f>
        <v>192.827</v>
      </c>
      <c r="D16" s="6" t="n">
        <f aca="false">B16-C16</f>
        <v>11.373</v>
      </c>
      <c r="E16" s="38" t="n">
        <f aca="false">B16/C16-1</f>
        <v>0.058980329518169</v>
      </c>
      <c r="F16" s="1" t="s">
        <v>1291</v>
      </c>
    </row>
    <row r="17" customFormat="false" ht="17.15" hidden="false" customHeight="false" outlineLevel="0" collapsed="false">
      <c r="A17" s="1" t="s">
        <v>1292</v>
      </c>
      <c r="B17" s="6" t="n">
        <f aca="false">CF!G59</f>
        <v>233.304883103296</v>
      </c>
      <c r="C17" s="6" t="n">
        <f aca="false">cons_cx28</f>
        <v>216.787</v>
      </c>
      <c r="D17" s="6" t="n">
        <f aca="false">B17-C17</f>
        <v>16.5178831032961</v>
      </c>
      <c r="E17" s="38" t="n">
        <f aca="false">B17/C17-1</f>
        <v>0.0761940665413337</v>
      </c>
      <c r="F17" s="1" t="s">
        <v>1293</v>
      </c>
    </row>
    <row r="18" customFormat="false" ht="17.15" hidden="false" customHeight="false" outlineLevel="0" collapsed="false">
      <c r="A18" s="1" t="s">
        <v>1294</v>
      </c>
      <c r="B18" s="6" t="n">
        <f aca="false">CF!H59</f>
        <v>243.866549033074</v>
      </c>
      <c r="C18" s="6" t="n">
        <f aca="false">cons_cx29</f>
        <v>251.173</v>
      </c>
      <c r="D18" s="6" t="n">
        <f aca="false">B18-C18</f>
        <v>-7.30645096692621</v>
      </c>
      <c r="E18" s="38" t="n">
        <f aca="false">B18/C18-1</f>
        <v>-0.0290893167933106</v>
      </c>
      <c r="F18" s="1" t="s">
        <v>1293</v>
      </c>
    </row>
    <row r="19" customFormat="false" ht="17.15" hidden="false" customHeight="false" outlineLevel="0" collapsed="false">
      <c r="A19" s="10" t="s">
        <v>1295</v>
      </c>
    </row>
    <row r="20" customFormat="false" ht="17.15" hidden="false" customHeight="false" outlineLevel="0" collapsed="false">
      <c r="A20" s="0" t="s">
        <v>1296</v>
      </c>
      <c r="B20" s="6" t="n">
        <f aca="false">Q!$I$18</f>
        <v>92.279</v>
      </c>
      <c r="C20" s="6" t="n">
        <f aca="false">g_q1_rev</f>
        <v>90.4</v>
      </c>
      <c r="D20" s="6" t="n">
        <f aca="false">B20-C20</f>
        <v>1.87899999999999</v>
      </c>
      <c r="E20" s="38" t="n">
        <f aca="false">B20/C20-1</f>
        <v>0.0207853982300883</v>
      </c>
      <c r="F20" s="1" t="s">
        <v>1297</v>
      </c>
    </row>
    <row r="21" customFormat="false" ht="17.15" hidden="false" customHeight="false" outlineLevel="0" collapsed="false">
      <c r="A21" s="0" t="s">
        <v>1298</v>
      </c>
      <c r="B21" s="6" t="n">
        <f aca="false">Q!$I$5</f>
        <v>76.795</v>
      </c>
      <c r="C21" s="6" t="n">
        <f aca="false">g_q1_ai</f>
        <v>75.45</v>
      </c>
      <c r="D21" s="6" t="n">
        <f aca="false">B21-C21</f>
        <v>1.345</v>
      </c>
      <c r="E21" s="38" t="n">
        <f aca="false">B21/C21-1</f>
        <v>0.0178263750828362</v>
      </c>
      <c r="F21" s="12" t="s">
        <v>1299</v>
      </c>
    </row>
    <row r="22" customFormat="false" ht="17.15" hidden="false" customHeight="false" outlineLevel="0" collapsed="false">
      <c r="A22" s="0" t="s">
        <v>1300</v>
      </c>
      <c r="B22" s="6" t="n">
        <f aca="false">Q!$I$12</f>
        <v>15.484</v>
      </c>
      <c r="C22" s="6" t="n">
        <f aca="false">g_q1_dc</f>
        <v>14.95</v>
      </c>
      <c r="D22" s="6" t="n">
        <f aca="false">B22-C22</f>
        <v>0.534000000000001</v>
      </c>
      <c r="E22" s="38" t="n">
        <f aca="false">B22/C22-1</f>
        <v>0.0357190635451505</v>
      </c>
      <c r="F22" s="1" t="s">
        <v>1301</v>
      </c>
    </row>
    <row r="23" customFormat="false" ht="17.15" hidden="false" customHeight="false" outlineLevel="0" collapsed="false">
      <c r="A23" s="0" t="s">
        <v>1302</v>
      </c>
      <c r="B23" s="7" t="n">
        <f aca="false">0.48</f>
        <v>0.48</v>
      </c>
      <c r="C23" s="7" t="n">
        <f aca="false">g_q1_az</f>
        <v>0.445</v>
      </c>
      <c r="D23" s="7" t="n">
        <f aca="false">B23-C23</f>
        <v>0.035</v>
      </c>
      <c r="F23" s="12" t="s">
        <v>87</v>
      </c>
    </row>
    <row r="24" customFormat="false" ht="17.15" hidden="false" customHeight="false" outlineLevel="0" collapsed="false">
      <c r="A24" s="0" t="s">
        <v>1303</v>
      </c>
      <c r="B24" s="6" t="n">
        <f aca="false">Q!$I$43</f>
        <v>45.2</v>
      </c>
      <c r="C24" s="6" t="n">
        <f aca="false">g_q1_cx</f>
        <v>50</v>
      </c>
      <c r="D24" s="6" t="n">
        <f aca="false">B24-C24</f>
        <v>-4.8</v>
      </c>
      <c r="E24" s="38" t="n">
        <f aca="false">B24/C24-1</f>
        <v>-0.096</v>
      </c>
      <c r="F24" s="1" t="s">
        <v>1304</v>
      </c>
    </row>
    <row r="25" customFormat="false" ht="17.15" hidden="false" customHeight="false" outlineLevel="0" collapsed="false">
      <c r="A25" s="0" t="s">
        <v>1305</v>
      </c>
      <c r="B25" s="7" t="n">
        <f aca="false">(Seg!F48-Q!$I$5)/(Q!M5-Q!$E$5)-1</f>
        <v>0.249439810197556</v>
      </c>
      <c r="C25" s="7" t="n">
        <f aca="false">g_q2_ai/Q!$F$5-1</f>
        <v>0.247652891792493</v>
      </c>
      <c r="D25" s="7" t="n">
        <f aca="false">B25-C25</f>
        <v>0.00178691840506318</v>
      </c>
      <c r="F25" s="1" t="s">
        <v>1306</v>
      </c>
    </row>
    <row r="26" customFormat="false" ht="17.15" hidden="false" customHeight="false" outlineLevel="0" collapsed="false">
      <c r="A26" s="0" t="s">
        <v>1307</v>
      </c>
      <c r="B26" s="7" t="n">
        <f aca="false">(Seg!F55-Q!$I$12)/(Q!M12-Q!$E$12)-1</f>
        <v>0.0232129906153957</v>
      </c>
      <c r="C26" s="7" t="n">
        <f aca="false">g_q2_dc/Q!$F$12-1</f>
        <v>-0.040518060836502</v>
      </c>
      <c r="D26" s="7" t="n">
        <f aca="false">B26-C26</f>
        <v>0.0637310514518977</v>
      </c>
      <c r="F26" s="12" t="s">
        <v>1308</v>
      </c>
    </row>
    <row r="27" customFormat="false" ht="17.15" hidden="false" customHeight="false" outlineLevel="0" collapsed="false">
      <c r="A27" s="1" t="s">
        <v>1309</v>
      </c>
      <c r="B27" s="7" t="n">
        <f aca="false">(Seg!F56-Q!$I$18)/(Q!M18-Q!$E$18)-1</f>
        <v>0.206973438656577</v>
      </c>
      <c r="C27" s="7" t="n">
        <f aca="false">g_q2_rev/Q!$F$18-1</f>
        <v>0.187971405017657</v>
      </c>
      <c r="D27" s="7" t="n">
        <f aca="false">B27-C27</f>
        <v>0.0190020336389205</v>
      </c>
      <c r="F27" s="12" t="s">
        <v>87</v>
      </c>
    </row>
    <row r="28" customFormat="false" ht="17.15" hidden="false" customHeight="false" outlineLevel="0" collapsed="false">
      <c r="A28" s="0" t="s">
        <v>1310</v>
      </c>
      <c r="B28" s="7" t="n">
        <f aca="false">(Seg!F36-Q!$I$6)/(Q!M6-Q!$E$6)-1</f>
        <v>0.427257560904303</v>
      </c>
      <c r="C28" s="7" t="n">
        <f aca="false">g_q2_az</f>
        <v>0.495</v>
      </c>
      <c r="D28" s="7" t="n">
        <f aca="false">B28-C28</f>
        <v>-0.0677424390956966</v>
      </c>
      <c r="F28" s="1" t="s">
        <v>1311</v>
      </c>
    </row>
    <row r="29" customFormat="false" ht="17.15" hidden="false" customHeight="false" outlineLevel="0" collapsed="false">
      <c r="A29" s="0" t="s">
        <v>1312</v>
      </c>
      <c r="B29" s="7" t="n">
        <f aca="false">(Seg!F53-Q!$I$15)/(Q!M15-Q!$E$15)-1</f>
        <v>-0.00763981133891623</v>
      </c>
      <c r="C29" s="7" t="n">
        <f aca="false">g_q2_win</f>
        <v>-0.35</v>
      </c>
      <c r="D29" s="7" t="n">
        <f aca="false">B29-C29</f>
        <v>0.342360188661084</v>
      </c>
      <c r="F29" s="1" t="s">
        <v>1313</v>
      </c>
    </row>
    <row r="30" customFormat="false" ht="17.15" hidden="false" customHeight="false" outlineLevel="0" collapsed="false">
      <c r="A30" s="1" t="s">
        <v>1314</v>
      </c>
      <c r="B30" s="7" t="n">
        <f aca="false">PL!F76-PL!E76</f>
        <v>-0.011957939308235</v>
      </c>
      <c r="C30" s="7" t="n">
        <f aca="false">g_fy27_opm</f>
        <v>-0.01</v>
      </c>
      <c r="D30" s="7" t="n">
        <f aca="false">B30-C30</f>
        <v>-0.00195793930823497</v>
      </c>
      <c r="F30" s="1" t="s">
        <v>1315</v>
      </c>
    </row>
    <row r="31" customFormat="false" ht="17.15" hidden="false" customHeight="false" outlineLevel="0" collapsed="false">
      <c r="A31" s="1" t="s">
        <v>1316</v>
      </c>
      <c r="B31" s="6" t="n">
        <f aca="false">CF!F59</f>
        <v>204.2</v>
      </c>
      <c r="C31" s="6" t="n">
        <f aca="false">capex_floor27</f>
        <v>204.2</v>
      </c>
      <c r="D31" s="6" t="n">
        <f aca="false">B31-C31</f>
        <v>0</v>
      </c>
      <c r="E31" s="38" t="n">
        <f aca="false">B31/C31-1</f>
        <v>0</v>
      </c>
      <c r="F31" s="12" t="s">
        <v>1317</v>
      </c>
    </row>
    <row r="32" customFormat="false" ht="17.15" hidden="false" customHeight="false" outlineLevel="0" collapsed="false">
      <c r="A32" s="10" t="s">
        <v>1318</v>
      </c>
    </row>
    <row r="33" customFormat="false" ht="17.15" hidden="false" customHeight="false" outlineLevel="0" collapsed="false">
      <c r="A33" s="0" t="s">
        <v>1319</v>
      </c>
      <c r="B33" s="6" t="n">
        <f aca="false">Thesis!E77+Seg!E38</f>
        <v>33.0595064661409</v>
      </c>
      <c r="C33" s="6" t="n">
        <f aca="false">ai_runrate</f>
        <v>37</v>
      </c>
      <c r="D33" s="6" t="n">
        <f aca="false">B33-C33</f>
        <v>-3.94049353385914</v>
      </c>
      <c r="E33" s="38" t="n">
        <f aca="false">B33/C33-1</f>
        <v>-0.106499825239436</v>
      </c>
      <c r="F33" s="1" t="s">
        <v>1320</v>
      </c>
    </row>
    <row r="34" customFormat="false" ht="17.15" hidden="false" customHeight="false" outlineLevel="0" collapsed="false">
      <c r="A34" s="0" t="s">
        <v>1321</v>
      </c>
      <c r="B34" s="7" t="n">
        <f aca="false">Thesis!E77/Seg!E36</f>
        <v>0.272808044754075</v>
      </c>
      <c r="F34" s="1" t="s">
        <v>1322</v>
      </c>
    </row>
    <row r="35" customFormat="false" ht="17.15" hidden="false" customHeight="false" outlineLevel="0" collapsed="false">
      <c r="A35" s="0" t="s">
        <v>1323</v>
      </c>
      <c r="B35" s="6" t="n">
        <f aca="false">Seg!E38</f>
        <v>5.25</v>
      </c>
      <c r="F35" s="1" t="s">
        <v>1324</v>
      </c>
    </row>
    <row r="36" customFormat="false" ht="17.15" hidden="false" customHeight="false" outlineLevel="0" collapsed="false">
      <c r="A36" s="0" t="s">
        <v>1325</v>
      </c>
      <c r="B36" s="6" t="n">
        <f aca="false">Thesis!F77</f>
        <v>55.4118315060966</v>
      </c>
      <c r="C36" s="6" t="n">
        <f aca="false">oai_rev_q1*q_per_yr</f>
        <v>40</v>
      </c>
      <c r="D36" s="6" t="n">
        <f aca="false">B36-C36</f>
        <v>15.4118315060966</v>
      </c>
      <c r="E36" s="38" t="n">
        <f aca="false">B36/C36-1</f>
        <v>0.385295787652415</v>
      </c>
      <c r="F36" s="12" t="s">
        <v>1326</v>
      </c>
    </row>
    <row r="37" customFormat="false" ht="17.15" hidden="false" customHeight="false" outlineLevel="0" collapsed="false">
      <c r="A37" s="10" t="s">
        <v>1327</v>
      </c>
    </row>
    <row r="38" customFormat="false" ht="17.15" hidden="false" customHeight="false" outlineLevel="0" collapsed="false">
      <c r="A38" s="0" t="s">
        <v>1328</v>
      </c>
      <c r="B38" s="6" t="n">
        <f aca="false">Seg!F36</f>
        <v>146.709048000181</v>
      </c>
      <c r="F38" s="1" t="s">
        <v>1329</v>
      </c>
    </row>
    <row r="39" customFormat="false" ht="17.15" hidden="false" customHeight="false" outlineLevel="0" collapsed="false">
      <c r="A39" s="0" t="s">
        <v>1330</v>
      </c>
      <c r="B39" s="6" t="n">
        <f aca="false">Seg!F41</f>
        <v>118.584003697747</v>
      </c>
      <c r="F39" s="1" t="s">
        <v>1329</v>
      </c>
    </row>
    <row r="40" customFormat="false" ht="17.15" hidden="false" customHeight="false" outlineLevel="0" collapsed="false">
      <c r="A40" s="0" t="s">
        <v>1331</v>
      </c>
      <c r="B40" s="6" t="n">
        <f aca="false">Seg!F42</f>
        <v>38.3851437782675</v>
      </c>
      <c r="F40" s="1" t="s">
        <v>1329</v>
      </c>
    </row>
    <row r="41" customFormat="false" ht="17.15" hidden="false" customHeight="false" outlineLevel="0" collapsed="false">
      <c r="A41" s="0" t="s">
        <v>1332</v>
      </c>
      <c r="B41" s="6" t="n">
        <f aca="false">Seg!F44</f>
        <v>22.3161797133988</v>
      </c>
      <c r="F41" s="1" t="s">
        <v>1329</v>
      </c>
    </row>
    <row r="42" customFormat="false" ht="17.15" hidden="false" customHeight="false" outlineLevel="0" collapsed="false">
      <c r="A42" s="0" t="s">
        <v>1333</v>
      </c>
      <c r="B42" s="6" t="n">
        <f aca="false">Seg!F46</f>
        <v>8.75372082474227</v>
      </c>
      <c r="F42" s="1" t="s">
        <v>1329</v>
      </c>
    </row>
    <row r="43" customFormat="false" ht="17.15" hidden="false" customHeight="false" outlineLevel="0" collapsed="false">
      <c r="A43" s="0" t="s">
        <v>1334</v>
      </c>
      <c r="B43" s="6" t="n">
        <f aca="false">Seg!F49</f>
        <v>27.5591895660247</v>
      </c>
      <c r="F43" s="1" t="s">
        <v>1329</v>
      </c>
    </row>
    <row r="44" customFormat="false" ht="17.15" hidden="false" customHeight="false" outlineLevel="0" collapsed="false">
      <c r="A44" s="0" t="s">
        <v>1335</v>
      </c>
      <c r="B44" s="6" t="n">
        <f aca="false">Seg!F51</f>
        <v>20.7520981041711</v>
      </c>
      <c r="F44" s="1" t="s">
        <v>1329</v>
      </c>
    </row>
    <row r="45" customFormat="false" ht="17.15" hidden="false" customHeight="false" outlineLevel="0" collapsed="false">
      <c r="A45" s="0" t="s">
        <v>1336</v>
      </c>
      <c r="B45" s="6" t="n">
        <f aca="false">Seg!F53</f>
        <v>15.9912273250553</v>
      </c>
      <c r="F45" s="1" t="s">
        <v>1329</v>
      </c>
    </row>
    <row r="46" customFormat="false" ht="17.15" hidden="false" customHeight="false" outlineLevel="0" collapsed="false">
      <c r="A46" s="10" t="s">
        <v>1337</v>
      </c>
    </row>
    <row r="47" customFormat="false" ht="17.15" hidden="false" customHeight="false" outlineLevel="0" collapsed="false">
      <c r="A47" s="0" t="s">
        <v>1338</v>
      </c>
      <c r="B47" s="8" t="n">
        <v>385.56245022499</v>
      </c>
      <c r="F47" s="1" t="s">
        <v>1339</v>
      </c>
    </row>
    <row r="48" customFormat="false" ht="17.15" hidden="false" customHeight="false" outlineLevel="0" collapsed="false">
      <c r="A48" s="0" t="s">
        <v>1340</v>
      </c>
      <c r="B48" s="8" t="n">
        <v>0.274357676504963</v>
      </c>
      <c r="F48" s="1" t="s">
        <v>1341</v>
      </c>
    </row>
    <row r="49" customFormat="false" ht="17.15" hidden="false" customHeight="false" outlineLevel="0" collapsed="false">
      <c r="A49" s="0" t="s">
        <v>1342</v>
      </c>
      <c r="B49" s="8" t="n">
        <v>0.421441025037041</v>
      </c>
      <c r="F49" s="1" t="s">
        <v>1343</v>
      </c>
    </row>
    <row r="50" customFormat="false" ht="17.15" hidden="false" customHeight="false" outlineLevel="0" collapsed="false">
      <c r="A50" s="0" t="s">
        <v>1344</v>
      </c>
      <c r="B50" s="8" t="n">
        <v>1.79235151101699</v>
      </c>
      <c r="F50" s="1" t="s">
        <v>1345</v>
      </c>
    </row>
    <row r="51" customFormat="false" ht="17.15" hidden="false" customHeight="false" outlineLevel="0" collapsed="false">
      <c r="A51" s="0" t="s">
        <v>1346</v>
      </c>
      <c r="B51" s="8" t="n">
        <v>-2.99233973574303</v>
      </c>
      <c r="F51" s="1" t="s">
        <v>1347</v>
      </c>
    </row>
    <row r="52" customFormat="false" ht="17.15" hidden="false" customHeight="false" outlineLevel="0" collapsed="false">
      <c r="A52" s="0" t="s">
        <v>1348</v>
      </c>
      <c r="B52" s="8" t="n">
        <v>0.00979752424501612</v>
      </c>
      <c r="F52" s="1" t="s">
        <v>1349</v>
      </c>
    </row>
    <row r="53" customFormat="false" ht="17.15" hidden="false" customHeight="false" outlineLevel="0" collapsed="false">
      <c r="A53" s="0" t="s">
        <v>1350</v>
      </c>
      <c r="B53" s="8" t="n">
        <v>-0.963498369316994</v>
      </c>
      <c r="F53" s="1" t="s">
        <v>1351</v>
      </c>
    </row>
    <row r="54" customFormat="false" ht="17.15" hidden="false" customHeight="false" outlineLevel="0" collapsed="false">
      <c r="A54" s="0" t="s">
        <v>1352</v>
      </c>
      <c r="B54" s="8" t="n">
        <f aca="false">Val!$B$36</f>
        <v>384.104559856734</v>
      </c>
      <c r="F54" s="12" t="s">
        <v>87</v>
      </c>
    </row>
    <row r="55" customFormat="false" ht="17.15" hidden="false" customHeight="false" outlineLevel="0" collapsed="false">
      <c r="A55" s="26" t="s">
        <v>1353</v>
      </c>
      <c r="B55" s="27" t="n">
        <f aca="false">SUM(B47:B53)-B54</f>
        <v>0</v>
      </c>
      <c r="C55" s="31"/>
      <c r="D55" s="31"/>
      <c r="E55" s="31"/>
      <c r="F55" s="26" t="s">
        <v>1354</v>
      </c>
    </row>
    <row r="56" customFormat="false" ht="17.15" hidden="false" customHeight="false" outlineLevel="0" collapsed="false">
      <c r="A56" s="10" t="s">
        <v>1355</v>
      </c>
    </row>
    <row r="57" customFormat="false" ht="17.15" hidden="false" customHeight="false" outlineLevel="0" collapsed="false">
      <c r="A57" s="4" t="s">
        <v>43</v>
      </c>
      <c r="B57" s="23" t="s">
        <v>1356</v>
      </c>
      <c r="C57" s="23" t="s">
        <v>1357</v>
      </c>
      <c r="D57" s="4" t="s">
        <v>1270</v>
      </c>
      <c r="E57" s="4" t="s">
        <v>1271</v>
      </c>
      <c r="F57" s="4" t="s">
        <v>47</v>
      </c>
    </row>
    <row r="58" customFormat="false" ht="15" hidden="false" customHeight="false" outlineLevel="0" collapsed="false">
      <c r="A58" s="0" t="s">
        <v>852</v>
      </c>
      <c r="B58" s="6" t="n">
        <f aca="false">Q!$I$5</f>
        <v>76.795</v>
      </c>
      <c r="C58" s="6" t="n">
        <f aca="false">334.265528251508*Q!$E$5/Q!M5</f>
        <v>76.8845497034129</v>
      </c>
      <c r="D58" s="6" t="n">
        <f aca="false">B58-C58</f>
        <v>-0.0895497034129278</v>
      </c>
      <c r="E58" s="38" t="n">
        <f aca="false">B58/C58-1</f>
        <v>-0.00116472950363067</v>
      </c>
    </row>
    <row r="59" customFormat="false" ht="17.15" hidden="false" customHeight="false" outlineLevel="0" collapsed="false">
      <c r="A59" s="0" t="s">
        <v>854</v>
      </c>
      <c r="B59" s="6" t="n">
        <f aca="false">Q!$I$6</f>
        <v>33.165</v>
      </c>
      <c r="C59" s="6" t="n">
        <f aca="false">145.143956312325*Q!$E$6/Q!M6</f>
        <v>31.8713562959356</v>
      </c>
      <c r="D59" s="6" t="n">
        <f aca="false">B59-C59</f>
        <v>1.2936437040644</v>
      </c>
      <c r="E59" s="38" t="n">
        <f aca="false">B59/C59-1</f>
        <v>0.0405895404027525</v>
      </c>
      <c r="F59" s="12" t="s">
        <v>1358</v>
      </c>
    </row>
    <row r="60" customFormat="false" ht="17.15" hidden="false" customHeight="false" outlineLevel="0" collapsed="false">
      <c r="A60" s="0" t="s">
        <v>856</v>
      </c>
      <c r="B60" s="6" t="n">
        <f aca="false">Q!$I$7</f>
        <v>27.778</v>
      </c>
      <c r="C60" s="6" t="n">
        <f aca="false">118.89238776686*Q!$E$7/Q!M7</f>
        <v>28.0863840691132</v>
      </c>
      <c r="D60" s="6" t="n">
        <f aca="false">B60-C60</f>
        <v>-0.30838406911316</v>
      </c>
      <c r="E60" s="38" t="n">
        <f aca="false">B60/C60-1</f>
        <v>-0.0109798423447571</v>
      </c>
      <c r="F60" s="12" t="s">
        <v>1359</v>
      </c>
    </row>
    <row r="61" customFormat="false" ht="15" hidden="false" customHeight="false" outlineLevel="0" collapsed="false">
      <c r="A61" s="0" t="s">
        <v>858</v>
      </c>
      <c r="B61" s="6" t="n">
        <f aca="false">Q!$I$8</f>
        <v>8.407</v>
      </c>
      <c r="C61" s="6" t="n">
        <f aca="false">39.0720834331704*Q!$E$8/Q!M8</f>
        <v>9.09393965490285</v>
      </c>
      <c r="D61" s="6" t="n">
        <f aca="false">B61-C61</f>
        <v>-0.686939654902851</v>
      </c>
      <c r="E61" s="38" t="n">
        <f aca="false">B61/C61-1</f>
        <v>-0.0755381804774236</v>
      </c>
      <c r="F61" s="1" t="s">
        <v>1360</v>
      </c>
    </row>
    <row r="62" customFormat="false" ht="15" hidden="false" customHeight="false" outlineLevel="0" collapsed="false">
      <c r="A62" s="0" t="s">
        <v>860</v>
      </c>
      <c r="B62" s="6" t="n">
        <f aca="false">Q!$I$9</f>
        <v>5.337</v>
      </c>
      <c r="C62" s="6" t="n">
        <f aca="false">22.3572203267814*Q!$E$9/Q!M9</f>
        <v>5.37804061338256</v>
      </c>
      <c r="D62" s="6" t="n">
        <f aca="false">B62-C62</f>
        <v>-0.0410406133825596</v>
      </c>
      <c r="E62" s="38" t="n">
        <f aca="false">B62/C62-1</f>
        <v>-0.00763114604981507</v>
      </c>
    </row>
    <row r="63" customFormat="false" ht="15" hidden="false" customHeight="false" outlineLevel="0" collapsed="false">
      <c r="A63" s="0" t="s">
        <v>862</v>
      </c>
      <c r="B63" s="6" t="n">
        <f aca="false">Q!$I$10</f>
        <v>2.108</v>
      </c>
      <c r="C63" s="6" t="n">
        <f aca="false">8.79988041237113*Q!$E$10/Q!M10</f>
        <v>2.15415958762886</v>
      </c>
      <c r="D63" s="6" t="n">
        <f aca="false">B63-C63</f>
        <v>-0.0461595876288645</v>
      </c>
      <c r="E63" s="38" t="n">
        <f aca="false">B63/C63-1</f>
        <v>-0.0214281188329568</v>
      </c>
    </row>
    <row r="64" customFormat="false" ht="15" hidden="false" customHeight="false" outlineLevel="0" collapsed="false">
      <c r="A64" s="0" t="s">
        <v>866</v>
      </c>
      <c r="B64" s="6" t="n">
        <f aca="false">Q!$I$12</f>
        <v>15.484</v>
      </c>
      <c r="C64" s="6" t="n">
        <f aca="false">65.1415764563129*Q!$E$12/Q!M12</f>
        <v>16.3600320956407</v>
      </c>
      <c r="D64" s="6" t="n">
        <f aca="false">B64-C64</f>
        <v>-0.87603209564074</v>
      </c>
      <c r="E64" s="38" t="n">
        <f aca="false">B64/C64-1</f>
        <v>-0.0535470890594503</v>
      </c>
    </row>
    <row r="65" customFormat="false" ht="15" hidden="false" customHeight="false" outlineLevel="0" collapsed="false">
      <c r="A65" s="0" t="s">
        <v>868</v>
      </c>
      <c r="B65" s="6" t="n">
        <f aca="false">Q!$I$13</f>
        <v>6.554</v>
      </c>
      <c r="C65" s="6" t="n">
        <f aca="false">27.6114901218559*Q!$E$13/Q!M13</f>
        <v>6.6063005558312</v>
      </c>
      <c r="D65" s="6" t="n">
        <f aca="false">B65-C65</f>
        <v>-0.052300555831196</v>
      </c>
      <c r="E65" s="38" t="n">
        <f aca="false">B65/C65-1</f>
        <v>-0.00791676905844552</v>
      </c>
    </row>
    <row r="66" customFormat="false" ht="15" hidden="false" customHeight="false" outlineLevel="0" collapsed="false">
      <c r="A66" s="0" t="s">
        <v>870</v>
      </c>
      <c r="B66" s="6" t="n">
        <f aca="false">Q!$I$14</f>
        <v>5.379</v>
      </c>
      <c r="C66" s="6" t="n">
        <f aca="false">20.5736277908051*Q!$E$14/Q!M14</f>
        <v>5.20052968663398</v>
      </c>
      <c r="D66" s="6" t="n">
        <f aca="false">B66-C66</f>
        <v>0.178470313366016</v>
      </c>
      <c r="E66" s="38" t="n">
        <f aca="false">B66/C66-1</f>
        <v>0.0343177184094741</v>
      </c>
    </row>
    <row r="67" customFormat="false" ht="17.15" hidden="false" customHeight="false" outlineLevel="0" collapsed="false">
      <c r="A67" s="0" t="s">
        <v>872</v>
      </c>
      <c r="B67" s="6" t="n">
        <f aca="false">Q!$I$15</f>
        <v>3.551</v>
      </c>
      <c r="C67" s="6" t="n">
        <f aca="false">16.9564585436519*Q!$E$15/Q!M15</f>
        <v>4.51623121859658</v>
      </c>
      <c r="D67" s="6" t="n">
        <f aca="false">B67-C67</f>
        <v>-0.965231218596583</v>
      </c>
      <c r="E67" s="38" t="n">
        <f aca="false">B67/C67-1</f>
        <v>-0.213724933883374</v>
      </c>
      <c r="F67" s="12" t="s">
        <v>1361</v>
      </c>
    </row>
    <row r="68" customFormat="false" ht="15" hidden="false" customHeight="false" outlineLevel="0" collapsed="false">
      <c r="A68" s="1" t="s">
        <v>1055</v>
      </c>
      <c r="B68" s="6" t="n">
        <f aca="false">Q!$I$18</f>
        <v>92.279</v>
      </c>
      <c r="C68" s="6" t="n">
        <f aca="false">399.407104707821*Q!$E$18/Q!M18</f>
        <v>93.4885533164293</v>
      </c>
      <c r="D68" s="6" t="n">
        <f aca="false">B68-C68</f>
        <v>-1.20955331642929</v>
      </c>
      <c r="E68" s="38" t="n">
        <f aca="false">B68/C68-1</f>
        <v>-0.0129379830313059</v>
      </c>
    </row>
    <row r="69" customFormat="false" ht="17.15" hidden="false" customHeight="false" outlineLevel="0" collapsed="false">
      <c r="A69" s="0" t="s">
        <v>880</v>
      </c>
      <c r="B69" s="6" t="n">
        <f aca="false">Q!$I$21</f>
        <v>40.558</v>
      </c>
      <c r="C69" s="6" t="n">
        <f aca="false">157.460006305463*Q!$E$21/Q!M21</f>
        <v>37.779316439718</v>
      </c>
      <c r="D69" s="6" t="n">
        <f aca="false">B69-C69</f>
        <v>2.77868356028205</v>
      </c>
      <c r="E69" s="38" t="n">
        <f aca="false">B69/C69-1</f>
        <v>0.0735503927053793</v>
      </c>
      <c r="F69" s="1" t="s">
        <v>1362</v>
      </c>
    </row>
    <row r="70" customFormat="false" ht="17.15" hidden="false" customHeight="false" outlineLevel="0" collapsed="false">
      <c r="A70" s="0" t="s">
        <v>882</v>
      </c>
      <c r="B70" s="6" t="n">
        <f aca="false">Q!$I$22</f>
        <v>5.357</v>
      </c>
      <c r="C70" s="6" t="n">
        <f aca="false">19.2954518910651*Q!$E$22/Q!M22</f>
        <v>5.36064297715421</v>
      </c>
      <c r="D70" s="6" t="n">
        <f aca="false">B70-C70</f>
        <v>-0.00364297715421369</v>
      </c>
      <c r="E70" s="38" t="n">
        <f aca="false">B70/C70-1</f>
        <v>-0.000679578395677338</v>
      </c>
      <c r="F70" s="12" t="s">
        <v>1363</v>
      </c>
    </row>
    <row r="71" customFormat="false" ht="15" hidden="false" customHeight="false" outlineLevel="0" collapsed="false">
      <c r="A71" s="1" t="s">
        <v>1364</v>
      </c>
      <c r="B71" s="6" t="n">
        <f aca="false">Q!$I$23</f>
        <v>45.915</v>
      </c>
      <c r="C71" s="6" t="n">
        <f aca="false">176.755458196528*Q!$E$23/Q!M23</f>
        <v>43.223032837522</v>
      </c>
      <c r="D71" s="6" t="n">
        <f aca="false">B71-C71</f>
        <v>2.69196716247802</v>
      </c>
      <c r="E71" s="38" t="n">
        <f aca="false">B71/C71-1</f>
        <v>0.0622808485604722</v>
      </c>
    </row>
    <row r="72" customFormat="false" ht="17.15" hidden="false" customHeight="false" outlineLevel="0" collapsed="false">
      <c r="A72" s="1" t="s">
        <v>1365</v>
      </c>
      <c r="B72" s="6" t="n">
        <f aca="false">Q!$I$43</f>
        <v>45.2</v>
      </c>
      <c r="C72" s="6" t="n">
        <f aca="false">204.2/q_per_yr</f>
        <v>51.05</v>
      </c>
      <c r="D72" s="6" t="n">
        <f aca="false">B72-C72</f>
        <v>-5.84999999999999</v>
      </c>
      <c r="E72" s="38" t="n">
        <f aca="false">B72/C72-1</f>
        <v>-0.114593535749265</v>
      </c>
      <c r="F72" s="1" t="s">
        <v>1366</v>
      </c>
    </row>
    <row r="73" customFormat="false" ht="17.15" hidden="false" customHeight="false" outlineLevel="0" collapsed="false">
      <c r="A73" s="10" t="s">
        <v>1367</v>
      </c>
    </row>
    <row r="74" customFormat="false" ht="17.15" hidden="false" customHeight="false" outlineLevel="0" collapsed="false">
      <c r="A74" s="0" t="s">
        <v>1368</v>
      </c>
      <c r="B74" s="6" t="n">
        <f aca="false">old_tp</f>
        <v>359.06</v>
      </c>
      <c r="F74" s="12" t="s">
        <v>817</v>
      </c>
    </row>
    <row r="75" customFormat="false" ht="17.15" hidden="false" customHeight="false" outlineLevel="0" collapsed="false">
      <c r="A75" s="1" t="s">
        <v>1369</v>
      </c>
      <c r="B75" s="6" t="n">
        <f aca="false">w_dcf*old_dcf+(1-w_dcf)*old_ev-old_tp</f>
        <v>-3.17500000000001</v>
      </c>
      <c r="F75" s="1" t="s">
        <v>1370</v>
      </c>
    </row>
    <row r="76" customFormat="false" ht="17.15" hidden="false" customHeight="false" outlineLevel="0" collapsed="false">
      <c r="A76" s="0" t="s">
        <v>1371</v>
      </c>
      <c r="B76" s="6" t="n">
        <f aca="false">w_dcf*(Val!$C$13-old_dcf)</f>
        <v>1.0867706128661</v>
      </c>
      <c r="F76" s="1" t="s">
        <v>1372</v>
      </c>
    </row>
    <row r="77" customFormat="false" ht="17.15" hidden="false" customHeight="false" outlineLevel="0" collapsed="false">
      <c r="A77" s="1" t="s">
        <v>1373</v>
      </c>
      <c r="B77" s="6" t="n">
        <f aca="false">(1-w_dcf)*(Val!$C$30-old_ev)</f>
        <v>29.0803997606157</v>
      </c>
      <c r="F77" s="1" t="s">
        <v>1374</v>
      </c>
    </row>
    <row r="78" customFormat="false" ht="17.15" hidden="false" customHeight="false" outlineLevel="0" collapsed="false">
      <c r="A78" s="1" t="s">
        <v>1375</v>
      </c>
      <c r="B78" s="6" t="n">
        <f aca="false">Val!$B$36-Val!$C$44</f>
        <v>-1.94761051674766</v>
      </c>
      <c r="F78" s="12" t="s">
        <v>1376</v>
      </c>
    </row>
    <row r="79" customFormat="false" ht="17.15" hidden="false" customHeight="false" outlineLevel="0" collapsed="false">
      <c r="A79" s="0" t="s">
        <v>1377</v>
      </c>
      <c r="B79" s="6" t="n">
        <f aca="false">Val!$B$36</f>
        <v>384.104559856734</v>
      </c>
      <c r="F79" s="12" t="s">
        <v>87</v>
      </c>
    </row>
    <row r="80" customFormat="false" ht="17.15" hidden="false" customHeight="false" outlineLevel="0" collapsed="false">
      <c r="A80" s="26" t="s">
        <v>1378</v>
      </c>
      <c r="B80" s="27" t="n">
        <f aca="false">B74+B75+B76+B77+B78-B79</f>
        <v>0</v>
      </c>
      <c r="C80" s="31"/>
      <c r="D80" s="31"/>
      <c r="E80" s="31"/>
      <c r="F80" s="31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50"/>
    <col collapsed="false" customWidth="true" hidden="false" outlineLevel="0" max="11" min="7" style="0" width="11"/>
    <col collapsed="false" customWidth="true" hidden="false" outlineLevel="0" max="12" min="12" style="0" width="50"/>
  </cols>
  <sheetData>
    <row r="1" customFormat="false" ht="17.15" hidden="false" customHeight="false" outlineLevel="0" collapsed="false">
      <c r="A1" s="0" t="s">
        <v>1379</v>
      </c>
    </row>
    <row r="3" customFormat="false" ht="17.15" hidden="false" customHeight="false" outlineLevel="0" collapsed="false">
      <c r="A3" s="4" t="s">
        <v>1380</v>
      </c>
      <c r="B3" s="4" t="s">
        <v>1381</v>
      </c>
      <c r="C3" s="4" t="s">
        <v>1382</v>
      </c>
      <c r="D3" s="4" t="s">
        <v>1383</v>
      </c>
      <c r="E3" s="4" t="s">
        <v>1384</v>
      </c>
      <c r="F3" s="4" t="s">
        <v>47</v>
      </c>
    </row>
    <row r="4" customFormat="false" ht="17.15" hidden="false" customHeight="false" outlineLevel="0" collapsed="false">
      <c r="A4" s="1" t="s">
        <v>1385</v>
      </c>
      <c r="B4" s="1" t="s">
        <v>1386</v>
      </c>
      <c r="C4" s="5" t="n">
        <f aca="false">w_dcf*(w_A*Sens!$C$248+w_B*Sens!$C$447+w_C*Sens!$C$646)+(1-w_dcf)*(w_A*Sens!$C$277+w_B*Sens!$C$476+w_C*Sens!$C$675)</f>
        <v>310.883696018351</v>
      </c>
      <c r="D4" s="39" t="n">
        <f aca="false">C4-Val!$B$36</f>
        <v>-73.2208638383831</v>
      </c>
      <c r="E4" s="38" t="n">
        <f aca="false">C4/Val!$B$36-1</f>
        <v>-0.190627426723842</v>
      </c>
      <c r="F4" s="12" t="s">
        <v>1387</v>
      </c>
    </row>
    <row r="5" customFormat="false" ht="17.15" hidden="false" customHeight="false" outlineLevel="0" collapsed="false">
      <c r="A5" s="0" t="s">
        <v>1388</v>
      </c>
      <c r="B5" s="1" t="s">
        <v>1389</v>
      </c>
      <c r="C5" s="5" t="n">
        <f aca="false">w_dcf*(w_A*Sens!$C$845+w_B*Sens!$C$1044+w_C*Sens!$C$1243)+(1-w_dcf)*(w_A*Sens!$C$874+w_B*Sens!$C$1073+w_C*Sens!$C$1272)</f>
        <v>355.698111583731</v>
      </c>
      <c r="D5" s="39" t="n">
        <f aca="false">C5-Val!$B$36</f>
        <v>-28.4064482730034</v>
      </c>
      <c r="E5" s="38" t="n">
        <f aca="false">C5/Val!$B$36-1</f>
        <v>-0.0739549884114853</v>
      </c>
      <c r="F5" s="1" t="s">
        <v>1390</v>
      </c>
    </row>
    <row r="6" customFormat="false" ht="17.15" hidden="false" customHeight="false" outlineLevel="0" collapsed="false">
      <c r="A6" s="0" t="s">
        <v>1391</v>
      </c>
      <c r="B6" s="1" t="s">
        <v>1389</v>
      </c>
      <c r="C6" s="5" t="n">
        <f aca="false">w_dcf*(w_A*Sens!$C$1442+w_B*Sens!$C$1641+w_C*Sens!$C$1840)+(1-w_dcf)*(w_A*Sens!$C$1471+w_B*Sens!$C$1670+w_C*Sens!$C$1869)</f>
        <v>412.436662279004</v>
      </c>
      <c r="D6" s="39" t="n">
        <f aca="false">C6-Val!$B$36</f>
        <v>28.3321024222695</v>
      </c>
      <c r="E6" s="38" t="n">
        <f aca="false">C6/Val!$B$36-1</f>
        <v>0.0737614321288895</v>
      </c>
      <c r="F6" s="1" t="s">
        <v>1392</v>
      </c>
    </row>
    <row r="7" customFormat="false" ht="17.15" hidden="false" customHeight="false" outlineLevel="0" collapsed="false">
      <c r="A7" s="1" t="s">
        <v>1393</v>
      </c>
      <c r="B7" s="1" t="s">
        <v>1394</v>
      </c>
      <c r="C7" s="5" t="n">
        <f aca="false">w_dcf*(w_A*Sens!$C$2039+w_B*Sens!$C$2238+w_C*Sens!$C$2437)+(1-w_dcf)*(w_A*Sens!$C$2068+w_B*Sens!$C$2267+w_C*Sens!$C$2466)</f>
        <v>384.921456864688</v>
      </c>
      <c r="D7" s="39" t="n">
        <f aca="false">C7-Val!$B$36</f>
        <v>0.816897007953571</v>
      </c>
      <c r="E7" s="38" t="n">
        <f aca="false">C7/Val!$B$36-1</f>
        <v>0.00212675686083563</v>
      </c>
      <c r="F7" s="1" t="s">
        <v>1395</v>
      </c>
    </row>
    <row r="8" customFormat="false" ht="17.15" hidden="false" customHeight="false" outlineLevel="0" collapsed="false">
      <c r="A8" s="1" t="s">
        <v>1396</v>
      </c>
      <c r="B8" s="1" t="s">
        <v>1394</v>
      </c>
      <c r="C8" s="5" t="n">
        <f aca="false">w_dcf*(w_A*Sens!$C$2636+w_B*Sens!$C$2835+w_C*Sens!$C$3034)+(1-w_dcf)*(w_A*Sens!$C$2665+w_B*Sens!$C$2864+w_C*Sens!$C$3063)</f>
        <v>377.881091615759</v>
      </c>
      <c r="D8" s="39" t="n">
        <f aca="false">C8-Val!$B$36</f>
        <v>-6.22346824097559</v>
      </c>
      <c r="E8" s="38" t="n">
        <f aca="false">C8/Val!$B$36-1</f>
        <v>-0.0162025367345205</v>
      </c>
      <c r="F8" s="12" t="s">
        <v>1397</v>
      </c>
    </row>
    <row r="9" customFormat="false" ht="17.15" hidden="false" customHeight="false" outlineLevel="0" collapsed="false">
      <c r="A9" s="0" t="s">
        <v>1398</v>
      </c>
      <c r="B9" s="1" t="s">
        <v>1399</v>
      </c>
      <c r="C9" s="5" t="n">
        <f aca="false">w_dcf*(w_A*Sens!$C$3233+w_B*Sens!$C$3432+w_C*Sens!$C$3631)+(1-w_dcf)*(w_A*Sens!$C$3262+w_B*Sens!$C$3461+w_C*Sens!$C$3660)</f>
        <v>355.554808525254</v>
      </c>
      <c r="D9" s="39" t="n">
        <f aca="false">C9-Val!$B$36</f>
        <v>-28.5497513314804</v>
      </c>
      <c r="E9" s="38" t="n">
        <f aca="false">C9/Val!$B$36-1</f>
        <v>-0.0743280718722243</v>
      </c>
      <c r="F9" s="1" t="s">
        <v>1400</v>
      </c>
    </row>
    <row r="10" customFormat="false" ht="17.15" hidden="false" customHeight="false" outlineLevel="0" collapsed="false">
      <c r="A10" s="0" t="s">
        <v>1401</v>
      </c>
      <c r="B10" s="1" t="s">
        <v>1399</v>
      </c>
      <c r="C10" s="5" t="n">
        <f aca="false">w_dcf*(w_A*Sens!$C$3830+w_B*Sens!$C$4029+w_C*Sens!$C$4228)+(1-w_dcf)*(w_A*Sens!$C$3859+w_B*Sens!$C$4058+w_C*Sens!$C$4257)</f>
        <v>386.889702037667</v>
      </c>
      <c r="D10" s="39" t="n">
        <f aca="false">C10-Val!$B$36</f>
        <v>2.78514218093267</v>
      </c>
      <c r="E10" s="38" t="n">
        <f aca="false">C10/Val!$B$36-1</f>
        <v>0.00725100004533008</v>
      </c>
      <c r="F10" s="12" t="s">
        <v>1402</v>
      </c>
    </row>
    <row r="11" customFormat="false" ht="17.15" hidden="false" customHeight="false" outlineLevel="0" collapsed="false">
      <c r="A11" s="0" t="s">
        <v>1403</v>
      </c>
      <c r="B11" s="1" t="s">
        <v>1404</v>
      </c>
      <c r="C11" s="5" t="n">
        <f aca="false">w_dcf*(w_A*Sens!$C$4427+w_B*Sens!$C$4626+w_C*Sens!$C$4825)+(1-w_dcf)*(w_A*Sens!$C$4456+w_B*Sens!$C$4655+w_C*Sens!$C$4854)</f>
        <v>361.511422726888</v>
      </c>
      <c r="D11" s="39" t="n">
        <f aca="false">C11-Val!$B$36</f>
        <v>-22.5931371298459</v>
      </c>
      <c r="E11" s="38" t="n">
        <f aca="false">C11/Val!$B$36-1</f>
        <v>-0.0588202783592906</v>
      </c>
      <c r="F11" s="1" t="s">
        <v>1405</v>
      </c>
    </row>
    <row r="12" customFormat="false" ht="17.15" hidden="false" customHeight="false" outlineLevel="0" collapsed="false">
      <c r="A12" s="0" t="s">
        <v>1406</v>
      </c>
      <c r="B12" s="1" t="s">
        <v>1404</v>
      </c>
      <c r="C12" s="5" t="n">
        <f aca="false">w_dcf*(w_A*Sens!$C$5024+w_B*Sens!$C$5223+w_C*Sens!$C$5422)+(1-w_dcf)*(w_A*Sens!$C$5053+w_B*Sens!$C$5252+w_C*Sens!$C$5451)</f>
        <v>398.833480967003</v>
      </c>
      <c r="D12" s="39" t="n">
        <f aca="false">C12-Val!$B$36</f>
        <v>14.7289211102689</v>
      </c>
      <c r="E12" s="38" t="n">
        <f aca="false">C12/Val!$B$36-1</f>
        <v>0.0383461240755969</v>
      </c>
      <c r="F12" s="12" t="s">
        <v>87</v>
      </c>
    </row>
    <row r="13" customFormat="false" ht="17.15" hidden="false" customHeight="false" outlineLevel="0" collapsed="false">
      <c r="A13" s="0" t="s">
        <v>1407</v>
      </c>
      <c r="B13" s="1" t="s">
        <v>1408</v>
      </c>
      <c r="C13" s="5" t="n">
        <f aca="false">w_dcf*(w_A*Sens!$C$5621+w_B*Sens!$C$5820+w_C*Sens!$C$6019)+(1-w_dcf)*(w_A*Sens!$C$5650+w_B*Sens!$C$5849+w_C*Sens!$C$6048)</f>
        <v>378.397575753738</v>
      </c>
      <c r="D13" s="39" t="n">
        <f aca="false">C13-Val!$B$36</f>
        <v>-5.7069841029961</v>
      </c>
      <c r="E13" s="38" t="n">
        <f aca="false">C13/Val!$B$36-1</f>
        <v>-0.014857892093561</v>
      </c>
      <c r="F13" s="12" t="s">
        <v>1409</v>
      </c>
    </row>
    <row r="14" customFormat="false" ht="17.15" hidden="false" customHeight="false" outlineLevel="0" collapsed="false">
      <c r="A14" s="0" t="s">
        <v>1410</v>
      </c>
      <c r="B14" s="1" t="s">
        <v>1408</v>
      </c>
      <c r="C14" s="5" t="n">
        <f aca="false">w_dcf*(w_A*Sens!$C$6218+w_B*Sens!$C$6417+w_C*Sens!$C$6616)+(1-w_dcf)*(w_A*Sens!$C$6247+w_B*Sens!$C$6446+w_C*Sens!$C$6645)</f>
        <v>387.906128817514</v>
      </c>
      <c r="D14" s="39" t="n">
        <f aca="false">C14-Val!$B$36</f>
        <v>3.80156896077955</v>
      </c>
      <c r="E14" s="38" t="n">
        <f aca="false">C14/Val!$B$36-1</f>
        <v>0.00989722424070538</v>
      </c>
      <c r="F14" s="12" t="s">
        <v>1411</v>
      </c>
    </row>
    <row r="15" customFormat="false" ht="17.15" hidden="false" customHeight="false" outlineLevel="0" collapsed="false">
      <c r="A15" s="0" t="s">
        <v>1412</v>
      </c>
      <c r="B15" s="1" t="s">
        <v>1413</v>
      </c>
      <c r="C15" s="5" t="n">
        <f aca="false">w_dcf*(w_A*Sens!$C$6815+w_B*Sens!$C$7014+w_C*Sens!$C$7213)+(1-w_dcf)*(w_A*Sens!$C$6844+w_B*Sens!$C$7043+w_C*Sens!$C$7242)</f>
        <v>385.694340556992</v>
      </c>
      <c r="D15" s="39" t="n">
        <f aca="false">C15-Val!$B$36</f>
        <v>1.58978070025807</v>
      </c>
      <c r="E15" s="38" t="n">
        <f aca="false">C15/Val!$B$36-1</f>
        <v>0.00413892691315887</v>
      </c>
      <c r="F15" s="1" t="s">
        <v>1414</v>
      </c>
    </row>
    <row r="16" customFormat="false" ht="17.15" hidden="false" customHeight="false" outlineLevel="0" collapsed="false">
      <c r="A16" s="0" t="s">
        <v>1415</v>
      </c>
      <c r="B16" s="1" t="s">
        <v>1413</v>
      </c>
      <c r="C16" s="5" t="n">
        <f aca="false">w_dcf*(w_A*Sens!$C$7412+w_B*Sens!$C$7611+w_C*Sens!$C$7810)+(1-w_dcf)*(w_A*Sens!$C$7441+w_B*Sens!$C$7640+w_C*Sens!$C$7839)</f>
        <v>382.499962754302</v>
      </c>
      <c r="D16" s="39" t="n">
        <f aca="false">C16-Val!$B$36</f>
        <v>-1.60459710243185</v>
      </c>
      <c r="E16" s="38" t="n">
        <f aca="false">C16/Val!$B$36-1</f>
        <v>-0.00417750079048873</v>
      </c>
      <c r="F16" s="12" t="s">
        <v>87</v>
      </c>
    </row>
    <row r="17" customFormat="false" ht="17.15" hidden="false" customHeight="false" outlineLevel="0" collapsed="false">
      <c r="A17" s="0" t="s">
        <v>1416</v>
      </c>
      <c r="B17" s="1" t="s">
        <v>1417</v>
      </c>
      <c r="C17" s="5" t="n">
        <f aca="false">w_dcf*(w_A*Sens!$C$8009+w_B*Sens!$C$8208+w_C*Sens!$C$8407)+(1-w_dcf)*(w_A*Sens!$C$8038+w_B*Sens!$C$8237+w_C*Sens!$C$8436)</f>
        <v>385.208536595606</v>
      </c>
      <c r="D17" s="39" t="n">
        <f aca="false">C17-Val!$B$36</f>
        <v>1.10397673887189</v>
      </c>
      <c r="E17" s="38" t="n">
        <f aca="false">C17/Val!$B$36-1</f>
        <v>0.00287415681626801</v>
      </c>
      <c r="F17" s="1" t="s">
        <v>1418</v>
      </c>
    </row>
    <row r="18" customFormat="false" ht="17.15" hidden="false" customHeight="false" outlineLevel="0" collapsed="false">
      <c r="A18" s="0" t="s">
        <v>1419</v>
      </c>
      <c r="B18" s="1" t="s">
        <v>1417</v>
      </c>
      <c r="C18" s="5" t="n">
        <f aca="false">w_dcf*(w_A*Sens!$C$8606+w_B*Sens!$C$8805+w_C*Sens!$C$9004)+(1-w_dcf)*(w_A*Sens!$C$8635+w_B*Sens!$C$8834+w_C*Sens!$C$9033)</f>
        <v>383.287934655702</v>
      </c>
      <c r="D18" s="39" t="n">
        <f aca="false">C18-Val!$B$36</f>
        <v>-0.816625201031911</v>
      </c>
      <c r="E18" s="38" t="n">
        <f aca="false">C18/Val!$B$36-1</f>
        <v>-0.00212604922299409</v>
      </c>
      <c r="F18" s="12" t="s">
        <v>87</v>
      </c>
    </row>
    <row r="19" customFormat="false" ht="17.15" hidden="false" customHeight="false" outlineLevel="0" collapsed="false">
      <c r="A19" s="0" t="s">
        <v>1420</v>
      </c>
      <c r="B19" s="1" t="s">
        <v>1421</v>
      </c>
      <c r="C19" s="5" t="n">
        <f aca="false">w_dcf*(w_A*Sens!$C$9203+w_B*Sens!$C$9402+w_C*Sens!$C$9601)+(1-w_dcf)*(w_A*Sens!$C$9232+w_B*Sens!$C$9431+w_C*Sens!$C$9630)</f>
        <v>379.509075504804</v>
      </c>
      <c r="D19" s="39" t="n">
        <f aca="false">C19-Val!$B$36</f>
        <v>-4.59548435193005</v>
      </c>
      <c r="E19" s="38" t="n">
        <f aca="false">C19/Val!$B$36-1</f>
        <v>-0.0119641494327589</v>
      </c>
      <c r="F19" s="1" t="s">
        <v>1422</v>
      </c>
    </row>
    <row r="20" customFormat="false" ht="17.15" hidden="false" customHeight="false" outlineLevel="0" collapsed="false">
      <c r="A20" s="0" t="s">
        <v>1423</v>
      </c>
      <c r="B20" s="1" t="s">
        <v>1421</v>
      </c>
      <c r="C20" s="5" t="n">
        <f aca="false">w_dcf*(w_A*Sens!$C$9800+w_B*Sens!$C$9999+w_C*Sens!$C$10198)+(1-w_dcf)*(w_A*Sens!$C$9829+w_B*Sens!$C$10028+w_C*Sens!$C$10227)</f>
        <v>390.630052869307</v>
      </c>
      <c r="D20" s="39" t="n">
        <f aca="false">C20-Val!$B$36</f>
        <v>6.5254930125725</v>
      </c>
      <c r="E20" s="38" t="n">
        <f aca="false">C20/Val!$B$36-1</f>
        <v>0.0169888454721976</v>
      </c>
      <c r="F20" s="12" t="s">
        <v>87</v>
      </c>
    </row>
    <row r="21" customFormat="false" ht="17.15" hidden="false" customHeight="false" outlineLevel="0" collapsed="false">
      <c r="A21" s="1" t="s">
        <v>1424</v>
      </c>
      <c r="B21" s="1" t="s">
        <v>1425</v>
      </c>
      <c r="C21" s="5" t="n">
        <f aca="false">w_dcf*(w_A*Sens!$C$10397+w_B*Sens!$C$10596+w_C*Sens!$C$10795)+(1-w_dcf)*(w_A*Sens!$C$10426+w_B*Sens!$C$10625+w_C*Sens!$C$10824)</f>
        <v>383.52524497232</v>
      </c>
      <c r="D21" s="39" t="n">
        <f aca="false">C21-Val!$B$36</f>
        <v>-0.579314884413748</v>
      </c>
      <c r="E21" s="38" t="n">
        <f aca="false">C21/Val!$B$36-1</f>
        <v>-0.00150822183581945</v>
      </c>
      <c r="F21" s="1" t="s">
        <v>1426</v>
      </c>
    </row>
    <row r="22" customFormat="false" ht="17.15" hidden="false" customHeight="false" outlineLevel="0" collapsed="false">
      <c r="A22" s="1" t="s">
        <v>1427</v>
      </c>
      <c r="B22" s="1" t="s">
        <v>1425</v>
      </c>
      <c r="C22" s="5" t="n">
        <f aca="false">w_dcf*(w_A*Sens!$C$10994+w_B*Sens!$C$11193+w_C*Sens!$C$11392)+(1-w_dcf)*(w_A*Sens!$C$11023+w_B*Sens!$C$11222+w_C*Sens!$C$11421)</f>
        <v>384.718918690942</v>
      </c>
      <c r="D22" s="39" t="n">
        <f aca="false">C22-Val!$B$36</f>
        <v>0.614358834207906</v>
      </c>
      <c r="E22" s="38" t="n">
        <f aca="false">C22/Val!$B$36-1</f>
        <v>0.00159945727912492</v>
      </c>
      <c r="F22" s="12" t="s">
        <v>87</v>
      </c>
    </row>
    <row r="23" customFormat="false" ht="17.15" hidden="false" customHeight="false" outlineLevel="0" collapsed="false">
      <c r="A23" s="0" t="s">
        <v>1428</v>
      </c>
      <c r="B23" s="1" t="s">
        <v>1429</v>
      </c>
      <c r="C23" s="5" t="n">
        <f aca="false">w_dcf*(w_A*Sens!$C$11591+w_B*Sens!$C$11790+w_C*Sens!$C$11989)+(1-w_dcf)*(w_A*Sens!$C$11620+w_B*Sens!$C$11819+w_C*Sens!$C$12018)</f>
        <v>383.619311608564</v>
      </c>
      <c r="D23" s="39" t="n">
        <f aca="false">C23-Val!$B$36</f>
        <v>-0.485248248170137</v>
      </c>
      <c r="E23" s="38" t="n">
        <f aca="false">C23/Val!$B$36-1</f>
        <v>-0.00126332332100176</v>
      </c>
      <c r="F23" s="1" t="s">
        <v>1430</v>
      </c>
    </row>
    <row r="24" customFormat="false" ht="17.15" hidden="false" customHeight="false" outlineLevel="0" collapsed="false">
      <c r="A24" s="0" t="s">
        <v>1431</v>
      </c>
      <c r="B24" s="1" t="s">
        <v>1429</v>
      </c>
      <c r="C24" s="5" t="n">
        <f aca="false">w_dcf*(w_A*Sens!$C$12188+w_B*Sens!$C$12387+w_C*Sens!$C$12586)+(1-w_dcf)*(w_A*Sens!$C$12217+w_B*Sens!$C$12416+w_C*Sens!$C$12615)</f>
        <v>384.493059129691</v>
      </c>
      <c r="D24" s="39" t="n">
        <f aca="false">C24-Val!$B$36</f>
        <v>0.388499272957233</v>
      </c>
      <c r="E24" s="38" t="n">
        <f aca="false">C24/Val!$B$36-1</f>
        <v>0.00101144144995868</v>
      </c>
      <c r="F24" s="12" t="s">
        <v>87</v>
      </c>
    </row>
    <row r="25" customFormat="false" ht="17.15" hidden="false" customHeight="false" outlineLevel="0" collapsed="false">
      <c r="A25" s="1" t="s">
        <v>1432</v>
      </c>
      <c r="B25" s="1" t="s">
        <v>1433</v>
      </c>
      <c r="C25" s="5" t="n">
        <f aca="false">w_dcf*(w_A*Sens!$C$12785+w_B*Sens!$C$12984+w_C*Sens!$C$13183)+(1-w_dcf)*(w_A*Sens!$C$12814+w_B*Sens!$C$13013+w_C*Sens!$C$13212)</f>
        <v>370.980983235135</v>
      </c>
      <c r="D25" s="39" t="n">
        <f aca="false">C25-Val!$B$36</f>
        <v>-13.1235766215987</v>
      </c>
      <c r="E25" s="38" t="n">
        <f aca="false">C25/Val!$B$36-1</f>
        <v>-0.0341666774966005</v>
      </c>
      <c r="F25" s="12" t="s">
        <v>1434</v>
      </c>
    </row>
    <row r="26" customFormat="false" ht="17.15" hidden="false" customHeight="false" outlineLevel="0" collapsed="false">
      <c r="A26" s="1" t="s">
        <v>1435</v>
      </c>
      <c r="B26" s="1" t="s">
        <v>1433</v>
      </c>
      <c r="C26" s="5" t="n">
        <f aca="false">w_dcf*(w_A*Sens!$C$13382+w_B*Sens!$C$13581+w_C*Sens!$C$13780)+(1-w_dcf)*(w_A*Sens!$C$13411+w_B*Sens!$C$13610+w_C*Sens!$C$13809)</f>
        <v>397.203873372213</v>
      </c>
      <c r="D26" s="39" t="n">
        <f aca="false">C26-Val!$B$36</f>
        <v>13.0993135154791</v>
      </c>
      <c r="E26" s="38" t="n">
        <f aca="false">C26/Val!$B$36-1</f>
        <v>0.034103509524503</v>
      </c>
      <c r="F26" s="12" t="s">
        <v>87</v>
      </c>
    </row>
    <row r="27" customFormat="false" ht="17.15" hidden="false" customHeight="false" outlineLevel="0" collapsed="false">
      <c r="A27" s="0" t="s">
        <v>1436</v>
      </c>
      <c r="B27" s="1" t="s">
        <v>1437</v>
      </c>
      <c r="C27" s="5" t="n">
        <f aca="false">w_dcf*(w_A*Sens!$C$13829+w_B*Sens!$C$13878+w_C*Sens!$C$13927)+(1-w_dcf)*(w_A*Sens!$C$13858+w_B*Sens!$C$13907+w_C*Sens!$C$13956)</f>
        <v>406.415266893494</v>
      </c>
      <c r="D27" s="39" t="n">
        <f aca="false">C27-Val!$B$36</f>
        <v>22.3107070367601</v>
      </c>
      <c r="E27" s="38" t="n">
        <f aca="false">C27/Val!$B$36-1</f>
        <v>0.0580849835395905</v>
      </c>
      <c r="F27" s="1" t="s">
        <v>1438</v>
      </c>
    </row>
    <row r="28" customFormat="false" ht="17.15" hidden="false" customHeight="false" outlineLevel="0" collapsed="false">
      <c r="A28" s="0" t="s">
        <v>1439</v>
      </c>
      <c r="B28" s="1" t="s">
        <v>1437</v>
      </c>
      <c r="C28" s="5" t="n">
        <f aca="false">w_dcf*(w_A*Sens!$C$13976+w_B*Sens!$C$14025+w_C*Sens!$C$14074)+(1-w_dcf)*(w_A*Sens!$C$14005+w_B*Sens!$C$14054+w_C*Sens!$C$14103)</f>
        <v>365.876071961982</v>
      </c>
      <c r="D28" s="39" t="n">
        <f aca="false">C28-Val!$B$36</f>
        <v>-18.2284878947522</v>
      </c>
      <c r="E28" s="38" t="n">
        <f aca="false">C28/Val!$B$36-1</f>
        <v>-0.0474570984045365</v>
      </c>
      <c r="F28" s="12" t="s">
        <v>87</v>
      </c>
    </row>
    <row r="29" customFormat="false" ht="15" hidden="false" customHeight="false" outlineLevel="0" collapsed="false">
      <c r="A29" s="0" t="s">
        <v>1440</v>
      </c>
      <c r="B29" s="1" t="s">
        <v>1441</v>
      </c>
      <c r="C29" s="5" t="n">
        <f aca="false">w_dcf*(w_A*Sens!$C$14123+w_B*Sens!$C$14172+w_C*Sens!$C$14221)+(1-w_dcf)*(w_A*Sens!$C$14152+w_B*Sens!$C$14201+w_C*Sens!$C$14250)</f>
        <v>382.778879928943</v>
      </c>
      <c r="D29" s="39" t="n">
        <f aca="false">C29-Val!$B$36</f>
        <v>-1.32567992779104</v>
      </c>
      <c r="E29" s="38" t="n">
        <f aca="false">C29/Val!$B$36-1</f>
        <v>-0.00345135170560196</v>
      </c>
      <c r="F29" s="12" t="s">
        <v>87</v>
      </c>
    </row>
    <row r="30" customFormat="false" ht="15" hidden="false" customHeight="false" outlineLevel="0" collapsed="false">
      <c r="A30" s="0" t="s">
        <v>1442</v>
      </c>
      <c r="B30" s="1" t="s">
        <v>1441</v>
      </c>
      <c r="C30" s="5" t="n">
        <f aca="false">w_dcf*(w_A*Sens!$C$14270+w_B*Sens!$C$14319+w_C*Sens!$C$14368)+(1-w_dcf)*(w_A*Sens!$C$14299+w_B*Sens!$C$14348+w_C*Sens!$C$14397)</f>
        <v>385.430239784525</v>
      </c>
      <c r="D30" s="39" t="n">
        <f aca="false">C30-Val!$B$36</f>
        <v>1.32567992779127</v>
      </c>
      <c r="E30" s="38" t="n">
        <f aca="false">C30/Val!$B$36-1</f>
        <v>0.00345135170560251</v>
      </c>
      <c r="F30" s="12" t="s">
        <v>87</v>
      </c>
    </row>
    <row r="31" customFormat="false" ht="17.15" hidden="false" customHeight="false" outlineLevel="0" collapsed="false">
      <c r="A31" s="0" t="s">
        <v>1443</v>
      </c>
      <c r="B31" s="1" t="s">
        <v>1444</v>
      </c>
      <c r="C31" s="5" t="n">
        <f aca="false">w_dcf*(w_A*Sens!$C$14417+w_B*Sens!$C$14466+w_C*Sens!$C$14515)+(1-w_dcf)*(w_A*Sens!$C$14446+w_B*Sens!$C$14495+w_C*Sens!$C$14544)</f>
        <v>395.358678833893</v>
      </c>
      <c r="D31" s="39" t="n">
        <f aca="false">C31-Val!$B$36</f>
        <v>11.2541189771584</v>
      </c>
      <c r="E31" s="38" t="n">
        <f aca="false">C31/Val!$B$36-1</f>
        <v>0.0292996234706406</v>
      </c>
      <c r="F31" s="1" t="s">
        <v>1445</v>
      </c>
    </row>
    <row r="32" customFormat="false" ht="15" hidden="false" customHeight="false" outlineLevel="0" collapsed="false">
      <c r="A32" s="0" t="s">
        <v>1446</v>
      </c>
      <c r="B32" s="1" t="s">
        <v>1444</v>
      </c>
      <c r="C32" s="5" t="n">
        <f aca="false">w_dcf*(w_A*Sens!$C$14564+w_B*Sens!$C$14613+w_C*Sens!$C$14662)+(1-w_dcf)*(w_A*Sens!$C$14593+w_B*Sens!$C$14642+w_C*Sens!$C$14691)</f>
        <v>364.862143276164</v>
      </c>
      <c r="D32" s="39" t="n">
        <f aca="false">C32-Val!$B$36</f>
        <v>-19.2424165805702</v>
      </c>
      <c r="E32" s="38" t="n">
        <f aca="false">C32/Val!$B$36-1</f>
        <v>-0.0500968189176076</v>
      </c>
      <c r="F32" s="12" t="s">
        <v>87</v>
      </c>
    </row>
    <row r="33" customFormat="false" ht="17.15" hidden="false" customHeight="false" outlineLevel="0" collapsed="false">
      <c r="A33" s="1" t="s">
        <v>1447</v>
      </c>
      <c r="B33" s="1" t="s">
        <v>1448</v>
      </c>
      <c r="C33" s="5" t="n">
        <f aca="false">w_dcf*(w_A*Sens!$C$14711+w_B*Sens!$C$14760+w_C*Sens!$C$14809)+(1-w_dcf)*(w_A*Sens!$C$14740+w_B*Sens!$C$14789+w_C*Sens!$C$14838)</f>
        <v>402.466150402382</v>
      </c>
      <c r="D33" s="39" t="n">
        <f aca="false">C33-Val!$B$36</f>
        <v>18.3615905456475</v>
      </c>
      <c r="E33" s="38" t="n">
        <f aca="false">C33/Val!$B$36-1</f>
        <v>0.0478036255349223</v>
      </c>
      <c r="F33" s="12" t="s">
        <v>1449</v>
      </c>
    </row>
    <row r="34" customFormat="false" ht="17.15" hidden="false" customHeight="false" outlineLevel="0" collapsed="false">
      <c r="A34" s="0" t="s">
        <v>1450</v>
      </c>
      <c r="B34" s="1" t="s">
        <v>1451</v>
      </c>
      <c r="C34" s="5" t="n">
        <f aca="false">w_dcf*(w_A*Sens!$C$14858+w_B*Sens!$C$14907+w_C*Sens!$C$14956)+(1-w_dcf)*(w_A*Sens!$C$14887+w_B*Sens!$C$14936+w_C*Sens!$C$14985)</f>
        <v>344.065757814848</v>
      </c>
      <c r="D34" s="39" t="n">
        <f aca="false">C34-Val!$B$36</f>
        <v>-40.0388020418865</v>
      </c>
      <c r="E34" s="38" t="n">
        <f aca="false">C34/Val!$B$36-1</f>
        <v>-0.104239330188687</v>
      </c>
      <c r="F34" s="1" t="s">
        <v>1452</v>
      </c>
    </row>
    <row r="35" customFormat="false" ht="17.15" hidden="false" customHeight="false" outlineLevel="0" collapsed="false">
      <c r="A35" s="0" t="s">
        <v>1453</v>
      </c>
      <c r="B35" s="1" t="s">
        <v>1451</v>
      </c>
      <c r="C35" s="5" t="n">
        <f aca="false">w_dcf*(w_A*Sens!$C$15005+w_B*Sens!$C$15054+w_C*Sens!$C$15103)+(1-w_dcf)*(w_A*Sens!$C$15034+w_B*Sens!$C$15083+w_C*Sens!$C$15132)</f>
        <v>424.143361898621</v>
      </c>
      <c r="D35" s="39" t="n">
        <f aca="false">C35-Val!$B$36</f>
        <v>40.0388020418865</v>
      </c>
      <c r="E35" s="38" t="n">
        <f aca="false">C35/Val!$B$36-1</f>
        <v>0.104239330188687</v>
      </c>
      <c r="F35" s="12" t="s">
        <v>87</v>
      </c>
    </row>
    <row r="37" customFormat="false" ht="17.15" hidden="false" customHeight="false" outlineLevel="0" collapsed="false">
      <c r="A37" s="3" t="s">
        <v>1454</v>
      </c>
    </row>
    <row r="38" customFormat="false" ht="17.15" hidden="false" customHeight="false" outlineLevel="0" collapsed="false">
      <c r="A38" s="4" t="s">
        <v>1455</v>
      </c>
      <c r="B38" s="4" t="s">
        <v>1456</v>
      </c>
      <c r="C38" s="4" t="s">
        <v>1382</v>
      </c>
      <c r="D38" s="4" t="s">
        <v>1383</v>
      </c>
      <c r="E38" s="4" t="s">
        <v>1384</v>
      </c>
      <c r="F38" s="4" t="s">
        <v>47</v>
      </c>
    </row>
    <row r="39" customFormat="false" ht="17.15" hidden="false" customHeight="false" outlineLevel="0" collapsed="false">
      <c r="A39" s="0" t="s">
        <v>1457</v>
      </c>
      <c r="B39" s="0" t="s">
        <v>1458</v>
      </c>
      <c r="C39" s="5" t="n">
        <f aca="false">w_dcf*(w_A*Val!$C$88+w_B*Val!$C$137+w_C*Sens!$C$15302)+(1-w_dcf)*(w_A*Val!$C$117+w_B*Val!$C$166+w_C*Sens!$C$15331)</f>
        <v>383.611924966035</v>
      </c>
      <c r="D39" s="39" t="n">
        <f aca="false">C39-Val!$B$36</f>
        <v>-0.492634890699264</v>
      </c>
      <c r="E39" s="38" t="n">
        <f aca="false">C39/Val!$B$36-1</f>
        <v>-0.00128255413287204</v>
      </c>
    </row>
    <row r="40" customFormat="false" ht="17.15" hidden="false" customHeight="false" outlineLevel="0" collapsed="false">
      <c r="A40" s="0" t="s">
        <v>1459</v>
      </c>
      <c r="B40" s="0" t="s">
        <v>1458</v>
      </c>
      <c r="C40" s="5" t="n">
        <f aca="false">w_dcf*(w_A*Val!$C$88+w_B*Val!$C$137+w_C*Sens!$C$15501)+(1-w_dcf)*(w_A*Val!$C$117+w_B*Val!$C$166+w_C*Sens!$C$15530)</f>
        <v>366.995301994165</v>
      </c>
      <c r="D40" s="39" t="n">
        <f aca="false">C40-Val!$B$36</f>
        <v>-17.1092578625688</v>
      </c>
      <c r="E40" s="38" t="n">
        <f aca="false">C40/Val!$B$36-1</f>
        <v>-0.0445432302833123</v>
      </c>
    </row>
    <row r="41" customFormat="false" ht="17.15" hidden="false" customHeight="false" outlineLevel="0" collapsed="false">
      <c r="A41" s="1" t="s">
        <v>1460</v>
      </c>
      <c r="B41" s="1" t="s">
        <v>1461</v>
      </c>
      <c r="C41" s="5" t="n">
        <f aca="false">w_dcf*(w_A*Sens!$C$15550+w_B*Sens!$C$15599+w_C*Sens!$C$15648)+(1-w_dcf)*(w_A*Sens!$C$15579+w_B*Sens!$C$15628+w_C*Sens!$C$15677)</f>
        <v>430.441456382661</v>
      </c>
      <c r="D41" s="39" t="n">
        <f aca="false">C41-Val!$B$36</f>
        <v>46.3368965259266</v>
      </c>
      <c r="E41" s="38" t="n">
        <f aca="false">C41/Val!$B$36-1</f>
        <v>0.120636153195395</v>
      </c>
    </row>
    <row r="42" customFormat="false" ht="17.15" hidden="false" customHeight="false" outlineLevel="0" collapsed="false">
      <c r="A42" s="1" t="s">
        <v>1462</v>
      </c>
      <c r="B42" s="1" t="s">
        <v>1461</v>
      </c>
      <c r="C42" s="5" t="n">
        <f aca="false">w_dcf*(w_A*Sens!$C$15697+w_B*Sens!$C$15746+w_C*Sens!$C$15795)+(1-w_dcf)*(w_A*Sens!$C$15726+w_B*Sens!$C$15775+w_C*Sens!$C$15824)</f>
        <v>449.77677075261</v>
      </c>
      <c r="D42" s="39" t="n">
        <f aca="false">C42-Val!$B$36</f>
        <v>65.6722108958759</v>
      </c>
      <c r="E42" s="38" t="n">
        <f aca="false">C42/Val!$B$36-1</f>
        <v>0.170974827584371</v>
      </c>
    </row>
    <row r="43" customFormat="false" ht="17.15" hidden="false" customHeight="false" outlineLevel="0" collapsed="false">
      <c r="A43" s="1" t="s">
        <v>1463</v>
      </c>
      <c r="B43" s="1" t="s">
        <v>1461</v>
      </c>
      <c r="C43" s="5" t="n">
        <f aca="false">w_dcf*(w_A*Sens!$C$15994+w_B*Sens!$C$16193+w_C*Sens!$C$16392)+(1-w_dcf)*(w_A*Sens!$C$16023+w_B*Sens!$C$16222+w_C*Sens!$C$16421)</f>
        <v>354.353967755318</v>
      </c>
      <c r="D43" s="39" t="n">
        <f aca="false">C43-Val!$B$36</f>
        <v>-29.7505921014163</v>
      </c>
      <c r="E43" s="38" t="n">
        <f aca="false">C43/Val!$B$36-1</f>
        <v>-0.0774544101025847</v>
      </c>
    </row>
    <row r="44" customFormat="false" ht="17.15" hidden="false" customHeight="false" outlineLevel="0" collapsed="false">
      <c r="A44" s="1" t="s">
        <v>1464</v>
      </c>
      <c r="B44" s="1" t="s">
        <v>1461</v>
      </c>
      <c r="C44" s="5" t="n">
        <f aca="false">w_dcf*(w_A*Sens!$C$16591+w_B*Sens!$C$16790+w_C*Sens!$C$16989)+(1-w_dcf)*(w_A*Sens!$C$16620+w_B*Sens!$C$16819+w_C*Sens!$C$17018)</f>
        <v>377.77304121736</v>
      </c>
      <c r="D44" s="39" t="n">
        <f aca="false">C44-Val!$B$36</f>
        <v>-6.33151863937383</v>
      </c>
      <c r="E44" s="38" t="n">
        <f aca="false">C44/Val!$B$36-1</f>
        <v>-0.0164838413835425</v>
      </c>
    </row>
    <row r="45" customFormat="false" ht="17.15" hidden="false" customHeight="false" outlineLevel="0" collapsed="false">
      <c r="A45" s="0" t="s">
        <v>1465</v>
      </c>
      <c r="B45" s="1" t="s">
        <v>1461</v>
      </c>
      <c r="C45" s="5" t="n">
        <f aca="false">w_dcf*(w_A*Sens!$C$17188+w_B*Sens!$C$17387+w_C*Sens!$C$17586)+(1-w_dcf)*(w_A*Sens!$C$17217+w_B*Sens!$C$17416+w_C*Sens!$C$17615)</f>
        <v>384.106381576557</v>
      </c>
      <c r="D45" s="39" t="n">
        <f aca="false">C45-Val!$B$36</f>
        <v>0.00182171982248747</v>
      </c>
      <c r="E45" s="38" t="n">
        <f aca="false">C45/Val!$B$36-1</f>
        <v>4.74277062267881E-006</v>
      </c>
    </row>
    <row r="46" customFormat="false" ht="17.15" hidden="false" customHeight="false" outlineLevel="0" collapsed="false">
      <c r="A46" s="0" t="s">
        <v>1466</v>
      </c>
      <c r="B46" s="1" t="s">
        <v>1461</v>
      </c>
      <c r="C46" s="5" t="n">
        <f aca="false">w_dcf*(w_A*Sens!$C$17785+w_B*Sens!$C$17984+w_C*Sens!$C$18183)+(1-w_dcf)*(w_A*Sens!$C$17814+w_B*Sens!$C$18013+w_C*Sens!$C$18212)</f>
        <v>384.103749276838</v>
      </c>
      <c r="D46" s="39" t="n">
        <f aca="false">C46-Val!$B$36</f>
        <v>-0.00081057989615374</v>
      </c>
      <c r="E46" s="38" t="n">
        <f aca="false">C46/Val!$B$36-1</f>
        <v>-2.11031052710364E-006</v>
      </c>
    </row>
    <row r="47" customFormat="false" ht="17.15" hidden="false" customHeight="false" outlineLevel="0" collapsed="false">
      <c r="A47" s="0" t="s">
        <v>1467</v>
      </c>
      <c r="B47" s="1" t="s">
        <v>1461</v>
      </c>
      <c r="C47" s="5" t="n">
        <f aca="false">w_dcf*(w_A*Sens!$C$18382+w_B*Sens!$C$18581+w_C*Sens!$C$18780)+(1-w_dcf)*(w_A*Sens!$C$18411+w_B*Sens!$C$18610+w_C*Sens!$C$18809)</f>
        <v>381.772585611107</v>
      </c>
      <c r="D47" s="39" t="n">
        <f aca="false">C47-Val!$B$36</f>
        <v>-2.33197424562741</v>
      </c>
      <c r="E47" s="38" t="n">
        <f aca="false">C47/Val!$B$36-1</f>
        <v>-0.0060711964640493</v>
      </c>
    </row>
    <row r="48" customFormat="false" ht="17.15" hidden="false" customHeight="false" outlineLevel="0" collapsed="false">
      <c r="A48" s="0" t="s">
        <v>1468</v>
      </c>
      <c r="B48" s="1" t="s">
        <v>1461</v>
      </c>
      <c r="C48" s="5" t="n">
        <f aca="false">w_dcf*(w_A*Sens!$C$18979+w_B*Sens!$C$19178+w_C*Sens!$C$19377)+(1-w_dcf)*(w_A*Sens!$C$19008+w_B*Sens!$C$19207+w_C*Sens!$C$19406)</f>
        <v>387.097087366998</v>
      </c>
      <c r="D48" s="39" t="n">
        <f aca="false">C48-Val!$B$36</f>
        <v>2.9925275102637</v>
      </c>
      <c r="E48" s="38" t="n">
        <f aca="false">C48/Val!$B$36-1</f>
        <v>0.00779091899190121</v>
      </c>
    </row>
    <row r="49" customFormat="false" ht="17.15" hidden="false" customHeight="false" outlineLevel="0" collapsed="false">
      <c r="A49" s="0" t="s">
        <v>1469</v>
      </c>
      <c r="B49" s="1" t="s">
        <v>1461</v>
      </c>
      <c r="C49" s="5" t="n">
        <f aca="false">w_dcf*(w_A*Sens!$C$19576+w_B*Sens!$C$19775+w_C*Sens!$C$19974)+(1-w_dcf)*(w_A*Sens!$C$19605+w_B*Sens!$C$19804+w_C*Sens!$C$20003)</f>
        <v>387.626796883231</v>
      </c>
      <c r="D49" s="39" t="n">
        <f aca="false">C49-Val!$B$36</f>
        <v>3.52223702649695</v>
      </c>
      <c r="E49" s="38" t="n">
        <f aca="false">C49/Val!$B$36-1</f>
        <v>0.00916999534660734</v>
      </c>
    </row>
    <row r="50" customFormat="false" ht="17.15" hidden="false" customHeight="false" outlineLevel="0" collapsed="false">
      <c r="A50" s="1" t="s">
        <v>1470</v>
      </c>
      <c r="B50" s="1" t="s">
        <v>1461</v>
      </c>
      <c r="C50" s="5" t="n">
        <f aca="false">w_dcf*(w_A*Sens!$C$20023+w_B*Sens!$C$20072+w_C*Sens!$C$20121)+(1-w_dcf)*(w_A*Sens!$C$20052+w_B*Sens!$C$20101+w_C*Sens!$C$20150)</f>
        <v>395.424101814915</v>
      </c>
      <c r="D50" s="39" t="n">
        <f aca="false">C50-Val!$B$36</f>
        <v>11.319541958181</v>
      </c>
      <c r="E50" s="38" t="n">
        <f aca="false">C50/Val!$B$36-1</f>
        <v>0.0294699494387753</v>
      </c>
    </row>
    <row r="51" customFormat="false" ht="17.15" hidden="false" customHeight="false" outlineLevel="0" collapsed="false">
      <c r="A51" s="0" t="s">
        <v>1471</v>
      </c>
      <c r="B51" s="1" t="s">
        <v>1461</v>
      </c>
      <c r="C51" s="5" t="n">
        <f aca="false">w_dcf*(w_A*Sens!$C$20170+w_B*Sens!$C$20219+w_C*Sens!$C$20268)+(1-w_dcf)*(w_A*Sens!$C$20199+w_B*Sens!$C$20248+w_C*Sens!$C$20297)</f>
        <v>385.068058226051</v>
      </c>
      <c r="D51" s="39" t="n">
        <f aca="false">C51-Val!$B$36</f>
        <v>0.963498369316596</v>
      </c>
      <c r="E51" s="38" t="n">
        <f aca="false">C51/Val!$B$36-1</f>
        <v>0.00250842731384382</v>
      </c>
    </row>
    <row r="52" customFormat="false" ht="17.15" hidden="false" customHeight="false" outlineLevel="0" collapsed="false">
      <c r="A52" s="0" t="s">
        <v>1472</v>
      </c>
      <c r="B52" s="1" t="s">
        <v>1461</v>
      </c>
      <c r="C52" s="5" t="n">
        <f aca="false">w_dcf*(w_A*Sens!$C$20317+w_B*Sens!$C$20366+w_C*Sens!$C$20415)+(1-w_dcf)*(w_A*Sens!$C$20346+w_B*Sens!$C$20395+w_C*Sens!$C$20444)</f>
        <v>386.995054964684</v>
      </c>
      <c r="D52" s="39" t="n">
        <f aca="false">C52-Val!$B$36</f>
        <v>2.89049510794973</v>
      </c>
      <c r="E52" s="38" t="n">
        <f aca="false">C52/Val!$B$36-1</f>
        <v>0.00752528194153146</v>
      </c>
    </row>
    <row r="53" customFormat="false" ht="17.15" hidden="false" customHeight="false" outlineLevel="0" collapsed="false">
      <c r="A53" s="0" t="s">
        <v>1473</v>
      </c>
      <c r="B53" s="1" t="s">
        <v>1461</v>
      </c>
      <c r="C53" s="5" t="n">
        <f aca="false">w_dcf*(w_A*Sens!$C$20464+w_B*Sens!$C$20513+w_C*Sens!$C$20562)+(1-w_dcf)*(w_A*Sens!$C$20493+w_B*Sens!$C$20542+w_C*Sens!$C$20591)</f>
        <v>393.498668957571</v>
      </c>
      <c r="D53" s="39" t="n">
        <f aca="false">C53-Val!$B$36</f>
        <v>9.39410910083672</v>
      </c>
      <c r="E53" s="38" t="n">
        <f aca="false">C53/Val!$B$36-1</f>
        <v>0.0244571663099771</v>
      </c>
    </row>
    <row r="54" customFormat="false" ht="17.15" hidden="false" customHeight="false" outlineLevel="0" collapsed="false">
      <c r="A54" s="0" t="s">
        <v>1474</v>
      </c>
      <c r="B54" s="1" t="s">
        <v>1475</v>
      </c>
      <c r="C54" s="5" t="n">
        <f aca="false">0.3*Val!$B$14+0.7*Val!$B$31</f>
        <v>407.997764915475</v>
      </c>
      <c r="D54" s="39" t="n">
        <f aca="false">C54-Val!$B$36</f>
        <v>23.8932050587405</v>
      </c>
      <c r="E54" s="38" t="n">
        <f aca="false">C54/Val!$B$36-1</f>
        <v>0.0622049503074171</v>
      </c>
    </row>
    <row r="55" customFormat="false" ht="17.15" hidden="false" customHeight="false" outlineLevel="0" collapsed="false">
      <c r="A55" s="0" t="s">
        <v>1476</v>
      </c>
      <c r="B55" s="1" t="s">
        <v>1475</v>
      </c>
      <c r="C55" s="5" t="n">
        <f aca="false">0.7*Val!$B$14+0.3*Val!$B$31</f>
        <v>360.211354797994</v>
      </c>
      <c r="D55" s="39" t="n">
        <f aca="false">C55-Val!$B$36</f>
        <v>-23.8932050587405</v>
      </c>
      <c r="E55" s="38" t="n">
        <f aca="false">C55/Val!$B$36-1</f>
        <v>-0.0622049503074171</v>
      </c>
    </row>
    <row r="56" customFormat="false" ht="17.15" hidden="false" customHeight="false" outlineLevel="0" collapsed="false">
      <c r="A56" s="1" t="s">
        <v>1477</v>
      </c>
      <c r="B56" s="1" t="s">
        <v>1475</v>
      </c>
      <c r="C56" s="5" t="n">
        <f aca="false">w_dcf*(0.3*Val!$B$13+0.5*Val!$C$13+0.2*Val!$D$13)+(1-w_dcf)*(0.3*Val!$B$30+0.5*Val!$C$30+0.2*Val!$D$30)</f>
        <v>388.213651521436</v>
      </c>
      <c r="D56" s="39" t="n">
        <f aca="false">C56-Val!$B$36</f>
        <v>4.1090916647014</v>
      </c>
      <c r="E56" s="38" t="n">
        <f aca="false">C56/Val!$B$36-1</f>
        <v>0.0106978466130006</v>
      </c>
    </row>
    <row r="57" customFormat="false" ht="17.15" hidden="false" customHeight="false" outlineLevel="0" collapsed="false">
      <c r="A57" s="1" t="s">
        <v>1478</v>
      </c>
      <c r="B57" s="1" t="s">
        <v>1475</v>
      </c>
      <c r="C57" s="5" t="n">
        <f aca="false">Val!$C$44</f>
        <v>386.052170373482</v>
      </c>
      <c r="D57" s="39" t="n">
        <f aca="false">C57-Val!$B$36</f>
        <v>1.94761051674766</v>
      </c>
      <c r="E57" s="38" t="n">
        <f aca="false">C57/Val!$B$36-1</f>
        <v>0.00507052172844325</v>
      </c>
    </row>
    <row r="59" customFormat="false" ht="17.15" hidden="false" customHeight="false" outlineLevel="0" collapsed="false">
      <c r="A59" s="3" t="s">
        <v>1479</v>
      </c>
    </row>
    <row r="80" customFormat="false" ht="17.15" hidden="false" customHeight="false" outlineLevel="0" collapsed="false">
      <c r="A80" s="3" t="s">
        <v>1480</v>
      </c>
    </row>
    <row r="81" customFormat="false" ht="15" hidden="false" customHeight="false" outlineLevel="0" collapsed="false">
      <c r="A81" s="4" t="s">
        <v>43</v>
      </c>
      <c r="B81" s="4" t="s">
        <v>65</v>
      </c>
      <c r="C81" s="23" t="s">
        <v>938</v>
      </c>
      <c r="D81" s="23" t="s">
        <v>939</v>
      </c>
      <c r="E81" s="23" t="s">
        <v>940</v>
      </c>
      <c r="F81" s="23" t="s">
        <v>941</v>
      </c>
      <c r="G81" s="23" t="s">
        <v>942</v>
      </c>
      <c r="H81" s="23" t="s">
        <v>943</v>
      </c>
      <c r="I81" s="23" t="s">
        <v>944</v>
      </c>
      <c r="J81" s="23" t="s">
        <v>945</v>
      </c>
      <c r="K81" s="23" t="s">
        <v>946</v>
      </c>
      <c r="L81" s="4" t="s">
        <v>47</v>
      </c>
    </row>
    <row r="82" customFormat="false" ht="17.15" hidden="false" customHeight="false" outlineLevel="0" collapsed="false">
      <c r="A82" s="1" t="s">
        <v>947</v>
      </c>
      <c r="B82" s="1" t="s">
        <v>279</v>
      </c>
      <c r="C82" s="21" t="n">
        <v>2024</v>
      </c>
      <c r="D82" s="21" t="n">
        <v>2025</v>
      </c>
      <c r="E82" s="21" t="n">
        <v>2026</v>
      </c>
      <c r="F82" s="21" t="n">
        <v>2027</v>
      </c>
      <c r="G82" s="21" t="n">
        <v>2028</v>
      </c>
      <c r="H82" s="21" t="n">
        <v>2029</v>
      </c>
      <c r="I82" s="21" t="n">
        <v>2030</v>
      </c>
      <c r="J82" s="21" t="n">
        <v>2031</v>
      </c>
      <c r="K82" s="21" t="n">
        <v>2032</v>
      </c>
    </row>
    <row r="83" customFormat="false" ht="17.15" hidden="false" customHeight="false" outlineLevel="0" collapsed="false">
      <c r="A83" s="1" t="s">
        <v>948</v>
      </c>
      <c r="B83" s="0" t="s">
        <v>456</v>
      </c>
      <c r="F83" s="30" t="n">
        <f aca="false">pace</f>
        <v>2726.5351</v>
      </c>
      <c r="G83" s="30" t="n">
        <f aca="false">pace</f>
        <v>2726.5351</v>
      </c>
      <c r="H83" s="30" t="n">
        <f aca="false">pace</f>
        <v>2726.5351</v>
      </c>
      <c r="I83" s="30" t="n">
        <f aca="false">pace+(g_tv*Sens!H84-pace)*MIN(1,(Sens!I82-pace_y0)/(pace_y1-pace_y0))</f>
        <v>1931.98611966667</v>
      </c>
      <c r="J83" s="30" t="n">
        <f aca="false">pace+(g_tv*Sens!I84-pace)*MIN(1,(Sens!J82-pace_y0)/(pace_y1-pace_y0))</f>
        <v>1176.07686172667</v>
      </c>
      <c r="K83" s="30" t="n">
        <f aca="false">pace+(g_tv*Sens!J84-pace)*MIN(1,(Sens!K82-pace_y0)/(pace_y1-pace_y0))</f>
        <v>436.1300484418</v>
      </c>
      <c r="L83" s="12" t="s">
        <v>949</v>
      </c>
    </row>
    <row r="84" customFormat="false" ht="17.15" hidden="false" customHeight="false" outlineLevel="0" collapsed="false">
      <c r="A84" s="1" t="s">
        <v>950</v>
      </c>
      <c r="B84" s="0" t="s">
        <v>456</v>
      </c>
      <c r="C84" s="30" t="n">
        <f aca="false">mw_ext_24</f>
        <v>640</v>
      </c>
      <c r="D84" s="30" t="n">
        <f aca="false">mw_ext_25</f>
        <v>1630</v>
      </c>
      <c r="E84" s="30" t="n">
        <f aca="false">mw_ext_26</f>
        <v>3250</v>
      </c>
      <c r="F84" s="30" t="n">
        <f aca="false">Sens!E84+Sens!F83</f>
        <v>5976.5351</v>
      </c>
      <c r="G84" s="30" t="n">
        <f aca="false">Sens!F84+Sens!G83</f>
        <v>8703.0702</v>
      </c>
      <c r="H84" s="30" t="n">
        <f aca="false">Sens!G84+Sens!H83</f>
        <v>11429.6053</v>
      </c>
      <c r="I84" s="30" t="n">
        <f aca="false">Sens!H84+Sens!I83</f>
        <v>13361.5914196667</v>
      </c>
      <c r="J84" s="30" t="n">
        <f aca="false">Sens!I84+Sens!J83</f>
        <v>14537.6682813933</v>
      </c>
      <c r="K84" s="30" t="n">
        <f aca="false">Sens!J84+Sens!K83</f>
        <v>14973.7983298351</v>
      </c>
      <c r="L84" s="1" t="s">
        <v>951</v>
      </c>
    </row>
    <row r="85" customFormat="false" ht="17.15" hidden="false" customHeight="false" outlineLevel="0" collapsed="false">
      <c r="A85" s="1" t="s">
        <v>952</v>
      </c>
      <c r="B85" s="0" t="s">
        <v>456</v>
      </c>
      <c r="C85" s="30" t="n">
        <f aca="false">rent_ext_24</f>
        <v>150</v>
      </c>
      <c r="D85" s="30" t="n">
        <f aca="false">rent_ext_25</f>
        <v>400</v>
      </c>
      <c r="E85" s="30" t="n">
        <f aca="false">rent_ext_26</f>
        <v>550</v>
      </c>
      <c r="F85" s="30" t="n">
        <f aca="false">rent_ext_f</f>
        <v>756</v>
      </c>
      <c r="G85" s="30" t="n">
        <f aca="false">rent_ext_f</f>
        <v>756</v>
      </c>
      <c r="H85" s="30" t="n">
        <f aca="false">rent_ext_f</f>
        <v>756</v>
      </c>
      <c r="I85" s="30" t="n">
        <f aca="false">rent_ext_f</f>
        <v>756</v>
      </c>
      <c r="J85" s="30" t="n">
        <f aca="false">rent_ext_f</f>
        <v>756</v>
      </c>
      <c r="K85" s="30" t="n">
        <f aca="false">rent_ext_f</f>
        <v>756</v>
      </c>
      <c r="L85" s="1" t="s">
        <v>953</v>
      </c>
    </row>
    <row r="86" customFormat="false" ht="17.15" hidden="false" customHeight="false" outlineLevel="0" collapsed="false">
      <c r="A86" s="1" t="s">
        <v>954</v>
      </c>
      <c r="B86" s="0" t="s">
        <v>456</v>
      </c>
      <c r="C86" s="30" t="n">
        <f aca="false">Sens!C84-Sens!C85</f>
        <v>490</v>
      </c>
      <c r="D86" s="30" t="n">
        <f aca="false">Sens!D84-Sens!D85</f>
        <v>1230</v>
      </c>
      <c r="E86" s="30" t="n">
        <f aca="false">Sens!E84-Sens!E85</f>
        <v>2700</v>
      </c>
      <c r="F86" s="30" t="n">
        <f aca="false">Sens!F84-Sens!F85</f>
        <v>5220.5351</v>
      </c>
      <c r="G86" s="30" t="n">
        <f aca="false">Sens!G84-Sens!G85</f>
        <v>7947.0702</v>
      </c>
      <c r="H86" s="30" t="n">
        <f aca="false">Sens!H84-Sens!H85</f>
        <v>10673.6053</v>
      </c>
      <c r="I86" s="30" t="n">
        <f aca="false">Sens!I84-Sens!I85</f>
        <v>12605.5914196667</v>
      </c>
      <c r="J86" s="30" t="n">
        <f aca="false">Sens!J84-Sens!J85</f>
        <v>13781.6682813933</v>
      </c>
      <c r="K86" s="30" t="n">
        <f aca="false">Sens!K84-Sens!K85</f>
        <v>14217.7983298351</v>
      </c>
    </row>
    <row r="87" customFormat="false" ht="17.15" hidden="false" customHeight="false" outlineLevel="0" collapsed="false">
      <c r="A87" s="1" t="s">
        <v>955</v>
      </c>
      <c r="B87" s="0" t="s">
        <v>456</v>
      </c>
      <c r="C87" s="30" t="n">
        <f aca="false">Sens!C86/ext_sh</f>
        <v>816.666666666667</v>
      </c>
      <c r="D87" s="30" t="n">
        <f aca="false">Sens!D86/ext_sh</f>
        <v>2050</v>
      </c>
      <c r="E87" s="30" t="n">
        <f aca="false">Sens!E86/ext_sh</f>
        <v>4500</v>
      </c>
      <c r="F87" s="30" t="n">
        <f aca="false">Sens!F86/ext_sh</f>
        <v>8700.89183333333</v>
      </c>
      <c r="G87" s="30" t="n">
        <f aca="false">Sens!G86/ext_sh</f>
        <v>13245.117</v>
      </c>
      <c r="H87" s="30" t="n">
        <f aca="false">Sens!H86/ext_sh</f>
        <v>17789.3421666667</v>
      </c>
      <c r="I87" s="30" t="n">
        <f aca="false">Sens!I86/ext_sh</f>
        <v>21009.3190327778</v>
      </c>
      <c r="J87" s="30" t="n">
        <f aca="false">Sens!J86/ext_sh</f>
        <v>22969.4471356556</v>
      </c>
      <c r="K87" s="30" t="n">
        <f aca="false">Sens!K86/ext_sh</f>
        <v>23696.3305497252</v>
      </c>
      <c r="L87" s="1" t="s">
        <v>956</v>
      </c>
    </row>
    <row r="88" customFormat="false" ht="17.15" hidden="false" customHeight="false" outlineLevel="0" collapsed="false">
      <c r="A88" s="1" t="s">
        <v>957</v>
      </c>
      <c r="B88" s="0" t="s">
        <v>456</v>
      </c>
      <c r="C88" s="30" t="n">
        <f aca="false">Sens!C87-Sens!C86</f>
        <v>326.666666666667</v>
      </c>
      <c r="D88" s="30" t="n">
        <f aca="false">Sens!D87-Sens!D86</f>
        <v>820</v>
      </c>
      <c r="E88" s="30" t="n">
        <f aca="false">Sens!E87-Sens!E86</f>
        <v>1800</v>
      </c>
      <c r="F88" s="30" t="n">
        <f aca="false">Sens!F87-Sens!F86</f>
        <v>3480.35673333333</v>
      </c>
      <c r="G88" s="30" t="n">
        <f aca="false">Sens!G87-Sens!G86</f>
        <v>5298.0468</v>
      </c>
      <c r="H88" s="30" t="n">
        <f aca="false">Sens!H87-Sens!H86</f>
        <v>7115.73686666667</v>
      </c>
      <c r="I88" s="30" t="n">
        <f aca="false">Sens!I87-Sens!I86</f>
        <v>8403.72761311111</v>
      </c>
      <c r="J88" s="30" t="n">
        <f aca="false">Sens!J87-Sens!J86</f>
        <v>9187.77885426222</v>
      </c>
      <c r="K88" s="30" t="n">
        <f aca="false">Sens!K87-Sens!K86</f>
        <v>9478.53221989009</v>
      </c>
    </row>
    <row r="89" customFormat="false" ht="17.15" hidden="false" customHeight="false" outlineLevel="0" collapsed="false">
      <c r="A89" s="1" t="s">
        <v>958</v>
      </c>
      <c r="B89" s="0" t="s">
        <v>456</v>
      </c>
      <c r="C89" s="30" t="n">
        <f aca="false">Sens!C87</f>
        <v>816.666666666667</v>
      </c>
      <c r="D89" s="30" t="n">
        <f aca="false">Sens!D87-Sens!C87</f>
        <v>1233.33333333333</v>
      </c>
      <c r="E89" s="30" t="n">
        <f aca="false">Sens!E87-Sens!D87</f>
        <v>2450</v>
      </c>
      <c r="F89" s="30" t="n">
        <f aca="false">Sens!F87-Sens!E87</f>
        <v>4200.89183333333</v>
      </c>
      <c r="G89" s="30" t="n">
        <f aca="false">Sens!G87-Sens!F87</f>
        <v>4544.22516666667</v>
      </c>
      <c r="H89" s="30" t="n">
        <f aca="false">Sens!H87-Sens!G87</f>
        <v>4544.22516666667</v>
      </c>
      <c r="I89" s="30" t="n">
        <f aca="false">Sens!I87-Sens!H87</f>
        <v>3219.97686611111</v>
      </c>
      <c r="J89" s="30" t="n">
        <f aca="false">Sens!J87-Sens!I87</f>
        <v>1960.12810287778</v>
      </c>
      <c r="K89" s="30" t="n">
        <f aca="false">Sens!K87-Sens!J87</f>
        <v>726.883414069667</v>
      </c>
    </row>
    <row r="90" customFormat="false" ht="17.15" hidden="false" customHeight="false" outlineLevel="0" collapsed="false">
      <c r="A90" s="1" t="s">
        <v>959</v>
      </c>
      <c r="B90" s="0" t="s">
        <v>456</v>
      </c>
      <c r="D90" s="30" t="n">
        <f aca="false">Sens!D84-Sens!C84</f>
        <v>990</v>
      </c>
      <c r="E90" s="30" t="n">
        <f aca="false">Sens!E84-Sens!D84</f>
        <v>1620</v>
      </c>
      <c r="F90" s="30" t="n">
        <f aca="false">Sens!F84-Sens!E84</f>
        <v>2726.5351</v>
      </c>
      <c r="G90" s="30" t="n">
        <f aca="false">Sens!G84-Sens!F84</f>
        <v>2726.5351</v>
      </c>
      <c r="H90" s="30" t="n">
        <f aca="false">Sens!H84-Sens!G84</f>
        <v>2726.5351</v>
      </c>
      <c r="I90" s="30" t="n">
        <f aca="false">Sens!I84-Sens!H84</f>
        <v>1931.98611966667</v>
      </c>
      <c r="J90" s="30" t="n">
        <f aca="false">Sens!J84-Sens!I84</f>
        <v>1176.07686172667</v>
      </c>
      <c r="K90" s="30" t="n">
        <f aca="false">Sens!K84-Sens!J84</f>
        <v>436.130048441799</v>
      </c>
    </row>
    <row r="91" customFormat="false" ht="17.15" hidden="false" customHeight="false" outlineLevel="0" collapsed="false">
      <c r="A91" s="1" t="s">
        <v>960</v>
      </c>
      <c r="B91" s="0" t="s">
        <v>456</v>
      </c>
      <c r="F91" s="30" t="n">
        <f aca="false">Sens!F110*ext_sh</f>
        <v>0</v>
      </c>
      <c r="G91" s="30" t="n">
        <f aca="false">Sens!G110*ext_sh</f>
        <v>0</v>
      </c>
      <c r="H91" s="30" t="n">
        <f aca="false">Sens!H110*ext_sh</f>
        <v>0</v>
      </c>
      <c r="I91" s="30" t="n">
        <f aca="false">Sens!I110*ext_sh</f>
        <v>490</v>
      </c>
      <c r="J91" s="30" t="n">
        <f aca="false">Sens!J110*ext_sh</f>
        <v>740</v>
      </c>
      <c r="K91" s="30" t="n">
        <f aca="false">Sens!K110*ext_sh</f>
        <v>1470</v>
      </c>
      <c r="L91" s="1" t="s">
        <v>961</v>
      </c>
    </row>
    <row r="92" customFormat="false" ht="17.15" hidden="false" customHeight="false" outlineLevel="0" collapsed="false">
      <c r="A92" s="1" t="s">
        <v>962</v>
      </c>
      <c r="B92" s="0" t="s">
        <v>456</v>
      </c>
      <c r="C92" s="30" t="n">
        <f aca="false">mix_h*Sens!C84</f>
        <v>128</v>
      </c>
      <c r="D92" s="30" t="n">
        <f aca="false">mix_h*Sens!D84</f>
        <v>326</v>
      </c>
      <c r="E92" s="30" t="n">
        <f aca="false">mix_h*Sens!E84</f>
        <v>650</v>
      </c>
      <c r="F92" s="30" t="n">
        <f aca="false">Sens!E92-Sens!F91*mix_h</f>
        <v>650</v>
      </c>
      <c r="G92" s="30" t="n">
        <f aca="false">Sens!F92-Sens!G91*mix_h</f>
        <v>650</v>
      </c>
      <c r="H92" s="30" t="n">
        <f aca="false">Sens!G92-Sens!H91*mix_h</f>
        <v>650</v>
      </c>
      <c r="I92" s="30" t="n">
        <f aca="false">Sens!H92-Sens!I91*mix_h</f>
        <v>552</v>
      </c>
      <c r="J92" s="30" t="n">
        <f aca="false">Sens!I92-Sens!J91*mix_h</f>
        <v>404</v>
      </c>
      <c r="K92" s="30" t="n">
        <f aca="false">Sens!J92-Sens!K91*mix_h</f>
        <v>110</v>
      </c>
    </row>
    <row r="93" customFormat="false" ht="17.15" hidden="false" customHeight="false" outlineLevel="0" collapsed="false">
      <c r="A93" s="1" t="s">
        <v>963</v>
      </c>
      <c r="B93" s="0" t="s">
        <v>456</v>
      </c>
      <c r="C93" s="30" t="n">
        <f aca="false">mix_g2*Sens!C84</f>
        <v>288</v>
      </c>
      <c r="D93" s="30" t="n">
        <f aca="false">mix_g2*Sens!D84</f>
        <v>733.5</v>
      </c>
      <c r="E93" s="30" t="n">
        <f aca="false">mix_g2*Sens!E84</f>
        <v>1462.5</v>
      </c>
      <c r="F93" s="30" t="n">
        <f aca="false">Sens!E93-Sens!F91*mix_g2</f>
        <v>1462.5</v>
      </c>
      <c r="G93" s="30" t="n">
        <f aca="false">Sens!F93-Sens!G91*mix_g2</f>
        <v>1462.5</v>
      </c>
      <c r="H93" s="30" t="n">
        <f aca="false">Sens!G93-Sens!H91*mix_g2</f>
        <v>1462.5</v>
      </c>
      <c r="I93" s="30" t="n">
        <f aca="false">Sens!H93-Sens!I91*mix_g2</f>
        <v>1242</v>
      </c>
      <c r="J93" s="30" t="n">
        <f aca="false">Sens!I93-Sens!J91*mix_g2</f>
        <v>909</v>
      </c>
      <c r="K93" s="30" t="n">
        <f aca="false">Sens!J93-Sens!K91*mix_g2</f>
        <v>247.5</v>
      </c>
    </row>
    <row r="94" customFormat="false" ht="17.15" hidden="false" customHeight="false" outlineLevel="0" collapsed="false">
      <c r="A94" s="1" t="s">
        <v>964</v>
      </c>
      <c r="B94" s="0" t="s">
        <v>456</v>
      </c>
      <c r="C94" s="30" t="n">
        <f aca="false">mix_g3*Sens!C84</f>
        <v>224</v>
      </c>
      <c r="D94" s="30" t="n">
        <f aca="false">mix_g3*Sens!D84</f>
        <v>570.5</v>
      </c>
      <c r="E94" s="30" t="n">
        <f aca="false">mix_g3*Sens!E84</f>
        <v>1137.5</v>
      </c>
      <c r="F94" s="30" t="n">
        <f aca="false">Sens!E94+(Sens!F90+Sens!F91)*(a_g3_27-nonnv*a_mai)-Sens!F91*mix_g3</f>
        <v>2773.42106</v>
      </c>
      <c r="G94" s="30" t="n">
        <f aca="false">Sens!F94+(Sens!G90+Sens!G91)*(a_g3_28-nonnv*a_mai)-Sens!G91*mix_g3</f>
        <v>3318.72808</v>
      </c>
      <c r="H94" s="30" t="n">
        <f aca="false">Sens!G94+(Sens!H90+Sens!H91)*(a_g3_29-nonnv*a_mai)-Sens!H91*mix_g3</f>
        <v>3318.72808</v>
      </c>
      <c r="I94" s="30" t="n">
        <f aca="false">Sens!H94+(Sens!I90+Sens!I91)*(a_g3_29-nonnv*a_mai)-Sens!I91*mix_g3</f>
        <v>3147.22808</v>
      </c>
      <c r="J94" s="30" t="n">
        <f aca="false">Sens!I94+(Sens!J90+Sens!J91)*(a_g3_29-nonnv*a_mai)-Sens!J91*mix_g3</f>
        <v>2888.22808</v>
      </c>
      <c r="K94" s="30" t="n">
        <f aca="false">Sens!J94+(Sens!K90+Sens!K91)*(a_g3_29-nonnv*a_mai)-Sens!K91*mix_g3</f>
        <v>2373.72808</v>
      </c>
    </row>
    <row r="95" customFormat="false" ht="17.15" hidden="false" customHeight="false" outlineLevel="0" collapsed="false">
      <c r="A95" s="1" t="s">
        <v>965</v>
      </c>
      <c r="B95" s="0" t="s">
        <v>456</v>
      </c>
      <c r="C95" s="30" t="n">
        <v>0</v>
      </c>
      <c r="D95" s="30" t="n">
        <v>0</v>
      </c>
      <c r="E95" s="30" t="n">
        <v>0</v>
      </c>
      <c r="F95" s="30" t="n">
        <f aca="false">Sens!E95+(Sens!F90+Sens!F91)*nonnv*a_mai</f>
        <v>272.65351</v>
      </c>
      <c r="G95" s="30" t="n">
        <f aca="false">Sens!F95+(Sens!G90+Sens!G91)*nonnv*a_mai</f>
        <v>545.30702</v>
      </c>
      <c r="H95" s="30" t="n">
        <f aca="false">Sens!G95+(Sens!H90+Sens!H91)*nonnv*a_mai</f>
        <v>817.96053</v>
      </c>
      <c r="I95" s="30" t="n">
        <f aca="false">Sens!H95+(Sens!I90+Sens!I91)*nonnv*a_mai</f>
        <v>1060.15914196667</v>
      </c>
      <c r="J95" s="30" t="n">
        <f aca="false">Sens!I95+(Sens!J90+Sens!J91)*nonnv*a_mai</f>
        <v>1251.76682813933</v>
      </c>
      <c r="K95" s="30" t="n">
        <f aca="false">Sens!J95+(Sens!K90+Sens!K91)*nonnv*a_mai</f>
        <v>1442.37983298351</v>
      </c>
      <c r="L95" s="12" t="s">
        <v>966</v>
      </c>
    </row>
    <row r="96" customFormat="false" ht="17.15" hidden="false" customHeight="false" outlineLevel="0" collapsed="false">
      <c r="A96" s="1" t="s">
        <v>967</v>
      </c>
      <c r="B96" s="0" t="s">
        <v>456</v>
      </c>
      <c r="C96" s="30" t="n">
        <v>0</v>
      </c>
      <c r="D96" s="30" t="n">
        <v>0</v>
      </c>
      <c r="E96" s="30" t="n">
        <v>0</v>
      </c>
      <c r="F96" s="30" t="n">
        <f aca="false">Sens!E96+(Sens!F90+Sens!F91)*(1-a_g3_27)</f>
        <v>817.96053</v>
      </c>
      <c r="G96" s="30" t="n">
        <f aca="false">Sens!F96+(Sens!G90+Sens!G91)*(1-a_g3_28)</f>
        <v>2726.5351</v>
      </c>
      <c r="H96" s="30" t="n">
        <f aca="false">Sens!G96+(Sens!H90+Sens!H91)*(1-a_g3_29)</f>
        <v>5180.41669</v>
      </c>
      <c r="I96" s="30" t="n">
        <f aca="false">Sens!H96+(Sens!I90+Sens!I91)*(1-a_g3_29)</f>
        <v>7360.2041977</v>
      </c>
      <c r="J96" s="30" t="n">
        <f aca="false">Sens!I96+(Sens!J90+Sens!J91)*(1-a_g3_29)</f>
        <v>9084.673373254</v>
      </c>
      <c r="K96" s="30" t="n">
        <f aca="false">Sens!J96+(Sens!K90+Sens!K91)*(1-a_g3_29)</f>
        <v>10800.1904168516</v>
      </c>
    </row>
    <row r="97" customFormat="false" ht="17.15" hidden="false" customHeight="false" outlineLevel="0" collapsed="false">
      <c r="A97" s="1" t="s">
        <v>968</v>
      </c>
      <c r="B97" s="0" t="s">
        <v>403</v>
      </c>
      <c r="C97" s="15" t="n">
        <f aca="false">(Sens!C92*tk_hold_h100+Sens!C93*tk_hold_gb200+Sens!C94*tk_hold_gb300+Sens!C96*tk_hold_vr200+Sens!C95*nv_hold_mai*tk_hold_vr200)/Sens!C84</f>
        <v>9.7235358126469</v>
      </c>
      <c r="D97" s="15" t="n">
        <f aca="false">(Sens!D92*tk_hold_h100+Sens!D93*tk_hold_gb200+Sens!D94*tk_hold_gb300+Sens!D96*tk_hold_vr200+Sens!D95*nv_hold_mai*tk_hold_vr200)/Sens!D84</f>
        <v>9.7235358126469</v>
      </c>
      <c r="E97" s="15" t="n">
        <f aca="false">(Sens!E92*tk_hold_h100+Sens!E93*tk_hold_gb200+Sens!E94*tk_hold_gb300+Sens!E96*tk_hold_vr200+Sens!E95*nv_hold_mai*tk_hold_vr200)/Sens!E84</f>
        <v>9.7235358126469</v>
      </c>
      <c r="F97" s="15" t="n">
        <f aca="false">(Sens!F92*tk_hold_h100+Sens!F93*tk_hold_gb200+Sens!F94*tk_hold_gb300+Sens!F96*tk_hold_vr200+Sens!F95*nv_hold_mai*tk_hold_vr200)/Sens!F84</f>
        <v>10.2195353876665</v>
      </c>
      <c r="G97" s="15" t="n">
        <f aca="false">(Sens!G92*tk_hold_h100+Sens!G93*tk_hold_gb200+Sens!G94*tk_hold_gb300+Sens!G96*tk_hold_vr200+Sens!G95*nv_hold_mai*tk_hold_vr200)/Sens!G84</f>
        <v>10.5725598017306</v>
      </c>
      <c r="H97" s="15" t="n">
        <f aca="false">(Sens!H92*tk_hold_h100+Sens!H93*tk_hold_gb200+Sens!H94*tk_hold_gb300+Sens!H96*tk_hold_vr200+Sens!H95*nv_hold_mai*tk_hold_vr200)/Sens!H84</f>
        <v>10.8210427149036</v>
      </c>
      <c r="I97" s="15" t="n">
        <f aca="false">(Sens!I92*tk_hold_h100+Sens!I93*tk_hold_gb200+Sens!I94*tk_hold_gb300+Sens!I96*tk_hold_vr200+Sens!I95*nv_hold_mai*tk_hold_vr200)/Sens!I84</f>
        <v>11.0050618241982</v>
      </c>
      <c r="J97" s="15" t="n">
        <f aca="false">(Sens!J92*tk_hold_h100+Sens!J93*tk_hold_gb200+Sens!J94*tk_hold_gb300+Sens!J96*tk_hold_vr200+Sens!J95*nv_hold_mai*tk_hold_vr200)/Sens!J84</f>
        <v>11.1505789658881</v>
      </c>
      <c r="K97" s="15" t="n">
        <f aca="false">(Sens!K92*tk_hold_h100+Sens!K93*tk_hold_gb200+Sens!K94*tk_hold_gb300+Sens!K96*tk_hold_vr200+Sens!K95*nv_hold_mai*tk_hold_vr200)/Sens!K84</f>
        <v>11.3496914757183</v>
      </c>
      <c r="L97" s="1" t="s">
        <v>969</v>
      </c>
    </row>
    <row r="98" customFormat="false" ht="17.15" hidden="false" customHeight="false" outlineLevel="0" collapsed="false">
      <c r="A98" s="1" t="s">
        <v>970</v>
      </c>
      <c r="B98" s="0" t="s">
        <v>403</v>
      </c>
      <c r="C98" s="15" t="n">
        <f aca="false">(Sens!C92*tk_hold_h100+Sens!C93*tk_hold_gb200+Sens!C94*tk_hold_gb300+Sens!C96*tk_hold_vr200+Sens!C95*nv_out_mai*tk_hold_vr200)/Sens!C84</f>
        <v>9.7235358126469</v>
      </c>
      <c r="D98" s="15" t="n">
        <f aca="false">(Sens!D92*tk_hold_h100+Sens!D93*tk_hold_gb200+Sens!D94*tk_hold_gb300+Sens!D96*tk_hold_vr200+Sens!D95*nv_out_mai*tk_hold_vr200)/Sens!D84</f>
        <v>9.7235358126469</v>
      </c>
      <c r="E98" s="15" t="n">
        <f aca="false">(Sens!E92*tk_hold_h100+Sens!E93*tk_hold_gb200+Sens!E94*tk_hold_gb300+Sens!E96*tk_hold_vr200+Sens!E95*nv_out_mai*tk_hold_vr200)/Sens!E84</f>
        <v>9.7235358126469</v>
      </c>
      <c r="F98" s="15" t="n">
        <f aca="false">(Sens!F92*tk_hold_h100+Sens!F93*tk_hold_gb200+Sens!F94*tk_hold_gb300+Sens!F96*tk_hold_vr200+Sens!F95*nv_out_mai*tk_hold_vr200)/Sens!F84</f>
        <v>10.247422093969</v>
      </c>
      <c r="G98" s="15" t="n">
        <f aca="false">(Sens!G92*tk_hold_h100+Sens!G93*tk_hold_gb200+Sens!G94*tk_hold_gb300+Sens!G96*tk_hold_vr200+Sens!G95*nv_out_mai*tk_hold_vr200)/Sens!G84</f>
        <v>10.6108602808053</v>
      </c>
      <c r="H98" s="15" t="n">
        <f aca="false">(Sens!H92*tk_hold_h100+Sens!H93*tk_hold_gb200+Sens!H94*tk_hold_gb300+Sens!H96*tk_hold_vr200+Sens!H95*nv_out_mai*tk_hold_vr200)/Sens!H84</f>
        <v>10.8647885507393</v>
      </c>
      <c r="I98" s="15" t="n">
        <f aca="false">(Sens!I92*tk_hold_h100+Sens!I93*tk_hold_gb200+Sens!I94*tk_hold_gb300+Sens!I96*tk_hold_vr200+Sens!I95*nv_out_mai*tk_hold_vr200)/Sens!I84</f>
        <v>11.0535625770025</v>
      </c>
      <c r="J98" s="15" t="n">
        <f aca="false">(Sens!J92*tk_hold_h100+Sens!J93*tk_hold_gb200+Sens!J94*tk_hold_gb300+Sens!J96*tk_hold_vr200+Sens!J95*nv_out_mai*tk_hold_vr200)/Sens!J84</f>
        <v>11.2032127128058</v>
      </c>
      <c r="K98" s="15" t="n">
        <f aca="false">(Sens!K92*tk_hold_h100+Sens!K93*tk_hold_gb200+Sens!K94*tk_hold_gb300+Sens!K96*tk_hold_vr200+Sens!K95*nv_out_mai*tk_hold_vr200)/Sens!K84</f>
        <v>11.4085735724225</v>
      </c>
      <c r="L98" s="12" t="s">
        <v>971</v>
      </c>
    </row>
    <row r="99" customFormat="false" ht="17.15" hidden="false" customHeight="false" outlineLevel="0" collapsed="false">
      <c r="A99" s="0" t="s">
        <v>972</v>
      </c>
      <c r="B99" s="0" t="s">
        <v>229</v>
      </c>
      <c r="C99" s="15" t="n">
        <f aca="false">k_B</f>
        <v>1.17213932619116</v>
      </c>
      <c r="D99" s="15" t="n">
        <f aca="false">k_B</f>
        <v>1.17213932619116</v>
      </c>
      <c r="E99" s="15" t="n">
        <f aca="false">k_B</f>
        <v>1.17213932619116</v>
      </c>
      <c r="F99" s="15" t="n">
        <f aca="false">(k_B+((ls_A*k_long+(1-ls_A)*k_spot)-k_B)*MIN(1,(Sens!F82-base_fy)/k_ramp))</f>
        <v>1.25022828131298</v>
      </c>
      <c r="G99" s="15" t="n">
        <f aca="false">(k_B+((ls_A*k_long+(1-ls_A)*k_spot)-k_B)*MIN(1,(Sens!G82-base_fy)/k_ramp))</f>
        <v>1.3283172364348</v>
      </c>
      <c r="H99" s="15" t="n">
        <f aca="false">(k_B+((ls_A*k_long+(1-ls_A)*k_spot)-k_B)*MIN(1,(Sens!H82-base_fy)/k_ramp))</f>
        <v>1.40640619155662</v>
      </c>
      <c r="I99" s="15" t="n">
        <f aca="false">(k_B+((ls_A*k_long+(1-ls_A)*k_spot)-k_B)*MIN(1,(Sens!I82-base_fy)/k_ramp))</f>
        <v>1.40640619155662</v>
      </c>
      <c r="J99" s="15" t="n">
        <f aca="false">(k_B+((ls_A*k_long+(1-ls_A)*k_spot)-k_B)*MIN(1,(Sens!J82-base_fy)/k_ramp))</f>
        <v>1.40640619155662</v>
      </c>
      <c r="K99" s="15" t="n">
        <f aca="false">(k_B+((ls_A*k_long+(1-ls_A)*k_spot)-k_B)*MIN(1,(Sens!K82-base_fy)/k_ramp))</f>
        <v>1.40640619155662</v>
      </c>
      <c r="L99" s="1" t="s">
        <v>973</v>
      </c>
    </row>
    <row r="100" customFormat="false" ht="17.15" hidden="false" customHeight="false" outlineLevel="0" collapsed="false">
      <c r="A100" s="1" t="s">
        <v>974</v>
      </c>
      <c r="B100" s="0" t="s">
        <v>403</v>
      </c>
      <c r="C100" s="15" t="n">
        <f aca="false">Sens!C98*Sens!C99*chip_f</f>
        <v>11.3973387156315</v>
      </c>
      <c r="D100" s="15" t="n">
        <f aca="false">Sens!D98*Sens!D99*chip_f</f>
        <v>11.3973387156315</v>
      </c>
      <c r="E100" s="15" t="n">
        <f aca="false">Sens!E98*Sens!E99*chip_f</f>
        <v>11.3973387156315</v>
      </c>
      <c r="F100" s="15" t="n">
        <f aca="false">Sens!F98*Sens!F99*chip_f</f>
        <v>12.8116169124314</v>
      </c>
      <c r="G100" s="15" t="n">
        <f aca="false">Sens!G98*Sens!G99*chip_f</f>
        <v>14.094588604395</v>
      </c>
      <c r="H100" s="15" t="n">
        <f aca="false">Sens!H98*Sens!H99*chip_f</f>
        <v>15.2803058877132</v>
      </c>
      <c r="I100" s="15" t="n">
        <f aca="false">Sens!I98*Sens!I99*chip_f</f>
        <v>15.5457988470549</v>
      </c>
      <c r="J100" s="15" t="n">
        <f aca="false">Sens!J98*Sens!J99*chip_f</f>
        <v>15.7562677246158</v>
      </c>
      <c r="K100" s="15" t="n">
        <f aca="false">Sens!K98*Sens!K99*chip_f</f>
        <v>16.0450885090842</v>
      </c>
      <c r="L100" s="1" t="s">
        <v>975</v>
      </c>
    </row>
    <row r="101" customFormat="false" ht="17.15" hidden="false" customHeight="false" outlineLevel="0" collapsed="false">
      <c r="A101" s="0" t="s">
        <v>976</v>
      </c>
      <c r="B101" s="0" t="s">
        <v>98</v>
      </c>
      <c r="D101" s="6" t="n">
        <f aca="false">(Sens!C84+Sens!D84)/2*Sens!D100/1000</f>
        <v>12.9359794422418</v>
      </c>
      <c r="E101" s="6" t="n">
        <f aca="false">(Sens!D84+Sens!E84)/2*Sens!E100/1000</f>
        <v>27.8095064661409</v>
      </c>
      <c r="F101" s="6" t="n">
        <f aca="false">(Sens!E84+Sens!F84)/2*Sens!F100/1000</f>
        <v>59.1034165651511</v>
      </c>
      <c r="G101" s="6" t="n">
        <f aca="false">(Sens!F84+Sens!G84)/2*Sens!G100/1000</f>
        <v>103.451498789198</v>
      </c>
      <c r="H101" s="6" t="n">
        <f aca="false">(Sens!G84+Sens!H84)/2*Sens!H100/1000</f>
        <v>153.816719989035</v>
      </c>
      <c r="I101" s="6" t="n">
        <f aca="false">(Sens!H84+Sens!I84)/2*Sens!I100/1000</f>
        <v>192.699478690852</v>
      </c>
      <c r="J101" s="6" t="n">
        <f aca="false">(Sens!I84+Sens!J84)/2*Sens!J100/1000</f>
        <v>219.794102584244</v>
      </c>
      <c r="K101" s="6" t="n">
        <f aca="false">(Sens!J84+Sens!K84)/2*Sens!K100/1000</f>
        <v>236.757046905022</v>
      </c>
      <c r="L101" s="12" t="s">
        <v>977</v>
      </c>
    </row>
    <row r="102" customFormat="false" ht="17.15" hidden="false" customHeight="false" outlineLevel="0" collapsed="false">
      <c r="A102" s="1" t="s">
        <v>978</v>
      </c>
      <c r="B102" s="0" t="s">
        <v>403</v>
      </c>
      <c r="C102" s="15" t="n">
        <f aca="false">(Sens!C92*tk_opex_h100+Sens!C93*tk_opex_gb200+Sens!C94*tk_opex_gb300+(Sens!C96+Sens!C95)*tk_opex_vr200)/Sens!C84</f>
        <v>1.88636041306092</v>
      </c>
      <c r="D102" s="15" t="n">
        <f aca="false">(Sens!D92*tk_opex_h100+Sens!D93*tk_opex_gb200+Sens!D94*tk_opex_gb300+(Sens!D96+Sens!D95)*tk_opex_vr200)/Sens!D84</f>
        <v>1.88636041306092</v>
      </c>
      <c r="E102" s="15" t="n">
        <f aca="false">(Sens!E92*tk_opex_h100+Sens!E93*tk_opex_gb200+Sens!E94*tk_opex_gb300+(Sens!E96+Sens!E95)*tk_opex_vr200)/Sens!E84</f>
        <v>1.88636041306092</v>
      </c>
      <c r="F102" s="15" t="n">
        <f aca="false">(Sens!F92*tk_opex_h100+Sens!F93*tk_opex_gb200+Sens!F94*tk_opex_gb300+(Sens!F96+Sens!F95)*tk_opex_vr200)/Sens!F84</f>
        <v>1.95051159746876</v>
      </c>
      <c r="G102" s="15" t="n">
        <f aca="false">(Sens!G92*tk_opex_h100+Sens!G93*tk_opex_gb200+Sens!G94*tk_opex_gb300+(Sens!G96+Sens!G95)*tk_opex_vr200)/Sens!G84</f>
        <v>1.98836003669956</v>
      </c>
      <c r="H102" s="15" t="n">
        <f aca="false">(Sens!H92*tk_opex_h100+Sens!H93*tk_opex_gb200+Sens!H94*tk_opex_gb300+(Sens!H96+Sens!H95)*tk_opex_vr200)/Sens!H84</f>
        <v>2.01344013834343</v>
      </c>
      <c r="I102" s="15" t="n">
        <f aca="false">(Sens!I92*tk_opex_h100+Sens!I93*tk_opex_gb200+Sens!I94*tk_opex_gb300+(Sens!I96+Sens!I95)*tk_opex_vr200)/Sens!I84</f>
        <v>2.03261166882178</v>
      </c>
      <c r="J102" s="15" t="n">
        <f aca="false">(Sens!J92*tk_opex_h100+Sens!J93*tk_opex_gb200+Sens!J94*tk_opex_gb300+(Sens!J96+Sens!J95)*tk_opex_vr200)/Sens!J84</f>
        <v>2.04808073288745</v>
      </c>
      <c r="K102" s="15" t="n">
        <f aca="false">(Sens!K92*tk_opex_h100+Sens!K93*tk_opex_gb200+Sens!K94*tk_opex_gb300+(Sens!K96+Sens!K95)*tk_opex_vr200)/Sens!K84</f>
        <v>2.06973825807449</v>
      </c>
      <c r="L102" s="12" t="s">
        <v>979</v>
      </c>
    </row>
    <row r="103" customFormat="false" ht="17.15" hidden="false" customHeight="false" outlineLevel="0" collapsed="false">
      <c r="A103" s="0" t="s">
        <v>980</v>
      </c>
      <c r="B103" s="0" t="s">
        <v>98</v>
      </c>
      <c r="D103" s="6" t="n">
        <f aca="false">(Sens!C87+Sens!D87)/2*Sens!D102/1000</f>
        <v>2.70378325872065</v>
      </c>
      <c r="E103" s="6" t="n">
        <f aca="false">(Sens!D87+Sens!E87)/2*Sens!E102/1000</f>
        <v>6.17783035277451</v>
      </c>
      <c r="F103" s="6" t="n">
        <f aca="false">(Sens!E87+Sens!F87)/2*Sens!F102/1000</f>
        <v>12.8742463089237</v>
      </c>
      <c r="G103" s="6" t="n">
        <f aca="false">(Sens!F87+Sens!G87)/2*Sens!G102/1000</f>
        <v>21.8182834646277</v>
      </c>
      <c r="H103" s="6" t="n">
        <f aca="false">(Sens!G87+Sens!H87)/2*Sens!H102/1000</f>
        <v>31.2430128789734</v>
      </c>
      <c r="I103" s="6" t="n">
        <f aca="false">(Sens!H87+Sens!I87)/2*Sens!I102/1000</f>
        <v>39.4313057443268</v>
      </c>
      <c r="J103" s="6" t="n">
        <f aca="false">(Sens!I87+Sens!J87)/2*Sens!J102/1000</f>
        <v>45.0360318228653</v>
      </c>
      <c r="K103" s="6" t="n">
        <f aca="false">(Sens!J87+Sens!K87)/2*Sens!K102/1000</f>
        <v>48.2929727091156</v>
      </c>
    </row>
    <row r="104" customFormat="false" ht="17.15" hidden="false" customHeight="false" outlineLevel="0" collapsed="false">
      <c r="A104" s="0" t="s">
        <v>981</v>
      </c>
      <c r="B104" s="0" t="s">
        <v>98</v>
      </c>
      <c r="D104" s="6" t="n">
        <f aca="false">(Sens!C85+Sens!D85)/2*rent_mw/1000</f>
        <v>2.44475</v>
      </c>
      <c r="E104" s="6" t="n">
        <f aca="false">(Sens!D85+Sens!E85)/2*rent_mw/1000</f>
        <v>4.22275</v>
      </c>
      <c r="F104" s="6" t="n">
        <f aca="false">(Sens!E85+Sens!F85)/2*rent_mw/1000</f>
        <v>5.80517</v>
      </c>
      <c r="G104" s="6" t="n">
        <f aca="false">(Sens!F85+Sens!G85)/2*rent_mw/1000</f>
        <v>6.72084</v>
      </c>
      <c r="H104" s="6" t="n">
        <f aca="false">(Sens!G85+Sens!H85)/2*rent_mw/1000</f>
        <v>6.72084</v>
      </c>
      <c r="I104" s="6" t="n">
        <f aca="false">(Sens!H85+Sens!I85)/2*rent_mw/1000</f>
        <v>6.72084</v>
      </c>
      <c r="J104" s="6" t="n">
        <f aca="false">(Sens!I85+Sens!J85)/2*rent_mw/1000</f>
        <v>6.72084</v>
      </c>
      <c r="K104" s="6" t="n">
        <f aca="false">(Sens!J85+Sens!K85)/2*rent_mw/1000</f>
        <v>6.72084</v>
      </c>
    </row>
    <row r="105" customFormat="false" ht="17.15" hidden="false" customHeight="false" outlineLevel="0" collapsed="false">
      <c r="A105" s="0" t="s">
        <v>982</v>
      </c>
      <c r="B105" s="0" t="s">
        <v>98</v>
      </c>
      <c r="D105" s="6" t="n">
        <f aca="false">(Sens!C87+Sens!D87)/2*(1-self_build)*fac_rent/1000</f>
        <v>0.853242375631075</v>
      </c>
      <c r="E105" s="6" t="n">
        <f aca="false">(Sens!D87+Sens!E87)/2*(1-self_build)*fac_rent/1000</f>
        <v>1.94955961408728</v>
      </c>
      <c r="F105" s="6" t="n">
        <f aca="false">(Sens!E87+Sens!F87)/2*(1-self_build)*fac_rent/1000</f>
        <v>3.92914894476356</v>
      </c>
      <c r="G105" s="6" t="n">
        <f aca="false">(Sens!F87+Sens!G87)/2*(1-self_build)*fac_rent/1000</f>
        <v>6.53206908578159</v>
      </c>
      <c r="H105" s="6" t="n">
        <f aca="false">(Sens!G87+Sens!H87)/2*(1-self_build)*fac_rent/1000</f>
        <v>9.23717988341591</v>
      </c>
      <c r="I105" s="6" t="n">
        <f aca="false">(Sens!H87+Sens!I87)/2*(1-self_build)*fac_rent/1000</f>
        <v>11.5481378557393</v>
      </c>
      <c r="J105" s="6" t="n">
        <f aca="false">(Sens!I87+Sens!J87)/2*(1-self_build)*fac_rent/1000</f>
        <v>13.0899582289108</v>
      </c>
      <c r="K105" s="6" t="n">
        <f aca="false">(Sens!J87+Sens!K87)/2*(1-self_build)*fac_rent/1000</f>
        <v>13.8897275626556</v>
      </c>
      <c r="L105" s="12" t="s">
        <v>983</v>
      </c>
    </row>
    <row r="106" customFormat="false" ht="17.15" hidden="false" customHeight="false" outlineLevel="0" collapsed="false">
      <c r="A106" s="1" t="s">
        <v>984</v>
      </c>
      <c r="B106" s="0" t="s">
        <v>168</v>
      </c>
      <c r="D106" s="7" t="n">
        <f aca="false">(Sens!C86+Sens!D86)/(Sens!C87+Sens!D87)</f>
        <v>0.6</v>
      </c>
      <c r="E106" s="7" t="n">
        <f aca="false">(Sens!D86+Sens!E86)/(Sens!D87+Sens!E87)</f>
        <v>0.6</v>
      </c>
      <c r="F106" s="7" t="n">
        <f aca="false">(Sens!E86+Sens!F86)/(Sens!E87+Sens!F87)</f>
        <v>0.6</v>
      </c>
      <c r="G106" s="7" t="n">
        <f aca="false">(Sens!F86+Sens!G86)/(Sens!F87+Sens!G87)</f>
        <v>0.6</v>
      </c>
      <c r="H106" s="7" t="n">
        <f aca="false">(Sens!G86+Sens!H86)/(Sens!G87+Sens!H87)</f>
        <v>0.6</v>
      </c>
      <c r="I106" s="7" t="n">
        <f aca="false">(Sens!H86+Sens!I86)/(Sens!H87+Sens!I87)</f>
        <v>0.6</v>
      </c>
      <c r="J106" s="7" t="n">
        <f aca="false">(Sens!I86+Sens!J86)/(Sens!I87+Sens!J87)</f>
        <v>0.6</v>
      </c>
      <c r="K106" s="7" t="n">
        <f aca="false">(Sens!J86+Sens!K86)/(Sens!J87+Sens!K87)</f>
        <v>0.6</v>
      </c>
    </row>
    <row r="107" customFormat="false" ht="17.15" hidden="false" customHeight="false" outlineLevel="0" collapsed="false">
      <c r="A107" s="0" t="s">
        <v>985</v>
      </c>
      <c r="B107" s="0" t="s">
        <v>98</v>
      </c>
      <c r="D107" s="6" t="n">
        <f aca="false">Sens!D101-Sens!D106*(Sens!D103+Sens!D105)-Sens!D104</f>
        <v>8.35701406163072</v>
      </c>
      <c r="E107" s="6" t="n">
        <f aca="false">Sens!E101-Sens!E106*(Sens!E103+Sens!E105)-Sens!E104</f>
        <v>18.7103224860238</v>
      </c>
      <c r="F107" s="6" t="n">
        <f aca="false">Sens!F101-Sens!F106*(Sens!F103+Sens!F105)-Sens!F104</f>
        <v>43.2162094129388</v>
      </c>
      <c r="G107" s="6" t="n">
        <f aca="false">Sens!G101-Sens!G106*(Sens!G103+Sens!G105)-Sens!G104</f>
        <v>79.7204472589529</v>
      </c>
      <c r="H107" s="6" t="n">
        <f aca="false">Sens!H101-Sens!H106*(Sens!H103+Sens!H105)-Sens!H104</f>
        <v>122.807764331602</v>
      </c>
      <c r="I107" s="6" t="n">
        <f aca="false">Sens!I101-Sens!I106*(Sens!I103+Sens!I105)-Sens!I104</f>
        <v>155.390972530813</v>
      </c>
      <c r="J107" s="6" t="n">
        <f aca="false">Sens!J101-Sens!J106*(Sens!J103+Sens!J105)-Sens!J104</f>
        <v>178.197668553178</v>
      </c>
      <c r="K107" s="6" t="n">
        <f aca="false">Sens!K101-Sens!K106*(Sens!K103+Sens!K105)-Sens!K104</f>
        <v>192.726586741959</v>
      </c>
    </row>
    <row r="108" customFormat="false" ht="17.15" hidden="false" customHeight="false" outlineLevel="0" collapsed="false">
      <c r="A108" s="1" t="s">
        <v>986</v>
      </c>
      <c r="B108" s="0" t="s">
        <v>98</v>
      </c>
      <c r="D108" s="6" t="n">
        <f aca="false">(1-Sens!D106)*(Sens!D103+Sens!D105)</f>
        <v>1.42281025374069</v>
      </c>
      <c r="E108" s="6" t="n">
        <f aca="false">(1-Sens!E106)*(Sens!E103+Sens!E105)</f>
        <v>3.25095598674472</v>
      </c>
      <c r="F108" s="6" t="n">
        <f aca="false">(1-Sens!F106)*(Sens!F103+Sens!F105)</f>
        <v>6.72135810147489</v>
      </c>
      <c r="G108" s="6" t="n">
        <f aca="false">(1-Sens!G106)*(Sens!G103+Sens!G105)</f>
        <v>11.3401410201637</v>
      </c>
      <c r="H108" s="6" t="n">
        <f aca="false">(1-Sens!H106)*(Sens!H103+Sens!H105)</f>
        <v>16.1920771049557</v>
      </c>
      <c r="I108" s="6" t="n">
        <f aca="false">(1-Sens!I106)*(Sens!I103+Sens!I105)</f>
        <v>20.3917774400264</v>
      </c>
      <c r="J108" s="6" t="n">
        <f aca="false">(1-Sens!J106)*(Sens!J103+Sens!J105)</f>
        <v>23.2503960207104</v>
      </c>
      <c r="K108" s="6" t="n">
        <f aca="false">(1-Sens!K106)*(Sens!K103+Sens!K105)</f>
        <v>24.8730801087085</v>
      </c>
    </row>
    <row r="109" customFormat="false" ht="17.15" hidden="false" customHeight="false" outlineLevel="0" collapsed="false">
      <c r="A109" s="1" t="s">
        <v>987</v>
      </c>
      <c r="B109" s="0" t="s">
        <v>414</v>
      </c>
      <c r="C109" s="8" t="n">
        <f aca="false">cxit_open</f>
        <v>27.5918995</v>
      </c>
      <c r="D109" s="8" t="n">
        <f aca="false">cxit_open</f>
        <v>27.5918995</v>
      </c>
      <c r="E109" s="8" t="n">
        <f aca="false">cxit_open</f>
        <v>27.5918995</v>
      </c>
      <c r="F109" s="8" t="n">
        <f aca="false">((a_g3_27-nonnv*a_mai)*tk_cxit_gb300+nonnv*a_mai*nv_hold_mai*tk_cxit_vr200+(1-a_g3_27)*tk_cxit_vr200)</f>
        <v>32.4975576</v>
      </c>
      <c r="G109" s="8" t="n">
        <f aca="false">((a_g3_28-nonnv*a_mai)*tk_cxit_gb300+nonnv*a_mai*nv_hold_mai*tk_cxit_vr200+(1-a_g3_28)*tk_cxit_vr200)</f>
        <v>34.6372088</v>
      </c>
      <c r="H109" s="8" t="n">
        <f aca="false">((a_g3_29-nonnv*a_mai)*tk_cxit_gb300+nonnv*a_mai*nv_hold_mai*tk_cxit_vr200+(1-a_g3_29)*tk_cxit_vr200)</f>
        <v>35.7070344</v>
      </c>
      <c r="I109" s="8" t="n">
        <f aca="false">((a_g3_29-nonnv*a_mai)*tk_cxit_gb300+nonnv*a_mai*nv_hold_mai*tk_cxit_vr200+(1-a_g3_29)*tk_cxit_vr200)</f>
        <v>35.7070344</v>
      </c>
      <c r="J109" s="8" t="n">
        <f aca="false">((a_g3_29-nonnv*a_mai)*tk_cxit_gb300+nonnv*a_mai*nv_hold_mai*tk_cxit_vr200+(1-a_g3_29)*tk_cxit_vr200)</f>
        <v>35.7070344</v>
      </c>
      <c r="K109" s="8" t="n">
        <f aca="false">((a_g3_29-nonnv*a_mai)*tk_cxit_gb300+nonnv*a_mai*nv_hold_mai*tk_cxit_vr200+(1-a_g3_29)*tk_cxit_vr200)</f>
        <v>35.7070344</v>
      </c>
      <c r="L109" s="12" t="s">
        <v>988</v>
      </c>
    </row>
    <row r="110" customFormat="false" ht="17.15" hidden="false" customHeight="false" outlineLevel="0" collapsed="false">
      <c r="A110" s="0" t="s">
        <v>989</v>
      </c>
      <c r="B110" s="0" t="s">
        <v>456</v>
      </c>
      <c r="F110" s="30" t="n">
        <f aca="false">Sens!C89*IF(Sens!F82-Sens!C82=life_it,1,0)+Sens!D89*IF(Sens!F82-Sens!D82=life_it,1,0)+Sens!E89*IF(Sens!F82-Sens!E82=life_it,1,0)</f>
        <v>0</v>
      </c>
      <c r="G110" s="30" t="n">
        <f aca="false">Sens!C89*IF(Sens!G82-Sens!C82=life_it,1,0)+Sens!D89*IF(Sens!G82-Sens!D82=life_it,1,0)+Sens!E89*IF(Sens!G82-Sens!E82=life_it,1,0)+Sens!F89*IF(Sens!G82-Sens!F82=life_it,1,0)</f>
        <v>0</v>
      </c>
      <c r="H110" s="30" t="n">
        <f aca="false">Sens!C89*IF(Sens!H82-Sens!C82=life_it,1,0)+Sens!D89*IF(Sens!H82-Sens!D82=life_it,1,0)+Sens!E89*IF(Sens!H82-Sens!E82=life_it,1,0)+Sens!F89*IF(Sens!H82-Sens!F82=life_it,1,0)+Sens!G89*IF(Sens!H82-Sens!G82=life_it,1,0)</f>
        <v>0</v>
      </c>
      <c r="I110" s="30" t="n">
        <f aca="false">Sens!C89*IF(Sens!I82-Sens!C82=life_it,1,0)+Sens!D89*IF(Sens!I82-Sens!D82=life_it,1,0)+Sens!E89*IF(Sens!I82-Sens!E82=life_it,1,0)+Sens!F89*IF(Sens!I82-Sens!F82=life_it,1,0)+Sens!G89*IF(Sens!I82-Sens!G82=life_it,1,0)+Sens!H89*IF(Sens!I82-Sens!H82=life_it,1,0)</f>
        <v>816.666666666667</v>
      </c>
      <c r="J110" s="30" t="n">
        <f aca="false">Sens!C89*IF(Sens!J82-Sens!C82=life_it,1,0)+Sens!D89*IF(Sens!J82-Sens!D82=life_it,1,0)+Sens!E89*IF(Sens!J82-Sens!E82=life_it,1,0)+Sens!F89*IF(Sens!J82-Sens!F82=life_it,1,0)+Sens!G89*IF(Sens!J82-Sens!G82=life_it,1,0)+Sens!H89*IF(Sens!J82-Sens!H82=life_it,1,0)+Sens!I89*IF(Sens!J82-Sens!I82=life_it,1,0)</f>
        <v>1233.33333333333</v>
      </c>
      <c r="K110" s="30" t="n">
        <f aca="false">Sens!C89*IF(Sens!K82-Sens!C82=life_it,1,0)+Sens!D89*IF(Sens!K82-Sens!D82=life_it,1,0)+Sens!E89*IF(Sens!K82-Sens!E82=life_it,1,0)+Sens!F89*IF(Sens!K82-Sens!F82=life_it,1,0)+Sens!G89*IF(Sens!K82-Sens!G82=life_it,1,0)+Sens!H89*IF(Sens!K82-Sens!H82=life_it,1,0)+Sens!I89*IF(Sens!K82-Sens!I82=life_it,1,0)+Sens!J89*IF(Sens!K82-Sens!J82=life_it,1,0)</f>
        <v>2450</v>
      </c>
      <c r="L110" s="1" t="s">
        <v>990</v>
      </c>
    </row>
    <row r="111" customFormat="false" ht="17.15" hidden="false" customHeight="false" outlineLevel="0" collapsed="false">
      <c r="A111" s="0" t="s">
        <v>991</v>
      </c>
      <c r="B111" s="0" t="s">
        <v>98</v>
      </c>
      <c r="C111" s="6" t="n">
        <f aca="false">Sens!C89*Sens!C109/1000</f>
        <v>22.5333845916667</v>
      </c>
      <c r="D111" s="6" t="n">
        <f aca="false">Sens!D89*Sens!D109/1000</f>
        <v>34.0300093833333</v>
      </c>
      <c r="E111" s="6" t="n">
        <f aca="false">Sens!E89*Sens!E109/1000</f>
        <v>67.600153775</v>
      </c>
      <c r="F111" s="6" t="n">
        <f aca="false">(Sens!F89+Sens!F110)*Sens!F109/1000</f>
        <v>136.51872432512</v>
      </c>
      <c r="G111" s="6" t="n">
        <f aca="false">(Sens!G89+Sens!G110)*Sens!G109/1000</f>
        <v>157.399275932048</v>
      </c>
      <c r="H111" s="6" t="n">
        <f aca="false">(Sens!H89+Sens!H110)*Sens!H109/1000</f>
        <v>162.260804347512</v>
      </c>
      <c r="I111" s="6" t="n">
        <f aca="false">(Sens!I89+Sens!I110)*Sens!I109/1000</f>
        <v>144.136569485434</v>
      </c>
      <c r="J111" s="6" t="n">
        <f aca="false">(Sens!J89+Sens!J110)*Sens!J109/1000</f>
        <v>114.029037357864</v>
      </c>
      <c r="K111" s="6" t="n">
        <f aca="false">(Sens!K89+Sens!K110)*Sens!K109/1000</f>
        <v>113.437085350975</v>
      </c>
    </row>
    <row r="112" customFormat="false" ht="17.15" hidden="false" customHeight="false" outlineLevel="0" collapsed="false">
      <c r="A112" s="0" t="s">
        <v>992</v>
      </c>
      <c r="B112" s="0" t="s">
        <v>98</v>
      </c>
      <c r="C112" s="6" t="n">
        <f aca="false">Sens!C89*self_build*tk_cxfac/1000</f>
        <v>6.2083</v>
      </c>
      <c r="D112" s="6" t="n">
        <f aca="false">Sens!D89*self_build*tk_cxfac/1000</f>
        <v>9.3758</v>
      </c>
      <c r="E112" s="6" t="n">
        <f aca="false">Sens!E89*self_build*tk_cxfac/1000</f>
        <v>18.6249</v>
      </c>
      <c r="F112" s="6" t="n">
        <f aca="false">Sens!F89*self_build*tk_cxfac/1000</f>
        <v>31.935179717</v>
      </c>
      <c r="G112" s="6" t="n">
        <f aca="false">Sens!G89*self_build*tk_cxfac/1000</f>
        <v>34.545199717</v>
      </c>
      <c r="H112" s="6" t="n">
        <f aca="false">Sens!H89*self_build*tk_cxfac/1000</f>
        <v>34.545199717</v>
      </c>
      <c r="I112" s="6" t="n">
        <f aca="false">Sens!I89*self_build*tk_cxfac/1000</f>
        <v>24.4782641361767</v>
      </c>
      <c r="J112" s="6" t="n">
        <f aca="false">Sens!J89*self_build*tk_cxfac/1000</f>
        <v>14.9008938380769</v>
      </c>
      <c r="K112" s="6" t="n">
        <f aca="false">Sens!K89*self_build*tk_cxfac/1000</f>
        <v>5.52576771375761</v>
      </c>
    </row>
    <row r="113" customFormat="false" ht="17.15" hidden="false" customHeight="false" outlineLevel="0" collapsed="false">
      <c r="A113" s="0" t="s">
        <v>993</v>
      </c>
      <c r="B113" s="0" t="s">
        <v>98</v>
      </c>
      <c r="F113" s="15" t="n">
        <f aca="false">capex_floor27-Sens!F111-Sens!F112-Sens!F209</f>
        <v>0.0475774452575593</v>
      </c>
      <c r="L113" s="12" t="s">
        <v>994</v>
      </c>
    </row>
    <row r="114" customFormat="false" ht="17.15" hidden="false" customHeight="false" outlineLevel="0" collapsed="false">
      <c r="A114" s="0" t="s">
        <v>995</v>
      </c>
      <c r="B114" s="0" t="s">
        <v>98</v>
      </c>
      <c r="F114" s="6" t="n">
        <f aca="false">MAX(0,Sens!F113)</f>
        <v>0.0475774452575593</v>
      </c>
    </row>
    <row r="115" customFormat="false" ht="17.15" hidden="false" customHeight="false" outlineLevel="0" collapsed="false">
      <c r="A115" s="0" t="s">
        <v>996</v>
      </c>
      <c r="B115" s="0" t="s">
        <v>98</v>
      </c>
      <c r="C115" s="6" t="n">
        <f aca="false">Sens!C111</f>
        <v>22.5333845916667</v>
      </c>
      <c r="D115" s="6" t="n">
        <f aca="false">Sens!D111</f>
        <v>34.0300093833333</v>
      </c>
      <c r="E115" s="6" t="n">
        <f aca="false">Sens!E111</f>
        <v>67.600153775</v>
      </c>
      <c r="F115" s="6" t="n">
        <f aca="false">Sens!F111</f>
        <v>136.51872432512</v>
      </c>
      <c r="G115" s="6" t="n">
        <f aca="false">Sens!G111</f>
        <v>157.399275932048</v>
      </c>
      <c r="H115" s="6" t="n">
        <f aca="false">Sens!H111</f>
        <v>162.260804347512</v>
      </c>
      <c r="I115" s="6" t="n">
        <f aca="false">Sens!I111</f>
        <v>144.136569485434</v>
      </c>
      <c r="J115" s="6" t="n">
        <f aca="false">Sens!J111</f>
        <v>114.029037357864</v>
      </c>
      <c r="K115" s="6" t="n">
        <f aca="false">Sens!K111</f>
        <v>113.437085350975</v>
      </c>
    </row>
    <row r="116" customFormat="false" ht="17.15" hidden="false" customHeight="false" outlineLevel="0" collapsed="false">
      <c r="A116" s="0" t="s">
        <v>997</v>
      </c>
      <c r="B116" s="0" t="s">
        <v>98</v>
      </c>
      <c r="C116" s="6" t="n">
        <f aca="false">Sens!C115+Sens!C112</f>
        <v>28.7416845916667</v>
      </c>
      <c r="D116" s="6" t="n">
        <f aca="false">Sens!D115+Sens!D112</f>
        <v>43.4058093833333</v>
      </c>
      <c r="E116" s="6" t="n">
        <f aca="false">Sens!E115+Sens!E112</f>
        <v>86.225053775</v>
      </c>
      <c r="F116" s="6" t="n">
        <f aca="false">Sens!F115+Sens!F112</f>
        <v>168.45390404212</v>
      </c>
      <c r="G116" s="6" t="n">
        <f aca="false">Sens!G115+Sens!G112</f>
        <v>191.944475649048</v>
      </c>
      <c r="H116" s="6" t="n">
        <f aca="false">Sens!H115+Sens!H112</f>
        <v>196.806004064512</v>
      </c>
      <c r="I116" s="6" t="n">
        <f aca="false">Sens!I115+Sens!I112</f>
        <v>168.61483362161</v>
      </c>
      <c r="J116" s="6" t="n">
        <f aca="false">Sens!J115+Sens!J112</f>
        <v>128.92993119594</v>
      </c>
      <c r="K116" s="6" t="n">
        <f aca="false">Sens!K115+Sens!K112</f>
        <v>118.962853064733</v>
      </c>
      <c r="L116" s="12" t="s">
        <v>998</v>
      </c>
    </row>
    <row r="117" customFormat="false" ht="17.15" hidden="false" customHeight="false" outlineLevel="0" collapsed="false">
      <c r="A117" s="0" t="s">
        <v>999</v>
      </c>
      <c r="B117" s="0" t="s">
        <v>98</v>
      </c>
      <c r="E117" s="6" t="n">
        <f aca="false">(Sens!C115*IF(2&lt;life_it,1,IF(2=life_it,0.5,0))+Sens!D115*IF(1&lt;life_it,1,IF(1=life_it,0.5,0))+Sens!E115*0.5)/life_it</f>
        <v>15.0605784770833</v>
      </c>
      <c r="F117" s="6" t="n">
        <f aca="false">(Sens!C115*IF(3&lt;life_it,1,IF(3=life_it,0.5,0))+Sens!D115*IF(2&lt;life_it,1,IF(2=life_it,0.5,0))+Sens!E115*IF(1&lt;life_it,1,IF(1=life_it,0.5,0))+Sens!F115*0.5)/life_it</f>
        <v>32.0704849854266</v>
      </c>
      <c r="G117" s="6" t="n">
        <f aca="false">(Sens!C115*IF(4&lt;life_it,1,IF(4=life_it,0.5,0))+Sens!D115*IF(3&lt;life_it,1,IF(3=life_it,0.5,0))+Sens!E115*IF(2&lt;life_it,1,IF(2=life_it,0.5,0))+Sens!F115*IF(1&lt;life_it,1,IF(1=life_it,0.5,0))+Sens!G115*0.5)/life_it</f>
        <v>56.5636516735239</v>
      </c>
      <c r="H117" s="6" t="n">
        <f aca="false">(Sens!C115*IF(5&lt;life_it,1,IF(5=life_it,0.5,0))+Sens!D115*IF(4&lt;life_it,1,IF(4=life_it,0.5,0))+Sens!E115*IF(3&lt;life_it,1,IF(3=life_it,0.5,0))+Sens!F115*IF(2&lt;life_it,1,IF(2=life_it,0.5,0))+Sens!G115*IF(1&lt;life_it,1,IF(1=life_it,0.5,0))+Sens!H115*0.5)/life_it</f>
        <v>83.2019916968207</v>
      </c>
      <c r="I117" s="6" t="n">
        <f aca="false">(Sens!C115*IF(6&lt;life_it,1,IF(6=life_it,0.5,0))+Sens!D115*IF(5&lt;life_it,1,IF(5=life_it,0.5,0))+Sens!E115*IF(4&lt;life_it,1,IF(4=life_it,0.5,0))+Sens!F115*IF(3&lt;life_it,1,IF(3=life_it,0.5,0))+Sens!G115*IF(2&lt;life_it,1,IF(2=life_it,0.5,0))+Sens!H115*IF(1&lt;life_it,1,IF(1=life_it,0.5,0))+Sens!I115*0.5)/life_it</f>
        <v>106.857324133594</v>
      </c>
      <c r="J117" s="6" t="n">
        <f aca="false">(Sens!C115*IF(7&lt;life_it,1,IF(7=life_it,0.5,0))+Sens!D115*IF(6&lt;life_it,1,IF(6=life_it,0.5,0))+Sens!E115*IF(5&lt;life_it,1,IF(5=life_it,0.5,0))+Sens!F115*IF(4&lt;life_it,1,IF(4=life_it,0.5,0))+Sens!G115*IF(3&lt;life_it,1,IF(3=life_it,0.5,0))+Sens!H115*IF(2&lt;life_it,1,IF(2=life_it,0.5,0))+Sens!I115*IF(1&lt;life_it,1,IF(1=life_it,0.5,0))+Sens!J115*0.5)/life_it</f>
        <v>123.657508539285</v>
      </c>
      <c r="K117" s="6" t="n">
        <f aca="false">(Sens!C115*IF(8&lt;life_it,1,IF(8=life_it,0.5,0))+Sens!D115*IF(7&lt;life_it,1,IF(7=life_it,0.5,0))+Sens!E115*IF(6&lt;life_it,1,IF(6=life_it,0.5,0))+Sens!F115*IF(5&lt;life_it,1,IF(5=life_it,0.5,0))+Sens!G115*IF(4&lt;life_it,1,IF(4=life_it,0.5,0))+Sens!H115*IF(3&lt;life_it,1,IF(3=life_it,0.5,0))+Sens!I115*IF(2&lt;life_it,1,IF(2=life_it,0.5,0))+Sens!J115*IF(1&lt;life_it,1,IF(1=life_it,0.5,0))+Sens!K115*0.5)/life_it</f>
        <v>134.143838501827</v>
      </c>
    </row>
    <row r="118" customFormat="false" ht="17.15" hidden="false" customHeight="false" outlineLevel="0" collapsed="false">
      <c r="A118" s="0" t="s">
        <v>1000</v>
      </c>
      <c r="B118" s="0" t="s">
        <v>98</v>
      </c>
      <c r="E118" s="6" t="n">
        <f aca="false">(Sens!C112*IF(2&lt;life_fac,1,IF(2=life_fac,0.5,0))+Sens!D112*IF(1&lt;life_fac,1,IF(1=life_fac,0.5,0))+Sens!E112*0.5)/life_fac</f>
        <v>1.2448275</v>
      </c>
      <c r="F118" s="6" t="n">
        <f aca="false">(Sens!C112*IF(3&lt;life_fac,1,IF(3=life_fac,0.5,0))+Sens!D112*IF(2&lt;life_fac,1,IF(2=life_fac,0.5,0))+Sens!E112*IF(1&lt;life_fac,1,IF(1=life_fac,0.5,0))+Sens!F112*0.5)/life_fac</f>
        <v>2.508829492925</v>
      </c>
      <c r="G118" s="6" t="n">
        <f aca="false">(Sens!C112*IF(4&lt;life_fac,1,IF(4=life_fac,0.5,0))+Sens!D112*IF(3&lt;life_fac,1,IF(3=life_fac,0.5,0))+Sens!E112*IF(2&lt;life_fac,1,IF(2=life_fac,0.5,0))+Sens!F112*IF(1&lt;life_fac,1,IF(1=life_fac,0.5,0))+Sens!G112*0.5)/life_fac</f>
        <v>4.170838978775</v>
      </c>
      <c r="H118" s="6" t="n">
        <f aca="false">(Sens!C112*IF(5&lt;life_fac,1,IF(5=life_fac,0.5,0))+Sens!D112*IF(4&lt;life_fac,1,IF(4=life_fac,0.5,0))+Sens!E112*IF(3&lt;life_fac,1,IF(3=life_fac,0.5,0))+Sens!F112*IF(2&lt;life_fac,1,IF(2=life_fac,0.5,0))+Sens!G112*IF(1&lt;life_fac,1,IF(1=life_fac,0.5,0))+Sens!H112*0.5)/life_fac</f>
        <v>5.898098964625</v>
      </c>
      <c r="I118" s="6" t="n">
        <f aca="false">(Sens!C112*IF(6&lt;life_fac,1,IF(6=life_fac,0.5,0))+Sens!D112*IF(5&lt;life_fac,1,IF(5=life_fac,0.5,0))+Sens!E112*IF(4&lt;life_fac,1,IF(4=life_fac,0.5,0))+Sens!F112*IF(3&lt;life_fac,1,IF(3=life_fac,0.5,0))+Sens!G112*IF(2&lt;life_fac,1,IF(2=life_fac,0.5,0))+Sens!H112*IF(1&lt;life_fac,1,IF(1=life_fac,0.5,0))+Sens!I112*0.5)/life_fac</f>
        <v>7.37368556095442</v>
      </c>
      <c r="J118" s="6" t="n">
        <f aca="false">(Sens!C112*IF(7&lt;life_fac,1,IF(7=life_fac,0.5,0))+Sens!D112*IF(6&lt;life_fac,1,IF(6=life_fac,0.5,0))+Sens!E112*IF(5&lt;life_fac,1,IF(5=life_fac,0.5,0))+Sens!F112*IF(4&lt;life_fac,1,IF(4=life_fac,0.5,0))+Sens!G112*IF(3&lt;life_fac,1,IF(3=life_fac,0.5,0))+Sens!H112*IF(2&lt;life_fac,1,IF(2=life_fac,0.5,0))+Sens!I112*IF(1&lt;life_fac,1,IF(1=life_fac,0.5,0))+Sens!J112*0.5)/life_fac</f>
        <v>8.35816451031075</v>
      </c>
      <c r="K118" s="6" t="n">
        <f aca="false">(Sens!C112*IF(8&lt;life_fac,1,IF(8=life_fac,0.5,0))+Sens!D112*IF(7&lt;life_fac,1,IF(7=life_fac,0.5,0))+Sens!E112*IF(6&lt;life_fac,1,IF(6=life_fac,0.5,0))+Sens!F112*IF(5&lt;life_fac,1,IF(5=life_fac,0.5,0))+Sens!G112*IF(4&lt;life_fac,1,IF(4=life_fac,0.5,0))+Sens!H112*IF(3&lt;life_fac,1,IF(3=life_fac,0.5,0))+Sens!I112*IF(2&lt;life_fac,1,IF(2=life_fac,0.5,0))+Sens!J112*IF(1&lt;life_fac,1,IF(1=life_fac,0.5,0))+Sens!K112*0.5)/life_fac</f>
        <v>8.86883104910662</v>
      </c>
    </row>
    <row r="119" customFormat="false" ht="17.15" hidden="false" customHeight="false" outlineLevel="0" collapsed="false">
      <c r="A119" s="0" t="s">
        <v>1001</v>
      </c>
      <c r="B119" s="0" t="s">
        <v>98</v>
      </c>
      <c r="E119" s="6" t="n">
        <f aca="false">Sens!E117+Sens!E118</f>
        <v>16.3054059770833</v>
      </c>
      <c r="F119" s="6" t="n">
        <f aca="false">Sens!F117+Sens!F118</f>
        <v>34.5793144783516</v>
      </c>
      <c r="G119" s="6" t="n">
        <f aca="false">Sens!G117+Sens!G118</f>
        <v>60.7344906522989</v>
      </c>
      <c r="H119" s="6" t="n">
        <f aca="false">Sens!H117+Sens!H118</f>
        <v>89.1000906614457</v>
      </c>
      <c r="I119" s="6" t="n">
        <f aca="false">Sens!I117+Sens!I118</f>
        <v>114.231009694548</v>
      </c>
      <c r="J119" s="6" t="n">
        <f aca="false">Sens!J117+Sens!J118</f>
        <v>132.015673049596</v>
      </c>
      <c r="K119" s="6" t="n">
        <f aca="false">Sens!K117+Sens!K118</f>
        <v>143.012669550934</v>
      </c>
    </row>
    <row r="120" customFormat="false" ht="17.15" hidden="false" customHeight="false" outlineLevel="0" collapsed="false">
      <c r="A120" s="0" t="s">
        <v>1002</v>
      </c>
      <c r="B120" s="0" t="s">
        <v>98</v>
      </c>
      <c r="E120" s="6" t="n">
        <f aca="false">Sens!E107-Sens!E106*Sens!E119</f>
        <v>8.92707889977379</v>
      </c>
      <c r="F120" s="6" t="n">
        <f aca="false">Sens!F107-Sens!F106*Sens!F119</f>
        <v>22.4686207259278</v>
      </c>
      <c r="G120" s="6" t="n">
        <f aca="false">Sens!G107-Sens!G106*Sens!G119</f>
        <v>43.2797528675735</v>
      </c>
      <c r="H120" s="6" t="n">
        <f aca="false">Sens!H107-Sens!H106*Sens!H119</f>
        <v>69.3477099347341</v>
      </c>
      <c r="I120" s="6" t="n">
        <f aca="false">Sens!I107-Sens!I106*Sens!I119</f>
        <v>86.8523667140836</v>
      </c>
      <c r="J120" s="6" t="n">
        <f aca="false">Sens!J107-Sens!J106*Sens!J119</f>
        <v>98.9882647234202</v>
      </c>
      <c r="K120" s="6" t="n">
        <f aca="false">Sens!K107-Sens!K106*Sens!K119</f>
        <v>106.918985011399</v>
      </c>
    </row>
    <row r="121" customFormat="false" ht="17.15" hidden="false" customHeight="false" outlineLevel="0" collapsed="false">
      <c r="A121" s="3" t="s">
        <v>1481</v>
      </c>
    </row>
    <row r="122" customFormat="false" ht="15" hidden="false" customHeight="false" outlineLevel="0" collapsed="false">
      <c r="A122" s="4" t="s">
        <v>43</v>
      </c>
      <c r="B122" s="4" t="s">
        <v>65</v>
      </c>
      <c r="C122" s="23" t="s">
        <v>938</v>
      </c>
      <c r="D122" s="23" t="s">
        <v>939</v>
      </c>
      <c r="E122" s="23" t="s">
        <v>940</v>
      </c>
      <c r="F122" s="23" t="s">
        <v>941</v>
      </c>
      <c r="G122" s="23" t="s">
        <v>942</v>
      </c>
      <c r="H122" s="23" t="s">
        <v>943</v>
      </c>
      <c r="I122" s="23" t="s">
        <v>944</v>
      </c>
      <c r="J122" s="23" t="s">
        <v>945</v>
      </c>
      <c r="K122" s="23" t="s">
        <v>946</v>
      </c>
      <c r="L122" s="4" t="s">
        <v>47</v>
      </c>
    </row>
    <row r="123" customFormat="false" ht="17.15" hidden="false" customHeight="false" outlineLevel="0" collapsed="false">
      <c r="A123" s="0" t="s">
        <v>1021</v>
      </c>
      <c r="B123" s="0" t="s">
        <v>98</v>
      </c>
      <c r="D123" s="6" t="n">
        <f aca="false">Sens!D101</f>
        <v>12.9359794422418</v>
      </c>
      <c r="E123" s="6" t="n">
        <f aca="false">Sens!E101</f>
        <v>27.8095064661409</v>
      </c>
      <c r="F123" s="6" t="n">
        <f aca="false">Sens!F101</f>
        <v>59.1034165651511</v>
      </c>
      <c r="G123" s="6" t="n">
        <f aca="false">Sens!G101</f>
        <v>103.451498789198</v>
      </c>
      <c r="H123" s="6" t="n">
        <f aca="false">Sens!H101</f>
        <v>153.816719989035</v>
      </c>
      <c r="I123" s="6" t="n">
        <f aca="false">Sens!I101</f>
        <v>192.699478690852</v>
      </c>
      <c r="J123" s="6" t="n">
        <f aca="false">Sens!J101</f>
        <v>219.794102584244</v>
      </c>
      <c r="K123" s="6" t="n">
        <f aca="false">Sens!K101</f>
        <v>236.757046905022</v>
      </c>
    </row>
    <row r="124" customFormat="false" ht="17.15" hidden="false" customHeight="false" outlineLevel="0" collapsed="false">
      <c r="A124" s="0" t="s">
        <v>1022</v>
      </c>
      <c r="B124" s="0" t="s">
        <v>98</v>
      </c>
      <c r="D124" s="6" t="n">
        <f aca="false">Q!L6-Sens!D123</f>
        <v>59.6740205577583</v>
      </c>
      <c r="E124" s="6" t="n">
        <f aca="false">Q!M6-Sens!E123</f>
        <v>74.1284935338591</v>
      </c>
      <c r="F124" s="6" t="n">
        <f aca="false">Q!$I$6+(Sens!F123+Sens!E124*(1+Sens!F125))*(1-Q!$E$6/Q!M6)-Sens!F123</f>
        <v>90.4866018070994</v>
      </c>
      <c r="G124" s="6" t="n">
        <f aca="false">Sens!F124*(1+Sens!G125)</f>
        <v>107.511588557154</v>
      </c>
      <c r="H124" s="6" t="n">
        <f aca="false">Sens!G124*(1+Sens!H125)</f>
        <v>124.832989325489</v>
      </c>
      <c r="I124" s="6" t="n">
        <f aca="false">Sens!H124*(1+Sens!I125)</f>
        <v>141.56992589148</v>
      </c>
      <c r="J124" s="6" t="n">
        <f aca="false">Sens!I124*(1+Sens!J125)</f>
        <v>156.723190479428</v>
      </c>
      <c r="K124" s="6" t="n">
        <f aca="false">Sens!J124*(1+Sens!K125)</f>
        <v>169.261045717783</v>
      </c>
      <c r="L124" s="12" t="s">
        <v>1023</v>
      </c>
    </row>
    <row r="125" customFormat="false" ht="15" hidden="false" customHeight="false" outlineLevel="0" collapsed="false">
      <c r="A125" s="1" t="s">
        <v>1024</v>
      </c>
      <c r="B125" s="0" t="s">
        <v>168</v>
      </c>
      <c r="E125" s="7" t="n">
        <f aca="false">Sens!E124/Sens!D124-1</f>
        <v>0.242223883039864</v>
      </c>
      <c r="F125" s="7" t="n">
        <f aca="false">Sens!$E$125+(glt_azo-Sens!$E$125)*MIN(1,(Sens!F82-base_fy)/n_conv)</f>
        <v>0.215186569199887</v>
      </c>
      <c r="G125" s="7" t="n">
        <f aca="false">Sens!$E$125+(glt_azo-Sens!$E$125)*MIN(1,(Sens!G82-base_fy)/n_conv)</f>
        <v>0.18814925535991</v>
      </c>
      <c r="H125" s="7" t="n">
        <f aca="false">Sens!$E$125+(glt_azo-Sens!$E$125)*MIN(1,(Sens!H82-base_fy)/n_conv)</f>
        <v>0.161111941519932</v>
      </c>
      <c r="I125" s="7" t="n">
        <f aca="false">Sens!$E$125+(glt_azo-Sens!$E$125)*MIN(1,(Sens!I82-base_fy)/n_conv)</f>
        <v>0.134074627679955</v>
      </c>
      <c r="J125" s="7" t="n">
        <f aca="false">Sens!$E$125+(glt_azo-Sens!$E$125)*MIN(1,(Sens!J82-base_fy)/n_conv)</f>
        <v>0.107037313839977</v>
      </c>
      <c r="K125" s="7" t="n">
        <f aca="false">Sens!$E$125+(glt_azo-Sens!$E$125)*MIN(1,(Sens!K82-base_fy)/n_conv)</f>
        <v>0.08</v>
      </c>
    </row>
    <row r="126" customFormat="false" ht="15" hidden="false" customHeight="false" outlineLevel="0" collapsed="false">
      <c r="A126" s="0" t="s">
        <v>1025</v>
      </c>
      <c r="B126" s="0" t="s">
        <v>98</v>
      </c>
      <c r="D126" s="6" t="n">
        <f aca="false">Sens!D123+Sens!D124</f>
        <v>72.61</v>
      </c>
      <c r="E126" s="6" t="n">
        <f aca="false">Sens!E123+Sens!E124</f>
        <v>101.938</v>
      </c>
      <c r="F126" s="6" t="n">
        <f aca="false">Sens!F123+Sens!F124</f>
        <v>149.59001837225</v>
      </c>
      <c r="G126" s="6" t="n">
        <f aca="false">Sens!G123+Sens!G124</f>
        <v>210.963087346352</v>
      </c>
      <c r="H126" s="6" t="n">
        <f aca="false">Sens!H123+Sens!H124</f>
        <v>278.649709314524</v>
      </c>
      <c r="I126" s="6" t="n">
        <f aca="false">Sens!I123+Sens!I124</f>
        <v>334.269404582332</v>
      </c>
      <c r="J126" s="6" t="n">
        <f aca="false">Sens!J123+Sens!J124</f>
        <v>376.517293063672</v>
      </c>
      <c r="K126" s="6" t="n">
        <f aca="false">Sens!K123+Sens!K124</f>
        <v>406.018092622804</v>
      </c>
    </row>
    <row r="127" customFormat="false" ht="17.15" hidden="false" customHeight="false" outlineLevel="0" collapsed="false">
      <c r="A127" s="0" t="s">
        <v>1026</v>
      </c>
      <c r="B127" s="1" t="s">
        <v>610</v>
      </c>
      <c r="C127" s="30" t="n">
        <f aca="false">cop_s24</f>
        <v>1</v>
      </c>
      <c r="D127" s="30" t="n">
        <f aca="false">cop_s25</f>
        <v>5</v>
      </c>
      <c r="E127" s="30" t="n">
        <f aca="false">cop_s26</f>
        <v>30</v>
      </c>
      <c r="F127" s="30" t="n">
        <f aca="false">Sens!E127+cop_add_A</f>
        <v>60</v>
      </c>
      <c r="G127" s="30" t="n">
        <f aca="false">Sens!F127+cop_add_A</f>
        <v>90</v>
      </c>
      <c r="H127" s="30" t="n">
        <f aca="false">Sens!G127+cop_add_A</f>
        <v>120</v>
      </c>
      <c r="I127" s="30" t="n">
        <f aca="false">Sens!H127+cop_add_A*cop_tail</f>
        <v>135</v>
      </c>
      <c r="J127" s="30" t="n">
        <f aca="false">Sens!I127+cop_add_A*cop_tail</f>
        <v>150</v>
      </c>
      <c r="K127" s="30" t="n">
        <f aca="false">Sens!J127+cop_add_A*cop_tail</f>
        <v>165</v>
      </c>
      <c r="L127" s="12" t="s">
        <v>1027</v>
      </c>
    </row>
    <row r="128" customFormat="false" ht="17.15" hidden="false" customHeight="false" outlineLevel="0" collapsed="false">
      <c r="A128" s="0" t="s">
        <v>1028</v>
      </c>
      <c r="B128" s="0" t="s">
        <v>98</v>
      </c>
      <c r="D128" s="6" t="n">
        <f aca="false">(Sens!C127+Sens!D127)/2*cop_px*12/1000</f>
        <v>0.9</v>
      </c>
      <c r="E128" s="6" t="n">
        <f aca="false">(Sens!D127+Sens!E127)/2*cop_px*12/1000</f>
        <v>5.25</v>
      </c>
      <c r="F128" s="6" t="n">
        <f aca="false">(Sens!E127+Sens!F127)/2*cop_px*12/1000</f>
        <v>13.5</v>
      </c>
      <c r="G128" s="6" t="n">
        <f aca="false">(Sens!F127+Sens!G127)/2*cop_px*12/1000</f>
        <v>22.5</v>
      </c>
      <c r="H128" s="6" t="n">
        <f aca="false">(Sens!G127+Sens!H127)/2*cop_px*12/1000</f>
        <v>31.5</v>
      </c>
      <c r="I128" s="6" t="n">
        <f aca="false">(Sens!H127+Sens!I127)/2*cop_px*12/1000</f>
        <v>38.25</v>
      </c>
      <c r="J128" s="6" t="n">
        <f aca="false">(Sens!I127+Sens!J127)/2*cop_px*12/1000</f>
        <v>42.75</v>
      </c>
      <c r="K128" s="6" t="n">
        <f aca="false">(Sens!J127+Sens!K127)/2*cop_px*12/1000</f>
        <v>47.25</v>
      </c>
      <c r="L128" s="1" t="s">
        <v>1029</v>
      </c>
    </row>
    <row r="129" customFormat="false" ht="17.15" hidden="false" customHeight="false" outlineLevel="0" collapsed="false">
      <c r="A129" s="0" t="s">
        <v>1030</v>
      </c>
      <c r="B129" s="0" t="s">
        <v>98</v>
      </c>
      <c r="D129" s="6" t="n">
        <f aca="false">Q!L7-Sens!D128</f>
        <v>83.705</v>
      </c>
      <c r="E129" s="6" t="n">
        <f aca="false">Q!M7-Sens!E128</f>
        <v>95.049</v>
      </c>
      <c r="F129" s="6" t="n">
        <f aca="false">Q!$I$7+(Sens!E129*(1+Sens!F130)+Sens!F128)*(1-Q!$E$7/Q!M7)-Sens!F128</f>
        <v>106.229653205718</v>
      </c>
      <c r="G129" s="6" t="n">
        <f aca="false">Sens!F129*(1+Sens!G130)</f>
        <v>118.306092647576</v>
      </c>
      <c r="H129" s="6" t="n">
        <f aca="false">Sens!G129*(1+Sens!H130)</f>
        <v>130.463437602768</v>
      </c>
      <c r="I129" s="6" t="n">
        <f aca="false">Sens!H129*(1+Sens!I130)</f>
        <v>142.445354741933</v>
      </c>
      <c r="J129" s="6" t="n">
        <f aca="false">Sens!I129*(1+Sens!J130)</f>
        <v>153.972117481571</v>
      </c>
      <c r="K129" s="6" t="n">
        <f aca="false">Sens!J129*(1+Sens!K130)</f>
        <v>164.75016570528</v>
      </c>
      <c r="L129" s="12" t="s">
        <v>1031</v>
      </c>
    </row>
    <row r="130" customFormat="false" ht="15" hidden="false" customHeight="false" outlineLevel="0" collapsed="false">
      <c r="A130" s="1" t="s">
        <v>1024</v>
      </c>
      <c r="B130" s="0" t="s">
        <v>168</v>
      </c>
      <c r="E130" s="7" t="n">
        <f aca="false">Sens!E129/Sens!D129-1</f>
        <v>0.135523564900544</v>
      </c>
      <c r="F130" s="7" t="n">
        <f aca="false">Sens!$E$130+(glt_m365b-Sens!$E$130)*MIN(1,(Sens!F82-base_fy)/n_conv)</f>
        <v>0.124602970750453</v>
      </c>
      <c r="G130" s="7" t="n">
        <f aca="false">Sens!$E$130+(glt_m365b-Sens!$E$130)*MIN(1,(Sens!G82-base_fy)/n_conv)</f>
        <v>0.113682376600363</v>
      </c>
      <c r="H130" s="7" t="n">
        <f aca="false">Sens!$E$130+(glt_m365b-Sens!$E$130)*MIN(1,(Sens!H82-base_fy)/n_conv)</f>
        <v>0.102761782450272</v>
      </c>
      <c r="I130" s="7" t="n">
        <f aca="false">Sens!$E$130+(glt_m365b-Sens!$E$130)*MIN(1,(Sens!I82-base_fy)/n_conv)</f>
        <v>0.0918411883001813</v>
      </c>
      <c r="J130" s="7" t="n">
        <f aca="false">Sens!$E$130+(glt_m365b-Sens!$E$130)*MIN(1,(Sens!J82-base_fy)/n_conv)</f>
        <v>0.0809205941500906</v>
      </c>
      <c r="K130" s="7" t="n">
        <f aca="false">Sens!$E$130+(glt_m365b-Sens!$E$130)*MIN(1,(Sens!K82-base_fy)/n_conv)</f>
        <v>0.07</v>
      </c>
    </row>
    <row r="131" customFormat="false" ht="15" hidden="false" customHeight="false" outlineLevel="0" collapsed="false">
      <c r="A131" s="0" t="s">
        <v>1032</v>
      </c>
      <c r="B131" s="0" t="s">
        <v>98</v>
      </c>
      <c r="D131" s="6" t="n">
        <f aca="false">Sens!D129+Sens!D128</f>
        <v>84.605</v>
      </c>
      <c r="E131" s="6" t="n">
        <f aca="false">Sens!E129+Sens!E128</f>
        <v>100.299</v>
      </c>
      <c r="F131" s="6" t="n">
        <f aca="false">Sens!F129+Sens!F128</f>
        <v>119.729653205718</v>
      </c>
      <c r="G131" s="6" t="n">
        <f aca="false">Sens!G129+Sens!G128</f>
        <v>140.806092647576</v>
      </c>
      <c r="H131" s="6" t="n">
        <f aca="false">Sens!H129+Sens!H128</f>
        <v>161.963437602768</v>
      </c>
      <c r="I131" s="6" t="n">
        <f aca="false">Sens!I129+Sens!I128</f>
        <v>180.695354741933</v>
      </c>
      <c r="J131" s="6" t="n">
        <f aca="false">Sens!J129+Sens!J128</f>
        <v>196.722117481571</v>
      </c>
      <c r="K131" s="6" t="n">
        <f aca="false">Sens!K129+Sens!K128</f>
        <v>212.00016570528</v>
      </c>
    </row>
    <row r="132" customFormat="false" ht="17.15" hidden="false" customHeight="false" outlineLevel="0" collapsed="false">
      <c r="A132" s="0" t="s">
        <v>1033</v>
      </c>
      <c r="B132" s="0" t="s">
        <v>98</v>
      </c>
      <c r="D132" s="6" t="n">
        <f aca="false">Q!L8</f>
        <v>35.391</v>
      </c>
      <c r="E132" s="6" t="n">
        <f aca="false">Q!M8</f>
        <v>37.285</v>
      </c>
      <c r="F132" s="6" t="n">
        <f aca="false">Q!$I$8+(Q!M8-Q!$E$8)*(1+Sens!F133)</f>
        <v>38.3851437782675</v>
      </c>
      <c r="G132" s="6" t="n">
        <f aca="false">Sens!F132*(1+Sens!G133)</f>
        <v>40.0105353288615</v>
      </c>
      <c r="H132" s="6" t="n">
        <f aca="false">Sens!G132*(1+Sens!H133)</f>
        <v>41.4812512033683</v>
      </c>
      <c r="I132" s="6" t="n">
        <f aca="false">Sens!H132*(1+Sens!I133)</f>
        <v>42.7743107216329</v>
      </c>
      <c r="J132" s="6" t="n">
        <f aca="false">Sens!I132*(1+Sens!J133)</f>
        <v>43.8687373064601</v>
      </c>
      <c r="K132" s="6" t="n">
        <f aca="false">Sens!J132*(1+Sens!K133)</f>
        <v>44.7461120525893</v>
      </c>
      <c r="L132" s="12" t="s">
        <v>1034</v>
      </c>
    </row>
    <row r="133" customFormat="false" ht="15" hidden="false" customHeight="false" outlineLevel="0" collapsed="false">
      <c r="A133" s="1" t="s">
        <v>1024</v>
      </c>
      <c r="B133" s="0" t="s">
        <v>168</v>
      </c>
      <c r="E133" s="7" t="n">
        <f aca="false">Sens!E132/Sens!D132-1</f>
        <v>0.0535164307309768</v>
      </c>
      <c r="F133" s="7" t="n">
        <f aca="false">Sens!$E$133+(glt_lic-Sens!$E$133)*MIN(1,(Sens!F82-base_fy)/n_conv)</f>
        <v>0.0479303589424807</v>
      </c>
      <c r="G133" s="7" t="n">
        <f aca="false">Sens!$E$133+(glt_lic-Sens!$E$133)*MIN(1,(Sens!G82-base_fy)/n_conv)</f>
        <v>0.0423442871539845</v>
      </c>
      <c r="H133" s="7" t="n">
        <f aca="false">Sens!$E$133+(glt_lic-Sens!$E$133)*MIN(1,(Sens!H82-base_fy)/n_conv)</f>
        <v>0.0367582153654884</v>
      </c>
      <c r="I133" s="7" t="n">
        <f aca="false">Sens!$E$133+(glt_lic-Sens!$E$133)*MIN(1,(Sens!I82-base_fy)/n_conv)</f>
        <v>0.0311721435769923</v>
      </c>
      <c r="J133" s="7" t="n">
        <f aca="false">Sens!$E$133+(glt_lic-Sens!$E$133)*MIN(1,(Sens!J82-base_fy)/n_conv)</f>
        <v>0.0255860717884961</v>
      </c>
      <c r="K133" s="7" t="n">
        <f aca="false">Sens!$E$133+(glt_lic-Sens!$E$133)*MIN(1,(Sens!K82-base_fy)/n_conv)</f>
        <v>0.02</v>
      </c>
    </row>
    <row r="134" customFormat="false" ht="17.15" hidden="false" customHeight="false" outlineLevel="0" collapsed="false">
      <c r="A134" s="0" t="s">
        <v>1035</v>
      </c>
      <c r="B134" s="0" t="s">
        <v>98</v>
      </c>
      <c r="D134" s="6" t="n">
        <f aca="false">Q!L9</f>
        <v>18.417</v>
      </c>
      <c r="E134" s="6" t="n">
        <f aca="false">Q!M9</f>
        <v>20.345</v>
      </c>
      <c r="F134" s="6" t="n">
        <f aca="false">Q!$I$9+(Q!M9-Q!$E$9)*(1+Sens!F135)</f>
        <v>22.3161797133988</v>
      </c>
      <c r="G134" s="6" t="n">
        <f aca="false">Sens!F134*(1+Sens!G135)</f>
        <v>24.3943499673233</v>
      </c>
      <c r="H134" s="6" t="n">
        <f aca="false">Sens!G134*(1+Sens!H135)</f>
        <v>26.5250243109019</v>
      </c>
      <c r="I134" s="6" t="n">
        <f aca="false">Sens!H134*(1+Sens!I135)</f>
        <v>28.6884573538181</v>
      </c>
      <c r="J134" s="6" t="n">
        <f aca="false">Sens!I134*(1+Sens!J135)</f>
        <v>30.8624968052127</v>
      </c>
      <c r="K134" s="6" t="n">
        <f aca="false">Sens!J134*(1+Sens!K135)</f>
        <v>33.0228715815776</v>
      </c>
      <c r="L134" s="12" t="s">
        <v>1034</v>
      </c>
    </row>
    <row r="135" customFormat="false" ht="15" hidden="false" customHeight="false" outlineLevel="0" collapsed="false">
      <c r="A135" s="1" t="s">
        <v>1024</v>
      </c>
      <c r="B135" s="0" t="s">
        <v>168</v>
      </c>
      <c r="E135" s="7" t="n">
        <f aca="false">Sens!E134/Sens!D134-1</f>
        <v>0.104685888038225</v>
      </c>
      <c r="F135" s="7" t="n">
        <f aca="false">Sens!$E$135+(glt_ind-Sens!$E$135)*MIN(1,(Sens!F82-base_fy)/n_conv)</f>
        <v>0.0989049066985211</v>
      </c>
      <c r="G135" s="7" t="n">
        <f aca="false">Sens!$E$135+(glt_ind-Sens!$E$135)*MIN(1,(Sens!G82-base_fy)/n_conv)</f>
        <v>0.0931239253588169</v>
      </c>
      <c r="H135" s="7" t="n">
        <f aca="false">Sens!$E$135+(glt_ind-Sens!$E$135)*MIN(1,(Sens!H82-base_fy)/n_conv)</f>
        <v>0.0873429440191127</v>
      </c>
      <c r="I135" s="7" t="n">
        <f aca="false">Sens!$E$135+(glt_ind-Sens!$E$135)*MIN(1,(Sens!I82-base_fy)/n_conv)</f>
        <v>0.0815619626794085</v>
      </c>
      <c r="J135" s="7" t="n">
        <f aca="false">Sens!$E$135+(glt_ind-Sens!$E$135)*MIN(1,(Sens!J82-base_fy)/n_conv)</f>
        <v>0.0757809813397042</v>
      </c>
      <c r="K135" s="7" t="n">
        <f aca="false">Sens!$E$135+(glt_ind-Sens!$E$135)*MIN(1,(Sens!K82-base_fy)/n_conv)</f>
        <v>0.07</v>
      </c>
    </row>
    <row r="136" customFormat="false" ht="17.15" hidden="false" customHeight="false" outlineLevel="0" collapsed="false">
      <c r="A136" s="0" t="s">
        <v>1036</v>
      </c>
      <c r="B136" s="0" t="s">
        <v>98</v>
      </c>
      <c r="D136" s="6" t="n">
        <f aca="false">Q!L10</f>
        <v>7.76</v>
      </c>
      <c r="E136" s="6" t="n">
        <f aca="false">Q!M10</f>
        <v>8.26</v>
      </c>
      <c r="F136" s="6" t="n">
        <f aca="false">Q!$I$10+(Q!M10-Q!$E$10)*(1+Sens!F137)</f>
        <v>8.75372082474227</v>
      </c>
      <c r="G136" s="6" t="n">
        <f aca="false">Sens!F136*(1+Sens!G137)</f>
        <v>9.33399324642364</v>
      </c>
      <c r="H136" s="6" t="n">
        <f aca="false">Sens!G136*(1+Sens!H137)</f>
        <v>9.96139155535851</v>
      </c>
      <c r="I136" s="6" t="n">
        <f aca="false">Sens!H136*(1+Sens!I137)</f>
        <v>10.6402039077391</v>
      </c>
      <c r="J136" s="6" t="n">
        <f aca="false">Sens!I136*(1+Sens!J137)</f>
        <v>11.3751458271397</v>
      </c>
      <c r="K136" s="6" t="n">
        <f aca="false">Sens!J136*(1+Sens!K137)</f>
        <v>12.1714060350394</v>
      </c>
      <c r="L136" s="12" t="s">
        <v>1034</v>
      </c>
    </row>
    <row r="137" customFormat="false" ht="15" hidden="false" customHeight="false" outlineLevel="0" collapsed="false">
      <c r="A137" s="1" t="s">
        <v>1024</v>
      </c>
      <c r="B137" s="0" t="s">
        <v>168</v>
      </c>
      <c r="E137" s="7" t="n">
        <f aca="false">Sens!E136/Sens!D136-1</f>
        <v>0.0644329896907216</v>
      </c>
      <c r="F137" s="7" t="n">
        <f aca="false">Sens!$E$137+(glt_fro-Sens!$E$137)*MIN(1,(Sens!F82-base_fy)/n_conv)</f>
        <v>0.065360824742268</v>
      </c>
      <c r="G137" s="7" t="n">
        <f aca="false">Sens!$E$137+(glt_fro-Sens!$E$137)*MIN(1,(Sens!G82-base_fy)/n_conv)</f>
        <v>0.0662886597938144</v>
      </c>
      <c r="H137" s="7" t="n">
        <f aca="false">Sens!$E$137+(glt_fro-Sens!$E$137)*MIN(1,(Sens!H82-base_fy)/n_conv)</f>
        <v>0.0672164948453608</v>
      </c>
      <c r="I137" s="7" t="n">
        <f aca="false">Sens!$E$137+(glt_fro-Sens!$E$137)*MIN(1,(Sens!I82-base_fy)/n_conv)</f>
        <v>0.0681443298969072</v>
      </c>
      <c r="J137" s="7" t="n">
        <f aca="false">Sens!$E$137+(glt_fro-Sens!$E$137)*MIN(1,(Sens!J82-base_fy)/n_conv)</f>
        <v>0.0690721649484536</v>
      </c>
      <c r="K137" s="7" t="n">
        <f aca="false">Sens!$E$137+(glt_fro-Sens!$E$137)*MIN(1,(Sens!K82-base_fy)/n_conv)</f>
        <v>0.07</v>
      </c>
    </row>
    <row r="138" customFormat="false" ht="15" hidden="false" customHeight="false" outlineLevel="0" collapsed="false">
      <c r="A138" s="0" t="s">
        <v>852</v>
      </c>
      <c r="B138" s="0" t="s">
        <v>98</v>
      </c>
      <c r="D138" s="6" t="n">
        <f aca="false">Sens!D126+Sens!D131+Sens!D132+Sens!D134+Sens!D136</f>
        <v>218.783</v>
      </c>
      <c r="E138" s="6" t="n">
        <f aca="false">Sens!E126+Sens!E131+Sens!E132+Sens!E134+Sens!E136</f>
        <v>268.127</v>
      </c>
      <c r="F138" s="6" t="n">
        <f aca="false">Sens!F126+Sens!F131+Sens!F132+Sens!F134+Sens!F136</f>
        <v>338.774715894377</v>
      </c>
      <c r="G138" s="6" t="n">
        <f aca="false">Sens!G126+Sens!G131+Sens!G132+Sens!G134+Sens!G136</f>
        <v>425.508058536537</v>
      </c>
      <c r="H138" s="6" t="n">
        <f aca="false">Sens!H126+Sens!H131+Sens!H132+Sens!H134+Sens!H136</f>
        <v>518.580813986921</v>
      </c>
      <c r="I138" s="6" t="n">
        <f aca="false">Sens!I126+Sens!I131+Sens!I132+Sens!I134+Sens!I136</f>
        <v>597.067731307455</v>
      </c>
      <c r="J138" s="6" t="n">
        <f aca="false">Sens!J126+Sens!J131+Sens!J132+Sens!J134+Sens!J136</f>
        <v>659.345790484055</v>
      </c>
      <c r="K138" s="6" t="n">
        <f aca="false">Sens!K126+Sens!K131+Sens!K132+Sens!K134+Sens!K136</f>
        <v>707.958647997291</v>
      </c>
    </row>
    <row r="139" customFormat="false" ht="17.15" hidden="false" customHeight="false" outlineLevel="0" collapsed="false">
      <c r="A139" s="0" t="s">
        <v>1037</v>
      </c>
      <c r="B139" s="0" t="s">
        <v>98</v>
      </c>
      <c r="D139" s="6" t="n">
        <f aca="false">Q!L13</f>
        <v>22.171</v>
      </c>
      <c r="E139" s="6" t="n">
        <f aca="false">Q!M13</f>
        <v>24.835</v>
      </c>
      <c r="F139" s="6" t="n">
        <f aca="false">Q!$I$13+(Q!M13-Q!$E$13)*(1+Sens!F140)</f>
        <v>27.5591895660247</v>
      </c>
      <c r="G139" s="6" t="n">
        <f aca="false">Sens!F139*(1+Sens!G140)</f>
        <v>30.4098563144583</v>
      </c>
      <c r="H139" s="6" t="n">
        <f aca="false">Sens!G139*(1+Sens!H140)</f>
        <v>33.3011792571777</v>
      </c>
      <c r="I139" s="6" t="n">
        <f aca="false">Sens!H139*(1+Sens!I140)</f>
        <v>36.189023797112</v>
      </c>
      <c r="J139" s="6" t="n">
        <f aca="false">Sens!I139*(1+Sens!J140)</f>
        <v>39.0247773769199</v>
      </c>
      <c r="K139" s="6" t="n">
        <f aca="false">Sens!J139*(1+Sens!K140)</f>
        <v>41.7565117933043</v>
      </c>
      <c r="L139" s="12" t="s">
        <v>1034</v>
      </c>
    </row>
    <row r="140" customFormat="false" ht="15" hidden="false" customHeight="false" outlineLevel="0" collapsed="false">
      <c r="A140" s="1" t="s">
        <v>1024</v>
      </c>
      <c r="B140" s="0" t="s">
        <v>168</v>
      </c>
      <c r="E140" s="7" t="n">
        <f aca="false">Sens!E139/Sens!D139-1</f>
        <v>0.120156961796942</v>
      </c>
      <c r="F140" s="7" t="n">
        <f aca="false">Sens!$E$140+(glt_srch-Sens!$E$140)*MIN(1,(Sens!F82-base_fy)/n_conv)</f>
        <v>0.111797468164118</v>
      </c>
      <c r="G140" s="7" t="n">
        <f aca="false">Sens!$E$140+(glt_srch-Sens!$E$140)*MIN(1,(Sens!G82-base_fy)/n_conv)</f>
        <v>0.103437974531295</v>
      </c>
      <c r="H140" s="7" t="n">
        <f aca="false">Sens!$E$140+(glt_srch-Sens!$E$140)*MIN(1,(Sens!H82-base_fy)/n_conv)</f>
        <v>0.095078480898471</v>
      </c>
      <c r="I140" s="7" t="n">
        <f aca="false">Sens!$E$140+(glt_srch-Sens!$E$140)*MIN(1,(Sens!I82-base_fy)/n_conv)</f>
        <v>0.0867189872656474</v>
      </c>
      <c r="J140" s="7" t="n">
        <f aca="false">Sens!$E$140+(glt_srch-Sens!$E$140)*MIN(1,(Sens!J82-base_fy)/n_conv)</f>
        <v>0.0783594936328237</v>
      </c>
      <c r="K140" s="7" t="n">
        <f aca="false">Sens!$E$140+(glt_srch-Sens!$E$140)*MIN(1,(Sens!K82-base_fy)/n_conv)</f>
        <v>0.07</v>
      </c>
    </row>
    <row r="141" customFormat="false" ht="17.15" hidden="false" customHeight="false" outlineLevel="0" collapsed="false">
      <c r="A141" s="0" t="s">
        <v>1038</v>
      </c>
      <c r="B141" s="0" t="s">
        <v>98</v>
      </c>
      <c r="D141" s="6" t="n">
        <f aca="false">Q!L14</f>
        <v>23.455</v>
      </c>
      <c r="E141" s="6" t="n">
        <f aca="false">Q!M14</f>
        <v>21.79</v>
      </c>
      <c r="F141" s="6" t="n">
        <f aca="false">Q!$I$14+(Q!M14-Q!$E$14)*(1+Sens!F142)</f>
        <v>20.7520981041711</v>
      </c>
      <c r="G141" s="6" t="n">
        <f aca="false">Sens!F141*(1+Sens!G142)</f>
        <v>19.9083593495882</v>
      </c>
      <c r="H141" s="6" t="n">
        <f aca="false">Sens!G141*(1+Sens!H142)</f>
        <v>19.4008256265831</v>
      </c>
      <c r="I141" s="6" t="n">
        <f aca="false">Sens!H141*(1+Sens!I142)</f>
        <v>19.200434522122</v>
      </c>
      <c r="J141" s="6" t="n">
        <f aca="false">Sens!I141*(1+Sens!J142)</f>
        <v>19.2932782348507</v>
      </c>
      <c r="K141" s="6" t="n">
        <f aca="false">Sens!J141*(1+Sens!K142)</f>
        <v>19.6791437995477</v>
      </c>
      <c r="L141" s="12" t="s">
        <v>1034</v>
      </c>
    </row>
    <row r="142" customFormat="false" ht="15" hidden="false" customHeight="false" outlineLevel="0" collapsed="false">
      <c r="A142" s="1" t="s">
        <v>1024</v>
      </c>
      <c r="B142" s="0" t="s">
        <v>168</v>
      </c>
      <c r="E142" s="7" t="n">
        <f aca="false">Sens!E141/Sens!D141-1</f>
        <v>-0.0709869963760392</v>
      </c>
      <c r="F142" s="7" t="n">
        <f aca="false">Sens!$E$142+(glt_xbox-Sens!$E$142)*MIN(1,(Sens!F82-base_fy)/n_conv)</f>
        <v>-0.0558224969800327</v>
      </c>
      <c r="G142" s="7" t="n">
        <f aca="false">Sens!$E$142+(glt_xbox-Sens!$E$142)*MIN(1,(Sens!G82-base_fy)/n_conv)</f>
        <v>-0.0406579975840262</v>
      </c>
      <c r="H142" s="7" t="n">
        <f aca="false">Sens!$E$142+(glt_xbox-Sens!$E$142)*MIN(1,(Sens!H82-base_fy)/n_conv)</f>
        <v>-0.0254934981880196</v>
      </c>
      <c r="I142" s="7" t="n">
        <f aca="false">Sens!$E$142+(glt_xbox-Sens!$E$142)*MIN(1,(Sens!I82-base_fy)/n_conv)</f>
        <v>-0.0103289987920131</v>
      </c>
      <c r="J142" s="7" t="n">
        <f aca="false">Sens!$E$142+(glt_xbox-Sens!$E$142)*MIN(1,(Sens!J82-base_fy)/n_conv)</f>
        <v>0.00483550060399347</v>
      </c>
      <c r="K142" s="7" t="n">
        <f aca="false">Sens!$E$142+(glt_xbox-Sens!$E$142)*MIN(1,(Sens!K82-base_fy)/n_conv)</f>
        <v>0.02</v>
      </c>
    </row>
    <row r="143" customFormat="false" ht="17.15" hidden="false" customHeight="false" outlineLevel="0" collapsed="false">
      <c r="A143" s="0" t="s">
        <v>1039</v>
      </c>
      <c r="B143" s="0" t="s">
        <v>98</v>
      </c>
      <c r="D143" s="6" t="n">
        <f aca="false">Q!L15</f>
        <v>17.315</v>
      </c>
      <c r="E143" s="6" t="n">
        <f aca="false">Q!M15</f>
        <v>17.087</v>
      </c>
      <c r="F143" s="6" t="n">
        <f aca="false">Q!$I$15+(Q!M15-Q!$E$15)*(1+Sens!F144)</f>
        <v>15.9912273250553</v>
      </c>
      <c r="G143" s="6" t="n">
        <f aca="false">Sens!F143*(1+Sens!G144)</f>
        <v>15.9574562664827</v>
      </c>
      <c r="H143" s="6" t="n">
        <f aca="false">Sens!G143*(1+Sens!H144)</f>
        <v>16.0119687434196</v>
      </c>
      <c r="I143" s="6" t="n">
        <f aca="false">Sens!H143*(1+Sens!I144)</f>
        <v>16.1551810001948</v>
      </c>
      <c r="J143" s="6" t="n">
        <f aca="false">Sens!I143*(1+Sens!J144)</f>
        <v>16.3889793892005</v>
      </c>
      <c r="K143" s="6" t="n">
        <f aca="false">Sens!J143*(1+Sens!K144)</f>
        <v>16.7167589769845</v>
      </c>
      <c r="L143" s="12" t="s">
        <v>1034</v>
      </c>
    </row>
    <row r="144" customFormat="false" ht="15" hidden="false" customHeight="false" outlineLevel="0" collapsed="false">
      <c r="A144" s="1" t="s">
        <v>1024</v>
      </c>
      <c r="B144" s="0" t="s">
        <v>168</v>
      </c>
      <c r="E144" s="7" t="n">
        <f aca="false">Sens!E143/Sens!D143-1</f>
        <v>-0.0131677736066995</v>
      </c>
      <c r="F144" s="7" t="n">
        <f aca="false">Sens!$E$144+(glt_win-Sens!$E$144)*MIN(1,(Sens!F82-base_fy)/n_conv)</f>
        <v>-0.00763981133891627</v>
      </c>
      <c r="G144" s="7" t="n">
        <f aca="false">Sens!$E$144+(glt_win-Sens!$E$144)*MIN(1,(Sens!G82-base_fy)/n_conv)</f>
        <v>-0.00211184907113301</v>
      </c>
      <c r="H144" s="7" t="n">
        <f aca="false">Sens!$E$144+(glt_win-Sens!$E$144)*MIN(1,(Sens!H82-base_fy)/n_conv)</f>
        <v>0.00341611319665024</v>
      </c>
      <c r="I144" s="7" t="n">
        <f aca="false">Sens!$E$144+(glt_win-Sens!$E$144)*MIN(1,(Sens!I82-base_fy)/n_conv)</f>
        <v>0.00894407546443349</v>
      </c>
      <c r="J144" s="7" t="n">
        <f aca="false">Sens!$E$144+(glt_win-Sens!$E$144)*MIN(1,(Sens!J82-base_fy)/n_conv)</f>
        <v>0.0144720377322168</v>
      </c>
      <c r="K144" s="7" t="n">
        <f aca="false">Sens!$E$144+(glt_win-Sens!$E$144)*MIN(1,(Sens!K82-base_fy)/n_conv)</f>
        <v>0.02</v>
      </c>
    </row>
    <row r="145" customFormat="false" ht="15" hidden="false" customHeight="false" outlineLevel="0" collapsed="false">
      <c r="A145" s="0" t="s">
        <v>866</v>
      </c>
      <c r="B145" s="0" t="s">
        <v>98</v>
      </c>
      <c r="D145" s="6" t="n">
        <f aca="false">Sens!D139+Sens!D141+Sens!D143</f>
        <v>62.941</v>
      </c>
      <c r="E145" s="6" t="n">
        <f aca="false">Sens!E139+Sens!E141+Sens!E143</f>
        <v>63.712</v>
      </c>
      <c r="F145" s="6" t="n">
        <f aca="false">Sens!F139+Sens!F141+Sens!F143</f>
        <v>64.3025149952511</v>
      </c>
      <c r="G145" s="6" t="n">
        <f aca="false">Sens!G139+Sens!G141+Sens!G143</f>
        <v>66.2756719305292</v>
      </c>
      <c r="H145" s="6" t="n">
        <f aca="false">Sens!H139+Sens!H141+Sens!H143</f>
        <v>68.7139736271804</v>
      </c>
      <c r="I145" s="6" t="n">
        <f aca="false">Sens!I139+Sens!I141+Sens!I143</f>
        <v>71.5446393194289</v>
      </c>
      <c r="J145" s="6" t="n">
        <f aca="false">Sens!J139+Sens!J141+Sens!J143</f>
        <v>74.707035000971</v>
      </c>
      <c r="K145" s="6" t="n">
        <f aca="false">Sens!K139+Sens!K141+Sens!K143</f>
        <v>78.1524145698365</v>
      </c>
    </row>
    <row r="146" customFormat="false" ht="15" hidden="false" customHeight="false" outlineLevel="0" collapsed="false">
      <c r="A146" s="1" t="s">
        <v>1040</v>
      </c>
      <c r="B146" s="0" t="s">
        <v>98</v>
      </c>
      <c r="D146" s="6" t="n">
        <f aca="false">Sens!D138+Sens!D145</f>
        <v>281.724</v>
      </c>
      <c r="E146" s="6" t="n">
        <f aca="false">Sens!E138+Sens!E145</f>
        <v>331.839</v>
      </c>
      <c r="F146" s="6" t="n">
        <f aca="false">Sens!F138+Sens!F145</f>
        <v>403.077230889628</v>
      </c>
      <c r="G146" s="6" t="n">
        <f aca="false">Sens!G138+Sens!G145</f>
        <v>491.783730467066</v>
      </c>
      <c r="H146" s="6" t="n">
        <f aca="false">Sens!H138+Sens!H145</f>
        <v>587.294787614101</v>
      </c>
      <c r="I146" s="6" t="n">
        <f aca="false">Sens!I138+Sens!I145</f>
        <v>668.612370626884</v>
      </c>
      <c r="J146" s="6" t="n">
        <f aca="false">Sens!J138+Sens!J145</f>
        <v>734.052825485026</v>
      </c>
      <c r="K146" s="6" t="n">
        <f aca="false">Sens!K138+Sens!K145</f>
        <v>786.111062567128</v>
      </c>
    </row>
    <row r="147" customFormat="false" ht="15" hidden="false" customHeight="false" outlineLevel="0" collapsed="false">
      <c r="A147" s="26" t="s">
        <v>1041</v>
      </c>
      <c r="B147" s="31" t="s">
        <v>98</v>
      </c>
      <c r="C147" s="31"/>
      <c r="D147" s="27" t="n">
        <f aca="false">(Sens!D126+Sens!D131+Sens!D132+Sens!D134+Sens!D136-Sens!D138)+(Sens!D139+Sens!D141+Sens!D143-Sens!D145)+(Sens!D138-Q!L5)+(Sens!D145-Q!L12)+(Sens!D126-Q!L6)+(Sens!D131-Q!L7)</f>
        <v>0</v>
      </c>
      <c r="E147" s="27" t="n">
        <f aca="false">(Sens!E126+Sens!E131+Sens!E132+Sens!E134+Sens!E136-Sens!E138)+(Sens!E139+Sens!E141+Sens!E143-Sens!E145)+(Sens!E138-Q!M5)+(Sens!E145-Q!M12)+(Sens!E126-Q!M6)+(Sens!E131-Q!M7)</f>
        <v>0</v>
      </c>
      <c r="F147" s="27" t="n">
        <f aca="false">(Sens!F126+Sens!F131+Sens!F132+Sens!F134+Sens!F136-Sens!F138)+(Sens!F139+Sens!F141+Sens!F143-Sens!F145)</f>
        <v>0</v>
      </c>
      <c r="G147" s="27" t="n">
        <f aca="false">(Sens!G126+Sens!G131+Sens!G132+Sens!G134+Sens!G136-Sens!G138)+(Sens!G139+Sens!G141+Sens!G143-Sens!G145)</f>
        <v>0</v>
      </c>
      <c r="H147" s="27" t="n">
        <f aca="false">(Sens!H126+Sens!H131+Sens!H132+Sens!H134+Sens!H136-Sens!H138)+(Sens!H139+Sens!H141+Sens!H143-Sens!H145)</f>
        <v>0</v>
      </c>
      <c r="I147" s="27" t="n">
        <f aca="false">(Sens!I126+Sens!I131+Sens!I132+Sens!I134+Sens!I136-Sens!I138)+(Sens!I139+Sens!I141+Sens!I143-Sens!I145)</f>
        <v>0</v>
      </c>
      <c r="J147" s="27" t="n">
        <f aca="false">(Sens!J126+Sens!J131+Sens!J132+Sens!J134+Sens!J136-Sens!J138)+(Sens!J139+Sens!J141+Sens!J143-Sens!J145)</f>
        <v>0</v>
      </c>
      <c r="K147" s="27" t="n">
        <f aca="false">(Sens!K126+Sens!K131+Sens!K132+Sens!K134+Sens!K136-Sens!K138)+(Sens!K139+Sens!K141+Sens!K143-Sens!K145)</f>
        <v>0</v>
      </c>
    </row>
    <row r="148" customFormat="false" ht="17.15" hidden="false" customHeight="false" outlineLevel="0" collapsed="false">
      <c r="A148" s="3" t="s">
        <v>1482</v>
      </c>
    </row>
    <row r="149" customFormat="false" ht="15" hidden="false" customHeight="false" outlineLevel="0" collapsed="false">
      <c r="A149" s="4" t="s">
        <v>43</v>
      </c>
      <c r="B149" s="4" t="s">
        <v>65</v>
      </c>
      <c r="C149" s="23" t="s">
        <v>938</v>
      </c>
      <c r="D149" s="23" t="s">
        <v>939</v>
      </c>
      <c r="E149" s="23" t="s">
        <v>940</v>
      </c>
      <c r="F149" s="23" t="s">
        <v>941</v>
      </c>
      <c r="G149" s="23" t="s">
        <v>942</v>
      </c>
      <c r="H149" s="23" t="s">
        <v>943</v>
      </c>
      <c r="I149" s="23" t="s">
        <v>944</v>
      </c>
      <c r="J149" s="23" t="s">
        <v>945</v>
      </c>
      <c r="K149" s="23" t="s">
        <v>946</v>
      </c>
      <c r="L149" s="4" t="s">
        <v>47</v>
      </c>
    </row>
    <row r="150" customFormat="false" ht="15" hidden="false" customHeight="false" outlineLevel="0" collapsed="false">
      <c r="A150" s="0" t="s">
        <v>1025</v>
      </c>
      <c r="B150" s="0" t="s">
        <v>98</v>
      </c>
      <c r="D150" s="6" t="n">
        <f aca="false">Sens!D126</f>
        <v>72.61</v>
      </c>
      <c r="E150" s="6" t="n">
        <f aca="false">Sens!E126</f>
        <v>101.938</v>
      </c>
      <c r="F150" s="6" t="n">
        <f aca="false">Sens!F126</f>
        <v>149.59001837225</v>
      </c>
      <c r="G150" s="6" t="n">
        <f aca="false">Sens!G126</f>
        <v>210.963087346352</v>
      </c>
      <c r="H150" s="6" t="n">
        <f aca="false">Sens!H126</f>
        <v>278.649709314524</v>
      </c>
      <c r="I150" s="6" t="n">
        <f aca="false">Sens!I126</f>
        <v>334.269404582332</v>
      </c>
      <c r="J150" s="6" t="n">
        <f aca="false">Sens!J126</f>
        <v>376.517293063672</v>
      </c>
      <c r="K150" s="6" t="n">
        <f aca="false">Sens!K126</f>
        <v>406.018092622804</v>
      </c>
    </row>
    <row r="151" customFormat="false" ht="17.15" hidden="false" customHeight="false" outlineLevel="0" collapsed="false">
      <c r="A151" s="0" t="s">
        <v>1021</v>
      </c>
      <c r="B151" s="0" t="s">
        <v>98</v>
      </c>
      <c r="D151" s="6" t="n">
        <f aca="false">Sens!D123</f>
        <v>12.9359794422418</v>
      </c>
      <c r="E151" s="6" t="n">
        <f aca="false">Sens!E123</f>
        <v>27.8095064661409</v>
      </c>
      <c r="F151" s="6" t="n">
        <f aca="false">Sens!F123</f>
        <v>59.1034165651511</v>
      </c>
      <c r="G151" s="6" t="n">
        <f aca="false">Sens!G123</f>
        <v>103.451498789198</v>
      </c>
      <c r="H151" s="6" t="n">
        <f aca="false">Sens!H123</f>
        <v>153.816719989035</v>
      </c>
      <c r="I151" s="6" t="n">
        <f aca="false">Sens!I123</f>
        <v>192.699478690852</v>
      </c>
      <c r="J151" s="6" t="n">
        <f aca="false">Sens!J123</f>
        <v>219.794102584244</v>
      </c>
      <c r="K151" s="6" t="n">
        <f aca="false">Sens!K123</f>
        <v>236.757046905022</v>
      </c>
    </row>
    <row r="152" customFormat="false" ht="17.15" hidden="false" customHeight="false" outlineLevel="0" collapsed="false">
      <c r="A152" s="0" t="s">
        <v>1052</v>
      </c>
      <c r="B152" s="0" t="s">
        <v>98</v>
      </c>
      <c r="D152" s="6" t="n">
        <f aca="false">Sens!D124</f>
        <v>59.6740205577583</v>
      </c>
      <c r="E152" s="6" t="n">
        <f aca="false">Sens!E124</f>
        <v>74.1284935338591</v>
      </c>
      <c r="F152" s="6" t="n">
        <f aca="false">Sens!F124</f>
        <v>90.4866018070994</v>
      </c>
      <c r="G152" s="6" t="n">
        <f aca="false">Sens!G124</f>
        <v>107.511588557154</v>
      </c>
      <c r="H152" s="6" t="n">
        <f aca="false">Sens!H124</f>
        <v>124.832989325489</v>
      </c>
      <c r="I152" s="6" t="n">
        <f aca="false">Sens!I124</f>
        <v>141.56992589148</v>
      </c>
      <c r="J152" s="6" t="n">
        <f aca="false">Sens!J124</f>
        <v>156.723190479428</v>
      </c>
      <c r="K152" s="6" t="n">
        <f aca="false">Sens!K124</f>
        <v>169.261045717783</v>
      </c>
    </row>
    <row r="153" customFormat="false" ht="15" hidden="false" customHeight="false" outlineLevel="0" collapsed="false">
      <c r="A153" s="0" t="s">
        <v>1032</v>
      </c>
      <c r="B153" s="0" t="s">
        <v>98</v>
      </c>
      <c r="D153" s="6" t="n">
        <f aca="false">Sens!D131</f>
        <v>84.605</v>
      </c>
      <c r="E153" s="6" t="n">
        <f aca="false">Sens!E131</f>
        <v>100.299</v>
      </c>
      <c r="F153" s="6" t="n">
        <f aca="false">Sens!F131</f>
        <v>119.729653205718</v>
      </c>
      <c r="G153" s="6" t="n">
        <f aca="false">Sens!G131</f>
        <v>140.806092647576</v>
      </c>
      <c r="H153" s="6" t="n">
        <f aca="false">Sens!H131</f>
        <v>161.963437602768</v>
      </c>
      <c r="I153" s="6" t="n">
        <f aca="false">Sens!I131</f>
        <v>180.695354741933</v>
      </c>
      <c r="J153" s="6" t="n">
        <f aca="false">Sens!J131</f>
        <v>196.722117481571</v>
      </c>
      <c r="K153" s="6" t="n">
        <f aca="false">Sens!K131</f>
        <v>212.00016570528</v>
      </c>
    </row>
    <row r="154" customFormat="false" ht="17.15" hidden="false" customHeight="false" outlineLevel="0" collapsed="false">
      <c r="A154" s="0" t="s">
        <v>1053</v>
      </c>
      <c r="B154" s="0" t="s">
        <v>98</v>
      </c>
      <c r="D154" s="6" t="n">
        <f aca="false">Sens!D129</f>
        <v>83.705</v>
      </c>
      <c r="E154" s="6" t="n">
        <f aca="false">Sens!E129</f>
        <v>95.049</v>
      </c>
      <c r="F154" s="6" t="n">
        <f aca="false">Sens!F129</f>
        <v>106.229653205718</v>
      </c>
      <c r="G154" s="6" t="n">
        <f aca="false">Sens!G129</f>
        <v>118.306092647576</v>
      </c>
      <c r="H154" s="6" t="n">
        <f aca="false">Sens!H129</f>
        <v>130.463437602768</v>
      </c>
      <c r="I154" s="6" t="n">
        <f aca="false">Sens!I129</f>
        <v>142.445354741933</v>
      </c>
      <c r="J154" s="6" t="n">
        <f aca="false">Sens!J129</f>
        <v>153.972117481571</v>
      </c>
      <c r="K154" s="6" t="n">
        <f aca="false">Sens!K129</f>
        <v>164.75016570528</v>
      </c>
    </row>
    <row r="155" customFormat="false" ht="17.15" hidden="false" customHeight="false" outlineLevel="0" collapsed="false">
      <c r="A155" s="0" t="s">
        <v>1054</v>
      </c>
      <c r="B155" s="0" t="s">
        <v>98</v>
      </c>
      <c r="D155" s="6" t="n">
        <f aca="false">Sens!D128</f>
        <v>0.9</v>
      </c>
      <c r="E155" s="6" t="n">
        <f aca="false">Sens!E128</f>
        <v>5.25</v>
      </c>
      <c r="F155" s="6" t="n">
        <f aca="false">Sens!F128</f>
        <v>13.5</v>
      </c>
      <c r="G155" s="6" t="n">
        <f aca="false">Sens!G128</f>
        <v>22.5</v>
      </c>
      <c r="H155" s="6" t="n">
        <f aca="false">Sens!H128</f>
        <v>31.5</v>
      </c>
      <c r="I155" s="6" t="n">
        <f aca="false">Sens!I128</f>
        <v>38.25</v>
      </c>
      <c r="J155" s="6" t="n">
        <f aca="false">Sens!J128</f>
        <v>42.75</v>
      </c>
      <c r="K155" s="6" t="n">
        <f aca="false">Sens!K128</f>
        <v>47.25</v>
      </c>
    </row>
    <row r="156" customFormat="false" ht="15" hidden="false" customHeight="false" outlineLevel="0" collapsed="false">
      <c r="A156" s="0" t="s">
        <v>1033</v>
      </c>
      <c r="B156" s="0" t="s">
        <v>98</v>
      </c>
      <c r="D156" s="6" t="n">
        <f aca="false">Sens!D132</f>
        <v>35.391</v>
      </c>
      <c r="E156" s="6" t="n">
        <f aca="false">Sens!E132</f>
        <v>37.285</v>
      </c>
      <c r="F156" s="6" t="n">
        <f aca="false">Sens!F132</f>
        <v>38.3851437782675</v>
      </c>
      <c r="G156" s="6" t="n">
        <f aca="false">Sens!G132</f>
        <v>40.0105353288615</v>
      </c>
      <c r="H156" s="6" t="n">
        <f aca="false">Sens!H132</f>
        <v>41.4812512033683</v>
      </c>
      <c r="I156" s="6" t="n">
        <f aca="false">Sens!I132</f>
        <v>42.7743107216329</v>
      </c>
      <c r="J156" s="6" t="n">
        <f aca="false">Sens!J132</f>
        <v>43.8687373064601</v>
      </c>
      <c r="K156" s="6" t="n">
        <f aca="false">Sens!K132</f>
        <v>44.7461120525893</v>
      </c>
    </row>
    <row r="157" customFormat="false" ht="15" hidden="false" customHeight="false" outlineLevel="0" collapsed="false">
      <c r="A157" s="0" t="s">
        <v>1035</v>
      </c>
      <c r="B157" s="0" t="s">
        <v>98</v>
      </c>
      <c r="D157" s="6" t="n">
        <f aca="false">Sens!D134</f>
        <v>18.417</v>
      </c>
      <c r="E157" s="6" t="n">
        <f aca="false">Sens!E134</f>
        <v>20.345</v>
      </c>
      <c r="F157" s="6" t="n">
        <f aca="false">Sens!F134</f>
        <v>22.3161797133988</v>
      </c>
      <c r="G157" s="6" t="n">
        <f aca="false">Sens!G134</f>
        <v>24.3943499673233</v>
      </c>
      <c r="H157" s="6" t="n">
        <f aca="false">Sens!H134</f>
        <v>26.5250243109019</v>
      </c>
      <c r="I157" s="6" t="n">
        <f aca="false">Sens!I134</f>
        <v>28.6884573538181</v>
      </c>
      <c r="J157" s="6" t="n">
        <f aca="false">Sens!J134</f>
        <v>30.8624968052127</v>
      </c>
      <c r="K157" s="6" t="n">
        <f aca="false">Sens!K134</f>
        <v>33.0228715815776</v>
      </c>
    </row>
    <row r="158" customFormat="false" ht="15" hidden="false" customHeight="false" outlineLevel="0" collapsed="false">
      <c r="A158" s="0" t="s">
        <v>1036</v>
      </c>
      <c r="B158" s="0" t="s">
        <v>98</v>
      </c>
      <c r="D158" s="6" t="n">
        <f aca="false">Sens!D136</f>
        <v>7.76</v>
      </c>
      <c r="E158" s="6" t="n">
        <f aca="false">Sens!E136</f>
        <v>8.26</v>
      </c>
      <c r="F158" s="6" t="n">
        <f aca="false">Sens!F136</f>
        <v>8.75372082474227</v>
      </c>
      <c r="G158" s="6" t="n">
        <f aca="false">Sens!G136</f>
        <v>9.33399324642364</v>
      </c>
      <c r="H158" s="6" t="n">
        <f aca="false">Sens!H136</f>
        <v>9.96139155535851</v>
      </c>
      <c r="I158" s="6" t="n">
        <f aca="false">Sens!I136</f>
        <v>10.6402039077391</v>
      </c>
      <c r="J158" s="6" t="n">
        <f aca="false">Sens!J136</f>
        <v>11.3751458271397</v>
      </c>
      <c r="K158" s="6" t="n">
        <f aca="false">Sens!K136</f>
        <v>12.1714060350394</v>
      </c>
    </row>
    <row r="159" customFormat="false" ht="15" hidden="false" customHeight="false" outlineLevel="0" collapsed="false">
      <c r="A159" s="0" t="s">
        <v>852</v>
      </c>
      <c r="B159" s="0" t="s">
        <v>98</v>
      </c>
      <c r="D159" s="6" t="n">
        <f aca="false">Sens!D138</f>
        <v>218.783</v>
      </c>
      <c r="E159" s="6" t="n">
        <f aca="false">Sens!E138</f>
        <v>268.127</v>
      </c>
      <c r="F159" s="6" t="n">
        <f aca="false">Sens!F138</f>
        <v>338.774715894377</v>
      </c>
      <c r="G159" s="6" t="n">
        <f aca="false">Sens!G138</f>
        <v>425.508058536537</v>
      </c>
      <c r="H159" s="6" t="n">
        <f aca="false">Sens!H138</f>
        <v>518.580813986921</v>
      </c>
      <c r="I159" s="6" t="n">
        <f aca="false">Sens!I138</f>
        <v>597.067731307455</v>
      </c>
      <c r="J159" s="6" t="n">
        <f aca="false">Sens!J138</f>
        <v>659.345790484055</v>
      </c>
      <c r="K159" s="6" t="n">
        <f aca="false">Sens!K138</f>
        <v>707.958647997291</v>
      </c>
    </row>
    <row r="160" customFormat="false" ht="15" hidden="false" customHeight="false" outlineLevel="0" collapsed="false">
      <c r="A160" s="0" t="s">
        <v>1037</v>
      </c>
      <c r="B160" s="0" t="s">
        <v>98</v>
      </c>
      <c r="D160" s="6" t="n">
        <f aca="false">Sens!D139</f>
        <v>22.171</v>
      </c>
      <c r="E160" s="6" t="n">
        <f aca="false">Sens!E139</f>
        <v>24.835</v>
      </c>
      <c r="F160" s="6" t="n">
        <f aca="false">Sens!F139</f>
        <v>27.5591895660247</v>
      </c>
      <c r="G160" s="6" t="n">
        <f aca="false">Sens!G139</f>
        <v>30.4098563144583</v>
      </c>
      <c r="H160" s="6" t="n">
        <f aca="false">Sens!H139</f>
        <v>33.3011792571777</v>
      </c>
      <c r="I160" s="6" t="n">
        <f aca="false">Sens!I139</f>
        <v>36.189023797112</v>
      </c>
      <c r="J160" s="6" t="n">
        <f aca="false">Sens!J139</f>
        <v>39.0247773769199</v>
      </c>
      <c r="K160" s="6" t="n">
        <f aca="false">Sens!K139</f>
        <v>41.7565117933043</v>
      </c>
    </row>
    <row r="161" customFormat="false" ht="15" hidden="false" customHeight="false" outlineLevel="0" collapsed="false">
      <c r="A161" s="0" t="s">
        <v>1038</v>
      </c>
      <c r="B161" s="0" t="s">
        <v>98</v>
      </c>
      <c r="D161" s="6" t="n">
        <f aca="false">Sens!D141</f>
        <v>23.455</v>
      </c>
      <c r="E161" s="6" t="n">
        <f aca="false">Sens!E141</f>
        <v>21.79</v>
      </c>
      <c r="F161" s="6" t="n">
        <f aca="false">Sens!F141</f>
        <v>20.7520981041711</v>
      </c>
      <c r="G161" s="6" t="n">
        <f aca="false">Sens!G141</f>
        <v>19.9083593495882</v>
      </c>
      <c r="H161" s="6" t="n">
        <f aca="false">Sens!H141</f>
        <v>19.4008256265831</v>
      </c>
      <c r="I161" s="6" t="n">
        <f aca="false">Sens!I141</f>
        <v>19.200434522122</v>
      </c>
      <c r="J161" s="6" t="n">
        <f aca="false">Sens!J141</f>
        <v>19.2932782348507</v>
      </c>
      <c r="K161" s="6" t="n">
        <f aca="false">Sens!K141</f>
        <v>19.6791437995477</v>
      </c>
    </row>
    <row r="162" customFormat="false" ht="15" hidden="false" customHeight="false" outlineLevel="0" collapsed="false">
      <c r="A162" s="0" t="s">
        <v>1039</v>
      </c>
      <c r="B162" s="0" t="s">
        <v>98</v>
      </c>
      <c r="D162" s="6" t="n">
        <f aca="false">Sens!D143</f>
        <v>17.315</v>
      </c>
      <c r="E162" s="6" t="n">
        <f aca="false">Sens!E143</f>
        <v>17.087</v>
      </c>
      <c r="F162" s="6" t="n">
        <f aca="false">Sens!F143</f>
        <v>15.9912273250553</v>
      </c>
      <c r="G162" s="6" t="n">
        <f aca="false">Sens!G143</f>
        <v>15.9574562664827</v>
      </c>
      <c r="H162" s="6" t="n">
        <f aca="false">Sens!H143</f>
        <v>16.0119687434196</v>
      </c>
      <c r="I162" s="6" t="n">
        <f aca="false">Sens!I143</f>
        <v>16.1551810001948</v>
      </c>
      <c r="J162" s="6" t="n">
        <f aca="false">Sens!J143</f>
        <v>16.3889793892005</v>
      </c>
      <c r="K162" s="6" t="n">
        <f aca="false">Sens!K143</f>
        <v>16.7167589769845</v>
      </c>
    </row>
    <row r="163" customFormat="false" ht="15" hidden="false" customHeight="false" outlineLevel="0" collapsed="false">
      <c r="A163" s="0" t="s">
        <v>866</v>
      </c>
      <c r="B163" s="0" t="s">
        <v>98</v>
      </c>
      <c r="D163" s="6" t="n">
        <f aca="false">Sens!D145</f>
        <v>62.941</v>
      </c>
      <c r="E163" s="6" t="n">
        <f aca="false">Sens!E145</f>
        <v>63.712</v>
      </c>
      <c r="F163" s="6" t="n">
        <f aca="false">Sens!F145</f>
        <v>64.3025149952511</v>
      </c>
      <c r="G163" s="6" t="n">
        <f aca="false">Sens!G145</f>
        <v>66.2756719305292</v>
      </c>
      <c r="H163" s="6" t="n">
        <f aca="false">Sens!H145</f>
        <v>68.7139736271804</v>
      </c>
      <c r="I163" s="6" t="n">
        <f aca="false">Sens!I145</f>
        <v>71.5446393194289</v>
      </c>
      <c r="J163" s="6" t="n">
        <f aca="false">Sens!J145</f>
        <v>74.707035000971</v>
      </c>
      <c r="K163" s="6" t="n">
        <f aca="false">Sens!K145</f>
        <v>78.1524145698365</v>
      </c>
    </row>
    <row r="164" customFormat="false" ht="15" hidden="false" customHeight="false" outlineLevel="0" collapsed="false">
      <c r="A164" s="1" t="s">
        <v>1055</v>
      </c>
      <c r="B164" s="0" t="s">
        <v>98</v>
      </c>
      <c r="D164" s="6" t="n">
        <f aca="false">Sens!D146</f>
        <v>281.724</v>
      </c>
      <c r="E164" s="6" t="n">
        <f aca="false">Sens!E146</f>
        <v>331.839</v>
      </c>
      <c r="F164" s="6" t="n">
        <f aca="false">Sens!F146</f>
        <v>403.077230889628</v>
      </c>
      <c r="G164" s="6" t="n">
        <f aca="false">Sens!G146</f>
        <v>491.783730467066</v>
      </c>
      <c r="H164" s="6" t="n">
        <f aca="false">Sens!H146</f>
        <v>587.294787614101</v>
      </c>
      <c r="I164" s="6" t="n">
        <f aca="false">Sens!I146</f>
        <v>668.612370626884</v>
      </c>
      <c r="J164" s="6" t="n">
        <f aca="false">Sens!J146</f>
        <v>734.052825485026</v>
      </c>
      <c r="K164" s="6" t="n">
        <f aca="false">Sens!K146</f>
        <v>786.111062567128</v>
      </c>
    </row>
    <row r="165" customFormat="false" ht="15" hidden="false" customHeight="false" outlineLevel="0" collapsed="false">
      <c r="A165" s="1" t="s">
        <v>1056</v>
      </c>
      <c r="B165" s="0" t="s">
        <v>168</v>
      </c>
      <c r="E165" s="7" t="n">
        <f aca="false">Sens!E164/Sens!D164-1</f>
        <v>0.177886867998467</v>
      </c>
      <c r="F165" s="7" t="n">
        <f aca="false">Sens!F164/Sens!E164-1</f>
        <v>0.21467709006364</v>
      </c>
      <c r="G165" s="7" t="n">
        <f aca="false">Sens!G164/Sens!F164-1</f>
        <v>0.220073208753704</v>
      </c>
      <c r="H165" s="7" t="n">
        <f aca="false">Sens!H164/Sens!G164-1</f>
        <v>0.194213535808362</v>
      </c>
      <c r="I165" s="7" t="n">
        <f aca="false">Sens!I164/Sens!H164-1</f>
        <v>0.13846127145643</v>
      </c>
      <c r="J165" s="7" t="n">
        <f aca="false">Sens!J164/Sens!I164-1</f>
        <v>0.0978750285412546</v>
      </c>
      <c r="K165" s="7" t="n">
        <f aca="false">Sens!K164/Sens!J164-1</f>
        <v>0.0709189247350204</v>
      </c>
    </row>
    <row r="166" customFormat="false" ht="17.15" hidden="false" customHeight="false" outlineLevel="0" collapsed="false">
      <c r="A166" s="26" t="s">
        <v>1057</v>
      </c>
      <c r="B166" s="31" t="s">
        <v>98</v>
      </c>
      <c r="C166" s="31"/>
      <c r="D166" s="27" t="n">
        <f aca="false">(Sens!D159+Sens!D163-Sens!D164)+(Sens!D151+Sens!D152-Sens!D150)+(Sens!D154+Sens!D155-Sens!D153)+(Sens!D164-Q!L18)</f>
        <v>0</v>
      </c>
      <c r="E166" s="27" t="n">
        <f aca="false">(Sens!E159+Sens!E163-Sens!E164)+(Sens!E151+Sens!E152-Sens!E150)+(Sens!E154+Sens!E155-Sens!E153)+(Sens!E164-Q!M18)</f>
        <v>0</v>
      </c>
      <c r="F166" s="27" t="n">
        <f aca="false">(Sens!F159+Sens!F163-Sens!F164)+(Sens!F151+Sens!F152-Sens!F150)+(Sens!F154+Sens!F155-Sens!F153)</f>
        <v>0</v>
      </c>
      <c r="G166" s="27" t="n">
        <f aca="false">(Sens!G159+Sens!G163-Sens!G164)+(Sens!G151+Sens!G152-Sens!G150)+(Sens!G154+Sens!G155-Sens!G153)</f>
        <v>0</v>
      </c>
      <c r="H166" s="27" t="n">
        <f aca="false">(Sens!H159+Sens!H163-Sens!H164)+(Sens!H151+Sens!H152-Sens!H150)+(Sens!H154+Sens!H155-Sens!H153)</f>
        <v>0</v>
      </c>
      <c r="I166" s="27" t="n">
        <f aca="false">(Sens!I159+Sens!I163-Sens!I164)+(Sens!I151+Sens!I152-Sens!I150)+(Sens!I154+Sens!I155-Sens!I153)</f>
        <v>0</v>
      </c>
      <c r="J166" s="27" t="n">
        <f aca="false">(Sens!J159+Sens!J163-Sens!J164)+(Sens!J151+Sens!J152-Sens!J150)+(Sens!J154+Sens!J155-Sens!J153)</f>
        <v>0</v>
      </c>
      <c r="K166" s="27" t="n">
        <f aca="false">(Sens!K159+Sens!K163-Sens!K164)+(Sens!K151+Sens!K152-Sens!K150)+(Sens!K154+Sens!K155-Sens!K153)</f>
        <v>0</v>
      </c>
    </row>
    <row r="167" customFormat="false" ht="17.15" hidden="false" customHeight="false" outlineLevel="0" collapsed="false">
      <c r="A167" s="0" t="s">
        <v>1058</v>
      </c>
      <c r="B167" s="0" t="s">
        <v>168</v>
      </c>
      <c r="E167" s="7" t="n">
        <f aca="false">(Q!M21+Sens!E103+Sens!E104+Sens!E105+Sens!E119-Sens!E101)/(Q!M5-Sens!E101)</f>
        <v>0.570957350878296</v>
      </c>
      <c r="F167" s="7" t="n">
        <f aca="false">Sens!$E$167+dm_seg</f>
        <v>0.570957350878296</v>
      </c>
      <c r="G167" s="7" t="n">
        <f aca="false">Sens!$E$167+dm_seg</f>
        <v>0.570957350878296</v>
      </c>
      <c r="H167" s="7" t="n">
        <f aca="false">Sens!$E$167+dm_seg</f>
        <v>0.570957350878296</v>
      </c>
      <c r="I167" s="7" t="n">
        <f aca="false">Sens!$E$167+dm_seg</f>
        <v>0.570957350878296</v>
      </c>
      <c r="J167" s="7" t="n">
        <f aca="false">Sens!$E$167+dm_seg</f>
        <v>0.570957350878296</v>
      </c>
      <c r="K167" s="7" t="n">
        <f aca="false">Sens!$E$167+dm_seg</f>
        <v>0.570957350878296</v>
      </c>
      <c r="L167" s="12" t="s">
        <v>1059</v>
      </c>
    </row>
    <row r="168" customFormat="false" ht="17.15" hidden="false" customHeight="false" outlineLevel="0" collapsed="false">
      <c r="A168" s="0" t="s">
        <v>880</v>
      </c>
      <c r="B168" s="0" t="s">
        <v>98</v>
      </c>
      <c r="D168" s="6" t="n">
        <f aca="false">Q!L21</f>
        <v>110.814</v>
      </c>
      <c r="E168" s="6" t="n">
        <f aca="false">Q!M21</f>
        <v>136.365</v>
      </c>
      <c r="F168" s="6" t="n">
        <f aca="false">Q!$I$21+(Sens!F167*(Sens!F138-Sens!F101)+Sens!F101-(Sens!F103+Sens!F104+Sens!F105)-Sens!F119-Sens!F202)*(Sens!F138-Q!$I$5)/Sens!F138</f>
        <v>165.518940289865</v>
      </c>
      <c r="G168" s="6" t="n">
        <f aca="false">(Sens!G167*(Sens!G138-Sens!G101)+Sens!G101-(Sens!G103+Sens!G104+Sens!G105)-Sens!G119-Sens!G202)</f>
        <v>191.522093802735</v>
      </c>
      <c r="H168" s="6" t="n">
        <f aca="false">(Sens!H167*(Sens!H138-Sens!H101)+Sens!H101-(Sens!H103+Sens!H104+Sens!H105)-Sens!H119-Sens!H202)</f>
        <v>225.776483596689</v>
      </c>
      <c r="I168" s="6" t="n">
        <f aca="false">(Sens!I167*(Sens!I138-Sens!I101)+Sens!I101-(Sens!I103+Sens!I104+Sens!I105)-Sens!I119-Sens!I202)</f>
        <v>251.64174329374</v>
      </c>
      <c r="J168" s="6" t="n">
        <f aca="false">(Sens!J167*(Sens!J138-Sens!J101)+Sens!J101-(Sens!J103+Sens!J104+Sens!J105)-Sens!J119-Sens!J202)</f>
        <v>273.893745224048</v>
      </c>
      <c r="K168" s="6" t="n">
        <f aca="false">(Sens!K167*(Sens!K138-Sens!K101)+Sens!K101-(Sens!K103+Sens!K104+Sens!K105)-Sens!K119-Sens!K202)</f>
        <v>293.874045571005</v>
      </c>
      <c r="L168" s="1" t="s">
        <v>1060</v>
      </c>
    </row>
    <row r="169" customFormat="false" ht="17.15" hidden="false" customHeight="false" outlineLevel="0" collapsed="false">
      <c r="A169" s="0" t="s">
        <v>1061</v>
      </c>
      <c r="B169" s="0" t="s">
        <v>168</v>
      </c>
      <c r="E169" s="7" t="n">
        <f aca="false">Q!M22/Q!M12</f>
        <v>0.296207935710698</v>
      </c>
      <c r="F169" s="7" t="n">
        <f aca="false">Sens!$E$169+dm_seg</f>
        <v>0.296207935710698</v>
      </c>
      <c r="G169" s="7" t="n">
        <f aca="false">Sens!$E$169+dm_seg</f>
        <v>0.296207935710698</v>
      </c>
      <c r="H169" s="7" t="n">
        <f aca="false">Sens!$E$169+dm_seg</f>
        <v>0.296207935710698</v>
      </c>
      <c r="I169" s="7" t="n">
        <f aca="false">Sens!$E$169+dm_seg</f>
        <v>0.296207935710698</v>
      </c>
      <c r="J169" s="7" t="n">
        <f aca="false">Sens!$E$169+dm_seg</f>
        <v>0.296207935710698</v>
      </c>
      <c r="K169" s="7" t="n">
        <f aca="false">Sens!$E$169+dm_seg</f>
        <v>0.296207935710698</v>
      </c>
      <c r="L169" s="12" t="s">
        <v>1062</v>
      </c>
    </row>
    <row r="170" customFormat="false" ht="17.15" hidden="false" customHeight="false" outlineLevel="0" collapsed="false">
      <c r="A170" s="0" t="s">
        <v>882</v>
      </c>
      <c r="B170" s="0" t="s">
        <v>98</v>
      </c>
      <c r="D170" s="6" t="n">
        <f aca="false">Q!L22</f>
        <v>17.714</v>
      </c>
      <c r="E170" s="6" t="n">
        <f aca="false">Q!M22</f>
        <v>18.872</v>
      </c>
      <c r="F170" s="6" t="n">
        <f aca="false">Q!$I$22+(Sens!F145-Q!$I$12)*Sens!F169</f>
        <v>19.8174315512051</v>
      </c>
      <c r="G170" s="6" t="n">
        <f aca="false">Sens!G145*Sens!G169</f>
        <v>19.6313799703815</v>
      </c>
      <c r="H170" s="6" t="n">
        <f aca="false">Sens!H145*Sens!H169</f>
        <v>20.3536242825865</v>
      </c>
      <c r="I170" s="6" t="n">
        <f aca="false">Sens!I145*Sens!I169</f>
        <v>21.1920899239745</v>
      </c>
      <c r="J170" s="6" t="n">
        <f aca="false">Sens!J145*Sens!J169</f>
        <v>22.1288166207045</v>
      </c>
      <c r="K170" s="6" t="n">
        <f aca="false">Sens!K145*Sens!K169</f>
        <v>23.1493653905379</v>
      </c>
      <c r="L170" s="12" t="s">
        <v>1063</v>
      </c>
    </row>
    <row r="171" customFormat="false" ht="15" hidden="false" customHeight="false" outlineLevel="0" collapsed="false">
      <c r="A171" s="1" t="s">
        <v>1064</v>
      </c>
      <c r="B171" s="0" t="s">
        <v>98</v>
      </c>
      <c r="D171" s="6" t="n">
        <f aca="false">Sens!D168+Sens!D170</f>
        <v>128.528</v>
      </c>
      <c r="E171" s="6" t="n">
        <f aca="false">Sens!E168+Sens!E170</f>
        <v>155.237</v>
      </c>
      <c r="F171" s="6" t="n">
        <f aca="false">Sens!F168+Sens!F170</f>
        <v>185.33637184107</v>
      </c>
      <c r="G171" s="6" t="n">
        <f aca="false">Sens!G168+Sens!G170</f>
        <v>211.153473773117</v>
      </c>
      <c r="H171" s="6" t="n">
        <f aca="false">Sens!H168+Sens!H170</f>
        <v>246.130107879275</v>
      </c>
      <c r="I171" s="6" t="n">
        <f aca="false">Sens!I168+Sens!I170</f>
        <v>272.833833217714</v>
      </c>
      <c r="J171" s="6" t="n">
        <f aca="false">Sens!J168+Sens!J170</f>
        <v>296.022561844752</v>
      </c>
      <c r="K171" s="6" t="n">
        <f aca="false">Sens!K168+Sens!K170</f>
        <v>317.023410961543</v>
      </c>
    </row>
    <row r="172" customFormat="false" ht="15" hidden="false" customHeight="false" outlineLevel="0" collapsed="false">
      <c r="A172" s="26" t="s">
        <v>1065</v>
      </c>
      <c r="B172" s="31" t="s">
        <v>98</v>
      </c>
      <c r="C172" s="31"/>
      <c r="D172" s="27" t="n">
        <f aca="false">Sens!D171-Q!L23</f>
        <v>0</v>
      </c>
      <c r="E172" s="27" t="n">
        <f aca="false">Sens!E171-Q!M23</f>
        <v>0</v>
      </c>
      <c r="F172" s="31"/>
      <c r="G172" s="31"/>
      <c r="H172" s="31"/>
      <c r="I172" s="31"/>
      <c r="J172" s="31"/>
      <c r="K172" s="31"/>
    </row>
    <row r="173" customFormat="false" ht="15" hidden="false" customHeight="false" outlineLevel="0" collapsed="false">
      <c r="A173" s="1" t="s">
        <v>1066</v>
      </c>
      <c r="B173" s="0" t="s">
        <v>168</v>
      </c>
      <c r="D173" s="7" t="n">
        <f aca="false">Sens!D171/Sens!D164</f>
        <v>0.456219562408598</v>
      </c>
      <c r="E173" s="7" t="n">
        <f aca="false">Sens!E171/Sens!E164</f>
        <v>0.467808184089272</v>
      </c>
      <c r="F173" s="7" t="n">
        <f aca="false">Sens!F171/Sens!F164</f>
        <v>0.45980362480911</v>
      </c>
      <c r="G173" s="7" t="n">
        <f aca="false">Sens!G171/Sens!G164</f>
        <v>0.429362462992779</v>
      </c>
      <c r="H173" s="7" t="n">
        <f aca="false">Sens!H171/Sens!H164</f>
        <v>0.419091252076636</v>
      </c>
      <c r="I173" s="7" t="n">
        <f aca="false">Sens!I171/Sens!I164</f>
        <v>0.408059804460256</v>
      </c>
      <c r="J173" s="7" t="n">
        <f aca="false">Sens!J171/Sens!J164</f>
        <v>0.403271469800767</v>
      </c>
      <c r="K173" s="7" t="n">
        <f aca="false">Sens!K171/Sens!K164</f>
        <v>0.403280689024106</v>
      </c>
    </row>
    <row r="174" customFormat="false" ht="17.15" hidden="false" customHeight="false" outlineLevel="0" collapsed="false">
      <c r="A174" s="1" t="s">
        <v>1067</v>
      </c>
      <c r="B174" s="0" t="s">
        <v>98</v>
      </c>
      <c r="F174" s="6" t="n">
        <f aca="false">Sens!F189</f>
        <v>0</v>
      </c>
      <c r="G174" s="6" t="n">
        <f aca="false">Sens!G189</f>
        <v>0</v>
      </c>
      <c r="H174" s="6" t="n">
        <f aca="false">Sens!H189</f>
        <v>0</v>
      </c>
      <c r="I174" s="6" t="n">
        <f aca="false">Sens!I189</f>
        <v>0</v>
      </c>
      <c r="J174" s="6" t="n">
        <f aca="false">Sens!J189</f>
        <v>0</v>
      </c>
      <c r="K174" s="6" t="n">
        <f aca="false">Sens!K189</f>
        <v>0</v>
      </c>
      <c r="L174" s="1" t="s">
        <v>1068</v>
      </c>
    </row>
    <row r="175" customFormat="false" ht="17.15" hidden="false" customHeight="false" outlineLevel="0" collapsed="false">
      <c r="A175" s="1" t="s">
        <v>1069</v>
      </c>
      <c r="B175" s="0" t="s">
        <v>98</v>
      </c>
      <c r="D175" s="6" t="n">
        <f aca="false">Sens!D171</f>
        <v>128.528</v>
      </c>
      <c r="E175" s="6" t="n">
        <f aca="false">Sens!E171</f>
        <v>155.237</v>
      </c>
      <c r="F175" s="6" t="n">
        <f aca="false">Sens!F171+Sens!F174</f>
        <v>185.33637184107</v>
      </c>
      <c r="G175" s="6" t="n">
        <f aca="false">Sens!G171+Sens!G174</f>
        <v>211.153473773117</v>
      </c>
      <c r="H175" s="6" t="n">
        <f aca="false">Sens!H171+Sens!H174</f>
        <v>246.130107879275</v>
      </c>
      <c r="I175" s="6" t="n">
        <f aca="false">Sens!I171+Sens!I174</f>
        <v>272.833833217714</v>
      </c>
      <c r="J175" s="6" t="n">
        <f aca="false">Sens!J171+Sens!J174</f>
        <v>296.022561844752</v>
      </c>
      <c r="K175" s="6" t="n">
        <f aca="false">Sens!K171+Sens!K174</f>
        <v>317.023410961543</v>
      </c>
    </row>
    <row r="176" customFormat="false" ht="17.15" hidden="false" customHeight="false" outlineLevel="0" collapsed="false">
      <c r="A176" s="1" t="s">
        <v>1070</v>
      </c>
      <c r="B176" s="0" t="s">
        <v>98</v>
      </c>
      <c r="E176" s="6" t="n">
        <f aca="false">Sens!E119</f>
        <v>16.3054059770833</v>
      </c>
      <c r="F176" s="6" t="n">
        <f aca="false">Sens!F119</f>
        <v>34.5793144783516</v>
      </c>
      <c r="G176" s="6" t="n">
        <f aca="false">Sens!G119</f>
        <v>60.7344906522989</v>
      </c>
      <c r="H176" s="6" t="n">
        <f aca="false">Sens!H119</f>
        <v>89.1000906614457</v>
      </c>
      <c r="I176" s="6" t="n">
        <f aca="false">Sens!I119</f>
        <v>114.231009694548</v>
      </c>
      <c r="J176" s="6" t="n">
        <f aca="false">Sens!J119</f>
        <v>132.015673049596</v>
      </c>
      <c r="K176" s="6" t="n">
        <f aca="false">Sens!K119</f>
        <v>143.012669550934</v>
      </c>
    </row>
    <row r="177" customFormat="false" ht="17.15" hidden="false" customHeight="false" outlineLevel="0" collapsed="false">
      <c r="A177" s="1" t="s">
        <v>1071</v>
      </c>
      <c r="B177" s="0" t="s">
        <v>98</v>
      </c>
      <c r="E177" s="6" t="n">
        <f aca="false">Sens!E201</f>
        <v>22.2285940229167</v>
      </c>
      <c r="F177" s="6" t="n">
        <f aca="false">Sens!F201</f>
        <v>23.580344216413</v>
      </c>
      <c r="G177" s="6" t="n">
        <f aca="false">Sens!G201</f>
        <v>25.3801415764809</v>
      </c>
      <c r="H177" s="6" t="n">
        <f aca="false">Sens!H201</f>
        <v>27.5964639802758</v>
      </c>
      <c r="I177" s="6" t="n">
        <f aca="false">Sens!I201</f>
        <v>30.152940612192</v>
      </c>
      <c r="J177" s="6" t="n">
        <f aca="false">Sens!J201</f>
        <v>32.9575022150393</v>
      </c>
      <c r="K177" s="6" t="n">
        <f aca="false">Sens!K201</f>
        <v>35.9256779798081</v>
      </c>
    </row>
    <row r="178" customFormat="false" ht="17.15" hidden="false" customHeight="false" outlineLevel="0" collapsed="false">
      <c r="A178" s="1" t="s">
        <v>1072</v>
      </c>
      <c r="B178" s="0" t="s">
        <v>98</v>
      </c>
      <c r="D178" s="6" t="n">
        <f aca="false">Q!L27</f>
        <v>-4.901</v>
      </c>
      <c r="E178" s="6" t="n">
        <f aca="false">Q!M27</f>
        <v>10.697</v>
      </c>
      <c r="F178" s="6" t="n">
        <f aca="false">Q!$I$27+oie_f*(q_per_yr-1)/q_per_yr</f>
        <v>-0.862</v>
      </c>
      <c r="G178" s="6" t="n">
        <f aca="false">oie_f</f>
        <v>-1.2</v>
      </c>
      <c r="H178" s="6" t="n">
        <f aca="false">oie_f</f>
        <v>-1.2</v>
      </c>
      <c r="I178" s="6" t="n">
        <f aca="false">oie_f</f>
        <v>-1.2</v>
      </c>
      <c r="J178" s="6" t="n">
        <f aca="false">oie_f</f>
        <v>-1.2</v>
      </c>
      <c r="K178" s="6" t="n">
        <f aca="false">oie_f</f>
        <v>-1.2</v>
      </c>
      <c r="L178" s="12" t="s">
        <v>1073</v>
      </c>
    </row>
    <row r="179" customFormat="false" ht="15" hidden="false" customHeight="false" outlineLevel="0" collapsed="false">
      <c r="A179" s="1" t="s">
        <v>1074</v>
      </c>
      <c r="B179" s="0" t="s">
        <v>98</v>
      </c>
      <c r="D179" s="6" t="n">
        <f aca="false">Sens!D171+Sens!D178</f>
        <v>123.627</v>
      </c>
      <c r="E179" s="6" t="n">
        <f aca="false">Sens!E171+Sens!E178</f>
        <v>165.934</v>
      </c>
      <c r="F179" s="6" t="n">
        <f aca="false">Sens!F171+Sens!F178</f>
        <v>184.47437184107</v>
      </c>
      <c r="G179" s="6" t="n">
        <f aca="false">Sens!G171+Sens!G178</f>
        <v>209.953473773117</v>
      </c>
      <c r="H179" s="6" t="n">
        <f aca="false">Sens!H171+Sens!H178</f>
        <v>244.930107879275</v>
      </c>
      <c r="I179" s="6" t="n">
        <f aca="false">Sens!I171+Sens!I178</f>
        <v>271.633833217714</v>
      </c>
      <c r="J179" s="6" t="n">
        <f aca="false">Sens!J171+Sens!J178</f>
        <v>294.822561844752</v>
      </c>
      <c r="K179" s="6" t="n">
        <f aca="false">Sens!K171+Sens!K178</f>
        <v>315.823410961543</v>
      </c>
    </row>
    <row r="180" customFormat="false" ht="15" hidden="false" customHeight="false" outlineLevel="0" collapsed="false">
      <c r="A180" s="1" t="s">
        <v>1075</v>
      </c>
      <c r="B180" s="0" t="s">
        <v>98</v>
      </c>
      <c r="D180" s="6" t="n">
        <f aca="false">Q!L29</f>
        <v>21.795</v>
      </c>
      <c r="E180" s="6" t="n">
        <f aca="false">Q!M29</f>
        <v>32.185</v>
      </c>
      <c r="F180" s="6" t="n">
        <f aca="false">Q!$I$29+(Sens!F179-Q!$I$28)*tax_f</f>
        <v>37.0282743682139</v>
      </c>
      <c r="G180" s="6" t="n">
        <f aca="false">Sens!G179*tax_f</f>
        <v>41.9906947546233</v>
      </c>
      <c r="H180" s="6" t="n">
        <f aca="false">Sens!H179*tax_f</f>
        <v>48.9860215758551</v>
      </c>
      <c r="I180" s="6" t="n">
        <f aca="false">Sens!I179*tax_f</f>
        <v>54.3267666435428</v>
      </c>
      <c r="J180" s="6" t="n">
        <f aca="false">Sens!J179*tax_f</f>
        <v>58.9645123689505</v>
      </c>
      <c r="K180" s="6" t="n">
        <f aca="false">Sens!K179*tax_f</f>
        <v>63.1646821923086</v>
      </c>
    </row>
    <row r="181" customFormat="false" ht="15" hidden="false" customHeight="false" outlineLevel="0" collapsed="false">
      <c r="A181" s="1" t="s">
        <v>1076</v>
      </c>
      <c r="B181" s="0" t="s">
        <v>98</v>
      </c>
      <c r="D181" s="6" t="n">
        <f aca="false">Sens!D179-Sens!D180</f>
        <v>101.832</v>
      </c>
      <c r="E181" s="6" t="n">
        <f aca="false">Sens!E179-Sens!E180</f>
        <v>133.749</v>
      </c>
      <c r="F181" s="6" t="n">
        <f aca="false">Sens!F179-Sens!F180</f>
        <v>147.446097472856</v>
      </c>
      <c r="G181" s="6" t="n">
        <f aca="false">Sens!G179-Sens!G180</f>
        <v>167.962779018493</v>
      </c>
      <c r="H181" s="6" t="n">
        <f aca="false">Sens!H179-Sens!H180</f>
        <v>195.94408630342</v>
      </c>
      <c r="I181" s="6" t="n">
        <f aca="false">Sens!I179-Sens!I180</f>
        <v>217.307066574171</v>
      </c>
      <c r="J181" s="6" t="n">
        <f aca="false">Sens!J179-Sens!J180</f>
        <v>235.858049475802</v>
      </c>
      <c r="K181" s="6" t="n">
        <f aca="false">Sens!K179-Sens!K180</f>
        <v>252.658728769235</v>
      </c>
    </row>
    <row r="182" customFormat="false" ht="17.15" hidden="false" customHeight="false" outlineLevel="0" collapsed="false">
      <c r="A182" s="1" t="s">
        <v>1077</v>
      </c>
      <c r="B182" s="1" t="s">
        <v>81</v>
      </c>
      <c r="D182" s="15" t="n">
        <f aca="false">Q!L31</f>
        <v>7.465</v>
      </c>
      <c r="E182" s="15" t="n">
        <f aca="false">Q!M31</f>
        <v>7.453</v>
      </c>
      <c r="F182" s="15" t="n">
        <f aca="false">Sens!F226</f>
        <v>7.4706326876771</v>
      </c>
      <c r="G182" s="15" t="n">
        <f aca="false">Sens!G226</f>
        <v>7.50990360175967</v>
      </c>
      <c r="H182" s="15" t="n">
        <f aca="false">Sens!H226</f>
        <v>7.53474176719395</v>
      </c>
      <c r="I182" s="15" t="n">
        <f aca="false">Sens!I226</f>
        <v>7.54642313124942</v>
      </c>
      <c r="J182" s="15" t="n">
        <f aca="false">Sens!J226</f>
        <v>7.56057254241189</v>
      </c>
      <c r="K182" s="15" t="n">
        <f aca="false">Sens!K226</f>
        <v>7.57700718237714</v>
      </c>
    </row>
    <row r="183" customFormat="false" ht="17.15" hidden="false" customHeight="false" outlineLevel="0" collapsed="false">
      <c r="A183" s="0" t="s">
        <v>1078</v>
      </c>
      <c r="B183" s="0" t="s">
        <v>75</v>
      </c>
      <c r="D183" s="8" t="n">
        <f aca="false">Sens!D181/Sens!D182</f>
        <v>13.641259209645</v>
      </c>
      <c r="E183" s="8" t="n">
        <f aca="false">Sens!E181/Sens!E182</f>
        <v>17.9456594659869</v>
      </c>
      <c r="F183" s="8" t="n">
        <f aca="false">Sens!F181/Sens!F182</f>
        <v>19.7367617492518</v>
      </c>
      <c r="G183" s="8" t="n">
        <f aca="false">Sens!G181/Sens!G182</f>
        <v>22.365503996501</v>
      </c>
      <c r="H183" s="8" t="n">
        <f aca="false">Sens!H181/Sens!H182</f>
        <v>26.0054149641273</v>
      </c>
      <c r="I183" s="8" t="n">
        <f aca="false">Sens!I181/Sens!I182</f>
        <v>28.7960352599779</v>
      </c>
      <c r="J183" s="8" t="n">
        <f aca="false">Sens!J181/Sens!J182</f>
        <v>31.195792137795</v>
      </c>
      <c r="K183" s="8" t="n">
        <f aca="false">Sens!K181/Sens!K182</f>
        <v>33.3454519294738</v>
      </c>
      <c r="L183" s="1" t="s">
        <v>1079</v>
      </c>
    </row>
    <row r="184" customFormat="false" ht="17.15" hidden="false" customHeight="false" outlineLevel="0" collapsed="false">
      <c r="A184" s="1" t="s">
        <v>1080</v>
      </c>
      <c r="B184" s="0" t="s">
        <v>98</v>
      </c>
      <c r="D184" s="6" t="n">
        <f aca="false">Sens!D181</f>
        <v>101.832</v>
      </c>
      <c r="E184" s="6" t="n">
        <f aca="false">Sens!E181</f>
        <v>133.749</v>
      </c>
      <c r="F184" s="6" t="n">
        <f aca="false">Sens!F181+Sens!F174*(1-tax_f)</f>
        <v>147.446097472856</v>
      </c>
      <c r="G184" s="6" t="n">
        <f aca="false">Sens!G181+Sens!G174*(1-tax_f)</f>
        <v>167.962779018493</v>
      </c>
      <c r="H184" s="6" t="n">
        <f aca="false">Sens!H181+Sens!H174*(1-tax_f)</f>
        <v>195.94408630342</v>
      </c>
      <c r="I184" s="6" t="n">
        <f aca="false">Sens!I181+Sens!I174*(1-tax_f)</f>
        <v>217.307066574171</v>
      </c>
      <c r="J184" s="6" t="n">
        <f aca="false">Sens!J181+Sens!J174*(1-tax_f)</f>
        <v>235.858049475802</v>
      </c>
      <c r="K184" s="6" t="n">
        <f aca="false">Sens!K181+Sens!K174*(1-tax_f)</f>
        <v>252.658728769235</v>
      </c>
    </row>
    <row r="185" customFormat="false" ht="17.15" hidden="false" customHeight="false" outlineLevel="0" collapsed="false">
      <c r="A185" s="0" t="s">
        <v>1081</v>
      </c>
      <c r="B185" s="0" t="s">
        <v>75</v>
      </c>
      <c r="D185" s="8" t="n">
        <f aca="false">Sens!D184/Sens!D182</f>
        <v>13.641259209645</v>
      </c>
      <c r="E185" s="8" t="n">
        <f aca="false">Sens!E184/Sens!E182</f>
        <v>17.9456594659869</v>
      </c>
      <c r="F185" s="8" t="n">
        <f aca="false">Sens!F184/Sens!F182</f>
        <v>19.7367617492518</v>
      </c>
      <c r="G185" s="8" t="n">
        <f aca="false">Sens!G184/Sens!G182</f>
        <v>22.365503996501</v>
      </c>
      <c r="H185" s="8" t="n">
        <f aca="false">Sens!H184/Sens!H182</f>
        <v>26.0054149641273</v>
      </c>
      <c r="I185" s="8" t="n">
        <f aca="false">Sens!I184/Sens!I182</f>
        <v>28.7960352599779</v>
      </c>
      <c r="J185" s="8" t="n">
        <f aca="false">Sens!J184/Sens!J182</f>
        <v>31.195792137795</v>
      </c>
      <c r="K185" s="8" t="n">
        <f aca="false">Sens!K184/Sens!K182</f>
        <v>33.3454519294738</v>
      </c>
      <c r="L185" s="1" t="s">
        <v>1082</v>
      </c>
    </row>
    <row r="186" customFormat="false" ht="17.15" hidden="false" customHeight="false" outlineLevel="0" collapsed="false">
      <c r="A186" s="0" t="s">
        <v>1083</v>
      </c>
      <c r="B186" s="0" t="s">
        <v>168</v>
      </c>
      <c r="E186" s="7" t="n">
        <f aca="false">Sens!E185/Sens!D185-1</f>
        <v>0.315542736208578</v>
      </c>
      <c r="F186" s="7" t="n">
        <f aca="false">Sens!F185/Sens!E185-1</f>
        <v>0.0998069915825455</v>
      </c>
      <c r="G186" s="7" t="n">
        <f aca="false">Sens!G185/Sens!F185-1</f>
        <v>0.133190149460503</v>
      </c>
      <c r="H186" s="7" t="n">
        <f aca="false">Sens!H185/Sens!G185-1</f>
        <v>0.162746655214911</v>
      </c>
      <c r="I186" s="7" t="n">
        <f aca="false">Sens!I185/Sens!H185-1</f>
        <v>0.107309200783765</v>
      </c>
      <c r="J186" s="7" t="n">
        <f aca="false">Sens!J185/Sens!I185-1</f>
        <v>0.0833363640567701</v>
      </c>
      <c r="K186" s="7" t="n">
        <f aca="false">Sens!K185/Sens!J185-1</f>
        <v>0.0689086458258044</v>
      </c>
    </row>
    <row r="187" customFormat="false" ht="17.15" hidden="false" customHeight="false" outlineLevel="0" collapsed="false">
      <c r="A187" s="0" t="s">
        <v>1003</v>
      </c>
      <c r="B187" s="0" t="s">
        <v>98</v>
      </c>
      <c r="E187" s="6" t="n">
        <f aca="false">Sens!E128</f>
        <v>5.25</v>
      </c>
      <c r="F187" s="6" t="n">
        <f aca="false">Sens!F128</f>
        <v>13.5</v>
      </c>
      <c r="G187" s="6" t="n">
        <f aca="false">Sens!G128</f>
        <v>22.5</v>
      </c>
      <c r="H187" s="6" t="n">
        <f aca="false">Sens!H128</f>
        <v>31.5</v>
      </c>
      <c r="I187" s="6" t="n">
        <f aca="false">Sens!I128</f>
        <v>38.25</v>
      </c>
      <c r="J187" s="6" t="n">
        <f aca="false">Sens!J128</f>
        <v>42.75</v>
      </c>
      <c r="K187" s="6" t="n">
        <f aca="false">Sens!K128</f>
        <v>47.25</v>
      </c>
    </row>
    <row r="188" customFormat="false" ht="17.15" hidden="false" customHeight="false" outlineLevel="0" collapsed="false">
      <c r="A188" s="1" t="s">
        <v>1004</v>
      </c>
      <c r="B188" s="0" t="s">
        <v>98</v>
      </c>
      <c r="F188" s="6" t="n">
        <f aca="false">MAX(0,((Sens!E88+Sens!F88)/2-(shadow_base*(Sens!$D$88+Sens!$E$88)/2+(1-shadow_base)*Sens!$E$88))*Sens!F97/1000-(Sens!F187-Sens!$E$187)*Sens!F167)</f>
        <v>8.88340674531245</v>
      </c>
      <c r="G188" s="6" t="n">
        <f aca="false">MAX(0,((Sens!F88+Sens!G88)/2-(shadow_base*(Sens!$D$88+Sens!$E$88)/2+(1-shadow_base)*Sens!$E$88))*Sens!G97/1000-(Sens!G187-Sens!$E$187)*Sens!G167)</f>
        <v>22.7060305170273</v>
      </c>
      <c r="H188" s="6" t="n">
        <f aca="false">MAX(0,((Sens!G88+Sens!H88)/2-(shadow_base*(Sens!$D$88+Sens!$E$88)/2+(1-shadow_base)*Sens!$E$88))*Sens!H97/1000-(Sens!H187-Sens!$E$187)*Sens!H167)</f>
        <v>38.0018452382075</v>
      </c>
      <c r="I188" s="6" t="n">
        <f aca="false">MAX(0,((Sens!H88+Sens!I88)/2-(shadow_base*(Sens!$D$88+Sens!$E$88)/2+(1-shadow_base)*Sens!$E$88))*Sens!I97/1000-(Sens!I187-Sens!$E$187)*Sens!I167)</f>
        <v>52.1381094705177</v>
      </c>
      <c r="J188" s="6" t="n">
        <f aca="false">MAX(0,((Sens!I88+Sens!J88)/2-(shadow_base*(Sens!$D$88+Sens!$E$88)/2+(1-shadow_base)*Sens!$E$88))*Sens!J97/1000-(Sens!J187-Sens!$E$187)*Sens!J167)</f>
        <v>62.0595818934393</v>
      </c>
      <c r="K188" s="6" t="n">
        <f aca="false">MAX(0,((Sens!J88+Sens!K88)/2-(shadow_base*(Sens!$D$88+Sens!$E$88)/2+(1-shadow_base)*Sens!$E$88))*Sens!K97/1000-(Sens!K187-Sens!$E$187)*Sens!K167)</f>
        <v>67.0801312706266</v>
      </c>
      <c r="L188" s="1" t="s">
        <v>1005</v>
      </c>
    </row>
    <row r="189" customFormat="false" ht="17.15" hidden="false" customHeight="false" outlineLevel="0" collapsed="false">
      <c r="A189" s="1" t="s">
        <v>1006</v>
      </c>
      <c r="B189" s="0" t="s">
        <v>98</v>
      </c>
      <c r="F189" s="6" t="n">
        <f aca="false">IF(1=2,1,0)*Sens!F188</f>
        <v>0</v>
      </c>
      <c r="G189" s="6" t="n">
        <f aca="false">IF(1=2,1,0)*Sens!G188</f>
        <v>0</v>
      </c>
      <c r="H189" s="6" t="n">
        <f aca="false">IF(1=2,1,0)*Sens!H188</f>
        <v>0</v>
      </c>
      <c r="I189" s="6" t="n">
        <f aca="false">IF(1=2,1,0)*Sens!I188</f>
        <v>0</v>
      </c>
      <c r="J189" s="6" t="n">
        <f aca="false">IF(1=2,1,0)*Sens!J188</f>
        <v>0</v>
      </c>
      <c r="K189" s="6" t="n">
        <f aca="false">IF(1=2,1,0)*Sens!K188</f>
        <v>0</v>
      </c>
    </row>
    <row r="190" customFormat="false" ht="17.15" hidden="false" customHeight="false" outlineLevel="0" collapsed="false">
      <c r="A190" s="0" t="s">
        <v>1007</v>
      </c>
      <c r="B190" s="0" t="s">
        <v>98</v>
      </c>
      <c r="F190" s="6" t="n">
        <f aca="false">Sens!F107+Sens!F187*Sens!F167+Sens!F189-Sens!F108-Sens!F119</f>
        <v>9.62346106996924</v>
      </c>
      <c r="G190" s="6" t="n">
        <f aca="false">Sens!G107+Sens!G187*Sens!G167+Sens!G189-Sens!G108-Sens!G119</f>
        <v>20.4923559812519</v>
      </c>
      <c r="H190" s="6" t="n">
        <f aca="false">Sens!H107+Sens!H187*Sens!H167+Sens!H189-Sens!H108-Sens!H119</f>
        <v>35.5007531178665</v>
      </c>
      <c r="I190" s="6" t="n">
        <f aca="false">Sens!I107+Sens!I187*Sens!I167+Sens!I189-Sens!I108-Sens!I119</f>
        <v>42.6073040673327</v>
      </c>
      <c r="J190" s="6" t="n">
        <f aca="false">Sens!J107+Sens!J187*Sens!J167+Sens!J189-Sens!J108-Sens!J119</f>
        <v>47.3400262329185</v>
      </c>
      <c r="K190" s="6" t="n">
        <f aca="false">Sens!K107+Sens!K187*Sens!K167+Sens!K189-Sens!K108-Sens!K119</f>
        <v>51.818571911316</v>
      </c>
    </row>
    <row r="191" customFormat="false" ht="17.15" hidden="false" customHeight="false" outlineLevel="0" collapsed="false">
      <c r="A191" s="0" t="s">
        <v>1008</v>
      </c>
      <c r="B191" s="0" t="s">
        <v>98</v>
      </c>
      <c r="E191" s="6" t="n">
        <f aca="false">Sens!E87*(cxit_open+self_build*tk_cxfac)/1000*ai_net_open</f>
        <v>126.6980382</v>
      </c>
      <c r="F191" s="6" t="n">
        <f aca="false">Sens!E191+Sens!F116-Sens!F119</f>
        <v>260.572627763768</v>
      </c>
      <c r="G191" s="6" t="n">
        <f aca="false">Sens!F191+Sens!G116-Sens!G119</f>
        <v>391.782612760517</v>
      </c>
      <c r="H191" s="6" t="n">
        <f aca="false">Sens!G191+Sens!H116-Sens!H119</f>
        <v>499.488526163584</v>
      </c>
      <c r="I191" s="6" t="n">
        <f aca="false">Sens!H191+Sens!I116-Sens!I119</f>
        <v>553.872350090646</v>
      </c>
      <c r="J191" s="6" t="n">
        <f aca="false">Sens!I191+Sens!J116-Sens!J119</f>
        <v>550.78660823699</v>
      </c>
      <c r="K191" s="6" t="n">
        <f aca="false">Sens!J191+Sens!K116-Sens!K119</f>
        <v>526.736791750789</v>
      </c>
      <c r="L191" s="1" t="s">
        <v>1009</v>
      </c>
    </row>
    <row r="192" customFormat="false" ht="17.15" hidden="false" customHeight="false" outlineLevel="0" collapsed="false">
      <c r="A192" s="0" t="s">
        <v>1010</v>
      </c>
      <c r="B192" s="0" t="s">
        <v>168</v>
      </c>
      <c r="F192" s="7" t="n">
        <f aca="false">Sens!F190*(1-tax_f)/((Sens!E191+Sens!F191)/2)</f>
        <v>0.0397591118181704</v>
      </c>
      <c r="G192" s="7" t="n">
        <f aca="false">Sens!G190*(1-tax_f)/((Sens!F191+Sens!G191)/2)</f>
        <v>0.0502606057761598</v>
      </c>
      <c r="H192" s="7" t="n">
        <f aca="false">Sens!H190*(1-tax_f)/((Sens!G191+Sens!H191)/2)</f>
        <v>0.0637305557287023</v>
      </c>
      <c r="I192" s="7" t="n">
        <f aca="false">Sens!I190*(1-tax_f)/((Sens!H191+Sens!I191)/2)</f>
        <v>0.0647182632699936</v>
      </c>
      <c r="J192" s="7" t="n">
        <f aca="false">Sens!J190*(1-tax_f)/((Sens!I191+Sens!J191)/2)</f>
        <v>0.0685678067440289</v>
      </c>
      <c r="K192" s="7" t="n">
        <f aca="false">Sens!K190*(1-tax_f)/((Sens!J191+Sens!K191)/2)</f>
        <v>0.0769447002812616</v>
      </c>
    </row>
    <row r="193" customFormat="false" ht="17.15" hidden="false" customHeight="false" outlineLevel="0" collapsed="false">
      <c r="A193" s="1" t="s">
        <v>1011</v>
      </c>
      <c r="B193" s="0" t="s">
        <v>168</v>
      </c>
      <c r="F193" s="7" t="n">
        <f aca="false">(Sens!F190-Sens!F189)*(1-tax_f)/((Sens!E191+Sens!F191)/2)</f>
        <v>0.0397591118181704</v>
      </c>
      <c r="G193" s="7" t="n">
        <f aca="false">(Sens!G190-Sens!G189)*(1-tax_f)/((Sens!F191+Sens!G191)/2)</f>
        <v>0.0502606057761598</v>
      </c>
      <c r="H193" s="7" t="n">
        <f aca="false">(Sens!H190-Sens!H189)*(1-tax_f)/((Sens!G191+Sens!H191)/2)</f>
        <v>0.0637305557287023</v>
      </c>
      <c r="I193" s="7" t="n">
        <f aca="false">(Sens!I190-Sens!I189)*(1-tax_f)/((Sens!H191+Sens!I191)/2)</f>
        <v>0.0647182632699936</v>
      </c>
      <c r="J193" s="7" t="n">
        <f aca="false">(Sens!J190-Sens!J189)*(1-tax_f)/((Sens!I191+Sens!J191)/2)</f>
        <v>0.0685678067440289</v>
      </c>
      <c r="K193" s="7" t="n">
        <f aca="false">(Sens!K190-Sens!K189)*(1-tax_f)/((Sens!J191+Sens!K191)/2)</f>
        <v>0.0769447002812616</v>
      </c>
    </row>
    <row r="194" customFormat="false" ht="17.15" hidden="false" customHeight="false" outlineLevel="0" collapsed="false">
      <c r="A194" s="1" t="s">
        <v>1012</v>
      </c>
      <c r="B194" s="0" t="s">
        <v>168</v>
      </c>
      <c r="F194" s="7" t="n">
        <f aca="false">(Sens!F190-Sens!F189+Sens!F188)*(1-tax_f)/((Sens!E191+Sens!F191)/2)</f>
        <v>0.0764607059271074</v>
      </c>
      <c r="G194" s="7" t="n">
        <f aca="false">(Sens!G190-Sens!G189+Sens!G188)*(1-tax_f)/((Sens!F191+Sens!G191)/2)</f>
        <v>0.105950583522098</v>
      </c>
      <c r="H194" s="7" t="n">
        <f aca="false">(Sens!H190-Sens!H189+Sens!H188)*(1-tax_f)/((Sens!G191+Sens!H191)/2)</f>
        <v>0.131951044114011</v>
      </c>
      <c r="I194" s="7" t="n">
        <f aca="false">(Sens!I190-Sens!I189+Sens!I188)*(1-tax_f)/((Sens!H191+Sens!I191)/2)</f>
        <v>0.143913320760143</v>
      </c>
      <c r="J194" s="7" t="n">
        <f aca="false">(Sens!J190-Sens!J189+Sens!J188)*(1-tax_f)/((Sens!I191+Sens!J191)/2)</f>
        <v>0.15845557733689</v>
      </c>
      <c r="K194" s="7" t="n">
        <f aca="false">(Sens!K190-Sens!K189+Sens!K188)*(1-tax_f)/((Sens!J191+Sens!K191)/2)</f>
        <v>0.176551084731214</v>
      </c>
    </row>
    <row r="195" customFormat="false" ht="17.15" hidden="false" customHeight="false" outlineLevel="0" collapsed="false">
      <c r="A195" s="1" t="s">
        <v>1013</v>
      </c>
      <c r="B195" s="0" t="s">
        <v>168</v>
      </c>
      <c r="F195" s="7" t="n">
        <f aca="false">Sens!F120*(1-tax_f)/(Sens!F106*(Sens!E191+Sens!F191)/2)</f>
        <v>0.15471433083293</v>
      </c>
      <c r="G195" s="7" t="n">
        <f aca="false">Sens!G120*(1-tax_f)/(Sens!G106*(Sens!F191+Sens!G191)/2)</f>
        <v>0.176916911437355</v>
      </c>
      <c r="H195" s="7" t="n">
        <f aca="false">Sens!H120*(1-tax_f)/(Sens!H106*(Sens!G191+Sens!H191)/2)</f>
        <v>0.207487057996582</v>
      </c>
      <c r="I195" s="7" t="n">
        <f aca="false">Sens!I120*(1-tax_f)/(Sens!I106*(Sens!H191+Sens!I191)/2)</f>
        <v>0.219873660070946</v>
      </c>
      <c r="J195" s="7" t="n">
        <f aca="false">Sens!J120*(1-tax_f)/(Sens!J106*(Sens!I191+Sens!J191)/2)</f>
        <v>0.238959457974928</v>
      </c>
      <c r="K195" s="7" t="n">
        <f aca="false">Sens!K120*(1-tax_f)/(Sens!K106*(Sens!J191+Sens!K191)/2)</f>
        <v>0.264604270651536</v>
      </c>
    </row>
    <row r="196" customFormat="false" ht="17.15" hidden="false" customHeight="false" outlineLevel="0" collapsed="false">
      <c r="A196" s="0" t="s">
        <v>1014</v>
      </c>
      <c r="B196" s="0" t="s">
        <v>253</v>
      </c>
      <c r="F196" s="7" t="n">
        <f aca="false">Sens!F192-wacc</f>
        <v>-0.0631774791274269</v>
      </c>
      <c r="G196" s="7" t="n">
        <f aca="false">Sens!G192-wacc</f>
        <v>-0.0526759851694375</v>
      </c>
      <c r="H196" s="7" t="n">
        <f aca="false">Sens!H192-wacc</f>
        <v>-0.039206035216895</v>
      </c>
      <c r="I196" s="7" t="n">
        <f aca="false">Sens!I192-wacc</f>
        <v>-0.0382183276756037</v>
      </c>
      <c r="J196" s="7" t="n">
        <f aca="false">Sens!J192-wacc</f>
        <v>-0.0343687842015684</v>
      </c>
      <c r="K196" s="7" t="n">
        <f aca="false">Sens!K192-wacc</f>
        <v>-0.0259918906643357</v>
      </c>
    </row>
    <row r="197" customFormat="false" ht="17.15" hidden="false" customHeight="false" outlineLevel="0" collapsed="false">
      <c r="A197" s="0" t="s">
        <v>1015</v>
      </c>
      <c r="B197" s="0" t="s">
        <v>98</v>
      </c>
      <c r="F197" s="6" t="n">
        <f aca="false">Sens!F190*(1-tax_f)-wacc*(Sens!E191+Sens!F191)/2</f>
        <v>-12.2333922077953</v>
      </c>
      <c r="G197" s="6" t="n">
        <f aca="false">Sens!G190*(1-tax_f)-wacc*(Sens!F191+Sens!G191)/2</f>
        <v>-17.181727487531</v>
      </c>
      <c r="H197" s="6" t="n">
        <f aca="false">Sens!H190*(1-tax_f)-wacc*(Sens!G191+Sens!H191)/2</f>
        <v>-17.4716038302302</v>
      </c>
      <c r="I197" s="6" t="n">
        <f aca="false">Sens!I190*(1-tax_f)-wacc*(Sens!H191+Sens!I191)/2</f>
        <v>-20.1288455646726</v>
      </c>
      <c r="J197" s="6" t="n">
        <f aca="false">Sens!J190*(1-tax_f)-wacc*(Sens!I191+Sens!J191)/2</f>
        <v>-18.9828926775459</v>
      </c>
      <c r="K197" s="6" t="n">
        <f aca="false">Sens!K190*(1-tax_f)-wacc*(Sens!J191+Sens!K191)/2</f>
        <v>-14.0034352003728</v>
      </c>
    </row>
    <row r="198" customFormat="false" ht="17.15" hidden="false" customHeight="false" outlineLevel="0" collapsed="false">
      <c r="A198" s="3" t="s">
        <v>1483</v>
      </c>
    </row>
    <row r="199" customFormat="false" ht="15" hidden="false" customHeight="false" outlineLevel="0" collapsed="false">
      <c r="A199" s="4" t="s">
        <v>43</v>
      </c>
      <c r="B199" s="4" t="s">
        <v>65</v>
      </c>
      <c r="C199" s="23" t="s">
        <v>938</v>
      </c>
      <c r="D199" s="23" t="s">
        <v>939</v>
      </c>
      <c r="E199" s="23" t="s">
        <v>940</v>
      </c>
      <c r="F199" s="23" t="s">
        <v>941</v>
      </c>
      <c r="G199" s="23" t="s">
        <v>942</v>
      </c>
      <c r="H199" s="23" t="s">
        <v>943</v>
      </c>
      <c r="I199" s="23" t="s">
        <v>944</v>
      </c>
      <c r="J199" s="23" t="s">
        <v>945</v>
      </c>
      <c r="K199" s="23" t="s">
        <v>946</v>
      </c>
      <c r="L199" s="4" t="s">
        <v>47</v>
      </c>
    </row>
    <row r="200" customFormat="false" ht="15" hidden="false" customHeight="false" outlineLevel="0" collapsed="false">
      <c r="A200" s="1" t="s">
        <v>1076</v>
      </c>
      <c r="B200" s="0" t="s">
        <v>98</v>
      </c>
      <c r="F200" s="6" t="n">
        <f aca="false">Sens!F181</f>
        <v>147.446097472856</v>
      </c>
      <c r="G200" s="6" t="n">
        <f aca="false">Sens!G181</f>
        <v>167.962779018493</v>
      </c>
      <c r="H200" s="6" t="n">
        <f aca="false">Sens!H181</f>
        <v>195.94408630342</v>
      </c>
      <c r="I200" s="6" t="n">
        <f aca="false">Sens!I181</f>
        <v>217.307066574171</v>
      </c>
      <c r="J200" s="6" t="n">
        <f aca="false">Sens!J181</f>
        <v>235.858049475802</v>
      </c>
      <c r="K200" s="6" t="n">
        <f aca="false">Sens!K181</f>
        <v>252.658728769235</v>
      </c>
    </row>
    <row r="201" customFormat="false" ht="17.15" hidden="false" customHeight="false" outlineLevel="0" collapsed="false">
      <c r="A201" s="1" t="s">
        <v>1098</v>
      </c>
      <c r="B201" s="0" t="s">
        <v>98</v>
      </c>
      <c r="E201" s="6" t="n">
        <f aca="false">Q!M38-Sens!E119</f>
        <v>22.2285940229167</v>
      </c>
      <c r="F201" s="6" t="n">
        <f aca="false">Sens!E201*(1-1/life_nonai)+(Sens!F209+Sens!F210)/life_nonai</f>
        <v>23.580344216413</v>
      </c>
      <c r="G201" s="6" t="n">
        <f aca="false">Sens!F201*(1-1/life_nonai)+(Sens!G209)/life_nonai</f>
        <v>25.3801415764809</v>
      </c>
      <c r="H201" s="6" t="n">
        <f aca="false">Sens!G201*(1-1/life_nonai)+(Sens!H209)/life_nonai</f>
        <v>27.5964639802758</v>
      </c>
      <c r="I201" s="6" t="n">
        <f aca="false">Sens!H201*(1-1/life_nonai)+(Sens!I209)/life_nonai</f>
        <v>30.152940612192</v>
      </c>
      <c r="J201" s="6" t="n">
        <f aca="false">Sens!I201*(1-1/life_nonai)+(Sens!J209)/life_nonai</f>
        <v>32.9575022150393</v>
      </c>
      <c r="K201" s="6" t="n">
        <f aca="false">Sens!J201*(1-1/life_nonai)+(Sens!K209)/life_nonai</f>
        <v>35.9256779798081</v>
      </c>
      <c r="L201" s="12" t="s">
        <v>1099</v>
      </c>
    </row>
    <row r="202" customFormat="false" ht="17.15" hidden="false" customHeight="false" outlineLevel="0" collapsed="false">
      <c r="A202" s="1" t="s">
        <v>1100</v>
      </c>
      <c r="B202" s="0" t="s">
        <v>98</v>
      </c>
      <c r="F202" s="6" t="n">
        <f aca="false">Sens!$F$210/life_nonai*(1-1/life_nonai)^(Sens!F82-2027)</f>
        <v>0.00475774452575592</v>
      </c>
      <c r="G202" s="6" t="n">
        <f aca="false">Sens!$F$210/life_nonai*(1-1/life_nonai)^(Sens!G82-2027)</f>
        <v>0.00428197007318033</v>
      </c>
      <c r="H202" s="6" t="n">
        <f aca="false">Sens!$F$210/life_nonai*(1-1/life_nonai)^(Sens!H82-2027)</f>
        <v>0.0038537730658623</v>
      </c>
      <c r="I202" s="6" t="n">
        <f aca="false">Sens!$F$210/life_nonai*(1-1/life_nonai)^(Sens!I82-2027)</f>
        <v>0.00346839575927607</v>
      </c>
      <c r="J202" s="6" t="n">
        <f aca="false">Sens!$F$210/life_nonai*(1-1/life_nonai)^(Sens!J82-2027)</f>
        <v>0.00312155618334846</v>
      </c>
      <c r="K202" s="6" t="n">
        <f aca="false">Sens!$F$210/life_nonai*(1-1/life_nonai)^(Sens!K82-2027)</f>
        <v>0.00280940056501362</v>
      </c>
      <c r="L202" s="1" t="s">
        <v>1101</v>
      </c>
    </row>
    <row r="203" customFormat="false" ht="17.15" hidden="false" customHeight="false" outlineLevel="0" collapsed="false">
      <c r="A203" s="1" t="s">
        <v>1102</v>
      </c>
      <c r="B203" s="0" t="s">
        <v>98</v>
      </c>
      <c r="E203" s="6" t="n">
        <f aca="false">Sens!E119+Sens!E201</f>
        <v>38.534</v>
      </c>
      <c r="F203" s="6" t="n">
        <f aca="false">Sens!F119+Sens!F201</f>
        <v>58.1596586947647</v>
      </c>
      <c r="G203" s="6" t="n">
        <f aca="false">Sens!G119+Sens!G201</f>
        <v>86.1146322287799</v>
      </c>
      <c r="H203" s="6" t="n">
        <f aca="false">Sens!H119+Sens!H201</f>
        <v>116.696554641721</v>
      </c>
      <c r="I203" s="6" t="n">
        <f aca="false">Sens!I119+Sens!I201</f>
        <v>144.38395030674</v>
      </c>
      <c r="J203" s="6" t="n">
        <f aca="false">Sens!J119+Sens!J201</f>
        <v>164.973175264635</v>
      </c>
      <c r="K203" s="6" t="n">
        <f aca="false">Sens!K119+Sens!K201</f>
        <v>178.938347530742</v>
      </c>
    </row>
    <row r="204" customFormat="false" ht="17.15" hidden="false" customHeight="false" outlineLevel="0" collapsed="false">
      <c r="A204" s="1" t="s">
        <v>1103</v>
      </c>
      <c r="B204" s="0" t="s">
        <v>98</v>
      </c>
      <c r="F204" s="6" t="n">
        <f aca="false">Sens!F146*sbc_r</f>
        <v>15.0680693022395</v>
      </c>
      <c r="G204" s="6" t="n">
        <f aca="false">Sens!G146*sbc_r</f>
        <v>18.3841476633065</v>
      </c>
      <c r="H204" s="6" t="n">
        <f aca="false">Sens!H146*sbc_r</f>
        <v>21.9545979838202</v>
      </c>
      <c r="I204" s="6" t="n">
        <f aca="false">Sens!I146*sbc_r</f>
        <v>24.9944595349748</v>
      </c>
      <c r="J204" s="6" t="n">
        <f aca="false">Sens!J146*sbc_r</f>
        <v>27.4407929753337</v>
      </c>
      <c r="K204" s="6" t="n">
        <f aca="false">Sens!K146*sbc_r</f>
        <v>29.3868645070206</v>
      </c>
    </row>
    <row r="205" customFormat="false" ht="17.15" hidden="false" customHeight="false" outlineLevel="0" collapsed="false">
      <c r="A205" s="1" t="s">
        <v>1104</v>
      </c>
      <c r="B205" s="0" t="s">
        <v>98</v>
      </c>
      <c r="F205" s="6" t="n">
        <f aca="false">wc27-wc26q1</f>
        <v>-4.677</v>
      </c>
      <c r="G205" s="6" t="n">
        <f aca="false">wc_f</f>
        <v>0</v>
      </c>
      <c r="H205" s="6" t="n">
        <f aca="false">wc_f</f>
        <v>0</v>
      </c>
      <c r="I205" s="6" t="n">
        <f aca="false">wc_f</f>
        <v>0</v>
      </c>
      <c r="J205" s="6" t="n">
        <f aca="false">wc_f</f>
        <v>0</v>
      </c>
      <c r="K205" s="6" t="n">
        <f aca="false">wc_f</f>
        <v>0</v>
      </c>
      <c r="L205" s="12" t="s">
        <v>1105</v>
      </c>
    </row>
    <row r="206" customFormat="false" ht="17.15" hidden="false" customHeight="false" outlineLevel="0" collapsed="false">
      <c r="A206" s="0" t="s">
        <v>1106</v>
      </c>
      <c r="B206" s="0" t="s">
        <v>98</v>
      </c>
      <c r="F206" s="6" t="n">
        <f aca="false">Q!$I$35-Q!$I$26-Q!$I$38-Q!$I$39</f>
        <v>6.493</v>
      </c>
      <c r="L206" s="1" t="s">
        <v>1107</v>
      </c>
    </row>
    <row r="207" customFormat="false" ht="15" hidden="false" customHeight="false" outlineLevel="0" collapsed="false">
      <c r="A207" s="1" t="s">
        <v>904</v>
      </c>
      <c r="B207" s="0" t="s">
        <v>98</v>
      </c>
      <c r="E207" s="6" t="n">
        <f aca="false">Q!M35</f>
        <v>182.935</v>
      </c>
      <c r="F207" s="6" t="n">
        <f aca="false">Sens!F200+Sens!F203+Sens!F204+Sens!F205+Sens!F206</f>
        <v>222.48982546986</v>
      </c>
      <c r="G207" s="6" t="n">
        <f aca="false">Sens!G200+Sens!G203+Sens!G204+Sens!G205</f>
        <v>272.46155891058</v>
      </c>
      <c r="H207" s="6" t="n">
        <f aca="false">Sens!H200+Sens!H203+Sens!H204+Sens!H205</f>
        <v>334.595238928962</v>
      </c>
      <c r="I207" s="6" t="n">
        <f aca="false">Sens!I200+Sens!I203+Sens!I204+Sens!I205</f>
        <v>386.685476415886</v>
      </c>
      <c r="J207" s="6" t="n">
        <f aca="false">Sens!J200+Sens!J203+Sens!J204+Sens!J205</f>
        <v>428.272017715771</v>
      </c>
      <c r="K207" s="6" t="n">
        <f aca="false">Sens!K200+Sens!K203+Sens!K204+Sens!K205</f>
        <v>460.983940806997</v>
      </c>
    </row>
    <row r="208" customFormat="false" ht="17.15" hidden="false" customHeight="false" outlineLevel="0" collapsed="false">
      <c r="A208" s="0" t="s">
        <v>1108</v>
      </c>
      <c r="B208" s="0" t="s">
        <v>98</v>
      </c>
      <c r="F208" s="6" t="n">
        <f aca="false">Sens!F116</f>
        <v>168.45390404212</v>
      </c>
      <c r="G208" s="6" t="n">
        <f aca="false">Sens!G116</f>
        <v>191.944475649048</v>
      </c>
      <c r="H208" s="6" t="n">
        <f aca="false">Sens!H116</f>
        <v>196.806004064512</v>
      </c>
      <c r="I208" s="6" t="n">
        <f aca="false">Sens!I116</f>
        <v>168.61483362161</v>
      </c>
      <c r="J208" s="6" t="n">
        <f aca="false">Sens!J116</f>
        <v>128.92993119594</v>
      </c>
      <c r="K208" s="6" t="n">
        <f aca="false">Sens!K116</f>
        <v>118.962853064733</v>
      </c>
    </row>
    <row r="209" customFormat="false" ht="17.15" hidden="false" customHeight="false" outlineLevel="0" collapsed="false">
      <c r="A209" s="1" t="s">
        <v>1109</v>
      </c>
      <c r="B209" s="0" t="s">
        <v>98</v>
      </c>
      <c r="E209" s="6" t="n">
        <f aca="false">Sens!E124*cx_azo+Sens!E131*cx_m365+Sens!E132*cx_lic+(Sens!E134+Sens!E136)*cx_ind+Sens!E139*cx_srch+(Sens!E141+Sens!E143)*cx_dev</f>
        <v>30.1846587067718</v>
      </c>
      <c r="F209" s="6" t="n">
        <f aca="false">Sens!F124*cx_azo+Sens!F131*cx_m365+Sens!F132*cx_lic+(Sens!F134+Sens!F136)*cx_ind+Sens!F139*cx_srch+(Sens!F141+Sens!F143)*cx_dev</f>
        <v>35.6985185126228</v>
      </c>
      <c r="G209" s="6" t="n">
        <f aca="false">Sens!G124*cx_azo+Sens!G131*cx_m365+Sens!G132*cx_lic+(Sens!G134+Sens!G136)*cx_ind+Sens!G139*cx_srch+(Sens!G141+Sens!G143)*cx_dev</f>
        <v>41.5783178170917</v>
      </c>
      <c r="H209" s="6" t="n">
        <f aca="false">Sens!H124*cx_azo+Sens!H131*cx_m365+Sens!H132*cx_lic+(Sens!H134+Sens!H136)*cx_ind+Sens!H139*cx_srch+(Sens!H141+Sens!H143)*cx_dev</f>
        <v>47.5433656144293</v>
      </c>
      <c r="I209" s="6" t="n">
        <f aca="false">Sens!I124*cx_azo+Sens!I131*cx_m365+Sens!I132*cx_lic+(Sens!I134+Sens!I136)*cx_ind+Sens!I139*cx_srch+(Sens!I141+Sens!I143)*cx_dev</f>
        <v>53.1612302994382</v>
      </c>
      <c r="J209" s="6" t="n">
        <f aca="false">Sens!J124*cx_azo+Sens!J131*cx_m365+Sens!J132*cx_lic+(Sens!J134+Sens!J136)*cx_ind+Sens!J139*cx_srch+(Sens!J141+Sens!J143)*cx_dev</f>
        <v>58.1985566406647</v>
      </c>
      <c r="K209" s="6" t="n">
        <f aca="false">Sens!K124*cx_azo+Sens!K131*cx_m365+Sens!K132*cx_lic+(Sens!K134+Sens!K136)*cx_ind+Sens!K139*cx_srch+(Sens!K141+Sens!K143)*cx_dev</f>
        <v>62.6392598627275</v>
      </c>
    </row>
    <row r="210" customFormat="false" ht="17.15" hidden="false" customHeight="false" outlineLevel="0" collapsed="false">
      <c r="A210" s="0" t="s">
        <v>1110</v>
      </c>
      <c r="B210" s="0" t="s">
        <v>98</v>
      </c>
      <c r="F210" s="6" t="n">
        <f aca="false">Sens!F114</f>
        <v>0.0475774452575593</v>
      </c>
      <c r="L210" s="1" t="s">
        <v>1111</v>
      </c>
    </row>
    <row r="211" customFormat="false" ht="17.15" hidden="false" customHeight="false" outlineLevel="0" collapsed="false">
      <c r="A211" s="1" t="s">
        <v>1112</v>
      </c>
      <c r="B211" s="0" t="s">
        <v>98</v>
      </c>
      <c r="E211" s="6" t="n">
        <f aca="false">Q!M43</f>
        <v>145.3</v>
      </c>
      <c r="F211" s="6" t="n">
        <f aca="false">Sens!F208+Sens!F209+Sens!F210</f>
        <v>204.2</v>
      </c>
      <c r="G211" s="6" t="n">
        <f aca="false">Sens!G208+Sens!G209</f>
        <v>233.52279346614</v>
      </c>
      <c r="H211" s="6" t="n">
        <f aca="false">Sens!H208+Sens!H209</f>
        <v>244.349369678942</v>
      </c>
      <c r="I211" s="6" t="n">
        <f aca="false">Sens!I208+Sens!I209</f>
        <v>221.776063921049</v>
      </c>
      <c r="J211" s="6" t="n">
        <f aca="false">Sens!J208+Sens!J209</f>
        <v>187.128487836605</v>
      </c>
      <c r="K211" s="6" t="n">
        <f aca="false">Sens!K208+Sens!K209</f>
        <v>181.60211292746</v>
      </c>
      <c r="L211" s="1" t="s">
        <v>1113</v>
      </c>
    </row>
    <row r="212" customFormat="false" ht="15" hidden="false" customHeight="false" outlineLevel="0" collapsed="false">
      <c r="A212" s="1" t="s">
        <v>1114</v>
      </c>
      <c r="B212" s="0" t="s">
        <v>98</v>
      </c>
      <c r="E212" s="6" t="n">
        <f aca="false">fl_liab</f>
        <v>66.594</v>
      </c>
      <c r="F212" s="6" t="n">
        <f aca="false">Sens!E212-Sens!F213</f>
        <v>62.46973</v>
      </c>
      <c r="G212" s="6" t="n">
        <f aca="false">Sens!F212-Sens!G213</f>
        <v>57.98686785</v>
      </c>
      <c r="H212" s="6" t="n">
        <f aca="false">Sens!G212-Sens!H213</f>
        <v>53.92827690325</v>
      </c>
      <c r="I212" s="6" t="n">
        <f aca="false">Sens!H212-Sens!I213</f>
        <v>49.7850493638962</v>
      </c>
      <c r="J212" s="6" t="n">
        <f aca="false">Sens!I212-Sens!J213</f>
        <v>45.4823765852716</v>
      </c>
      <c r="K212" s="6" t="n">
        <f aca="false">Sens!J212-Sens!K213</f>
        <v>40.9860835316088</v>
      </c>
    </row>
    <row r="213" customFormat="false" ht="15" hidden="false" customHeight="false" outlineLevel="0" collapsed="false">
      <c r="A213" s="1" t="s">
        <v>1115</v>
      </c>
      <c r="B213" s="0" t="s">
        <v>98</v>
      </c>
      <c r="F213" s="6" t="n">
        <f aca="false">fl_pay_27-Sens!E212*fl_rate</f>
        <v>4.12427</v>
      </c>
      <c r="G213" s="6" t="n">
        <f aca="false">fl_pay_28-Sens!F212*fl_rate</f>
        <v>4.48286215</v>
      </c>
      <c r="H213" s="6" t="n">
        <f aca="false">fl_pay_29-Sens!G212*fl_rate</f>
        <v>4.05859094675</v>
      </c>
      <c r="I213" s="6" t="n">
        <f aca="false">fl_pay_30-Sens!H212*fl_rate</f>
        <v>4.14322753935375</v>
      </c>
      <c r="J213" s="6" t="n">
        <f aca="false">fl_pay_31-Sens!I212*fl_rate</f>
        <v>4.30267277862467</v>
      </c>
      <c r="K213" s="6" t="n">
        <f aca="false">fl_pay_32-Sens!J212*fl_rate</f>
        <v>4.49629305366278</v>
      </c>
    </row>
    <row r="214" customFormat="false" ht="17.15" hidden="false" customHeight="false" outlineLevel="0" collapsed="false">
      <c r="A214" s="1" t="s">
        <v>1116</v>
      </c>
      <c r="B214" s="0" t="s">
        <v>98</v>
      </c>
      <c r="E214" s="6" t="n">
        <f aca="false">Q!M35-Q!M36-Q!M44</f>
        <v>63.886</v>
      </c>
      <c r="F214" s="6" t="n">
        <f aca="false">Sens!F207-Sens!F211-Sens!F213</f>
        <v>14.1655554698598</v>
      </c>
      <c r="G214" s="6" t="n">
        <f aca="false">Sens!G207-Sens!G211-Sens!G213</f>
        <v>34.4559032944397</v>
      </c>
      <c r="H214" s="6" t="n">
        <f aca="false">Sens!H207-Sens!H211-Sens!H213</f>
        <v>86.1872783032704</v>
      </c>
      <c r="I214" s="6" t="n">
        <f aca="false">Sens!I207-Sens!I211-Sens!I213</f>
        <v>160.766184955484</v>
      </c>
      <c r="J214" s="6" t="n">
        <f aca="false">Sens!J207-Sens!J211-Sens!J213</f>
        <v>236.840857100541</v>
      </c>
      <c r="K214" s="6" t="n">
        <f aca="false">Sens!K207-Sens!K211-Sens!K213</f>
        <v>274.885534825874</v>
      </c>
      <c r="L214" s="12" t="s">
        <v>1117</v>
      </c>
    </row>
    <row r="215" customFormat="false" ht="15" hidden="false" customHeight="false" outlineLevel="0" collapsed="false">
      <c r="A215" s="1" t="s">
        <v>1118</v>
      </c>
      <c r="B215" s="0" t="s">
        <v>75</v>
      </c>
      <c r="F215" s="8" t="n">
        <f aca="false">dps_27</f>
        <v>3.85</v>
      </c>
      <c r="G215" s="8" t="n">
        <f aca="false">Sens!F215*(1+dps_g)</f>
        <v>4.158</v>
      </c>
      <c r="H215" s="8" t="n">
        <f aca="false">Sens!G215*(1+dps_g)</f>
        <v>4.49064</v>
      </c>
      <c r="I215" s="8" t="n">
        <f aca="false">Sens!H215*(1+dps_g)</f>
        <v>4.8498912</v>
      </c>
      <c r="J215" s="8" t="n">
        <f aca="false">Sens!I215*(1+dps_g)</f>
        <v>5.237882496</v>
      </c>
      <c r="K215" s="8" t="n">
        <f aca="false">Sens!J215*(1+dps_g)</f>
        <v>5.65691309568</v>
      </c>
    </row>
    <row r="216" customFormat="false" ht="17.15" hidden="false" customHeight="false" outlineLevel="0" collapsed="false">
      <c r="A216" s="1" t="s">
        <v>1119</v>
      </c>
      <c r="B216" s="0" t="s">
        <v>98</v>
      </c>
      <c r="E216" s="6" t="n">
        <f aca="false">Q!M41</f>
        <v>26.445</v>
      </c>
      <c r="F216" s="6" t="n">
        <f aca="false">Sens!F215*Sens!E225</f>
        <v>28.59395</v>
      </c>
      <c r="G216" s="6" t="n">
        <f aca="false">Sens!G215*Sens!F225</f>
        <v>31.0447314307227</v>
      </c>
      <c r="H216" s="6" t="n">
        <f aca="false">Sens!H215*Sens!G225</f>
        <v>33.7046863552316</v>
      </c>
      <c r="I216" s="6" t="n">
        <f aca="false">Sens!I215*Sens!H225</f>
        <v>36.4514995407227</v>
      </c>
      <c r="J216" s="6" t="n">
        <f aca="false">Sens!J215*Sens!I225</f>
        <v>39.4355173893732</v>
      </c>
      <c r="K216" s="6" t="n">
        <f aca="false">Sens!K215*Sens!J225</f>
        <v>42.6771130429013</v>
      </c>
      <c r="L216" s="1" t="s">
        <v>1120</v>
      </c>
    </row>
    <row r="217" customFormat="false" ht="15" hidden="false" customHeight="false" outlineLevel="0" collapsed="false">
      <c r="A217" s="1" t="s">
        <v>1121</v>
      </c>
      <c r="B217" s="0" t="s">
        <v>98</v>
      </c>
      <c r="E217" s="6" t="n">
        <f aca="false">Sens!E214-Sens!E216</f>
        <v>37.441</v>
      </c>
      <c r="F217" s="6" t="n">
        <f aca="false">Sens!F214-Sens!F216</f>
        <v>-14.4283945301402</v>
      </c>
      <c r="G217" s="6" t="n">
        <f aca="false">Sens!G214-Sens!G216</f>
        <v>3.41117186371696</v>
      </c>
      <c r="H217" s="6" t="n">
        <f aca="false">Sens!H214-Sens!H216</f>
        <v>52.4825919480388</v>
      </c>
      <c r="I217" s="6" t="n">
        <f aca="false">Sens!I214-Sens!I216</f>
        <v>124.314685414761</v>
      </c>
      <c r="J217" s="6" t="n">
        <f aca="false">Sens!J214-Sens!J216</f>
        <v>197.405339711168</v>
      </c>
      <c r="K217" s="6" t="n">
        <f aca="false">Sens!K214-Sens!K216</f>
        <v>232.208421782973</v>
      </c>
    </row>
    <row r="218" customFormat="false" ht="15" hidden="false" customHeight="false" outlineLevel="0" collapsed="false">
      <c r="A218" s="1" t="s">
        <v>1122</v>
      </c>
      <c r="B218" s="0" t="s">
        <v>98</v>
      </c>
      <c r="F218" s="6" t="n">
        <f aca="false">debt_mat_27</f>
        <v>9.25</v>
      </c>
      <c r="G218" s="6" t="n">
        <f aca="false">debt_mat_28</f>
        <v>0</v>
      </c>
      <c r="H218" s="6" t="n">
        <f aca="false">debt_mat_29</f>
        <v>2.001</v>
      </c>
      <c r="I218" s="6" t="n">
        <f aca="false">debt_mat_30</f>
        <v>0</v>
      </c>
      <c r="J218" s="6" t="n">
        <f aca="false">debt_mat_31</f>
        <v>0.5</v>
      </c>
      <c r="K218" s="6" t="n">
        <f aca="false">debt_mat_32</f>
        <v>0</v>
      </c>
    </row>
    <row r="219" customFormat="false" ht="15" hidden="false" customHeight="false" outlineLevel="0" collapsed="false">
      <c r="A219" s="1" t="s">
        <v>1123</v>
      </c>
      <c r="B219" s="0" t="s">
        <v>98</v>
      </c>
      <c r="E219" s="6" t="n">
        <f aca="false">Q!M40</f>
        <v>22.271</v>
      </c>
      <c r="F219" s="6" t="n">
        <f aca="false">MAX(0,MIN(bb_target,Sens!E221+Sens!F217-Sens!F218-min_cash))</f>
        <v>3.16460546985984</v>
      </c>
      <c r="G219" s="6" t="n">
        <f aca="false">MAX(0,MIN(bb_target,Sens!F221+Sens!G217-Sens!G218-min_cash))</f>
        <v>3.41117186371696</v>
      </c>
      <c r="H219" s="6" t="n">
        <f aca="false">MAX(0,MIN(bb_target,Sens!G221+Sens!H217-Sens!H218-min_cash))</f>
        <v>22.271</v>
      </c>
      <c r="I219" s="6" t="n">
        <f aca="false">MAX(0,MIN(bb_target,Sens!H221+Sens!I217-Sens!I218-min_cash))</f>
        <v>22.271</v>
      </c>
      <c r="J219" s="6" t="n">
        <f aca="false">MAX(0,MIN(bb_target,Sens!I221+Sens!J217-Sens!J218-min_cash))</f>
        <v>22.271</v>
      </c>
      <c r="K219" s="6" t="n">
        <f aca="false">MAX(0,MIN(bb_target,Sens!J221+Sens!K217-Sens!K218-min_cash))</f>
        <v>22.271</v>
      </c>
    </row>
    <row r="220" customFormat="false" ht="15" hidden="false" customHeight="false" outlineLevel="0" collapsed="false">
      <c r="A220" s="1" t="s">
        <v>1124</v>
      </c>
      <c r="B220" s="0" t="s">
        <v>98</v>
      </c>
      <c r="F220" s="6" t="n">
        <f aca="false">MAX(0,min_cash-(Sens!E221+Sens!F217-Sens!F218-Sens!F219))</f>
        <v>0</v>
      </c>
      <c r="G220" s="6" t="n">
        <f aca="false">MAX(0,min_cash-(Sens!F221+Sens!G217-Sens!G218-Sens!G219))</f>
        <v>0</v>
      </c>
      <c r="H220" s="6" t="n">
        <f aca="false">MAX(0,min_cash-(Sens!G221+Sens!H217-Sens!H218-Sens!H219))</f>
        <v>0</v>
      </c>
      <c r="I220" s="6" t="n">
        <f aca="false">MAX(0,min_cash-(Sens!H221+Sens!I217-Sens!I218-Sens!I219))</f>
        <v>0</v>
      </c>
      <c r="J220" s="6" t="n">
        <f aca="false">MAX(0,min_cash-(Sens!I221+Sens!J217-Sens!J218-Sens!J219))</f>
        <v>0</v>
      </c>
      <c r="K220" s="6" t="n">
        <f aca="false">MAX(0,min_cash-(Sens!J221+Sens!K217-Sens!K218-Sens!K219))</f>
        <v>0</v>
      </c>
    </row>
    <row r="221" customFormat="false" ht="15" hidden="false" customHeight="false" outlineLevel="0" collapsed="false">
      <c r="A221" s="1" t="s">
        <v>1125</v>
      </c>
      <c r="B221" s="0" t="s">
        <v>98</v>
      </c>
      <c r="E221" s="6" t="n">
        <f aca="false">cash_open</f>
        <v>76.843</v>
      </c>
      <c r="F221" s="6" t="n">
        <f aca="false">Sens!E221+Sens!F217-Sens!F218-Sens!F219+Sens!F220</f>
        <v>50</v>
      </c>
      <c r="G221" s="6" t="n">
        <f aca="false">Sens!F221+Sens!G217-Sens!G218-Sens!G219+Sens!G220</f>
        <v>50</v>
      </c>
      <c r="H221" s="6" t="n">
        <f aca="false">Sens!G221+Sens!H217-Sens!H218-Sens!H219+Sens!H220</f>
        <v>78.2105919480388</v>
      </c>
      <c r="I221" s="6" t="n">
        <f aca="false">Sens!H221+Sens!I217-Sens!I218-Sens!I219+Sens!I220</f>
        <v>180.2542773628</v>
      </c>
      <c r="J221" s="6" t="n">
        <f aca="false">Sens!I221+Sens!J217-Sens!J218-Sens!J219+Sens!J220</f>
        <v>354.888617073968</v>
      </c>
      <c r="K221" s="6" t="n">
        <f aca="false">Sens!J221+Sens!K217-Sens!K218-Sens!K219+Sens!K220</f>
        <v>564.826038856941</v>
      </c>
    </row>
    <row r="222" customFormat="false" ht="15" hidden="false" customHeight="false" outlineLevel="0" collapsed="false">
      <c r="A222" s="1" t="s">
        <v>1126</v>
      </c>
      <c r="B222" s="0" t="s">
        <v>98</v>
      </c>
      <c r="E222" s="6" t="n">
        <f aca="false">debt_face</f>
        <v>46.136</v>
      </c>
      <c r="F222" s="6" t="n">
        <f aca="false">Sens!E222-Sens!F218+Sens!F220</f>
        <v>36.886</v>
      </c>
      <c r="G222" s="6" t="n">
        <f aca="false">Sens!F222-Sens!G218+Sens!G220</f>
        <v>36.886</v>
      </c>
      <c r="H222" s="6" t="n">
        <f aca="false">Sens!G222-Sens!H218+Sens!H220</f>
        <v>34.885</v>
      </c>
      <c r="I222" s="6" t="n">
        <f aca="false">Sens!H222-Sens!I218+Sens!I220</f>
        <v>34.885</v>
      </c>
      <c r="J222" s="6" t="n">
        <f aca="false">Sens!I222-Sens!J218+Sens!J220</f>
        <v>34.385</v>
      </c>
      <c r="K222" s="6" t="n">
        <f aca="false">Sens!J222-Sens!K218+Sens!K220</f>
        <v>34.385</v>
      </c>
    </row>
    <row r="223" customFormat="false" ht="15" hidden="false" customHeight="false" outlineLevel="0" collapsed="false">
      <c r="A223" s="1" t="s">
        <v>1127</v>
      </c>
      <c r="B223" s="0" t="s">
        <v>98</v>
      </c>
      <c r="E223" s="6" t="n">
        <f aca="false">Sens!E221-Sens!E222</f>
        <v>30.707</v>
      </c>
      <c r="F223" s="6" t="n">
        <f aca="false">Sens!F221-Sens!F222</f>
        <v>13.114</v>
      </c>
      <c r="G223" s="6" t="n">
        <f aca="false">Sens!G221-Sens!G222</f>
        <v>13.114</v>
      </c>
      <c r="H223" s="6" t="n">
        <f aca="false">Sens!H221-Sens!H222</f>
        <v>43.3255919480388</v>
      </c>
      <c r="I223" s="6" t="n">
        <f aca="false">Sens!I221-Sens!I222</f>
        <v>145.3692773628</v>
      </c>
      <c r="J223" s="6" t="n">
        <f aca="false">Sens!J221-Sens!J222</f>
        <v>320.503617073968</v>
      </c>
      <c r="K223" s="6" t="n">
        <f aca="false">Sens!K221-Sens!K222</f>
        <v>530.441038856941</v>
      </c>
    </row>
    <row r="224" customFormat="false" ht="15" hidden="false" customHeight="false" outlineLevel="0" collapsed="false">
      <c r="A224" s="1" t="s">
        <v>1128</v>
      </c>
      <c r="B224" s="0" t="s">
        <v>75</v>
      </c>
      <c r="F224" s="30" t="n">
        <f aca="false">px*(1+bb_g)^(Sens!F82-base_fy-mid_yr)</f>
        <v>551.84177959629</v>
      </c>
      <c r="G224" s="30" t="n">
        <f aca="false">px*(1+bb_g)^(Sens!G82-base_fy-mid_yr)</f>
        <v>595.989121963993</v>
      </c>
      <c r="H224" s="30" t="n">
        <f aca="false">px*(1+bb_g)^(Sens!H82-base_fy-mid_yr)</f>
        <v>643.668251721112</v>
      </c>
      <c r="I224" s="30" t="n">
        <f aca="false">px*(1+bb_g)^(Sens!I82-base_fy-mid_yr)</f>
        <v>695.161711858801</v>
      </c>
      <c r="J224" s="30" t="n">
        <f aca="false">px*(1+bb_g)^(Sens!J82-base_fy-mid_yr)</f>
        <v>750.774648807506</v>
      </c>
      <c r="K224" s="30" t="n">
        <f aca="false">px*(1+bb_g)^(Sens!K82-base_fy-mid_yr)</f>
        <v>810.836620712106</v>
      </c>
    </row>
    <row r="225" customFormat="false" ht="15" hidden="false" customHeight="false" outlineLevel="0" collapsed="false">
      <c r="A225" s="1" t="s">
        <v>1129</v>
      </c>
      <c r="B225" s="1" t="s">
        <v>81</v>
      </c>
      <c r="E225" s="15" t="n">
        <f aca="false">sh_out26</f>
        <v>7.427</v>
      </c>
      <c r="F225" s="15" t="n">
        <f aca="false">Sens!E225+sh_iss-Sens!F219/Sens!F224</f>
        <v>7.46626537535419</v>
      </c>
      <c r="G225" s="15" t="n">
        <f aca="false">Sens!F225+sh_iss-Sens!G219/Sens!G224</f>
        <v>7.50554182816515</v>
      </c>
      <c r="H225" s="15" t="n">
        <f aca="false">Sens!G225+sh_iss-Sens!H219/Sens!H224</f>
        <v>7.51594170622275</v>
      </c>
      <c r="I225" s="15" t="n">
        <f aca="false">Sens!H225+sh_iss-Sens!I219/Sens!I224</f>
        <v>7.52890455627609</v>
      </c>
      <c r="J225" s="15" t="n">
        <f aca="false">Sens!I225+sh_iss-Sens!J219/Sens!J224</f>
        <v>7.5442405285477</v>
      </c>
      <c r="K225" s="15" t="n">
        <f aca="false">Sens!J225+sh_iss-Sens!K219/Sens!K224</f>
        <v>7.56177383620659</v>
      </c>
    </row>
    <row r="226" customFormat="false" ht="15" hidden="false" customHeight="false" outlineLevel="0" collapsed="false">
      <c r="A226" s="1" t="s">
        <v>1130</v>
      </c>
      <c r="B226" s="1" t="s">
        <v>81</v>
      </c>
      <c r="E226" s="15" t="n">
        <f aca="false">sh_dil26</f>
        <v>7.453</v>
      </c>
      <c r="F226" s="15" t="n">
        <f aca="false">(Sens!E225+Sens!F225)/2+dil_gap</f>
        <v>7.4706326876771</v>
      </c>
      <c r="G226" s="15" t="n">
        <f aca="false">(Sens!F225+Sens!G225)/2+dil_gap</f>
        <v>7.50990360175967</v>
      </c>
      <c r="H226" s="15" t="n">
        <f aca="false">(Sens!G225+Sens!H225)/2+dil_gap</f>
        <v>7.53474176719395</v>
      </c>
      <c r="I226" s="15" t="n">
        <f aca="false">(Sens!H225+Sens!I225)/2+dil_gap</f>
        <v>7.54642313124942</v>
      </c>
      <c r="J226" s="15" t="n">
        <f aca="false">(Sens!I225+Sens!J225)/2+dil_gap</f>
        <v>7.56057254241189</v>
      </c>
      <c r="K226" s="15" t="n">
        <f aca="false">(Sens!J225+Sens!K225)/2+dil_gap</f>
        <v>7.57700718237714</v>
      </c>
    </row>
    <row r="227" customFormat="false" ht="17.15" hidden="false" customHeight="false" outlineLevel="0" collapsed="false">
      <c r="A227" s="1" t="s">
        <v>1131</v>
      </c>
      <c r="B227" s="0" t="s">
        <v>98</v>
      </c>
      <c r="C227" s="6" t="n">
        <f aca="false">SUM(Sens!F217:J217)</f>
        <v>363.185394407545</v>
      </c>
    </row>
    <row r="228" customFormat="false" ht="15" hidden="false" customHeight="false" outlineLevel="0" collapsed="false">
      <c r="A228" s="26" t="s">
        <v>1096</v>
      </c>
      <c r="B228" s="31" t="s">
        <v>98</v>
      </c>
      <c r="C228" s="27" t="n">
        <f aca="false">Sens!$C$227-(Sens!F217+Sens!G217+Sens!H217+Sens!I217+Sens!J217)</f>
        <v>0</v>
      </c>
      <c r="D228" s="31"/>
      <c r="E228" s="31"/>
      <c r="F228" s="31"/>
      <c r="G228" s="31"/>
      <c r="H228" s="31"/>
      <c r="I228" s="31"/>
      <c r="J228" s="31"/>
      <c r="K228" s="31"/>
    </row>
    <row r="229" customFormat="false" ht="17.15" hidden="false" customHeight="false" outlineLevel="0" collapsed="false">
      <c r="A229" s="1" t="s">
        <v>1090</v>
      </c>
      <c r="B229" s="1" t="s">
        <v>1132</v>
      </c>
      <c r="C229" s="33" t="str">
        <f aca="false">IF(SUM(Sens!F220:J220)&gt;0.05,"需要舉債 "&amp;TEXT(SUM(Sens!F220:J220),"0.0")&amp;" 十億美元","不需舉債")&amp;"；"&amp;IF(SUM(Sens!F219:J219)&lt;COUNT(Sens!F219:J219)*bb_target-0.05,"回購較每年 "&amp;TEXT(bb_target,"0.0")&amp;" 的目標少 "&amp;TEXT(COUNT(Sens!F219:J219)*bb_target-SUM(Sens!F219:J219),"0.0")&amp;" 十億美元（"&amp;TEXT(COUNTIF(Sens!F219:J219,"&lt;"&amp;(bb_target-0.05)),"0")&amp;" 年減少）","回購不減")</f>
        <v>不需舉債；回購較每年 22.3 的目標少 38.0 十億美元（2 年減少）</v>
      </c>
    </row>
    <row r="230" customFormat="false" ht="17.15" hidden="false" customHeight="false" outlineLevel="0" collapsed="false">
      <c r="A230" s="3" t="s">
        <v>1484</v>
      </c>
    </row>
    <row r="231" customFormat="false" ht="15" hidden="false" customHeight="false" outlineLevel="0" collapsed="false">
      <c r="A231" s="4" t="s">
        <v>43</v>
      </c>
      <c r="B231" s="4" t="s">
        <v>65</v>
      </c>
      <c r="C231" s="23" t="s">
        <v>938</v>
      </c>
      <c r="D231" s="23" t="s">
        <v>939</v>
      </c>
      <c r="E231" s="23" t="s">
        <v>940</v>
      </c>
      <c r="F231" s="23" t="s">
        <v>941</v>
      </c>
      <c r="G231" s="23" t="s">
        <v>942</v>
      </c>
      <c r="H231" s="23" t="s">
        <v>943</v>
      </c>
      <c r="I231" s="23" t="s">
        <v>944</v>
      </c>
      <c r="J231" s="23" t="s">
        <v>945</v>
      </c>
      <c r="K231" s="23" t="s">
        <v>946</v>
      </c>
      <c r="L231" s="4" t="s">
        <v>47</v>
      </c>
    </row>
    <row r="232" customFormat="false" ht="17.15" hidden="false" customHeight="false" outlineLevel="0" collapsed="false">
      <c r="A232" s="1" t="s">
        <v>1212</v>
      </c>
      <c r="B232" s="1" t="s">
        <v>279</v>
      </c>
      <c r="F232" s="8" t="n">
        <f aca="false">(1-v_off)*mid_yr</f>
        <v>0.373972602739726</v>
      </c>
      <c r="G232" s="8" t="n">
        <f aca="false">Sens!G82-base_fy-mid_yr-v_off</f>
        <v>1.24794520547945</v>
      </c>
      <c r="H232" s="8" t="n">
        <f aca="false">Sens!H82-base_fy-mid_yr-v_off</f>
        <v>2.24794520547945</v>
      </c>
      <c r="I232" s="8" t="n">
        <f aca="false">Sens!I82-base_fy-mid_yr-v_off</f>
        <v>3.24794520547945</v>
      </c>
      <c r="J232" s="8" t="n">
        <f aca="false">Sens!J82-base_fy-mid_yr-v_off</f>
        <v>4.24794520547945</v>
      </c>
      <c r="K232" s="8" t="n">
        <f aca="false">Sens!K82-base_fy-mid_yr-v_off</f>
        <v>5.24794520547945</v>
      </c>
      <c r="L232" s="12" t="s">
        <v>1213</v>
      </c>
    </row>
    <row r="233" customFormat="false" ht="15" hidden="false" customHeight="false" outlineLevel="0" collapsed="false">
      <c r="A233" s="1" t="s">
        <v>1214</v>
      </c>
      <c r="B233" s="1" t="s">
        <v>279</v>
      </c>
      <c r="F233" s="8" t="n">
        <f aca="false">Sens!F82-base_fy-v_off</f>
        <v>0.747945205479452</v>
      </c>
      <c r="G233" s="8" t="n">
        <f aca="false">Sens!G82-base_fy-v_off</f>
        <v>1.74794520547945</v>
      </c>
      <c r="H233" s="8" t="n">
        <f aca="false">Sens!H82-base_fy-v_off</f>
        <v>2.74794520547945</v>
      </c>
      <c r="I233" s="8" t="n">
        <f aca="false">Sens!I82-base_fy-v_off</f>
        <v>3.74794520547945</v>
      </c>
      <c r="J233" s="8" t="n">
        <f aca="false">Sens!J82-base_fy-v_off</f>
        <v>4.74794520547945</v>
      </c>
      <c r="K233" s="8" t="n">
        <f aca="false">Sens!K82-base_fy-v_off</f>
        <v>5.74794520547945</v>
      </c>
    </row>
    <row r="234" customFormat="false" ht="15" hidden="false" customHeight="false" outlineLevel="0" collapsed="false">
      <c r="A234" s="1" t="s">
        <v>1215</v>
      </c>
      <c r="B234" s="0" t="s">
        <v>229</v>
      </c>
      <c r="F234" s="15" t="n">
        <f aca="false">1/(1+wacc)^Sens!F232</f>
        <v>0.964022703286649</v>
      </c>
      <c r="G234" s="15" t="n">
        <f aca="false">1/(1+wacc)^Sens!G232</f>
        <v>0.884910302296739</v>
      </c>
      <c r="H234" s="15" t="n">
        <f aca="false">1/(1+wacc)^Sens!H232</f>
        <v>0.802322009770358</v>
      </c>
      <c r="I234" s="15" t="n">
        <f aca="false">1/(1+wacc)^Sens!I232</f>
        <v>0.727441646561469</v>
      </c>
      <c r="J234" s="15" t="n">
        <f aca="false">1/(1+wacc)^Sens!J232</f>
        <v>0.659549834988973</v>
      </c>
      <c r="K234" s="15" t="n">
        <f aca="false">1/(1+wacc)^Sens!K232</f>
        <v>0.597994336576966</v>
      </c>
    </row>
    <row r="235" customFormat="false" ht="17.15" hidden="false" customHeight="false" outlineLevel="0" collapsed="false">
      <c r="A235" s="1" t="s">
        <v>1216</v>
      </c>
      <c r="B235" s="0" t="s">
        <v>98</v>
      </c>
      <c r="F235" s="6" t="n">
        <f aca="false">Q!$I$35-Q!$I$39-Q!$I$43</f>
        <v>9.666</v>
      </c>
      <c r="L235" s="12" t="s">
        <v>1217</v>
      </c>
    </row>
    <row r="236" customFormat="false" ht="17.15" hidden="false" customHeight="false" outlineLevel="0" collapsed="false">
      <c r="A236" s="1" t="s">
        <v>1218</v>
      </c>
      <c r="B236" s="0" t="s">
        <v>98</v>
      </c>
      <c r="F236" s="6" t="n">
        <f aca="false">Sens!F207-Sens!F204-Sens!F211+Sens!F189*(1-tax_f)*(1-v_off)-Sens!F235</f>
        <v>-6.44424383237961</v>
      </c>
      <c r="G236" s="6" t="n">
        <f aca="false">Sens!G207-Sens!G204-Sens!G211+Sens!G189*(1-tax_f)</f>
        <v>20.5546177811332</v>
      </c>
      <c r="H236" s="6" t="n">
        <f aca="false">Sens!H207-Sens!H204-Sens!H211+Sens!H189*(1-tax_f)</f>
        <v>68.2912712662001</v>
      </c>
      <c r="I236" s="6" t="n">
        <f aca="false">Sens!I207-Sens!I204-Sens!I211+Sens!I189*(1-tax_f)</f>
        <v>139.914952959863</v>
      </c>
      <c r="J236" s="6" t="n">
        <f aca="false">Sens!J207-Sens!J204-Sens!J211+Sens!J189*(1-tax_f)</f>
        <v>213.702736903832</v>
      </c>
      <c r="K236" s="6" t="n">
        <f aca="false">Sens!K207-Sens!K204-Sens!K211+Sens!K189*(1-tax_f)</f>
        <v>249.994963372517</v>
      </c>
      <c r="L236" s="1" t="s">
        <v>1219</v>
      </c>
    </row>
    <row r="237" customFormat="false" ht="15" hidden="false" customHeight="false" outlineLevel="0" collapsed="false">
      <c r="A237" s="1" t="s">
        <v>1220</v>
      </c>
      <c r="B237" s="0" t="s">
        <v>98</v>
      </c>
      <c r="F237" s="6" t="n">
        <f aca="false">Sens!F236*Sens!F234</f>
        <v>-6.21239735992891</v>
      </c>
      <c r="G237" s="6" t="n">
        <f aca="false">Sens!G236*Sens!G234</f>
        <v>18.1889930342965</v>
      </c>
      <c r="H237" s="6" t="n">
        <f aca="false">Sens!H236*Sens!H234</f>
        <v>54.7915900120704</v>
      </c>
      <c r="I237" s="6" t="n">
        <f aca="false">Sens!I236*Sens!I234</f>
        <v>101.779963759693</v>
      </c>
      <c r="J237" s="6" t="n">
        <f aca="false">Sens!J236*Sens!J234</f>
        <v>140.947604861614</v>
      </c>
      <c r="K237" s="6" t="n">
        <f aca="false">Sens!K236*Sens!K234</f>
        <v>149.495572269531</v>
      </c>
    </row>
    <row r="238" customFormat="false" ht="17.15" hidden="false" customHeight="false" outlineLevel="0" collapsed="false">
      <c r="A238" s="1" t="s">
        <v>1221</v>
      </c>
      <c r="B238" s="0" t="s">
        <v>98</v>
      </c>
      <c r="C238" s="6" t="n">
        <f aca="false">SUM(Sens!F237:K237)</f>
        <v>458.991326577276</v>
      </c>
    </row>
    <row r="239" customFormat="false" ht="17.15" hidden="false" customHeight="false" outlineLevel="0" collapsed="false">
      <c r="A239" s="1" t="s">
        <v>1222</v>
      </c>
      <c r="B239" s="0" t="s">
        <v>98</v>
      </c>
      <c r="C239" s="6" t="n">
        <f aca="false">Sens!K175*(1+g_tv)*(1-tax_f)</f>
        <v>261.227290632312</v>
      </c>
    </row>
    <row r="240" customFormat="false" ht="17.15" hidden="false" customHeight="false" outlineLevel="0" collapsed="false">
      <c r="A240" s="1" t="s">
        <v>1223</v>
      </c>
      <c r="B240" s="0" t="s">
        <v>98</v>
      </c>
      <c r="C240" s="6" t="n">
        <f aca="false">Sens!$C$239*(1-g_tv/(wacc+ronic_prem))</f>
        <v>185.09480317592</v>
      </c>
    </row>
    <row r="241" customFormat="false" ht="17.15" hidden="false" customHeight="false" outlineLevel="0" collapsed="false">
      <c r="A241" s="1" t="s">
        <v>1224</v>
      </c>
      <c r="B241" s="0" t="s">
        <v>98</v>
      </c>
      <c r="C241" s="6" t="n">
        <f aca="false">Sens!$C$240/(wacc-g_tv)</f>
        <v>2537.7495818797</v>
      </c>
    </row>
    <row r="242" customFormat="false" ht="15" hidden="false" customHeight="false" outlineLevel="0" collapsed="false">
      <c r="A242" s="1" t="s">
        <v>1225</v>
      </c>
      <c r="B242" s="0" t="s">
        <v>98</v>
      </c>
      <c r="C242" s="6" t="n">
        <f aca="false">Sens!$C$241/(1+wacc)^Sens!K233</f>
        <v>1445.00903744822</v>
      </c>
    </row>
    <row r="243" customFormat="false" ht="17.15" hidden="false" customHeight="false" outlineLevel="0" collapsed="false">
      <c r="A243" s="0" t="s">
        <v>1226</v>
      </c>
      <c r="B243" s="0" t="s">
        <v>98</v>
      </c>
      <c r="C243" s="6" t="n">
        <f aca="false">Sens!$C$238+Sens!$C$242</f>
        <v>1904.0003640255</v>
      </c>
    </row>
    <row r="244" customFormat="false" ht="15" hidden="false" customHeight="false" outlineLevel="0" collapsed="false">
      <c r="A244" s="1" t="s">
        <v>1141</v>
      </c>
      <c r="B244" s="0" t="s">
        <v>168</v>
      </c>
      <c r="C244" s="7" t="n">
        <f aca="false">Sens!$C$242/Sens!$C$243</f>
        <v>0.758933172887183</v>
      </c>
    </row>
    <row r="245" customFormat="false" ht="17.15" hidden="false" customHeight="false" outlineLevel="0" collapsed="false">
      <c r="A245" s="1" t="s">
        <v>1227</v>
      </c>
      <c r="B245" s="0" t="s">
        <v>98</v>
      </c>
      <c r="C245" s="6" t="n">
        <f aca="false">Sens!$C$243+cash_val-debt_val-fl_val+oai_v</f>
        <v>2019.8513640255</v>
      </c>
    </row>
    <row r="246" customFormat="false" ht="17.15" hidden="false" customHeight="false" outlineLevel="0" collapsed="false">
      <c r="A246" s="0" t="s">
        <v>1149</v>
      </c>
      <c r="B246" s="0" t="s">
        <v>75</v>
      </c>
      <c r="C246" s="5" t="n">
        <f aca="false">Sens!$C$245/shd_val</f>
        <v>271.266634975222</v>
      </c>
    </row>
    <row r="247" customFormat="false" ht="15" hidden="false" customHeight="false" outlineLevel="0" collapsed="false">
      <c r="A247" s="1" t="s">
        <v>1228</v>
      </c>
      <c r="B247" s="0" t="s">
        <v>75</v>
      </c>
      <c r="C247" s="8" t="n">
        <f aca="false">div_rem27+Sens!G215*roll_div_q/q_per_yr</f>
        <v>3.9795</v>
      </c>
    </row>
    <row r="248" customFormat="false" ht="17.15" hidden="false" customHeight="false" outlineLevel="0" collapsed="false">
      <c r="A248" s="0" t="s">
        <v>1229</v>
      </c>
      <c r="B248" s="0" t="s">
        <v>75</v>
      </c>
      <c r="C248" s="5" t="n">
        <f aca="false">Sens!$C$246*(1+wacc)^t_roll-Sens!$C$247</f>
        <v>297.54850436763</v>
      </c>
    </row>
    <row r="249" customFormat="false" ht="17.15" hidden="false" customHeight="false" outlineLevel="0" collapsed="false">
      <c r="A249" s="1" t="s">
        <v>1230</v>
      </c>
      <c r="B249" s="0" t="s">
        <v>168</v>
      </c>
      <c r="F249" s="7" t="n">
        <f aca="false">Sens!F201/(Sens!F146-Sens!F101)</f>
        <v>0.0685527305696859</v>
      </c>
      <c r="G249" s="7" t="n">
        <f aca="false">Sens!G201/(Sens!G146-Sens!G101)</f>
        <v>0.0653567731599844</v>
      </c>
      <c r="H249" s="7" t="n">
        <f aca="false">Sens!H201/(Sens!H146-Sens!H101)</f>
        <v>0.0636628841026972</v>
      </c>
      <c r="I249" s="7" t="n">
        <f aca="false">Sens!I201/(Sens!I146-Sens!I101)</f>
        <v>0.0633581084335176</v>
      </c>
      <c r="J249" s="7" t="n">
        <f aca="false">Sens!J201/(Sens!J146-Sens!J101)</f>
        <v>0.0640873955995062</v>
      </c>
      <c r="K249" s="7" t="n">
        <f aca="false">Sens!K201/(Sens!K146-Sens!K101)</f>
        <v>0.0653962234835198</v>
      </c>
    </row>
    <row r="250" customFormat="false" ht="17.15" hidden="false" customHeight="false" outlineLevel="0" collapsed="false">
      <c r="A250" s="0" t="s">
        <v>1231</v>
      </c>
      <c r="B250" s="0" t="s">
        <v>98</v>
      </c>
      <c r="F250" s="6" t="n">
        <f aca="false">Sens!F131*(al_m365+Sens!F249+sbc_r)</f>
        <v>84.5213906545575</v>
      </c>
      <c r="G250" s="6" t="n">
        <f aca="false">Sens!G131*(al_m365+Sens!G249+sbc_r)</f>
        <v>98.949983331796</v>
      </c>
      <c r="H250" s="6" t="n">
        <f aca="false">Sens!H131*(al_m365+Sens!H249+sbc_r)</f>
        <v>113.543734275326</v>
      </c>
      <c r="I250" s="6" t="n">
        <f aca="false">Sens!I131*(al_m365+Sens!I249+sbc_r)</f>
        <v>126.62058838692</v>
      </c>
      <c r="J250" s="6" t="n">
        <f aca="false">Sens!J131*(al_m365+Sens!J249+sbc_r)</f>
        <v>137.994660156303</v>
      </c>
      <c r="K250" s="6" t="n">
        <f aca="false">Sens!K131*(al_m365+Sens!K249+sbc_r)</f>
        <v>148.989224092997</v>
      </c>
      <c r="L250" s="12" t="s">
        <v>1232</v>
      </c>
    </row>
    <row r="251" customFormat="false" ht="17.15" hidden="false" customHeight="false" outlineLevel="0" collapsed="false">
      <c r="A251" s="0" t="s">
        <v>1233</v>
      </c>
      <c r="B251" s="0" t="s">
        <v>98</v>
      </c>
      <c r="F251" s="6" t="n">
        <f aca="false">Sens!F132*(al_lic+Sens!F249+sbc_r)</f>
        <v>32.855200196554</v>
      </c>
      <c r="G251" s="6" t="n">
        <f aca="false">Sens!G132*(al_lic+Sens!G249+sbc_r)</f>
        <v>34.1185582613282</v>
      </c>
      <c r="H251" s="6" t="n">
        <f aca="false">Sens!H132*(al_lic+Sens!H249+sbc_r)</f>
        <v>35.3024309363621</v>
      </c>
      <c r="I251" s="6" t="n">
        <f aca="false">Sens!I132*(al_lic+Sens!I249+sbc_r)</f>
        <v>36.3898468129533</v>
      </c>
      <c r="J251" s="6" t="n">
        <f aca="false">Sens!J132*(al_lic+Sens!J249+sbc_r)</f>
        <v>37.3529129529876</v>
      </c>
      <c r="K251" s="6" t="n">
        <f aca="false">Sens!K132*(al_lic+Sens!K249+sbc_r)</f>
        <v>38.158536171203</v>
      </c>
    </row>
    <row r="252" customFormat="false" ht="17.15" hidden="false" customHeight="false" outlineLevel="0" collapsed="false">
      <c r="A252" s="0" t="s">
        <v>1234</v>
      </c>
      <c r="B252" s="0" t="s">
        <v>98</v>
      </c>
      <c r="F252" s="6" t="n">
        <f aca="false">Sens!F134*(al_ind+Sens!F249+sbc_r)</f>
        <v>9.05892547956683</v>
      </c>
      <c r="G252" s="6" t="n">
        <f aca="false">Sens!G134*(al_ind+Sens!G249+sbc_r)</f>
        <v>9.82456487622418</v>
      </c>
      <c r="H252" s="6" t="n">
        <f aca="false">Sens!H134*(al_ind+Sens!H249+sbc_r)</f>
        <v>10.6377408477959</v>
      </c>
      <c r="I252" s="6" t="n">
        <f aca="false">Sens!I134*(al_ind+Sens!I249+sbc_r)</f>
        <v>11.4966323260293</v>
      </c>
      <c r="J252" s="6" t="n">
        <f aca="false">Sens!J134*(al_ind+Sens!J249+sbc_r)</f>
        <v>12.3903660286279</v>
      </c>
      <c r="K252" s="6" t="n">
        <f aca="false">Sens!K134*(al_ind+Sens!K249+sbc_r)</f>
        <v>13.3009129057681</v>
      </c>
    </row>
    <row r="253" customFormat="false" ht="17.15" hidden="false" customHeight="false" outlineLevel="0" collapsed="false">
      <c r="A253" s="0" t="s">
        <v>1235</v>
      </c>
      <c r="B253" s="0" t="s">
        <v>98</v>
      </c>
      <c r="F253" s="6" t="n">
        <f aca="false">Sens!F136*(al_fro+Sens!F249+sbc_r)</f>
        <v>3.55344443532423</v>
      </c>
      <c r="G253" s="6" t="n">
        <f aca="false">Sens!G136*(al_fro+Sens!G249+sbc_r)</f>
        <v>3.75916645971565</v>
      </c>
      <c r="H253" s="6" t="n">
        <f aca="false">Sens!H136*(al_fro+Sens!H249+sbc_r)</f>
        <v>3.994970960527</v>
      </c>
      <c r="I253" s="6" t="n">
        <f aca="false">Sens!I136*(al_fro+Sens!I249+sbc_r)</f>
        <v>4.26396270432353</v>
      </c>
      <c r="J253" s="6" t="n">
        <f aca="false">Sens!J136*(al_fro+Sens!J249+sbc_r)</f>
        <v>4.5667795874336</v>
      </c>
      <c r="K253" s="6" t="n">
        <f aca="false">Sens!K136*(al_fro+Sens!K249+sbc_r)</f>
        <v>4.90238443416026</v>
      </c>
    </row>
    <row r="254" customFormat="false" ht="17.15" hidden="false" customHeight="false" outlineLevel="0" collapsed="false">
      <c r="A254" s="0" t="s">
        <v>1236</v>
      </c>
      <c r="B254" s="0" t="s">
        <v>98</v>
      </c>
      <c r="F254" s="6" t="n">
        <f aca="false">Sens!F139*(al_srch+Sens!F249+sbc_r)</f>
        <v>11.1872483445711</v>
      </c>
      <c r="G254" s="6" t="n">
        <f aca="false">Sens!G139*(al_srch+Sens!G249+sbc_r)</f>
        <v>12.247246048296</v>
      </c>
      <c r="H254" s="6" t="n">
        <f aca="false">Sens!H139*(al_srch+Sens!H249+sbc_r)</f>
        <v>13.3552870946193</v>
      </c>
      <c r="I254" s="6" t="n">
        <f aca="false">Sens!I139*(al_srch+Sens!I249+sbc_r)</f>
        <v>14.5024145321619</v>
      </c>
      <c r="J254" s="6" t="n">
        <f aca="false">Sens!J139*(al_srch+Sens!J249+sbc_r)</f>
        <v>15.667276660652</v>
      </c>
      <c r="K254" s="6" t="n">
        <f aca="false">Sens!K139*(al_srch+Sens!K249+sbc_r)</f>
        <v>16.8186381138719</v>
      </c>
    </row>
    <row r="255" customFormat="false" ht="17.15" hidden="false" customHeight="false" outlineLevel="0" collapsed="false">
      <c r="A255" s="0" t="s">
        <v>1237</v>
      </c>
      <c r="B255" s="0" t="s">
        <v>98</v>
      </c>
      <c r="F255" s="6" t="n">
        <f aca="false">Sens!F107-Sens!F108+Sens!F189</f>
        <v>36.4948513114639</v>
      </c>
      <c r="G255" s="6" t="n">
        <f aca="false">Sens!G107-Sens!G108+Sens!G189</f>
        <v>68.3803062387892</v>
      </c>
      <c r="H255" s="6" t="n">
        <f aca="false">Sens!H107-Sens!H108+Sens!H189</f>
        <v>106.615687226646</v>
      </c>
      <c r="I255" s="6" t="n">
        <f aca="false">Sens!I107-Sens!I108+Sens!I189</f>
        <v>134.999195090786</v>
      </c>
      <c r="J255" s="6" t="n">
        <f aca="false">Sens!J107-Sens!J108+Sens!J189</f>
        <v>154.947272532467</v>
      </c>
      <c r="K255" s="6" t="n">
        <f aca="false">Sens!K107-Sens!K108+Sens!K189</f>
        <v>167.853506633251</v>
      </c>
    </row>
    <row r="256" customFormat="false" ht="17.15" hidden="false" customHeight="false" outlineLevel="0" collapsed="false">
      <c r="A256" s="0" t="s">
        <v>1238</v>
      </c>
      <c r="B256" s="0" t="s">
        <v>98</v>
      </c>
      <c r="F256" s="6" t="n">
        <f aca="false">Sens!F168+Sens!F189+Sens!F119+Sens!F249*(Sens!F138-Sens!F101)+sbc_r*Sens!F138</f>
        <v>231.934760996027</v>
      </c>
      <c r="G256" s="6" t="n">
        <f aca="false">Sens!G168+Sens!G189+Sens!G119+Sens!G249*(Sens!G138-Sens!G101)+sbc_r*Sens!G138</f>
        <v>289.211753623925</v>
      </c>
      <c r="H256" s="6" t="n">
        <f aca="false">Sens!H168+Sens!H189+Sens!H119+Sens!H249*(Sens!H138-Sens!H101)+sbc_r*Sens!H138</f>
        <v>357.484400445265</v>
      </c>
      <c r="I256" s="6" t="n">
        <f aca="false">Sens!I168+Sens!I189+Sens!I119+Sens!I249*(Sens!I138-Sens!I101)+sbc_r*Sens!I138</f>
        <v>413.812696477859</v>
      </c>
      <c r="J256" s="6" t="n">
        <f aca="false">Sens!J168+Sens!J189+Sens!J119+Sens!J249*(Sens!J138-Sens!J101)+sbc_r*Sens!J138</f>
        <v>458.727191987131</v>
      </c>
      <c r="K256" s="6" t="n">
        <f aca="false">Sens!K168+Sens!K189+Sens!K119+Sens!K249*(Sens!K138-Sens!K101)+sbc_r*Sens!K138</f>
        <v>494.166845470574</v>
      </c>
    </row>
    <row r="257" customFormat="false" ht="17.15" hidden="false" customHeight="false" outlineLevel="0" collapsed="false">
      <c r="A257" s="0" t="s">
        <v>1239</v>
      </c>
      <c r="B257" s="0" t="s">
        <v>98</v>
      </c>
      <c r="F257" s="6" t="n">
        <f aca="false">Sens!F256-Sens!F250-Sens!F251-Sens!F252-Sens!F253-Sens!F255</f>
        <v>65.4509489185601</v>
      </c>
      <c r="G257" s="6" t="n">
        <f aca="false">Sens!G256-Sens!G250-Sens!G251-Sens!G252-Sens!G253-Sens!G255</f>
        <v>74.1791744560714</v>
      </c>
      <c r="H257" s="6" t="n">
        <f aca="false">Sens!H256-Sens!H250-Sens!H251-Sens!H252-Sens!H253-Sens!H255</f>
        <v>87.3898361986086</v>
      </c>
      <c r="I257" s="6" t="n">
        <f aca="false">Sens!I256-Sens!I250-Sens!I251-Sens!I252-Sens!I253-Sens!I255</f>
        <v>100.042471156846</v>
      </c>
      <c r="J257" s="6" t="n">
        <f aca="false">Sens!J256-Sens!J250-Sens!J251-Sens!J252-Sens!J253-Sens!J255</f>
        <v>111.475200729312</v>
      </c>
      <c r="K257" s="6" t="n">
        <f aca="false">Sens!K256-Sens!K250-Sens!K251-Sens!K252-Sens!K253-Sens!K255</f>
        <v>120.962281233195</v>
      </c>
    </row>
    <row r="258" customFormat="false" ht="17.15" hidden="false" customHeight="false" outlineLevel="0" collapsed="false">
      <c r="A258" s="0" t="s">
        <v>1240</v>
      </c>
      <c r="B258" s="0" t="s">
        <v>98</v>
      </c>
      <c r="F258" s="6" t="n">
        <f aca="false">Sens!F170+Sens!F249*Sens!F145+sbc_r*Sens!F145</f>
        <v>26.6293388420472</v>
      </c>
      <c r="G258" s="6" t="n">
        <f aca="false">Sens!G170+Sens!G249*Sens!G145+sbc_r*Sens!G145</f>
        <v>26.4405000412783</v>
      </c>
      <c r="H258" s="6" t="n">
        <f aca="false">Sens!H170+Sens!H249*Sens!H145+sbc_r*Sens!H145</f>
        <v>27.296860059552</v>
      </c>
      <c r="I258" s="6" t="n">
        <f aca="false">Sens!I170+Sens!I249*Sens!I145+sbc_r*Sens!I145</f>
        <v>28.3995465815703</v>
      </c>
      <c r="J258" s="6" t="n">
        <f aca="false">Sens!J170+Sens!J249*Sens!J145+sbc_r*Sens!J145</f>
        <v>29.7093380975903</v>
      </c>
      <c r="K258" s="6" t="n">
        <f aca="false">Sens!K170+Sens!K249*Sens!K145+sbc_r*Sens!K145</f>
        <v>31.1817775287323</v>
      </c>
    </row>
    <row r="259" customFormat="false" ht="17.15" hidden="false" customHeight="false" outlineLevel="0" collapsed="false">
      <c r="A259" s="0" t="s">
        <v>1241</v>
      </c>
      <c r="B259" s="0" t="s">
        <v>98</v>
      </c>
      <c r="F259" s="6" t="n">
        <f aca="false">(Sens!F258-Sens!F254)*Sens!F141/(Sens!F141+Sens!F143)</f>
        <v>8.72146908842971</v>
      </c>
      <c r="G259" s="6" t="n">
        <f aca="false">(Sens!G258-Sens!G254)*Sens!G141/(Sens!G141+Sens!G143)</f>
        <v>7.87837655379173</v>
      </c>
      <c r="H259" s="6" t="n">
        <f aca="false">(Sens!H258-Sens!H254)*Sens!H141/(Sens!H141+Sens!H143)</f>
        <v>7.63786170689933</v>
      </c>
      <c r="I259" s="6" t="n">
        <f aca="false">(Sens!I258-Sens!I254)*Sens!I141/(Sens!I141+Sens!I143)</f>
        <v>7.5470606300581</v>
      </c>
      <c r="J259" s="6" t="n">
        <f aca="false">(Sens!J258-Sens!J254)*Sens!J141/(Sens!J141+Sens!J143)</f>
        <v>7.59249600034024</v>
      </c>
      <c r="K259" s="6" t="n">
        <f aca="false">(Sens!K258-Sens!K254)*Sens!K141/(Sens!K141+Sens!K143)</f>
        <v>7.76610179704742</v>
      </c>
    </row>
    <row r="260" customFormat="false" ht="17.15" hidden="false" customHeight="false" outlineLevel="0" collapsed="false">
      <c r="A260" s="0" t="s">
        <v>1242</v>
      </c>
      <c r="B260" s="0" t="s">
        <v>98</v>
      </c>
      <c r="F260" s="6" t="n">
        <f aca="false">Sens!F258-Sens!F254-Sens!F259</f>
        <v>6.72062140904636</v>
      </c>
      <c r="G260" s="6" t="n">
        <f aca="false">Sens!G258-Sens!G254-Sens!G259</f>
        <v>6.31487743919059</v>
      </c>
      <c r="H260" s="6" t="n">
        <f aca="false">Sens!H258-Sens!H254-Sens!H259</f>
        <v>6.30371125803333</v>
      </c>
      <c r="I260" s="6" t="n">
        <f aca="false">Sens!I258-Sens!I254-Sens!I259</f>
        <v>6.35007141935025</v>
      </c>
      <c r="J260" s="6" t="n">
        <f aca="false">Sens!J258-Sens!J254-Sens!J259</f>
        <v>6.44956543659808</v>
      </c>
      <c r="K260" s="6" t="n">
        <f aca="false">Sens!K258-Sens!K254-Sens!K259</f>
        <v>6.597037617813</v>
      </c>
    </row>
    <row r="261" customFormat="false" ht="17.15" hidden="false" customHeight="false" outlineLevel="0" collapsed="false">
      <c r="A261" s="0" t="s">
        <v>1243</v>
      </c>
      <c r="B261" s="0" t="s">
        <v>98</v>
      </c>
      <c r="F261" s="6" t="n">
        <f aca="false">Sens!F255-tax_f*(Sens!F255-Sens!F119)-Sens!F116</f>
        <v>-132.342160097278</v>
      </c>
      <c r="G261" s="6" t="n">
        <f aca="false">Sens!G255-tax_f*(Sens!G255-Sens!G119)-Sens!G116</f>
        <v>-125.093332527557</v>
      </c>
      <c r="H261" s="6" t="n">
        <f aca="false">Sens!H255-tax_f*(Sens!H255-Sens!H119)-Sens!H116</f>
        <v>-93.6934361509065</v>
      </c>
      <c r="I261" s="6" t="n">
        <f aca="false">Sens!I255-tax_f*(Sens!I255-Sens!I119)-Sens!I116</f>
        <v>-37.7692756100717</v>
      </c>
      <c r="J261" s="6" t="n">
        <f aca="false">Sens!J255-tax_f*(Sens!J255-Sens!J119)-Sens!J116</f>
        <v>21.4310214399528</v>
      </c>
      <c r="K261" s="6" t="n">
        <f aca="false">Sens!K255-tax_f*(Sens!K255-Sens!K119)-Sens!K116</f>
        <v>43.9224861520546</v>
      </c>
    </row>
    <row r="262" customFormat="false" ht="17.15" hidden="false" customHeight="false" outlineLevel="0" collapsed="false">
      <c r="A262" s="0" t="s">
        <v>1244</v>
      </c>
      <c r="B262" s="0" t="s">
        <v>98</v>
      </c>
      <c r="G262" s="6" t="n">
        <f aca="false">Sens!G261/(1+wacc)^(Sens!G232-Sens!F233)</f>
        <v>-119.112925093252</v>
      </c>
      <c r="H262" s="6" t="n">
        <f aca="false">Sens!H261/(1+wacc)^(Sens!H232-Sens!F233)</f>
        <v>-80.8878606330826</v>
      </c>
      <c r="I262" s="6" t="n">
        <f aca="false">Sens!I261/(1+wacc)^(Sens!I232-Sens!F233)</f>
        <v>-29.5639386730762</v>
      </c>
      <c r="J262" s="6" t="n">
        <f aca="false">Sens!J261/(1+wacc)^(Sens!J232-Sens!F233)</f>
        <v>15.2095359236275</v>
      </c>
      <c r="K262" s="6" t="n">
        <f aca="false">Sens!K261/(1+wacc)^(Sens!K232-Sens!F233)</f>
        <v>28.2624275274549</v>
      </c>
      <c r="L262" s="1" t="s">
        <v>1245</v>
      </c>
    </row>
    <row r="263" customFormat="false" ht="17.15" hidden="false" customHeight="false" outlineLevel="0" collapsed="false">
      <c r="A263" s="0" t="s">
        <v>1246</v>
      </c>
      <c r="B263" s="0" t="s">
        <v>98</v>
      </c>
      <c r="C263" s="6" t="n">
        <f aca="false">(Sens!K255-Sens!K119)*(1-tax_f)*(1+g_tv)*(1-g_tv/(wacc+ronic_prem))/(wacc-g_tv)/(1+wacc)^(Sens!K233-Sens!F233)</f>
        <v>121.834681309358</v>
      </c>
    </row>
    <row r="264" customFormat="false" ht="17.15" hidden="false" customHeight="false" outlineLevel="0" collapsed="false">
      <c r="A264" s="1" t="s">
        <v>1247</v>
      </c>
      <c r="B264" s="0" t="s">
        <v>98</v>
      </c>
      <c r="C264" s="6" t="n">
        <f aca="false">(SUM(Sens!G262:K262)+Sens!$C$263)*(1+wacc)^(t_roll-Sens!F233)</f>
        <v>-66.3794331787103</v>
      </c>
      <c r="L264" s="12" t="s">
        <v>1248</v>
      </c>
    </row>
    <row r="265" customFormat="false" ht="17.15" hidden="false" customHeight="false" outlineLevel="0" collapsed="false">
      <c r="A265" s="1" t="s">
        <v>1249</v>
      </c>
      <c r="B265" s="0" t="s">
        <v>98</v>
      </c>
      <c r="C265" s="6" t="n">
        <f aca="false">(w_ntm28*Sens!G107+(1-w_ntm28)*Sens!H107)*m_ai</f>
        <v>563.316843258668</v>
      </c>
    </row>
    <row r="266" customFormat="false" ht="17.15" hidden="false" customHeight="false" outlineLevel="0" collapsed="false">
      <c r="A266" s="1" t="s">
        <v>1250</v>
      </c>
      <c r="B266" s="0" t="s">
        <v>98</v>
      </c>
      <c r="C266" s="6" t="n">
        <f aca="false">(w_ntm28*Sens!G257+(1-w_ntm28)*Sens!H257)*m_cloud</f>
        <v>1085.17964696599</v>
      </c>
    </row>
    <row r="267" customFormat="false" ht="17.15" hidden="false" customHeight="false" outlineLevel="0" collapsed="false">
      <c r="A267" s="1" t="s">
        <v>1251</v>
      </c>
      <c r="B267" s="0" t="s">
        <v>98</v>
      </c>
      <c r="C267" s="6" t="n">
        <f aca="false">(w_ntm28*Sens!G250+(1-w_ntm28)*Sens!H250)*m_sw</f>
        <v>1120.47763155275</v>
      </c>
    </row>
    <row r="268" customFormat="false" ht="17.15" hidden="false" customHeight="false" outlineLevel="0" collapsed="false">
      <c r="A268" s="1" t="s">
        <v>1252</v>
      </c>
      <c r="B268" s="0" t="s">
        <v>98</v>
      </c>
      <c r="C268" s="6" t="n">
        <f aca="false">(w_ntm28*Sens!G251+(1-w_ntm28)*Sens!H251)*m_sw</f>
        <v>372.68398809041</v>
      </c>
    </row>
    <row r="269" customFormat="false" ht="17.15" hidden="false" customHeight="false" outlineLevel="0" collapsed="false">
      <c r="A269" s="1" t="s">
        <v>1253</v>
      </c>
      <c r="B269" s="0" t="s">
        <v>98</v>
      </c>
      <c r="C269" s="6" t="n">
        <f aca="false">(w_ntm28*Sens!G252+(1-w_ntm28)*Sens!H252)*m_sw</f>
        <v>108.992632332144</v>
      </c>
    </row>
    <row r="270" customFormat="false" ht="17.15" hidden="false" customHeight="false" outlineLevel="0" collapsed="false">
      <c r="A270" s="1" t="s">
        <v>1254</v>
      </c>
      <c r="B270" s="0" t="s">
        <v>98</v>
      </c>
      <c r="C270" s="6" t="n">
        <f aca="false">(w_ntm28*Sens!G253+(1-w_ntm28)*Sens!H253)*m_sw</f>
        <v>41.4362652527414</v>
      </c>
    </row>
    <row r="271" customFormat="false" ht="17.15" hidden="false" customHeight="false" outlineLevel="0" collapsed="false">
      <c r="A271" s="1" t="s">
        <v>1255</v>
      </c>
      <c r="B271" s="0" t="s">
        <v>98</v>
      </c>
      <c r="C271" s="6" t="n">
        <f aca="false">(w_ntm28*Sens!G254+(1-w_ntm28)*Sens!H254)*m_ads</f>
        <v>114.891070326937</v>
      </c>
    </row>
    <row r="272" customFormat="false" ht="17.15" hidden="false" customHeight="false" outlineLevel="0" collapsed="false">
      <c r="A272" s="1" t="s">
        <v>1256</v>
      </c>
      <c r="B272" s="0" t="s">
        <v>98</v>
      </c>
      <c r="C272" s="6" t="n">
        <f aca="false">(w_ntm28*Sens!G259+(1-w_ntm28)*Sens!H259)*m_game</f>
        <v>98.505199156718</v>
      </c>
    </row>
    <row r="273" customFormat="false" ht="17.15" hidden="false" customHeight="false" outlineLevel="0" collapsed="false">
      <c r="A273" s="1" t="s">
        <v>1257</v>
      </c>
      <c r="B273" s="0" t="s">
        <v>98</v>
      </c>
      <c r="C273" s="6" t="n">
        <f aca="false">(w_ntm28*Sens!G260+(1-w_ntm28)*Sens!H260)*m_pc</f>
        <v>91.3231561150564</v>
      </c>
    </row>
    <row r="274" customFormat="false" ht="17.15" hidden="false" customHeight="false" outlineLevel="0" collapsed="false">
      <c r="A274" s="1" t="s">
        <v>1258</v>
      </c>
      <c r="B274" s="0" t="s">
        <v>98</v>
      </c>
      <c r="C274" s="6" t="n">
        <f aca="false">Sens!$C$264+Sens!$C$266+Sens!$C$267+Sens!$C$268+Sens!$C$269+Sens!$C$270+Sens!$C$271+Sens!$C$272+Sens!$C$273</f>
        <v>2967.11015661403</v>
      </c>
    </row>
    <row r="275" customFormat="false" ht="17.15" hidden="false" customHeight="false" outlineLevel="0" collapsed="false">
      <c r="A275" s="1" t="s">
        <v>1259</v>
      </c>
      <c r="B275" s="0" t="s">
        <v>98</v>
      </c>
      <c r="C275" s="6" t="n">
        <f aca="false">(Sens!G236-Sens!G261)*t_stub</f>
        <v>48.2832931160316</v>
      </c>
      <c r="L275" s="1" t="s">
        <v>1260</v>
      </c>
    </row>
    <row r="276" customFormat="false" ht="17.15" hidden="false" customHeight="false" outlineLevel="0" collapsed="false">
      <c r="A276" s="1" t="s">
        <v>1169</v>
      </c>
      <c r="B276" s="0" t="s">
        <v>98</v>
      </c>
      <c r="C276" s="6" t="n">
        <f aca="false">Sens!F223+oai_v-Sens!F212+Sens!$C$275</f>
        <v>162.511563116032</v>
      </c>
      <c r="L276" s="1" t="s">
        <v>1261</v>
      </c>
    </row>
    <row r="277" customFormat="false" ht="17.15" hidden="false" customHeight="false" outlineLevel="0" collapsed="false">
      <c r="A277" s="1" t="s">
        <v>1262</v>
      </c>
      <c r="B277" s="0" t="s">
        <v>75</v>
      </c>
      <c r="C277" s="5" t="n">
        <f aca="false">(Sens!$C$274+Sens!$C$276)/(Sens!F225+dil_gap)-Sens!G215*roll_div_q/q_per_yr</f>
        <v>416.785712178424</v>
      </c>
      <c r="L277" s="1" t="s">
        <v>1263</v>
      </c>
    </row>
    <row r="278" customFormat="false" ht="17.15" hidden="false" customHeight="false" outlineLevel="0" collapsed="false">
      <c r="A278" s="1" t="s">
        <v>1264</v>
      </c>
      <c r="B278" s="0" t="s">
        <v>75</v>
      </c>
      <c r="C278" s="5" t="n">
        <f aca="false">w_dcf*Sens!$C$248+(1-w_dcf)*Sens!$C$277</f>
        <v>357.167108273027</v>
      </c>
    </row>
    <row r="279" customFormat="false" ht="17.15" hidden="false" customHeight="false" outlineLevel="0" collapsed="false">
      <c r="A279" s="3" t="s">
        <v>1485</v>
      </c>
    </row>
    <row r="280" customFormat="false" ht="15" hidden="false" customHeight="false" outlineLevel="0" collapsed="false">
      <c r="A280" s="4" t="s">
        <v>43</v>
      </c>
      <c r="B280" s="4" t="s">
        <v>65</v>
      </c>
      <c r="C280" s="23" t="s">
        <v>938</v>
      </c>
      <c r="D280" s="23" t="s">
        <v>939</v>
      </c>
      <c r="E280" s="23" t="s">
        <v>940</v>
      </c>
      <c r="F280" s="23" t="s">
        <v>941</v>
      </c>
      <c r="G280" s="23" t="s">
        <v>942</v>
      </c>
      <c r="H280" s="23" t="s">
        <v>943</v>
      </c>
      <c r="I280" s="23" t="s">
        <v>944</v>
      </c>
      <c r="J280" s="23" t="s">
        <v>945</v>
      </c>
      <c r="K280" s="23" t="s">
        <v>946</v>
      </c>
      <c r="L280" s="4" t="s">
        <v>47</v>
      </c>
    </row>
    <row r="281" customFormat="false" ht="17.15" hidden="false" customHeight="false" outlineLevel="0" collapsed="false">
      <c r="A281" s="1" t="s">
        <v>947</v>
      </c>
      <c r="B281" s="1" t="s">
        <v>279</v>
      </c>
      <c r="C281" s="21" t="n">
        <v>2024</v>
      </c>
      <c r="D281" s="21" t="n">
        <v>2025</v>
      </c>
      <c r="E281" s="21" t="n">
        <v>2026</v>
      </c>
      <c r="F281" s="21" t="n">
        <v>2027</v>
      </c>
      <c r="G281" s="21" t="n">
        <v>2028</v>
      </c>
      <c r="H281" s="21" t="n">
        <v>2029</v>
      </c>
      <c r="I281" s="21" t="n">
        <v>2030</v>
      </c>
      <c r="J281" s="21" t="n">
        <v>2031</v>
      </c>
      <c r="K281" s="21" t="n">
        <v>2032</v>
      </c>
    </row>
    <row r="282" customFormat="false" ht="17.15" hidden="false" customHeight="false" outlineLevel="0" collapsed="false">
      <c r="A282" s="1" t="s">
        <v>948</v>
      </c>
      <c r="B282" s="0" t="s">
        <v>456</v>
      </c>
      <c r="F282" s="30" t="n">
        <f aca="false">pace</f>
        <v>2726.5351</v>
      </c>
      <c r="G282" s="30" t="n">
        <f aca="false">pace</f>
        <v>2726.5351</v>
      </c>
      <c r="H282" s="30" t="n">
        <f aca="false">pace</f>
        <v>2726.5351</v>
      </c>
      <c r="I282" s="30" t="n">
        <f aca="false">pace+(g_tv*Sens!H283-pace)*MIN(1,(Sens!I281-pace_y0)/(pace_y1-pace_y0))</f>
        <v>1931.98611966667</v>
      </c>
      <c r="J282" s="30" t="n">
        <f aca="false">pace+(g_tv*Sens!I283-pace)*MIN(1,(Sens!J281-pace_y0)/(pace_y1-pace_y0))</f>
        <v>1176.07686172667</v>
      </c>
      <c r="K282" s="30" t="n">
        <f aca="false">pace+(g_tv*Sens!J283-pace)*MIN(1,(Sens!K281-pace_y0)/(pace_y1-pace_y0))</f>
        <v>436.1300484418</v>
      </c>
      <c r="L282" s="12" t="s">
        <v>949</v>
      </c>
    </row>
    <row r="283" customFormat="false" ht="17.15" hidden="false" customHeight="false" outlineLevel="0" collapsed="false">
      <c r="A283" s="1" t="s">
        <v>950</v>
      </c>
      <c r="B283" s="0" t="s">
        <v>456</v>
      </c>
      <c r="C283" s="30" t="n">
        <f aca="false">mw_ext_24</f>
        <v>640</v>
      </c>
      <c r="D283" s="30" t="n">
        <f aca="false">mw_ext_25</f>
        <v>1630</v>
      </c>
      <c r="E283" s="30" t="n">
        <f aca="false">mw_ext_26</f>
        <v>3250</v>
      </c>
      <c r="F283" s="30" t="n">
        <f aca="false">Sens!E283+Sens!F282</f>
        <v>5976.5351</v>
      </c>
      <c r="G283" s="30" t="n">
        <f aca="false">Sens!F283+Sens!G282</f>
        <v>8703.0702</v>
      </c>
      <c r="H283" s="30" t="n">
        <f aca="false">Sens!G283+Sens!H282</f>
        <v>11429.6053</v>
      </c>
      <c r="I283" s="30" t="n">
        <f aca="false">Sens!H283+Sens!I282</f>
        <v>13361.5914196667</v>
      </c>
      <c r="J283" s="30" t="n">
        <f aca="false">Sens!I283+Sens!J282</f>
        <v>14537.6682813933</v>
      </c>
      <c r="K283" s="30" t="n">
        <f aca="false">Sens!J283+Sens!K282</f>
        <v>14973.7983298351</v>
      </c>
      <c r="L283" s="1" t="s">
        <v>951</v>
      </c>
    </row>
    <row r="284" customFormat="false" ht="17.15" hidden="false" customHeight="false" outlineLevel="0" collapsed="false">
      <c r="A284" s="1" t="s">
        <v>952</v>
      </c>
      <c r="B284" s="0" t="s">
        <v>456</v>
      </c>
      <c r="C284" s="30" t="n">
        <f aca="false">rent_ext_24</f>
        <v>150</v>
      </c>
      <c r="D284" s="30" t="n">
        <f aca="false">rent_ext_25</f>
        <v>400</v>
      </c>
      <c r="E284" s="30" t="n">
        <f aca="false">rent_ext_26</f>
        <v>550</v>
      </c>
      <c r="F284" s="30" t="n">
        <f aca="false">rent_ext_f</f>
        <v>756</v>
      </c>
      <c r="G284" s="30" t="n">
        <f aca="false">rent_ext_f</f>
        <v>756</v>
      </c>
      <c r="H284" s="30" t="n">
        <f aca="false">rent_ext_f</f>
        <v>756</v>
      </c>
      <c r="I284" s="30" t="n">
        <f aca="false">rent_ext_f</f>
        <v>756</v>
      </c>
      <c r="J284" s="30" t="n">
        <f aca="false">rent_ext_f</f>
        <v>756</v>
      </c>
      <c r="K284" s="30" t="n">
        <f aca="false">rent_ext_f</f>
        <v>756</v>
      </c>
      <c r="L284" s="1" t="s">
        <v>953</v>
      </c>
    </row>
    <row r="285" customFormat="false" ht="17.15" hidden="false" customHeight="false" outlineLevel="0" collapsed="false">
      <c r="A285" s="1" t="s">
        <v>954</v>
      </c>
      <c r="B285" s="0" t="s">
        <v>456</v>
      </c>
      <c r="C285" s="30" t="n">
        <f aca="false">Sens!C283-Sens!C284</f>
        <v>490</v>
      </c>
      <c r="D285" s="30" t="n">
        <f aca="false">Sens!D283-Sens!D284</f>
        <v>1230</v>
      </c>
      <c r="E285" s="30" t="n">
        <f aca="false">Sens!E283-Sens!E284</f>
        <v>2700</v>
      </c>
      <c r="F285" s="30" t="n">
        <f aca="false">Sens!F283-Sens!F284</f>
        <v>5220.5351</v>
      </c>
      <c r="G285" s="30" t="n">
        <f aca="false">Sens!G283-Sens!G284</f>
        <v>7947.0702</v>
      </c>
      <c r="H285" s="30" t="n">
        <f aca="false">Sens!H283-Sens!H284</f>
        <v>10673.6053</v>
      </c>
      <c r="I285" s="30" t="n">
        <f aca="false">Sens!I283-Sens!I284</f>
        <v>12605.5914196667</v>
      </c>
      <c r="J285" s="30" t="n">
        <f aca="false">Sens!J283-Sens!J284</f>
        <v>13781.6682813933</v>
      </c>
      <c r="K285" s="30" t="n">
        <f aca="false">Sens!K283-Sens!K284</f>
        <v>14217.7983298351</v>
      </c>
    </row>
    <row r="286" customFormat="false" ht="17.15" hidden="false" customHeight="false" outlineLevel="0" collapsed="false">
      <c r="A286" s="1" t="s">
        <v>955</v>
      </c>
      <c r="B286" s="0" t="s">
        <v>456</v>
      </c>
      <c r="C286" s="30" t="n">
        <f aca="false">Sens!C285/ext_sh</f>
        <v>816.666666666667</v>
      </c>
      <c r="D286" s="30" t="n">
        <f aca="false">Sens!D285/ext_sh</f>
        <v>2050</v>
      </c>
      <c r="E286" s="30" t="n">
        <f aca="false">Sens!E285/ext_sh</f>
        <v>4500</v>
      </c>
      <c r="F286" s="30" t="n">
        <f aca="false">Sens!F285/ext_sh</f>
        <v>8700.89183333333</v>
      </c>
      <c r="G286" s="30" t="n">
        <f aca="false">Sens!G285/ext_sh</f>
        <v>13245.117</v>
      </c>
      <c r="H286" s="30" t="n">
        <f aca="false">Sens!H285/ext_sh</f>
        <v>17789.3421666667</v>
      </c>
      <c r="I286" s="30" t="n">
        <f aca="false">Sens!I285/ext_sh</f>
        <v>21009.3190327778</v>
      </c>
      <c r="J286" s="30" t="n">
        <f aca="false">Sens!J285/ext_sh</f>
        <v>22969.4471356556</v>
      </c>
      <c r="K286" s="30" t="n">
        <f aca="false">Sens!K285/ext_sh</f>
        <v>23696.3305497252</v>
      </c>
      <c r="L286" s="1" t="s">
        <v>956</v>
      </c>
    </row>
    <row r="287" customFormat="false" ht="17.15" hidden="false" customHeight="false" outlineLevel="0" collapsed="false">
      <c r="A287" s="1" t="s">
        <v>957</v>
      </c>
      <c r="B287" s="0" t="s">
        <v>456</v>
      </c>
      <c r="C287" s="30" t="n">
        <f aca="false">Sens!C286-Sens!C285</f>
        <v>326.666666666667</v>
      </c>
      <c r="D287" s="30" t="n">
        <f aca="false">Sens!D286-Sens!D285</f>
        <v>820</v>
      </c>
      <c r="E287" s="30" t="n">
        <f aca="false">Sens!E286-Sens!E285</f>
        <v>1800</v>
      </c>
      <c r="F287" s="30" t="n">
        <f aca="false">Sens!F286-Sens!F285</f>
        <v>3480.35673333333</v>
      </c>
      <c r="G287" s="30" t="n">
        <f aca="false">Sens!G286-Sens!G285</f>
        <v>5298.0468</v>
      </c>
      <c r="H287" s="30" t="n">
        <f aca="false">Sens!H286-Sens!H285</f>
        <v>7115.73686666667</v>
      </c>
      <c r="I287" s="30" t="n">
        <f aca="false">Sens!I286-Sens!I285</f>
        <v>8403.72761311111</v>
      </c>
      <c r="J287" s="30" t="n">
        <f aca="false">Sens!J286-Sens!J285</f>
        <v>9187.77885426222</v>
      </c>
      <c r="K287" s="30" t="n">
        <f aca="false">Sens!K286-Sens!K285</f>
        <v>9478.53221989009</v>
      </c>
    </row>
    <row r="288" customFormat="false" ht="17.15" hidden="false" customHeight="false" outlineLevel="0" collapsed="false">
      <c r="A288" s="1" t="s">
        <v>958</v>
      </c>
      <c r="B288" s="0" t="s">
        <v>456</v>
      </c>
      <c r="C288" s="30" t="n">
        <f aca="false">Sens!C286</f>
        <v>816.666666666667</v>
      </c>
      <c r="D288" s="30" t="n">
        <f aca="false">Sens!D286-Sens!C286</f>
        <v>1233.33333333333</v>
      </c>
      <c r="E288" s="30" t="n">
        <f aca="false">Sens!E286-Sens!D286</f>
        <v>2450</v>
      </c>
      <c r="F288" s="30" t="n">
        <f aca="false">Sens!F286-Sens!E286</f>
        <v>4200.89183333333</v>
      </c>
      <c r="G288" s="30" t="n">
        <f aca="false">Sens!G286-Sens!F286</f>
        <v>4544.22516666667</v>
      </c>
      <c r="H288" s="30" t="n">
        <f aca="false">Sens!H286-Sens!G286</f>
        <v>4544.22516666667</v>
      </c>
      <c r="I288" s="30" t="n">
        <f aca="false">Sens!I286-Sens!H286</f>
        <v>3219.97686611111</v>
      </c>
      <c r="J288" s="30" t="n">
        <f aca="false">Sens!J286-Sens!I286</f>
        <v>1960.12810287778</v>
      </c>
      <c r="K288" s="30" t="n">
        <f aca="false">Sens!K286-Sens!J286</f>
        <v>726.883414069667</v>
      </c>
    </row>
    <row r="289" customFormat="false" ht="17.15" hidden="false" customHeight="false" outlineLevel="0" collapsed="false">
      <c r="A289" s="1" t="s">
        <v>959</v>
      </c>
      <c r="B289" s="0" t="s">
        <v>456</v>
      </c>
      <c r="D289" s="30" t="n">
        <f aca="false">Sens!D283-Sens!C283</f>
        <v>990</v>
      </c>
      <c r="E289" s="30" t="n">
        <f aca="false">Sens!E283-Sens!D283</f>
        <v>1620</v>
      </c>
      <c r="F289" s="30" t="n">
        <f aca="false">Sens!F283-Sens!E283</f>
        <v>2726.5351</v>
      </c>
      <c r="G289" s="30" t="n">
        <f aca="false">Sens!G283-Sens!F283</f>
        <v>2726.5351</v>
      </c>
      <c r="H289" s="30" t="n">
        <f aca="false">Sens!H283-Sens!G283</f>
        <v>2726.5351</v>
      </c>
      <c r="I289" s="30" t="n">
        <f aca="false">Sens!I283-Sens!H283</f>
        <v>1931.98611966667</v>
      </c>
      <c r="J289" s="30" t="n">
        <f aca="false">Sens!J283-Sens!I283</f>
        <v>1176.07686172667</v>
      </c>
      <c r="K289" s="30" t="n">
        <f aca="false">Sens!K283-Sens!J283</f>
        <v>436.130048441799</v>
      </c>
    </row>
    <row r="290" customFormat="false" ht="17.15" hidden="false" customHeight="false" outlineLevel="0" collapsed="false">
      <c r="A290" s="1" t="s">
        <v>960</v>
      </c>
      <c r="B290" s="0" t="s">
        <v>456</v>
      </c>
      <c r="F290" s="30" t="n">
        <f aca="false">Sens!F309*ext_sh</f>
        <v>0</v>
      </c>
      <c r="G290" s="30" t="n">
        <f aca="false">Sens!G309*ext_sh</f>
        <v>0</v>
      </c>
      <c r="H290" s="30" t="n">
        <f aca="false">Sens!H309*ext_sh</f>
        <v>0</v>
      </c>
      <c r="I290" s="30" t="n">
        <f aca="false">Sens!I309*ext_sh</f>
        <v>490</v>
      </c>
      <c r="J290" s="30" t="n">
        <f aca="false">Sens!J309*ext_sh</f>
        <v>740</v>
      </c>
      <c r="K290" s="30" t="n">
        <f aca="false">Sens!K309*ext_sh</f>
        <v>1470</v>
      </c>
      <c r="L290" s="1" t="s">
        <v>961</v>
      </c>
    </row>
    <row r="291" customFormat="false" ht="17.15" hidden="false" customHeight="false" outlineLevel="0" collapsed="false">
      <c r="A291" s="1" t="s">
        <v>962</v>
      </c>
      <c r="B291" s="0" t="s">
        <v>456</v>
      </c>
      <c r="C291" s="30" t="n">
        <f aca="false">mix_h*Sens!C283</f>
        <v>128</v>
      </c>
      <c r="D291" s="30" t="n">
        <f aca="false">mix_h*Sens!D283</f>
        <v>326</v>
      </c>
      <c r="E291" s="30" t="n">
        <f aca="false">mix_h*Sens!E283</f>
        <v>650</v>
      </c>
      <c r="F291" s="30" t="n">
        <f aca="false">Sens!E291-Sens!F290*mix_h</f>
        <v>650</v>
      </c>
      <c r="G291" s="30" t="n">
        <f aca="false">Sens!F291-Sens!G290*mix_h</f>
        <v>650</v>
      </c>
      <c r="H291" s="30" t="n">
        <f aca="false">Sens!G291-Sens!H290*mix_h</f>
        <v>650</v>
      </c>
      <c r="I291" s="30" t="n">
        <f aca="false">Sens!H291-Sens!I290*mix_h</f>
        <v>552</v>
      </c>
      <c r="J291" s="30" t="n">
        <f aca="false">Sens!I291-Sens!J290*mix_h</f>
        <v>404</v>
      </c>
      <c r="K291" s="30" t="n">
        <f aca="false">Sens!J291-Sens!K290*mix_h</f>
        <v>110</v>
      </c>
    </row>
    <row r="292" customFormat="false" ht="17.15" hidden="false" customHeight="false" outlineLevel="0" collapsed="false">
      <c r="A292" s="1" t="s">
        <v>963</v>
      </c>
      <c r="B292" s="0" t="s">
        <v>456</v>
      </c>
      <c r="C292" s="30" t="n">
        <f aca="false">mix_g2*Sens!C283</f>
        <v>288</v>
      </c>
      <c r="D292" s="30" t="n">
        <f aca="false">mix_g2*Sens!D283</f>
        <v>733.5</v>
      </c>
      <c r="E292" s="30" t="n">
        <f aca="false">mix_g2*Sens!E283</f>
        <v>1462.5</v>
      </c>
      <c r="F292" s="30" t="n">
        <f aca="false">Sens!E292-Sens!F290*mix_g2</f>
        <v>1462.5</v>
      </c>
      <c r="G292" s="30" t="n">
        <f aca="false">Sens!F292-Sens!G290*mix_g2</f>
        <v>1462.5</v>
      </c>
      <c r="H292" s="30" t="n">
        <f aca="false">Sens!G292-Sens!H290*mix_g2</f>
        <v>1462.5</v>
      </c>
      <c r="I292" s="30" t="n">
        <f aca="false">Sens!H292-Sens!I290*mix_g2</f>
        <v>1242</v>
      </c>
      <c r="J292" s="30" t="n">
        <f aca="false">Sens!I292-Sens!J290*mix_g2</f>
        <v>909</v>
      </c>
      <c r="K292" s="30" t="n">
        <f aca="false">Sens!J292-Sens!K290*mix_g2</f>
        <v>247.5</v>
      </c>
    </row>
    <row r="293" customFormat="false" ht="17.15" hidden="false" customHeight="false" outlineLevel="0" collapsed="false">
      <c r="A293" s="1" t="s">
        <v>964</v>
      </c>
      <c r="B293" s="0" t="s">
        <v>456</v>
      </c>
      <c r="C293" s="30" t="n">
        <f aca="false">mix_g3*Sens!C283</f>
        <v>224</v>
      </c>
      <c r="D293" s="30" t="n">
        <f aca="false">mix_g3*Sens!D283</f>
        <v>570.5</v>
      </c>
      <c r="E293" s="30" t="n">
        <f aca="false">mix_g3*Sens!E283</f>
        <v>1137.5</v>
      </c>
      <c r="F293" s="30" t="n">
        <f aca="false">Sens!E293+(Sens!F289+Sens!F290)*(a_g3_27-nonnv*a_mai)-Sens!F290*mix_g3</f>
        <v>2773.42106</v>
      </c>
      <c r="G293" s="30" t="n">
        <f aca="false">Sens!F293+(Sens!G289+Sens!G290)*(a_g3_28-nonnv*a_mai)-Sens!G290*mix_g3</f>
        <v>3318.72808</v>
      </c>
      <c r="H293" s="30" t="n">
        <f aca="false">Sens!G293+(Sens!H289+Sens!H290)*(a_g3_29-nonnv*a_mai)-Sens!H290*mix_g3</f>
        <v>3318.72808</v>
      </c>
      <c r="I293" s="30" t="n">
        <f aca="false">Sens!H293+(Sens!I289+Sens!I290)*(a_g3_29-nonnv*a_mai)-Sens!I290*mix_g3</f>
        <v>3147.22808</v>
      </c>
      <c r="J293" s="30" t="n">
        <f aca="false">Sens!I293+(Sens!J289+Sens!J290)*(a_g3_29-nonnv*a_mai)-Sens!J290*mix_g3</f>
        <v>2888.22808</v>
      </c>
      <c r="K293" s="30" t="n">
        <f aca="false">Sens!J293+(Sens!K289+Sens!K290)*(a_g3_29-nonnv*a_mai)-Sens!K290*mix_g3</f>
        <v>2373.72808</v>
      </c>
    </row>
    <row r="294" customFormat="false" ht="17.15" hidden="false" customHeight="false" outlineLevel="0" collapsed="false">
      <c r="A294" s="1" t="s">
        <v>965</v>
      </c>
      <c r="B294" s="0" t="s">
        <v>456</v>
      </c>
      <c r="C294" s="30" t="n">
        <v>0</v>
      </c>
      <c r="D294" s="30" t="n">
        <v>0</v>
      </c>
      <c r="E294" s="30" t="n">
        <v>0</v>
      </c>
      <c r="F294" s="30" t="n">
        <f aca="false">Sens!E294+(Sens!F289+Sens!F290)*nonnv*a_mai</f>
        <v>272.65351</v>
      </c>
      <c r="G294" s="30" t="n">
        <f aca="false">Sens!F294+(Sens!G289+Sens!G290)*nonnv*a_mai</f>
        <v>545.30702</v>
      </c>
      <c r="H294" s="30" t="n">
        <f aca="false">Sens!G294+(Sens!H289+Sens!H290)*nonnv*a_mai</f>
        <v>817.96053</v>
      </c>
      <c r="I294" s="30" t="n">
        <f aca="false">Sens!H294+(Sens!I289+Sens!I290)*nonnv*a_mai</f>
        <v>1060.15914196667</v>
      </c>
      <c r="J294" s="30" t="n">
        <f aca="false">Sens!I294+(Sens!J289+Sens!J290)*nonnv*a_mai</f>
        <v>1251.76682813933</v>
      </c>
      <c r="K294" s="30" t="n">
        <f aca="false">Sens!J294+(Sens!K289+Sens!K290)*nonnv*a_mai</f>
        <v>1442.37983298351</v>
      </c>
      <c r="L294" s="12" t="s">
        <v>966</v>
      </c>
    </row>
    <row r="295" customFormat="false" ht="17.15" hidden="false" customHeight="false" outlineLevel="0" collapsed="false">
      <c r="A295" s="1" t="s">
        <v>967</v>
      </c>
      <c r="B295" s="0" t="s">
        <v>456</v>
      </c>
      <c r="C295" s="30" t="n">
        <v>0</v>
      </c>
      <c r="D295" s="30" t="n">
        <v>0</v>
      </c>
      <c r="E295" s="30" t="n">
        <v>0</v>
      </c>
      <c r="F295" s="30" t="n">
        <f aca="false">Sens!E295+(Sens!F289+Sens!F290)*(1-a_g3_27)</f>
        <v>817.96053</v>
      </c>
      <c r="G295" s="30" t="n">
        <f aca="false">Sens!F295+(Sens!G289+Sens!G290)*(1-a_g3_28)</f>
        <v>2726.5351</v>
      </c>
      <c r="H295" s="30" t="n">
        <f aca="false">Sens!G295+(Sens!H289+Sens!H290)*(1-a_g3_29)</f>
        <v>5180.41669</v>
      </c>
      <c r="I295" s="30" t="n">
        <f aca="false">Sens!H295+(Sens!I289+Sens!I290)*(1-a_g3_29)</f>
        <v>7360.2041977</v>
      </c>
      <c r="J295" s="30" t="n">
        <f aca="false">Sens!I295+(Sens!J289+Sens!J290)*(1-a_g3_29)</f>
        <v>9084.673373254</v>
      </c>
      <c r="K295" s="30" t="n">
        <f aca="false">Sens!J295+(Sens!K289+Sens!K290)*(1-a_g3_29)</f>
        <v>10800.1904168516</v>
      </c>
    </row>
    <row r="296" customFormat="false" ht="17.15" hidden="false" customHeight="false" outlineLevel="0" collapsed="false">
      <c r="A296" s="1" t="s">
        <v>968</v>
      </c>
      <c r="B296" s="0" t="s">
        <v>403</v>
      </c>
      <c r="C296" s="15" t="n">
        <f aca="false">(Sens!C291*tk_hold_h100+Sens!C292*tk_hold_gb200+Sens!C293*tk_hold_gb300+Sens!C295*tk_hold_vr200+Sens!C294*nv_hold_mai*tk_hold_vr200)/Sens!C283</f>
        <v>9.7235358126469</v>
      </c>
      <c r="D296" s="15" t="n">
        <f aca="false">(Sens!D291*tk_hold_h100+Sens!D292*tk_hold_gb200+Sens!D293*tk_hold_gb300+Sens!D295*tk_hold_vr200+Sens!D294*nv_hold_mai*tk_hold_vr200)/Sens!D283</f>
        <v>9.7235358126469</v>
      </c>
      <c r="E296" s="15" t="n">
        <f aca="false">(Sens!E291*tk_hold_h100+Sens!E292*tk_hold_gb200+Sens!E293*tk_hold_gb300+Sens!E295*tk_hold_vr200+Sens!E294*nv_hold_mai*tk_hold_vr200)/Sens!E283</f>
        <v>9.7235358126469</v>
      </c>
      <c r="F296" s="15" t="n">
        <f aca="false">(Sens!F291*tk_hold_h100+Sens!F292*tk_hold_gb200+Sens!F293*tk_hold_gb300+Sens!F295*tk_hold_vr200+Sens!F294*nv_hold_mai*tk_hold_vr200)/Sens!F283</f>
        <v>10.2195353876665</v>
      </c>
      <c r="G296" s="15" t="n">
        <f aca="false">(Sens!G291*tk_hold_h100+Sens!G292*tk_hold_gb200+Sens!G293*tk_hold_gb300+Sens!G295*tk_hold_vr200+Sens!G294*nv_hold_mai*tk_hold_vr200)/Sens!G283</f>
        <v>10.5725598017306</v>
      </c>
      <c r="H296" s="15" t="n">
        <f aca="false">(Sens!H291*tk_hold_h100+Sens!H292*tk_hold_gb200+Sens!H293*tk_hold_gb300+Sens!H295*tk_hold_vr200+Sens!H294*nv_hold_mai*tk_hold_vr200)/Sens!H283</f>
        <v>10.8210427149036</v>
      </c>
      <c r="I296" s="15" t="n">
        <f aca="false">(Sens!I291*tk_hold_h100+Sens!I292*tk_hold_gb200+Sens!I293*tk_hold_gb300+Sens!I295*tk_hold_vr200+Sens!I294*nv_hold_mai*tk_hold_vr200)/Sens!I283</f>
        <v>11.0050618241982</v>
      </c>
      <c r="J296" s="15" t="n">
        <f aca="false">(Sens!J291*tk_hold_h100+Sens!J292*tk_hold_gb200+Sens!J293*tk_hold_gb300+Sens!J295*tk_hold_vr200+Sens!J294*nv_hold_mai*tk_hold_vr200)/Sens!J283</f>
        <v>11.1505789658881</v>
      </c>
      <c r="K296" s="15" t="n">
        <f aca="false">(Sens!K291*tk_hold_h100+Sens!K292*tk_hold_gb200+Sens!K293*tk_hold_gb300+Sens!K295*tk_hold_vr200+Sens!K294*nv_hold_mai*tk_hold_vr200)/Sens!K283</f>
        <v>11.3496914757183</v>
      </c>
      <c r="L296" s="1" t="s">
        <v>969</v>
      </c>
    </row>
    <row r="297" customFormat="false" ht="17.15" hidden="false" customHeight="false" outlineLevel="0" collapsed="false">
      <c r="A297" s="1" t="s">
        <v>970</v>
      </c>
      <c r="B297" s="0" t="s">
        <v>403</v>
      </c>
      <c r="C297" s="15" t="n">
        <f aca="false">(Sens!C291*tk_hold_h100+Sens!C292*tk_hold_gb200+Sens!C293*tk_hold_gb300+Sens!C295*tk_hold_vr200+Sens!C294*nv_out_mai*tk_hold_vr200)/Sens!C283</f>
        <v>9.7235358126469</v>
      </c>
      <c r="D297" s="15" t="n">
        <f aca="false">(Sens!D291*tk_hold_h100+Sens!D292*tk_hold_gb200+Sens!D293*tk_hold_gb300+Sens!D295*tk_hold_vr200+Sens!D294*nv_out_mai*tk_hold_vr200)/Sens!D283</f>
        <v>9.7235358126469</v>
      </c>
      <c r="E297" s="15" t="n">
        <f aca="false">(Sens!E291*tk_hold_h100+Sens!E292*tk_hold_gb200+Sens!E293*tk_hold_gb300+Sens!E295*tk_hold_vr200+Sens!E294*nv_out_mai*tk_hold_vr200)/Sens!E283</f>
        <v>9.7235358126469</v>
      </c>
      <c r="F297" s="15" t="n">
        <f aca="false">(Sens!F291*tk_hold_h100+Sens!F292*tk_hold_gb200+Sens!F293*tk_hold_gb300+Sens!F295*tk_hold_vr200+Sens!F294*nv_out_mai*tk_hold_vr200)/Sens!F283</f>
        <v>10.247422093969</v>
      </c>
      <c r="G297" s="15" t="n">
        <f aca="false">(Sens!G291*tk_hold_h100+Sens!G292*tk_hold_gb200+Sens!G293*tk_hold_gb300+Sens!G295*tk_hold_vr200+Sens!G294*nv_out_mai*tk_hold_vr200)/Sens!G283</f>
        <v>10.6108602808053</v>
      </c>
      <c r="H297" s="15" t="n">
        <f aca="false">(Sens!H291*tk_hold_h100+Sens!H292*tk_hold_gb200+Sens!H293*tk_hold_gb300+Sens!H295*tk_hold_vr200+Sens!H294*nv_out_mai*tk_hold_vr200)/Sens!H283</f>
        <v>10.8647885507393</v>
      </c>
      <c r="I297" s="15" t="n">
        <f aca="false">(Sens!I291*tk_hold_h100+Sens!I292*tk_hold_gb200+Sens!I293*tk_hold_gb300+Sens!I295*tk_hold_vr200+Sens!I294*nv_out_mai*tk_hold_vr200)/Sens!I283</f>
        <v>11.0535625770025</v>
      </c>
      <c r="J297" s="15" t="n">
        <f aca="false">(Sens!J291*tk_hold_h100+Sens!J292*tk_hold_gb200+Sens!J293*tk_hold_gb300+Sens!J295*tk_hold_vr200+Sens!J294*nv_out_mai*tk_hold_vr200)/Sens!J283</f>
        <v>11.2032127128058</v>
      </c>
      <c r="K297" s="15" t="n">
        <f aca="false">(Sens!K291*tk_hold_h100+Sens!K292*tk_hold_gb200+Sens!K293*tk_hold_gb300+Sens!K295*tk_hold_vr200+Sens!K294*nv_out_mai*tk_hold_vr200)/Sens!K283</f>
        <v>11.4085735724225</v>
      </c>
      <c r="L297" s="12" t="s">
        <v>971</v>
      </c>
    </row>
    <row r="298" customFormat="false" ht="17.15" hidden="false" customHeight="false" outlineLevel="0" collapsed="false">
      <c r="A298" s="0" t="s">
        <v>972</v>
      </c>
      <c r="B298" s="0" t="s">
        <v>229</v>
      </c>
      <c r="C298" s="15" t="n">
        <f aca="false">k_B</f>
        <v>1.17213932619116</v>
      </c>
      <c r="D298" s="15" t="n">
        <f aca="false">k_B</f>
        <v>1.17213932619116</v>
      </c>
      <c r="E298" s="15" t="n">
        <f aca="false">k_B</f>
        <v>1.17213932619116</v>
      </c>
      <c r="F298" s="15" t="n">
        <f aca="false">(k_B+((ls_B*k_long+(1-ls_B)*k_spot)-k_B)*MIN(1,(Sens!F281-base_fy)/k_ramp))</f>
        <v>1.17213932619116</v>
      </c>
      <c r="G298" s="15" t="n">
        <f aca="false">(k_B+((ls_B*k_long+(1-ls_B)*k_spot)-k_B)*MIN(1,(Sens!G281-base_fy)/k_ramp))</f>
        <v>1.17213932619116</v>
      </c>
      <c r="H298" s="15" t="n">
        <f aca="false">(k_B+((ls_B*k_long+(1-ls_B)*k_spot)-k_B)*MIN(1,(Sens!H281-base_fy)/k_ramp))</f>
        <v>1.17213932619116</v>
      </c>
      <c r="I298" s="15" t="n">
        <f aca="false">(k_B+((ls_B*k_long+(1-ls_B)*k_spot)-k_B)*MIN(1,(Sens!I281-base_fy)/k_ramp))</f>
        <v>1.17213932619116</v>
      </c>
      <c r="J298" s="15" t="n">
        <f aca="false">(k_B+((ls_B*k_long+(1-ls_B)*k_spot)-k_B)*MIN(1,(Sens!J281-base_fy)/k_ramp))</f>
        <v>1.17213932619116</v>
      </c>
      <c r="K298" s="15" t="n">
        <f aca="false">(k_B+((ls_B*k_long+(1-ls_B)*k_spot)-k_B)*MIN(1,(Sens!K281-base_fy)/k_ramp))</f>
        <v>1.17213932619116</v>
      </c>
      <c r="L298" s="1" t="s">
        <v>973</v>
      </c>
    </row>
    <row r="299" customFormat="false" ht="17.15" hidden="false" customHeight="false" outlineLevel="0" collapsed="false">
      <c r="A299" s="1" t="s">
        <v>974</v>
      </c>
      <c r="B299" s="0" t="s">
        <v>403</v>
      </c>
      <c r="C299" s="15" t="n">
        <f aca="false">Sens!C297*Sens!C298*chip_f</f>
        <v>11.3973387156315</v>
      </c>
      <c r="D299" s="15" t="n">
        <f aca="false">Sens!D297*Sens!D298*chip_f</f>
        <v>11.3973387156315</v>
      </c>
      <c r="E299" s="15" t="n">
        <f aca="false">Sens!E297*Sens!E298*chip_f</f>
        <v>11.3973387156315</v>
      </c>
      <c r="F299" s="15" t="n">
        <f aca="false">Sens!F297*Sens!F298*chip_f</f>
        <v>12.0114064284211</v>
      </c>
      <c r="G299" s="15" t="n">
        <f aca="false">Sens!G297*Sens!G298*chip_f</f>
        <v>12.4374066198516</v>
      </c>
      <c r="H299" s="15" t="n">
        <f aca="false">Sens!H297*Sens!H298*chip_f</f>
        <v>12.735045931073</v>
      </c>
      <c r="I299" s="15" t="n">
        <f aca="false">Sens!I297*Sens!I298*chip_f</f>
        <v>12.9563153910195</v>
      </c>
      <c r="J299" s="15" t="n">
        <f aca="false">Sens!J297*Sens!J298*chip_f</f>
        <v>13.1317262003643</v>
      </c>
      <c r="K299" s="15" t="n">
        <f aca="false">Sens!K297*Sens!K298*chip_f</f>
        <v>13.3724377399815</v>
      </c>
      <c r="L299" s="1" t="s">
        <v>975</v>
      </c>
    </row>
    <row r="300" customFormat="false" ht="17.15" hidden="false" customHeight="false" outlineLevel="0" collapsed="false">
      <c r="A300" s="0" t="s">
        <v>976</v>
      </c>
      <c r="B300" s="0" t="s">
        <v>98</v>
      </c>
      <c r="D300" s="6" t="n">
        <f aca="false">(Sens!C283+Sens!D283)/2*Sens!D299/1000</f>
        <v>12.9359794422418</v>
      </c>
      <c r="E300" s="6" t="n">
        <f aca="false">(Sens!D283+Sens!E283)/2*Sens!E299/1000</f>
        <v>27.8095064661409</v>
      </c>
      <c r="F300" s="6" t="n">
        <f aca="false">(Sens!E283+Sens!F283)/2*Sens!F299/1000</f>
        <v>55.4118315060966</v>
      </c>
      <c r="G300" s="6" t="n">
        <f aca="false">(Sens!F283+Sens!G283)/2*Sens!G299/1000</f>
        <v>91.2881100675143</v>
      </c>
      <c r="H300" s="6" t="n">
        <f aca="false">(Sens!G283+Sens!H283)/2*Sens!H299/1000</f>
        <v>128.195273603944</v>
      </c>
      <c r="I300" s="6" t="n">
        <f aca="false">(Sens!H283+Sens!I283)/2*Sens!I299/1000</f>
        <v>160.601281810405</v>
      </c>
      <c r="J300" s="6" t="n">
        <f aca="false">(Sens!I283+Sens!J283)/2*Sens!J299/1000</f>
        <v>183.182719793589</v>
      </c>
      <c r="K300" s="6" t="n">
        <f aca="false">(Sens!J283+Sens!K283)/2*Sens!K299/1000</f>
        <v>197.320124937098</v>
      </c>
      <c r="L300" s="12" t="s">
        <v>977</v>
      </c>
    </row>
    <row r="301" customFormat="false" ht="17.15" hidden="false" customHeight="false" outlineLevel="0" collapsed="false">
      <c r="A301" s="1" t="s">
        <v>978</v>
      </c>
      <c r="B301" s="0" t="s">
        <v>403</v>
      </c>
      <c r="C301" s="15" t="n">
        <f aca="false">(Sens!C291*tk_opex_h100+Sens!C292*tk_opex_gb200+Sens!C293*tk_opex_gb300+(Sens!C295+Sens!C294)*tk_opex_vr200)/Sens!C283</f>
        <v>1.88636041306092</v>
      </c>
      <c r="D301" s="15" t="n">
        <f aca="false">(Sens!D291*tk_opex_h100+Sens!D292*tk_opex_gb200+Sens!D293*tk_opex_gb300+(Sens!D295+Sens!D294)*tk_opex_vr200)/Sens!D283</f>
        <v>1.88636041306092</v>
      </c>
      <c r="E301" s="15" t="n">
        <f aca="false">(Sens!E291*tk_opex_h100+Sens!E292*tk_opex_gb200+Sens!E293*tk_opex_gb300+(Sens!E295+Sens!E294)*tk_opex_vr200)/Sens!E283</f>
        <v>1.88636041306092</v>
      </c>
      <c r="F301" s="15" t="n">
        <f aca="false">(Sens!F291*tk_opex_h100+Sens!F292*tk_opex_gb200+Sens!F293*tk_opex_gb300+(Sens!F295+Sens!F294)*tk_opex_vr200)/Sens!F283</f>
        <v>1.95051159746876</v>
      </c>
      <c r="G301" s="15" t="n">
        <f aca="false">(Sens!G291*tk_opex_h100+Sens!G292*tk_opex_gb200+Sens!G293*tk_opex_gb300+(Sens!G295+Sens!G294)*tk_opex_vr200)/Sens!G283</f>
        <v>1.98836003669956</v>
      </c>
      <c r="H301" s="15" t="n">
        <f aca="false">(Sens!H291*tk_opex_h100+Sens!H292*tk_opex_gb200+Sens!H293*tk_opex_gb300+(Sens!H295+Sens!H294)*tk_opex_vr200)/Sens!H283</f>
        <v>2.01344013834343</v>
      </c>
      <c r="I301" s="15" t="n">
        <f aca="false">(Sens!I291*tk_opex_h100+Sens!I292*tk_opex_gb200+Sens!I293*tk_opex_gb300+(Sens!I295+Sens!I294)*tk_opex_vr200)/Sens!I283</f>
        <v>2.03261166882178</v>
      </c>
      <c r="J301" s="15" t="n">
        <f aca="false">(Sens!J291*tk_opex_h100+Sens!J292*tk_opex_gb200+Sens!J293*tk_opex_gb300+(Sens!J295+Sens!J294)*tk_opex_vr200)/Sens!J283</f>
        <v>2.04808073288745</v>
      </c>
      <c r="K301" s="15" t="n">
        <f aca="false">(Sens!K291*tk_opex_h100+Sens!K292*tk_opex_gb200+Sens!K293*tk_opex_gb300+(Sens!K295+Sens!K294)*tk_opex_vr200)/Sens!K283</f>
        <v>2.06973825807449</v>
      </c>
      <c r="L301" s="12" t="s">
        <v>979</v>
      </c>
    </row>
    <row r="302" customFormat="false" ht="17.15" hidden="false" customHeight="false" outlineLevel="0" collapsed="false">
      <c r="A302" s="0" t="s">
        <v>980</v>
      </c>
      <c r="B302" s="0" t="s">
        <v>98</v>
      </c>
      <c r="D302" s="6" t="n">
        <f aca="false">(Sens!C286+Sens!D286)/2*Sens!D301/1000</f>
        <v>2.70378325872065</v>
      </c>
      <c r="E302" s="6" t="n">
        <f aca="false">(Sens!D286+Sens!E286)/2*Sens!E301/1000</f>
        <v>6.17783035277451</v>
      </c>
      <c r="F302" s="6" t="n">
        <f aca="false">(Sens!E286+Sens!F286)/2*Sens!F301/1000</f>
        <v>12.8742463089237</v>
      </c>
      <c r="G302" s="6" t="n">
        <f aca="false">(Sens!F286+Sens!G286)/2*Sens!G301/1000</f>
        <v>21.8182834646277</v>
      </c>
      <c r="H302" s="6" t="n">
        <f aca="false">(Sens!G286+Sens!H286)/2*Sens!H301/1000</f>
        <v>31.2430128789734</v>
      </c>
      <c r="I302" s="6" t="n">
        <f aca="false">(Sens!H286+Sens!I286)/2*Sens!I301/1000</f>
        <v>39.4313057443268</v>
      </c>
      <c r="J302" s="6" t="n">
        <f aca="false">(Sens!I286+Sens!J286)/2*Sens!J301/1000</f>
        <v>45.0360318228653</v>
      </c>
      <c r="K302" s="6" t="n">
        <f aca="false">(Sens!J286+Sens!K286)/2*Sens!K301/1000</f>
        <v>48.2929727091156</v>
      </c>
    </row>
    <row r="303" customFormat="false" ht="17.15" hidden="false" customHeight="false" outlineLevel="0" collapsed="false">
      <c r="A303" s="0" t="s">
        <v>981</v>
      </c>
      <c r="B303" s="0" t="s">
        <v>98</v>
      </c>
      <c r="D303" s="6" t="n">
        <f aca="false">(Sens!C284+Sens!D284)/2*rent_mw/1000</f>
        <v>2.44475</v>
      </c>
      <c r="E303" s="6" t="n">
        <f aca="false">(Sens!D284+Sens!E284)/2*rent_mw/1000</f>
        <v>4.22275</v>
      </c>
      <c r="F303" s="6" t="n">
        <f aca="false">(Sens!E284+Sens!F284)/2*rent_mw/1000</f>
        <v>5.80517</v>
      </c>
      <c r="G303" s="6" t="n">
        <f aca="false">(Sens!F284+Sens!G284)/2*rent_mw/1000</f>
        <v>6.72084</v>
      </c>
      <c r="H303" s="6" t="n">
        <f aca="false">(Sens!G284+Sens!H284)/2*rent_mw/1000</f>
        <v>6.72084</v>
      </c>
      <c r="I303" s="6" t="n">
        <f aca="false">(Sens!H284+Sens!I284)/2*rent_mw/1000</f>
        <v>6.72084</v>
      </c>
      <c r="J303" s="6" t="n">
        <f aca="false">(Sens!I284+Sens!J284)/2*rent_mw/1000</f>
        <v>6.72084</v>
      </c>
      <c r="K303" s="6" t="n">
        <f aca="false">(Sens!J284+Sens!K284)/2*rent_mw/1000</f>
        <v>6.72084</v>
      </c>
    </row>
    <row r="304" customFormat="false" ht="17.15" hidden="false" customHeight="false" outlineLevel="0" collapsed="false">
      <c r="A304" s="0" t="s">
        <v>982</v>
      </c>
      <c r="B304" s="0" t="s">
        <v>98</v>
      </c>
      <c r="D304" s="6" t="n">
        <f aca="false">(Sens!C286+Sens!D286)/2*(1-self_build)*fac_rent/1000</f>
        <v>0.853242375631075</v>
      </c>
      <c r="E304" s="6" t="n">
        <f aca="false">(Sens!D286+Sens!E286)/2*(1-self_build)*fac_rent/1000</f>
        <v>1.94955961408728</v>
      </c>
      <c r="F304" s="6" t="n">
        <f aca="false">(Sens!E286+Sens!F286)/2*(1-self_build)*fac_rent/1000</f>
        <v>3.92914894476356</v>
      </c>
      <c r="G304" s="6" t="n">
        <f aca="false">(Sens!F286+Sens!G286)/2*(1-self_build)*fac_rent/1000</f>
        <v>6.53206908578159</v>
      </c>
      <c r="H304" s="6" t="n">
        <f aca="false">(Sens!G286+Sens!H286)/2*(1-self_build)*fac_rent/1000</f>
        <v>9.23717988341591</v>
      </c>
      <c r="I304" s="6" t="n">
        <f aca="false">(Sens!H286+Sens!I286)/2*(1-self_build)*fac_rent/1000</f>
        <v>11.5481378557393</v>
      </c>
      <c r="J304" s="6" t="n">
        <f aca="false">(Sens!I286+Sens!J286)/2*(1-self_build)*fac_rent/1000</f>
        <v>13.0899582289108</v>
      </c>
      <c r="K304" s="6" t="n">
        <f aca="false">(Sens!J286+Sens!K286)/2*(1-self_build)*fac_rent/1000</f>
        <v>13.8897275626556</v>
      </c>
      <c r="L304" s="12" t="s">
        <v>983</v>
      </c>
    </row>
    <row r="305" customFormat="false" ht="17.15" hidden="false" customHeight="false" outlineLevel="0" collapsed="false">
      <c r="A305" s="1" t="s">
        <v>984</v>
      </c>
      <c r="B305" s="0" t="s">
        <v>168</v>
      </c>
      <c r="D305" s="7" t="n">
        <f aca="false">(Sens!C285+Sens!D285)/(Sens!C286+Sens!D286)</f>
        <v>0.6</v>
      </c>
      <c r="E305" s="7" t="n">
        <f aca="false">(Sens!D285+Sens!E285)/(Sens!D286+Sens!E286)</f>
        <v>0.6</v>
      </c>
      <c r="F305" s="7" t="n">
        <f aca="false">(Sens!E285+Sens!F285)/(Sens!E286+Sens!F286)</f>
        <v>0.6</v>
      </c>
      <c r="G305" s="7" t="n">
        <f aca="false">(Sens!F285+Sens!G285)/(Sens!F286+Sens!G286)</f>
        <v>0.6</v>
      </c>
      <c r="H305" s="7" t="n">
        <f aca="false">(Sens!G285+Sens!H285)/(Sens!G286+Sens!H286)</f>
        <v>0.6</v>
      </c>
      <c r="I305" s="7" t="n">
        <f aca="false">(Sens!H285+Sens!I285)/(Sens!H286+Sens!I286)</f>
        <v>0.6</v>
      </c>
      <c r="J305" s="7" t="n">
        <f aca="false">(Sens!I285+Sens!J285)/(Sens!I286+Sens!J286)</f>
        <v>0.6</v>
      </c>
      <c r="K305" s="7" t="n">
        <f aca="false">(Sens!J285+Sens!K285)/(Sens!J286+Sens!K286)</f>
        <v>0.6</v>
      </c>
    </row>
    <row r="306" customFormat="false" ht="17.15" hidden="false" customHeight="false" outlineLevel="0" collapsed="false">
      <c r="A306" s="0" t="s">
        <v>985</v>
      </c>
      <c r="B306" s="0" t="s">
        <v>98</v>
      </c>
      <c r="D306" s="6" t="n">
        <f aca="false">Sens!D300-Sens!D305*(Sens!D302+Sens!D304)-Sens!D303</f>
        <v>8.35701406163072</v>
      </c>
      <c r="E306" s="6" t="n">
        <f aca="false">Sens!E300-Sens!E305*(Sens!E302+Sens!E304)-Sens!E303</f>
        <v>18.7103224860238</v>
      </c>
      <c r="F306" s="6" t="n">
        <f aca="false">Sens!F300-Sens!F305*(Sens!F302+Sens!F304)-Sens!F303</f>
        <v>39.5246243538843</v>
      </c>
      <c r="G306" s="6" t="n">
        <f aca="false">Sens!G300-Sens!G305*(Sens!G302+Sens!G304)-Sens!G303</f>
        <v>67.5570585372687</v>
      </c>
      <c r="H306" s="6" t="n">
        <f aca="false">Sens!H300-Sens!H305*(Sens!H302+Sens!H304)-Sens!H303</f>
        <v>97.1863179465102</v>
      </c>
      <c r="I306" s="6" t="n">
        <f aca="false">Sens!I300-Sens!I305*(Sens!I302+Sens!I304)-Sens!I303</f>
        <v>123.292775650365</v>
      </c>
      <c r="J306" s="6" t="n">
        <f aca="false">Sens!J300-Sens!J305*(Sens!J302+Sens!J304)-Sens!J303</f>
        <v>141.586285762524</v>
      </c>
      <c r="K306" s="6" t="n">
        <f aca="false">Sens!K300-Sens!K305*(Sens!K302+Sens!K304)-Sens!K303</f>
        <v>153.289664774035</v>
      </c>
    </row>
    <row r="307" customFormat="false" ht="17.15" hidden="false" customHeight="false" outlineLevel="0" collapsed="false">
      <c r="A307" s="1" t="s">
        <v>986</v>
      </c>
      <c r="B307" s="0" t="s">
        <v>98</v>
      </c>
      <c r="D307" s="6" t="n">
        <f aca="false">(1-Sens!D305)*(Sens!D302+Sens!D304)</f>
        <v>1.42281025374069</v>
      </c>
      <c r="E307" s="6" t="n">
        <f aca="false">(1-Sens!E305)*(Sens!E302+Sens!E304)</f>
        <v>3.25095598674472</v>
      </c>
      <c r="F307" s="6" t="n">
        <f aca="false">(1-Sens!F305)*(Sens!F302+Sens!F304)</f>
        <v>6.72135810147489</v>
      </c>
      <c r="G307" s="6" t="n">
        <f aca="false">(1-Sens!G305)*(Sens!G302+Sens!G304)</f>
        <v>11.3401410201637</v>
      </c>
      <c r="H307" s="6" t="n">
        <f aca="false">(1-Sens!H305)*(Sens!H302+Sens!H304)</f>
        <v>16.1920771049557</v>
      </c>
      <c r="I307" s="6" t="n">
        <f aca="false">(1-Sens!I305)*(Sens!I302+Sens!I304)</f>
        <v>20.3917774400264</v>
      </c>
      <c r="J307" s="6" t="n">
        <f aca="false">(1-Sens!J305)*(Sens!J302+Sens!J304)</f>
        <v>23.2503960207104</v>
      </c>
      <c r="K307" s="6" t="n">
        <f aca="false">(1-Sens!K305)*(Sens!K302+Sens!K304)</f>
        <v>24.8730801087085</v>
      </c>
    </row>
    <row r="308" customFormat="false" ht="17.15" hidden="false" customHeight="false" outlineLevel="0" collapsed="false">
      <c r="A308" s="1" t="s">
        <v>987</v>
      </c>
      <c r="B308" s="0" t="s">
        <v>414</v>
      </c>
      <c r="C308" s="8" t="n">
        <f aca="false">cxit_open</f>
        <v>27.5918995</v>
      </c>
      <c r="D308" s="8" t="n">
        <f aca="false">cxit_open</f>
        <v>27.5918995</v>
      </c>
      <c r="E308" s="8" t="n">
        <f aca="false">cxit_open</f>
        <v>27.5918995</v>
      </c>
      <c r="F308" s="8" t="n">
        <f aca="false">((a_g3_27-nonnv*a_mai)*tk_cxit_gb300+nonnv*a_mai*nv_hold_mai*tk_cxit_vr200+(1-a_g3_27)*tk_cxit_vr200)</f>
        <v>32.4975576</v>
      </c>
      <c r="G308" s="8" t="n">
        <f aca="false">((a_g3_28-nonnv*a_mai)*tk_cxit_gb300+nonnv*a_mai*nv_hold_mai*tk_cxit_vr200+(1-a_g3_28)*tk_cxit_vr200)</f>
        <v>34.6372088</v>
      </c>
      <c r="H308" s="8" t="n">
        <f aca="false">((a_g3_29-nonnv*a_mai)*tk_cxit_gb300+nonnv*a_mai*nv_hold_mai*tk_cxit_vr200+(1-a_g3_29)*tk_cxit_vr200)</f>
        <v>35.7070344</v>
      </c>
      <c r="I308" s="8" t="n">
        <f aca="false">((a_g3_29-nonnv*a_mai)*tk_cxit_gb300+nonnv*a_mai*nv_hold_mai*tk_cxit_vr200+(1-a_g3_29)*tk_cxit_vr200)</f>
        <v>35.7070344</v>
      </c>
      <c r="J308" s="8" t="n">
        <f aca="false">((a_g3_29-nonnv*a_mai)*tk_cxit_gb300+nonnv*a_mai*nv_hold_mai*tk_cxit_vr200+(1-a_g3_29)*tk_cxit_vr200)</f>
        <v>35.7070344</v>
      </c>
      <c r="K308" s="8" t="n">
        <f aca="false">((a_g3_29-nonnv*a_mai)*tk_cxit_gb300+nonnv*a_mai*nv_hold_mai*tk_cxit_vr200+(1-a_g3_29)*tk_cxit_vr200)</f>
        <v>35.7070344</v>
      </c>
      <c r="L308" s="12" t="s">
        <v>988</v>
      </c>
    </row>
    <row r="309" customFormat="false" ht="17.15" hidden="false" customHeight="false" outlineLevel="0" collapsed="false">
      <c r="A309" s="0" t="s">
        <v>989</v>
      </c>
      <c r="B309" s="0" t="s">
        <v>456</v>
      </c>
      <c r="F309" s="30" t="n">
        <f aca="false">Sens!C288*IF(Sens!F281-Sens!C281=life_it,1,0)+Sens!D288*IF(Sens!F281-Sens!D281=life_it,1,0)+Sens!E288*IF(Sens!F281-Sens!E281=life_it,1,0)</f>
        <v>0</v>
      </c>
      <c r="G309" s="30" t="n">
        <f aca="false">Sens!C288*IF(Sens!G281-Sens!C281=life_it,1,0)+Sens!D288*IF(Sens!G281-Sens!D281=life_it,1,0)+Sens!E288*IF(Sens!G281-Sens!E281=life_it,1,0)+Sens!F288*IF(Sens!G281-Sens!F281=life_it,1,0)</f>
        <v>0</v>
      </c>
      <c r="H309" s="30" t="n">
        <f aca="false">Sens!C288*IF(Sens!H281-Sens!C281=life_it,1,0)+Sens!D288*IF(Sens!H281-Sens!D281=life_it,1,0)+Sens!E288*IF(Sens!H281-Sens!E281=life_it,1,0)+Sens!F288*IF(Sens!H281-Sens!F281=life_it,1,0)+Sens!G288*IF(Sens!H281-Sens!G281=life_it,1,0)</f>
        <v>0</v>
      </c>
      <c r="I309" s="30" t="n">
        <f aca="false">Sens!C288*IF(Sens!I281-Sens!C281=life_it,1,0)+Sens!D288*IF(Sens!I281-Sens!D281=life_it,1,0)+Sens!E288*IF(Sens!I281-Sens!E281=life_it,1,0)+Sens!F288*IF(Sens!I281-Sens!F281=life_it,1,0)+Sens!G288*IF(Sens!I281-Sens!G281=life_it,1,0)+Sens!H288*IF(Sens!I281-Sens!H281=life_it,1,0)</f>
        <v>816.666666666667</v>
      </c>
      <c r="J309" s="30" t="n">
        <f aca="false">Sens!C288*IF(Sens!J281-Sens!C281=life_it,1,0)+Sens!D288*IF(Sens!J281-Sens!D281=life_it,1,0)+Sens!E288*IF(Sens!J281-Sens!E281=life_it,1,0)+Sens!F288*IF(Sens!J281-Sens!F281=life_it,1,0)+Sens!G288*IF(Sens!J281-Sens!G281=life_it,1,0)+Sens!H288*IF(Sens!J281-Sens!H281=life_it,1,0)+Sens!I288*IF(Sens!J281-Sens!I281=life_it,1,0)</f>
        <v>1233.33333333333</v>
      </c>
      <c r="K309" s="30" t="n">
        <f aca="false">Sens!C288*IF(Sens!K281-Sens!C281=life_it,1,0)+Sens!D288*IF(Sens!K281-Sens!D281=life_it,1,0)+Sens!E288*IF(Sens!K281-Sens!E281=life_it,1,0)+Sens!F288*IF(Sens!K281-Sens!F281=life_it,1,0)+Sens!G288*IF(Sens!K281-Sens!G281=life_it,1,0)+Sens!H288*IF(Sens!K281-Sens!H281=life_it,1,0)+Sens!I288*IF(Sens!K281-Sens!I281=life_it,1,0)+Sens!J288*IF(Sens!K281-Sens!J281=life_it,1,0)</f>
        <v>2450</v>
      </c>
      <c r="L309" s="1" t="s">
        <v>990</v>
      </c>
    </row>
    <row r="310" customFormat="false" ht="17.15" hidden="false" customHeight="false" outlineLevel="0" collapsed="false">
      <c r="A310" s="0" t="s">
        <v>991</v>
      </c>
      <c r="B310" s="0" t="s">
        <v>98</v>
      </c>
      <c r="C310" s="6" t="n">
        <f aca="false">Sens!C288*Sens!C308/1000</f>
        <v>22.5333845916667</v>
      </c>
      <c r="D310" s="6" t="n">
        <f aca="false">Sens!D288*Sens!D308/1000</f>
        <v>34.0300093833333</v>
      </c>
      <c r="E310" s="6" t="n">
        <f aca="false">Sens!E288*Sens!E308/1000</f>
        <v>67.600153775</v>
      </c>
      <c r="F310" s="6" t="n">
        <f aca="false">(Sens!F288+Sens!F309)*Sens!F308/1000</f>
        <v>136.51872432512</v>
      </c>
      <c r="G310" s="6" t="n">
        <f aca="false">(Sens!G288+Sens!G309)*Sens!G308/1000</f>
        <v>157.399275932048</v>
      </c>
      <c r="H310" s="6" t="n">
        <f aca="false">(Sens!H288+Sens!H309)*Sens!H308/1000</f>
        <v>162.260804347512</v>
      </c>
      <c r="I310" s="6" t="n">
        <f aca="false">(Sens!I288+Sens!I309)*Sens!I308/1000</f>
        <v>144.136569485434</v>
      </c>
      <c r="J310" s="6" t="n">
        <f aca="false">(Sens!J288+Sens!J309)*Sens!J308/1000</f>
        <v>114.029037357864</v>
      </c>
      <c r="K310" s="6" t="n">
        <f aca="false">(Sens!K288+Sens!K309)*Sens!K308/1000</f>
        <v>113.437085350975</v>
      </c>
    </row>
    <row r="311" customFormat="false" ht="17.15" hidden="false" customHeight="false" outlineLevel="0" collapsed="false">
      <c r="A311" s="0" t="s">
        <v>992</v>
      </c>
      <c r="B311" s="0" t="s">
        <v>98</v>
      </c>
      <c r="C311" s="6" t="n">
        <f aca="false">Sens!C288*self_build*tk_cxfac/1000</f>
        <v>6.2083</v>
      </c>
      <c r="D311" s="6" t="n">
        <f aca="false">Sens!D288*self_build*tk_cxfac/1000</f>
        <v>9.3758</v>
      </c>
      <c r="E311" s="6" t="n">
        <f aca="false">Sens!E288*self_build*tk_cxfac/1000</f>
        <v>18.6249</v>
      </c>
      <c r="F311" s="6" t="n">
        <f aca="false">Sens!F288*self_build*tk_cxfac/1000</f>
        <v>31.935179717</v>
      </c>
      <c r="G311" s="6" t="n">
        <f aca="false">Sens!G288*self_build*tk_cxfac/1000</f>
        <v>34.545199717</v>
      </c>
      <c r="H311" s="6" t="n">
        <f aca="false">Sens!H288*self_build*tk_cxfac/1000</f>
        <v>34.545199717</v>
      </c>
      <c r="I311" s="6" t="n">
        <f aca="false">Sens!I288*self_build*tk_cxfac/1000</f>
        <v>24.4782641361767</v>
      </c>
      <c r="J311" s="6" t="n">
        <f aca="false">Sens!J288*self_build*tk_cxfac/1000</f>
        <v>14.9008938380769</v>
      </c>
      <c r="K311" s="6" t="n">
        <f aca="false">Sens!K288*self_build*tk_cxfac/1000</f>
        <v>5.52576771375761</v>
      </c>
    </row>
    <row r="312" customFormat="false" ht="17.15" hidden="false" customHeight="false" outlineLevel="0" collapsed="false">
      <c r="A312" s="0" t="s">
        <v>993</v>
      </c>
      <c r="B312" s="0" t="s">
        <v>98</v>
      </c>
      <c r="F312" s="15" t="n">
        <f aca="false">capex_floor27-Sens!F310-Sens!F311-Sens!F408</f>
        <v>1.94586576753863E-005</v>
      </c>
      <c r="L312" s="12" t="s">
        <v>994</v>
      </c>
    </row>
    <row r="313" customFormat="false" ht="17.15" hidden="false" customHeight="false" outlineLevel="0" collapsed="false">
      <c r="A313" s="0" t="s">
        <v>995</v>
      </c>
      <c r="B313" s="0" t="s">
        <v>98</v>
      </c>
      <c r="F313" s="6" t="n">
        <f aca="false">MAX(0,Sens!F312)</f>
        <v>1.94586576753863E-005</v>
      </c>
    </row>
    <row r="314" customFormat="false" ht="17.15" hidden="false" customHeight="false" outlineLevel="0" collapsed="false">
      <c r="A314" s="0" t="s">
        <v>996</v>
      </c>
      <c r="B314" s="0" t="s">
        <v>98</v>
      </c>
      <c r="C314" s="6" t="n">
        <f aca="false">Sens!C310</f>
        <v>22.5333845916667</v>
      </c>
      <c r="D314" s="6" t="n">
        <f aca="false">Sens!D310</f>
        <v>34.0300093833333</v>
      </c>
      <c r="E314" s="6" t="n">
        <f aca="false">Sens!E310</f>
        <v>67.600153775</v>
      </c>
      <c r="F314" s="6" t="n">
        <f aca="false">Sens!F310</f>
        <v>136.51872432512</v>
      </c>
      <c r="G314" s="6" t="n">
        <f aca="false">Sens!G310</f>
        <v>157.399275932048</v>
      </c>
      <c r="H314" s="6" t="n">
        <f aca="false">Sens!H310</f>
        <v>162.260804347512</v>
      </c>
      <c r="I314" s="6" t="n">
        <f aca="false">Sens!I310</f>
        <v>144.136569485434</v>
      </c>
      <c r="J314" s="6" t="n">
        <f aca="false">Sens!J310</f>
        <v>114.029037357864</v>
      </c>
      <c r="K314" s="6" t="n">
        <f aca="false">Sens!K310</f>
        <v>113.437085350975</v>
      </c>
    </row>
    <row r="315" customFormat="false" ht="17.15" hidden="false" customHeight="false" outlineLevel="0" collapsed="false">
      <c r="A315" s="0" t="s">
        <v>997</v>
      </c>
      <c r="B315" s="0" t="s">
        <v>98</v>
      </c>
      <c r="C315" s="6" t="n">
        <f aca="false">Sens!C314+Sens!C311</f>
        <v>28.7416845916667</v>
      </c>
      <c r="D315" s="6" t="n">
        <f aca="false">Sens!D314+Sens!D311</f>
        <v>43.4058093833333</v>
      </c>
      <c r="E315" s="6" t="n">
        <f aca="false">Sens!E314+Sens!E311</f>
        <v>86.225053775</v>
      </c>
      <c r="F315" s="6" t="n">
        <f aca="false">Sens!F314+Sens!F311</f>
        <v>168.45390404212</v>
      </c>
      <c r="G315" s="6" t="n">
        <f aca="false">Sens!G314+Sens!G311</f>
        <v>191.944475649048</v>
      </c>
      <c r="H315" s="6" t="n">
        <f aca="false">Sens!H314+Sens!H311</f>
        <v>196.806004064512</v>
      </c>
      <c r="I315" s="6" t="n">
        <f aca="false">Sens!I314+Sens!I311</f>
        <v>168.61483362161</v>
      </c>
      <c r="J315" s="6" t="n">
        <f aca="false">Sens!J314+Sens!J311</f>
        <v>128.92993119594</v>
      </c>
      <c r="K315" s="6" t="n">
        <f aca="false">Sens!K314+Sens!K311</f>
        <v>118.962853064733</v>
      </c>
      <c r="L315" s="12" t="s">
        <v>998</v>
      </c>
    </row>
    <row r="316" customFormat="false" ht="17.15" hidden="false" customHeight="false" outlineLevel="0" collapsed="false">
      <c r="A316" s="0" t="s">
        <v>999</v>
      </c>
      <c r="B316" s="0" t="s">
        <v>98</v>
      </c>
      <c r="E316" s="6" t="n">
        <f aca="false">(Sens!C314*IF(2&lt;life_it,1,IF(2=life_it,0.5,0))+Sens!D314*IF(1&lt;life_it,1,IF(1=life_it,0.5,0))+Sens!E314*0.5)/life_it</f>
        <v>15.0605784770833</v>
      </c>
      <c r="F316" s="6" t="n">
        <f aca="false">(Sens!C314*IF(3&lt;life_it,1,IF(3=life_it,0.5,0))+Sens!D314*IF(2&lt;life_it,1,IF(2=life_it,0.5,0))+Sens!E314*IF(1&lt;life_it,1,IF(1=life_it,0.5,0))+Sens!F314*0.5)/life_it</f>
        <v>32.0704849854266</v>
      </c>
      <c r="G316" s="6" t="n">
        <f aca="false">(Sens!C314*IF(4&lt;life_it,1,IF(4=life_it,0.5,0))+Sens!D314*IF(3&lt;life_it,1,IF(3=life_it,0.5,0))+Sens!E314*IF(2&lt;life_it,1,IF(2=life_it,0.5,0))+Sens!F314*IF(1&lt;life_it,1,IF(1=life_it,0.5,0))+Sens!G314*0.5)/life_it</f>
        <v>56.5636516735239</v>
      </c>
      <c r="H316" s="6" t="n">
        <f aca="false">(Sens!C314*IF(5&lt;life_it,1,IF(5=life_it,0.5,0))+Sens!D314*IF(4&lt;life_it,1,IF(4=life_it,0.5,0))+Sens!E314*IF(3&lt;life_it,1,IF(3=life_it,0.5,0))+Sens!F314*IF(2&lt;life_it,1,IF(2=life_it,0.5,0))+Sens!G314*IF(1&lt;life_it,1,IF(1=life_it,0.5,0))+Sens!H314*0.5)/life_it</f>
        <v>83.2019916968207</v>
      </c>
      <c r="I316" s="6" t="n">
        <f aca="false">(Sens!C314*IF(6&lt;life_it,1,IF(6=life_it,0.5,0))+Sens!D314*IF(5&lt;life_it,1,IF(5=life_it,0.5,0))+Sens!E314*IF(4&lt;life_it,1,IF(4=life_it,0.5,0))+Sens!F314*IF(3&lt;life_it,1,IF(3=life_it,0.5,0))+Sens!G314*IF(2&lt;life_it,1,IF(2=life_it,0.5,0))+Sens!H314*IF(1&lt;life_it,1,IF(1=life_it,0.5,0))+Sens!I314*0.5)/life_it</f>
        <v>106.857324133594</v>
      </c>
      <c r="J316" s="6" t="n">
        <f aca="false">(Sens!C314*IF(7&lt;life_it,1,IF(7=life_it,0.5,0))+Sens!D314*IF(6&lt;life_it,1,IF(6=life_it,0.5,0))+Sens!E314*IF(5&lt;life_it,1,IF(5=life_it,0.5,0))+Sens!F314*IF(4&lt;life_it,1,IF(4=life_it,0.5,0))+Sens!G314*IF(3&lt;life_it,1,IF(3=life_it,0.5,0))+Sens!H314*IF(2&lt;life_it,1,IF(2=life_it,0.5,0))+Sens!I314*IF(1&lt;life_it,1,IF(1=life_it,0.5,0))+Sens!J314*0.5)/life_it</f>
        <v>123.657508539285</v>
      </c>
      <c r="K316" s="6" t="n">
        <f aca="false">(Sens!C314*IF(8&lt;life_it,1,IF(8=life_it,0.5,0))+Sens!D314*IF(7&lt;life_it,1,IF(7=life_it,0.5,0))+Sens!E314*IF(6&lt;life_it,1,IF(6=life_it,0.5,0))+Sens!F314*IF(5&lt;life_it,1,IF(5=life_it,0.5,0))+Sens!G314*IF(4&lt;life_it,1,IF(4=life_it,0.5,0))+Sens!H314*IF(3&lt;life_it,1,IF(3=life_it,0.5,0))+Sens!I314*IF(2&lt;life_it,1,IF(2=life_it,0.5,0))+Sens!J314*IF(1&lt;life_it,1,IF(1=life_it,0.5,0))+Sens!K314*0.5)/life_it</f>
        <v>134.143838501827</v>
      </c>
    </row>
    <row r="317" customFormat="false" ht="17.15" hidden="false" customHeight="false" outlineLevel="0" collapsed="false">
      <c r="A317" s="0" t="s">
        <v>1000</v>
      </c>
      <c r="B317" s="0" t="s">
        <v>98</v>
      </c>
      <c r="E317" s="6" t="n">
        <f aca="false">(Sens!C311*IF(2&lt;life_fac,1,IF(2=life_fac,0.5,0))+Sens!D311*IF(1&lt;life_fac,1,IF(1=life_fac,0.5,0))+Sens!E311*0.5)/life_fac</f>
        <v>1.2448275</v>
      </c>
      <c r="F317" s="6" t="n">
        <f aca="false">(Sens!C311*IF(3&lt;life_fac,1,IF(3=life_fac,0.5,0))+Sens!D311*IF(2&lt;life_fac,1,IF(2=life_fac,0.5,0))+Sens!E311*IF(1&lt;life_fac,1,IF(1=life_fac,0.5,0))+Sens!F311*0.5)/life_fac</f>
        <v>2.508829492925</v>
      </c>
      <c r="G317" s="6" t="n">
        <f aca="false">(Sens!C311*IF(4&lt;life_fac,1,IF(4=life_fac,0.5,0))+Sens!D311*IF(3&lt;life_fac,1,IF(3=life_fac,0.5,0))+Sens!E311*IF(2&lt;life_fac,1,IF(2=life_fac,0.5,0))+Sens!F311*IF(1&lt;life_fac,1,IF(1=life_fac,0.5,0))+Sens!G311*0.5)/life_fac</f>
        <v>4.170838978775</v>
      </c>
      <c r="H317" s="6" t="n">
        <f aca="false">(Sens!C311*IF(5&lt;life_fac,1,IF(5=life_fac,0.5,0))+Sens!D311*IF(4&lt;life_fac,1,IF(4=life_fac,0.5,0))+Sens!E311*IF(3&lt;life_fac,1,IF(3=life_fac,0.5,0))+Sens!F311*IF(2&lt;life_fac,1,IF(2=life_fac,0.5,0))+Sens!G311*IF(1&lt;life_fac,1,IF(1=life_fac,0.5,0))+Sens!H311*0.5)/life_fac</f>
        <v>5.898098964625</v>
      </c>
      <c r="I317" s="6" t="n">
        <f aca="false">(Sens!C311*IF(6&lt;life_fac,1,IF(6=life_fac,0.5,0))+Sens!D311*IF(5&lt;life_fac,1,IF(5=life_fac,0.5,0))+Sens!E311*IF(4&lt;life_fac,1,IF(4=life_fac,0.5,0))+Sens!F311*IF(3&lt;life_fac,1,IF(3=life_fac,0.5,0))+Sens!G311*IF(2&lt;life_fac,1,IF(2=life_fac,0.5,0))+Sens!H311*IF(1&lt;life_fac,1,IF(1=life_fac,0.5,0))+Sens!I311*0.5)/life_fac</f>
        <v>7.37368556095442</v>
      </c>
      <c r="J317" s="6" t="n">
        <f aca="false">(Sens!C311*IF(7&lt;life_fac,1,IF(7=life_fac,0.5,0))+Sens!D311*IF(6&lt;life_fac,1,IF(6=life_fac,0.5,0))+Sens!E311*IF(5&lt;life_fac,1,IF(5=life_fac,0.5,0))+Sens!F311*IF(4&lt;life_fac,1,IF(4=life_fac,0.5,0))+Sens!G311*IF(3&lt;life_fac,1,IF(3=life_fac,0.5,0))+Sens!H311*IF(2&lt;life_fac,1,IF(2=life_fac,0.5,0))+Sens!I311*IF(1&lt;life_fac,1,IF(1=life_fac,0.5,0))+Sens!J311*0.5)/life_fac</f>
        <v>8.35816451031075</v>
      </c>
      <c r="K317" s="6" t="n">
        <f aca="false">(Sens!C311*IF(8&lt;life_fac,1,IF(8=life_fac,0.5,0))+Sens!D311*IF(7&lt;life_fac,1,IF(7=life_fac,0.5,0))+Sens!E311*IF(6&lt;life_fac,1,IF(6=life_fac,0.5,0))+Sens!F311*IF(5&lt;life_fac,1,IF(5=life_fac,0.5,0))+Sens!G311*IF(4&lt;life_fac,1,IF(4=life_fac,0.5,0))+Sens!H311*IF(3&lt;life_fac,1,IF(3=life_fac,0.5,0))+Sens!I311*IF(2&lt;life_fac,1,IF(2=life_fac,0.5,0))+Sens!J311*IF(1&lt;life_fac,1,IF(1=life_fac,0.5,0))+Sens!K311*0.5)/life_fac</f>
        <v>8.86883104910662</v>
      </c>
    </row>
    <row r="318" customFormat="false" ht="17.15" hidden="false" customHeight="false" outlineLevel="0" collapsed="false">
      <c r="A318" s="0" t="s">
        <v>1001</v>
      </c>
      <c r="B318" s="0" t="s">
        <v>98</v>
      </c>
      <c r="E318" s="6" t="n">
        <f aca="false">Sens!E316+Sens!E317</f>
        <v>16.3054059770833</v>
      </c>
      <c r="F318" s="6" t="n">
        <f aca="false">Sens!F316+Sens!F317</f>
        <v>34.5793144783516</v>
      </c>
      <c r="G318" s="6" t="n">
        <f aca="false">Sens!G316+Sens!G317</f>
        <v>60.7344906522989</v>
      </c>
      <c r="H318" s="6" t="n">
        <f aca="false">Sens!H316+Sens!H317</f>
        <v>89.1000906614457</v>
      </c>
      <c r="I318" s="6" t="n">
        <f aca="false">Sens!I316+Sens!I317</f>
        <v>114.231009694548</v>
      </c>
      <c r="J318" s="6" t="n">
        <f aca="false">Sens!J316+Sens!J317</f>
        <v>132.015673049596</v>
      </c>
      <c r="K318" s="6" t="n">
        <f aca="false">Sens!K316+Sens!K317</f>
        <v>143.012669550934</v>
      </c>
    </row>
    <row r="319" customFormat="false" ht="17.15" hidden="false" customHeight="false" outlineLevel="0" collapsed="false">
      <c r="A319" s="0" t="s">
        <v>1002</v>
      </c>
      <c r="B319" s="0" t="s">
        <v>98</v>
      </c>
      <c r="E319" s="6" t="n">
        <f aca="false">Sens!E306-Sens!E305*Sens!E318</f>
        <v>8.92707889977379</v>
      </c>
      <c r="F319" s="6" t="n">
        <f aca="false">Sens!F306-Sens!F305*Sens!F318</f>
        <v>18.7770356668733</v>
      </c>
      <c r="G319" s="6" t="n">
        <f aca="false">Sens!G306-Sens!G305*Sens!G318</f>
        <v>31.1163641458894</v>
      </c>
      <c r="H319" s="6" t="n">
        <f aca="false">Sens!H306-Sens!H305*Sens!H318</f>
        <v>43.7262635496428</v>
      </c>
      <c r="I319" s="6" t="n">
        <f aca="false">Sens!I306-Sens!I305*Sens!I318</f>
        <v>54.7541698336361</v>
      </c>
      <c r="J319" s="6" t="n">
        <f aca="false">Sens!J306-Sens!J305*Sens!J318</f>
        <v>62.3768819327658</v>
      </c>
      <c r="K319" s="6" t="n">
        <f aca="false">Sens!K306-Sens!K305*Sens!K318</f>
        <v>67.4820630434748</v>
      </c>
    </row>
    <row r="320" customFormat="false" ht="17.15" hidden="false" customHeight="false" outlineLevel="0" collapsed="false">
      <c r="A320" s="3" t="s">
        <v>1486</v>
      </c>
    </row>
    <row r="321" customFormat="false" ht="15" hidden="false" customHeight="false" outlineLevel="0" collapsed="false">
      <c r="A321" s="4" t="s">
        <v>43</v>
      </c>
      <c r="B321" s="4" t="s">
        <v>65</v>
      </c>
      <c r="C321" s="23" t="s">
        <v>938</v>
      </c>
      <c r="D321" s="23" t="s">
        <v>939</v>
      </c>
      <c r="E321" s="23" t="s">
        <v>940</v>
      </c>
      <c r="F321" s="23" t="s">
        <v>941</v>
      </c>
      <c r="G321" s="23" t="s">
        <v>942</v>
      </c>
      <c r="H321" s="23" t="s">
        <v>943</v>
      </c>
      <c r="I321" s="23" t="s">
        <v>944</v>
      </c>
      <c r="J321" s="23" t="s">
        <v>945</v>
      </c>
      <c r="K321" s="23" t="s">
        <v>946</v>
      </c>
      <c r="L321" s="4" t="s">
        <v>47</v>
      </c>
    </row>
    <row r="322" customFormat="false" ht="17.15" hidden="false" customHeight="false" outlineLevel="0" collapsed="false">
      <c r="A322" s="0" t="s">
        <v>1021</v>
      </c>
      <c r="B322" s="0" t="s">
        <v>98</v>
      </c>
      <c r="D322" s="6" t="n">
        <f aca="false">Sens!D300</f>
        <v>12.9359794422418</v>
      </c>
      <c r="E322" s="6" t="n">
        <f aca="false">Sens!E300</f>
        <v>27.8095064661409</v>
      </c>
      <c r="F322" s="6" t="n">
        <f aca="false">Sens!F300</f>
        <v>55.4118315060966</v>
      </c>
      <c r="G322" s="6" t="n">
        <f aca="false">Sens!G300</f>
        <v>91.2881100675143</v>
      </c>
      <c r="H322" s="6" t="n">
        <f aca="false">Sens!H300</f>
        <v>128.195273603944</v>
      </c>
      <c r="I322" s="6" t="n">
        <f aca="false">Sens!I300</f>
        <v>160.601281810405</v>
      </c>
      <c r="J322" s="6" t="n">
        <f aca="false">Sens!J300</f>
        <v>183.182719793589</v>
      </c>
      <c r="K322" s="6" t="n">
        <f aca="false">Sens!K300</f>
        <v>197.320124937098</v>
      </c>
    </row>
    <row r="323" customFormat="false" ht="17.15" hidden="false" customHeight="false" outlineLevel="0" collapsed="false">
      <c r="A323" s="0" t="s">
        <v>1022</v>
      </c>
      <c r="B323" s="0" t="s">
        <v>98</v>
      </c>
      <c r="D323" s="6" t="n">
        <f aca="false">Q!L6-Sens!D322</f>
        <v>59.6740205577583</v>
      </c>
      <c r="E323" s="6" t="n">
        <f aca="false">Q!M6-Sens!E322</f>
        <v>74.1284935338591</v>
      </c>
      <c r="F323" s="6" t="n">
        <f aca="false">Q!$I$6+(Sens!F322+Sens!E323*(1+Sens!F324))*(1-Q!$E$6/Q!M6)-Sens!F322</f>
        <v>91.2972164940844</v>
      </c>
      <c r="G323" s="6" t="n">
        <f aca="false">Sens!F323*(1+Sens!G324)</f>
        <v>108.474719793879</v>
      </c>
      <c r="H323" s="6" t="n">
        <f aca="false">Sens!G323*(1+Sens!H324)</f>
        <v>125.951292505701</v>
      </c>
      <c r="I323" s="6" t="n">
        <f aca="false">Sens!H323*(1+Sens!I324)</f>
        <v>142.838165154212</v>
      </c>
      <c r="J323" s="6" t="n">
        <f aca="false">Sens!I323*(1+Sens!J324)</f>
        <v>158.12717866615</v>
      </c>
      <c r="K323" s="6" t="n">
        <f aca="false">Sens!J323*(1+Sens!K324)</f>
        <v>170.777352959442</v>
      </c>
      <c r="L323" s="12" t="s">
        <v>1023</v>
      </c>
    </row>
    <row r="324" customFormat="false" ht="15" hidden="false" customHeight="false" outlineLevel="0" collapsed="false">
      <c r="A324" s="1" t="s">
        <v>1024</v>
      </c>
      <c r="B324" s="0" t="s">
        <v>168</v>
      </c>
      <c r="E324" s="7" t="n">
        <f aca="false">Sens!E323/Sens!D323-1</f>
        <v>0.242223883039864</v>
      </c>
      <c r="F324" s="7" t="n">
        <f aca="false">Sens!$E$324+(glt_azo-Sens!$E$324)*MIN(1,(Sens!F281-base_fy)/n_conv)</f>
        <v>0.215186569199887</v>
      </c>
      <c r="G324" s="7" t="n">
        <f aca="false">Sens!$E$324+(glt_azo-Sens!$E$324)*MIN(1,(Sens!G281-base_fy)/n_conv)</f>
        <v>0.18814925535991</v>
      </c>
      <c r="H324" s="7" t="n">
        <f aca="false">Sens!$E$324+(glt_azo-Sens!$E$324)*MIN(1,(Sens!H281-base_fy)/n_conv)</f>
        <v>0.161111941519932</v>
      </c>
      <c r="I324" s="7" t="n">
        <f aca="false">Sens!$E$324+(glt_azo-Sens!$E$324)*MIN(1,(Sens!I281-base_fy)/n_conv)</f>
        <v>0.134074627679955</v>
      </c>
      <c r="J324" s="7" t="n">
        <f aca="false">Sens!$E$324+(glt_azo-Sens!$E$324)*MIN(1,(Sens!J281-base_fy)/n_conv)</f>
        <v>0.107037313839977</v>
      </c>
      <c r="K324" s="7" t="n">
        <f aca="false">Sens!$E$324+(glt_azo-Sens!$E$324)*MIN(1,(Sens!K281-base_fy)/n_conv)</f>
        <v>0.08</v>
      </c>
    </row>
    <row r="325" customFormat="false" ht="15" hidden="false" customHeight="false" outlineLevel="0" collapsed="false">
      <c r="A325" s="0" t="s">
        <v>1025</v>
      </c>
      <c r="B325" s="0" t="s">
        <v>98</v>
      </c>
      <c r="D325" s="6" t="n">
        <f aca="false">Sens!D322+Sens!D323</f>
        <v>72.61</v>
      </c>
      <c r="E325" s="6" t="n">
        <f aca="false">Sens!E322+Sens!E323</f>
        <v>101.938</v>
      </c>
      <c r="F325" s="6" t="n">
        <f aca="false">Sens!F322+Sens!F323</f>
        <v>146.709048000181</v>
      </c>
      <c r="G325" s="6" t="n">
        <f aca="false">Sens!G322+Sens!G323</f>
        <v>199.762829861393</v>
      </c>
      <c r="H325" s="6" t="n">
        <f aca="false">Sens!H322+Sens!H323</f>
        <v>254.146566109645</v>
      </c>
      <c r="I325" s="6" t="n">
        <f aca="false">Sens!I322+Sens!I323</f>
        <v>303.439446964617</v>
      </c>
      <c r="J325" s="6" t="n">
        <f aca="false">Sens!J322+Sens!J323</f>
        <v>341.309898459739</v>
      </c>
      <c r="K325" s="6" t="n">
        <f aca="false">Sens!K322+Sens!K323</f>
        <v>368.09747789654</v>
      </c>
    </row>
    <row r="326" customFormat="false" ht="17.15" hidden="false" customHeight="false" outlineLevel="0" collapsed="false">
      <c r="A326" s="0" t="s">
        <v>1026</v>
      </c>
      <c r="B326" s="1" t="s">
        <v>610</v>
      </c>
      <c r="C326" s="30" t="n">
        <f aca="false">cop_s24</f>
        <v>1</v>
      </c>
      <c r="D326" s="30" t="n">
        <f aca="false">cop_s25</f>
        <v>5</v>
      </c>
      <c r="E326" s="30" t="n">
        <f aca="false">cop_s26</f>
        <v>30</v>
      </c>
      <c r="F326" s="30" t="n">
        <f aca="false">Sens!E326+cop_add_B</f>
        <v>50</v>
      </c>
      <c r="G326" s="30" t="n">
        <f aca="false">Sens!F326+cop_add_B</f>
        <v>70</v>
      </c>
      <c r="H326" s="30" t="n">
        <f aca="false">Sens!G326+cop_add_B</f>
        <v>90</v>
      </c>
      <c r="I326" s="30" t="n">
        <f aca="false">Sens!H326+cop_add_B*cop_tail</f>
        <v>100</v>
      </c>
      <c r="J326" s="30" t="n">
        <f aca="false">Sens!I326+cop_add_B*cop_tail</f>
        <v>110</v>
      </c>
      <c r="K326" s="30" t="n">
        <f aca="false">Sens!J326+cop_add_B*cop_tail</f>
        <v>120</v>
      </c>
      <c r="L326" s="12" t="s">
        <v>1027</v>
      </c>
    </row>
    <row r="327" customFormat="false" ht="17.15" hidden="false" customHeight="false" outlineLevel="0" collapsed="false">
      <c r="A327" s="0" t="s">
        <v>1028</v>
      </c>
      <c r="B327" s="0" t="s">
        <v>98</v>
      </c>
      <c r="D327" s="6" t="n">
        <f aca="false">(Sens!C326+Sens!D326)/2*cop_px*12/1000</f>
        <v>0.9</v>
      </c>
      <c r="E327" s="6" t="n">
        <f aca="false">(Sens!D326+Sens!E326)/2*cop_px*12/1000</f>
        <v>5.25</v>
      </c>
      <c r="F327" s="6" t="n">
        <f aca="false">(Sens!E326+Sens!F326)/2*cop_px*12/1000</f>
        <v>12</v>
      </c>
      <c r="G327" s="6" t="n">
        <f aca="false">(Sens!F326+Sens!G326)/2*cop_px*12/1000</f>
        <v>18</v>
      </c>
      <c r="H327" s="6" t="n">
        <f aca="false">(Sens!G326+Sens!H326)/2*cop_px*12/1000</f>
        <v>24</v>
      </c>
      <c r="I327" s="6" t="n">
        <f aca="false">(Sens!H326+Sens!I326)/2*cop_px*12/1000</f>
        <v>28.5</v>
      </c>
      <c r="J327" s="6" t="n">
        <f aca="false">(Sens!I326+Sens!J326)/2*cop_px*12/1000</f>
        <v>31.5</v>
      </c>
      <c r="K327" s="6" t="n">
        <f aca="false">(Sens!J326+Sens!K326)/2*cop_px*12/1000</f>
        <v>34.5</v>
      </c>
      <c r="L327" s="1" t="s">
        <v>1029</v>
      </c>
    </row>
    <row r="328" customFormat="false" ht="17.15" hidden="false" customHeight="false" outlineLevel="0" collapsed="false">
      <c r="A328" s="0" t="s">
        <v>1030</v>
      </c>
      <c r="B328" s="0" t="s">
        <v>98</v>
      </c>
      <c r="D328" s="6" t="n">
        <f aca="false">Q!L7-Sens!D327</f>
        <v>83.705</v>
      </c>
      <c r="E328" s="6" t="n">
        <f aca="false">Q!M7-Sens!E327</f>
        <v>95.049</v>
      </c>
      <c r="F328" s="6" t="n">
        <f aca="false">Q!$I$7+(Sens!E328*(1+Sens!F329)+Sens!F327)*(1-Q!$E$7/Q!M7)-Sens!F327</f>
        <v>106.584003697747</v>
      </c>
      <c r="G328" s="6" t="n">
        <f aca="false">Sens!F328*(1+Sens!G329)</f>
        <v>118.700726545688</v>
      </c>
      <c r="H328" s="6" t="n">
        <f aca="false">Sens!G328*(1+Sens!H329)</f>
        <v>130.898624783666</v>
      </c>
      <c r="I328" s="6" t="n">
        <f aca="false">Sens!H328*(1+Sens!I329)</f>
        <v>142.920510030657</v>
      </c>
      <c r="J328" s="6" t="n">
        <f aca="false">Sens!I328*(1+Sens!J329)</f>
        <v>154.485722618572</v>
      </c>
      <c r="K328" s="6" t="n">
        <f aca="false">Sens!J328*(1+Sens!K329)</f>
        <v>165.299723201872</v>
      </c>
      <c r="L328" s="12" t="s">
        <v>1031</v>
      </c>
    </row>
    <row r="329" customFormat="false" ht="15" hidden="false" customHeight="false" outlineLevel="0" collapsed="false">
      <c r="A329" s="1" t="s">
        <v>1024</v>
      </c>
      <c r="B329" s="0" t="s">
        <v>168</v>
      </c>
      <c r="E329" s="7" t="n">
        <f aca="false">Sens!E328/Sens!D328-1</f>
        <v>0.135523564900544</v>
      </c>
      <c r="F329" s="7" t="n">
        <f aca="false">Sens!$E$329+(glt_m365b-Sens!$E$329)*MIN(1,(Sens!F281-base_fy)/n_conv)</f>
        <v>0.124602970750453</v>
      </c>
      <c r="G329" s="7" t="n">
        <f aca="false">Sens!$E$329+(glt_m365b-Sens!$E$329)*MIN(1,(Sens!G281-base_fy)/n_conv)</f>
        <v>0.113682376600363</v>
      </c>
      <c r="H329" s="7" t="n">
        <f aca="false">Sens!$E$329+(glt_m365b-Sens!$E$329)*MIN(1,(Sens!H281-base_fy)/n_conv)</f>
        <v>0.102761782450272</v>
      </c>
      <c r="I329" s="7" t="n">
        <f aca="false">Sens!$E$329+(glt_m365b-Sens!$E$329)*MIN(1,(Sens!I281-base_fy)/n_conv)</f>
        <v>0.0918411883001813</v>
      </c>
      <c r="J329" s="7" t="n">
        <f aca="false">Sens!$E$329+(glt_m365b-Sens!$E$329)*MIN(1,(Sens!J281-base_fy)/n_conv)</f>
        <v>0.0809205941500906</v>
      </c>
      <c r="K329" s="7" t="n">
        <f aca="false">Sens!$E$329+(glt_m365b-Sens!$E$329)*MIN(1,(Sens!K281-base_fy)/n_conv)</f>
        <v>0.07</v>
      </c>
    </row>
    <row r="330" customFormat="false" ht="15" hidden="false" customHeight="false" outlineLevel="0" collapsed="false">
      <c r="A330" s="0" t="s">
        <v>1032</v>
      </c>
      <c r="B330" s="0" t="s">
        <v>98</v>
      </c>
      <c r="D330" s="6" t="n">
        <f aca="false">Sens!D328+Sens!D327</f>
        <v>84.605</v>
      </c>
      <c r="E330" s="6" t="n">
        <f aca="false">Sens!E328+Sens!E327</f>
        <v>100.299</v>
      </c>
      <c r="F330" s="6" t="n">
        <f aca="false">Sens!F328+Sens!F327</f>
        <v>118.584003697747</v>
      </c>
      <c r="G330" s="6" t="n">
        <f aca="false">Sens!G328+Sens!G327</f>
        <v>136.700726545688</v>
      </c>
      <c r="H330" s="6" t="n">
        <f aca="false">Sens!H328+Sens!H327</f>
        <v>154.898624783666</v>
      </c>
      <c r="I330" s="6" t="n">
        <f aca="false">Sens!I328+Sens!I327</f>
        <v>171.420510030657</v>
      </c>
      <c r="J330" s="6" t="n">
        <f aca="false">Sens!J328+Sens!J327</f>
        <v>185.985722618572</v>
      </c>
      <c r="K330" s="6" t="n">
        <f aca="false">Sens!K328+Sens!K327</f>
        <v>199.799723201872</v>
      </c>
    </row>
    <row r="331" customFormat="false" ht="17.15" hidden="false" customHeight="false" outlineLevel="0" collapsed="false">
      <c r="A331" s="0" t="s">
        <v>1033</v>
      </c>
      <c r="B331" s="0" t="s">
        <v>98</v>
      </c>
      <c r="D331" s="6" t="n">
        <f aca="false">Q!L8</f>
        <v>35.391</v>
      </c>
      <c r="E331" s="6" t="n">
        <f aca="false">Q!M8</f>
        <v>37.285</v>
      </c>
      <c r="F331" s="6" t="n">
        <f aca="false">Q!$I$8+(Q!M8-Q!$E$8)*(1+Sens!F332)</f>
        <v>38.3851437782675</v>
      </c>
      <c r="G331" s="6" t="n">
        <f aca="false">Sens!F331*(1+Sens!G332)</f>
        <v>40.0105353288615</v>
      </c>
      <c r="H331" s="6" t="n">
        <f aca="false">Sens!G331*(1+Sens!H332)</f>
        <v>41.4812512033683</v>
      </c>
      <c r="I331" s="6" t="n">
        <f aca="false">Sens!H331*(1+Sens!I332)</f>
        <v>42.7743107216329</v>
      </c>
      <c r="J331" s="6" t="n">
        <f aca="false">Sens!I331*(1+Sens!J332)</f>
        <v>43.8687373064601</v>
      </c>
      <c r="K331" s="6" t="n">
        <f aca="false">Sens!J331*(1+Sens!K332)</f>
        <v>44.7461120525893</v>
      </c>
      <c r="L331" s="12" t="s">
        <v>1034</v>
      </c>
    </row>
    <row r="332" customFormat="false" ht="15" hidden="false" customHeight="false" outlineLevel="0" collapsed="false">
      <c r="A332" s="1" t="s">
        <v>1024</v>
      </c>
      <c r="B332" s="0" t="s">
        <v>168</v>
      </c>
      <c r="E332" s="7" t="n">
        <f aca="false">Sens!E331/Sens!D331-1</f>
        <v>0.0535164307309768</v>
      </c>
      <c r="F332" s="7" t="n">
        <f aca="false">Sens!$E$332+(glt_lic-Sens!$E$332)*MIN(1,(Sens!F281-base_fy)/n_conv)</f>
        <v>0.0479303589424807</v>
      </c>
      <c r="G332" s="7" t="n">
        <f aca="false">Sens!$E$332+(glt_lic-Sens!$E$332)*MIN(1,(Sens!G281-base_fy)/n_conv)</f>
        <v>0.0423442871539845</v>
      </c>
      <c r="H332" s="7" t="n">
        <f aca="false">Sens!$E$332+(glt_lic-Sens!$E$332)*MIN(1,(Sens!H281-base_fy)/n_conv)</f>
        <v>0.0367582153654884</v>
      </c>
      <c r="I332" s="7" t="n">
        <f aca="false">Sens!$E$332+(glt_lic-Sens!$E$332)*MIN(1,(Sens!I281-base_fy)/n_conv)</f>
        <v>0.0311721435769923</v>
      </c>
      <c r="J332" s="7" t="n">
        <f aca="false">Sens!$E$332+(glt_lic-Sens!$E$332)*MIN(1,(Sens!J281-base_fy)/n_conv)</f>
        <v>0.0255860717884961</v>
      </c>
      <c r="K332" s="7" t="n">
        <f aca="false">Sens!$E$332+(glt_lic-Sens!$E$332)*MIN(1,(Sens!K281-base_fy)/n_conv)</f>
        <v>0.02</v>
      </c>
    </row>
    <row r="333" customFormat="false" ht="17.15" hidden="false" customHeight="false" outlineLevel="0" collapsed="false">
      <c r="A333" s="0" t="s">
        <v>1035</v>
      </c>
      <c r="B333" s="0" t="s">
        <v>98</v>
      </c>
      <c r="D333" s="6" t="n">
        <f aca="false">Q!L9</f>
        <v>18.417</v>
      </c>
      <c r="E333" s="6" t="n">
        <f aca="false">Q!M9</f>
        <v>20.345</v>
      </c>
      <c r="F333" s="6" t="n">
        <f aca="false">Q!$I$9+(Q!M9-Q!$E$9)*(1+Sens!F334)</f>
        <v>22.3161797133988</v>
      </c>
      <c r="G333" s="6" t="n">
        <f aca="false">Sens!F333*(1+Sens!G334)</f>
        <v>24.3943499673233</v>
      </c>
      <c r="H333" s="6" t="n">
        <f aca="false">Sens!G333*(1+Sens!H334)</f>
        <v>26.5250243109019</v>
      </c>
      <c r="I333" s="6" t="n">
        <f aca="false">Sens!H333*(1+Sens!I334)</f>
        <v>28.6884573538181</v>
      </c>
      <c r="J333" s="6" t="n">
        <f aca="false">Sens!I333*(1+Sens!J334)</f>
        <v>30.8624968052127</v>
      </c>
      <c r="K333" s="6" t="n">
        <f aca="false">Sens!J333*(1+Sens!K334)</f>
        <v>33.0228715815776</v>
      </c>
      <c r="L333" s="12" t="s">
        <v>1034</v>
      </c>
    </row>
    <row r="334" customFormat="false" ht="15" hidden="false" customHeight="false" outlineLevel="0" collapsed="false">
      <c r="A334" s="1" t="s">
        <v>1024</v>
      </c>
      <c r="B334" s="0" t="s">
        <v>168</v>
      </c>
      <c r="E334" s="7" t="n">
        <f aca="false">Sens!E333/Sens!D333-1</f>
        <v>0.104685888038225</v>
      </c>
      <c r="F334" s="7" t="n">
        <f aca="false">Sens!$E$334+(glt_ind-Sens!$E$334)*MIN(1,(Sens!F281-base_fy)/n_conv)</f>
        <v>0.0989049066985211</v>
      </c>
      <c r="G334" s="7" t="n">
        <f aca="false">Sens!$E$334+(glt_ind-Sens!$E$334)*MIN(1,(Sens!G281-base_fy)/n_conv)</f>
        <v>0.0931239253588169</v>
      </c>
      <c r="H334" s="7" t="n">
        <f aca="false">Sens!$E$334+(glt_ind-Sens!$E$334)*MIN(1,(Sens!H281-base_fy)/n_conv)</f>
        <v>0.0873429440191127</v>
      </c>
      <c r="I334" s="7" t="n">
        <f aca="false">Sens!$E$334+(glt_ind-Sens!$E$334)*MIN(1,(Sens!I281-base_fy)/n_conv)</f>
        <v>0.0815619626794085</v>
      </c>
      <c r="J334" s="7" t="n">
        <f aca="false">Sens!$E$334+(glt_ind-Sens!$E$334)*MIN(1,(Sens!J281-base_fy)/n_conv)</f>
        <v>0.0757809813397042</v>
      </c>
      <c r="K334" s="7" t="n">
        <f aca="false">Sens!$E$334+(glt_ind-Sens!$E$334)*MIN(1,(Sens!K281-base_fy)/n_conv)</f>
        <v>0.07</v>
      </c>
    </row>
    <row r="335" customFormat="false" ht="17.15" hidden="false" customHeight="false" outlineLevel="0" collapsed="false">
      <c r="A335" s="0" t="s">
        <v>1036</v>
      </c>
      <c r="B335" s="0" t="s">
        <v>98</v>
      </c>
      <c r="D335" s="6" t="n">
        <f aca="false">Q!L10</f>
        <v>7.76</v>
      </c>
      <c r="E335" s="6" t="n">
        <f aca="false">Q!M10</f>
        <v>8.26</v>
      </c>
      <c r="F335" s="6" t="n">
        <f aca="false">Q!$I$10+(Q!M10-Q!$E$10)*(1+Sens!F336)</f>
        <v>8.75372082474227</v>
      </c>
      <c r="G335" s="6" t="n">
        <f aca="false">Sens!F335*(1+Sens!G336)</f>
        <v>9.33399324642364</v>
      </c>
      <c r="H335" s="6" t="n">
        <f aca="false">Sens!G335*(1+Sens!H336)</f>
        <v>9.96139155535851</v>
      </c>
      <c r="I335" s="6" t="n">
        <f aca="false">Sens!H335*(1+Sens!I336)</f>
        <v>10.6402039077391</v>
      </c>
      <c r="J335" s="6" t="n">
        <f aca="false">Sens!I335*(1+Sens!J336)</f>
        <v>11.3751458271397</v>
      </c>
      <c r="K335" s="6" t="n">
        <f aca="false">Sens!J335*(1+Sens!K336)</f>
        <v>12.1714060350394</v>
      </c>
      <c r="L335" s="12" t="s">
        <v>1034</v>
      </c>
    </row>
    <row r="336" customFormat="false" ht="15" hidden="false" customHeight="false" outlineLevel="0" collapsed="false">
      <c r="A336" s="1" t="s">
        <v>1024</v>
      </c>
      <c r="B336" s="0" t="s">
        <v>168</v>
      </c>
      <c r="E336" s="7" t="n">
        <f aca="false">Sens!E335/Sens!D335-1</f>
        <v>0.0644329896907216</v>
      </c>
      <c r="F336" s="7" t="n">
        <f aca="false">Sens!$E$336+(glt_fro-Sens!$E$336)*MIN(1,(Sens!F281-base_fy)/n_conv)</f>
        <v>0.065360824742268</v>
      </c>
      <c r="G336" s="7" t="n">
        <f aca="false">Sens!$E$336+(glt_fro-Sens!$E$336)*MIN(1,(Sens!G281-base_fy)/n_conv)</f>
        <v>0.0662886597938144</v>
      </c>
      <c r="H336" s="7" t="n">
        <f aca="false">Sens!$E$336+(glt_fro-Sens!$E$336)*MIN(1,(Sens!H281-base_fy)/n_conv)</f>
        <v>0.0672164948453608</v>
      </c>
      <c r="I336" s="7" t="n">
        <f aca="false">Sens!$E$336+(glt_fro-Sens!$E$336)*MIN(1,(Sens!I281-base_fy)/n_conv)</f>
        <v>0.0681443298969072</v>
      </c>
      <c r="J336" s="7" t="n">
        <f aca="false">Sens!$E$336+(glt_fro-Sens!$E$336)*MIN(1,(Sens!J281-base_fy)/n_conv)</f>
        <v>0.0690721649484536</v>
      </c>
      <c r="K336" s="7" t="n">
        <f aca="false">Sens!$E$336+(glt_fro-Sens!$E$336)*MIN(1,(Sens!K281-base_fy)/n_conv)</f>
        <v>0.07</v>
      </c>
    </row>
    <row r="337" customFormat="false" ht="15" hidden="false" customHeight="false" outlineLevel="0" collapsed="false">
      <c r="A337" s="0" t="s">
        <v>852</v>
      </c>
      <c r="B337" s="0" t="s">
        <v>98</v>
      </c>
      <c r="D337" s="6" t="n">
        <f aca="false">Sens!D325+Sens!D330+Sens!D331+Sens!D333+Sens!D335</f>
        <v>218.783</v>
      </c>
      <c r="E337" s="6" t="n">
        <f aca="false">Sens!E325+Sens!E330+Sens!E331+Sens!E333+Sens!E335</f>
        <v>268.127</v>
      </c>
      <c r="F337" s="6" t="n">
        <f aca="false">Sens!F325+Sens!F330+Sens!F331+Sens!F333+Sens!F335</f>
        <v>334.748096014336</v>
      </c>
      <c r="G337" s="6" t="n">
        <f aca="false">Sens!G325+Sens!G330+Sens!G331+Sens!G333+Sens!G335</f>
        <v>410.20243494969</v>
      </c>
      <c r="H337" s="6" t="n">
        <f aca="false">Sens!H325+Sens!H330+Sens!H331+Sens!H333+Sens!H335</f>
        <v>487.012857962939</v>
      </c>
      <c r="I337" s="6" t="n">
        <f aca="false">Sens!I325+Sens!I330+Sens!I331+Sens!I333+Sens!I335</f>
        <v>556.962928978464</v>
      </c>
      <c r="J337" s="6" t="n">
        <f aca="false">Sens!J325+Sens!J330+Sens!J331+Sens!J333+Sens!J335</f>
        <v>613.402001017124</v>
      </c>
      <c r="K337" s="6" t="n">
        <f aca="false">Sens!K325+Sens!K330+Sens!K331+Sens!K333+Sens!K335</f>
        <v>657.837590767618</v>
      </c>
    </row>
    <row r="338" customFormat="false" ht="17.15" hidden="false" customHeight="false" outlineLevel="0" collapsed="false">
      <c r="A338" s="0" t="s">
        <v>1037</v>
      </c>
      <c r="B338" s="0" t="s">
        <v>98</v>
      </c>
      <c r="D338" s="6" t="n">
        <f aca="false">Q!L13</f>
        <v>22.171</v>
      </c>
      <c r="E338" s="6" t="n">
        <f aca="false">Q!M13</f>
        <v>24.835</v>
      </c>
      <c r="F338" s="6" t="n">
        <f aca="false">Q!$I$13+(Q!M13-Q!$E$13)*(1+Sens!F339)</f>
        <v>27.5591895660247</v>
      </c>
      <c r="G338" s="6" t="n">
        <f aca="false">Sens!F338*(1+Sens!G339)</f>
        <v>30.4098563144583</v>
      </c>
      <c r="H338" s="6" t="n">
        <f aca="false">Sens!G338*(1+Sens!H339)</f>
        <v>33.3011792571777</v>
      </c>
      <c r="I338" s="6" t="n">
        <f aca="false">Sens!H338*(1+Sens!I339)</f>
        <v>36.189023797112</v>
      </c>
      <c r="J338" s="6" t="n">
        <f aca="false">Sens!I338*(1+Sens!J339)</f>
        <v>39.0247773769199</v>
      </c>
      <c r="K338" s="6" t="n">
        <f aca="false">Sens!J338*(1+Sens!K339)</f>
        <v>41.7565117933043</v>
      </c>
      <c r="L338" s="12" t="s">
        <v>1034</v>
      </c>
    </row>
    <row r="339" customFormat="false" ht="15" hidden="false" customHeight="false" outlineLevel="0" collapsed="false">
      <c r="A339" s="1" t="s">
        <v>1024</v>
      </c>
      <c r="B339" s="0" t="s">
        <v>168</v>
      </c>
      <c r="E339" s="7" t="n">
        <f aca="false">Sens!E338/Sens!D338-1</f>
        <v>0.120156961796942</v>
      </c>
      <c r="F339" s="7" t="n">
        <f aca="false">Sens!$E$339+(glt_srch-Sens!$E$339)*MIN(1,(Sens!F281-base_fy)/n_conv)</f>
        <v>0.111797468164118</v>
      </c>
      <c r="G339" s="7" t="n">
        <f aca="false">Sens!$E$339+(glt_srch-Sens!$E$339)*MIN(1,(Sens!G281-base_fy)/n_conv)</f>
        <v>0.103437974531295</v>
      </c>
      <c r="H339" s="7" t="n">
        <f aca="false">Sens!$E$339+(glt_srch-Sens!$E$339)*MIN(1,(Sens!H281-base_fy)/n_conv)</f>
        <v>0.095078480898471</v>
      </c>
      <c r="I339" s="7" t="n">
        <f aca="false">Sens!$E$339+(glt_srch-Sens!$E$339)*MIN(1,(Sens!I281-base_fy)/n_conv)</f>
        <v>0.0867189872656474</v>
      </c>
      <c r="J339" s="7" t="n">
        <f aca="false">Sens!$E$339+(glt_srch-Sens!$E$339)*MIN(1,(Sens!J281-base_fy)/n_conv)</f>
        <v>0.0783594936328237</v>
      </c>
      <c r="K339" s="7" t="n">
        <f aca="false">Sens!$E$339+(glt_srch-Sens!$E$339)*MIN(1,(Sens!K281-base_fy)/n_conv)</f>
        <v>0.07</v>
      </c>
    </row>
    <row r="340" customFormat="false" ht="17.15" hidden="false" customHeight="false" outlineLevel="0" collapsed="false">
      <c r="A340" s="0" t="s">
        <v>1038</v>
      </c>
      <c r="B340" s="0" t="s">
        <v>98</v>
      </c>
      <c r="D340" s="6" t="n">
        <f aca="false">Q!L14</f>
        <v>23.455</v>
      </c>
      <c r="E340" s="6" t="n">
        <f aca="false">Q!M14</f>
        <v>21.79</v>
      </c>
      <c r="F340" s="6" t="n">
        <f aca="false">Q!$I$14+(Q!M14-Q!$E$14)*(1+Sens!F341)</f>
        <v>20.7520981041711</v>
      </c>
      <c r="G340" s="6" t="n">
        <f aca="false">Sens!F340*(1+Sens!G341)</f>
        <v>19.9083593495882</v>
      </c>
      <c r="H340" s="6" t="n">
        <f aca="false">Sens!G340*(1+Sens!H341)</f>
        <v>19.4008256265831</v>
      </c>
      <c r="I340" s="6" t="n">
        <f aca="false">Sens!H340*(1+Sens!I341)</f>
        <v>19.200434522122</v>
      </c>
      <c r="J340" s="6" t="n">
        <f aca="false">Sens!I340*(1+Sens!J341)</f>
        <v>19.2932782348507</v>
      </c>
      <c r="K340" s="6" t="n">
        <f aca="false">Sens!J340*(1+Sens!K341)</f>
        <v>19.6791437995477</v>
      </c>
      <c r="L340" s="12" t="s">
        <v>1034</v>
      </c>
    </row>
    <row r="341" customFormat="false" ht="15" hidden="false" customHeight="false" outlineLevel="0" collapsed="false">
      <c r="A341" s="1" t="s">
        <v>1024</v>
      </c>
      <c r="B341" s="0" t="s">
        <v>168</v>
      </c>
      <c r="E341" s="7" t="n">
        <f aca="false">Sens!E340/Sens!D340-1</f>
        <v>-0.0709869963760392</v>
      </c>
      <c r="F341" s="7" t="n">
        <f aca="false">Sens!$E$341+(glt_xbox-Sens!$E$341)*MIN(1,(Sens!F281-base_fy)/n_conv)</f>
        <v>-0.0558224969800327</v>
      </c>
      <c r="G341" s="7" t="n">
        <f aca="false">Sens!$E$341+(glt_xbox-Sens!$E$341)*MIN(1,(Sens!G281-base_fy)/n_conv)</f>
        <v>-0.0406579975840262</v>
      </c>
      <c r="H341" s="7" t="n">
        <f aca="false">Sens!$E$341+(glt_xbox-Sens!$E$341)*MIN(1,(Sens!H281-base_fy)/n_conv)</f>
        <v>-0.0254934981880196</v>
      </c>
      <c r="I341" s="7" t="n">
        <f aca="false">Sens!$E$341+(glt_xbox-Sens!$E$341)*MIN(1,(Sens!I281-base_fy)/n_conv)</f>
        <v>-0.0103289987920131</v>
      </c>
      <c r="J341" s="7" t="n">
        <f aca="false">Sens!$E$341+(glt_xbox-Sens!$E$341)*MIN(1,(Sens!J281-base_fy)/n_conv)</f>
        <v>0.00483550060399347</v>
      </c>
      <c r="K341" s="7" t="n">
        <f aca="false">Sens!$E$341+(glt_xbox-Sens!$E$341)*MIN(1,(Sens!K281-base_fy)/n_conv)</f>
        <v>0.02</v>
      </c>
    </row>
    <row r="342" customFormat="false" ht="17.15" hidden="false" customHeight="false" outlineLevel="0" collapsed="false">
      <c r="A342" s="0" t="s">
        <v>1039</v>
      </c>
      <c r="B342" s="0" t="s">
        <v>98</v>
      </c>
      <c r="D342" s="6" t="n">
        <f aca="false">Q!L15</f>
        <v>17.315</v>
      </c>
      <c r="E342" s="6" t="n">
        <f aca="false">Q!M15</f>
        <v>17.087</v>
      </c>
      <c r="F342" s="6" t="n">
        <f aca="false">Q!$I$15+(Q!M15-Q!$E$15)*(1+Sens!F343)</f>
        <v>15.9912273250553</v>
      </c>
      <c r="G342" s="6" t="n">
        <f aca="false">Sens!F342*(1+Sens!G343)</f>
        <v>15.9574562664827</v>
      </c>
      <c r="H342" s="6" t="n">
        <f aca="false">Sens!G342*(1+Sens!H343)</f>
        <v>16.0119687434196</v>
      </c>
      <c r="I342" s="6" t="n">
        <f aca="false">Sens!H342*(1+Sens!I343)</f>
        <v>16.1551810001948</v>
      </c>
      <c r="J342" s="6" t="n">
        <f aca="false">Sens!I342*(1+Sens!J343)</f>
        <v>16.3889793892005</v>
      </c>
      <c r="K342" s="6" t="n">
        <f aca="false">Sens!J342*(1+Sens!K343)</f>
        <v>16.7167589769845</v>
      </c>
      <c r="L342" s="12" t="s">
        <v>1034</v>
      </c>
    </row>
    <row r="343" customFormat="false" ht="15" hidden="false" customHeight="false" outlineLevel="0" collapsed="false">
      <c r="A343" s="1" t="s">
        <v>1024</v>
      </c>
      <c r="B343" s="0" t="s">
        <v>168</v>
      </c>
      <c r="E343" s="7" t="n">
        <f aca="false">Sens!E342/Sens!D342-1</f>
        <v>-0.0131677736066995</v>
      </c>
      <c r="F343" s="7" t="n">
        <f aca="false">Sens!$E$343+(glt_win-Sens!$E$343)*MIN(1,(Sens!F281-base_fy)/n_conv)</f>
        <v>-0.00763981133891627</v>
      </c>
      <c r="G343" s="7" t="n">
        <f aca="false">Sens!$E$343+(glt_win-Sens!$E$343)*MIN(1,(Sens!G281-base_fy)/n_conv)</f>
        <v>-0.00211184907113301</v>
      </c>
      <c r="H343" s="7" t="n">
        <f aca="false">Sens!$E$343+(glt_win-Sens!$E$343)*MIN(1,(Sens!H281-base_fy)/n_conv)</f>
        <v>0.00341611319665024</v>
      </c>
      <c r="I343" s="7" t="n">
        <f aca="false">Sens!$E$343+(glt_win-Sens!$E$343)*MIN(1,(Sens!I281-base_fy)/n_conv)</f>
        <v>0.00894407546443349</v>
      </c>
      <c r="J343" s="7" t="n">
        <f aca="false">Sens!$E$343+(glt_win-Sens!$E$343)*MIN(1,(Sens!J281-base_fy)/n_conv)</f>
        <v>0.0144720377322168</v>
      </c>
      <c r="K343" s="7" t="n">
        <f aca="false">Sens!$E$343+(glt_win-Sens!$E$343)*MIN(1,(Sens!K281-base_fy)/n_conv)</f>
        <v>0.02</v>
      </c>
    </row>
    <row r="344" customFormat="false" ht="15" hidden="false" customHeight="false" outlineLevel="0" collapsed="false">
      <c r="A344" s="0" t="s">
        <v>866</v>
      </c>
      <c r="B344" s="0" t="s">
        <v>98</v>
      </c>
      <c r="D344" s="6" t="n">
        <f aca="false">Sens!D338+Sens!D340+Sens!D342</f>
        <v>62.941</v>
      </c>
      <c r="E344" s="6" t="n">
        <f aca="false">Sens!E338+Sens!E340+Sens!E342</f>
        <v>63.712</v>
      </c>
      <c r="F344" s="6" t="n">
        <f aca="false">Sens!F338+Sens!F340+Sens!F342</f>
        <v>64.3025149952511</v>
      </c>
      <c r="G344" s="6" t="n">
        <f aca="false">Sens!G338+Sens!G340+Sens!G342</f>
        <v>66.2756719305292</v>
      </c>
      <c r="H344" s="6" t="n">
        <f aca="false">Sens!H338+Sens!H340+Sens!H342</f>
        <v>68.7139736271804</v>
      </c>
      <c r="I344" s="6" t="n">
        <f aca="false">Sens!I338+Sens!I340+Sens!I342</f>
        <v>71.5446393194289</v>
      </c>
      <c r="J344" s="6" t="n">
        <f aca="false">Sens!J338+Sens!J340+Sens!J342</f>
        <v>74.707035000971</v>
      </c>
      <c r="K344" s="6" t="n">
        <f aca="false">Sens!K338+Sens!K340+Sens!K342</f>
        <v>78.1524145698365</v>
      </c>
    </row>
    <row r="345" customFormat="false" ht="15" hidden="false" customHeight="false" outlineLevel="0" collapsed="false">
      <c r="A345" s="1" t="s">
        <v>1040</v>
      </c>
      <c r="B345" s="0" t="s">
        <v>98</v>
      </c>
      <c r="D345" s="6" t="n">
        <f aca="false">Sens!D337+Sens!D344</f>
        <v>281.724</v>
      </c>
      <c r="E345" s="6" t="n">
        <f aca="false">Sens!E337+Sens!E344</f>
        <v>331.839</v>
      </c>
      <c r="F345" s="6" t="n">
        <f aca="false">Sens!F337+Sens!F344</f>
        <v>399.050611009588</v>
      </c>
      <c r="G345" s="6" t="n">
        <f aca="false">Sens!G337+Sens!G344</f>
        <v>476.478106880219</v>
      </c>
      <c r="H345" s="6" t="n">
        <f aca="false">Sens!H337+Sens!H344</f>
        <v>555.72683159012</v>
      </c>
      <c r="I345" s="6" t="n">
        <f aca="false">Sens!I337+Sens!I344</f>
        <v>628.507568297893</v>
      </c>
      <c r="J345" s="6" t="n">
        <f aca="false">Sens!J337+Sens!J344</f>
        <v>688.109036018095</v>
      </c>
      <c r="K345" s="6" t="n">
        <f aca="false">Sens!K337+Sens!K344</f>
        <v>735.990005337455</v>
      </c>
    </row>
    <row r="346" customFormat="false" ht="15" hidden="false" customHeight="false" outlineLevel="0" collapsed="false">
      <c r="A346" s="26" t="s">
        <v>1041</v>
      </c>
      <c r="B346" s="31" t="s">
        <v>98</v>
      </c>
      <c r="C346" s="31"/>
      <c r="D346" s="27" t="n">
        <f aca="false">(Sens!D325+Sens!D330+Sens!D331+Sens!D333+Sens!D335-Sens!D337)+(Sens!D338+Sens!D340+Sens!D342-Sens!D344)+(Sens!D337-Q!L5)+(Sens!D344-Q!L12)+(Sens!D325-Q!L6)+(Sens!D330-Q!L7)</f>
        <v>0</v>
      </c>
      <c r="E346" s="27" t="n">
        <f aca="false">(Sens!E325+Sens!E330+Sens!E331+Sens!E333+Sens!E335-Sens!E337)+(Sens!E338+Sens!E340+Sens!E342-Sens!E344)+(Sens!E337-Q!M5)+(Sens!E344-Q!M12)+(Sens!E325-Q!M6)+(Sens!E330-Q!M7)</f>
        <v>0</v>
      </c>
      <c r="F346" s="27" t="n">
        <f aca="false">(Sens!F325+Sens!F330+Sens!F331+Sens!F333+Sens!F335-Sens!F337)+(Sens!F338+Sens!F340+Sens!F342-Sens!F344)</f>
        <v>0</v>
      </c>
      <c r="G346" s="27" t="n">
        <f aca="false">(Sens!G325+Sens!G330+Sens!G331+Sens!G333+Sens!G335-Sens!G337)+(Sens!G338+Sens!G340+Sens!G342-Sens!G344)</f>
        <v>0</v>
      </c>
      <c r="H346" s="27" t="n">
        <f aca="false">(Sens!H325+Sens!H330+Sens!H331+Sens!H333+Sens!H335-Sens!H337)+(Sens!H338+Sens!H340+Sens!H342-Sens!H344)</f>
        <v>0</v>
      </c>
      <c r="I346" s="27" t="n">
        <f aca="false">(Sens!I325+Sens!I330+Sens!I331+Sens!I333+Sens!I335-Sens!I337)+(Sens!I338+Sens!I340+Sens!I342-Sens!I344)</f>
        <v>0</v>
      </c>
      <c r="J346" s="27" t="n">
        <f aca="false">(Sens!J325+Sens!J330+Sens!J331+Sens!J333+Sens!J335-Sens!J337)+(Sens!J338+Sens!J340+Sens!J342-Sens!J344)</f>
        <v>0</v>
      </c>
      <c r="K346" s="27" t="n">
        <f aca="false">(Sens!K325+Sens!K330+Sens!K331+Sens!K333+Sens!K335-Sens!K337)+(Sens!K338+Sens!K340+Sens!K342-Sens!K344)</f>
        <v>0</v>
      </c>
    </row>
    <row r="347" customFormat="false" ht="17.15" hidden="false" customHeight="false" outlineLevel="0" collapsed="false">
      <c r="A347" s="3" t="s">
        <v>1487</v>
      </c>
    </row>
    <row r="348" customFormat="false" ht="15" hidden="false" customHeight="false" outlineLevel="0" collapsed="false">
      <c r="A348" s="4" t="s">
        <v>43</v>
      </c>
      <c r="B348" s="4" t="s">
        <v>65</v>
      </c>
      <c r="C348" s="23" t="s">
        <v>938</v>
      </c>
      <c r="D348" s="23" t="s">
        <v>939</v>
      </c>
      <c r="E348" s="23" t="s">
        <v>940</v>
      </c>
      <c r="F348" s="23" t="s">
        <v>941</v>
      </c>
      <c r="G348" s="23" t="s">
        <v>942</v>
      </c>
      <c r="H348" s="23" t="s">
        <v>943</v>
      </c>
      <c r="I348" s="23" t="s">
        <v>944</v>
      </c>
      <c r="J348" s="23" t="s">
        <v>945</v>
      </c>
      <c r="K348" s="23" t="s">
        <v>946</v>
      </c>
      <c r="L348" s="4" t="s">
        <v>47</v>
      </c>
    </row>
    <row r="349" customFormat="false" ht="15" hidden="false" customHeight="false" outlineLevel="0" collapsed="false">
      <c r="A349" s="0" t="s">
        <v>1025</v>
      </c>
      <c r="B349" s="0" t="s">
        <v>98</v>
      </c>
      <c r="D349" s="6" t="n">
        <f aca="false">Sens!D325</f>
        <v>72.61</v>
      </c>
      <c r="E349" s="6" t="n">
        <f aca="false">Sens!E325</f>
        <v>101.938</v>
      </c>
      <c r="F349" s="6" t="n">
        <f aca="false">Sens!F325</f>
        <v>146.709048000181</v>
      </c>
      <c r="G349" s="6" t="n">
        <f aca="false">Sens!G325</f>
        <v>199.762829861393</v>
      </c>
      <c r="H349" s="6" t="n">
        <f aca="false">Sens!H325</f>
        <v>254.146566109645</v>
      </c>
      <c r="I349" s="6" t="n">
        <f aca="false">Sens!I325</f>
        <v>303.439446964617</v>
      </c>
      <c r="J349" s="6" t="n">
        <f aca="false">Sens!J325</f>
        <v>341.309898459739</v>
      </c>
      <c r="K349" s="6" t="n">
        <f aca="false">Sens!K325</f>
        <v>368.09747789654</v>
      </c>
    </row>
    <row r="350" customFormat="false" ht="17.15" hidden="false" customHeight="false" outlineLevel="0" collapsed="false">
      <c r="A350" s="0" t="s">
        <v>1021</v>
      </c>
      <c r="B350" s="0" t="s">
        <v>98</v>
      </c>
      <c r="D350" s="6" t="n">
        <f aca="false">Sens!D322</f>
        <v>12.9359794422418</v>
      </c>
      <c r="E350" s="6" t="n">
        <f aca="false">Sens!E322</f>
        <v>27.8095064661409</v>
      </c>
      <c r="F350" s="6" t="n">
        <f aca="false">Sens!F322</f>
        <v>55.4118315060966</v>
      </c>
      <c r="G350" s="6" t="n">
        <f aca="false">Sens!G322</f>
        <v>91.2881100675143</v>
      </c>
      <c r="H350" s="6" t="n">
        <f aca="false">Sens!H322</f>
        <v>128.195273603944</v>
      </c>
      <c r="I350" s="6" t="n">
        <f aca="false">Sens!I322</f>
        <v>160.601281810405</v>
      </c>
      <c r="J350" s="6" t="n">
        <f aca="false">Sens!J322</f>
        <v>183.182719793589</v>
      </c>
      <c r="K350" s="6" t="n">
        <f aca="false">Sens!K322</f>
        <v>197.320124937098</v>
      </c>
    </row>
    <row r="351" customFormat="false" ht="17.15" hidden="false" customHeight="false" outlineLevel="0" collapsed="false">
      <c r="A351" s="0" t="s">
        <v>1052</v>
      </c>
      <c r="B351" s="0" t="s">
        <v>98</v>
      </c>
      <c r="D351" s="6" t="n">
        <f aca="false">Sens!D323</f>
        <v>59.6740205577583</v>
      </c>
      <c r="E351" s="6" t="n">
        <f aca="false">Sens!E323</f>
        <v>74.1284935338591</v>
      </c>
      <c r="F351" s="6" t="n">
        <f aca="false">Sens!F323</f>
        <v>91.2972164940844</v>
      </c>
      <c r="G351" s="6" t="n">
        <f aca="false">Sens!G323</f>
        <v>108.474719793879</v>
      </c>
      <c r="H351" s="6" t="n">
        <f aca="false">Sens!H323</f>
        <v>125.951292505701</v>
      </c>
      <c r="I351" s="6" t="n">
        <f aca="false">Sens!I323</f>
        <v>142.838165154212</v>
      </c>
      <c r="J351" s="6" t="n">
        <f aca="false">Sens!J323</f>
        <v>158.12717866615</v>
      </c>
      <c r="K351" s="6" t="n">
        <f aca="false">Sens!K323</f>
        <v>170.777352959442</v>
      </c>
    </row>
    <row r="352" customFormat="false" ht="15" hidden="false" customHeight="false" outlineLevel="0" collapsed="false">
      <c r="A352" s="0" t="s">
        <v>1032</v>
      </c>
      <c r="B352" s="0" t="s">
        <v>98</v>
      </c>
      <c r="D352" s="6" t="n">
        <f aca="false">Sens!D330</f>
        <v>84.605</v>
      </c>
      <c r="E352" s="6" t="n">
        <f aca="false">Sens!E330</f>
        <v>100.299</v>
      </c>
      <c r="F352" s="6" t="n">
        <f aca="false">Sens!F330</f>
        <v>118.584003697747</v>
      </c>
      <c r="G352" s="6" t="n">
        <f aca="false">Sens!G330</f>
        <v>136.700726545688</v>
      </c>
      <c r="H352" s="6" t="n">
        <f aca="false">Sens!H330</f>
        <v>154.898624783666</v>
      </c>
      <c r="I352" s="6" t="n">
        <f aca="false">Sens!I330</f>
        <v>171.420510030657</v>
      </c>
      <c r="J352" s="6" t="n">
        <f aca="false">Sens!J330</f>
        <v>185.985722618572</v>
      </c>
      <c r="K352" s="6" t="n">
        <f aca="false">Sens!K330</f>
        <v>199.799723201872</v>
      </c>
    </row>
    <row r="353" customFormat="false" ht="17.15" hidden="false" customHeight="false" outlineLevel="0" collapsed="false">
      <c r="A353" s="0" t="s">
        <v>1053</v>
      </c>
      <c r="B353" s="0" t="s">
        <v>98</v>
      </c>
      <c r="D353" s="6" t="n">
        <f aca="false">Sens!D328</f>
        <v>83.705</v>
      </c>
      <c r="E353" s="6" t="n">
        <f aca="false">Sens!E328</f>
        <v>95.049</v>
      </c>
      <c r="F353" s="6" t="n">
        <f aca="false">Sens!F328</f>
        <v>106.584003697747</v>
      </c>
      <c r="G353" s="6" t="n">
        <f aca="false">Sens!G328</f>
        <v>118.700726545688</v>
      </c>
      <c r="H353" s="6" t="n">
        <f aca="false">Sens!H328</f>
        <v>130.898624783666</v>
      </c>
      <c r="I353" s="6" t="n">
        <f aca="false">Sens!I328</f>
        <v>142.920510030657</v>
      </c>
      <c r="J353" s="6" t="n">
        <f aca="false">Sens!J328</f>
        <v>154.485722618572</v>
      </c>
      <c r="K353" s="6" t="n">
        <f aca="false">Sens!K328</f>
        <v>165.299723201872</v>
      </c>
    </row>
    <row r="354" customFormat="false" ht="17.15" hidden="false" customHeight="false" outlineLevel="0" collapsed="false">
      <c r="A354" s="0" t="s">
        <v>1054</v>
      </c>
      <c r="B354" s="0" t="s">
        <v>98</v>
      </c>
      <c r="D354" s="6" t="n">
        <f aca="false">Sens!D327</f>
        <v>0.9</v>
      </c>
      <c r="E354" s="6" t="n">
        <f aca="false">Sens!E327</f>
        <v>5.25</v>
      </c>
      <c r="F354" s="6" t="n">
        <f aca="false">Sens!F327</f>
        <v>12</v>
      </c>
      <c r="G354" s="6" t="n">
        <f aca="false">Sens!G327</f>
        <v>18</v>
      </c>
      <c r="H354" s="6" t="n">
        <f aca="false">Sens!H327</f>
        <v>24</v>
      </c>
      <c r="I354" s="6" t="n">
        <f aca="false">Sens!I327</f>
        <v>28.5</v>
      </c>
      <c r="J354" s="6" t="n">
        <f aca="false">Sens!J327</f>
        <v>31.5</v>
      </c>
      <c r="K354" s="6" t="n">
        <f aca="false">Sens!K327</f>
        <v>34.5</v>
      </c>
    </row>
    <row r="355" customFormat="false" ht="15" hidden="false" customHeight="false" outlineLevel="0" collapsed="false">
      <c r="A355" s="0" t="s">
        <v>1033</v>
      </c>
      <c r="B355" s="0" t="s">
        <v>98</v>
      </c>
      <c r="D355" s="6" t="n">
        <f aca="false">Sens!D331</f>
        <v>35.391</v>
      </c>
      <c r="E355" s="6" t="n">
        <f aca="false">Sens!E331</f>
        <v>37.285</v>
      </c>
      <c r="F355" s="6" t="n">
        <f aca="false">Sens!F331</f>
        <v>38.3851437782675</v>
      </c>
      <c r="G355" s="6" t="n">
        <f aca="false">Sens!G331</f>
        <v>40.0105353288615</v>
      </c>
      <c r="H355" s="6" t="n">
        <f aca="false">Sens!H331</f>
        <v>41.4812512033683</v>
      </c>
      <c r="I355" s="6" t="n">
        <f aca="false">Sens!I331</f>
        <v>42.7743107216329</v>
      </c>
      <c r="J355" s="6" t="n">
        <f aca="false">Sens!J331</f>
        <v>43.8687373064601</v>
      </c>
      <c r="K355" s="6" t="n">
        <f aca="false">Sens!K331</f>
        <v>44.7461120525893</v>
      </c>
    </row>
    <row r="356" customFormat="false" ht="15" hidden="false" customHeight="false" outlineLevel="0" collapsed="false">
      <c r="A356" s="0" t="s">
        <v>1035</v>
      </c>
      <c r="B356" s="0" t="s">
        <v>98</v>
      </c>
      <c r="D356" s="6" t="n">
        <f aca="false">Sens!D333</f>
        <v>18.417</v>
      </c>
      <c r="E356" s="6" t="n">
        <f aca="false">Sens!E333</f>
        <v>20.345</v>
      </c>
      <c r="F356" s="6" t="n">
        <f aca="false">Sens!F333</f>
        <v>22.3161797133988</v>
      </c>
      <c r="G356" s="6" t="n">
        <f aca="false">Sens!G333</f>
        <v>24.3943499673233</v>
      </c>
      <c r="H356" s="6" t="n">
        <f aca="false">Sens!H333</f>
        <v>26.5250243109019</v>
      </c>
      <c r="I356" s="6" t="n">
        <f aca="false">Sens!I333</f>
        <v>28.6884573538181</v>
      </c>
      <c r="J356" s="6" t="n">
        <f aca="false">Sens!J333</f>
        <v>30.8624968052127</v>
      </c>
      <c r="K356" s="6" t="n">
        <f aca="false">Sens!K333</f>
        <v>33.0228715815776</v>
      </c>
    </row>
    <row r="357" customFormat="false" ht="15" hidden="false" customHeight="false" outlineLevel="0" collapsed="false">
      <c r="A357" s="0" t="s">
        <v>1036</v>
      </c>
      <c r="B357" s="0" t="s">
        <v>98</v>
      </c>
      <c r="D357" s="6" t="n">
        <f aca="false">Sens!D335</f>
        <v>7.76</v>
      </c>
      <c r="E357" s="6" t="n">
        <f aca="false">Sens!E335</f>
        <v>8.26</v>
      </c>
      <c r="F357" s="6" t="n">
        <f aca="false">Sens!F335</f>
        <v>8.75372082474227</v>
      </c>
      <c r="G357" s="6" t="n">
        <f aca="false">Sens!G335</f>
        <v>9.33399324642364</v>
      </c>
      <c r="H357" s="6" t="n">
        <f aca="false">Sens!H335</f>
        <v>9.96139155535851</v>
      </c>
      <c r="I357" s="6" t="n">
        <f aca="false">Sens!I335</f>
        <v>10.6402039077391</v>
      </c>
      <c r="J357" s="6" t="n">
        <f aca="false">Sens!J335</f>
        <v>11.3751458271397</v>
      </c>
      <c r="K357" s="6" t="n">
        <f aca="false">Sens!K335</f>
        <v>12.1714060350394</v>
      </c>
    </row>
    <row r="358" customFormat="false" ht="15" hidden="false" customHeight="false" outlineLevel="0" collapsed="false">
      <c r="A358" s="0" t="s">
        <v>852</v>
      </c>
      <c r="B358" s="0" t="s">
        <v>98</v>
      </c>
      <c r="D358" s="6" t="n">
        <f aca="false">Sens!D337</f>
        <v>218.783</v>
      </c>
      <c r="E358" s="6" t="n">
        <f aca="false">Sens!E337</f>
        <v>268.127</v>
      </c>
      <c r="F358" s="6" t="n">
        <f aca="false">Sens!F337</f>
        <v>334.748096014336</v>
      </c>
      <c r="G358" s="6" t="n">
        <f aca="false">Sens!G337</f>
        <v>410.20243494969</v>
      </c>
      <c r="H358" s="6" t="n">
        <f aca="false">Sens!H337</f>
        <v>487.012857962939</v>
      </c>
      <c r="I358" s="6" t="n">
        <f aca="false">Sens!I337</f>
        <v>556.962928978464</v>
      </c>
      <c r="J358" s="6" t="n">
        <f aca="false">Sens!J337</f>
        <v>613.402001017124</v>
      </c>
      <c r="K358" s="6" t="n">
        <f aca="false">Sens!K337</f>
        <v>657.837590767618</v>
      </c>
    </row>
    <row r="359" customFormat="false" ht="15" hidden="false" customHeight="false" outlineLevel="0" collapsed="false">
      <c r="A359" s="0" t="s">
        <v>1037</v>
      </c>
      <c r="B359" s="0" t="s">
        <v>98</v>
      </c>
      <c r="D359" s="6" t="n">
        <f aca="false">Sens!D338</f>
        <v>22.171</v>
      </c>
      <c r="E359" s="6" t="n">
        <f aca="false">Sens!E338</f>
        <v>24.835</v>
      </c>
      <c r="F359" s="6" t="n">
        <f aca="false">Sens!F338</f>
        <v>27.5591895660247</v>
      </c>
      <c r="G359" s="6" t="n">
        <f aca="false">Sens!G338</f>
        <v>30.4098563144583</v>
      </c>
      <c r="H359" s="6" t="n">
        <f aca="false">Sens!H338</f>
        <v>33.3011792571777</v>
      </c>
      <c r="I359" s="6" t="n">
        <f aca="false">Sens!I338</f>
        <v>36.189023797112</v>
      </c>
      <c r="J359" s="6" t="n">
        <f aca="false">Sens!J338</f>
        <v>39.0247773769199</v>
      </c>
      <c r="K359" s="6" t="n">
        <f aca="false">Sens!K338</f>
        <v>41.7565117933043</v>
      </c>
    </row>
    <row r="360" customFormat="false" ht="15" hidden="false" customHeight="false" outlineLevel="0" collapsed="false">
      <c r="A360" s="0" t="s">
        <v>1038</v>
      </c>
      <c r="B360" s="0" t="s">
        <v>98</v>
      </c>
      <c r="D360" s="6" t="n">
        <f aca="false">Sens!D340</f>
        <v>23.455</v>
      </c>
      <c r="E360" s="6" t="n">
        <f aca="false">Sens!E340</f>
        <v>21.79</v>
      </c>
      <c r="F360" s="6" t="n">
        <f aca="false">Sens!F340</f>
        <v>20.7520981041711</v>
      </c>
      <c r="G360" s="6" t="n">
        <f aca="false">Sens!G340</f>
        <v>19.9083593495882</v>
      </c>
      <c r="H360" s="6" t="n">
        <f aca="false">Sens!H340</f>
        <v>19.4008256265831</v>
      </c>
      <c r="I360" s="6" t="n">
        <f aca="false">Sens!I340</f>
        <v>19.200434522122</v>
      </c>
      <c r="J360" s="6" t="n">
        <f aca="false">Sens!J340</f>
        <v>19.2932782348507</v>
      </c>
      <c r="K360" s="6" t="n">
        <f aca="false">Sens!K340</f>
        <v>19.6791437995477</v>
      </c>
    </row>
    <row r="361" customFormat="false" ht="15" hidden="false" customHeight="false" outlineLevel="0" collapsed="false">
      <c r="A361" s="0" t="s">
        <v>1039</v>
      </c>
      <c r="B361" s="0" t="s">
        <v>98</v>
      </c>
      <c r="D361" s="6" t="n">
        <f aca="false">Sens!D342</f>
        <v>17.315</v>
      </c>
      <c r="E361" s="6" t="n">
        <f aca="false">Sens!E342</f>
        <v>17.087</v>
      </c>
      <c r="F361" s="6" t="n">
        <f aca="false">Sens!F342</f>
        <v>15.9912273250553</v>
      </c>
      <c r="G361" s="6" t="n">
        <f aca="false">Sens!G342</f>
        <v>15.9574562664827</v>
      </c>
      <c r="H361" s="6" t="n">
        <f aca="false">Sens!H342</f>
        <v>16.0119687434196</v>
      </c>
      <c r="I361" s="6" t="n">
        <f aca="false">Sens!I342</f>
        <v>16.1551810001948</v>
      </c>
      <c r="J361" s="6" t="n">
        <f aca="false">Sens!J342</f>
        <v>16.3889793892005</v>
      </c>
      <c r="K361" s="6" t="n">
        <f aca="false">Sens!K342</f>
        <v>16.7167589769845</v>
      </c>
    </row>
    <row r="362" customFormat="false" ht="15" hidden="false" customHeight="false" outlineLevel="0" collapsed="false">
      <c r="A362" s="0" t="s">
        <v>866</v>
      </c>
      <c r="B362" s="0" t="s">
        <v>98</v>
      </c>
      <c r="D362" s="6" t="n">
        <f aca="false">Sens!D344</f>
        <v>62.941</v>
      </c>
      <c r="E362" s="6" t="n">
        <f aca="false">Sens!E344</f>
        <v>63.712</v>
      </c>
      <c r="F362" s="6" t="n">
        <f aca="false">Sens!F344</f>
        <v>64.3025149952511</v>
      </c>
      <c r="G362" s="6" t="n">
        <f aca="false">Sens!G344</f>
        <v>66.2756719305292</v>
      </c>
      <c r="H362" s="6" t="n">
        <f aca="false">Sens!H344</f>
        <v>68.7139736271804</v>
      </c>
      <c r="I362" s="6" t="n">
        <f aca="false">Sens!I344</f>
        <v>71.5446393194289</v>
      </c>
      <c r="J362" s="6" t="n">
        <f aca="false">Sens!J344</f>
        <v>74.707035000971</v>
      </c>
      <c r="K362" s="6" t="n">
        <f aca="false">Sens!K344</f>
        <v>78.1524145698365</v>
      </c>
    </row>
    <row r="363" customFormat="false" ht="15" hidden="false" customHeight="false" outlineLevel="0" collapsed="false">
      <c r="A363" s="1" t="s">
        <v>1055</v>
      </c>
      <c r="B363" s="0" t="s">
        <v>98</v>
      </c>
      <c r="D363" s="6" t="n">
        <f aca="false">Sens!D345</f>
        <v>281.724</v>
      </c>
      <c r="E363" s="6" t="n">
        <f aca="false">Sens!E345</f>
        <v>331.839</v>
      </c>
      <c r="F363" s="6" t="n">
        <f aca="false">Sens!F345</f>
        <v>399.050611009588</v>
      </c>
      <c r="G363" s="6" t="n">
        <f aca="false">Sens!G345</f>
        <v>476.478106880219</v>
      </c>
      <c r="H363" s="6" t="n">
        <f aca="false">Sens!H345</f>
        <v>555.72683159012</v>
      </c>
      <c r="I363" s="6" t="n">
        <f aca="false">Sens!I345</f>
        <v>628.507568297893</v>
      </c>
      <c r="J363" s="6" t="n">
        <f aca="false">Sens!J345</f>
        <v>688.109036018095</v>
      </c>
      <c r="K363" s="6" t="n">
        <f aca="false">Sens!K345</f>
        <v>735.990005337455</v>
      </c>
    </row>
    <row r="364" customFormat="false" ht="15" hidden="false" customHeight="false" outlineLevel="0" collapsed="false">
      <c r="A364" s="1" t="s">
        <v>1056</v>
      </c>
      <c r="B364" s="0" t="s">
        <v>168</v>
      </c>
      <c r="E364" s="7" t="n">
        <f aca="false">Sens!E363/Sens!D363-1</f>
        <v>0.177886867998467</v>
      </c>
      <c r="F364" s="7" t="n">
        <f aca="false">Sens!F363/Sens!E363-1</f>
        <v>0.202542832547071</v>
      </c>
      <c r="G364" s="7" t="n">
        <f aca="false">Sens!G363/Sens!F363-1</f>
        <v>0.194029262791359</v>
      </c>
      <c r="H364" s="7" t="n">
        <f aca="false">Sens!H363/Sens!G363-1</f>
        <v>0.166321859421387</v>
      </c>
      <c r="I364" s="7" t="n">
        <f aca="false">Sens!I363/Sens!H363-1</f>
        <v>0.13096494999085</v>
      </c>
      <c r="J364" s="7" t="n">
        <f aca="false">Sens!J363/Sens!I363-1</f>
        <v>0.0948301511811749</v>
      </c>
      <c r="K364" s="7" t="n">
        <f aca="false">Sens!K363/Sens!J363-1</f>
        <v>0.0695834043924704</v>
      </c>
    </row>
    <row r="365" customFormat="false" ht="17.15" hidden="false" customHeight="false" outlineLevel="0" collapsed="false">
      <c r="A365" s="26" t="s">
        <v>1057</v>
      </c>
      <c r="B365" s="31" t="s">
        <v>98</v>
      </c>
      <c r="C365" s="31"/>
      <c r="D365" s="27" t="n">
        <f aca="false">(Sens!D358+Sens!D362-Sens!D363)+(Sens!D350+Sens!D351-Sens!D349)+(Sens!D353+Sens!D354-Sens!D352)+(Sens!D363-Q!L18)</f>
        <v>0</v>
      </c>
      <c r="E365" s="27" t="n">
        <f aca="false">(Sens!E358+Sens!E362-Sens!E363)+(Sens!E350+Sens!E351-Sens!E349)+(Sens!E353+Sens!E354-Sens!E352)+(Sens!E363-Q!M18)</f>
        <v>0</v>
      </c>
      <c r="F365" s="27" t="n">
        <f aca="false">(Sens!F358+Sens!F362-Sens!F363)+(Sens!F350+Sens!F351-Sens!F349)+(Sens!F353+Sens!F354-Sens!F352)</f>
        <v>0</v>
      </c>
      <c r="G365" s="27" t="n">
        <f aca="false">(Sens!G358+Sens!G362-Sens!G363)+(Sens!G350+Sens!G351-Sens!G349)+(Sens!G353+Sens!G354-Sens!G352)</f>
        <v>0</v>
      </c>
      <c r="H365" s="27" t="n">
        <f aca="false">(Sens!H358+Sens!H362-Sens!H363)+(Sens!H350+Sens!H351-Sens!H349)+(Sens!H353+Sens!H354-Sens!H352)</f>
        <v>0</v>
      </c>
      <c r="I365" s="27" t="n">
        <f aca="false">(Sens!I358+Sens!I362-Sens!I363)+(Sens!I350+Sens!I351-Sens!I349)+(Sens!I353+Sens!I354-Sens!I352)</f>
        <v>0</v>
      </c>
      <c r="J365" s="27" t="n">
        <f aca="false">(Sens!J358+Sens!J362-Sens!J363)+(Sens!J350+Sens!J351-Sens!J349)+(Sens!J353+Sens!J354-Sens!J352)</f>
        <v>0</v>
      </c>
      <c r="K365" s="27" t="n">
        <f aca="false">(Sens!K358+Sens!K362-Sens!K363)+(Sens!K350+Sens!K351-Sens!K349)+(Sens!K353+Sens!K354-Sens!K352)</f>
        <v>0</v>
      </c>
    </row>
    <row r="366" customFormat="false" ht="17.15" hidden="false" customHeight="false" outlineLevel="0" collapsed="false">
      <c r="A366" s="0" t="s">
        <v>1058</v>
      </c>
      <c r="B366" s="0" t="s">
        <v>168</v>
      </c>
      <c r="E366" s="7" t="n">
        <f aca="false">(Q!M21+Sens!E302+Sens!E303+Sens!E304+Sens!E318-Sens!E300)/(Q!M5-Sens!E300)</f>
        <v>0.570957350878296</v>
      </c>
      <c r="F366" s="7" t="n">
        <f aca="false">Sens!$E$366+dm_seg</f>
        <v>0.570957350878296</v>
      </c>
      <c r="G366" s="7" t="n">
        <f aca="false">Sens!$E$366+dm_seg</f>
        <v>0.570957350878296</v>
      </c>
      <c r="H366" s="7" t="n">
        <f aca="false">Sens!$E$366+dm_seg</f>
        <v>0.570957350878296</v>
      </c>
      <c r="I366" s="7" t="n">
        <f aca="false">Sens!$E$366+dm_seg</f>
        <v>0.570957350878296</v>
      </c>
      <c r="J366" s="7" t="n">
        <f aca="false">Sens!$E$366+dm_seg</f>
        <v>0.570957350878296</v>
      </c>
      <c r="K366" s="7" t="n">
        <f aca="false">Sens!$E$366+dm_seg</f>
        <v>0.570957350878296</v>
      </c>
      <c r="L366" s="12" t="s">
        <v>1059</v>
      </c>
    </row>
    <row r="367" customFormat="false" ht="17.15" hidden="false" customHeight="false" outlineLevel="0" collapsed="false">
      <c r="A367" s="0" t="s">
        <v>880</v>
      </c>
      <c r="B367" s="0" t="s">
        <v>98</v>
      </c>
      <c r="D367" s="6" t="n">
        <f aca="false">Q!L21</f>
        <v>110.814</v>
      </c>
      <c r="E367" s="6" t="n">
        <f aca="false">Q!M21</f>
        <v>136.365</v>
      </c>
      <c r="F367" s="6" t="n">
        <f aca="false">Q!$I$21+(Sens!F366*(Sens!F337-Sens!F300)+Sens!F300-(Sens!F302+Sens!F303+Sens!F304)-Sens!F318-Sens!F401)*(Sens!F337-Q!$I$5)/Sens!F337</f>
        <v>162.089887157538</v>
      </c>
      <c r="G367" s="6" t="n">
        <f aca="false">(Sens!G366*(Sens!G337-Sens!G300)+Sens!G300-(Sens!G302+Sens!G303+Sens!G304)-Sens!G318-Sens!G401)</f>
        <v>177.568903205394</v>
      </c>
      <c r="H367" s="6" t="n">
        <f aca="false">(Sens!H366*(Sens!H337-Sens!H300)+Sens!H300-(Sens!H302+Sens!H303+Sens!H304)-Sens!H318-Sens!H401)</f>
        <v>196.763686018119</v>
      </c>
      <c r="I367" s="6" t="n">
        <f aca="false">(Sens!I366*(Sens!I337-Sens!I300)+Sens!I300-(Sens!I302+Sens!I303+Sens!I304)-Sens!I318-Sens!I401)</f>
        <v>214.975583154087</v>
      </c>
      <c r="J367" s="6" t="n">
        <f aca="false">(Sens!J366*(Sens!J337-Sens!J300)+Sens!J300-(Sens!J302+Sens!J303+Sens!J304)-Sens!J318-Sens!J401)</f>
        <v>231.957076519688</v>
      </c>
      <c r="K367" s="6" t="n">
        <f aca="false">(Sens!K366*(Sens!K337-Sens!K300)+Sens!K300-(Sens!K302+Sens!K303+Sens!K304)-Sens!K318-Sens!K401)</f>
        <v>248.339746289158</v>
      </c>
      <c r="L367" s="1" t="s">
        <v>1060</v>
      </c>
    </row>
    <row r="368" customFormat="false" ht="17.15" hidden="false" customHeight="false" outlineLevel="0" collapsed="false">
      <c r="A368" s="0" t="s">
        <v>1061</v>
      </c>
      <c r="B368" s="0" t="s">
        <v>168</v>
      </c>
      <c r="E368" s="7" t="n">
        <f aca="false">Q!M22/Q!M12</f>
        <v>0.296207935710698</v>
      </c>
      <c r="F368" s="7" t="n">
        <f aca="false">Sens!$E$368+dm_seg</f>
        <v>0.296207935710698</v>
      </c>
      <c r="G368" s="7" t="n">
        <f aca="false">Sens!$E$368+dm_seg</f>
        <v>0.296207935710698</v>
      </c>
      <c r="H368" s="7" t="n">
        <f aca="false">Sens!$E$368+dm_seg</f>
        <v>0.296207935710698</v>
      </c>
      <c r="I368" s="7" t="n">
        <f aca="false">Sens!$E$368+dm_seg</f>
        <v>0.296207935710698</v>
      </c>
      <c r="J368" s="7" t="n">
        <f aca="false">Sens!$E$368+dm_seg</f>
        <v>0.296207935710698</v>
      </c>
      <c r="K368" s="7" t="n">
        <f aca="false">Sens!$E$368+dm_seg</f>
        <v>0.296207935710698</v>
      </c>
      <c r="L368" s="12" t="s">
        <v>1062</v>
      </c>
    </row>
    <row r="369" customFormat="false" ht="17.15" hidden="false" customHeight="false" outlineLevel="0" collapsed="false">
      <c r="A369" s="0" t="s">
        <v>882</v>
      </c>
      <c r="B369" s="0" t="s">
        <v>98</v>
      </c>
      <c r="D369" s="6" t="n">
        <f aca="false">Q!L22</f>
        <v>17.714</v>
      </c>
      <c r="E369" s="6" t="n">
        <f aca="false">Q!M22</f>
        <v>18.872</v>
      </c>
      <c r="F369" s="6" t="n">
        <f aca="false">Q!$I$22+(Sens!F344-Q!$I$12)*Sens!F368</f>
        <v>19.8174315512051</v>
      </c>
      <c r="G369" s="6" t="n">
        <f aca="false">Sens!G344*Sens!G368</f>
        <v>19.6313799703815</v>
      </c>
      <c r="H369" s="6" t="n">
        <f aca="false">Sens!H344*Sens!H368</f>
        <v>20.3536242825865</v>
      </c>
      <c r="I369" s="6" t="n">
        <f aca="false">Sens!I344*Sens!I368</f>
        <v>21.1920899239745</v>
      </c>
      <c r="J369" s="6" t="n">
        <f aca="false">Sens!J344*Sens!J368</f>
        <v>22.1288166207045</v>
      </c>
      <c r="K369" s="6" t="n">
        <f aca="false">Sens!K344*Sens!K368</f>
        <v>23.1493653905379</v>
      </c>
      <c r="L369" s="12" t="s">
        <v>1063</v>
      </c>
    </row>
    <row r="370" customFormat="false" ht="15" hidden="false" customHeight="false" outlineLevel="0" collapsed="false">
      <c r="A370" s="1" t="s">
        <v>1064</v>
      </c>
      <c r="B370" s="0" t="s">
        <v>98</v>
      </c>
      <c r="D370" s="6" t="n">
        <f aca="false">Sens!D367+Sens!D369</f>
        <v>128.528</v>
      </c>
      <c r="E370" s="6" t="n">
        <f aca="false">Sens!E367+Sens!E369</f>
        <v>155.237</v>
      </c>
      <c r="F370" s="6" t="n">
        <f aca="false">Sens!F367+Sens!F369</f>
        <v>181.907318708743</v>
      </c>
      <c r="G370" s="6" t="n">
        <f aca="false">Sens!G367+Sens!G369</f>
        <v>197.200283175776</v>
      </c>
      <c r="H370" s="6" t="n">
        <f aca="false">Sens!H367+Sens!H369</f>
        <v>217.117310300706</v>
      </c>
      <c r="I370" s="6" t="n">
        <f aca="false">Sens!I367+Sens!I369</f>
        <v>236.167673078062</v>
      </c>
      <c r="J370" s="6" t="n">
        <f aca="false">Sens!J367+Sens!J369</f>
        <v>254.085893140393</v>
      </c>
      <c r="K370" s="6" t="n">
        <f aca="false">Sens!K367+Sens!K369</f>
        <v>271.489111679696</v>
      </c>
    </row>
    <row r="371" customFormat="false" ht="15" hidden="false" customHeight="false" outlineLevel="0" collapsed="false">
      <c r="A371" s="26" t="s">
        <v>1065</v>
      </c>
      <c r="B371" s="31" t="s">
        <v>98</v>
      </c>
      <c r="C371" s="31"/>
      <c r="D371" s="27" t="n">
        <f aca="false">Sens!D370-Q!L23</f>
        <v>0</v>
      </c>
      <c r="E371" s="27" t="n">
        <f aca="false">Sens!E370-Q!M23</f>
        <v>0</v>
      </c>
      <c r="F371" s="31"/>
      <c r="G371" s="31"/>
      <c r="H371" s="31"/>
      <c r="I371" s="31"/>
      <c r="J371" s="31"/>
      <c r="K371" s="31"/>
    </row>
    <row r="372" customFormat="false" ht="15" hidden="false" customHeight="false" outlineLevel="0" collapsed="false">
      <c r="A372" s="1" t="s">
        <v>1066</v>
      </c>
      <c r="B372" s="0" t="s">
        <v>168</v>
      </c>
      <c r="D372" s="7" t="n">
        <f aca="false">Sens!D370/Sens!D363</f>
        <v>0.456219562408598</v>
      </c>
      <c r="E372" s="7" t="n">
        <f aca="false">Sens!E370/Sens!E363</f>
        <v>0.467808184089272</v>
      </c>
      <c r="F372" s="7" t="n">
        <f aca="false">Sens!F370/Sens!F363</f>
        <v>0.455850244781037</v>
      </c>
      <c r="G372" s="7" t="n">
        <f aca="false">Sens!G370/Sens!G363</f>
        <v>0.41387060670418</v>
      </c>
      <c r="H372" s="7" t="n">
        <f aca="false">Sens!H370/Sens!H363</f>
        <v>0.390690709821335</v>
      </c>
      <c r="I372" s="7" t="n">
        <f aca="false">Sens!I370/Sens!I363</f>
        <v>0.375759473696784</v>
      </c>
      <c r="J372" s="7" t="n">
        <f aca="false">Sens!J370/Sens!J363</f>
        <v>0.369252371122345</v>
      </c>
      <c r="K372" s="7" t="n">
        <f aca="false">Sens!K370/Sens!K363</f>
        <v>0.368876084880008</v>
      </c>
    </row>
    <row r="373" customFormat="false" ht="17.15" hidden="false" customHeight="false" outlineLevel="0" collapsed="false">
      <c r="A373" s="1" t="s">
        <v>1067</v>
      </c>
      <c r="B373" s="0" t="s">
        <v>98</v>
      </c>
      <c r="F373" s="6" t="n">
        <f aca="false">Sens!F388</f>
        <v>0</v>
      </c>
      <c r="G373" s="6" t="n">
        <f aca="false">Sens!G388</f>
        <v>0</v>
      </c>
      <c r="H373" s="6" t="n">
        <f aca="false">Sens!H388</f>
        <v>0</v>
      </c>
      <c r="I373" s="6" t="n">
        <f aca="false">Sens!I388</f>
        <v>0</v>
      </c>
      <c r="J373" s="6" t="n">
        <f aca="false">Sens!J388</f>
        <v>0</v>
      </c>
      <c r="K373" s="6" t="n">
        <f aca="false">Sens!K388</f>
        <v>0</v>
      </c>
      <c r="L373" s="1" t="s">
        <v>1068</v>
      </c>
    </row>
    <row r="374" customFormat="false" ht="17.15" hidden="false" customHeight="false" outlineLevel="0" collapsed="false">
      <c r="A374" s="1" t="s">
        <v>1069</v>
      </c>
      <c r="B374" s="0" t="s">
        <v>98</v>
      </c>
      <c r="D374" s="6" t="n">
        <f aca="false">Sens!D370</f>
        <v>128.528</v>
      </c>
      <c r="E374" s="6" t="n">
        <f aca="false">Sens!E370</f>
        <v>155.237</v>
      </c>
      <c r="F374" s="6" t="n">
        <f aca="false">Sens!F370+Sens!F373</f>
        <v>181.907318708743</v>
      </c>
      <c r="G374" s="6" t="n">
        <f aca="false">Sens!G370+Sens!G373</f>
        <v>197.200283175776</v>
      </c>
      <c r="H374" s="6" t="n">
        <f aca="false">Sens!H370+Sens!H373</f>
        <v>217.117310300706</v>
      </c>
      <c r="I374" s="6" t="n">
        <f aca="false">Sens!I370+Sens!I373</f>
        <v>236.167673078062</v>
      </c>
      <c r="J374" s="6" t="n">
        <f aca="false">Sens!J370+Sens!J373</f>
        <v>254.085893140393</v>
      </c>
      <c r="K374" s="6" t="n">
        <f aca="false">Sens!K370+Sens!K373</f>
        <v>271.489111679696</v>
      </c>
    </row>
    <row r="375" customFormat="false" ht="17.15" hidden="false" customHeight="false" outlineLevel="0" collapsed="false">
      <c r="A375" s="1" t="s">
        <v>1070</v>
      </c>
      <c r="B375" s="0" t="s">
        <v>98</v>
      </c>
      <c r="E375" s="6" t="n">
        <f aca="false">Sens!E318</f>
        <v>16.3054059770833</v>
      </c>
      <c r="F375" s="6" t="n">
        <f aca="false">Sens!F318</f>
        <v>34.5793144783516</v>
      </c>
      <c r="G375" s="6" t="n">
        <f aca="false">Sens!G318</f>
        <v>60.7344906522989</v>
      </c>
      <c r="H375" s="6" t="n">
        <f aca="false">Sens!H318</f>
        <v>89.1000906614457</v>
      </c>
      <c r="I375" s="6" t="n">
        <f aca="false">Sens!I318</f>
        <v>114.231009694548</v>
      </c>
      <c r="J375" s="6" t="n">
        <f aca="false">Sens!J318</f>
        <v>132.015673049596</v>
      </c>
      <c r="K375" s="6" t="n">
        <f aca="false">Sens!K318</f>
        <v>143.012669550934</v>
      </c>
    </row>
    <row r="376" customFormat="false" ht="17.15" hidden="false" customHeight="false" outlineLevel="0" collapsed="false">
      <c r="A376" s="1" t="s">
        <v>1071</v>
      </c>
      <c r="B376" s="0" t="s">
        <v>98</v>
      </c>
      <c r="E376" s="6" t="n">
        <f aca="false">Sens!E400</f>
        <v>22.2285940229167</v>
      </c>
      <c r="F376" s="6" t="n">
        <f aca="false">Sens!F400</f>
        <v>23.580344216413</v>
      </c>
      <c r="G376" s="6" t="n">
        <f aca="false">Sens!G400</f>
        <v>25.3583505401965</v>
      </c>
      <c r="H376" s="6" t="n">
        <f aca="false">Sens!H400</f>
        <v>27.528569983033</v>
      </c>
      <c r="I376" s="6" t="n">
        <f aca="false">Sens!I400</f>
        <v>30.0244523528154</v>
      </c>
      <c r="J376" s="6" t="n">
        <f aca="false">Sens!J400</f>
        <v>32.7625785967048</v>
      </c>
      <c r="K376" s="6" t="n">
        <f aca="false">Sens!K400</f>
        <v>35.6585684431062</v>
      </c>
    </row>
    <row r="377" customFormat="false" ht="17.15" hidden="false" customHeight="false" outlineLevel="0" collapsed="false">
      <c r="A377" s="1" t="s">
        <v>1072</v>
      </c>
      <c r="B377" s="0" t="s">
        <v>98</v>
      </c>
      <c r="D377" s="6" t="n">
        <f aca="false">Q!L27</f>
        <v>-4.901</v>
      </c>
      <c r="E377" s="6" t="n">
        <f aca="false">Q!M27</f>
        <v>10.697</v>
      </c>
      <c r="F377" s="6" t="n">
        <f aca="false">Q!$I$27+oie_f*(q_per_yr-1)/q_per_yr</f>
        <v>-0.862</v>
      </c>
      <c r="G377" s="6" t="n">
        <f aca="false">oie_f</f>
        <v>-1.2</v>
      </c>
      <c r="H377" s="6" t="n">
        <f aca="false">oie_f</f>
        <v>-1.2</v>
      </c>
      <c r="I377" s="6" t="n">
        <f aca="false">oie_f</f>
        <v>-1.2</v>
      </c>
      <c r="J377" s="6" t="n">
        <f aca="false">oie_f</f>
        <v>-1.2</v>
      </c>
      <c r="K377" s="6" t="n">
        <f aca="false">oie_f</f>
        <v>-1.2</v>
      </c>
      <c r="L377" s="12" t="s">
        <v>1073</v>
      </c>
    </row>
    <row r="378" customFormat="false" ht="15" hidden="false" customHeight="false" outlineLevel="0" collapsed="false">
      <c r="A378" s="1" t="s">
        <v>1074</v>
      </c>
      <c r="B378" s="0" t="s">
        <v>98</v>
      </c>
      <c r="D378" s="6" t="n">
        <f aca="false">Sens!D370+Sens!D377</f>
        <v>123.627</v>
      </c>
      <c r="E378" s="6" t="n">
        <f aca="false">Sens!E370+Sens!E377</f>
        <v>165.934</v>
      </c>
      <c r="F378" s="6" t="n">
        <f aca="false">Sens!F370+Sens!F377</f>
        <v>181.045318708743</v>
      </c>
      <c r="G378" s="6" t="n">
        <f aca="false">Sens!G370+Sens!G377</f>
        <v>196.000283175776</v>
      </c>
      <c r="H378" s="6" t="n">
        <f aca="false">Sens!H370+Sens!H377</f>
        <v>215.917310300706</v>
      </c>
      <c r="I378" s="6" t="n">
        <f aca="false">Sens!I370+Sens!I377</f>
        <v>234.967673078062</v>
      </c>
      <c r="J378" s="6" t="n">
        <f aca="false">Sens!J370+Sens!J377</f>
        <v>252.885893140393</v>
      </c>
      <c r="K378" s="6" t="n">
        <f aca="false">Sens!K370+Sens!K377</f>
        <v>270.289111679696</v>
      </c>
    </row>
    <row r="379" customFormat="false" ht="15" hidden="false" customHeight="false" outlineLevel="0" collapsed="false">
      <c r="A379" s="1" t="s">
        <v>1075</v>
      </c>
      <c r="B379" s="0" t="s">
        <v>98</v>
      </c>
      <c r="D379" s="6" t="n">
        <f aca="false">Q!L29</f>
        <v>21.795</v>
      </c>
      <c r="E379" s="6" t="n">
        <f aca="false">Q!M29</f>
        <v>32.185</v>
      </c>
      <c r="F379" s="6" t="n">
        <f aca="false">Q!$I$29+(Sens!F378-Q!$I$28)*tax_f</f>
        <v>36.3424637417486</v>
      </c>
      <c r="G379" s="6" t="n">
        <f aca="false">Sens!G378*tax_f</f>
        <v>39.2000566351551</v>
      </c>
      <c r="H379" s="6" t="n">
        <f aca="false">Sens!H378*tax_f</f>
        <v>43.1834620601411</v>
      </c>
      <c r="I379" s="6" t="n">
        <f aca="false">Sens!I378*tax_f</f>
        <v>46.9935346156123</v>
      </c>
      <c r="J379" s="6" t="n">
        <f aca="false">Sens!J378*tax_f</f>
        <v>50.5771786280786</v>
      </c>
      <c r="K379" s="6" t="n">
        <f aca="false">Sens!K378*tax_f</f>
        <v>54.0578223359393</v>
      </c>
    </row>
    <row r="380" customFormat="false" ht="15" hidden="false" customHeight="false" outlineLevel="0" collapsed="false">
      <c r="A380" s="1" t="s">
        <v>1076</v>
      </c>
      <c r="B380" s="0" t="s">
        <v>98</v>
      </c>
      <c r="D380" s="6" t="n">
        <f aca="false">Sens!D378-Sens!D379</f>
        <v>101.832</v>
      </c>
      <c r="E380" s="6" t="n">
        <f aca="false">Sens!E378-Sens!E379</f>
        <v>133.749</v>
      </c>
      <c r="F380" s="6" t="n">
        <f aca="false">Sens!F378-Sens!F379</f>
        <v>144.702854966994</v>
      </c>
      <c r="G380" s="6" t="n">
        <f aca="false">Sens!G378-Sens!G379</f>
        <v>156.80022654062</v>
      </c>
      <c r="H380" s="6" t="n">
        <f aca="false">Sens!H378-Sens!H379</f>
        <v>172.733848240564</v>
      </c>
      <c r="I380" s="6" t="n">
        <f aca="false">Sens!I378-Sens!I379</f>
        <v>187.974138462449</v>
      </c>
      <c r="J380" s="6" t="n">
        <f aca="false">Sens!J378-Sens!J379</f>
        <v>202.308714512314</v>
      </c>
      <c r="K380" s="6" t="n">
        <f aca="false">Sens!K378-Sens!K379</f>
        <v>216.231289343757</v>
      </c>
    </row>
    <row r="381" customFormat="false" ht="17.15" hidden="false" customHeight="false" outlineLevel="0" collapsed="false">
      <c r="A381" s="1" t="s">
        <v>1077</v>
      </c>
      <c r="B381" s="1" t="s">
        <v>81</v>
      </c>
      <c r="D381" s="15" t="n">
        <f aca="false">Q!L31</f>
        <v>7.465</v>
      </c>
      <c r="E381" s="15" t="n">
        <f aca="false">Q!M31</f>
        <v>7.453</v>
      </c>
      <c r="F381" s="15" t="n">
        <f aca="false">Sens!F425</f>
        <v>7.47325460584037</v>
      </c>
      <c r="G381" s="15" t="n">
        <f aca="false">Sens!G425</f>
        <v>7.51800921168074</v>
      </c>
      <c r="H381" s="15" t="n">
        <f aca="false">Sens!H425</f>
        <v>7.54570915070954</v>
      </c>
      <c r="I381" s="15" t="n">
        <f aca="false">Sens!I425</f>
        <v>7.55739051476501</v>
      </c>
      <c r="J381" s="15" t="n">
        <f aca="false">Sens!J425</f>
        <v>7.57153992592748</v>
      </c>
      <c r="K381" s="15" t="n">
        <f aca="false">Sens!K425</f>
        <v>7.58797456589273</v>
      </c>
    </row>
    <row r="382" customFormat="false" ht="17.15" hidden="false" customHeight="false" outlineLevel="0" collapsed="false">
      <c r="A382" s="0" t="s">
        <v>1078</v>
      </c>
      <c r="B382" s="0" t="s">
        <v>75</v>
      </c>
      <c r="D382" s="8" t="n">
        <f aca="false">Sens!D380/Sens!D381</f>
        <v>13.641259209645</v>
      </c>
      <c r="E382" s="8" t="n">
        <f aca="false">Sens!E380/Sens!E381</f>
        <v>17.9456594659869</v>
      </c>
      <c r="F382" s="8" t="n">
        <f aca="false">Sens!F380/Sens!F381</f>
        <v>19.3627626247216</v>
      </c>
      <c r="G382" s="8" t="n">
        <f aca="false">Sens!G380/Sens!G381</f>
        <v>20.8566153785765</v>
      </c>
      <c r="H382" s="8" t="n">
        <f aca="false">Sens!H380/Sens!H381</f>
        <v>22.8916652882548</v>
      </c>
      <c r="I382" s="8" t="n">
        <f aca="false">Sens!I380/Sens!I381</f>
        <v>24.8728894047755</v>
      </c>
      <c r="J382" s="8" t="n">
        <f aca="false">Sens!J380/Sens!J381</f>
        <v>26.7196259270246</v>
      </c>
      <c r="K382" s="8" t="n">
        <f aca="false">Sens!K380/Sens!K381</f>
        <v>28.496575399145</v>
      </c>
      <c r="L382" s="1" t="s">
        <v>1079</v>
      </c>
    </row>
    <row r="383" customFormat="false" ht="17.15" hidden="false" customHeight="false" outlineLevel="0" collapsed="false">
      <c r="A383" s="1" t="s">
        <v>1080</v>
      </c>
      <c r="B383" s="0" t="s">
        <v>98</v>
      </c>
      <c r="D383" s="6" t="n">
        <f aca="false">Sens!D380</f>
        <v>101.832</v>
      </c>
      <c r="E383" s="6" t="n">
        <f aca="false">Sens!E380</f>
        <v>133.749</v>
      </c>
      <c r="F383" s="6" t="n">
        <f aca="false">Sens!F380+Sens!F373*(1-tax_f)</f>
        <v>144.702854966994</v>
      </c>
      <c r="G383" s="6" t="n">
        <f aca="false">Sens!G380+Sens!G373*(1-tax_f)</f>
        <v>156.80022654062</v>
      </c>
      <c r="H383" s="6" t="n">
        <f aca="false">Sens!H380+Sens!H373*(1-tax_f)</f>
        <v>172.733848240564</v>
      </c>
      <c r="I383" s="6" t="n">
        <f aca="false">Sens!I380+Sens!I373*(1-tax_f)</f>
        <v>187.974138462449</v>
      </c>
      <c r="J383" s="6" t="n">
        <f aca="false">Sens!J380+Sens!J373*(1-tax_f)</f>
        <v>202.308714512314</v>
      </c>
      <c r="K383" s="6" t="n">
        <f aca="false">Sens!K380+Sens!K373*(1-tax_f)</f>
        <v>216.231289343757</v>
      </c>
    </row>
    <row r="384" customFormat="false" ht="17.15" hidden="false" customHeight="false" outlineLevel="0" collapsed="false">
      <c r="A384" s="0" t="s">
        <v>1081</v>
      </c>
      <c r="B384" s="0" t="s">
        <v>75</v>
      </c>
      <c r="D384" s="8" t="n">
        <f aca="false">Sens!D383/Sens!D381</f>
        <v>13.641259209645</v>
      </c>
      <c r="E384" s="8" t="n">
        <f aca="false">Sens!E383/Sens!E381</f>
        <v>17.9456594659869</v>
      </c>
      <c r="F384" s="8" t="n">
        <f aca="false">Sens!F383/Sens!F381</f>
        <v>19.3627626247216</v>
      </c>
      <c r="G384" s="8" t="n">
        <f aca="false">Sens!G383/Sens!G381</f>
        <v>20.8566153785765</v>
      </c>
      <c r="H384" s="8" t="n">
        <f aca="false">Sens!H383/Sens!H381</f>
        <v>22.8916652882548</v>
      </c>
      <c r="I384" s="8" t="n">
        <f aca="false">Sens!I383/Sens!I381</f>
        <v>24.8728894047755</v>
      </c>
      <c r="J384" s="8" t="n">
        <f aca="false">Sens!J383/Sens!J381</f>
        <v>26.7196259270246</v>
      </c>
      <c r="K384" s="8" t="n">
        <f aca="false">Sens!K383/Sens!K381</f>
        <v>28.496575399145</v>
      </c>
      <c r="L384" s="1" t="s">
        <v>1082</v>
      </c>
    </row>
    <row r="385" customFormat="false" ht="17.15" hidden="false" customHeight="false" outlineLevel="0" collapsed="false">
      <c r="A385" s="0" t="s">
        <v>1083</v>
      </c>
      <c r="B385" s="0" t="s">
        <v>168</v>
      </c>
      <c r="E385" s="7" t="n">
        <f aca="false">Sens!E384/Sens!D384-1</f>
        <v>0.315542736208578</v>
      </c>
      <c r="F385" s="7" t="n">
        <f aca="false">Sens!F384/Sens!E384-1</f>
        <v>0.0789663462309997</v>
      </c>
      <c r="G385" s="7" t="n">
        <f aca="false">Sens!G384/Sens!F384-1</f>
        <v>0.0771508065666025</v>
      </c>
      <c r="H385" s="7" t="n">
        <f aca="false">Sens!H384/Sens!G384-1</f>
        <v>0.0975733537172416</v>
      </c>
      <c r="I385" s="7" t="n">
        <f aca="false">Sens!I384/Sens!H384-1</f>
        <v>0.0865478370215886</v>
      </c>
      <c r="J385" s="7" t="n">
        <f aca="false">Sens!J384/Sens!I384-1</f>
        <v>0.0742469639210719</v>
      </c>
      <c r="K385" s="7" t="n">
        <f aca="false">Sens!K384/Sens!J384-1</f>
        <v>0.0665035310364563</v>
      </c>
    </row>
    <row r="386" customFormat="false" ht="17.15" hidden="false" customHeight="false" outlineLevel="0" collapsed="false">
      <c r="A386" s="0" t="s">
        <v>1003</v>
      </c>
      <c r="B386" s="0" t="s">
        <v>98</v>
      </c>
      <c r="E386" s="6" t="n">
        <f aca="false">Sens!E327</f>
        <v>5.25</v>
      </c>
      <c r="F386" s="6" t="n">
        <f aca="false">Sens!F327</f>
        <v>12</v>
      </c>
      <c r="G386" s="6" t="n">
        <f aca="false">Sens!G327</f>
        <v>18</v>
      </c>
      <c r="H386" s="6" t="n">
        <f aca="false">Sens!H327</f>
        <v>24</v>
      </c>
      <c r="I386" s="6" t="n">
        <f aca="false">Sens!I327</f>
        <v>28.5</v>
      </c>
      <c r="J386" s="6" t="n">
        <f aca="false">Sens!J327</f>
        <v>31.5</v>
      </c>
      <c r="K386" s="6" t="n">
        <f aca="false">Sens!K327</f>
        <v>34.5</v>
      </c>
    </row>
    <row r="387" customFormat="false" ht="17.15" hidden="false" customHeight="false" outlineLevel="0" collapsed="false">
      <c r="A387" s="1" t="s">
        <v>1004</v>
      </c>
      <c r="B387" s="0" t="s">
        <v>98</v>
      </c>
      <c r="F387" s="6" t="n">
        <f aca="false">MAX(0,((Sens!E287+Sens!F287)/2-(shadow_base*(Sens!$D$287+Sens!$E$287)/2+(1-shadow_base)*Sens!$E$287))*Sens!F296/1000-(Sens!F386-Sens!$E$386)*Sens!F366)</f>
        <v>9.7398427716299</v>
      </c>
      <c r="G387" s="6" t="n">
        <f aca="false">MAX(0,((Sens!F287+Sens!G287)/2-(shadow_base*(Sens!$D$287+Sens!$E$287)/2+(1-shadow_base)*Sens!$E$287))*Sens!G296/1000-(Sens!G386-Sens!$E$386)*Sens!G366)</f>
        <v>25.2753385959797</v>
      </c>
      <c r="H387" s="6" t="n">
        <f aca="false">MAX(0,((Sens!G287+Sens!H287)/2-(shadow_base*(Sens!$D$287+Sens!$E$287)/2+(1-shadow_base)*Sens!$E$287))*Sens!H296/1000-(Sens!H386-Sens!$E$386)*Sens!H366)</f>
        <v>42.2840253697948</v>
      </c>
      <c r="I387" s="6" t="n">
        <f aca="false">MAX(0,((Sens!H287+Sens!I287)/2-(shadow_base*(Sens!$D$287+Sens!$E$287)/2+(1-shadow_base)*Sens!$E$287))*Sens!I296/1000-(Sens!I386-Sens!$E$386)*Sens!I366)</f>
        <v>57.704943641581</v>
      </c>
      <c r="J387" s="6" t="n">
        <f aca="false">MAX(0,((Sens!I287+Sens!J287)/2-(shadow_base*(Sens!$D$287+Sens!$E$287)/2+(1-shadow_base)*Sens!$E$287))*Sens!J296/1000-(Sens!J386-Sens!$E$386)*Sens!J366)</f>
        <v>68.4828520908201</v>
      </c>
      <c r="K387" s="6" t="n">
        <f aca="false">MAX(0,((Sens!J287+Sens!K287)/2-(shadow_base*(Sens!$D$287+Sens!$E$287)/2+(1-shadow_base)*Sens!$E$287))*Sens!K296/1000-(Sens!K386-Sens!$E$386)*Sens!K366)</f>
        <v>74.3598374943249</v>
      </c>
      <c r="L387" s="1" t="s">
        <v>1005</v>
      </c>
    </row>
    <row r="388" customFormat="false" ht="17.15" hidden="false" customHeight="false" outlineLevel="0" collapsed="false">
      <c r="A388" s="1" t="s">
        <v>1006</v>
      </c>
      <c r="B388" s="0" t="s">
        <v>98</v>
      </c>
      <c r="F388" s="6" t="n">
        <f aca="false">IF(1=2,1,0)*Sens!F387</f>
        <v>0</v>
      </c>
      <c r="G388" s="6" t="n">
        <f aca="false">IF(1=2,1,0)*Sens!G387</f>
        <v>0</v>
      </c>
      <c r="H388" s="6" t="n">
        <f aca="false">IF(1=2,1,0)*Sens!H387</f>
        <v>0</v>
      </c>
      <c r="I388" s="6" t="n">
        <f aca="false">IF(1=2,1,0)*Sens!I387</f>
        <v>0</v>
      </c>
      <c r="J388" s="6" t="n">
        <f aca="false">IF(1=2,1,0)*Sens!J387</f>
        <v>0</v>
      </c>
      <c r="K388" s="6" t="n">
        <f aca="false">IF(1=2,1,0)*Sens!K387</f>
        <v>0</v>
      </c>
    </row>
    <row r="389" customFormat="false" ht="17.15" hidden="false" customHeight="false" outlineLevel="0" collapsed="false">
      <c r="A389" s="0" t="s">
        <v>1007</v>
      </c>
      <c r="B389" s="0" t="s">
        <v>98</v>
      </c>
      <c r="F389" s="6" t="n">
        <f aca="false">Sens!F306+Sens!F386*Sens!F366+Sens!F388-Sens!F307-Sens!F318</f>
        <v>5.07543998459729</v>
      </c>
      <c r="G389" s="6" t="n">
        <f aca="false">Sens!G306+Sens!G386*Sens!G366+Sens!G388-Sens!G307-Sens!G318</f>
        <v>5.75965918061537</v>
      </c>
      <c r="H389" s="6" t="n">
        <f aca="false">Sens!H306+Sens!H386*Sens!H366+Sens!H388-Sens!H307-Sens!H318</f>
        <v>5.59712660118788</v>
      </c>
      <c r="I389" s="6" t="n">
        <f aca="false">Sens!I306+Sens!I386*Sens!I366+Sens!I388-Sens!I307-Sens!I318</f>
        <v>4.94227301582176</v>
      </c>
      <c r="J389" s="6" t="n">
        <f aca="false">Sens!J306+Sens!J386*Sens!J366+Sens!J388-Sens!J307-Sens!J318</f>
        <v>4.3053732448833</v>
      </c>
      <c r="K389" s="6" t="n">
        <f aca="false">Sens!K306+Sens!K386*Sens!K366+Sens!K388-Sens!K307-Sens!K318</f>
        <v>5.10194371969385</v>
      </c>
    </row>
    <row r="390" customFormat="false" ht="17.15" hidden="false" customHeight="false" outlineLevel="0" collapsed="false">
      <c r="A390" s="0" t="s">
        <v>1008</v>
      </c>
      <c r="B390" s="0" t="s">
        <v>98</v>
      </c>
      <c r="E390" s="6" t="n">
        <f aca="false">Sens!E286*(cxit_open+self_build*tk_cxfac)/1000*ai_net_open</f>
        <v>126.6980382</v>
      </c>
      <c r="F390" s="6" t="n">
        <f aca="false">Sens!E390+Sens!F315-Sens!F318</f>
        <v>260.572627763768</v>
      </c>
      <c r="G390" s="6" t="n">
        <f aca="false">Sens!F390+Sens!G315-Sens!G318</f>
        <v>391.782612760517</v>
      </c>
      <c r="H390" s="6" t="n">
        <f aca="false">Sens!G390+Sens!H315-Sens!H318</f>
        <v>499.488526163584</v>
      </c>
      <c r="I390" s="6" t="n">
        <f aca="false">Sens!H390+Sens!I315-Sens!I318</f>
        <v>553.872350090646</v>
      </c>
      <c r="J390" s="6" t="n">
        <f aca="false">Sens!I390+Sens!J315-Sens!J318</f>
        <v>550.78660823699</v>
      </c>
      <c r="K390" s="6" t="n">
        <f aca="false">Sens!J390+Sens!K315-Sens!K318</f>
        <v>526.736791750789</v>
      </c>
      <c r="L390" s="1" t="s">
        <v>1009</v>
      </c>
    </row>
    <row r="391" customFormat="false" ht="17.15" hidden="false" customHeight="false" outlineLevel="0" collapsed="false">
      <c r="A391" s="0" t="s">
        <v>1010</v>
      </c>
      <c r="B391" s="0" t="s">
        <v>168</v>
      </c>
      <c r="F391" s="7" t="n">
        <f aca="false">Sens!F389*(1-tax_f)/((Sens!E390+Sens!F390)/2)</f>
        <v>0.0209690655375262</v>
      </c>
      <c r="G391" s="7" t="n">
        <f aca="false">Sens!G389*(1-tax_f)/((Sens!F390+Sens!G390)/2)</f>
        <v>0.014126436206105</v>
      </c>
      <c r="H391" s="7" t="n">
        <f aca="false">Sens!H389*(1-tax_f)/((Sens!G390+Sens!H390)/2)</f>
        <v>0.010047899197893</v>
      </c>
      <c r="I391" s="7" t="n">
        <f aca="false">Sens!I389*(1-tax_f)/((Sens!H390+Sens!I390)/2)</f>
        <v>0.00750705385359907</v>
      </c>
      <c r="J391" s="7" t="n">
        <f aca="false">Sens!J389*(1-tax_f)/((Sens!I390+Sens!J390)/2)</f>
        <v>0.00623594924015468</v>
      </c>
      <c r="K391" s="7" t="n">
        <f aca="false">Sens!K389*(1-tax_f)/((Sens!J390+Sens!K390)/2)</f>
        <v>0.00757580758951754</v>
      </c>
    </row>
    <row r="392" customFormat="false" ht="17.15" hidden="false" customHeight="false" outlineLevel="0" collapsed="false">
      <c r="A392" s="1" t="s">
        <v>1011</v>
      </c>
      <c r="B392" s="0" t="s">
        <v>168</v>
      </c>
      <c r="F392" s="7" t="n">
        <f aca="false">(Sens!F389-Sens!F388)*(1-tax_f)/((Sens!E390+Sens!F390)/2)</f>
        <v>0.0209690655375262</v>
      </c>
      <c r="G392" s="7" t="n">
        <f aca="false">(Sens!G389-Sens!G388)*(1-tax_f)/((Sens!F390+Sens!G390)/2)</f>
        <v>0.014126436206105</v>
      </c>
      <c r="H392" s="7" t="n">
        <f aca="false">(Sens!H389-Sens!H388)*(1-tax_f)/((Sens!G390+Sens!H390)/2)</f>
        <v>0.010047899197893</v>
      </c>
      <c r="I392" s="7" t="n">
        <f aca="false">(Sens!I389-Sens!I388)*(1-tax_f)/((Sens!H390+Sens!I390)/2)</f>
        <v>0.00750705385359907</v>
      </c>
      <c r="J392" s="7" t="n">
        <f aca="false">(Sens!J389-Sens!J388)*(1-tax_f)/((Sens!I390+Sens!J390)/2)</f>
        <v>0.00623594924015468</v>
      </c>
      <c r="K392" s="7" t="n">
        <f aca="false">(Sens!K389-Sens!K388)*(1-tax_f)/((Sens!J390+Sens!K390)/2)</f>
        <v>0.00757580758951754</v>
      </c>
    </row>
    <row r="393" customFormat="false" ht="17.15" hidden="false" customHeight="false" outlineLevel="0" collapsed="false">
      <c r="A393" s="1" t="s">
        <v>1012</v>
      </c>
      <c r="B393" s="0" t="s">
        <v>168</v>
      </c>
      <c r="F393" s="7" t="n">
        <f aca="false">(Sens!F389-Sens!F388+Sens!F387)*(1-tax_f)/((Sens!E390+Sens!F390)/2)</f>
        <v>0.0612090057246454</v>
      </c>
      <c r="G393" s="7" t="n">
        <f aca="false">(Sens!G389-Sens!G388+Sens!G387)*(1-tax_f)/((Sens!F390+Sens!G390)/2)</f>
        <v>0.0761180310326695</v>
      </c>
      <c r="H393" s="7" t="n">
        <f aca="false">(Sens!H389-Sens!H388+Sens!H387)*(1-tax_f)/((Sens!G390+Sens!H390)/2)</f>
        <v>0.0859557095566361</v>
      </c>
      <c r="I393" s="7" t="n">
        <f aca="false">(Sens!I389-Sens!I388+Sens!I387)*(1-tax_f)/((Sens!H390+Sens!I390)/2)</f>
        <v>0.0951578408800258</v>
      </c>
      <c r="J393" s="7" t="n">
        <f aca="false">(Sens!J389-Sens!J388+Sens!J387)*(1-tax_f)/((Sens!I390+Sens!J390)/2)</f>
        <v>0.105427253958487</v>
      </c>
      <c r="K393" s="7" t="n">
        <f aca="false">(Sens!K389-Sens!K388+Sens!K387)*(1-tax_f)/((Sens!J390+Sens!K390)/2)</f>
        <v>0.117991729872291</v>
      </c>
    </row>
    <row r="394" customFormat="false" ht="17.15" hidden="false" customHeight="false" outlineLevel="0" collapsed="false">
      <c r="A394" s="1" t="s">
        <v>1013</v>
      </c>
      <c r="B394" s="0" t="s">
        <v>168</v>
      </c>
      <c r="F394" s="7" t="n">
        <f aca="false">Sens!F319*(1-tax_f)/(Sens!F305*(Sens!E390+Sens!F390)/2)</f>
        <v>0.129294830495493</v>
      </c>
      <c r="G394" s="7" t="n">
        <f aca="false">Sens!G319*(1-tax_f)/(Sens!G305*(Sens!F390+Sens!G390)/2)</f>
        <v>0.12719599062164</v>
      </c>
      <c r="H394" s="7" t="n">
        <f aca="false">Sens!H319*(1-tax_f)/(Sens!H305*(Sens!G390+Sens!H390)/2)</f>
        <v>0.130828167067624</v>
      </c>
      <c r="I394" s="7" t="n">
        <f aca="false">Sens!I319*(1-tax_f)/(Sens!I305*(Sens!H390+Sens!I390)/2)</f>
        <v>0.138614526937417</v>
      </c>
      <c r="J394" s="7" t="n">
        <f aca="false">Sens!J319*(1-tax_f)/(Sens!J305*(Sens!I390+Sens!J390)/2)</f>
        <v>0.150578919010924</v>
      </c>
      <c r="K394" s="7" t="n">
        <f aca="false">Sens!K319*(1-tax_f)/(Sens!K305*(Sens!J390+Sens!K390)/2)</f>
        <v>0.167005345886664</v>
      </c>
    </row>
    <row r="395" customFormat="false" ht="17.15" hidden="false" customHeight="false" outlineLevel="0" collapsed="false">
      <c r="A395" s="0" t="s">
        <v>1014</v>
      </c>
      <c r="B395" s="0" t="s">
        <v>253</v>
      </c>
      <c r="F395" s="7" t="n">
        <f aca="false">Sens!F391-wacc</f>
        <v>-0.0819675254080711</v>
      </c>
      <c r="G395" s="7" t="n">
        <f aca="false">Sens!G391-wacc</f>
        <v>-0.0888101547394923</v>
      </c>
      <c r="H395" s="7" t="n">
        <f aca="false">Sens!H391-wacc</f>
        <v>-0.0928886917477043</v>
      </c>
      <c r="I395" s="7" t="n">
        <f aca="false">Sens!I391-wacc</f>
        <v>-0.0954295370919982</v>
      </c>
      <c r="J395" s="7" t="n">
        <f aca="false">Sens!J391-wacc</f>
        <v>-0.0967006417054426</v>
      </c>
      <c r="K395" s="7" t="n">
        <f aca="false">Sens!K391-wacc</f>
        <v>-0.0953607833560798</v>
      </c>
    </row>
    <row r="396" customFormat="false" ht="17.15" hidden="false" customHeight="false" outlineLevel="0" collapsed="false">
      <c r="A396" s="0" t="s">
        <v>1015</v>
      </c>
      <c r="B396" s="0" t="s">
        <v>98</v>
      </c>
      <c r="F396" s="6" t="n">
        <f aca="false">Sens!F389*(1-tax_f)-wacc*(Sens!E390+Sens!F390)/2</f>
        <v>-15.8718090760929</v>
      </c>
      <c r="G396" s="6" t="n">
        <f aca="false">Sens!G389*(1-tax_f)-wacc*(Sens!F390+Sens!G390)/2</f>
        <v>-28.9678849280402</v>
      </c>
      <c r="H396" s="6" t="n">
        <f aca="false">Sens!H389*(1-tax_f)-wacc*(Sens!G390+Sens!H390)/2</f>
        <v>-41.3945050435731</v>
      </c>
      <c r="I396" s="6" t="n">
        <f aca="false">Sens!I389*(1-tax_f)-wacc*(Sens!H390+Sens!I390)/2</f>
        <v>-50.2608704058814</v>
      </c>
      <c r="J396" s="6" t="n">
        <f aca="false">Sens!J389*(1-tax_f)-wacc*(Sens!I390+Sens!J390)/2</f>
        <v>-53.4106150679741</v>
      </c>
      <c r="K396" s="6" t="n">
        <f aca="false">Sens!K389*(1-tax_f)-wacc*(Sens!J390+Sens!K390)/2</f>
        <v>-51.3767377536705</v>
      </c>
    </row>
    <row r="397" customFormat="false" ht="17.15" hidden="false" customHeight="false" outlineLevel="0" collapsed="false">
      <c r="A397" s="3" t="s">
        <v>1488</v>
      </c>
    </row>
    <row r="398" customFormat="false" ht="15" hidden="false" customHeight="false" outlineLevel="0" collapsed="false">
      <c r="A398" s="4" t="s">
        <v>43</v>
      </c>
      <c r="B398" s="4" t="s">
        <v>65</v>
      </c>
      <c r="C398" s="23" t="s">
        <v>938</v>
      </c>
      <c r="D398" s="23" t="s">
        <v>939</v>
      </c>
      <c r="E398" s="23" t="s">
        <v>940</v>
      </c>
      <c r="F398" s="23" t="s">
        <v>941</v>
      </c>
      <c r="G398" s="23" t="s">
        <v>942</v>
      </c>
      <c r="H398" s="23" t="s">
        <v>943</v>
      </c>
      <c r="I398" s="23" t="s">
        <v>944</v>
      </c>
      <c r="J398" s="23" t="s">
        <v>945</v>
      </c>
      <c r="K398" s="23" t="s">
        <v>946</v>
      </c>
      <c r="L398" s="4" t="s">
        <v>47</v>
      </c>
    </row>
    <row r="399" customFormat="false" ht="15" hidden="false" customHeight="false" outlineLevel="0" collapsed="false">
      <c r="A399" s="1" t="s">
        <v>1076</v>
      </c>
      <c r="B399" s="0" t="s">
        <v>98</v>
      </c>
      <c r="F399" s="6" t="n">
        <f aca="false">Sens!F380</f>
        <v>144.702854966994</v>
      </c>
      <c r="G399" s="6" t="n">
        <f aca="false">Sens!G380</f>
        <v>156.80022654062</v>
      </c>
      <c r="H399" s="6" t="n">
        <f aca="false">Sens!H380</f>
        <v>172.733848240564</v>
      </c>
      <c r="I399" s="6" t="n">
        <f aca="false">Sens!I380</f>
        <v>187.974138462449</v>
      </c>
      <c r="J399" s="6" t="n">
        <f aca="false">Sens!J380</f>
        <v>202.308714512314</v>
      </c>
      <c r="K399" s="6" t="n">
        <f aca="false">Sens!K380</f>
        <v>216.231289343757</v>
      </c>
    </row>
    <row r="400" customFormat="false" ht="17.15" hidden="false" customHeight="false" outlineLevel="0" collapsed="false">
      <c r="A400" s="1" t="s">
        <v>1098</v>
      </c>
      <c r="B400" s="0" t="s">
        <v>98</v>
      </c>
      <c r="E400" s="6" t="n">
        <f aca="false">Q!M38-Sens!E318</f>
        <v>22.2285940229167</v>
      </c>
      <c r="F400" s="6" t="n">
        <f aca="false">Sens!E400*(1-1/life_nonai)+(Sens!F408+Sens!F409)/life_nonai</f>
        <v>23.580344216413</v>
      </c>
      <c r="G400" s="6" t="n">
        <f aca="false">Sens!F400*(1-1/life_nonai)+(Sens!G408)/life_nonai</f>
        <v>25.3583505401965</v>
      </c>
      <c r="H400" s="6" t="n">
        <f aca="false">Sens!G400*(1-1/life_nonai)+(Sens!H408)/life_nonai</f>
        <v>27.528569983033</v>
      </c>
      <c r="I400" s="6" t="n">
        <f aca="false">Sens!H400*(1-1/life_nonai)+(Sens!I408)/life_nonai</f>
        <v>30.0244523528154</v>
      </c>
      <c r="J400" s="6" t="n">
        <f aca="false">Sens!I400*(1-1/life_nonai)+(Sens!J408)/life_nonai</f>
        <v>32.7625785967048</v>
      </c>
      <c r="K400" s="6" t="n">
        <f aca="false">Sens!J400*(1-1/life_nonai)+(Sens!K408)/life_nonai</f>
        <v>35.6585684431062</v>
      </c>
      <c r="L400" s="12" t="s">
        <v>1099</v>
      </c>
    </row>
    <row r="401" customFormat="false" ht="17.15" hidden="false" customHeight="false" outlineLevel="0" collapsed="false">
      <c r="A401" s="1" t="s">
        <v>1100</v>
      </c>
      <c r="B401" s="0" t="s">
        <v>98</v>
      </c>
      <c r="F401" s="6" t="n">
        <f aca="false">Sens!$F$409/life_nonai*(1-1/life_nonai)^(Sens!F281-2027)</f>
        <v>1.94586576753864E-006</v>
      </c>
      <c r="G401" s="6" t="n">
        <f aca="false">Sens!$F$409/life_nonai*(1-1/life_nonai)^(Sens!G281-2027)</f>
        <v>1.75127919078477E-006</v>
      </c>
      <c r="H401" s="6" t="n">
        <f aca="false">Sens!$F$409/life_nonai*(1-1/life_nonai)^(Sens!H281-2027)</f>
        <v>1.57615127170629E-006</v>
      </c>
      <c r="I401" s="6" t="n">
        <f aca="false">Sens!$F$409/life_nonai*(1-1/life_nonai)^(Sens!I281-2027)</f>
        <v>1.41853614453567E-006</v>
      </c>
      <c r="J401" s="6" t="n">
        <f aca="false">Sens!$F$409/life_nonai*(1-1/life_nonai)^(Sens!J281-2027)</f>
        <v>1.2766825300821E-006</v>
      </c>
      <c r="K401" s="6" t="n">
        <f aca="false">Sens!$F$409/life_nonai*(1-1/life_nonai)^(Sens!K281-2027)</f>
        <v>1.14901427707389E-006</v>
      </c>
      <c r="L401" s="1" t="s">
        <v>1101</v>
      </c>
    </row>
    <row r="402" customFormat="false" ht="17.15" hidden="false" customHeight="false" outlineLevel="0" collapsed="false">
      <c r="A402" s="1" t="s">
        <v>1102</v>
      </c>
      <c r="B402" s="0" t="s">
        <v>98</v>
      </c>
      <c r="E402" s="6" t="n">
        <f aca="false">Sens!E318+Sens!E400</f>
        <v>38.534</v>
      </c>
      <c r="F402" s="6" t="n">
        <f aca="false">Sens!F318+Sens!F400</f>
        <v>58.1596586947647</v>
      </c>
      <c r="G402" s="6" t="n">
        <f aca="false">Sens!G318+Sens!G400</f>
        <v>86.0928411924955</v>
      </c>
      <c r="H402" s="6" t="n">
        <f aca="false">Sens!H318+Sens!H400</f>
        <v>116.628660644479</v>
      </c>
      <c r="I402" s="6" t="n">
        <f aca="false">Sens!I318+Sens!I400</f>
        <v>144.255462047364</v>
      </c>
      <c r="J402" s="6" t="n">
        <f aca="false">Sens!J318+Sens!J400</f>
        <v>164.778251646301</v>
      </c>
      <c r="K402" s="6" t="n">
        <f aca="false">Sens!K318+Sens!K400</f>
        <v>178.67123799404</v>
      </c>
    </row>
    <row r="403" customFormat="false" ht="17.15" hidden="false" customHeight="false" outlineLevel="0" collapsed="false">
      <c r="A403" s="1" t="s">
        <v>1103</v>
      </c>
      <c r="B403" s="0" t="s">
        <v>98</v>
      </c>
      <c r="F403" s="6" t="n">
        <f aca="false">Sens!F345*sbc_r</f>
        <v>14.9175438377464</v>
      </c>
      <c r="G403" s="6" t="n">
        <f aca="false">Sens!G345*sbc_r</f>
        <v>17.8119838712421</v>
      </c>
      <c r="H403" s="6" t="n">
        <f aca="false">Sens!H345*sbc_r</f>
        <v>20.7745061486909</v>
      </c>
      <c r="I403" s="6" t="n">
        <f aca="false">Sens!I345*sbc_r</f>
        <v>23.4952383075388</v>
      </c>
      <c r="J403" s="6" t="n">
        <f aca="false">Sens!J345*sbc_r</f>
        <v>25.7232953082804</v>
      </c>
      <c r="K403" s="6" t="n">
        <f aca="false">Sens!K345*sbc_r</f>
        <v>27.5132097680234</v>
      </c>
    </row>
    <row r="404" customFormat="false" ht="17.15" hidden="false" customHeight="false" outlineLevel="0" collapsed="false">
      <c r="A404" s="1" t="s">
        <v>1104</v>
      </c>
      <c r="B404" s="0" t="s">
        <v>98</v>
      </c>
      <c r="F404" s="6" t="n">
        <f aca="false">wc27-wc26q1</f>
        <v>-4.677</v>
      </c>
      <c r="G404" s="6" t="n">
        <f aca="false">wc_f</f>
        <v>0</v>
      </c>
      <c r="H404" s="6" t="n">
        <f aca="false">wc_f</f>
        <v>0</v>
      </c>
      <c r="I404" s="6" t="n">
        <f aca="false">wc_f</f>
        <v>0</v>
      </c>
      <c r="J404" s="6" t="n">
        <f aca="false">wc_f</f>
        <v>0</v>
      </c>
      <c r="K404" s="6" t="n">
        <f aca="false">wc_f</f>
        <v>0</v>
      </c>
      <c r="L404" s="12" t="s">
        <v>1105</v>
      </c>
    </row>
    <row r="405" customFormat="false" ht="17.15" hidden="false" customHeight="false" outlineLevel="0" collapsed="false">
      <c r="A405" s="0" t="s">
        <v>1106</v>
      </c>
      <c r="B405" s="0" t="s">
        <v>98</v>
      </c>
      <c r="F405" s="6" t="n">
        <f aca="false">Q!$I$35-Q!$I$26-Q!$I$38-Q!$I$39</f>
        <v>6.493</v>
      </c>
      <c r="L405" s="1" t="s">
        <v>1107</v>
      </c>
    </row>
    <row r="406" customFormat="false" ht="15" hidden="false" customHeight="false" outlineLevel="0" collapsed="false">
      <c r="A406" s="1" t="s">
        <v>904</v>
      </c>
      <c r="B406" s="0" t="s">
        <v>98</v>
      </c>
      <c r="E406" s="6" t="n">
        <f aca="false">Q!M35</f>
        <v>182.935</v>
      </c>
      <c r="F406" s="6" t="n">
        <f aca="false">Sens!F399+Sens!F402+Sens!F403+Sens!F404+Sens!F405</f>
        <v>219.596057499506</v>
      </c>
      <c r="G406" s="6" t="n">
        <f aca="false">Sens!G399+Sens!G402+Sens!G403+Sens!G404</f>
        <v>260.705051604358</v>
      </c>
      <c r="H406" s="6" t="n">
        <f aca="false">Sens!H399+Sens!H402+Sens!H403+Sens!H404</f>
        <v>310.137015033734</v>
      </c>
      <c r="I406" s="6" t="n">
        <f aca="false">Sens!I399+Sens!I402+Sens!I403+Sens!I404</f>
        <v>355.724838817352</v>
      </c>
      <c r="J406" s="6" t="n">
        <f aca="false">Sens!J399+Sens!J402+Sens!J403+Sens!J404</f>
        <v>392.810261466896</v>
      </c>
      <c r="K406" s="6" t="n">
        <f aca="false">Sens!K399+Sens!K402+Sens!K403+Sens!K404</f>
        <v>422.415737105821</v>
      </c>
    </row>
    <row r="407" customFormat="false" ht="17.15" hidden="false" customHeight="false" outlineLevel="0" collapsed="false">
      <c r="A407" s="0" t="s">
        <v>1108</v>
      </c>
      <c r="B407" s="0" t="s">
        <v>98</v>
      </c>
      <c r="F407" s="6" t="n">
        <f aca="false">Sens!F315</f>
        <v>168.45390404212</v>
      </c>
      <c r="G407" s="6" t="n">
        <f aca="false">Sens!G315</f>
        <v>191.944475649048</v>
      </c>
      <c r="H407" s="6" t="n">
        <f aca="false">Sens!H315</f>
        <v>196.806004064512</v>
      </c>
      <c r="I407" s="6" t="n">
        <f aca="false">Sens!I315</f>
        <v>168.61483362161</v>
      </c>
      <c r="J407" s="6" t="n">
        <f aca="false">Sens!J315</f>
        <v>128.92993119594</v>
      </c>
      <c r="K407" s="6" t="n">
        <f aca="false">Sens!K315</f>
        <v>118.962853064733</v>
      </c>
    </row>
    <row r="408" customFormat="false" ht="17.15" hidden="false" customHeight="false" outlineLevel="0" collapsed="false">
      <c r="A408" s="1" t="s">
        <v>1109</v>
      </c>
      <c r="B408" s="0" t="s">
        <v>98</v>
      </c>
      <c r="E408" s="6" t="n">
        <f aca="false">Sens!E323*cx_azo+Sens!E330*cx_m365+Sens!E331*cx_lic+(Sens!E333+Sens!E335)*cx_ind+Sens!E338*cx_srch+(Sens!E340+Sens!E342)*cx_dev</f>
        <v>30.1846587067718</v>
      </c>
      <c r="F408" s="6" t="n">
        <f aca="false">Sens!F323*cx_azo+Sens!F330*cx_m365+Sens!F331*cx_lic+(Sens!F333+Sens!F335)*cx_ind+Sens!F338*cx_srch+(Sens!F340+Sens!F342)*cx_dev</f>
        <v>35.7460764992227</v>
      </c>
      <c r="G408" s="6" t="n">
        <f aca="false">Sens!G323*cx_azo+Sens!G330*cx_m365+Sens!G331*cx_lic+(Sens!G333+Sens!G335)*cx_ind+Sens!G338*cx_srch+(Sens!G340+Sens!G342)*cx_dev</f>
        <v>41.360407454248</v>
      </c>
      <c r="H408" s="6" t="n">
        <f aca="false">Sens!H323*cx_azo+Sens!H330*cx_m365+Sens!H331*cx_lic+(Sens!H333+Sens!H335)*cx_ind+Sens!H338*cx_srch+(Sens!H340+Sens!H342)*cx_dev</f>
        <v>47.0605449685615</v>
      </c>
      <c r="I408" s="6" t="n">
        <f aca="false">Sens!I323*cx_azo+Sens!I330*cx_m365+Sens!I331*cx_lic+(Sens!I333+Sens!I335)*cx_ind+Sens!I338*cx_srch+(Sens!I340+Sens!I342)*cx_dev</f>
        <v>52.4873936808571</v>
      </c>
      <c r="J408" s="6" t="n">
        <f aca="false">Sens!J323*cx_azo+Sens!J330*cx_m365+Sens!J331*cx_lic+(Sens!J333+Sens!J335)*cx_ind+Sens!J338*cx_srch+(Sens!J340+Sens!J342)*cx_dev</f>
        <v>57.4057147917091</v>
      </c>
      <c r="K408" s="6" t="n">
        <f aca="false">Sens!K323*cx_azo+Sens!K330*cx_m365+Sens!K331*cx_lic+(Sens!K333+Sens!K335)*cx_ind+Sens!K338*cx_srch+(Sens!K340+Sens!K342)*cx_dev</f>
        <v>61.7224770607185</v>
      </c>
    </row>
    <row r="409" customFormat="false" ht="17.15" hidden="false" customHeight="false" outlineLevel="0" collapsed="false">
      <c r="A409" s="0" t="s">
        <v>1110</v>
      </c>
      <c r="B409" s="0" t="s">
        <v>98</v>
      </c>
      <c r="F409" s="6" t="n">
        <f aca="false">Sens!F313</f>
        <v>1.94586576753863E-005</v>
      </c>
      <c r="L409" s="1" t="s">
        <v>1111</v>
      </c>
    </row>
    <row r="410" customFormat="false" ht="17.15" hidden="false" customHeight="false" outlineLevel="0" collapsed="false">
      <c r="A410" s="1" t="s">
        <v>1112</v>
      </c>
      <c r="B410" s="0" t="s">
        <v>98</v>
      </c>
      <c r="E410" s="6" t="n">
        <f aca="false">Q!M43</f>
        <v>145.3</v>
      </c>
      <c r="F410" s="6" t="n">
        <f aca="false">Sens!F407+Sens!F408+Sens!F409</f>
        <v>204.2</v>
      </c>
      <c r="G410" s="6" t="n">
        <f aca="false">Sens!G407+Sens!G408</f>
        <v>233.304883103296</v>
      </c>
      <c r="H410" s="6" t="n">
        <f aca="false">Sens!H407+Sens!H408</f>
        <v>243.866549033074</v>
      </c>
      <c r="I410" s="6" t="n">
        <f aca="false">Sens!I407+Sens!I408</f>
        <v>221.102227302467</v>
      </c>
      <c r="J410" s="6" t="n">
        <f aca="false">Sens!J407+Sens!J408</f>
        <v>186.33564598765</v>
      </c>
      <c r="K410" s="6" t="n">
        <f aca="false">Sens!K407+Sens!K408</f>
        <v>180.685330125451</v>
      </c>
      <c r="L410" s="1" t="s">
        <v>1113</v>
      </c>
    </row>
    <row r="411" customFormat="false" ht="15" hidden="false" customHeight="false" outlineLevel="0" collapsed="false">
      <c r="A411" s="1" t="s">
        <v>1114</v>
      </c>
      <c r="B411" s="0" t="s">
        <v>98</v>
      </c>
      <c r="E411" s="6" t="n">
        <f aca="false">fl_liab</f>
        <v>66.594</v>
      </c>
      <c r="F411" s="6" t="n">
        <f aca="false">Sens!E411-Sens!F412</f>
        <v>62.46973</v>
      </c>
      <c r="G411" s="6" t="n">
        <f aca="false">Sens!F411-Sens!G412</f>
        <v>57.98686785</v>
      </c>
      <c r="H411" s="6" t="n">
        <f aca="false">Sens!G411-Sens!H412</f>
        <v>53.92827690325</v>
      </c>
      <c r="I411" s="6" t="n">
        <f aca="false">Sens!H411-Sens!I412</f>
        <v>49.7850493638962</v>
      </c>
      <c r="J411" s="6" t="n">
        <f aca="false">Sens!I411-Sens!J412</f>
        <v>45.4823765852716</v>
      </c>
      <c r="K411" s="6" t="n">
        <f aca="false">Sens!J411-Sens!K412</f>
        <v>40.9860835316088</v>
      </c>
    </row>
    <row r="412" customFormat="false" ht="15" hidden="false" customHeight="false" outlineLevel="0" collapsed="false">
      <c r="A412" s="1" t="s">
        <v>1115</v>
      </c>
      <c r="B412" s="0" t="s">
        <v>98</v>
      </c>
      <c r="F412" s="6" t="n">
        <f aca="false">fl_pay_27-Sens!E411*fl_rate</f>
        <v>4.12427</v>
      </c>
      <c r="G412" s="6" t="n">
        <f aca="false">fl_pay_28-Sens!F411*fl_rate</f>
        <v>4.48286215</v>
      </c>
      <c r="H412" s="6" t="n">
        <f aca="false">fl_pay_29-Sens!G411*fl_rate</f>
        <v>4.05859094675</v>
      </c>
      <c r="I412" s="6" t="n">
        <f aca="false">fl_pay_30-Sens!H411*fl_rate</f>
        <v>4.14322753935375</v>
      </c>
      <c r="J412" s="6" t="n">
        <f aca="false">fl_pay_31-Sens!I411*fl_rate</f>
        <v>4.30267277862467</v>
      </c>
      <c r="K412" s="6" t="n">
        <f aca="false">fl_pay_32-Sens!J411*fl_rate</f>
        <v>4.49629305366278</v>
      </c>
    </row>
    <row r="413" customFormat="false" ht="17.15" hidden="false" customHeight="false" outlineLevel="0" collapsed="false">
      <c r="A413" s="1" t="s">
        <v>1116</v>
      </c>
      <c r="B413" s="0" t="s">
        <v>98</v>
      </c>
      <c r="E413" s="6" t="n">
        <f aca="false">Q!M35-Q!M36-Q!M44</f>
        <v>63.886</v>
      </c>
      <c r="F413" s="6" t="n">
        <f aca="false">Sens!F406-Sens!F410-Sens!F412</f>
        <v>11.2717874995055</v>
      </c>
      <c r="G413" s="6" t="n">
        <f aca="false">Sens!G406-Sens!G410-Sens!G412</f>
        <v>22.917306351062</v>
      </c>
      <c r="H413" s="6" t="n">
        <f aca="false">Sens!H406-Sens!H410-Sens!H412</f>
        <v>62.2118750539102</v>
      </c>
      <c r="I413" s="6" t="n">
        <f aca="false">Sens!I406-Sens!I410-Sens!I412</f>
        <v>130.479383975531</v>
      </c>
      <c r="J413" s="6" t="n">
        <f aca="false">Sens!J406-Sens!J410-Sens!J412</f>
        <v>202.171942700621</v>
      </c>
      <c r="K413" s="6" t="n">
        <f aca="false">Sens!K406-Sens!K410-Sens!K412</f>
        <v>237.234113926707</v>
      </c>
      <c r="L413" s="12" t="s">
        <v>1117</v>
      </c>
    </row>
    <row r="414" customFormat="false" ht="15" hidden="false" customHeight="false" outlineLevel="0" collapsed="false">
      <c r="A414" s="1" t="s">
        <v>1118</v>
      </c>
      <c r="B414" s="0" t="s">
        <v>75</v>
      </c>
      <c r="F414" s="8" t="n">
        <f aca="false">dps_27</f>
        <v>3.85</v>
      </c>
      <c r="G414" s="8" t="n">
        <f aca="false">Sens!F414*(1+dps_g)</f>
        <v>4.158</v>
      </c>
      <c r="H414" s="8" t="n">
        <f aca="false">Sens!G414*(1+dps_g)</f>
        <v>4.49064</v>
      </c>
      <c r="I414" s="8" t="n">
        <f aca="false">Sens!H414*(1+dps_g)</f>
        <v>4.8498912</v>
      </c>
      <c r="J414" s="8" t="n">
        <f aca="false">Sens!I414*(1+dps_g)</f>
        <v>5.237882496</v>
      </c>
      <c r="K414" s="8" t="n">
        <f aca="false">Sens!J414*(1+dps_g)</f>
        <v>5.65691309568</v>
      </c>
    </row>
    <row r="415" customFormat="false" ht="17.15" hidden="false" customHeight="false" outlineLevel="0" collapsed="false">
      <c r="A415" s="1" t="s">
        <v>1119</v>
      </c>
      <c r="B415" s="0" t="s">
        <v>98</v>
      </c>
      <c r="E415" s="6" t="n">
        <f aca="false">Q!M41</f>
        <v>26.445</v>
      </c>
      <c r="F415" s="6" t="n">
        <f aca="false">Sens!F414*Sens!E424</f>
        <v>28.59395</v>
      </c>
      <c r="G415" s="6" t="n">
        <f aca="false">Sens!G414*Sens!F424</f>
        <v>31.0665353021685</v>
      </c>
      <c r="H415" s="6" t="n">
        <f aca="false">Sens!H414*Sens!G424</f>
        <v>33.753936926342</v>
      </c>
      <c r="I415" s="6" t="n">
        <f aca="false">Sens!I414*Sens!H424</f>
        <v>36.504690157522</v>
      </c>
      <c r="J415" s="6" t="n">
        <f aca="false">Sens!J414*Sens!I424</f>
        <v>39.4929632555164</v>
      </c>
      <c r="K415" s="6" t="n">
        <f aca="false">Sens!K414*Sens!J424</f>
        <v>42.739154578336</v>
      </c>
      <c r="L415" s="1" t="s">
        <v>1120</v>
      </c>
    </row>
    <row r="416" customFormat="false" ht="15" hidden="false" customHeight="false" outlineLevel="0" collapsed="false">
      <c r="A416" s="1" t="s">
        <v>1121</v>
      </c>
      <c r="B416" s="0" t="s">
        <v>98</v>
      </c>
      <c r="E416" s="6" t="n">
        <f aca="false">Sens!E413-Sens!E415</f>
        <v>37.441</v>
      </c>
      <c r="F416" s="6" t="n">
        <f aca="false">Sens!F413-Sens!F415</f>
        <v>-17.3221625004945</v>
      </c>
      <c r="G416" s="6" t="n">
        <f aca="false">Sens!G413-Sens!G415</f>
        <v>-8.14922895110651</v>
      </c>
      <c r="H416" s="6" t="n">
        <f aca="false">Sens!H413-Sens!H415</f>
        <v>28.4579381275682</v>
      </c>
      <c r="I416" s="6" t="n">
        <f aca="false">Sens!I413-Sens!I415</f>
        <v>93.9746938180087</v>
      </c>
      <c r="J416" s="6" t="n">
        <f aca="false">Sens!J413-Sens!J415</f>
        <v>162.678979445105</v>
      </c>
      <c r="K416" s="6" t="n">
        <f aca="false">Sens!K413-Sens!K415</f>
        <v>194.494959348371</v>
      </c>
    </row>
    <row r="417" customFormat="false" ht="15" hidden="false" customHeight="false" outlineLevel="0" collapsed="false">
      <c r="A417" s="1" t="s">
        <v>1122</v>
      </c>
      <c r="B417" s="0" t="s">
        <v>98</v>
      </c>
      <c r="F417" s="6" t="n">
        <f aca="false">debt_mat_27</f>
        <v>9.25</v>
      </c>
      <c r="G417" s="6" t="n">
        <f aca="false">debt_mat_28</f>
        <v>0</v>
      </c>
      <c r="H417" s="6" t="n">
        <f aca="false">debt_mat_29</f>
        <v>2.001</v>
      </c>
      <c r="I417" s="6" t="n">
        <f aca="false">debt_mat_30</f>
        <v>0</v>
      </c>
      <c r="J417" s="6" t="n">
        <f aca="false">debt_mat_31</f>
        <v>0.5</v>
      </c>
      <c r="K417" s="6" t="n">
        <f aca="false">debt_mat_32</f>
        <v>0</v>
      </c>
    </row>
    <row r="418" customFormat="false" ht="15" hidden="false" customHeight="false" outlineLevel="0" collapsed="false">
      <c r="A418" s="1" t="s">
        <v>1123</v>
      </c>
      <c r="B418" s="0" t="s">
        <v>98</v>
      </c>
      <c r="E418" s="6" t="n">
        <f aca="false">Q!M40</f>
        <v>22.271</v>
      </c>
      <c r="F418" s="6" t="n">
        <f aca="false">MAX(0,MIN(bb_target,Sens!E420+Sens!F416-Sens!F417-min_cash))</f>
        <v>0.270837499505504</v>
      </c>
      <c r="G418" s="6" t="n">
        <f aca="false">MAX(0,MIN(bb_target,Sens!F420+Sens!G416-Sens!G417-min_cash))</f>
        <v>0</v>
      </c>
      <c r="H418" s="6" t="n">
        <f aca="false">MAX(0,MIN(bb_target,Sens!G420+Sens!H416-Sens!H417-min_cash))</f>
        <v>22.271</v>
      </c>
      <c r="I418" s="6" t="n">
        <f aca="false">MAX(0,MIN(bb_target,Sens!H420+Sens!I416-Sens!I417-min_cash))</f>
        <v>22.271</v>
      </c>
      <c r="J418" s="6" t="n">
        <f aca="false">MAX(0,MIN(bb_target,Sens!I420+Sens!J416-Sens!J417-min_cash))</f>
        <v>22.271</v>
      </c>
      <c r="K418" s="6" t="n">
        <f aca="false">MAX(0,MIN(bb_target,Sens!J420+Sens!K416-Sens!K417-min_cash))</f>
        <v>22.271</v>
      </c>
    </row>
    <row r="419" customFormat="false" ht="15" hidden="false" customHeight="false" outlineLevel="0" collapsed="false">
      <c r="A419" s="1" t="s">
        <v>1124</v>
      </c>
      <c r="B419" s="0" t="s">
        <v>98</v>
      </c>
      <c r="F419" s="6" t="n">
        <f aca="false">MAX(0,min_cash-(Sens!E420+Sens!F416-Sens!F417-Sens!F418))</f>
        <v>0</v>
      </c>
      <c r="G419" s="6" t="n">
        <f aca="false">MAX(0,min_cash-(Sens!F420+Sens!G416-Sens!G417-Sens!G418))</f>
        <v>8.14922895110651</v>
      </c>
      <c r="H419" s="6" t="n">
        <f aca="false">MAX(0,min_cash-(Sens!G420+Sens!H416-Sens!H417-Sens!H418))</f>
        <v>0</v>
      </c>
      <c r="I419" s="6" t="n">
        <f aca="false">MAX(0,min_cash-(Sens!H420+Sens!I416-Sens!I417-Sens!I418))</f>
        <v>0</v>
      </c>
      <c r="J419" s="6" t="n">
        <f aca="false">MAX(0,min_cash-(Sens!I420+Sens!J416-Sens!J417-Sens!J418))</f>
        <v>0</v>
      </c>
      <c r="K419" s="6" t="n">
        <f aca="false">MAX(0,min_cash-(Sens!J420+Sens!K416-Sens!K417-Sens!K418))</f>
        <v>0</v>
      </c>
    </row>
    <row r="420" customFormat="false" ht="15" hidden="false" customHeight="false" outlineLevel="0" collapsed="false">
      <c r="A420" s="1" t="s">
        <v>1125</v>
      </c>
      <c r="B420" s="0" t="s">
        <v>98</v>
      </c>
      <c r="E420" s="6" t="n">
        <f aca="false">cash_open</f>
        <v>76.843</v>
      </c>
      <c r="F420" s="6" t="n">
        <f aca="false">Sens!E420+Sens!F416-Sens!F417-Sens!F418+Sens!F419</f>
        <v>50</v>
      </c>
      <c r="G420" s="6" t="n">
        <f aca="false">Sens!F420+Sens!G416-Sens!G417-Sens!G418+Sens!G419</f>
        <v>50</v>
      </c>
      <c r="H420" s="6" t="n">
        <f aca="false">Sens!G420+Sens!H416-Sens!H417-Sens!H418+Sens!H419</f>
        <v>54.1859381275682</v>
      </c>
      <c r="I420" s="6" t="n">
        <f aca="false">Sens!H420+Sens!I416-Sens!I417-Sens!I418+Sens!I419</f>
        <v>125.889631945577</v>
      </c>
      <c r="J420" s="6" t="n">
        <f aca="false">Sens!I420+Sens!J416-Sens!J417-Sens!J418+Sens!J419</f>
        <v>265.797611390682</v>
      </c>
      <c r="K420" s="6" t="n">
        <f aca="false">Sens!J420+Sens!K416-Sens!K417-Sens!K418+Sens!K419</f>
        <v>438.021570739053</v>
      </c>
    </row>
    <row r="421" customFormat="false" ht="15" hidden="false" customHeight="false" outlineLevel="0" collapsed="false">
      <c r="A421" s="1" t="s">
        <v>1126</v>
      </c>
      <c r="B421" s="0" t="s">
        <v>98</v>
      </c>
      <c r="E421" s="6" t="n">
        <f aca="false">debt_face</f>
        <v>46.136</v>
      </c>
      <c r="F421" s="6" t="n">
        <f aca="false">Sens!E421-Sens!F417+Sens!F419</f>
        <v>36.886</v>
      </c>
      <c r="G421" s="6" t="n">
        <f aca="false">Sens!F421-Sens!G417+Sens!G419</f>
        <v>45.0352289511065</v>
      </c>
      <c r="H421" s="6" t="n">
        <f aca="false">Sens!G421-Sens!H417+Sens!H419</f>
        <v>43.0342289511065</v>
      </c>
      <c r="I421" s="6" t="n">
        <f aca="false">Sens!H421-Sens!I417+Sens!I419</f>
        <v>43.0342289511065</v>
      </c>
      <c r="J421" s="6" t="n">
        <f aca="false">Sens!I421-Sens!J417+Sens!J419</f>
        <v>42.5342289511065</v>
      </c>
      <c r="K421" s="6" t="n">
        <f aca="false">Sens!J421-Sens!K417+Sens!K419</f>
        <v>42.5342289511065</v>
      </c>
    </row>
    <row r="422" customFormat="false" ht="15" hidden="false" customHeight="false" outlineLevel="0" collapsed="false">
      <c r="A422" s="1" t="s">
        <v>1127</v>
      </c>
      <c r="B422" s="0" t="s">
        <v>98</v>
      </c>
      <c r="E422" s="6" t="n">
        <f aca="false">Sens!E420-Sens!E421</f>
        <v>30.707</v>
      </c>
      <c r="F422" s="6" t="n">
        <f aca="false">Sens!F420-Sens!F421</f>
        <v>13.114</v>
      </c>
      <c r="G422" s="6" t="n">
        <f aca="false">Sens!G420-Sens!G421</f>
        <v>4.96477104889349</v>
      </c>
      <c r="H422" s="6" t="n">
        <f aca="false">Sens!H420-Sens!H421</f>
        <v>11.1517091764617</v>
      </c>
      <c r="I422" s="6" t="n">
        <f aca="false">Sens!I420-Sens!I421</f>
        <v>82.8554029944703</v>
      </c>
      <c r="J422" s="6" t="n">
        <f aca="false">Sens!J420-Sens!J421</f>
        <v>223.263382439575</v>
      </c>
      <c r="K422" s="6" t="n">
        <f aca="false">Sens!K420-Sens!K421</f>
        <v>395.487341787946</v>
      </c>
    </row>
    <row r="423" customFormat="false" ht="15" hidden="false" customHeight="false" outlineLevel="0" collapsed="false">
      <c r="A423" s="1" t="s">
        <v>1128</v>
      </c>
      <c r="B423" s="0" t="s">
        <v>75</v>
      </c>
      <c r="F423" s="30" t="n">
        <f aca="false">px*(1+bb_g)^(Sens!F281-base_fy-mid_yr)</f>
        <v>551.84177959629</v>
      </c>
      <c r="G423" s="30" t="n">
        <f aca="false">px*(1+bb_g)^(Sens!G281-base_fy-mid_yr)</f>
        <v>595.989121963993</v>
      </c>
      <c r="H423" s="30" t="n">
        <f aca="false">px*(1+bb_g)^(Sens!H281-base_fy-mid_yr)</f>
        <v>643.668251721112</v>
      </c>
      <c r="I423" s="30" t="n">
        <f aca="false">px*(1+bb_g)^(Sens!I281-base_fy-mid_yr)</f>
        <v>695.161711858801</v>
      </c>
      <c r="J423" s="30" t="n">
        <f aca="false">px*(1+bb_g)^(Sens!J281-base_fy-mid_yr)</f>
        <v>750.774648807506</v>
      </c>
      <c r="K423" s="30" t="n">
        <f aca="false">px*(1+bb_g)^(Sens!K281-base_fy-mid_yr)</f>
        <v>810.836620712106</v>
      </c>
    </row>
    <row r="424" customFormat="false" ht="15" hidden="false" customHeight="false" outlineLevel="0" collapsed="false">
      <c r="A424" s="1" t="s">
        <v>1129</v>
      </c>
      <c r="B424" s="1" t="s">
        <v>81</v>
      </c>
      <c r="E424" s="15" t="n">
        <f aca="false">sh_out26</f>
        <v>7.427</v>
      </c>
      <c r="F424" s="15" t="n">
        <f aca="false">Sens!E424+sh_iss-Sens!F418/Sens!F423</f>
        <v>7.47150921168074</v>
      </c>
      <c r="G424" s="15" t="n">
        <f aca="false">Sens!F424+sh_iss-Sens!G418/Sens!G423</f>
        <v>7.51650921168074</v>
      </c>
      <c r="H424" s="15" t="n">
        <f aca="false">Sens!G424+sh_iss-Sens!H418/Sens!H423</f>
        <v>7.52690908973834</v>
      </c>
      <c r="I424" s="15" t="n">
        <f aca="false">Sens!H424+sh_iss-Sens!I418/Sens!I423</f>
        <v>7.53987193979168</v>
      </c>
      <c r="J424" s="15" t="n">
        <f aca="false">Sens!I424+sh_iss-Sens!J418/Sens!J423</f>
        <v>7.55520791206329</v>
      </c>
      <c r="K424" s="15" t="n">
        <f aca="false">Sens!J424+sh_iss-Sens!K418/Sens!K423</f>
        <v>7.57274121972218</v>
      </c>
    </row>
    <row r="425" customFormat="false" ht="15" hidden="false" customHeight="false" outlineLevel="0" collapsed="false">
      <c r="A425" s="1" t="s">
        <v>1130</v>
      </c>
      <c r="B425" s="1" t="s">
        <v>81</v>
      </c>
      <c r="E425" s="15" t="n">
        <f aca="false">sh_dil26</f>
        <v>7.453</v>
      </c>
      <c r="F425" s="15" t="n">
        <f aca="false">(Sens!E424+Sens!F424)/2+dil_gap</f>
        <v>7.47325460584037</v>
      </c>
      <c r="G425" s="15" t="n">
        <f aca="false">(Sens!F424+Sens!G424)/2+dil_gap</f>
        <v>7.51800921168074</v>
      </c>
      <c r="H425" s="15" t="n">
        <f aca="false">(Sens!G424+Sens!H424)/2+dil_gap</f>
        <v>7.54570915070954</v>
      </c>
      <c r="I425" s="15" t="n">
        <f aca="false">(Sens!H424+Sens!I424)/2+dil_gap</f>
        <v>7.55739051476501</v>
      </c>
      <c r="J425" s="15" t="n">
        <f aca="false">(Sens!I424+Sens!J424)/2+dil_gap</f>
        <v>7.57153992592748</v>
      </c>
      <c r="K425" s="15" t="n">
        <f aca="false">(Sens!J424+Sens!K424)/2+dil_gap</f>
        <v>7.58797456589273</v>
      </c>
    </row>
    <row r="426" customFormat="false" ht="17.15" hidden="false" customHeight="false" outlineLevel="0" collapsed="false">
      <c r="A426" s="1" t="s">
        <v>1131</v>
      </c>
      <c r="B426" s="0" t="s">
        <v>98</v>
      </c>
      <c r="C426" s="6" t="n">
        <f aca="false">SUM(Sens!F416:J416)</f>
        <v>259.640219939081</v>
      </c>
    </row>
    <row r="427" customFormat="false" ht="15" hidden="false" customHeight="false" outlineLevel="0" collapsed="false">
      <c r="A427" s="26" t="s">
        <v>1096</v>
      </c>
      <c r="B427" s="31" t="s">
        <v>98</v>
      </c>
      <c r="C427" s="27" t="n">
        <f aca="false">Sens!$C$426-(Sens!F416+Sens!G416+Sens!H416+Sens!I416+Sens!J416)</f>
        <v>0</v>
      </c>
      <c r="D427" s="31"/>
      <c r="E427" s="31"/>
      <c r="F427" s="31"/>
      <c r="G427" s="31"/>
      <c r="H427" s="31"/>
      <c r="I427" s="31"/>
      <c r="J427" s="31"/>
      <c r="K427" s="31"/>
    </row>
    <row r="428" customFormat="false" ht="17.15" hidden="false" customHeight="false" outlineLevel="0" collapsed="false">
      <c r="A428" s="1" t="s">
        <v>1090</v>
      </c>
      <c r="B428" s="1" t="s">
        <v>1132</v>
      </c>
      <c r="C428" s="33" t="str">
        <f aca="false">IF(SUM(Sens!F419:J419)&gt;0.05,"需要舉債 "&amp;TEXT(SUM(Sens!F419:J419),"0.0")&amp;" 十億美元","不需舉債")&amp;"；"&amp;IF(SUM(Sens!F418:J418)&lt;COUNT(Sens!F418:J418)*bb_target-0.05,"回購較每年 "&amp;TEXT(bb_target,"0.0")&amp;" 的目標少 "&amp;TEXT(COUNT(Sens!F418:J418)*bb_target-SUM(Sens!F418:J418),"0.0")&amp;" 十億美元（"&amp;TEXT(COUNTIF(Sens!F418:J418,"&lt;"&amp;(bb_target-0.05)),"0")&amp;" 年減少）","回購不減")</f>
        <v>需要舉債 8.1 十億美元；回購較每年 22.3 的目標少 44.3 十億美元（2 年減少）</v>
      </c>
    </row>
    <row r="429" customFormat="false" ht="17.15" hidden="false" customHeight="false" outlineLevel="0" collapsed="false">
      <c r="A429" s="3" t="s">
        <v>1489</v>
      </c>
    </row>
    <row r="430" customFormat="false" ht="15" hidden="false" customHeight="false" outlineLevel="0" collapsed="false">
      <c r="A430" s="4" t="s">
        <v>43</v>
      </c>
      <c r="B430" s="4" t="s">
        <v>65</v>
      </c>
      <c r="C430" s="23" t="s">
        <v>938</v>
      </c>
      <c r="D430" s="23" t="s">
        <v>939</v>
      </c>
      <c r="E430" s="23" t="s">
        <v>940</v>
      </c>
      <c r="F430" s="23" t="s">
        <v>941</v>
      </c>
      <c r="G430" s="23" t="s">
        <v>942</v>
      </c>
      <c r="H430" s="23" t="s">
        <v>943</v>
      </c>
      <c r="I430" s="23" t="s">
        <v>944</v>
      </c>
      <c r="J430" s="23" t="s">
        <v>945</v>
      </c>
      <c r="K430" s="23" t="s">
        <v>946</v>
      </c>
      <c r="L430" s="4" t="s">
        <v>47</v>
      </c>
    </row>
    <row r="431" customFormat="false" ht="17.15" hidden="false" customHeight="false" outlineLevel="0" collapsed="false">
      <c r="A431" s="1" t="s">
        <v>1212</v>
      </c>
      <c r="B431" s="1" t="s">
        <v>279</v>
      </c>
      <c r="F431" s="8" t="n">
        <f aca="false">(1-v_off)*mid_yr</f>
        <v>0.373972602739726</v>
      </c>
      <c r="G431" s="8" t="n">
        <f aca="false">Sens!G281-base_fy-mid_yr-v_off</f>
        <v>1.24794520547945</v>
      </c>
      <c r="H431" s="8" t="n">
        <f aca="false">Sens!H281-base_fy-mid_yr-v_off</f>
        <v>2.24794520547945</v>
      </c>
      <c r="I431" s="8" t="n">
        <f aca="false">Sens!I281-base_fy-mid_yr-v_off</f>
        <v>3.24794520547945</v>
      </c>
      <c r="J431" s="8" t="n">
        <f aca="false">Sens!J281-base_fy-mid_yr-v_off</f>
        <v>4.24794520547945</v>
      </c>
      <c r="K431" s="8" t="n">
        <f aca="false">Sens!K281-base_fy-mid_yr-v_off</f>
        <v>5.24794520547945</v>
      </c>
      <c r="L431" s="12" t="s">
        <v>1213</v>
      </c>
    </row>
    <row r="432" customFormat="false" ht="15" hidden="false" customHeight="false" outlineLevel="0" collapsed="false">
      <c r="A432" s="1" t="s">
        <v>1214</v>
      </c>
      <c r="B432" s="1" t="s">
        <v>279</v>
      </c>
      <c r="F432" s="8" t="n">
        <f aca="false">Sens!F281-base_fy-v_off</f>
        <v>0.747945205479452</v>
      </c>
      <c r="G432" s="8" t="n">
        <f aca="false">Sens!G281-base_fy-v_off</f>
        <v>1.74794520547945</v>
      </c>
      <c r="H432" s="8" t="n">
        <f aca="false">Sens!H281-base_fy-v_off</f>
        <v>2.74794520547945</v>
      </c>
      <c r="I432" s="8" t="n">
        <f aca="false">Sens!I281-base_fy-v_off</f>
        <v>3.74794520547945</v>
      </c>
      <c r="J432" s="8" t="n">
        <f aca="false">Sens!J281-base_fy-v_off</f>
        <v>4.74794520547945</v>
      </c>
      <c r="K432" s="8" t="n">
        <f aca="false">Sens!K281-base_fy-v_off</f>
        <v>5.74794520547945</v>
      </c>
    </row>
    <row r="433" customFormat="false" ht="15" hidden="false" customHeight="false" outlineLevel="0" collapsed="false">
      <c r="A433" s="1" t="s">
        <v>1215</v>
      </c>
      <c r="B433" s="0" t="s">
        <v>229</v>
      </c>
      <c r="F433" s="15" t="n">
        <f aca="false">1/(1+wacc)^Sens!F431</f>
        <v>0.964022703286649</v>
      </c>
      <c r="G433" s="15" t="n">
        <f aca="false">1/(1+wacc)^Sens!G431</f>
        <v>0.884910302296739</v>
      </c>
      <c r="H433" s="15" t="n">
        <f aca="false">1/(1+wacc)^Sens!H431</f>
        <v>0.802322009770358</v>
      </c>
      <c r="I433" s="15" t="n">
        <f aca="false">1/(1+wacc)^Sens!I431</f>
        <v>0.727441646561469</v>
      </c>
      <c r="J433" s="15" t="n">
        <f aca="false">1/(1+wacc)^Sens!J431</f>
        <v>0.659549834988973</v>
      </c>
      <c r="K433" s="15" t="n">
        <f aca="false">1/(1+wacc)^Sens!K431</f>
        <v>0.597994336576966</v>
      </c>
    </row>
    <row r="434" customFormat="false" ht="17.15" hidden="false" customHeight="false" outlineLevel="0" collapsed="false">
      <c r="A434" s="1" t="s">
        <v>1216</v>
      </c>
      <c r="B434" s="0" t="s">
        <v>98</v>
      </c>
      <c r="F434" s="6" t="n">
        <f aca="false">Q!$I$35-Q!$I$39-Q!$I$43</f>
        <v>9.666</v>
      </c>
      <c r="L434" s="12" t="s">
        <v>1217</v>
      </c>
    </row>
    <row r="435" customFormat="false" ht="17.15" hidden="false" customHeight="false" outlineLevel="0" collapsed="false">
      <c r="A435" s="1" t="s">
        <v>1218</v>
      </c>
      <c r="B435" s="0" t="s">
        <v>98</v>
      </c>
      <c r="F435" s="6" t="n">
        <f aca="false">Sens!F406-Sens!F403-Sens!F410+Sens!F388*(1-tax_f)*(1-v_off)-Sens!F434</f>
        <v>-9.18748633824092</v>
      </c>
      <c r="G435" s="6" t="n">
        <f aca="false">Sens!G406-Sens!G403-Sens!G410+Sens!G388*(1-tax_f)</f>
        <v>9.58818462981989</v>
      </c>
      <c r="H435" s="6" t="n">
        <f aca="false">Sens!H406-Sens!H403-Sens!H410+Sens!H388*(1-tax_f)</f>
        <v>45.4959598519693</v>
      </c>
      <c r="I435" s="6" t="n">
        <f aca="false">Sens!I406-Sens!I403-Sens!I410+Sens!I388*(1-tax_f)</f>
        <v>111.127373207346</v>
      </c>
      <c r="J435" s="6" t="n">
        <f aca="false">Sens!J406-Sens!J403-Sens!J410+Sens!J388*(1-tax_f)</f>
        <v>180.751320170966</v>
      </c>
      <c r="K435" s="6" t="n">
        <f aca="false">Sens!K406-Sens!K403-Sens!K410+Sens!K388*(1-tax_f)</f>
        <v>214.217197212346</v>
      </c>
      <c r="L435" s="1" t="s">
        <v>1219</v>
      </c>
    </row>
    <row r="436" customFormat="false" ht="15" hidden="false" customHeight="false" outlineLevel="0" collapsed="false">
      <c r="A436" s="1" t="s">
        <v>1220</v>
      </c>
      <c r="B436" s="0" t="s">
        <v>98</v>
      </c>
      <c r="F436" s="6" t="n">
        <f aca="false">Sens!F435*Sens!F433</f>
        <v>-8.85694541620016</v>
      </c>
      <c r="G436" s="6" t="n">
        <f aca="false">Sens!G435*Sens!G433</f>
        <v>8.48468335925087</v>
      </c>
      <c r="H436" s="6" t="n">
        <f aca="false">Sens!H435*Sens!H433</f>
        <v>36.5024099448635</v>
      </c>
      <c r="I436" s="6" t="n">
        <f aca="false">Sens!I435*Sens!I433</f>
        <v>80.8386793440023</v>
      </c>
      <c r="J436" s="6" t="n">
        <f aca="false">Sens!J435*Sens!J433</f>
        <v>119.214503392799</v>
      </c>
      <c r="K436" s="6" t="n">
        <f aca="false">Sens!K435*Sens!K433</f>
        <v>128.100670730374</v>
      </c>
    </row>
    <row r="437" customFormat="false" ht="17.15" hidden="false" customHeight="false" outlineLevel="0" collapsed="false">
      <c r="A437" s="1" t="s">
        <v>1221</v>
      </c>
      <c r="B437" s="0" t="s">
        <v>98</v>
      </c>
      <c r="C437" s="6" t="n">
        <f aca="false">SUM(Sens!F436:K436)</f>
        <v>364.28400135509</v>
      </c>
    </row>
    <row r="438" customFormat="false" ht="17.15" hidden="false" customHeight="false" outlineLevel="0" collapsed="false">
      <c r="A438" s="1" t="s">
        <v>1222</v>
      </c>
      <c r="B438" s="0" t="s">
        <v>98</v>
      </c>
      <c r="C438" s="6" t="n">
        <f aca="false">Sens!K374*(1+g_tv)*(1-tax_f)</f>
        <v>223.70702802407</v>
      </c>
    </row>
    <row r="439" customFormat="false" ht="17.15" hidden="false" customHeight="false" outlineLevel="0" collapsed="false">
      <c r="A439" s="1" t="s">
        <v>1223</v>
      </c>
      <c r="B439" s="0" t="s">
        <v>98</v>
      </c>
      <c r="C439" s="6" t="n">
        <f aca="false">Sens!$C$438*(1-g_tv/(wacc+ronic_prem))</f>
        <v>158.509504198271</v>
      </c>
    </row>
    <row r="440" customFormat="false" ht="17.15" hidden="false" customHeight="false" outlineLevel="0" collapsed="false">
      <c r="A440" s="1" t="s">
        <v>1224</v>
      </c>
      <c r="B440" s="0" t="s">
        <v>98</v>
      </c>
      <c r="C440" s="6" t="n">
        <f aca="false">Sens!$C$439/(wacc-g_tv)</f>
        <v>2173.2507941933</v>
      </c>
    </row>
    <row r="441" customFormat="false" ht="15" hidden="false" customHeight="false" outlineLevel="0" collapsed="false">
      <c r="A441" s="1" t="s">
        <v>1225</v>
      </c>
      <c r="B441" s="0" t="s">
        <v>98</v>
      </c>
      <c r="C441" s="6" t="n">
        <f aca="false">Sens!$C$440/(1+wacc)^Sens!K432</f>
        <v>1237.46135579098</v>
      </c>
    </row>
    <row r="442" customFormat="false" ht="17.15" hidden="false" customHeight="false" outlineLevel="0" collapsed="false">
      <c r="A442" s="0" t="s">
        <v>1226</v>
      </c>
      <c r="B442" s="0" t="s">
        <v>98</v>
      </c>
      <c r="C442" s="6" t="n">
        <f aca="false">Sens!$C$437+Sens!$C$441</f>
        <v>1601.74535714607</v>
      </c>
    </row>
    <row r="443" customFormat="false" ht="15" hidden="false" customHeight="false" outlineLevel="0" collapsed="false">
      <c r="A443" s="1" t="s">
        <v>1141</v>
      </c>
      <c r="B443" s="0" t="s">
        <v>168</v>
      </c>
      <c r="C443" s="7" t="n">
        <f aca="false">Sens!$C$441/Sens!$C$442</f>
        <v>0.77257059011917</v>
      </c>
    </row>
    <row r="444" customFormat="false" ht="17.15" hidden="false" customHeight="false" outlineLevel="0" collapsed="false">
      <c r="A444" s="1" t="s">
        <v>1227</v>
      </c>
      <c r="B444" s="0" t="s">
        <v>98</v>
      </c>
      <c r="C444" s="6" t="n">
        <f aca="false">Sens!$C$442+cash_val-debt_val-fl_val+oai_v</f>
        <v>1717.59635714607</v>
      </c>
    </row>
    <row r="445" customFormat="false" ht="17.15" hidden="false" customHeight="false" outlineLevel="0" collapsed="false">
      <c r="A445" s="0" t="s">
        <v>1149</v>
      </c>
      <c r="B445" s="0" t="s">
        <v>75</v>
      </c>
      <c r="C445" s="5" t="n">
        <f aca="false">Sens!$C$444/shd_val</f>
        <v>230.673698246853</v>
      </c>
    </row>
    <row r="446" customFormat="false" ht="15" hidden="false" customHeight="false" outlineLevel="0" collapsed="false">
      <c r="A446" s="1" t="s">
        <v>1228</v>
      </c>
      <c r="B446" s="0" t="s">
        <v>75</v>
      </c>
      <c r="C446" s="8" t="n">
        <f aca="false">div_rem27+Sens!G414*roll_div_q/q_per_yr</f>
        <v>3.9795</v>
      </c>
    </row>
    <row r="447" customFormat="false" ht="17.15" hidden="false" customHeight="false" outlineLevel="0" collapsed="false">
      <c r="A447" s="0" t="s">
        <v>1229</v>
      </c>
      <c r="B447" s="0" t="s">
        <v>75</v>
      </c>
      <c r="C447" s="5" t="n">
        <f aca="false">Sens!$C$445*(1+wacc)^t_roll-Sens!$C$446</f>
        <v>252.427189672056</v>
      </c>
    </row>
    <row r="448" customFormat="false" ht="17.15" hidden="false" customHeight="false" outlineLevel="0" collapsed="false">
      <c r="A448" s="1" t="s">
        <v>1230</v>
      </c>
      <c r="B448" s="0" t="s">
        <v>168</v>
      </c>
      <c r="F448" s="7" t="n">
        <f aca="false">Sens!F400/(Sens!F345-Sens!F300)</f>
        <v>0.0686195668908011</v>
      </c>
      <c r="G448" s="7" t="n">
        <f aca="false">Sens!G400/(Sens!G345-Sens!G300)</f>
        <v>0.0658333569148391</v>
      </c>
      <c r="H448" s="7" t="n">
        <f aca="false">Sens!H400/(Sens!H345-Sens!H300)</f>
        <v>0.0643895625218926</v>
      </c>
      <c r="I448" s="7" t="n">
        <f aca="false">Sens!I400/(Sens!I345-Sens!I300)</f>
        <v>0.0641676618157989</v>
      </c>
      <c r="J448" s="7" t="n">
        <f aca="false">Sens!J400/(Sens!J345-Sens!J300)</f>
        <v>0.0648858606572163</v>
      </c>
      <c r="K448" s="7" t="n">
        <f aca="false">Sens!K400/(Sens!K345-Sens!K300)</f>
        <v>0.0661974425163768</v>
      </c>
    </row>
    <row r="449" customFormat="false" ht="17.15" hidden="false" customHeight="false" outlineLevel="0" collapsed="false">
      <c r="A449" s="0" t="s">
        <v>1231</v>
      </c>
      <c r="B449" s="0" t="s">
        <v>98</v>
      </c>
      <c r="F449" s="6" t="n">
        <f aca="false">Sens!F330*(al_m365+Sens!F448+sbc_r)</f>
        <v>83.7205619248671</v>
      </c>
      <c r="G449" s="6" t="n">
        <f aca="false">Sens!G330*(al_m365+Sens!G448+sbc_r)</f>
        <v>96.1301303332381</v>
      </c>
      <c r="H449" s="6" t="n">
        <f aca="false">Sens!H330*(al_m365+Sens!H448+sbc_r)</f>
        <v>108.70354073822</v>
      </c>
      <c r="I449" s="6" t="n">
        <f aca="false">Sens!I330*(al_m365+Sens!I448+sbc_r)</f>
        <v>120.260101315626</v>
      </c>
      <c r="J449" s="6" t="n">
        <f aca="false">Sens!J330*(al_m365+Sens!J448+sbc_r)</f>
        <v>130.611904548619</v>
      </c>
      <c r="K449" s="6" t="n">
        <f aca="false">Sens!K330*(al_m365+Sens!K448+sbc_r)</f>
        <v>140.575094974638</v>
      </c>
      <c r="L449" s="12" t="s">
        <v>1232</v>
      </c>
    </row>
    <row r="450" customFormat="false" ht="17.15" hidden="false" customHeight="false" outlineLevel="0" collapsed="false">
      <c r="A450" s="0" t="s">
        <v>1233</v>
      </c>
      <c r="B450" s="0" t="s">
        <v>98</v>
      </c>
      <c r="F450" s="6" t="n">
        <f aca="false">Sens!F331*(al_lic+Sens!F448+sbc_r)</f>
        <v>32.8577657183496</v>
      </c>
      <c r="G450" s="6" t="n">
        <f aca="false">Sens!G331*(al_lic+Sens!G448+sbc_r)</f>
        <v>34.1376266324889</v>
      </c>
      <c r="H450" s="6" t="n">
        <f aca="false">Sens!H331*(al_lic+Sens!H448+sbc_r)</f>
        <v>35.3325744664128</v>
      </c>
      <c r="I450" s="6" t="n">
        <f aca="false">Sens!I331*(al_lic+Sens!I448+sbc_r)</f>
        <v>36.4244749008727</v>
      </c>
      <c r="J450" s="6" t="n">
        <f aca="false">Sens!J331*(al_lic+Sens!J448+sbc_r)</f>
        <v>37.3879406068527</v>
      </c>
      <c r="K450" s="6" t="n">
        <f aca="false">Sens!K331*(al_lic+Sens!K448+sbc_r)</f>
        <v>38.1943876078259</v>
      </c>
    </row>
    <row r="451" customFormat="false" ht="17.15" hidden="false" customHeight="false" outlineLevel="0" collapsed="false">
      <c r="A451" s="0" t="s">
        <v>1234</v>
      </c>
      <c r="B451" s="0" t="s">
        <v>98</v>
      </c>
      <c r="F451" s="6" t="n">
        <f aca="false">Sens!F333*(al_ind+Sens!F448+sbc_r)</f>
        <v>9.06041701092022</v>
      </c>
      <c r="G451" s="6" t="n">
        <f aca="false">Sens!G333*(al_ind+Sens!G448+sbc_r)</f>
        <v>9.83619082712885</v>
      </c>
      <c r="H451" s="6" t="n">
        <f aca="false">Sens!H333*(al_ind+Sens!H448+sbc_r)</f>
        <v>10.6570160105312</v>
      </c>
      <c r="I451" s="6" t="n">
        <f aca="false">Sens!I333*(al_ind+Sens!I448+sbc_r)</f>
        <v>11.5198571637125</v>
      </c>
      <c r="J451" s="6" t="n">
        <f aca="false">Sens!J333*(al_ind+Sens!J448+sbc_r)</f>
        <v>12.4150086539206</v>
      </c>
      <c r="K451" s="6" t="n">
        <f aca="false">Sens!K333*(al_ind+Sens!K448+sbc_r)</f>
        <v>13.3273714589988</v>
      </c>
    </row>
    <row r="452" customFormat="false" ht="17.15" hidden="false" customHeight="false" outlineLevel="0" collapsed="false">
      <c r="A452" s="0" t="s">
        <v>1235</v>
      </c>
      <c r="B452" s="0" t="s">
        <v>98</v>
      </c>
      <c r="F452" s="6" t="n">
        <f aca="false">Sens!F335*(al_fro+Sens!F448+sbc_r)</f>
        <v>3.55402950182022</v>
      </c>
      <c r="G452" s="6" t="n">
        <f aca="false">Sens!G335*(al_fro+Sens!G448+sbc_r)</f>
        <v>3.76361488926481</v>
      </c>
      <c r="H452" s="6" t="n">
        <f aca="false">Sens!H335*(al_fro+Sens!H448+sbc_r)</f>
        <v>4.00220968879544</v>
      </c>
      <c r="I452" s="6" t="n">
        <f aca="false">Sens!I335*(al_fro+Sens!I448+sbc_r)</f>
        <v>4.2725765173852</v>
      </c>
      <c r="J452" s="6" t="n">
        <f aca="false">Sens!J335*(al_fro+Sens!J448+sbc_r)</f>
        <v>4.57586224390293</v>
      </c>
      <c r="K452" s="6" t="n">
        <f aca="false">Sens!K335*(al_fro+Sens!K448+sbc_r)</f>
        <v>4.91213639633217</v>
      </c>
    </row>
    <row r="453" customFormat="false" ht="17.15" hidden="false" customHeight="false" outlineLevel="0" collapsed="false">
      <c r="A453" s="0" t="s">
        <v>1236</v>
      </c>
      <c r="B453" s="0" t="s">
        <v>98</v>
      </c>
      <c r="F453" s="6" t="n">
        <f aca="false">Sens!F338*(al_srch+Sens!F448+sbc_r)</f>
        <v>11.1890902994147</v>
      </c>
      <c r="G453" s="6" t="n">
        <f aca="false">Sens!G338*(al_srch+Sens!G448+sbc_r)</f>
        <v>12.261738891803</v>
      </c>
      <c r="H453" s="6" t="n">
        <f aca="false">Sens!H338*(al_srch+Sens!H448+sbc_r)</f>
        <v>13.3794863429193</v>
      </c>
      <c r="I453" s="6" t="n">
        <f aca="false">Sens!I338*(al_srch+Sens!I448+sbc_r)</f>
        <v>14.5317114787784</v>
      </c>
      <c r="J453" s="6" t="n">
        <f aca="false">Sens!J338*(al_srch+Sens!J448+sbc_r)</f>
        <v>15.6984365817724</v>
      </c>
      <c r="K453" s="6" t="n">
        <f aca="false">Sens!K338*(al_srch+Sens!K448+sbc_r)</f>
        <v>16.8520942258664</v>
      </c>
    </row>
    <row r="454" customFormat="false" ht="17.15" hidden="false" customHeight="false" outlineLevel="0" collapsed="false">
      <c r="A454" s="0" t="s">
        <v>1237</v>
      </c>
      <c r="B454" s="0" t="s">
        <v>98</v>
      </c>
      <c r="F454" s="6" t="n">
        <f aca="false">Sens!F306-Sens!F307+Sens!F388</f>
        <v>32.8032662524094</v>
      </c>
      <c r="G454" s="6" t="n">
        <f aca="false">Sens!G306-Sens!G307+Sens!G388</f>
        <v>56.216917517105</v>
      </c>
      <c r="H454" s="6" t="n">
        <f aca="false">Sens!H306-Sens!H307+Sens!H388</f>
        <v>80.9942408415544</v>
      </c>
      <c r="I454" s="6" t="n">
        <f aca="false">Sens!I306-Sens!I307+Sens!I388</f>
        <v>102.900998210339</v>
      </c>
      <c r="J454" s="6" t="n">
        <f aca="false">Sens!J306-Sens!J307+Sens!J388</f>
        <v>118.335889741813</v>
      </c>
      <c r="K454" s="6" t="n">
        <f aca="false">Sens!K306-Sens!K307+Sens!K388</f>
        <v>128.416584665327</v>
      </c>
    </row>
    <row r="455" customFormat="false" ht="17.15" hidden="false" customHeight="false" outlineLevel="0" collapsed="false">
      <c r="A455" s="0" t="s">
        <v>1238</v>
      </c>
      <c r="B455" s="0" t="s">
        <v>98</v>
      </c>
      <c r="F455" s="6" t="n">
        <f aca="false">Sens!F367+Sens!F388+Sens!F318+Sens!F448*(Sens!F337-Sens!F300)+sbc_r*Sens!F337</f>
        <v>228.350884655666</v>
      </c>
      <c r="G455" s="6" t="n">
        <f aca="false">Sens!G367+Sens!G388+Sens!G318+Sens!G448*(Sens!G337-Sens!G300)+sbc_r*Sens!G337</f>
        <v>274.633022289651</v>
      </c>
      <c r="H455" s="6" t="n">
        <f aca="false">Sens!H367+Sens!H388+Sens!H318+Sens!H448*(Sens!H337-Sens!H300)+sbc_r*Sens!H337</f>
        <v>327.173684072591</v>
      </c>
      <c r="I455" s="6" t="n">
        <f aca="false">Sens!I367+Sens!I388+Sens!I318+Sens!I448*(Sens!I337-Sens!I300)+sbc_r*Sens!I337</f>
        <v>375.460907646649</v>
      </c>
      <c r="J455" s="6" t="n">
        <f aca="false">Sens!J367+Sens!J388+Sens!J318+Sens!J448*(Sens!J337-Sens!J300)+sbc_r*Sens!J337</f>
        <v>414.81845104037</v>
      </c>
      <c r="K455" s="6" t="n">
        <f aca="false">Sens!K367+Sens!K388+Sens!K318+Sens!K448*(Sens!K337-Sens!K300)+sbc_r*Sens!K337</f>
        <v>446.429164711011</v>
      </c>
    </row>
    <row r="456" customFormat="false" ht="17.15" hidden="false" customHeight="false" outlineLevel="0" collapsed="false">
      <c r="A456" s="0" t="s">
        <v>1239</v>
      </c>
      <c r="B456" s="0" t="s">
        <v>98</v>
      </c>
      <c r="F456" s="6" t="n">
        <f aca="false">Sens!F455-Sens!F449-Sens!F450-Sens!F451-Sens!F452-Sens!F454</f>
        <v>66.3548442472996</v>
      </c>
      <c r="G456" s="6" t="n">
        <f aca="false">Sens!G455-Sens!G449-Sens!G450-Sens!G451-Sens!G452-Sens!G454</f>
        <v>74.548542090425</v>
      </c>
      <c r="H456" s="6" t="n">
        <f aca="false">Sens!H455-Sens!H449-Sens!H450-Sens!H451-Sens!H452-Sens!H454</f>
        <v>87.4841023270774</v>
      </c>
      <c r="I456" s="6" t="n">
        <f aca="false">Sens!I455-Sens!I449-Sens!I450-Sens!I451-Sens!I452-Sens!I454</f>
        <v>100.082899538713</v>
      </c>
      <c r="J456" s="6" t="n">
        <f aca="false">Sens!J455-Sens!J449-Sens!J450-Sens!J451-Sens!J452-Sens!J454</f>
        <v>111.491845245262</v>
      </c>
      <c r="K456" s="6" t="n">
        <f aca="false">Sens!K455-Sens!K449-Sens!K450-Sens!K451-Sens!K452-Sens!K454</f>
        <v>121.003589607889</v>
      </c>
    </row>
    <row r="457" customFormat="false" ht="17.15" hidden="false" customHeight="false" outlineLevel="0" collapsed="false">
      <c r="A457" s="0" t="s">
        <v>1240</v>
      </c>
      <c r="B457" s="0" t="s">
        <v>98</v>
      </c>
      <c r="F457" s="6" t="n">
        <f aca="false">Sens!F369+Sens!F448*Sens!F344+sbc_r*Sens!F344</f>
        <v>26.6336365855879</v>
      </c>
      <c r="G457" s="6" t="n">
        <f aca="false">Sens!G369+Sens!G448*Sens!G344+sbc_r*Sens!G344</f>
        <v>26.4720859498625</v>
      </c>
      <c r="H457" s="6" t="n">
        <f aca="false">Sens!H369+Sens!H448*Sens!H344+sbc_r*Sens!H344</f>
        <v>27.346793021284</v>
      </c>
      <c r="I457" s="6" t="n">
        <f aca="false">Sens!I369+Sens!I448*Sens!I344+sbc_r*Sens!I344</f>
        <v>28.4574657863154</v>
      </c>
      <c r="J457" s="6" t="n">
        <f aca="false">Sens!J369+Sens!J448*Sens!J344+sbc_r*Sens!J344</f>
        <v>29.7689890546037</v>
      </c>
      <c r="K457" s="6" t="n">
        <f aca="false">Sens!K369+Sens!K448*Sens!K344+sbc_r*Sens!K344</f>
        <v>31.2443947307494</v>
      </c>
    </row>
    <row r="458" customFormat="false" ht="17.15" hidden="false" customHeight="false" outlineLevel="0" collapsed="false">
      <c r="A458" s="0" t="s">
        <v>1241</v>
      </c>
      <c r="B458" s="0" t="s">
        <v>98</v>
      </c>
      <c r="F458" s="6" t="n">
        <f aca="false">(Sens!F457-Sens!F453)*Sens!F340/(Sens!F340+Sens!F342)</f>
        <v>8.72285608232241</v>
      </c>
      <c r="G458" s="6" t="n">
        <f aca="false">(Sens!G457-Sens!G453)*Sens!G340/(Sens!G340+Sens!G342)</f>
        <v>7.88786455444355</v>
      </c>
      <c r="H458" s="6" t="n">
        <f aca="false">(Sens!H457-Sens!H453)*Sens!H340/(Sens!H340+Sens!H342)</f>
        <v>7.65195986819674</v>
      </c>
      <c r="I458" s="6" t="n">
        <f aca="false">(Sens!I457-Sens!I453)*Sens!I340/(Sens!I340+Sens!I342)</f>
        <v>7.56260440676676</v>
      </c>
      <c r="J458" s="6" t="n">
        <f aca="false">(Sens!J457-Sens!J453)*Sens!J340/(Sens!J340+Sens!J342)</f>
        <v>7.60790100885945</v>
      </c>
      <c r="K458" s="6" t="n">
        <f aca="false">(Sens!K457-Sens!K453)*Sens!K340/(Sens!K340+Sens!K342)</f>
        <v>7.78186910160995</v>
      </c>
    </row>
    <row r="459" customFormat="false" ht="17.15" hidden="false" customHeight="false" outlineLevel="0" collapsed="false">
      <c r="A459" s="0" t="s">
        <v>1242</v>
      </c>
      <c r="B459" s="0" t="s">
        <v>98</v>
      </c>
      <c r="F459" s="6" t="n">
        <f aca="false">Sens!F457-Sens!F453-Sens!F458</f>
        <v>6.72169020385088</v>
      </c>
      <c r="G459" s="6" t="n">
        <f aca="false">Sens!G457-Sens!G453-Sens!G458</f>
        <v>6.322482503616</v>
      </c>
      <c r="H459" s="6" t="n">
        <f aca="false">Sens!H457-Sens!H453-Sens!H458</f>
        <v>6.315346810168</v>
      </c>
      <c r="I459" s="6" t="n">
        <f aca="false">Sens!I457-Sens!I453-Sens!I458</f>
        <v>6.36314990077033</v>
      </c>
      <c r="J459" s="6" t="n">
        <f aca="false">Sens!J457-Sens!J453-Sens!J458</f>
        <v>6.46265146397189</v>
      </c>
      <c r="K459" s="6" t="n">
        <f aca="false">Sens!K457-Sens!K453-Sens!K458</f>
        <v>6.61043140327304</v>
      </c>
    </row>
    <row r="460" customFormat="false" ht="17.15" hidden="false" customHeight="false" outlineLevel="0" collapsed="false">
      <c r="A460" s="0" t="s">
        <v>1243</v>
      </c>
      <c r="B460" s="0" t="s">
        <v>98</v>
      </c>
      <c r="F460" s="6" t="n">
        <f aca="false">Sens!F454-tax_f*(Sens!F454-Sens!F318)-Sens!F315</f>
        <v>-135.295428144522</v>
      </c>
      <c r="G460" s="6" t="n">
        <f aca="false">Sens!G454-tax_f*(Sens!G454-Sens!G318)-Sens!G315</f>
        <v>-134.824043504904</v>
      </c>
      <c r="H460" s="6" t="n">
        <f aca="false">Sens!H454-tax_f*(Sens!H454-Sens!H318)-Sens!H315</f>
        <v>-114.19059325898</v>
      </c>
      <c r="I460" s="6" t="n">
        <f aca="false">Sens!I454-tax_f*(Sens!I454-Sens!I318)-Sens!I315</f>
        <v>-63.4478331144297</v>
      </c>
      <c r="J460" s="6" t="n">
        <f aca="false">Sens!J454-tax_f*(Sens!J454-Sens!J318)-Sens!J315</f>
        <v>-7.85808479257071</v>
      </c>
      <c r="K460" s="6" t="n">
        <f aca="false">Sens!K454-tax_f*(Sens!K454-Sens!K318)-Sens!K315</f>
        <v>12.3729485777155</v>
      </c>
    </row>
    <row r="461" customFormat="false" ht="17.15" hidden="false" customHeight="false" outlineLevel="0" collapsed="false">
      <c r="A461" s="0" t="s">
        <v>1244</v>
      </c>
      <c r="B461" s="0" t="s">
        <v>98</v>
      </c>
      <c r="G461" s="6" t="n">
        <f aca="false">Sens!G460/(1+wacc)^(Sens!G431-Sens!F432)</f>
        <v>-128.378434487956</v>
      </c>
      <c r="H461" s="6" t="n">
        <f aca="false">Sens!H460/(1+wacc)^(Sens!H431-Sens!F432)</f>
        <v>-98.5835632953461</v>
      </c>
      <c r="I461" s="6" t="n">
        <f aca="false">Sens!I460/(1+wacc)^(Sens!I431-Sens!F432)</f>
        <v>-49.6638555237309</v>
      </c>
      <c r="J461" s="6" t="n">
        <f aca="false">Sens!J460/(1+wacc)^(Sens!J431-Sens!F432)</f>
        <v>-5.57686077998615</v>
      </c>
      <c r="K461" s="6" t="n">
        <f aca="false">Sens!K460/(1+wacc)^(Sens!K431-Sens!F432)</f>
        <v>7.96151568624841</v>
      </c>
      <c r="L461" s="1" t="s">
        <v>1245</v>
      </c>
    </row>
    <row r="462" customFormat="false" ht="17.15" hidden="false" customHeight="false" outlineLevel="0" collapsed="false">
      <c r="A462" s="0" t="s">
        <v>1246</v>
      </c>
      <c r="B462" s="0" t="s">
        <v>98</v>
      </c>
      <c r="C462" s="6" t="n">
        <f aca="false">(Sens!K454-Sens!K318)*(1-tax_f)*(1+g_tv)*(1-g_tv/(wacc+ronic_prem))/(wacc-g_tv)/(1+wacc)^(Sens!K432-Sens!F432)</f>
        <v>-71.5881411125326</v>
      </c>
    </row>
    <row r="463" customFormat="false" ht="17.15" hidden="false" customHeight="false" outlineLevel="0" collapsed="false">
      <c r="A463" s="1" t="s">
        <v>1247</v>
      </c>
      <c r="B463" s="0" t="s">
        <v>98</v>
      </c>
      <c r="C463" s="6" t="n">
        <f aca="false">(SUM(Sens!G461:K461)+Sens!$C$462)*(1+wacc)^(t_roll-Sens!F432)</f>
        <v>-357.246211876188</v>
      </c>
      <c r="L463" s="12" t="s">
        <v>1248</v>
      </c>
    </row>
    <row r="464" customFormat="false" ht="17.15" hidden="false" customHeight="false" outlineLevel="0" collapsed="false">
      <c r="A464" s="1" t="s">
        <v>1249</v>
      </c>
      <c r="B464" s="0" t="s">
        <v>98</v>
      </c>
      <c r="C464" s="6" t="n">
        <f aca="false">(w_ntm28*Sens!G306+(1-w_ntm28)*Sens!H306)*m_ai</f>
        <v>463.789109510335</v>
      </c>
    </row>
    <row r="465" customFormat="false" ht="17.15" hidden="false" customHeight="false" outlineLevel="0" collapsed="false">
      <c r="A465" s="1" t="s">
        <v>1250</v>
      </c>
      <c r="B465" s="0" t="s">
        <v>98</v>
      </c>
      <c r="C465" s="6" t="n">
        <f aca="false">(w_ntm28*Sens!G456+(1-w_ntm28)*Sens!H456)*m_cloud</f>
        <v>1089.03436702245</v>
      </c>
    </row>
    <row r="466" customFormat="false" ht="17.15" hidden="false" customHeight="false" outlineLevel="0" collapsed="false">
      <c r="A466" s="1" t="s">
        <v>1251</v>
      </c>
      <c r="B466" s="0" t="s">
        <v>98</v>
      </c>
      <c r="C466" s="6" t="n">
        <f aca="false">(w_ntm28*Sens!G449+(1-w_ntm28)*Sens!H449)*m_sw</f>
        <v>1082.84962646159</v>
      </c>
    </row>
    <row r="467" customFormat="false" ht="17.15" hidden="false" customHeight="false" outlineLevel="0" collapsed="false">
      <c r="A467" s="1" t="s">
        <v>1252</v>
      </c>
      <c r="B467" s="0" t="s">
        <v>98</v>
      </c>
      <c r="C467" s="6" t="n">
        <f aca="false">(w_ntm28*Sens!G450+(1-w_ntm28)*Sens!H450)*m_sw</f>
        <v>372.929250898731</v>
      </c>
    </row>
    <row r="468" customFormat="false" ht="17.15" hidden="false" customHeight="false" outlineLevel="0" collapsed="false">
      <c r="A468" s="1" t="s">
        <v>1253</v>
      </c>
      <c r="B468" s="0" t="s">
        <v>98</v>
      </c>
      <c r="C468" s="6" t="n">
        <f aca="false">(w_ntm28*Sens!G451+(1-w_ntm28)*Sens!H451)*m_sw</f>
        <v>109.1453525431</v>
      </c>
    </row>
    <row r="469" customFormat="false" ht="17.15" hidden="false" customHeight="false" outlineLevel="0" collapsed="false">
      <c r="A469" s="1" t="s">
        <v>1254</v>
      </c>
      <c r="B469" s="0" t="s">
        <v>98</v>
      </c>
      <c r="C469" s="6" t="n">
        <f aca="false">(w_ntm28*Sens!G452+(1-w_ntm28)*Sens!H452)*m_sw</f>
        <v>41.4942157634893</v>
      </c>
    </row>
    <row r="470" customFormat="false" ht="17.15" hidden="false" customHeight="false" outlineLevel="0" collapsed="false">
      <c r="A470" s="1" t="s">
        <v>1255</v>
      </c>
      <c r="B470" s="0" t="s">
        <v>98</v>
      </c>
      <c r="C470" s="6" t="n">
        <f aca="false">(w_ntm28*Sens!G453+(1-w_ntm28)*Sens!H453)*m_ads</f>
        <v>115.052171478463</v>
      </c>
    </row>
    <row r="471" customFormat="false" ht="17.15" hidden="false" customHeight="false" outlineLevel="0" collapsed="false">
      <c r="A471" s="1" t="s">
        <v>1256</v>
      </c>
      <c r="B471" s="0" t="s">
        <v>98</v>
      </c>
      <c r="C471" s="6" t="n">
        <f aca="false">(w_ntm28*Sens!G458+(1-w_ntm28)*Sens!H458)*m_game</f>
        <v>98.6441755076202</v>
      </c>
    </row>
    <row r="472" customFormat="false" ht="17.15" hidden="false" customHeight="false" outlineLevel="0" collapsed="false">
      <c r="A472" s="1" t="s">
        <v>1257</v>
      </c>
      <c r="B472" s="0" t="s">
        <v>98</v>
      </c>
      <c r="C472" s="6" t="n">
        <f aca="false">(w_ntm28*Sens!G459+(1-w_ntm28)*Sens!H459)*m_pc</f>
        <v>91.4523754763561</v>
      </c>
    </row>
    <row r="473" customFormat="false" ht="17.15" hidden="false" customHeight="false" outlineLevel="0" collapsed="false">
      <c r="A473" s="1" t="s">
        <v>1258</v>
      </c>
      <c r="B473" s="0" t="s">
        <v>98</v>
      </c>
      <c r="C473" s="6" t="n">
        <f aca="false">Sens!$C$463+Sens!$C$465+Sens!$C$466+Sens!$C$467+Sens!$C$468+Sens!$C$469+Sens!$C$470+Sens!$C$471+Sens!$C$472</f>
        <v>2643.35532327561</v>
      </c>
    </row>
    <row r="474" customFormat="false" ht="17.15" hidden="false" customHeight="false" outlineLevel="0" collapsed="false">
      <c r="A474" s="1" t="s">
        <v>1259</v>
      </c>
      <c r="B474" s="0" t="s">
        <v>98</v>
      </c>
      <c r="C474" s="6" t="n">
        <f aca="false">(Sens!G435-Sens!G460)*t_stub</f>
        <v>47.8736427515113</v>
      </c>
      <c r="L474" s="1" t="s">
        <v>1260</v>
      </c>
    </row>
    <row r="475" customFormat="false" ht="17.15" hidden="false" customHeight="false" outlineLevel="0" collapsed="false">
      <c r="A475" s="1" t="s">
        <v>1169</v>
      </c>
      <c r="B475" s="0" t="s">
        <v>98</v>
      </c>
      <c r="C475" s="6" t="n">
        <f aca="false">Sens!F422+oai_v-Sens!F411+Sens!$C$474</f>
        <v>162.101912751511</v>
      </c>
      <c r="L475" s="1" t="s">
        <v>1261</v>
      </c>
    </row>
    <row r="476" customFormat="false" ht="17.15" hidden="false" customHeight="false" outlineLevel="0" collapsed="false">
      <c r="A476" s="1" t="s">
        <v>1262</v>
      </c>
      <c r="B476" s="0" t="s">
        <v>75</v>
      </c>
      <c r="C476" s="5" t="n">
        <f aca="false">(Sens!$C$473+Sens!$C$475)/(Sens!F424+dil_gap)-Sens!G414*roll_div_q/q_per_yr</f>
        <v>373.245576143352</v>
      </c>
      <c r="L476" s="1" t="s">
        <v>1263</v>
      </c>
    </row>
    <row r="477" customFormat="false" ht="17.15" hidden="false" customHeight="false" outlineLevel="0" collapsed="false">
      <c r="A477" s="1" t="s">
        <v>1264</v>
      </c>
      <c r="B477" s="0" t="s">
        <v>75</v>
      </c>
      <c r="C477" s="5" t="n">
        <f aca="false">w_dcf*Sens!$C$447+(1-w_dcf)*Sens!$C$476</f>
        <v>312.836382907704</v>
      </c>
    </row>
    <row r="478" customFormat="false" ht="17.15" hidden="false" customHeight="false" outlineLevel="0" collapsed="false">
      <c r="A478" s="3" t="s">
        <v>1490</v>
      </c>
    </row>
    <row r="479" customFormat="false" ht="15" hidden="false" customHeight="false" outlineLevel="0" collapsed="false">
      <c r="A479" s="4" t="s">
        <v>43</v>
      </c>
      <c r="B479" s="4" t="s">
        <v>65</v>
      </c>
      <c r="C479" s="23" t="s">
        <v>938</v>
      </c>
      <c r="D479" s="23" t="s">
        <v>939</v>
      </c>
      <c r="E479" s="23" t="s">
        <v>940</v>
      </c>
      <c r="F479" s="23" t="s">
        <v>941</v>
      </c>
      <c r="G479" s="23" t="s">
        <v>942</v>
      </c>
      <c r="H479" s="23" t="s">
        <v>943</v>
      </c>
      <c r="I479" s="23" t="s">
        <v>944</v>
      </c>
      <c r="J479" s="23" t="s">
        <v>945</v>
      </c>
      <c r="K479" s="23" t="s">
        <v>946</v>
      </c>
      <c r="L479" s="4" t="s">
        <v>47</v>
      </c>
    </row>
    <row r="480" customFormat="false" ht="17.15" hidden="false" customHeight="false" outlineLevel="0" collapsed="false">
      <c r="A480" s="1" t="s">
        <v>947</v>
      </c>
      <c r="B480" s="1" t="s">
        <v>279</v>
      </c>
      <c r="C480" s="21" t="n">
        <v>2024</v>
      </c>
      <c r="D480" s="21" t="n">
        <v>2025</v>
      </c>
      <c r="E480" s="21" t="n">
        <v>2026</v>
      </c>
      <c r="F480" s="21" t="n">
        <v>2027</v>
      </c>
      <c r="G480" s="21" t="n">
        <v>2028</v>
      </c>
      <c r="H480" s="21" t="n">
        <v>2029</v>
      </c>
      <c r="I480" s="21" t="n">
        <v>2030</v>
      </c>
      <c r="J480" s="21" t="n">
        <v>2031</v>
      </c>
      <c r="K480" s="21" t="n">
        <v>2032</v>
      </c>
    </row>
    <row r="481" customFormat="false" ht="17.15" hidden="false" customHeight="false" outlineLevel="0" collapsed="false">
      <c r="A481" s="1" t="s">
        <v>948</v>
      </c>
      <c r="B481" s="0" t="s">
        <v>456</v>
      </c>
      <c r="F481" s="30" t="n">
        <f aca="false">pace</f>
        <v>2726.5351</v>
      </c>
      <c r="G481" s="30" t="n">
        <f aca="false">pace</f>
        <v>2726.5351</v>
      </c>
      <c r="H481" s="30" t="n">
        <f aca="false">pace</f>
        <v>2726.5351</v>
      </c>
      <c r="I481" s="30" t="n">
        <f aca="false">pace+(g_tv*Sens!H482-pace)*MIN(1,(Sens!I480-pace_y0)/(pace_y1-pace_y0))</f>
        <v>1931.98611966667</v>
      </c>
      <c r="J481" s="30" t="n">
        <f aca="false">pace+(g_tv*Sens!I482-pace)*MIN(1,(Sens!J480-pace_y0)/(pace_y1-pace_y0))</f>
        <v>1176.07686172667</v>
      </c>
      <c r="K481" s="30" t="n">
        <f aca="false">pace+(g_tv*Sens!J482-pace)*MIN(1,(Sens!K480-pace_y0)/(pace_y1-pace_y0))</f>
        <v>436.1300484418</v>
      </c>
      <c r="L481" s="12" t="s">
        <v>949</v>
      </c>
    </row>
    <row r="482" customFormat="false" ht="17.15" hidden="false" customHeight="false" outlineLevel="0" collapsed="false">
      <c r="A482" s="1" t="s">
        <v>950</v>
      </c>
      <c r="B482" s="0" t="s">
        <v>456</v>
      </c>
      <c r="C482" s="30" t="n">
        <f aca="false">mw_ext_24</f>
        <v>640</v>
      </c>
      <c r="D482" s="30" t="n">
        <f aca="false">mw_ext_25</f>
        <v>1630</v>
      </c>
      <c r="E482" s="30" t="n">
        <f aca="false">mw_ext_26</f>
        <v>3250</v>
      </c>
      <c r="F482" s="30" t="n">
        <f aca="false">Sens!E482+Sens!F481</f>
        <v>5976.5351</v>
      </c>
      <c r="G482" s="30" t="n">
        <f aca="false">Sens!F482+Sens!G481</f>
        <v>8703.0702</v>
      </c>
      <c r="H482" s="30" t="n">
        <f aca="false">Sens!G482+Sens!H481</f>
        <v>11429.6053</v>
      </c>
      <c r="I482" s="30" t="n">
        <f aca="false">Sens!H482+Sens!I481</f>
        <v>13361.5914196667</v>
      </c>
      <c r="J482" s="30" t="n">
        <f aca="false">Sens!I482+Sens!J481</f>
        <v>14537.6682813933</v>
      </c>
      <c r="K482" s="30" t="n">
        <f aca="false">Sens!J482+Sens!K481</f>
        <v>14973.7983298351</v>
      </c>
      <c r="L482" s="1" t="s">
        <v>951</v>
      </c>
    </row>
    <row r="483" customFormat="false" ht="17.15" hidden="false" customHeight="false" outlineLevel="0" collapsed="false">
      <c r="A483" s="1" t="s">
        <v>952</v>
      </c>
      <c r="B483" s="0" t="s">
        <v>456</v>
      </c>
      <c r="C483" s="30" t="n">
        <f aca="false">rent_ext_24</f>
        <v>150</v>
      </c>
      <c r="D483" s="30" t="n">
        <f aca="false">rent_ext_25</f>
        <v>400</v>
      </c>
      <c r="E483" s="30" t="n">
        <f aca="false">rent_ext_26</f>
        <v>550</v>
      </c>
      <c r="F483" s="30" t="n">
        <f aca="false">rent_ext_f</f>
        <v>756</v>
      </c>
      <c r="G483" s="30" t="n">
        <f aca="false">rent_ext_f</f>
        <v>756</v>
      </c>
      <c r="H483" s="30" t="n">
        <f aca="false">rent_ext_f</f>
        <v>756</v>
      </c>
      <c r="I483" s="30" t="n">
        <f aca="false">rent_ext_f</f>
        <v>756</v>
      </c>
      <c r="J483" s="30" t="n">
        <f aca="false">rent_ext_f</f>
        <v>756</v>
      </c>
      <c r="K483" s="30" t="n">
        <f aca="false">rent_ext_f</f>
        <v>756</v>
      </c>
      <c r="L483" s="1" t="s">
        <v>953</v>
      </c>
    </row>
    <row r="484" customFormat="false" ht="17.15" hidden="false" customHeight="false" outlineLevel="0" collapsed="false">
      <c r="A484" s="1" t="s">
        <v>954</v>
      </c>
      <c r="B484" s="0" t="s">
        <v>456</v>
      </c>
      <c r="C484" s="30" t="n">
        <f aca="false">Sens!C482-Sens!C483</f>
        <v>490</v>
      </c>
      <c r="D484" s="30" t="n">
        <f aca="false">Sens!D482-Sens!D483</f>
        <v>1230</v>
      </c>
      <c r="E484" s="30" t="n">
        <f aca="false">Sens!E482-Sens!E483</f>
        <v>2700</v>
      </c>
      <c r="F484" s="30" t="n">
        <f aca="false">Sens!F482-Sens!F483</f>
        <v>5220.5351</v>
      </c>
      <c r="G484" s="30" t="n">
        <f aca="false">Sens!G482-Sens!G483</f>
        <v>7947.0702</v>
      </c>
      <c r="H484" s="30" t="n">
        <f aca="false">Sens!H482-Sens!H483</f>
        <v>10673.6053</v>
      </c>
      <c r="I484" s="30" t="n">
        <f aca="false">Sens!I482-Sens!I483</f>
        <v>12605.5914196667</v>
      </c>
      <c r="J484" s="30" t="n">
        <f aca="false">Sens!J482-Sens!J483</f>
        <v>13781.6682813933</v>
      </c>
      <c r="K484" s="30" t="n">
        <f aca="false">Sens!K482-Sens!K483</f>
        <v>14217.7983298351</v>
      </c>
    </row>
    <row r="485" customFormat="false" ht="17.15" hidden="false" customHeight="false" outlineLevel="0" collapsed="false">
      <c r="A485" s="1" t="s">
        <v>955</v>
      </c>
      <c r="B485" s="0" t="s">
        <v>456</v>
      </c>
      <c r="C485" s="30" t="n">
        <f aca="false">Sens!C484/ext_sh</f>
        <v>816.666666666667</v>
      </c>
      <c r="D485" s="30" t="n">
        <f aca="false">Sens!D484/ext_sh</f>
        <v>2050</v>
      </c>
      <c r="E485" s="30" t="n">
        <f aca="false">Sens!E484/ext_sh</f>
        <v>4500</v>
      </c>
      <c r="F485" s="30" t="n">
        <f aca="false">Sens!F484/ext_sh</f>
        <v>8700.89183333333</v>
      </c>
      <c r="G485" s="30" t="n">
        <f aca="false">Sens!G484/ext_sh</f>
        <v>13245.117</v>
      </c>
      <c r="H485" s="30" t="n">
        <f aca="false">Sens!H484/ext_sh</f>
        <v>17789.3421666667</v>
      </c>
      <c r="I485" s="30" t="n">
        <f aca="false">Sens!I484/ext_sh</f>
        <v>21009.3190327778</v>
      </c>
      <c r="J485" s="30" t="n">
        <f aca="false">Sens!J484/ext_sh</f>
        <v>22969.4471356556</v>
      </c>
      <c r="K485" s="30" t="n">
        <f aca="false">Sens!K484/ext_sh</f>
        <v>23696.3305497252</v>
      </c>
      <c r="L485" s="1" t="s">
        <v>956</v>
      </c>
    </row>
    <row r="486" customFormat="false" ht="17.15" hidden="false" customHeight="false" outlineLevel="0" collapsed="false">
      <c r="A486" s="1" t="s">
        <v>957</v>
      </c>
      <c r="B486" s="0" t="s">
        <v>456</v>
      </c>
      <c r="C486" s="30" t="n">
        <f aca="false">Sens!C485-Sens!C484</f>
        <v>326.666666666667</v>
      </c>
      <c r="D486" s="30" t="n">
        <f aca="false">Sens!D485-Sens!D484</f>
        <v>820</v>
      </c>
      <c r="E486" s="30" t="n">
        <f aca="false">Sens!E485-Sens!E484</f>
        <v>1800</v>
      </c>
      <c r="F486" s="30" t="n">
        <f aca="false">Sens!F485-Sens!F484</f>
        <v>3480.35673333333</v>
      </c>
      <c r="G486" s="30" t="n">
        <f aca="false">Sens!G485-Sens!G484</f>
        <v>5298.0468</v>
      </c>
      <c r="H486" s="30" t="n">
        <f aca="false">Sens!H485-Sens!H484</f>
        <v>7115.73686666667</v>
      </c>
      <c r="I486" s="30" t="n">
        <f aca="false">Sens!I485-Sens!I484</f>
        <v>8403.72761311111</v>
      </c>
      <c r="J486" s="30" t="n">
        <f aca="false">Sens!J485-Sens!J484</f>
        <v>9187.77885426222</v>
      </c>
      <c r="K486" s="30" t="n">
        <f aca="false">Sens!K485-Sens!K484</f>
        <v>9478.53221989009</v>
      </c>
    </row>
    <row r="487" customFormat="false" ht="17.15" hidden="false" customHeight="false" outlineLevel="0" collapsed="false">
      <c r="A487" s="1" t="s">
        <v>958</v>
      </c>
      <c r="B487" s="0" t="s">
        <v>456</v>
      </c>
      <c r="C487" s="30" t="n">
        <f aca="false">Sens!C485</f>
        <v>816.666666666667</v>
      </c>
      <c r="D487" s="30" t="n">
        <f aca="false">Sens!D485-Sens!C485</f>
        <v>1233.33333333333</v>
      </c>
      <c r="E487" s="30" t="n">
        <f aca="false">Sens!E485-Sens!D485</f>
        <v>2450</v>
      </c>
      <c r="F487" s="30" t="n">
        <f aca="false">Sens!F485-Sens!E485</f>
        <v>4200.89183333333</v>
      </c>
      <c r="G487" s="30" t="n">
        <f aca="false">Sens!G485-Sens!F485</f>
        <v>4544.22516666667</v>
      </c>
      <c r="H487" s="30" t="n">
        <f aca="false">Sens!H485-Sens!G485</f>
        <v>4544.22516666667</v>
      </c>
      <c r="I487" s="30" t="n">
        <f aca="false">Sens!I485-Sens!H485</f>
        <v>3219.97686611111</v>
      </c>
      <c r="J487" s="30" t="n">
        <f aca="false">Sens!J485-Sens!I485</f>
        <v>1960.12810287778</v>
      </c>
      <c r="K487" s="30" t="n">
        <f aca="false">Sens!K485-Sens!J485</f>
        <v>726.883414069667</v>
      </c>
    </row>
    <row r="488" customFormat="false" ht="17.15" hidden="false" customHeight="false" outlineLevel="0" collapsed="false">
      <c r="A488" s="1" t="s">
        <v>959</v>
      </c>
      <c r="B488" s="0" t="s">
        <v>456</v>
      </c>
      <c r="D488" s="30" t="n">
        <f aca="false">Sens!D482-Sens!C482</f>
        <v>990</v>
      </c>
      <c r="E488" s="30" t="n">
        <f aca="false">Sens!E482-Sens!D482</f>
        <v>1620</v>
      </c>
      <c r="F488" s="30" t="n">
        <f aca="false">Sens!F482-Sens!E482</f>
        <v>2726.5351</v>
      </c>
      <c r="G488" s="30" t="n">
        <f aca="false">Sens!G482-Sens!F482</f>
        <v>2726.5351</v>
      </c>
      <c r="H488" s="30" t="n">
        <f aca="false">Sens!H482-Sens!G482</f>
        <v>2726.5351</v>
      </c>
      <c r="I488" s="30" t="n">
        <f aca="false">Sens!I482-Sens!H482</f>
        <v>1931.98611966667</v>
      </c>
      <c r="J488" s="30" t="n">
        <f aca="false">Sens!J482-Sens!I482</f>
        <v>1176.07686172667</v>
      </c>
      <c r="K488" s="30" t="n">
        <f aca="false">Sens!K482-Sens!J482</f>
        <v>436.130048441799</v>
      </c>
    </row>
    <row r="489" customFormat="false" ht="17.15" hidden="false" customHeight="false" outlineLevel="0" collapsed="false">
      <c r="A489" s="1" t="s">
        <v>960</v>
      </c>
      <c r="B489" s="0" t="s">
        <v>456</v>
      </c>
      <c r="F489" s="30" t="n">
        <f aca="false">Sens!F508*ext_sh</f>
        <v>0</v>
      </c>
      <c r="G489" s="30" t="n">
        <f aca="false">Sens!G508*ext_sh</f>
        <v>0</v>
      </c>
      <c r="H489" s="30" t="n">
        <f aca="false">Sens!H508*ext_sh</f>
        <v>0</v>
      </c>
      <c r="I489" s="30" t="n">
        <f aca="false">Sens!I508*ext_sh</f>
        <v>490</v>
      </c>
      <c r="J489" s="30" t="n">
        <f aca="false">Sens!J508*ext_sh</f>
        <v>740</v>
      </c>
      <c r="K489" s="30" t="n">
        <f aca="false">Sens!K508*ext_sh</f>
        <v>1470</v>
      </c>
      <c r="L489" s="1" t="s">
        <v>961</v>
      </c>
    </row>
    <row r="490" customFormat="false" ht="17.15" hidden="false" customHeight="false" outlineLevel="0" collapsed="false">
      <c r="A490" s="1" t="s">
        <v>962</v>
      </c>
      <c r="B490" s="0" t="s">
        <v>456</v>
      </c>
      <c r="C490" s="30" t="n">
        <f aca="false">mix_h*Sens!C482</f>
        <v>128</v>
      </c>
      <c r="D490" s="30" t="n">
        <f aca="false">mix_h*Sens!D482</f>
        <v>326</v>
      </c>
      <c r="E490" s="30" t="n">
        <f aca="false">mix_h*Sens!E482</f>
        <v>650</v>
      </c>
      <c r="F490" s="30" t="n">
        <f aca="false">Sens!E490-Sens!F489*mix_h</f>
        <v>650</v>
      </c>
      <c r="G490" s="30" t="n">
        <f aca="false">Sens!F490-Sens!G489*mix_h</f>
        <v>650</v>
      </c>
      <c r="H490" s="30" t="n">
        <f aca="false">Sens!G490-Sens!H489*mix_h</f>
        <v>650</v>
      </c>
      <c r="I490" s="30" t="n">
        <f aca="false">Sens!H490-Sens!I489*mix_h</f>
        <v>552</v>
      </c>
      <c r="J490" s="30" t="n">
        <f aca="false">Sens!I490-Sens!J489*mix_h</f>
        <v>404</v>
      </c>
      <c r="K490" s="30" t="n">
        <f aca="false">Sens!J490-Sens!K489*mix_h</f>
        <v>110</v>
      </c>
    </row>
    <row r="491" customFormat="false" ht="17.15" hidden="false" customHeight="false" outlineLevel="0" collapsed="false">
      <c r="A491" s="1" t="s">
        <v>963</v>
      </c>
      <c r="B491" s="0" t="s">
        <v>456</v>
      </c>
      <c r="C491" s="30" t="n">
        <f aca="false">mix_g2*Sens!C482</f>
        <v>288</v>
      </c>
      <c r="D491" s="30" t="n">
        <f aca="false">mix_g2*Sens!D482</f>
        <v>733.5</v>
      </c>
      <c r="E491" s="30" t="n">
        <f aca="false">mix_g2*Sens!E482</f>
        <v>1462.5</v>
      </c>
      <c r="F491" s="30" t="n">
        <f aca="false">Sens!E491-Sens!F489*mix_g2</f>
        <v>1462.5</v>
      </c>
      <c r="G491" s="30" t="n">
        <f aca="false">Sens!F491-Sens!G489*mix_g2</f>
        <v>1462.5</v>
      </c>
      <c r="H491" s="30" t="n">
        <f aca="false">Sens!G491-Sens!H489*mix_g2</f>
        <v>1462.5</v>
      </c>
      <c r="I491" s="30" t="n">
        <f aca="false">Sens!H491-Sens!I489*mix_g2</f>
        <v>1242</v>
      </c>
      <c r="J491" s="30" t="n">
        <f aca="false">Sens!I491-Sens!J489*mix_g2</f>
        <v>909</v>
      </c>
      <c r="K491" s="30" t="n">
        <f aca="false">Sens!J491-Sens!K489*mix_g2</f>
        <v>247.5</v>
      </c>
    </row>
    <row r="492" customFormat="false" ht="17.15" hidden="false" customHeight="false" outlineLevel="0" collapsed="false">
      <c r="A492" s="1" t="s">
        <v>964</v>
      </c>
      <c r="B492" s="0" t="s">
        <v>456</v>
      </c>
      <c r="C492" s="30" t="n">
        <f aca="false">mix_g3*Sens!C482</f>
        <v>224</v>
      </c>
      <c r="D492" s="30" t="n">
        <f aca="false">mix_g3*Sens!D482</f>
        <v>570.5</v>
      </c>
      <c r="E492" s="30" t="n">
        <f aca="false">mix_g3*Sens!E482</f>
        <v>1137.5</v>
      </c>
      <c r="F492" s="30" t="n">
        <f aca="false">Sens!E492+(Sens!F488+Sens!F489)*(a_g3_27-nonnv*a_mai)-Sens!F489*mix_g3</f>
        <v>2773.42106</v>
      </c>
      <c r="G492" s="30" t="n">
        <f aca="false">Sens!F492+(Sens!G488+Sens!G489)*(a_g3_28-nonnv*a_mai)-Sens!G489*mix_g3</f>
        <v>3318.72808</v>
      </c>
      <c r="H492" s="30" t="n">
        <f aca="false">Sens!G492+(Sens!H488+Sens!H489)*(a_g3_29-nonnv*a_mai)-Sens!H489*mix_g3</f>
        <v>3318.72808</v>
      </c>
      <c r="I492" s="30" t="n">
        <f aca="false">Sens!H492+(Sens!I488+Sens!I489)*(a_g3_29-nonnv*a_mai)-Sens!I489*mix_g3</f>
        <v>3147.22808</v>
      </c>
      <c r="J492" s="30" t="n">
        <f aca="false">Sens!I492+(Sens!J488+Sens!J489)*(a_g3_29-nonnv*a_mai)-Sens!J489*mix_g3</f>
        <v>2888.22808</v>
      </c>
      <c r="K492" s="30" t="n">
        <f aca="false">Sens!J492+(Sens!K488+Sens!K489)*(a_g3_29-nonnv*a_mai)-Sens!K489*mix_g3</f>
        <v>2373.72808</v>
      </c>
    </row>
    <row r="493" customFormat="false" ht="17.15" hidden="false" customHeight="false" outlineLevel="0" collapsed="false">
      <c r="A493" s="1" t="s">
        <v>965</v>
      </c>
      <c r="B493" s="0" t="s">
        <v>456</v>
      </c>
      <c r="C493" s="30" t="n">
        <v>0</v>
      </c>
      <c r="D493" s="30" t="n">
        <v>0</v>
      </c>
      <c r="E493" s="30" t="n">
        <v>0</v>
      </c>
      <c r="F493" s="30" t="n">
        <f aca="false">Sens!E493+(Sens!F488+Sens!F489)*nonnv*a_mai</f>
        <v>272.65351</v>
      </c>
      <c r="G493" s="30" t="n">
        <f aca="false">Sens!F493+(Sens!G488+Sens!G489)*nonnv*a_mai</f>
        <v>545.30702</v>
      </c>
      <c r="H493" s="30" t="n">
        <f aca="false">Sens!G493+(Sens!H488+Sens!H489)*nonnv*a_mai</f>
        <v>817.96053</v>
      </c>
      <c r="I493" s="30" t="n">
        <f aca="false">Sens!H493+(Sens!I488+Sens!I489)*nonnv*a_mai</f>
        <v>1060.15914196667</v>
      </c>
      <c r="J493" s="30" t="n">
        <f aca="false">Sens!I493+(Sens!J488+Sens!J489)*nonnv*a_mai</f>
        <v>1251.76682813933</v>
      </c>
      <c r="K493" s="30" t="n">
        <f aca="false">Sens!J493+(Sens!K488+Sens!K489)*nonnv*a_mai</f>
        <v>1442.37983298351</v>
      </c>
      <c r="L493" s="12" t="s">
        <v>966</v>
      </c>
    </row>
    <row r="494" customFormat="false" ht="17.15" hidden="false" customHeight="false" outlineLevel="0" collapsed="false">
      <c r="A494" s="1" t="s">
        <v>967</v>
      </c>
      <c r="B494" s="0" t="s">
        <v>456</v>
      </c>
      <c r="C494" s="30" t="n">
        <v>0</v>
      </c>
      <c r="D494" s="30" t="n">
        <v>0</v>
      </c>
      <c r="E494" s="30" t="n">
        <v>0</v>
      </c>
      <c r="F494" s="30" t="n">
        <f aca="false">Sens!E494+(Sens!F488+Sens!F489)*(1-a_g3_27)</f>
        <v>817.96053</v>
      </c>
      <c r="G494" s="30" t="n">
        <f aca="false">Sens!F494+(Sens!G488+Sens!G489)*(1-a_g3_28)</f>
        <v>2726.5351</v>
      </c>
      <c r="H494" s="30" t="n">
        <f aca="false">Sens!G494+(Sens!H488+Sens!H489)*(1-a_g3_29)</f>
        <v>5180.41669</v>
      </c>
      <c r="I494" s="30" t="n">
        <f aca="false">Sens!H494+(Sens!I488+Sens!I489)*(1-a_g3_29)</f>
        <v>7360.2041977</v>
      </c>
      <c r="J494" s="30" t="n">
        <f aca="false">Sens!I494+(Sens!J488+Sens!J489)*(1-a_g3_29)</f>
        <v>9084.673373254</v>
      </c>
      <c r="K494" s="30" t="n">
        <f aca="false">Sens!J494+(Sens!K488+Sens!K489)*(1-a_g3_29)</f>
        <v>10800.1904168516</v>
      </c>
    </row>
    <row r="495" customFormat="false" ht="17.15" hidden="false" customHeight="false" outlineLevel="0" collapsed="false">
      <c r="A495" s="1" t="s">
        <v>968</v>
      </c>
      <c r="B495" s="0" t="s">
        <v>403</v>
      </c>
      <c r="C495" s="15" t="n">
        <f aca="false">(Sens!C490*tk_hold_h100+Sens!C491*tk_hold_gb200+Sens!C492*tk_hold_gb300+Sens!C494*tk_hold_vr200+Sens!C493*nv_hold_mai*tk_hold_vr200)/Sens!C482</f>
        <v>9.7235358126469</v>
      </c>
      <c r="D495" s="15" t="n">
        <f aca="false">(Sens!D490*tk_hold_h100+Sens!D491*tk_hold_gb200+Sens!D492*tk_hold_gb300+Sens!D494*tk_hold_vr200+Sens!D493*nv_hold_mai*tk_hold_vr200)/Sens!D482</f>
        <v>9.7235358126469</v>
      </c>
      <c r="E495" s="15" t="n">
        <f aca="false">(Sens!E490*tk_hold_h100+Sens!E491*tk_hold_gb200+Sens!E492*tk_hold_gb300+Sens!E494*tk_hold_vr200+Sens!E493*nv_hold_mai*tk_hold_vr200)/Sens!E482</f>
        <v>9.7235358126469</v>
      </c>
      <c r="F495" s="15" t="n">
        <f aca="false">(Sens!F490*tk_hold_h100+Sens!F491*tk_hold_gb200+Sens!F492*tk_hold_gb300+Sens!F494*tk_hold_vr200+Sens!F493*nv_hold_mai*tk_hold_vr200)/Sens!F482</f>
        <v>10.2195353876665</v>
      </c>
      <c r="G495" s="15" t="n">
        <f aca="false">(Sens!G490*tk_hold_h100+Sens!G491*tk_hold_gb200+Sens!G492*tk_hold_gb300+Sens!G494*tk_hold_vr200+Sens!G493*nv_hold_mai*tk_hold_vr200)/Sens!G482</f>
        <v>10.5725598017306</v>
      </c>
      <c r="H495" s="15" t="n">
        <f aca="false">(Sens!H490*tk_hold_h100+Sens!H491*tk_hold_gb200+Sens!H492*tk_hold_gb300+Sens!H494*tk_hold_vr200+Sens!H493*nv_hold_mai*tk_hold_vr200)/Sens!H482</f>
        <v>10.8210427149036</v>
      </c>
      <c r="I495" s="15" t="n">
        <f aca="false">(Sens!I490*tk_hold_h100+Sens!I491*tk_hold_gb200+Sens!I492*tk_hold_gb300+Sens!I494*tk_hold_vr200+Sens!I493*nv_hold_mai*tk_hold_vr200)/Sens!I482</f>
        <v>11.0050618241982</v>
      </c>
      <c r="J495" s="15" t="n">
        <f aca="false">(Sens!J490*tk_hold_h100+Sens!J491*tk_hold_gb200+Sens!J492*tk_hold_gb300+Sens!J494*tk_hold_vr200+Sens!J493*nv_hold_mai*tk_hold_vr200)/Sens!J482</f>
        <v>11.1505789658881</v>
      </c>
      <c r="K495" s="15" t="n">
        <f aca="false">(Sens!K490*tk_hold_h100+Sens!K491*tk_hold_gb200+Sens!K492*tk_hold_gb300+Sens!K494*tk_hold_vr200+Sens!K493*nv_hold_mai*tk_hold_vr200)/Sens!K482</f>
        <v>11.3496914757183</v>
      </c>
      <c r="L495" s="1" t="s">
        <v>969</v>
      </c>
    </row>
    <row r="496" customFormat="false" ht="17.15" hidden="false" customHeight="false" outlineLevel="0" collapsed="false">
      <c r="A496" s="1" t="s">
        <v>970</v>
      </c>
      <c r="B496" s="0" t="s">
        <v>403</v>
      </c>
      <c r="C496" s="15" t="n">
        <f aca="false">(Sens!C490*tk_hold_h100+Sens!C491*tk_hold_gb200+Sens!C492*tk_hold_gb300+Sens!C494*tk_hold_vr200+Sens!C493*nv_out_mai*tk_hold_vr200)/Sens!C482</f>
        <v>9.7235358126469</v>
      </c>
      <c r="D496" s="15" t="n">
        <f aca="false">(Sens!D490*tk_hold_h100+Sens!D491*tk_hold_gb200+Sens!D492*tk_hold_gb300+Sens!D494*tk_hold_vr200+Sens!D493*nv_out_mai*tk_hold_vr200)/Sens!D482</f>
        <v>9.7235358126469</v>
      </c>
      <c r="E496" s="15" t="n">
        <f aca="false">(Sens!E490*tk_hold_h100+Sens!E491*tk_hold_gb200+Sens!E492*tk_hold_gb300+Sens!E494*tk_hold_vr200+Sens!E493*nv_out_mai*tk_hold_vr200)/Sens!E482</f>
        <v>9.7235358126469</v>
      </c>
      <c r="F496" s="15" t="n">
        <f aca="false">(Sens!F490*tk_hold_h100+Sens!F491*tk_hold_gb200+Sens!F492*tk_hold_gb300+Sens!F494*tk_hold_vr200+Sens!F493*nv_out_mai*tk_hold_vr200)/Sens!F482</f>
        <v>10.247422093969</v>
      </c>
      <c r="G496" s="15" t="n">
        <f aca="false">(Sens!G490*tk_hold_h100+Sens!G491*tk_hold_gb200+Sens!G492*tk_hold_gb300+Sens!G494*tk_hold_vr200+Sens!G493*nv_out_mai*tk_hold_vr200)/Sens!G482</f>
        <v>10.6108602808053</v>
      </c>
      <c r="H496" s="15" t="n">
        <f aca="false">(Sens!H490*tk_hold_h100+Sens!H491*tk_hold_gb200+Sens!H492*tk_hold_gb300+Sens!H494*tk_hold_vr200+Sens!H493*nv_out_mai*tk_hold_vr200)/Sens!H482</f>
        <v>10.8647885507393</v>
      </c>
      <c r="I496" s="15" t="n">
        <f aca="false">(Sens!I490*tk_hold_h100+Sens!I491*tk_hold_gb200+Sens!I492*tk_hold_gb300+Sens!I494*tk_hold_vr200+Sens!I493*nv_out_mai*tk_hold_vr200)/Sens!I482</f>
        <v>11.0535625770025</v>
      </c>
      <c r="J496" s="15" t="n">
        <f aca="false">(Sens!J490*tk_hold_h100+Sens!J491*tk_hold_gb200+Sens!J492*tk_hold_gb300+Sens!J494*tk_hold_vr200+Sens!J493*nv_out_mai*tk_hold_vr200)/Sens!J482</f>
        <v>11.2032127128058</v>
      </c>
      <c r="K496" s="15" t="n">
        <f aca="false">(Sens!K490*tk_hold_h100+Sens!K491*tk_hold_gb200+Sens!K492*tk_hold_gb300+Sens!K494*tk_hold_vr200+Sens!K493*nv_out_mai*tk_hold_vr200)/Sens!K482</f>
        <v>11.4085735724225</v>
      </c>
      <c r="L496" s="12" t="s">
        <v>971</v>
      </c>
    </row>
    <row r="497" customFormat="false" ht="17.15" hidden="false" customHeight="false" outlineLevel="0" collapsed="false">
      <c r="A497" s="0" t="s">
        <v>972</v>
      </c>
      <c r="B497" s="0" t="s">
        <v>229</v>
      </c>
      <c r="C497" s="15" t="n">
        <f aca="false">k_B</f>
        <v>1.17213932619116</v>
      </c>
      <c r="D497" s="15" t="n">
        <f aca="false">k_B</f>
        <v>1.17213932619116</v>
      </c>
      <c r="E497" s="15" t="n">
        <f aca="false">k_B</f>
        <v>1.17213932619116</v>
      </c>
      <c r="F497" s="15" t="n">
        <f aca="false">(k_B+((ls_C*k_long+(1-ls_C)*k_spot)-k_B)*MIN(1,(Sens!F480-base_fy)/k_ramp))</f>
        <v>1.07843258004497</v>
      </c>
      <c r="G497" s="15" t="n">
        <f aca="false">(k_B+((ls_C*k_long+(1-ls_C)*k_spot)-k_B)*MIN(1,(Sens!G480-base_fy)/k_ramp))</f>
        <v>0.984725833898784</v>
      </c>
      <c r="H497" s="15" t="n">
        <f aca="false">(k_B+((ls_C*k_long+(1-ls_C)*k_spot)-k_B)*MIN(1,(Sens!H480-base_fy)/k_ramp))</f>
        <v>0.891019087752599</v>
      </c>
      <c r="I497" s="15" t="n">
        <f aca="false">(k_B+((ls_C*k_long+(1-ls_C)*k_spot)-k_B)*MIN(1,(Sens!I480-base_fy)/k_ramp))</f>
        <v>0.891019087752599</v>
      </c>
      <c r="J497" s="15" t="n">
        <f aca="false">(k_B+((ls_C*k_long+(1-ls_C)*k_spot)-k_B)*MIN(1,(Sens!J480-base_fy)/k_ramp))</f>
        <v>0.891019087752599</v>
      </c>
      <c r="K497" s="15" t="n">
        <f aca="false">(k_B+((ls_C*k_long+(1-ls_C)*k_spot)-k_B)*MIN(1,(Sens!K480-base_fy)/k_ramp))</f>
        <v>0.891019087752599</v>
      </c>
      <c r="L497" s="1" t="s">
        <v>973</v>
      </c>
    </row>
    <row r="498" customFormat="false" ht="17.15" hidden="false" customHeight="false" outlineLevel="0" collapsed="false">
      <c r="A498" s="1" t="s">
        <v>974</v>
      </c>
      <c r="B498" s="0" t="s">
        <v>403</v>
      </c>
      <c r="C498" s="15" t="n">
        <f aca="false">Sens!C496*Sens!C497*chip_f</f>
        <v>11.3973387156315</v>
      </c>
      <c r="D498" s="15" t="n">
        <f aca="false">Sens!D496*Sens!D497*chip_f</f>
        <v>11.3973387156315</v>
      </c>
      <c r="E498" s="15" t="n">
        <f aca="false">Sens!E496*Sens!E497*chip_f</f>
        <v>11.3973387156315</v>
      </c>
      <c r="F498" s="15" t="n">
        <f aca="false">Sens!F496*Sens!F497*chip_f</f>
        <v>11.0511538476088</v>
      </c>
      <c r="G498" s="15" t="n">
        <f aca="false">Sens!G496*Sens!G497*chip_f</f>
        <v>10.4487882383995</v>
      </c>
      <c r="H498" s="15" t="n">
        <f aca="false">Sens!H496*Sens!H497*chip_f</f>
        <v>9.68073398310464</v>
      </c>
      <c r="I498" s="15" t="n">
        <f aca="false">Sens!I496*Sens!I497*chip_f</f>
        <v>9.84893524377706</v>
      </c>
      <c r="J498" s="15" t="n">
        <f aca="false">Sens!J496*Sens!J497*chip_f</f>
        <v>9.98227637126252</v>
      </c>
      <c r="K498" s="15" t="n">
        <f aca="false">Sens!K496*Sens!K497*chip_f</f>
        <v>10.1652568170583</v>
      </c>
      <c r="L498" s="1" t="s">
        <v>975</v>
      </c>
    </row>
    <row r="499" customFormat="false" ht="17.15" hidden="false" customHeight="false" outlineLevel="0" collapsed="false">
      <c r="A499" s="0" t="s">
        <v>976</v>
      </c>
      <c r="B499" s="0" t="s">
        <v>98</v>
      </c>
      <c r="D499" s="6" t="n">
        <f aca="false">(Sens!C482+Sens!D482)/2*Sens!D498/1000</f>
        <v>12.9359794422418</v>
      </c>
      <c r="E499" s="6" t="n">
        <f aca="false">(Sens!D482+Sens!E482)/2*Sens!E498/1000</f>
        <v>27.8095064661409</v>
      </c>
      <c r="F499" s="6" t="n">
        <f aca="false">(Sens!E482+Sens!F482)/2*Sens!F498/1000</f>
        <v>50.9819294352312</v>
      </c>
      <c r="G499" s="6" t="n">
        <f aca="false">(Sens!F482+Sens!G482)/2*Sens!G498/1000</f>
        <v>76.6920436014933</v>
      </c>
      <c r="H499" s="6" t="n">
        <f aca="false">(Sens!G482+Sens!H482)/2*Sens!H498/1000</f>
        <v>97.4495379418341</v>
      </c>
      <c r="I499" s="6" t="n">
        <f aca="false">(Sens!H482+Sens!I482)/2*Sens!I498/1000</f>
        <v>122.083445553868</v>
      </c>
      <c r="J499" s="6" t="n">
        <f aca="false">(Sens!I482+Sens!J482)/2*Sens!J498/1000</f>
        <v>139.249060444804</v>
      </c>
      <c r="K499" s="6" t="n">
        <f aca="false">(Sens!J482+Sens!K482)/2*Sens!K498/1000</f>
        <v>149.995818575589</v>
      </c>
      <c r="L499" s="12" t="s">
        <v>977</v>
      </c>
    </row>
    <row r="500" customFormat="false" ht="17.15" hidden="false" customHeight="false" outlineLevel="0" collapsed="false">
      <c r="A500" s="1" t="s">
        <v>978</v>
      </c>
      <c r="B500" s="0" t="s">
        <v>403</v>
      </c>
      <c r="C500" s="15" t="n">
        <f aca="false">(Sens!C490*tk_opex_h100+Sens!C491*tk_opex_gb200+Sens!C492*tk_opex_gb300+(Sens!C494+Sens!C493)*tk_opex_vr200)/Sens!C482</f>
        <v>1.88636041306092</v>
      </c>
      <c r="D500" s="15" t="n">
        <f aca="false">(Sens!D490*tk_opex_h100+Sens!D491*tk_opex_gb200+Sens!D492*tk_opex_gb300+(Sens!D494+Sens!D493)*tk_opex_vr200)/Sens!D482</f>
        <v>1.88636041306092</v>
      </c>
      <c r="E500" s="15" t="n">
        <f aca="false">(Sens!E490*tk_opex_h100+Sens!E491*tk_opex_gb200+Sens!E492*tk_opex_gb300+(Sens!E494+Sens!E493)*tk_opex_vr200)/Sens!E482</f>
        <v>1.88636041306092</v>
      </c>
      <c r="F500" s="15" t="n">
        <f aca="false">(Sens!F490*tk_opex_h100+Sens!F491*tk_opex_gb200+Sens!F492*tk_opex_gb300+(Sens!F494+Sens!F493)*tk_opex_vr200)/Sens!F482</f>
        <v>1.95051159746876</v>
      </c>
      <c r="G500" s="15" t="n">
        <f aca="false">(Sens!G490*tk_opex_h100+Sens!G491*tk_opex_gb200+Sens!G492*tk_opex_gb300+(Sens!G494+Sens!G493)*tk_opex_vr200)/Sens!G482</f>
        <v>1.98836003669956</v>
      </c>
      <c r="H500" s="15" t="n">
        <f aca="false">(Sens!H490*tk_opex_h100+Sens!H491*tk_opex_gb200+Sens!H492*tk_opex_gb300+(Sens!H494+Sens!H493)*tk_opex_vr200)/Sens!H482</f>
        <v>2.01344013834343</v>
      </c>
      <c r="I500" s="15" t="n">
        <f aca="false">(Sens!I490*tk_opex_h100+Sens!I491*tk_opex_gb200+Sens!I492*tk_opex_gb300+(Sens!I494+Sens!I493)*tk_opex_vr200)/Sens!I482</f>
        <v>2.03261166882178</v>
      </c>
      <c r="J500" s="15" t="n">
        <f aca="false">(Sens!J490*tk_opex_h100+Sens!J491*tk_opex_gb200+Sens!J492*tk_opex_gb300+(Sens!J494+Sens!J493)*tk_opex_vr200)/Sens!J482</f>
        <v>2.04808073288745</v>
      </c>
      <c r="K500" s="15" t="n">
        <f aca="false">(Sens!K490*tk_opex_h100+Sens!K491*tk_opex_gb200+Sens!K492*tk_opex_gb300+(Sens!K494+Sens!K493)*tk_opex_vr200)/Sens!K482</f>
        <v>2.06973825807449</v>
      </c>
      <c r="L500" s="12" t="s">
        <v>979</v>
      </c>
    </row>
    <row r="501" customFormat="false" ht="17.15" hidden="false" customHeight="false" outlineLevel="0" collapsed="false">
      <c r="A501" s="0" t="s">
        <v>980</v>
      </c>
      <c r="B501" s="0" t="s">
        <v>98</v>
      </c>
      <c r="D501" s="6" t="n">
        <f aca="false">(Sens!C485+Sens!D485)/2*Sens!D500/1000</f>
        <v>2.70378325872065</v>
      </c>
      <c r="E501" s="6" t="n">
        <f aca="false">(Sens!D485+Sens!E485)/2*Sens!E500/1000</f>
        <v>6.17783035277451</v>
      </c>
      <c r="F501" s="6" t="n">
        <f aca="false">(Sens!E485+Sens!F485)/2*Sens!F500/1000</f>
        <v>12.8742463089237</v>
      </c>
      <c r="G501" s="6" t="n">
        <f aca="false">(Sens!F485+Sens!G485)/2*Sens!G500/1000</f>
        <v>21.8182834646277</v>
      </c>
      <c r="H501" s="6" t="n">
        <f aca="false">(Sens!G485+Sens!H485)/2*Sens!H500/1000</f>
        <v>31.2430128789734</v>
      </c>
      <c r="I501" s="6" t="n">
        <f aca="false">(Sens!H485+Sens!I485)/2*Sens!I500/1000</f>
        <v>39.4313057443268</v>
      </c>
      <c r="J501" s="6" t="n">
        <f aca="false">(Sens!I485+Sens!J485)/2*Sens!J500/1000</f>
        <v>45.0360318228653</v>
      </c>
      <c r="K501" s="6" t="n">
        <f aca="false">(Sens!J485+Sens!K485)/2*Sens!K500/1000</f>
        <v>48.2929727091156</v>
      </c>
    </row>
    <row r="502" customFormat="false" ht="17.15" hidden="false" customHeight="false" outlineLevel="0" collapsed="false">
      <c r="A502" s="0" t="s">
        <v>981</v>
      </c>
      <c r="B502" s="0" t="s">
        <v>98</v>
      </c>
      <c r="D502" s="6" t="n">
        <f aca="false">(Sens!C483+Sens!D483)/2*rent_mw/1000</f>
        <v>2.44475</v>
      </c>
      <c r="E502" s="6" t="n">
        <f aca="false">(Sens!D483+Sens!E483)/2*rent_mw/1000</f>
        <v>4.22275</v>
      </c>
      <c r="F502" s="6" t="n">
        <f aca="false">(Sens!E483+Sens!F483)/2*rent_mw/1000</f>
        <v>5.80517</v>
      </c>
      <c r="G502" s="6" t="n">
        <f aca="false">(Sens!F483+Sens!G483)/2*rent_mw/1000</f>
        <v>6.72084</v>
      </c>
      <c r="H502" s="6" t="n">
        <f aca="false">(Sens!G483+Sens!H483)/2*rent_mw/1000</f>
        <v>6.72084</v>
      </c>
      <c r="I502" s="6" t="n">
        <f aca="false">(Sens!H483+Sens!I483)/2*rent_mw/1000</f>
        <v>6.72084</v>
      </c>
      <c r="J502" s="6" t="n">
        <f aca="false">(Sens!I483+Sens!J483)/2*rent_mw/1000</f>
        <v>6.72084</v>
      </c>
      <c r="K502" s="6" t="n">
        <f aca="false">(Sens!J483+Sens!K483)/2*rent_mw/1000</f>
        <v>6.72084</v>
      </c>
    </row>
    <row r="503" customFormat="false" ht="17.15" hidden="false" customHeight="false" outlineLevel="0" collapsed="false">
      <c r="A503" s="0" t="s">
        <v>982</v>
      </c>
      <c r="B503" s="0" t="s">
        <v>98</v>
      </c>
      <c r="D503" s="6" t="n">
        <f aca="false">(Sens!C485+Sens!D485)/2*(1-self_build)*fac_rent/1000</f>
        <v>0.853242375631075</v>
      </c>
      <c r="E503" s="6" t="n">
        <f aca="false">(Sens!D485+Sens!E485)/2*(1-self_build)*fac_rent/1000</f>
        <v>1.94955961408728</v>
      </c>
      <c r="F503" s="6" t="n">
        <f aca="false">(Sens!E485+Sens!F485)/2*(1-self_build)*fac_rent/1000</f>
        <v>3.92914894476356</v>
      </c>
      <c r="G503" s="6" t="n">
        <f aca="false">(Sens!F485+Sens!G485)/2*(1-self_build)*fac_rent/1000</f>
        <v>6.53206908578159</v>
      </c>
      <c r="H503" s="6" t="n">
        <f aca="false">(Sens!G485+Sens!H485)/2*(1-self_build)*fac_rent/1000</f>
        <v>9.23717988341591</v>
      </c>
      <c r="I503" s="6" t="n">
        <f aca="false">(Sens!H485+Sens!I485)/2*(1-self_build)*fac_rent/1000</f>
        <v>11.5481378557393</v>
      </c>
      <c r="J503" s="6" t="n">
        <f aca="false">(Sens!I485+Sens!J485)/2*(1-self_build)*fac_rent/1000</f>
        <v>13.0899582289108</v>
      </c>
      <c r="K503" s="6" t="n">
        <f aca="false">(Sens!J485+Sens!K485)/2*(1-self_build)*fac_rent/1000</f>
        <v>13.8897275626556</v>
      </c>
      <c r="L503" s="12" t="s">
        <v>983</v>
      </c>
    </row>
    <row r="504" customFormat="false" ht="17.15" hidden="false" customHeight="false" outlineLevel="0" collapsed="false">
      <c r="A504" s="1" t="s">
        <v>984</v>
      </c>
      <c r="B504" s="0" t="s">
        <v>168</v>
      </c>
      <c r="D504" s="7" t="n">
        <f aca="false">(Sens!C484+Sens!D484)/(Sens!C485+Sens!D485)</f>
        <v>0.6</v>
      </c>
      <c r="E504" s="7" t="n">
        <f aca="false">(Sens!D484+Sens!E484)/(Sens!D485+Sens!E485)</f>
        <v>0.6</v>
      </c>
      <c r="F504" s="7" t="n">
        <f aca="false">(Sens!E484+Sens!F484)/(Sens!E485+Sens!F485)</f>
        <v>0.6</v>
      </c>
      <c r="G504" s="7" t="n">
        <f aca="false">(Sens!F484+Sens!G484)/(Sens!F485+Sens!G485)</f>
        <v>0.6</v>
      </c>
      <c r="H504" s="7" t="n">
        <f aca="false">(Sens!G484+Sens!H484)/(Sens!G485+Sens!H485)</f>
        <v>0.6</v>
      </c>
      <c r="I504" s="7" t="n">
        <f aca="false">(Sens!H484+Sens!I484)/(Sens!H485+Sens!I485)</f>
        <v>0.6</v>
      </c>
      <c r="J504" s="7" t="n">
        <f aca="false">(Sens!I484+Sens!J484)/(Sens!I485+Sens!J485)</f>
        <v>0.6</v>
      </c>
      <c r="K504" s="7" t="n">
        <f aca="false">(Sens!J484+Sens!K484)/(Sens!J485+Sens!K485)</f>
        <v>0.6</v>
      </c>
    </row>
    <row r="505" customFormat="false" ht="17.15" hidden="false" customHeight="false" outlineLevel="0" collapsed="false">
      <c r="A505" s="0" t="s">
        <v>985</v>
      </c>
      <c r="B505" s="0" t="s">
        <v>98</v>
      </c>
      <c r="D505" s="6" t="n">
        <f aca="false">Sens!D499-Sens!D504*(Sens!D501+Sens!D503)-Sens!D502</f>
        <v>8.35701406163072</v>
      </c>
      <c r="E505" s="6" t="n">
        <f aca="false">Sens!E499-Sens!E504*(Sens!E501+Sens!E503)-Sens!E502</f>
        <v>18.7103224860238</v>
      </c>
      <c r="F505" s="6" t="n">
        <f aca="false">Sens!F499-Sens!F504*(Sens!F501+Sens!F503)-Sens!F502</f>
        <v>35.0947222830189</v>
      </c>
      <c r="G505" s="6" t="n">
        <f aca="false">Sens!G499-Sens!G504*(Sens!G501+Sens!G503)-Sens!G502</f>
        <v>52.9609920712477</v>
      </c>
      <c r="H505" s="6" t="n">
        <f aca="false">Sens!H499-Sens!H504*(Sens!H501+Sens!H503)-Sens!H502</f>
        <v>66.4405822844005</v>
      </c>
      <c r="I505" s="6" t="n">
        <f aca="false">Sens!I499-Sens!I504*(Sens!I501+Sens!I503)-Sens!I502</f>
        <v>84.7749393938279</v>
      </c>
      <c r="J505" s="6" t="n">
        <f aca="false">Sens!J499-Sens!J504*(Sens!J501+Sens!J503)-Sens!J502</f>
        <v>97.6526264137382</v>
      </c>
      <c r="K505" s="6" t="n">
        <f aca="false">Sens!K499-Sens!K504*(Sens!K501+Sens!K503)-Sens!K502</f>
        <v>105.965358412527</v>
      </c>
    </row>
    <row r="506" customFormat="false" ht="17.15" hidden="false" customHeight="false" outlineLevel="0" collapsed="false">
      <c r="A506" s="1" t="s">
        <v>986</v>
      </c>
      <c r="B506" s="0" t="s">
        <v>98</v>
      </c>
      <c r="D506" s="6" t="n">
        <f aca="false">(1-Sens!D504)*(Sens!D501+Sens!D503)</f>
        <v>1.42281025374069</v>
      </c>
      <c r="E506" s="6" t="n">
        <f aca="false">(1-Sens!E504)*(Sens!E501+Sens!E503)</f>
        <v>3.25095598674472</v>
      </c>
      <c r="F506" s="6" t="n">
        <f aca="false">(1-Sens!F504)*(Sens!F501+Sens!F503)</f>
        <v>6.72135810147489</v>
      </c>
      <c r="G506" s="6" t="n">
        <f aca="false">(1-Sens!G504)*(Sens!G501+Sens!G503)</f>
        <v>11.3401410201637</v>
      </c>
      <c r="H506" s="6" t="n">
        <f aca="false">(1-Sens!H504)*(Sens!H501+Sens!H503)</f>
        <v>16.1920771049557</v>
      </c>
      <c r="I506" s="6" t="n">
        <f aca="false">(1-Sens!I504)*(Sens!I501+Sens!I503)</f>
        <v>20.3917774400264</v>
      </c>
      <c r="J506" s="6" t="n">
        <f aca="false">(1-Sens!J504)*(Sens!J501+Sens!J503)</f>
        <v>23.2503960207104</v>
      </c>
      <c r="K506" s="6" t="n">
        <f aca="false">(1-Sens!K504)*(Sens!K501+Sens!K503)</f>
        <v>24.8730801087085</v>
      </c>
    </row>
    <row r="507" customFormat="false" ht="17.15" hidden="false" customHeight="false" outlineLevel="0" collapsed="false">
      <c r="A507" s="1" t="s">
        <v>987</v>
      </c>
      <c r="B507" s="0" t="s">
        <v>414</v>
      </c>
      <c r="C507" s="8" t="n">
        <f aca="false">cxit_open</f>
        <v>27.5918995</v>
      </c>
      <c r="D507" s="8" t="n">
        <f aca="false">cxit_open</f>
        <v>27.5918995</v>
      </c>
      <c r="E507" s="8" t="n">
        <f aca="false">cxit_open</f>
        <v>27.5918995</v>
      </c>
      <c r="F507" s="8" t="n">
        <f aca="false">((a_g3_27-nonnv*a_mai)*tk_cxit_gb300+nonnv*a_mai*nv_hold_mai*tk_cxit_vr200+(1-a_g3_27)*tk_cxit_vr200)</f>
        <v>32.4975576</v>
      </c>
      <c r="G507" s="8" t="n">
        <f aca="false">((a_g3_28-nonnv*a_mai)*tk_cxit_gb300+nonnv*a_mai*nv_hold_mai*tk_cxit_vr200+(1-a_g3_28)*tk_cxit_vr200)</f>
        <v>34.6372088</v>
      </c>
      <c r="H507" s="8" t="n">
        <f aca="false">((a_g3_29-nonnv*a_mai)*tk_cxit_gb300+nonnv*a_mai*nv_hold_mai*tk_cxit_vr200+(1-a_g3_29)*tk_cxit_vr200)</f>
        <v>35.7070344</v>
      </c>
      <c r="I507" s="8" t="n">
        <f aca="false">((a_g3_29-nonnv*a_mai)*tk_cxit_gb300+nonnv*a_mai*nv_hold_mai*tk_cxit_vr200+(1-a_g3_29)*tk_cxit_vr200)</f>
        <v>35.7070344</v>
      </c>
      <c r="J507" s="8" t="n">
        <f aca="false">((a_g3_29-nonnv*a_mai)*tk_cxit_gb300+nonnv*a_mai*nv_hold_mai*tk_cxit_vr200+(1-a_g3_29)*tk_cxit_vr200)</f>
        <v>35.7070344</v>
      </c>
      <c r="K507" s="8" t="n">
        <f aca="false">((a_g3_29-nonnv*a_mai)*tk_cxit_gb300+nonnv*a_mai*nv_hold_mai*tk_cxit_vr200+(1-a_g3_29)*tk_cxit_vr200)</f>
        <v>35.7070344</v>
      </c>
      <c r="L507" s="12" t="s">
        <v>988</v>
      </c>
    </row>
    <row r="508" customFormat="false" ht="17.15" hidden="false" customHeight="false" outlineLevel="0" collapsed="false">
      <c r="A508" s="0" t="s">
        <v>989</v>
      </c>
      <c r="B508" s="0" t="s">
        <v>456</v>
      </c>
      <c r="F508" s="30" t="n">
        <f aca="false">Sens!C487*IF(Sens!F480-Sens!C480=life_it,1,0)+Sens!D487*IF(Sens!F480-Sens!D480=life_it,1,0)+Sens!E487*IF(Sens!F480-Sens!E480=life_it,1,0)</f>
        <v>0</v>
      </c>
      <c r="G508" s="30" t="n">
        <f aca="false">Sens!C487*IF(Sens!G480-Sens!C480=life_it,1,0)+Sens!D487*IF(Sens!G480-Sens!D480=life_it,1,0)+Sens!E487*IF(Sens!G480-Sens!E480=life_it,1,0)+Sens!F487*IF(Sens!G480-Sens!F480=life_it,1,0)</f>
        <v>0</v>
      </c>
      <c r="H508" s="30" t="n">
        <f aca="false">Sens!C487*IF(Sens!H480-Sens!C480=life_it,1,0)+Sens!D487*IF(Sens!H480-Sens!D480=life_it,1,0)+Sens!E487*IF(Sens!H480-Sens!E480=life_it,1,0)+Sens!F487*IF(Sens!H480-Sens!F480=life_it,1,0)+Sens!G487*IF(Sens!H480-Sens!G480=life_it,1,0)</f>
        <v>0</v>
      </c>
      <c r="I508" s="30" t="n">
        <f aca="false">Sens!C487*IF(Sens!I480-Sens!C480=life_it,1,0)+Sens!D487*IF(Sens!I480-Sens!D480=life_it,1,0)+Sens!E487*IF(Sens!I480-Sens!E480=life_it,1,0)+Sens!F487*IF(Sens!I480-Sens!F480=life_it,1,0)+Sens!G487*IF(Sens!I480-Sens!G480=life_it,1,0)+Sens!H487*IF(Sens!I480-Sens!H480=life_it,1,0)</f>
        <v>816.666666666667</v>
      </c>
      <c r="J508" s="30" t="n">
        <f aca="false">Sens!C487*IF(Sens!J480-Sens!C480=life_it,1,0)+Sens!D487*IF(Sens!J480-Sens!D480=life_it,1,0)+Sens!E487*IF(Sens!J480-Sens!E480=life_it,1,0)+Sens!F487*IF(Sens!J480-Sens!F480=life_it,1,0)+Sens!G487*IF(Sens!J480-Sens!G480=life_it,1,0)+Sens!H487*IF(Sens!J480-Sens!H480=life_it,1,0)+Sens!I487*IF(Sens!J480-Sens!I480=life_it,1,0)</f>
        <v>1233.33333333333</v>
      </c>
      <c r="K508" s="30" t="n">
        <f aca="false">Sens!C487*IF(Sens!K480-Sens!C480=life_it,1,0)+Sens!D487*IF(Sens!K480-Sens!D480=life_it,1,0)+Sens!E487*IF(Sens!K480-Sens!E480=life_it,1,0)+Sens!F487*IF(Sens!K480-Sens!F480=life_it,1,0)+Sens!G487*IF(Sens!K480-Sens!G480=life_it,1,0)+Sens!H487*IF(Sens!K480-Sens!H480=life_it,1,0)+Sens!I487*IF(Sens!K480-Sens!I480=life_it,1,0)+Sens!J487*IF(Sens!K480-Sens!J480=life_it,1,0)</f>
        <v>2450</v>
      </c>
      <c r="L508" s="1" t="s">
        <v>990</v>
      </c>
    </row>
    <row r="509" customFormat="false" ht="17.15" hidden="false" customHeight="false" outlineLevel="0" collapsed="false">
      <c r="A509" s="0" t="s">
        <v>991</v>
      </c>
      <c r="B509" s="0" t="s">
        <v>98</v>
      </c>
      <c r="C509" s="6" t="n">
        <f aca="false">Sens!C487*Sens!C507/1000</f>
        <v>22.5333845916667</v>
      </c>
      <c r="D509" s="6" t="n">
        <f aca="false">Sens!D487*Sens!D507/1000</f>
        <v>34.0300093833333</v>
      </c>
      <c r="E509" s="6" t="n">
        <f aca="false">Sens!E487*Sens!E507/1000</f>
        <v>67.600153775</v>
      </c>
      <c r="F509" s="6" t="n">
        <f aca="false">(Sens!F487+Sens!F508)*Sens!F507/1000</f>
        <v>136.51872432512</v>
      </c>
      <c r="G509" s="6" t="n">
        <f aca="false">(Sens!G487+Sens!G508)*Sens!G507/1000</f>
        <v>157.399275932048</v>
      </c>
      <c r="H509" s="6" t="n">
        <f aca="false">(Sens!H487+Sens!H508)*Sens!H507/1000</f>
        <v>162.260804347512</v>
      </c>
      <c r="I509" s="6" t="n">
        <f aca="false">(Sens!I487+Sens!I508)*Sens!I507/1000</f>
        <v>144.136569485434</v>
      </c>
      <c r="J509" s="6" t="n">
        <f aca="false">(Sens!J487+Sens!J508)*Sens!J507/1000</f>
        <v>114.029037357864</v>
      </c>
      <c r="K509" s="6" t="n">
        <f aca="false">(Sens!K487+Sens!K508)*Sens!K507/1000</f>
        <v>113.437085350975</v>
      </c>
    </row>
    <row r="510" customFormat="false" ht="17.15" hidden="false" customHeight="false" outlineLevel="0" collapsed="false">
      <c r="A510" s="0" t="s">
        <v>992</v>
      </c>
      <c r="B510" s="0" t="s">
        <v>98</v>
      </c>
      <c r="C510" s="6" t="n">
        <f aca="false">Sens!C487*self_build*tk_cxfac/1000</f>
        <v>6.2083</v>
      </c>
      <c r="D510" s="6" t="n">
        <f aca="false">Sens!D487*self_build*tk_cxfac/1000</f>
        <v>9.3758</v>
      </c>
      <c r="E510" s="6" t="n">
        <f aca="false">Sens!E487*self_build*tk_cxfac/1000</f>
        <v>18.6249</v>
      </c>
      <c r="F510" s="6" t="n">
        <f aca="false">Sens!F487*self_build*tk_cxfac/1000</f>
        <v>31.935179717</v>
      </c>
      <c r="G510" s="6" t="n">
        <f aca="false">Sens!G487*self_build*tk_cxfac/1000</f>
        <v>34.545199717</v>
      </c>
      <c r="H510" s="6" t="n">
        <f aca="false">Sens!H487*self_build*tk_cxfac/1000</f>
        <v>34.545199717</v>
      </c>
      <c r="I510" s="6" t="n">
        <f aca="false">Sens!I487*self_build*tk_cxfac/1000</f>
        <v>24.4782641361767</v>
      </c>
      <c r="J510" s="6" t="n">
        <f aca="false">Sens!J487*self_build*tk_cxfac/1000</f>
        <v>14.9008938380769</v>
      </c>
      <c r="K510" s="6" t="n">
        <f aca="false">Sens!K487*self_build*tk_cxfac/1000</f>
        <v>5.52576771375761</v>
      </c>
    </row>
    <row r="511" customFormat="false" ht="17.15" hidden="false" customHeight="false" outlineLevel="0" collapsed="false">
      <c r="A511" s="0" t="s">
        <v>993</v>
      </c>
      <c r="B511" s="0" t="s">
        <v>98</v>
      </c>
      <c r="F511" s="15" t="n">
        <f aca="false">capex_floor27-Sens!F509-Sens!F510-Sens!F607</f>
        <v>-0.0799631154216058</v>
      </c>
      <c r="L511" s="12" t="s">
        <v>994</v>
      </c>
    </row>
    <row r="512" customFormat="false" ht="17.15" hidden="false" customHeight="false" outlineLevel="0" collapsed="false">
      <c r="A512" s="0" t="s">
        <v>995</v>
      </c>
      <c r="B512" s="0" t="s">
        <v>98</v>
      </c>
      <c r="F512" s="6" t="n">
        <f aca="false">MAX(0,Sens!F511)</f>
        <v>0</v>
      </c>
    </row>
    <row r="513" customFormat="false" ht="17.15" hidden="false" customHeight="false" outlineLevel="0" collapsed="false">
      <c r="A513" s="0" t="s">
        <v>996</v>
      </c>
      <c r="B513" s="0" t="s">
        <v>98</v>
      </c>
      <c r="C513" s="6" t="n">
        <f aca="false">Sens!C509</f>
        <v>22.5333845916667</v>
      </c>
      <c r="D513" s="6" t="n">
        <f aca="false">Sens!D509</f>
        <v>34.0300093833333</v>
      </c>
      <c r="E513" s="6" t="n">
        <f aca="false">Sens!E509</f>
        <v>67.600153775</v>
      </c>
      <c r="F513" s="6" t="n">
        <f aca="false">Sens!F509</f>
        <v>136.51872432512</v>
      </c>
      <c r="G513" s="6" t="n">
        <f aca="false">Sens!G509</f>
        <v>157.399275932048</v>
      </c>
      <c r="H513" s="6" t="n">
        <f aca="false">Sens!H509</f>
        <v>162.260804347512</v>
      </c>
      <c r="I513" s="6" t="n">
        <f aca="false">Sens!I509</f>
        <v>144.136569485434</v>
      </c>
      <c r="J513" s="6" t="n">
        <f aca="false">Sens!J509</f>
        <v>114.029037357864</v>
      </c>
      <c r="K513" s="6" t="n">
        <f aca="false">Sens!K509</f>
        <v>113.437085350975</v>
      </c>
    </row>
    <row r="514" customFormat="false" ht="17.15" hidden="false" customHeight="false" outlineLevel="0" collapsed="false">
      <c r="A514" s="0" t="s">
        <v>997</v>
      </c>
      <c r="B514" s="0" t="s">
        <v>98</v>
      </c>
      <c r="C514" s="6" t="n">
        <f aca="false">Sens!C513+Sens!C510</f>
        <v>28.7416845916667</v>
      </c>
      <c r="D514" s="6" t="n">
        <f aca="false">Sens!D513+Sens!D510</f>
        <v>43.4058093833333</v>
      </c>
      <c r="E514" s="6" t="n">
        <f aca="false">Sens!E513+Sens!E510</f>
        <v>86.225053775</v>
      </c>
      <c r="F514" s="6" t="n">
        <f aca="false">Sens!F513+Sens!F510</f>
        <v>168.45390404212</v>
      </c>
      <c r="G514" s="6" t="n">
        <f aca="false">Sens!G513+Sens!G510</f>
        <v>191.944475649048</v>
      </c>
      <c r="H514" s="6" t="n">
        <f aca="false">Sens!H513+Sens!H510</f>
        <v>196.806004064512</v>
      </c>
      <c r="I514" s="6" t="n">
        <f aca="false">Sens!I513+Sens!I510</f>
        <v>168.61483362161</v>
      </c>
      <c r="J514" s="6" t="n">
        <f aca="false">Sens!J513+Sens!J510</f>
        <v>128.92993119594</v>
      </c>
      <c r="K514" s="6" t="n">
        <f aca="false">Sens!K513+Sens!K510</f>
        <v>118.962853064733</v>
      </c>
      <c r="L514" s="12" t="s">
        <v>998</v>
      </c>
    </row>
    <row r="515" customFormat="false" ht="17.15" hidden="false" customHeight="false" outlineLevel="0" collapsed="false">
      <c r="A515" s="0" t="s">
        <v>999</v>
      </c>
      <c r="B515" s="0" t="s">
        <v>98</v>
      </c>
      <c r="E515" s="6" t="n">
        <f aca="false">(Sens!C513*IF(2&lt;life_it,1,IF(2=life_it,0.5,0))+Sens!D513*IF(1&lt;life_it,1,IF(1=life_it,0.5,0))+Sens!E513*0.5)/life_it</f>
        <v>15.0605784770833</v>
      </c>
      <c r="F515" s="6" t="n">
        <f aca="false">(Sens!C513*IF(3&lt;life_it,1,IF(3=life_it,0.5,0))+Sens!D513*IF(2&lt;life_it,1,IF(2=life_it,0.5,0))+Sens!E513*IF(1&lt;life_it,1,IF(1=life_it,0.5,0))+Sens!F513*0.5)/life_it</f>
        <v>32.0704849854266</v>
      </c>
      <c r="G515" s="6" t="n">
        <f aca="false">(Sens!C513*IF(4&lt;life_it,1,IF(4=life_it,0.5,0))+Sens!D513*IF(3&lt;life_it,1,IF(3=life_it,0.5,0))+Sens!E513*IF(2&lt;life_it,1,IF(2=life_it,0.5,0))+Sens!F513*IF(1&lt;life_it,1,IF(1=life_it,0.5,0))+Sens!G513*0.5)/life_it</f>
        <v>56.5636516735239</v>
      </c>
      <c r="H515" s="6" t="n">
        <f aca="false">(Sens!C513*IF(5&lt;life_it,1,IF(5=life_it,0.5,0))+Sens!D513*IF(4&lt;life_it,1,IF(4=life_it,0.5,0))+Sens!E513*IF(3&lt;life_it,1,IF(3=life_it,0.5,0))+Sens!F513*IF(2&lt;life_it,1,IF(2=life_it,0.5,0))+Sens!G513*IF(1&lt;life_it,1,IF(1=life_it,0.5,0))+Sens!H513*0.5)/life_it</f>
        <v>83.2019916968207</v>
      </c>
      <c r="I515" s="6" t="n">
        <f aca="false">(Sens!C513*IF(6&lt;life_it,1,IF(6=life_it,0.5,0))+Sens!D513*IF(5&lt;life_it,1,IF(5=life_it,0.5,0))+Sens!E513*IF(4&lt;life_it,1,IF(4=life_it,0.5,0))+Sens!F513*IF(3&lt;life_it,1,IF(3=life_it,0.5,0))+Sens!G513*IF(2&lt;life_it,1,IF(2=life_it,0.5,0))+Sens!H513*IF(1&lt;life_it,1,IF(1=life_it,0.5,0))+Sens!I513*0.5)/life_it</f>
        <v>106.857324133594</v>
      </c>
      <c r="J515" s="6" t="n">
        <f aca="false">(Sens!C513*IF(7&lt;life_it,1,IF(7=life_it,0.5,0))+Sens!D513*IF(6&lt;life_it,1,IF(6=life_it,0.5,0))+Sens!E513*IF(5&lt;life_it,1,IF(5=life_it,0.5,0))+Sens!F513*IF(4&lt;life_it,1,IF(4=life_it,0.5,0))+Sens!G513*IF(3&lt;life_it,1,IF(3=life_it,0.5,0))+Sens!H513*IF(2&lt;life_it,1,IF(2=life_it,0.5,0))+Sens!I513*IF(1&lt;life_it,1,IF(1=life_it,0.5,0))+Sens!J513*0.5)/life_it</f>
        <v>123.657508539285</v>
      </c>
      <c r="K515" s="6" t="n">
        <f aca="false">(Sens!C513*IF(8&lt;life_it,1,IF(8=life_it,0.5,0))+Sens!D513*IF(7&lt;life_it,1,IF(7=life_it,0.5,0))+Sens!E513*IF(6&lt;life_it,1,IF(6=life_it,0.5,0))+Sens!F513*IF(5&lt;life_it,1,IF(5=life_it,0.5,0))+Sens!G513*IF(4&lt;life_it,1,IF(4=life_it,0.5,0))+Sens!H513*IF(3&lt;life_it,1,IF(3=life_it,0.5,0))+Sens!I513*IF(2&lt;life_it,1,IF(2=life_it,0.5,0))+Sens!J513*IF(1&lt;life_it,1,IF(1=life_it,0.5,0))+Sens!K513*0.5)/life_it</f>
        <v>134.143838501827</v>
      </c>
    </row>
    <row r="516" customFormat="false" ht="17.15" hidden="false" customHeight="false" outlineLevel="0" collapsed="false">
      <c r="A516" s="0" t="s">
        <v>1000</v>
      </c>
      <c r="B516" s="0" t="s">
        <v>98</v>
      </c>
      <c r="E516" s="6" t="n">
        <f aca="false">(Sens!C510*IF(2&lt;life_fac,1,IF(2=life_fac,0.5,0))+Sens!D510*IF(1&lt;life_fac,1,IF(1=life_fac,0.5,0))+Sens!E510*0.5)/life_fac</f>
        <v>1.2448275</v>
      </c>
      <c r="F516" s="6" t="n">
        <f aca="false">(Sens!C510*IF(3&lt;life_fac,1,IF(3=life_fac,0.5,0))+Sens!D510*IF(2&lt;life_fac,1,IF(2=life_fac,0.5,0))+Sens!E510*IF(1&lt;life_fac,1,IF(1=life_fac,0.5,0))+Sens!F510*0.5)/life_fac</f>
        <v>2.508829492925</v>
      </c>
      <c r="G516" s="6" t="n">
        <f aca="false">(Sens!C510*IF(4&lt;life_fac,1,IF(4=life_fac,0.5,0))+Sens!D510*IF(3&lt;life_fac,1,IF(3=life_fac,0.5,0))+Sens!E510*IF(2&lt;life_fac,1,IF(2=life_fac,0.5,0))+Sens!F510*IF(1&lt;life_fac,1,IF(1=life_fac,0.5,0))+Sens!G510*0.5)/life_fac</f>
        <v>4.170838978775</v>
      </c>
      <c r="H516" s="6" t="n">
        <f aca="false">(Sens!C510*IF(5&lt;life_fac,1,IF(5=life_fac,0.5,0))+Sens!D510*IF(4&lt;life_fac,1,IF(4=life_fac,0.5,0))+Sens!E510*IF(3&lt;life_fac,1,IF(3=life_fac,0.5,0))+Sens!F510*IF(2&lt;life_fac,1,IF(2=life_fac,0.5,0))+Sens!G510*IF(1&lt;life_fac,1,IF(1=life_fac,0.5,0))+Sens!H510*0.5)/life_fac</f>
        <v>5.898098964625</v>
      </c>
      <c r="I516" s="6" t="n">
        <f aca="false">(Sens!C510*IF(6&lt;life_fac,1,IF(6=life_fac,0.5,0))+Sens!D510*IF(5&lt;life_fac,1,IF(5=life_fac,0.5,0))+Sens!E510*IF(4&lt;life_fac,1,IF(4=life_fac,0.5,0))+Sens!F510*IF(3&lt;life_fac,1,IF(3=life_fac,0.5,0))+Sens!G510*IF(2&lt;life_fac,1,IF(2=life_fac,0.5,0))+Sens!H510*IF(1&lt;life_fac,1,IF(1=life_fac,0.5,0))+Sens!I510*0.5)/life_fac</f>
        <v>7.37368556095442</v>
      </c>
      <c r="J516" s="6" t="n">
        <f aca="false">(Sens!C510*IF(7&lt;life_fac,1,IF(7=life_fac,0.5,0))+Sens!D510*IF(6&lt;life_fac,1,IF(6=life_fac,0.5,0))+Sens!E510*IF(5&lt;life_fac,1,IF(5=life_fac,0.5,0))+Sens!F510*IF(4&lt;life_fac,1,IF(4=life_fac,0.5,0))+Sens!G510*IF(3&lt;life_fac,1,IF(3=life_fac,0.5,0))+Sens!H510*IF(2&lt;life_fac,1,IF(2=life_fac,0.5,0))+Sens!I510*IF(1&lt;life_fac,1,IF(1=life_fac,0.5,0))+Sens!J510*0.5)/life_fac</f>
        <v>8.35816451031075</v>
      </c>
      <c r="K516" s="6" t="n">
        <f aca="false">(Sens!C510*IF(8&lt;life_fac,1,IF(8=life_fac,0.5,0))+Sens!D510*IF(7&lt;life_fac,1,IF(7=life_fac,0.5,0))+Sens!E510*IF(6&lt;life_fac,1,IF(6=life_fac,0.5,0))+Sens!F510*IF(5&lt;life_fac,1,IF(5=life_fac,0.5,0))+Sens!G510*IF(4&lt;life_fac,1,IF(4=life_fac,0.5,0))+Sens!H510*IF(3&lt;life_fac,1,IF(3=life_fac,0.5,0))+Sens!I510*IF(2&lt;life_fac,1,IF(2=life_fac,0.5,0))+Sens!J510*IF(1&lt;life_fac,1,IF(1=life_fac,0.5,0))+Sens!K510*0.5)/life_fac</f>
        <v>8.86883104910662</v>
      </c>
    </row>
    <row r="517" customFormat="false" ht="17.15" hidden="false" customHeight="false" outlineLevel="0" collapsed="false">
      <c r="A517" s="0" t="s">
        <v>1001</v>
      </c>
      <c r="B517" s="0" t="s">
        <v>98</v>
      </c>
      <c r="E517" s="6" t="n">
        <f aca="false">Sens!E515+Sens!E516</f>
        <v>16.3054059770833</v>
      </c>
      <c r="F517" s="6" t="n">
        <f aca="false">Sens!F515+Sens!F516</f>
        <v>34.5793144783516</v>
      </c>
      <c r="G517" s="6" t="n">
        <f aca="false">Sens!G515+Sens!G516</f>
        <v>60.7344906522989</v>
      </c>
      <c r="H517" s="6" t="n">
        <f aca="false">Sens!H515+Sens!H516</f>
        <v>89.1000906614457</v>
      </c>
      <c r="I517" s="6" t="n">
        <f aca="false">Sens!I515+Sens!I516</f>
        <v>114.231009694548</v>
      </c>
      <c r="J517" s="6" t="n">
        <f aca="false">Sens!J515+Sens!J516</f>
        <v>132.015673049596</v>
      </c>
      <c r="K517" s="6" t="n">
        <f aca="false">Sens!K515+Sens!K516</f>
        <v>143.012669550934</v>
      </c>
    </row>
    <row r="518" customFormat="false" ht="17.15" hidden="false" customHeight="false" outlineLevel="0" collapsed="false">
      <c r="A518" s="0" t="s">
        <v>1002</v>
      </c>
      <c r="B518" s="0" t="s">
        <v>98</v>
      </c>
      <c r="E518" s="6" t="n">
        <f aca="false">Sens!E505-Sens!E504*Sens!E517</f>
        <v>8.92707889977379</v>
      </c>
      <c r="F518" s="6" t="n">
        <f aca="false">Sens!F505-Sens!F504*Sens!F517</f>
        <v>14.3471335960079</v>
      </c>
      <c r="G518" s="6" t="n">
        <f aca="false">Sens!G505-Sens!G504*Sens!G517</f>
        <v>16.5202976798683</v>
      </c>
      <c r="H518" s="6" t="n">
        <f aca="false">Sens!H505-Sens!H504*Sens!H517</f>
        <v>12.9805278875331</v>
      </c>
      <c r="I518" s="6" t="n">
        <f aca="false">Sens!I505-Sens!I504*Sens!I517</f>
        <v>16.2363335770989</v>
      </c>
      <c r="J518" s="6" t="n">
        <f aca="false">Sens!J505-Sens!J504*Sens!J517</f>
        <v>18.4432225839805</v>
      </c>
      <c r="K518" s="6" t="n">
        <f aca="false">Sens!K505-Sens!K504*Sens!K517</f>
        <v>20.1577566819661</v>
      </c>
    </row>
    <row r="519" customFormat="false" ht="17.15" hidden="false" customHeight="false" outlineLevel="0" collapsed="false">
      <c r="A519" s="3" t="s">
        <v>1491</v>
      </c>
    </row>
    <row r="520" customFormat="false" ht="15" hidden="false" customHeight="false" outlineLevel="0" collapsed="false">
      <c r="A520" s="4" t="s">
        <v>43</v>
      </c>
      <c r="B520" s="4" t="s">
        <v>65</v>
      </c>
      <c r="C520" s="23" t="s">
        <v>938</v>
      </c>
      <c r="D520" s="23" t="s">
        <v>939</v>
      </c>
      <c r="E520" s="23" t="s">
        <v>940</v>
      </c>
      <c r="F520" s="23" t="s">
        <v>941</v>
      </c>
      <c r="G520" s="23" t="s">
        <v>942</v>
      </c>
      <c r="H520" s="23" t="s">
        <v>943</v>
      </c>
      <c r="I520" s="23" t="s">
        <v>944</v>
      </c>
      <c r="J520" s="23" t="s">
        <v>945</v>
      </c>
      <c r="K520" s="23" t="s">
        <v>946</v>
      </c>
      <c r="L520" s="4" t="s">
        <v>47</v>
      </c>
    </row>
    <row r="521" customFormat="false" ht="17.15" hidden="false" customHeight="false" outlineLevel="0" collapsed="false">
      <c r="A521" s="0" t="s">
        <v>1021</v>
      </c>
      <c r="B521" s="0" t="s">
        <v>98</v>
      </c>
      <c r="D521" s="6" t="n">
        <f aca="false">Sens!D499</f>
        <v>12.9359794422418</v>
      </c>
      <c r="E521" s="6" t="n">
        <f aca="false">Sens!E499</f>
        <v>27.8095064661409</v>
      </c>
      <c r="F521" s="6" t="n">
        <f aca="false">Sens!F499</f>
        <v>50.9819294352312</v>
      </c>
      <c r="G521" s="6" t="n">
        <f aca="false">Sens!G499</f>
        <v>76.6920436014933</v>
      </c>
      <c r="H521" s="6" t="n">
        <f aca="false">Sens!H499</f>
        <v>97.4495379418341</v>
      </c>
      <c r="I521" s="6" t="n">
        <f aca="false">Sens!I499</f>
        <v>122.083445553868</v>
      </c>
      <c r="J521" s="6" t="n">
        <f aca="false">Sens!J499</f>
        <v>139.249060444804</v>
      </c>
      <c r="K521" s="6" t="n">
        <f aca="false">Sens!K499</f>
        <v>149.995818575589</v>
      </c>
    </row>
    <row r="522" customFormat="false" ht="17.15" hidden="false" customHeight="false" outlineLevel="0" collapsed="false">
      <c r="A522" s="0" t="s">
        <v>1022</v>
      </c>
      <c r="B522" s="0" t="s">
        <v>98</v>
      </c>
      <c r="D522" s="6" t="n">
        <f aca="false">Q!L6-Sens!D521</f>
        <v>59.6740205577583</v>
      </c>
      <c r="E522" s="6" t="n">
        <f aca="false">Q!M6-Sens!E521</f>
        <v>74.1284935338591</v>
      </c>
      <c r="F522" s="6" t="n">
        <f aca="false">Q!$I$6+(Sens!F521+Sens!E522*(1+Sens!F523))*(1-Q!$E$6/Q!M6)-Sens!F521</f>
        <v>92.2699541184664</v>
      </c>
      <c r="G522" s="6" t="n">
        <f aca="false">Sens!F522*(1+Sens!G523)</f>
        <v>109.630477277949</v>
      </c>
      <c r="H522" s="6" t="n">
        <f aca="false">Sens!G522*(1+Sens!H523)</f>
        <v>127.293256321956</v>
      </c>
      <c r="I522" s="6" t="n">
        <f aca="false">Sens!H522*(1+Sens!I523)</f>
        <v>144.360052269491</v>
      </c>
      <c r="J522" s="6" t="n">
        <f aca="false">Sens!I522*(1+Sens!J523)</f>
        <v>159.811964490216</v>
      </c>
      <c r="K522" s="6" t="n">
        <f aca="false">Sens!J522*(1+Sens!K523)</f>
        <v>172.596921649434</v>
      </c>
      <c r="L522" s="12" t="s">
        <v>1023</v>
      </c>
    </row>
    <row r="523" customFormat="false" ht="15" hidden="false" customHeight="false" outlineLevel="0" collapsed="false">
      <c r="A523" s="1" t="s">
        <v>1024</v>
      </c>
      <c r="B523" s="0" t="s">
        <v>168</v>
      </c>
      <c r="E523" s="7" t="n">
        <f aca="false">Sens!E522/Sens!D522-1</f>
        <v>0.242223883039864</v>
      </c>
      <c r="F523" s="7" t="n">
        <f aca="false">Sens!$E$523+(glt_azo-Sens!$E$523)*MIN(1,(Sens!F480-base_fy)/n_conv)</f>
        <v>0.215186569199887</v>
      </c>
      <c r="G523" s="7" t="n">
        <f aca="false">Sens!$E$523+(glt_azo-Sens!$E$523)*MIN(1,(Sens!G480-base_fy)/n_conv)</f>
        <v>0.18814925535991</v>
      </c>
      <c r="H523" s="7" t="n">
        <f aca="false">Sens!$E$523+(glt_azo-Sens!$E$523)*MIN(1,(Sens!H480-base_fy)/n_conv)</f>
        <v>0.161111941519932</v>
      </c>
      <c r="I523" s="7" t="n">
        <f aca="false">Sens!$E$523+(glt_azo-Sens!$E$523)*MIN(1,(Sens!I480-base_fy)/n_conv)</f>
        <v>0.134074627679955</v>
      </c>
      <c r="J523" s="7" t="n">
        <f aca="false">Sens!$E$523+(glt_azo-Sens!$E$523)*MIN(1,(Sens!J480-base_fy)/n_conv)</f>
        <v>0.107037313839977</v>
      </c>
      <c r="K523" s="7" t="n">
        <f aca="false">Sens!$E$523+(glt_azo-Sens!$E$523)*MIN(1,(Sens!K480-base_fy)/n_conv)</f>
        <v>0.08</v>
      </c>
    </row>
    <row r="524" customFormat="false" ht="15" hidden="false" customHeight="false" outlineLevel="0" collapsed="false">
      <c r="A524" s="0" t="s">
        <v>1025</v>
      </c>
      <c r="B524" s="0" t="s">
        <v>98</v>
      </c>
      <c r="D524" s="6" t="n">
        <f aca="false">Sens!D521+Sens!D522</f>
        <v>72.61</v>
      </c>
      <c r="E524" s="6" t="n">
        <f aca="false">Sens!E521+Sens!E522</f>
        <v>101.938</v>
      </c>
      <c r="F524" s="6" t="n">
        <f aca="false">Sens!F521+Sens!F522</f>
        <v>143.251883553698</v>
      </c>
      <c r="G524" s="6" t="n">
        <f aca="false">Sens!G521+Sens!G522</f>
        <v>186.322520879442</v>
      </c>
      <c r="H524" s="6" t="n">
        <f aca="false">Sens!H521+Sens!H522</f>
        <v>224.74279426379</v>
      </c>
      <c r="I524" s="6" t="n">
        <f aca="false">Sens!I521+Sens!I522</f>
        <v>266.443497823359</v>
      </c>
      <c r="J524" s="6" t="n">
        <f aca="false">Sens!J521+Sens!J522</f>
        <v>299.06102493502</v>
      </c>
      <c r="K524" s="6" t="n">
        <f aca="false">Sens!K521+Sens!K522</f>
        <v>322.592740225023</v>
      </c>
    </row>
    <row r="525" customFormat="false" ht="17.15" hidden="false" customHeight="false" outlineLevel="0" collapsed="false">
      <c r="A525" s="0" t="s">
        <v>1026</v>
      </c>
      <c r="B525" s="1" t="s">
        <v>610</v>
      </c>
      <c r="C525" s="30" t="n">
        <f aca="false">cop_s24</f>
        <v>1</v>
      </c>
      <c r="D525" s="30" t="n">
        <f aca="false">cop_s25</f>
        <v>5</v>
      </c>
      <c r="E525" s="30" t="n">
        <f aca="false">cop_s26</f>
        <v>30</v>
      </c>
      <c r="F525" s="30" t="n">
        <f aca="false">Sens!E525+cop_add_C</f>
        <v>40</v>
      </c>
      <c r="G525" s="30" t="n">
        <f aca="false">Sens!F525+cop_add_C</f>
        <v>50</v>
      </c>
      <c r="H525" s="30" t="n">
        <f aca="false">Sens!G525+cop_add_C</f>
        <v>60</v>
      </c>
      <c r="I525" s="30" t="n">
        <f aca="false">Sens!H525+cop_add_C*cop_tail</f>
        <v>65</v>
      </c>
      <c r="J525" s="30" t="n">
        <f aca="false">Sens!I525+cop_add_C*cop_tail</f>
        <v>70</v>
      </c>
      <c r="K525" s="30" t="n">
        <f aca="false">Sens!J525+cop_add_C*cop_tail</f>
        <v>75</v>
      </c>
      <c r="L525" s="12" t="s">
        <v>1027</v>
      </c>
    </row>
    <row r="526" customFormat="false" ht="17.15" hidden="false" customHeight="false" outlineLevel="0" collapsed="false">
      <c r="A526" s="0" t="s">
        <v>1028</v>
      </c>
      <c r="B526" s="0" t="s">
        <v>98</v>
      </c>
      <c r="D526" s="6" t="n">
        <f aca="false">(Sens!C525+Sens!D525)/2*cop_px*12/1000</f>
        <v>0.9</v>
      </c>
      <c r="E526" s="6" t="n">
        <f aca="false">(Sens!D525+Sens!E525)/2*cop_px*12/1000</f>
        <v>5.25</v>
      </c>
      <c r="F526" s="6" t="n">
        <f aca="false">(Sens!E525+Sens!F525)/2*cop_px*12/1000</f>
        <v>10.5</v>
      </c>
      <c r="G526" s="6" t="n">
        <f aca="false">(Sens!F525+Sens!G525)/2*cop_px*12/1000</f>
        <v>13.5</v>
      </c>
      <c r="H526" s="6" t="n">
        <f aca="false">(Sens!G525+Sens!H525)/2*cop_px*12/1000</f>
        <v>16.5</v>
      </c>
      <c r="I526" s="6" t="n">
        <f aca="false">(Sens!H525+Sens!I525)/2*cop_px*12/1000</f>
        <v>18.75</v>
      </c>
      <c r="J526" s="6" t="n">
        <f aca="false">(Sens!I525+Sens!J525)/2*cop_px*12/1000</f>
        <v>20.25</v>
      </c>
      <c r="K526" s="6" t="n">
        <f aca="false">(Sens!J525+Sens!K525)/2*cop_px*12/1000</f>
        <v>21.75</v>
      </c>
      <c r="L526" s="1" t="s">
        <v>1029</v>
      </c>
    </row>
    <row r="527" customFormat="false" ht="17.15" hidden="false" customHeight="false" outlineLevel="0" collapsed="false">
      <c r="A527" s="0" t="s">
        <v>1030</v>
      </c>
      <c r="B527" s="0" t="s">
        <v>98</v>
      </c>
      <c r="D527" s="6" t="n">
        <f aca="false">Q!L7-Sens!D526</f>
        <v>83.705</v>
      </c>
      <c r="E527" s="6" t="n">
        <f aca="false">Q!M7-Sens!E526</f>
        <v>95.049</v>
      </c>
      <c r="F527" s="6" t="n">
        <f aca="false">Q!$I$7+(Sens!E527*(1+Sens!F528)+Sens!F526)*(1-Q!$E$7/Q!M7)-Sens!F526</f>
        <v>106.938354189776</v>
      </c>
      <c r="G527" s="6" t="n">
        <f aca="false">Sens!F527*(1+Sens!G528)</f>
        <v>119.095360443801</v>
      </c>
      <c r="H527" s="6" t="n">
        <f aca="false">Sens!G527*(1+Sens!H528)</f>
        <v>131.333811964563</v>
      </c>
      <c r="I527" s="6" t="n">
        <f aca="false">Sens!H527*(1+Sens!I528)</f>
        <v>143.395665319381</v>
      </c>
      <c r="J527" s="6" t="n">
        <f aca="false">Sens!I527*(1+Sens!J528)</f>
        <v>154.999327755573</v>
      </c>
      <c r="K527" s="6" t="n">
        <f aca="false">Sens!J527*(1+Sens!K528)</f>
        <v>165.849280698463</v>
      </c>
      <c r="L527" s="12" t="s">
        <v>1031</v>
      </c>
    </row>
    <row r="528" customFormat="false" ht="15" hidden="false" customHeight="false" outlineLevel="0" collapsed="false">
      <c r="A528" s="1" t="s">
        <v>1024</v>
      </c>
      <c r="B528" s="0" t="s">
        <v>168</v>
      </c>
      <c r="E528" s="7" t="n">
        <f aca="false">Sens!E527/Sens!D527-1</f>
        <v>0.135523564900544</v>
      </c>
      <c r="F528" s="7" t="n">
        <f aca="false">Sens!$E$528+(glt_m365b-Sens!$E$528)*MIN(1,(Sens!F480-base_fy)/n_conv)</f>
        <v>0.124602970750453</v>
      </c>
      <c r="G528" s="7" t="n">
        <f aca="false">Sens!$E$528+(glt_m365b-Sens!$E$528)*MIN(1,(Sens!G480-base_fy)/n_conv)</f>
        <v>0.113682376600363</v>
      </c>
      <c r="H528" s="7" t="n">
        <f aca="false">Sens!$E$528+(glt_m365b-Sens!$E$528)*MIN(1,(Sens!H480-base_fy)/n_conv)</f>
        <v>0.102761782450272</v>
      </c>
      <c r="I528" s="7" t="n">
        <f aca="false">Sens!$E$528+(glt_m365b-Sens!$E$528)*MIN(1,(Sens!I480-base_fy)/n_conv)</f>
        <v>0.0918411883001813</v>
      </c>
      <c r="J528" s="7" t="n">
        <f aca="false">Sens!$E$528+(glt_m365b-Sens!$E$528)*MIN(1,(Sens!J480-base_fy)/n_conv)</f>
        <v>0.0809205941500906</v>
      </c>
      <c r="K528" s="7" t="n">
        <f aca="false">Sens!$E$528+(glt_m365b-Sens!$E$528)*MIN(1,(Sens!K480-base_fy)/n_conv)</f>
        <v>0.07</v>
      </c>
    </row>
    <row r="529" customFormat="false" ht="15" hidden="false" customHeight="false" outlineLevel="0" collapsed="false">
      <c r="A529" s="0" t="s">
        <v>1032</v>
      </c>
      <c r="B529" s="0" t="s">
        <v>98</v>
      </c>
      <c r="D529" s="6" t="n">
        <f aca="false">Sens!D527+Sens!D526</f>
        <v>84.605</v>
      </c>
      <c r="E529" s="6" t="n">
        <f aca="false">Sens!E527+Sens!E526</f>
        <v>100.299</v>
      </c>
      <c r="F529" s="6" t="n">
        <f aca="false">Sens!F527+Sens!F526</f>
        <v>117.438354189776</v>
      </c>
      <c r="G529" s="6" t="n">
        <f aca="false">Sens!G527+Sens!G526</f>
        <v>132.595360443801</v>
      </c>
      <c r="H529" s="6" t="n">
        <f aca="false">Sens!H527+Sens!H526</f>
        <v>147.833811964563</v>
      </c>
      <c r="I529" s="6" t="n">
        <f aca="false">Sens!I527+Sens!I526</f>
        <v>162.145665319381</v>
      </c>
      <c r="J529" s="6" t="n">
        <f aca="false">Sens!J527+Sens!J526</f>
        <v>175.249327755573</v>
      </c>
      <c r="K529" s="6" t="n">
        <f aca="false">Sens!K527+Sens!K526</f>
        <v>187.599280698463</v>
      </c>
    </row>
    <row r="530" customFormat="false" ht="17.15" hidden="false" customHeight="false" outlineLevel="0" collapsed="false">
      <c r="A530" s="0" t="s">
        <v>1033</v>
      </c>
      <c r="B530" s="0" t="s">
        <v>98</v>
      </c>
      <c r="D530" s="6" t="n">
        <f aca="false">Q!L8</f>
        <v>35.391</v>
      </c>
      <c r="E530" s="6" t="n">
        <f aca="false">Q!M8</f>
        <v>37.285</v>
      </c>
      <c r="F530" s="6" t="n">
        <f aca="false">Q!$I$8+(Q!M8-Q!$E$8)*(1+Sens!F531)</f>
        <v>38.3851437782675</v>
      </c>
      <c r="G530" s="6" t="n">
        <f aca="false">Sens!F530*(1+Sens!G531)</f>
        <v>40.0105353288615</v>
      </c>
      <c r="H530" s="6" t="n">
        <f aca="false">Sens!G530*(1+Sens!H531)</f>
        <v>41.4812512033683</v>
      </c>
      <c r="I530" s="6" t="n">
        <f aca="false">Sens!H530*(1+Sens!I531)</f>
        <v>42.7743107216329</v>
      </c>
      <c r="J530" s="6" t="n">
        <f aca="false">Sens!I530*(1+Sens!J531)</f>
        <v>43.8687373064601</v>
      </c>
      <c r="K530" s="6" t="n">
        <f aca="false">Sens!J530*(1+Sens!K531)</f>
        <v>44.7461120525893</v>
      </c>
      <c r="L530" s="12" t="s">
        <v>1034</v>
      </c>
    </row>
    <row r="531" customFormat="false" ht="15" hidden="false" customHeight="false" outlineLevel="0" collapsed="false">
      <c r="A531" s="1" t="s">
        <v>1024</v>
      </c>
      <c r="B531" s="0" t="s">
        <v>168</v>
      </c>
      <c r="E531" s="7" t="n">
        <f aca="false">Sens!E530/Sens!D530-1</f>
        <v>0.0535164307309768</v>
      </c>
      <c r="F531" s="7" t="n">
        <f aca="false">Sens!$E$531+(glt_lic-Sens!$E$531)*MIN(1,(Sens!F480-base_fy)/n_conv)</f>
        <v>0.0479303589424807</v>
      </c>
      <c r="G531" s="7" t="n">
        <f aca="false">Sens!$E$531+(glt_lic-Sens!$E$531)*MIN(1,(Sens!G480-base_fy)/n_conv)</f>
        <v>0.0423442871539845</v>
      </c>
      <c r="H531" s="7" t="n">
        <f aca="false">Sens!$E$531+(glt_lic-Sens!$E$531)*MIN(1,(Sens!H480-base_fy)/n_conv)</f>
        <v>0.0367582153654884</v>
      </c>
      <c r="I531" s="7" t="n">
        <f aca="false">Sens!$E$531+(glt_lic-Sens!$E$531)*MIN(1,(Sens!I480-base_fy)/n_conv)</f>
        <v>0.0311721435769923</v>
      </c>
      <c r="J531" s="7" t="n">
        <f aca="false">Sens!$E$531+(glt_lic-Sens!$E$531)*MIN(1,(Sens!J480-base_fy)/n_conv)</f>
        <v>0.0255860717884961</v>
      </c>
      <c r="K531" s="7" t="n">
        <f aca="false">Sens!$E$531+(glt_lic-Sens!$E$531)*MIN(1,(Sens!K480-base_fy)/n_conv)</f>
        <v>0.02</v>
      </c>
    </row>
    <row r="532" customFormat="false" ht="17.15" hidden="false" customHeight="false" outlineLevel="0" collapsed="false">
      <c r="A532" s="0" t="s">
        <v>1035</v>
      </c>
      <c r="B532" s="0" t="s">
        <v>98</v>
      </c>
      <c r="D532" s="6" t="n">
        <f aca="false">Q!L9</f>
        <v>18.417</v>
      </c>
      <c r="E532" s="6" t="n">
        <f aca="false">Q!M9</f>
        <v>20.345</v>
      </c>
      <c r="F532" s="6" t="n">
        <f aca="false">Q!$I$9+(Q!M9-Q!$E$9)*(1+Sens!F533)</f>
        <v>22.3161797133988</v>
      </c>
      <c r="G532" s="6" t="n">
        <f aca="false">Sens!F532*(1+Sens!G533)</f>
        <v>24.3943499673233</v>
      </c>
      <c r="H532" s="6" t="n">
        <f aca="false">Sens!G532*(1+Sens!H533)</f>
        <v>26.5250243109019</v>
      </c>
      <c r="I532" s="6" t="n">
        <f aca="false">Sens!H532*(1+Sens!I533)</f>
        <v>28.6884573538181</v>
      </c>
      <c r="J532" s="6" t="n">
        <f aca="false">Sens!I532*(1+Sens!J533)</f>
        <v>30.8624968052127</v>
      </c>
      <c r="K532" s="6" t="n">
        <f aca="false">Sens!J532*(1+Sens!K533)</f>
        <v>33.0228715815776</v>
      </c>
      <c r="L532" s="12" t="s">
        <v>1034</v>
      </c>
    </row>
    <row r="533" customFormat="false" ht="15" hidden="false" customHeight="false" outlineLevel="0" collapsed="false">
      <c r="A533" s="1" t="s">
        <v>1024</v>
      </c>
      <c r="B533" s="0" t="s">
        <v>168</v>
      </c>
      <c r="E533" s="7" t="n">
        <f aca="false">Sens!E532/Sens!D532-1</f>
        <v>0.104685888038225</v>
      </c>
      <c r="F533" s="7" t="n">
        <f aca="false">Sens!$E$533+(glt_ind-Sens!$E$533)*MIN(1,(Sens!F480-base_fy)/n_conv)</f>
        <v>0.0989049066985211</v>
      </c>
      <c r="G533" s="7" t="n">
        <f aca="false">Sens!$E$533+(glt_ind-Sens!$E$533)*MIN(1,(Sens!G480-base_fy)/n_conv)</f>
        <v>0.0931239253588169</v>
      </c>
      <c r="H533" s="7" t="n">
        <f aca="false">Sens!$E$533+(glt_ind-Sens!$E$533)*MIN(1,(Sens!H480-base_fy)/n_conv)</f>
        <v>0.0873429440191127</v>
      </c>
      <c r="I533" s="7" t="n">
        <f aca="false">Sens!$E$533+(glt_ind-Sens!$E$533)*MIN(1,(Sens!I480-base_fy)/n_conv)</f>
        <v>0.0815619626794085</v>
      </c>
      <c r="J533" s="7" t="n">
        <f aca="false">Sens!$E$533+(glt_ind-Sens!$E$533)*MIN(1,(Sens!J480-base_fy)/n_conv)</f>
        <v>0.0757809813397042</v>
      </c>
      <c r="K533" s="7" t="n">
        <f aca="false">Sens!$E$533+(glt_ind-Sens!$E$533)*MIN(1,(Sens!K480-base_fy)/n_conv)</f>
        <v>0.07</v>
      </c>
    </row>
    <row r="534" customFormat="false" ht="17.15" hidden="false" customHeight="false" outlineLevel="0" collapsed="false">
      <c r="A534" s="0" t="s">
        <v>1036</v>
      </c>
      <c r="B534" s="0" t="s">
        <v>98</v>
      </c>
      <c r="D534" s="6" t="n">
        <f aca="false">Q!L10</f>
        <v>7.76</v>
      </c>
      <c r="E534" s="6" t="n">
        <f aca="false">Q!M10</f>
        <v>8.26</v>
      </c>
      <c r="F534" s="6" t="n">
        <f aca="false">Q!$I$10+(Q!M10-Q!$E$10)*(1+Sens!F535)</f>
        <v>8.75372082474227</v>
      </c>
      <c r="G534" s="6" t="n">
        <f aca="false">Sens!F534*(1+Sens!G535)</f>
        <v>9.33399324642364</v>
      </c>
      <c r="H534" s="6" t="n">
        <f aca="false">Sens!G534*(1+Sens!H535)</f>
        <v>9.96139155535851</v>
      </c>
      <c r="I534" s="6" t="n">
        <f aca="false">Sens!H534*(1+Sens!I535)</f>
        <v>10.6402039077391</v>
      </c>
      <c r="J534" s="6" t="n">
        <f aca="false">Sens!I534*(1+Sens!J535)</f>
        <v>11.3751458271397</v>
      </c>
      <c r="K534" s="6" t="n">
        <f aca="false">Sens!J534*(1+Sens!K535)</f>
        <v>12.1714060350394</v>
      </c>
      <c r="L534" s="12" t="s">
        <v>1034</v>
      </c>
    </row>
    <row r="535" customFormat="false" ht="15" hidden="false" customHeight="false" outlineLevel="0" collapsed="false">
      <c r="A535" s="1" t="s">
        <v>1024</v>
      </c>
      <c r="B535" s="0" t="s">
        <v>168</v>
      </c>
      <c r="E535" s="7" t="n">
        <f aca="false">Sens!E534/Sens!D534-1</f>
        <v>0.0644329896907216</v>
      </c>
      <c r="F535" s="7" t="n">
        <f aca="false">Sens!$E$535+(glt_fro-Sens!$E$535)*MIN(1,(Sens!F480-base_fy)/n_conv)</f>
        <v>0.065360824742268</v>
      </c>
      <c r="G535" s="7" t="n">
        <f aca="false">Sens!$E$535+(glt_fro-Sens!$E$535)*MIN(1,(Sens!G480-base_fy)/n_conv)</f>
        <v>0.0662886597938144</v>
      </c>
      <c r="H535" s="7" t="n">
        <f aca="false">Sens!$E$535+(glt_fro-Sens!$E$535)*MIN(1,(Sens!H480-base_fy)/n_conv)</f>
        <v>0.0672164948453608</v>
      </c>
      <c r="I535" s="7" t="n">
        <f aca="false">Sens!$E$535+(glt_fro-Sens!$E$535)*MIN(1,(Sens!I480-base_fy)/n_conv)</f>
        <v>0.0681443298969072</v>
      </c>
      <c r="J535" s="7" t="n">
        <f aca="false">Sens!$E$535+(glt_fro-Sens!$E$535)*MIN(1,(Sens!J480-base_fy)/n_conv)</f>
        <v>0.0690721649484536</v>
      </c>
      <c r="K535" s="7" t="n">
        <f aca="false">Sens!$E$535+(glt_fro-Sens!$E$535)*MIN(1,(Sens!K480-base_fy)/n_conv)</f>
        <v>0.07</v>
      </c>
    </row>
    <row r="536" customFormat="false" ht="15" hidden="false" customHeight="false" outlineLevel="0" collapsed="false">
      <c r="A536" s="0" t="s">
        <v>852</v>
      </c>
      <c r="B536" s="0" t="s">
        <v>98</v>
      </c>
      <c r="D536" s="6" t="n">
        <f aca="false">Sens!D524+Sens!D529+Sens!D530+Sens!D532+Sens!D534</f>
        <v>218.783</v>
      </c>
      <c r="E536" s="6" t="n">
        <f aca="false">Sens!E524+Sens!E529+Sens!E530+Sens!E532+Sens!E534</f>
        <v>268.127</v>
      </c>
      <c r="F536" s="6" t="n">
        <f aca="false">Sens!F524+Sens!F529+Sens!F530+Sens!F532+Sens!F534</f>
        <v>330.145282059882</v>
      </c>
      <c r="G536" s="6" t="n">
        <f aca="false">Sens!G524+Sens!G529+Sens!G530+Sens!G532+Sens!G534</f>
        <v>392.656759865851</v>
      </c>
      <c r="H536" s="6" t="n">
        <f aca="false">Sens!H524+Sens!H529+Sens!H530+Sens!H532+Sens!H534</f>
        <v>450.544273297982</v>
      </c>
      <c r="I536" s="6" t="n">
        <f aca="false">Sens!I524+Sens!I529+Sens!I530+Sens!I532+Sens!I534</f>
        <v>510.69213512593</v>
      </c>
      <c r="J536" s="6" t="n">
        <f aca="false">Sens!J524+Sens!J529+Sens!J530+Sens!J532+Sens!J534</f>
        <v>560.416732629406</v>
      </c>
      <c r="K536" s="6" t="n">
        <f aca="false">Sens!K524+Sens!K529+Sens!K530+Sens!K532+Sens!K534</f>
        <v>600.132410592692</v>
      </c>
    </row>
    <row r="537" customFormat="false" ht="17.15" hidden="false" customHeight="false" outlineLevel="0" collapsed="false">
      <c r="A537" s="0" t="s">
        <v>1037</v>
      </c>
      <c r="B537" s="0" t="s">
        <v>98</v>
      </c>
      <c r="D537" s="6" t="n">
        <f aca="false">Q!L13</f>
        <v>22.171</v>
      </c>
      <c r="E537" s="6" t="n">
        <f aca="false">Q!M13</f>
        <v>24.835</v>
      </c>
      <c r="F537" s="6" t="n">
        <f aca="false">Q!$I$13+(Q!M13-Q!$E$13)*(1+Sens!F538)</f>
        <v>27.5591895660247</v>
      </c>
      <c r="G537" s="6" t="n">
        <f aca="false">Sens!F537*(1+Sens!G538)</f>
        <v>30.4098563144583</v>
      </c>
      <c r="H537" s="6" t="n">
        <f aca="false">Sens!G537*(1+Sens!H538)</f>
        <v>33.3011792571777</v>
      </c>
      <c r="I537" s="6" t="n">
        <f aca="false">Sens!H537*(1+Sens!I538)</f>
        <v>36.189023797112</v>
      </c>
      <c r="J537" s="6" t="n">
        <f aca="false">Sens!I537*(1+Sens!J538)</f>
        <v>39.0247773769199</v>
      </c>
      <c r="K537" s="6" t="n">
        <f aca="false">Sens!J537*(1+Sens!K538)</f>
        <v>41.7565117933043</v>
      </c>
      <c r="L537" s="12" t="s">
        <v>1034</v>
      </c>
    </row>
    <row r="538" customFormat="false" ht="15" hidden="false" customHeight="false" outlineLevel="0" collapsed="false">
      <c r="A538" s="1" t="s">
        <v>1024</v>
      </c>
      <c r="B538" s="0" t="s">
        <v>168</v>
      </c>
      <c r="E538" s="7" t="n">
        <f aca="false">Sens!E537/Sens!D537-1</f>
        <v>0.120156961796942</v>
      </c>
      <c r="F538" s="7" t="n">
        <f aca="false">Sens!$E$538+(glt_srch-Sens!$E$538)*MIN(1,(Sens!F480-base_fy)/n_conv)</f>
        <v>0.111797468164118</v>
      </c>
      <c r="G538" s="7" t="n">
        <f aca="false">Sens!$E$538+(glt_srch-Sens!$E$538)*MIN(1,(Sens!G480-base_fy)/n_conv)</f>
        <v>0.103437974531295</v>
      </c>
      <c r="H538" s="7" t="n">
        <f aca="false">Sens!$E$538+(glt_srch-Sens!$E$538)*MIN(1,(Sens!H480-base_fy)/n_conv)</f>
        <v>0.095078480898471</v>
      </c>
      <c r="I538" s="7" t="n">
        <f aca="false">Sens!$E$538+(glt_srch-Sens!$E$538)*MIN(1,(Sens!I480-base_fy)/n_conv)</f>
        <v>0.0867189872656474</v>
      </c>
      <c r="J538" s="7" t="n">
        <f aca="false">Sens!$E$538+(glt_srch-Sens!$E$538)*MIN(1,(Sens!J480-base_fy)/n_conv)</f>
        <v>0.0783594936328237</v>
      </c>
      <c r="K538" s="7" t="n">
        <f aca="false">Sens!$E$538+(glt_srch-Sens!$E$538)*MIN(1,(Sens!K480-base_fy)/n_conv)</f>
        <v>0.07</v>
      </c>
    </row>
    <row r="539" customFormat="false" ht="17.15" hidden="false" customHeight="false" outlineLevel="0" collapsed="false">
      <c r="A539" s="0" t="s">
        <v>1038</v>
      </c>
      <c r="B539" s="0" t="s">
        <v>98</v>
      </c>
      <c r="D539" s="6" t="n">
        <f aca="false">Q!L14</f>
        <v>23.455</v>
      </c>
      <c r="E539" s="6" t="n">
        <f aca="false">Q!M14</f>
        <v>21.79</v>
      </c>
      <c r="F539" s="6" t="n">
        <f aca="false">Q!$I$14+(Q!M14-Q!$E$14)*(1+Sens!F540)</f>
        <v>20.7520981041711</v>
      </c>
      <c r="G539" s="6" t="n">
        <f aca="false">Sens!F539*(1+Sens!G540)</f>
        <v>19.9083593495882</v>
      </c>
      <c r="H539" s="6" t="n">
        <f aca="false">Sens!G539*(1+Sens!H540)</f>
        <v>19.4008256265831</v>
      </c>
      <c r="I539" s="6" t="n">
        <f aca="false">Sens!H539*(1+Sens!I540)</f>
        <v>19.200434522122</v>
      </c>
      <c r="J539" s="6" t="n">
        <f aca="false">Sens!I539*(1+Sens!J540)</f>
        <v>19.2932782348507</v>
      </c>
      <c r="K539" s="6" t="n">
        <f aca="false">Sens!J539*(1+Sens!K540)</f>
        <v>19.6791437995477</v>
      </c>
      <c r="L539" s="12" t="s">
        <v>1034</v>
      </c>
    </row>
    <row r="540" customFormat="false" ht="15" hidden="false" customHeight="false" outlineLevel="0" collapsed="false">
      <c r="A540" s="1" t="s">
        <v>1024</v>
      </c>
      <c r="B540" s="0" t="s">
        <v>168</v>
      </c>
      <c r="E540" s="7" t="n">
        <f aca="false">Sens!E539/Sens!D539-1</f>
        <v>-0.0709869963760392</v>
      </c>
      <c r="F540" s="7" t="n">
        <f aca="false">Sens!$E$540+(glt_xbox-Sens!$E$540)*MIN(1,(Sens!F480-base_fy)/n_conv)</f>
        <v>-0.0558224969800327</v>
      </c>
      <c r="G540" s="7" t="n">
        <f aca="false">Sens!$E$540+(glt_xbox-Sens!$E$540)*MIN(1,(Sens!G480-base_fy)/n_conv)</f>
        <v>-0.0406579975840262</v>
      </c>
      <c r="H540" s="7" t="n">
        <f aca="false">Sens!$E$540+(glt_xbox-Sens!$E$540)*MIN(1,(Sens!H480-base_fy)/n_conv)</f>
        <v>-0.0254934981880196</v>
      </c>
      <c r="I540" s="7" t="n">
        <f aca="false">Sens!$E$540+(glt_xbox-Sens!$E$540)*MIN(1,(Sens!I480-base_fy)/n_conv)</f>
        <v>-0.0103289987920131</v>
      </c>
      <c r="J540" s="7" t="n">
        <f aca="false">Sens!$E$540+(glt_xbox-Sens!$E$540)*MIN(1,(Sens!J480-base_fy)/n_conv)</f>
        <v>0.00483550060399347</v>
      </c>
      <c r="K540" s="7" t="n">
        <f aca="false">Sens!$E$540+(glt_xbox-Sens!$E$540)*MIN(1,(Sens!K480-base_fy)/n_conv)</f>
        <v>0.02</v>
      </c>
    </row>
    <row r="541" customFormat="false" ht="17.15" hidden="false" customHeight="false" outlineLevel="0" collapsed="false">
      <c r="A541" s="0" t="s">
        <v>1039</v>
      </c>
      <c r="B541" s="0" t="s">
        <v>98</v>
      </c>
      <c r="D541" s="6" t="n">
        <f aca="false">Q!L15</f>
        <v>17.315</v>
      </c>
      <c r="E541" s="6" t="n">
        <f aca="false">Q!M15</f>
        <v>17.087</v>
      </c>
      <c r="F541" s="6" t="n">
        <f aca="false">Q!$I$15+(Q!M15-Q!$E$15)*(1+Sens!F542)</f>
        <v>15.9912273250553</v>
      </c>
      <c r="G541" s="6" t="n">
        <f aca="false">Sens!F541*(1+Sens!G542)</f>
        <v>15.9574562664827</v>
      </c>
      <c r="H541" s="6" t="n">
        <f aca="false">Sens!G541*(1+Sens!H542)</f>
        <v>16.0119687434196</v>
      </c>
      <c r="I541" s="6" t="n">
        <f aca="false">Sens!H541*(1+Sens!I542)</f>
        <v>16.1551810001948</v>
      </c>
      <c r="J541" s="6" t="n">
        <f aca="false">Sens!I541*(1+Sens!J542)</f>
        <v>16.3889793892005</v>
      </c>
      <c r="K541" s="6" t="n">
        <f aca="false">Sens!J541*(1+Sens!K542)</f>
        <v>16.7167589769845</v>
      </c>
      <c r="L541" s="12" t="s">
        <v>1034</v>
      </c>
    </row>
    <row r="542" customFormat="false" ht="15" hidden="false" customHeight="false" outlineLevel="0" collapsed="false">
      <c r="A542" s="1" t="s">
        <v>1024</v>
      </c>
      <c r="B542" s="0" t="s">
        <v>168</v>
      </c>
      <c r="E542" s="7" t="n">
        <f aca="false">Sens!E541/Sens!D541-1</f>
        <v>-0.0131677736066995</v>
      </c>
      <c r="F542" s="7" t="n">
        <f aca="false">Sens!$E$542+(glt_win-Sens!$E$542)*MIN(1,(Sens!F480-base_fy)/n_conv)</f>
        <v>-0.00763981133891627</v>
      </c>
      <c r="G542" s="7" t="n">
        <f aca="false">Sens!$E$542+(glt_win-Sens!$E$542)*MIN(1,(Sens!G480-base_fy)/n_conv)</f>
        <v>-0.00211184907113301</v>
      </c>
      <c r="H542" s="7" t="n">
        <f aca="false">Sens!$E$542+(glt_win-Sens!$E$542)*MIN(1,(Sens!H480-base_fy)/n_conv)</f>
        <v>0.00341611319665024</v>
      </c>
      <c r="I542" s="7" t="n">
        <f aca="false">Sens!$E$542+(glt_win-Sens!$E$542)*MIN(1,(Sens!I480-base_fy)/n_conv)</f>
        <v>0.00894407546443349</v>
      </c>
      <c r="J542" s="7" t="n">
        <f aca="false">Sens!$E$542+(glt_win-Sens!$E$542)*MIN(1,(Sens!J480-base_fy)/n_conv)</f>
        <v>0.0144720377322168</v>
      </c>
      <c r="K542" s="7" t="n">
        <f aca="false">Sens!$E$542+(glt_win-Sens!$E$542)*MIN(1,(Sens!K480-base_fy)/n_conv)</f>
        <v>0.02</v>
      </c>
    </row>
    <row r="543" customFormat="false" ht="15" hidden="false" customHeight="false" outlineLevel="0" collapsed="false">
      <c r="A543" s="0" t="s">
        <v>866</v>
      </c>
      <c r="B543" s="0" t="s">
        <v>98</v>
      </c>
      <c r="D543" s="6" t="n">
        <f aca="false">Sens!D537+Sens!D539+Sens!D541</f>
        <v>62.941</v>
      </c>
      <c r="E543" s="6" t="n">
        <f aca="false">Sens!E537+Sens!E539+Sens!E541</f>
        <v>63.712</v>
      </c>
      <c r="F543" s="6" t="n">
        <f aca="false">Sens!F537+Sens!F539+Sens!F541</f>
        <v>64.3025149952511</v>
      </c>
      <c r="G543" s="6" t="n">
        <f aca="false">Sens!G537+Sens!G539+Sens!G541</f>
        <v>66.2756719305292</v>
      </c>
      <c r="H543" s="6" t="n">
        <f aca="false">Sens!H537+Sens!H539+Sens!H541</f>
        <v>68.7139736271804</v>
      </c>
      <c r="I543" s="6" t="n">
        <f aca="false">Sens!I537+Sens!I539+Sens!I541</f>
        <v>71.5446393194289</v>
      </c>
      <c r="J543" s="6" t="n">
        <f aca="false">Sens!J537+Sens!J539+Sens!J541</f>
        <v>74.707035000971</v>
      </c>
      <c r="K543" s="6" t="n">
        <f aca="false">Sens!K537+Sens!K539+Sens!K541</f>
        <v>78.1524145698365</v>
      </c>
    </row>
    <row r="544" customFormat="false" ht="15" hidden="false" customHeight="false" outlineLevel="0" collapsed="false">
      <c r="A544" s="1" t="s">
        <v>1040</v>
      </c>
      <c r="B544" s="0" t="s">
        <v>98</v>
      </c>
      <c r="D544" s="6" t="n">
        <f aca="false">Sens!D536+Sens!D543</f>
        <v>281.724</v>
      </c>
      <c r="E544" s="6" t="n">
        <f aca="false">Sens!E536+Sens!E543</f>
        <v>331.839</v>
      </c>
      <c r="F544" s="6" t="n">
        <f aca="false">Sens!F536+Sens!F543</f>
        <v>394.447797055133</v>
      </c>
      <c r="G544" s="6" t="n">
        <f aca="false">Sens!G536+Sens!G543</f>
        <v>458.93243179638</v>
      </c>
      <c r="H544" s="6" t="n">
        <f aca="false">Sens!H536+Sens!H543</f>
        <v>519.258246925162</v>
      </c>
      <c r="I544" s="6" t="n">
        <f aca="false">Sens!I536+Sens!I543</f>
        <v>582.236774445359</v>
      </c>
      <c r="J544" s="6" t="n">
        <f aca="false">Sens!J536+Sens!J543</f>
        <v>635.123767630377</v>
      </c>
      <c r="K544" s="6" t="n">
        <f aca="false">Sens!K536+Sens!K543</f>
        <v>678.284825162529</v>
      </c>
    </row>
    <row r="545" customFormat="false" ht="15" hidden="false" customHeight="false" outlineLevel="0" collapsed="false">
      <c r="A545" s="26" t="s">
        <v>1041</v>
      </c>
      <c r="B545" s="31" t="s">
        <v>98</v>
      </c>
      <c r="C545" s="31"/>
      <c r="D545" s="27" t="n">
        <f aca="false">(Sens!D524+Sens!D529+Sens!D530+Sens!D532+Sens!D534-Sens!D536)+(Sens!D537+Sens!D539+Sens!D541-Sens!D543)+(Sens!D536-Q!L5)+(Sens!D543-Q!L12)+(Sens!D524-Q!L6)+(Sens!D529-Q!L7)</f>
        <v>0</v>
      </c>
      <c r="E545" s="27" t="n">
        <f aca="false">(Sens!E524+Sens!E529+Sens!E530+Sens!E532+Sens!E534-Sens!E536)+(Sens!E537+Sens!E539+Sens!E541-Sens!E543)+(Sens!E536-Q!M5)+(Sens!E543-Q!M12)+(Sens!E524-Q!M6)+(Sens!E529-Q!M7)</f>
        <v>0</v>
      </c>
      <c r="F545" s="27" t="n">
        <f aca="false">(Sens!F524+Sens!F529+Sens!F530+Sens!F532+Sens!F534-Sens!F536)+(Sens!F537+Sens!F539+Sens!F541-Sens!F543)</f>
        <v>0</v>
      </c>
      <c r="G545" s="27" t="n">
        <f aca="false">(Sens!G524+Sens!G529+Sens!G530+Sens!G532+Sens!G534-Sens!G536)+(Sens!G537+Sens!G539+Sens!G541-Sens!G543)</f>
        <v>0</v>
      </c>
      <c r="H545" s="27" t="n">
        <f aca="false">(Sens!H524+Sens!H529+Sens!H530+Sens!H532+Sens!H534-Sens!H536)+(Sens!H537+Sens!H539+Sens!H541-Sens!H543)</f>
        <v>0</v>
      </c>
      <c r="I545" s="27" t="n">
        <f aca="false">(Sens!I524+Sens!I529+Sens!I530+Sens!I532+Sens!I534-Sens!I536)+(Sens!I537+Sens!I539+Sens!I541-Sens!I543)</f>
        <v>0</v>
      </c>
      <c r="J545" s="27" t="n">
        <f aca="false">(Sens!J524+Sens!J529+Sens!J530+Sens!J532+Sens!J534-Sens!J536)+(Sens!J537+Sens!J539+Sens!J541-Sens!J543)</f>
        <v>0</v>
      </c>
      <c r="K545" s="27" t="n">
        <f aca="false">(Sens!K524+Sens!K529+Sens!K530+Sens!K532+Sens!K534-Sens!K536)+(Sens!K537+Sens!K539+Sens!K541-Sens!K543)</f>
        <v>0</v>
      </c>
    </row>
    <row r="546" customFormat="false" ht="17.15" hidden="false" customHeight="false" outlineLevel="0" collapsed="false">
      <c r="A546" s="3" t="s">
        <v>1492</v>
      </c>
    </row>
    <row r="547" customFormat="false" ht="15" hidden="false" customHeight="false" outlineLevel="0" collapsed="false">
      <c r="A547" s="4" t="s">
        <v>43</v>
      </c>
      <c r="B547" s="4" t="s">
        <v>65</v>
      </c>
      <c r="C547" s="23" t="s">
        <v>938</v>
      </c>
      <c r="D547" s="23" t="s">
        <v>939</v>
      </c>
      <c r="E547" s="23" t="s">
        <v>940</v>
      </c>
      <c r="F547" s="23" t="s">
        <v>941</v>
      </c>
      <c r="G547" s="23" t="s">
        <v>942</v>
      </c>
      <c r="H547" s="23" t="s">
        <v>943</v>
      </c>
      <c r="I547" s="23" t="s">
        <v>944</v>
      </c>
      <c r="J547" s="23" t="s">
        <v>945</v>
      </c>
      <c r="K547" s="23" t="s">
        <v>946</v>
      </c>
      <c r="L547" s="4" t="s">
        <v>47</v>
      </c>
    </row>
    <row r="548" customFormat="false" ht="15" hidden="false" customHeight="false" outlineLevel="0" collapsed="false">
      <c r="A548" s="0" t="s">
        <v>1025</v>
      </c>
      <c r="B548" s="0" t="s">
        <v>98</v>
      </c>
      <c r="D548" s="6" t="n">
        <f aca="false">Sens!D524</f>
        <v>72.61</v>
      </c>
      <c r="E548" s="6" t="n">
        <f aca="false">Sens!E524</f>
        <v>101.938</v>
      </c>
      <c r="F548" s="6" t="n">
        <f aca="false">Sens!F524</f>
        <v>143.251883553698</v>
      </c>
      <c r="G548" s="6" t="n">
        <f aca="false">Sens!G524</f>
        <v>186.322520879442</v>
      </c>
      <c r="H548" s="6" t="n">
        <f aca="false">Sens!H524</f>
        <v>224.74279426379</v>
      </c>
      <c r="I548" s="6" t="n">
        <f aca="false">Sens!I524</f>
        <v>266.443497823359</v>
      </c>
      <c r="J548" s="6" t="n">
        <f aca="false">Sens!J524</f>
        <v>299.06102493502</v>
      </c>
      <c r="K548" s="6" t="n">
        <f aca="false">Sens!K524</f>
        <v>322.592740225023</v>
      </c>
    </row>
    <row r="549" customFormat="false" ht="17.15" hidden="false" customHeight="false" outlineLevel="0" collapsed="false">
      <c r="A549" s="0" t="s">
        <v>1021</v>
      </c>
      <c r="B549" s="0" t="s">
        <v>98</v>
      </c>
      <c r="D549" s="6" t="n">
        <f aca="false">Sens!D521</f>
        <v>12.9359794422418</v>
      </c>
      <c r="E549" s="6" t="n">
        <f aca="false">Sens!E521</f>
        <v>27.8095064661409</v>
      </c>
      <c r="F549" s="6" t="n">
        <f aca="false">Sens!F521</f>
        <v>50.9819294352312</v>
      </c>
      <c r="G549" s="6" t="n">
        <f aca="false">Sens!G521</f>
        <v>76.6920436014933</v>
      </c>
      <c r="H549" s="6" t="n">
        <f aca="false">Sens!H521</f>
        <v>97.4495379418341</v>
      </c>
      <c r="I549" s="6" t="n">
        <f aca="false">Sens!I521</f>
        <v>122.083445553868</v>
      </c>
      <c r="J549" s="6" t="n">
        <f aca="false">Sens!J521</f>
        <v>139.249060444804</v>
      </c>
      <c r="K549" s="6" t="n">
        <f aca="false">Sens!K521</f>
        <v>149.995818575589</v>
      </c>
    </row>
    <row r="550" customFormat="false" ht="17.15" hidden="false" customHeight="false" outlineLevel="0" collapsed="false">
      <c r="A550" s="0" t="s">
        <v>1052</v>
      </c>
      <c r="B550" s="0" t="s">
        <v>98</v>
      </c>
      <c r="D550" s="6" t="n">
        <f aca="false">Sens!D522</f>
        <v>59.6740205577583</v>
      </c>
      <c r="E550" s="6" t="n">
        <f aca="false">Sens!E522</f>
        <v>74.1284935338591</v>
      </c>
      <c r="F550" s="6" t="n">
        <f aca="false">Sens!F522</f>
        <v>92.2699541184664</v>
      </c>
      <c r="G550" s="6" t="n">
        <f aca="false">Sens!G522</f>
        <v>109.630477277949</v>
      </c>
      <c r="H550" s="6" t="n">
        <f aca="false">Sens!H522</f>
        <v>127.293256321956</v>
      </c>
      <c r="I550" s="6" t="n">
        <f aca="false">Sens!I522</f>
        <v>144.360052269491</v>
      </c>
      <c r="J550" s="6" t="n">
        <f aca="false">Sens!J522</f>
        <v>159.811964490216</v>
      </c>
      <c r="K550" s="6" t="n">
        <f aca="false">Sens!K522</f>
        <v>172.596921649434</v>
      </c>
    </row>
    <row r="551" customFormat="false" ht="15" hidden="false" customHeight="false" outlineLevel="0" collapsed="false">
      <c r="A551" s="0" t="s">
        <v>1032</v>
      </c>
      <c r="B551" s="0" t="s">
        <v>98</v>
      </c>
      <c r="D551" s="6" t="n">
        <f aca="false">Sens!D529</f>
        <v>84.605</v>
      </c>
      <c r="E551" s="6" t="n">
        <f aca="false">Sens!E529</f>
        <v>100.299</v>
      </c>
      <c r="F551" s="6" t="n">
        <f aca="false">Sens!F529</f>
        <v>117.438354189776</v>
      </c>
      <c r="G551" s="6" t="n">
        <f aca="false">Sens!G529</f>
        <v>132.595360443801</v>
      </c>
      <c r="H551" s="6" t="n">
        <f aca="false">Sens!H529</f>
        <v>147.833811964563</v>
      </c>
      <c r="I551" s="6" t="n">
        <f aca="false">Sens!I529</f>
        <v>162.145665319381</v>
      </c>
      <c r="J551" s="6" t="n">
        <f aca="false">Sens!J529</f>
        <v>175.249327755573</v>
      </c>
      <c r="K551" s="6" t="n">
        <f aca="false">Sens!K529</f>
        <v>187.599280698463</v>
      </c>
    </row>
    <row r="552" customFormat="false" ht="17.15" hidden="false" customHeight="false" outlineLevel="0" collapsed="false">
      <c r="A552" s="0" t="s">
        <v>1053</v>
      </c>
      <c r="B552" s="0" t="s">
        <v>98</v>
      </c>
      <c r="D552" s="6" t="n">
        <f aca="false">Sens!D527</f>
        <v>83.705</v>
      </c>
      <c r="E552" s="6" t="n">
        <f aca="false">Sens!E527</f>
        <v>95.049</v>
      </c>
      <c r="F552" s="6" t="n">
        <f aca="false">Sens!F527</f>
        <v>106.938354189776</v>
      </c>
      <c r="G552" s="6" t="n">
        <f aca="false">Sens!G527</f>
        <v>119.095360443801</v>
      </c>
      <c r="H552" s="6" t="n">
        <f aca="false">Sens!H527</f>
        <v>131.333811964563</v>
      </c>
      <c r="I552" s="6" t="n">
        <f aca="false">Sens!I527</f>
        <v>143.395665319381</v>
      </c>
      <c r="J552" s="6" t="n">
        <f aca="false">Sens!J527</f>
        <v>154.999327755573</v>
      </c>
      <c r="K552" s="6" t="n">
        <f aca="false">Sens!K527</f>
        <v>165.849280698463</v>
      </c>
    </row>
    <row r="553" customFormat="false" ht="17.15" hidden="false" customHeight="false" outlineLevel="0" collapsed="false">
      <c r="A553" s="0" t="s">
        <v>1054</v>
      </c>
      <c r="B553" s="0" t="s">
        <v>98</v>
      </c>
      <c r="D553" s="6" t="n">
        <f aca="false">Sens!D526</f>
        <v>0.9</v>
      </c>
      <c r="E553" s="6" t="n">
        <f aca="false">Sens!E526</f>
        <v>5.25</v>
      </c>
      <c r="F553" s="6" t="n">
        <f aca="false">Sens!F526</f>
        <v>10.5</v>
      </c>
      <c r="G553" s="6" t="n">
        <f aca="false">Sens!G526</f>
        <v>13.5</v>
      </c>
      <c r="H553" s="6" t="n">
        <f aca="false">Sens!H526</f>
        <v>16.5</v>
      </c>
      <c r="I553" s="6" t="n">
        <f aca="false">Sens!I526</f>
        <v>18.75</v>
      </c>
      <c r="J553" s="6" t="n">
        <f aca="false">Sens!J526</f>
        <v>20.25</v>
      </c>
      <c r="K553" s="6" t="n">
        <f aca="false">Sens!K526</f>
        <v>21.75</v>
      </c>
    </row>
    <row r="554" customFormat="false" ht="15" hidden="false" customHeight="false" outlineLevel="0" collapsed="false">
      <c r="A554" s="0" t="s">
        <v>1033</v>
      </c>
      <c r="B554" s="0" t="s">
        <v>98</v>
      </c>
      <c r="D554" s="6" t="n">
        <f aca="false">Sens!D530</f>
        <v>35.391</v>
      </c>
      <c r="E554" s="6" t="n">
        <f aca="false">Sens!E530</f>
        <v>37.285</v>
      </c>
      <c r="F554" s="6" t="n">
        <f aca="false">Sens!F530</f>
        <v>38.3851437782675</v>
      </c>
      <c r="G554" s="6" t="n">
        <f aca="false">Sens!G530</f>
        <v>40.0105353288615</v>
      </c>
      <c r="H554" s="6" t="n">
        <f aca="false">Sens!H530</f>
        <v>41.4812512033683</v>
      </c>
      <c r="I554" s="6" t="n">
        <f aca="false">Sens!I530</f>
        <v>42.7743107216329</v>
      </c>
      <c r="J554" s="6" t="n">
        <f aca="false">Sens!J530</f>
        <v>43.8687373064601</v>
      </c>
      <c r="K554" s="6" t="n">
        <f aca="false">Sens!K530</f>
        <v>44.7461120525893</v>
      </c>
    </row>
    <row r="555" customFormat="false" ht="15" hidden="false" customHeight="false" outlineLevel="0" collapsed="false">
      <c r="A555" s="0" t="s">
        <v>1035</v>
      </c>
      <c r="B555" s="0" t="s">
        <v>98</v>
      </c>
      <c r="D555" s="6" t="n">
        <f aca="false">Sens!D532</f>
        <v>18.417</v>
      </c>
      <c r="E555" s="6" t="n">
        <f aca="false">Sens!E532</f>
        <v>20.345</v>
      </c>
      <c r="F555" s="6" t="n">
        <f aca="false">Sens!F532</f>
        <v>22.3161797133988</v>
      </c>
      <c r="G555" s="6" t="n">
        <f aca="false">Sens!G532</f>
        <v>24.3943499673233</v>
      </c>
      <c r="H555" s="6" t="n">
        <f aca="false">Sens!H532</f>
        <v>26.5250243109019</v>
      </c>
      <c r="I555" s="6" t="n">
        <f aca="false">Sens!I532</f>
        <v>28.6884573538181</v>
      </c>
      <c r="J555" s="6" t="n">
        <f aca="false">Sens!J532</f>
        <v>30.8624968052127</v>
      </c>
      <c r="K555" s="6" t="n">
        <f aca="false">Sens!K532</f>
        <v>33.0228715815776</v>
      </c>
    </row>
    <row r="556" customFormat="false" ht="15" hidden="false" customHeight="false" outlineLevel="0" collapsed="false">
      <c r="A556" s="0" t="s">
        <v>1036</v>
      </c>
      <c r="B556" s="0" t="s">
        <v>98</v>
      </c>
      <c r="D556" s="6" t="n">
        <f aca="false">Sens!D534</f>
        <v>7.76</v>
      </c>
      <c r="E556" s="6" t="n">
        <f aca="false">Sens!E534</f>
        <v>8.26</v>
      </c>
      <c r="F556" s="6" t="n">
        <f aca="false">Sens!F534</f>
        <v>8.75372082474227</v>
      </c>
      <c r="G556" s="6" t="n">
        <f aca="false">Sens!G534</f>
        <v>9.33399324642364</v>
      </c>
      <c r="H556" s="6" t="n">
        <f aca="false">Sens!H534</f>
        <v>9.96139155535851</v>
      </c>
      <c r="I556" s="6" t="n">
        <f aca="false">Sens!I534</f>
        <v>10.6402039077391</v>
      </c>
      <c r="J556" s="6" t="n">
        <f aca="false">Sens!J534</f>
        <v>11.3751458271397</v>
      </c>
      <c r="K556" s="6" t="n">
        <f aca="false">Sens!K534</f>
        <v>12.1714060350394</v>
      </c>
    </row>
    <row r="557" customFormat="false" ht="15" hidden="false" customHeight="false" outlineLevel="0" collapsed="false">
      <c r="A557" s="0" t="s">
        <v>852</v>
      </c>
      <c r="B557" s="0" t="s">
        <v>98</v>
      </c>
      <c r="D557" s="6" t="n">
        <f aca="false">Sens!D536</f>
        <v>218.783</v>
      </c>
      <c r="E557" s="6" t="n">
        <f aca="false">Sens!E536</f>
        <v>268.127</v>
      </c>
      <c r="F557" s="6" t="n">
        <f aca="false">Sens!F536</f>
        <v>330.145282059882</v>
      </c>
      <c r="G557" s="6" t="n">
        <f aca="false">Sens!G536</f>
        <v>392.656759865851</v>
      </c>
      <c r="H557" s="6" t="n">
        <f aca="false">Sens!H536</f>
        <v>450.544273297982</v>
      </c>
      <c r="I557" s="6" t="n">
        <f aca="false">Sens!I536</f>
        <v>510.69213512593</v>
      </c>
      <c r="J557" s="6" t="n">
        <f aca="false">Sens!J536</f>
        <v>560.416732629406</v>
      </c>
      <c r="K557" s="6" t="n">
        <f aca="false">Sens!K536</f>
        <v>600.132410592692</v>
      </c>
    </row>
    <row r="558" customFormat="false" ht="15" hidden="false" customHeight="false" outlineLevel="0" collapsed="false">
      <c r="A558" s="0" t="s">
        <v>1037</v>
      </c>
      <c r="B558" s="0" t="s">
        <v>98</v>
      </c>
      <c r="D558" s="6" t="n">
        <f aca="false">Sens!D537</f>
        <v>22.171</v>
      </c>
      <c r="E558" s="6" t="n">
        <f aca="false">Sens!E537</f>
        <v>24.835</v>
      </c>
      <c r="F558" s="6" t="n">
        <f aca="false">Sens!F537</f>
        <v>27.5591895660247</v>
      </c>
      <c r="G558" s="6" t="n">
        <f aca="false">Sens!G537</f>
        <v>30.4098563144583</v>
      </c>
      <c r="H558" s="6" t="n">
        <f aca="false">Sens!H537</f>
        <v>33.3011792571777</v>
      </c>
      <c r="I558" s="6" t="n">
        <f aca="false">Sens!I537</f>
        <v>36.189023797112</v>
      </c>
      <c r="J558" s="6" t="n">
        <f aca="false">Sens!J537</f>
        <v>39.0247773769199</v>
      </c>
      <c r="K558" s="6" t="n">
        <f aca="false">Sens!K537</f>
        <v>41.7565117933043</v>
      </c>
    </row>
    <row r="559" customFormat="false" ht="15" hidden="false" customHeight="false" outlineLevel="0" collapsed="false">
      <c r="A559" s="0" t="s">
        <v>1038</v>
      </c>
      <c r="B559" s="0" t="s">
        <v>98</v>
      </c>
      <c r="D559" s="6" t="n">
        <f aca="false">Sens!D539</f>
        <v>23.455</v>
      </c>
      <c r="E559" s="6" t="n">
        <f aca="false">Sens!E539</f>
        <v>21.79</v>
      </c>
      <c r="F559" s="6" t="n">
        <f aca="false">Sens!F539</f>
        <v>20.7520981041711</v>
      </c>
      <c r="G559" s="6" t="n">
        <f aca="false">Sens!G539</f>
        <v>19.9083593495882</v>
      </c>
      <c r="H559" s="6" t="n">
        <f aca="false">Sens!H539</f>
        <v>19.4008256265831</v>
      </c>
      <c r="I559" s="6" t="n">
        <f aca="false">Sens!I539</f>
        <v>19.200434522122</v>
      </c>
      <c r="J559" s="6" t="n">
        <f aca="false">Sens!J539</f>
        <v>19.2932782348507</v>
      </c>
      <c r="K559" s="6" t="n">
        <f aca="false">Sens!K539</f>
        <v>19.6791437995477</v>
      </c>
    </row>
    <row r="560" customFormat="false" ht="15" hidden="false" customHeight="false" outlineLevel="0" collapsed="false">
      <c r="A560" s="0" t="s">
        <v>1039</v>
      </c>
      <c r="B560" s="0" t="s">
        <v>98</v>
      </c>
      <c r="D560" s="6" t="n">
        <f aca="false">Sens!D541</f>
        <v>17.315</v>
      </c>
      <c r="E560" s="6" t="n">
        <f aca="false">Sens!E541</f>
        <v>17.087</v>
      </c>
      <c r="F560" s="6" t="n">
        <f aca="false">Sens!F541</f>
        <v>15.9912273250553</v>
      </c>
      <c r="G560" s="6" t="n">
        <f aca="false">Sens!G541</f>
        <v>15.9574562664827</v>
      </c>
      <c r="H560" s="6" t="n">
        <f aca="false">Sens!H541</f>
        <v>16.0119687434196</v>
      </c>
      <c r="I560" s="6" t="n">
        <f aca="false">Sens!I541</f>
        <v>16.1551810001948</v>
      </c>
      <c r="J560" s="6" t="n">
        <f aca="false">Sens!J541</f>
        <v>16.3889793892005</v>
      </c>
      <c r="K560" s="6" t="n">
        <f aca="false">Sens!K541</f>
        <v>16.7167589769845</v>
      </c>
    </row>
    <row r="561" customFormat="false" ht="15" hidden="false" customHeight="false" outlineLevel="0" collapsed="false">
      <c r="A561" s="0" t="s">
        <v>866</v>
      </c>
      <c r="B561" s="0" t="s">
        <v>98</v>
      </c>
      <c r="D561" s="6" t="n">
        <f aca="false">Sens!D543</f>
        <v>62.941</v>
      </c>
      <c r="E561" s="6" t="n">
        <f aca="false">Sens!E543</f>
        <v>63.712</v>
      </c>
      <c r="F561" s="6" t="n">
        <f aca="false">Sens!F543</f>
        <v>64.3025149952511</v>
      </c>
      <c r="G561" s="6" t="n">
        <f aca="false">Sens!G543</f>
        <v>66.2756719305292</v>
      </c>
      <c r="H561" s="6" t="n">
        <f aca="false">Sens!H543</f>
        <v>68.7139736271804</v>
      </c>
      <c r="I561" s="6" t="n">
        <f aca="false">Sens!I543</f>
        <v>71.5446393194289</v>
      </c>
      <c r="J561" s="6" t="n">
        <f aca="false">Sens!J543</f>
        <v>74.707035000971</v>
      </c>
      <c r="K561" s="6" t="n">
        <f aca="false">Sens!K543</f>
        <v>78.1524145698365</v>
      </c>
    </row>
    <row r="562" customFormat="false" ht="15" hidden="false" customHeight="false" outlineLevel="0" collapsed="false">
      <c r="A562" s="1" t="s">
        <v>1055</v>
      </c>
      <c r="B562" s="0" t="s">
        <v>98</v>
      </c>
      <c r="D562" s="6" t="n">
        <f aca="false">Sens!D544</f>
        <v>281.724</v>
      </c>
      <c r="E562" s="6" t="n">
        <f aca="false">Sens!E544</f>
        <v>331.839</v>
      </c>
      <c r="F562" s="6" t="n">
        <f aca="false">Sens!F544</f>
        <v>394.447797055133</v>
      </c>
      <c r="G562" s="6" t="n">
        <f aca="false">Sens!G544</f>
        <v>458.93243179638</v>
      </c>
      <c r="H562" s="6" t="n">
        <f aca="false">Sens!H544</f>
        <v>519.258246925162</v>
      </c>
      <c r="I562" s="6" t="n">
        <f aca="false">Sens!I544</f>
        <v>582.236774445359</v>
      </c>
      <c r="J562" s="6" t="n">
        <f aca="false">Sens!J544</f>
        <v>635.123767630377</v>
      </c>
      <c r="K562" s="6" t="n">
        <f aca="false">Sens!K544</f>
        <v>678.284825162529</v>
      </c>
    </row>
    <row r="563" customFormat="false" ht="15" hidden="false" customHeight="false" outlineLevel="0" collapsed="false">
      <c r="A563" s="1" t="s">
        <v>1056</v>
      </c>
      <c r="B563" s="0" t="s">
        <v>168</v>
      </c>
      <c r="E563" s="7" t="n">
        <f aca="false">Sens!E562/Sens!D562-1</f>
        <v>0.177886867998467</v>
      </c>
      <c r="F563" s="7" t="n">
        <f aca="false">Sens!F562/Sens!E562-1</f>
        <v>0.188672208676897</v>
      </c>
      <c r="G563" s="7" t="n">
        <f aca="false">Sens!G562/Sens!F562-1</f>
        <v>0.16348078306604</v>
      </c>
      <c r="H563" s="7" t="n">
        <f aca="false">Sens!H562/Sens!G562-1</f>
        <v>0.131448141271366</v>
      </c>
      <c r="I563" s="7" t="n">
        <f aca="false">Sens!I562/Sens!H562-1</f>
        <v>0.121285560495438</v>
      </c>
      <c r="J563" s="7" t="n">
        <f aca="false">Sens!J562/Sens!I562-1</f>
        <v>0.0908341683422489</v>
      </c>
      <c r="K563" s="7" t="n">
        <f aca="false">Sens!K562/Sens!J562-1</f>
        <v>0.0679569238814417</v>
      </c>
    </row>
    <row r="564" customFormat="false" ht="17.15" hidden="false" customHeight="false" outlineLevel="0" collapsed="false">
      <c r="A564" s="26" t="s">
        <v>1057</v>
      </c>
      <c r="B564" s="31" t="s">
        <v>98</v>
      </c>
      <c r="C564" s="31"/>
      <c r="D564" s="27" t="n">
        <f aca="false">(Sens!D557+Sens!D561-Sens!D562)+(Sens!D549+Sens!D550-Sens!D548)+(Sens!D552+Sens!D553-Sens!D551)+(Sens!D562-Q!L18)</f>
        <v>0</v>
      </c>
      <c r="E564" s="27" t="n">
        <f aca="false">(Sens!E557+Sens!E561-Sens!E562)+(Sens!E549+Sens!E550-Sens!E548)+(Sens!E552+Sens!E553-Sens!E551)+(Sens!E562-Q!M18)</f>
        <v>0</v>
      </c>
      <c r="F564" s="27" t="n">
        <f aca="false">(Sens!F557+Sens!F561-Sens!F562)+(Sens!F549+Sens!F550-Sens!F548)+(Sens!F552+Sens!F553-Sens!F551)</f>
        <v>0</v>
      </c>
      <c r="G564" s="27" t="n">
        <f aca="false">(Sens!G557+Sens!G561-Sens!G562)+(Sens!G549+Sens!G550-Sens!G548)+(Sens!G552+Sens!G553-Sens!G551)</f>
        <v>0</v>
      </c>
      <c r="H564" s="27" t="n">
        <f aca="false">(Sens!H557+Sens!H561-Sens!H562)+(Sens!H549+Sens!H550-Sens!H548)+(Sens!H552+Sens!H553-Sens!H551)</f>
        <v>0</v>
      </c>
      <c r="I564" s="27" t="n">
        <f aca="false">(Sens!I557+Sens!I561-Sens!I562)+(Sens!I549+Sens!I550-Sens!I548)+(Sens!I552+Sens!I553-Sens!I551)</f>
        <v>0</v>
      </c>
      <c r="J564" s="27" t="n">
        <f aca="false">(Sens!J557+Sens!J561-Sens!J562)+(Sens!J549+Sens!J550-Sens!J548)+(Sens!J552+Sens!J553-Sens!J551)</f>
        <v>0</v>
      </c>
      <c r="K564" s="27" t="n">
        <f aca="false">(Sens!K557+Sens!K561-Sens!K562)+(Sens!K549+Sens!K550-Sens!K548)+(Sens!K552+Sens!K553-Sens!K551)</f>
        <v>0</v>
      </c>
    </row>
    <row r="565" customFormat="false" ht="17.15" hidden="false" customHeight="false" outlineLevel="0" collapsed="false">
      <c r="A565" s="0" t="s">
        <v>1058</v>
      </c>
      <c r="B565" s="0" t="s">
        <v>168</v>
      </c>
      <c r="E565" s="7" t="n">
        <f aca="false">(Q!M21+Sens!E501+Sens!E502+Sens!E503+Sens!E517-Sens!E499)/(Q!M5-Sens!E499)</f>
        <v>0.570957350878296</v>
      </c>
      <c r="F565" s="7" t="n">
        <f aca="false">Sens!$E$565+dm_seg</f>
        <v>0.570957350878296</v>
      </c>
      <c r="G565" s="7" t="n">
        <f aca="false">Sens!$E$565+dm_seg</f>
        <v>0.570957350878296</v>
      </c>
      <c r="H565" s="7" t="n">
        <f aca="false">Sens!$E$565+dm_seg</f>
        <v>0.570957350878296</v>
      </c>
      <c r="I565" s="7" t="n">
        <f aca="false">Sens!$E$565+dm_seg</f>
        <v>0.570957350878296</v>
      </c>
      <c r="J565" s="7" t="n">
        <f aca="false">Sens!$E$565+dm_seg</f>
        <v>0.570957350878296</v>
      </c>
      <c r="K565" s="7" t="n">
        <f aca="false">Sens!$E$565+dm_seg</f>
        <v>0.570957350878296</v>
      </c>
      <c r="L565" s="12" t="s">
        <v>1059</v>
      </c>
    </row>
    <row r="566" customFormat="false" ht="17.15" hidden="false" customHeight="false" outlineLevel="0" collapsed="false">
      <c r="A566" s="0" t="s">
        <v>880</v>
      </c>
      <c r="B566" s="0" t="s">
        <v>98</v>
      </c>
      <c r="D566" s="6" t="n">
        <f aca="false">Q!L21</f>
        <v>110.814</v>
      </c>
      <c r="E566" s="6" t="n">
        <f aca="false">Q!M21</f>
        <v>136.365</v>
      </c>
      <c r="F566" s="6" t="n">
        <f aca="false">Q!$I$21+(Sens!F565*(Sens!F536-Sens!F499)+Sens!F499-(Sens!F501+Sens!F502+Sens!F503)-Sens!F517-Sens!F600)*(Sens!F536-Q!$I$5)/Sens!F536</f>
        <v>158.110234156687</v>
      </c>
      <c r="G566" s="6" t="n">
        <f aca="false">(Sens!G565*(Sens!G536-Sens!G499)+Sens!G499-(Sens!G501+Sens!G502+Sens!G503)-Sens!G517-Sens!G600)</f>
        <v>161.288737768095</v>
      </c>
      <c r="H566" s="6" t="n">
        <f aca="false">(Sens!H565*(Sens!H536-Sens!H499)+Sens!H499-(Sens!H501+Sens!H502+Sens!H503)-Sens!H517-Sens!H600)</f>
        <v>162.750449226018</v>
      </c>
      <c r="I566" s="6" t="n">
        <f aca="false">(Sens!I565*(Sens!I536-Sens!I499)+Sens!I499-(Sens!I501+Sens!I502+Sens!I503)-Sens!I517-Sens!I600)</f>
        <v>172.031140185604</v>
      </c>
      <c r="J566" s="6" t="n">
        <f aca="false">(Sens!J565*(Sens!J536-Sens!J499)+Sens!J499-(Sens!J501+Sens!J502+Sens!J503)-Sens!J517-Sens!J600)</f>
        <v>182.855335729531</v>
      </c>
      <c r="K566" s="6" t="n">
        <f aca="false">(Sens!K565*(Sens!K536-Sens!K499)+Sens!K499-(Sens!K501+Sens!K502+Sens!K503)-Sens!K517-Sens!K600)</f>
        <v>195.088404864353</v>
      </c>
      <c r="L566" s="1" t="s">
        <v>1060</v>
      </c>
    </row>
    <row r="567" customFormat="false" ht="17.15" hidden="false" customHeight="false" outlineLevel="0" collapsed="false">
      <c r="A567" s="0" t="s">
        <v>1061</v>
      </c>
      <c r="B567" s="0" t="s">
        <v>168</v>
      </c>
      <c r="E567" s="7" t="n">
        <f aca="false">Q!M22/Q!M12</f>
        <v>0.296207935710698</v>
      </c>
      <c r="F567" s="7" t="n">
        <f aca="false">Sens!$E$567+dm_seg</f>
        <v>0.296207935710698</v>
      </c>
      <c r="G567" s="7" t="n">
        <f aca="false">Sens!$E$567+dm_seg</f>
        <v>0.296207935710698</v>
      </c>
      <c r="H567" s="7" t="n">
        <f aca="false">Sens!$E$567+dm_seg</f>
        <v>0.296207935710698</v>
      </c>
      <c r="I567" s="7" t="n">
        <f aca="false">Sens!$E$567+dm_seg</f>
        <v>0.296207935710698</v>
      </c>
      <c r="J567" s="7" t="n">
        <f aca="false">Sens!$E$567+dm_seg</f>
        <v>0.296207935710698</v>
      </c>
      <c r="K567" s="7" t="n">
        <f aca="false">Sens!$E$567+dm_seg</f>
        <v>0.296207935710698</v>
      </c>
      <c r="L567" s="12" t="s">
        <v>1062</v>
      </c>
    </row>
    <row r="568" customFormat="false" ht="17.15" hidden="false" customHeight="false" outlineLevel="0" collapsed="false">
      <c r="A568" s="0" t="s">
        <v>882</v>
      </c>
      <c r="B568" s="0" t="s">
        <v>98</v>
      </c>
      <c r="D568" s="6" t="n">
        <f aca="false">Q!L22</f>
        <v>17.714</v>
      </c>
      <c r="E568" s="6" t="n">
        <f aca="false">Q!M22</f>
        <v>18.872</v>
      </c>
      <c r="F568" s="6" t="n">
        <f aca="false">Q!$I$22+(Sens!F543-Q!$I$12)*Sens!F567</f>
        <v>19.8174315512051</v>
      </c>
      <c r="G568" s="6" t="n">
        <f aca="false">Sens!G543*Sens!G567</f>
        <v>19.6313799703815</v>
      </c>
      <c r="H568" s="6" t="n">
        <f aca="false">Sens!H543*Sens!H567</f>
        <v>20.3536242825865</v>
      </c>
      <c r="I568" s="6" t="n">
        <f aca="false">Sens!I543*Sens!I567</f>
        <v>21.1920899239745</v>
      </c>
      <c r="J568" s="6" t="n">
        <f aca="false">Sens!J543*Sens!J567</f>
        <v>22.1288166207045</v>
      </c>
      <c r="K568" s="6" t="n">
        <f aca="false">Sens!K543*Sens!K567</f>
        <v>23.1493653905379</v>
      </c>
      <c r="L568" s="12" t="s">
        <v>1063</v>
      </c>
    </row>
    <row r="569" customFormat="false" ht="15" hidden="false" customHeight="false" outlineLevel="0" collapsed="false">
      <c r="A569" s="1" t="s">
        <v>1064</v>
      </c>
      <c r="B569" s="0" t="s">
        <v>98</v>
      </c>
      <c r="D569" s="6" t="n">
        <f aca="false">Sens!D566+Sens!D568</f>
        <v>128.528</v>
      </c>
      <c r="E569" s="6" t="n">
        <f aca="false">Sens!E566+Sens!E568</f>
        <v>155.237</v>
      </c>
      <c r="F569" s="6" t="n">
        <f aca="false">Sens!F566+Sens!F568</f>
        <v>177.927665707892</v>
      </c>
      <c r="G569" s="6" t="n">
        <f aca="false">Sens!G566+Sens!G568</f>
        <v>180.920117738477</v>
      </c>
      <c r="H569" s="6" t="n">
        <f aca="false">Sens!H566+Sens!H568</f>
        <v>183.104073508605</v>
      </c>
      <c r="I569" s="6" t="n">
        <f aca="false">Sens!I566+Sens!I568</f>
        <v>193.223230109579</v>
      </c>
      <c r="J569" s="6" t="n">
        <f aca="false">Sens!J566+Sens!J568</f>
        <v>204.984152350235</v>
      </c>
      <c r="K569" s="6" t="n">
        <f aca="false">Sens!K566+Sens!K568</f>
        <v>218.237770254891</v>
      </c>
    </row>
    <row r="570" customFormat="false" ht="15" hidden="false" customHeight="false" outlineLevel="0" collapsed="false">
      <c r="A570" s="26" t="s">
        <v>1065</v>
      </c>
      <c r="B570" s="31" t="s">
        <v>98</v>
      </c>
      <c r="C570" s="31"/>
      <c r="D570" s="27" t="n">
        <f aca="false">Sens!D569-Q!L23</f>
        <v>0</v>
      </c>
      <c r="E570" s="27" t="n">
        <f aca="false">Sens!E569-Q!M23</f>
        <v>0</v>
      </c>
      <c r="F570" s="31"/>
      <c r="G570" s="31"/>
      <c r="H570" s="31"/>
      <c r="I570" s="31"/>
      <c r="J570" s="31"/>
      <c r="K570" s="31"/>
    </row>
    <row r="571" customFormat="false" ht="15" hidden="false" customHeight="false" outlineLevel="0" collapsed="false">
      <c r="A571" s="1" t="s">
        <v>1066</v>
      </c>
      <c r="B571" s="0" t="s">
        <v>168</v>
      </c>
      <c r="D571" s="7" t="n">
        <f aca="false">Sens!D569/Sens!D562</f>
        <v>0.456219562408598</v>
      </c>
      <c r="E571" s="7" t="n">
        <f aca="false">Sens!E569/Sens!E562</f>
        <v>0.467808184089272</v>
      </c>
      <c r="F571" s="7" t="n">
        <f aca="false">Sens!F569/Sens!F562</f>
        <v>0.451080388929191</v>
      </c>
      <c r="G571" s="7" t="n">
        <f aca="false">Sens!G569/Sens!G562</f>
        <v>0.394219508589333</v>
      </c>
      <c r="H571" s="7" t="n">
        <f aca="false">Sens!H569/Sens!H562</f>
        <v>0.352626221331819</v>
      </c>
      <c r="I571" s="7" t="n">
        <f aca="false">Sens!I569/Sens!I562</f>
        <v>0.331863665419698</v>
      </c>
      <c r="J571" s="7" t="n">
        <f aca="false">Sens!J569/Sens!J562</f>
        <v>0.32274678227682</v>
      </c>
      <c r="K571" s="7" t="n">
        <f aca="false">Sens!K569/Sens!K562</f>
        <v>0.3217494512023</v>
      </c>
    </row>
    <row r="572" customFormat="false" ht="17.15" hidden="false" customHeight="false" outlineLevel="0" collapsed="false">
      <c r="A572" s="1" t="s">
        <v>1067</v>
      </c>
      <c r="B572" s="0" t="s">
        <v>98</v>
      </c>
      <c r="F572" s="6" t="n">
        <f aca="false">Sens!F587</f>
        <v>0</v>
      </c>
      <c r="G572" s="6" t="n">
        <f aca="false">Sens!G587</f>
        <v>0</v>
      </c>
      <c r="H572" s="6" t="n">
        <f aca="false">Sens!H587</f>
        <v>0</v>
      </c>
      <c r="I572" s="6" t="n">
        <f aca="false">Sens!I587</f>
        <v>0</v>
      </c>
      <c r="J572" s="6" t="n">
        <f aca="false">Sens!J587</f>
        <v>0</v>
      </c>
      <c r="K572" s="6" t="n">
        <f aca="false">Sens!K587</f>
        <v>0</v>
      </c>
      <c r="L572" s="1" t="s">
        <v>1068</v>
      </c>
    </row>
    <row r="573" customFormat="false" ht="17.15" hidden="false" customHeight="false" outlineLevel="0" collapsed="false">
      <c r="A573" s="1" t="s">
        <v>1069</v>
      </c>
      <c r="B573" s="0" t="s">
        <v>98</v>
      </c>
      <c r="D573" s="6" t="n">
        <f aca="false">Sens!D569</f>
        <v>128.528</v>
      </c>
      <c r="E573" s="6" t="n">
        <f aca="false">Sens!E569</f>
        <v>155.237</v>
      </c>
      <c r="F573" s="6" t="n">
        <f aca="false">Sens!F569+Sens!F572</f>
        <v>177.927665707892</v>
      </c>
      <c r="G573" s="6" t="n">
        <f aca="false">Sens!G569+Sens!G572</f>
        <v>180.920117738477</v>
      </c>
      <c r="H573" s="6" t="n">
        <f aca="false">Sens!H569+Sens!H572</f>
        <v>183.104073508605</v>
      </c>
      <c r="I573" s="6" t="n">
        <f aca="false">Sens!I569+Sens!I572</f>
        <v>193.223230109579</v>
      </c>
      <c r="J573" s="6" t="n">
        <f aca="false">Sens!J569+Sens!J572</f>
        <v>204.984152350235</v>
      </c>
      <c r="K573" s="6" t="n">
        <f aca="false">Sens!K569+Sens!K572</f>
        <v>218.237770254891</v>
      </c>
    </row>
    <row r="574" customFormat="false" ht="17.15" hidden="false" customHeight="false" outlineLevel="0" collapsed="false">
      <c r="A574" s="1" t="s">
        <v>1070</v>
      </c>
      <c r="B574" s="0" t="s">
        <v>98</v>
      </c>
      <c r="E574" s="6" t="n">
        <f aca="false">Sens!E517</f>
        <v>16.3054059770833</v>
      </c>
      <c r="F574" s="6" t="n">
        <f aca="false">Sens!F517</f>
        <v>34.5793144783516</v>
      </c>
      <c r="G574" s="6" t="n">
        <f aca="false">Sens!G517</f>
        <v>60.7344906522989</v>
      </c>
      <c r="H574" s="6" t="n">
        <f aca="false">Sens!H517</f>
        <v>89.1000906614457</v>
      </c>
      <c r="I574" s="6" t="n">
        <f aca="false">Sens!I517</f>
        <v>114.231009694548</v>
      </c>
      <c r="J574" s="6" t="n">
        <f aca="false">Sens!J517</f>
        <v>132.015673049596</v>
      </c>
      <c r="K574" s="6" t="n">
        <f aca="false">Sens!K517</f>
        <v>143.012669550934</v>
      </c>
    </row>
    <row r="575" customFormat="false" ht="17.15" hidden="false" customHeight="false" outlineLevel="0" collapsed="false">
      <c r="A575" s="1" t="s">
        <v>1071</v>
      </c>
      <c r="B575" s="0" t="s">
        <v>98</v>
      </c>
      <c r="E575" s="6" t="n">
        <f aca="false">Sens!E599</f>
        <v>22.2285940229167</v>
      </c>
      <c r="F575" s="6" t="n">
        <f aca="false">Sens!F599</f>
        <v>23.5883405279552</v>
      </c>
      <c r="G575" s="6" t="n">
        <f aca="false">Sens!G599</f>
        <v>25.347608709247</v>
      </c>
      <c r="H575" s="6" t="n">
        <f aca="false">Sens!H599</f>
        <v>27.4750934833125</v>
      </c>
      <c r="I575" s="6" t="n">
        <f aca="false">Sens!I599</f>
        <v>29.9140127982598</v>
      </c>
      <c r="J575" s="6" t="n">
        <f aca="false">Sens!J599</f>
        <v>32.5895147654561</v>
      </c>
      <c r="K575" s="6" t="n">
        <f aca="false">Sens!K599</f>
        <v>35.4171979437481</v>
      </c>
    </row>
    <row r="576" customFormat="false" ht="17.15" hidden="false" customHeight="false" outlineLevel="0" collapsed="false">
      <c r="A576" s="1" t="s">
        <v>1072</v>
      </c>
      <c r="B576" s="0" t="s">
        <v>98</v>
      </c>
      <c r="D576" s="6" t="n">
        <f aca="false">Q!L27</f>
        <v>-4.901</v>
      </c>
      <c r="E576" s="6" t="n">
        <f aca="false">Q!M27</f>
        <v>10.697</v>
      </c>
      <c r="F576" s="6" t="n">
        <f aca="false">Q!$I$27+oie_f*(q_per_yr-1)/q_per_yr</f>
        <v>-0.862</v>
      </c>
      <c r="G576" s="6" t="n">
        <f aca="false">oie_f</f>
        <v>-1.2</v>
      </c>
      <c r="H576" s="6" t="n">
        <f aca="false">oie_f</f>
        <v>-1.2</v>
      </c>
      <c r="I576" s="6" t="n">
        <f aca="false">oie_f</f>
        <v>-1.2</v>
      </c>
      <c r="J576" s="6" t="n">
        <f aca="false">oie_f</f>
        <v>-1.2</v>
      </c>
      <c r="K576" s="6" t="n">
        <f aca="false">oie_f</f>
        <v>-1.2</v>
      </c>
      <c r="L576" s="12" t="s">
        <v>1073</v>
      </c>
    </row>
    <row r="577" customFormat="false" ht="15" hidden="false" customHeight="false" outlineLevel="0" collapsed="false">
      <c r="A577" s="1" t="s">
        <v>1074</v>
      </c>
      <c r="B577" s="0" t="s">
        <v>98</v>
      </c>
      <c r="D577" s="6" t="n">
        <f aca="false">Sens!D569+Sens!D576</f>
        <v>123.627</v>
      </c>
      <c r="E577" s="6" t="n">
        <f aca="false">Sens!E569+Sens!E576</f>
        <v>165.934</v>
      </c>
      <c r="F577" s="6" t="n">
        <f aca="false">Sens!F569+Sens!F576</f>
        <v>177.065665707892</v>
      </c>
      <c r="G577" s="6" t="n">
        <f aca="false">Sens!G569+Sens!G576</f>
        <v>179.720117738477</v>
      </c>
      <c r="H577" s="6" t="n">
        <f aca="false">Sens!H569+Sens!H576</f>
        <v>181.904073508605</v>
      </c>
      <c r="I577" s="6" t="n">
        <f aca="false">Sens!I569+Sens!I576</f>
        <v>192.023230109579</v>
      </c>
      <c r="J577" s="6" t="n">
        <f aca="false">Sens!J569+Sens!J576</f>
        <v>203.784152350235</v>
      </c>
      <c r="K577" s="6" t="n">
        <f aca="false">Sens!K569+Sens!K576</f>
        <v>217.037770254891</v>
      </c>
    </row>
    <row r="578" customFormat="false" ht="15" hidden="false" customHeight="false" outlineLevel="0" collapsed="false">
      <c r="A578" s="1" t="s">
        <v>1075</v>
      </c>
      <c r="B578" s="0" t="s">
        <v>98</v>
      </c>
      <c r="D578" s="6" t="n">
        <f aca="false">Q!L29</f>
        <v>21.795</v>
      </c>
      <c r="E578" s="6" t="n">
        <f aca="false">Q!M29</f>
        <v>32.185</v>
      </c>
      <c r="F578" s="6" t="n">
        <f aca="false">Q!$I$29+(Sens!F577-Q!$I$28)*tax_f</f>
        <v>35.5465331415784</v>
      </c>
      <c r="G578" s="6" t="n">
        <f aca="false">Sens!G577*tax_f</f>
        <v>35.9440235476954</v>
      </c>
      <c r="H578" s="6" t="n">
        <f aca="false">Sens!H577*tax_f</f>
        <v>36.380814701721</v>
      </c>
      <c r="I578" s="6" t="n">
        <f aca="false">Sens!I577*tax_f</f>
        <v>38.4046460219157</v>
      </c>
      <c r="J578" s="6" t="n">
        <f aca="false">Sens!J577*tax_f</f>
        <v>40.756830470047</v>
      </c>
      <c r="K578" s="6" t="n">
        <f aca="false">Sens!K577*tax_f</f>
        <v>43.4075540509783</v>
      </c>
    </row>
    <row r="579" customFormat="false" ht="15" hidden="false" customHeight="false" outlineLevel="0" collapsed="false">
      <c r="A579" s="1" t="s">
        <v>1076</v>
      </c>
      <c r="B579" s="0" t="s">
        <v>98</v>
      </c>
      <c r="D579" s="6" t="n">
        <f aca="false">Sens!D577-Sens!D578</f>
        <v>101.832</v>
      </c>
      <c r="E579" s="6" t="n">
        <f aca="false">Sens!E577-Sens!E578</f>
        <v>133.749</v>
      </c>
      <c r="F579" s="6" t="n">
        <f aca="false">Sens!F577-Sens!F578</f>
        <v>141.519132566314</v>
      </c>
      <c r="G579" s="6" t="n">
        <f aca="false">Sens!G577-Sens!G578</f>
        <v>143.776094190781</v>
      </c>
      <c r="H579" s="6" t="n">
        <f aca="false">Sens!H577-Sens!H578</f>
        <v>145.523258806884</v>
      </c>
      <c r="I579" s="6" t="n">
        <f aca="false">Sens!I577-Sens!I578</f>
        <v>153.618584087663</v>
      </c>
      <c r="J579" s="6" t="n">
        <f aca="false">Sens!J577-Sens!J578</f>
        <v>163.027321880188</v>
      </c>
      <c r="K579" s="6" t="n">
        <f aca="false">Sens!K577-Sens!K578</f>
        <v>173.630216203913</v>
      </c>
    </row>
    <row r="580" customFormat="false" ht="17.15" hidden="false" customHeight="false" outlineLevel="0" collapsed="false">
      <c r="A580" s="1" t="s">
        <v>1077</v>
      </c>
      <c r="B580" s="1" t="s">
        <v>81</v>
      </c>
      <c r="D580" s="15" t="n">
        <f aca="false">Q!L31</f>
        <v>7.465</v>
      </c>
      <c r="E580" s="15" t="n">
        <f aca="false">Q!M31</f>
        <v>7.453</v>
      </c>
      <c r="F580" s="15" t="n">
        <f aca="false">Sens!F624</f>
        <v>7.4735</v>
      </c>
      <c r="G580" s="15" t="n">
        <f aca="false">Sens!G624</f>
        <v>7.5185</v>
      </c>
      <c r="H580" s="15" t="n">
        <f aca="false">Sens!H624</f>
        <v>7.5635</v>
      </c>
      <c r="I580" s="15" t="n">
        <f aca="false">Sens!I624</f>
        <v>7.59248142502667</v>
      </c>
      <c r="J580" s="15" t="n">
        <f aca="false">Sens!J624</f>
        <v>7.60663083618914</v>
      </c>
      <c r="K580" s="15" t="n">
        <f aca="false">Sens!K624</f>
        <v>7.62306547615439</v>
      </c>
    </row>
    <row r="581" customFormat="false" ht="17.15" hidden="false" customHeight="false" outlineLevel="0" collapsed="false">
      <c r="A581" s="0" t="s">
        <v>1078</v>
      </c>
      <c r="B581" s="0" t="s">
        <v>75</v>
      </c>
      <c r="D581" s="8" t="n">
        <f aca="false">Sens!D579/Sens!D580</f>
        <v>13.641259209645</v>
      </c>
      <c r="E581" s="8" t="n">
        <f aca="false">Sens!E579/Sens!E580</f>
        <v>17.9456594659869</v>
      </c>
      <c r="F581" s="8" t="n">
        <f aca="false">Sens!F579/Sens!F580</f>
        <v>18.9361253182998</v>
      </c>
      <c r="G581" s="8" t="n">
        <f aca="false">Sens!G579/Sens!G580</f>
        <v>19.1229758849214</v>
      </c>
      <c r="H581" s="8" t="n">
        <f aca="false">Sens!H579/Sens!H580</f>
        <v>19.2402008074151</v>
      </c>
      <c r="I581" s="8" t="n">
        <f aca="false">Sens!I579/Sens!I580</f>
        <v>20.2329878057125</v>
      </c>
      <c r="J581" s="8" t="n">
        <f aca="false">Sens!J579/Sens!J580</f>
        <v>21.4322642167111</v>
      </c>
      <c r="K581" s="8" t="n">
        <f aca="false">Sens!K579/Sens!K580</f>
        <v>22.7769545922232</v>
      </c>
      <c r="L581" s="1" t="s">
        <v>1079</v>
      </c>
    </row>
    <row r="582" customFormat="false" ht="17.15" hidden="false" customHeight="false" outlineLevel="0" collapsed="false">
      <c r="A582" s="1" t="s">
        <v>1080</v>
      </c>
      <c r="B582" s="0" t="s">
        <v>98</v>
      </c>
      <c r="D582" s="6" t="n">
        <f aca="false">Sens!D579</f>
        <v>101.832</v>
      </c>
      <c r="E582" s="6" t="n">
        <f aca="false">Sens!E579</f>
        <v>133.749</v>
      </c>
      <c r="F582" s="6" t="n">
        <f aca="false">Sens!F579+Sens!F572*(1-tax_f)</f>
        <v>141.519132566314</v>
      </c>
      <c r="G582" s="6" t="n">
        <f aca="false">Sens!G579+Sens!G572*(1-tax_f)</f>
        <v>143.776094190781</v>
      </c>
      <c r="H582" s="6" t="n">
        <f aca="false">Sens!H579+Sens!H572*(1-tax_f)</f>
        <v>145.523258806884</v>
      </c>
      <c r="I582" s="6" t="n">
        <f aca="false">Sens!I579+Sens!I572*(1-tax_f)</f>
        <v>153.618584087663</v>
      </c>
      <c r="J582" s="6" t="n">
        <f aca="false">Sens!J579+Sens!J572*(1-tax_f)</f>
        <v>163.027321880188</v>
      </c>
      <c r="K582" s="6" t="n">
        <f aca="false">Sens!K579+Sens!K572*(1-tax_f)</f>
        <v>173.630216203913</v>
      </c>
    </row>
    <row r="583" customFormat="false" ht="17.15" hidden="false" customHeight="false" outlineLevel="0" collapsed="false">
      <c r="A583" s="0" t="s">
        <v>1081</v>
      </c>
      <c r="B583" s="0" t="s">
        <v>75</v>
      </c>
      <c r="D583" s="8" t="n">
        <f aca="false">Sens!D582/Sens!D580</f>
        <v>13.641259209645</v>
      </c>
      <c r="E583" s="8" t="n">
        <f aca="false">Sens!E582/Sens!E580</f>
        <v>17.9456594659869</v>
      </c>
      <c r="F583" s="8" t="n">
        <f aca="false">Sens!F582/Sens!F580</f>
        <v>18.9361253182998</v>
      </c>
      <c r="G583" s="8" t="n">
        <f aca="false">Sens!G582/Sens!G580</f>
        <v>19.1229758849214</v>
      </c>
      <c r="H583" s="8" t="n">
        <f aca="false">Sens!H582/Sens!H580</f>
        <v>19.2402008074151</v>
      </c>
      <c r="I583" s="8" t="n">
        <f aca="false">Sens!I582/Sens!I580</f>
        <v>20.2329878057125</v>
      </c>
      <c r="J583" s="8" t="n">
        <f aca="false">Sens!J582/Sens!J580</f>
        <v>21.4322642167111</v>
      </c>
      <c r="K583" s="8" t="n">
        <f aca="false">Sens!K582/Sens!K580</f>
        <v>22.7769545922232</v>
      </c>
      <c r="L583" s="1" t="s">
        <v>1082</v>
      </c>
    </row>
    <row r="584" customFormat="false" ht="17.15" hidden="false" customHeight="false" outlineLevel="0" collapsed="false">
      <c r="A584" s="0" t="s">
        <v>1083</v>
      </c>
      <c r="B584" s="0" t="s">
        <v>168</v>
      </c>
      <c r="E584" s="7" t="n">
        <f aca="false">Sens!E583/Sens!D583-1</f>
        <v>0.315542736208578</v>
      </c>
      <c r="F584" s="7" t="n">
        <f aca="false">Sens!F583/Sens!E583-1</f>
        <v>0.0551925023535758</v>
      </c>
      <c r="G584" s="7" t="n">
        <f aca="false">Sens!G583/Sens!F583-1</f>
        <v>0.00986741286724646</v>
      </c>
      <c r="H584" s="7" t="n">
        <f aca="false">Sens!H583/Sens!G583-1</f>
        <v>0.00613005649325271</v>
      </c>
      <c r="I584" s="7" t="n">
        <f aca="false">Sens!I583/Sens!H583-1</f>
        <v>0.051599617292704</v>
      </c>
      <c r="J584" s="7" t="n">
        <f aca="false">Sens!J583/Sens!I583-1</f>
        <v>0.0592733224828068</v>
      </c>
      <c r="K584" s="7" t="n">
        <f aca="false">Sens!K583/Sens!J583-1</f>
        <v>0.0627414052904223</v>
      </c>
    </row>
    <row r="585" customFormat="false" ht="17.15" hidden="false" customHeight="false" outlineLevel="0" collapsed="false">
      <c r="A585" s="0" t="s">
        <v>1003</v>
      </c>
      <c r="B585" s="0" t="s">
        <v>98</v>
      </c>
      <c r="E585" s="6" t="n">
        <f aca="false">Sens!E526</f>
        <v>5.25</v>
      </c>
      <c r="F585" s="6" t="n">
        <f aca="false">Sens!F526</f>
        <v>10.5</v>
      </c>
      <c r="G585" s="6" t="n">
        <f aca="false">Sens!G526</f>
        <v>13.5</v>
      </c>
      <c r="H585" s="6" t="n">
        <f aca="false">Sens!H526</f>
        <v>16.5</v>
      </c>
      <c r="I585" s="6" t="n">
        <f aca="false">Sens!I526</f>
        <v>18.75</v>
      </c>
      <c r="J585" s="6" t="n">
        <f aca="false">Sens!J526</f>
        <v>20.25</v>
      </c>
      <c r="K585" s="6" t="n">
        <f aca="false">Sens!K526</f>
        <v>21.75</v>
      </c>
    </row>
    <row r="586" customFormat="false" ht="17.15" hidden="false" customHeight="false" outlineLevel="0" collapsed="false">
      <c r="A586" s="1" t="s">
        <v>1004</v>
      </c>
      <c r="B586" s="0" t="s">
        <v>98</v>
      </c>
      <c r="F586" s="6" t="n">
        <f aca="false">MAX(0,((Sens!E486+Sens!F486)/2-(shadow_base*(Sens!$D$486+Sens!$E$486)/2+(1-shadow_base)*Sens!$E$486))*Sens!F495/1000-(Sens!F585-Sens!$E$585)*Sens!F565)</f>
        <v>10.5962787979473</v>
      </c>
      <c r="G586" s="6" t="n">
        <f aca="false">MAX(0,((Sens!F486+Sens!G486)/2-(shadow_base*(Sens!$D$486+Sens!$E$486)/2+(1-shadow_base)*Sens!$E$486))*Sens!G495/1000-(Sens!G585-Sens!$E$585)*Sens!G565)</f>
        <v>27.844646674932</v>
      </c>
      <c r="H586" s="6" t="n">
        <f aca="false">MAX(0,((Sens!G486+Sens!H486)/2-(shadow_base*(Sens!$D$486+Sens!$E$486)/2+(1-shadow_base)*Sens!$E$486))*Sens!H495/1000-(Sens!H585-Sens!$E$585)*Sens!H565)</f>
        <v>46.566205501382</v>
      </c>
      <c r="I586" s="6" t="n">
        <f aca="false">MAX(0,((Sens!H486+Sens!I486)/2-(shadow_base*(Sens!$D$486+Sens!$E$486)/2+(1-shadow_base)*Sens!$E$486))*Sens!I495/1000-(Sens!I585-Sens!$E$585)*Sens!I565)</f>
        <v>63.2717778126444</v>
      </c>
      <c r="J586" s="6" t="n">
        <f aca="false">MAX(0,((Sens!I486+Sens!J486)/2-(shadow_base*(Sens!$D$486+Sens!$E$486)/2+(1-shadow_base)*Sens!$E$486))*Sens!J495/1000-(Sens!J585-Sens!$E$585)*Sens!J565)</f>
        <v>74.9061222882009</v>
      </c>
      <c r="K586" s="6" t="n">
        <f aca="false">MAX(0,((Sens!J486+Sens!K486)/2-(shadow_base*(Sens!$D$486+Sens!$E$486)/2+(1-shadow_base)*Sens!$E$486))*Sens!K495/1000-(Sens!K585-Sens!$E$585)*Sens!K565)</f>
        <v>81.6395437180232</v>
      </c>
      <c r="L586" s="1" t="s">
        <v>1005</v>
      </c>
    </row>
    <row r="587" customFormat="false" ht="17.15" hidden="false" customHeight="false" outlineLevel="0" collapsed="false">
      <c r="A587" s="1" t="s">
        <v>1006</v>
      </c>
      <c r="B587" s="0" t="s">
        <v>98</v>
      </c>
      <c r="F587" s="6" t="n">
        <f aca="false">IF(1=2,1,0)*Sens!F586</f>
        <v>0</v>
      </c>
      <c r="G587" s="6" t="n">
        <f aca="false">IF(1=2,1,0)*Sens!G586</f>
        <v>0</v>
      </c>
      <c r="H587" s="6" t="n">
        <f aca="false">IF(1=2,1,0)*Sens!H586</f>
        <v>0</v>
      </c>
      <c r="I587" s="6" t="n">
        <f aca="false">IF(1=2,1,0)*Sens!I586</f>
        <v>0</v>
      </c>
      <c r="J587" s="6" t="n">
        <f aca="false">IF(1=2,1,0)*Sens!J586</f>
        <v>0</v>
      </c>
      <c r="K587" s="6" t="n">
        <f aca="false">IF(1=2,1,0)*Sens!K586</f>
        <v>0</v>
      </c>
    </row>
    <row r="588" customFormat="false" ht="17.15" hidden="false" customHeight="false" outlineLevel="0" collapsed="false">
      <c r="A588" s="0" t="s">
        <v>1007</v>
      </c>
      <c r="B588" s="0" t="s">
        <v>98</v>
      </c>
      <c r="F588" s="6" t="n">
        <f aca="false">Sens!F505+Sens!F585*Sens!F565+Sens!F587-Sens!F506-Sens!F517</f>
        <v>-0.210898112585561</v>
      </c>
      <c r="G588" s="6" t="n">
        <f aca="false">Sens!G505+Sens!G585*Sens!G565+Sens!G587-Sens!G506-Sens!G517</f>
        <v>-11.405715364358</v>
      </c>
      <c r="H588" s="6" t="n">
        <f aca="false">Sens!H505+Sens!H585*Sens!H565+Sens!H587-Sens!H506-Sens!H517</f>
        <v>-29.430789192509</v>
      </c>
      <c r="I588" s="6" t="n">
        <f aca="false">Sens!I505+Sens!I585*Sens!I565+Sens!I587-Sens!I506-Sens!I517</f>
        <v>-39.1423974117788</v>
      </c>
      <c r="J588" s="6" t="n">
        <f aca="false">Sens!J505+Sens!J585*Sens!J565+Sens!J587-Sens!J506-Sens!J517</f>
        <v>-46.0515563012829</v>
      </c>
      <c r="K588" s="6" t="n">
        <f aca="false">Sens!K505+Sens!K585*Sens!K565+Sens!K587-Sens!K506-Sens!K517</f>
        <v>-49.5020688655131</v>
      </c>
    </row>
    <row r="589" customFormat="false" ht="17.15" hidden="false" customHeight="false" outlineLevel="0" collapsed="false">
      <c r="A589" s="0" t="s">
        <v>1008</v>
      </c>
      <c r="B589" s="0" t="s">
        <v>98</v>
      </c>
      <c r="E589" s="6" t="n">
        <f aca="false">Sens!E485*(cxit_open+self_build*tk_cxfac)/1000*ai_net_open</f>
        <v>126.6980382</v>
      </c>
      <c r="F589" s="6" t="n">
        <f aca="false">Sens!E589+Sens!F514-Sens!F517</f>
        <v>260.572627763768</v>
      </c>
      <c r="G589" s="6" t="n">
        <f aca="false">Sens!F589+Sens!G514-Sens!G517</f>
        <v>391.782612760517</v>
      </c>
      <c r="H589" s="6" t="n">
        <f aca="false">Sens!G589+Sens!H514-Sens!H517</f>
        <v>499.488526163584</v>
      </c>
      <c r="I589" s="6" t="n">
        <f aca="false">Sens!H589+Sens!I514-Sens!I517</f>
        <v>553.872350090646</v>
      </c>
      <c r="J589" s="6" t="n">
        <f aca="false">Sens!I589+Sens!J514-Sens!J517</f>
        <v>550.78660823699</v>
      </c>
      <c r="K589" s="6" t="n">
        <f aca="false">Sens!J589+Sens!K514-Sens!K517</f>
        <v>526.736791750789</v>
      </c>
      <c r="L589" s="1" t="s">
        <v>1009</v>
      </c>
    </row>
    <row r="590" customFormat="false" ht="17.15" hidden="false" customHeight="false" outlineLevel="0" collapsed="false">
      <c r="A590" s="0" t="s">
        <v>1010</v>
      </c>
      <c r="B590" s="0" t="s">
        <v>168</v>
      </c>
      <c r="F590" s="7" t="n">
        <f aca="false">Sens!F588*(1-tax_f)/((Sens!E589+Sens!F589)/2)</f>
        <v>-0.000871320783610466</v>
      </c>
      <c r="G590" s="7" t="n">
        <f aca="false">Sens!G588*(1-tax_f)/((Sens!F589+Sens!G589)/2)</f>
        <v>-0.0279742438618356</v>
      </c>
      <c r="H590" s="7" t="n">
        <f aca="false">Sens!H588*(1-tax_f)/((Sens!G589+Sens!H589)/2)</f>
        <v>-0.0528338242443913</v>
      </c>
      <c r="I590" s="7" t="n">
        <f aca="false">Sens!I588*(1-tax_f)/((Sens!H589+Sens!I589)/2)</f>
        <v>-0.0594552515388191</v>
      </c>
      <c r="J590" s="7" t="n">
        <f aca="false">Sens!J588*(1-tax_f)/((Sens!I589+Sens!J589)/2)</f>
        <v>-0.0667015729394002</v>
      </c>
      <c r="K590" s="7" t="n">
        <f aca="false">Sens!K588*(1-tax_f)/((Sens!J589+Sens!K589)/2)</f>
        <v>-0.0735049560740113</v>
      </c>
    </row>
    <row r="591" customFormat="false" ht="17.15" hidden="false" customHeight="false" outlineLevel="0" collapsed="false">
      <c r="A591" s="1" t="s">
        <v>1011</v>
      </c>
      <c r="B591" s="0" t="s">
        <v>168</v>
      </c>
      <c r="F591" s="7" t="n">
        <f aca="false">(Sens!F588-Sens!F587)*(1-tax_f)/((Sens!E589+Sens!F589)/2)</f>
        <v>-0.000871320783610466</v>
      </c>
      <c r="G591" s="7" t="n">
        <f aca="false">(Sens!G588-Sens!G587)*(1-tax_f)/((Sens!F589+Sens!G589)/2)</f>
        <v>-0.0279742438618356</v>
      </c>
      <c r="H591" s="7" t="n">
        <f aca="false">(Sens!H588-Sens!H587)*(1-tax_f)/((Sens!G589+Sens!H589)/2)</f>
        <v>-0.0528338242443913</v>
      </c>
      <c r="I591" s="7" t="n">
        <f aca="false">(Sens!I588-Sens!I587)*(1-tax_f)/((Sens!H589+Sens!I589)/2)</f>
        <v>-0.0594552515388191</v>
      </c>
      <c r="J591" s="7" t="n">
        <f aca="false">(Sens!J588-Sens!J587)*(1-tax_f)/((Sens!I589+Sens!J589)/2)</f>
        <v>-0.0667015729394002</v>
      </c>
      <c r="K591" s="7" t="n">
        <f aca="false">(Sens!K588-Sens!K587)*(1-tax_f)/((Sens!J589+Sens!K589)/2)</f>
        <v>-0.0735049560740113</v>
      </c>
    </row>
    <row r="592" customFormat="false" ht="17.15" hidden="false" customHeight="false" outlineLevel="0" collapsed="false">
      <c r="A592" s="1" t="s">
        <v>1012</v>
      </c>
      <c r="B592" s="0" t="s">
        <v>168</v>
      </c>
      <c r="F592" s="7" t="n">
        <f aca="false">(Sens!F588-Sens!F587+Sens!F586)*(1-tax_f)/((Sens!E589+Sens!F589)/2)</f>
        <v>0.0429069654816909</v>
      </c>
      <c r="G592" s="7" t="n">
        <f aca="false">(Sens!G588-Sens!G587+Sens!G586)*(1-tax_f)/((Sens!F589+Sens!G589)/2)</f>
        <v>0.0403189680453549</v>
      </c>
      <c r="H592" s="7" t="n">
        <f aca="false">(Sens!H588-Sens!H587+Sens!H586)*(1-tax_f)/((Sens!G589+Sens!H589)/2)</f>
        <v>0.0307613080877867</v>
      </c>
      <c r="I592" s="7" t="n">
        <f aca="false">(Sens!I588-Sens!I587+Sens!I586)*(1-tax_f)/((Sens!H589+Sens!I589)/2)</f>
        <v>0.0366512650238846</v>
      </c>
      <c r="J592" s="7" t="n">
        <f aca="false">(Sens!J588-Sens!J587+Sens!J586)*(1-tax_f)/((Sens!I589+Sens!J589)/2)</f>
        <v>0.0417932659044041</v>
      </c>
      <c r="K592" s="7" t="n">
        <f aca="false">(Sens!K588-Sens!K587+Sens!K586)*(1-tax_f)/((Sens!J589+Sens!K589)/2)</f>
        <v>0.0477205040415821</v>
      </c>
    </row>
    <row r="593" customFormat="false" ht="17.15" hidden="false" customHeight="false" outlineLevel="0" collapsed="false">
      <c r="A593" s="1" t="s">
        <v>1013</v>
      </c>
      <c r="B593" s="0" t="s">
        <v>168</v>
      </c>
      <c r="F593" s="7" t="n">
        <f aca="false">Sens!F518*(1-tax_f)/(Sens!F504*(Sens!E589+Sens!F589)/2)</f>
        <v>0.098791430090569</v>
      </c>
      <c r="G593" s="7" t="n">
        <f aca="false">Sens!G518*(1-tax_f)/(Sens!G504*(Sens!F589+Sens!G589)/2)</f>
        <v>0.0675308856427828</v>
      </c>
      <c r="H593" s="7" t="n">
        <f aca="false">Sens!H518*(1-tax_f)/(Sens!H504*(Sens!G589+Sens!H589)/2)</f>
        <v>0.0388374979528754</v>
      </c>
      <c r="I593" s="7" t="n">
        <f aca="false">Sens!I518*(1-tax_f)/(Sens!I504*(Sens!H589+Sens!I589)/2)</f>
        <v>0.0411035671771815</v>
      </c>
      <c r="J593" s="7" t="n">
        <f aca="false">Sens!J518*(1-tax_f)/(Sens!J504*(Sens!I589+Sens!J589)/2)</f>
        <v>0.0445222722541192</v>
      </c>
      <c r="K593" s="7" t="n">
        <f aca="false">Sens!K518*(1-tax_f)/(Sens!K504*(Sens!J589+Sens!K589)/2)</f>
        <v>0.0498866361688162</v>
      </c>
    </row>
    <row r="594" customFormat="false" ht="17.15" hidden="false" customHeight="false" outlineLevel="0" collapsed="false">
      <c r="A594" s="0" t="s">
        <v>1014</v>
      </c>
      <c r="B594" s="0" t="s">
        <v>253</v>
      </c>
      <c r="F594" s="7" t="n">
        <f aca="false">Sens!F590-wacc</f>
        <v>-0.103807911729208</v>
      </c>
      <c r="G594" s="7" t="n">
        <f aca="false">Sens!G590-wacc</f>
        <v>-0.130910834807433</v>
      </c>
      <c r="H594" s="7" t="n">
        <f aca="false">Sens!H590-wacc</f>
        <v>-0.155770415189989</v>
      </c>
      <c r="I594" s="7" t="n">
        <f aca="false">Sens!I590-wacc</f>
        <v>-0.162391842484416</v>
      </c>
      <c r="J594" s="7" t="n">
        <f aca="false">Sens!J590-wacc</f>
        <v>-0.169638163884997</v>
      </c>
      <c r="K594" s="7" t="n">
        <f aca="false">Sens!K590-wacc</f>
        <v>-0.176441547019609</v>
      </c>
    </row>
    <row r="595" customFormat="false" ht="17.15" hidden="false" customHeight="false" outlineLevel="0" collapsed="false">
      <c r="A595" s="0" t="s">
        <v>1015</v>
      </c>
      <c r="B595" s="0" t="s">
        <v>98</v>
      </c>
      <c r="F595" s="6" t="n">
        <f aca="false">Sens!F588*(1-tax_f)-wacc*(Sens!E589+Sens!F589)/2</f>
        <v>-20.1008795538392</v>
      </c>
      <c r="G595" s="6" t="n">
        <f aca="false">Sens!G588*(1-tax_f)-wacc*(Sens!F589+Sens!G589)/2</f>
        <v>-42.7001845640189</v>
      </c>
      <c r="H595" s="6" t="n">
        <f aca="false">Sens!H588*(1-tax_f)-wacc*(Sens!G589+Sens!H589)/2</f>
        <v>-69.4168376785306</v>
      </c>
      <c r="I595" s="6" t="n">
        <f aca="false">Sens!I588*(1-tax_f)-wacc*(Sens!H589+Sens!I589)/2</f>
        <v>-85.5286067479618</v>
      </c>
      <c r="J595" s="6" t="n">
        <f aca="false">Sens!J588*(1-tax_f)-wacc*(Sens!I589+Sens!J589)/2</f>
        <v>-93.696158704907</v>
      </c>
      <c r="K595" s="6" t="n">
        <f aca="false">Sens!K588*(1-tax_f)-wacc*(Sens!J589+Sens!K589)/2</f>
        <v>-95.0599478218361</v>
      </c>
    </row>
    <row r="596" customFormat="false" ht="17.15" hidden="false" customHeight="false" outlineLevel="0" collapsed="false">
      <c r="A596" s="3" t="s">
        <v>1493</v>
      </c>
    </row>
    <row r="597" customFormat="false" ht="15" hidden="false" customHeight="false" outlineLevel="0" collapsed="false">
      <c r="A597" s="4" t="s">
        <v>43</v>
      </c>
      <c r="B597" s="4" t="s">
        <v>65</v>
      </c>
      <c r="C597" s="23" t="s">
        <v>938</v>
      </c>
      <c r="D597" s="23" t="s">
        <v>939</v>
      </c>
      <c r="E597" s="23" t="s">
        <v>940</v>
      </c>
      <c r="F597" s="23" t="s">
        <v>941</v>
      </c>
      <c r="G597" s="23" t="s">
        <v>942</v>
      </c>
      <c r="H597" s="23" t="s">
        <v>943</v>
      </c>
      <c r="I597" s="23" t="s">
        <v>944</v>
      </c>
      <c r="J597" s="23" t="s">
        <v>945</v>
      </c>
      <c r="K597" s="23" t="s">
        <v>946</v>
      </c>
      <c r="L597" s="4" t="s">
        <v>47</v>
      </c>
    </row>
    <row r="598" customFormat="false" ht="15" hidden="false" customHeight="false" outlineLevel="0" collapsed="false">
      <c r="A598" s="1" t="s">
        <v>1076</v>
      </c>
      <c r="B598" s="0" t="s">
        <v>98</v>
      </c>
      <c r="F598" s="6" t="n">
        <f aca="false">Sens!F579</f>
        <v>141.519132566314</v>
      </c>
      <c r="G598" s="6" t="n">
        <f aca="false">Sens!G579</f>
        <v>143.776094190781</v>
      </c>
      <c r="H598" s="6" t="n">
        <f aca="false">Sens!H579</f>
        <v>145.523258806884</v>
      </c>
      <c r="I598" s="6" t="n">
        <f aca="false">Sens!I579</f>
        <v>153.618584087663</v>
      </c>
      <c r="J598" s="6" t="n">
        <f aca="false">Sens!J579</f>
        <v>163.027321880188</v>
      </c>
      <c r="K598" s="6" t="n">
        <f aca="false">Sens!K579</f>
        <v>173.630216203913</v>
      </c>
    </row>
    <row r="599" customFormat="false" ht="17.15" hidden="false" customHeight="false" outlineLevel="0" collapsed="false">
      <c r="A599" s="1" t="s">
        <v>1098</v>
      </c>
      <c r="B599" s="0" t="s">
        <v>98</v>
      </c>
      <c r="E599" s="6" t="n">
        <f aca="false">Q!M38-Sens!E517</f>
        <v>22.2285940229167</v>
      </c>
      <c r="F599" s="6" t="n">
        <f aca="false">Sens!E599*(1-1/life_nonai)+(Sens!F607+Sens!F608)/life_nonai</f>
        <v>23.5883405279552</v>
      </c>
      <c r="G599" s="6" t="n">
        <f aca="false">Sens!F599*(1-1/life_nonai)+(Sens!G607)/life_nonai</f>
        <v>25.347608709247</v>
      </c>
      <c r="H599" s="6" t="n">
        <f aca="false">Sens!G599*(1-1/life_nonai)+(Sens!H607)/life_nonai</f>
        <v>27.4750934833125</v>
      </c>
      <c r="I599" s="6" t="n">
        <f aca="false">Sens!H599*(1-1/life_nonai)+(Sens!I607)/life_nonai</f>
        <v>29.9140127982598</v>
      </c>
      <c r="J599" s="6" t="n">
        <f aca="false">Sens!I599*(1-1/life_nonai)+(Sens!J607)/life_nonai</f>
        <v>32.5895147654561</v>
      </c>
      <c r="K599" s="6" t="n">
        <f aca="false">Sens!J599*(1-1/life_nonai)+(Sens!K607)/life_nonai</f>
        <v>35.4171979437481</v>
      </c>
      <c r="L599" s="12" t="s">
        <v>1099</v>
      </c>
    </row>
    <row r="600" customFormat="false" ht="17.15" hidden="false" customHeight="false" outlineLevel="0" collapsed="false">
      <c r="A600" s="1" t="s">
        <v>1100</v>
      </c>
      <c r="B600" s="0" t="s">
        <v>98</v>
      </c>
      <c r="F600" s="6" t="n">
        <f aca="false">Sens!$F$608/life_nonai*(1-1/life_nonai)^(Sens!F480-2027)</f>
        <v>0</v>
      </c>
      <c r="G600" s="6" t="n">
        <f aca="false">Sens!$F$608/life_nonai*(1-1/life_nonai)^(Sens!G480-2027)</f>
        <v>0</v>
      </c>
      <c r="H600" s="6" t="n">
        <f aca="false">Sens!$F$608/life_nonai*(1-1/life_nonai)^(Sens!H480-2027)</f>
        <v>0</v>
      </c>
      <c r="I600" s="6" t="n">
        <f aca="false">Sens!$F$608/life_nonai*(1-1/life_nonai)^(Sens!I480-2027)</f>
        <v>0</v>
      </c>
      <c r="J600" s="6" t="n">
        <f aca="false">Sens!$F$608/life_nonai*(1-1/life_nonai)^(Sens!J480-2027)</f>
        <v>0</v>
      </c>
      <c r="K600" s="6" t="n">
        <f aca="false">Sens!$F$608/life_nonai*(1-1/life_nonai)^(Sens!K480-2027)</f>
        <v>0</v>
      </c>
      <c r="L600" s="1" t="s">
        <v>1101</v>
      </c>
    </row>
    <row r="601" customFormat="false" ht="17.15" hidden="false" customHeight="false" outlineLevel="0" collapsed="false">
      <c r="A601" s="1" t="s">
        <v>1102</v>
      </c>
      <c r="B601" s="0" t="s">
        <v>98</v>
      </c>
      <c r="E601" s="6" t="n">
        <f aca="false">Sens!E517+Sens!E599</f>
        <v>38.534</v>
      </c>
      <c r="F601" s="6" t="n">
        <f aca="false">Sens!F517+Sens!F599</f>
        <v>58.1676550063068</v>
      </c>
      <c r="G601" s="6" t="n">
        <f aca="false">Sens!G517+Sens!G599</f>
        <v>86.0820993615459</v>
      </c>
      <c r="H601" s="6" t="n">
        <f aca="false">Sens!H517+Sens!H599</f>
        <v>116.575184144758</v>
      </c>
      <c r="I601" s="6" t="n">
        <f aca="false">Sens!I517+Sens!I599</f>
        <v>144.145022492808</v>
      </c>
      <c r="J601" s="6" t="n">
        <f aca="false">Sens!J517+Sens!J599</f>
        <v>164.605187815052</v>
      </c>
      <c r="K601" s="6" t="n">
        <f aca="false">Sens!K517+Sens!K599</f>
        <v>178.429867494682</v>
      </c>
    </row>
    <row r="602" customFormat="false" ht="17.15" hidden="false" customHeight="false" outlineLevel="0" collapsed="false">
      <c r="A602" s="1" t="s">
        <v>1103</v>
      </c>
      <c r="B602" s="0" t="s">
        <v>98</v>
      </c>
      <c r="F602" s="6" t="n">
        <f aca="false">Sens!F544*sbc_r</f>
        <v>14.7454787486369</v>
      </c>
      <c r="G602" s="6" t="n">
        <f aca="false">Sens!G544*sbc_r</f>
        <v>17.1560811611477</v>
      </c>
      <c r="H602" s="6" t="n">
        <f aca="false">Sens!H544*sbc_r</f>
        <v>19.4112161412813</v>
      </c>
      <c r="I602" s="6" t="n">
        <f aca="false">Sens!I544*sbc_r</f>
        <v>21.7655163708747</v>
      </c>
      <c r="J602" s="6" t="n">
        <f aca="false">Sens!J544*sbc_r</f>
        <v>23.7425689489627</v>
      </c>
      <c r="K602" s="6" t="n">
        <f aca="false">Sens!K544*sbc_r</f>
        <v>25.3560408997772</v>
      </c>
    </row>
    <row r="603" customFormat="false" ht="17.15" hidden="false" customHeight="false" outlineLevel="0" collapsed="false">
      <c r="A603" s="1" t="s">
        <v>1104</v>
      </c>
      <c r="B603" s="0" t="s">
        <v>98</v>
      </c>
      <c r="F603" s="6" t="n">
        <f aca="false">wc27-wc26q1</f>
        <v>-4.677</v>
      </c>
      <c r="G603" s="6" t="n">
        <f aca="false">wc_f</f>
        <v>0</v>
      </c>
      <c r="H603" s="6" t="n">
        <f aca="false">wc_f</f>
        <v>0</v>
      </c>
      <c r="I603" s="6" t="n">
        <f aca="false">wc_f</f>
        <v>0</v>
      </c>
      <c r="J603" s="6" t="n">
        <f aca="false">wc_f</f>
        <v>0</v>
      </c>
      <c r="K603" s="6" t="n">
        <f aca="false">wc_f</f>
        <v>0</v>
      </c>
      <c r="L603" s="12" t="s">
        <v>1105</v>
      </c>
    </row>
    <row r="604" customFormat="false" ht="17.15" hidden="false" customHeight="false" outlineLevel="0" collapsed="false">
      <c r="A604" s="0" t="s">
        <v>1106</v>
      </c>
      <c r="B604" s="0" t="s">
        <v>98</v>
      </c>
      <c r="F604" s="6" t="n">
        <f aca="false">Q!$I$35-Q!$I$26-Q!$I$38-Q!$I$39</f>
        <v>6.493</v>
      </c>
      <c r="L604" s="1" t="s">
        <v>1107</v>
      </c>
    </row>
    <row r="605" customFormat="false" ht="15" hidden="false" customHeight="false" outlineLevel="0" collapsed="false">
      <c r="A605" s="1" t="s">
        <v>904</v>
      </c>
      <c r="B605" s="0" t="s">
        <v>98</v>
      </c>
      <c r="E605" s="6" t="n">
        <f aca="false">Q!M35</f>
        <v>182.935</v>
      </c>
      <c r="F605" s="6" t="n">
        <f aca="false">Sens!F598+Sens!F601+Sens!F602+Sens!F603+Sens!F604</f>
        <v>216.248266321257</v>
      </c>
      <c r="G605" s="6" t="n">
        <f aca="false">Sens!G598+Sens!G601+Sens!G602+Sens!G603</f>
        <v>247.014274713475</v>
      </c>
      <c r="H605" s="6" t="n">
        <f aca="false">Sens!H598+Sens!H601+Sens!H602+Sens!H603</f>
        <v>281.509659092923</v>
      </c>
      <c r="I605" s="6" t="n">
        <f aca="false">Sens!I598+Sens!I601+Sens!I602+Sens!I603</f>
        <v>319.529122951346</v>
      </c>
      <c r="J605" s="6" t="n">
        <f aca="false">Sens!J598+Sens!J601+Sens!J602+Sens!J603</f>
        <v>351.375078644203</v>
      </c>
      <c r="K605" s="6" t="n">
        <f aca="false">Sens!K598+Sens!K601+Sens!K602+Sens!K603</f>
        <v>377.416124598373</v>
      </c>
    </row>
    <row r="606" customFormat="false" ht="17.15" hidden="false" customHeight="false" outlineLevel="0" collapsed="false">
      <c r="A606" s="0" t="s">
        <v>1108</v>
      </c>
      <c r="B606" s="0" t="s">
        <v>98</v>
      </c>
      <c r="F606" s="6" t="n">
        <f aca="false">Sens!F514</f>
        <v>168.45390404212</v>
      </c>
      <c r="G606" s="6" t="n">
        <f aca="false">Sens!G514</f>
        <v>191.944475649048</v>
      </c>
      <c r="H606" s="6" t="n">
        <f aca="false">Sens!H514</f>
        <v>196.806004064512</v>
      </c>
      <c r="I606" s="6" t="n">
        <f aca="false">Sens!I514</f>
        <v>168.61483362161</v>
      </c>
      <c r="J606" s="6" t="n">
        <f aca="false">Sens!J514</f>
        <v>128.92993119594</v>
      </c>
      <c r="K606" s="6" t="n">
        <f aca="false">Sens!K514</f>
        <v>118.962853064733</v>
      </c>
    </row>
    <row r="607" customFormat="false" ht="17.15" hidden="false" customHeight="false" outlineLevel="0" collapsed="false">
      <c r="A607" s="1" t="s">
        <v>1109</v>
      </c>
      <c r="B607" s="0" t="s">
        <v>98</v>
      </c>
      <c r="E607" s="6" t="n">
        <f aca="false">Sens!E522*cx_azo+Sens!E529*cx_m365+Sens!E530*cx_lic+(Sens!E532+Sens!E534)*cx_ind+Sens!E537*cx_srch+(Sens!E539+Sens!E541)*cx_dev</f>
        <v>30.1846587067718</v>
      </c>
      <c r="F607" s="6" t="n">
        <f aca="false">Sens!F522*cx_azo+Sens!F529*cx_m365+Sens!F530*cx_lic+(Sens!F532+Sens!F534)*cx_ind+Sens!F537*cx_srch+(Sens!F539+Sens!F541)*cx_dev</f>
        <v>35.826059073302</v>
      </c>
      <c r="G607" s="6" t="n">
        <f aca="false">Sens!G522*cx_azo+Sens!G529*cx_m365+Sens!G530*cx_lic+(Sens!G532+Sens!G534)*cx_ind+Sens!G537*cx_srch+(Sens!G539+Sens!G541)*cx_dev</f>
        <v>41.1810223408732</v>
      </c>
      <c r="H607" s="6" t="n">
        <f aca="false">Sens!H522*cx_azo+Sens!H529*cx_m365+Sens!H530*cx_lic+(Sens!H532+Sens!H534)*cx_ind+Sens!H537*cx_srch+(Sens!H539+Sens!H541)*cx_dev</f>
        <v>46.6224564499022</v>
      </c>
      <c r="I607" s="6" t="n">
        <f aca="false">Sens!I522*cx_azo+Sens!I529*cx_m365+Sens!I530*cx_lic+(Sens!I532+Sens!I534)*cx_ind+Sens!I537*cx_srch+(Sens!I539+Sens!I541)*cx_dev</f>
        <v>51.8642866327854</v>
      </c>
      <c r="J607" s="6" t="n">
        <f aca="false">Sens!J522*cx_azo+Sens!J529*cx_m365+Sens!J530*cx_lic+(Sens!J532+Sens!J534)*cx_ind+Sens!J537*cx_srch+(Sens!J539+Sens!J541)*cx_dev</f>
        <v>56.6690324702225</v>
      </c>
      <c r="K607" s="6" t="n">
        <f aca="false">Sens!K522*cx_azo+Sens!K529*cx_m365+Sens!K530*cx_lic+(Sens!K532+Sens!K534)*cx_ind+Sens!K537*cx_srch+(Sens!K539+Sens!K541)*cx_dev</f>
        <v>60.866346548376</v>
      </c>
    </row>
    <row r="608" customFormat="false" ht="17.15" hidden="false" customHeight="false" outlineLevel="0" collapsed="false">
      <c r="A608" s="0" t="s">
        <v>1110</v>
      </c>
      <c r="B608" s="0" t="s">
        <v>98</v>
      </c>
      <c r="F608" s="6" t="n">
        <f aca="false">Sens!F512</f>
        <v>0</v>
      </c>
      <c r="L608" s="1" t="s">
        <v>1111</v>
      </c>
    </row>
    <row r="609" customFormat="false" ht="17.15" hidden="false" customHeight="false" outlineLevel="0" collapsed="false">
      <c r="A609" s="1" t="s">
        <v>1112</v>
      </c>
      <c r="B609" s="0" t="s">
        <v>98</v>
      </c>
      <c r="E609" s="6" t="n">
        <f aca="false">Q!M43</f>
        <v>145.3</v>
      </c>
      <c r="F609" s="6" t="n">
        <f aca="false">Sens!F606+Sens!F607+Sens!F608</f>
        <v>204.279963115422</v>
      </c>
      <c r="G609" s="6" t="n">
        <f aca="false">Sens!G606+Sens!G607</f>
        <v>233.125497989921</v>
      </c>
      <c r="H609" s="6" t="n">
        <f aca="false">Sens!H606+Sens!H607</f>
        <v>243.428460514415</v>
      </c>
      <c r="I609" s="6" t="n">
        <f aca="false">Sens!I606+Sens!I607</f>
        <v>220.479120254396</v>
      </c>
      <c r="J609" s="6" t="n">
        <f aca="false">Sens!J606+Sens!J607</f>
        <v>185.598963666163</v>
      </c>
      <c r="K609" s="6" t="n">
        <f aca="false">Sens!K606+Sens!K607</f>
        <v>179.829199613109</v>
      </c>
      <c r="L609" s="1" t="s">
        <v>1113</v>
      </c>
    </row>
    <row r="610" customFormat="false" ht="15" hidden="false" customHeight="false" outlineLevel="0" collapsed="false">
      <c r="A610" s="1" t="s">
        <v>1114</v>
      </c>
      <c r="B610" s="0" t="s">
        <v>98</v>
      </c>
      <c r="E610" s="6" t="n">
        <f aca="false">fl_liab</f>
        <v>66.594</v>
      </c>
      <c r="F610" s="6" t="n">
        <f aca="false">Sens!E610-Sens!F611</f>
        <v>62.46973</v>
      </c>
      <c r="G610" s="6" t="n">
        <f aca="false">Sens!F610-Sens!G611</f>
        <v>57.98686785</v>
      </c>
      <c r="H610" s="6" t="n">
        <f aca="false">Sens!G610-Sens!H611</f>
        <v>53.92827690325</v>
      </c>
      <c r="I610" s="6" t="n">
        <f aca="false">Sens!H610-Sens!I611</f>
        <v>49.7850493638962</v>
      </c>
      <c r="J610" s="6" t="n">
        <f aca="false">Sens!I610-Sens!J611</f>
        <v>45.4823765852716</v>
      </c>
      <c r="K610" s="6" t="n">
        <f aca="false">Sens!J610-Sens!K611</f>
        <v>40.9860835316088</v>
      </c>
    </row>
    <row r="611" customFormat="false" ht="15" hidden="false" customHeight="false" outlineLevel="0" collapsed="false">
      <c r="A611" s="1" t="s">
        <v>1115</v>
      </c>
      <c r="B611" s="0" t="s">
        <v>98</v>
      </c>
      <c r="F611" s="6" t="n">
        <f aca="false">fl_pay_27-Sens!E610*fl_rate</f>
        <v>4.12427</v>
      </c>
      <c r="G611" s="6" t="n">
        <f aca="false">fl_pay_28-Sens!F610*fl_rate</f>
        <v>4.48286215</v>
      </c>
      <c r="H611" s="6" t="n">
        <f aca="false">fl_pay_29-Sens!G610*fl_rate</f>
        <v>4.05859094675</v>
      </c>
      <c r="I611" s="6" t="n">
        <f aca="false">fl_pay_30-Sens!H610*fl_rate</f>
        <v>4.14322753935375</v>
      </c>
      <c r="J611" s="6" t="n">
        <f aca="false">fl_pay_31-Sens!I610*fl_rate</f>
        <v>4.30267277862467</v>
      </c>
      <c r="K611" s="6" t="n">
        <f aca="false">fl_pay_32-Sens!J610*fl_rate</f>
        <v>4.49629305366278</v>
      </c>
    </row>
    <row r="612" customFormat="false" ht="17.15" hidden="false" customHeight="false" outlineLevel="0" collapsed="false">
      <c r="A612" s="1" t="s">
        <v>1116</v>
      </c>
      <c r="B612" s="0" t="s">
        <v>98</v>
      </c>
      <c r="E612" s="6" t="n">
        <f aca="false">Q!M35-Q!M36-Q!M44</f>
        <v>63.886</v>
      </c>
      <c r="F612" s="6" t="n">
        <f aca="false">Sens!F605-Sens!F609-Sens!F611</f>
        <v>7.8440332058357</v>
      </c>
      <c r="G612" s="6" t="n">
        <f aca="false">Sens!G605-Sens!G609-Sens!G611</f>
        <v>9.40591457355372</v>
      </c>
      <c r="H612" s="6" t="n">
        <f aca="false">Sens!H605-Sens!H609-Sens!H611</f>
        <v>34.0226076317587</v>
      </c>
      <c r="I612" s="6" t="n">
        <f aca="false">Sens!I605-Sens!I609-Sens!I611</f>
        <v>94.9067751575962</v>
      </c>
      <c r="J612" s="6" t="n">
        <f aca="false">Sens!J605-Sens!J609-Sens!J611</f>
        <v>161.473442199415</v>
      </c>
      <c r="K612" s="6" t="n">
        <f aca="false">Sens!K605-Sens!K609-Sens!K611</f>
        <v>193.090631931601</v>
      </c>
      <c r="L612" s="12" t="s">
        <v>1117</v>
      </c>
    </row>
    <row r="613" customFormat="false" ht="15" hidden="false" customHeight="false" outlineLevel="0" collapsed="false">
      <c r="A613" s="1" t="s">
        <v>1118</v>
      </c>
      <c r="B613" s="0" t="s">
        <v>75</v>
      </c>
      <c r="F613" s="8" t="n">
        <f aca="false">dps_27</f>
        <v>3.85</v>
      </c>
      <c r="G613" s="8" t="n">
        <f aca="false">Sens!F613*(1+dps_g)</f>
        <v>4.158</v>
      </c>
      <c r="H613" s="8" t="n">
        <f aca="false">Sens!G613*(1+dps_g)</f>
        <v>4.49064</v>
      </c>
      <c r="I613" s="8" t="n">
        <f aca="false">Sens!H613*(1+dps_g)</f>
        <v>4.8498912</v>
      </c>
      <c r="J613" s="8" t="n">
        <f aca="false">Sens!I613*(1+dps_g)</f>
        <v>5.237882496</v>
      </c>
      <c r="K613" s="8" t="n">
        <f aca="false">Sens!J613*(1+dps_g)</f>
        <v>5.65691309568</v>
      </c>
    </row>
    <row r="614" customFormat="false" ht="17.15" hidden="false" customHeight="false" outlineLevel="0" collapsed="false">
      <c r="A614" s="1" t="s">
        <v>1119</v>
      </c>
      <c r="B614" s="0" t="s">
        <v>98</v>
      </c>
      <c r="E614" s="6" t="n">
        <f aca="false">Q!M41</f>
        <v>26.445</v>
      </c>
      <c r="F614" s="6" t="n">
        <f aca="false">Sens!F613*Sens!E623</f>
        <v>28.59395</v>
      </c>
      <c r="G614" s="6" t="n">
        <f aca="false">Sens!G613*Sens!F623</f>
        <v>31.068576</v>
      </c>
      <c r="H614" s="6" t="n">
        <f aca="false">Sens!H613*Sens!G623</f>
        <v>33.75614088</v>
      </c>
      <c r="I614" s="6" t="n">
        <f aca="false">Sens!I613*Sens!H623</f>
        <v>36.6748772544</v>
      </c>
      <c r="J614" s="6" t="n">
        <f aca="false">Sens!J613*Sens!I623</f>
        <v>39.6767653201446</v>
      </c>
      <c r="K614" s="6" t="n">
        <f aca="false">Sens!K613*Sens!J623</f>
        <v>42.9376608081345</v>
      </c>
      <c r="L614" s="1" t="s">
        <v>1120</v>
      </c>
    </row>
    <row r="615" customFormat="false" ht="15" hidden="false" customHeight="false" outlineLevel="0" collapsed="false">
      <c r="A615" s="1" t="s">
        <v>1121</v>
      </c>
      <c r="B615" s="0" t="s">
        <v>98</v>
      </c>
      <c r="E615" s="6" t="n">
        <f aca="false">Sens!E612-Sens!E614</f>
        <v>37.441</v>
      </c>
      <c r="F615" s="6" t="n">
        <f aca="false">Sens!F612-Sens!F614</f>
        <v>-20.7499167941643</v>
      </c>
      <c r="G615" s="6" t="n">
        <f aca="false">Sens!G612-Sens!G614</f>
        <v>-21.6626614264463</v>
      </c>
      <c r="H615" s="6" t="n">
        <f aca="false">Sens!H612-Sens!H614</f>
        <v>0.266466751758742</v>
      </c>
      <c r="I615" s="6" t="n">
        <f aca="false">Sens!I612-Sens!I614</f>
        <v>58.2318979031962</v>
      </c>
      <c r="J615" s="6" t="n">
        <f aca="false">Sens!J612-Sens!J614</f>
        <v>121.796676879271</v>
      </c>
      <c r="K615" s="6" t="n">
        <f aca="false">Sens!K612-Sens!K614</f>
        <v>150.152971123467</v>
      </c>
    </row>
    <row r="616" customFormat="false" ht="15" hidden="false" customHeight="false" outlineLevel="0" collapsed="false">
      <c r="A616" s="1" t="s">
        <v>1122</v>
      </c>
      <c r="B616" s="0" t="s">
        <v>98</v>
      </c>
      <c r="F616" s="6" t="n">
        <f aca="false">debt_mat_27</f>
        <v>9.25</v>
      </c>
      <c r="G616" s="6" t="n">
        <f aca="false">debt_mat_28</f>
        <v>0</v>
      </c>
      <c r="H616" s="6" t="n">
        <f aca="false">debt_mat_29</f>
        <v>2.001</v>
      </c>
      <c r="I616" s="6" t="n">
        <f aca="false">debt_mat_30</f>
        <v>0</v>
      </c>
      <c r="J616" s="6" t="n">
        <f aca="false">debt_mat_31</f>
        <v>0.5</v>
      </c>
      <c r="K616" s="6" t="n">
        <f aca="false">debt_mat_32</f>
        <v>0</v>
      </c>
    </row>
    <row r="617" customFormat="false" ht="15" hidden="false" customHeight="false" outlineLevel="0" collapsed="false">
      <c r="A617" s="1" t="s">
        <v>1123</v>
      </c>
      <c r="B617" s="0" t="s">
        <v>98</v>
      </c>
      <c r="E617" s="6" t="n">
        <f aca="false">Q!M40</f>
        <v>22.271</v>
      </c>
      <c r="F617" s="6" t="n">
        <f aca="false">MAX(0,MIN(bb_target,Sens!E619+Sens!F615-Sens!F616-min_cash))</f>
        <v>0</v>
      </c>
      <c r="G617" s="6" t="n">
        <f aca="false">MAX(0,MIN(bb_target,Sens!F619+Sens!G615-Sens!G616-min_cash))</f>
        <v>0</v>
      </c>
      <c r="H617" s="6" t="n">
        <f aca="false">MAX(0,MIN(bb_target,Sens!G619+Sens!H615-Sens!H616-min_cash))</f>
        <v>0</v>
      </c>
      <c r="I617" s="6" t="n">
        <f aca="false">MAX(0,MIN(bb_target,Sens!H619+Sens!I615-Sens!I616-min_cash))</f>
        <v>22.271</v>
      </c>
      <c r="J617" s="6" t="n">
        <f aca="false">MAX(0,MIN(bb_target,Sens!I619+Sens!J615-Sens!J616-min_cash))</f>
        <v>22.271</v>
      </c>
      <c r="K617" s="6" t="n">
        <f aca="false">MAX(0,MIN(bb_target,Sens!J619+Sens!K615-Sens!K616-min_cash))</f>
        <v>22.271</v>
      </c>
    </row>
    <row r="618" customFormat="false" ht="15" hidden="false" customHeight="false" outlineLevel="0" collapsed="false">
      <c r="A618" s="1" t="s">
        <v>1124</v>
      </c>
      <c r="B618" s="0" t="s">
        <v>98</v>
      </c>
      <c r="F618" s="6" t="n">
        <f aca="false">MAX(0,min_cash-(Sens!E619+Sens!F615-Sens!F616-Sens!F617))</f>
        <v>3.1569167941643</v>
      </c>
      <c r="G618" s="6" t="n">
        <f aca="false">MAX(0,min_cash-(Sens!F619+Sens!G615-Sens!G616-Sens!G617))</f>
        <v>21.6626614264463</v>
      </c>
      <c r="H618" s="6" t="n">
        <f aca="false">MAX(0,min_cash-(Sens!G619+Sens!H615-Sens!H616-Sens!H617))</f>
        <v>1.73453324824126</v>
      </c>
      <c r="I618" s="6" t="n">
        <f aca="false">MAX(0,min_cash-(Sens!H619+Sens!I615-Sens!I616-Sens!I617))</f>
        <v>0</v>
      </c>
      <c r="J618" s="6" t="n">
        <f aca="false">MAX(0,min_cash-(Sens!I619+Sens!J615-Sens!J616-Sens!J617))</f>
        <v>0</v>
      </c>
      <c r="K618" s="6" t="n">
        <f aca="false">MAX(0,min_cash-(Sens!J619+Sens!K615-Sens!K616-Sens!K617))</f>
        <v>0</v>
      </c>
    </row>
    <row r="619" customFormat="false" ht="15" hidden="false" customHeight="false" outlineLevel="0" collapsed="false">
      <c r="A619" s="1" t="s">
        <v>1125</v>
      </c>
      <c r="B619" s="0" t="s">
        <v>98</v>
      </c>
      <c r="E619" s="6" t="n">
        <f aca="false">cash_open</f>
        <v>76.843</v>
      </c>
      <c r="F619" s="6" t="n">
        <f aca="false">Sens!E619+Sens!F615-Sens!F616-Sens!F617+Sens!F618</f>
        <v>50</v>
      </c>
      <c r="G619" s="6" t="n">
        <f aca="false">Sens!F619+Sens!G615-Sens!G616-Sens!G617+Sens!G618</f>
        <v>50</v>
      </c>
      <c r="H619" s="6" t="n">
        <f aca="false">Sens!G619+Sens!H615-Sens!H616-Sens!H617+Sens!H618</f>
        <v>50</v>
      </c>
      <c r="I619" s="6" t="n">
        <f aca="false">Sens!H619+Sens!I615-Sens!I616-Sens!I617+Sens!I618</f>
        <v>85.9608979031962</v>
      </c>
      <c r="J619" s="6" t="n">
        <f aca="false">Sens!I619+Sens!J615-Sens!J616-Sens!J617+Sens!J618</f>
        <v>184.986574782467</v>
      </c>
      <c r="K619" s="6" t="n">
        <f aca="false">Sens!J619+Sens!K615-Sens!K616-Sens!K617+Sens!K618</f>
        <v>312.868545905934</v>
      </c>
    </row>
    <row r="620" customFormat="false" ht="15" hidden="false" customHeight="false" outlineLevel="0" collapsed="false">
      <c r="A620" s="1" t="s">
        <v>1126</v>
      </c>
      <c r="B620" s="0" t="s">
        <v>98</v>
      </c>
      <c r="E620" s="6" t="n">
        <f aca="false">debt_face</f>
        <v>46.136</v>
      </c>
      <c r="F620" s="6" t="n">
        <f aca="false">Sens!E620-Sens!F616+Sens!F618</f>
        <v>40.0429167941643</v>
      </c>
      <c r="G620" s="6" t="n">
        <f aca="false">Sens!F620-Sens!G616+Sens!G618</f>
        <v>61.7055782206106</v>
      </c>
      <c r="H620" s="6" t="n">
        <f aca="false">Sens!G620-Sens!H616+Sens!H618</f>
        <v>61.4391114688519</v>
      </c>
      <c r="I620" s="6" t="n">
        <f aca="false">Sens!H620-Sens!I616+Sens!I618</f>
        <v>61.4391114688519</v>
      </c>
      <c r="J620" s="6" t="n">
        <f aca="false">Sens!I620-Sens!J616+Sens!J618</f>
        <v>60.9391114688519</v>
      </c>
      <c r="K620" s="6" t="n">
        <f aca="false">Sens!J620-Sens!K616+Sens!K618</f>
        <v>60.9391114688519</v>
      </c>
    </row>
    <row r="621" customFormat="false" ht="15" hidden="false" customHeight="false" outlineLevel="0" collapsed="false">
      <c r="A621" s="1" t="s">
        <v>1127</v>
      </c>
      <c r="B621" s="0" t="s">
        <v>98</v>
      </c>
      <c r="E621" s="6" t="n">
        <f aca="false">Sens!E619-Sens!E620</f>
        <v>30.707</v>
      </c>
      <c r="F621" s="6" t="n">
        <f aca="false">Sens!F619-Sens!F620</f>
        <v>9.95708320583569</v>
      </c>
      <c r="G621" s="6" t="n">
        <f aca="false">Sens!G619-Sens!G620</f>
        <v>-11.7055782206106</v>
      </c>
      <c r="H621" s="6" t="n">
        <f aca="false">Sens!H619-Sens!H620</f>
        <v>-11.4391114688518</v>
      </c>
      <c r="I621" s="6" t="n">
        <f aca="false">Sens!I619-Sens!I620</f>
        <v>24.5217864343444</v>
      </c>
      <c r="J621" s="6" t="n">
        <f aca="false">Sens!J619-Sens!J620</f>
        <v>124.047463313615</v>
      </c>
      <c r="K621" s="6" t="n">
        <f aca="false">Sens!K619-Sens!K620</f>
        <v>251.929434437082</v>
      </c>
    </row>
    <row r="622" customFormat="false" ht="15" hidden="false" customHeight="false" outlineLevel="0" collapsed="false">
      <c r="A622" s="1" t="s">
        <v>1128</v>
      </c>
      <c r="B622" s="0" t="s">
        <v>75</v>
      </c>
      <c r="F622" s="30" t="n">
        <f aca="false">px*(1+bb_g)^(Sens!F480-base_fy-mid_yr)</f>
        <v>551.84177959629</v>
      </c>
      <c r="G622" s="30" t="n">
        <f aca="false">px*(1+bb_g)^(Sens!G480-base_fy-mid_yr)</f>
        <v>595.989121963993</v>
      </c>
      <c r="H622" s="30" t="n">
        <f aca="false">px*(1+bb_g)^(Sens!H480-base_fy-mid_yr)</f>
        <v>643.668251721112</v>
      </c>
      <c r="I622" s="30" t="n">
        <f aca="false">px*(1+bb_g)^(Sens!I480-base_fy-mid_yr)</f>
        <v>695.161711858801</v>
      </c>
      <c r="J622" s="30" t="n">
        <f aca="false">px*(1+bb_g)^(Sens!J480-base_fy-mid_yr)</f>
        <v>750.774648807506</v>
      </c>
      <c r="K622" s="30" t="n">
        <f aca="false">px*(1+bb_g)^(Sens!K480-base_fy-mid_yr)</f>
        <v>810.836620712106</v>
      </c>
    </row>
    <row r="623" customFormat="false" ht="15" hidden="false" customHeight="false" outlineLevel="0" collapsed="false">
      <c r="A623" s="1" t="s">
        <v>1129</v>
      </c>
      <c r="B623" s="1" t="s">
        <v>81</v>
      </c>
      <c r="E623" s="15" t="n">
        <f aca="false">sh_out26</f>
        <v>7.427</v>
      </c>
      <c r="F623" s="15" t="n">
        <f aca="false">Sens!E623+sh_iss-Sens!F617/Sens!F622</f>
        <v>7.472</v>
      </c>
      <c r="G623" s="15" t="n">
        <f aca="false">Sens!F623+sh_iss-Sens!G617/Sens!G622</f>
        <v>7.517</v>
      </c>
      <c r="H623" s="15" t="n">
        <f aca="false">Sens!G623+sh_iss-Sens!H617/Sens!H622</f>
        <v>7.562</v>
      </c>
      <c r="I623" s="15" t="n">
        <f aca="false">Sens!H623+sh_iss-Sens!I617/Sens!I622</f>
        <v>7.57496285005334</v>
      </c>
      <c r="J623" s="15" t="n">
        <f aca="false">Sens!I623+sh_iss-Sens!J617/Sens!J622</f>
        <v>7.59029882232494</v>
      </c>
      <c r="K623" s="15" t="n">
        <f aca="false">Sens!J623+sh_iss-Sens!K617/Sens!K622</f>
        <v>7.60783212998384</v>
      </c>
    </row>
    <row r="624" customFormat="false" ht="15" hidden="false" customHeight="false" outlineLevel="0" collapsed="false">
      <c r="A624" s="1" t="s">
        <v>1130</v>
      </c>
      <c r="B624" s="1" t="s">
        <v>81</v>
      </c>
      <c r="E624" s="15" t="n">
        <f aca="false">sh_dil26</f>
        <v>7.453</v>
      </c>
      <c r="F624" s="15" t="n">
        <f aca="false">(Sens!E623+Sens!F623)/2+dil_gap</f>
        <v>7.4735</v>
      </c>
      <c r="G624" s="15" t="n">
        <f aca="false">(Sens!F623+Sens!G623)/2+dil_gap</f>
        <v>7.5185</v>
      </c>
      <c r="H624" s="15" t="n">
        <f aca="false">(Sens!G623+Sens!H623)/2+dil_gap</f>
        <v>7.5635</v>
      </c>
      <c r="I624" s="15" t="n">
        <f aca="false">(Sens!H623+Sens!I623)/2+dil_gap</f>
        <v>7.59248142502667</v>
      </c>
      <c r="J624" s="15" t="n">
        <f aca="false">(Sens!I623+Sens!J623)/2+dil_gap</f>
        <v>7.60663083618914</v>
      </c>
      <c r="K624" s="15" t="n">
        <f aca="false">(Sens!J623+Sens!K623)/2+dil_gap</f>
        <v>7.62306547615439</v>
      </c>
    </row>
    <row r="625" customFormat="false" ht="17.15" hidden="false" customHeight="false" outlineLevel="0" collapsed="false">
      <c r="A625" s="1" t="s">
        <v>1131</v>
      </c>
      <c r="B625" s="0" t="s">
        <v>98</v>
      </c>
      <c r="C625" s="6" t="n">
        <f aca="false">SUM(Sens!F615:J615)</f>
        <v>137.882463313615</v>
      </c>
    </row>
    <row r="626" customFormat="false" ht="15" hidden="false" customHeight="false" outlineLevel="0" collapsed="false">
      <c r="A626" s="26" t="s">
        <v>1096</v>
      </c>
      <c r="B626" s="31" t="s">
        <v>98</v>
      </c>
      <c r="C626" s="27" t="n">
        <f aca="false">Sens!$C$625-(Sens!F615+Sens!G615+Sens!H615+Sens!I615+Sens!J615)</f>
        <v>0</v>
      </c>
      <c r="D626" s="31"/>
      <c r="E626" s="31"/>
      <c r="F626" s="31"/>
      <c r="G626" s="31"/>
      <c r="H626" s="31"/>
      <c r="I626" s="31"/>
      <c r="J626" s="31"/>
      <c r="K626" s="31"/>
    </row>
    <row r="627" customFormat="false" ht="17.15" hidden="false" customHeight="false" outlineLevel="0" collapsed="false">
      <c r="A627" s="1" t="s">
        <v>1090</v>
      </c>
      <c r="B627" s="1" t="s">
        <v>1132</v>
      </c>
      <c r="C627" s="33" t="str">
        <f aca="false">IF(SUM(Sens!F618:J618)&gt;0.05,"需要舉債 "&amp;TEXT(SUM(Sens!F618:J618),"0.0")&amp;" 十億美元","不需舉債")&amp;"；"&amp;IF(SUM(Sens!F617:J617)&lt;COUNT(Sens!F617:J617)*bb_target-0.05,"回購較每年 "&amp;TEXT(bb_target,"0.0")&amp;" 的目標少 "&amp;TEXT(COUNT(Sens!F617:J617)*bb_target-SUM(Sens!F617:J617),"0.0")&amp;" 十億美元（"&amp;TEXT(COUNTIF(Sens!F617:J617,"&lt;"&amp;(bb_target-0.05)),"0")&amp;" 年減少）","回購不減")</f>
        <v>需要舉債 26.6 十億美元；回購較每年 22.3 的目標少 66.8 十億美元（3 年減少）</v>
      </c>
    </row>
    <row r="628" customFormat="false" ht="17.15" hidden="false" customHeight="false" outlineLevel="0" collapsed="false">
      <c r="A628" s="3" t="s">
        <v>1494</v>
      </c>
    </row>
    <row r="629" customFormat="false" ht="15" hidden="false" customHeight="false" outlineLevel="0" collapsed="false">
      <c r="A629" s="4" t="s">
        <v>43</v>
      </c>
      <c r="B629" s="4" t="s">
        <v>65</v>
      </c>
      <c r="C629" s="23" t="s">
        <v>938</v>
      </c>
      <c r="D629" s="23" t="s">
        <v>939</v>
      </c>
      <c r="E629" s="23" t="s">
        <v>940</v>
      </c>
      <c r="F629" s="23" t="s">
        <v>941</v>
      </c>
      <c r="G629" s="23" t="s">
        <v>942</v>
      </c>
      <c r="H629" s="23" t="s">
        <v>943</v>
      </c>
      <c r="I629" s="23" t="s">
        <v>944</v>
      </c>
      <c r="J629" s="23" t="s">
        <v>945</v>
      </c>
      <c r="K629" s="23" t="s">
        <v>946</v>
      </c>
      <c r="L629" s="4" t="s">
        <v>47</v>
      </c>
    </row>
    <row r="630" customFormat="false" ht="17.15" hidden="false" customHeight="false" outlineLevel="0" collapsed="false">
      <c r="A630" s="1" t="s">
        <v>1212</v>
      </c>
      <c r="B630" s="1" t="s">
        <v>279</v>
      </c>
      <c r="F630" s="8" t="n">
        <f aca="false">(1-v_off)*mid_yr</f>
        <v>0.373972602739726</v>
      </c>
      <c r="G630" s="8" t="n">
        <f aca="false">Sens!G480-base_fy-mid_yr-v_off</f>
        <v>1.24794520547945</v>
      </c>
      <c r="H630" s="8" t="n">
        <f aca="false">Sens!H480-base_fy-mid_yr-v_off</f>
        <v>2.24794520547945</v>
      </c>
      <c r="I630" s="8" t="n">
        <f aca="false">Sens!I480-base_fy-mid_yr-v_off</f>
        <v>3.24794520547945</v>
      </c>
      <c r="J630" s="8" t="n">
        <f aca="false">Sens!J480-base_fy-mid_yr-v_off</f>
        <v>4.24794520547945</v>
      </c>
      <c r="K630" s="8" t="n">
        <f aca="false">Sens!K480-base_fy-mid_yr-v_off</f>
        <v>5.24794520547945</v>
      </c>
      <c r="L630" s="12" t="s">
        <v>1213</v>
      </c>
    </row>
    <row r="631" customFormat="false" ht="15" hidden="false" customHeight="false" outlineLevel="0" collapsed="false">
      <c r="A631" s="1" t="s">
        <v>1214</v>
      </c>
      <c r="B631" s="1" t="s">
        <v>279</v>
      </c>
      <c r="F631" s="8" t="n">
        <f aca="false">Sens!F480-base_fy-v_off</f>
        <v>0.747945205479452</v>
      </c>
      <c r="G631" s="8" t="n">
        <f aca="false">Sens!G480-base_fy-v_off</f>
        <v>1.74794520547945</v>
      </c>
      <c r="H631" s="8" t="n">
        <f aca="false">Sens!H480-base_fy-v_off</f>
        <v>2.74794520547945</v>
      </c>
      <c r="I631" s="8" t="n">
        <f aca="false">Sens!I480-base_fy-v_off</f>
        <v>3.74794520547945</v>
      </c>
      <c r="J631" s="8" t="n">
        <f aca="false">Sens!J480-base_fy-v_off</f>
        <v>4.74794520547945</v>
      </c>
      <c r="K631" s="8" t="n">
        <f aca="false">Sens!K480-base_fy-v_off</f>
        <v>5.74794520547945</v>
      </c>
    </row>
    <row r="632" customFormat="false" ht="15" hidden="false" customHeight="false" outlineLevel="0" collapsed="false">
      <c r="A632" s="1" t="s">
        <v>1215</v>
      </c>
      <c r="B632" s="0" t="s">
        <v>229</v>
      </c>
      <c r="F632" s="15" t="n">
        <f aca="false">1/(1+wacc)^Sens!F630</f>
        <v>0.964022703286649</v>
      </c>
      <c r="G632" s="15" t="n">
        <f aca="false">1/(1+wacc)^Sens!G630</f>
        <v>0.884910302296739</v>
      </c>
      <c r="H632" s="15" t="n">
        <f aca="false">1/(1+wacc)^Sens!H630</f>
        <v>0.802322009770358</v>
      </c>
      <c r="I632" s="15" t="n">
        <f aca="false">1/(1+wacc)^Sens!I630</f>
        <v>0.727441646561469</v>
      </c>
      <c r="J632" s="15" t="n">
        <f aca="false">1/(1+wacc)^Sens!J630</f>
        <v>0.659549834988973</v>
      </c>
      <c r="K632" s="15" t="n">
        <f aca="false">1/(1+wacc)^Sens!K630</f>
        <v>0.597994336576966</v>
      </c>
    </row>
    <row r="633" customFormat="false" ht="17.15" hidden="false" customHeight="false" outlineLevel="0" collapsed="false">
      <c r="A633" s="1" t="s">
        <v>1216</v>
      </c>
      <c r="B633" s="0" t="s">
        <v>98</v>
      </c>
      <c r="F633" s="6" t="n">
        <f aca="false">Q!$I$35-Q!$I$39-Q!$I$43</f>
        <v>9.666</v>
      </c>
      <c r="L633" s="12" t="s">
        <v>1217</v>
      </c>
    </row>
    <row r="634" customFormat="false" ht="17.15" hidden="false" customHeight="false" outlineLevel="0" collapsed="false">
      <c r="A634" s="1" t="s">
        <v>1218</v>
      </c>
      <c r="B634" s="0" t="s">
        <v>98</v>
      </c>
      <c r="F634" s="6" t="n">
        <f aca="false">Sens!F605-Sens!F602-Sens!F609+Sens!F587*(1-tax_f)*(1-v_off)-Sens!F633</f>
        <v>-12.4431755428012</v>
      </c>
      <c r="G634" s="6" t="n">
        <f aca="false">Sens!G605-Sens!G602-Sens!G609+Sens!G587*(1-tax_f)</f>
        <v>-3.26730443759399</v>
      </c>
      <c r="H634" s="6" t="n">
        <f aca="false">Sens!H605-Sens!H602-Sens!H609+Sens!H587*(1-tax_f)</f>
        <v>18.6699824372275</v>
      </c>
      <c r="I634" s="6" t="n">
        <f aca="false">Sens!I605-Sens!I602-Sens!I609+Sens!I587*(1-tax_f)</f>
        <v>77.2844863260753</v>
      </c>
      <c r="J634" s="6" t="n">
        <f aca="false">Sens!J605-Sens!J602-Sens!J609+Sens!J587*(1-tax_f)</f>
        <v>142.033546029077</v>
      </c>
      <c r="K634" s="6" t="n">
        <f aca="false">Sens!K605-Sens!K602-Sens!K609+Sens!K587*(1-tax_f)</f>
        <v>172.230884085487</v>
      </c>
      <c r="L634" s="1" t="s">
        <v>1219</v>
      </c>
    </row>
    <row r="635" customFormat="false" ht="15" hidden="false" customHeight="false" outlineLevel="0" collapsed="false">
      <c r="A635" s="1" t="s">
        <v>1220</v>
      </c>
      <c r="B635" s="0" t="s">
        <v>98</v>
      </c>
      <c r="F635" s="6" t="n">
        <f aca="false">Sens!F634*Sens!F632</f>
        <v>-11.9955037242415</v>
      </c>
      <c r="G635" s="6" t="n">
        <f aca="false">Sens!G634*Sens!G632</f>
        <v>-2.89127135756678</v>
      </c>
      <c r="H635" s="6" t="n">
        <f aca="false">Sens!H634*Sens!H632</f>
        <v>14.9793378314136</v>
      </c>
      <c r="I635" s="6" t="n">
        <f aca="false">Sens!I634*Sens!I632</f>
        <v>56.2199539866975</v>
      </c>
      <c r="J635" s="6" t="n">
        <f aca="false">Sens!J634*Sens!J632</f>
        <v>93.6782018463766</v>
      </c>
      <c r="K635" s="6" t="n">
        <f aca="false">Sens!K634*Sens!K632</f>
        <v>102.993093266765</v>
      </c>
    </row>
    <row r="636" customFormat="false" ht="17.15" hidden="false" customHeight="false" outlineLevel="0" collapsed="false">
      <c r="A636" s="1" t="s">
        <v>1221</v>
      </c>
      <c r="B636" s="0" t="s">
        <v>98</v>
      </c>
      <c r="C636" s="6" t="n">
        <f aca="false">SUM(Sens!F635:K635)</f>
        <v>252.983811849444</v>
      </c>
    </row>
    <row r="637" customFormat="false" ht="17.15" hidden="false" customHeight="false" outlineLevel="0" collapsed="false">
      <c r="A637" s="1" t="s">
        <v>1222</v>
      </c>
      <c r="B637" s="0" t="s">
        <v>98</v>
      </c>
      <c r="C637" s="6" t="n">
        <f aca="false">Sens!K573*(1+g_tv)*(1-tax_f)</f>
        <v>179.827922690031</v>
      </c>
    </row>
    <row r="638" customFormat="false" ht="17.15" hidden="false" customHeight="false" outlineLevel="0" collapsed="false">
      <c r="A638" s="1" t="s">
        <v>1223</v>
      </c>
      <c r="B638" s="0" t="s">
        <v>98</v>
      </c>
      <c r="C638" s="6" t="n">
        <f aca="false">Sens!$C$637*(1-g_tv/(wacc+ronic_prem))</f>
        <v>127.418593498702</v>
      </c>
    </row>
    <row r="639" customFormat="false" ht="17.15" hidden="false" customHeight="false" outlineLevel="0" collapsed="false">
      <c r="A639" s="1" t="s">
        <v>1224</v>
      </c>
      <c r="B639" s="0" t="s">
        <v>98</v>
      </c>
      <c r="C639" s="6" t="n">
        <f aca="false">Sens!$C$638/(wacc-g_tv)</f>
        <v>1746.97763971094</v>
      </c>
    </row>
    <row r="640" customFormat="false" ht="15" hidden="false" customHeight="false" outlineLevel="0" collapsed="false">
      <c r="A640" s="1" t="s">
        <v>1225</v>
      </c>
      <c r="B640" s="0" t="s">
        <v>98</v>
      </c>
      <c r="C640" s="6" t="n">
        <f aca="false">Sens!$C$639/(1+wacc)^Sens!K631</f>
        <v>994.738998531317</v>
      </c>
    </row>
    <row r="641" customFormat="false" ht="17.15" hidden="false" customHeight="false" outlineLevel="0" collapsed="false">
      <c r="A641" s="0" t="s">
        <v>1226</v>
      </c>
      <c r="B641" s="0" t="s">
        <v>98</v>
      </c>
      <c r="C641" s="6" t="n">
        <f aca="false">Sens!$C$636+Sens!$C$640</f>
        <v>1247.72281038076</v>
      </c>
    </row>
    <row r="642" customFormat="false" ht="15" hidden="false" customHeight="false" outlineLevel="0" collapsed="false">
      <c r="A642" s="1" t="s">
        <v>1141</v>
      </c>
      <c r="B642" s="0" t="s">
        <v>168</v>
      </c>
      <c r="C642" s="7" t="n">
        <f aca="false">Sens!$C$640/Sens!$C$641</f>
        <v>0.797243578666128</v>
      </c>
    </row>
    <row r="643" customFormat="false" ht="17.15" hidden="false" customHeight="false" outlineLevel="0" collapsed="false">
      <c r="A643" s="1" t="s">
        <v>1227</v>
      </c>
      <c r="B643" s="0" t="s">
        <v>98</v>
      </c>
      <c r="C643" s="6" t="n">
        <f aca="false">Sens!$C$641+cash_val-debt_val-fl_val+oai_v</f>
        <v>1363.57381038076</v>
      </c>
    </row>
    <row r="644" customFormat="false" ht="17.15" hidden="false" customHeight="false" outlineLevel="0" collapsed="false">
      <c r="A644" s="0" t="s">
        <v>1149</v>
      </c>
      <c r="B644" s="0" t="s">
        <v>75</v>
      </c>
      <c r="C644" s="5" t="n">
        <f aca="false">Sens!$C$643/shd_val</f>
        <v>183.128365616541</v>
      </c>
    </row>
    <row r="645" customFormat="false" ht="15" hidden="false" customHeight="false" outlineLevel="0" collapsed="false">
      <c r="A645" s="1" t="s">
        <v>1228</v>
      </c>
      <c r="B645" s="0" t="s">
        <v>75</v>
      </c>
      <c r="C645" s="8" t="n">
        <f aca="false">div_rem27+Sens!G613*roll_div_q/q_per_yr</f>
        <v>3.9795</v>
      </c>
    </row>
    <row r="646" customFormat="false" ht="17.15" hidden="false" customHeight="false" outlineLevel="0" collapsed="false">
      <c r="A646" s="0" t="s">
        <v>1229</v>
      </c>
      <c r="B646" s="0" t="s">
        <v>75</v>
      </c>
      <c r="C646" s="5" t="n">
        <f aca="false">Sens!$C$644*(1+wacc)^t_roll-Sens!$C$645</f>
        <v>199.577898913084</v>
      </c>
    </row>
    <row r="647" customFormat="false" ht="17.15" hidden="false" customHeight="false" outlineLevel="0" collapsed="false">
      <c r="A647" s="1" t="s">
        <v>1230</v>
      </c>
      <c r="B647" s="0" t="s">
        <v>168</v>
      </c>
      <c r="F647" s="7" t="n">
        <f aca="false">Sens!F599/(Sens!F544-Sens!F499)</f>
        <v>0.068677393452264</v>
      </c>
      <c r="G647" s="7" t="n">
        <f aca="false">Sens!G599/(Sens!G544-Sens!G499)</f>
        <v>0.0663132664471956</v>
      </c>
      <c r="H647" s="7" t="n">
        <f aca="false">Sens!H599/(Sens!H544-Sens!H499)</f>
        <v>0.0651363826734039</v>
      </c>
      <c r="I647" s="7" t="n">
        <f aca="false">Sens!I599/(Sens!I544-Sens!I499)</f>
        <v>0.0650087936347709</v>
      </c>
      <c r="J647" s="7" t="n">
        <f aca="false">Sens!J599/(Sens!J544-Sens!J499)</f>
        <v>0.0657212684841778</v>
      </c>
      <c r="K647" s="7" t="n">
        <f aca="false">Sens!K599/(Sens!K544-Sens!K499)</f>
        <v>0.0670413306015285</v>
      </c>
    </row>
    <row r="648" customFormat="false" ht="17.15" hidden="false" customHeight="false" outlineLevel="0" collapsed="false">
      <c r="A648" s="0" t="s">
        <v>1231</v>
      </c>
      <c r="B648" s="0" t="s">
        <v>98</v>
      </c>
      <c r="F648" s="6" t="n">
        <f aca="false">Sens!F529*(al_m365+Sens!F647+sbc_r)</f>
        <v>82.9185219618347</v>
      </c>
      <c r="G648" s="6" t="n">
        <f aca="false">Sens!G529*(al_m365+Sens!G647+sbc_r)</f>
        <v>93.3068052157631</v>
      </c>
      <c r="H648" s="6" t="n">
        <f aca="false">Sens!H529*(al_m365+Sens!H647+sbc_r)</f>
        <v>103.856057136159</v>
      </c>
      <c r="I648" s="6" t="n">
        <f aca="false">Sens!I529*(al_m365+Sens!I647+sbc_r)</f>
        <v>113.889717587147</v>
      </c>
      <c r="J648" s="6" t="n">
        <f aca="false">Sens!J529*(al_m365+Sens!J647+sbc_r)</f>
        <v>123.218477864124</v>
      </c>
      <c r="K648" s="6" t="n">
        <f aca="false">Sens!K529*(al_m365+Sens!K647+sbc_r)</f>
        <v>132.149420086311</v>
      </c>
      <c r="L648" s="12" t="s">
        <v>1232</v>
      </c>
    </row>
    <row r="649" customFormat="false" ht="17.15" hidden="false" customHeight="false" outlineLevel="0" collapsed="false">
      <c r="A649" s="0" t="s">
        <v>1233</v>
      </c>
      <c r="B649" s="0" t="s">
        <v>98</v>
      </c>
      <c r="F649" s="6" t="n">
        <f aca="false">Sens!F530*(al_lic+Sens!F647+sbc_r)</f>
        <v>32.8599853992256</v>
      </c>
      <c r="G649" s="6" t="n">
        <f aca="false">Sens!G530*(al_lic+Sens!G647+sbc_r)</f>
        <v>34.1568280697879</v>
      </c>
      <c r="H649" s="6" t="n">
        <f aca="false">Sens!H530*(al_lic+Sens!H647+sbc_r)</f>
        <v>35.3635535007213</v>
      </c>
      <c r="I649" s="6" t="n">
        <f aca="false">Sens!I530*(al_lic+Sens!I647+sbc_r)</f>
        <v>36.4604537346553</v>
      </c>
      <c r="J649" s="6" t="n">
        <f aca="false">Sens!J530*(al_lic+Sens!J647+sbc_r)</f>
        <v>37.4245888933574</v>
      </c>
      <c r="K649" s="6" t="n">
        <f aca="false">Sens!K530*(al_lic+Sens!K647+sbc_r)</f>
        <v>38.2321483186439</v>
      </c>
    </row>
    <row r="650" customFormat="false" ht="17.15" hidden="false" customHeight="false" outlineLevel="0" collapsed="false">
      <c r="A650" s="0" t="s">
        <v>1234</v>
      </c>
      <c r="B650" s="0" t="s">
        <v>98</v>
      </c>
      <c r="F650" s="6" t="n">
        <f aca="false">Sens!F532*(al_ind+Sens!F647+sbc_r)</f>
        <v>9.06170747885803</v>
      </c>
      <c r="G650" s="6" t="n">
        <f aca="false">Sens!G532*(al_ind+Sens!G647+sbc_r)</f>
        <v>9.8478979082138</v>
      </c>
      <c r="H650" s="6" t="n">
        <f aca="false">Sens!H532*(al_ind+Sens!H647+sbc_r)</f>
        <v>10.6768254332059</v>
      </c>
      <c r="I650" s="6" t="n">
        <f aca="false">Sens!I532*(al_ind+Sens!I647+sbc_r)</f>
        <v>11.54398793803</v>
      </c>
      <c r="J650" s="6" t="n">
        <f aca="false">Sens!J532*(al_ind+Sens!J647+sbc_r)</f>
        <v>12.4407914253112</v>
      </c>
      <c r="K650" s="6" t="n">
        <f aca="false">Sens!K532*(al_ind+Sens!K647+sbc_r)</f>
        <v>13.355239066864</v>
      </c>
    </row>
    <row r="651" customFormat="false" ht="17.15" hidden="false" customHeight="false" outlineLevel="0" collapsed="false">
      <c r="A651" s="0" t="s">
        <v>1235</v>
      </c>
      <c r="B651" s="0" t="s">
        <v>98</v>
      </c>
      <c r="F651" s="6" t="n">
        <f aca="false">Sens!F534*(al_fro+Sens!F647+sbc_r)</f>
        <v>3.55453569939552</v>
      </c>
      <c r="G651" s="6" t="n">
        <f aca="false">Sens!G534*(al_fro+Sens!G647+sbc_r)</f>
        <v>3.76809436159872</v>
      </c>
      <c r="H651" s="6" t="n">
        <f aca="false">Sens!H534*(al_fro+Sens!H647+sbc_r)</f>
        <v>4.00964905674607</v>
      </c>
      <c r="I651" s="6" t="n">
        <f aca="false">Sens!I534*(al_fro+Sens!I647+sbc_r)</f>
        <v>4.28152633145235</v>
      </c>
      <c r="J651" s="6" t="n">
        <f aca="false">Sens!J534*(al_fro+Sens!J647+sbc_r)</f>
        <v>4.58536512975975</v>
      </c>
      <c r="K651" s="6" t="n">
        <f aca="false">Sens!K534*(al_fro+Sens!K647+sbc_r)</f>
        <v>4.92240770086468</v>
      </c>
    </row>
    <row r="652" customFormat="false" ht="17.15" hidden="false" customHeight="false" outlineLevel="0" collapsed="false">
      <c r="A652" s="0" t="s">
        <v>1236</v>
      </c>
      <c r="B652" s="0" t="s">
        <v>98</v>
      </c>
      <c r="F652" s="6" t="n">
        <f aca="false">Sens!F537*(al_srch+Sens!F647+sbc_r)</f>
        <v>11.190683952584</v>
      </c>
      <c r="G652" s="6" t="n">
        <f aca="false">Sens!G537*(al_srch+Sens!G647+sbc_r)</f>
        <v>12.2763328717258</v>
      </c>
      <c r="H652" s="6" t="n">
        <f aca="false">Sens!H537*(al_srch+Sens!H647+sbc_r)</f>
        <v>13.4043563346576</v>
      </c>
      <c r="I652" s="6" t="n">
        <f aca="false">Sens!I537*(al_srch+Sens!I647+sbc_r)</f>
        <v>14.5621512181916</v>
      </c>
      <c r="J652" s="6" t="n">
        <f aca="false">Sens!J537*(al_srch+Sens!J647+sbc_r)</f>
        <v>15.7310381862385</v>
      </c>
      <c r="K652" s="6" t="n">
        <f aca="false">Sens!K537*(al_srch+Sens!K647+sbc_r)</f>
        <v>16.8873320486462</v>
      </c>
    </row>
    <row r="653" customFormat="false" ht="17.15" hidden="false" customHeight="false" outlineLevel="0" collapsed="false">
      <c r="A653" s="0" t="s">
        <v>1237</v>
      </c>
      <c r="B653" s="0" t="s">
        <v>98</v>
      </c>
      <c r="F653" s="6" t="n">
        <f aca="false">Sens!F505-Sens!F506+Sens!F587</f>
        <v>28.373364181544</v>
      </c>
      <c r="G653" s="6" t="n">
        <f aca="false">Sens!G505-Sens!G506+Sens!G587</f>
        <v>41.620851051084</v>
      </c>
      <c r="H653" s="6" t="n">
        <f aca="false">Sens!H505-Sens!H506+Sens!H587</f>
        <v>50.2485051794448</v>
      </c>
      <c r="I653" s="6" t="n">
        <f aca="false">Sens!I505-Sens!I506+Sens!I587</f>
        <v>64.3831619538015</v>
      </c>
      <c r="J653" s="6" t="n">
        <f aca="false">Sens!J505-Sens!J506+Sens!J587</f>
        <v>74.4022303930278</v>
      </c>
      <c r="K653" s="6" t="n">
        <f aca="false">Sens!K505-Sens!K506+Sens!K587</f>
        <v>81.092278303818</v>
      </c>
    </row>
    <row r="654" customFormat="false" ht="17.15" hidden="false" customHeight="false" outlineLevel="0" collapsed="false">
      <c r="A654" s="0" t="s">
        <v>1238</v>
      </c>
      <c r="B654" s="0" t="s">
        <v>98</v>
      </c>
      <c r="F654" s="6" t="n">
        <f aca="false">Sens!F566+Sens!F587+Sens!F517+Sens!F647*(Sens!F536-Sens!F499)+sbc_r*Sens!F536</f>
        <v>224.203444483912</v>
      </c>
      <c r="G654" s="6" t="n">
        <f aca="false">Sens!G566+Sens!G587+Sens!G517+Sens!G647*(Sens!G536-Sens!G499)+sbc_r*Sens!G536</f>
        <v>257.654405984585</v>
      </c>
      <c r="H654" s="6" t="n">
        <f aca="false">Sens!H566+Sens!H587+Sens!H517+Sens!H647*(Sens!H536-Sens!H499)+sbc_r*Sens!H536</f>
        <v>291.692363793165</v>
      </c>
      <c r="I654" s="6" t="n">
        <f aca="false">Sens!I566+Sens!I587+Sens!I517+Sens!I647*(Sens!I536-Sens!I499)+sbc_r*Sens!I536</f>
        <v>330.616124714338</v>
      </c>
      <c r="J654" s="6" t="n">
        <f aca="false">Sens!J566+Sens!J587+Sens!J517+Sens!J647*(Sens!J536-Sens!J499)+sbc_r*Sens!J536</f>
        <v>363.500509217877</v>
      </c>
      <c r="K654" s="6" t="n">
        <f aca="false">Sens!K566+Sens!K587+Sens!K517+Sens!K647*(Sens!K536-Sens!K499)+sbc_r*Sens!K536</f>
        <v>390.71333202712</v>
      </c>
    </row>
    <row r="655" customFormat="false" ht="17.15" hidden="false" customHeight="false" outlineLevel="0" collapsed="false">
      <c r="A655" s="0" t="s">
        <v>1239</v>
      </c>
      <c r="B655" s="0" t="s">
        <v>98</v>
      </c>
      <c r="F655" s="6" t="n">
        <f aca="false">Sens!F654-Sens!F648-Sens!F649-Sens!F650-Sens!F651-Sens!F653</f>
        <v>67.4353297630543</v>
      </c>
      <c r="G655" s="6" t="n">
        <f aca="false">Sens!G654-Sens!G648-Sens!G649-Sens!G650-Sens!G651-Sens!G653</f>
        <v>74.9539293781376</v>
      </c>
      <c r="H655" s="6" t="n">
        <f aca="false">Sens!H654-Sens!H648-Sens!H649-Sens!H650-Sens!H651-Sens!H653</f>
        <v>87.537773486888</v>
      </c>
      <c r="I655" s="6" t="n">
        <f aca="false">Sens!I654-Sens!I648-Sens!I649-Sens!I650-Sens!I651-Sens!I653</f>
        <v>100.057277169252</v>
      </c>
      <c r="J655" s="6" t="n">
        <f aca="false">Sens!J654-Sens!J648-Sens!J649-Sens!J650-Sens!J651-Sens!J653</f>
        <v>111.429055512297</v>
      </c>
      <c r="K655" s="6" t="n">
        <f aca="false">Sens!K654-Sens!K648-Sens!K649-Sens!K650-Sens!K651-Sens!K653</f>
        <v>120.961838550618</v>
      </c>
    </row>
    <row r="656" customFormat="false" ht="17.15" hidden="false" customHeight="false" outlineLevel="0" collapsed="false">
      <c r="A656" s="0" t="s">
        <v>1240</v>
      </c>
      <c r="B656" s="0" t="s">
        <v>98</v>
      </c>
      <c r="F656" s="6" t="n">
        <f aca="false">Sens!F568+Sens!F647*Sens!F543+sbc_r*Sens!F543</f>
        <v>26.6373549789235</v>
      </c>
      <c r="G656" s="6" t="n">
        <f aca="false">Sens!G568+Sens!G647*Sens!G543+sbc_r*Sens!G543</f>
        <v>26.5038922765853</v>
      </c>
      <c r="H656" s="6" t="n">
        <f aca="false">Sens!H568+Sens!H647*Sens!H543+sbc_r*Sens!H543</f>
        <v>27.3981100014792</v>
      </c>
      <c r="I656" s="6" t="n">
        <f aca="false">Sens!I568+Sens!I647*Sens!I543+sbc_r*Sens!I543</f>
        <v>28.5176442589239</v>
      </c>
      <c r="J656" s="6" t="n">
        <f aca="false">Sens!J568+Sens!J647*Sens!J543+sbc_r*Sens!J543</f>
        <v>29.8313998963726</v>
      </c>
      <c r="K656" s="6" t="n">
        <f aca="false">Sens!K568+Sens!K647*Sens!K543+sbc_r*Sens!K543</f>
        <v>31.3103466222307</v>
      </c>
    </row>
    <row r="657" customFormat="false" ht="17.15" hidden="false" customHeight="false" outlineLevel="0" collapsed="false">
      <c r="A657" s="0" t="s">
        <v>1241</v>
      </c>
      <c r="B657" s="0" t="s">
        <v>98</v>
      </c>
      <c r="F657" s="6" t="n">
        <f aca="false">(Sens!F656-Sens!F652)*Sens!F539/(Sens!F539+Sens!F541)</f>
        <v>8.72405610479892</v>
      </c>
      <c r="G657" s="6" t="n">
        <f aca="false">(Sens!G656-Sens!G652)*Sens!G539/(Sens!G539+Sens!G541)</f>
        <v>7.897418765869</v>
      </c>
      <c r="H657" s="6" t="n">
        <f aca="false">(Sens!H656-Sens!H652)*Sens!H539/(Sens!H539+Sens!H541)</f>
        <v>7.66644879573063</v>
      </c>
      <c r="I657" s="6" t="n">
        <f aca="false">(Sens!I656-Sens!I652)*Sens!I539/(Sens!I539+Sens!I541)</f>
        <v>7.5787545031814</v>
      </c>
      <c r="J657" s="6" t="n">
        <f aca="false">(Sens!J656-Sens!J652)*Sens!J539/(Sens!J539+Sens!J541)</f>
        <v>7.62401876450459</v>
      </c>
      <c r="K657" s="6" t="n">
        <f aca="false">(Sens!K656-Sens!K652)*Sens!K539/(Sens!K539+Sens!K541)</f>
        <v>7.79847609658838</v>
      </c>
    </row>
    <row r="658" customFormat="false" ht="17.15" hidden="false" customHeight="false" outlineLevel="0" collapsed="false">
      <c r="A658" s="0" t="s">
        <v>1242</v>
      </c>
      <c r="B658" s="0" t="s">
        <v>98</v>
      </c>
      <c r="F658" s="6" t="n">
        <f aca="false">Sens!F656-Sens!F652-Sens!F657</f>
        <v>6.72261492154066</v>
      </c>
      <c r="G658" s="6" t="n">
        <f aca="false">Sens!G656-Sens!G652-Sens!G657</f>
        <v>6.33014063899044</v>
      </c>
      <c r="H658" s="6" t="n">
        <f aca="false">Sens!H656-Sens!H652-Sens!H657</f>
        <v>6.32730487109095</v>
      </c>
      <c r="I658" s="6" t="n">
        <f aca="false">Sens!I656-Sens!I652-Sens!I657</f>
        <v>6.37673853755084</v>
      </c>
      <c r="J658" s="6" t="n">
        <f aca="false">Sens!J656-Sens!J652-Sens!J657</f>
        <v>6.47634294562954</v>
      </c>
      <c r="K658" s="6" t="n">
        <f aca="false">Sens!K656-Sens!K652-Sens!K657</f>
        <v>6.62453847699607</v>
      </c>
    </row>
    <row r="659" customFormat="false" ht="17.15" hidden="false" customHeight="false" outlineLevel="0" collapsed="false">
      <c r="A659" s="0" t="s">
        <v>1243</v>
      </c>
      <c r="B659" s="0" t="s">
        <v>98</v>
      </c>
      <c r="F659" s="6" t="n">
        <f aca="false">Sens!F653-tax_f*(Sens!F653-Sens!F517)-Sens!F514</f>
        <v>-138.839349801214</v>
      </c>
      <c r="G659" s="6" t="n">
        <f aca="false">Sens!G653-tax_f*(Sens!G653-Sens!G517)-Sens!G514</f>
        <v>-146.500896677721</v>
      </c>
      <c r="H659" s="6" t="n">
        <f aca="false">Sens!H653-tax_f*(Sens!H653-Sens!H517)-Sens!H514</f>
        <v>-138.787181788667</v>
      </c>
      <c r="I659" s="6" t="n">
        <f aca="false">Sens!I653-tax_f*(Sens!I653-Sens!I517)-Sens!I514</f>
        <v>-94.2621021196595</v>
      </c>
      <c r="J659" s="6" t="n">
        <f aca="false">Sens!J653-tax_f*(Sens!J653-Sens!J517)-Sens!J514</f>
        <v>-43.005012271599</v>
      </c>
      <c r="K659" s="6" t="n">
        <f aca="false">Sens!K653-tax_f*(Sens!K653-Sens!K517)-Sens!K514</f>
        <v>-25.4864965114914</v>
      </c>
    </row>
    <row r="660" customFormat="false" ht="17.15" hidden="false" customHeight="false" outlineLevel="0" collapsed="false">
      <c r="A660" s="0" t="s">
        <v>1244</v>
      </c>
      <c r="B660" s="0" t="s">
        <v>98</v>
      </c>
      <c r="G660" s="6" t="n">
        <f aca="false">Sens!G659/(1+wacc)^(Sens!G630-Sens!F631)</f>
        <v>-139.4970457616</v>
      </c>
      <c r="H660" s="6" t="n">
        <f aca="false">Sens!H659/(1+wacc)^(Sens!H630-Sens!F631)</f>
        <v>-119.818406490062</v>
      </c>
      <c r="I660" s="6" t="n">
        <f aca="false">Sens!I659/(1+wacc)^(Sens!I630-Sens!F631)</f>
        <v>-73.7837557445167</v>
      </c>
      <c r="J660" s="6" t="n">
        <f aca="false">Sens!J659/(1+wacc)^(Sens!J630-Sens!F631)</f>
        <v>-30.5205368243226</v>
      </c>
      <c r="K660" s="6" t="n">
        <f aca="false">Sens!K659/(1+wacc)^(Sens!K630-Sens!F631)</f>
        <v>-16.3995785231994</v>
      </c>
      <c r="L660" s="1" t="s">
        <v>1245</v>
      </c>
    </row>
    <row r="661" customFormat="false" ht="17.15" hidden="false" customHeight="false" outlineLevel="0" collapsed="false">
      <c r="A661" s="0" t="s">
        <v>1246</v>
      </c>
      <c r="B661" s="0" t="s">
        <v>98</v>
      </c>
      <c r="C661" s="6" t="n">
        <f aca="false">(Sens!K653-Sens!K517)*(1-tax_f)*(1+g_tv)*(1-g_tv/(wacc+ronic_prem))/(wacc-g_tv)/(1+wacc)^(Sens!K631-Sens!F631)</f>
        <v>-303.695528018801</v>
      </c>
    </row>
    <row r="662" customFormat="false" ht="17.15" hidden="false" customHeight="false" outlineLevel="0" collapsed="false">
      <c r="A662" s="1" t="s">
        <v>1247</v>
      </c>
      <c r="B662" s="0" t="s">
        <v>98</v>
      </c>
      <c r="C662" s="6" t="n">
        <f aca="false">(SUM(Sens!G660:K660)+Sens!$C$661)*(1+wacc)^(t_roll-Sens!F631)</f>
        <v>-706.286346313162</v>
      </c>
      <c r="L662" s="12" t="s">
        <v>1248</v>
      </c>
    </row>
    <row r="663" customFormat="false" ht="17.15" hidden="false" customHeight="false" outlineLevel="0" collapsed="false">
      <c r="A663" s="1" t="s">
        <v>1249</v>
      </c>
      <c r="B663" s="0" t="s">
        <v>98</v>
      </c>
      <c r="C663" s="6" t="n">
        <f aca="false">(w_ntm28*Sens!G505+(1-w_ntm28)*Sens!H505)*m_ai</f>
        <v>344.355829012336</v>
      </c>
    </row>
    <row r="664" customFormat="false" ht="17.15" hidden="false" customHeight="false" outlineLevel="0" collapsed="false">
      <c r="A664" s="1" t="s">
        <v>1250</v>
      </c>
      <c r="B664" s="0" t="s">
        <v>98</v>
      </c>
      <c r="C664" s="6" t="n">
        <f aca="false">(w_ntm28*Sens!G655+(1-w_ntm28)*Sens!H655)*m_cloud</f>
        <v>1093.03877543039</v>
      </c>
    </row>
    <row r="665" customFormat="false" ht="17.15" hidden="false" customHeight="false" outlineLevel="0" collapsed="false">
      <c r="A665" s="1" t="s">
        <v>1251</v>
      </c>
      <c r="B665" s="0" t="s">
        <v>98</v>
      </c>
      <c r="C665" s="6" t="n">
        <f aca="false">(w_ntm28*Sens!G648+(1-w_ntm28)*Sens!H648)*m_sw</f>
        <v>1045.17056616266</v>
      </c>
    </row>
    <row r="666" customFormat="false" ht="17.15" hidden="false" customHeight="false" outlineLevel="0" collapsed="false">
      <c r="A666" s="1" t="s">
        <v>1252</v>
      </c>
      <c r="B666" s="0" t="s">
        <v>98</v>
      </c>
      <c r="C666" s="6" t="n">
        <f aca="false">(w_ntm28*Sens!G649+(1-w_ntm28)*Sens!H649)*m_sw</f>
        <v>373.178444957791</v>
      </c>
    </row>
    <row r="667" customFormat="false" ht="17.15" hidden="false" customHeight="false" outlineLevel="0" collapsed="false">
      <c r="A667" s="1" t="s">
        <v>1253</v>
      </c>
      <c r="B667" s="0" t="s">
        <v>98</v>
      </c>
      <c r="C667" s="6" t="n">
        <f aca="false">(w_ntm28*Sens!G650+(1-w_ntm28)*Sens!H650)*m_sw</f>
        <v>109.30055788101</v>
      </c>
    </row>
    <row r="668" customFormat="false" ht="17.15" hidden="false" customHeight="false" outlineLevel="0" collapsed="false">
      <c r="A668" s="1" t="s">
        <v>1254</v>
      </c>
      <c r="B668" s="0" t="s">
        <v>98</v>
      </c>
      <c r="C668" s="6" t="n">
        <f aca="false">(w_ntm28*Sens!G651+(1-w_ntm28)*Sens!H651)*m_sw</f>
        <v>41.5531037214606</v>
      </c>
    </row>
    <row r="669" customFormat="false" ht="17.15" hidden="false" customHeight="false" outlineLevel="0" collapsed="false">
      <c r="A669" s="1" t="s">
        <v>1255</v>
      </c>
      <c r="B669" s="0" t="s">
        <v>98</v>
      </c>
      <c r="C669" s="6" t="n">
        <f aca="false">(w_ntm28*Sens!G652+(1-w_ntm28)*Sens!H652)*m_ads</f>
        <v>115.215899994784</v>
      </c>
    </row>
    <row r="670" customFormat="false" ht="17.15" hidden="false" customHeight="false" outlineLevel="0" collapsed="false">
      <c r="A670" s="1" t="s">
        <v>1256</v>
      </c>
      <c r="B670" s="0" t="s">
        <v>98</v>
      </c>
      <c r="C670" s="6" t="n">
        <f aca="false">(w_ntm28*Sens!G657+(1-w_ntm28)*Sens!H657)*m_game</f>
        <v>98.7853357615783</v>
      </c>
    </row>
    <row r="671" customFormat="false" ht="17.15" hidden="false" customHeight="false" outlineLevel="0" collapsed="false">
      <c r="A671" s="1" t="s">
        <v>1257</v>
      </c>
      <c r="B671" s="0" t="s">
        <v>98</v>
      </c>
      <c r="C671" s="6" t="n">
        <f aca="false">(w_ntm28*Sens!G658+(1-w_ntm28)*Sens!H658)*m_pc</f>
        <v>91.5836445602173</v>
      </c>
    </row>
    <row r="672" customFormat="false" ht="17.15" hidden="false" customHeight="false" outlineLevel="0" collapsed="false">
      <c r="A672" s="1" t="s">
        <v>1258</v>
      </c>
      <c r="B672" s="0" t="s">
        <v>98</v>
      </c>
      <c r="C672" s="6" t="n">
        <f aca="false">Sens!$C$662+Sens!$C$664+Sens!$C$665+Sens!$C$666+Sens!$C$667+Sens!$C$668+Sens!$C$669+Sens!$C$670+Sens!$C$671</f>
        <v>2261.53998215673</v>
      </c>
    </row>
    <row r="673" customFormat="false" ht="17.15" hidden="false" customHeight="false" outlineLevel="0" collapsed="false">
      <c r="A673" s="1" t="s">
        <v>1259</v>
      </c>
      <c r="B673" s="0" t="s">
        <v>98</v>
      </c>
      <c r="C673" s="6" t="n">
        <f aca="false">(Sens!G634-Sens!G659)*t_stub</f>
        <v>47.4829168796038</v>
      </c>
      <c r="L673" s="1" t="s">
        <v>1260</v>
      </c>
    </row>
    <row r="674" customFormat="false" ht="17.15" hidden="false" customHeight="false" outlineLevel="0" collapsed="false">
      <c r="A674" s="1" t="s">
        <v>1169</v>
      </c>
      <c r="B674" s="0" t="s">
        <v>98</v>
      </c>
      <c r="C674" s="6" t="n">
        <f aca="false">Sens!F621+oai_v-Sens!F610+Sens!$C$673</f>
        <v>158.55427008544</v>
      </c>
      <c r="L674" s="1" t="s">
        <v>1261</v>
      </c>
    </row>
    <row r="675" customFormat="false" ht="17.15" hidden="false" customHeight="false" outlineLevel="0" collapsed="false">
      <c r="A675" s="1" t="s">
        <v>1262</v>
      </c>
      <c r="B675" s="0" t="s">
        <v>75</v>
      </c>
      <c r="C675" s="5" t="n">
        <f aca="false">(Sens!$C$672+Sens!$C$674)/(Sens!F623+dil_gap)-Sens!G613*roll_div_q/q_per_yr</f>
        <v>321.811921056852</v>
      </c>
      <c r="L675" s="1" t="s">
        <v>1263</v>
      </c>
    </row>
    <row r="676" customFormat="false" ht="17.15" hidden="false" customHeight="false" outlineLevel="0" collapsed="false">
      <c r="A676" s="1" t="s">
        <v>1264</v>
      </c>
      <c r="B676" s="0" t="s">
        <v>75</v>
      </c>
      <c r="C676" s="5" t="n">
        <f aca="false">w_dcf*Sens!$C$646+(1-w_dcf)*Sens!$C$675</f>
        <v>260.694909984968</v>
      </c>
    </row>
    <row r="677" customFormat="false" ht="17.15" hidden="false" customHeight="false" outlineLevel="0" collapsed="false">
      <c r="A677" s="3" t="s">
        <v>1495</v>
      </c>
    </row>
    <row r="678" customFormat="false" ht="15" hidden="false" customHeight="false" outlineLevel="0" collapsed="false">
      <c r="A678" s="4" t="s">
        <v>43</v>
      </c>
      <c r="B678" s="4" t="s">
        <v>65</v>
      </c>
      <c r="C678" s="23" t="s">
        <v>938</v>
      </c>
      <c r="D678" s="23" t="s">
        <v>939</v>
      </c>
      <c r="E678" s="23" t="s">
        <v>940</v>
      </c>
      <c r="F678" s="23" t="s">
        <v>941</v>
      </c>
      <c r="G678" s="23" t="s">
        <v>942</v>
      </c>
      <c r="H678" s="23" t="s">
        <v>943</v>
      </c>
      <c r="I678" s="23" t="s">
        <v>944</v>
      </c>
      <c r="J678" s="23" t="s">
        <v>945</v>
      </c>
      <c r="K678" s="23" t="s">
        <v>946</v>
      </c>
      <c r="L678" s="4" t="s">
        <v>47</v>
      </c>
    </row>
    <row r="679" customFormat="false" ht="17.15" hidden="false" customHeight="false" outlineLevel="0" collapsed="false">
      <c r="A679" s="1" t="s">
        <v>947</v>
      </c>
      <c r="B679" s="1" t="s">
        <v>279</v>
      </c>
      <c r="C679" s="21" t="n">
        <v>2024</v>
      </c>
      <c r="D679" s="21" t="n">
        <v>2025</v>
      </c>
      <c r="E679" s="21" t="n">
        <v>2026</v>
      </c>
      <c r="F679" s="21" t="n">
        <v>2027</v>
      </c>
      <c r="G679" s="21" t="n">
        <v>2028</v>
      </c>
      <c r="H679" s="21" t="n">
        <v>2029</v>
      </c>
      <c r="I679" s="21" t="n">
        <v>2030</v>
      </c>
      <c r="J679" s="21" t="n">
        <v>2031</v>
      </c>
      <c r="K679" s="21" t="n">
        <v>2032</v>
      </c>
    </row>
    <row r="680" customFormat="false" ht="17.15" hidden="false" customHeight="false" outlineLevel="0" collapsed="false">
      <c r="A680" s="1" t="s">
        <v>948</v>
      </c>
      <c r="B680" s="0" t="s">
        <v>456</v>
      </c>
      <c r="F680" s="30" t="n">
        <f aca="false">pace</f>
        <v>2726.5351</v>
      </c>
      <c r="G680" s="30" t="n">
        <f aca="false">pace</f>
        <v>2726.5351</v>
      </c>
      <c r="H680" s="30" t="n">
        <f aca="false">pace</f>
        <v>2726.5351</v>
      </c>
      <c r="I680" s="30" t="n">
        <f aca="false">pace+(g_tv*Sens!H681-pace)*MIN(1,(Sens!I679-pace_y0)/(pace_y1-pace_y0))</f>
        <v>1931.98611966667</v>
      </c>
      <c r="J680" s="30" t="n">
        <f aca="false">pace+(g_tv*Sens!I681-pace)*MIN(1,(Sens!J679-pace_y0)/(pace_y1-pace_y0))</f>
        <v>1176.07686172667</v>
      </c>
      <c r="K680" s="30" t="n">
        <f aca="false">pace+(g_tv*Sens!J681-pace)*MIN(1,(Sens!K679-pace_y0)/(pace_y1-pace_y0))</f>
        <v>436.1300484418</v>
      </c>
      <c r="L680" s="12" t="s">
        <v>949</v>
      </c>
    </row>
    <row r="681" customFormat="false" ht="17.15" hidden="false" customHeight="false" outlineLevel="0" collapsed="false">
      <c r="A681" s="1" t="s">
        <v>950</v>
      </c>
      <c r="B681" s="0" t="s">
        <v>456</v>
      </c>
      <c r="C681" s="30" t="n">
        <f aca="false">mw_ext_24</f>
        <v>640</v>
      </c>
      <c r="D681" s="30" t="n">
        <f aca="false">mw_ext_25</f>
        <v>1630</v>
      </c>
      <c r="E681" s="30" t="n">
        <f aca="false">mw_ext_26</f>
        <v>3250</v>
      </c>
      <c r="F681" s="30" t="n">
        <f aca="false">Sens!E681+Sens!F680</f>
        <v>5976.5351</v>
      </c>
      <c r="G681" s="30" t="n">
        <f aca="false">Sens!F681+Sens!G680</f>
        <v>8703.0702</v>
      </c>
      <c r="H681" s="30" t="n">
        <f aca="false">Sens!G681+Sens!H680</f>
        <v>11429.6053</v>
      </c>
      <c r="I681" s="30" t="n">
        <f aca="false">Sens!H681+Sens!I680</f>
        <v>13361.5914196667</v>
      </c>
      <c r="J681" s="30" t="n">
        <f aca="false">Sens!I681+Sens!J680</f>
        <v>14537.6682813933</v>
      </c>
      <c r="K681" s="30" t="n">
        <f aca="false">Sens!J681+Sens!K680</f>
        <v>14973.7983298351</v>
      </c>
      <c r="L681" s="1" t="s">
        <v>951</v>
      </c>
    </row>
    <row r="682" customFormat="false" ht="17.15" hidden="false" customHeight="false" outlineLevel="0" collapsed="false">
      <c r="A682" s="1" t="s">
        <v>952</v>
      </c>
      <c r="B682" s="0" t="s">
        <v>456</v>
      </c>
      <c r="C682" s="30" t="n">
        <f aca="false">rent_ext_24</f>
        <v>150</v>
      </c>
      <c r="D682" s="30" t="n">
        <f aca="false">rent_ext_25</f>
        <v>400</v>
      </c>
      <c r="E682" s="30" t="n">
        <f aca="false">rent_ext_26</f>
        <v>550</v>
      </c>
      <c r="F682" s="30" t="n">
        <f aca="false">rent_ext_f</f>
        <v>756</v>
      </c>
      <c r="G682" s="30" t="n">
        <f aca="false">rent_ext_f</f>
        <v>756</v>
      </c>
      <c r="H682" s="30" t="n">
        <f aca="false">rent_ext_f</f>
        <v>756</v>
      </c>
      <c r="I682" s="30" t="n">
        <f aca="false">rent_ext_f</f>
        <v>756</v>
      </c>
      <c r="J682" s="30" t="n">
        <f aca="false">rent_ext_f</f>
        <v>756</v>
      </c>
      <c r="K682" s="30" t="n">
        <f aca="false">rent_ext_f</f>
        <v>756</v>
      </c>
      <c r="L682" s="1" t="s">
        <v>953</v>
      </c>
    </row>
    <row r="683" customFormat="false" ht="17.15" hidden="false" customHeight="false" outlineLevel="0" collapsed="false">
      <c r="A683" s="1" t="s">
        <v>954</v>
      </c>
      <c r="B683" s="0" t="s">
        <v>456</v>
      </c>
      <c r="C683" s="30" t="n">
        <f aca="false">Sens!C681-Sens!C682</f>
        <v>490</v>
      </c>
      <c r="D683" s="30" t="n">
        <f aca="false">Sens!D681-Sens!D682</f>
        <v>1230</v>
      </c>
      <c r="E683" s="30" t="n">
        <f aca="false">Sens!E681-Sens!E682</f>
        <v>2700</v>
      </c>
      <c r="F683" s="30" t="n">
        <f aca="false">Sens!F681-Sens!F682</f>
        <v>5220.5351</v>
      </c>
      <c r="G683" s="30" t="n">
        <f aca="false">Sens!G681-Sens!G682</f>
        <v>7947.0702</v>
      </c>
      <c r="H683" s="30" t="n">
        <f aca="false">Sens!H681-Sens!H682</f>
        <v>10673.6053</v>
      </c>
      <c r="I683" s="30" t="n">
        <f aca="false">Sens!I681-Sens!I682</f>
        <v>12605.5914196667</v>
      </c>
      <c r="J683" s="30" t="n">
        <f aca="false">Sens!J681-Sens!J682</f>
        <v>13781.6682813933</v>
      </c>
      <c r="K683" s="30" t="n">
        <f aca="false">Sens!K681-Sens!K682</f>
        <v>14217.7983298351</v>
      </c>
    </row>
    <row r="684" customFormat="false" ht="17.15" hidden="false" customHeight="false" outlineLevel="0" collapsed="false">
      <c r="A684" s="1" t="s">
        <v>955</v>
      </c>
      <c r="B684" s="0" t="s">
        <v>456</v>
      </c>
      <c r="C684" s="30" t="n">
        <f aca="false">Sens!C683/ext_sh</f>
        <v>816.666666666667</v>
      </c>
      <c r="D684" s="30" t="n">
        <f aca="false">Sens!D683/ext_sh</f>
        <v>2050</v>
      </c>
      <c r="E684" s="30" t="n">
        <f aca="false">Sens!E683/ext_sh</f>
        <v>4500</v>
      </c>
      <c r="F684" s="30" t="n">
        <f aca="false">Sens!F683/ext_sh</f>
        <v>8700.89183333333</v>
      </c>
      <c r="G684" s="30" t="n">
        <f aca="false">Sens!G683/ext_sh</f>
        <v>13245.117</v>
      </c>
      <c r="H684" s="30" t="n">
        <f aca="false">Sens!H683/ext_sh</f>
        <v>17789.3421666667</v>
      </c>
      <c r="I684" s="30" t="n">
        <f aca="false">Sens!I683/ext_sh</f>
        <v>21009.3190327778</v>
      </c>
      <c r="J684" s="30" t="n">
        <f aca="false">Sens!J683/ext_sh</f>
        <v>22969.4471356556</v>
      </c>
      <c r="K684" s="30" t="n">
        <f aca="false">Sens!K683/ext_sh</f>
        <v>23696.3305497252</v>
      </c>
      <c r="L684" s="1" t="s">
        <v>956</v>
      </c>
    </row>
    <row r="685" customFormat="false" ht="17.15" hidden="false" customHeight="false" outlineLevel="0" collapsed="false">
      <c r="A685" s="1" t="s">
        <v>957</v>
      </c>
      <c r="B685" s="0" t="s">
        <v>456</v>
      </c>
      <c r="C685" s="30" t="n">
        <f aca="false">Sens!C684-Sens!C683</f>
        <v>326.666666666667</v>
      </c>
      <c r="D685" s="30" t="n">
        <f aca="false">Sens!D684-Sens!D683</f>
        <v>820</v>
      </c>
      <c r="E685" s="30" t="n">
        <f aca="false">Sens!E684-Sens!E683</f>
        <v>1800</v>
      </c>
      <c r="F685" s="30" t="n">
        <f aca="false">Sens!F684-Sens!F683</f>
        <v>3480.35673333333</v>
      </c>
      <c r="G685" s="30" t="n">
        <f aca="false">Sens!G684-Sens!G683</f>
        <v>5298.0468</v>
      </c>
      <c r="H685" s="30" t="n">
        <f aca="false">Sens!H684-Sens!H683</f>
        <v>7115.73686666667</v>
      </c>
      <c r="I685" s="30" t="n">
        <f aca="false">Sens!I684-Sens!I683</f>
        <v>8403.72761311111</v>
      </c>
      <c r="J685" s="30" t="n">
        <f aca="false">Sens!J684-Sens!J683</f>
        <v>9187.77885426222</v>
      </c>
      <c r="K685" s="30" t="n">
        <f aca="false">Sens!K684-Sens!K683</f>
        <v>9478.53221989009</v>
      </c>
    </row>
    <row r="686" customFormat="false" ht="17.15" hidden="false" customHeight="false" outlineLevel="0" collapsed="false">
      <c r="A686" s="1" t="s">
        <v>958</v>
      </c>
      <c r="B686" s="0" t="s">
        <v>456</v>
      </c>
      <c r="C686" s="30" t="n">
        <f aca="false">Sens!C684</f>
        <v>816.666666666667</v>
      </c>
      <c r="D686" s="30" t="n">
        <f aca="false">Sens!D684-Sens!C684</f>
        <v>1233.33333333333</v>
      </c>
      <c r="E686" s="30" t="n">
        <f aca="false">Sens!E684-Sens!D684</f>
        <v>2450</v>
      </c>
      <c r="F686" s="30" t="n">
        <f aca="false">Sens!F684-Sens!E684</f>
        <v>4200.89183333333</v>
      </c>
      <c r="G686" s="30" t="n">
        <f aca="false">Sens!G684-Sens!F684</f>
        <v>4544.22516666667</v>
      </c>
      <c r="H686" s="30" t="n">
        <f aca="false">Sens!H684-Sens!G684</f>
        <v>4544.22516666667</v>
      </c>
      <c r="I686" s="30" t="n">
        <f aca="false">Sens!I684-Sens!H684</f>
        <v>3219.97686611111</v>
      </c>
      <c r="J686" s="30" t="n">
        <f aca="false">Sens!J684-Sens!I684</f>
        <v>1960.12810287778</v>
      </c>
      <c r="K686" s="30" t="n">
        <f aca="false">Sens!K684-Sens!J684</f>
        <v>726.883414069667</v>
      </c>
    </row>
    <row r="687" customFormat="false" ht="17.15" hidden="false" customHeight="false" outlineLevel="0" collapsed="false">
      <c r="A687" s="1" t="s">
        <v>959</v>
      </c>
      <c r="B687" s="0" t="s">
        <v>456</v>
      </c>
      <c r="D687" s="30" t="n">
        <f aca="false">Sens!D681-Sens!C681</f>
        <v>990</v>
      </c>
      <c r="E687" s="30" t="n">
        <f aca="false">Sens!E681-Sens!D681</f>
        <v>1620</v>
      </c>
      <c r="F687" s="30" t="n">
        <f aca="false">Sens!F681-Sens!E681</f>
        <v>2726.5351</v>
      </c>
      <c r="G687" s="30" t="n">
        <f aca="false">Sens!G681-Sens!F681</f>
        <v>2726.5351</v>
      </c>
      <c r="H687" s="30" t="n">
        <f aca="false">Sens!H681-Sens!G681</f>
        <v>2726.5351</v>
      </c>
      <c r="I687" s="30" t="n">
        <f aca="false">Sens!I681-Sens!H681</f>
        <v>1931.98611966667</v>
      </c>
      <c r="J687" s="30" t="n">
        <f aca="false">Sens!J681-Sens!I681</f>
        <v>1176.07686172667</v>
      </c>
      <c r="K687" s="30" t="n">
        <f aca="false">Sens!K681-Sens!J681</f>
        <v>436.130048441799</v>
      </c>
    </row>
    <row r="688" customFormat="false" ht="17.15" hidden="false" customHeight="false" outlineLevel="0" collapsed="false">
      <c r="A688" s="1" t="s">
        <v>960</v>
      </c>
      <c r="B688" s="0" t="s">
        <v>456</v>
      </c>
      <c r="F688" s="30" t="n">
        <f aca="false">Sens!F707*ext_sh</f>
        <v>0</v>
      </c>
      <c r="G688" s="30" t="n">
        <f aca="false">Sens!G707*ext_sh</f>
        <v>0</v>
      </c>
      <c r="H688" s="30" t="n">
        <f aca="false">Sens!H707*ext_sh</f>
        <v>0</v>
      </c>
      <c r="I688" s="30" t="n">
        <f aca="false">Sens!I707*ext_sh</f>
        <v>490</v>
      </c>
      <c r="J688" s="30" t="n">
        <f aca="false">Sens!J707*ext_sh</f>
        <v>740</v>
      </c>
      <c r="K688" s="30" t="n">
        <f aca="false">Sens!K707*ext_sh</f>
        <v>1470</v>
      </c>
      <c r="L688" s="1" t="s">
        <v>961</v>
      </c>
    </row>
    <row r="689" customFormat="false" ht="17.15" hidden="false" customHeight="false" outlineLevel="0" collapsed="false">
      <c r="A689" s="1" t="s">
        <v>962</v>
      </c>
      <c r="B689" s="0" t="s">
        <v>456</v>
      </c>
      <c r="C689" s="30" t="n">
        <f aca="false">mix_h*Sens!C681</f>
        <v>128</v>
      </c>
      <c r="D689" s="30" t="n">
        <f aca="false">mix_h*Sens!D681</f>
        <v>326</v>
      </c>
      <c r="E689" s="30" t="n">
        <f aca="false">mix_h*Sens!E681</f>
        <v>650</v>
      </c>
      <c r="F689" s="30" t="n">
        <f aca="false">Sens!E689-Sens!F688*mix_h</f>
        <v>650</v>
      </c>
      <c r="G689" s="30" t="n">
        <f aca="false">Sens!F689-Sens!G688*mix_h</f>
        <v>650</v>
      </c>
      <c r="H689" s="30" t="n">
        <f aca="false">Sens!G689-Sens!H688*mix_h</f>
        <v>650</v>
      </c>
      <c r="I689" s="30" t="n">
        <f aca="false">Sens!H689-Sens!I688*mix_h</f>
        <v>552</v>
      </c>
      <c r="J689" s="30" t="n">
        <f aca="false">Sens!I689-Sens!J688*mix_h</f>
        <v>404</v>
      </c>
      <c r="K689" s="30" t="n">
        <f aca="false">Sens!J689-Sens!K688*mix_h</f>
        <v>110</v>
      </c>
    </row>
    <row r="690" customFormat="false" ht="17.15" hidden="false" customHeight="false" outlineLevel="0" collapsed="false">
      <c r="A690" s="1" t="s">
        <v>963</v>
      </c>
      <c r="B690" s="0" t="s">
        <v>456</v>
      </c>
      <c r="C690" s="30" t="n">
        <f aca="false">mix_g2*Sens!C681</f>
        <v>288</v>
      </c>
      <c r="D690" s="30" t="n">
        <f aca="false">mix_g2*Sens!D681</f>
        <v>733.5</v>
      </c>
      <c r="E690" s="30" t="n">
        <f aca="false">mix_g2*Sens!E681</f>
        <v>1462.5</v>
      </c>
      <c r="F690" s="30" t="n">
        <f aca="false">Sens!E690-Sens!F688*mix_g2</f>
        <v>1462.5</v>
      </c>
      <c r="G690" s="30" t="n">
        <f aca="false">Sens!F690-Sens!G688*mix_g2</f>
        <v>1462.5</v>
      </c>
      <c r="H690" s="30" t="n">
        <f aca="false">Sens!G690-Sens!H688*mix_g2</f>
        <v>1462.5</v>
      </c>
      <c r="I690" s="30" t="n">
        <f aca="false">Sens!H690-Sens!I688*mix_g2</f>
        <v>1242</v>
      </c>
      <c r="J690" s="30" t="n">
        <f aca="false">Sens!I690-Sens!J688*mix_g2</f>
        <v>909</v>
      </c>
      <c r="K690" s="30" t="n">
        <f aca="false">Sens!J690-Sens!K688*mix_g2</f>
        <v>247.5</v>
      </c>
    </row>
    <row r="691" customFormat="false" ht="17.15" hidden="false" customHeight="false" outlineLevel="0" collapsed="false">
      <c r="A691" s="1" t="s">
        <v>964</v>
      </c>
      <c r="B691" s="0" t="s">
        <v>456</v>
      </c>
      <c r="C691" s="30" t="n">
        <f aca="false">mix_g3*Sens!C681</f>
        <v>224</v>
      </c>
      <c r="D691" s="30" t="n">
        <f aca="false">mix_g3*Sens!D681</f>
        <v>570.5</v>
      </c>
      <c r="E691" s="30" t="n">
        <f aca="false">mix_g3*Sens!E681</f>
        <v>1137.5</v>
      </c>
      <c r="F691" s="30" t="n">
        <f aca="false">Sens!E691+(Sens!F687+Sens!F688)*(a_g3_27-nonnv*a_mai)-Sens!F688*mix_g3</f>
        <v>2773.42106</v>
      </c>
      <c r="G691" s="30" t="n">
        <f aca="false">Sens!F691+(Sens!G687+Sens!G688)*(a_g3_28-nonnv*a_mai)-Sens!G688*mix_g3</f>
        <v>3318.72808</v>
      </c>
      <c r="H691" s="30" t="n">
        <f aca="false">Sens!G691+(Sens!H687+Sens!H688)*(a_g3_29-nonnv*a_mai)-Sens!H688*mix_g3</f>
        <v>3318.72808</v>
      </c>
      <c r="I691" s="30" t="n">
        <f aca="false">Sens!H691+(Sens!I687+Sens!I688)*(a_g3_29-nonnv*a_mai)-Sens!I688*mix_g3</f>
        <v>3147.22808</v>
      </c>
      <c r="J691" s="30" t="n">
        <f aca="false">Sens!I691+(Sens!J687+Sens!J688)*(a_g3_29-nonnv*a_mai)-Sens!J688*mix_g3</f>
        <v>2888.22808</v>
      </c>
      <c r="K691" s="30" t="n">
        <f aca="false">Sens!J691+(Sens!K687+Sens!K688)*(a_g3_29-nonnv*a_mai)-Sens!K688*mix_g3</f>
        <v>2373.72808</v>
      </c>
    </row>
    <row r="692" customFormat="false" ht="17.15" hidden="false" customHeight="false" outlineLevel="0" collapsed="false">
      <c r="A692" s="1" t="s">
        <v>965</v>
      </c>
      <c r="B692" s="0" t="s">
        <v>456</v>
      </c>
      <c r="C692" s="30" t="n">
        <v>0</v>
      </c>
      <c r="D692" s="30" t="n">
        <v>0</v>
      </c>
      <c r="E692" s="30" t="n">
        <v>0</v>
      </c>
      <c r="F692" s="30" t="n">
        <f aca="false">Sens!E692+(Sens!F687+Sens!F688)*nonnv*a_mai</f>
        <v>272.65351</v>
      </c>
      <c r="G692" s="30" t="n">
        <f aca="false">Sens!F692+(Sens!G687+Sens!G688)*nonnv*a_mai</f>
        <v>545.30702</v>
      </c>
      <c r="H692" s="30" t="n">
        <f aca="false">Sens!G692+(Sens!H687+Sens!H688)*nonnv*a_mai</f>
        <v>817.96053</v>
      </c>
      <c r="I692" s="30" t="n">
        <f aca="false">Sens!H692+(Sens!I687+Sens!I688)*nonnv*a_mai</f>
        <v>1060.15914196667</v>
      </c>
      <c r="J692" s="30" t="n">
        <f aca="false">Sens!I692+(Sens!J687+Sens!J688)*nonnv*a_mai</f>
        <v>1251.76682813933</v>
      </c>
      <c r="K692" s="30" t="n">
        <f aca="false">Sens!J692+(Sens!K687+Sens!K688)*nonnv*a_mai</f>
        <v>1442.37983298351</v>
      </c>
      <c r="L692" s="12" t="s">
        <v>966</v>
      </c>
    </row>
    <row r="693" customFormat="false" ht="17.15" hidden="false" customHeight="false" outlineLevel="0" collapsed="false">
      <c r="A693" s="1" t="s">
        <v>967</v>
      </c>
      <c r="B693" s="0" t="s">
        <v>456</v>
      </c>
      <c r="C693" s="30" t="n">
        <v>0</v>
      </c>
      <c r="D693" s="30" t="n">
        <v>0</v>
      </c>
      <c r="E693" s="30" t="n">
        <v>0</v>
      </c>
      <c r="F693" s="30" t="n">
        <f aca="false">Sens!E693+(Sens!F687+Sens!F688)*(1-a_g3_27)</f>
        <v>817.96053</v>
      </c>
      <c r="G693" s="30" t="n">
        <f aca="false">Sens!F693+(Sens!G687+Sens!G688)*(1-a_g3_28)</f>
        <v>2726.5351</v>
      </c>
      <c r="H693" s="30" t="n">
        <f aca="false">Sens!G693+(Sens!H687+Sens!H688)*(1-a_g3_29)</f>
        <v>5180.41669</v>
      </c>
      <c r="I693" s="30" t="n">
        <f aca="false">Sens!H693+(Sens!I687+Sens!I688)*(1-a_g3_29)</f>
        <v>7360.2041977</v>
      </c>
      <c r="J693" s="30" t="n">
        <f aca="false">Sens!I693+(Sens!J687+Sens!J688)*(1-a_g3_29)</f>
        <v>9084.673373254</v>
      </c>
      <c r="K693" s="30" t="n">
        <f aca="false">Sens!J693+(Sens!K687+Sens!K688)*(1-a_g3_29)</f>
        <v>10800.1904168516</v>
      </c>
    </row>
    <row r="694" customFormat="false" ht="17.15" hidden="false" customHeight="false" outlineLevel="0" collapsed="false">
      <c r="A694" s="1" t="s">
        <v>968</v>
      </c>
      <c r="B694" s="0" t="s">
        <v>403</v>
      </c>
      <c r="C694" s="15" t="n">
        <f aca="false">(Sens!C689*tk_hold_h100+Sens!C690*tk_hold_gb200+Sens!C691*tk_hold_gb300+Sens!C693*tk_hold_vr200+Sens!C692*nv_hold_mai*tk_hold_vr200)/Sens!C681</f>
        <v>9.7235358126469</v>
      </c>
      <c r="D694" s="15" t="n">
        <f aca="false">(Sens!D689*tk_hold_h100+Sens!D690*tk_hold_gb200+Sens!D691*tk_hold_gb300+Sens!D693*tk_hold_vr200+Sens!D692*nv_hold_mai*tk_hold_vr200)/Sens!D681</f>
        <v>9.7235358126469</v>
      </c>
      <c r="E694" s="15" t="n">
        <f aca="false">(Sens!E689*tk_hold_h100+Sens!E690*tk_hold_gb200+Sens!E691*tk_hold_gb300+Sens!E693*tk_hold_vr200+Sens!E692*nv_hold_mai*tk_hold_vr200)/Sens!E681</f>
        <v>9.7235358126469</v>
      </c>
      <c r="F694" s="15" t="n">
        <f aca="false">(Sens!F689*tk_hold_h100+Sens!F690*tk_hold_gb200+Sens!F691*tk_hold_gb300+Sens!F693*tk_hold_vr200+Sens!F692*nv_hold_mai*tk_hold_vr200)/Sens!F681</f>
        <v>10.2195353876665</v>
      </c>
      <c r="G694" s="15" t="n">
        <f aca="false">(Sens!G689*tk_hold_h100+Sens!G690*tk_hold_gb200+Sens!G691*tk_hold_gb300+Sens!G693*tk_hold_vr200+Sens!G692*nv_hold_mai*tk_hold_vr200)/Sens!G681</f>
        <v>10.5725598017306</v>
      </c>
      <c r="H694" s="15" t="n">
        <f aca="false">(Sens!H689*tk_hold_h100+Sens!H690*tk_hold_gb200+Sens!H691*tk_hold_gb300+Sens!H693*tk_hold_vr200+Sens!H692*nv_hold_mai*tk_hold_vr200)/Sens!H681</f>
        <v>10.8210427149036</v>
      </c>
      <c r="I694" s="15" t="n">
        <f aca="false">(Sens!I689*tk_hold_h100+Sens!I690*tk_hold_gb200+Sens!I691*tk_hold_gb300+Sens!I693*tk_hold_vr200+Sens!I692*nv_hold_mai*tk_hold_vr200)/Sens!I681</f>
        <v>11.0050618241982</v>
      </c>
      <c r="J694" s="15" t="n">
        <f aca="false">(Sens!J689*tk_hold_h100+Sens!J690*tk_hold_gb200+Sens!J691*tk_hold_gb300+Sens!J693*tk_hold_vr200+Sens!J692*nv_hold_mai*tk_hold_vr200)/Sens!J681</f>
        <v>11.1505789658881</v>
      </c>
      <c r="K694" s="15" t="n">
        <f aca="false">(Sens!K689*tk_hold_h100+Sens!K690*tk_hold_gb200+Sens!K691*tk_hold_gb300+Sens!K693*tk_hold_vr200+Sens!K692*nv_hold_mai*tk_hold_vr200)/Sens!K681</f>
        <v>11.3496914757183</v>
      </c>
      <c r="L694" s="1" t="s">
        <v>969</v>
      </c>
    </row>
    <row r="695" customFormat="false" ht="17.15" hidden="false" customHeight="false" outlineLevel="0" collapsed="false">
      <c r="A695" s="1" t="s">
        <v>970</v>
      </c>
      <c r="B695" s="0" t="s">
        <v>403</v>
      </c>
      <c r="C695" s="15" t="n">
        <f aca="false">(Sens!C689*tk_hold_h100+Sens!C690*tk_hold_gb200+Sens!C691*tk_hold_gb300+Sens!C693*tk_hold_vr200+Sens!C692*nv_out_mai*tk_hold_vr200)/Sens!C681</f>
        <v>9.7235358126469</v>
      </c>
      <c r="D695" s="15" t="n">
        <f aca="false">(Sens!D689*tk_hold_h100+Sens!D690*tk_hold_gb200+Sens!D691*tk_hold_gb300+Sens!D693*tk_hold_vr200+Sens!D692*nv_out_mai*tk_hold_vr200)/Sens!D681</f>
        <v>9.7235358126469</v>
      </c>
      <c r="E695" s="15" t="n">
        <f aca="false">(Sens!E689*tk_hold_h100+Sens!E690*tk_hold_gb200+Sens!E691*tk_hold_gb300+Sens!E693*tk_hold_vr200+Sens!E692*nv_out_mai*tk_hold_vr200)/Sens!E681</f>
        <v>9.7235358126469</v>
      </c>
      <c r="F695" s="15" t="n">
        <f aca="false">(Sens!F689*tk_hold_h100+Sens!F690*tk_hold_gb200+Sens!F691*tk_hold_gb300+Sens!F693*tk_hold_vr200+Sens!F692*nv_out_mai*tk_hold_vr200)/Sens!F681</f>
        <v>10.247422093969</v>
      </c>
      <c r="G695" s="15" t="n">
        <f aca="false">(Sens!G689*tk_hold_h100+Sens!G690*tk_hold_gb200+Sens!G691*tk_hold_gb300+Sens!G693*tk_hold_vr200+Sens!G692*nv_out_mai*tk_hold_vr200)/Sens!G681</f>
        <v>10.6108602808053</v>
      </c>
      <c r="H695" s="15" t="n">
        <f aca="false">(Sens!H689*tk_hold_h100+Sens!H690*tk_hold_gb200+Sens!H691*tk_hold_gb300+Sens!H693*tk_hold_vr200+Sens!H692*nv_out_mai*tk_hold_vr200)/Sens!H681</f>
        <v>10.8647885507393</v>
      </c>
      <c r="I695" s="15" t="n">
        <f aca="false">(Sens!I689*tk_hold_h100+Sens!I690*tk_hold_gb200+Sens!I691*tk_hold_gb300+Sens!I693*tk_hold_vr200+Sens!I692*nv_out_mai*tk_hold_vr200)/Sens!I681</f>
        <v>11.0535625770025</v>
      </c>
      <c r="J695" s="15" t="n">
        <f aca="false">(Sens!J689*tk_hold_h100+Sens!J690*tk_hold_gb200+Sens!J691*tk_hold_gb300+Sens!J693*tk_hold_vr200+Sens!J692*nv_out_mai*tk_hold_vr200)/Sens!J681</f>
        <v>11.2032127128058</v>
      </c>
      <c r="K695" s="15" t="n">
        <f aca="false">(Sens!K689*tk_hold_h100+Sens!K690*tk_hold_gb200+Sens!K691*tk_hold_gb300+Sens!K693*tk_hold_vr200+Sens!K692*nv_out_mai*tk_hold_vr200)/Sens!K681</f>
        <v>11.4085735724225</v>
      </c>
      <c r="L695" s="12" t="s">
        <v>971</v>
      </c>
    </row>
    <row r="696" customFormat="false" ht="17.15" hidden="false" customHeight="false" outlineLevel="0" collapsed="false">
      <c r="A696" s="0" t="s">
        <v>972</v>
      </c>
      <c r="B696" s="0" t="s">
        <v>229</v>
      </c>
      <c r="C696" s="15" t="n">
        <f aca="false">k_B</f>
        <v>1.17213932619116</v>
      </c>
      <c r="D696" s="15" t="n">
        <f aca="false">k_B</f>
        <v>1.17213932619116</v>
      </c>
      <c r="E696" s="15" t="n">
        <f aca="false">k_B</f>
        <v>1.17213932619116</v>
      </c>
      <c r="F696" s="15" t="n">
        <f aca="false">(k_B+((ls_A*k_long+(1-ls_A)*k_spot)-k_B)*MIN(1,(Sens!F679-base_fy)/k_ramp))*0.85</f>
        <v>1.06269403911603</v>
      </c>
      <c r="G696" s="15" t="n">
        <f aca="false">(k_B+((ls_A*k_long+(1-ls_A)*k_spot)-k_B)*MIN(1,(Sens!G679-base_fy)/k_ramp))*0.85</f>
        <v>1.12906965096958</v>
      </c>
      <c r="H696" s="15" t="n">
        <f aca="false">(k_B+((ls_A*k_long+(1-ls_A)*k_spot)-k_B)*MIN(1,(Sens!H679-base_fy)/k_ramp))*0.85</f>
        <v>1.19544526282313</v>
      </c>
      <c r="I696" s="15" t="n">
        <f aca="false">(k_B+((ls_A*k_long+(1-ls_A)*k_spot)-k_B)*MIN(1,(Sens!I679-base_fy)/k_ramp))*0.85</f>
        <v>1.19544526282313</v>
      </c>
      <c r="J696" s="15" t="n">
        <f aca="false">(k_B+((ls_A*k_long+(1-ls_A)*k_spot)-k_B)*MIN(1,(Sens!J679-base_fy)/k_ramp))*0.85</f>
        <v>1.19544526282313</v>
      </c>
      <c r="K696" s="15" t="n">
        <f aca="false">(k_B+((ls_A*k_long+(1-ls_A)*k_spot)-k_B)*MIN(1,(Sens!K679-base_fy)/k_ramp))*0.85</f>
        <v>1.19544526282313</v>
      </c>
      <c r="L696" s="1" t="s">
        <v>973</v>
      </c>
    </row>
    <row r="697" customFormat="false" ht="17.15" hidden="false" customHeight="false" outlineLevel="0" collapsed="false">
      <c r="A697" s="1" t="s">
        <v>974</v>
      </c>
      <c r="B697" s="0" t="s">
        <v>403</v>
      </c>
      <c r="C697" s="15" t="n">
        <f aca="false">Sens!C695*Sens!C696*chip_f</f>
        <v>11.3973387156315</v>
      </c>
      <c r="D697" s="15" t="n">
        <f aca="false">Sens!D695*Sens!D696*chip_f</f>
        <v>11.3973387156315</v>
      </c>
      <c r="E697" s="15" t="n">
        <f aca="false">Sens!E695*Sens!E696*chip_f</f>
        <v>11.3973387156315</v>
      </c>
      <c r="F697" s="15" t="n">
        <f aca="false">Sens!F695*Sens!F696*chip_f</f>
        <v>10.8898743755667</v>
      </c>
      <c r="G697" s="15" t="n">
        <f aca="false">Sens!G695*Sens!G696*chip_f</f>
        <v>11.9804003137358</v>
      </c>
      <c r="H697" s="15" t="n">
        <f aca="false">Sens!H695*Sens!H696*chip_f</f>
        <v>12.9882600045563</v>
      </c>
      <c r="I697" s="15" t="n">
        <f aca="false">Sens!I695*Sens!I696*chip_f</f>
        <v>13.2139290199966</v>
      </c>
      <c r="J697" s="15" t="n">
        <f aca="false">Sens!J695*Sens!J696*chip_f</f>
        <v>13.3928275659235</v>
      </c>
      <c r="K697" s="15" t="n">
        <f aca="false">Sens!K695*Sens!K696*chip_f</f>
        <v>13.6383252327216</v>
      </c>
      <c r="L697" s="1" t="s">
        <v>975</v>
      </c>
    </row>
    <row r="698" customFormat="false" ht="17.15" hidden="false" customHeight="false" outlineLevel="0" collapsed="false">
      <c r="A698" s="0" t="s">
        <v>976</v>
      </c>
      <c r="B698" s="0" t="s">
        <v>98</v>
      </c>
      <c r="D698" s="6" t="n">
        <f aca="false">(Sens!C681+Sens!D681)/2*Sens!D697/1000</f>
        <v>12.9359794422418</v>
      </c>
      <c r="E698" s="6" t="n">
        <f aca="false">(Sens!D681+Sens!E681)/2*Sens!E697/1000</f>
        <v>27.8095064661409</v>
      </c>
      <c r="F698" s="6" t="n">
        <f aca="false">(Sens!E681+Sens!F681)/2*Sens!F697/1000</f>
        <v>50.2379040803784</v>
      </c>
      <c r="G698" s="6" t="n">
        <f aca="false">(Sens!F681+Sens!G681)/2*Sens!G697/1000</f>
        <v>87.9337739708187</v>
      </c>
      <c r="H698" s="6" t="n">
        <f aca="false">(Sens!G681+Sens!H681)/2*Sens!H697/1000</f>
        <v>130.74421199068</v>
      </c>
      <c r="I698" s="6" t="n">
        <f aca="false">(Sens!H681+Sens!I681)/2*Sens!I697/1000</f>
        <v>163.794556887224</v>
      </c>
      <c r="J698" s="6" t="n">
        <f aca="false">(Sens!I681+Sens!J681)/2*Sens!J697/1000</f>
        <v>186.824987196607</v>
      </c>
      <c r="K698" s="6" t="n">
        <f aca="false">(Sens!J681+Sens!K681)/2*Sens!K697/1000</f>
        <v>201.243489869269</v>
      </c>
      <c r="L698" s="12" t="s">
        <v>977</v>
      </c>
    </row>
    <row r="699" customFormat="false" ht="17.15" hidden="false" customHeight="false" outlineLevel="0" collapsed="false">
      <c r="A699" s="1" t="s">
        <v>978</v>
      </c>
      <c r="B699" s="0" t="s">
        <v>403</v>
      </c>
      <c r="C699" s="15" t="n">
        <f aca="false">(Sens!C689*tk_opex_h100+Sens!C690*tk_opex_gb200+Sens!C691*tk_opex_gb300+(Sens!C693+Sens!C692)*tk_opex_vr200)/Sens!C681</f>
        <v>1.88636041306092</v>
      </c>
      <c r="D699" s="15" t="n">
        <f aca="false">(Sens!D689*tk_opex_h100+Sens!D690*tk_opex_gb200+Sens!D691*tk_opex_gb300+(Sens!D693+Sens!D692)*tk_opex_vr200)/Sens!D681</f>
        <v>1.88636041306092</v>
      </c>
      <c r="E699" s="15" t="n">
        <f aca="false">(Sens!E689*tk_opex_h100+Sens!E690*tk_opex_gb200+Sens!E691*tk_opex_gb300+(Sens!E693+Sens!E692)*tk_opex_vr200)/Sens!E681</f>
        <v>1.88636041306092</v>
      </c>
      <c r="F699" s="15" t="n">
        <f aca="false">(Sens!F689*tk_opex_h100+Sens!F690*tk_opex_gb200+Sens!F691*tk_opex_gb300+(Sens!F693+Sens!F692)*tk_opex_vr200)/Sens!F681</f>
        <v>1.95051159746876</v>
      </c>
      <c r="G699" s="15" t="n">
        <f aca="false">(Sens!G689*tk_opex_h100+Sens!G690*tk_opex_gb200+Sens!G691*tk_opex_gb300+(Sens!G693+Sens!G692)*tk_opex_vr200)/Sens!G681</f>
        <v>1.98836003669956</v>
      </c>
      <c r="H699" s="15" t="n">
        <f aca="false">(Sens!H689*tk_opex_h100+Sens!H690*tk_opex_gb200+Sens!H691*tk_opex_gb300+(Sens!H693+Sens!H692)*tk_opex_vr200)/Sens!H681</f>
        <v>2.01344013834343</v>
      </c>
      <c r="I699" s="15" t="n">
        <f aca="false">(Sens!I689*tk_opex_h100+Sens!I690*tk_opex_gb200+Sens!I691*tk_opex_gb300+(Sens!I693+Sens!I692)*tk_opex_vr200)/Sens!I681</f>
        <v>2.03261166882178</v>
      </c>
      <c r="J699" s="15" t="n">
        <f aca="false">(Sens!J689*tk_opex_h100+Sens!J690*tk_opex_gb200+Sens!J691*tk_opex_gb300+(Sens!J693+Sens!J692)*tk_opex_vr200)/Sens!J681</f>
        <v>2.04808073288745</v>
      </c>
      <c r="K699" s="15" t="n">
        <f aca="false">(Sens!K689*tk_opex_h100+Sens!K690*tk_opex_gb200+Sens!K691*tk_opex_gb300+(Sens!K693+Sens!K692)*tk_opex_vr200)/Sens!K681</f>
        <v>2.06973825807449</v>
      </c>
      <c r="L699" s="12" t="s">
        <v>979</v>
      </c>
    </row>
    <row r="700" customFormat="false" ht="17.15" hidden="false" customHeight="false" outlineLevel="0" collapsed="false">
      <c r="A700" s="0" t="s">
        <v>980</v>
      </c>
      <c r="B700" s="0" t="s">
        <v>98</v>
      </c>
      <c r="D700" s="6" t="n">
        <f aca="false">(Sens!C684+Sens!D684)/2*Sens!D699/1000</f>
        <v>2.70378325872065</v>
      </c>
      <c r="E700" s="6" t="n">
        <f aca="false">(Sens!D684+Sens!E684)/2*Sens!E699/1000</f>
        <v>6.17783035277451</v>
      </c>
      <c r="F700" s="6" t="n">
        <f aca="false">(Sens!E684+Sens!F684)/2*Sens!F699/1000</f>
        <v>12.8742463089237</v>
      </c>
      <c r="G700" s="6" t="n">
        <f aca="false">(Sens!F684+Sens!G684)/2*Sens!G699/1000</f>
        <v>21.8182834646277</v>
      </c>
      <c r="H700" s="6" t="n">
        <f aca="false">(Sens!G684+Sens!H684)/2*Sens!H699/1000</f>
        <v>31.2430128789734</v>
      </c>
      <c r="I700" s="6" t="n">
        <f aca="false">(Sens!H684+Sens!I684)/2*Sens!I699/1000</f>
        <v>39.4313057443268</v>
      </c>
      <c r="J700" s="6" t="n">
        <f aca="false">(Sens!I684+Sens!J684)/2*Sens!J699/1000</f>
        <v>45.0360318228653</v>
      </c>
      <c r="K700" s="6" t="n">
        <f aca="false">(Sens!J684+Sens!K684)/2*Sens!K699/1000</f>
        <v>48.2929727091156</v>
      </c>
    </row>
    <row r="701" customFormat="false" ht="17.15" hidden="false" customHeight="false" outlineLevel="0" collapsed="false">
      <c r="A701" s="0" t="s">
        <v>981</v>
      </c>
      <c r="B701" s="0" t="s">
        <v>98</v>
      </c>
      <c r="D701" s="6" t="n">
        <f aca="false">(Sens!C682+Sens!D682)/2*rent_mw/1000</f>
        <v>2.44475</v>
      </c>
      <c r="E701" s="6" t="n">
        <f aca="false">(Sens!D682+Sens!E682)/2*rent_mw/1000</f>
        <v>4.22275</v>
      </c>
      <c r="F701" s="6" t="n">
        <f aca="false">(Sens!E682+Sens!F682)/2*rent_mw/1000</f>
        <v>5.80517</v>
      </c>
      <c r="G701" s="6" t="n">
        <f aca="false">(Sens!F682+Sens!G682)/2*rent_mw/1000</f>
        <v>6.72084</v>
      </c>
      <c r="H701" s="6" t="n">
        <f aca="false">(Sens!G682+Sens!H682)/2*rent_mw/1000</f>
        <v>6.72084</v>
      </c>
      <c r="I701" s="6" t="n">
        <f aca="false">(Sens!H682+Sens!I682)/2*rent_mw/1000</f>
        <v>6.72084</v>
      </c>
      <c r="J701" s="6" t="n">
        <f aca="false">(Sens!I682+Sens!J682)/2*rent_mw/1000</f>
        <v>6.72084</v>
      </c>
      <c r="K701" s="6" t="n">
        <f aca="false">(Sens!J682+Sens!K682)/2*rent_mw/1000</f>
        <v>6.72084</v>
      </c>
    </row>
    <row r="702" customFormat="false" ht="17.15" hidden="false" customHeight="false" outlineLevel="0" collapsed="false">
      <c r="A702" s="0" t="s">
        <v>982</v>
      </c>
      <c r="B702" s="0" t="s">
        <v>98</v>
      </c>
      <c r="D702" s="6" t="n">
        <f aca="false">(Sens!C684+Sens!D684)/2*(1-self_build)*fac_rent/1000</f>
        <v>0.853242375631075</v>
      </c>
      <c r="E702" s="6" t="n">
        <f aca="false">(Sens!D684+Sens!E684)/2*(1-self_build)*fac_rent/1000</f>
        <v>1.94955961408728</v>
      </c>
      <c r="F702" s="6" t="n">
        <f aca="false">(Sens!E684+Sens!F684)/2*(1-self_build)*fac_rent/1000</f>
        <v>3.92914894476356</v>
      </c>
      <c r="G702" s="6" t="n">
        <f aca="false">(Sens!F684+Sens!G684)/2*(1-self_build)*fac_rent/1000</f>
        <v>6.53206908578159</v>
      </c>
      <c r="H702" s="6" t="n">
        <f aca="false">(Sens!G684+Sens!H684)/2*(1-self_build)*fac_rent/1000</f>
        <v>9.23717988341591</v>
      </c>
      <c r="I702" s="6" t="n">
        <f aca="false">(Sens!H684+Sens!I684)/2*(1-self_build)*fac_rent/1000</f>
        <v>11.5481378557393</v>
      </c>
      <c r="J702" s="6" t="n">
        <f aca="false">(Sens!I684+Sens!J684)/2*(1-self_build)*fac_rent/1000</f>
        <v>13.0899582289108</v>
      </c>
      <c r="K702" s="6" t="n">
        <f aca="false">(Sens!J684+Sens!K684)/2*(1-self_build)*fac_rent/1000</f>
        <v>13.8897275626556</v>
      </c>
      <c r="L702" s="12" t="s">
        <v>983</v>
      </c>
    </row>
    <row r="703" customFormat="false" ht="17.15" hidden="false" customHeight="false" outlineLevel="0" collapsed="false">
      <c r="A703" s="1" t="s">
        <v>984</v>
      </c>
      <c r="B703" s="0" t="s">
        <v>168</v>
      </c>
      <c r="D703" s="7" t="n">
        <f aca="false">(Sens!C683+Sens!D683)/(Sens!C684+Sens!D684)</f>
        <v>0.6</v>
      </c>
      <c r="E703" s="7" t="n">
        <f aca="false">(Sens!D683+Sens!E683)/(Sens!D684+Sens!E684)</f>
        <v>0.6</v>
      </c>
      <c r="F703" s="7" t="n">
        <f aca="false">(Sens!E683+Sens!F683)/(Sens!E684+Sens!F684)</f>
        <v>0.6</v>
      </c>
      <c r="G703" s="7" t="n">
        <f aca="false">(Sens!F683+Sens!G683)/(Sens!F684+Sens!G684)</f>
        <v>0.6</v>
      </c>
      <c r="H703" s="7" t="n">
        <f aca="false">(Sens!G683+Sens!H683)/(Sens!G684+Sens!H684)</f>
        <v>0.6</v>
      </c>
      <c r="I703" s="7" t="n">
        <f aca="false">(Sens!H683+Sens!I683)/(Sens!H684+Sens!I684)</f>
        <v>0.6</v>
      </c>
      <c r="J703" s="7" t="n">
        <f aca="false">(Sens!I683+Sens!J683)/(Sens!I684+Sens!J684)</f>
        <v>0.6</v>
      </c>
      <c r="K703" s="7" t="n">
        <f aca="false">(Sens!J683+Sens!K683)/(Sens!J684+Sens!K684)</f>
        <v>0.6</v>
      </c>
    </row>
    <row r="704" customFormat="false" ht="17.15" hidden="false" customHeight="false" outlineLevel="0" collapsed="false">
      <c r="A704" s="0" t="s">
        <v>985</v>
      </c>
      <c r="B704" s="0" t="s">
        <v>98</v>
      </c>
      <c r="D704" s="6" t="n">
        <f aca="false">Sens!D698-Sens!D703*(Sens!D700+Sens!D702)-Sens!D701</f>
        <v>8.35701406163072</v>
      </c>
      <c r="E704" s="6" t="n">
        <f aca="false">Sens!E698-Sens!E703*(Sens!E700+Sens!E702)-Sens!E701</f>
        <v>18.7103224860238</v>
      </c>
      <c r="F704" s="6" t="n">
        <f aca="false">Sens!F698-Sens!F703*(Sens!F700+Sens!F702)-Sens!F701</f>
        <v>34.3506969281661</v>
      </c>
      <c r="G704" s="6" t="n">
        <f aca="false">Sens!G698-Sens!G703*(Sens!G700+Sens!G702)-Sens!G701</f>
        <v>64.2027224405731</v>
      </c>
      <c r="H704" s="6" t="n">
        <f aca="false">Sens!H698-Sens!H703*(Sens!H700+Sens!H702)-Sens!H701</f>
        <v>99.7352563332463</v>
      </c>
      <c r="I704" s="6" t="n">
        <f aca="false">Sens!I698-Sens!I703*(Sens!I700+Sens!I702)-Sens!I701</f>
        <v>126.486050727185</v>
      </c>
      <c r="J704" s="6" t="n">
        <f aca="false">Sens!J698-Sens!J703*(Sens!J700+Sens!J702)-Sens!J701</f>
        <v>145.228553165541</v>
      </c>
      <c r="K704" s="6" t="n">
        <f aca="false">Sens!K698-Sens!K703*(Sens!K700+Sens!K702)-Sens!K701</f>
        <v>157.213029706206</v>
      </c>
    </row>
    <row r="705" customFormat="false" ht="17.15" hidden="false" customHeight="false" outlineLevel="0" collapsed="false">
      <c r="A705" s="1" t="s">
        <v>986</v>
      </c>
      <c r="B705" s="0" t="s">
        <v>98</v>
      </c>
      <c r="D705" s="6" t="n">
        <f aca="false">(1-Sens!D703)*(Sens!D700+Sens!D702)</f>
        <v>1.42281025374069</v>
      </c>
      <c r="E705" s="6" t="n">
        <f aca="false">(1-Sens!E703)*(Sens!E700+Sens!E702)</f>
        <v>3.25095598674472</v>
      </c>
      <c r="F705" s="6" t="n">
        <f aca="false">(1-Sens!F703)*(Sens!F700+Sens!F702)</f>
        <v>6.72135810147489</v>
      </c>
      <c r="G705" s="6" t="n">
        <f aca="false">(1-Sens!G703)*(Sens!G700+Sens!G702)</f>
        <v>11.3401410201637</v>
      </c>
      <c r="H705" s="6" t="n">
        <f aca="false">(1-Sens!H703)*(Sens!H700+Sens!H702)</f>
        <v>16.1920771049557</v>
      </c>
      <c r="I705" s="6" t="n">
        <f aca="false">(1-Sens!I703)*(Sens!I700+Sens!I702)</f>
        <v>20.3917774400264</v>
      </c>
      <c r="J705" s="6" t="n">
        <f aca="false">(1-Sens!J703)*(Sens!J700+Sens!J702)</f>
        <v>23.2503960207104</v>
      </c>
      <c r="K705" s="6" t="n">
        <f aca="false">(1-Sens!K703)*(Sens!K700+Sens!K702)</f>
        <v>24.8730801087085</v>
      </c>
    </row>
    <row r="706" customFormat="false" ht="17.15" hidden="false" customHeight="false" outlineLevel="0" collapsed="false">
      <c r="A706" s="1" t="s">
        <v>987</v>
      </c>
      <c r="B706" s="0" t="s">
        <v>414</v>
      </c>
      <c r="C706" s="8" t="n">
        <f aca="false">cxit_open</f>
        <v>27.5918995</v>
      </c>
      <c r="D706" s="8" t="n">
        <f aca="false">cxit_open</f>
        <v>27.5918995</v>
      </c>
      <c r="E706" s="8" t="n">
        <f aca="false">cxit_open</f>
        <v>27.5918995</v>
      </c>
      <c r="F706" s="8" t="n">
        <f aca="false">((a_g3_27-nonnv*a_mai)*tk_cxit_gb300+nonnv*a_mai*nv_hold_mai*tk_cxit_vr200+(1-a_g3_27)*tk_cxit_vr200)</f>
        <v>32.4975576</v>
      </c>
      <c r="G706" s="8" t="n">
        <f aca="false">((a_g3_28-nonnv*a_mai)*tk_cxit_gb300+nonnv*a_mai*nv_hold_mai*tk_cxit_vr200+(1-a_g3_28)*tk_cxit_vr200)</f>
        <v>34.6372088</v>
      </c>
      <c r="H706" s="8" t="n">
        <f aca="false">((a_g3_29-nonnv*a_mai)*tk_cxit_gb300+nonnv*a_mai*nv_hold_mai*tk_cxit_vr200+(1-a_g3_29)*tk_cxit_vr200)</f>
        <v>35.7070344</v>
      </c>
      <c r="I706" s="8" t="n">
        <f aca="false">((a_g3_29-nonnv*a_mai)*tk_cxit_gb300+nonnv*a_mai*nv_hold_mai*tk_cxit_vr200+(1-a_g3_29)*tk_cxit_vr200)</f>
        <v>35.7070344</v>
      </c>
      <c r="J706" s="8" t="n">
        <f aca="false">((a_g3_29-nonnv*a_mai)*tk_cxit_gb300+nonnv*a_mai*nv_hold_mai*tk_cxit_vr200+(1-a_g3_29)*tk_cxit_vr200)</f>
        <v>35.7070344</v>
      </c>
      <c r="K706" s="8" t="n">
        <f aca="false">((a_g3_29-nonnv*a_mai)*tk_cxit_gb300+nonnv*a_mai*nv_hold_mai*tk_cxit_vr200+(1-a_g3_29)*tk_cxit_vr200)</f>
        <v>35.7070344</v>
      </c>
      <c r="L706" s="12" t="s">
        <v>988</v>
      </c>
    </row>
    <row r="707" customFormat="false" ht="17.15" hidden="false" customHeight="false" outlineLevel="0" collapsed="false">
      <c r="A707" s="0" t="s">
        <v>989</v>
      </c>
      <c r="B707" s="0" t="s">
        <v>456</v>
      </c>
      <c r="F707" s="30" t="n">
        <f aca="false">Sens!C686*IF(Sens!F679-Sens!C679=life_it,1,0)+Sens!D686*IF(Sens!F679-Sens!D679=life_it,1,0)+Sens!E686*IF(Sens!F679-Sens!E679=life_it,1,0)</f>
        <v>0</v>
      </c>
      <c r="G707" s="30" t="n">
        <f aca="false">Sens!C686*IF(Sens!G679-Sens!C679=life_it,1,0)+Sens!D686*IF(Sens!G679-Sens!D679=life_it,1,0)+Sens!E686*IF(Sens!G679-Sens!E679=life_it,1,0)+Sens!F686*IF(Sens!G679-Sens!F679=life_it,1,0)</f>
        <v>0</v>
      </c>
      <c r="H707" s="30" t="n">
        <f aca="false">Sens!C686*IF(Sens!H679-Sens!C679=life_it,1,0)+Sens!D686*IF(Sens!H679-Sens!D679=life_it,1,0)+Sens!E686*IF(Sens!H679-Sens!E679=life_it,1,0)+Sens!F686*IF(Sens!H679-Sens!F679=life_it,1,0)+Sens!G686*IF(Sens!H679-Sens!G679=life_it,1,0)</f>
        <v>0</v>
      </c>
      <c r="I707" s="30" t="n">
        <f aca="false">Sens!C686*IF(Sens!I679-Sens!C679=life_it,1,0)+Sens!D686*IF(Sens!I679-Sens!D679=life_it,1,0)+Sens!E686*IF(Sens!I679-Sens!E679=life_it,1,0)+Sens!F686*IF(Sens!I679-Sens!F679=life_it,1,0)+Sens!G686*IF(Sens!I679-Sens!G679=life_it,1,0)+Sens!H686*IF(Sens!I679-Sens!H679=life_it,1,0)</f>
        <v>816.666666666667</v>
      </c>
      <c r="J707" s="30" t="n">
        <f aca="false">Sens!C686*IF(Sens!J679-Sens!C679=life_it,1,0)+Sens!D686*IF(Sens!J679-Sens!D679=life_it,1,0)+Sens!E686*IF(Sens!J679-Sens!E679=life_it,1,0)+Sens!F686*IF(Sens!J679-Sens!F679=life_it,1,0)+Sens!G686*IF(Sens!J679-Sens!G679=life_it,1,0)+Sens!H686*IF(Sens!J679-Sens!H679=life_it,1,0)+Sens!I686*IF(Sens!J679-Sens!I679=life_it,1,0)</f>
        <v>1233.33333333333</v>
      </c>
      <c r="K707" s="30" t="n">
        <f aca="false">Sens!C686*IF(Sens!K679-Sens!C679=life_it,1,0)+Sens!D686*IF(Sens!K679-Sens!D679=life_it,1,0)+Sens!E686*IF(Sens!K679-Sens!E679=life_it,1,0)+Sens!F686*IF(Sens!K679-Sens!F679=life_it,1,0)+Sens!G686*IF(Sens!K679-Sens!G679=life_it,1,0)+Sens!H686*IF(Sens!K679-Sens!H679=life_it,1,0)+Sens!I686*IF(Sens!K679-Sens!I679=life_it,1,0)+Sens!J686*IF(Sens!K679-Sens!J679=life_it,1,0)</f>
        <v>2450</v>
      </c>
      <c r="L707" s="1" t="s">
        <v>990</v>
      </c>
    </row>
    <row r="708" customFormat="false" ht="17.15" hidden="false" customHeight="false" outlineLevel="0" collapsed="false">
      <c r="A708" s="0" t="s">
        <v>991</v>
      </c>
      <c r="B708" s="0" t="s">
        <v>98</v>
      </c>
      <c r="C708" s="6" t="n">
        <f aca="false">Sens!C686*Sens!C706/1000</f>
        <v>22.5333845916667</v>
      </c>
      <c r="D708" s="6" t="n">
        <f aca="false">Sens!D686*Sens!D706/1000</f>
        <v>34.0300093833333</v>
      </c>
      <c r="E708" s="6" t="n">
        <f aca="false">Sens!E686*Sens!E706/1000</f>
        <v>67.600153775</v>
      </c>
      <c r="F708" s="6" t="n">
        <f aca="false">(Sens!F686+Sens!F707)*Sens!F706/1000</f>
        <v>136.51872432512</v>
      </c>
      <c r="G708" s="6" t="n">
        <f aca="false">(Sens!G686+Sens!G707)*Sens!G706/1000</f>
        <v>157.399275932048</v>
      </c>
      <c r="H708" s="6" t="n">
        <f aca="false">(Sens!H686+Sens!H707)*Sens!H706/1000</f>
        <v>162.260804347512</v>
      </c>
      <c r="I708" s="6" t="n">
        <f aca="false">(Sens!I686+Sens!I707)*Sens!I706/1000</f>
        <v>144.136569485434</v>
      </c>
      <c r="J708" s="6" t="n">
        <f aca="false">(Sens!J686+Sens!J707)*Sens!J706/1000</f>
        <v>114.029037357864</v>
      </c>
      <c r="K708" s="6" t="n">
        <f aca="false">(Sens!K686+Sens!K707)*Sens!K706/1000</f>
        <v>113.437085350975</v>
      </c>
    </row>
    <row r="709" customFormat="false" ht="17.15" hidden="false" customHeight="false" outlineLevel="0" collapsed="false">
      <c r="A709" s="0" t="s">
        <v>992</v>
      </c>
      <c r="B709" s="0" t="s">
        <v>98</v>
      </c>
      <c r="C709" s="6" t="n">
        <f aca="false">Sens!C686*self_build*tk_cxfac/1000</f>
        <v>6.2083</v>
      </c>
      <c r="D709" s="6" t="n">
        <f aca="false">Sens!D686*self_build*tk_cxfac/1000</f>
        <v>9.3758</v>
      </c>
      <c r="E709" s="6" t="n">
        <f aca="false">Sens!E686*self_build*tk_cxfac/1000</f>
        <v>18.6249</v>
      </c>
      <c r="F709" s="6" t="n">
        <f aca="false">Sens!F686*self_build*tk_cxfac/1000</f>
        <v>31.935179717</v>
      </c>
      <c r="G709" s="6" t="n">
        <f aca="false">Sens!G686*self_build*tk_cxfac/1000</f>
        <v>34.545199717</v>
      </c>
      <c r="H709" s="6" t="n">
        <f aca="false">Sens!H686*self_build*tk_cxfac/1000</f>
        <v>34.545199717</v>
      </c>
      <c r="I709" s="6" t="n">
        <f aca="false">Sens!I686*self_build*tk_cxfac/1000</f>
        <v>24.4782641361767</v>
      </c>
      <c r="J709" s="6" t="n">
        <f aca="false">Sens!J686*self_build*tk_cxfac/1000</f>
        <v>14.9008938380769</v>
      </c>
      <c r="K709" s="6" t="n">
        <f aca="false">Sens!K686*self_build*tk_cxfac/1000</f>
        <v>5.52576771375761</v>
      </c>
    </row>
    <row r="710" customFormat="false" ht="17.15" hidden="false" customHeight="false" outlineLevel="0" collapsed="false">
      <c r="A710" s="0" t="s">
        <v>993</v>
      </c>
      <c r="B710" s="0" t="s">
        <v>98</v>
      </c>
      <c r="F710" s="15" t="n">
        <f aca="false">capex_floor27-Sens!F708-Sens!F709-Sens!F806</f>
        <v>-0.341768297172443</v>
      </c>
      <c r="L710" s="12" t="s">
        <v>994</v>
      </c>
    </row>
    <row r="711" customFormat="false" ht="17.15" hidden="false" customHeight="false" outlineLevel="0" collapsed="false">
      <c r="A711" s="0" t="s">
        <v>995</v>
      </c>
      <c r="B711" s="0" t="s">
        <v>98</v>
      </c>
      <c r="F711" s="6" t="n">
        <f aca="false">MAX(0,Sens!F710)</f>
        <v>0</v>
      </c>
    </row>
    <row r="712" customFormat="false" ht="17.15" hidden="false" customHeight="false" outlineLevel="0" collapsed="false">
      <c r="A712" s="0" t="s">
        <v>996</v>
      </c>
      <c r="B712" s="0" t="s">
        <v>98</v>
      </c>
      <c r="C712" s="6" t="n">
        <f aca="false">Sens!C708</f>
        <v>22.5333845916667</v>
      </c>
      <c r="D712" s="6" t="n">
        <f aca="false">Sens!D708</f>
        <v>34.0300093833333</v>
      </c>
      <c r="E712" s="6" t="n">
        <f aca="false">Sens!E708</f>
        <v>67.600153775</v>
      </c>
      <c r="F712" s="6" t="n">
        <f aca="false">Sens!F708</f>
        <v>136.51872432512</v>
      </c>
      <c r="G712" s="6" t="n">
        <f aca="false">Sens!G708</f>
        <v>157.399275932048</v>
      </c>
      <c r="H712" s="6" t="n">
        <f aca="false">Sens!H708</f>
        <v>162.260804347512</v>
      </c>
      <c r="I712" s="6" t="n">
        <f aca="false">Sens!I708</f>
        <v>144.136569485434</v>
      </c>
      <c r="J712" s="6" t="n">
        <f aca="false">Sens!J708</f>
        <v>114.029037357864</v>
      </c>
      <c r="K712" s="6" t="n">
        <f aca="false">Sens!K708</f>
        <v>113.437085350975</v>
      </c>
    </row>
    <row r="713" customFormat="false" ht="17.15" hidden="false" customHeight="false" outlineLevel="0" collapsed="false">
      <c r="A713" s="0" t="s">
        <v>997</v>
      </c>
      <c r="B713" s="0" t="s">
        <v>98</v>
      </c>
      <c r="C713" s="6" t="n">
        <f aca="false">Sens!C712+Sens!C709</f>
        <v>28.7416845916667</v>
      </c>
      <c r="D713" s="6" t="n">
        <f aca="false">Sens!D712+Sens!D709</f>
        <v>43.4058093833333</v>
      </c>
      <c r="E713" s="6" t="n">
        <f aca="false">Sens!E712+Sens!E709</f>
        <v>86.225053775</v>
      </c>
      <c r="F713" s="6" t="n">
        <f aca="false">Sens!F712+Sens!F709</f>
        <v>168.45390404212</v>
      </c>
      <c r="G713" s="6" t="n">
        <f aca="false">Sens!G712+Sens!G709</f>
        <v>191.944475649048</v>
      </c>
      <c r="H713" s="6" t="n">
        <f aca="false">Sens!H712+Sens!H709</f>
        <v>196.806004064512</v>
      </c>
      <c r="I713" s="6" t="n">
        <f aca="false">Sens!I712+Sens!I709</f>
        <v>168.61483362161</v>
      </c>
      <c r="J713" s="6" t="n">
        <f aca="false">Sens!J712+Sens!J709</f>
        <v>128.92993119594</v>
      </c>
      <c r="K713" s="6" t="n">
        <f aca="false">Sens!K712+Sens!K709</f>
        <v>118.962853064733</v>
      </c>
      <c r="L713" s="12" t="s">
        <v>998</v>
      </c>
    </row>
    <row r="714" customFormat="false" ht="17.15" hidden="false" customHeight="false" outlineLevel="0" collapsed="false">
      <c r="A714" s="0" t="s">
        <v>999</v>
      </c>
      <c r="B714" s="0" t="s">
        <v>98</v>
      </c>
      <c r="E714" s="6" t="n">
        <f aca="false">(Sens!C712*IF(2&lt;life_it,1,IF(2=life_it,0.5,0))+Sens!D712*IF(1&lt;life_it,1,IF(1=life_it,0.5,0))+Sens!E712*0.5)/life_it</f>
        <v>15.0605784770833</v>
      </c>
      <c r="F714" s="6" t="n">
        <f aca="false">(Sens!C712*IF(3&lt;life_it,1,IF(3=life_it,0.5,0))+Sens!D712*IF(2&lt;life_it,1,IF(2=life_it,0.5,0))+Sens!E712*IF(1&lt;life_it,1,IF(1=life_it,0.5,0))+Sens!F712*0.5)/life_it</f>
        <v>32.0704849854266</v>
      </c>
      <c r="G714" s="6" t="n">
        <f aca="false">(Sens!C712*IF(4&lt;life_it,1,IF(4=life_it,0.5,0))+Sens!D712*IF(3&lt;life_it,1,IF(3=life_it,0.5,0))+Sens!E712*IF(2&lt;life_it,1,IF(2=life_it,0.5,0))+Sens!F712*IF(1&lt;life_it,1,IF(1=life_it,0.5,0))+Sens!G712*0.5)/life_it</f>
        <v>56.5636516735239</v>
      </c>
      <c r="H714" s="6" t="n">
        <f aca="false">(Sens!C712*IF(5&lt;life_it,1,IF(5=life_it,0.5,0))+Sens!D712*IF(4&lt;life_it,1,IF(4=life_it,0.5,0))+Sens!E712*IF(3&lt;life_it,1,IF(3=life_it,0.5,0))+Sens!F712*IF(2&lt;life_it,1,IF(2=life_it,0.5,0))+Sens!G712*IF(1&lt;life_it,1,IF(1=life_it,0.5,0))+Sens!H712*0.5)/life_it</f>
        <v>83.2019916968207</v>
      </c>
      <c r="I714" s="6" t="n">
        <f aca="false">(Sens!C712*IF(6&lt;life_it,1,IF(6=life_it,0.5,0))+Sens!D712*IF(5&lt;life_it,1,IF(5=life_it,0.5,0))+Sens!E712*IF(4&lt;life_it,1,IF(4=life_it,0.5,0))+Sens!F712*IF(3&lt;life_it,1,IF(3=life_it,0.5,0))+Sens!G712*IF(2&lt;life_it,1,IF(2=life_it,0.5,0))+Sens!H712*IF(1&lt;life_it,1,IF(1=life_it,0.5,0))+Sens!I712*0.5)/life_it</f>
        <v>106.857324133594</v>
      </c>
      <c r="J714" s="6" t="n">
        <f aca="false">(Sens!C712*IF(7&lt;life_it,1,IF(7=life_it,0.5,0))+Sens!D712*IF(6&lt;life_it,1,IF(6=life_it,0.5,0))+Sens!E712*IF(5&lt;life_it,1,IF(5=life_it,0.5,0))+Sens!F712*IF(4&lt;life_it,1,IF(4=life_it,0.5,0))+Sens!G712*IF(3&lt;life_it,1,IF(3=life_it,0.5,0))+Sens!H712*IF(2&lt;life_it,1,IF(2=life_it,0.5,0))+Sens!I712*IF(1&lt;life_it,1,IF(1=life_it,0.5,0))+Sens!J712*0.5)/life_it</f>
        <v>123.657508539285</v>
      </c>
      <c r="K714" s="6" t="n">
        <f aca="false">(Sens!C712*IF(8&lt;life_it,1,IF(8=life_it,0.5,0))+Sens!D712*IF(7&lt;life_it,1,IF(7=life_it,0.5,0))+Sens!E712*IF(6&lt;life_it,1,IF(6=life_it,0.5,0))+Sens!F712*IF(5&lt;life_it,1,IF(5=life_it,0.5,0))+Sens!G712*IF(4&lt;life_it,1,IF(4=life_it,0.5,0))+Sens!H712*IF(3&lt;life_it,1,IF(3=life_it,0.5,0))+Sens!I712*IF(2&lt;life_it,1,IF(2=life_it,0.5,0))+Sens!J712*IF(1&lt;life_it,1,IF(1=life_it,0.5,0))+Sens!K712*0.5)/life_it</f>
        <v>134.143838501827</v>
      </c>
    </row>
    <row r="715" customFormat="false" ht="17.15" hidden="false" customHeight="false" outlineLevel="0" collapsed="false">
      <c r="A715" s="0" t="s">
        <v>1000</v>
      </c>
      <c r="B715" s="0" t="s">
        <v>98</v>
      </c>
      <c r="E715" s="6" t="n">
        <f aca="false">(Sens!C709*IF(2&lt;life_fac,1,IF(2=life_fac,0.5,0))+Sens!D709*IF(1&lt;life_fac,1,IF(1=life_fac,0.5,0))+Sens!E709*0.5)/life_fac</f>
        <v>1.2448275</v>
      </c>
      <c r="F715" s="6" t="n">
        <f aca="false">(Sens!C709*IF(3&lt;life_fac,1,IF(3=life_fac,0.5,0))+Sens!D709*IF(2&lt;life_fac,1,IF(2=life_fac,0.5,0))+Sens!E709*IF(1&lt;life_fac,1,IF(1=life_fac,0.5,0))+Sens!F709*0.5)/life_fac</f>
        <v>2.508829492925</v>
      </c>
      <c r="G715" s="6" t="n">
        <f aca="false">(Sens!C709*IF(4&lt;life_fac,1,IF(4=life_fac,0.5,0))+Sens!D709*IF(3&lt;life_fac,1,IF(3=life_fac,0.5,0))+Sens!E709*IF(2&lt;life_fac,1,IF(2=life_fac,0.5,0))+Sens!F709*IF(1&lt;life_fac,1,IF(1=life_fac,0.5,0))+Sens!G709*0.5)/life_fac</f>
        <v>4.170838978775</v>
      </c>
      <c r="H715" s="6" t="n">
        <f aca="false">(Sens!C709*IF(5&lt;life_fac,1,IF(5=life_fac,0.5,0))+Sens!D709*IF(4&lt;life_fac,1,IF(4=life_fac,0.5,0))+Sens!E709*IF(3&lt;life_fac,1,IF(3=life_fac,0.5,0))+Sens!F709*IF(2&lt;life_fac,1,IF(2=life_fac,0.5,0))+Sens!G709*IF(1&lt;life_fac,1,IF(1=life_fac,0.5,0))+Sens!H709*0.5)/life_fac</f>
        <v>5.898098964625</v>
      </c>
      <c r="I715" s="6" t="n">
        <f aca="false">(Sens!C709*IF(6&lt;life_fac,1,IF(6=life_fac,0.5,0))+Sens!D709*IF(5&lt;life_fac,1,IF(5=life_fac,0.5,0))+Sens!E709*IF(4&lt;life_fac,1,IF(4=life_fac,0.5,0))+Sens!F709*IF(3&lt;life_fac,1,IF(3=life_fac,0.5,0))+Sens!G709*IF(2&lt;life_fac,1,IF(2=life_fac,0.5,0))+Sens!H709*IF(1&lt;life_fac,1,IF(1=life_fac,0.5,0))+Sens!I709*0.5)/life_fac</f>
        <v>7.37368556095442</v>
      </c>
      <c r="J715" s="6" t="n">
        <f aca="false">(Sens!C709*IF(7&lt;life_fac,1,IF(7=life_fac,0.5,0))+Sens!D709*IF(6&lt;life_fac,1,IF(6=life_fac,0.5,0))+Sens!E709*IF(5&lt;life_fac,1,IF(5=life_fac,0.5,0))+Sens!F709*IF(4&lt;life_fac,1,IF(4=life_fac,0.5,0))+Sens!G709*IF(3&lt;life_fac,1,IF(3=life_fac,0.5,0))+Sens!H709*IF(2&lt;life_fac,1,IF(2=life_fac,0.5,0))+Sens!I709*IF(1&lt;life_fac,1,IF(1=life_fac,0.5,0))+Sens!J709*0.5)/life_fac</f>
        <v>8.35816451031075</v>
      </c>
      <c r="K715" s="6" t="n">
        <f aca="false">(Sens!C709*IF(8&lt;life_fac,1,IF(8=life_fac,0.5,0))+Sens!D709*IF(7&lt;life_fac,1,IF(7=life_fac,0.5,0))+Sens!E709*IF(6&lt;life_fac,1,IF(6=life_fac,0.5,0))+Sens!F709*IF(5&lt;life_fac,1,IF(5=life_fac,0.5,0))+Sens!G709*IF(4&lt;life_fac,1,IF(4=life_fac,0.5,0))+Sens!H709*IF(3&lt;life_fac,1,IF(3=life_fac,0.5,0))+Sens!I709*IF(2&lt;life_fac,1,IF(2=life_fac,0.5,0))+Sens!J709*IF(1&lt;life_fac,1,IF(1=life_fac,0.5,0))+Sens!K709*0.5)/life_fac</f>
        <v>8.86883104910662</v>
      </c>
    </row>
    <row r="716" customFormat="false" ht="17.15" hidden="false" customHeight="false" outlineLevel="0" collapsed="false">
      <c r="A716" s="0" t="s">
        <v>1001</v>
      </c>
      <c r="B716" s="0" t="s">
        <v>98</v>
      </c>
      <c r="E716" s="6" t="n">
        <f aca="false">Sens!E714+Sens!E715</f>
        <v>16.3054059770833</v>
      </c>
      <c r="F716" s="6" t="n">
        <f aca="false">Sens!F714+Sens!F715</f>
        <v>34.5793144783516</v>
      </c>
      <c r="G716" s="6" t="n">
        <f aca="false">Sens!G714+Sens!G715</f>
        <v>60.7344906522989</v>
      </c>
      <c r="H716" s="6" t="n">
        <f aca="false">Sens!H714+Sens!H715</f>
        <v>89.1000906614457</v>
      </c>
      <c r="I716" s="6" t="n">
        <f aca="false">Sens!I714+Sens!I715</f>
        <v>114.231009694548</v>
      </c>
      <c r="J716" s="6" t="n">
        <f aca="false">Sens!J714+Sens!J715</f>
        <v>132.015673049596</v>
      </c>
      <c r="K716" s="6" t="n">
        <f aca="false">Sens!K714+Sens!K715</f>
        <v>143.012669550934</v>
      </c>
    </row>
    <row r="717" customFormat="false" ht="17.15" hidden="false" customHeight="false" outlineLevel="0" collapsed="false">
      <c r="A717" s="0" t="s">
        <v>1002</v>
      </c>
      <c r="B717" s="0" t="s">
        <v>98</v>
      </c>
      <c r="E717" s="6" t="n">
        <f aca="false">Sens!E704-Sens!E703*Sens!E716</f>
        <v>8.92707889977379</v>
      </c>
      <c r="F717" s="6" t="n">
        <f aca="false">Sens!F704-Sens!F703*Sens!F716</f>
        <v>13.6031082411551</v>
      </c>
      <c r="G717" s="6" t="n">
        <f aca="false">Sens!G704-Sens!G703*Sens!G716</f>
        <v>27.7620280491937</v>
      </c>
      <c r="H717" s="6" t="n">
        <f aca="false">Sens!H704-Sens!H703*Sens!H716</f>
        <v>46.2752019363789</v>
      </c>
      <c r="I717" s="6" t="n">
        <f aca="false">Sens!I704-Sens!I703*Sens!I716</f>
        <v>57.9474449104558</v>
      </c>
      <c r="J717" s="6" t="n">
        <f aca="false">Sens!J704-Sens!J703*Sens!J716</f>
        <v>66.0191493357837</v>
      </c>
      <c r="K717" s="6" t="n">
        <f aca="false">Sens!K704-Sens!K703*Sens!K716</f>
        <v>71.4054279756453</v>
      </c>
    </row>
    <row r="718" customFormat="false" ht="17.15" hidden="false" customHeight="false" outlineLevel="0" collapsed="false">
      <c r="A718" s="3" t="s">
        <v>1496</v>
      </c>
    </row>
    <row r="719" customFormat="false" ht="15" hidden="false" customHeight="false" outlineLevel="0" collapsed="false">
      <c r="A719" s="4" t="s">
        <v>43</v>
      </c>
      <c r="B719" s="4" t="s">
        <v>65</v>
      </c>
      <c r="C719" s="23" t="s">
        <v>938</v>
      </c>
      <c r="D719" s="23" t="s">
        <v>939</v>
      </c>
      <c r="E719" s="23" t="s">
        <v>940</v>
      </c>
      <c r="F719" s="23" t="s">
        <v>941</v>
      </c>
      <c r="G719" s="23" t="s">
        <v>942</v>
      </c>
      <c r="H719" s="23" t="s">
        <v>943</v>
      </c>
      <c r="I719" s="23" t="s">
        <v>944</v>
      </c>
      <c r="J719" s="23" t="s">
        <v>945</v>
      </c>
      <c r="K719" s="23" t="s">
        <v>946</v>
      </c>
      <c r="L719" s="4" t="s">
        <v>47</v>
      </c>
    </row>
    <row r="720" customFormat="false" ht="17.15" hidden="false" customHeight="false" outlineLevel="0" collapsed="false">
      <c r="A720" s="0" t="s">
        <v>1021</v>
      </c>
      <c r="B720" s="0" t="s">
        <v>98</v>
      </c>
      <c r="D720" s="6" t="n">
        <f aca="false">Sens!D698</f>
        <v>12.9359794422418</v>
      </c>
      <c r="E720" s="6" t="n">
        <f aca="false">Sens!E698</f>
        <v>27.8095064661409</v>
      </c>
      <c r="F720" s="6" t="n">
        <f aca="false">Sens!F698</f>
        <v>50.2379040803784</v>
      </c>
      <c r="G720" s="6" t="n">
        <f aca="false">Sens!G698</f>
        <v>87.9337739708187</v>
      </c>
      <c r="H720" s="6" t="n">
        <f aca="false">Sens!H698</f>
        <v>130.74421199068</v>
      </c>
      <c r="I720" s="6" t="n">
        <f aca="false">Sens!I698</f>
        <v>163.794556887224</v>
      </c>
      <c r="J720" s="6" t="n">
        <f aca="false">Sens!J698</f>
        <v>186.824987196607</v>
      </c>
      <c r="K720" s="6" t="n">
        <f aca="false">Sens!K698</f>
        <v>201.243489869269</v>
      </c>
    </row>
    <row r="721" customFormat="false" ht="17.15" hidden="false" customHeight="false" outlineLevel="0" collapsed="false">
      <c r="A721" s="0" t="s">
        <v>1022</v>
      </c>
      <c r="B721" s="0" t="s">
        <v>98</v>
      </c>
      <c r="D721" s="6" t="n">
        <f aca="false">Q!L6-Sens!D720</f>
        <v>59.6740205577583</v>
      </c>
      <c r="E721" s="6" t="n">
        <f aca="false">Q!M6-Sens!E720</f>
        <v>74.1284935338591</v>
      </c>
      <c r="F721" s="6" t="n">
        <f aca="false">Q!$I$6+(Sens!F720+Sens!E721*(1+Sens!F722))*(1-Q!$E$6/Q!M6)-Sens!F720</f>
        <v>92.4333305192494</v>
      </c>
      <c r="G721" s="6" t="n">
        <f aca="false">Sens!F721*(1+Sens!G722)</f>
        <v>109.824592826883</v>
      </c>
      <c r="H721" s="6" t="n">
        <f aca="false">Sens!G721*(1+Sens!H722)</f>
        <v>127.518646203858</v>
      </c>
      <c r="I721" s="6" t="n">
        <f aca="false">Sens!H721*(1+Sens!I722)</f>
        <v>144.615661215892</v>
      </c>
      <c r="J721" s="6" t="n">
        <f aca="false">Sens!I721*(1+Sens!J722)</f>
        <v>160.094933131633</v>
      </c>
      <c r="K721" s="6" t="n">
        <f aca="false">Sens!J721*(1+Sens!K722)</f>
        <v>172.902527782164</v>
      </c>
      <c r="L721" s="12" t="s">
        <v>1023</v>
      </c>
    </row>
    <row r="722" customFormat="false" ht="15" hidden="false" customHeight="false" outlineLevel="0" collapsed="false">
      <c r="A722" s="1" t="s">
        <v>1024</v>
      </c>
      <c r="B722" s="0" t="s">
        <v>168</v>
      </c>
      <c r="E722" s="7" t="n">
        <f aca="false">Sens!E721/Sens!D721-1</f>
        <v>0.242223883039864</v>
      </c>
      <c r="F722" s="7" t="n">
        <f aca="false">Sens!$E$722+(glt_azo-Sens!$E$722)*MIN(1,(Sens!F679-base_fy)/n_conv)</f>
        <v>0.215186569199887</v>
      </c>
      <c r="G722" s="7" t="n">
        <f aca="false">Sens!$E$722+(glt_azo-Sens!$E$722)*MIN(1,(Sens!G679-base_fy)/n_conv)</f>
        <v>0.18814925535991</v>
      </c>
      <c r="H722" s="7" t="n">
        <f aca="false">Sens!$E$722+(glt_azo-Sens!$E$722)*MIN(1,(Sens!H679-base_fy)/n_conv)</f>
        <v>0.161111941519932</v>
      </c>
      <c r="I722" s="7" t="n">
        <f aca="false">Sens!$E$722+(glt_azo-Sens!$E$722)*MIN(1,(Sens!I679-base_fy)/n_conv)</f>
        <v>0.134074627679955</v>
      </c>
      <c r="J722" s="7" t="n">
        <f aca="false">Sens!$E$722+(glt_azo-Sens!$E$722)*MIN(1,(Sens!J679-base_fy)/n_conv)</f>
        <v>0.107037313839977</v>
      </c>
      <c r="K722" s="7" t="n">
        <f aca="false">Sens!$E$722+(glt_azo-Sens!$E$722)*MIN(1,(Sens!K679-base_fy)/n_conv)</f>
        <v>0.08</v>
      </c>
    </row>
    <row r="723" customFormat="false" ht="15" hidden="false" customHeight="false" outlineLevel="0" collapsed="false">
      <c r="A723" s="0" t="s">
        <v>1025</v>
      </c>
      <c r="B723" s="0" t="s">
        <v>98</v>
      </c>
      <c r="D723" s="6" t="n">
        <f aca="false">Sens!D720+Sens!D721</f>
        <v>72.61</v>
      </c>
      <c r="E723" s="6" t="n">
        <f aca="false">Sens!E720+Sens!E721</f>
        <v>101.938</v>
      </c>
      <c r="F723" s="6" t="n">
        <f aca="false">Sens!F720+Sens!F721</f>
        <v>142.671234599628</v>
      </c>
      <c r="G723" s="6" t="n">
        <f aca="false">Sens!G720+Sens!G721</f>
        <v>197.758366797701</v>
      </c>
      <c r="H723" s="6" t="n">
        <f aca="false">Sens!H720+Sens!H721</f>
        <v>258.262858194538</v>
      </c>
      <c r="I723" s="6" t="n">
        <f aca="false">Sens!I720+Sens!I721</f>
        <v>308.410218103116</v>
      </c>
      <c r="J723" s="6" t="n">
        <f aca="false">Sens!J720+Sens!J721</f>
        <v>346.91992032824</v>
      </c>
      <c r="K723" s="6" t="n">
        <f aca="false">Sens!K720+Sens!K721</f>
        <v>374.146017651432</v>
      </c>
    </row>
    <row r="724" customFormat="false" ht="17.15" hidden="false" customHeight="false" outlineLevel="0" collapsed="false">
      <c r="A724" s="0" t="s">
        <v>1026</v>
      </c>
      <c r="B724" s="1" t="s">
        <v>610</v>
      </c>
      <c r="C724" s="30" t="n">
        <f aca="false">cop_s24</f>
        <v>1</v>
      </c>
      <c r="D724" s="30" t="n">
        <f aca="false">cop_s25</f>
        <v>5</v>
      </c>
      <c r="E724" s="30" t="n">
        <f aca="false">cop_s26</f>
        <v>30</v>
      </c>
      <c r="F724" s="30" t="n">
        <f aca="false">Sens!E724+cop_add_A</f>
        <v>60</v>
      </c>
      <c r="G724" s="30" t="n">
        <f aca="false">Sens!F724+cop_add_A</f>
        <v>90</v>
      </c>
      <c r="H724" s="30" t="n">
        <f aca="false">Sens!G724+cop_add_A</f>
        <v>120</v>
      </c>
      <c r="I724" s="30" t="n">
        <f aca="false">Sens!H724+cop_add_A*cop_tail</f>
        <v>135</v>
      </c>
      <c r="J724" s="30" t="n">
        <f aca="false">Sens!I724+cop_add_A*cop_tail</f>
        <v>150</v>
      </c>
      <c r="K724" s="30" t="n">
        <f aca="false">Sens!J724+cop_add_A*cop_tail</f>
        <v>165</v>
      </c>
      <c r="L724" s="12" t="s">
        <v>1027</v>
      </c>
    </row>
    <row r="725" customFormat="false" ht="17.15" hidden="false" customHeight="false" outlineLevel="0" collapsed="false">
      <c r="A725" s="0" t="s">
        <v>1028</v>
      </c>
      <c r="B725" s="0" t="s">
        <v>98</v>
      </c>
      <c r="D725" s="6" t="n">
        <f aca="false">(Sens!C724+Sens!D724)/2*cop_px*12/1000</f>
        <v>0.9</v>
      </c>
      <c r="E725" s="6" t="n">
        <f aca="false">(Sens!D724+Sens!E724)/2*cop_px*12/1000</f>
        <v>5.25</v>
      </c>
      <c r="F725" s="6" t="n">
        <f aca="false">(Sens!E724+Sens!F724)/2*cop_px*12/1000</f>
        <v>13.5</v>
      </c>
      <c r="G725" s="6" t="n">
        <f aca="false">(Sens!F724+Sens!G724)/2*cop_px*12/1000</f>
        <v>22.5</v>
      </c>
      <c r="H725" s="6" t="n">
        <f aca="false">(Sens!G724+Sens!H724)/2*cop_px*12/1000</f>
        <v>31.5</v>
      </c>
      <c r="I725" s="6" t="n">
        <f aca="false">(Sens!H724+Sens!I724)/2*cop_px*12/1000</f>
        <v>38.25</v>
      </c>
      <c r="J725" s="6" t="n">
        <f aca="false">(Sens!I724+Sens!J724)/2*cop_px*12/1000</f>
        <v>42.75</v>
      </c>
      <c r="K725" s="6" t="n">
        <f aca="false">(Sens!J724+Sens!K724)/2*cop_px*12/1000</f>
        <v>47.25</v>
      </c>
      <c r="L725" s="1" t="s">
        <v>1029</v>
      </c>
    </row>
    <row r="726" customFormat="false" ht="17.15" hidden="false" customHeight="false" outlineLevel="0" collapsed="false">
      <c r="A726" s="0" t="s">
        <v>1030</v>
      </c>
      <c r="B726" s="0" t="s">
        <v>98</v>
      </c>
      <c r="D726" s="6" t="n">
        <f aca="false">Q!L7-Sens!D725</f>
        <v>83.705</v>
      </c>
      <c r="E726" s="6" t="n">
        <f aca="false">Q!M7-Sens!E725</f>
        <v>95.049</v>
      </c>
      <c r="F726" s="6" t="n">
        <f aca="false">Q!$I$7+(Sens!E726*(1+Sens!F727)+Sens!F725)*(1-Q!$E$7/Q!M7)-Sens!F725</f>
        <v>106.229653205718</v>
      </c>
      <c r="G726" s="6" t="n">
        <f aca="false">Sens!F726*(1+Sens!G727)</f>
        <v>118.306092647576</v>
      </c>
      <c r="H726" s="6" t="n">
        <f aca="false">Sens!G726*(1+Sens!H727)</f>
        <v>130.463437602768</v>
      </c>
      <c r="I726" s="6" t="n">
        <f aca="false">Sens!H726*(1+Sens!I727)</f>
        <v>142.445354741933</v>
      </c>
      <c r="J726" s="6" t="n">
        <f aca="false">Sens!I726*(1+Sens!J727)</f>
        <v>153.972117481571</v>
      </c>
      <c r="K726" s="6" t="n">
        <f aca="false">Sens!J726*(1+Sens!K727)</f>
        <v>164.75016570528</v>
      </c>
      <c r="L726" s="12" t="s">
        <v>1031</v>
      </c>
    </row>
    <row r="727" customFormat="false" ht="15" hidden="false" customHeight="false" outlineLevel="0" collapsed="false">
      <c r="A727" s="1" t="s">
        <v>1024</v>
      </c>
      <c r="B727" s="0" t="s">
        <v>168</v>
      </c>
      <c r="E727" s="7" t="n">
        <f aca="false">Sens!E726/Sens!D726-1</f>
        <v>0.135523564900544</v>
      </c>
      <c r="F727" s="7" t="n">
        <f aca="false">Sens!$E$727+(glt_m365b-Sens!$E$727)*MIN(1,(Sens!F679-base_fy)/n_conv)</f>
        <v>0.124602970750453</v>
      </c>
      <c r="G727" s="7" t="n">
        <f aca="false">Sens!$E$727+(glt_m365b-Sens!$E$727)*MIN(1,(Sens!G679-base_fy)/n_conv)</f>
        <v>0.113682376600363</v>
      </c>
      <c r="H727" s="7" t="n">
        <f aca="false">Sens!$E$727+(glt_m365b-Sens!$E$727)*MIN(1,(Sens!H679-base_fy)/n_conv)</f>
        <v>0.102761782450272</v>
      </c>
      <c r="I727" s="7" t="n">
        <f aca="false">Sens!$E$727+(glt_m365b-Sens!$E$727)*MIN(1,(Sens!I679-base_fy)/n_conv)</f>
        <v>0.0918411883001813</v>
      </c>
      <c r="J727" s="7" t="n">
        <f aca="false">Sens!$E$727+(glt_m365b-Sens!$E$727)*MIN(1,(Sens!J679-base_fy)/n_conv)</f>
        <v>0.0809205941500906</v>
      </c>
      <c r="K727" s="7" t="n">
        <f aca="false">Sens!$E$727+(glt_m365b-Sens!$E$727)*MIN(1,(Sens!K679-base_fy)/n_conv)</f>
        <v>0.07</v>
      </c>
    </row>
    <row r="728" customFormat="false" ht="15" hidden="false" customHeight="false" outlineLevel="0" collapsed="false">
      <c r="A728" s="0" t="s">
        <v>1032</v>
      </c>
      <c r="B728" s="0" t="s">
        <v>98</v>
      </c>
      <c r="D728" s="6" t="n">
        <f aca="false">Sens!D726+Sens!D725</f>
        <v>84.605</v>
      </c>
      <c r="E728" s="6" t="n">
        <f aca="false">Sens!E726+Sens!E725</f>
        <v>100.299</v>
      </c>
      <c r="F728" s="6" t="n">
        <f aca="false">Sens!F726+Sens!F725</f>
        <v>119.729653205718</v>
      </c>
      <c r="G728" s="6" t="n">
        <f aca="false">Sens!G726+Sens!G725</f>
        <v>140.806092647576</v>
      </c>
      <c r="H728" s="6" t="n">
        <f aca="false">Sens!H726+Sens!H725</f>
        <v>161.963437602768</v>
      </c>
      <c r="I728" s="6" t="n">
        <f aca="false">Sens!I726+Sens!I725</f>
        <v>180.695354741933</v>
      </c>
      <c r="J728" s="6" t="n">
        <f aca="false">Sens!J726+Sens!J725</f>
        <v>196.722117481571</v>
      </c>
      <c r="K728" s="6" t="n">
        <f aca="false">Sens!K726+Sens!K725</f>
        <v>212.00016570528</v>
      </c>
    </row>
    <row r="729" customFormat="false" ht="17.15" hidden="false" customHeight="false" outlineLevel="0" collapsed="false">
      <c r="A729" s="0" t="s">
        <v>1033</v>
      </c>
      <c r="B729" s="0" t="s">
        <v>98</v>
      </c>
      <c r="D729" s="6" t="n">
        <f aca="false">Q!L8</f>
        <v>35.391</v>
      </c>
      <c r="E729" s="6" t="n">
        <f aca="false">Q!M8</f>
        <v>37.285</v>
      </c>
      <c r="F729" s="6" t="n">
        <f aca="false">Q!$I$8+(Q!M8-Q!$E$8)*(1+Sens!F730)</f>
        <v>38.3851437782675</v>
      </c>
      <c r="G729" s="6" t="n">
        <f aca="false">Sens!F729*(1+Sens!G730)</f>
        <v>40.0105353288615</v>
      </c>
      <c r="H729" s="6" t="n">
        <f aca="false">Sens!G729*(1+Sens!H730)</f>
        <v>41.4812512033683</v>
      </c>
      <c r="I729" s="6" t="n">
        <f aca="false">Sens!H729*(1+Sens!I730)</f>
        <v>42.7743107216329</v>
      </c>
      <c r="J729" s="6" t="n">
        <f aca="false">Sens!I729*(1+Sens!J730)</f>
        <v>43.8687373064601</v>
      </c>
      <c r="K729" s="6" t="n">
        <f aca="false">Sens!J729*(1+Sens!K730)</f>
        <v>44.7461120525893</v>
      </c>
      <c r="L729" s="12" t="s">
        <v>1034</v>
      </c>
    </row>
    <row r="730" customFormat="false" ht="15" hidden="false" customHeight="false" outlineLevel="0" collapsed="false">
      <c r="A730" s="1" t="s">
        <v>1024</v>
      </c>
      <c r="B730" s="0" t="s">
        <v>168</v>
      </c>
      <c r="E730" s="7" t="n">
        <f aca="false">Sens!E729/Sens!D729-1</f>
        <v>0.0535164307309768</v>
      </c>
      <c r="F730" s="7" t="n">
        <f aca="false">Sens!$E$730+(glt_lic-Sens!$E$730)*MIN(1,(Sens!F679-base_fy)/n_conv)</f>
        <v>0.0479303589424807</v>
      </c>
      <c r="G730" s="7" t="n">
        <f aca="false">Sens!$E$730+(glt_lic-Sens!$E$730)*MIN(1,(Sens!G679-base_fy)/n_conv)</f>
        <v>0.0423442871539845</v>
      </c>
      <c r="H730" s="7" t="n">
        <f aca="false">Sens!$E$730+(glt_lic-Sens!$E$730)*MIN(1,(Sens!H679-base_fy)/n_conv)</f>
        <v>0.0367582153654884</v>
      </c>
      <c r="I730" s="7" t="n">
        <f aca="false">Sens!$E$730+(glt_lic-Sens!$E$730)*MIN(1,(Sens!I679-base_fy)/n_conv)</f>
        <v>0.0311721435769923</v>
      </c>
      <c r="J730" s="7" t="n">
        <f aca="false">Sens!$E$730+(glt_lic-Sens!$E$730)*MIN(1,(Sens!J679-base_fy)/n_conv)</f>
        <v>0.0255860717884961</v>
      </c>
      <c r="K730" s="7" t="n">
        <f aca="false">Sens!$E$730+(glt_lic-Sens!$E$730)*MIN(1,(Sens!K679-base_fy)/n_conv)</f>
        <v>0.02</v>
      </c>
    </row>
    <row r="731" customFormat="false" ht="17.15" hidden="false" customHeight="false" outlineLevel="0" collapsed="false">
      <c r="A731" s="0" t="s">
        <v>1035</v>
      </c>
      <c r="B731" s="0" t="s">
        <v>98</v>
      </c>
      <c r="D731" s="6" t="n">
        <f aca="false">Q!L9</f>
        <v>18.417</v>
      </c>
      <c r="E731" s="6" t="n">
        <f aca="false">Q!M9</f>
        <v>20.345</v>
      </c>
      <c r="F731" s="6" t="n">
        <f aca="false">Q!$I$9+(Q!M9-Q!$E$9)*(1+Sens!F732)</f>
        <v>22.3161797133988</v>
      </c>
      <c r="G731" s="6" t="n">
        <f aca="false">Sens!F731*(1+Sens!G732)</f>
        <v>24.3943499673233</v>
      </c>
      <c r="H731" s="6" t="n">
        <f aca="false">Sens!G731*(1+Sens!H732)</f>
        <v>26.5250243109019</v>
      </c>
      <c r="I731" s="6" t="n">
        <f aca="false">Sens!H731*(1+Sens!I732)</f>
        <v>28.6884573538181</v>
      </c>
      <c r="J731" s="6" t="n">
        <f aca="false">Sens!I731*(1+Sens!J732)</f>
        <v>30.8624968052127</v>
      </c>
      <c r="K731" s="6" t="n">
        <f aca="false">Sens!J731*(1+Sens!K732)</f>
        <v>33.0228715815776</v>
      </c>
      <c r="L731" s="12" t="s">
        <v>1034</v>
      </c>
    </row>
    <row r="732" customFormat="false" ht="15" hidden="false" customHeight="false" outlineLevel="0" collapsed="false">
      <c r="A732" s="1" t="s">
        <v>1024</v>
      </c>
      <c r="B732" s="0" t="s">
        <v>168</v>
      </c>
      <c r="E732" s="7" t="n">
        <f aca="false">Sens!E731/Sens!D731-1</f>
        <v>0.104685888038225</v>
      </c>
      <c r="F732" s="7" t="n">
        <f aca="false">Sens!$E$732+(glt_ind-Sens!$E$732)*MIN(1,(Sens!F679-base_fy)/n_conv)</f>
        <v>0.0989049066985211</v>
      </c>
      <c r="G732" s="7" t="n">
        <f aca="false">Sens!$E$732+(glt_ind-Sens!$E$732)*MIN(1,(Sens!G679-base_fy)/n_conv)</f>
        <v>0.0931239253588169</v>
      </c>
      <c r="H732" s="7" t="n">
        <f aca="false">Sens!$E$732+(glt_ind-Sens!$E$732)*MIN(1,(Sens!H679-base_fy)/n_conv)</f>
        <v>0.0873429440191127</v>
      </c>
      <c r="I732" s="7" t="n">
        <f aca="false">Sens!$E$732+(glt_ind-Sens!$E$732)*MIN(1,(Sens!I679-base_fy)/n_conv)</f>
        <v>0.0815619626794085</v>
      </c>
      <c r="J732" s="7" t="n">
        <f aca="false">Sens!$E$732+(glt_ind-Sens!$E$732)*MIN(1,(Sens!J679-base_fy)/n_conv)</f>
        <v>0.0757809813397042</v>
      </c>
      <c r="K732" s="7" t="n">
        <f aca="false">Sens!$E$732+(glt_ind-Sens!$E$732)*MIN(1,(Sens!K679-base_fy)/n_conv)</f>
        <v>0.07</v>
      </c>
    </row>
    <row r="733" customFormat="false" ht="17.15" hidden="false" customHeight="false" outlineLevel="0" collapsed="false">
      <c r="A733" s="0" t="s">
        <v>1036</v>
      </c>
      <c r="B733" s="0" t="s">
        <v>98</v>
      </c>
      <c r="D733" s="6" t="n">
        <f aca="false">Q!L10</f>
        <v>7.76</v>
      </c>
      <c r="E733" s="6" t="n">
        <f aca="false">Q!M10</f>
        <v>8.26</v>
      </c>
      <c r="F733" s="6" t="n">
        <f aca="false">Q!$I$10+(Q!M10-Q!$E$10)*(1+Sens!F734)</f>
        <v>8.75372082474227</v>
      </c>
      <c r="G733" s="6" t="n">
        <f aca="false">Sens!F733*(1+Sens!G734)</f>
        <v>9.33399324642364</v>
      </c>
      <c r="H733" s="6" t="n">
        <f aca="false">Sens!G733*(1+Sens!H734)</f>
        <v>9.96139155535851</v>
      </c>
      <c r="I733" s="6" t="n">
        <f aca="false">Sens!H733*(1+Sens!I734)</f>
        <v>10.6402039077391</v>
      </c>
      <c r="J733" s="6" t="n">
        <f aca="false">Sens!I733*(1+Sens!J734)</f>
        <v>11.3751458271397</v>
      </c>
      <c r="K733" s="6" t="n">
        <f aca="false">Sens!J733*(1+Sens!K734)</f>
        <v>12.1714060350394</v>
      </c>
      <c r="L733" s="12" t="s">
        <v>1034</v>
      </c>
    </row>
    <row r="734" customFormat="false" ht="15" hidden="false" customHeight="false" outlineLevel="0" collapsed="false">
      <c r="A734" s="1" t="s">
        <v>1024</v>
      </c>
      <c r="B734" s="0" t="s">
        <v>168</v>
      </c>
      <c r="E734" s="7" t="n">
        <f aca="false">Sens!E733/Sens!D733-1</f>
        <v>0.0644329896907216</v>
      </c>
      <c r="F734" s="7" t="n">
        <f aca="false">Sens!$E$734+(glt_fro-Sens!$E$734)*MIN(1,(Sens!F679-base_fy)/n_conv)</f>
        <v>0.065360824742268</v>
      </c>
      <c r="G734" s="7" t="n">
        <f aca="false">Sens!$E$734+(glt_fro-Sens!$E$734)*MIN(1,(Sens!G679-base_fy)/n_conv)</f>
        <v>0.0662886597938144</v>
      </c>
      <c r="H734" s="7" t="n">
        <f aca="false">Sens!$E$734+(glt_fro-Sens!$E$734)*MIN(1,(Sens!H679-base_fy)/n_conv)</f>
        <v>0.0672164948453608</v>
      </c>
      <c r="I734" s="7" t="n">
        <f aca="false">Sens!$E$734+(glt_fro-Sens!$E$734)*MIN(1,(Sens!I679-base_fy)/n_conv)</f>
        <v>0.0681443298969072</v>
      </c>
      <c r="J734" s="7" t="n">
        <f aca="false">Sens!$E$734+(glt_fro-Sens!$E$734)*MIN(1,(Sens!J679-base_fy)/n_conv)</f>
        <v>0.0690721649484536</v>
      </c>
      <c r="K734" s="7" t="n">
        <f aca="false">Sens!$E$734+(glt_fro-Sens!$E$734)*MIN(1,(Sens!K679-base_fy)/n_conv)</f>
        <v>0.07</v>
      </c>
    </row>
    <row r="735" customFormat="false" ht="15" hidden="false" customHeight="false" outlineLevel="0" collapsed="false">
      <c r="A735" s="0" t="s">
        <v>852</v>
      </c>
      <c r="B735" s="0" t="s">
        <v>98</v>
      </c>
      <c r="D735" s="6" t="n">
        <f aca="false">Sens!D723+Sens!D728+Sens!D729+Sens!D731+Sens!D733</f>
        <v>218.783</v>
      </c>
      <c r="E735" s="6" t="n">
        <f aca="false">Sens!E723+Sens!E728+Sens!E729+Sens!E731+Sens!E733</f>
        <v>268.127</v>
      </c>
      <c r="F735" s="6" t="n">
        <f aca="false">Sens!F723+Sens!F728+Sens!F729+Sens!F731+Sens!F733</f>
        <v>331.855932121754</v>
      </c>
      <c r="G735" s="6" t="n">
        <f aca="false">Sens!G723+Sens!G728+Sens!G729+Sens!G731+Sens!G733</f>
        <v>412.303337987886</v>
      </c>
      <c r="H735" s="6" t="n">
        <f aca="false">Sens!H723+Sens!H728+Sens!H729+Sens!H731+Sens!H733</f>
        <v>498.193962866934</v>
      </c>
      <c r="I735" s="6" t="n">
        <f aca="false">Sens!I723+Sens!I728+Sens!I729+Sens!I731+Sens!I733</f>
        <v>571.208544828239</v>
      </c>
      <c r="J735" s="6" t="n">
        <f aca="false">Sens!J723+Sens!J728+Sens!J729+Sens!J731+Sens!J733</f>
        <v>629.748417748623</v>
      </c>
      <c r="K735" s="6" t="n">
        <f aca="false">Sens!K723+Sens!K728+Sens!K729+Sens!K731+Sens!K733</f>
        <v>676.086573025919</v>
      </c>
    </row>
    <row r="736" customFormat="false" ht="17.15" hidden="false" customHeight="false" outlineLevel="0" collapsed="false">
      <c r="A736" s="0" t="s">
        <v>1037</v>
      </c>
      <c r="B736" s="0" t="s">
        <v>98</v>
      </c>
      <c r="D736" s="6" t="n">
        <f aca="false">Q!L13</f>
        <v>22.171</v>
      </c>
      <c r="E736" s="6" t="n">
        <f aca="false">Q!M13</f>
        <v>24.835</v>
      </c>
      <c r="F736" s="6" t="n">
        <f aca="false">Q!$I$13+(Q!M13-Q!$E$13)*(1+Sens!F737)</f>
        <v>27.5591895660247</v>
      </c>
      <c r="G736" s="6" t="n">
        <f aca="false">Sens!F736*(1+Sens!G737)</f>
        <v>30.4098563144583</v>
      </c>
      <c r="H736" s="6" t="n">
        <f aca="false">Sens!G736*(1+Sens!H737)</f>
        <v>33.3011792571777</v>
      </c>
      <c r="I736" s="6" t="n">
        <f aca="false">Sens!H736*(1+Sens!I737)</f>
        <v>36.189023797112</v>
      </c>
      <c r="J736" s="6" t="n">
        <f aca="false">Sens!I736*(1+Sens!J737)</f>
        <v>39.0247773769199</v>
      </c>
      <c r="K736" s="6" t="n">
        <f aca="false">Sens!J736*(1+Sens!K737)</f>
        <v>41.7565117933043</v>
      </c>
      <c r="L736" s="12" t="s">
        <v>1034</v>
      </c>
    </row>
    <row r="737" customFormat="false" ht="15" hidden="false" customHeight="false" outlineLevel="0" collapsed="false">
      <c r="A737" s="1" t="s">
        <v>1024</v>
      </c>
      <c r="B737" s="0" t="s">
        <v>168</v>
      </c>
      <c r="E737" s="7" t="n">
        <f aca="false">Sens!E736/Sens!D736-1</f>
        <v>0.120156961796942</v>
      </c>
      <c r="F737" s="7" t="n">
        <f aca="false">Sens!$E$737+(glt_srch-Sens!$E$737)*MIN(1,(Sens!F679-base_fy)/n_conv)</f>
        <v>0.111797468164118</v>
      </c>
      <c r="G737" s="7" t="n">
        <f aca="false">Sens!$E$737+(glt_srch-Sens!$E$737)*MIN(1,(Sens!G679-base_fy)/n_conv)</f>
        <v>0.103437974531295</v>
      </c>
      <c r="H737" s="7" t="n">
        <f aca="false">Sens!$E$737+(glt_srch-Sens!$E$737)*MIN(1,(Sens!H679-base_fy)/n_conv)</f>
        <v>0.095078480898471</v>
      </c>
      <c r="I737" s="7" t="n">
        <f aca="false">Sens!$E$737+(glt_srch-Sens!$E$737)*MIN(1,(Sens!I679-base_fy)/n_conv)</f>
        <v>0.0867189872656474</v>
      </c>
      <c r="J737" s="7" t="n">
        <f aca="false">Sens!$E$737+(glt_srch-Sens!$E$737)*MIN(1,(Sens!J679-base_fy)/n_conv)</f>
        <v>0.0783594936328237</v>
      </c>
      <c r="K737" s="7" t="n">
        <f aca="false">Sens!$E$737+(glt_srch-Sens!$E$737)*MIN(1,(Sens!K679-base_fy)/n_conv)</f>
        <v>0.07</v>
      </c>
    </row>
    <row r="738" customFormat="false" ht="17.15" hidden="false" customHeight="false" outlineLevel="0" collapsed="false">
      <c r="A738" s="0" t="s">
        <v>1038</v>
      </c>
      <c r="B738" s="0" t="s">
        <v>98</v>
      </c>
      <c r="D738" s="6" t="n">
        <f aca="false">Q!L14</f>
        <v>23.455</v>
      </c>
      <c r="E738" s="6" t="n">
        <f aca="false">Q!M14</f>
        <v>21.79</v>
      </c>
      <c r="F738" s="6" t="n">
        <f aca="false">Q!$I$14+(Q!M14-Q!$E$14)*(1+Sens!F739)</f>
        <v>20.7520981041711</v>
      </c>
      <c r="G738" s="6" t="n">
        <f aca="false">Sens!F738*(1+Sens!G739)</f>
        <v>19.9083593495882</v>
      </c>
      <c r="H738" s="6" t="n">
        <f aca="false">Sens!G738*(1+Sens!H739)</f>
        <v>19.4008256265831</v>
      </c>
      <c r="I738" s="6" t="n">
        <f aca="false">Sens!H738*(1+Sens!I739)</f>
        <v>19.200434522122</v>
      </c>
      <c r="J738" s="6" t="n">
        <f aca="false">Sens!I738*(1+Sens!J739)</f>
        <v>19.2932782348507</v>
      </c>
      <c r="K738" s="6" t="n">
        <f aca="false">Sens!J738*(1+Sens!K739)</f>
        <v>19.6791437995477</v>
      </c>
      <c r="L738" s="12" t="s">
        <v>1034</v>
      </c>
    </row>
    <row r="739" customFormat="false" ht="15" hidden="false" customHeight="false" outlineLevel="0" collapsed="false">
      <c r="A739" s="1" t="s">
        <v>1024</v>
      </c>
      <c r="B739" s="0" t="s">
        <v>168</v>
      </c>
      <c r="E739" s="7" t="n">
        <f aca="false">Sens!E738/Sens!D738-1</f>
        <v>-0.0709869963760392</v>
      </c>
      <c r="F739" s="7" t="n">
        <f aca="false">Sens!$E$739+(glt_xbox-Sens!$E$739)*MIN(1,(Sens!F679-base_fy)/n_conv)</f>
        <v>-0.0558224969800327</v>
      </c>
      <c r="G739" s="7" t="n">
        <f aca="false">Sens!$E$739+(glt_xbox-Sens!$E$739)*MIN(1,(Sens!G679-base_fy)/n_conv)</f>
        <v>-0.0406579975840262</v>
      </c>
      <c r="H739" s="7" t="n">
        <f aca="false">Sens!$E$739+(glt_xbox-Sens!$E$739)*MIN(1,(Sens!H679-base_fy)/n_conv)</f>
        <v>-0.0254934981880196</v>
      </c>
      <c r="I739" s="7" t="n">
        <f aca="false">Sens!$E$739+(glt_xbox-Sens!$E$739)*MIN(1,(Sens!I679-base_fy)/n_conv)</f>
        <v>-0.0103289987920131</v>
      </c>
      <c r="J739" s="7" t="n">
        <f aca="false">Sens!$E$739+(glt_xbox-Sens!$E$739)*MIN(1,(Sens!J679-base_fy)/n_conv)</f>
        <v>0.00483550060399347</v>
      </c>
      <c r="K739" s="7" t="n">
        <f aca="false">Sens!$E$739+(glt_xbox-Sens!$E$739)*MIN(1,(Sens!K679-base_fy)/n_conv)</f>
        <v>0.02</v>
      </c>
    </row>
    <row r="740" customFormat="false" ht="17.15" hidden="false" customHeight="false" outlineLevel="0" collapsed="false">
      <c r="A740" s="0" t="s">
        <v>1039</v>
      </c>
      <c r="B740" s="0" t="s">
        <v>98</v>
      </c>
      <c r="D740" s="6" t="n">
        <f aca="false">Q!L15</f>
        <v>17.315</v>
      </c>
      <c r="E740" s="6" t="n">
        <f aca="false">Q!M15</f>
        <v>17.087</v>
      </c>
      <c r="F740" s="6" t="n">
        <f aca="false">Q!$I$15+(Q!M15-Q!$E$15)*(1+Sens!F741)</f>
        <v>15.9912273250553</v>
      </c>
      <c r="G740" s="6" t="n">
        <f aca="false">Sens!F740*(1+Sens!G741)</f>
        <v>15.9574562664827</v>
      </c>
      <c r="H740" s="6" t="n">
        <f aca="false">Sens!G740*(1+Sens!H741)</f>
        <v>16.0119687434196</v>
      </c>
      <c r="I740" s="6" t="n">
        <f aca="false">Sens!H740*(1+Sens!I741)</f>
        <v>16.1551810001948</v>
      </c>
      <c r="J740" s="6" t="n">
        <f aca="false">Sens!I740*(1+Sens!J741)</f>
        <v>16.3889793892005</v>
      </c>
      <c r="K740" s="6" t="n">
        <f aca="false">Sens!J740*(1+Sens!K741)</f>
        <v>16.7167589769845</v>
      </c>
      <c r="L740" s="12" t="s">
        <v>1034</v>
      </c>
    </row>
    <row r="741" customFormat="false" ht="15" hidden="false" customHeight="false" outlineLevel="0" collapsed="false">
      <c r="A741" s="1" t="s">
        <v>1024</v>
      </c>
      <c r="B741" s="0" t="s">
        <v>168</v>
      </c>
      <c r="E741" s="7" t="n">
        <f aca="false">Sens!E740/Sens!D740-1</f>
        <v>-0.0131677736066995</v>
      </c>
      <c r="F741" s="7" t="n">
        <f aca="false">Sens!$E$741+(glt_win-Sens!$E$741)*MIN(1,(Sens!F679-base_fy)/n_conv)</f>
        <v>-0.00763981133891627</v>
      </c>
      <c r="G741" s="7" t="n">
        <f aca="false">Sens!$E$741+(glt_win-Sens!$E$741)*MIN(1,(Sens!G679-base_fy)/n_conv)</f>
        <v>-0.00211184907113301</v>
      </c>
      <c r="H741" s="7" t="n">
        <f aca="false">Sens!$E$741+(glt_win-Sens!$E$741)*MIN(1,(Sens!H679-base_fy)/n_conv)</f>
        <v>0.00341611319665024</v>
      </c>
      <c r="I741" s="7" t="n">
        <f aca="false">Sens!$E$741+(glt_win-Sens!$E$741)*MIN(1,(Sens!I679-base_fy)/n_conv)</f>
        <v>0.00894407546443349</v>
      </c>
      <c r="J741" s="7" t="n">
        <f aca="false">Sens!$E$741+(glt_win-Sens!$E$741)*MIN(1,(Sens!J679-base_fy)/n_conv)</f>
        <v>0.0144720377322168</v>
      </c>
      <c r="K741" s="7" t="n">
        <f aca="false">Sens!$E$741+(glt_win-Sens!$E$741)*MIN(1,(Sens!K679-base_fy)/n_conv)</f>
        <v>0.02</v>
      </c>
    </row>
    <row r="742" customFormat="false" ht="15" hidden="false" customHeight="false" outlineLevel="0" collapsed="false">
      <c r="A742" s="0" t="s">
        <v>866</v>
      </c>
      <c r="B742" s="0" t="s">
        <v>98</v>
      </c>
      <c r="D742" s="6" t="n">
        <f aca="false">Sens!D736+Sens!D738+Sens!D740</f>
        <v>62.941</v>
      </c>
      <c r="E742" s="6" t="n">
        <f aca="false">Sens!E736+Sens!E738+Sens!E740</f>
        <v>63.712</v>
      </c>
      <c r="F742" s="6" t="n">
        <f aca="false">Sens!F736+Sens!F738+Sens!F740</f>
        <v>64.3025149952511</v>
      </c>
      <c r="G742" s="6" t="n">
        <f aca="false">Sens!G736+Sens!G738+Sens!G740</f>
        <v>66.2756719305292</v>
      </c>
      <c r="H742" s="6" t="n">
        <f aca="false">Sens!H736+Sens!H738+Sens!H740</f>
        <v>68.7139736271804</v>
      </c>
      <c r="I742" s="6" t="n">
        <f aca="false">Sens!I736+Sens!I738+Sens!I740</f>
        <v>71.5446393194289</v>
      </c>
      <c r="J742" s="6" t="n">
        <f aca="false">Sens!J736+Sens!J738+Sens!J740</f>
        <v>74.707035000971</v>
      </c>
      <c r="K742" s="6" t="n">
        <f aca="false">Sens!K736+Sens!K738+Sens!K740</f>
        <v>78.1524145698365</v>
      </c>
    </row>
    <row r="743" customFormat="false" ht="15" hidden="false" customHeight="false" outlineLevel="0" collapsed="false">
      <c r="A743" s="1" t="s">
        <v>1040</v>
      </c>
      <c r="B743" s="0" t="s">
        <v>98</v>
      </c>
      <c r="D743" s="6" t="n">
        <f aca="false">Sens!D735+Sens!D742</f>
        <v>281.724</v>
      </c>
      <c r="E743" s="6" t="n">
        <f aca="false">Sens!E735+Sens!E742</f>
        <v>331.839</v>
      </c>
      <c r="F743" s="6" t="n">
        <f aca="false">Sens!F735+Sens!F742</f>
        <v>396.158447117006</v>
      </c>
      <c r="G743" s="6" t="n">
        <f aca="false">Sens!G735+Sens!G742</f>
        <v>478.579009918415</v>
      </c>
      <c r="H743" s="6" t="n">
        <f aca="false">Sens!H735+Sens!H742</f>
        <v>566.907936494115</v>
      </c>
      <c r="I743" s="6" t="n">
        <f aca="false">Sens!I735+Sens!I742</f>
        <v>642.753184147668</v>
      </c>
      <c r="J743" s="6" t="n">
        <f aca="false">Sens!J735+Sens!J742</f>
        <v>704.455452749594</v>
      </c>
      <c r="K743" s="6" t="n">
        <f aca="false">Sens!K735+Sens!K742</f>
        <v>754.238987595755</v>
      </c>
    </row>
    <row r="744" customFormat="false" ht="15" hidden="false" customHeight="false" outlineLevel="0" collapsed="false">
      <c r="A744" s="26" t="s">
        <v>1041</v>
      </c>
      <c r="B744" s="31" t="s">
        <v>98</v>
      </c>
      <c r="C744" s="31"/>
      <c r="D744" s="27" t="n">
        <f aca="false">(Sens!D723+Sens!D728+Sens!D729+Sens!D731+Sens!D733-Sens!D735)+(Sens!D736+Sens!D738+Sens!D740-Sens!D742)+(Sens!D735-Q!L5)+(Sens!D742-Q!L12)+(Sens!D723-Q!L6)+(Sens!D728-Q!L7)</f>
        <v>0</v>
      </c>
      <c r="E744" s="27" t="n">
        <f aca="false">(Sens!E723+Sens!E728+Sens!E729+Sens!E731+Sens!E733-Sens!E735)+(Sens!E736+Sens!E738+Sens!E740-Sens!E742)+(Sens!E735-Q!M5)+(Sens!E742-Q!M12)+(Sens!E723-Q!M6)+(Sens!E728-Q!M7)</f>
        <v>0</v>
      </c>
      <c r="F744" s="27" t="n">
        <f aca="false">(Sens!F723+Sens!F728+Sens!F729+Sens!F731+Sens!F733-Sens!F735)+(Sens!F736+Sens!F738+Sens!F740-Sens!F742)</f>
        <v>0</v>
      </c>
      <c r="G744" s="27" t="n">
        <f aca="false">(Sens!G723+Sens!G728+Sens!G729+Sens!G731+Sens!G733-Sens!G735)+(Sens!G736+Sens!G738+Sens!G740-Sens!G742)</f>
        <v>0</v>
      </c>
      <c r="H744" s="27" t="n">
        <f aca="false">(Sens!H723+Sens!H728+Sens!H729+Sens!H731+Sens!H733-Sens!H735)+(Sens!H736+Sens!H738+Sens!H740-Sens!H742)</f>
        <v>0</v>
      </c>
      <c r="I744" s="27" t="n">
        <f aca="false">(Sens!I723+Sens!I728+Sens!I729+Sens!I731+Sens!I733-Sens!I735)+(Sens!I736+Sens!I738+Sens!I740-Sens!I742)</f>
        <v>0</v>
      </c>
      <c r="J744" s="27" t="n">
        <f aca="false">(Sens!J723+Sens!J728+Sens!J729+Sens!J731+Sens!J733-Sens!J735)+(Sens!J736+Sens!J738+Sens!J740-Sens!J742)</f>
        <v>0</v>
      </c>
      <c r="K744" s="27" t="n">
        <f aca="false">(Sens!K723+Sens!K728+Sens!K729+Sens!K731+Sens!K733-Sens!K735)+(Sens!K736+Sens!K738+Sens!K740-Sens!K742)</f>
        <v>0</v>
      </c>
    </row>
    <row r="745" customFormat="false" ht="17.15" hidden="false" customHeight="false" outlineLevel="0" collapsed="false">
      <c r="A745" s="3" t="s">
        <v>1497</v>
      </c>
    </row>
    <row r="746" customFormat="false" ht="15" hidden="false" customHeight="false" outlineLevel="0" collapsed="false">
      <c r="A746" s="4" t="s">
        <v>43</v>
      </c>
      <c r="B746" s="4" t="s">
        <v>65</v>
      </c>
      <c r="C746" s="23" t="s">
        <v>938</v>
      </c>
      <c r="D746" s="23" t="s">
        <v>939</v>
      </c>
      <c r="E746" s="23" t="s">
        <v>940</v>
      </c>
      <c r="F746" s="23" t="s">
        <v>941</v>
      </c>
      <c r="G746" s="23" t="s">
        <v>942</v>
      </c>
      <c r="H746" s="23" t="s">
        <v>943</v>
      </c>
      <c r="I746" s="23" t="s">
        <v>944</v>
      </c>
      <c r="J746" s="23" t="s">
        <v>945</v>
      </c>
      <c r="K746" s="23" t="s">
        <v>946</v>
      </c>
      <c r="L746" s="4" t="s">
        <v>47</v>
      </c>
    </row>
    <row r="747" customFormat="false" ht="15" hidden="false" customHeight="false" outlineLevel="0" collapsed="false">
      <c r="A747" s="0" t="s">
        <v>1025</v>
      </c>
      <c r="B747" s="0" t="s">
        <v>98</v>
      </c>
      <c r="D747" s="6" t="n">
        <f aca="false">Sens!D723</f>
        <v>72.61</v>
      </c>
      <c r="E747" s="6" t="n">
        <f aca="false">Sens!E723</f>
        <v>101.938</v>
      </c>
      <c r="F747" s="6" t="n">
        <f aca="false">Sens!F723</f>
        <v>142.671234599628</v>
      </c>
      <c r="G747" s="6" t="n">
        <f aca="false">Sens!G723</f>
        <v>197.758366797701</v>
      </c>
      <c r="H747" s="6" t="n">
        <f aca="false">Sens!H723</f>
        <v>258.262858194538</v>
      </c>
      <c r="I747" s="6" t="n">
        <f aca="false">Sens!I723</f>
        <v>308.410218103116</v>
      </c>
      <c r="J747" s="6" t="n">
        <f aca="false">Sens!J723</f>
        <v>346.91992032824</v>
      </c>
      <c r="K747" s="6" t="n">
        <f aca="false">Sens!K723</f>
        <v>374.146017651432</v>
      </c>
    </row>
    <row r="748" customFormat="false" ht="17.15" hidden="false" customHeight="false" outlineLevel="0" collapsed="false">
      <c r="A748" s="0" t="s">
        <v>1021</v>
      </c>
      <c r="B748" s="0" t="s">
        <v>98</v>
      </c>
      <c r="D748" s="6" t="n">
        <f aca="false">Sens!D720</f>
        <v>12.9359794422418</v>
      </c>
      <c r="E748" s="6" t="n">
        <f aca="false">Sens!E720</f>
        <v>27.8095064661409</v>
      </c>
      <c r="F748" s="6" t="n">
        <f aca="false">Sens!F720</f>
        <v>50.2379040803784</v>
      </c>
      <c r="G748" s="6" t="n">
        <f aca="false">Sens!G720</f>
        <v>87.9337739708187</v>
      </c>
      <c r="H748" s="6" t="n">
        <f aca="false">Sens!H720</f>
        <v>130.74421199068</v>
      </c>
      <c r="I748" s="6" t="n">
        <f aca="false">Sens!I720</f>
        <v>163.794556887224</v>
      </c>
      <c r="J748" s="6" t="n">
        <f aca="false">Sens!J720</f>
        <v>186.824987196607</v>
      </c>
      <c r="K748" s="6" t="n">
        <f aca="false">Sens!K720</f>
        <v>201.243489869269</v>
      </c>
    </row>
    <row r="749" customFormat="false" ht="17.15" hidden="false" customHeight="false" outlineLevel="0" collapsed="false">
      <c r="A749" s="0" t="s">
        <v>1052</v>
      </c>
      <c r="B749" s="0" t="s">
        <v>98</v>
      </c>
      <c r="D749" s="6" t="n">
        <f aca="false">Sens!D721</f>
        <v>59.6740205577583</v>
      </c>
      <c r="E749" s="6" t="n">
        <f aca="false">Sens!E721</f>
        <v>74.1284935338591</v>
      </c>
      <c r="F749" s="6" t="n">
        <f aca="false">Sens!F721</f>
        <v>92.4333305192494</v>
      </c>
      <c r="G749" s="6" t="n">
        <f aca="false">Sens!G721</f>
        <v>109.824592826883</v>
      </c>
      <c r="H749" s="6" t="n">
        <f aca="false">Sens!H721</f>
        <v>127.518646203858</v>
      </c>
      <c r="I749" s="6" t="n">
        <f aca="false">Sens!I721</f>
        <v>144.615661215892</v>
      </c>
      <c r="J749" s="6" t="n">
        <f aca="false">Sens!J721</f>
        <v>160.094933131633</v>
      </c>
      <c r="K749" s="6" t="n">
        <f aca="false">Sens!K721</f>
        <v>172.902527782164</v>
      </c>
    </row>
    <row r="750" customFormat="false" ht="15" hidden="false" customHeight="false" outlineLevel="0" collapsed="false">
      <c r="A750" s="0" t="s">
        <v>1032</v>
      </c>
      <c r="B750" s="0" t="s">
        <v>98</v>
      </c>
      <c r="D750" s="6" t="n">
        <f aca="false">Sens!D728</f>
        <v>84.605</v>
      </c>
      <c r="E750" s="6" t="n">
        <f aca="false">Sens!E728</f>
        <v>100.299</v>
      </c>
      <c r="F750" s="6" t="n">
        <f aca="false">Sens!F728</f>
        <v>119.729653205718</v>
      </c>
      <c r="G750" s="6" t="n">
        <f aca="false">Sens!G728</f>
        <v>140.806092647576</v>
      </c>
      <c r="H750" s="6" t="n">
        <f aca="false">Sens!H728</f>
        <v>161.963437602768</v>
      </c>
      <c r="I750" s="6" t="n">
        <f aca="false">Sens!I728</f>
        <v>180.695354741933</v>
      </c>
      <c r="J750" s="6" t="n">
        <f aca="false">Sens!J728</f>
        <v>196.722117481571</v>
      </c>
      <c r="K750" s="6" t="n">
        <f aca="false">Sens!K728</f>
        <v>212.00016570528</v>
      </c>
    </row>
    <row r="751" customFormat="false" ht="17.15" hidden="false" customHeight="false" outlineLevel="0" collapsed="false">
      <c r="A751" s="0" t="s">
        <v>1053</v>
      </c>
      <c r="B751" s="0" t="s">
        <v>98</v>
      </c>
      <c r="D751" s="6" t="n">
        <f aca="false">Sens!D726</f>
        <v>83.705</v>
      </c>
      <c r="E751" s="6" t="n">
        <f aca="false">Sens!E726</f>
        <v>95.049</v>
      </c>
      <c r="F751" s="6" t="n">
        <f aca="false">Sens!F726</f>
        <v>106.229653205718</v>
      </c>
      <c r="G751" s="6" t="n">
        <f aca="false">Sens!G726</f>
        <v>118.306092647576</v>
      </c>
      <c r="H751" s="6" t="n">
        <f aca="false">Sens!H726</f>
        <v>130.463437602768</v>
      </c>
      <c r="I751" s="6" t="n">
        <f aca="false">Sens!I726</f>
        <v>142.445354741933</v>
      </c>
      <c r="J751" s="6" t="n">
        <f aca="false">Sens!J726</f>
        <v>153.972117481571</v>
      </c>
      <c r="K751" s="6" t="n">
        <f aca="false">Sens!K726</f>
        <v>164.75016570528</v>
      </c>
    </row>
    <row r="752" customFormat="false" ht="17.15" hidden="false" customHeight="false" outlineLevel="0" collapsed="false">
      <c r="A752" s="0" t="s">
        <v>1054</v>
      </c>
      <c r="B752" s="0" t="s">
        <v>98</v>
      </c>
      <c r="D752" s="6" t="n">
        <f aca="false">Sens!D725</f>
        <v>0.9</v>
      </c>
      <c r="E752" s="6" t="n">
        <f aca="false">Sens!E725</f>
        <v>5.25</v>
      </c>
      <c r="F752" s="6" t="n">
        <f aca="false">Sens!F725</f>
        <v>13.5</v>
      </c>
      <c r="G752" s="6" t="n">
        <f aca="false">Sens!G725</f>
        <v>22.5</v>
      </c>
      <c r="H752" s="6" t="n">
        <f aca="false">Sens!H725</f>
        <v>31.5</v>
      </c>
      <c r="I752" s="6" t="n">
        <f aca="false">Sens!I725</f>
        <v>38.25</v>
      </c>
      <c r="J752" s="6" t="n">
        <f aca="false">Sens!J725</f>
        <v>42.75</v>
      </c>
      <c r="K752" s="6" t="n">
        <f aca="false">Sens!K725</f>
        <v>47.25</v>
      </c>
    </row>
    <row r="753" customFormat="false" ht="15" hidden="false" customHeight="false" outlineLevel="0" collapsed="false">
      <c r="A753" s="0" t="s">
        <v>1033</v>
      </c>
      <c r="B753" s="0" t="s">
        <v>98</v>
      </c>
      <c r="D753" s="6" t="n">
        <f aca="false">Sens!D729</f>
        <v>35.391</v>
      </c>
      <c r="E753" s="6" t="n">
        <f aca="false">Sens!E729</f>
        <v>37.285</v>
      </c>
      <c r="F753" s="6" t="n">
        <f aca="false">Sens!F729</f>
        <v>38.3851437782675</v>
      </c>
      <c r="G753" s="6" t="n">
        <f aca="false">Sens!G729</f>
        <v>40.0105353288615</v>
      </c>
      <c r="H753" s="6" t="n">
        <f aca="false">Sens!H729</f>
        <v>41.4812512033683</v>
      </c>
      <c r="I753" s="6" t="n">
        <f aca="false">Sens!I729</f>
        <v>42.7743107216329</v>
      </c>
      <c r="J753" s="6" t="n">
        <f aca="false">Sens!J729</f>
        <v>43.8687373064601</v>
      </c>
      <c r="K753" s="6" t="n">
        <f aca="false">Sens!K729</f>
        <v>44.7461120525893</v>
      </c>
    </row>
    <row r="754" customFormat="false" ht="15" hidden="false" customHeight="false" outlineLevel="0" collapsed="false">
      <c r="A754" s="0" t="s">
        <v>1035</v>
      </c>
      <c r="B754" s="0" t="s">
        <v>98</v>
      </c>
      <c r="D754" s="6" t="n">
        <f aca="false">Sens!D731</f>
        <v>18.417</v>
      </c>
      <c r="E754" s="6" t="n">
        <f aca="false">Sens!E731</f>
        <v>20.345</v>
      </c>
      <c r="F754" s="6" t="n">
        <f aca="false">Sens!F731</f>
        <v>22.3161797133988</v>
      </c>
      <c r="G754" s="6" t="n">
        <f aca="false">Sens!G731</f>
        <v>24.3943499673233</v>
      </c>
      <c r="H754" s="6" t="n">
        <f aca="false">Sens!H731</f>
        <v>26.5250243109019</v>
      </c>
      <c r="I754" s="6" t="n">
        <f aca="false">Sens!I731</f>
        <v>28.6884573538181</v>
      </c>
      <c r="J754" s="6" t="n">
        <f aca="false">Sens!J731</f>
        <v>30.8624968052127</v>
      </c>
      <c r="K754" s="6" t="n">
        <f aca="false">Sens!K731</f>
        <v>33.0228715815776</v>
      </c>
    </row>
    <row r="755" customFormat="false" ht="15" hidden="false" customHeight="false" outlineLevel="0" collapsed="false">
      <c r="A755" s="0" t="s">
        <v>1036</v>
      </c>
      <c r="B755" s="0" t="s">
        <v>98</v>
      </c>
      <c r="D755" s="6" t="n">
        <f aca="false">Sens!D733</f>
        <v>7.76</v>
      </c>
      <c r="E755" s="6" t="n">
        <f aca="false">Sens!E733</f>
        <v>8.26</v>
      </c>
      <c r="F755" s="6" t="n">
        <f aca="false">Sens!F733</f>
        <v>8.75372082474227</v>
      </c>
      <c r="G755" s="6" t="n">
        <f aca="false">Sens!G733</f>
        <v>9.33399324642364</v>
      </c>
      <c r="H755" s="6" t="n">
        <f aca="false">Sens!H733</f>
        <v>9.96139155535851</v>
      </c>
      <c r="I755" s="6" t="n">
        <f aca="false">Sens!I733</f>
        <v>10.6402039077391</v>
      </c>
      <c r="J755" s="6" t="n">
        <f aca="false">Sens!J733</f>
        <v>11.3751458271397</v>
      </c>
      <c r="K755" s="6" t="n">
        <f aca="false">Sens!K733</f>
        <v>12.1714060350394</v>
      </c>
    </row>
    <row r="756" customFormat="false" ht="15" hidden="false" customHeight="false" outlineLevel="0" collapsed="false">
      <c r="A756" s="0" t="s">
        <v>852</v>
      </c>
      <c r="B756" s="0" t="s">
        <v>98</v>
      </c>
      <c r="D756" s="6" t="n">
        <f aca="false">Sens!D735</f>
        <v>218.783</v>
      </c>
      <c r="E756" s="6" t="n">
        <f aca="false">Sens!E735</f>
        <v>268.127</v>
      </c>
      <c r="F756" s="6" t="n">
        <f aca="false">Sens!F735</f>
        <v>331.855932121754</v>
      </c>
      <c r="G756" s="6" t="n">
        <f aca="false">Sens!G735</f>
        <v>412.303337987886</v>
      </c>
      <c r="H756" s="6" t="n">
        <f aca="false">Sens!H735</f>
        <v>498.193962866934</v>
      </c>
      <c r="I756" s="6" t="n">
        <f aca="false">Sens!I735</f>
        <v>571.208544828239</v>
      </c>
      <c r="J756" s="6" t="n">
        <f aca="false">Sens!J735</f>
        <v>629.748417748623</v>
      </c>
      <c r="K756" s="6" t="n">
        <f aca="false">Sens!K735</f>
        <v>676.086573025919</v>
      </c>
    </row>
    <row r="757" customFormat="false" ht="15" hidden="false" customHeight="false" outlineLevel="0" collapsed="false">
      <c r="A757" s="0" t="s">
        <v>1037</v>
      </c>
      <c r="B757" s="0" t="s">
        <v>98</v>
      </c>
      <c r="D757" s="6" t="n">
        <f aca="false">Sens!D736</f>
        <v>22.171</v>
      </c>
      <c r="E757" s="6" t="n">
        <f aca="false">Sens!E736</f>
        <v>24.835</v>
      </c>
      <c r="F757" s="6" t="n">
        <f aca="false">Sens!F736</f>
        <v>27.5591895660247</v>
      </c>
      <c r="G757" s="6" t="n">
        <f aca="false">Sens!G736</f>
        <v>30.4098563144583</v>
      </c>
      <c r="H757" s="6" t="n">
        <f aca="false">Sens!H736</f>
        <v>33.3011792571777</v>
      </c>
      <c r="I757" s="6" t="n">
        <f aca="false">Sens!I736</f>
        <v>36.189023797112</v>
      </c>
      <c r="J757" s="6" t="n">
        <f aca="false">Sens!J736</f>
        <v>39.0247773769199</v>
      </c>
      <c r="K757" s="6" t="n">
        <f aca="false">Sens!K736</f>
        <v>41.7565117933043</v>
      </c>
    </row>
    <row r="758" customFormat="false" ht="15" hidden="false" customHeight="false" outlineLevel="0" collapsed="false">
      <c r="A758" s="0" t="s">
        <v>1038</v>
      </c>
      <c r="B758" s="0" t="s">
        <v>98</v>
      </c>
      <c r="D758" s="6" t="n">
        <f aca="false">Sens!D738</f>
        <v>23.455</v>
      </c>
      <c r="E758" s="6" t="n">
        <f aca="false">Sens!E738</f>
        <v>21.79</v>
      </c>
      <c r="F758" s="6" t="n">
        <f aca="false">Sens!F738</f>
        <v>20.7520981041711</v>
      </c>
      <c r="G758" s="6" t="n">
        <f aca="false">Sens!G738</f>
        <v>19.9083593495882</v>
      </c>
      <c r="H758" s="6" t="n">
        <f aca="false">Sens!H738</f>
        <v>19.4008256265831</v>
      </c>
      <c r="I758" s="6" t="n">
        <f aca="false">Sens!I738</f>
        <v>19.200434522122</v>
      </c>
      <c r="J758" s="6" t="n">
        <f aca="false">Sens!J738</f>
        <v>19.2932782348507</v>
      </c>
      <c r="K758" s="6" t="n">
        <f aca="false">Sens!K738</f>
        <v>19.6791437995477</v>
      </c>
    </row>
    <row r="759" customFormat="false" ht="15" hidden="false" customHeight="false" outlineLevel="0" collapsed="false">
      <c r="A759" s="0" t="s">
        <v>1039</v>
      </c>
      <c r="B759" s="0" t="s">
        <v>98</v>
      </c>
      <c r="D759" s="6" t="n">
        <f aca="false">Sens!D740</f>
        <v>17.315</v>
      </c>
      <c r="E759" s="6" t="n">
        <f aca="false">Sens!E740</f>
        <v>17.087</v>
      </c>
      <c r="F759" s="6" t="n">
        <f aca="false">Sens!F740</f>
        <v>15.9912273250553</v>
      </c>
      <c r="G759" s="6" t="n">
        <f aca="false">Sens!G740</f>
        <v>15.9574562664827</v>
      </c>
      <c r="H759" s="6" t="n">
        <f aca="false">Sens!H740</f>
        <v>16.0119687434196</v>
      </c>
      <c r="I759" s="6" t="n">
        <f aca="false">Sens!I740</f>
        <v>16.1551810001948</v>
      </c>
      <c r="J759" s="6" t="n">
        <f aca="false">Sens!J740</f>
        <v>16.3889793892005</v>
      </c>
      <c r="K759" s="6" t="n">
        <f aca="false">Sens!K740</f>
        <v>16.7167589769845</v>
      </c>
    </row>
    <row r="760" customFormat="false" ht="15" hidden="false" customHeight="false" outlineLevel="0" collapsed="false">
      <c r="A760" s="0" t="s">
        <v>866</v>
      </c>
      <c r="B760" s="0" t="s">
        <v>98</v>
      </c>
      <c r="D760" s="6" t="n">
        <f aca="false">Sens!D742</f>
        <v>62.941</v>
      </c>
      <c r="E760" s="6" t="n">
        <f aca="false">Sens!E742</f>
        <v>63.712</v>
      </c>
      <c r="F760" s="6" t="n">
        <f aca="false">Sens!F742</f>
        <v>64.3025149952511</v>
      </c>
      <c r="G760" s="6" t="n">
        <f aca="false">Sens!G742</f>
        <v>66.2756719305292</v>
      </c>
      <c r="H760" s="6" t="n">
        <f aca="false">Sens!H742</f>
        <v>68.7139736271804</v>
      </c>
      <c r="I760" s="6" t="n">
        <f aca="false">Sens!I742</f>
        <v>71.5446393194289</v>
      </c>
      <c r="J760" s="6" t="n">
        <f aca="false">Sens!J742</f>
        <v>74.707035000971</v>
      </c>
      <c r="K760" s="6" t="n">
        <f aca="false">Sens!K742</f>
        <v>78.1524145698365</v>
      </c>
    </row>
    <row r="761" customFormat="false" ht="15" hidden="false" customHeight="false" outlineLevel="0" collapsed="false">
      <c r="A761" s="1" t="s">
        <v>1055</v>
      </c>
      <c r="B761" s="0" t="s">
        <v>98</v>
      </c>
      <c r="D761" s="6" t="n">
        <f aca="false">Sens!D743</f>
        <v>281.724</v>
      </c>
      <c r="E761" s="6" t="n">
        <f aca="false">Sens!E743</f>
        <v>331.839</v>
      </c>
      <c r="F761" s="6" t="n">
        <f aca="false">Sens!F743</f>
        <v>396.158447117006</v>
      </c>
      <c r="G761" s="6" t="n">
        <f aca="false">Sens!G743</f>
        <v>478.579009918415</v>
      </c>
      <c r="H761" s="6" t="n">
        <f aca="false">Sens!H743</f>
        <v>566.907936494115</v>
      </c>
      <c r="I761" s="6" t="n">
        <f aca="false">Sens!I743</f>
        <v>642.753184147668</v>
      </c>
      <c r="J761" s="6" t="n">
        <f aca="false">Sens!J743</f>
        <v>704.455452749594</v>
      </c>
      <c r="K761" s="6" t="n">
        <f aca="false">Sens!K743</f>
        <v>754.238987595755</v>
      </c>
    </row>
    <row r="762" customFormat="false" ht="15" hidden="false" customHeight="false" outlineLevel="0" collapsed="false">
      <c r="A762" s="1" t="s">
        <v>1056</v>
      </c>
      <c r="B762" s="0" t="s">
        <v>168</v>
      </c>
      <c r="E762" s="7" t="n">
        <f aca="false">Sens!E761/Sens!D761-1</f>
        <v>0.177886867998467</v>
      </c>
      <c r="F762" s="7" t="n">
        <f aca="false">Sens!F761/Sens!E761-1</f>
        <v>0.193827268997934</v>
      </c>
      <c r="G762" s="7" t="n">
        <f aca="false">Sens!G761/Sens!F761-1</f>
        <v>0.20804948979686</v>
      </c>
      <c r="H762" s="7" t="n">
        <f aca="false">Sens!H761/Sens!G761-1</f>
        <v>0.184564982469159</v>
      </c>
      <c r="I762" s="7" t="n">
        <f aca="false">Sens!I761/Sens!H761-1</f>
        <v>0.133787591901777</v>
      </c>
      <c r="J762" s="7" t="n">
        <f aca="false">Sens!J761/Sens!I761-1</f>
        <v>0.0959968307022039</v>
      </c>
      <c r="K762" s="7" t="n">
        <f aca="false">Sens!K761/Sens!J761-1</f>
        <v>0.0706695287144825</v>
      </c>
    </row>
    <row r="763" customFormat="false" ht="17.15" hidden="false" customHeight="false" outlineLevel="0" collapsed="false">
      <c r="A763" s="26" t="s">
        <v>1057</v>
      </c>
      <c r="B763" s="31" t="s">
        <v>98</v>
      </c>
      <c r="C763" s="31"/>
      <c r="D763" s="27" t="n">
        <f aca="false">(Sens!D756+Sens!D760-Sens!D761)+(Sens!D748+Sens!D749-Sens!D747)+(Sens!D751+Sens!D752-Sens!D750)+(Sens!D761-Q!L18)</f>
        <v>0</v>
      </c>
      <c r="E763" s="27" t="n">
        <f aca="false">(Sens!E756+Sens!E760-Sens!E761)+(Sens!E748+Sens!E749-Sens!E747)+(Sens!E751+Sens!E752-Sens!E750)+(Sens!E761-Q!M18)</f>
        <v>0</v>
      </c>
      <c r="F763" s="27" t="n">
        <f aca="false">(Sens!F756+Sens!F760-Sens!F761)+(Sens!F748+Sens!F749-Sens!F747)+(Sens!F751+Sens!F752-Sens!F750)</f>
        <v>0</v>
      </c>
      <c r="G763" s="27" t="n">
        <f aca="false">(Sens!G756+Sens!G760-Sens!G761)+(Sens!G748+Sens!G749-Sens!G747)+(Sens!G751+Sens!G752-Sens!G750)</f>
        <v>0</v>
      </c>
      <c r="H763" s="27" t="n">
        <f aca="false">(Sens!H756+Sens!H760-Sens!H761)+(Sens!H748+Sens!H749-Sens!H747)+(Sens!H751+Sens!H752-Sens!H750)</f>
        <v>0</v>
      </c>
      <c r="I763" s="27" t="n">
        <f aca="false">(Sens!I756+Sens!I760-Sens!I761)+(Sens!I748+Sens!I749-Sens!I747)+(Sens!I751+Sens!I752-Sens!I750)</f>
        <v>0</v>
      </c>
      <c r="J763" s="27" t="n">
        <f aca="false">(Sens!J756+Sens!J760-Sens!J761)+(Sens!J748+Sens!J749-Sens!J747)+(Sens!J751+Sens!J752-Sens!J750)</f>
        <v>0</v>
      </c>
      <c r="K763" s="27" t="n">
        <f aca="false">(Sens!K756+Sens!K760-Sens!K761)+(Sens!K748+Sens!K749-Sens!K747)+(Sens!K751+Sens!K752-Sens!K750)</f>
        <v>0</v>
      </c>
    </row>
    <row r="764" customFormat="false" ht="17.15" hidden="false" customHeight="false" outlineLevel="0" collapsed="false">
      <c r="A764" s="0" t="s">
        <v>1058</v>
      </c>
      <c r="B764" s="0" t="s">
        <v>168</v>
      </c>
      <c r="E764" s="7" t="n">
        <f aca="false">(Q!M21+Sens!E700+Sens!E701+Sens!E702+Sens!E716-Sens!E698)/(Q!M5-Sens!E698)</f>
        <v>0.570957350878296</v>
      </c>
      <c r="F764" s="7" t="n">
        <f aca="false">Sens!$E$764+dm_seg</f>
        <v>0.570957350878296</v>
      </c>
      <c r="G764" s="7" t="n">
        <f aca="false">Sens!$E$764+dm_seg</f>
        <v>0.570957350878296</v>
      </c>
      <c r="H764" s="7" t="n">
        <f aca="false">Sens!$E$764+dm_seg</f>
        <v>0.570957350878296</v>
      </c>
      <c r="I764" s="7" t="n">
        <f aca="false">Sens!$E$764+dm_seg</f>
        <v>0.570957350878296</v>
      </c>
      <c r="J764" s="7" t="n">
        <f aca="false">Sens!$E$764+dm_seg</f>
        <v>0.570957350878296</v>
      </c>
      <c r="K764" s="7" t="n">
        <f aca="false">Sens!$E$764+dm_seg</f>
        <v>0.570957350878296</v>
      </c>
      <c r="L764" s="12" t="s">
        <v>1059</v>
      </c>
    </row>
    <row r="765" customFormat="false" ht="17.15" hidden="false" customHeight="false" outlineLevel="0" collapsed="false">
      <c r="A765" s="0" t="s">
        <v>880</v>
      </c>
      <c r="B765" s="0" t="s">
        <v>98</v>
      </c>
      <c r="D765" s="6" t="n">
        <f aca="false">Q!L21</f>
        <v>110.814</v>
      </c>
      <c r="E765" s="6" t="n">
        <f aca="false">Q!M21</f>
        <v>136.365</v>
      </c>
      <c r="F765" s="6" t="n">
        <f aca="false">Q!$I$21+(Sens!F764*(Sens!F735-Sens!F698)+Sens!F698-(Sens!F700+Sens!F701+Sens!F702)-Sens!F716-Sens!F799)*(Sens!F735-Q!$I$5)/Sens!F735</f>
        <v>158.799250353915</v>
      </c>
      <c r="G765" s="6" t="n">
        <f aca="false">(Sens!G764*(Sens!G735-Sens!G698)+Sens!G698-(Sens!G700+Sens!G701+Sens!G702)-Sens!G716-Sens!G799)</f>
        <v>177.329277744843</v>
      </c>
      <c r="H765" s="6" t="n">
        <f aca="false">(Sens!H764*(Sens!H735-Sens!H698)+Sens!H698-(Sens!H700+Sens!H701+Sens!H702)-Sens!H716-Sens!H799)</f>
        <v>204.241224908041</v>
      </c>
      <c r="I765" s="6" t="n">
        <f aca="false">(Sens!I764*(Sens!I735-Sens!I698)+Sens!I698-(Sens!I700+Sens!I701+Sens!I702)-Sens!I716-Sens!I799)</f>
        <v>224.479274858174</v>
      </c>
      <c r="J765" s="6" t="n">
        <f aca="false">(Sens!J764*(Sens!J735-Sens!J698)+Sens!J698-(Sens!J700+Sens!J701+Sens!J702)-Sens!J716-Sens!J799)</f>
        <v>242.852872645141</v>
      </c>
      <c r="K765" s="6" t="n">
        <f aca="false">(Sens!K764*(Sens!K735-Sens!K698)+Sens!K698-(Sens!K700+Sens!K701+Sens!K702)-Sens!K716-Sens!K799)</f>
        <v>260.442428888567</v>
      </c>
      <c r="L765" s="1" t="s">
        <v>1060</v>
      </c>
    </row>
    <row r="766" customFormat="false" ht="17.15" hidden="false" customHeight="false" outlineLevel="0" collapsed="false">
      <c r="A766" s="0" t="s">
        <v>1061</v>
      </c>
      <c r="B766" s="0" t="s">
        <v>168</v>
      </c>
      <c r="E766" s="7" t="n">
        <f aca="false">Q!M22/Q!M12</f>
        <v>0.296207935710698</v>
      </c>
      <c r="F766" s="7" t="n">
        <f aca="false">Sens!$E$766+dm_seg</f>
        <v>0.296207935710698</v>
      </c>
      <c r="G766" s="7" t="n">
        <f aca="false">Sens!$E$766+dm_seg</f>
        <v>0.296207935710698</v>
      </c>
      <c r="H766" s="7" t="n">
        <f aca="false">Sens!$E$766+dm_seg</f>
        <v>0.296207935710698</v>
      </c>
      <c r="I766" s="7" t="n">
        <f aca="false">Sens!$E$766+dm_seg</f>
        <v>0.296207935710698</v>
      </c>
      <c r="J766" s="7" t="n">
        <f aca="false">Sens!$E$766+dm_seg</f>
        <v>0.296207935710698</v>
      </c>
      <c r="K766" s="7" t="n">
        <f aca="false">Sens!$E$766+dm_seg</f>
        <v>0.296207935710698</v>
      </c>
      <c r="L766" s="12" t="s">
        <v>1062</v>
      </c>
    </row>
    <row r="767" customFormat="false" ht="17.15" hidden="false" customHeight="false" outlineLevel="0" collapsed="false">
      <c r="A767" s="0" t="s">
        <v>882</v>
      </c>
      <c r="B767" s="0" t="s">
        <v>98</v>
      </c>
      <c r="D767" s="6" t="n">
        <f aca="false">Q!L22</f>
        <v>17.714</v>
      </c>
      <c r="E767" s="6" t="n">
        <f aca="false">Q!M22</f>
        <v>18.872</v>
      </c>
      <c r="F767" s="6" t="n">
        <f aca="false">Q!$I$22+(Sens!F742-Q!$I$12)*Sens!F766</f>
        <v>19.8174315512051</v>
      </c>
      <c r="G767" s="6" t="n">
        <f aca="false">Sens!G742*Sens!G766</f>
        <v>19.6313799703815</v>
      </c>
      <c r="H767" s="6" t="n">
        <f aca="false">Sens!H742*Sens!H766</f>
        <v>20.3536242825865</v>
      </c>
      <c r="I767" s="6" t="n">
        <f aca="false">Sens!I742*Sens!I766</f>
        <v>21.1920899239745</v>
      </c>
      <c r="J767" s="6" t="n">
        <f aca="false">Sens!J742*Sens!J766</f>
        <v>22.1288166207045</v>
      </c>
      <c r="K767" s="6" t="n">
        <f aca="false">Sens!K742*Sens!K766</f>
        <v>23.1493653905379</v>
      </c>
      <c r="L767" s="12" t="s">
        <v>1063</v>
      </c>
    </row>
    <row r="768" customFormat="false" ht="15" hidden="false" customHeight="false" outlineLevel="0" collapsed="false">
      <c r="A768" s="1" t="s">
        <v>1064</v>
      </c>
      <c r="B768" s="0" t="s">
        <v>98</v>
      </c>
      <c r="D768" s="6" t="n">
        <f aca="false">Sens!D765+Sens!D767</f>
        <v>128.528</v>
      </c>
      <c r="E768" s="6" t="n">
        <f aca="false">Sens!E765+Sens!E767</f>
        <v>155.237</v>
      </c>
      <c r="F768" s="6" t="n">
        <f aca="false">Sens!F765+Sens!F767</f>
        <v>178.61668190512</v>
      </c>
      <c r="G768" s="6" t="n">
        <f aca="false">Sens!G765+Sens!G767</f>
        <v>196.960657715225</v>
      </c>
      <c r="H768" s="6" t="n">
        <f aca="false">Sens!H765+Sens!H767</f>
        <v>224.594849190627</v>
      </c>
      <c r="I768" s="6" t="n">
        <f aca="false">Sens!I765+Sens!I767</f>
        <v>245.671364782148</v>
      </c>
      <c r="J768" s="6" t="n">
        <f aca="false">Sens!J765+Sens!J767</f>
        <v>264.981689265845</v>
      </c>
      <c r="K768" s="6" t="n">
        <f aca="false">Sens!K765+Sens!K767</f>
        <v>283.591794279105</v>
      </c>
    </row>
    <row r="769" customFormat="false" ht="15" hidden="false" customHeight="false" outlineLevel="0" collapsed="false">
      <c r="A769" s="26" t="s">
        <v>1065</v>
      </c>
      <c r="B769" s="31" t="s">
        <v>98</v>
      </c>
      <c r="C769" s="31"/>
      <c r="D769" s="27" t="n">
        <f aca="false">Sens!D768-Q!L23</f>
        <v>0</v>
      </c>
      <c r="E769" s="27" t="n">
        <f aca="false">Sens!E768-Q!M23</f>
        <v>0</v>
      </c>
      <c r="F769" s="31"/>
      <c r="G769" s="31"/>
      <c r="H769" s="31"/>
      <c r="I769" s="31"/>
      <c r="J769" s="31"/>
      <c r="K769" s="31"/>
    </row>
    <row r="770" customFormat="false" ht="15" hidden="false" customHeight="false" outlineLevel="0" collapsed="false">
      <c r="A770" s="1" t="s">
        <v>1066</v>
      </c>
      <c r="B770" s="0" t="s">
        <v>168</v>
      </c>
      <c r="D770" s="7" t="n">
        <f aca="false">Sens!D768/Sens!D761</f>
        <v>0.456219562408598</v>
      </c>
      <c r="E770" s="7" t="n">
        <f aca="false">Sens!E768/Sens!E761</f>
        <v>0.467808184089272</v>
      </c>
      <c r="F770" s="7" t="n">
        <f aca="false">Sens!F768/Sens!F761</f>
        <v>0.450871824657484</v>
      </c>
      <c r="G770" s="7" t="n">
        <f aca="false">Sens!G768/Sens!G761</f>
        <v>0.411553063618066</v>
      </c>
      <c r="H770" s="7" t="n">
        <f aca="false">Sens!H768/Sens!H761</f>
        <v>0.396175171897526</v>
      </c>
      <c r="I770" s="7" t="n">
        <f aca="false">Sens!I768/Sens!I761</f>
        <v>0.382217266038012</v>
      </c>
      <c r="J770" s="7" t="n">
        <f aca="false">Sens!J768/Sens!J761</f>
        <v>0.376151094056526</v>
      </c>
      <c r="K770" s="7" t="n">
        <f aca="false">Sens!K768/Sens!K761</f>
        <v>0.375997262065561</v>
      </c>
    </row>
    <row r="771" customFormat="false" ht="17.15" hidden="false" customHeight="false" outlineLevel="0" collapsed="false">
      <c r="A771" s="1" t="s">
        <v>1067</v>
      </c>
      <c r="B771" s="0" t="s">
        <v>98</v>
      </c>
      <c r="F771" s="6" t="n">
        <f aca="false">Sens!F786</f>
        <v>8.88340674531245</v>
      </c>
      <c r="G771" s="6" t="n">
        <f aca="false">Sens!G786</f>
        <v>22.7060305170273</v>
      </c>
      <c r="H771" s="6" t="n">
        <f aca="false">Sens!H786</f>
        <v>38.0018452382075</v>
      </c>
      <c r="I771" s="6" t="n">
        <f aca="false">Sens!I786</f>
        <v>52.1381094705177</v>
      </c>
      <c r="J771" s="6" t="n">
        <f aca="false">Sens!J786</f>
        <v>62.0595818934393</v>
      </c>
      <c r="K771" s="6" t="n">
        <f aca="false">Sens!K786</f>
        <v>67.0801312706266</v>
      </c>
      <c r="L771" s="1" t="s">
        <v>1068</v>
      </c>
    </row>
    <row r="772" customFormat="false" ht="17.15" hidden="false" customHeight="false" outlineLevel="0" collapsed="false">
      <c r="A772" s="1" t="s">
        <v>1069</v>
      </c>
      <c r="B772" s="0" t="s">
        <v>98</v>
      </c>
      <c r="D772" s="6" t="n">
        <f aca="false">Sens!D768</f>
        <v>128.528</v>
      </c>
      <c r="E772" s="6" t="n">
        <f aca="false">Sens!E768</f>
        <v>155.237</v>
      </c>
      <c r="F772" s="6" t="n">
        <f aca="false">Sens!F768+Sens!F771</f>
        <v>187.500088650432</v>
      </c>
      <c r="G772" s="6" t="n">
        <f aca="false">Sens!G768+Sens!G771</f>
        <v>219.666688232252</v>
      </c>
      <c r="H772" s="6" t="n">
        <f aca="false">Sens!H768+Sens!H771</f>
        <v>262.596694428835</v>
      </c>
      <c r="I772" s="6" t="n">
        <f aca="false">Sens!I768+Sens!I771</f>
        <v>297.809474252666</v>
      </c>
      <c r="J772" s="6" t="n">
        <f aca="false">Sens!J768+Sens!J771</f>
        <v>327.041271159285</v>
      </c>
      <c r="K772" s="6" t="n">
        <f aca="false">Sens!K768+Sens!K771</f>
        <v>350.671925549731</v>
      </c>
    </row>
    <row r="773" customFormat="false" ht="17.15" hidden="false" customHeight="false" outlineLevel="0" collapsed="false">
      <c r="A773" s="1" t="s">
        <v>1070</v>
      </c>
      <c r="B773" s="0" t="s">
        <v>98</v>
      </c>
      <c r="E773" s="6" t="n">
        <f aca="false">Sens!E716</f>
        <v>16.3054059770833</v>
      </c>
      <c r="F773" s="6" t="n">
        <f aca="false">Sens!F716</f>
        <v>34.5793144783516</v>
      </c>
      <c r="G773" s="6" t="n">
        <f aca="false">Sens!G716</f>
        <v>60.7344906522989</v>
      </c>
      <c r="H773" s="6" t="n">
        <f aca="false">Sens!H716</f>
        <v>89.1000906614457</v>
      </c>
      <c r="I773" s="6" t="n">
        <f aca="false">Sens!I716</f>
        <v>114.231009694548</v>
      </c>
      <c r="J773" s="6" t="n">
        <f aca="false">Sens!J716</f>
        <v>132.015673049596</v>
      </c>
      <c r="K773" s="6" t="n">
        <f aca="false">Sens!K716</f>
        <v>143.012669550934</v>
      </c>
    </row>
    <row r="774" customFormat="false" ht="17.15" hidden="false" customHeight="false" outlineLevel="0" collapsed="false">
      <c r="A774" s="1" t="s">
        <v>1071</v>
      </c>
      <c r="B774" s="0" t="s">
        <v>98</v>
      </c>
      <c r="E774" s="6" t="n">
        <f aca="false">Sens!E798</f>
        <v>22.2285940229167</v>
      </c>
      <c r="F774" s="6" t="n">
        <f aca="false">Sens!F798</f>
        <v>23.6145210461303</v>
      </c>
      <c r="G774" s="6" t="n">
        <f aca="false">Sens!G798</f>
        <v>25.457160808621</v>
      </c>
      <c r="H774" s="6" t="n">
        <f aca="false">Sens!H798</f>
        <v>27.7194944267692</v>
      </c>
      <c r="I774" s="6" t="n">
        <f aca="false">Sens!I798</f>
        <v>30.3245827205244</v>
      </c>
      <c r="J774" s="6" t="n">
        <f aca="false">Sens!J798</f>
        <v>33.1794149655825</v>
      </c>
      <c r="K774" s="6" t="n">
        <f aca="false">Sens!K798</f>
        <v>36.1982290965846</v>
      </c>
    </row>
    <row r="775" customFormat="false" ht="17.15" hidden="false" customHeight="false" outlineLevel="0" collapsed="false">
      <c r="A775" s="1" t="s">
        <v>1072</v>
      </c>
      <c r="B775" s="0" t="s">
        <v>98</v>
      </c>
      <c r="D775" s="6" t="n">
        <f aca="false">Q!L27</f>
        <v>-4.901</v>
      </c>
      <c r="E775" s="6" t="n">
        <f aca="false">Q!M27</f>
        <v>10.697</v>
      </c>
      <c r="F775" s="6" t="n">
        <f aca="false">Q!$I$27+oie_f*(q_per_yr-1)/q_per_yr</f>
        <v>-0.862</v>
      </c>
      <c r="G775" s="6" t="n">
        <f aca="false">oie_f</f>
        <v>-1.2</v>
      </c>
      <c r="H775" s="6" t="n">
        <f aca="false">oie_f</f>
        <v>-1.2</v>
      </c>
      <c r="I775" s="6" t="n">
        <f aca="false">oie_f</f>
        <v>-1.2</v>
      </c>
      <c r="J775" s="6" t="n">
        <f aca="false">oie_f</f>
        <v>-1.2</v>
      </c>
      <c r="K775" s="6" t="n">
        <f aca="false">oie_f</f>
        <v>-1.2</v>
      </c>
      <c r="L775" s="12" t="s">
        <v>1073</v>
      </c>
    </row>
    <row r="776" customFormat="false" ht="15" hidden="false" customHeight="false" outlineLevel="0" collapsed="false">
      <c r="A776" s="1" t="s">
        <v>1074</v>
      </c>
      <c r="B776" s="0" t="s">
        <v>98</v>
      </c>
      <c r="D776" s="6" t="n">
        <f aca="false">Sens!D768+Sens!D775</f>
        <v>123.627</v>
      </c>
      <c r="E776" s="6" t="n">
        <f aca="false">Sens!E768+Sens!E775</f>
        <v>165.934</v>
      </c>
      <c r="F776" s="6" t="n">
        <f aca="false">Sens!F768+Sens!F775</f>
        <v>177.75468190512</v>
      </c>
      <c r="G776" s="6" t="n">
        <f aca="false">Sens!G768+Sens!G775</f>
        <v>195.760657715225</v>
      </c>
      <c r="H776" s="6" t="n">
        <f aca="false">Sens!H768+Sens!H775</f>
        <v>223.394849190627</v>
      </c>
      <c r="I776" s="6" t="n">
        <f aca="false">Sens!I768+Sens!I775</f>
        <v>244.471364782148</v>
      </c>
      <c r="J776" s="6" t="n">
        <f aca="false">Sens!J768+Sens!J775</f>
        <v>263.781689265845</v>
      </c>
      <c r="K776" s="6" t="n">
        <f aca="false">Sens!K768+Sens!K775</f>
        <v>282.391794279105</v>
      </c>
    </row>
    <row r="777" customFormat="false" ht="15" hidden="false" customHeight="false" outlineLevel="0" collapsed="false">
      <c r="A777" s="1" t="s">
        <v>1075</v>
      </c>
      <c r="B777" s="0" t="s">
        <v>98</v>
      </c>
      <c r="D777" s="6" t="n">
        <f aca="false">Q!L29</f>
        <v>21.795</v>
      </c>
      <c r="E777" s="6" t="n">
        <f aca="false">Q!M29</f>
        <v>32.185</v>
      </c>
      <c r="F777" s="6" t="n">
        <f aca="false">Q!$I$29+(Sens!F776-Q!$I$28)*tax_f</f>
        <v>35.684336381024</v>
      </c>
      <c r="G777" s="6" t="n">
        <f aca="false">Sens!G776*tax_f</f>
        <v>39.1521315430449</v>
      </c>
      <c r="H777" s="6" t="n">
        <f aca="false">Sens!H776*tax_f</f>
        <v>44.6789698381255</v>
      </c>
      <c r="I777" s="6" t="n">
        <f aca="false">Sens!I776*tax_f</f>
        <v>48.8942729564297</v>
      </c>
      <c r="J777" s="6" t="n">
        <f aca="false">Sens!J776*tax_f</f>
        <v>52.7563378531691</v>
      </c>
      <c r="K777" s="6" t="n">
        <f aca="false">Sens!K776*tax_f</f>
        <v>56.478358855821</v>
      </c>
    </row>
    <row r="778" customFormat="false" ht="15" hidden="false" customHeight="false" outlineLevel="0" collapsed="false">
      <c r="A778" s="1" t="s">
        <v>1076</v>
      </c>
      <c r="B778" s="0" t="s">
        <v>98</v>
      </c>
      <c r="D778" s="6" t="n">
        <f aca="false">Sens!D776-Sens!D777</f>
        <v>101.832</v>
      </c>
      <c r="E778" s="6" t="n">
        <f aca="false">Sens!E776-Sens!E777</f>
        <v>133.749</v>
      </c>
      <c r="F778" s="6" t="n">
        <f aca="false">Sens!F776-Sens!F777</f>
        <v>142.070345524096</v>
      </c>
      <c r="G778" s="6" t="n">
        <f aca="false">Sens!G776-Sens!G777</f>
        <v>156.60852617218</v>
      </c>
      <c r="H778" s="6" t="n">
        <f aca="false">Sens!H776-Sens!H777</f>
        <v>178.715879352502</v>
      </c>
      <c r="I778" s="6" t="n">
        <f aca="false">Sens!I776-Sens!I777</f>
        <v>195.577091825719</v>
      </c>
      <c r="J778" s="6" t="n">
        <f aca="false">Sens!J776-Sens!J777</f>
        <v>211.025351412676</v>
      </c>
      <c r="K778" s="6" t="n">
        <f aca="false">Sens!K776-Sens!K777</f>
        <v>225.913435423284</v>
      </c>
    </row>
    <row r="779" customFormat="false" ht="17.15" hidden="false" customHeight="false" outlineLevel="0" collapsed="false">
      <c r="A779" s="1" t="s">
        <v>1077</v>
      </c>
      <c r="B779" s="1" t="s">
        <v>81</v>
      </c>
      <c r="D779" s="15" t="n">
        <f aca="false">Q!L31</f>
        <v>7.465</v>
      </c>
      <c r="E779" s="15" t="n">
        <f aca="false">Q!M31</f>
        <v>7.453</v>
      </c>
      <c r="F779" s="15" t="n">
        <f aca="false">Sens!F823</f>
        <v>7.4735</v>
      </c>
      <c r="G779" s="15" t="n">
        <f aca="false">Sens!G823</f>
        <v>7.5185</v>
      </c>
      <c r="H779" s="15" t="n">
        <f aca="false">Sens!H823</f>
        <v>7.5461999390288</v>
      </c>
      <c r="I779" s="15" t="n">
        <f aca="false">Sens!I823</f>
        <v>7.55788130308427</v>
      </c>
      <c r="J779" s="15" t="n">
        <f aca="false">Sens!J823</f>
        <v>7.57203071424674</v>
      </c>
      <c r="K779" s="15" t="n">
        <f aca="false">Sens!K823</f>
        <v>7.58846535421199</v>
      </c>
    </row>
    <row r="780" customFormat="false" ht="17.15" hidden="false" customHeight="false" outlineLevel="0" collapsed="false">
      <c r="A780" s="0" t="s">
        <v>1078</v>
      </c>
      <c r="B780" s="0" t="s">
        <v>75</v>
      </c>
      <c r="D780" s="8" t="n">
        <f aca="false">Sens!D778/Sens!D779</f>
        <v>13.641259209645</v>
      </c>
      <c r="E780" s="8" t="n">
        <f aca="false">Sens!E778/Sens!E779</f>
        <v>17.9456594659869</v>
      </c>
      <c r="F780" s="8" t="n">
        <f aca="false">Sens!F778/Sens!F779</f>
        <v>19.0098809826849</v>
      </c>
      <c r="G780" s="8" t="n">
        <f aca="false">Sens!G778/Sens!G779</f>
        <v>20.8297567562918</v>
      </c>
      <c r="H780" s="8" t="n">
        <f aca="false">Sens!H778/Sens!H779</f>
        <v>23.6828974578565</v>
      </c>
      <c r="I780" s="8" t="n">
        <f aca="false">Sens!I778/Sens!I779</f>
        <v>25.8772378108011</v>
      </c>
      <c r="J780" s="8" t="n">
        <f aca="false">Sens!J778/Sens!J779</f>
        <v>27.8690564494982</v>
      </c>
      <c r="K780" s="8" t="n">
        <f aca="false">Sens!K778/Sens!K779</f>
        <v>29.7706354154849</v>
      </c>
      <c r="L780" s="1" t="s">
        <v>1079</v>
      </c>
    </row>
    <row r="781" customFormat="false" ht="17.15" hidden="false" customHeight="false" outlineLevel="0" collapsed="false">
      <c r="A781" s="1" t="s">
        <v>1080</v>
      </c>
      <c r="B781" s="0" t="s">
        <v>98</v>
      </c>
      <c r="D781" s="6" t="n">
        <f aca="false">Sens!D778</f>
        <v>101.832</v>
      </c>
      <c r="E781" s="6" t="n">
        <f aca="false">Sens!E778</f>
        <v>133.749</v>
      </c>
      <c r="F781" s="6" t="n">
        <f aca="false">Sens!F778+Sens!F771*(1-tax_f)</f>
        <v>149.177070920346</v>
      </c>
      <c r="G781" s="6" t="n">
        <f aca="false">Sens!G778+Sens!G771*(1-tax_f)</f>
        <v>174.773350585802</v>
      </c>
      <c r="H781" s="6" t="n">
        <f aca="false">Sens!H778+Sens!H771*(1-tax_f)</f>
        <v>209.117355543068</v>
      </c>
      <c r="I781" s="6" t="n">
        <f aca="false">Sens!I778+Sens!I771*(1-tax_f)</f>
        <v>237.287579402133</v>
      </c>
      <c r="J781" s="6" t="n">
        <f aca="false">Sens!J778+Sens!J771*(1-tax_f)</f>
        <v>260.673016927428</v>
      </c>
      <c r="K781" s="6" t="n">
        <f aca="false">Sens!K778+Sens!K771*(1-tax_f)</f>
        <v>279.577540439785</v>
      </c>
    </row>
    <row r="782" customFormat="false" ht="17.15" hidden="false" customHeight="false" outlineLevel="0" collapsed="false">
      <c r="A782" s="0" t="s">
        <v>1081</v>
      </c>
      <c r="B782" s="0" t="s">
        <v>75</v>
      </c>
      <c r="D782" s="8" t="n">
        <f aca="false">Sens!D781/Sens!D779</f>
        <v>13.641259209645</v>
      </c>
      <c r="E782" s="8" t="n">
        <f aca="false">Sens!E781/Sens!E779</f>
        <v>17.9456594659869</v>
      </c>
      <c r="F782" s="8" t="n">
        <f aca="false">Sens!F781/Sens!F779</f>
        <v>19.9608042978987</v>
      </c>
      <c r="G782" s="8" t="n">
        <f aca="false">Sens!G781/Sens!G779</f>
        <v>23.2457738359781</v>
      </c>
      <c r="H782" s="8" t="n">
        <f aca="false">Sens!H781/Sens!H779</f>
        <v>27.7116107753145</v>
      </c>
      <c r="I782" s="8" t="n">
        <f aca="false">Sens!I781/Sens!I779</f>
        <v>31.3960447229171</v>
      </c>
      <c r="J782" s="8" t="n">
        <f aca="false">Sens!J781/Sens!J779</f>
        <v>34.4257738465023</v>
      </c>
      <c r="K782" s="8" t="n">
        <f aca="false">Sens!K781/Sens!K779</f>
        <v>36.8424348520752</v>
      </c>
      <c r="L782" s="1" t="s">
        <v>1082</v>
      </c>
    </row>
    <row r="783" customFormat="false" ht="17.15" hidden="false" customHeight="false" outlineLevel="0" collapsed="false">
      <c r="A783" s="0" t="s">
        <v>1083</v>
      </c>
      <c r="B783" s="0" t="s">
        <v>168</v>
      </c>
      <c r="E783" s="7" t="n">
        <f aca="false">Sens!E782/Sens!D782-1</f>
        <v>0.315542736208578</v>
      </c>
      <c r="F783" s="7" t="n">
        <f aca="false">Sens!F782/Sens!E782-1</f>
        <v>0.112291489523203</v>
      </c>
      <c r="G783" s="7" t="n">
        <f aca="false">Sens!G782/Sens!F782-1</f>
        <v>0.164571000699869</v>
      </c>
      <c r="H783" s="7" t="n">
        <f aca="false">Sens!H782/Sens!G782-1</f>
        <v>0.19211392878754</v>
      </c>
      <c r="I783" s="7" t="n">
        <f aca="false">Sens!I782/Sens!H782-1</f>
        <v>0.132956325688751</v>
      </c>
      <c r="J783" s="7" t="n">
        <f aca="false">Sens!J782/Sens!I782-1</f>
        <v>0.0965003442415691</v>
      </c>
      <c r="K783" s="7" t="n">
        <f aca="false">Sens!K782/Sens!J782-1</f>
        <v>0.0701991774055193</v>
      </c>
    </row>
    <row r="784" customFormat="false" ht="17.15" hidden="false" customHeight="false" outlineLevel="0" collapsed="false">
      <c r="A784" s="0" t="s">
        <v>1003</v>
      </c>
      <c r="B784" s="0" t="s">
        <v>98</v>
      </c>
      <c r="E784" s="6" t="n">
        <f aca="false">Sens!E725</f>
        <v>5.25</v>
      </c>
      <c r="F784" s="6" t="n">
        <f aca="false">Sens!F725</f>
        <v>13.5</v>
      </c>
      <c r="G784" s="6" t="n">
        <f aca="false">Sens!G725</f>
        <v>22.5</v>
      </c>
      <c r="H784" s="6" t="n">
        <f aca="false">Sens!H725</f>
        <v>31.5</v>
      </c>
      <c r="I784" s="6" t="n">
        <f aca="false">Sens!I725</f>
        <v>38.25</v>
      </c>
      <c r="J784" s="6" t="n">
        <f aca="false">Sens!J725</f>
        <v>42.75</v>
      </c>
      <c r="K784" s="6" t="n">
        <f aca="false">Sens!K725</f>
        <v>47.25</v>
      </c>
    </row>
    <row r="785" customFormat="false" ht="17.15" hidden="false" customHeight="false" outlineLevel="0" collapsed="false">
      <c r="A785" s="1" t="s">
        <v>1004</v>
      </c>
      <c r="B785" s="0" t="s">
        <v>98</v>
      </c>
      <c r="F785" s="6" t="n">
        <f aca="false">MAX(0,((Sens!E685+Sens!F685)/2-(shadow_base*(Sens!$D$685+Sens!$E$685)/2+(1-shadow_base)*Sens!$E$685))*Sens!F694/1000-(Sens!F784-Sens!$E$784)*Sens!F764)</f>
        <v>8.88340674531245</v>
      </c>
      <c r="G785" s="6" t="n">
        <f aca="false">MAX(0,((Sens!F685+Sens!G685)/2-(shadow_base*(Sens!$D$685+Sens!$E$685)/2+(1-shadow_base)*Sens!$E$685))*Sens!G694/1000-(Sens!G784-Sens!$E$784)*Sens!G764)</f>
        <v>22.7060305170273</v>
      </c>
      <c r="H785" s="6" t="n">
        <f aca="false">MAX(0,((Sens!G685+Sens!H685)/2-(shadow_base*(Sens!$D$685+Sens!$E$685)/2+(1-shadow_base)*Sens!$E$685))*Sens!H694/1000-(Sens!H784-Sens!$E$784)*Sens!H764)</f>
        <v>38.0018452382075</v>
      </c>
      <c r="I785" s="6" t="n">
        <f aca="false">MAX(0,((Sens!H685+Sens!I685)/2-(shadow_base*(Sens!$D$685+Sens!$E$685)/2+(1-shadow_base)*Sens!$E$685))*Sens!I694/1000-(Sens!I784-Sens!$E$784)*Sens!I764)</f>
        <v>52.1381094705177</v>
      </c>
      <c r="J785" s="6" t="n">
        <f aca="false">MAX(0,((Sens!I685+Sens!J685)/2-(shadow_base*(Sens!$D$685+Sens!$E$685)/2+(1-shadow_base)*Sens!$E$685))*Sens!J694/1000-(Sens!J784-Sens!$E$784)*Sens!J764)</f>
        <v>62.0595818934393</v>
      </c>
      <c r="K785" s="6" t="n">
        <f aca="false">MAX(0,((Sens!J685+Sens!K685)/2-(shadow_base*(Sens!$D$685+Sens!$E$685)/2+(1-shadow_base)*Sens!$E$685))*Sens!K694/1000-(Sens!K784-Sens!$E$784)*Sens!K764)</f>
        <v>67.0801312706266</v>
      </c>
      <c r="L785" s="1" t="s">
        <v>1005</v>
      </c>
    </row>
    <row r="786" customFormat="false" ht="17.15" hidden="false" customHeight="false" outlineLevel="0" collapsed="false">
      <c r="A786" s="1" t="s">
        <v>1006</v>
      </c>
      <c r="B786" s="0" t="s">
        <v>98</v>
      </c>
      <c r="F786" s="6" t="n">
        <f aca="false">IF(internal_ai_reading=2,1,0)*Sens!F785</f>
        <v>8.88340674531245</v>
      </c>
      <c r="G786" s="6" t="n">
        <f aca="false">IF(internal_ai_reading=2,1,0)*Sens!G785</f>
        <v>22.7060305170273</v>
      </c>
      <c r="H786" s="6" t="n">
        <f aca="false">IF(internal_ai_reading=2,1,0)*Sens!H785</f>
        <v>38.0018452382075</v>
      </c>
      <c r="I786" s="6" t="n">
        <f aca="false">IF(internal_ai_reading=2,1,0)*Sens!I785</f>
        <v>52.1381094705177</v>
      </c>
      <c r="J786" s="6" t="n">
        <f aca="false">IF(internal_ai_reading=2,1,0)*Sens!J785</f>
        <v>62.0595818934393</v>
      </c>
      <c r="K786" s="6" t="n">
        <f aca="false">IF(internal_ai_reading=2,1,0)*Sens!K785</f>
        <v>67.0801312706266</v>
      </c>
    </row>
    <row r="787" customFormat="false" ht="17.15" hidden="false" customHeight="false" outlineLevel="0" collapsed="false">
      <c r="A787" s="0" t="s">
        <v>1007</v>
      </c>
      <c r="B787" s="0" t="s">
        <v>98</v>
      </c>
      <c r="F787" s="6" t="n">
        <f aca="false">Sens!F704+Sens!F784*Sens!F764+Sens!F786-Sens!F705-Sens!F716</f>
        <v>9.64135533050902</v>
      </c>
      <c r="G787" s="6" t="n">
        <f aca="false">Sens!G704+Sens!G784*Sens!G764+Sens!G786-Sens!G705-Sens!G716</f>
        <v>27.6806616798994</v>
      </c>
      <c r="H787" s="6" t="n">
        <f aca="false">Sens!H704+Sens!H784*Sens!H764+Sens!H786-Sens!H705-Sens!H716</f>
        <v>50.4300903577187</v>
      </c>
      <c r="I787" s="6" t="n">
        <f aca="false">Sens!I704+Sens!I784*Sens!I764+Sens!I786-Sens!I705-Sens!I716</f>
        <v>65.8404917342225</v>
      </c>
      <c r="J787" s="6" t="n">
        <f aca="false">Sens!J704+Sens!J784*Sens!J764+Sens!J786-Sens!J705-Sens!J716</f>
        <v>76.4304927387213</v>
      </c>
      <c r="K787" s="6" t="n">
        <f aca="false">Sens!K704+Sens!K784*Sens!K764+Sens!K786-Sens!K705-Sens!K716</f>
        <v>83.3851461461894</v>
      </c>
    </row>
    <row r="788" customFormat="false" ht="17.15" hidden="false" customHeight="false" outlineLevel="0" collapsed="false">
      <c r="A788" s="0" t="s">
        <v>1008</v>
      </c>
      <c r="B788" s="0" t="s">
        <v>98</v>
      </c>
      <c r="E788" s="6" t="n">
        <f aca="false">Sens!E684*(cxit_open+self_build*tk_cxfac)/1000*ai_net_open</f>
        <v>126.6980382</v>
      </c>
      <c r="F788" s="6" t="n">
        <f aca="false">Sens!E788+Sens!F713-Sens!F716</f>
        <v>260.572627763768</v>
      </c>
      <c r="G788" s="6" t="n">
        <f aca="false">Sens!F788+Sens!G713-Sens!G716</f>
        <v>391.782612760517</v>
      </c>
      <c r="H788" s="6" t="n">
        <f aca="false">Sens!G788+Sens!H713-Sens!H716</f>
        <v>499.488526163584</v>
      </c>
      <c r="I788" s="6" t="n">
        <f aca="false">Sens!H788+Sens!I713-Sens!I716</f>
        <v>553.872350090646</v>
      </c>
      <c r="J788" s="6" t="n">
        <f aca="false">Sens!I788+Sens!J713-Sens!J716</f>
        <v>550.78660823699</v>
      </c>
      <c r="K788" s="6" t="n">
        <f aca="false">Sens!J788+Sens!K713-Sens!K716</f>
        <v>526.736791750789</v>
      </c>
      <c r="L788" s="1" t="s">
        <v>1009</v>
      </c>
    </row>
    <row r="789" customFormat="false" ht="17.15" hidden="false" customHeight="false" outlineLevel="0" collapsed="false">
      <c r="A789" s="0" t="s">
        <v>1010</v>
      </c>
      <c r="B789" s="0" t="s">
        <v>168</v>
      </c>
      <c r="F789" s="7" t="n">
        <f aca="false">Sens!F787*(1-tax_f)/((Sens!E788+Sens!F788)/2)</f>
        <v>0.0398330415509902</v>
      </c>
      <c r="G789" s="7" t="n">
        <f aca="false">Sens!G787*(1-tax_f)/((Sens!F788+Sens!G788)/2)</f>
        <v>0.0678910138780289</v>
      </c>
      <c r="H789" s="7" t="n">
        <f aca="false">Sens!H787*(1-tax_f)/((Sens!G788+Sens!H788)/2)</f>
        <v>0.0905315352966021</v>
      </c>
      <c r="I789" s="7" t="n">
        <f aca="false">Sens!I787*(1-tax_f)/((Sens!H788+Sens!I788)/2)</f>
        <v>0.10000825847013</v>
      </c>
      <c r="J789" s="7" t="n">
        <f aca="false">Sens!J787*(1-tax_f)/((Sens!I788+Sens!J788)/2)</f>
        <v>0.110702753515066</v>
      </c>
      <c r="K789" s="7" t="n">
        <f aca="false">Sens!K787*(1-tax_f)/((Sens!J788+Sens!K788)/2)</f>
        <v>0.123817481676422</v>
      </c>
    </row>
    <row r="790" customFormat="false" ht="17.15" hidden="false" customHeight="false" outlineLevel="0" collapsed="false">
      <c r="A790" s="1" t="s">
        <v>1011</v>
      </c>
      <c r="B790" s="0" t="s">
        <v>168</v>
      </c>
      <c r="F790" s="7" t="n">
        <f aca="false">(Sens!F787-Sens!F786)*(1-tax_f)/((Sens!E788+Sens!F788)/2)</f>
        <v>0.00313144744205325</v>
      </c>
      <c r="G790" s="7" t="n">
        <f aca="false">(Sens!G787-Sens!G786)*(1-tax_f)/((Sens!F788+Sens!G788)/2)</f>
        <v>0.0122010361320905</v>
      </c>
      <c r="H790" s="7" t="n">
        <f aca="false">(Sens!H787-Sens!H786)*(1-tax_f)/((Sens!G788+Sens!H788)/2)</f>
        <v>0.0223110469112939</v>
      </c>
      <c r="I790" s="7" t="n">
        <f aca="false">(Sens!I787-Sens!I786)*(1-tax_f)/((Sens!H788+Sens!I788)/2)</f>
        <v>0.0208132009799807</v>
      </c>
      <c r="J790" s="7" t="n">
        <f aca="false">(Sens!J787-Sens!J786)*(1-tax_f)/((Sens!I788+Sens!J788)/2)</f>
        <v>0.0208149829222056</v>
      </c>
      <c r="K790" s="7" t="n">
        <f aca="false">(Sens!K787-Sens!K786)*(1-tax_f)/((Sens!J788+Sens!K788)/2)</f>
        <v>0.0242110972264698</v>
      </c>
    </row>
    <row r="791" customFormat="false" ht="17.15" hidden="false" customHeight="false" outlineLevel="0" collapsed="false">
      <c r="A791" s="1" t="s">
        <v>1012</v>
      </c>
      <c r="B791" s="0" t="s">
        <v>168</v>
      </c>
      <c r="F791" s="7" t="n">
        <f aca="false">(Sens!F787-Sens!F786+Sens!F785)*(1-tax_f)/((Sens!E788+Sens!F788)/2)</f>
        <v>0.0398330415509902</v>
      </c>
      <c r="G791" s="7" t="n">
        <f aca="false">(Sens!G787-Sens!G786+Sens!G785)*(1-tax_f)/((Sens!F788+Sens!G788)/2)</f>
        <v>0.0678910138780289</v>
      </c>
      <c r="H791" s="7" t="n">
        <f aca="false">(Sens!H787-Sens!H786+Sens!H785)*(1-tax_f)/((Sens!G788+Sens!H788)/2)</f>
        <v>0.0905315352966021</v>
      </c>
      <c r="I791" s="7" t="n">
        <f aca="false">(Sens!I787-Sens!I786+Sens!I785)*(1-tax_f)/((Sens!H788+Sens!I788)/2)</f>
        <v>0.10000825847013</v>
      </c>
      <c r="J791" s="7" t="n">
        <f aca="false">(Sens!J787-Sens!J786+Sens!J785)*(1-tax_f)/((Sens!I788+Sens!J788)/2)</f>
        <v>0.110702753515066</v>
      </c>
      <c r="K791" s="7" t="n">
        <f aca="false">(Sens!K787-Sens!K786+Sens!K785)*(1-tax_f)/((Sens!J788+Sens!K788)/2)</f>
        <v>0.123817481676422</v>
      </c>
    </row>
    <row r="792" customFormat="false" ht="17.15" hidden="false" customHeight="false" outlineLevel="0" collapsed="false">
      <c r="A792" s="1" t="s">
        <v>1013</v>
      </c>
      <c r="B792" s="0" t="s">
        <v>168</v>
      </c>
      <c r="F792" s="7" t="n">
        <f aca="false">Sens!F717*(1-tax_f)/(Sens!F703*(Sens!E788+Sens!F788)/2)</f>
        <v>0.0936682235394012</v>
      </c>
      <c r="G792" s="7" t="n">
        <f aca="false">Sens!G717*(1-tax_f)/(Sens!G703*(Sens!F788+Sens!G788)/2)</f>
        <v>0.113484295363906</v>
      </c>
      <c r="H792" s="7" t="n">
        <f aca="false">Sens!H717*(1-tax_f)/(Sens!H703*(Sens!G788+Sens!H788)/2)</f>
        <v>0.138454543300901</v>
      </c>
      <c r="I792" s="7" t="n">
        <f aca="false">Sens!I717*(1-tax_f)/(Sens!I703*(Sens!H788+Sens!I788)/2)</f>
        <v>0.146698556254258</v>
      </c>
      <c r="J792" s="7" t="n">
        <f aca="false">Sens!J717*(1-tax_f)/(Sens!J703*(Sens!I788+Sens!J788)/2)</f>
        <v>0.159371418271889</v>
      </c>
      <c r="K792" s="7" t="n">
        <f aca="false">Sens!K717*(1-tax_f)/(Sens!K703*(Sens!J788+Sens!K788)/2)</f>
        <v>0.176714932226883</v>
      </c>
    </row>
    <row r="793" customFormat="false" ht="17.15" hidden="false" customHeight="false" outlineLevel="0" collapsed="false">
      <c r="A793" s="0" t="s">
        <v>1014</v>
      </c>
      <c r="B793" s="0" t="s">
        <v>253</v>
      </c>
      <c r="F793" s="7" t="n">
        <f aca="false">Sens!F789-wacc</f>
        <v>-0.0631035493946071</v>
      </c>
      <c r="G793" s="7" t="n">
        <f aca="false">Sens!G789-wacc</f>
        <v>-0.0350455770675684</v>
      </c>
      <c r="H793" s="7" t="n">
        <f aca="false">Sens!H789-wacc</f>
        <v>-0.0124050556489952</v>
      </c>
      <c r="I793" s="7" t="n">
        <f aca="false">Sens!I789-wacc</f>
        <v>-0.00292833247546684</v>
      </c>
      <c r="J793" s="7" t="n">
        <f aca="false">Sens!J789-wacc</f>
        <v>0.0077661625694689</v>
      </c>
      <c r="K793" s="7" t="n">
        <f aca="false">Sens!K789-wacc</f>
        <v>0.0208808907308249</v>
      </c>
    </row>
    <row r="794" customFormat="false" ht="17.15" hidden="false" customHeight="false" outlineLevel="0" collapsed="false">
      <c r="A794" s="0" t="s">
        <v>1015</v>
      </c>
      <c r="B794" s="0" t="s">
        <v>98</v>
      </c>
      <c r="F794" s="6" t="n">
        <f aca="false">Sens!F787*(1-tax_f)-wacc*(Sens!E788+Sens!F788)/2</f>
        <v>-12.2190767993635</v>
      </c>
      <c r="G794" s="6" t="n">
        <f aca="false">Sens!G787*(1-tax_f)-wacc*(Sens!F788+Sens!G788)/2</f>
        <v>-11.431082928613</v>
      </c>
      <c r="H794" s="6" t="n">
        <f aca="false">Sens!H787*(1-tax_f)-wacc*(Sens!G788+Sens!H788)/2</f>
        <v>-5.5281340383484</v>
      </c>
      <c r="I794" s="6" t="n">
        <f aca="false">Sens!I787*(1-tax_f)-wacc*(Sens!H788+Sens!I788)/2</f>
        <v>-1.54229543116073</v>
      </c>
      <c r="J794" s="6" t="n">
        <f aca="false">Sens!J787*(1-tax_f)-wacc*(Sens!I788+Sens!J788)/2</f>
        <v>4.2894805270963</v>
      </c>
      <c r="K794" s="6" t="n">
        <f aca="false">Sens!K787*(1-tax_f)-wacc*(Sens!J788+Sens!K788)/2</f>
        <v>11.2498241875259</v>
      </c>
    </row>
    <row r="795" customFormat="false" ht="17.15" hidden="false" customHeight="false" outlineLevel="0" collapsed="false">
      <c r="A795" s="3" t="s">
        <v>1498</v>
      </c>
    </row>
    <row r="796" customFormat="false" ht="15" hidden="false" customHeight="false" outlineLevel="0" collapsed="false">
      <c r="A796" s="4" t="s">
        <v>43</v>
      </c>
      <c r="B796" s="4" t="s">
        <v>65</v>
      </c>
      <c r="C796" s="23" t="s">
        <v>938</v>
      </c>
      <c r="D796" s="23" t="s">
        <v>939</v>
      </c>
      <c r="E796" s="23" t="s">
        <v>940</v>
      </c>
      <c r="F796" s="23" t="s">
        <v>941</v>
      </c>
      <c r="G796" s="23" t="s">
        <v>942</v>
      </c>
      <c r="H796" s="23" t="s">
        <v>943</v>
      </c>
      <c r="I796" s="23" t="s">
        <v>944</v>
      </c>
      <c r="J796" s="23" t="s">
        <v>945</v>
      </c>
      <c r="K796" s="23" t="s">
        <v>946</v>
      </c>
      <c r="L796" s="4" t="s">
        <v>47</v>
      </c>
    </row>
    <row r="797" customFormat="false" ht="15" hidden="false" customHeight="false" outlineLevel="0" collapsed="false">
      <c r="A797" s="1" t="s">
        <v>1076</v>
      </c>
      <c r="B797" s="0" t="s">
        <v>98</v>
      </c>
      <c r="F797" s="6" t="n">
        <f aca="false">Sens!F778</f>
        <v>142.070345524096</v>
      </c>
      <c r="G797" s="6" t="n">
        <f aca="false">Sens!G778</f>
        <v>156.60852617218</v>
      </c>
      <c r="H797" s="6" t="n">
        <f aca="false">Sens!H778</f>
        <v>178.715879352502</v>
      </c>
      <c r="I797" s="6" t="n">
        <f aca="false">Sens!I778</f>
        <v>195.577091825719</v>
      </c>
      <c r="J797" s="6" t="n">
        <f aca="false">Sens!J778</f>
        <v>211.025351412676</v>
      </c>
      <c r="K797" s="6" t="n">
        <f aca="false">Sens!K778</f>
        <v>225.913435423284</v>
      </c>
    </row>
    <row r="798" customFormat="false" ht="17.15" hidden="false" customHeight="false" outlineLevel="0" collapsed="false">
      <c r="A798" s="1" t="s">
        <v>1098</v>
      </c>
      <c r="B798" s="0" t="s">
        <v>98</v>
      </c>
      <c r="E798" s="6" t="n">
        <f aca="false">Q!M38-Sens!E716</f>
        <v>22.2285940229167</v>
      </c>
      <c r="F798" s="6" t="n">
        <f aca="false">Sens!E798*(1-1/life_nonai)+(Sens!F806+Sens!F807)/life_nonai</f>
        <v>23.6145210461303</v>
      </c>
      <c r="G798" s="6" t="n">
        <f aca="false">Sens!F798*(1-1/life_nonai)+(Sens!G806)/life_nonai</f>
        <v>25.457160808621</v>
      </c>
      <c r="H798" s="6" t="n">
        <f aca="false">Sens!G798*(1-1/life_nonai)+(Sens!H806)/life_nonai</f>
        <v>27.7194944267692</v>
      </c>
      <c r="I798" s="6" t="n">
        <f aca="false">Sens!H798*(1-1/life_nonai)+(Sens!I806)/life_nonai</f>
        <v>30.3245827205244</v>
      </c>
      <c r="J798" s="6" t="n">
        <f aca="false">Sens!I798*(1-1/life_nonai)+(Sens!J806)/life_nonai</f>
        <v>33.1794149655825</v>
      </c>
      <c r="K798" s="6" t="n">
        <f aca="false">Sens!J798*(1-1/life_nonai)+(Sens!K806)/life_nonai</f>
        <v>36.1982290965846</v>
      </c>
      <c r="L798" s="12" t="s">
        <v>1099</v>
      </c>
    </row>
    <row r="799" customFormat="false" ht="17.15" hidden="false" customHeight="false" outlineLevel="0" collapsed="false">
      <c r="A799" s="1" t="s">
        <v>1100</v>
      </c>
      <c r="B799" s="0" t="s">
        <v>98</v>
      </c>
      <c r="F799" s="6" t="n">
        <f aca="false">Sens!$F$807/life_nonai*(1-1/life_nonai)^(Sens!F679-2027)</f>
        <v>0</v>
      </c>
      <c r="G799" s="6" t="n">
        <f aca="false">Sens!$F$807/life_nonai*(1-1/life_nonai)^(Sens!G679-2027)</f>
        <v>0</v>
      </c>
      <c r="H799" s="6" t="n">
        <f aca="false">Sens!$F$807/life_nonai*(1-1/life_nonai)^(Sens!H679-2027)</f>
        <v>0</v>
      </c>
      <c r="I799" s="6" t="n">
        <f aca="false">Sens!$F$807/life_nonai*(1-1/life_nonai)^(Sens!I679-2027)</f>
        <v>0</v>
      </c>
      <c r="J799" s="6" t="n">
        <f aca="false">Sens!$F$807/life_nonai*(1-1/life_nonai)^(Sens!J679-2027)</f>
        <v>0</v>
      </c>
      <c r="K799" s="6" t="n">
        <f aca="false">Sens!$F$807/life_nonai*(1-1/life_nonai)^(Sens!K679-2027)</f>
        <v>0</v>
      </c>
      <c r="L799" s="1" t="s">
        <v>1101</v>
      </c>
    </row>
    <row r="800" customFormat="false" ht="17.15" hidden="false" customHeight="false" outlineLevel="0" collapsed="false">
      <c r="A800" s="1" t="s">
        <v>1102</v>
      </c>
      <c r="B800" s="0" t="s">
        <v>98</v>
      </c>
      <c r="E800" s="6" t="n">
        <f aca="false">Sens!E716+Sens!E798</f>
        <v>38.534</v>
      </c>
      <c r="F800" s="6" t="n">
        <f aca="false">Sens!F716+Sens!F798</f>
        <v>58.1938355244819</v>
      </c>
      <c r="G800" s="6" t="n">
        <f aca="false">Sens!G716+Sens!G798</f>
        <v>86.19165146092</v>
      </c>
      <c r="H800" s="6" t="n">
        <f aca="false">Sens!H716+Sens!H798</f>
        <v>116.819585088215</v>
      </c>
      <c r="I800" s="6" t="n">
        <f aca="false">Sens!I716+Sens!I798</f>
        <v>144.555592415073</v>
      </c>
      <c r="J800" s="6" t="n">
        <f aca="false">Sens!J716+Sens!J798</f>
        <v>165.195088015179</v>
      </c>
      <c r="K800" s="6" t="n">
        <f aca="false">Sens!K716+Sens!K798</f>
        <v>179.210898647519</v>
      </c>
    </row>
    <row r="801" customFormat="false" ht="17.15" hidden="false" customHeight="false" outlineLevel="0" collapsed="false">
      <c r="A801" s="1" t="s">
        <v>1103</v>
      </c>
      <c r="B801" s="0" t="s">
        <v>98</v>
      </c>
      <c r="F801" s="6" t="n">
        <f aca="false">Sens!F743*sbc_r</f>
        <v>14.8094272719194</v>
      </c>
      <c r="G801" s="6" t="n">
        <f aca="false">Sens!G743*sbc_r</f>
        <v>17.8905210600259</v>
      </c>
      <c r="H801" s="6" t="n">
        <f aca="false">Sens!H743*sbc_r</f>
        <v>21.1924847658337</v>
      </c>
      <c r="I801" s="6" t="n">
        <f aca="false">Sens!I743*sbc_r</f>
        <v>24.0277762690697</v>
      </c>
      <c r="J801" s="6" t="n">
        <f aca="false">Sens!J743*sbc_r</f>
        <v>26.334366639722</v>
      </c>
      <c r="K801" s="6" t="n">
        <f aca="false">Sens!K743*sbc_r</f>
        <v>28.1954039191456</v>
      </c>
    </row>
    <row r="802" customFormat="false" ht="17.15" hidden="false" customHeight="false" outlineLevel="0" collapsed="false">
      <c r="A802" s="1" t="s">
        <v>1104</v>
      </c>
      <c r="B802" s="0" t="s">
        <v>98</v>
      </c>
      <c r="F802" s="6" t="n">
        <f aca="false">wc27-wc26q1</f>
        <v>-4.677</v>
      </c>
      <c r="G802" s="6" t="n">
        <f aca="false">wc_f</f>
        <v>0</v>
      </c>
      <c r="H802" s="6" t="n">
        <f aca="false">wc_f</f>
        <v>0</v>
      </c>
      <c r="I802" s="6" t="n">
        <f aca="false">wc_f</f>
        <v>0</v>
      </c>
      <c r="J802" s="6" t="n">
        <f aca="false">wc_f</f>
        <v>0</v>
      </c>
      <c r="K802" s="6" t="n">
        <f aca="false">wc_f</f>
        <v>0</v>
      </c>
      <c r="L802" s="12" t="s">
        <v>1105</v>
      </c>
    </row>
    <row r="803" customFormat="false" ht="17.15" hidden="false" customHeight="false" outlineLevel="0" collapsed="false">
      <c r="A803" s="0" t="s">
        <v>1106</v>
      </c>
      <c r="B803" s="0" t="s">
        <v>98</v>
      </c>
      <c r="F803" s="6" t="n">
        <f aca="false">Q!$I$35-Q!$I$26-Q!$I$38-Q!$I$39</f>
        <v>6.493</v>
      </c>
      <c r="L803" s="1" t="s">
        <v>1107</v>
      </c>
    </row>
    <row r="804" customFormat="false" ht="15" hidden="false" customHeight="false" outlineLevel="0" collapsed="false">
      <c r="A804" s="1" t="s">
        <v>904</v>
      </c>
      <c r="B804" s="0" t="s">
        <v>98</v>
      </c>
      <c r="E804" s="6" t="n">
        <f aca="false">Q!M35</f>
        <v>182.935</v>
      </c>
      <c r="F804" s="6" t="n">
        <f aca="false">Sens!F797+Sens!F800+Sens!F801+Sens!F802+Sens!F803</f>
        <v>216.889608320497</v>
      </c>
      <c r="G804" s="6" t="n">
        <f aca="false">Sens!G797+Sens!G800+Sens!G801+Sens!G802</f>
        <v>260.690698693125</v>
      </c>
      <c r="H804" s="6" t="n">
        <f aca="false">Sens!H797+Sens!H800+Sens!H801+Sens!H802</f>
        <v>316.727949206551</v>
      </c>
      <c r="I804" s="6" t="n">
        <f aca="false">Sens!I797+Sens!I800+Sens!I801+Sens!I802</f>
        <v>364.160460509861</v>
      </c>
      <c r="J804" s="6" t="n">
        <f aca="false">Sens!J797+Sens!J800+Sens!J801+Sens!J802</f>
        <v>402.554806067577</v>
      </c>
      <c r="K804" s="6" t="n">
        <f aca="false">Sens!K797+Sens!K800+Sens!K801+Sens!K802</f>
        <v>433.319737989948</v>
      </c>
    </row>
    <row r="805" customFormat="false" ht="17.15" hidden="false" customHeight="false" outlineLevel="0" collapsed="false">
      <c r="A805" s="0" t="s">
        <v>1108</v>
      </c>
      <c r="B805" s="0" t="s">
        <v>98</v>
      </c>
      <c r="F805" s="6" t="n">
        <f aca="false">Sens!F713</f>
        <v>168.45390404212</v>
      </c>
      <c r="G805" s="6" t="n">
        <f aca="false">Sens!G713</f>
        <v>191.944475649048</v>
      </c>
      <c r="H805" s="6" t="n">
        <f aca="false">Sens!H713</f>
        <v>196.806004064512</v>
      </c>
      <c r="I805" s="6" t="n">
        <f aca="false">Sens!I713</f>
        <v>168.61483362161</v>
      </c>
      <c r="J805" s="6" t="n">
        <f aca="false">Sens!J713</f>
        <v>128.92993119594</v>
      </c>
      <c r="K805" s="6" t="n">
        <f aca="false">Sens!K713</f>
        <v>118.962853064733</v>
      </c>
    </row>
    <row r="806" customFormat="false" ht="17.15" hidden="false" customHeight="false" outlineLevel="0" collapsed="false">
      <c r="A806" s="1" t="s">
        <v>1109</v>
      </c>
      <c r="B806" s="0" t="s">
        <v>98</v>
      </c>
      <c r="E806" s="6" t="n">
        <f aca="false">Sens!E721*cx_azo+Sens!E728*cx_m365+Sens!E729*cx_lic+(Sens!E731+Sens!E733)*cx_ind+Sens!E736*cx_srch+(Sens!E738+Sens!E740)*cx_dev</f>
        <v>30.1846587067718</v>
      </c>
      <c r="F806" s="6" t="n">
        <f aca="false">Sens!F721*cx_azo+Sens!F728*cx_m365+Sens!F729*cx_lic+(Sens!F731+Sens!F733)*cx_ind+Sens!F736*cx_srch+(Sens!F738+Sens!F740)*cx_dev</f>
        <v>36.0878642550528</v>
      </c>
      <c r="G806" s="6" t="n">
        <f aca="false">Sens!G721*cx_azo+Sens!G728*cx_m365+Sens!G729*cx_lic+(Sens!G731+Sens!G733)*cx_ind+Sens!G736*cx_srch+(Sens!G738+Sens!G740)*cx_dev</f>
        <v>42.0409186710375</v>
      </c>
      <c r="H806" s="6" t="n">
        <f aca="false">Sens!H721*cx_azo+Sens!H728*cx_m365+Sens!H729*cx_lic+(Sens!H731+Sens!H733)*cx_ind+Sens!H736*cx_srch+(Sens!H738+Sens!H740)*cx_dev</f>
        <v>48.080496990103</v>
      </c>
      <c r="I806" s="6" t="n">
        <f aca="false">Sens!I721*cx_azo+Sens!I728*cx_m365+Sens!I729*cx_lic+(Sens!I731+Sens!I733)*cx_ind+Sens!I736*cx_srch+(Sens!I738+Sens!I740)*cx_dev</f>
        <v>53.7703773643206</v>
      </c>
      <c r="J806" s="6" t="n">
        <f aca="false">Sens!J721*cx_azo+Sens!J728*cx_m365+Sens!J729*cx_lic+(Sens!J731+Sens!J733)*cx_ind+Sens!J736*cx_srch+(Sens!J738+Sens!J740)*cx_dev</f>
        <v>58.8729051711056</v>
      </c>
      <c r="K806" s="6" t="n">
        <f aca="false">Sens!K721*cx_azo+Sens!K728*cx_m365+Sens!K729*cx_lic+(Sens!K731+Sens!K733)*cx_ind+Sens!K736*cx_srch+(Sens!K738+Sens!K740)*cx_dev</f>
        <v>63.3675562756037</v>
      </c>
    </row>
    <row r="807" customFormat="false" ht="17.15" hidden="false" customHeight="false" outlineLevel="0" collapsed="false">
      <c r="A807" s="0" t="s">
        <v>1110</v>
      </c>
      <c r="B807" s="0" t="s">
        <v>98</v>
      </c>
      <c r="F807" s="6" t="n">
        <f aca="false">Sens!F711</f>
        <v>0</v>
      </c>
      <c r="L807" s="1" t="s">
        <v>1111</v>
      </c>
    </row>
    <row r="808" customFormat="false" ht="17.15" hidden="false" customHeight="false" outlineLevel="0" collapsed="false">
      <c r="A808" s="1" t="s">
        <v>1112</v>
      </c>
      <c r="B808" s="0" t="s">
        <v>98</v>
      </c>
      <c r="E808" s="6" t="n">
        <f aca="false">Q!M43</f>
        <v>145.3</v>
      </c>
      <c r="F808" s="6" t="n">
        <f aca="false">Sens!F805+Sens!F806+Sens!F807</f>
        <v>204.541768297172</v>
      </c>
      <c r="G808" s="6" t="n">
        <f aca="false">Sens!G805+Sens!G806</f>
        <v>233.985394320086</v>
      </c>
      <c r="H808" s="6" t="n">
        <f aca="false">Sens!H805+Sens!H806</f>
        <v>244.886501054615</v>
      </c>
      <c r="I808" s="6" t="n">
        <f aca="false">Sens!I805+Sens!I806</f>
        <v>222.385210985931</v>
      </c>
      <c r="J808" s="6" t="n">
        <f aca="false">Sens!J805+Sens!J806</f>
        <v>187.802836367046</v>
      </c>
      <c r="K808" s="6" t="n">
        <f aca="false">Sens!K805+Sens!K806</f>
        <v>182.330409340336</v>
      </c>
      <c r="L808" s="1" t="s">
        <v>1113</v>
      </c>
    </row>
    <row r="809" customFormat="false" ht="15" hidden="false" customHeight="false" outlineLevel="0" collapsed="false">
      <c r="A809" s="1" t="s">
        <v>1114</v>
      </c>
      <c r="B809" s="0" t="s">
        <v>98</v>
      </c>
      <c r="E809" s="6" t="n">
        <f aca="false">fl_liab</f>
        <v>66.594</v>
      </c>
      <c r="F809" s="6" t="n">
        <f aca="false">Sens!E809-Sens!F810</f>
        <v>62.46973</v>
      </c>
      <c r="G809" s="6" t="n">
        <f aca="false">Sens!F809-Sens!G810</f>
        <v>57.98686785</v>
      </c>
      <c r="H809" s="6" t="n">
        <f aca="false">Sens!G809-Sens!H810</f>
        <v>53.92827690325</v>
      </c>
      <c r="I809" s="6" t="n">
        <f aca="false">Sens!H809-Sens!I810</f>
        <v>49.7850493638962</v>
      </c>
      <c r="J809" s="6" t="n">
        <f aca="false">Sens!I809-Sens!J810</f>
        <v>45.4823765852716</v>
      </c>
      <c r="K809" s="6" t="n">
        <f aca="false">Sens!J809-Sens!K810</f>
        <v>40.9860835316088</v>
      </c>
    </row>
    <row r="810" customFormat="false" ht="15" hidden="false" customHeight="false" outlineLevel="0" collapsed="false">
      <c r="A810" s="1" t="s">
        <v>1115</v>
      </c>
      <c r="B810" s="0" t="s">
        <v>98</v>
      </c>
      <c r="F810" s="6" t="n">
        <f aca="false">fl_pay_27-Sens!E809*fl_rate</f>
        <v>4.12427</v>
      </c>
      <c r="G810" s="6" t="n">
        <f aca="false">fl_pay_28-Sens!F809*fl_rate</f>
        <v>4.48286215</v>
      </c>
      <c r="H810" s="6" t="n">
        <f aca="false">fl_pay_29-Sens!G809*fl_rate</f>
        <v>4.05859094675</v>
      </c>
      <c r="I810" s="6" t="n">
        <f aca="false">fl_pay_30-Sens!H809*fl_rate</f>
        <v>4.14322753935375</v>
      </c>
      <c r="J810" s="6" t="n">
        <f aca="false">fl_pay_31-Sens!I809*fl_rate</f>
        <v>4.30267277862467</v>
      </c>
      <c r="K810" s="6" t="n">
        <f aca="false">fl_pay_32-Sens!J809*fl_rate</f>
        <v>4.49629305366278</v>
      </c>
    </row>
    <row r="811" customFormat="false" ht="17.15" hidden="false" customHeight="false" outlineLevel="0" collapsed="false">
      <c r="A811" s="1" t="s">
        <v>1116</v>
      </c>
      <c r="B811" s="0" t="s">
        <v>98</v>
      </c>
      <c r="E811" s="6" t="n">
        <f aca="false">Q!M35-Q!M36-Q!M44</f>
        <v>63.886</v>
      </c>
      <c r="F811" s="6" t="n">
        <f aca="false">Sens!F804-Sens!F808-Sens!F810</f>
        <v>8.22357002332475</v>
      </c>
      <c r="G811" s="6" t="n">
        <f aca="false">Sens!G804-Sens!G808-Sens!G810</f>
        <v>22.2224422230398</v>
      </c>
      <c r="H811" s="6" t="n">
        <f aca="false">Sens!H804-Sens!H808-Sens!H810</f>
        <v>67.7828572051852</v>
      </c>
      <c r="I811" s="6" t="n">
        <f aca="false">Sens!I804-Sens!I808-Sens!I810</f>
        <v>137.632021984576</v>
      </c>
      <c r="J811" s="6" t="n">
        <f aca="false">Sens!J804-Sens!J808-Sens!J810</f>
        <v>210.449296921906</v>
      </c>
      <c r="K811" s="6" t="n">
        <f aca="false">Sens!K804-Sens!K808-Sens!K810</f>
        <v>246.493035595949</v>
      </c>
      <c r="L811" s="12" t="s">
        <v>1117</v>
      </c>
    </row>
    <row r="812" customFormat="false" ht="15" hidden="false" customHeight="false" outlineLevel="0" collapsed="false">
      <c r="A812" s="1" t="s">
        <v>1118</v>
      </c>
      <c r="B812" s="0" t="s">
        <v>75</v>
      </c>
      <c r="F812" s="8" t="n">
        <f aca="false">dps_27</f>
        <v>3.85</v>
      </c>
      <c r="G812" s="8" t="n">
        <f aca="false">Sens!F812*(1+dps_g)</f>
        <v>4.158</v>
      </c>
      <c r="H812" s="8" t="n">
        <f aca="false">Sens!G812*(1+dps_g)</f>
        <v>4.49064</v>
      </c>
      <c r="I812" s="8" t="n">
        <f aca="false">Sens!H812*(1+dps_g)</f>
        <v>4.8498912</v>
      </c>
      <c r="J812" s="8" t="n">
        <f aca="false">Sens!I812*(1+dps_g)</f>
        <v>5.237882496</v>
      </c>
      <c r="K812" s="8" t="n">
        <f aca="false">Sens!J812*(1+dps_g)</f>
        <v>5.65691309568</v>
      </c>
    </row>
    <row r="813" customFormat="false" ht="17.15" hidden="false" customHeight="false" outlineLevel="0" collapsed="false">
      <c r="A813" s="1" t="s">
        <v>1119</v>
      </c>
      <c r="B813" s="0" t="s">
        <v>98</v>
      </c>
      <c r="E813" s="6" t="n">
        <f aca="false">Q!M41</f>
        <v>26.445</v>
      </c>
      <c r="F813" s="6" t="n">
        <f aca="false">Sens!F812*Sens!E822</f>
        <v>28.59395</v>
      </c>
      <c r="G813" s="6" t="n">
        <f aca="false">Sens!G812*Sens!F822</f>
        <v>31.068576</v>
      </c>
      <c r="H813" s="6" t="n">
        <f aca="false">Sens!H812*Sens!G822</f>
        <v>33.75614088</v>
      </c>
      <c r="I813" s="6" t="n">
        <f aca="false">Sens!I812*Sens!H822</f>
        <v>36.5070704274727</v>
      </c>
      <c r="J813" s="6" t="n">
        <f aca="false">Sens!J812*Sens!I822</f>
        <v>39.4955339470631</v>
      </c>
      <c r="K813" s="6" t="n">
        <f aca="false">Sens!K812*Sens!J822</f>
        <v>42.7419309252064</v>
      </c>
      <c r="L813" s="1" t="s">
        <v>1120</v>
      </c>
    </row>
    <row r="814" customFormat="false" ht="15" hidden="false" customHeight="false" outlineLevel="0" collapsed="false">
      <c r="A814" s="1" t="s">
        <v>1121</v>
      </c>
      <c r="B814" s="0" t="s">
        <v>98</v>
      </c>
      <c r="E814" s="6" t="n">
        <f aca="false">Sens!E811-Sens!E813</f>
        <v>37.441</v>
      </c>
      <c r="F814" s="6" t="n">
        <f aca="false">Sens!F811-Sens!F813</f>
        <v>-20.3703799766753</v>
      </c>
      <c r="G814" s="6" t="n">
        <f aca="false">Sens!G811-Sens!G813</f>
        <v>-8.84613377696022</v>
      </c>
      <c r="H814" s="6" t="n">
        <f aca="false">Sens!H811-Sens!H813</f>
        <v>34.0267163251852</v>
      </c>
      <c r="I814" s="6" t="n">
        <f aca="false">Sens!I811-Sens!I813</f>
        <v>101.124951557104</v>
      </c>
      <c r="J814" s="6" t="n">
        <f aca="false">Sens!J811-Sens!J813</f>
        <v>170.953762974843</v>
      </c>
      <c r="K814" s="6" t="n">
        <f aca="false">Sens!K811-Sens!K813</f>
        <v>203.751104670743</v>
      </c>
    </row>
    <row r="815" customFormat="false" ht="15" hidden="false" customHeight="false" outlineLevel="0" collapsed="false">
      <c r="A815" s="1" t="s">
        <v>1122</v>
      </c>
      <c r="B815" s="0" t="s">
        <v>98</v>
      </c>
      <c r="F815" s="6" t="n">
        <f aca="false">debt_mat_27</f>
        <v>9.25</v>
      </c>
      <c r="G815" s="6" t="n">
        <f aca="false">debt_mat_28</f>
        <v>0</v>
      </c>
      <c r="H815" s="6" t="n">
        <f aca="false">debt_mat_29</f>
        <v>2.001</v>
      </c>
      <c r="I815" s="6" t="n">
        <f aca="false">debt_mat_30</f>
        <v>0</v>
      </c>
      <c r="J815" s="6" t="n">
        <f aca="false">debt_mat_31</f>
        <v>0.5</v>
      </c>
      <c r="K815" s="6" t="n">
        <f aca="false">debt_mat_32</f>
        <v>0</v>
      </c>
    </row>
    <row r="816" customFormat="false" ht="15" hidden="false" customHeight="false" outlineLevel="0" collapsed="false">
      <c r="A816" s="1" t="s">
        <v>1123</v>
      </c>
      <c r="B816" s="0" t="s">
        <v>98</v>
      </c>
      <c r="E816" s="6" t="n">
        <f aca="false">Q!M40</f>
        <v>22.271</v>
      </c>
      <c r="F816" s="6" t="n">
        <f aca="false">MAX(0,MIN(bb_target,Sens!E818+Sens!F814-Sens!F815-min_cash))</f>
        <v>0</v>
      </c>
      <c r="G816" s="6" t="n">
        <f aca="false">MAX(0,MIN(bb_target,Sens!F818+Sens!G814-Sens!G815-min_cash))</f>
        <v>0</v>
      </c>
      <c r="H816" s="6" t="n">
        <f aca="false">MAX(0,MIN(bb_target,Sens!G818+Sens!H814-Sens!H815-min_cash))</f>
        <v>22.271</v>
      </c>
      <c r="I816" s="6" t="n">
        <f aca="false">MAX(0,MIN(bb_target,Sens!H818+Sens!I814-Sens!I815-min_cash))</f>
        <v>22.271</v>
      </c>
      <c r="J816" s="6" t="n">
        <f aca="false">MAX(0,MIN(bb_target,Sens!I818+Sens!J814-Sens!J815-min_cash))</f>
        <v>22.271</v>
      </c>
      <c r="K816" s="6" t="n">
        <f aca="false">MAX(0,MIN(bb_target,Sens!J818+Sens!K814-Sens!K815-min_cash))</f>
        <v>22.271</v>
      </c>
    </row>
    <row r="817" customFormat="false" ht="15" hidden="false" customHeight="false" outlineLevel="0" collapsed="false">
      <c r="A817" s="1" t="s">
        <v>1124</v>
      </c>
      <c r="B817" s="0" t="s">
        <v>98</v>
      </c>
      <c r="F817" s="6" t="n">
        <f aca="false">MAX(0,min_cash-(Sens!E818+Sens!F814-Sens!F815-Sens!F816))</f>
        <v>2.77737997667525</v>
      </c>
      <c r="G817" s="6" t="n">
        <f aca="false">MAX(0,min_cash-(Sens!F818+Sens!G814-Sens!G815-Sens!G816))</f>
        <v>8.84613377696022</v>
      </c>
      <c r="H817" s="6" t="n">
        <f aca="false">MAX(0,min_cash-(Sens!G818+Sens!H814-Sens!H815-Sens!H816))</f>
        <v>0</v>
      </c>
      <c r="I817" s="6" t="n">
        <f aca="false">MAX(0,min_cash-(Sens!H818+Sens!I814-Sens!I815-Sens!I816))</f>
        <v>0</v>
      </c>
      <c r="J817" s="6" t="n">
        <f aca="false">MAX(0,min_cash-(Sens!I818+Sens!J814-Sens!J815-Sens!J816))</f>
        <v>0</v>
      </c>
      <c r="K817" s="6" t="n">
        <f aca="false">MAX(0,min_cash-(Sens!J818+Sens!K814-Sens!K815-Sens!K816))</f>
        <v>0</v>
      </c>
    </row>
    <row r="818" customFormat="false" ht="15" hidden="false" customHeight="false" outlineLevel="0" collapsed="false">
      <c r="A818" s="1" t="s">
        <v>1125</v>
      </c>
      <c r="B818" s="0" t="s">
        <v>98</v>
      </c>
      <c r="E818" s="6" t="n">
        <f aca="false">cash_open</f>
        <v>76.843</v>
      </c>
      <c r="F818" s="6" t="n">
        <f aca="false">Sens!E818+Sens!F814-Sens!F815-Sens!F816+Sens!F817</f>
        <v>50</v>
      </c>
      <c r="G818" s="6" t="n">
        <f aca="false">Sens!F818+Sens!G814-Sens!G815-Sens!G816+Sens!G817</f>
        <v>50</v>
      </c>
      <c r="H818" s="6" t="n">
        <f aca="false">Sens!G818+Sens!H814-Sens!H815-Sens!H816+Sens!H817</f>
        <v>59.7547163251852</v>
      </c>
      <c r="I818" s="6" t="n">
        <f aca="false">Sens!H818+Sens!I814-Sens!I815-Sens!I816+Sens!I817</f>
        <v>138.608667882289</v>
      </c>
      <c r="J818" s="6" t="n">
        <f aca="false">Sens!I818+Sens!J814-Sens!J815-Sens!J816+Sens!J817</f>
        <v>286.791430857132</v>
      </c>
      <c r="K818" s="6" t="n">
        <f aca="false">Sens!J818+Sens!K814-Sens!K815-Sens!K816+Sens!K817</f>
        <v>468.271535527874</v>
      </c>
    </row>
    <row r="819" customFormat="false" ht="15" hidden="false" customHeight="false" outlineLevel="0" collapsed="false">
      <c r="A819" s="1" t="s">
        <v>1126</v>
      </c>
      <c r="B819" s="0" t="s">
        <v>98</v>
      </c>
      <c r="E819" s="6" t="n">
        <f aca="false">debt_face</f>
        <v>46.136</v>
      </c>
      <c r="F819" s="6" t="n">
        <f aca="false">Sens!E819-Sens!F815+Sens!F817</f>
        <v>39.6633799766753</v>
      </c>
      <c r="G819" s="6" t="n">
        <f aca="false">Sens!F819-Sens!G815+Sens!G817</f>
        <v>48.5095137536355</v>
      </c>
      <c r="H819" s="6" t="n">
        <f aca="false">Sens!G819-Sens!H815+Sens!H817</f>
        <v>46.5085137536355</v>
      </c>
      <c r="I819" s="6" t="n">
        <f aca="false">Sens!H819-Sens!I815+Sens!I817</f>
        <v>46.5085137536355</v>
      </c>
      <c r="J819" s="6" t="n">
        <f aca="false">Sens!I819-Sens!J815+Sens!J817</f>
        <v>46.0085137536355</v>
      </c>
      <c r="K819" s="6" t="n">
        <f aca="false">Sens!J819-Sens!K815+Sens!K817</f>
        <v>46.0085137536355</v>
      </c>
    </row>
    <row r="820" customFormat="false" ht="15" hidden="false" customHeight="false" outlineLevel="0" collapsed="false">
      <c r="A820" s="1" t="s">
        <v>1127</v>
      </c>
      <c r="B820" s="0" t="s">
        <v>98</v>
      </c>
      <c r="E820" s="6" t="n">
        <f aca="false">Sens!E818-Sens!E819</f>
        <v>30.707</v>
      </c>
      <c r="F820" s="6" t="n">
        <f aca="false">Sens!F818-Sens!F819</f>
        <v>10.3366200233247</v>
      </c>
      <c r="G820" s="6" t="n">
        <f aca="false">Sens!G818-Sens!G819</f>
        <v>1.49048624636453</v>
      </c>
      <c r="H820" s="6" t="n">
        <f aca="false">Sens!H818-Sens!H819</f>
        <v>13.2462025715497</v>
      </c>
      <c r="I820" s="6" t="n">
        <f aca="false">Sens!I818-Sens!I819</f>
        <v>92.1001541286534</v>
      </c>
      <c r="J820" s="6" t="n">
        <f aca="false">Sens!J818-Sens!J819</f>
        <v>240.782917103497</v>
      </c>
      <c r="K820" s="6" t="n">
        <f aca="false">Sens!K818-Sens!K819</f>
        <v>422.263021774239</v>
      </c>
    </row>
    <row r="821" customFormat="false" ht="15" hidden="false" customHeight="false" outlineLevel="0" collapsed="false">
      <c r="A821" s="1" t="s">
        <v>1128</v>
      </c>
      <c r="B821" s="0" t="s">
        <v>75</v>
      </c>
      <c r="F821" s="30" t="n">
        <f aca="false">px*(1+bb_g)^(Sens!F679-base_fy-mid_yr)</f>
        <v>551.84177959629</v>
      </c>
      <c r="G821" s="30" t="n">
        <f aca="false">px*(1+bb_g)^(Sens!G679-base_fy-mid_yr)</f>
        <v>595.989121963993</v>
      </c>
      <c r="H821" s="30" t="n">
        <f aca="false">px*(1+bb_g)^(Sens!H679-base_fy-mid_yr)</f>
        <v>643.668251721112</v>
      </c>
      <c r="I821" s="30" t="n">
        <f aca="false">px*(1+bb_g)^(Sens!I679-base_fy-mid_yr)</f>
        <v>695.161711858801</v>
      </c>
      <c r="J821" s="30" t="n">
        <f aca="false">px*(1+bb_g)^(Sens!J679-base_fy-mid_yr)</f>
        <v>750.774648807506</v>
      </c>
      <c r="K821" s="30" t="n">
        <f aca="false">px*(1+bb_g)^(Sens!K679-base_fy-mid_yr)</f>
        <v>810.836620712106</v>
      </c>
    </row>
    <row r="822" customFormat="false" ht="15" hidden="false" customHeight="false" outlineLevel="0" collapsed="false">
      <c r="A822" s="1" t="s">
        <v>1129</v>
      </c>
      <c r="B822" s="1" t="s">
        <v>81</v>
      </c>
      <c r="E822" s="15" t="n">
        <f aca="false">sh_out26</f>
        <v>7.427</v>
      </c>
      <c r="F822" s="15" t="n">
        <f aca="false">Sens!E822+sh_iss-Sens!F816/Sens!F821</f>
        <v>7.472</v>
      </c>
      <c r="G822" s="15" t="n">
        <f aca="false">Sens!F822+sh_iss-Sens!G816/Sens!G821</f>
        <v>7.517</v>
      </c>
      <c r="H822" s="15" t="n">
        <f aca="false">Sens!G822+sh_iss-Sens!H816/Sens!H821</f>
        <v>7.5273998780576</v>
      </c>
      <c r="I822" s="15" t="n">
        <f aca="false">Sens!H822+sh_iss-Sens!I816/Sens!I821</f>
        <v>7.54036272811094</v>
      </c>
      <c r="J822" s="15" t="n">
        <f aca="false">Sens!I822+sh_iss-Sens!J816/Sens!J821</f>
        <v>7.55569870038255</v>
      </c>
      <c r="K822" s="15" t="n">
        <f aca="false">Sens!J822+sh_iss-Sens!K816/Sens!K821</f>
        <v>7.57323200804144</v>
      </c>
    </row>
    <row r="823" customFormat="false" ht="15" hidden="false" customHeight="false" outlineLevel="0" collapsed="false">
      <c r="A823" s="1" t="s">
        <v>1130</v>
      </c>
      <c r="B823" s="1" t="s">
        <v>81</v>
      </c>
      <c r="E823" s="15" t="n">
        <f aca="false">sh_dil26</f>
        <v>7.453</v>
      </c>
      <c r="F823" s="15" t="n">
        <f aca="false">(Sens!E822+Sens!F822)/2+dil_gap</f>
        <v>7.4735</v>
      </c>
      <c r="G823" s="15" t="n">
        <f aca="false">(Sens!F822+Sens!G822)/2+dil_gap</f>
        <v>7.5185</v>
      </c>
      <c r="H823" s="15" t="n">
        <f aca="false">(Sens!G822+Sens!H822)/2+dil_gap</f>
        <v>7.5461999390288</v>
      </c>
      <c r="I823" s="15" t="n">
        <f aca="false">(Sens!H822+Sens!I822)/2+dil_gap</f>
        <v>7.55788130308427</v>
      </c>
      <c r="J823" s="15" t="n">
        <f aca="false">(Sens!I822+Sens!J822)/2+dil_gap</f>
        <v>7.57203071424674</v>
      </c>
      <c r="K823" s="15" t="n">
        <f aca="false">(Sens!J822+Sens!K822)/2+dil_gap</f>
        <v>7.58846535421199</v>
      </c>
    </row>
    <row r="824" customFormat="false" ht="17.15" hidden="false" customHeight="false" outlineLevel="0" collapsed="false">
      <c r="A824" s="1" t="s">
        <v>1131</v>
      </c>
      <c r="B824" s="0" t="s">
        <v>98</v>
      </c>
      <c r="C824" s="6" t="n">
        <f aca="false">SUM(Sens!F814:J814)</f>
        <v>276.888917103497</v>
      </c>
    </row>
    <row r="825" customFormat="false" ht="15" hidden="false" customHeight="false" outlineLevel="0" collapsed="false">
      <c r="A825" s="26" t="s">
        <v>1096</v>
      </c>
      <c r="B825" s="31" t="s">
        <v>98</v>
      </c>
      <c r="C825" s="27" t="n">
        <f aca="false">Sens!$C$824-(Sens!F814+Sens!G814+Sens!H814+Sens!I814+Sens!J814)</f>
        <v>0</v>
      </c>
      <c r="D825" s="31"/>
      <c r="E825" s="31"/>
      <c r="F825" s="31"/>
      <c r="G825" s="31"/>
      <c r="H825" s="31"/>
      <c r="I825" s="31"/>
      <c r="J825" s="31"/>
      <c r="K825" s="31"/>
    </row>
    <row r="826" customFormat="false" ht="17.15" hidden="false" customHeight="false" outlineLevel="0" collapsed="false">
      <c r="A826" s="1" t="s">
        <v>1090</v>
      </c>
      <c r="B826" s="1" t="s">
        <v>1132</v>
      </c>
      <c r="C826" s="33" t="str">
        <f aca="false">IF(SUM(Sens!F817:J817)&gt;0.05,"需要舉債 "&amp;TEXT(SUM(Sens!F817:J817),"0.0")&amp;" 十億美元","不需舉債")&amp;"；"&amp;IF(SUM(Sens!F816:J816)&lt;COUNT(Sens!F816:J816)*bb_target-0.05,"回購較每年 "&amp;TEXT(bb_target,"0.0")&amp;" 的目標少 "&amp;TEXT(COUNT(Sens!F816:J816)*bb_target-SUM(Sens!F816:J816),"0.0")&amp;" 十億美元（"&amp;TEXT(COUNTIF(Sens!F816:J816,"&lt;"&amp;(bb_target-0.05)),"0")&amp;" 年減少）","回購不減")</f>
        <v>需要舉債 11.6 十億美元；回購較每年 22.3 的目標少 44.5 十億美元（2 年減少）</v>
      </c>
    </row>
    <row r="827" customFormat="false" ht="17.15" hidden="false" customHeight="false" outlineLevel="0" collapsed="false">
      <c r="A827" s="3" t="s">
        <v>1499</v>
      </c>
    </row>
    <row r="828" customFormat="false" ht="15" hidden="false" customHeight="false" outlineLevel="0" collapsed="false">
      <c r="A828" s="4" t="s">
        <v>43</v>
      </c>
      <c r="B828" s="4" t="s">
        <v>65</v>
      </c>
      <c r="C828" s="23" t="s">
        <v>938</v>
      </c>
      <c r="D828" s="23" t="s">
        <v>939</v>
      </c>
      <c r="E828" s="23" t="s">
        <v>940</v>
      </c>
      <c r="F828" s="23" t="s">
        <v>941</v>
      </c>
      <c r="G828" s="23" t="s">
        <v>942</v>
      </c>
      <c r="H828" s="23" t="s">
        <v>943</v>
      </c>
      <c r="I828" s="23" t="s">
        <v>944</v>
      </c>
      <c r="J828" s="23" t="s">
        <v>945</v>
      </c>
      <c r="K828" s="23" t="s">
        <v>946</v>
      </c>
      <c r="L828" s="4" t="s">
        <v>47</v>
      </c>
    </row>
    <row r="829" customFormat="false" ht="17.15" hidden="false" customHeight="false" outlineLevel="0" collapsed="false">
      <c r="A829" s="1" t="s">
        <v>1212</v>
      </c>
      <c r="B829" s="1" t="s">
        <v>279</v>
      </c>
      <c r="F829" s="8" t="n">
        <f aca="false">(1-v_off)*mid_yr</f>
        <v>0.373972602739726</v>
      </c>
      <c r="G829" s="8" t="n">
        <f aca="false">Sens!G679-base_fy-mid_yr-v_off</f>
        <v>1.24794520547945</v>
      </c>
      <c r="H829" s="8" t="n">
        <f aca="false">Sens!H679-base_fy-mid_yr-v_off</f>
        <v>2.24794520547945</v>
      </c>
      <c r="I829" s="8" t="n">
        <f aca="false">Sens!I679-base_fy-mid_yr-v_off</f>
        <v>3.24794520547945</v>
      </c>
      <c r="J829" s="8" t="n">
        <f aca="false">Sens!J679-base_fy-mid_yr-v_off</f>
        <v>4.24794520547945</v>
      </c>
      <c r="K829" s="8" t="n">
        <f aca="false">Sens!K679-base_fy-mid_yr-v_off</f>
        <v>5.24794520547945</v>
      </c>
      <c r="L829" s="12" t="s">
        <v>1213</v>
      </c>
    </row>
    <row r="830" customFormat="false" ht="15" hidden="false" customHeight="false" outlineLevel="0" collapsed="false">
      <c r="A830" s="1" t="s">
        <v>1214</v>
      </c>
      <c r="B830" s="1" t="s">
        <v>279</v>
      </c>
      <c r="F830" s="8" t="n">
        <f aca="false">Sens!F679-base_fy-v_off</f>
        <v>0.747945205479452</v>
      </c>
      <c r="G830" s="8" t="n">
        <f aca="false">Sens!G679-base_fy-v_off</f>
        <v>1.74794520547945</v>
      </c>
      <c r="H830" s="8" t="n">
        <f aca="false">Sens!H679-base_fy-v_off</f>
        <v>2.74794520547945</v>
      </c>
      <c r="I830" s="8" t="n">
        <f aca="false">Sens!I679-base_fy-v_off</f>
        <v>3.74794520547945</v>
      </c>
      <c r="J830" s="8" t="n">
        <f aca="false">Sens!J679-base_fy-v_off</f>
        <v>4.74794520547945</v>
      </c>
      <c r="K830" s="8" t="n">
        <f aca="false">Sens!K679-base_fy-v_off</f>
        <v>5.74794520547945</v>
      </c>
    </row>
    <row r="831" customFormat="false" ht="15" hidden="false" customHeight="false" outlineLevel="0" collapsed="false">
      <c r="A831" s="1" t="s">
        <v>1215</v>
      </c>
      <c r="B831" s="0" t="s">
        <v>229</v>
      </c>
      <c r="F831" s="15" t="n">
        <f aca="false">1/(1+wacc)^Sens!F829</f>
        <v>0.964022703286649</v>
      </c>
      <c r="G831" s="15" t="n">
        <f aca="false">1/(1+wacc)^Sens!G829</f>
        <v>0.884910302296739</v>
      </c>
      <c r="H831" s="15" t="n">
        <f aca="false">1/(1+wacc)^Sens!H829</f>
        <v>0.802322009770358</v>
      </c>
      <c r="I831" s="15" t="n">
        <f aca="false">1/(1+wacc)^Sens!I829</f>
        <v>0.727441646561469</v>
      </c>
      <c r="J831" s="15" t="n">
        <f aca="false">1/(1+wacc)^Sens!J829</f>
        <v>0.659549834988973</v>
      </c>
      <c r="K831" s="15" t="n">
        <f aca="false">1/(1+wacc)^Sens!K829</f>
        <v>0.597994336576966</v>
      </c>
    </row>
    <row r="832" customFormat="false" ht="17.15" hidden="false" customHeight="false" outlineLevel="0" collapsed="false">
      <c r="A832" s="1" t="s">
        <v>1216</v>
      </c>
      <c r="B832" s="0" t="s">
        <v>98</v>
      </c>
      <c r="F832" s="6" t="n">
        <f aca="false">Q!$I$35-Q!$I$39-Q!$I$43</f>
        <v>9.666</v>
      </c>
      <c r="L832" s="12" t="s">
        <v>1217</v>
      </c>
    </row>
    <row r="833" customFormat="false" ht="17.15" hidden="false" customHeight="false" outlineLevel="0" collapsed="false">
      <c r="A833" s="1" t="s">
        <v>1218</v>
      </c>
      <c r="B833" s="0" t="s">
        <v>98</v>
      </c>
      <c r="F833" s="6" t="n">
        <f aca="false">Sens!F804-Sens!F801-Sens!F808+Sens!F786*(1-tax_f)*(1-v_off)-Sens!F832</f>
        <v>-6.81214606181039</v>
      </c>
      <c r="G833" s="6" t="n">
        <f aca="false">Sens!G804-Sens!G801-Sens!G808+Sens!G786*(1-tax_f)</f>
        <v>26.9796077266357</v>
      </c>
      <c r="H833" s="6" t="n">
        <f aca="false">Sens!H804-Sens!H801-Sens!H808+Sens!H786*(1-tax_f)</f>
        <v>81.0504395766675</v>
      </c>
      <c r="I833" s="6" t="n">
        <f aca="false">Sens!I804-Sens!I801-Sens!I808+Sens!I786*(1-tax_f)</f>
        <v>159.457960831275</v>
      </c>
      <c r="J833" s="6" t="n">
        <f aca="false">Sens!J804-Sens!J801-Sens!J808+Sens!J786*(1-tax_f)</f>
        <v>238.06526857556</v>
      </c>
      <c r="K833" s="6" t="n">
        <f aca="false">Sens!K804-Sens!K801-Sens!K808+Sens!K786*(1-tax_f)</f>
        <v>276.458029746967</v>
      </c>
      <c r="L833" s="1" t="s">
        <v>1219</v>
      </c>
    </row>
    <row r="834" customFormat="false" ht="15" hidden="false" customHeight="false" outlineLevel="0" collapsed="false">
      <c r="A834" s="1" t="s">
        <v>1220</v>
      </c>
      <c r="B834" s="0" t="s">
        <v>98</v>
      </c>
      <c r="F834" s="6" t="n">
        <f aca="false">Sens!F833*Sens!F831</f>
        <v>-6.56706346168995</v>
      </c>
      <c r="G834" s="6" t="n">
        <f aca="false">Sens!G833*Sens!G831</f>
        <v>23.8745328292247</v>
      </c>
      <c r="H834" s="6" t="n">
        <f aca="false">Sens!H833*Sens!H831</f>
        <v>65.0285515739229</v>
      </c>
      <c r="I834" s="6" t="n">
        <f aca="false">Sens!I833*Sens!I831</f>
        <v>115.996361584437</v>
      </c>
      <c r="J834" s="6" t="n">
        <f aca="false">Sens!J833*Sens!J831</f>
        <v>157.015908605616</v>
      </c>
      <c r="K834" s="6" t="n">
        <f aca="false">Sens!K833*Sens!K831</f>
        <v>165.320336089913</v>
      </c>
    </row>
    <row r="835" customFormat="false" ht="17.15" hidden="false" customHeight="false" outlineLevel="0" collapsed="false">
      <c r="A835" s="1" t="s">
        <v>1221</v>
      </c>
      <c r="B835" s="0" t="s">
        <v>98</v>
      </c>
      <c r="C835" s="6" t="n">
        <f aca="false">SUM(Sens!F834:K834)</f>
        <v>520.668627221423</v>
      </c>
    </row>
    <row r="836" customFormat="false" ht="17.15" hidden="false" customHeight="false" outlineLevel="0" collapsed="false">
      <c r="A836" s="1" t="s">
        <v>1222</v>
      </c>
      <c r="B836" s="0" t="s">
        <v>98</v>
      </c>
      <c r="C836" s="6" t="n">
        <f aca="false">Sens!K772*(1+g_tv)*(1-tax_f)</f>
        <v>288.953666652979</v>
      </c>
    </row>
    <row r="837" customFormat="false" ht="17.15" hidden="false" customHeight="false" outlineLevel="0" collapsed="false">
      <c r="A837" s="1" t="s">
        <v>1223</v>
      </c>
      <c r="B837" s="0" t="s">
        <v>98</v>
      </c>
      <c r="C837" s="6" t="n">
        <f aca="false">Sens!$C$836*(1-g_tv/(wacc+ronic_prem))</f>
        <v>204.740561090052</v>
      </c>
    </row>
    <row r="838" customFormat="false" ht="17.15" hidden="false" customHeight="false" outlineLevel="0" collapsed="false">
      <c r="A838" s="1" t="s">
        <v>1224</v>
      </c>
      <c r="B838" s="0" t="s">
        <v>98</v>
      </c>
      <c r="C838" s="6" t="n">
        <f aca="false">Sens!$C$837/(wacc-g_tv)</f>
        <v>2807.10351876421</v>
      </c>
    </row>
    <row r="839" customFormat="false" ht="15" hidden="false" customHeight="false" outlineLevel="0" collapsed="false">
      <c r="A839" s="1" t="s">
        <v>1225</v>
      </c>
      <c r="B839" s="0" t="s">
        <v>98</v>
      </c>
      <c r="C839" s="6" t="n">
        <f aca="false">Sens!$C$838/(1+wacc)^Sens!K830</f>
        <v>1598.38070021965</v>
      </c>
    </row>
    <row r="840" customFormat="false" ht="17.15" hidden="false" customHeight="false" outlineLevel="0" collapsed="false">
      <c r="A840" s="0" t="s">
        <v>1226</v>
      </c>
      <c r="B840" s="0" t="s">
        <v>98</v>
      </c>
      <c r="C840" s="6" t="n">
        <f aca="false">Sens!$C$835+Sens!$C$839</f>
        <v>2119.04932744107</v>
      </c>
    </row>
    <row r="841" customFormat="false" ht="15" hidden="false" customHeight="false" outlineLevel="0" collapsed="false">
      <c r="A841" s="1" t="s">
        <v>1141</v>
      </c>
      <c r="B841" s="0" t="s">
        <v>168</v>
      </c>
      <c r="C841" s="7" t="n">
        <f aca="false">Sens!$C$839/Sens!$C$840</f>
        <v>0.754291407718114</v>
      </c>
    </row>
    <row r="842" customFormat="false" ht="17.15" hidden="false" customHeight="false" outlineLevel="0" collapsed="false">
      <c r="A842" s="1" t="s">
        <v>1227</v>
      </c>
      <c r="B842" s="0" t="s">
        <v>98</v>
      </c>
      <c r="C842" s="6" t="n">
        <f aca="false">Sens!$C$840+cash_val-debt_val-fl_val+oai_v</f>
        <v>2234.90032744107</v>
      </c>
    </row>
    <row r="843" customFormat="false" ht="17.15" hidden="false" customHeight="false" outlineLevel="0" collapsed="false">
      <c r="A843" s="0" t="s">
        <v>1149</v>
      </c>
      <c r="B843" s="0" t="s">
        <v>75</v>
      </c>
      <c r="C843" s="5" t="n">
        <f aca="false">Sens!$C$842/shd_val</f>
        <v>300.147774300439</v>
      </c>
    </row>
    <row r="844" customFormat="false" ht="15" hidden="false" customHeight="false" outlineLevel="0" collapsed="false">
      <c r="A844" s="1" t="s">
        <v>1228</v>
      </c>
      <c r="B844" s="0" t="s">
        <v>75</v>
      </c>
      <c r="C844" s="8" t="n">
        <f aca="false">div_rem27+Sens!G812*roll_div_q/q_per_yr</f>
        <v>3.9795</v>
      </c>
    </row>
    <row r="845" customFormat="false" ht="17.15" hidden="false" customHeight="false" outlineLevel="0" collapsed="false">
      <c r="A845" s="0" t="s">
        <v>1229</v>
      </c>
      <c r="B845" s="0" t="s">
        <v>75</v>
      </c>
      <c r="C845" s="5" t="n">
        <f aca="false">Sens!$C$843*(1+wacc)^t_roll-Sens!$C$844</f>
        <v>329.651502605478</v>
      </c>
    </row>
    <row r="846" customFormat="false" ht="17.15" hidden="false" customHeight="false" outlineLevel="0" collapsed="false">
      <c r="A846" s="1" t="s">
        <v>1230</v>
      </c>
      <c r="B846" s="0" t="s">
        <v>168</v>
      </c>
      <c r="F846" s="7" t="n">
        <f aca="false">Sens!F798/(Sens!F743-Sens!F698)</f>
        <v>0.0682657376715262</v>
      </c>
      <c r="G846" s="7" t="n">
        <f aca="false">Sens!G798/(Sens!G743-Sens!G698)</f>
        <v>0.0651669557594093</v>
      </c>
      <c r="H846" s="7" t="n">
        <f aca="false">Sens!H798/(Sens!H743-Sens!H698)</f>
        <v>0.0635529569964292</v>
      </c>
      <c r="I846" s="7" t="n">
        <f aca="false">Sens!I798/(Sens!I743-Sens!I698)</f>
        <v>0.0633135744813189</v>
      </c>
      <c r="J846" s="7" t="n">
        <f aca="false">Sens!J798/(Sens!J743-Sens!J698)</f>
        <v>0.0640986517865341</v>
      </c>
      <c r="K846" s="7" t="n">
        <f aca="false">Sens!K798/(Sens!K743-Sens!K698)</f>
        <v>0.065458451733161</v>
      </c>
    </row>
    <row r="847" customFormat="false" ht="17.15" hidden="false" customHeight="false" outlineLevel="0" collapsed="false">
      <c r="A847" s="0" t="s">
        <v>1231</v>
      </c>
      <c r="B847" s="0" t="s">
        <v>98</v>
      </c>
      <c r="F847" s="6" t="n">
        <f aca="false">Sens!F728*(al_m365+Sens!F846+sbc_r)</f>
        <v>84.4870290943883</v>
      </c>
      <c r="G847" s="6" t="n">
        <f aca="false">Sens!G728*(al_m365+Sens!G846+sbc_r)</f>
        <v>98.9232558853045</v>
      </c>
      <c r="H847" s="6" t="n">
        <f aca="false">Sens!H728*(al_m365+Sens!H846+sbc_r)</f>
        <v>113.525930103309</v>
      </c>
      <c r="I847" s="6" t="n">
        <f aca="false">Sens!I728*(al_m365+Sens!I846+sbc_r)</f>
        <v>126.61254130863</v>
      </c>
      <c r="J847" s="6" t="n">
        <f aca="false">Sens!J728*(al_m365+Sens!J846+sbc_r)</f>
        <v>137.996874497249</v>
      </c>
      <c r="K847" s="6" t="n">
        <f aca="false">Sens!K728*(al_m365+Sens!K846+sbc_r)</f>
        <v>149.002416492233</v>
      </c>
      <c r="L847" s="12" t="s">
        <v>1232</v>
      </c>
    </row>
    <row r="848" customFormat="false" ht="17.15" hidden="false" customHeight="false" outlineLevel="0" collapsed="false">
      <c r="A848" s="0" t="s">
        <v>1233</v>
      </c>
      <c r="B848" s="0" t="s">
        <v>98</v>
      </c>
      <c r="F848" s="6" t="n">
        <f aca="false">Sens!F729*(al_lic+Sens!F846+sbc_r)</f>
        <v>32.8441839328948</v>
      </c>
      <c r="G848" s="6" t="n">
        <f aca="false">Sens!G729*(al_lic+Sens!G846+sbc_r)</f>
        <v>34.1109635655164</v>
      </c>
      <c r="H848" s="6" t="n">
        <f aca="false">Sens!H729*(al_lic+Sens!H846+sbc_r)</f>
        <v>35.2978710224529</v>
      </c>
      <c r="I848" s="6" t="n">
        <f aca="false">Sens!I729*(al_lic+Sens!I846+sbc_r)</f>
        <v>36.3879419038443</v>
      </c>
      <c r="J848" s="6" t="n">
        <f aca="false">Sens!J729*(al_lic+Sens!J846+sbc_r)</f>
        <v>37.3534067476994</v>
      </c>
      <c r="K848" s="6" t="n">
        <f aca="false">Sens!K729*(al_lic+Sens!K846+sbc_r)</f>
        <v>38.1613206434343</v>
      </c>
    </row>
    <row r="849" customFormat="false" ht="17.15" hidden="false" customHeight="false" outlineLevel="0" collapsed="false">
      <c r="A849" s="0" t="s">
        <v>1234</v>
      </c>
      <c r="B849" s="0" t="s">
        <v>98</v>
      </c>
      <c r="F849" s="6" t="n">
        <f aca="false">Sens!F731*(al_ind+Sens!F846+sbc_r)</f>
        <v>9.05252089447503</v>
      </c>
      <c r="G849" s="6" t="n">
        <f aca="false">Sens!G731*(al_ind+Sens!G846+sbc_r)</f>
        <v>9.81993440412466</v>
      </c>
      <c r="H849" s="6" t="n">
        <f aca="false">Sens!H731*(al_ind+Sens!H846+sbc_r)</f>
        <v>10.6348250286297</v>
      </c>
      <c r="I849" s="6" t="n">
        <f aca="false">Sens!I731*(al_ind+Sens!I846+sbc_r)</f>
        <v>11.4953547156408</v>
      </c>
      <c r="J849" s="6" t="n">
        <f aca="false">Sens!J731*(al_ind+Sens!J846+sbc_r)</f>
        <v>12.3907134226641</v>
      </c>
      <c r="K849" s="6" t="n">
        <f aca="false">Sens!K731*(al_ind+Sens!K846+sbc_r)</f>
        <v>13.3029678612647</v>
      </c>
    </row>
    <row r="850" customFormat="false" ht="17.15" hidden="false" customHeight="false" outlineLevel="0" collapsed="false">
      <c r="A850" s="0" t="s">
        <v>1235</v>
      </c>
      <c r="B850" s="0" t="s">
        <v>98</v>
      </c>
      <c r="F850" s="6" t="n">
        <f aca="false">Sens!F733*(al_fro+Sens!F846+sbc_r)</f>
        <v>3.55093217961505</v>
      </c>
      <c r="G850" s="6" t="n">
        <f aca="false">Sens!G733*(al_fro+Sens!G846+sbc_r)</f>
        <v>3.75739470538062</v>
      </c>
      <c r="H850" s="6" t="n">
        <f aca="false">Sens!H733*(al_fro+Sens!H846+sbc_r)</f>
        <v>3.99387593357892</v>
      </c>
      <c r="I850" s="6" t="n">
        <f aca="false">Sens!I733*(al_fro+Sens!I846+sbc_r)</f>
        <v>4.26348885399132</v>
      </c>
      <c r="J850" s="6" t="n">
        <f aca="false">Sens!J733*(al_fro+Sens!J846+sbc_r)</f>
        <v>4.5669076282025</v>
      </c>
      <c r="K850" s="6" t="n">
        <f aca="false">Sens!K733*(al_fro+Sens!K846+sbc_r)</f>
        <v>4.9031418394535</v>
      </c>
    </row>
    <row r="851" customFormat="false" ht="17.15" hidden="false" customHeight="false" outlineLevel="0" collapsed="false">
      <c r="A851" s="0" t="s">
        <v>1236</v>
      </c>
      <c r="B851" s="0" t="s">
        <v>98</v>
      </c>
      <c r="F851" s="6" t="n">
        <f aca="false">Sens!F736*(al_srch+Sens!F846+sbc_r)</f>
        <v>11.1793390528867</v>
      </c>
      <c r="G851" s="6" t="n">
        <f aca="false">Sens!G736*(al_srch+Sens!G846+sbc_r)</f>
        <v>12.2414737284185</v>
      </c>
      <c r="H851" s="6" t="n">
        <f aca="false">Sens!H736*(al_srch+Sens!H846+sbc_r)</f>
        <v>13.3516263923483</v>
      </c>
      <c r="I851" s="6" t="n">
        <f aca="false">Sens!I736*(al_srch+Sens!I846+sbc_r)</f>
        <v>14.500802891906</v>
      </c>
      <c r="J851" s="6" t="n">
        <f aca="false">Sens!J736*(al_srch+Sens!J846+sbc_r)</f>
        <v>15.6677159308449</v>
      </c>
      <c r="K851" s="6" t="n">
        <f aca="false">Sens!K736*(al_srch+Sens!K846+sbc_r)</f>
        <v>16.8212365485119</v>
      </c>
    </row>
    <row r="852" customFormat="false" ht="17.15" hidden="false" customHeight="false" outlineLevel="0" collapsed="false">
      <c r="A852" s="0" t="s">
        <v>1237</v>
      </c>
      <c r="B852" s="0" t="s">
        <v>98</v>
      </c>
      <c r="F852" s="6" t="n">
        <f aca="false">Sens!F704-Sens!F705+Sens!F786</f>
        <v>36.5127455720037</v>
      </c>
      <c r="G852" s="6" t="n">
        <f aca="false">Sens!G704-Sens!G705+Sens!G786</f>
        <v>75.5686119374367</v>
      </c>
      <c r="H852" s="6" t="n">
        <f aca="false">Sens!H704-Sens!H705+Sens!H786</f>
        <v>121.545024466498</v>
      </c>
      <c r="I852" s="6" t="n">
        <f aca="false">Sens!I704-Sens!I705+Sens!I786</f>
        <v>158.232382757676</v>
      </c>
      <c r="J852" s="6" t="n">
        <f aca="false">Sens!J704-Sens!J705+Sens!J786</f>
        <v>184.03773903827</v>
      </c>
      <c r="K852" s="6" t="n">
        <f aca="false">Sens!K704-Sens!K705+Sens!K786</f>
        <v>199.420080868124</v>
      </c>
    </row>
    <row r="853" customFormat="false" ht="17.15" hidden="false" customHeight="false" outlineLevel="0" collapsed="false">
      <c r="A853" s="0" t="s">
        <v>1238</v>
      </c>
      <c r="B853" s="0" t="s">
        <v>98</v>
      </c>
      <c r="F853" s="6" t="n">
        <f aca="false">Sens!F765+Sens!F786+Sens!F716+Sens!F846*(Sens!F735-Sens!F698)+sbc_r*Sens!F735</f>
        <v>233.892466969924</v>
      </c>
      <c r="G853" s="6" t="n">
        <f aca="false">Sens!G765+Sens!G786+Sens!G716+Sens!G846*(Sens!G735-Sens!G698)+sbc_r*Sens!G735</f>
        <v>297.320940987687</v>
      </c>
      <c r="H853" s="6" t="n">
        <f aca="false">Sens!H765+Sens!H786+Sens!H716+Sens!H846*(Sens!H735-Sens!H698)+sbc_r*Sens!H735</f>
        <v>373.319457751613</v>
      </c>
      <c r="I853" s="6" t="n">
        <f aca="false">Sens!I765+Sens!I786+Sens!I716+Sens!I846*(Sens!I735-Sens!I698)+sbc_r*Sens!I735</f>
        <v>437.996482520786</v>
      </c>
      <c r="J853" s="6" t="n">
        <f aca="false">Sens!J765+Sens!J786+Sens!J716+Sens!J846*(Sens!J735-Sens!J698)+sbc_r*Sens!J735</f>
        <v>488.860546800237</v>
      </c>
      <c r="K853" s="6" t="n">
        <f aca="false">Sens!K765+Sens!K786+Sens!K716+Sens!K846*(Sens!K735-Sens!K698)+sbc_r*Sens!K735</f>
        <v>526.891587299699</v>
      </c>
    </row>
    <row r="854" customFormat="false" ht="17.15" hidden="false" customHeight="false" outlineLevel="0" collapsed="false">
      <c r="A854" s="0" t="s">
        <v>1239</v>
      </c>
      <c r="B854" s="0" t="s">
        <v>98</v>
      </c>
      <c r="F854" s="6" t="n">
        <f aca="false">Sens!F853-Sens!F847-Sens!F848-Sens!F849-Sens!F850-Sens!F852</f>
        <v>67.445055296547</v>
      </c>
      <c r="G854" s="6" t="n">
        <f aca="false">Sens!G853-Sens!G847-Sens!G848-Sens!G849-Sens!G850-Sens!G852</f>
        <v>75.1407804899237</v>
      </c>
      <c r="H854" s="6" t="n">
        <f aca="false">Sens!H853-Sens!H847-Sens!H848-Sens!H849-Sens!H850-Sens!H852</f>
        <v>88.3219311971442</v>
      </c>
      <c r="I854" s="6" t="n">
        <f aca="false">Sens!I853-Sens!I847-Sens!I848-Sens!I849-Sens!I850-Sens!I852</f>
        <v>101.004772981003</v>
      </c>
      <c r="J854" s="6" t="n">
        <f aca="false">Sens!J853-Sens!J847-Sens!J848-Sens!J849-Sens!J850-Sens!J852</f>
        <v>112.514905466151</v>
      </c>
      <c r="K854" s="6" t="n">
        <f aca="false">Sens!K853-Sens!K847-Sens!K848-Sens!K849-Sens!K850-Sens!K852</f>
        <v>122.10165959519</v>
      </c>
    </row>
    <row r="855" customFormat="false" ht="17.15" hidden="false" customHeight="false" outlineLevel="0" collapsed="false">
      <c r="A855" s="0" t="s">
        <v>1240</v>
      </c>
      <c r="B855" s="0" t="s">
        <v>98</v>
      </c>
      <c r="F855" s="6" t="n">
        <f aca="false">Sens!F767+Sens!F846*Sens!F742+sbc_r*Sens!F742</f>
        <v>26.6108844769098</v>
      </c>
      <c r="G855" s="6" t="n">
        <f aca="false">Sens!G767+Sens!G846*Sens!G742+sbc_r*Sens!G742</f>
        <v>26.4279197655111</v>
      </c>
      <c r="H855" s="6" t="n">
        <f aca="false">Sens!H767+Sens!H846*Sens!H742+sbc_r*Sens!H742</f>
        <v>27.289306531271</v>
      </c>
      <c r="I855" s="6" t="n">
        <f aca="false">Sens!I767+Sens!I846*Sens!I742+sbc_r*Sens!I742</f>
        <v>28.3963604160228</v>
      </c>
      <c r="J855" s="6" t="n">
        <f aca="false">Sens!J767+Sens!J846*Sens!J742+sbc_r*Sens!J742</f>
        <v>29.7101790139486</v>
      </c>
      <c r="K855" s="6" t="n">
        <f aca="false">Sens!K767+Sens!K846*Sens!K742+sbc_r*Sens!K742</f>
        <v>31.1866408166962</v>
      </c>
    </row>
    <row r="856" customFormat="false" ht="17.15" hidden="false" customHeight="false" outlineLevel="0" collapsed="false">
      <c r="A856" s="0" t="s">
        <v>1241</v>
      </c>
      <c r="B856" s="0" t="s">
        <v>98</v>
      </c>
      <c r="F856" s="6" t="n">
        <f aca="false">(Sens!F855-Sens!F851)*Sens!F738/(Sens!F738+Sens!F740)</f>
        <v>8.7155133836519</v>
      </c>
      <c r="G856" s="6" t="n">
        <f aca="false">(Sens!G855-Sens!G851)*Sens!G738/(Sens!G738+Sens!G740)</f>
        <v>7.87459760077027</v>
      </c>
      <c r="H856" s="6" t="n">
        <f aca="false">(Sens!H855-Sens!H851)*Sens!H738/(Sens!H738+Sens!H740)</f>
        <v>7.63572903027899</v>
      </c>
      <c r="I856" s="6" t="n">
        <f aca="false">(Sens!I855-Sens!I851)*Sens!I738/(Sens!I738+Sens!I740)</f>
        <v>7.5462055588249</v>
      </c>
      <c r="J856" s="6" t="n">
        <f aca="false">(Sens!J855-Sens!J851)*Sens!J738/(Sens!J738+Sens!J740)</f>
        <v>7.59271316908844</v>
      </c>
      <c r="K856" s="6" t="n">
        <f aca="false">(Sens!K855-Sens!K851)*Sens!K738/(Sens!K738+Sens!K740)</f>
        <v>7.7673263957205</v>
      </c>
    </row>
    <row r="857" customFormat="false" ht="17.15" hidden="false" customHeight="false" outlineLevel="0" collapsed="false">
      <c r="A857" s="0" t="s">
        <v>1242</v>
      </c>
      <c r="B857" s="0" t="s">
        <v>98</v>
      </c>
      <c r="F857" s="6" t="n">
        <f aca="false">Sens!F855-Sens!F851-Sens!F856</f>
        <v>6.71603204037121</v>
      </c>
      <c r="G857" s="6" t="n">
        <f aca="false">Sens!G855-Sens!G851-Sens!G856</f>
        <v>6.31184843632229</v>
      </c>
      <c r="H857" s="6" t="n">
        <f aca="false">Sens!H855-Sens!H851-Sens!H856</f>
        <v>6.30195110864371</v>
      </c>
      <c r="I857" s="6" t="n">
        <f aca="false">Sens!I855-Sens!I851-Sens!I856</f>
        <v>6.34935196529183</v>
      </c>
      <c r="J857" s="6" t="n">
        <f aca="false">Sens!J855-Sens!J851-Sens!J856</f>
        <v>6.44974991401528</v>
      </c>
      <c r="K857" s="6" t="n">
        <f aca="false">Sens!K855-Sens!K851-Sens!K856</f>
        <v>6.59807787246381</v>
      </c>
    </row>
    <row r="858" customFormat="false" ht="17.15" hidden="false" customHeight="false" outlineLevel="0" collapsed="false">
      <c r="A858" s="0" t="s">
        <v>1243</v>
      </c>
      <c r="B858" s="0" t="s">
        <v>98</v>
      </c>
      <c r="F858" s="6" t="n">
        <f aca="false">Sens!F852-tax_f*(Sens!F852-Sens!F716)-Sens!F713</f>
        <v>-132.327844688846</v>
      </c>
      <c r="G858" s="6" t="n">
        <f aca="false">Sens!G852-tax_f*(Sens!G852-Sens!G716)-Sens!G713</f>
        <v>-119.342687968639</v>
      </c>
      <c r="H858" s="6" t="n">
        <f aca="false">Sens!H852-tax_f*(Sens!H852-Sens!H716)-Sens!H713</f>
        <v>-81.7499663590247</v>
      </c>
      <c r="I858" s="6" t="n">
        <f aca="false">Sens!I852-tax_f*(Sens!I852-Sens!I716)-Sens!I713</f>
        <v>-19.1827254765598</v>
      </c>
      <c r="J858" s="6" t="n">
        <f aca="false">Sens!J852-tax_f*(Sens!J852-Sens!J716)-Sens!J713</f>
        <v>44.703394644595</v>
      </c>
      <c r="K858" s="6" t="n">
        <f aca="false">Sens!K852-tax_f*(Sens!K852-Sens!K716)-Sens!K713</f>
        <v>69.1757455399533</v>
      </c>
    </row>
    <row r="859" customFormat="false" ht="17.15" hidden="false" customHeight="false" outlineLevel="0" collapsed="false">
      <c r="A859" s="0" t="s">
        <v>1244</v>
      </c>
      <c r="B859" s="0" t="s">
        <v>98</v>
      </c>
      <c r="G859" s="6" t="n">
        <f aca="false">Sens!G858/(1+wacc)^(Sens!G829-Sens!F830)</f>
        <v>-113.63720483907</v>
      </c>
      <c r="H859" s="6" t="n">
        <f aca="false">Sens!H858/(1+wacc)^(Sens!H829-Sens!F830)</f>
        <v>-70.5767677786679</v>
      </c>
      <c r="I859" s="6" t="n">
        <f aca="false">Sens!I858/(1+wacc)^(Sens!I829-Sens!F830)</f>
        <v>-15.0152977628261</v>
      </c>
      <c r="J859" s="6" t="n">
        <f aca="false">Sens!J858/(1+wacc)^(Sens!J829-Sens!F830)</f>
        <v>31.7258740401205</v>
      </c>
      <c r="K859" s="6" t="n">
        <f aca="false">Sens!K858/(1+wacc)^(Sens!K829-Sens!F830)</f>
        <v>44.5119269481319</v>
      </c>
      <c r="L859" s="1" t="s">
        <v>1245</v>
      </c>
    </row>
    <row r="860" customFormat="false" ht="17.15" hidden="false" customHeight="false" outlineLevel="0" collapsed="false">
      <c r="A860" s="0" t="s">
        <v>1246</v>
      </c>
      <c r="B860" s="0" t="s">
        <v>98</v>
      </c>
      <c r="C860" s="6" t="n">
        <f aca="false">(Sens!K852-Sens!K716)*(1-tax_f)*(1+g_tv)*(1-g_tv/(wacc+ronic_prem))/(wacc-g_tv)/(1+wacc)^(Sens!K830-Sens!F830)</f>
        <v>276.656497465939</v>
      </c>
    </row>
    <row r="861" customFormat="false" ht="17.15" hidden="false" customHeight="false" outlineLevel="0" collapsed="false">
      <c r="A861" s="1" t="s">
        <v>1247</v>
      </c>
      <c r="B861" s="0" t="s">
        <v>98</v>
      </c>
      <c r="C861" s="6" t="n">
        <f aca="false">(SUM(Sens!G859:K859)+Sens!$C$860)*(1+wacc)^(t_roll-Sens!F830)</f>
        <v>158.737975367876</v>
      </c>
      <c r="L861" s="12" t="s">
        <v>1248</v>
      </c>
    </row>
    <row r="862" customFormat="false" ht="17.15" hidden="false" customHeight="false" outlineLevel="0" collapsed="false">
      <c r="A862" s="1" t="s">
        <v>1249</v>
      </c>
      <c r="B862" s="0" t="s">
        <v>98</v>
      </c>
      <c r="C862" s="6" t="n">
        <f aca="false">(w_ntm28*Sens!G704+(1-w_ntm28)*Sens!H704)*m_ai</f>
        <v>455.307908349534</v>
      </c>
    </row>
    <row r="863" customFormat="false" ht="17.15" hidden="false" customHeight="false" outlineLevel="0" collapsed="false">
      <c r="A863" s="1" t="s">
        <v>1250</v>
      </c>
      <c r="B863" s="0" t="s">
        <v>98</v>
      </c>
      <c r="C863" s="6" t="n">
        <f aca="false">(w_ntm28*Sens!G854+(1-w_ntm28)*Sens!H854)*m_cloud</f>
        <v>1098.33495714569</v>
      </c>
    </row>
    <row r="864" customFormat="false" ht="17.15" hidden="false" customHeight="false" outlineLevel="0" collapsed="false">
      <c r="A864" s="1" t="s">
        <v>1251</v>
      </c>
      <c r="B864" s="0" t="s">
        <v>98</v>
      </c>
      <c r="C864" s="6" t="n">
        <f aca="false">(w_ntm28*Sens!G847+(1-w_ntm28)*Sens!H847)*m_sw</f>
        <v>1120.22065886686</v>
      </c>
    </row>
    <row r="865" customFormat="false" ht="17.15" hidden="false" customHeight="false" outlineLevel="0" collapsed="false">
      <c r="A865" s="1" t="s">
        <v>1252</v>
      </c>
      <c r="B865" s="0" t="s">
        <v>98</v>
      </c>
      <c r="C865" s="6" t="n">
        <f aca="false">(w_ntm28*Sens!G848+(1-w_ntm28)*Sens!H848)*m_sw</f>
        <v>372.612740930015</v>
      </c>
    </row>
    <row r="866" customFormat="false" ht="17.15" hidden="false" customHeight="false" outlineLevel="0" collapsed="false">
      <c r="A866" s="1" t="s">
        <v>1253</v>
      </c>
      <c r="B866" s="0" t="s">
        <v>98</v>
      </c>
      <c r="C866" s="6" t="n">
        <f aca="false">(w_ntm28*Sens!G849+(1-w_ntm28)*Sens!H849)*m_sw</f>
        <v>108.948711425803</v>
      </c>
    </row>
    <row r="867" customFormat="false" ht="17.15" hidden="false" customHeight="false" outlineLevel="0" collapsed="false">
      <c r="A867" s="1" t="s">
        <v>1254</v>
      </c>
      <c r="B867" s="0" t="s">
        <v>98</v>
      </c>
      <c r="C867" s="6" t="n">
        <f aca="false">(w_ntm28*Sens!G850+(1-w_ntm28)*Sens!H850)*m_sw</f>
        <v>41.4195331516587</v>
      </c>
    </row>
    <row r="868" customFormat="false" ht="17.15" hidden="false" customHeight="false" outlineLevel="0" collapsed="false">
      <c r="A868" s="1" t="s">
        <v>1255</v>
      </c>
      <c r="B868" s="0" t="s">
        <v>98</v>
      </c>
      <c r="C868" s="6" t="n">
        <f aca="false">(w_ntm28*Sens!G851+(1-w_ntm28)*Sens!H851)*m_ads</f>
        <v>114.844808932216</v>
      </c>
    </row>
    <row r="869" customFormat="false" ht="17.15" hidden="false" customHeight="false" outlineLevel="0" collapsed="false">
      <c r="A869" s="1" t="s">
        <v>1256</v>
      </c>
      <c r="B869" s="0" t="s">
        <v>98</v>
      </c>
      <c r="C869" s="6" t="n">
        <f aca="false">(w_ntm28*Sens!G856+(1-w_ntm28)*Sens!H856)*m_game</f>
        <v>98.464306860916</v>
      </c>
    </row>
    <row r="870" customFormat="false" ht="17.15" hidden="false" customHeight="false" outlineLevel="0" collapsed="false">
      <c r="A870" s="1" t="s">
        <v>1257</v>
      </c>
      <c r="B870" s="0" t="s">
        <v>98</v>
      </c>
      <c r="C870" s="6" t="n">
        <f aca="false">(w_ntm28*Sens!G857+(1-w_ntm28)*Sens!H857)*m_pc</f>
        <v>91.2853627097997</v>
      </c>
    </row>
    <row r="871" customFormat="false" ht="17.15" hidden="false" customHeight="false" outlineLevel="0" collapsed="false">
      <c r="A871" s="1" t="s">
        <v>1258</v>
      </c>
      <c r="B871" s="0" t="s">
        <v>98</v>
      </c>
      <c r="C871" s="6" t="n">
        <f aca="false">Sens!$C$861+Sens!$C$863+Sens!$C$864+Sens!$C$865+Sens!$C$866+Sens!$C$867+Sens!$C$868+Sens!$C$869+Sens!$C$870</f>
        <v>3204.86905539083</v>
      </c>
    </row>
    <row r="872" customFormat="false" ht="17.15" hidden="false" customHeight="false" outlineLevel="0" collapsed="false">
      <c r="A872" s="1" t="s">
        <v>1259</v>
      </c>
      <c r="B872" s="0" t="s">
        <v>98</v>
      </c>
      <c r="C872" s="6" t="n">
        <f aca="false">(Sens!G833-Sens!G858)*t_stub</f>
        <v>48.5068432304883</v>
      </c>
      <c r="L872" s="1" t="s">
        <v>1260</v>
      </c>
    </row>
    <row r="873" customFormat="false" ht="17.15" hidden="false" customHeight="false" outlineLevel="0" collapsed="false">
      <c r="A873" s="1" t="s">
        <v>1169</v>
      </c>
      <c r="B873" s="0" t="s">
        <v>98</v>
      </c>
      <c r="C873" s="6" t="n">
        <f aca="false">Sens!F820+oai_v-Sens!F809+Sens!$C$872</f>
        <v>159.957733253813</v>
      </c>
      <c r="L873" s="1" t="s">
        <v>1261</v>
      </c>
    </row>
    <row r="874" customFormat="false" ht="17.15" hidden="false" customHeight="false" outlineLevel="0" collapsed="false">
      <c r="A874" s="1" t="s">
        <v>1262</v>
      </c>
      <c r="B874" s="0" t="s">
        <v>75</v>
      </c>
      <c r="C874" s="5" t="n">
        <f aca="false">(Sens!$C$871+Sens!$C$873)/(Sens!F822+dil_gap)-Sens!G812*roll_div_q/q_per_yr</f>
        <v>447.843476073192</v>
      </c>
      <c r="L874" s="1" t="s">
        <v>1263</v>
      </c>
    </row>
    <row r="875" customFormat="false" ht="17.15" hidden="false" customHeight="false" outlineLevel="0" collapsed="false">
      <c r="A875" s="1" t="s">
        <v>1264</v>
      </c>
      <c r="B875" s="0" t="s">
        <v>75</v>
      </c>
      <c r="C875" s="5" t="n">
        <f aca="false">w_dcf*Sens!$C$845+(1-w_dcf)*Sens!$C$874</f>
        <v>388.747489339335</v>
      </c>
    </row>
    <row r="876" customFormat="false" ht="17.15" hidden="false" customHeight="false" outlineLevel="0" collapsed="false">
      <c r="A876" s="3" t="s">
        <v>1500</v>
      </c>
    </row>
    <row r="877" customFormat="false" ht="15" hidden="false" customHeight="false" outlineLevel="0" collapsed="false">
      <c r="A877" s="4" t="s">
        <v>43</v>
      </c>
      <c r="B877" s="4" t="s">
        <v>65</v>
      </c>
      <c r="C877" s="23" t="s">
        <v>938</v>
      </c>
      <c r="D877" s="23" t="s">
        <v>939</v>
      </c>
      <c r="E877" s="23" t="s">
        <v>940</v>
      </c>
      <c r="F877" s="23" t="s">
        <v>941</v>
      </c>
      <c r="G877" s="23" t="s">
        <v>942</v>
      </c>
      <c r="H877" s="23" t="s">
        <v>943</v>
      </c>
      <c r="I877" s="23" t="s">
        <v>944</v>
      </c>
      <c r="J877" s="23" t="s">
        <v>945</v>
      </c>
      <c r="K877" s="23" t="s">
        <v>946</v>
      </c>
      <c r="L877" s="4" t="s">
        <v>47</v>
      </c>
    </row>
    <row r="878" customFormat="false" ht="17.15" hidden="false" customHeight="false" outlineLevel="0" collapsed="false">
      <c r="A878" s="1" t="s">
        <v>947</v>
      </c>
      <c r="B878" s="1" t="s">
        <v>279</v>
      </c>
      <c r="C878" s="21" t="n">
        <v>2024</v>
      </c>
      <c r="D878" s="21" t="n">
        <v>2025</v>
      </c>
      <c r="E878" s="21" t="n">
        <v>2026</v>
      </c>
      <c r="F878" s="21" t="n">
        <v>2027</v>
      </c>
      <c r="G878" s="21" t="n">
        <v>2028</v>
      </c>
      <c r="H878" s="21" t="n">
        <v>2029</v>
      </c>
      <c r="I878" s="21" t="n">
        <v>2030</v>
      </c>
      <c r="J878" s="21" t="n">
        <v>2031</v>
      </c>
      <c r="K878" s="21" t="n">
        <v>2032</v>
      </c>
    </row>
    <row r="879" customFormat="false" ht="17.15" hidden="false" customHeight="false" outlineLevel="0" collapsed="false">
      <c r="A879" s="1" t="s">
        <v>948</v>
      </c>
      <c r="B879" s="0" t="s">
        <v>456</v>
      </c>
      <c r="F879" s="30" t="n">
        <f aca="false">pace</f>
        <v>2726.5351</v>
      </c>
      <c r="G879" s="30" t="n">
        <f aca="false">pace</f>
        <v>2726.5351</v>
      </c>
      <c r="H879" s="30" t="n">
        <f aca="false">pace</f>
        <v>2726.5351</v>
      </c>
      <c r="I879" s="30" t="n">
        <f aca="false">pace+(g_tv*Sens!H880-pace)*MIN(1,(Sens!I878-pace_y0)/(pace_y1-pace_y0))</f>
        <v>1931.98611966667</v>
      </c>
      <c r="J879" s="30" t="n">
        <f aca="false">pace+(g_tv*Sens!I880-pace)*MIN(1,(Sens!J878-pace_y0)/(pace_y1-pace_y0))</f>
        <v>1176.07686172667</v>
      </c>
      <c r="K879" s="30" t="n">
        <f aca="false">pace+(g_tv*Sens!J880-pace)*MIN(1,(Sens!K878-pace_y0)/(pace_y1-pace_y0))</f>
        <v>436.1300484418</v>
      </c>
      <c r="L879" s="12" t="s">
        <v>949</v>
      </c>
    </row>
    <row r="880" customFormat="false" ht="17.15" hidden="false" customHeight="false" outlineLevel="0" collapsed="false">
      <c r="A880" s="1" t="s">
        <v>950</v>
      </c>
      <c r="B880" s="0" t="s">
        <v>456</v>
      </c>
      <c r="C880" s="30" t="n">
        <f aca="false">mw_ext_24</f>
        <v>640</v>
      </c>
      <c r="D880" s="30" t="n">
        <f aca="false">mw_ext_25</f>
        <v>1630</v>
      </c>
      <c r="E880" s="30" t="n">
        <f aca="false">mw_ext_26</f>
        <v>3250</v>
      </c>
      <c r="F880" s="30" t="n">
        <f aca="false">Sens!E880+Sens!F879</f>
        <v>5976.5351</v>
      </c>
      <c r="G880" s="30" t="n">
        <f aca="false">Sens!F880+Sens!G879</f>
        <v>8703.0702</v>
      </c>
      <c r="H880" s="30" t="n">
        <f aca="false">Sens!G880+Sens!H879</f>
        <v>11429.6053</v>
      </c>
      <c r="I880" s="30" t="n">
        <f aca="false">Sens!H880+Sens!I879</f>
        <v>13361.5914196667</v>
      </c>
      <c r="J880" s="30" t="n">
        <f aca="false">Sens!I880+Sens!J879</f>
        <v>14537.6682813933</v>
      </c>
      <c r="K880" s="30" t="n">
        <f aca="false">Sens!J880+Sens!K879</f>
        <v>14973.7983298351</v>
      </c>
      <c r="L880" s="1" t="s">
        <v>951</v>
      </c>
    </row>
    <row r="881" customFormat="false" ht="17.15" hidden="false" customHeight="false" outlineLevel="0" collapsed="false">
      <c r="A881" s="1" t="s">
        <v>952</v>
      </c>
      <c r="B881" s="0" t="s">
        <v>456</v>
      </c>
      <c r="C881" s="30" t="n">
        <f aca="false">rent_ext_24</f>
        <v>150</v>
      </c>
      <c r="D881" s="30" t="n">
        <f aca="false">rent_ext_25</f>
        <v>400</v>
      </c>
      <c r="E881" s="30" t="n">
        <f aca="false">rent_ext_26</f>
        <v>550</v>
      </c>
      <c r="F881" s="30" t="n">
        <f aca="false">rent_ext_f</f>
        <v>756</v>
      </c>
      <c r="G881" s="30" t="n">
        <f aca="false">rent_ext_f</f>
        <v>756</v>
      </c>
      <c r="H881" s="30" t="n">
        <f aca="false">rent_ext_f</f>
        <v>756</v>
      </c>
      <c r="I881" s="30" t="n">
        <f aca="false">rent_ext_f</f>
        <v>756</v>
      </c>
      <c r="J881" s="30" t="n">
        <f aca="false">rent_ext_f</f>
        <v>756</v>
      </c>
      <c r="K881" s="30" t="n">
        <f aca="false">rent_ext_f</f>
        <v>756</v>
      </c>
      <c r="L881" s="1" t="s">
        <v>953</v>
      </c>
    </row>
    <row r="882" customFormat="false" ht="17.15" hidden="false" customHeight="false" outlineLevel="0" collapsed="false">
      <c r="A882" s="1" t="s">
        <v>954</v>
      </c>
      <c r="B882" s="0" t="s">
        <v>456</v>
      </c>
      <c r="C882" s="30" t="n">
        <f aca="false">Sens!C880-Sens!C881</f>
        <v>490</v>
      </c>
      <c r="D882" s="30" t="n">
        <f aca="false">Sens!D880-Sens!D881</f>
        <v>1230</v>
      </c>
      <c r="E882" s="30" t="n">
        <f aca="false">Sens!E880-Sens!E881</f>
        <v>2700</v>
      </c>
      <c r="F882" s="30" t="n">
        <f aca="false">Sens!F880-Sens!F881</f>
        <v>5220.5351</v>
      </c>
      <c r="G882" s="30" t="n">
        <f aca="false">Sens!G880-Sens!G881</f>
        <v>7947.0702</v>
      </c>
      <c r="H882" s="30" t="n">
        <f aca="false">Sens!H880-Sens!H881</f>
        <v>10673.6053</v>
      </c>
      <c r="I882" s="30" t="n">
        <f aca="false">Sens!I880-Sens!I881</f>
        <v>12605.5914196667</v>
      </c>
      <c r="J882" s="30" t="n">
        <f aca="false">Sens!J880-Sens!J881</f>
        <v>13781.6682813933</v>
      </c>
      <c r="K882" s="30" t="n">
        <f aca="false">Sens!K880-Sens!K881</f>
        <v>14217.7983298351</v>
      </c>
    </row>
    <row r="883" customFormat="false" ht="17.15" hidden="false" customHeight="false" outlineLevel="0" collapsed="false">
      <c r="A883" s="1" t="s">
        <v>955</v>
      </c>
      <c r="B883" s="0" t="s">
        <v>456</v>
      </c>
      <c r="C883" s="30" t="n">
        <f aca="false">Sens!C882/ext_sh</f>
        <v>816.666666666667</v>
      </c>
      <c r="D883" s="30" t="n">
        <f aca="false">Sens!D882/ext_sh</f>
        <v>2050</v>
      </c>
      <c r="E883" s="30" t="n">
        <f aca="false">Sens!E882/ext_sh</f>
        <v>4500</v>
      </c>
      <c r="F883" s="30" t="n">
        <f aca="false">Sens!F882/ext_sh</f>
        <v>8700.89183333333</v>
      </c>
      <c r="G883" s="30" t="n">
        <f aca="false">Sens!G882/ext_sh</f>
        <v>13245.117</v>
      </c>
      <c r="H883" s="30" t="n">
        <f aca="false">Sens!H882/ext_sh</f>
        <v>17789.3421666667</v>
      </c>
      <c r="I883" s="30" t="n">
        <f aca="false">Sens!I882/ext_sh</f>
        <v>21009.3190327778</v>
      </c>
      <c r="J883" s="30" t="n">
        <f aca="false">Sens!J882/ext_sh</f>
        <v>22969.4471356556</v>
      </c>
      <c r="K883" s="30" t="n">
        <f aca="false">Sens!K882/ext_sh</f>
        <v>23696.3305497252</v>
      </c>
      <c r="L883" s="1" t="s">
        <v>956</v>
      </c>
    </row>
    <row r="884" customFormat="false" ht="17.15" hidden="false" customHeight="false" outlineLevel="0" collapsed="false">
      <c r="A884" s="1" t="s">
        <v>957</v>
      </c>
      <c r="B884" s="0" t="s">
        <v>456</v>
      </c>
      <c r="C884" s="30" t="n">
        <f aca="false">Sens!C883-Sens!C882</f>
        <v>326.666666666667</v>
      </c>
      <c r="D884" s="30" t="n">
        <f aca="false">Sens!D883-Sens!D882</f>
        <v>820</v>
      </c>
      <c r="E884" s="30" t="n">
        <f aca="false">Sens!E883-Sens!E882</f>
        <v>1800</v>
      </c>
      <c r="F884" s="30" t="n">
        <f aca="false">Sens!F883-Sens!F882</f>
        <v>3480.35673333333</v>
      </c>
      <c r="G884" s="30" t="n">
        <f aca="false">Sens!G883-Sens!G882</f>
        <v>5298.0468</v>
      </c>
      <c r="H884" s="30" t="n">
        <f aca="false">Sens!H883-Sens!H882</f>
        <v>7115.73686666667</v>
      </c>
      <c r="I884" s="30" t="n">
        <f aca="false">Sens!I883-Sens!I882</f>
        <v>8403.72761311111</v>
      </c>
      <c r="J884" s="30" t="n">
        <f aca="false">Sens!J883-Sens!J882</f>
        <v>9187.77885426222</v>
      </c>
      <c r="K884" s="30" t="n">
        <f aca="false">Sens!K883-Sens!K882</f>
        <v>9478.53221989009</v>
      </c>
    </row>
    <row r="885" customFormat="false" ht="17.15" hidden="false" customHeight="false" outlineLevel="0" collapsed="false">
      <c r="A885" s="1" t="s">
        <v>958</v>
      </c>
      <c r="B885" s="0" t="s">
        <v>456</v>
      </c>
      <c r="C885" s="30" t="n">
        <f aca="false">Sens!C883</f>
        <v>816.666666666667</v>
      </c>
      <c r="D885" s="30" t="n">
        <f aca="false">Sens!D883-Sens!C883</f>
        <v>1233.33333333333</v>
      </c>
      <c r="E885" s="30" t="n">
        <f aca="false">Sens!E883-Sens!D883</f>
        <v>2450</v>
      </c>
      <c r="F885" s="30" t="n">
        <f aca="false">Sens!F883-Sens!E883</f>
        <v>4200.89183333333</v>
      </c>
      <c r="G885" s="30" t="n">
        <f aca="false">Sens!G883-Sens!F883</f>
        <v>4544.22516666667</v>
      </c>
      <c r="H885" s="30" t="n">
        <f aca="false">Sens!H883-Sens!G883</f>
        <v>4544.22516666667</v>
      </c>
      <c r="I885" s="30" t="n">
        <f aca="false">Sens!I883-Sens!H883</f>
        <v>3219.97686611111</v>
      </c>
      <c r="J885" s="30" t="n">
        <f aca="false">Sens!J883-Sens!I883</f>
        <v>1960.12810287778</v>
      </c>
      <c r="K885" s="30" t="n">
        <f aca="false">Sens!K883-Sens!J883</f>
        <v>726.883414069667</v>
      </c>
    </row>
    <row r="886" customFormat="false" ht="17.15" hidden="false" customHeight="false" outlineLevel="0" collapsed="false">
      <c r="A886" s="1" t="s">
        <v>959</v>
      </c>
      <c r="B886" s="0" t="s">
        <v>456</v>
      </c>
      <c r="D886" s="30" t="n">
        <f aca="false">Sens!D880-Sens!C880</f>
        <v>990</v>
      </c>
      <c r="E886" s="30" t="n">
        <f aca="false">Sens!E880-Sens!D880</f>
        <v>1620</v>
      </c>
      <c r="F886" s="30" t="n">
        <f aca="false">Sens!F880-Sens!E880</f>
        <v>2726.5351</v>
      </c>
      <c r="G886" s="30" t="n">
        <f aca="false">Sens!G880-Sens!F880</f>
        <v>2726.5351</v>
      </c>
      <c r="H886" s="30" t="n">
        <f aca="false">Sens!H880-Sens!G880</f>
        <v>2726.5351</v>
      </c>
      <c r="I886" s="30" t="n">
        <f aca="false">Sens!I880-Sens!H880</f>
        <v>1931.98611966667</v>
      </c>
      <c r="J886" s="30" t="n">
        <f aca="false">Sens!J880-Sens!I880</f>
        <v>1176.07686172667</v>
      </c>
      <c r="K886" s="30" t="n">
        <f aca="false">Sens!K880-Sens!J880</f>
        <v>436.130048441799</v>
      </c>
    </row>
    <row r="887" customFormat="false" ht="17.15" hidden="false" customHeight="false" outlineLevel="0" collapsed="false">
      <c r="A887" s="1" t="s">
        <v>960</v>
      </c>
      <c r="B887" s="0" t="s">
        <v>456</v>
      </c>
      <c r="F887" s="30" t="n">
        <f aca="false">Sens!F906*ext_sh</f>
        <v>0</v>
      </c>
      <c r="G887" s="30" t="n">
        <f aca="false">Sens!G906*ext_sh</f>
        <v>0</v>
      </c>
      <c r="H887" s="30" t="n">
        <f aca="false">Sens!H906*ext_sh</f>
        <v>0</v>
      </c>
      <c r="I887" s="30" t="n">
        <f aca="false">Sens!I906*ext_sh</f>
        <v>490</v>
      </c>
      <c r="J887" s="30" t="n">
        <f aca="false">Sens!J906*ext_sh</f>
        <v>740</v>
      </c>
      <c r="K887" s="30" t="n">
        <f aca="false">Sens!K906*ext_sh</f>
        <v>1470</v>
      </c>
      <c r="L887" s="1" t="s">
        <v>961</v>
      </c>
    </row>
    <row r="888" customFormat="false" ht="17.15" hidden="false" customHeight="false" outlineLevel="0" collapsed="false">
      <c r="A888" s="1" t="s">
        <v>962</v>
      </c>
      <c r="B888" s="0" t="s">
        <v>456</v>
      </c>
      <c r="C888" s="30" t="n">
        <f aca="false">mix_h*Sens!C880</f>
        <v>128</v>
      </c>
      <c r="D888" s="30" t="n">
        <f aca="false">mix_h*Sens!D880</f>
        <v>326</v>
      </c>
      <c r="E888" s="30" t="n">
        <f aca="false">mix_h*Sens!E880</f>
        <v>650</v>
      </c>
      <c r="F888" s="30" t="n">
        <f aca="false">Sens!E888-Sens!F887*mix_h</f>
        <v>650</v>
      </c>
      <c r="G888" s="30" t="n">
        <f aca="false">Sens!F888-Sens!G887*mix_h</f>
        <v>650</v>
      </c>
      <c r="H888" s="30" t="n">
        <f aca="false">Sens!G888-Sens!H887*mix_h</f>
        <v>650</v>
      </c>
      <c r="I888" s="30" t="n">
        <f aca="false">Sens!H888-Sens!I887*mix_h</f>
        <v>552</v>
      </c>
      <c r="J888" s="30" t="n">
        <f aca="false">Sens!I888-Sens!J887*mix_h</f>
        <v>404</v>
      </c>
      <c r="K888" s="30" t="n">
        <f aca="false">Sens!J888-Sens!K887*mix_h</f>
        <v>110</v>
      </c>
    </row>
    <row r="889" customFormat="false" ht="17.15" hidden="false" customHeight="false" outlineLevel="0" collapsed="false">
      <c r="A889" s="1" t="s">
        <v>963</v>
      </c>
      <c r="B889" s="0" t="s">
        <v>456</v>
      </c>
      <c r="C889" s="30" t="n">
        <f aca="false">mix_g2*Sens!C880</f>
        <v>288</v>
      </c>
      <c r="D889" s="30" t="n">
        <f aca="false">mix_g2*Sens!D880</f>
        <v>733.5</v>
      </c>
      <c r="E889" s="30" t="n">
        <f aca="false">mix_g2*Sens!E880</f>
        <v>1462.5</v>
      </c>
      <c r="F889" s="30" t="n">
        <f aca="false">Sens!E889-Sens!F887*mix_g2</f>
        <v>1462.5</v>
      </c>
      <c r="G889" s="30" t="n">
        <f aca="false">Sens!F889-Sens!G887*mix_g2</f>
        <v>1462.5</v>
      </c>
      <c r="H889" s="30" t="n">
        <f aca="false">Sens!G889-Sens!H887*mix_g2</f>
        <v>1462.5</v>
      </c>
      <c r="I889" s="30" t="n">
        <f aca="false">Sens!H889-Sens!I887*mix_g2</f>
        <v>1242</v>
      </c>
      <c r="J889" s="30" t="n">
        <f aca="false">Sens!I889-Sens!J887*mix_g2</f>
        <v>909</v>
      </c>
      <c r="K889" s="30" t="n">
        <f aca="false">Sens!J889-Sens!K887*mix_g2</f>
        <v>247.5</v>
      </c>
    </row>
    <row r="890" customFormat="false" ht="17.15" hidden="false" customHeight="false" outlineLevel="0" collapsed="false">
      <c r="A890" s="1" t="s">
        <v>964</v>
      </c>
      <c r="B890" s="0" t="s">
        <v>456</v>
      </c>
      <c r="C890" s="30" t="n">
        <f aca="false">mix_g3*Sens!C880</f>
        <v>224</v>
      </c>
      <c r="D890" s="30" t="n">
        <f aca="false">mix_g3*Sens!D880</f>
        <v>570.5</v>
      </c>
      <c r="E890" s="30" t="n">
        <f aca="false">mix_g3*Sens!E880</f>
        <v>1137.5</v>
      </c>
      <c r="F890" s="30" t="n">
        <f aca="false">Sens!E890+(Sens!F886+Sens!F887)*(a_g3_27-nonnv*a_mai)-Sens!F887*mix_g3</f>
        <v>2773.42106</v>
      </c>
      <c r="G890" s="30" t="n">
        <f aca="false">Sens!F890+(Sens!G886+Sens!G887)*(a_g3_28-nonnv*a_mai)-Sens!G887*mix_g3</f>
        <v>3318.72808</v>
      </c>
      <c r="H890" s="30" t="n">
        <f aca="false">Sens!G890+(Sens!H886+Sens!H887)*(a_g3_29-nonnv*a_mai)-Sens!H887*mix_g3</f>
        <v>3318.72808</v>
      </c>
      <c r="I890" s="30" t="n">
        <f aca="false">Sens!H890+(Sens!I886+Sens!I887)*(a_g3_29-nonnv*a_mai)-Sens!I887*mix_g3</f>
        <v>3147.22808</v>
      </c>
      <c r="J890" s="30" t="n">
        <f aca="false">Sens!I890+(Sens!J886+Sens!J887)*(a_g3_29-nonnv*a_mai)-Sens!J887*mix_g3</f>
        <v>2888.22808</v>
      </c>
      <c r="K890" s="30" t="n">
        <f aca="false">Sens!J890+(Sens!K886+Sens!K887)*(a_g3_29-nonnv*a_mai)-Sens!K887*mix_g3</f>
        <v>2373.72808</v>
      </c>
    </row>
    <row r="891" customFormat="false" ht="17.15" hidden="false" customHeight="false" outlineLevel="0" collapsed="false">
      <c r="A891" s="1" t="s">
        <v>965</v>
      </c>
      <c r="B891" s="0" t="s">
        <v>456</v>
      </c>
      <c r="C891" s="30" t="n">
        <v>0</v>
      </c>
      <c r="D891" s="30" t="n">
        <v>0</v>
      </c>
      <c r="E891" s="30" t="n">
        <v>0</v>
      </c>
      <c r="F891" s="30" t="n">
        <f aca="false">Sens!E891+(Sens!F886+Sens!F887)*nonnv*a_mai</f>
        <v>272.65351</v>
      </c>
      <c r="G891" s="30" t="n">
        <f aca="false">Sens!F891+(Sens!G886+Sens!G887)*nonnv*a_mai</f>
        <v>545.30702</v>
      </c>
      <c r="H891" s="30" t="n">
        <f aca="false">Sens!G891+(Sens!H886+Sens!H887)*nonnv*a_mai</f>
        <v>817.96053</v>
      </c>
      <c r="I891" s="30" t="n">
        <f aca="false">Sens!H891+(Sens!I886+Sens!I887)*nonnv*a_mai</f>
        <v>1060.15914196667</v>
      </c>
      <c r="J891" s="30" t="n">
        <f aca="false">Sens!I891+(Sens!J886+Sens!J887)*nonnv*a_mai</f>
        <v>1251.76682813933</v>
      </c>
      <c r="K891" s="30" t="n">
        <f aca="false">Sens!J891+(Sens!K886+Sens!K887)*nonnv*a_mai</f>
        <v>1442.37983298351</v>
      </c>
      <c r="L891" s="12" t="s">
        <v>966</v>
      </c>
    </row>
    <row r="892" customFormat="false" ht="17.15" hidden="false" customHeight="false" outlineLevel="0" collapsed="false">
      <c r="A892" s="1" t="s">
        <v>967</v>
      </c>
      <c r="B892" s="0" t="s">
        <v>456</v>
      </c>
      <c r="C892" s="30" t="n">
        <v>0</v>
      </c>
      <c r="D892" s="30" t="n">
        <v>0</v>
      </c>
      <c r="E892" s="30" t="n">
        <v>0</v>
      </c>
      <c r="F892" s="30" t="n">
        <f aca="false">Sens!E892+(Sens!F886+Sens!F887)*(1-a_g3_27)</f>
        <v>817.96053</v>
      </c>
      <c r="G892" s="30" t="n">
        <f aca="false">Sens!F892+(Sens!G886+Sens!G887)*(1-a_g3_28)</f>
        <v>2726.5351</v>
      </c>
      <c r="H892" s="30" t="n">
        <f aca="false">Sens!G892+(Sens!H886+Sens!H887)*(1-a_g3_29)</f>
        <v>5180.41669</v>
      </c>
      <c r="I892" s="30" t="n">
        <f aca="false">Sens!H892+(Sens!I886+Sens!I887)*(1-a_g3_29)</f>
        <v>7360.2041977</v>
      </c>
      <c r="J892" s="30" t="n">
        <f aca="false">Sens!I892+(Sens!J886+Sens!J887)*(1-a_g3_29)</f>
        <v>9084.673373254</v>
      </c>
      <c r="K892" s="30" t="n">
        <f aca="false">Sens!J892+(Sens!K886+Sens!K887)*(1-a_g3_29)</f>
        <v>10800.1904168516</v>
      </c>
    </row>
    <row r="893" customFormat="false" ht="17.15" hidden="false" customHeight="false" outlineLevel="0" collapsed="false">
      <c r="A893" s="1" t="s">
        <v>968</v>
      </c>
      <c r="B893" s="0" t="s">
        <v>403</v>
      </c>
      <c r="C893" s="15" t="n">
        <f aca="false">(Sens!C888*tk_hold_h100+Sens!C889*tk_hold_gb200+Sens!C890*tk_hold_gb300+Sens!C892*tk_hold_vr200+Sens!C891*nv_hold_mai*tk_hold_vr200)/Sens!C880</f>
        <v>9.7235358126469</v>
      </c>
      <c r="D893" s="15" t="n">
        <f aca="false">(Sens!D888*tk_hold_h100+Sens!D889*tk_hold_gb200+Sens!D890*tk_hold_gb300+Sens!D892*tk_hold_vr200+Sens!D891*nv_hold_mai*tk_hold_vr200)/Sens!D880</f>
        <v>9.7235358126469</v>
      </c>
      <c r="E893" s="15" t="n">
        <f aca="false">(Sens!E888*tk_hold_h100+Sens!E889*tk_hold_gb200+Sens!E890*tk_hold_gb300+Sens!E892*tk_hold_vr200+Sens!E891*nv_hold_mai*tk_hold_vr200)/Sens!E880</f>
        <v>9.7235358126469</v>
      </c>
      <c r="F893" s="15" t="n">
        <f aca="false">(Sens!F888*tk_hold_h100+Sens!F889*tk_hold_gb200+Sens!F890*tk_hold_gb300+Sens!F892*tk_hold_vr200+Sens!F891*nv_hold_mai*tk_hold_vr200)/Sens!F880</f>
        <v>10.2195353876665</v>
      </c>
      <c r="G893" s="15" t="n">
        <f aca="false">(Sens!G888*tk_hold_h100+Sens!G889*tk_hold_gb200+Sens!G890*tk_hold_gb300+Sens!G892*tk_hold_vr200+Sens!G891*nv_hold_mai*tk_hold_vr200)/Sens!G880</f>
        <v>10.5725598017306</v>
      </c>
      <c r="H893" s="15" t="n">
        <f aca="false">(Sens!H888*tk_hold_h100+Sens!H889*tk_hold_gb200+Sens!H890*tk_hold_gb300+Sens!H892*tk_hold_vr200+Sens!H891*nv_hold_mai*tk_hold_vr200)/Sens!H880</f>
        <v>10.8210427149036</v>
      </c>
      <c r="I893" s="15" t="n">
        <f aca="false">(Sens!I888*tk_hold_h100+Sens!I889*tk_hold_gb200+Sens!I890*tk_hold_gb300+Sens!I892*tk_hold_vr200+Sens!I891*nv_hold_mai*tk_hold_vr200)/Sens!I880</f>
        <v>11.0050618241982</v>
      </c>
      <c r="J893" s="15" t="n">
        <f aca="false">(Sens!J888*tk_hold_h100+Sens!J889*tk_hold_gb200+Sens!J890*tk_hold_gb300+Sens!J892*tk_hold_vr200+Sens!J891*nv_hold_mai*tk_hold_vr200)/Sens!J880</f>
        <v>11.1505789658881</v>
      </c>
      <c r="K893" s="15" t="n">
        <f aca="false">(Sens!K888*tk_hold_h100+Sens!K889*tk_hold_gb200+Sens!K890*tk_hold_gb300+Sens!K892*tk_hold_vr200+Sens!K891*nv_hold_mai*tk_hold_vr200)/Sens!K880</f>
        <v>11.3496914757183</v>
      </c>
      <c r="L893" s="1" t="s">
        <v>969</v>
      </c>
    </row>
    <row r="894" customFormat="false" ht="17.15" hidden="false" customHeight="false" outlineLevel="0" collapsed="false">
      <c r="A894" s="1" t="s">
        <v>970</v>
      </c>
      <c r="B894" s="0" t="s">
        <v>403</v>
      </c>
      <c r="C894" s="15" t="n">
        <f aca="false">(Sens!C888*tk_hold_h100+Sens!C889*tk_hold_gb200+Sens!C890*tk_hold_gb300+Sens!C892*tk_hold_vr200+Sens!C891*nv_out_mai*tk_hold_vr200)/Sens!C880</f>
        <v>9.7235358126469</v>
      </c>
      <c r="D894" s="15" t="n">
        <f aca="false">(Sens!D888*tk_hold_h100+Sens!D889*tk_hold_gb200+Sens!D890*tk_hold_gb300+Sens!D892*tk_hold_vr200+Sens!D891*nv_out_mai*tk_hold_vr200)/Sens!D880</f>
        <v>9.7235358126469</v>
      </c>
      <c r="E894" s="15" t="n">
        <f aca="false">(Sens!E888*tk_hold_h100+Sens!E889*tk_hold_gb200+Sens!E890*tk_hold_gb300+Sens!E892*tk_hold_vr200+Sens!E891*nv_out_mai*tk_hold_vr200)/Sens!E880</f>
        <v>9.7235358126469</v>
      </c>
      <c r="F894" s="15" t="n">
        <f aca="false">(Sens!F888*tk_hold_h100+Sens!F889*tk_hold_gb200+Sens!F890*tk_hold_gb300+Sens!F892*tk_hold_vr200+Sens!F891*nv_out_mai*tk_hold_vr200)/Sens!F880</f>
        <v>10.247422093969</v>
      </c>
      <c r="G894" s="15" t="n">
        <f aca="false">(Sens!G888*tk_hold_h100+Sens!G889*tk_hold_gb200+Sens!G890*tk_hold_gb300+Sens!G892*tk_hold_vr200+Sens!G891*nv_out_mai*tk_hold_vr200)/Sens!G880</f>
        <v>10.6108602808053</v>
      </c>
      <c r="H894" s="15" t="n">
        <f aca="false">(Sens!H888*tk_hold_h100+Sens!H889*tk_hold_gb200+Sens!H890*tk_hold_gb300+Sens!H892*tk_hold_vr200+Sens!H891*nv_out_mai*tk_hold_vr200)/Sens!H880</f>
        <v>10.8647885507393</v>
      </c>
      <c r="I894" s="15" t="n">
        <f aca="false">(Sens!I888*tk_hold_h100+Sens!I889*tk_hold_gb200+Sens!I890*tk_hold_gb300+Sens!I892*tk_hold_vr200+Sens!I891*nv_out_mai*tk_hold_vr200)/Sens!I880</f>
        <v>11.0535625770025</v>
      </c>
      <c r="J894" s="15" t="n">
        <f aca="false">(Sens!J888*tk_hold_h100+Sens!J889*tk_hold_gb200+Sens!J890*tk_hold_gb300+Sens!J892*tk_hold_vr200+Sens!J891*nv_out_mai*tk_hold_vr200)/Sens!J880</f>
        <v>11.2032127128058</v>
      </c>
      <c r="K894" s="15" t="n">
        <f aca="false">(Sens!K888*tk_hold_h100+Sens!K889*tk_hold_gb200+Sens!K890*tk_hold_gb300+Sens!K892*tk_hold_vr200+Sens!K891*nv_out_mai*tk_hold_vr200)/Sens!K880</f>
        <v>11.4085735724225</v>
      </c>
      <c r="L894" s="12" t="s">
        <v>971</v>
      </c>
    </row>
    <row r="895" customFormat="false" ht="17.15" hidden="false" customHeight="false" outlineLevel="0" collapsed="false">
      <c r="A895" s="0" t="s">
        <v>972</v>
      </c>
      <c r="B895" s="0" t="s">
        <v>229</v>
      </c>
      <c r="C895" s="15" t="n">
        <f aca="false">k_B</f>
        <v>1.17213932619116</v>
      </c>
      <c r="D895" s="15" t="n">
        <f aca="false">k_B</f>
        <v>1.17213932619116</v>
      </c>
      <c r="E895" s="15" t="n">
        <f aca="false">k_B</f>
        <v>1.17213932619116</v>
      </c>
      <c r="F895" s="15" t="n">
        <f aca="false">(k_B+((ls_B*k_long+(1-ls_B)*k_spot)-k_B)*MIN(1,(Sens!F878-base_fy)/k_ramp))*0.85</f>
        <v>0.996318427262482</v>
      </c>
      <c r="G895" s="15" t="n">
        <f aca="false">(k_B+((ls_B*k_long+(1-ls_B)*k_spot)-k_B)*MIN(1,(Sens!G878-base_fy)/k_ramp))*0.85</f>
        <v>0.996318427262482</v>
      </c>
      <c r="H895" s="15" t="n">
        <f aca="false">(k_B+((ls_B*k_long+(1-ls_B)*k_spot)-k_B)*MIN(1,(Sens!H878-base_fy)/k_ramp))*0.85</f>
        <v>0.996318427262482</v>
      </c>
      <c r="I895" s="15" t="n">
        <f aca="false">(k_B+((ls_B*k_long+(1-ls_B)*k_spot)-k_B)*MIN(1,(Sens!I878-base_fy)/k_ramp))*0.85</f>
        <v>0.996318427262482</v>
      </c>
      <c r="J895" s="15" t="n">
        <f aca="false">(k_B+((ls_B*k_long+(1-ls_B)*k_spot)-k_B)*MIN(1,(Sens!J878-base_fy)/k_ramp))*0.85</f>
        <v>0.996318427262482</v>
      </c>
      <c r="K895" s="15" t="n">
        <f aca="false">(k_B+((ls_B*k_long+(1-ls_B)*k_spot)-k_B)*MIN(1,(Sens!K878-base_fy)/k_ramp))*0.85</f>
        <v>0.996318427262482</v>
      </c>
      <c r="L895" s="1" t="s">
        <v>973</v>
      </c>
    </row>
    <row r="896" customFormat="false" ht="17.15" hidden="false" customHeight="false" outlineLevel="0" collapsed="false">
      <c r="A896" s="1" t="s">
        <v>974</v>
      </c>
      <c r="B896" s="0" t="s">
        <v>403</v>
      </c>
      <c r="C896" s="15" t="n">
        <f aca="false">Sens!C894*Sens!C895*chip_f</f>
        <v>11.3973387156315</v>
      </c>
      <c r="D896" s="15" t="n">
        <f aca="false">Sens!D894*Sens!D895*chip_f</f>
        <v>11.3973387156315</v>
      </c>
      <c r="E896" s="15" t="n">
        <f aca="false">Sens!E894*Sens!E895*chip_f</f>
        <v>11.3973387156315</v>
      </c>
      <c r="F896" s="15" t="n">
        <f aca="false">Sens!F894*Sens!F895*chip_f</f>
        <v>10.209695464158</v>
      </c>
      <c r="G896" s="15" t="n">
        <f aca="false">Sens!G894*Sens!G895*chip_f</f>
        <v>10.5717956268739</v>
      </c>
      <c r="H896" s="15" t="n">
        <f aca="false">Sens!H894*Sens!H895*chip_f</f>
        <v>10.824789041412</v>
      </c>
      <c r="I896" s="15" t="n">
        <f aca="false">Sens!I894*Sens!I895*chip_f</f>
        <v>11.0128680823666</v>
      </c>
      <c r="J896" s="15" t="n">
        <f aca="false">Sens!J894*Sens!J895*chip_f</f>
        <v>11.1619672703097</v>
      </c>
      <c r="K896" s="15" t="n">
        <f aca="false">Sens!K894*Sens!K895*chip_f</f>
        <v>11.3665720789843</v>
      </c>
      <c r="L896" s="1" t="s">
        <v>975</v>
      </c>
    </row>
    <row r="897" customFormat="false" ht="17.15" hidden="false" customHeight="false" outlineLevel="0" collapsed="false">
      <c r="A897" s="0" t="s">
        <v>976</v>
      </c>
      <c r="B897" s="0" t="s">
        <v>98</v>
      </c>
      <c r="D897" s="6" t="n">
        <f aca="false">(Sens!C880+Sens!D880)/2*Sens!D896/1000</f>
        <v>12.9359794422418</v>
      </c>
      <c r="E897" s="6" t="n">
        <f aca="false">(Sens!D880+Sens!E880)/2*Sens!E896/1000</f>
        <v>27.8095064661409</v>
      </c>
      <c r="F897" s="6" t="n">
        <f aca="false">(Sens!E880+Sens!F880)/2*Sens!F896/1000</f>
        <v>47.1000567801821</v>
      </c>
      <c r="G897" s="6" t="n">
        <f aca="false">(Sens!F880+Sens!G880)/2*Sens!G896/1000</f>
        <v>77.5948935573871</v>
      </c>
      <c r="H897" s="6" t="n">
        <f aca="false">(Sens!G880+Sens!H880)/2*Sens!H896/1000</f>
        <v>108.965982563352</v>
      </c>
      <c r="I897" s="6" t="n">
        <f aca="false">(Sens!H880+Sens!I880)/2*Sens!I896/1000</f>
        <v>136.511089538844</v>
      </c>
      <c r="J897" s="6" t="n">
        <f aca="false">(Sens!I880+Sens!J880)/2*Sens!J896/1000</f>
        <v>155.705311824551</v>
      </c>
      <c r="K897" s="6" t="n">
        <f aca="false">(Sens!J880+Sens!K880)/2*Sens!K896/1000</f>
        <v>167.722106196533</v>
      </c>
      <c r="L897" s="12" t="s">
        <v>977</v>
      </c>
    </row>
    <row r="898" customFormat="false" ht="17.15" hidden="false" customHeight="false" outlineLevel="0" collapsed="false">
      <c r="A898" s="1" t="s">
        <v>978</v>
      </c>
      <c r="B898" s="0" t="s">
        <v>403</v>
      </c>
      <c r="C898" s="15" t="n">
        <f aca="false">(Sens!C888*tk_opex_h100+Sens!C889*tk_opex_gb200+Sens!C890*tk_opex_gb300+(Sens!C892+Sens!C891)*tk_opex_vr200)/Sens!C880</f>
        <v>1.88636041306092</v>
      </c>
      <c r="D898" s="15" t="n">
        <f aca="false">(Sens!D888*tk_opex_h100+Sens!D889*tk_opex_gb200+Sens!D890*tk_opex_gb300+(Sens!D892+Sens!D891)*tk_opex_vr200)/Sens!D880</f>
        <v>1.88636041306092</v>
      </c>
      <c r="E898" s="15" t="n">
        <f aca="false">(Sens!E888*tk_opex_h100+Sens!E889*tk_opex_gb200+Sens!E890*tk_opex_gb300+(Sens!E892+Sens!E891)*tk_opex_vr200)/Sens!E880</f>
        <v>1.88636041306092</v>
      </c>
      <c r="F898" s="15" t="n">
        <f aca="false">(Sens!F888*tk_opex_h100+Sens!F889*tk_opex_gb200+Sens!F890*tk_opex_gb300+(Sens!F892+Sens!F891)*tk_opex_vr200)/Sens!F880</f>
        <v>1.95051159746876</v>
      </c>
      <c r="G898" s="15" t="n">
        <f aca="false">(Sens!G888*tk_opex_h100+Sens!G889*tk_opex_gb200+Sens!G890*tk_opex_gb300+(Sens!G892+Sens!G891)*tk_opex_vr200)/Sens!G880</f>
        <v>1.98836003669956</v>
      </c>
      <c r="H898" s="15" t="n">
        <f aca="false">(Sens!H888*tk_opex_h100+Sens!H889*tk_opex_gb200+Sens!H890*tk_opex_gb300+(Sens!H892+Sens!H891)*tk_opex_vr200)/Sens!H880</f>
        <v>2.01344013834343</v>
      </c>
      <c r="I898" s="15" t="n">
        <f aca="false">(Sens!I888*tk_opex_h100+Sens!I889*tk_opex_gb200+Sens!I890*tk_opex_gb300+(Sens!I892+Sens!I891)*tk_opex_vr200)/Sens!I880</f>
        <v>2.03261166882178</v>
      </c>
      <c r="J898" s="15" t="n">
        <f aca="false">(Sens!J888*tk_opex_h100+Sens!J889*tk_opex_gb200+Sens!J890*tk_opex_gb300+(Sens!J892+Sens!J891)*tk_opex_vr200)/Sens!J880</f>
        <v>2.04808073288745</v>
      </c>
      <c r="K898" s="15" t="n">
        <f aca="false">(Sens!K888*tk_opex_h100+Sens!K889*tk_opex_gb200+Sens!K890*tk_opex_gb300+(Sens!K892+Sens!K891)*tk_opex_vr200)/Sens!K880</f>
        <v>2.06973825807449</v>
      </c>
      <c r="L898" s="12" t="s">
        <v>979</v>
      </c>
    </row>
    <row r="899" customFormat="false" ht="17.15" hidden="false" customHeight="false" outlineLevel="0" collapsed="false">
      <c r="A899" s="0" t="s">
        <v>980</v>
      </c>
      <c r="B899" s="0" t="s">
        <v>98</v>
      </c>
      <c r="D899" s="6" t="n">
        <f aca="false">(Sens!C883+Sens!D883)/2*Sens!D898/1000</f>
        <v>2.70378325872065</v>
      </c>
      <c r="E899" s="6" t="n">
        <f aca="false">(Sens!D883+Sens!E883)/2*Sens!E898/1000</f>
        <v>6.17783035277451</v>
      </c>
      <c r="F899" s="6" t="n">
        <f aca="false">(Sens!E883+Sens!F883)/2*Sens!F898/1000</f>
        <v>12.8742463089237</v>
      </c>
      <c r="G899" s="6" t="n">
        <f aca="false">(Sens!F883+Sens!G883)/2*Sens!G898/1000</f>
        <v>21.8182834646277</v>
      </c>
      <c r="H899" s="6" t="n">
        <f aca="false">(Sens!G883+Sens!H883)/2*Sens!H898/1000</f>
        <v>31.2430128789734</v>
      </c>
      <c r="I899" s="6" t="n">
        <f aca="false">(Sens!H883+Sens!I883)/2*Sens!I898/1000</f>
        <v>39.4313057443268</v>
      </c>
      <c r="J899" s="6" t="n">
        <f aca="false">(Sens!I883+Sens!J883)/2*Sens!J898/1000</f>
        <v>45.0360318228653</v>
      </c>
      <c r="K899" s="6" t="n">
        <f aca="false">(Sens!J883+Sens!K883)/2*Sens!K898/1000</f>
        <v>48.2929727091156</v>
      </c>
    </row>
    <row r="900" customFormat="false" ht="17.15" hidden="false" customHeight="false" outlineLevel="0" collapsed="false">
      <c r="A900" s="0" t="s">
        <v>981</v>
      </c>
      <c r="B900" s="0" t="s">
        <v>98</v>
      </c>
      <c r="D900" s="6" t="n">
        <f aca="false">(Sens!C881+Sens!D881)/2*rent_mw/1000</f>
        <v>2.44475</v>
      </c>
      <c r="E900" s="6" t="n">
        <f aca="false">(Sens!D881+Sens!E881)/2*rent_mw/1000</f>
        <v>4.22275</v>
      </c>
      <c r="F900" s="6" t="n">
        <f aca="false">(Sens!E881+Sens!F881)/2*rent_mw/1000</f>
        <v>5.80517</v>
      </c>
      <c r="G900" s="6" t="n">
        <f aca="false">(Sens!F881+Sens!G881)/2*rent_mw/1000</f>
        <v>6.72084</v>
      </c>
      <c r="H900" s="6" t="n">
        <f aca="false">(Sens!G881+Sens!H881)/2*rent_mw/1000</f>
        <v>6.72084</v>
      </c>
      <c r="I900" s="6" t="n">
        <f aca="false">(Sens!H881+Sens!I881)/2*rent_mw/1000</f>
        <v>6.72084</v>
      </c>
      <c r="J900" s="6" t="n">
        <f aca="false">(Sens!I881+Sens!J881)/2*rent_mw/1000</f>
        <v>6.72084</v>
      </c>
      <c r="K900" s="6" t="n">
        <f aca="false">(Sens!J881+Sens!K881)/2*rent_mw/1000</f>
        <v>6.72084</v>
      </c>
    </row>
    <row r="901" customFormat="false" ht="17.15" hidden="false" customHeight="false" outlineLevel="0" collapsed="false">
      <c r="A901" s="0" t="s">
        <v>982</v>
      </c>
      <c r="B901" s="0" t="s">
        <v>98</v>
      </c>
      <c r="D901" s="6" t="n">
        <f aca="false">(Sens!C883+Sens!D883)/2*(1-self_build)*fac_rent/1000</f>
        <v>0.853242375631075</v>
      </c>
      <c r="E901" s="6" t="n">
        <f aca="false">(Sens!D883+Sens!E883)/2*(1-self_build)*fac_rent/1000</f>
        <v>1.94955961408728</v>
      </c>
      <c r="F901" s="6" t="n">
        <f aca="false">(Sens!E883+Sens!F883)/2*(1-self_build)*fac_rent/1000</f>
        <v>3.92914894476356</v>
      </c>
      <c r="G901" s="6" t="n">
        <f aca="false">(Sens!F883+Sens!G883)/2*(1-self_build)*fac_rent/1000</f>
        <v>6.53206908578159</v>
      </c>
      <c r="H901" s="6" t="n">
        <f aca="false">(Sens!G883+Sens!H883)/2*(1-self_build)*fac_rent/1000</f>
        <v>9.23717988341591</v>
      </c>
      <c r="I901" s="6" t="n">
        <f aca="false">(Sens!H883+Sens!I883)/2*(1-self_build)*fac_rent/1000</f>
        <v>11.5481378557393</v>
      </c>
      <c r="J901" s="6" t="n">
        <f aca="false">(Sens!I883+Sens!J883)/2*(1-self_build)*fac_rent/1000</f>
        <v>13.0899582289108</v>
      </c>
      <c r="K901" s="6" t="n">
        <f aca="false">(Sens!J883+Sens!K883)/2*(1-self_build)*fac_rent/1000</f>
        <v>13.8897275626556</v>
      </c>
      <c r="L901" s="12" t="s">
        <v>983</v>
      </c>
    </row>
    <row r="902" customFormat="false" ht="17.15" hidden="false" customHeight="false" outlineLevel="0" collapsed="false">
      <c r="A902" s="1" t="s">
        <v>984</v>
      </c>
      <c r="B902" s="0" t="s">
        <v>168</v>
      </c>
      <c r="D902" s="7" t="n">
        <f aca="false">(Sens!C882+Sens!D882)/(Sens!C883+Sens!D883)</f>
        <v>0.6</v>
      </c>
      <c r="E902" s="7" t="n">
        <f aca="false">(Sens!D882+Sens!E882)/(Sens!D883+Sens!E883)</f>
        <v>0.6</v>
      </c>
      <c r="F902" s="7" t="n">
        <f aca="false">(Sens!E882+Sens!F882)/(Sens!E883+Sens!F883)</f>
        <v>0.6</v>
      </c>
      <c r="G902" s="7" t="n">
        <f aca="false">(Sens!F882+Sens!G882)/(Sens!F883+Sens!G883)</f>
        <v>0.6</v>
      </c>
      <c r="H902" s="7" t="n">
        <f aca="false">(Sens!G882+Sens!H882)/(Sens!G883+Sens!H883)</f>
        <v>0.6</v>
      </c>
      <c r="I902" s="7" t="n">
        <f aca="false">(Sens!H882+Sens!I882)/(Sens!H883+Sens!I883)</f>
        <v>0.6</v>
      </c>
      <c r="J902" s="7" t="n">
        <f aca="false">(Sens!I882+Sens!J882)/(Sens!I883+Sens!J883)</f>
        <v>0.6</v>
      </c>
      <c r="K902" s="7" t="n">
        <f aca="false">(Sens!J882+Sens!K882)/(Sens!J883+Sens!K883)</f>
        <v>0.6</v>
      </c>
    </row>
    <row r="903" customFormat="false" ht="17.15" hidden="false" customHeight="false" outlineLevel="0" collapsed="false">
      <c r="A903" s="0" t="s">
        <v>985</v>
      </c>
      <c r="B903" s="0" t="s">
        <v>98</v>
      </c>
      <c r="D903" s="6" t="n">
        <f aca="false">Sens!D897-Sens!D902*(Sens!D899+Sens!D901)-Sens!D900</f>
        <v>8.35701406163072</v>
      </c>
      <c r="E903" s="6" t="n">
        <f aca="false">Sens!E897-Sens!E902*(Sens!E899+Sens!E901)-Sens!E900</f>
        <v>18.7103224860238</v>
      </c>
      <c r="F903" s="6" t="n">
        <f aca="false">Sens!F897-Sens!F902*(Sens!F899+Sens!F901)-Sens!F900</f>
        <v>31.2128496279698</v>
      </c>
      <c r="G903" s="6" t="n">
        <f aca="false">Sens!G897-Sens!G902*(Sens!G899+Sens!G901)-Sens!G900</f>
        <v>53.8638420271416</v>
      </c>
      <c r="H903" s="6" t="n">
        <f aca="false">Sens!H897-Sens!H902*(Sens!H899+Sens!H901)-Sens!H900</f>
        <v>77.9570269059186</v>
      </c>
      <c r="I903" s="6" t="n">
        <f aca="false">Sens!I897-Sens!I902*(Sens!I899+Sens!I901)-Sens!I900</f>
        <v>99.2025833788044</v>
      </c>
      <c r="J903" s="6" t="n">
        <f aca="false">Sens!J897-Sens!J902*(Sens!J899+Sens!J901)-Sens!J900</f>
        <v>114.108877793485</v>
      </c>
      <c r="K903" s="6" t="n">
        <f aca="false">Sens!K897-Sens!K902*(Sens!K899+Sens!K901)-Sens!K900</f>
        <v>123.691646033471</v>
      </c>
    </row>
    <row r="904" customFormat="false" ht="17.15" hidden="false" customHeight="false" outlineLevel="0" collapsed="false">
      <c r="A904" s="1" t="s">
        <v>986</v>
      </c>
      <c r="B904" s="0" t="s">
        <v>98</v>
      </c>
      <c r="D904" s="6" t="n">
        <f aca="false">(1-Sens!D902)*(Sens!D899+Sens!D901)</f>
        <v>1.42281025374069</v>
      </c>
      <c r="E904" s="6" t="n">
        <f aca="false">(1-Sens!E902)*(Sens!E899+Sens!E901)</f>
        <v>3.25095598674472</v>
      </c>
      <c r="F904" s="6" t="n">
        <f aca="false">(1-Sens!F902)*(Sens!F899+Sens!F901)</f>
        <v>6.72135810147489</v>
      </c>
      <c r="G904" s="6" t="n">
        <f aca="false">(1-Sens!G902)*(Sens!G899+Sens!G901)</f>
        <v>11.3401410201637</v>
      </c>
      <c r="H904" s="6" t="n">
        <f aca="false">(1-Sens!H902)*(Sens!H899+Sens!H901)</f>
        <v>16.1920771049557</v>
      </c>
      <c r="I904" s="6" t="n">
        <f aca="false">(1-Sens!I902)*(Sens!I899+Sens!I901)</f>
        <v>20.3917774400264</v>
      </c>
      <c r="J904" s="6" t="n">
        <f aca="false">(1-Sens!J902)*(Sens!J899+Sens!J901)</f>
        <v>23.2503960207104</v>
      </c>
      <c r="K904" s="6" t="n">
        <f aca="false">(1-Sens!K902)*(Sens!K899+Sens!K901)</f>
        <v>24.8730801087085</v>
      </c>
    </row>
    <row r="905" customFormat="false" ht="17.15" hidden="false" customHeight="false" outlineLevel="0" collapsed="false">
      <c r="A905" s="1" t="s">
        <v>987</v>
      </c>
      <c r="B905" s="0" t="s">
        <v>414</v>
      </c>
      <c r="C905" s="8" t="n">
        <f aca="false">cxit_open</f>
        <v>27.5918995</v>
      </c>
      <c r="D905" s="8" t="n">
        <f aca="false">cxit_open</f>
        <v>27.5918995</v>
      </c>
      <c r="E905" s="8" t="n">
        <f aca="false">cxit_open</f>
        <v>27.5918995</v>
      </c>
      <c r="F905" s="8" t="n">
        <f aca="false">((a_g3_27-nonnv*a_mai)*tk_cxit_gb300+nonnv*a_mai*nv_hold_mai*tk_cxit_vr200+(1-a_g3_27)*tk_cxit_vr200)</f>
        <v>32.4975576</v>
      </c>
      <c r="G905" s="8" t="n">
        <f aca="false">((a_g3_28-nonnv*a_mai)*tk_cxit_gb300+nonnv*a_mai*nv_hold_mai*tk_cxit_vr200+(1-a_g3_28)*tk_cxit_vr200)</f>
        <v>34.6372088</v>
      </c>
      <c r="H905" s="8" t="n">
        <f aca="false">((a_g3_29-nonnv*a_mai)*tk_cxit_gb300+nonnv*a_mai*nv_hold_mai*tk_cxit_vr200+(1-a_g3_29)*tk_cxit_vr200)</f>
        <v>35.7070344</v>
      </c>
      <c r="I905" s="8" t="n">
        <f aca="false">((a_g3_29-nonnv*a_mai)*tk_cxit_gb300+nonnv*a_mai*nv_hold_mai*tk_cxit_vr200+(1-a_g3_29)*tk_cxit_vr200)</f>
        <v>35.7070344</v>
      </c>
      <c r="J905" s="8" t="n">
        <f aca="false">((a_g3_29-nonnv*a_mai)*tk_cxit_gb300+nonnv*a_mai*nv_hold_mai*tk_cxit_vr200+(1-a_g3_29)*tk_cxit_vr200)</f>
        <v>35.7070344</v>
      </c>
      <c r="K905" s="8" t="n">
        <f aca="false">((a_g3_29-nonnv*a_mai)*tk_cxit_gb300+nonnv*a_mai*nv_hold_mai*tk_cxit_vr200+(1-a_g3_29)*tk_cxit_vr200)</f>
        <v>35.7070344</v>
      </c>
      <c r="L905" s="12" t="s">
        <v>988</v>
      </c>
    </row>
    <row r="906" customFormat="false" ht="17.15" hidden="false" customHeight="false" outlineLevel="0" collapsed="false">
      <c r="A906" s="0" t="s">
        <v>989</v>
      </c>
      <c r="B906" s="0" t="s">
        <v>456</v>
      </c>
      <c r="F906" s="30" t="n">
        <f aca="false">Sens!C885*IF(Sens!F878-Sens!C878=life_it,1,0)+Sens!D885*IF(Sens!F878-Sens!D878=life_it,1,0)+Sens!E885*IF(Sens!F878-Sens!E878=life_it,1,0)</f>
        <v>0</v>
      </c>
      <c r="G906" s="30" t="n">
        <f aca="false">Sens!C885*IF(Sens!G878-Sens!C878=life_it,1,0)+Sens!D885*IF(Sens!G878-Sens!D878=life_it,1,0)+Sens!E885*IF(Sens!G878-Sens!E878=life_it,1,0)+Sens!F885*IF(Sens!G878-Sens!F878=life_it,1,0)</f>
        <v>0</v>
      </c>
      <c r="H906" s="30" t="n">
        <f aca="false">Sens!C885*IF(Sens!H878-Sens!C878=life_it,1,0)+Sens!D885*IF(Sens!H878-Sens!D878=life_it,1,0)+Sens!E885*IF(Sens!H878-Sens!E878=life_it,1,0)+Sens!F885*IF(Sens!H878-Sens!F878=life_it,1,0)+Sens!G885*IF(Sens!H878-Sens!G878=life_it,1,0)</f>
        <v>0</v>
      </c>
      <c r="I906" s="30" t="n">
        <f aca="false">Sens!C885*IF(Sens!I878-Sens!C878=life_it,1,0)+Sens!D885*IF(Sens!I878-Sens!D878=life_it,1,0)+Sens!E885*IF(Sens!I878-Sens!E878=life_it,1,0)+Sens!F885*IF(Sens!I878-Sens!F878=life_it,1,0)+Sens!G885*IF(Sens!I878-Sens!G878=life_it,1,0)+Sens!H885*IF(Sens!I878-Sens!H878=life_it,1,0)</f>
        <v>816.666666666667</v>
      </c>
      <c r="J906" s="30" t="n">
        <f aca="false">Sens!C885*IF(Sens!J878-Sens!C878=life_it,1,0)+Sens!D885*IF(Sens!J878-Sens!D878=life_it,1,0)+Sens!E885*IF(Sens!J878-Sens!E878=life_it,1,0)+Sens!F885*IF(Sens!J878-Sens!F878=life_it,1,0)+Sens!G885*IF(Sens!J878-Sens!G878=life_it,1,0)+Sens!H885*IF(Sens!J878-Sens!H878=life_it,1,0)+Sens!I885*IF(Sens!J878-Sens!I878=life_it,1,0)</f>
        <v>1233.33333333333</v>
      </c>
      <c r="K906" s="30" t="n">
        <f aca="false">Sens!C885*IF(Sens!K878-Sens!C878=life_it,1,0)+Sens!D885*IF(Sens!K878-Sens!D878=life_it,1,0)+Sens!E885*IF(Sens!K878-Sens!E878=life_it,1,0)+Sens!F885*IF(Sens!K878-Sens!F878=life_it,1,0)+Sens!G885*IF(Sens!K878-Sens!G878=life_it,1,0)+Sens!H885*IF(Sens!K878-Sens!H878=life_it,1,0)+Sens!I885*IF(Sens!K878-Sens!I878=life_it,1,0)+Sens!J885*IF(Sens!K878-Sens!J878=life_it,1,0)</f>
        <v>2450</v>
      </c>
      <c r="L906" s="1" t="s">
        <v>990</v>
      </c>
    </row>
    <row r="907" customFormat="false" ht="17.15" hidden="false" customHeight="false" outlineLevel="0" collapsed="false">
      <c r="A907" s="0" t="s">
        <v>991</v>
      </c>
      <c r="B907" s="0" t="s">
        <v>98</v>
      </c>
      <c r="C907" s="6" t="n">
        <f aca="false">Sens!C885*Sens!C905/1000</f>
        <v>22.5333845916667</v>
      </c>
      <c r="D907" s="6" t="n">
        <f aca="false">Sens!D885*Sens!D905/1000</f>
        <v>34.0300093833333</v>
      </c>
      <c r="E907" s="6" t="n">
        <f aca="false">Sens!E885*Sens!E905/1000</f>
        <v>67.600153775</v>
      </c>
      <c r="F907" s="6" t="n">
        <f aca="false">(Sens!F885+Sens!F906)*Sens!F905/1000</f>
        <v>136.51872432512</v>
      </c>
      <c r="G907" s="6" t="n">
        <f aca="false">(Sens!G885+Sens!G906)*Sens!G905/1000</f>
        <v>157.399275932048</v>
      </c>
      <c r="H907" s="6" t="n">
        <f aca="false">(Sens!H885+Sens!H906)*Sens!H905/1000</f>
        <v>162.260804347512</v>
      </c>
      <c r="I907" s="6" t="n">
        <f aca="false">(Sens!I885+Sens!I906)*Sens!I905/1000</f>
        <v>144.136569485434</v>
      </c>
      <c r="J907" s="6" t="n">
        <f aca="false">(Sens!J885+Sens!J906)*Sens!J905/1000</f>
        <v>114.029037357864</v>
      </c>
      <c r="K907" s="6" t="n">
        <f aca="false">(Sens!K885+Sens!K906)*Sens!K905/1000</f>
        <v>113.437085350975</v>
      </c>
    </row>
    <row r="908" customFormat="false" ht="17.15" hidden="false" customHeight="false" outlineLevel="0" collapsed="false">
      <c r="A908" s="0" t="s">
        <v>992</v>
      </c>
      <c r="B908" s="0" t="s">
        <v>98</v>
      </c>
      <c r="C908" s="6" t="n">
        <f aca="false">Sens!C885*self_build*tk_cxfac/1000</f>
        <v>6.2083</v>
      </c>
      <c r="D908" s="6" t="n">
        <f aca="false">Sens!D885*self_build*tk_cxfac/1000</f>
        <v>9.3758</v>
      </c>
      <c r="E908" s="6" t="n">
        <f aca="false">Sens!E885*self_build*tk_cxfac/1000</f>
        <v>18.6249</v>
      </c>
      <c r="F908" s="6" t="n">
        <f aca="false">Sens!F885*self_build*tk_cxfac/1000</f>
        <v>31.935179717</v>
      </c>
      <c r="G908" s="6" t="n">
        <f aca="false">Sens!G885*self_build*tk_cxfac/1000</f>
        <v>34.545199717</v>
      </c>
      <c r="H908" s="6" t="n">
        <f aca="false">Sens!H885*self_build*tk_cxfac/1000</f>
        <v>34.545199717</v>
      </c>
      <c r="I908" s="6" t="n">
        <f aca="false">Sens!I885*self_build*tk_cxfac/1000</f>
        <v>24.4782641361767</v>
      </c>
      <c r="J908" s="6" t="n">
        <f aca="false">Sens!J885*self_build*tk_cxfac/1000</f>
        <v>14.9008938380769</v>
      </c>
      <c r="K908" s="6" t="n">
        <f aca="false">Sens!K885*self_build*tk_cxfac/1000</f>
        <v>5.52576771375761</v>
      </c>
    </row>
    <row r="909" customFormat="false" ht="17.15" hidden="false" customHeight="false" outlineLevel="0" collapsed="false">
      <c r="A909" s="0" t="s">
        <v>993</v>
      </c>
      <c r="B909" s="0" t="s">
        <v>98</v>
      </c>
      <c r="F909" s="15" t="n">
        <f aca="false">capex_floor27-Sens!F907-Sens!F908-Sens!F1005</f>
        <v>-0.365007843162779</v>
      </c>
      <c r="L909" s="12" t="s">
        <v>994</v>
      </c>
    </row>
    <row r="910" customFormat="false" ht="17.15" hidden="false" customHeight="false" outlineLevel="0" collapsed="false">
      <c r="A910" s="0" t="s">
        <v>995</v>
      </c>
      <c r="B910" s="0" t="s">
        <v>98</v>
      </c>
      <c r="F910" s="6" t="n">
        <f aca="false">MAX(0,Sens!F909)</f>
        <v>0</v>
      </c>
    </row>
    <row r="911" customFormat="false" ht="17.15" hidden="false" customHeight="false" outlineLevel="0" collapsed="false">
      <c r="A911" s="0" t="s">
        <v>996</v>
      </c>
      <c r="B911" s="0" t="s">
        <v>98</v>
      </c>
      <c r="C911" s="6" t="n">
        <f aca="false">Sens!C907</f>
        <v>22.5333845916667</v>
      </c>
      <c r="D911" s="6" t="n">
        <f aca="false">Sens!D907</f>
        <v>34.0300093833333</v>
      </c>
      <c r="E911" s="6" t="n">
        <f aca="false">Sens!E907</f>
        <v>67.600153775</v>
      </c>
      <c r="F911" s="6" t="n">
        <f aca="false">Sens!F907</f>
        <v>136.51872432512</v>
      </c>
      <c r="G911" s="6" t="n">
        <f aca="false">Sens!G907</f>
        <v>157.399275932048</v>
      </c>
      <c r="H911" s="6" t="n">
        <f aca="false">Sens!H907</f>
        <v>162.260804347512</v>
      </c>
      <c r="I911" s="6" t="n">
        <f aca="false">Sens!I907</f>
        <v>144.136569485434</v>
      </c>
      <c r="J911" s="6" t="n">
        <f aca="false">Sens!J907</f>
        <v>114.029037357864</v>
      </c>
      <c r="K911" s="6" t="n">
        <f aca="false">Sens!K907</f>
        <v>113.437085350975</v>
      </c>
    </row>
    <row r="912" customFormat="false" ht="17.15" hidden="false" customHeight="false" outlineLevel="0" collapsed="false">
      <c r="A912" s="0" t="s">
        <v>997</v>
      </c>
      <c r="B912" s="0" t="s">
        <v>98</v>
      </c>
      <c r="C912" s="6" t="n">
        <f aca="false">Sens!C911+Sens!C908</f>
        <v>28.7416845916667</v>
      </c>
      <c r="D912" s="6" t="n">
        <f aca="false">Sens!D911+Sens!D908</f>
        <v>43.4058093833333</v>
      </c>
      <c r="E912" s="6" t="n">
        <f aca="false">Sens!E911+Sens!E908</f>
        <v>86.225053775</v>
      </c>
      <c r="F912" s="6" t="n">
        <f aca="false">Sens!F911+Sens!F908</f>
        <v>168.45390404212</v>
      </c>
      <c r="G912" s="6" t="n">
        <f aca="false">Sens!G911+Sens!G908</f>
        <v>191.944475649048</v>
      </c>
      <c r="H912" s="6" t="n">
        <f aca="false">Sens!H911+Sens!H908</f>
        <v>196.806004064512</v>
      </c>
      <c r="I912" s="6" t="n">
        <f aca="false">Sens!I911+Sens!I908</f>
        <v>168.61483362161</v>
      </c>
      <c r="J912" s="6" t="n">
        <f aca="false">Sens!J911+Sens!J908</f>
        <v>128.92993119594</v>
      </c>
      <c r="K912" s="6" t="n">
        <f aca="false">Sens!K911+Sens!K908</f>
        <v>118.962853064733</v>
      </c>
      <c r="L912" s="12" t="s">
        <v>998</v>
      </c>
    </row>
    <row r="913" customFormat="false" ht="17.15" hidden="false" customHeight="false" outlineLevel="0" collapsed="false">
      <c r="A913" s="0" t="s">
        <v>999</v>
      </c>
      <c r="B913" s="0" t="s">
        <v>98</v>
      </c>
      <c r="E913" s="6" t="n">
        <f aca="false">(Sens!C911*IF(2&lt;life_it,1,IF(2=life_it,0.5,0))+Sens!D911*IF(1&lt;life_it,1,IF(1=life_it,0.5,0))+Sens!E911*0.5)/life_it</f>
        <v>15.0605784770833</v>
      </c>
      <c r="F913" s="6" t="n">
        <f aca="false">(Sens!C911*IF(3&lt;life_it,1,IF(3=life_it,0.5,0))+Sens!D911*IF(2&lt;life_it,1,IF(2=life_it,0.5,0))+Sens!E911*IF(1&lt;life_it,1,IF(1=life_it,0.5,0))+Sens!F911*0.5)/life_it</f>
        <v>32.0704849854266</v>
      </c>
      <c r="G913" s="6" t="n">
        <f aca="false">(Sens!C911*IF(4&lt;life_it,1,IF(4=life_it,0.5,0))+Sens!D911*IF(3&lt;life_it,1,IF(3=life_it,0.5,0))+Sens!E911*IF(2&lt;life_it,1,IF(2=life_it,0.5,0))+Sens!F911*IF(1&lt;life_it,1,IF(1=life_it,0.5,0))+Sens!G911*0.5)/life_it</f>
        <v>56.5636516735239</v>
      </c>
      <c r="H913" s="6" t="n">
        <f aca="false">(Sens!C911*IF(5&lt;life_it,1,IF(5=life_it,0.5,0))+Sens!D911*IF(4&lt;life_it,1,IF(4=life_it,0.5,0))+Sens!E911*IF(3&lt;life_it,1,IF(3=life_it,0.5,0))+Sens!F911*IF(2&lt;life_it,1,IF(2=life_it,0.5,0))+Sens!G911*IF(1&lt;life_it,1,IF(1=life_it,0.5,0))+Sens!H911*0.5)/life_it</f>
        <v>83.2019916968207</v>
      </c>
      <c r="I913" s="6" t="n">
        <f aca="false">(Sens!C911*IF(6&lt;life_it,1,IF(6=life_it,0.5,0))+Sens!D911*IF(5&lt;life_it,1,IF(5=life_it,0.5,0))+Sens!E911*IF(4&lt;life_it,1,IF(4=life_it,0.5,0))+Sens!F911*IF(3&lt;life_it,1,IF(3=life_it,0.5,0))+Sens!G911*IF(2&lt;life_it,1,IF(2=life_it,0.5,0))+Sens!H911*IF(1&lt;life_it,1,IF(1=life_it,0.5,0))+Sens!I911*0.5)/life_it</f>
        <v>106.857324133594</v>
      </c>
      <c r="J913" s="6" t="n">
        <f aca="false">(Sens!C911*IF(7&lt;life_it,1,IF(7=life_it,0.5,0))+Sens!D911*IF(6&lt;life_it,1,IF(6=life_it,0.5,0))+Sens!E911*IF(5&lt;life_it,1,IF(5=life_it,0.5,0))+Sens!F911*IF(4&lt;life_it,1,IF(4=life_it,0.5,0))+Sens!G911*IF(3&lt;life_it,1,IF(3=life_it,0.5,0))+Sens!H911*IF(2&lt;life_it,1,IF(2=life_it,0.5,0))+Sens!I911*IF(1&lt;life_it,1,IF(1=life_it,0.5,0))+Sens!J911*0.5)/life_it</f>
        <v>123.657508539285</v>
      </c>
      <c r="K913" s="6" t="n">
        <f aca="false">(Sens!C911*IF(8&lt;life_it,1,IF(8=life_it,0.5,0))+Sens!D911*IF(7&lt;life_it,1,IF(7=life_it,0.5,0))+Sens!E911*IF(6&lt;life_it,1,IF(6=life_it,0.5,0))+Sens!F911*IF(5&lt;life_it,1,IF(5=life_it,0.5,0))+Sens!G911*IF(4&lt;life_it,1,IF(4=life_it,0.5,0))+Sens!H911*IF(3&lt;life_it,1,IF(3=life_it,0.5,0))+Sens!I911*IF(2&lt;life_it,1,IF(2=life_it,0.5,0))+Sens!J911*IF(1&lt;life_it,1,IF(1=life_it,0.5,0))+Sens!K911*0.5)/life_it</f>
        <v>134.143838501827</v>
      </c>
    </row>
    <row r="914" customFormat="false" ht="17.15" hidden="false" customHeight="false" outlineLevel="0" collapsed="false">
      <c r="A914" s="0" t="s">
        <v>1000</v>
      </c>
      <c r="B914" s="0" t="s">
        <v>98</v>
      </c>
      <c r="E914" s="6" t="n">
        <f aca="false">(Sens!C908*IF(2&lt;life_fac,1,IF(2=life_fac,0.5,0))+Sens!D908*IF(1&lt;life_fac,1,IF(1=life_fac,0.5,0))+Sens!E908*0.5)/life_fac</f>
        <v>1.2448275</v>
      </c>
      <c r="F914" s="6" t="n">
        <f aca="false">(Sens!C908*IF(3&lt;life_fac,1,IF(3=life_fac,0.5,0))+Sens!D908*IF(2&lt;life_fac,1,IF(2=life_fac,0.5,0))+Sens!E908*IF(1&lt;life_fac,1,IF(1=life_fac,0.5,0))+Sens!F908*0.5)/life_fac</f>
        <v>2.508829492925</v>
      </c>
      <c r="G914" s="6" t="n">
        <f aca="false">(Sens!C908*IF(4&lt;life_fac,1,IF(4=life_fac,0.5,0))+Sens!D908*IF(3&lt;life_fac,1,IF(3=life_fac,0.5,0))+Sens!E908*IF(2&lt;life_fac,1,IF(2=life_fac,0.5,0))+Sens!F908*IF(1&lt;life_fac,1,IF(1=life_fac,0.5,0))+Sens!G908*0.5)/life_fac</f>
        <v>4.170838978775</v>
      </c>
      <c r="H914" s="6" t="n">
        <f aca="false">(Sens!C908*IF(5&lt;life_fac,1,IF(5=life_fac,0.5,0))+Sens!D908*IF(4&lt;life_fac,1,IF(4=life_fac,0.5,0))+Sens!E908*IF(3&lt;life_fac,1,IF(3=life_fac,0.5,0))+Sens!F908*IF(2&lt;life_fac,1,IF(2=life_fac,0.5,0))+Sens!G908*IF(1&lt;life_fac,1,IF(1=life_fac,0.5,0))+Sens!H908*0.5)/life_fac</f>
        <v>5.898098964625</v>
      </c>
      <c r="I914" s="6" t="n">
        <f aca="false">(Sens!C908*IF(6&lt;life_fac,1,IF(6=life_fac,0.5,0))+Sens!D908*IF(5&lt;life_fac,1,IF(5=life_fac,0.5,0))+Sens!E908*IF(4&lt;life_fac,1,IF(4=life_fac,0.5,0))+Sens!F908*IF(3&lt;life_fac,1,IF(3=life_fac,0.5,0))+Sens!G908*IF(2&lt;life_fac,1,IF(2=life_fac,0.5,0))+Sens!H908*IF(1&lt;life_fac,1,IF(1=life_fac,0.5,0))+Sens!I908*0.5)/life_fac</f>
        <v>7.37368556095442</v>
      </c>
      <c r="J914" s="6" t="n">
        <f aca="false">(Sens!C908*IF(7&lt;life_fac,1,IF(7=life_fac,0.5,0))+Sens!D908*IF(6&lt;life_fac,1,IF(6=life_fac,0.5,0))+Sens!E908*IF(5&lt;life_fac,1,IF(5=life_fac,0.5,0))+Sens!F908*IF(4&lt;life_fac,1,IF(4=life_fac,0.5,0))+Sens!G908*IF(3&lt;life_fac,1,IF(3=life_fac,0.5,0))+Sens!H908*IF(2&lt;life_fac,1,IF(2=life_fac,0.5,0))+Sens!I908*IF(1&lt;life_fac,1,IF(1=life_fac,0.5,0))+Sens!J908*0.5)/life_fac</f>
        <v>8.35816451031075</v>
      </c>
      <c r="K914" s="6" t="n">
        <f aca="false">(Sens!C908*IF(8&lt;life_fac,1,IF(8=life_fac,0.5,0))+Sens!D908*IF(7&lt;life_fac,1,IF(7=life_fac,0.5,0))+Sens!E908*IF(6&lt;life_fac,1,IF(6=life_fac,0.5,0))+Sens!F908*IF(5&lt;life_fac,1,IF(5=life_fac,0.5,0))+Sens!G908*IF(4&lt;life_fac,1,IF(4=life_fac,0.5,0))+Sens!H908*IF(3&lt;life_fac,1,IF(3=life_fac,0.5,0))+Sens!I908*IF(2&lt;life_fac,1,IF(2=life_fac,0.5,0))+Sens!J908*IF(1&lt;life_fac,1,IF(1=life_fac,0.5,0))+Sens!K908*0.5)/life_fac</f>
        <v>8.86883104910662</v>
      </c>
    </row>
    <row r="915" customFormat="false" ht="17.15" hidden="false" customHeight="false" outlineLevel="0" collapsed="false">
      <c r="A915" s="0" t="s">
        <v>1001</v>
      </c>
      <c r="B915" s="0" t="s">
        <v>98</v>
      </c>
      <c r="E915" s="6" t="n">
        <f aca="false">Sens!E913+Sens!E914</f>
        <v>16.3054059770833</v>
      </c>
      <c r="F915" s="6" t="n">
        <f aca="false">Sens!F913+Sens!F914</f>
        <v>34.5793144783516</v>
      </c>
      <c r="G915" s="6" t="n">
        <f aca="false">Sens!G913+Sens!G914</f>
        <v>60.7344906522989</v>
      </c>
      <c r="H915" s="6" t="n">
        <f aca="false">Sens!H913+Sens!H914</f>
        <v>89.1000906614457</v>
      </c>
      <c r="I915" s="6" t="n">
        <f aca="false">Sens!I913+Sens!I914</f>
        <v>114.231009694548</v>
      </c>
      <c r="J915" s="6" t="n">
        <f aca="false">Sens!J913+Sens!J914</f>
        <v>132.015673049596</v>
      </c>
      <c r="K915" s="6" t="n">
        <f aca="false">Sens!K913+Sens!K914</f>
        <v>143.012669550934</v>
      </c>
    </row>
    <row r="916" customFormat="false" ht="17.15" hidden="false" customHeight="false" outlineLevel="0" collapsed="false">
      <c r="A916" s="0" t="s">
        <v>1002</v>
      </c>
      <c r="B916" s="0" t="s">
        <v>98</v>
      </c>
      <c r="E916" s="6" t="n">
        <f aca="false">Sens!E903-Sens!E902*Sens!E915</f>
        <v>8.92707889977379</v>
      </c>
      <c r="F916" s="6" t="n">
        <f aca="false">Sens!F903-Sens!F902*Sens!F915</f>
        <v>10.4652609409588</v>
      </c>
      <c r="G916" s="6" t="n">
        <f aca="false">Sens!G903-Sens!G902*Sens!G915</f>
        <v>17.4231476357622</v>
      </c>
      <c r="H916" s="6" t="n">
        <f aca="false">Sens!H903-Sens!H902*Sens!H915</f>
        <v>24.4969725090512</v>
      </c>
      <c r="I916" s="6" t="n">
        <f aca="false">Sens!I903-Sens!I902*Sens!I915</f>
        <v>30.6639775620754</v>
      </c>
      <c r="J916" s="6" t="n">
        <f aca="false">Sens!J903-Sens!J902*Sens!J915</f>
        <v>34.8994739637275</v>
      </c>
      <c r="K916" s="6" t="n">
        <f aca="false">Sens!K903-Sens!K902*Sens!K915</f>
        <v>37.8840443029101</v>
      </c>
    </row>
    <row r="917" customFormat="false" ht="17.15" hidden="false" customHeight="false" outlineLevel="0" collapsed="false">
      <c r="A917" s="3" t="s">
        <v>1501</v>
      </c>
    </row>
    <row r="918" customFormat="false" ht="15" hidden="false" customHeight="false" outlineLevel="0" collapsed="false">
      <c r="A918" s="4" t="s">
        <v>43</v>
      </c>
      <c r="B918" s="4" t="s">
        <v>65</v>
      </c>
      <c r="C918" s="23" t="s">
        <v>938</v>
      </c>
      <c r="D918" s="23" t="s">
        <v>939</v>
      </c>
      <c r="E918" s="23" t="s">
        <v>940</v>
      </c>
      <c r="F918" s="23" t="s">
        <v>941</v>
      </c>
      <c r="G918" s="23" t="s">
        <v>942</v>
      </c>
      <c r="H918" s="23" t="s">
        <v>943</v>
      </c>
      <c r="I918" s="23" t="s">
        <v>944</v>
      </c>
      <c r="J918" s="23" t="s">
        <v>945</v>
      </c>
      <c r="K918" s="23" t="s">
        <v>946</v>
      </c>
      <c r="L918" s="4" t="s">
        <v>47</v>
      </c>
    </row>
    <row r="919" customFormat="false" ht="17.15" hidden="false" customHeight="false" outlineLevel="0" collapsed="false">
      <c r="A919" s="0" t="s">
        <v>1021</v>
      </c>
      <c r="B919" s="0" t="s">
        <v>98</v>
      </c>
      <c r="D919" s="6" t="n">
        <f aca="false">Sens!D897</f>
        <v>12.9359794422418</v>
      </c>
      <c r="E919" s="6" t="n">
        <f aca="false">Sens!E897</f>
        <v>27.8095064661409</v>
      </c>
      <c r="F919" s="6" t="n">
        <f aca="false">Sens!F897</f>
        <v>47.1000567801821</v>
      </c>
      <c r="G919" s="6" t="n">
        <f aca="false">Sens!G897</f>
        <v>77.5948935573871</v>
      </c>
      <c r="H919" s="6" t="n">
        <f aca="false">Sens!H897</f>
        <v>108.965982563352</v>
      </c>
      <c r="I919" s="6" t="n">
        <f aca="false">Sens!I897</f>
        <v>136.511089538844</v>
      </c>
      <c r="J919" s="6" t="n">
        <f aca="false">Sens!J897</f>
        <v>155.705311824551</v>
      </c>
      <c r="K919" s="6" t="n">
        <f aca="false">Sens!K897</f>
        <v>167.722106196533</v>
      </c>
    </row>
    <row r="920" customFormat="false" ht="17.15" hidden="false" customHeight="false" outlineLevel="0" collapsed="false">
      <c r="A920" s="0" t="s">
        <v>1022</v>
      </c>
      <c r="B920" s="0" t="s">
        <v>98</v>
      </c>
      <c r="D920" s="6" t="n">
        <f aca="false">Q!L6-Sens!D919</f>
        <v>59.6740205577583</v>
      </c>
      <c r="E920" s="6" t="n">
        <f aca="false">Q!M6-Sens!E919</f>
        <v>74.1284935338591</v>
      </c>
      <c r="F920" s="6" t="n">
        <f aca="false">Q!$I$6+(Sens!F919+Sens!E920*(1+Sens!F921))*(1-Q!$E$6/Q!M6)-Sens!F919</f>
        <v>93.1223530031867</v>
      </c>
      <c r="G920" s="6" t="n">
        <f aca="false">Sens!F920*(1+Sens!G921)</f>
        <v>110.643254378099</v>
      </c>
      <c r="H920" s="6" t="n">
        <f aca="false">Sens!G920*(1+Sens!H921)</f>
        <v>128.469203907038</v>
      </c>
      <c r="I920" s="6" t="n">
        <f aca="false">Sens!H920*(1+Sens!I921)</f>
        <v>145.693664589214</v>
      </c>
      <c r="J920" s="6" t="n">
        <f aca="false">Sens!I920*(1+Sens!J921)</f>
        <v>161.288323090347</v>
      </c>
      <c r="K920" s="6" t="n">
        <f aca="false">Sens!J920*(1+Sens!K921)</f>
        <v>174.191388937574</v>
      </c>
      <c r="L920" s="12" t="s">
        <v>1023</v>
      </c>
    </row>
    <row r="921" customFormat="false" ht="15" hidden="false" customHeight="false" outlineLevel="0" collapsed="false">
      <c r="A921" s="1" t="s">
        <v>1024</v>
      </c>
      <c r="B921" s="0" t="s">
        <v>168</v>
      </c>
      <c r="E921" s="7" t="n">
        <f aca="false">Sens!E920/Sens!D920-1</f>
        <v>0.242223883039864</v>
      </c>
      <c r="F921" s="7" t="n">
        <f aca="false">Sens!$E$921+(glt_azo-Sens!$E$921)*MIN(1,(Sens!F878-base_fy)/n_conv)</f>
        <v>0.215186569199887</v>
      </c>
      <c r="G921" s="7" t="n">
        <f aca="false">Sens!$E$921+(glt_azo-Sens!$E$921)*MIN(1,(Sens!G878-base_fy)/n_conv)</f>
        <v>0.18814925535991</v>
      </c>
      <c r="H921" s="7" t="n">
        <f aca="false">Sens!$E$921+(glt_azo-Sens!$E$921)*MIN(1,(Sens!H878-base_fy)/n_conv)</f>
        <v>0.161111941519932</v>
      </c>
      <c r="I921" s="7" t="n">
        <f aca="false">Sens!$E$921+(glt_azo-Sens!$E$921)*MIN(1,(Sens!I878-base_fy)/n_conv)</f>
        <v>0.134074627679955</v>
      </c>
      <c r="J921" s="7" t="n">
        <f aca="false">Sens!$E$921+(glt_azo-Sens!$E$921)*MIN(1,(Sens!J878-base_fy)/n_conv)</f>
        <v>0.107037313839977</v>
      </c>
      <c r="K921" s="7" t="n">
        <f aca="false">Sens!$E$921+(glt_azo-Sens!$E$921)*MIN(1,(Sens!K878-base_fy)/n_conv)</f>
        <v>0.08</v>
      </c>
    </row>
    <row r="922" customFormat="false" ht="15" hidden="false" customHeight="false" outlineLevel="0" collapsed="false">
      <c r="A922" s="0" t="s">
        <v>1025</v>
      </c>
      <c r="B922" s="0" t="s">
        <v>98</v>
      </c>
      <c r="D922" s="6" t="n">
        <f aca="false">Sens!D919+Sens!D920</f>
        <v>72.61</v>
      </c>
      <c r="E922" s="6" t="n">
        <f aca="false">Sens!E919+Sens!E920</f>
        <v>101.938</v>
      </c>
      <c r="F922" s="6" t="n">
        <f aca="false">Sens!F919+Sens!F920</f>
        <v>140.222409783369</v>
      </c>
      <c r="G922" s="6" t="n">
        <f aca="false">Sens!G919+Sens!G920</f>
        <v>188.238147935486</v>
      </c>
      <c r="H922" s="6" t="n">
        <f aca="false">Sens!H919+Sens!H920</f>
        <v>237.43518647039</v>
      </c>
      <c r="I922" s="6" t="n">
        <f aca="false">Sens!I919+Sens!I920</f>
        <v>282.204754128058</v>
      </c>
      <c r="J922" s="6" t="n">
        <f aca="false">Sens!J919+Sens!J920</f>
        <v>316.993634914897</v>
      </c>
      <c r="K922" s="6" t="n">
        <f aca="false">Sens!K919+Sens!K920</f>
        <v>341.913495134108</v>
      </c>
    </row>
    <row r="923" customFormat="false" ht="17.15" hidden="false" customHeight="false" outlineLevel="0" collapsed="false">
      <c r="A923" s="0" t="s">
        <v>1026</v>
      </c>
      <c r="B923" s="1" t="s">
        <v>610</v>
      </c>
      <c r="C923" s="30" t="n">
        <f aca="false">cop_s24</f>
        <v>1</v>
      </c>
      <c r="D923" s="30" t="n">
        <f aca="false">cop_s25</f>
        <v>5</v>
      </c>
      <c r="E923" s="30" t="n">
        <f aca="false">cop_s26</f>
        <v>30</v>
      </c>
      <c r="F923" s="30" t="n">
        <f aca="false">Sens!E923+cop_add_B</f>
        <v>50</v>
      </c>
      <c r="G923" s="30" t="n">
        <f aca="false">Sens!F923+cop_add_B</f>
        <v>70</v>
      </c>
      <c r="H923" s="30" t="n">
        <f aca="false">Sens!G923+cop_add_B</f>
        <v>90</v>
      </c>
      <c r="I923" s="30" t="n">
        <f aca="false">Sens!H923+cop_add_B*cop_tail</f>
        <v>100</v>
      </c>
      <c r="J923" s="30" t="n">
        <f aca="false">Sens!I923+cop_add_B*cop_tail</f>
        <v>110</v>
      </c>
      <c r="K923" s="30" t="n">
        <f aca="false">Sens!J923+cop_add_B*cop_tail</f>
        <v>120</v>
      </c>
      <c r="L923" s="12" t="s">
        <v>1027</v>
      </c>
    </row>
    <row r="924" customFormat="false" ht="17.15" hidden="false" customHeight="false" outlineLevel="0" collapsed="false">
      <c r="A924" s="0" t="s">
        <v>1028</v>
      </c>
      <c r="B924" s="0" t="s">
        <v>98</v>
      </c>
      <c r="D924" s="6" t="n">
        <f aca="false">(Sens!C923+Sens!D923)/2*cop_px*12/1000</f>
        <v>0.9</v>
      </c>
      <c r="E924" s="6" t="n">
        <f aca="false">(Sens!D923+Sens!E923)/2*cop_px*12/1000</f>
        <v>5.25</v>
      </c>
      <c r="F924" s="6" t="n">
        <f aca="false">(Sens!E923+Sens!F923)/2*cop_px*12/1000</f>
        <v>12</v>
      </c>
      <c r="G924" s="6" t="n">
        <f aca="false">(Sens!F923+Sens!G923)/2*cop_px*12/1000</f>
        <v>18</v>
      </c>
      <c r="H924" s="6" t="n">
        <f aca="false">(Sens!G923+Sens!H923)/2*cop_px*12/1000</f>
        <v>24</v>
      </c>
      <c r="I924" s="6" t="n">
        <f aca="false">(Sens!H923+Sens!I923)/2*cop_px*12/1000</f>
        <v>28.5</v>
      </c>
      <c r="J924" s="6" t="n">
        <f aca="false">(Sens!I923+Sens!J923)/2*cop_px*12/1000</f>
        <v>31.5</v>
      </c>
      <c r="K924" s="6" t="n">
        <f aca="false">(Sens!J923+Sens!K923)/2*cop_px*12/1000</f>
        <v>34.5</v>
      </c>
      <c r="L924" s="1" t="s">
        <v>1029</v>
      </c>
    </row>
    <row r="925" customFormat="false" ht="17.15" hidden="false" customHeight="false" outlineLevel="0" collapsed="false">
      <c r="A925" s="0" t="s">
        <v>1030</v>
      </c>
      <c r="B925" s="0" t="s">
        <v>98</v>
      </c>
      <c r="D925" s="6" t="n">
        <f aca="false">Q!L7-Sens!D924</f>
        <v>83.705</v>
      </c>
      <c r="E925" s="6" t="n">
        <f aca="false">Q!M7-Sens!E924</f>
        <v>95.049</v>
      </c>
      <c r="F925" s="6" t="n">
        <f aca="false">Q!$I$7+(Sens!E925*(1+Sens!F926)+Sens!F924)*(1-Q!$E$7/Q!M7)-Sens!F924</f>
        <v>106.584003697747</v>
      </c>
      <c r="G925" s="6" t="n">
        <f aca="false">Sens!F925*(1+Sens!G926)</f>
        <v>118.700726545688</v>
      </c>
      <c r="H925" s="6" t="n">
        <f aca="false">Sens!G925*(1+Sens!H926)</f>
        <v>130.898624783666</v>
      </c>
      <c r="I925" s="6" t="n">
        <f aca="false">Sens!H925*(1+Sens!I926)</f>
        <v>142.920510030657</v>
      </c>
      <c r="J925" s="6" t="n">
        <f aca="false">Sens!I925*(1+Sens!J926)</f>
        <v>154.485722618572</v>
      </c>
      <c r="K925" s="6" t="n">
        <f aca="false">Sens!J925*(1+Sens!K926)</f>
        <v>165.299723201872</v>
      </c>
      <c r="L925" s="12" t="s">
        <v>1031</v>
      </c>
    </row>
    <row r="926" customFormat="false" ht="15" hidden="false" customHeight="false" outlineLevel="0" collapsed="false">
      <c r="A926" s="1" t="s">
        <v>1024</v>
      </c>
      <c r="B926" s="0" t="s">
        <v>168</v>
      </c>
      <c r="E926" s="7" t="n">
        <f aca="false">Sens!E925/Sens!D925-1</f>
        <v>0.135523564900544</v>
      </c>
      <c r="F926" s="7" t="n">
        <f aca="false">Sens!$E$926+(glt_m365b-Sens!$E$926)*MIN(1,(Sens!F878-base_fy)/n_conv)</f>
        <v>0.124602970750453</v>
      </c>
      <c r="G926" s="7" t="n">
        <f aca="false">Sens!$E$926+(glt_m365b-Sens!$E$926)*MIN(1,(Sens!G878-base_fy)/n_conv)</f>
        <v>0.113682376600363</v>
      </c>
      <c r="H926" s="7" t="n">
        <f aca="false">Sens!$E$926+(glt_m365b-Sens!$E$926)*MIN(1,(Sens!H878-base_fy)/n_conv)</f>
        <v>0.102761782450272</v>
      </c>
      <c r="I926" s="7" t="n">
        <f aca="false">Sens!$E$926+(glt_m365b-Sens!$E$926)*MIN(1,(Sens!I878-base_fy)/n_conv)</f>
        <v>0.0918411883001813</v>
      </c>
      <c r="J926" s="7" t="n">
        <f aca="false">Sens!$E$926+(glt_m365b-Sens!$E$926)*MIN(1,(Sens!J878-base_fy)/n_conv)</f>
        <v>0.0809205941500906</v>
      </c>
      <c r="K926" s="7" t="n">
        <f aca="false">Sens!$E$926+(glt_m365b-Sens!$E$926)*MIN(1,(Sens!K878-base_fy)/n_conv)</f>
        <v>0.07</v>
      </c>
    </row>
    <row r="927" customFormat="false" ht="15" hidden="false" customHeight="false" outlineLevel="0" collapsed="false">
      <c r="A927" s="0" t="s">
        <v>1032</v>
      </c>
      <c r="B927" s="0" t="s">
        <v>98</v>
      </c>
      <c r="D927" s="6" t="n">
        <f aca="false">Sens!D925+Sens!D924</f>
        <v>84.605</v>
      </c>
      <c r="E927" s="6" t="n">
        <f aca="false">Sens!E925+Sens!E924</f>
        <v>100.299</v>
      </c>
      <c r="F927" s="6" t="n">
        <f aca="false">Sens!F925+Sens!F924</f>
        <v>118.584003697747</v>
      </c>
      <c r="G927" s="6" t="n">
        <f aca="false">Sens!G925+Sens!G924</f>
        <v>136.700726545688</v>
      </c>
      <c r="H927" s="6" t="n">
        <f aca="false">Sens!H925+Sens!H924</f>
        <v>154.898624783666</v>
      </c>
      <c r="I927" s="6" t="n">
        <f aca="false">Sens!I925+Sens!I924</f>
        <v>171.420510030657</v>
      </c>
      <c r="J927" s="6" t="n">
        <f aca="false">Sens!J925+Sens!J924</f>
        <v>185.985722618572</v>
      </c>
      <c r="K927" s="6" t="n">
        <f aca="false">Sens!K925+Sens!K924</f>
        <v>199.799723201872</v>
      </c>
    </row>
    <row r="928" customFormat="false" ht="17.15" hidden="false" customHeight="false" outlineLevel="0" collapsed="false">
      <c r="A928" s="0" t="s">
        <v>1033</v>
      </c>
      <c r="B928" s="0" t="s">
        <v>98</v>
      </c>
      <c r="D928" s="6" t="n">
        <f aca="false">Q!L8</f>
        <v>35.391</v>
      </c>
      <c r="E928" s="6" t="n">
        <f aca="false">Q!M8</f>
        <v>37.285</v>
      </c>
      <c r="F928" s="6" t="n">
        <f aca="false">Q!$I$8+(Q!M8-Q!$E$8)*(1+Sens!F929)</f>
        <v>38.3851437782675</v>
      </c>
      <c r="G928" s="6" t="n">
        <f aca="false">Sens!F928*(1+Sens!G929)</f>
        <v>40.0105353288615</v>
      </c>
      <c r="H928" s="6" t="n">
        <f aca="false">Sens!G928*(1+Sens!H929)</f>
        <v>41.4812512033683</v>
      </c>
      <c r="I928" s="6" t="n">
        <f aca="false">Sens!H928*(1+Sens!I929)</f>
        <v>42.7743107216329</v>
      </c>
      <c r="J928" s="6" t="n">
        <f aca="false">Sens!I928*(1+Sens!J929)</f>
        <v>43.8687373064601</v>
      </c>
      <c r="K928" s="6" t="n">
        <f aca="false">Sens!J928*(1+Sens!K929)</f>
        <v>44.7461120525893</v>
      </c>
      <c r="L928" s="12" t="s">
        <v>1034</v>
      </c>
    </row>
    <row r="929" customFormat="false" ht="15" hidden="false" customHeight="false" outlineLevel="0" collapsed="false">
      <c r="A929" s="1" t="s">
        <v>1024</v>
      </c>
      <c r="B929" s="0" t="s">
        <v>168</v>
      </c>
      <c r="E929" s="7" t="n">
        <f aca="false">Sens!E928/Sens!D928-1</f>
        <v>0.0535164307309768</v>
      </c>
      <c r="F929" s="7" t="n">
        <f aca="false">Sens!$E$929+(glt_lic-Sens!$E$929)*MIN(1,(Sens!F878-base_fy)/n_conv)</f>
        <v>0.0479303589424807</v>
      </c>
      <c r="G929" s="7" t="n">
        <f aca="false">Sens!$E$929+(glt_lic-Sens!$E$929)*MIN(1,(Sens!G878-base_fy)/n_conv)</f>
        <v>0.0423442871539845</v>
      </c>
      <c r="H929" s="7" t="n">
        <f aca="false">Sens!$E$929+(glt_lic-Sens!$E$929)*MIN(1,(Sens!H878-base_fy)/n_conv)</f>
        <v>0.0367582153654884</v>
      </c>
      <c r="I929" s="7" t="n">
        <f aca="false">Sens!$E$929+(glt_lic-Sens!$E$929)*MIN(1,(Sens!I878-base_fy)/n_conv)</f>
        <v>0.0311721435769923</v>
      </c>
      <c r="J929" s="7" t="n">
        <f aca="false">Sens!$E$929+(glt_lic-Sens!$E$929)*MIN(1,(Sens!J878-base_fy)/n_conv)</f>
        <v>0.0255860717884961</v>
      </c>
      <c r="K929" s="7" t="n">
        <f aca="false">Sens!$E$929+(glt_lic-Sens!$E$929)*MIN(1,(Sens!K878-base_fy)/n_conv)</f>
        <v>0.02</v>
      </c>
    </row>
    <row r="930" customFormat="false" ht="17.15" hidden="false" customHeight="false" outlineLevel="0" collapsed="false">
      <c r="A930" s="0" t="s">
        <v>1035</v>
      </c>
      <c r="B930" s="0" t="s">
        <v>98</v>
      </c>
      <c r="D930" s="6" t="n">
        <f aca="false">Q!L9</f>
        <v>18.417</v>
      </c>
      <c r="E930" s="6" t="n">
        <f aca="false">Q!M9</f>
        <v>20.345</v>
      </c>
      <c r="F930" s="6" t="n">
        <f aca="false">Q!$I$9+(Q!M9-Q!$E$9)*(1+Sens!F931)</f>
        <v>22.3161797133988</v>
      </c>
      <c r="G930" s="6" t="n">
        <f aca="false">Sens!F930*(1+Sens!G931)</f>
        <v>24.3943499673233</v>
      </c>
      <c r="H930" s="6" t="n">
        <f aca="false">Sens!G930*(1+Sens!H931)</f>
        <v>26.5250243109019</v>
      </c>
      <c r="I930" s="6" t="n">
        <f aca="false">Sens!H930*(1+Sens!I931)</f>
        <v>28.6884573538181</v>
      </c>
      <c r="J930" s="6" t="n">
        <f aca="false">Sens!I930*(1+Sens!J931)</f>
        <v>30.8624968052127</v>
      </c>
      <c r="K930" s="6" t="n">
        <f aca="false">Sens!J930*(1+Sens!K931)</f>
        <v>33.0228715815776</v>
      </c>
      <c r="L930" s="12" t="s">
        <v>1034</v>
      </c>
    </row>
    <row r="931" customFormat="false" ht="15" hidden="false" customHeight="false" outlineLevel="0" collapsed="false">
      <c r="A931" s="1" t="s">
        <v>1024</v>
      </c>
      <c r="B931" s="0" t="s">
        <v>168</v>
      </c>
      <c r="E931" s="7" t="n">
        <f aca="false">Sens!E930/Sens!D930-1</f>
        <v>0.104685888038225</v>
      </c>
      <c r="F931" s="7" t="n">
        <f aca="false">Sens!$E$931+(glt_ind-Sens!$E$931)*MIN(1,(Sens!F878-base_fy)/n_conv)</f>
        <v>0.0989049066985211</v>
      </c>
      <c r="G931" s="7" t="n">
        <f aca="false">Sens!$E$931+(glt_ind-Sens!$E$931)*MIN(1,(Sens!G878-base_fy)/n_conv)</f>
        <v>0.0931239253588169</v>
      </c>
      <c r="H931" s="7" t="n">
        <f aca="false">Sens!$E$931+(glt_ind-Sens!$E$931)*MIN(1,(Sens!H878-base_fy)/n_conv)</f>
        <v>0.0873429440191127</v>
      </c>
      <c r="I931" s="7" t="n">
        <f aca="false">Sens!$E$931+(glt_ind-Sens!$E$931)*MIN(1,(Sens!I878-base_fy)/n_conv)</f>
        <v>0.0815619626794085</v>
      </c>
      <c r="J931" s="7" t="n">
        <f aca="false">Sens!$E$931+(glt_ind-Sens!$E$931)*MIN(1,(Sens!J878-base_fy)/n_conv)</f>
        <v>0.0757809813397042</v>
      </c>
      <c r="K931" s="7" t="n">
        <f aca="false">Sens!$E$931+(glt_ind-Sens!$E$931)*MIN(1,(Sens!K878-base_fy)/n_conv)</f>
        <v>0.07</v>
      </c>
    </row>
    <row r="932" customFormat="false" ht="17.15" hidden="false" customHeight="false" outlineLevel="0" collapsed="false">
      <c r="A932" s="0" t="s">
        <v>1036</v>
      </c>
      <c r="B932" s="0" t="s">
        <v>98</v>
      </c>
      <c r="D932" s="6" t="n">
        <f aca="false">Q!L10</f>
        <v>7.76</v>
      </c>
      <c r="E932" s="6" t="n">
        <f aca="false">Q!M10</f>
        <v>8.26</v>
      </c>
      <c r="F932" s="6" t="n">
        <f aca="false">Q!$I$10+(Q!M10-Q!$E$10)*(1+Sens!F933)</f>
        <v>8.75372082474227</v>
      </c>
      <c r="G932" s="6" t="n">
        <f aca="false">Sens!F932*(1+Sens!G933)</f>
        <v>9.33399324642364</v>
      </c>
      <c r="H932" s="6" t="n">
        <f aca="false">Sens!G932*(1+Sens!H933)</f>
        <v>9.96139155535851</v>
      </c>
      <c r="I932" s="6" t="n">
        <f aca="false">Sens!H932*(1+Sens!I933)</f>
        <v>10.6402039077391</v>
      </c>
      <c r="J932" s="6" t="n">
        <f aca="false">Sens!I932*(1+Sens!J933)</f>
        <v>11.3751458271397</v>
      </c>
      <c r="K932" s="6" t="n">
        <f aca="false">Sens!J932*(1+Sens!K933)</f>
        <v>12.1714060350394</v>
      </c>
      <c r="L932" s="12" t="s">
        <v>1034</v>
      </c>
    </row>
    <row r="933" customFormat="false" ht="15" hidden="false" customHeight="false" outlineLevel="0" collapsed="false">
      <c r="A933" s="1" t="s">
        <v>1024</v>
      </c>
      <c r="B933" s="0" t="s">
        <v>168</v>
      </c>
      <c r="E933" s="7" t="n">
        <f aca="false">Sens!E932/Sens!D932-1</f>
        <v>0.0644329896907216</v>
      </c>
      <c r="F933" s="7" t="n">
        <f aca="false">Sens!$E$933+(glt_fro-Sens!$E$933)*MIN(1,(Sens!F878-base_fy)/n_conv)</f>
        <v>0.065360824742268</v>
      </c>
      <c r="G933" s="7" t="n">
        <f aca="false">Sens!$E$933+(glt_fro-Sens!$E$933)*MIN(1,(Sens!G878-base_fy)/n_conv)</f>
        <v>0.0662886597938144</v>
      </c>
      <c r="H933" s="7" t="n">
        <f aca="false">Sens!$E$933+(glt_fro-Sens!$E$933)*MIN(1,(Sens!H878-base_fy)/n_conv)</f>
        <v>0.0672164948453608</v>
      </c>
      <c r="I933" s="7" t="n">
        <f aca="false">Sens!$E$933+(glt_fro-Sens!$E$933)*MIN(1,(Sens!I878-base_fy)/n_conv)</f>
        <v>0.0681443298969072</v>
      </c>
      <c r="J933" s="7" t="n">
        <f aca="false">Sens!$E$933+(glt_fro-Sens!$E$933)*MIN(1,(Sens!J878-base_fy)/n_conv)</f>
        <v>0.0690721649484536</v>
      </c>
      <c r="K933" s="7" t="n">
        <f aca="false">Sens!$E$933+(glt_fro-Sens!$E$933)*MIN(1,(Sens!K878-base_fy)/n_conv)</f>
        <v>0.07</v>
      </c>
    </row>
    <row r="934" customFormat="false" ht="15" hidden="false" customHeight="false" outlineLevel="0" collapsed="false">
      <c r="A934" s="0" t="s">
        <v>852</v>
      </c>
      <c r="B934" s="0" t="s">
        <v>98</v>
      </c>
      <c r="D934" s="6" t="n">
        <f aca="false">Sens!D922+Sens!D927+Sens!D928+Sens!D930+Sens!D932</f>
        <v>218.783</v>
      </c>
      <c r="E934" s="6" t="n">
        <f aca="false">Sens!E922+Sens!E927+Sens!E928+Sens!E930+Sens!E932</f>
        <v>268.127</v>
      </c>
      <c r="F934" s="6" t="n">
        <f aca="false">Sens!F922+Sens!F927+Sens!F928+Sens!F930+Sens!F932</f>
        <v>328.261457797524</v>
      </c>
      <c r="G934" s="6" t="n">
        <f aca="false">Sens!G922+Sens!G927+Sens!G928+Sens!G930+Sens!G932</f>
        <v>398.677753023783</v>
      </c>
      <c r="H934" s="6" t="n">
        <f aca="false">Sens!H922+Sens!H927+Sens!H928+Sens!H930+Sens!H932</f>
        <v>470.301478323685</v>
      </c>
      <c r="I934" s="6" t="n">
        <f aca="false">Sens!I922+Sens!I927+Sens!I928+Sens!I930+Sens!I932</f>
        <v>535.728236141906</v>
      </c>
      <c r="J934" s="6" t="n">
        <f aca="false">Sens!J922+Sens!J927+Sens!J928+Sens!J930+Sens!J932</f>
        <v>589.085737472282</v>
      </c>
      <c r="K934" s="6" t="n">
        <f aca="false">Sens!K922+Sens!K927+Sens!K928+Sens!K930+Sens!K932</f>
        <v>631.653608005186</v>
      </c>
    </row>
    <row r="935" customFormat="false" ht="17.15" hidden="false" customHeight="false" outlineLevel="0" collapsed="false">
      <c r="A935" s="0" t="s">
        <v>1037</v>
      </c>
      <c r="B935" s="0" t="s">
        <v>98</v>
      </c>
      <c r="D935" s="6" t="n">
        <f aca="false">Q!L13</f>
        <v>22.171</v>
      </c>
      <c r="E935" s="6" t="n">
        <f aca="false">Q!M13</f>
        <v>24.835</v>
      </c>
      <c r="F935" s="6" t="n">
        <f aca="false">Q!$I$13+(Q!M13-Q!$E$13)*(1+Sens!F936)</f>
        <v>27.5591895660247</v>
      </c>
      <c r="G935" s="6" t="n">
        <f aca="false">Sens!F935*(1+Sens!G936)</f>
        <v>30.4098563144583</v>
      </c>
      <c r="H935" s="6" t="n">
        <f aca="false">Sens!G935*(1+Sens!H936)</f>
        <v>33.3011792571777</v>
      </c>
      <c r="I935" s="6" t="n">
        <f aca="false">Sens!H935*(1+Sens!I936)</f>
        <v>36.189023797112</v>
      </c>
      <c r="J935" s="6" t="n">
        <f aca="false">Sens!I935*(1+Sens!J936)</f>
        <v>39.0247773769199</v>
      </c>
      <c r="K935" s="6" t="n">
        <f aca="false">Sens!J935*(1+Sens!K936)</f>
        <v>41.7565117933043</v>
      </c>
      <c r="L935" s="12" t="s">
        <v>1034</v>
      </c>
    </row>
    <row r="936" customFormat="false" ht="15" hidden="false" customHeight="false" outlineLevel="0" collapsed="false">
      <c r="A936" s="1" t="s">
        <v>1024</v>
      </c>
      <c r="B936" s="0" t="s">
        <v>168</v>
      </c>
      <c r="E936" s="7" t="n">
        <f aca="false">Sens!E935/Sens!D935-1</f>
        <v>0.120156961796942</v>
      </c>
      <c r="F936" s="7" t="n">
        <f aca="false">Sens!$E$936+(glt_srch-Sens!$E$936)*MIN(1,(Sens!F878-base_fy)/n_conv)</f>
        <v>0.111797468164118</v>
      </c>
      <c r="G936" s="7" t="n">
        <f aca="false">Sens!$E$936+(glt_srch-Sens!$E$936)*MIN(1,(Sens!G878-base_fy)/n_conv)</f>
        <v>0.103437974531295</v>
      </c>
      <c r="H936" s="7" t="n">
        <f aca="false">Sens!$E$936+(glt_srch-Sens!$E$936)*MIN(1,(Sens!H878-base_fy)/n_conv)</f>
        <v>0.095078480898471</v>
      </c>
      <c r="I936" s="7" t="n">
        <f aca="false">Sens!$E$936+(glt_srch-Sens!$E$936)*MIN(1,(Sens!I878-base_fy)/n_conv)</f>
        <v>0.0867189872656474</v>
      </c>
      <c r="J936" s="7" t="n">
        <f aca="false">Sens!$E$936+(glt_srch-Sens!$E$936)*MIN(1,(Sens!J878-base_fy)/n_conv)</f>
        <v>0.0783594936328237</v>
      </c>
      <c r="K936" s="7" t="n">
        <f aca="false">Sens!$E$936+(glt_srch-Sens!$E$936)*MIN(1,(Sens!K878-base_fy)/n_conv)</f>
        <v>0.07</v>
      </c>
    </row>
    <row r="937" customFormat="false" ht="17.15" hidden="false" customHeight="false" outlineLevel="0" collapsed="false">
      <c r="A937" s="0" t="s">
        <v>1038</v>
      </c>
      <c r="B937" s="0" t="s">
        <v>98</v>
      </c>
      <c r="D937" s="6" t="n">
        <f aca="false">Q!L14</f>
        <v>23.455</v>
      </c>
      <c r="E937" s="6" t="n">
        <f aca="false">Q!M14</f>
        <v>21.79</v>
      </c>
      <c r="F937" s="6" t="n">
        <f aca="false">Q!$I$14+(Q!M14-Q!$E$14)*(1+Sens!F938)</f>
        <v>20.7520981041711</v>
      </c>
      <c r="G937" s="6" t="n">
        <f aca="false">Sens!F937*(1+Sens!G938)</f>
        <v>19.9083593495882</v>
      </c>
      <c r="H937" s="6" t="n">
        <f aca="false">Sens!G937*(1+Sens!H938)</f>
        <v>19.4008256265831</v>
      </c>
      <c r="I937" s="6" t="n">
        <f aca="false">Sens!H937*(1+Sens!I938)</f>
        <v>19.200434522122</v>
      </c>
      <c r="J937" s="6" t="n">
        <f aca="false">Sens!I937*(1+Sens!J938)</f>
        <v>19.2932782348507</v>
      </c>
      <c r="K937" s="6" t="n">
        <f aca="false">Sens!J937*(1+Sens!K938)</f>
        <v>19.6791437995477</v>
      </c>
      <c r="L937" s="12" t="s">
        <v>1034</v>
      </c>
    </row>
    <row r="938" customFormat="false" ht="15" hidden="false" customHeight="false" outlineLevel="0" collapsed="false">
      <c r="A938" s="1" t="s">
        <v>1024</v>
      </c>
      <c r="B938" s="0" t="s">
        <v>168</v>
      </c>
      <c r="E938" s="7" t="n">
        <f aca="false">Sens!E937/Sens!D937-1</f>
        <v>-0.0709869963760392</v>
      </c>
      <c r="F938" s="7" t="n">
        <f aca="false">Sens!$E$938+(glt_xbox-Sens!$E$938)*MIN(1,(Sens!F878-base_fy)/n_conv)</f>
        <v>-0.0558224969800327</v>
      </c>
      <c r="G938" s="7" t="n">
        <f aca="false">Sens!$E$938+(glt_xbox-Sens!$E$938)*MIN(1,(Sens!G878-base_fy)/n_conv)</f>
        <v>-0.0406579975840262</v>
      </c>
      <c r="H938" s="7" t="n">
        <f aca="false">Sens!$E$938+(glt_xbox-Sens!$E$938)*MIN(1,(Sens!H878-base_fy)/n_conv)</f>
        <v>-0.0254934981880196</v>
      </c>
      <c r="I938" s="7" t="n">
        <f aca="false">Sens!$E$938+(glt_xbox-Sens!$E$938)*MIN(1,(Sens!I878-base_fy)/n_conv)</f>
        <v>-0.0103289987920131</v>
      </c>
      <c r="J938" s="7" t="n">
        <f aca="false">Sens!$E$938+(glt_xbox-Sens!$E$938)*MIN(1,(Sens!J878-base_fy)/n_conv)</f>
        <v>0.00483550060399347</v>
      </c>
      <c r="K938" s="7" t="n">
        <f aca="false">Sens!$E$938+(glt_xbox-Sens!$E$938)*MIN(1,(Sens!K878-base_fy)/n_conv)</f>
        <v>0.02</v>
      </c>
    </row>
    <row r="939" customFormat="false" ht="17.15" hidden="false" customHeight="false" outlineLevel="0" collapsed="false">
      <c r="A939" s="0" t="s">
        <v>1039</v>
      </c>
      <c r="B939" s="0" t="s">
        <v>98</v>
      </c>
      <c r="D939" s="6" t="n">
        <f aca="false">Q!L15</f>
        <v>17.315</v>
      </c>
      <c r="E939" s="6" t="n">
        <f aca="false">Q!M15</f>
        <v>17.087</v>
      </c>
      <c r="F939" s="6" t="n">
        <f aca="false">Q!$I$15+(Q!M15-Q!$E$15)*(1+Sens!F940)</f>
        <v>15.9912273250553</v>
      </c>
      <c r="G939" s="6" t="n">
        <f aca="false">Sens!F939*(1+Sens!G940)</f>
        <v>15.9574562664827</v>
      </c>
      <c r="H939" s="6" t="n">
        <f aca="false">Sens!G939*(1+Sens!H940)</f>
        <v>16.0119687434196</v>
      </c>
      <c r="I939" s="6" t="n">
        <f aca="false">Sens!H939*(1+Sens!I940)</f>
        <v>16.1551810001948</v>
      </c>
      <c r="J939" s="6" t="n">
        <f aca="false">Sens!I939*(1+Sens!J940)</f>
        <v>16.3889793892005</v>
      </c>
      <c r="K939" s="6" t="n">
        <f aca="false">Sens!J939*(1+Sens!K940)</f>
        <v>16.7167589769845</v>
      </c>
      <c r="L939" s="12" t="s">
        <v>1034</v>
      </c>
    </row>
    <row r="940" customFormat="false" ht="15" hidden="false" customHeight="false" outlineLevel="0" collapsed="false">
      <c r="A940" s="1" t="s">
        <v>1024</v>
      </c>
      <c r="B940" s="0" t="s">
        <v>168</v>
      </c>
      <c r="E940" s="7" t="n">
        <f aca="false">Sens!E939/Sens!D939-1</f>
        <v>-0.0131677736066995</v>
      </c>
      <c r="F940" s="7" t="n">
        <f aca="false">Sens!$E$940+(glt_win-Sens!$E$940)*MIN(1,(Sens!F878-base_fy)/n_conv)</f>
        <v>-0.00763981133891627</v>
      </c>
      <c r="G940" s="7" t="n">
        <f aca="false">Sens!$E$940+(glt_win-Sens!$E$940)*MIN(1,(Sens!G878-base_fy)/n_conv)</f>
        <v>-0.00211184907113301</v>
      </c>
      <c r="H940" s="7" t="n">
        <f aca="false">Sens!$E$940+(glt_win-Sens!$E$940)*MIN(1,(Sens!H878-base_fy)/n_conv)</f>
        <v>0.00341611319665024</v>
      </c>
      <c r="I940" s="7" t="n">
        <f aca="false">Sens!$E$940+(glt_win-Sens!$E$940)*MIN(1,(Sens!I878-base_fy)/n_conv)</f>
        <v>0.00894407546443349</v>
      </c>
      <c r="J940" s="7" t="n">
        <f aca="false">Sens!$E$940+(glt_win-Sens!$E$940)*MIN(1,(Sens!J878-base_fy)/n_conv)</f>
        <v>0.0144720377322168</v>
      </c>
      <c r="K940" s="7" t="n">
        <f aca="false">Sens!$E$940+(glt_win-Sens!$E$940)*MIN(1,(Sens!K878-base_fy)/n_conv)</f>
        <v>0.02</v>
      </c>
    </row>
    <row r="941" customFormat="false" ht="15" hidden="false" customHeight="false" outlineLevel="0" collapsed="false">
      <c r="A941" s="0" t="s">
        <v>866</v>
      </c>
      <c r="B941" s="0" t="s">
        <v>98</v>
      </c>
      <c r="D941" s="6" t="n">
        <f aca="false">Sens!D935+Sens!D937+Sens!D939</f>
        <v>62.941</v>
      </c>
      <c r="E941" s="6" t="n">
        <f aca="false">Sens!E935+Sens!E937+Sens!E939</f>
        <v>63.712</v>
      </c>
      <c r="F941" s="6" t="n">
        <f aca="false">Sens!F935+Sens!F937+Sens!F939</f>
        <v>64.3025149952511</v>
      </c>
      <c r="G941" s="6" t="n">
        <f aca="false">Sens!G935+Sens!G937+Sens!G939</f>
        <v>66.2756719305292</v>
      </c>
      <c r="H941" s="6" t="n">
        <f aca="false">Sens!H935+Sens!H937+Sens!H939</f>
        <v>68.7139736271804</v>
      </c>
      <c r="I941" s="6" t="n">
        <f aca="false">Sens!I935+Sens!I937+Sens!I939</f>
        <v>71.5446393194289</v>
      </c>
      <c r="J941" s="6" t="n">
        <f aca="false">Sens!J935+Sens!J937+Sens!J939</f>
        <v>74.707035000971</v>
      </c>
      <c r="K941" s="6" t="n">
        <f aca="false">Sens!K935+Sens!K937+Sens!K939</f>
        <v>78.1524145698365</v>
      </c>
    </row>
    <row r="942" customFormat="false" ht="15" hidden="false" customHeight="false" outlineLevel="0" collapsed="false">
      <c r="A942" s="1" t="s">
        <v>1040</v>
      </c>
      <c r="B942" s="0" t="s">
        <v>98</v>
      </c>
      <c r="D942" s="6" t="n">
        <f aca="false">Sens!D934+Sens!D941</f>
        <v>281.724</v>
      </c>
      <c r="E942" s="6" t="n">
        <f aca="false">Sens!E934+Sens!E941</f>
        <v>331.839</v>
      </c>
      <c r="F942" s="6" t="n">
        <f aca="false">Sens!F934+Sens!F941</f>
        <v>392.563972792775</v>
      </c>
      <c r="G942" s="6" t="n">
        <f aca="false">Sens!G934+Sens!G941</f>
        <v>464.953424954312</v>
      </c>
      <c r="H942" s="6" t="n">
        <f aca="false">Sens!H934+Sens!H941</f>
        <v>539.015451950865</v>
      </c>
      <c r="I942" s="6" t="n">
        <f aca="false">Sens!I934+Sens!I941</f>
        <v>607.272875461335</v>
      </c>
      <c r="J942" s="6" t="n">
        <f aca="false">Sens!J934+Sens!J941</f>
        <v>663.792772473253</v>
      </c>
      <c r="K942" s="6" t="n">
        <f aca="false">Sens!K934+Sens!K941</f>
        <v>709.806022575022</v>
      </c>
    </row>
    <row r="943" customFormat="false" ht="15" hidden="false" customHeight="false" outlineLevel="0" collapsed="false">
      <c r="A943" s="26" t="s">
        <v>1041</v>
      </c>
      <c r="B943" s="31" t="s">
        <v>98</v>
      </c>
      <c r="C943" s="31"/>
      <c r="D943" s="27" t="n">
        <f aca="false">(Sens!D922+Sens!D927+Sens!D928+Sens!D930+Sens!D932-Sens!D934)+(Sens!D935+Sens!D937+Sens!D939-Sens!D941)+(Sens!D934-Q!L5)+(Sens!D941-Q!L12)+(Sens!D922-Q!L6)+(Sens!D927-Q!L7)</f>
        <v>0</v>
      </c>
      <c r="E943" s="27" t="n">
        <f aca="false">(Sens!E922+Sens!E927+Sens!E928+Sens!E930+Sens!E932-Sens!E934)+(Sens!E935+Sens!E937+Sens!E939-Sens!E941)+(Sens!E934-Q!M5)+(Sens!E941-Q!M12)+(Sens!E922-Q!M6)+(Sens!E927-Q!M7)</f>
        <v>0</v>
      </c>
      <c r="F943" s="27" t="n">
        <f aca="false">(Sens!F922+Sens!F927+Sens!F928+Sens!F930+Sens!F932-Sens!F934)+(Sens!F935+Sens!F937+Sens!F939-Sens!F941)</f>
        <v>0</v>
      </c>
      <c r="G943" s="27" t="n">
        <f aca="false">(Sens!G922+Sens!G927+Sens!G928+Sens!G930+Sens!G932-Sens!G934)+(Sens!G935+Sens!G937+Sens!G939-Sens!G941)</f>
        <v>0</v>
      </c>
      <c r="H943" s="27" t="n">
        <f aca="false">(Sens!H922+Sens!H927+Sens!H928+Sens!H930+Sens!H932-Sens!H934)+(Sens!H935+Sens!H937+Sens!H939-Sens!H941)</f>
        <v>0</v>
      </c>
      <c r="I943" s="27" t="n">
        <f aca="false">(Sens!I922+Sens!I927+Sens!I928+Sens!I930+Sens!I932-Sens!I934)+(Sens!I935+Sens!I937+Sens!I939-Sens!I941)</f>
        <v>0</v>
      </c>
      <c r="J943" s="27" t="n">
        <f aca="false">(Sens!J922+Sens!J927+Sens!J928+Sens!J930+Sens!J932-Sens!J934)+(Sens!J935+Sens!J937+Sens!J939-Sens!J941)</f>
        <v>0</v>
      </c>
      <c r="K943" s="27" t="n">
        <f aca="false">(Sens!K922+Sens!K927+Sens!K928+Sens!K930+Sens!K932-Sens!K934)+(Sens!K935+Sens!K937+Sens!K939-Sens!K941)</f>
        <v>0</v>
      </c>
    </row>
    <row r="944" customFormat="false" ht="17.15" hidden="false" customHeight="false" outlineLevel="0" collapsed="false">
      <c r="A944" s="3" t="s">
        <v>1502</v>
      </c>
    </row>
    <row r="945" customFormat="false" ht="15" hidden="false" customHeight="false" outlineLevel="0" collapsed="false">
      <c r="A945" s="4" t="s">
        <v>43</v>
      </c>
      <c r="B945" s="4" t="s">
        <v>65</v>
      </c>
      <c r="C945" s="23" t="s">
        <v>938</v>
      </c>
      <c r="D945" s="23" t="s">
        <v>939</v>
      </c>
      <c r="E945" s="23" t="s">
        <v>940</v>
      </c>
      <c r="F945" s="23" t="s">
        <v>941</v>
      </c>
      <c r="G945" s="23" t="s">
        <v>942</v>
      </c>
      <c r="H945" s="23" t="s">
        <v>943</v>
      </c>
      <c r="I945" s="23" t="s">
        <v>944</v>
      </c>
      <c r="J945" s="23" t="s">
        <v>945</v>
      </c>
      <c r="K945" s="23" t="s">
        <v>946</v>
      </c>
      <c r="L945" s="4" t="s">
        <v>47</v>
      </c>
    </row>
    <row r="946" customFormat="false" ht="15" hidden="false" customHeight="false" outlineLevel="0" collapsed="false">
      <c r="A946" s="0" t="s">
        <v>1025</v>
      </c>
      <c r="B946" s="0" t="s">
        <v>98</v>
      </c>
      <c r="D946" s="6" t="n">
        <f aca="false">Sens!D922</f>
        <v>72.61</v>
      </c>
      <c r="E946" s="6" t="n">
        <f aca="false">Sens!E922</f>
        <v>101.938</v>
      </c>
      <c r="F946" s="6" t="n">
        <f aca="false">Sens!F922</f>
        <v>140.222409783369</v>
      </c>
      <c r="G946" s="6" t="n">
        <f aca="false">Sens!G922</f>
        <v>188.238147935486</v>
      </c>
      <c r="H946" s="6" t="n">
        <f aca="false">Sens!H922</f>
        <v>237.43518647039</v>
      </c>
      <c r="I946" s="6" t="n">
        <f aca="false">Sens!I922</f>
        <v>282.204754128058</v>
      </c>
      <c r="J946" s="6" t="n">
        <f aca="false">Sens!J922</f>
        <v>316.993634914897</v>
      </c>
      <c r="K946" s="6" t="n">
        <f aca="false">Sens!K922</f>
        <v>341.913495134108</v>
      </c>
    </row>
    <row r="947" customFormat="false" ht="17.15" hidden="false" customHeight="false" outlineLevel="0" collapsed="false">
      <c r="A947" s="0" t="s">
        <v>1021</v>
      </c>
      <c r="B947" s="0" t="s">
        <v>98</v>
      </c>
      <c r="D947" s="6" t="n">
        <f aca="false">Sens!D919</f>
        <v>12.9359794422418</v>
      </c>
      <c r="E947" s="6" t="n">
        <f aca="false">Sens!E919</f>
        <v>27.8095064661409</v>
      </c>
      <c r="F947" s="6" t="n">
        <f aca="false">Sens!F919</f>
        <v>47.1000567801821</v>
      </c>
      <c r="G947" s="6" t="n">
        <f aca="false">Sens!G919</f>
        <v>77.5948935573871</v>
      </c>
      <c r="H947" s="6" t="n">
        <f aca="false">Sens!H919</f>
        <v>108.965982563352</v>
      </c>
      <c r="I947" s="6" t="n">
        <f aca="false">Sens!I919</f>
        <v>136.511089538844</v>
      </c>
      <c r="J947" s="6" t="n">
        <f aca="false">Sens!J919</f>
        <v>155.705311824551</v>
      </c>
      <c r="K947" s="6" t="n">
        <f aca="false">Sens!K919</f>
        <v>167.722106196533</v>
      </c>
    </row>
    <row r="948" customFormat="false" ht="17.15" hidden="false" customHeight="false" outlineLevel="0" collapsed="false">
      <c r="A948" s="0" t="s">
        <v>1052</v>
      </c>
      <c r="B948" s="0" t="s">
        <v>98</v>
      </c>
      <c r="D948" s="6" t="n">
        <f aca="false">Sens!D920</f>
        <v>59.6740205577583</v>
      </c>
      <c r="E948" s="6" t="n">
        <f aca="false">Sens!E920</f>
        <v>74.1284935338591</v>
      </c>
      <c r="F948" s="6" t="n">
        <f aca="false">Sens!F920</f>
        <v>93.1223530031867</v>
      </c>
      <c r="G948" s="6" t="n">
        <f aca="false">Sens!G920</f>
        <v>110.643254378099</v>
      </c>
      <c r="H948" s="6" t="n">
        <f aca="false">Sens!H920</f>
        <v>128.469203907038</v>
      </c>
      <c r="I948" s="6" t="n">
        <f aca="false">Sens!I920</f>
        <v>145.693664589214</v>
      </c>
      <c r="J948" s="6" t="n">
        <f aca="false">Sens!J920</f>
        <v>161.288323090347</v>
      </c>
      <c r="K948" s="6" t="n">
        <f aca="false">Sens!K920</f>
        <v>174.191388937574</v>
      </c>
    </row>
    <row r="949" customFormat="false" ht="15" hidden="false" customHeight="false" outlineLevel="0" collapsed="false">
      <c r="A949" s="0" t="s">
        <v>1032</v>
      </c>
      <c r="B949" s="0" t="s">
        <v>98</v>
      </c>
      <c r="D949" s="6" t="n">
        <f aca="false">Sens!D927</f>
        <v>84.605</v>
      </c>
      <c r="E949" s="6" t="n">
        <f aca="false">Sens!E927</f>
        <v>100.299</v>
      </c>
      <c r="F949" s="6" t="n">
        <f aca="false">Sens!F927</f>
        <v>118.584003697747</v>
      </c>
      <c r="G949" s="6" t="n">
        <f aca="false">Sens!G927</f>
        <v>136.700726545688</v>
      </c>
      <c r="H949" s="6" t="n">
        <f aca="false">Sens!H927</f>
        <v>154.898624783666</v>
      </c>
      <c r="I949" s="6" t="n">
        <f aca="false">Sens!I927</f>
        <v>171.420510030657</v>
      </c>
      <c r="J949" s="6" t="n">
        <f aca="false">Sens!J927</f>
        <v>185.985722618572</v>
      </c>
      <c r="K949" s="6" t="n">
        <f aca="false">Sens!K927</f>
        <v>199.799723201872</v>
      </c>
    </row>
    <row r="950" customFormat="false" ht="17.15" hidden="false" customHeight="false" outlineLevel="0" collapsed="false">
      <c r="A950" s="0" t="s">
        <v>1053</v>
      </c>
      <c r="B950" s="0" t="s">
        <v>98</v>
      </c>
      <c r="D950" s="6" t="n">
        <f aca="false">Sens!D925</f>
        <v>83.705</v>
      </c>
      <c r="E950" s="6" t="n">
        <f aca="false">Sens!E925</f>
        <v>95.049</v>
      </c>
      <c r="F950" s="6" t="n">
        <f aca="false">Sens!F925</f>
        <v>106.584003697747</v>
      </c>
      <c r="G950" s="6" t="n">
        <f aca="false">Sens!G925</f>
        <v>118.700726545688</v>
      </c>
      <c r="H950" s="6" t="n">
        <f aca="false">Sens!H925</f>
        <v>130.898624783666</v>
      </c>
      <c r="I950" s="6" t="n">
        <f aca="false">Sens!I925</f>
        <v>142.920510030657</v>
      </c>
      <c r="J950" s="6" t="n">
        <f aca="false">Sens!J925</f>
        <v>154.485722618572</v>
      </c>
      <c r="K950" s="6" t="n">
        <f aca="false">Sens!K925</f>
        <v>165.299723201872</v>
      </c>
    </row>
    <row r="951" customFormat="false" ht="17.15" hidden="false" customHeight="false" outlineLevel="0" collapsed="false">
      <c r="A951" s="0" t="s">
        <v>1054</v>
      </c>
      <c r="B951" s="0" t="s">
        <v>98</v>
      </c>
      <c r="D951" s="6" t="n">
        <f aca="false">Sens!D924</f>
        <v>0.9</v>
      </c>
      <c r="E951" s="6" t="n">
        <f aca="false">Sens!E924</f>
        <v>5.25</v>
      </c>
      <c r="F951" s="6" t="n">
        <f aca="false">Sens!F924</f>
        <v>12</v>
      </c>
      <c r="G951" s="6" t="n">
        <f aca="false">Sens!G924</f>
        <v>18</v>
      </c>
      <c r="H951" s="6" t="n">
        <f aca="false">Sens!H924</f>
        <v>24</v>
      </c>
      <c r="I951" s="6" t="n">
        <f aca="false">Sens!I924</f>
        <v>28.5</v>
      </c>
      <c r="J951" s="6" t="n">
        <f aca="false">Sens!J924</f>
        <v>31.5</v>
      </c>
      <c r="K951" s="6" t="n">
        <f aca="false">Sens!K924</f>
        <v>34.5</v>
      </c>
    </row>
    <row r="952" customFormat="false" ht="15" hidden="false" customHeight="false" outlineLevel="0" collapsed="false">
      <c r="A952" s="0" t="s">
        <v>1033</v>
      </c>
      <c r="B952" s="0" t="s">
        <v>98</v>
      </c>
      <c r="D952" s="6" t="n">
        <f aca="false">Sens!D928</f>
        <v>35.391</v>
      </c>
      <c r="E952" s="6" t="n">
        <f aca="false">Sens!E928</f>
        <v>37.285</v>
      </c>
      <c r="F952" s="6" t="n">
        <f aca="false">Sens!F928</f>
        <v>38.3851437782675</v>
      </c>
      <c r="G952" s="6" t="n">
        <f aca="false">Sens!G928</f>
        <v>40.0105353288615</v>
      </c>
      <c r="H952" s="6" t="n">
        <f aca="false">Sens!H928</f>
        <v>41.4812512033683</v>
      </c>
      <c r="I952" s="6" t="n">
        <f aca="false">Sens!I928</f>
        <v>42.7743107216329</v>
      </c>
      <c r="J952" s="6" t="n">
        <f aca="false">Sens!J928</f>
        <v>43.8687373064601</v>
      </c>
      <c r="K952" s="6" t="n">
        <f aca="false">Sens!K928</f>
        <v>44.7461120525893</v>
      </c>
    </row>
    <row r="953" customFormat="false" ht="15" hidden="false" customHeight="false" outlineLevel="0" collapsed="false">
      <c r="A953" s="0" t="s">
        <v>1035</v>
      </c>
      <c r="B953" s="0" t="s">
        <v>98</v>
      </c>
      <c r="D953" s="6" t="n">
        <f aca="false">Sens!D930</f>
        <v>18.417</v>
      </c>
      <c r="E953" s="6" t="n">
        <f aca="false">Sens!E930</f>
        <v>20.345</v>
      </c>
      <c r="F953" s="6" t="n">
        <f aca="false">Sens!F930</f>
        <v>22.3161797133988</v>
      </c>
      <c r="G953" s="6" t="n">
        <f aca="false">Sens!G930</f>
        <v>24.3943499673233</v>
      </c>
      <c r="H953" s="6" t="n">
        <f aca="false">Sens!H930</f>
        <v>26.5250243109019</v>
      </c>
      <c r="I953" s="6" t="n">
        <f aca="false">Sens!I930</f>
        <v>28.6884573538181</v>
      </c>
      <c r="J953" s="6" t="n">
        <f aca="false">Sens!J930</f>
        <v>30.8624968052127</v>
      </c>
      <c r="K953" s="6" t="n">
        <f aca="false">Sens!K930</f>
        <v>33.0228715815776</v>
      </c>
    </row>
    <row r="954" customFormat="false" ht="15" hidden="false" customHeight="false" outlineLevel="0" collapsed="false">
      <c r="A954" s="0" t="s">
        <v>1036</v>
      </c>
      <c r="B954" s="0" t="s">
        <v>98</v>
      </c>
      <c r="D954" s="6" t="n">
        <f aca="false">Sens!D932</f>
        <v>7.76</v>
      </c>
      <c r="E954" s="6" t="n">
        <f aca="false">Sens!E932</f>
        <v>8.26</v>
      </c>
      <c r="F954" s="6" t="n">
        <f aca="false">Sens!F932</f>
        <v>8.75372082474227</v>
      </c>
      <c r="G954" s="6" t="n">
        <f aca="false">Sens!G932</f>
        <v>9.33399324642364</v>
      </c>
      <c r="H954" s="6" t="n">
        <f aca="false">Sens!H932</f>
        <v>9.96139155535851</v>
      </c>
      <c r="I954" s="6" t="n">
        <f aca="false">Sens!I932</f>
        <v>10.6402039077391</v>
      </c>
      <c r="J954" s="6" t="n">
        <f aca="false">Sens!J932</f>
        <v>11.3751458271397</v>
      </c>
      <c r="K954" s="6" t="n">
        <f aca="false">Sens!K932</f>
        <v>12.1714060350394</v>
      </c>
    </row>
    <row r="955" customFormat="false" ht="15" hidden="false" customHeight="false" outlineLevel="0" collapsed="false">
      <c r="A955" s="0" t="s">
        <v>852</v>
      </c>
      <c r="B955" s="0" t="s">
        <v>98</v>
      </c>
      <c r="D955" s="6" t="n">
        <f aca="false">Sens!D934</f>
        <v>218.783</v>
      </c>
      <c r="E955" s="6" t="n">
        <f aca="false">Sens!E934</f>
        <v>268.127</v>
      </c>
      <c r="F955" s="6" t="n">
        <f aca="false">Sens!F934</f>
        <v>328.261457797524</v>
      </c>
      <c r="G955" s="6" t="n">
        <f aca="false">Sens!G934</f>
        <v>398.677753023783</v>
      </c>
      <c r="H955" s="6" t="n">
        <f aca="false">Sens!H934</f>
        <v>470.301478323685</v>
      </c>
      <c r="I955" s="6" t="n">
        <f aca="false">Sens!I934</f>
        <v>535.728236141906</v>
      </c>
      <c r="J955" s="6" t="n">
        <f aca="false">Sens!J934</f>
        <v>589.085737472282</v>
      </c>
      <c r="K955" s="6" t="n">
        <f aca="false">Sens!K934</f>
        <v>631.653608005186</v>
      </c>
    </row>
    <row r="956" customFormat="false" ht="15" hidden="false" customHeight="false" outlineLevel="0" collapsed="false">
      <c r="A956" s="0" t="s">
        <v>1037</v>
      </c>
      <c r="B956" s="0" t="s">
        <v>98</v>
      </c>
      <c r="D956" s="6" t="n">
        <f aca="false">Sens!D935</f>
        <v>22.171</v>
      </c>
      <c r="E956" s="6" t="n">
        <f aca="false">Sens!E935</f>
        <v>24.835</v>
      </c>
      <c r="F956" s="6" t="n">
        <f aca="false">Sens!F935</f>
        <v>27.5591895660247</v>
      </c>
      <c r="G956" s="6" t="n">
        <f aca="false">Sens!G935</f>
        <v>30.4098563144583</v>
      </c>
      <c r="H956" s="6" t="n">
        <f aca="false">Sens!H935</f>
        <v>33.3011792571777</v>
      </c>
      <c r="I956" s="6" t="n">
        <f aca="false">Sens!I935</f>
        <v>36.189023797112</v>
      </c>
      <c r="J956" s="6" t="n">
        <f aca="false">Sens!J935</f>
        <v>39.0247773769199</v>
      </c>
      <c r="K956" s="6" t="n">
        <f aca="false">Sens!K935</f>
        <v>41.7565117933043</v>
      </c>
    </row>
    <row r="957" customFormat="false" ht="15" hidden="false" customHeight="false" outlineLevel="0" collapsed="false">
      <c r="A957" s="0" t="s">
        <v>1038</v>
      </c>
      <c r="B957" s="0" t="s">
        <v>98</v>
      </c>
      <c r="D957" s="6" t="n">
        <f aca="false">Sens!D937</f>
        <v>23.455</v>
      </c>
      <c r="E957" s="6" t="n">
        <f aca="false">Sens!E937</f>
        <v>21.79</v>
      </c>
      <c r="F957" s="6" t="n">
        <f aca="false">Sens!F937</f>
        <v>20.7520981041711</v>
      </c>
      <c r="G957" s="6" t="n">
        <f aca="false">Sens!G937</f>
        <v>19.9083593495882</v>
      </c>
      <c r="H957" s="6" t="n">
        <f aca="false">Sens!H937</f>
        <v>19.4008256265831</v>
      </c>
      <c r="I957" s="6" t="n">
        <f aca="false">Sens!I937</f>
        <v>19.200434522122</v>
      </c>
      <c r="J957" s="6" t="n">
        <f aca="false">Sens!J937</f>
        <v>19.2932782348507</v>
      </c>
      <c r="K957" s="6" t="n">
        <f aca="false">Sens!K937</f>
        <v>19.6791437995477</v>
      </c>
    </row>
    <row r="958" customFormat="false" ht="15" hidden="false" customHeight="false" outlineLevel="0" collapsed="false">
      <c r="A958" s="0" t="s">
        <v>1039</v>
      </c>
      <c r="B958" s="0" t="s">
        <v>98</v>
      </c>
      <c r="D958" s="6" t="n">
        <f aca="false">Sens!D939</f>
        <v>17.315</v>
      </c>
      <c r="E958" s="6" t="n">
        <f aca="false">Sens!E939</f>
        <v>17.087</v>
      </c>
      <c r="F958" s="6" t="n">
        <f aca="false">Sens!F939</f>
        <v>15.9912273250553</v>
      </c>
      <c r="G958" s="6" t="n">
        <f aca="false">Sens!G939</f>
        <v>15.9574562664827</v>
      </c>
      <c r="H958" s="6" t="n">
        <f aca="false">Sens!H939</f>
        <v>16.0119687434196</v>
      </c>
      <c r="I958" s="6" t="n">
        <f aca="false">Sens!I939</f>
        <v>16.1551810001948</v>
      </c>
      <c r="J958" s="6" t="n">
        <f aca="false">Sens!J939</f>
        <v>16.3889793892005</v>
      </c>
      <c r="K958" s="6" t="n">
        <f aca="false">Sens!K939</f>
        <v>16.7167589769845</v>
      </c>
    </row>
    <row r="959" customFormat="false" ht="15" hidden="false" customHeight="false" outlineLevel="0" collapsed="false">
      <c r="A959" s="0" t="s">
        <v>866</v>
      </c>
      <c r="B959" s="0" t="s">
        <v>98</v>
      </c>
      <c r="D959" s="6" t="n">
        <f aca="false">Sens!D941</f>
        <v>62.941</v>
      </c>
      <c r="E959" s="6" t="n">
        <f aca="false">Sens!E941</f>
        <v>63.712</v>
      </c>
      <c r="F959" s="6" t="n">
        <f aca="false">Sens!F941</f>
        <v>64.3025149952511</v>
      </c>
      <c r="G959" s="6" t="n">
        <f aca="false">Sens!G941</f>
        <v>66.2756719305292</v>
      </c>
      <c r="H959" s="6" t="n">
        <f aca="false">Sens!H941</f>
        <v>68.7139736271804</v>
      </c>
      <c r="I959" s="6" t="n">
        <f aca="false">Sens!I941</f>
        <v>71.5446393194289</v>
      </c>
      <c r="J959" s="6" t="n">
        <f aca="false">Sens!J941</f>
        <v>74.707035000971</v>
      </c>
      <c r="K959" s="6" t="n">
        <f aca="false">Sens!K941</f>
        <v>78.1524145698365</v>
      </c>
    </row>
    <row r="960" customFormat="false" ht="15" hidden="false" customHeight="false" outlineLevel="0" collapsed="false">
      <c r="A960" s="1" t="s">
        <v>1055</v>
      </c>
      <c r="B960" s="0" t="s">
        <v>98</v>
      </c>
      <c r="D960" s="6" t="n">
        <f aca="false">Sens!D942</f>
        <v>281.724</v>
      </c>
      <c r="E960" s="6" t="n">
        <f aca="false">Sens!E942</f>
        <v>331.839</v>
      </c>
      <c r="F960" s="6" t="n">
        <f aca="false">Sens!F942</f>
        <v>392.563972792775</v>
      </c>
      <c r="G960" s="6" t="n">
        <f aca="false">Sens!G942</f>
        <v>464.953424954312</v>
      </c>
      <c r="H960" s="6" t="n">
        <f aca="false">Sens!H942</f>
        <v>539.015451950865</v>
      </c>
      <c r="I960" s="6" t="n">
        <f aca="false">Sens!I942</f>
        <v>607.272875461335</v>
      </c>
      <c r="J960" s="6" t="n">
        <f aca="false">Sens!J942</f>
        <v>663.792772473253</v>
      </c>
      <c r="K960" s="6" t="n">
        <f aca="false">Sens!K942</f>
        <v>709.806022575022</v>
      </c>
    </row>
    <row r="961" customFormat="false" ht="15" hidden="false" customHeight="false" outlineLevel="0" collapsed="false">
      <c r="A961" s="1" t="s">
        <v>1056</v>
      </c>
      <c r="B961" s="0" t="s">
        <v>168</v>
      </c>
      <c r="E961" s="7" t="n">
        <f aca="false">Sens!E960/Sens!D960-1</f>
        <v>0.177886867998467</v>
      </c>
      <c r="F961" s="7" t="n">
        <f aca="false">Sens!F960/Sens!E960-1</f>
        <v>0.182995286246569</v>
      </c>
      <c r="G961" s="7" t="n">
        <f aca="false">Sens!G960/Sens!F960-1</f>
        <v>0.18440166999163</v>
      </c>
      <c r="H961" s="7" t="n">
        <f aca="false">Sens!H960/Sens!G960-1</f>
        <v>0.159289130957215</v>
      </c>
      <c r="I961" s="7" t="n">
        <f aca="false">Sens!I960/Sens!H960-1</f>
        <v>0.12663351906411</v>
      </c>
      <c r="J961" s="7" t="n">
        <f aca="false">Sens!J960/Sens!I960-1</f>
        <v>0.0930716639846312</v>
      </c>
      <c r="K961" s="7" t="n">
        <f aca="false">Sens!K960/Sens!J960-1</f>
        <v>0.0693186970540922</v>
      </c>
    </row>
    <row r="962" customFormat="false" ht="17.15" hidden="false" customHeight="false" outlineLevel="0" collapsed="false">
      <c r="A962" s="26" t="s">
        <v>1057</v>
      </c>
      <c r="B962" s="31" t="s">
        <v>98</v>
      </c>
      <c r="C962" s="31"/>
      <c r="D962" s="27" t="n">
        <f aca="false">(Sens!D955+Sens!D959-Sens!D960)+(Sens!D947+Sens!D948-Sens!D946)+(Sens!D950+Sens!D951-Sens!D949)+(Sens!D960-Q!L18)</f>
        <v>0</v>
      </c>
      <c r="E962" s="27" t="n">
        <f aca="false">(Sens!E955+Sens!E959-Sens!E960)+(Sens!E947+Sens!E948-Sens!E946)+(Sens!E950+Sens!E951-Sens!E949)+(Sens!E960-Q!M18)</f>
        <v>0</v>
      </c>
      <c r="F962" s="27" t="n">
        <f aca="false">(Sens!F955+Sens!F959-Sens!F960)+(Sens!F947+Sens!F948-Sens!F946)+(Sens!F950+Sens!F951-Sens!F949)</f>
        <v>0</v>
      </c>
      <c r="G962" s="27" t="n">
        <f aca="false">(Sens!G955+Sens!G959-Sens!G960)+(Sens!G947+Sens!G948-Sens!G946)+(Sens!G950+Sens!G951-Sens!G949)</f>
        <v>0</v>
      </c>
      <c r="H962" s="27" t="n">
        <f aca="false">(Sens!H955+Sens!H959-Sens!H960)+(Sens!H947+Sens!H948-Sens!H946)+(Sens!H950+Sens!H951-Sens!H949)</f>
        <v>0</v>
      </c>
      <c r="I962" s="27" t="n">
        <f aca="false">(Sens!I955+Sens!I959-Sens!I960)+(Sens!I947+Sens!I948-Sens!I946)+(Sens!I950+Sens!I951-Sens!I949)</f>
        <v>0</v>
      </c>
      <c r="J962" s="27" t="n">
        <f aca="false">(Sens!J955+Sens!J959-Sens!J960)+(Sens!J947+Sens!J948-Sens!J946)+(Sens!J950+Sens!J951-Sens!J949)</f>
        <v>0</v>
      </c>
      <c r="K962" s="27" t="n">
        <f aca="false">(Sens!K955+Sens!K959-Sens!K960)+(Sens!K947+Sens!K948-Sens!K946)+(Sens!K950+Sens!K951-Sens!K949)</f>
        <v>0</v>
      </c>
    </row>
    <row r="963" customFormat="false" ht="17.15" hidden="false" customHeight="false" outlineLevel="0" collapsed="false">
      <c r="A963" s="0" t="s">
        <v>1058</v>
      </c>
      <c r="B963" s="0" t="s">
        <v>168</v>
      </c>
      <c r="E963" s="7" t="n">
        <f aca="false">(Q!M21+Sens!E899+Sens!E900+Sens!E901+Sens!E915-Sens!E897)/(Q!M5-Sens!E897)</f>
        <v>0.570957350878296</v>
      </c>
      <c r="F963" s="7" t="n">
        <f aca="false">Sens!$E$963+dm_seg</f>
        <v>0.570957350878296</v>
      </c>
      <c r="G963" s="7" t="n">
        <f aca="false">Sens!$E$963+dm_seg</f>
        <v>0.570957350878296</v>
      </c>
      <c r="H963" s="7" t="n">
        <f aca="false">Sens!$E$963+dm_seg</f>
        <v>0.570957350878296</v>
      </c>
      <c r="I963" s="7" t="n">
        <f aca="false">Sens!$E$963+dm_seg</f>
        <v>0.570957350878296</v>
      </c>
      <c r="J963" s="7" t="n">
        <f aca="false">Sens!$E$963+dm_seg</f>
        <v>0.570957350878296</v>
      </c>
      <c r="K963" s="7" t="n">
        <f aca="false">Sens!$E$963+dm_seg</f>
        <v>0.570957350878296</v>
      </c>
      <c r="L963" s="12" t="s">
        <v>1059</v>
      </c>
    </row>
    <row r="964" customFormat="false" ht="17.15" hidden="false" customHeight="false" outlineLevel="0" collapsed="false">
      <c r="A964" s="0" t="s">
        <v>880</v>
      </c>
      <c r="B964" s="0" t="s">
        <v>98</v>
      </c>
      <c r="D964" s="6" t="n">
        <f aca="false">Q!L21</f>
        <v>110.814</v>
      </c>
      <c r="E964" s="6" t="n">
        <f aca="false">Q!M21</f>
        <v>136.365</v>
      </c>
      <c r="F964" s="6" t="n">
        <f aca="false">Q!$I$21+(Sens!F963*(Sens!F934-Sens!F897)+Sens!F897-(Sens!F899+Sens!F900+Sens!F901)-Sens!F915-Sens!F998)*(Sens!F934-Q!$I$5)/Sens!F934</f>
        <v>155.805935309978</v>
      </c>
      <c r="G964" s="6" t="n">
        <f aca="false">(Sens!G963*(Sens!G934-Sens!G897)+Sens!G897-(Sens!G899+Sens!G900+Sens!G901)-Sens!G915-Sens!G998)</f>
        <v>165.11382920804</v>
      </c>
      <c r="H964" s="6" t="n">
        <f aca="false">(Sens!H963*(Sens!H934-Sens!H897)+Sens!H897-(Sens!H899+Sens!H900+Sens!H901)-Sens!H915-Sens!H998)</f>
        <v>178.972016577132</v>
      </c>
      <c r="I964" s="6" t="n">
        <f aca="false">(Sens!I963*(Sens!I934-Sens!I897)+Sens!I897-(Sens!I899+Sens!I900+Sens!I901)-Sens!I915-Sens!I998)</f>
        <v>192.515760693906</v>
      </c>
      <c r="J964" s="6" t="n">
        <f aca="false">(Sens!J963*(Sens!J934-Sens!J897)+Sens!J897-(Sens!J899+Sens!J900+Sens!J901)-Sens!J915-Sens!J998)</f>
        <v>206.284548473515</v>
      </c>
      <c r="K964" s="6" t="n">
        <f aca="false">(Sens!K963*(Sens!K934-Sens!K897)+Sens!K897-(Sens!K899+Sens!K900+Sens!K901)-Sens!K915-Sens!K998)</f>
        <v>220.690997635486</v>
      </c>
      <c r="L964" s="1" t="s">
        <v>1060</v>
      </c>
    </row>
    <row r="965" customFormat="false" ht="17.15" hidden="false" customHeight="false" outlineLevel="0" collapsed="false">
      <c r="A965" s="0" t="s">
        <v>1061</v>
      </c>
      <c r="B965" s="0" t="s">
        <v>168</v>
      </c>
      <c r="E965" s="7" t="n">
        <f aca="false">Q!M22/Q!M12</f>
        <v>0.296207935710698</v>
      </c>
      <c r="F965" s="7" t="n">
        <f aca="false">Sens!$E$965+dm_seg</f>
        <v>0.296207935710698</v>
      </c>
      <c r="G965" s="7" t="n">
        <f aca="false">Sens!$E$965+dm_seg</f>
        <v>0.296207935710698</v>
      </c>
      <c r="H965" s="7" t="n">
        <f aca="false">Sens!$E$965+dm_seg</f>
        <v>0.296207935710698</v>
      </c>
      <c r="I965" s="7" t="n">
        <f aca="false">Sens!$E$965+dm_seg</f>
        <v>0.296207935710698</v>
      </c>
      <c r="J965" s="7" t="n">
        <f aca="false">Sens!$E$965+dm_seg</f>
        <v>0.296207935710698</v>
      </c>
      <c r="K965" s="7" t="n">
        <f aca="false">Sens!$E$965+dm_seg</f>
        <v>0.296207935710698</v>
      </c>
      <c r="L965" s="12" t="s">
        <v>1062</v>
      </c>
    </row>
    <row r="966" customFormat="false" ht="17.15" hidden="false" customHeight="false" outlineLevel="0" collapsed="false">
      <c r="A966" s="0" t="s">
        <v>882</v>
      </c>
      <c r="B966" s="0" t="s">
        <v>98</v>
      </c>
      <c r="D966" s="6" t="n">
        <f aca="false">Q!L22</f>
        <v>17.714</v>
      </c>
      <c r="E966" s="6" t="n">
        <f aca="false">Q!M22</f>
        <v>18.872</v>
      </c>
      <c r="F966" s="6" t="n">
        <f aca="false">Q!$I$22+(Sens!F941-Q!$I$12)*Sens!F965</f>
        <v>19.8174315512051</v>
      </c>
      <c r="G966" s="6" t="n">
        <f aca="false">Sens!G941*Sens!G965</f>
        <v>19.6313799703815</v>
      </c>
      <c r="H966" s="6" t="n">
        <f aca="false">Sens!H941*Sens!H965</f>
        <v>20.3536242825865</v>
      </c>
      <c r="I966" s="6" t="n">
        <f aca="false">Sens!I941*Sens!I965</f>
        <v>21.1920899239745</v>
      </c>
      <c r="J966" s="6" t="n">
        <f aca="false">Sens!J941*Sens!J965</f>
        <v>22.1288166207045</v>
      </c>
      <c r="K966" s="6" t="n">
        <f aca="false">Sens!K941*Sens!K965</f>
        <v>23.1493653905379</v>
      </c>
      <c r="L966" s="12" t="s">
        <v>1063</v>
      </c>
    </row>
    <row r="967" customFormat="false" ht="15" hidden="false" customHeight="false" outlineLevel="0" collapsed="false">
      <c r="A967" s="1" t="s">
        <v>1064</v>
      </c>
      <c r="B967" s="0" t="s">
        <v>98</v>
      </c>
      <c r="D967" s="6" t="n">
        <f aca="false">Sens!D964+Sens!D966</f>
        <v>128.528</v>
      </c>
      <c r="E967" s="6" t="n">
        <f aca="false">Sens!E964+Sens!E966</f>
        <v>155.237</v>
      </c>
      <c r="F967" s="6" t="n">
        <f aca="false">Sens!F964+Sens!F966</f>
        <v>175.623366861183</v>
      </c>
      <c r="G967" s="6" t="n">
        <f aca="false">Sens!G964+Sens!G966</f>
        <v>184.745209178422</v>
      </c>
      <c r="H967" s="6" t="n">
        <f aca="false">Sens!H964+Sens!H966</f>
        <v>199.325640859719</v>
      </c>
      <c r="I967" s="6" t="n">
        <f aca="false">Sens!I964+Sens!I966</f>
        <v>213.707850617881</v>
      </c>
      <c r="J967" s="6" t="n">
        <f aca="false">Sens!J964+Sens!J966</f>
        <v>228.41336509422</v>
      </c>
      <c r="K967" s="6" t="n">
        <f aca="false">Sens!K964+Sens!K966</f>
        <v>243.840363026023</v>
      </c>
    </row>
    <row r="968" customFormat="false" ht="15" hidden="false" customHeight="false" outlineLevel="0" collapsed="false">
      <c r="A968" s="26" t="s">
        <v>1065</v>
      </c>
      <c r="B968" s="31" t="s">
        <v>98</v>
      </c>
      <c r="C968" s="31"/>
      <c r="D968" s="27" t="n">
        <f aca="false">Sens!D967-Q!L23</f>
        <v>0</v>
      </c>
      <c r="E968" s="27" t="n">
        <f aca="false">Sens!E967-Q!M23</f>
        <v>0</v>
      </c>
      <c r="F968" s="31"/>
      <c r="G968" s="31"/>
      <c r="H968" s="31"/>
      <c r="I968" s="31"/>
      <c r="J968" s="31"/>
      <c r="K968" s="31"/>
    </row>
    <row r="969" customFormat="false" ht="15" hidden="false" customHeight="false" outlineLevel="0" collapsed="false">
      <c r="A969" s="1" t="s">
        <v>1066</v>
      </c>
      <c r="B969" s="0" t="s">
        <v>168</v>
      </c>
      <c r="D969" s="7" t="n">
        <f aca="false">Sens!D967/Sens!D960</f>
        <v>0.456219562408598</v>
      </c>
      <c r="E969" s="7" t="n">
        <f aca="false">Sens!E967/Sens!E960</f>
        <v>0.467808184089272</v>
      </c>
      <c r="F969" s="7" t="n">
        <f aca="false">Sens!F967/Sens!F960</f>
        <v>0.447375151651754</v>
      </c>
      <c r="G969" s="7" t="n">
        <f aca="false">Sens!G967/Sens!G960</f>
        <v>0.397341323373574</v>
      </c>
      <c r="H969" s="7" t="n">
        <f aca="false">Sens!H967/Sens!H960</f>
        <v>0.369795782548158</v>
      </c>
      <c r="I969" s="7" t="n">
        <f aca="false">Sens!I967/Sens!I960</f>
        <v>0.351914039393791</v>
      </c>
      <c r="J969" s="7" t="n">
        <f aca="false">Sens!J967/Sens!J960</f>
        <v>0.344103422884773</v>
      </c>
      <c r="K969" s="7" t="n">
        <f aca="false">Sens!K967/Sens!K960</f>
        <v>0.343530986312885</v>
      </c>
    </row>
    <row r="970" customFormat="false" ht="17.15" hidden="false" customHeight="false" outlineLevel="0" collapsed="false">
      <c r="A970" s="1" t="s">
        <v>1067</v>
      </c>
      <c r="B970" s="0" t="s">
        <v>98</v>
      </c>
      <c r="F970" s="6" t="n">
        <f aca="false">Sens!F985</f>
        <v>9.7398427716299</v>
      </c>
      <c r="G970" s="6" t="n">
        <f aca="false">Sens!G985</f>
        <v>25.2753385959797</v>
      </c>
      <c r="H970" s="6" t="n">
        <f aca="false">Sens!H985</f>
        <v>42.2840253697948</v>
      </c>
      <c r="I970" s="6" t="n">
        <f aca="false">Sens!I985</f>
        <v>57.704943641581</v>
      </c>
      <c r="J970" s="6" t="n">
        <f aca="false">Sens!J985</f>
        <v>68.4828520908201</v>
      </c>
      <c r="K970" s="6" t="n">
        <f aca="false">Sens!K985</f>
        <v>74.3598374943249</v>
      </c>
      <c r="L970" s="1" t="s">
        <v>1068</v>
      </c>
    </row>
    <row r="971" customFormat="false" ht="17.15" hidden="false" customHeight="false" outlineLevel="0" collapsed="false">
      <c r="A971" s="1" t="s">
        <v>1069</v>
      </c>
      <c r="B971" s="0" t="s">
        <v>98</v>
      </c>
      <c r="D971" s="6" t="n">
        <f aca="false">Sens!D967</f>
        <v>128.528</v>
      </c>
      <c r="E971" s="6" t="n">
        <f aca="false">Sens!E967</f>
        <v>155.237</v>
      </c>
      <c r="F971" s="6" t="n">
        <f aca="false">Sens!F967+Sens!F970</f>
        <v>185.363209632813</v>
      </c>
      <c r="G971" s="6" t="n">
        <f aca="false">Sens!G967+Sens!G970</f>
        <v>210.020547774402</v>
      </c>
      <c r="H971" s="6" t="n">
        <f aca="false">Sens!H967+Sens!H970</f>
        <v>241.609666229514</v>
      </c>
      <c r="I971" s="6" t="n">
        <f aca="false">Sens!I967+Sens!I970</f>
        <v>271.412794259462</v>
      </c>
      <c r="J971" s="6" t="n">
        <f aca="false">Sens!J967+Sens!J970</f>
        <v>296.89621718504</v>
      </c>
      <c r="K971" s="6" t="n">
        <f aca="false">Sens!K967+Sens!K970</f>
        <v>318.200200520348</v>
      </c>
    </row>
    <row r="972" customFormat="false" ht="17.15" hidden="false" customHeight="false" outlineLevel="0" collapsed="false">
      <c r="A972" s="1" t="s">
        <v>1070</v>
      </c>
      <c r="B972" s="0" t="s">
        <v>98</v>
      </c>
      <c r="E972" s="6" t="n">
        <f aca="false">Sens!E915</f>
        <v>16.3054059770833</v>
      </c>
      <c r="F972" s="6" t="n">
        <f aca="false">Sens!F915</f>
        <v>34.5793144783516</v>
      </c>
      <c r="G972" s="6" t="n">
        <f aca="false">Sens!G915</f>
        <v>60.7344906522989</v>
      </c>
      <c r="H972" s="6" t="n">
        <f aca="false">Sens!H915</f>
        <v>89.1000906614457</v>
      </c>
      <c r="I972" s="6" t="n">
        <f aca="false">Sens!I915</f>
        <v>114.231009694548</v>
      </c>
      <c r="J972" s="6" t="n">
        <f aca="false">Sens!J915</f>
        <v>132.015673049596</v>
      </c>
      <c r="K972" s="6" t="n">
        <f aca="false">Sens!K915</f>
        <v>143.012669550934</v>
      </c>
    </row>
    <row r="973" customFormat="false" ht="17.15" hidden="false" customHeight="false" outlineLevel="0" collapsed="false">
      <c r="A973" s="1" t="s">
        <v>1071</v>
      </c>
      <c r="B973" s="0" t="s">
        <v>98</v>
      </c>
      <c r="E973" s="6" t="n">
        <f aca="false">Sens!E997</f>
        <v>22.2285940229167</v>
      </c>
      <c r="F973" s="6" t="n">
        <f aca="false">Sens!F997</f>
        <v>23.6168450007293</v>
      </c>
      <c r="G973" s="6" t="n">
        <f aca="false">Sens!G997</f>
        <v>25.4345719377656</v>
      </c>
      <c r="H973" s="6" t="n">
        <f aca="false">Sens!H997</f>
        <v>27.6475274688719</v>
      </c>
      <c r="I973" s="6" t="n">
        <f aca="false">Sens!I997</f>
        <v>30.1886240787705</v>
      </c>
      <c r="J973" s="6" t="n">
        <f aca="false">Sens!J997</f>
        <v>32.9735560385483</v>
      </c>
      <c r="K973" s="6" t="n">
        <f aca="false">Sens!K997</f>
        <v>35.916728860328</v>
      </c>
    </row>
    <row r="974" customFormat="false" ht="17.15" hidden="false" customHeight="false" outlineLevel="0" collapsed="false">
      <c r="A974" s="1" t="s">
        <v>1072</v>
      </c>
      <c r="B974" s="0" t="s">
        <v>98</v>
      </c>
      <c r="D974" s="6" t="n">
        <f aca="false">Q!L27</f>
        <v>-4.901</v>
      </c>
      <c r="E974" s="6" t="n">
        <f aca="false">Q!M27</f>
        <v>10.697</v>
      </c>
      <c r="F974" s="6" t="n">
        <f aca="false">Q!$I$27+oie_f*(q_per_yr-1)/q_per_yr</f>
        <v>-0.862</v>
      </c>
      <c r="G974" s="6" t="n">
        <f aca="false">oie_f</f>
        <v>-1.2</v>
      </c>
      <c r="H974" s="6" t="n">
        <f aca="false">oie_f</f>
        <v>-1.2</v>
      </c>
      <c r="I974" s="6" t="n">
        <f aca="false">oie_f</f>
        <v>-1.2</v>
      </c>
      <c r="J974" s="6" t="n">
        <f aca="false">oie_f</f>
        <v>-1.2</v>
      </c>
      <c r="K974" s="6" t="n">
        <f aca="false">oie_f</f>
        <v>-1.2</v>
      </c>
      <c r="L974" s="12" t="s">
        <v>1073</v>
      </c>
    </row>
    <row r="975" customFormat="false" ht="15" hidden="false" customHeight="false" outlineLevel="0" collapsed="false">
      <c r="A975" s="1" t="s">
        <v>1074</v>
      </c>
      <c r="B975" s="0" t="s">
        <v>98</v>
      </c>
      <c r="D975" s="6" t="n">
        <f aca="false">Sens!D967+Sens!D974</f>
        <v>123.627</v>
      </c>
      <c r="E975" s="6" t="n">
        <f aca="false">Sens!E967+Sens!E974</f>
        <v>165.934</v>
      </c>
      <c r="F975" s="6" t="n">
        <f aca="false">Sens!F967+Sens!F974</f>
        <v>174.761366861183</v>
      </c>
      <c r="G975" s="6" t="n">
        <f aca="false">Sens!G967+Sens!G974</f>
        <v>183.545209178422</v>
      </c>
      <c r="H975" s="6" t="n">
        <f aca="false">Sens!H967+Sens!H974</f>
        <v>198.125640859719</v>
      </c>
      <c r="I975" s="6" t="n">
        <f aca="false">Sens!I967+Sens!I974</f>
        <v>212.507850617881</v>
      </c>
      <c r="J975" s="6" t="n">
        <f aca="false">Sens!J967+Sens!J974</f>
        <v>227.21336509422</v>
      </c>
      <c r="K975" s="6" t="n">
        <f aca="false">Sens!K967+Sens!K974</f>
        <v>242.640363026023</v>
      </c>
    </row>
    <row r="976" customFormat="false" ht="15" hidden="false" customHeight="false" outlineLevel="0" collapsed="false">
      <c r="A976" s="1" t="s">
        <v>1075</v>
      </c>
      <c r="B976" s="0" t="s">
        <v>98</v>
      </c>
      <c r="D976" s="6" t="n">
        <f aca="false">Q!L29</f>
        <v>21.795</v>
      </c>
      <c r="E976" s="6" t="n">
        <f aca="false">Q!M29</f>
        <v>32.185</v>
      </c>
      <c r="F976" s="6" t="n">
        <f aca="false">Q!$I$29+(Sens!F975-Q!$I$28)*tax_f</f>
        <v>35.0856733722366</v>
      </c>
      <c r="G976" s="6" t="n">
        <f aca="false">Sens!G975*tax_f</f>
        <v>36.7090418356844</v>
      </c>
      <c r="H976" s="6" t="n">
        <f aca="false">Sens!H975*tax_f</f>
        <v>39.6251281719438</v>
      </c>
      <c r="I976" s="6" t="n">
        <f aca="false">Sens!I975*tax_f</f>
        <v>42.5015701235761</v>
      </c>
      <c r="J976" s="6" t="n">
        <f aca="false">Sens!J975*tax_f</f>
        <v>45.442673018844</v>
      </c>
      <c r="K976" s="6" t="n">
        <f aca="false">Sens!K975*tax_f</f>
        <v>48.5280726052047</v>
      </c>
    </row>
    <row r="977" customFormat="false" ht="15" hidden="false" customHeight="false" outlineLevel="0" collapsed="false">
      <c r="A977" s="1" t="s">
        <v>1076</v>
      </c>
      <c r="B977" s="0" t="s">
        <v>98</v>
      </c>
      <c r="D977" s="6" t="n">
        <f aca="false">Sens!D975-Sens!D976</f>
        <v>101.832</v>
      </c>
      <c r="E977" s="6" t="n">
        <f aca="false">Sens!E975-Sens!E976</f>
        <v>133.749</v>
      </c>
      <c r="F977" s="6" t="n">
        <f aca="false">Sens!F975-Sens!F976</f>
        <v>139.675693488946</v>
      </c>
      <c r="G977" s="6" t="n">
        <f aca="false">Sens!G975-Sens!G976</f>
        <v>146.836167342738</v>
      </c>
      <c r="H977" s="6" t="n">
        <f aca="false">Sens!H975-Sens!H976</f>
        <v>158.500512687775</v>
      </c>
      <c r="I977" s="6" t="n">
        <f aca="false">Sens!I975-Sens!I976</f>
        <v>170.006280494304</v>
      </c>
      <c r="J977" s="6" t="n">
        <f aca="false">Sens!J975-Sens!J976</f>
        <v>181.770692075376</v>
      </c>
      <c r="K977" s="6" t="n">
        <f aca="false">Sens!K975-Sens!K976</f>
        <v>194.112290420819</v>
      </c>
    </row>
    <row r="978" customFormat="false" ht="17.15" hidden="false" customHeight="false" outlineLevel="0" collapsed="false">
      <c r="A978" s="1" t="s">
        <v>1077</v>
      </c>
      <c r="B978" s="1" t="s">
        <v>81</v>
      </c>
      <c r="D978" s="15" t="n">
        <f aca="false">Q!L31</f>
        <v>7.465</v>
      </c>
      <c r="E978" s="15" t="n">
        <f aca="false">Q!M31</f>
        <v>7.453</v>
      </c>
      <c r="F978" s="15" t="n">
        <f aca="false">Sens!F1022</f>
        <v>7.4735</v>
      </c>
      <c r="G978" s="15" t="n">
        <f aca="false">Sens!G1022</f>
        <v>7.5185</v>
      </c>
      <c r="H978" s="15" t="n">
        <f aca="false">Sens!H1022</f>
        <v>7.55479049847656</v>
      </c>
      <c r="I978" s="15" t="n">
        <f aca="false">Sens!I1022</f>
        <v>7.57506242197978</v>
      </c>
      <c r="J978" s="15" t="n">
        <f aca="false">Sens!J1022</f>
        <v>7.58921183314225</v>
      </c>
      <c r="K978" s="15" t="n">
        <f aca="false">Sens!K1022</f>
        <v>7.6056464731075</v>
      </c>
    </row>
    <row r="979" customFormat="false" ht="17.15" hidden="false" customHeight="false" outlineLevel="0" collapsed="false">
      <c r="A979" s="0" t="s">
        <v>1078</v>
      </c>
      <c r="B979" s="0" t="s">
        <v>75</v>
      </c>
      <c r="D979" s="8" t="n">
        <f aca="false">Sens!D977/Sens!D978</f>
        <v>13.641259209645</v>
      </c>
      <c r="E979" s="8" t="n">
        <f aca="false">Sens!E977/Sens!E978</f>
        <v>17.9456594659869</v>
      </c>
      <c r="F979" s="8" t="n">
        <f aca="false">Sens!F977/Sens!F978</f>
        <v>18.6894618972297</v>
      </c>
      <c r="G979" s="8" t="n">
        <f aca="false">Sens!G977/Sens!G978</f>
        <v>19.5299816908609</v>
      </c>
      <c r="H979" s="8" t="n">
        <f aca="false">Sens!H977/Sens!H978</f>
        <v>20.9801334292112</v>
      </c>
      <c r="I979" s="8" t="n">
        <f aca="false">Sens!I977/Sens!I978</f>
        <v>22.44288839139</v>
      </c>
      <c r="J979" s="8" t="n">
        <f aca="false">Sens!J977/Sens!J978</f>
        <v>23.9511949424813</v>
      </c>
      <c r="K979" s="8" t="n">
        <f aca="false">Sens!K977/Sens!K978</f>
        <v>25.5221290007592</v>
      </c>
      <c r="L979" s="1" t="s">
        <v>1079</v>
      </c>
    </row>
    <row r="980" customFormat="false" ht="17.15" hidden="false" customHeight="false" outlineLevel="0" collapsed="false">
      <c r="A980" s="1" t="s">
        <v>1080</v>
      </c>
      <c r="B980" s="0" t="s">
        <v>98</v>
      </c>
      <c r="D980" s="6" t="n">
        <f aca="false">Sens!D977</f>
        <v>101.832</v>
      </c>
      <c r="E980" s="6" t="n">
        <f aca="false">Sens!E977</f>
        <v>133.749</v>
      </c>
      <c r="F980" s="6" t="n">
        <f aca="false">Sens!F977+Sens!F970*(1-tax_f)</f>
        <v>147.46756770625</v>
      </c>
      <c r="G980" s="6" t="n">
        <f aca="false">Sens!G977+Sens!G970*(1-tax_f)</f>
        <v>167.056438219521</v>
      </c>
      <c r="H980" s="6" t="n">
        <f aca="false">Sens!H977+Sens!H970*(1-tax_f)</f>
        <v>192.327732983611</v>
      </c>
      <c r="I980" s="6" t="n">
        <f aca="false">Sens!I977+Sens!I970*(1-tax_f)</f>
        <v>216.170235407569</v>
      </c>
      <c r="J980" s="6" t="n">
        <f aca="false">Sens!J977+Sens!J970*(1-tax_f)</f>
        <v>236.556973748032</v>
      </c>
      <c r="K980" s="6" t="n">
        <f aca="false">Sens!K977+Sens!K970*(1-tax_f)</f>
        <v>253.600160416279</v>
      </c>
    </row>
    <row r="981" customFormat="false" ht="17.15" hidden="false" customHeight="false" outlineLevel="0" collapsed="false">
      <c r="A981" s="0" t="s">
        <v>1081</v>
      </c>
      <c r="B981" s="0" t="s">
        <v>75</v>
      </c>
      <c r="D981" s="8" t="n">
        <f aca="false">Sens!D980/Sens!D978</f>
        <v>13.641259209645</v>
      </c>
      <c r="E981" s="8" t="n">
        <f aca="false">Sens!E980/Sens!E978</f>
        <v>17.9456594659869</v>
      </c>
      <c r="F981" s="8" t="n">
        <f aca="false">Sens!F980/Sens!F978</f>
        <v>19.7320623143441</v>
      </c>
      <c r="G981" s="8" t="n">
        <f aca="false">Sens!G980/Sens!G978</f>
        <v>22.2193839488623</v>
      </c>
      <c r="H981" s="8" t="n">
        <f aca="false">Sens!H980/Sens!H978</f>
        <v>25.4577189165463</v>
      </c>
      <c r="I981" s="8" t="n">
        <f aca="false">Sens!I980/Sens!I978</f>
        <v>28.5370896456682</v>
      </c>
      <c r="J981" s="8" t="n">
        <f aca="false">Sens!J980/Sens!J978</f>
        <v>31.1701635095996</v>
      </c>
      <c r="K981" s="8" t="n">
        <f aca="false">Sens!K980/Sens!K978</f>
        <v>33.343669247969</v>
      </c>
      <c r="L981" s="1" t="s">
        <v>1082</v>
      </c>
    </row>
    <row r="982" customFormat="false" ht="17.15" hidden="false" customHeight="false" outlineLevel="0" collapsed="false">
      <c r="A982" s="0" t="s">
        <v>1083</v>
      </c>
      <c r="B982" s="0" t="s">
        <v>168</v>
      </c>
      <c r="E982" s="7" t="n">
        <f aca="false">Sens!E981/Sens!D981-1</f>
        <v>0.315542736208578</v>
      </c>
      <c r="F982" s="7" t="n">
        <f aca="false">Sens!F981/Sens!E981-1</f>
        <v>0.0995451213003931</v>
      </c>
      <c r="G982" s="7" t="n">
        <f aca="false">Sens!G981/Sens!F981-1</f>
        <v>0.126054823611119</v>
      </c>
      <c r="H982" s="7" t="n">
        <f aca="false">Sens!H981/Sens!G981-1</f>
        <v>0.14574368826503</v>
      </c>
      <c r="I982" s="7" t="n">
        <f aca="false">Sens!I981/Sens!H981-1</f>
        <v>0.12096019832792</v>
      </c>
      <c r="J982" s="7" t="n">
        <f aca="false">Sens!J981/Sens!I981-1</f>
        <v>0.0922684792536683</v>
      </c>
      <c r="K982" s="7" t="n">
        <f aca="false">Sens!K981/Sens!J981-1</f>
        <v>0.0697303284180737</v>
      </c>
    </row>
    <row r="983" customFormat="false" ht="17.15" hidden="false" customHeight="false" outlineLevel="0" collapsed="false">
      <c r="A983" s="0" t="s">
        <v>1003</v>
      </c>
      <c r="B983" s="0" t="s">
        <v>98</v>
      </c>
      <c r="E983" s="6" t="n">
        <f aca="false">Sens!E924</f>
        <v>5.25</v>
      </c>
      <c r="F983" s="6" t="n">
        <f aca="false">Sens!F924</f>
        <v>12</v>
      </c>
      <c r="G983" s="6" t="n">
        <f aca="false">Sens!G924</f>
        <v>18</v>
      </c>
      <c r="H983" s="6" t="n">
        <f aca="false">Sens!H924</f>
        <v>24</v>
      </c>
      <c r="I983" s="6" t="n">
        <f aca="false">Sens!I924</f>
        <v>28.5</v>
      </c>
      <c r="J983" s="6" t="n">
        <f aca="false">Sens!J924</f>
        <v>31.5</v>
      </c>
      <c r="K983" s="6" t="n">
        <f aca="false">Sens!K924</f>
        <v>34.5</v>
      </c>
    </row>
    <row r="984" customFormat="false" ht="17.15" hidden="false" customHeight="false" outlineLevel="0" collapsed="false">
      <c r="A984" s="1" t="s">
        <v>1004</v>
      </c>
      <c r="B984" s="0" t="s">
        <v>98</v>
      </c>
      <c r="F984" s="6" t="n">
        <f aca="false">MAX(0,((Sens!E884+Sens!F884)/2-(shadow_base*(Sens!$D$884+Sens!$E$884)/2+(1-shadow_base)*Sens!$E$884))*Sens!F893/1000-(Sens!F983-Sens!$E$983)*Sens!F963)</f>
        <v>9.7398427716299</v>
      </c>
      <c r="G984" s="6" t="n">
        <f aca="false">MAX(0,((Sens!F884+Sens!G884)/2-(shadow_base*(Sens!$D$884+Sens!$E$884)/2+(1-shadow_base)*Sens!$E$884))*Sens!G893/1000-(Sens!G983-Sens!$E$983)*Sens!G963)</f>
        <v>25.2753385959797</v>
      </c>
      <c r="H984" s="6" t="n">
        <f aca="false">MAX(0,((Sens!G884+Sens!H884)/2-(shadow_base*(Sens!$D$884+Sens!$E$884)/2+(1-shadow_base)*Sens!$E$884))*Sens!H893/1000-(Sens!H983-Sens!$E$983)*Sens!H963)</f>
        <v>42.2840253697948</v>
      </c>
      <c r="I984" s="6" t="n">
        <f aca="false">MAX(0,((Sens!H884+Sens!I884)/2-(shadow_base*(Sens!$D$884+Sens!$E$884)/2+(1-shadow_base)*Sens!$E$884))*Sens!I893/1000-(Sens!I983-Sens!$E$983)*Sens!I963)</f>
        <v>57.704943641581</v>
      </c>
      <c r="J984" s="6" t="n">
        <f aca="false">MAX(0,((Sens!I884+Sens!J884)/2-(shadow_base*(Sens!$D$884+Sens!$E$884)/2+(1-shadow_base)*Sens!$E$884))*Sens!J893/1000-(Sens!J983-Sens!$E$983)*Sens!J963)</f>
        <v>68.4828520908201</v>
      </c>
      <c r="K984" s="6" t="n">
        <f aca="false">MAX(0,((Sens!J884+Sens!K884)/2-(shadow_base*(Sens!$D$884+Sens!$E$884)/2+(1-shadow_base)*Sens!$E$884))*Sens!K893/1000-(Sens!K983-Sens!$E$983)*Sens!K963)</f>
        <v>74.3598374943249</v>
      </c>
      <c r="L984" s="1" t="s">
        <v>1005</v>
      </c>
    </row>
    <row r="985" customFormat="false" ht="17.15" hidden="false" customHeight="false" outlineLevel="0" collapsed="false">
      <c r="A985" s="1" t="s">
        <v>1006</v>
      </c>
      <c r="B985" s="0" t="s">
        <v>98</v>
      </c>
      <c r="F985" s="6" t="n">
        <f aca="false">IF(internal_ai_reading=2,1,0)*Sens!F984</f>
        <v>9.7398427716299</v>
      </c>
      <c r="G985" s="6" t="n">
        <f aca="false">IF(internal_ai_reading=2,1,0)*Sens!G984</f>
        <v>25.2753385959797</v>
      </c>
      <c r="H985" s="6" t="n">
        <f aca="false">IF(internal_ai_reading=2,1,0)*Sens!H984</f>
        <v>42.2840253697948</v>
      </c>
      <c r="I985" s="6" t="n">
        <f aca="false">IF(internal_ai_reading=2,1,0)*Sens!I984</f>
        <v>57.704943641581</v>
      </c>
      <c r="J985" s="6" t="n">
        <f aca="false">IF(internal_ai_reading=2,1,0)*Sens!J984</f>
        <v>68.4828520908201</v>
      </c>
      <c r="K985" s="6" t="n">
        <f aca="false">IF(internal_ai_reading=2,1,0)*Sens!K984</f>
        <v>74.3598374943249</v>
      </c>
    </row>
    <row r="986" customFormat="false" ht="17.15" hidden="false" customHeight="false" outlineLevel="0" collapsed="false">
      <c r="A986" s="0" t="s">
        <v>1007</v>
      </c>
      <c r="B986" s="0" t="s">
        <v>98</v>
      </c>
      <c r="F986" s="6" t="n">
        <f aca="false">Sens!F903+Sens!F983*Sens!F963+Sens!F985-Sens!F904-Sens!F915</f>
        <v>6.5035080303127</v>
      </c>
      <c r="G986" s="6" t="n">
        <f aca="false">Sens!G903+Sens!G983*Sens!G963+Sens!G985-Sens!G904-Sens!G915</f>
        <v>17.3417812664679</v>
      </c>
      <c r="H986" s="6" t="n">
        <f aca="false">Sens!H903+Sens!H983*Sens!H963+Sens!H985-Sens!H904-Sens!H915</f>
        <v>28.6518609303911</v>
      </c>
      <c r="I986" s="6" t="n">
        <f aca="false">Sens!I903+Sens!I983*Sens!I963+Sens!I985-Sens!I904-Sens!I915</f>
        <v>38.5570243858421</v>
      </c>
      <c r="J986" s="6" t="n">
        <f aca="false">Sens!J903+Sens!J983*Sens!J963+Sens!J985-Sens!J904-Sens!J915</f>
        <v>45.3108173666651</v>
      </c>
      <c r="K986" s="6" t="n">
        <f aca="false">Sens!K903+Sens!K983*Sens!K963+Sens!K985-Sens!K904-Sens!K915</f>
        <v>49.8637624734541</v>
      </c>
    </row>
    <row r="987" customFormat="false" ht="17.15" hidden="false" customHeight="false" outlineLevel="0" collapsed="false">
      <c r="A987" s="0" t="s">
        <v>1008</v>
      </c>
      <c r="B987" s="0" t="s">
        <v>98</v>
      </c>
      <c r="E987" s="6" t="n">
        <f aca="false">Sens!E883*(cxit_open+self_build*tk_cxfac)/1000*ai_net_open</f>
        <v>126.6980382</v>
      </c>
      <c r="F987" s="6" t="n">
        <f aca="false">Sens!E987+Sens!F912-Sens!F915</f>
        <v>260.572627763768</v>
      </c>
      <c r="G987" s="6" t="n">
        <f aca="false">Sens!F987+Sens!G912-Sens!G915</f>
        <v>391.782612760517</v>
      </c>
      <c r="H987" s="6" t="n">
        <f aca="false">Sens!G987+Sens!H912-Sens!H915</f>
        <v>499.488526163584</v>
      </c>
      <c r="I987" s="6" t="n">
        <f aca="false">Sens!H987+Sens!I912-Sens!I915</f>
        <v>553.872350090646</v>
      </c>
      <c r="J987" s="6" t="n">
        <f aca="false">Sens!I987+Sens!J912-Sens!J915</f>
        <v>550.78660823699</v>
      </c>
      <c r="K987" s="6" t="n">
        <f aca="false">Sens!J987+Sens!K912-Sens!K915</f>
        <v>526.736791750789</v>
      </c>
      <c r="L987" s="1" t="s">
        <v>1009</v>
      </c>
    </row>
    <row r="988" customFormat="false" ht="17.15" hidden="false" customHeight="false" outlineLevel="0" collapsed="false">
      <c r="A988" s="0" t="s">
        <v>1010</v>
      </c>
      <c r="B988" s="0" t="s">
        <v>168</v>
      </c>
      <c r="F988" s="7" t="n">
        <f aca="false">Sens!F986*(1-tax_f)/((Sens!E987+Sens!F987)/2)</f>
        <v>0.0268690963788975</v>
      </c>
      <c r="G988" s="7" t="n">
        <f aca="false">Sens!G986*(1-tax_f)/((Sens!F987+Sens!G987)/2)</f>
        <v>0.0425333442620144</v>
      </c>
      <c r="H988" s="7" t="n">
        <f aca="false">Sens!H986*(1-tax_f)/((Sens!G987+Sens!H987)/2)</f>
        <v>0.0514355009228339</v>
      </c>
      <c r="I988" s="7" t="n">
        <f aca="false">Sens!I986*(1-tax_f)/((Sens!H987+Sens!I987)/2)</f>
        <v>0.0585661005720305</v>
      </c>
      <c r="J988" s="7" t="n">
        <f aca="false">Sens!J986*(1-tax_f)/((Sens!I987+Sens!J987)/2)</f>
        <v>0.0656286786434242</v>
      </c>
      <c r="K988" s="7" t="n">
        <f aca="false">Sens!K986*(1-tax_f)/((Sens!J987+Sens!K987)/2)</f>
        <v>0.0740420300463372</v>
      </c>
    </row>
    <row r="989" customFormat="false" ht="17.15" hidden="false" customHeight="false" outlineLevel="0" collapsed="false">
      <c r="A989" s="1" t="s">
        <v>1011</v>
      </c>
      <c r="B989" s="0" t="s">
        <v>168</v>
      </c>
      <c r="F989" s="7" t="n">
        <f aca="false">(Sens!F986-Sens!F985)*(1-tax_f)/((Sens!E987+Sens!F987)/2)</f>
        <v>-0.0133708438082217</v>
      </c>
      <c r="G989" s="7" t="n">
        <f aca="false">(Sens!G986-Sens!G985)*(1-tax_f)/((Sens!F987+Sens!G987)/2)</f>
        <v>-0.0194582505645501</v>
      </c>
      <c r="H989" s="7" t="n">
        <f aca="false">(Sens!H986-Sens!H985)*(1-tax_f)/((Sens!G987+Sens!H987)/2)</f>
        <v>-0.0244723094359092</v>
      </c>
      <c r="I989" s="7" t="n">
        <f aca="false">(Sens!I986-Sens!I985)*(1-tax_f)/((Sens!H987+Sens!I987)/2)</f>
        <v>-0.0290846864543962</v>
      </c>
      <c r="J989" s="7" t="n">
        <f aca="false">(Sens!J986-Sens!J985)*(1-tax_f)/((Sens!I987+Sens!J987)/2)</f>
        <v>-0.0335626260749082</v>
      </c>
      <c r="K989" s="7" t="n">
        <f aca="false">(Sens!K986-Sens!K985)*(1-tax_f)/((Sens!J987+Sens!K987)/2)</f>
        <v>-0.0363738922364357</v>
      </c>
    </row>
    <row r="990" customFormat="false" ht="17.15" hidden="false" customHeight="false" outlineLevel="0" collapsed="false">
      <c r="A990" s="1" t="s">
        <v>1012</v>
      </c>
      <c r="B990" s="0" t="s">
        <v>168</v>
      </c>
      <c r="F990" s="7" t="n">
        <f aca="false">(Sens!F986-Sens!F985+Sens!F984)*(1-tax_f)/((Sens!E987+Sens!F987)/2)</f>
        <v>0.0268690963788975</v>
      </c>
      <c r="G990" s="7" t="n">
        <f aca="false">(Sens!G986-Sens!G985+Sens!G984)*(1-tax_f)/((Sens!F987+Sens!G987)/2)</f>
        <v>0.0425333442620144</v>
      </c>
      <c r="H990" s="7" t="n">
        <f aca="false">(Sens!H986-Sens!H985+Sens!H984)*(1-tax_f)/((Sens!G987+Sens!H987)/2)</f>
        <v>0.0514355009228339</v>
      </c>
      <c r="I990" s="7" t="n">
        <f aca="false">(Sens!I986-Sens!I985+Sens!I984)*(1-tax_f)/((Sens!H987+Sens!I987)/2)</f>
        <v>0.0585661005720305</v>
      </c>
      <c r="J990" s="7" t="n">
        <f aca="false">(Sens!J986-Sens!J985+Sens!J984)*(1-tax_f)/((Sens!I987+Sens!J987)/2)</f>
        <v>0.0656286786434242</v>
      </c>
      <c r="K990" s="7" t="n">
        <f aca="false">(Sens!K986-Sens!K985+Sens!K984)*(1-tax_f)/((Sens!J987+Sens!K987)/2)</f>
        <v>0.0740420300463372</v>
      </c>
    </row>
    <row r="991" customFormat="false" ht="17.15" hidden="false" customHeight="false" outlineLevel="0" collapsed="false">
      <c r="A991" s="1" t="s">
        <v>1013</v>
      </c>
      <c r="B991" s="0" t="s">
        <v>168</v>
      </c>
      <c r="F991" s="7" t="n">
        <f aca="false">Sens!F916*(1-tax_f)/(Sens!F902*(Sens!E987+Sens!F987)/2)</f>
        <v>0.07206164825258</v>
      </c>
      <c r="G991" s="7" t="n">
        <f aca="false">Sens!G916*(1-tax_f)/(Sens!G902*(Sens!F987+Sens!G987)/2)</f>
        <v>0.0712215126705486</v>
      </c>
      <c r="H991" s="7" t="n">
        <f aca="false">Sens!H916*(1-tax_f)/(Sens!H902*(Sens!G987+Sens!H987)/2)</f>
        <v>0.0732944860112873</v>
      </c>
      <c r="I991" s="7" t="n">
        <f aca="false">Sens!I916*(1-tax_f)/(Sens!I902*(Sens!H987+Sens!I987)/2)</f>
        <v>0.077628293090758</v>
      </c>
      <c r="J991" s="7" t="n">
        <f aca="false">Sens!J916*(1-tax_f)/(Sens!J902*(Sens!I987+Sens!J987)/2)</f>
        <v>0.0842479601524859</v>
      </c>
      <c r="K991" s="7" t="n">
        <f aca="false">Sens!K916*(1-tax_f)/(Sens!K902*(Sens!J987+Sens!K987)/2)</f>
        <v>0.0937558461767414</v>
      </c>
    </row>
    <row r="992" customFormat="false" ht="17.15" hidden="false" customHeight="false" outlineLevel="0" collapsed="false">
      <c r="A992" s="0" t="s">
        <v>1014</v>
      </c>
      <c r="B992" s="0" t="s">
        <v>253</v>
      </c>
      <c r="F992" s="7" t="n">
        <f aca="false">Sens!F988-wacc</f>
        <v>-0.0760674945666998</v>
      </c>
      <c r="G992" s="7" t="n">
        <f aca="false">Sens!G988-wacc</f>
        <v>-0.0604032466835829</v>
      </c>
      <c r="H992" s="7" t="n">
        <f aca="false">Sens!H988-wacc</f>
        <v>-0.0515010900227634</v>
      </c>
      <c r="I992" s="7" t="n">
        <f aca="false">Sens!I988-wacc</f>
        <v>-0.0443704903735668</v>
      </c>
      <c r="J992" s="7" t="n">
        <f aca="false">Sens!J988-wacc</f>
        <v>-0.0373079123021731</v>
      </c>
      <c r="K992" s="7" t="n">
        <f aca="false">Sens!K988-wacc</f>
        <v>-0.0288945608992601</v>
      </c>
    </row>
    <row r="993" customFormat="false" ht="17.15" hidden="false" customHeight="false" outlineLevel="0" collapsed="false">
      <c r="A993" s="0" t="s">
        <v>1015</v>
      </c>
      <c r="B993" s="0" t="s">
        <v>98</v>
      </c>
      <c r="F993" s="6" t="n">
        <f aca="false">Sens!F986*(1-tax_f)-wacc*(Sens!E987+Sens!F987)/2</f>
        <v>-14.7293546395206</v>
      </c>
      <c r="G993" s="6" t="n">
        <f aca="false">Sens!G986*(1-tax_f)-wacc*(Sens!F987+Sens!G987)/2</f>
        <v>-19.7021872593582</v>
      </c>
      <c r="H993" s="6" t="n">
        <f aca="false">Sens!H986*(1-tax_f)-wacc*(Sens!G987+Sens!H987)/2</f>
        <v>-22.9507175802105</v>
      </c>
      <c r="I993" s="6" t="n">
        <f aca="false">Sens!I986*(1-tax_f)-wacc*(Sens!H987+Sens!I987)/2</f>
        <v>-23.3690693098651</v>
      </c>
      <c r="J993" s="6" t="n">
        <f aca="false">Sens!J986*(1-tax_f)-wacc*(Sens!I987+Sens!J987)/2</f>
        <v>-20.6062597705487</v>
      </c>
      <c r="K993" s="6" t="n">
        <f aca="false">Sens!K986*(1-tax_f)-wacc*(Sens!J987+Sens!K987)/2</f>
        <v>-15.5672827506623</v>
      </c>
    </row>
    <row r="994" customFormat="false" ht="17.15" hidden="false" customHeight="false" outlineLevel="0" collapsed="false">
      <c r="A994" s="3" t="s">
        <v>1503</v>
      </c>
    </row>
    <row r="995" customFormat="false" ht="15" hidden="false" customHeight="false" outlineLevel="0" collapsed="false">
      <c r="A995" s="4" t="s">
        <v>43</v>
      </c>
      <c r="B995" s="4" t="s">
        <v>65</v>
      </c>
      <c r="C995" s="23" t="s">
        <v>938</v>
      </c>
      <c r="D995" s="23" t="s">
        <v>939</v>
      </c>
      <c r="E995" s="23" t="s">
        <v>940</v>
      </c>
      <c r="F995" s="23" t="s">
        <v>941</v>
      </c>
      <c r="G995" s="23" t="s">
        <v>942</v>
      </c>
      <c r="H995" s="23" t="s">
        <v>943</v>
      </c>
      <c r="I995" s="23" t="s">
        <v>944</v>
      </c>
      <c r="J995" s="23" t="s">
        <v>945</v>
      </c>
      <c r="K995" s="23" t="s">
        <v>946</v>
      </c>
      <c r="L995" s="4" t="s">
        <v>47</v>
      </c>
    </row>
    <row r="996" customFormat="false" ht="15" hidden="false" customHeight="false" outlineLevel="0" collapsed="false">
      <c r="A996" s="1" t="s">
        <v>1076</v>
      </c>
      <c r="B996" s="0" t="s">
        <v>98</v>
      </c>
      <c r="F996" s="6" t="n">
        <f aca="false">Sens!F977</f>
        <v>139.675693488946</v>
      </c>
      <c r="G996" s="6" t="n">
        <f aca="false">Sens!G977</f>
        <v>146.836167342738</v>
      </c>
      <c r="H996" s="6" t="n">
        <f aca="false">Sens!H977</f>
        <v>158.500512687775</v>
      </c>
      <c r="I996" s="6" t="n">
        <f aca="false">Sens!I977</f>
        <v>170.006280494304</v>
      </c>
      <c r="J996" s="6" t="n">
        <f aca="false">Sens!J977</f>
        <v>181.770692075376</v>
      </c>
      <c r="K996" s="6" t="n">
        <f aca="false">Sens!K977</f>
        <v>194.112290420819</v>
      </c>
    </row>
    <row r="997" customFormat="false" ht="17.15" hidden="false" customHeight="false" outlineLevel="0" collapsed="false">
      <c r="A997" s="1" t="s">
        <v>1098</v>
      </c>
      <c r="B997" s="0" t="s">
        <v>98</v>
      </c>
      <c r="E997" s="6" t="n">
        <f aca="false">Q!M38-Sens!E915</f>
        <v>22.2285940229167</v>
      </c>
      <c r="F997" s="6" t="n">
        <f aca="false">Sens!E997*(1-1/life_nonai)+(Sens!F1005+Sens!F1006)/life_nonai</f>
        <v>23.6168450007293</v>
      </c>
      <c r="G997" s="6" t="n">
        <f aca="false">Sens!F997*(1-1/life_nonai)+(Sens!G1005)/life_nonai</f>
        <v>25.4345719377656</v>
      </c>
      <c r="H997" s="6" t="n">
        <f aca="false">Sens!G997*(1-1/life_nonai)+(Sens!H1005)/life_nonai</f>
        <v>27.6475274688719</v>
      </c>
      <c r="I997" s="6" t="n">
        <f aca="false">Sens!H997*(1-1/life_nonai)+(Sens!I1005)/life_nonai</f>
        <v>30.1886240787705</v>
      </c>
      <c r="J997" s="6" t="n">
        <f aca="false">Sens!I997*(1-1/life_nonai)+(Sens!J1005)/life_nonai</f>
        <v>32.9735560385483</v>
      </c>
      <c r="K997" s="6" t="n">
        <f aca="false">Sens!J997*(1-1/life_nonai)+(Sens!K1005)/life_nonai</f>
        <v>35.916728860328</v>
      </c>
      <c r="L997" s="12" t="s">
        <v>1099</v>
      </c>
    </row>
    <row r="998" customFormat="false" ht="17.15" hidden="false" customHeight="false" outlineLevel="0" collapsed="false">
      <c r="A998" s="1" t="s">
        <v>1100</v>
      </c>
      <c r="B998" s="0" t="s">
        <v>98</v>
      </c>
      <c r="F998" s="6" t="n">
        <f aca="false">Sens!$F$1006/life_nonai*(1-1/life_nonai)^(Sens!F878-2027)</f>
        <v>0</v>
      </c>
      <c r="G998" s="6" t="n">
        <f aca="false">Sens!$F$1006/life_nonai*(1-1/life_nonai)^(Sens!G878-2027)</f>
        <v>0</v>
      </c>
      <c r="H998" s="6" t="n">
        <f aca="false">Sens!$F$1006/life_nonai*(1-1/life_nonai)^(Sens!H878-2027)</f>
        <v>0</v>
      </c>
      <c r="I998" s="6" t="n">
        <f aca="false">Sens!$F$1006/life_nonai*(1-1/life_nonai)^(Sens!I878-2027)</f>
        <v>0</v>
      </c>
      <c r="J998" s="6" t="n">
        <f aca="false">Sens!$F$1006/life_nonai*(1-1/life_nonai)^(Sens!J878-2027)</f>
        <v>0</v>
      </c>
      <c r="K998" s="6" t="n">
        <f aca="false">Sens!$F$1006/life_nonai*(1-1/life_nonai)^(Sens!K878-2027)</f>
        <v>0</v>
      </c>
      <c r="L998" s="1" t="s">
        <v>1101</v>
      </c>
    </row>
    <row r="999" customFormat="false" ht="17.15" hidden="false" customHeight="false" outlineLevel="0" collapsed="false">
      <c r="A999" s="1" t="s">
        <v>1102</v>
      </c>
      <c r="B999" s="0" t="s">
        <v>98</v>
      </c>
      <c r="E999" s="6" t="n">
        <f aca="false">Sens!E915+Sens!E997</f>
        <v>38.534</v>
      </c>
      <c r="F999" s="6" t="n">
        <f aca="false">Sens!F915+Sens!F997</f>
        <v>58.196159479081</v>
      </c>
      <c r="G999" s="6" t="n">
        <f aca="false">Sens!G915+Sens!G997</f>
        <v>86.1690625900645</v>
      </c>
      <c r="H999" s="6" t="n">
        <f aca="false">Sens!H915+Sens!H997</f>
        <v>116.747618130318</v>
      </c>
      <c r="I999" s="6" t="n">
        <f aca="false">Sens!I915+Sens!I997</f>
        <v>144.419633773319</v>
      </c>
      <c r="J999" s="6" t="n">
        <f aca="false">Sens!J915+Sens!J997</f>
        <v>164.989229088144</v>
      </c>
      <c r="K999" s="6" t="n">
        <f aca="false">Sens!K915+Sens!K997</f>
        <v>178.929398411262</v>
      </c>
    </row>
    <row r="1000" customFormat="false" ht="17.15" hidden="false" customHeight="false" outlineLevel="0" collapsed="false">
      <c r="A1000" s="1" t="s">
        <v>1103</v>
      </c>
      <c r="B1000" s="0" t="s">
        <v>98</v>
      </c>
      <c r="F1000" s="6" t="n">
        <f aca="false">Sens!F942*sbc_r</f>
        <v>14.6750565258887</v>
      </c>
      <c r="G1000" s="6" t="n">
        <f aca="false">Sens!G942*sbc_r</f>
        <v>17.3811614564841</v>
      </c>
      <c r="H1000" s="6" t="n">
        <f aca="false">Sens!H942*sbc_r</f>
        <v>20.1497915599145</v>
      </c>
      <c r="I1000" s="6" t="n">
        <f aca="false">Sens!I942*sbc_r</f>
        <v>22.7014305735548</v>
      </c>
      <c r="J1000" s="6" t="n">
        <f aca="false">Sens!J942*sbc_r</f>
        <v>24.8142904918671</v>
      </c>
      <c r="K1000" s="6" t="n">
        <f aca="false">Sens!K942*sbc_r</f>
        <v>26.5343847770851</v>
      </c>
    </row>
    <row r="1001" customFormat="false" ht="17.15" hidden="false" customHeight="false" outlineLevel="0" collapsed="false">
      <c r="A1001" s="1" t="s">
        <v>1104</v>
      </c>
      <c r="B1001" s="0" t="s">
        <v>98</v>
      </c>
      <c r="F1001" s="6" t="n">
        <f aca="false">wc27-wc26q1</f>
        <v>-4.677</v>
      </c>
      <c r="G1001" s="6" t="n">
        <f aca="false">wc_f</f>
        <v>0</v>
      </c>
      <c r="H1001" s="6" t="n">
        <f aca="false">wc_f</f>
        <v>0</v>
      </c>
      <c r="I1001" s="6" t="n">
        <f aca="false">wc_f</f>
        <v>0</v>
      </c>
      <c r="J1001" s="6" t="n">
        <f aca="false">wc_f</f>
        <v>0</v>
      </c>
      <c r="K1001" s="6" t="n">
        <f aca="false">wc_f</f>
        <v>0</v>
      </c>
      <c r="L1001" s="12" t="s">
        <v>1105</v>
      </c>
    </row>
    <row r="1002" customFormat="false" ht="17.15" hidden="false" customHeight="false" outlineLevel="0" collapsed="false">
      <c r="A1002" s="0" t="s">
        <v>1106</v>
      </c>
      <c r="B1002" s="0" t="s">
        <v>98</v>
      </c>
      <c r="F1002" s="6" t="n">
        <f aca="false">Q!$I$35-Q!$I$26-Q!$I$38-Q!$I$39</f>
        <v>6.493</v>
      </c>
      <c r="L1002" s="1" t="s">
        <v>1107</v>
      </c>
    </row>
    <row r="1003" customFormat="false" ht="15" hidden="false" customHeight="false" outlineLevel="0" collapsed="false">
      <c r="A1003" s="1" t="s">
        <v>904</v>
      </c>
      <c r="B1003" s="0" t="s">
        <v>98</v>
      </c>
      <c r="E1003" s="6" t="n">
        <f aca="false">Q!M35</f>
        <v>182.935</v>
      </c>
      <c r="F1003" s="6" t="n">
        <f aca="false">Sens!F996+Sens!F999+Sens!F1000+Sens!F1001+Sens!F1002</f>
        <v>214.362909493916</v>
      </c>
      <c r="G1003" s="6" t="n">
        <f aca="false">Sens!G996+Sens!G999+Sens!G1000+Sens!G1001</f>
        <v>250.386391389286</v>
      </c>
      <c r="H1003" s="6" t="n">
        <f aca="false">Sens!H996+Sens!H999+Sens!H1000+Sens!H1001</f>
        <v>295.397922378007</v>
      </c>
      <c r="I1003" s="6" t="n">
        <f aca="false">Sens!I996+Sens!I999+Sens!I1000+Sens!I1001</f>
        <v>337.127344841178</v>
      </c>
      <c r="J1003" s="6" t="n">
        <f aca="false">Sens!J996+Sens!J999+Sens!J1000+Sens!J1001</f>
        <v>371.574211655387</v>
      </c>
      <c r="K1003" s="6" t="n">
        <f aca="false">Sens!K996+Sens!K999+Sens!K1000+Sens!K1001</f>
        <v>399.576073609166</v>
      </c>
    </row>
    <row r="1004" customFormat="false" ht="17.15" hidden="false" customHeight="false" outlineLevel="0" collapsed="false">
      <c r="A1004" s="0" t="s">
        <v>1108</v>
      </c>
      <c r="B1004" s="0" t="s">
        <v>98</v>
      </c>
      <c r="F1004" s="6" t="n">
        <f aca="false">Sens!F912</f>
        <v>168.45390404212</v>
      </c>
      <c r="G1004" s="6" t="n">
        <f aca="false">Sens!G912</f>
        <v>191.944475649048</v>
      </c>
      <c r="H1004" s="6" t="n">
        <f aca="false">Sens!H912</f>
        <v>196.806004064512</v>
      </c>
      <c r="I1004" s="6" t="n">
        <f aca="false">Sens!I912</f>
        <v>168.61483362161</v>
      </c>
      <c r="J1004" s="6" t="n">
        <f aca="false">Sens!J912</f>
        <v>128.92993119594</v>
      </c>
      <c r="K1004" s="6" t="n">
        <f aca="false">Sens!K912</f>
        <v>118.962853064733</v>
      </c>
    </row>
    <row r="1005" customFormat="false" ht="17.15" hidden="false" customHeight="false" outlineLevel="0" collapsed="false">
      <c r="A1005" s="1" t="s">
        <v>1109</v>
      </c>
      <c r="B1005" s="0" t="s">
        <v>98</v>
      </c>
      <c r="E1005" s="6" t="n">
        <f aca="false">Sens!E920*cx_azo+Sens!E927*cx_m365+Sens!E928*cx_lic+(Sens!E930+Sens!E932)*cx_ind+Sens!E935*cx_srch+(Sens!E937+Sens!E939)*cx_dev</f>
        <v>30.1846587067718</v>
      </c>
      <c r="F1005" s="6" t="n">
        <f aca="false">Sens!F920*cx_azo+Sens!F927*cx_m365+Sens!F928*cx_lic+(Sens!F930+Sens!F932)*cx_ind+Sens!F935*cx_srch+(Sens!F937+Sens!F939)*cx_dev</f>
        <v>36.1111038010432</v>
      </c>
      <c r="G1005" s="6" t="n">
        <f aca="false">Sens!G920*cx_azo+Sens!G927*cx_m365+Sens!G928*cx_lic+(Sens!G930+Sens!G932)*cx_ind+Sens!G935*cx_srch+(Sens!G937+Sens!G939)*cx_dev</f>
        <v>41.794114371092</v>
      </c>
      <c r="H1005" s="6" t="n">
        <f aca="false">Sens!H920*cx_azo+Sens!H927*cx_m365+Sens!H928*cx_lic+(Sens!H930+Sens!H932)*cx_ind+Sens!H935*cx_srch+(Sens!H937+Sens!H939)*cx_dev</f>
        <v>47.5641272488289</v>
      </c>
      <c r="I1005" s="6" t="n">
        <f aca="false">Sens!I920*cx_azo+Sens!I927*cx_m365+Sens!I928*cx_lic+(Sens!I930+Sens!I932)*cx_ind+Sens!I935*cx_srch+(Sens!I937+Sens!I939)*cx_dev</f>
        <v>53.0584935678576</v>
      </c>
      <c r="J1005" s="6" t="n">
        <f aca="false">Sens!J920*cx_azo+Sens!J927*cx_m365+Sens!J928*cx_lic+(Sens!J930+Sens!J932)*cx_ind+Sens!J935*cx_srch+(Sens!J937+Sens!J939)*cx_dev</f>
        <v>58.0379436765484</v>
      </c>
      <c r="K1005" s="6" t="n">
        <f aca="false">Sens!K920*cx_azo+Sens!K927*cx_m365+Sens!K928*cx_lic+(Sens!K930+Sens!K932)*cx_ind+Sens!K935*cx_srch+(Sens!K937+Sens!K939)*cx_dev</f>
        <v>62.405284256345</v>
      </c>
    </row>
    <row r="1006" customFormat="false" ht="17.15" hidden="false" customHeight="false" outlineLevel="0" collapsed="false">
      <c r="A1006" s="0" t="s">
        <v>1110</v>
      </c>
      <c r="B1006" s="0" t="s">
        <v>98</v>
      </c>
      <c r="F1006" s="6" t="n">
        <f aca="false">Sens!F910</f>
        <v>0</v>
      </c>
      <c r="L1006" s="1" t="s">
        <v>1111</v>
      </c>
    </row>
    <row r="1007" customFormat="false" ht="17.15" hidden="false" customHeight="false" outlineLevel="0" collapsed="false">
      <c r="A1007" s="1" t="s">
        <v>1112</v>
      </c>
      <c r="B1007" s="0" t="s">
        <v>98</v>
      </c>
      <c r="E1007" s="6" t="n">
        <f aca="false">Q!M43</f>
        <v>145.3</v>
      </c>
      <c r="F1007" s="6" t="n">
        <f aca="false">Sens!F1004+Sens!F1005+Sens!F1006</f>
        <v>204.565007843163</v>
      </c>
      <c r="G1007" s="6" t="n">
        <f aca="false">Sens!G1004+Sens!G1005</f>
        <v>233.73859002014</v>
      </c>
      <c r="H1007" s="6" t="n">
        <f aca="false">Sens!H1004+Sens!H1005</f>
        <v>244.370131313341</v>
      </c>
      <c r="I1007" s="6" t="n">
        <f aca="false">Sens!I1004+Sens!I1005</f>
        <v>221.673327189468</v>
      </c>
      <c r="J1007" s="6" t="n">
        <f aca="false">Sens!J1004+Sens!J1005</f>
        <v>186.967874872489</v>
      </c>
      <c r="K1007" s="6" t="n">
        <f aca="false">Sens!K1004+Sens!K1005</f>
        <v>181.368137321078</v>
      </c>
      <c r="L1007" s="1" t="s">
        <v>1113</v>
      </c>
    </row>
    <row r="1008" customFormat="false" ht="15" hidden="false" customHeight="false" outlineLevel="0" collapsed="false">
      <c r="A1008" s="1" t="s">
        <v>1114</v>
      </c>
      <c r="B1008" s="0" t="s">
        <v>98</v>
      </c>
      <c r="E1008" s="6" t="n">
        <f aca="false">fl_liab</f>
        <v>66.594</v>
      </c>
      <c r="F1008" s="6" t="n">
        <f aca="false">Sens!E1008-Sens!F1009</f>
        <v>62.46973</v>
      </c>
      <c r="G1008" s="6" t="n">
        <f aca="false">Sens!F1008-Sens!G1009</f>
        <v>57.98686785</v>
      </c>
      <c r="H1008" s="6" t="n">
        <f aca="false">Sens!G1008-Sens!H1009</f>
        <v>53.92827690325</v>
      </c>
      <c r="I1008" s="6" t="n">
        <f aca="false">Sens!H1008-Sens!I1009</f>
        <v>49.7850493638962</v>
      </c>
      <c r="J1008" s="6" t="n">
        <f aca="false">Sens!I1008-Sens!J1009</f>
        <v>45.4823765852716</v>
      </c>
      <c r="K1008" s="6" t="n">
        <f aca="false">Sens!J1008-Sens!K1009</f>
        <v>40.9860835316088</v>
      </c>
    </row>
    <row r="1009" customFormat="false" ht="15" hidden="false" customHeight="false" outlineLevel="0" collapsed="false">
      <c r="A1009" s="1" t="s">
        <v>1115</v>
      </c>
      <c r="B1009" s="0" t="s">
        <v>98</v>
      </c>
      <c r="F1009" s="6" t="n">
        <f aca="false">fl_pay_27-Sens!E1008*fl_rate</f>
        <v>4.12427</v>
      </c>
      <c r="G1009" s="6" t="n">
        <f aca="false">fl_pay_28-Sens!F1008*fl_rate</f>
        <v>4.48286215</v>
      </c>
      <c r="H1009" s="6" t="n">
        <f aca="false">fl_pay_29-Sens!G1008*fl_rate</f>
        <v>4.05859094675</v>
      </c>
      <c r="I1009" s="6" t="n">
        <f aca="false">fl_pay_30-Sens!H1008*fl_rate</f>
        <v>4.14322753935375</v>
      </c>
      <c r="J1009" s="6" t="n">
        <f aca="false">fl_pay_31-Sens!I1008*fl_rate</f>
        <v>4.30267277862467</v>
      </c>
      <c r="K1009" s="6" t="n">
        <f aca="false">fl_pay_32-Sens!J1008*fl_rate</f>
        <v>4.49629305366278</v>
      </c>
    </row>
    <row r="1010" customFormat="false" ht="17.15" hidden="false" customHeight="false" outlineLevel="0" collapsed="false">
      <c r="A1010" s="1" t="s">
        <v>1116</v>
      </c>
      <c r="B1010" s="0" t="s">
        <v>98</v>
      </c>
      <c r="E1010" s="6" t="n">
        <f aca="false">Q!M35-Q!M36-Q!M44</f>
        <v>63.886</v>
      </c>
      <c r="F1010" s="6" t="n">
        <f aca="false">Sens!F1003-Sens!F1007-Sens!F1009</f>
        <v>5.67363165075332</v>
      </c>
      <c r="G1010" s="6" t="n">
        <f aca="false">Sens!G1003-Sens!G1007-Sens!G1009</f>
        <v>12.1649392191461</v>
      </c>
      <c r="H1010" s="6" t="n">
        <f aca="false">Sens!H1003-Sens!H1007-Sens!H1009</f>
        <v>46.969200117916</v>
      </c>
      <c r="I1010" s="6" t="n">
        <f aca="false">Sens!I1003-Sens!I1007-Sens!I1009</f>
        <v>111.310790112356</v>
      </c>
      <c r="J1010" s="6" t="n">
        <f aca="false">Sens!J1003-Sens!J1007-Sens!J1009</f>
        <v>180.303664004274</v>
      </c>
      <c r="K1010" s="6" t="n">
        <f aca="false">Sens!K1003-Sens!K1007-Sens!K1009</f>
        <v>213.711643234425</v>
      </c>
      <c r="L1010" s="12" t="s">
        <v>1117</v>
      </c>
    </row>
    <row r="1011" customFormat="false" ht="15" hidden="false" customHeight="false" outlineLevel="0" collapsed="false">
      <c r="A1011" s="1" t="s">
        <v>1118</v>
      </c>
      <c r="B1011" s="0" t="s">
        <v>75</v>
      </c>
      <c r="F1011" s="8" t="n">
        <f aca="false">dps_27</f>
        <v>3.85</v>
      </c>
      <c r="G1011" s="8" t="n">
        <f aca="false">Sens!F1011*(1+dps_g)</f>
        <v>4.158</v>
      </c>
      <c r="H1011" s="8" t="n">
        <f aca="false">Sens!G1011*(1+dps_g)</f>
        <v>4.49064</v>
      </c>
      <c r="I1011" s="8" t="n">
        <f aca="false">Sens!H1011*(1+dps_g)</f>
        <v>4.8498912</v>
      </c>
      <c r="J1011" s="8" t="n">
        <f aca="false">Sens!I1011*(1+dps_g)</f>
        <v>5.237882496</v>
      </c>
      <c r="K1011" s="8" t="n">
        <f aca="false">Sens!J1011*(1+dps_g)</f>
        <v>5.65691309568</v>
      </c>
    </row>
    <row r="1012" customFormat="false" ht="17.15" hidden="false" customHeight="false" outlineLevel="0" collapsed="false">
      <c r="A1012" s="1" t="s">
        <v>1119</v>
      </c>
      <c r="B1012" s="0" t="s">
        <v>98</v>
      </c>
      <c r="E1012" s="6" t="n">
        <f aca="false">Q!M41</f>
        <v>26.445</v>
      </c>
      <c r="F1012" s="6" t="n">
        <f aca="false">Sens!F1011*Sens!E1021</f>
        <v>28.59395</v>
      </c>
      <c r="G1012" s="6" t="n">
        <f aca="false">Sens!G1011*Sens!F1021</f>
        <v>31.068576</v>
      </c>
      <c r="H1012" s="6" t="n">
        <f aca="false">Sens!H1011*Sens!G1021</f>
        <v>33.75614088</v>
      </c>
      <c r="I1012" s="6" t="n">
        <f aca="false">Sens!I1011*Sens!H1021</f>
        <v>36.5903969848101</v>
      </c>
      <c r="J1012" s="6" t="n">
        <f aca="false">Sens!J1011*Sens!I1021</f>
        <v>39.5855266289876</v>
      </c>
      <c r="K1012" s="6" t="n">
        <f aca="false">Sens!K1011*Sens!J1021</f>
        <v>42.8391230216848</v>
      </c>
      <c r="L1012" s="1" t="s">
        <v>1120</v>
      </c>
    </row>
    <row r="1013" customFormat="false" ht="15" hidden="false" customHeight="false" outlineLevel="0" collapsed="false">
      <c r="A1013" s="1" t="s">
        <v>1121</v>
      </c>
      <c r="B1013" s="0" t="s">
        <v>98</v>
      </c>
      <c r="E1013" s="6" t="n">
        <f aca="false">Sens!E1010-Sens!E1012</f>
        <v>37.441</v>
      </c>
      <c r="F1013" s="6" t="n">
        <f aca="false">Sens!F1010-Sens!F1012</f>
        <v>-22.9203183492467</v>
      </c>
      <c r="G1013" s="6" t="n">
        <f aca="false">Sens!G1010-Sens!G1012</f>
        <v>-18.9036367808539</v>
      </c>
      <c r="H1013" s="6" t="n">
        <f aca="false">Sens!H1010-Sens!H1012</f>
        <v>13.213059237916</v>
      </c>
      <c r="I1013" s="6" t="n">
        <f aca="false">Sens!I1010-Sens!I1012</f>
        <v>74.7203931275463</v>
      </c>
      <c r="J1013" s="6" t="n">
        <f aca="false">Sens!J1010-Sens!J1012</f>
        <v>140.718137375286</v>
      </c>
      <c r="K1013" s="6" t="n">
        <f aca="false">Sens!K1010-Sens!K1012</f>
        <v>170.872520212741</v>
      </c>
    </row>
    <row r="1014" customFormat="false" ht="15" hidden="false" customHeight="false" outlineLevel="0" collapsed="false">
      <c r="A1014" s="1" t="s">
        <v>1122</v>
      </c>
      <c r="B1014" s="0" t="s">
        <v>98</v>
      </c>
      <c r="F1014" s="6" t="n">
        <f aca="false">debt_mat_27</f>
        <v>9.25</v>
      </c>
      <c r="G1014" s="6" t="n">
        <f aca="false">debt_mat_28</f>
        <v>0</v>
      </c>
      <c r="H1014" s="6" t="n">
        <f aca="false">debt_mat_29</f>
        <v>2.001</v>
      </c>
      <c r="I1014" s="6" t="n">
        <f aca="false">debt_mat_30</f>
        <v>0</v>
      </c>
      <c r="J1014" s="6" t="n">
        <f aca="false">debt_mat_31</f>
        <v>0.5</v>
      </c>
      <c r="K1014" s="6" t="n">
        <f aca="false">debt_mat_32</f>
        <v>0</v>
      </c>
    </row>
    <row r="1015" customFormat="false" ht="15" hidden="false" customHeight="false" outlineLevel="0" collapsed="false">
      <c r="A1015" s="1" t="s">
        <v>1123</v>
      </c>
      <c r="B1015" s="0" t="s">
        <v>98</v>
      </c>
      <c r="E1015" s="6" t="n">
        <f aca="false">Q!M40</f>
        <v>22.271</v>
      </c>
      <c r="F1015" s="6" t="n">
        <f aca="false">MAX(0,MIN(bb_target,Sens!E1017+Sens!F1013-Sens!F1014-min_cash))</f>
        <v>0</v>
      </c>
      <c r="G1015" s="6" t="n">
        <f aca="false">MAX(0,MIN(bb_target,Sens!F1017+Sens!G1013-Sens!G1014-min_cash))</f>
        <v>0</v>
      </c>
      <c r="H1015" s="6" t="n">
        <f aca="false">MAX(0,MIN(bb_target,Sens!G1017+Sens!H1013-Sens!H1014-min_cash))</f>
        <v>11.212059237916</v>
      </c>
      <c r="I1015" s="6" t="n">
        <f aca="false">MAX(0,MIN(bb_target,Sens!H1017+Sens!I1013-Sens!I1014-min_cash))</f>
        <v>22.271</v>
      </c>
      <c r="J1015" s="6" t="n">
        <f aca="false">MAX(0,MIN(bb_target,Sens!I1017+Sens!J1013-Sens!J1014-min_cash))</f>
        <v>22.271</v>
      </c>
      <c r="K1015" s="6" t="n">
        <f aca="false">MAX(0,MIN(bb_target,Sens!J1017+Sens!K1013-Sens!K1014-min_cash))</f>
        <v>22.271</v>
      </c>
    </row>
    <row r="1016" customFormat="false" ht="15" hidden="false" customHeight="false" outlineLevel="0" collapsed="false">
      <c r="A1016" s="1" t="s">
        <v>1124</v>
      </c>
      <c r="B1016" s="0" t="s">
        <v>98</v>
      </c>
      <c r="F1016" s="6" t="n">
        <f aca="false">MAX(0,min_cash-(Sens!E1017+Sens!F1013-Sens!F1014-Sens!F1015))</f>
        <v>5.32731834924668</v>
      </c>
      <c r="G1016" s="6" t="n">
        <f aca="false">MAX(0,min_cash-(Sens!F1017+Sens!G1013-Sens!G1014-Sens!G1015))</f>
        <v>18.9036367808539</v>
      </c>
      <c r="H1016" s="6" t="n">
        <f aca="false">MAX(0,min_cash-(Sens!G1017+Sens!H1013-Sens!H1014-Sens!H1015))</f>
        <v>0</v>
      </c>
      <c r="I1016" s="6" t="n">
        <f aca="false">MAX(0,min_cash-(Sens!H1017+Sens!I1013-Sens!I1014-Sens!I1015))</f>
        <v>0</v>
      </c>
      <c r="J1016" s="6" t="n">
        <f aca="false">MAX(0,min_cash-(Sens!I1017+Sens!J1013-Sens!J1014-Sens!J1015))</f>
        <v>0</v>
      </c>
      <c r="K1016" s="6" t="n">
        <f aca="false">MAX(0,min_cash-(Sens!J1017+Sens!K1013-Sens!K1014-Sens!K1015))</f>
        <v>0</v>
      </c>
    </row>
    <row r="1017" customFormat="false" ht="15" hidden="false" customHeight="false" outlineLevel="0" collapsed="false">
      <c r="A1017" s="1" t="s">
        <v>1125</v>
      </c>
      <c r="B1017" s="0" t="s">
        <v>98</v>
      </c>
      <c r="E1017" s="6" t="n">
        <f aca="false">cash_open</f>
        <v>76.843</v>
      </c>
      <c r="F1017" s="6" t="n">
        <f aca="false">Sens!E1017+Sens!F1013-Sens!F1014-Sens!F1015+Sens!F1016</f>
        <v>50</v>
      </c>
      <c r="G1017" s="6" t="n">
        <f aca="false">Sens!F1017+Sens!G1013-Sens!G1014-Sens!G1015+Sens!G1016</f>
        <v>50</v>
      </c>
      <c r="H1017" s="6" t="n">
        <f aca="false">Sens!G1017+Sens!H1013-Sens!H1014-Sens!H1015+Sens!H1016</f>
        <v>50</v>
      </c>
      <c r="I1017" s="6" t="n">
        <f aca="false">Sens!H1017+Sens!I1013-Sens!I1014-Sens!I1015+Sens!I1016</f>
        <v>102.449393127546</v>
      </c>
      <c r="J1017" s="6" t="n">
        <f aca="false">Sens!I1017+Sens!J1013-Sens!J1014-Sens!J1015+Sens!J1016</f>
        <v>220.396530502833</v>
      </c>
      <c r="K1017" s="6" t="n">
        <f aca="false">Sens!J1017+Sens!K1013-Sens!K1014-Sens!K1015+Sens!K1016</f>
        <v>368.998050715573</v>
      </c>
    </row>
    <row r="1018" customFormat="false" ht="15" hidden="false" customHeight="false" outlineLevel="0" collapsed="false">
      <c r="A1018" s="1" t="s">
        <v>1126</v>
      </c>
      <c r="B1018" s="0" t="s">
        <v>98</v>
      </c>
      <c r="E1018" s="6" t="n">
        <f aca="false">debt_face</f>
        <v>46.136</v>
      </c>
      <c r="F1018" s="6" t="n">
        <f aca="false">Sens!E1018-Sens!F1014+Sens!F1016</f>
        <v>42.2133183492467</v>
      </c>
      <c r="G1018" s="6" t="n">
        <f aca="false">Sens!F1018-Sens!G1014+Sens!G1016</f>
        <v>61.1169551301006</v>
      </c>
      <c r="H1018" s="6" t="n">
        <f aca="false">Sens!G1018-Sens!H1014+Sens!H1016</f>
        <v>59.1159551301006</v>
      </c>
      <c r="I1018" s="6" t="n">
        <f aca="false">Sens!H1018-Sens!I1014+Sens!I1016</f>
        <v>59.1159551301006</v>
      </c>
      <c r="J1018" s="6" t="n">
        <f aca="false">Sens!I1018-Sens!J1014+Sens!J1016</f>
        <v>58.6159551301006</v>
      </c>
      <c r="K1018" s="6" t="n">
        <f aca="false">Sens!J1018-Sens!K1014+Sens!K1016</f>
        <v>58.6159551301006</v>
      </c>
    </row>
    <row r="1019" customFormat="false" ht="15" hidden="false" customHeight="false" outlineLevel="0" collapsed="false">
      <c r="A1019" s="1" t="s">
        <v>1127</v>
      </c>
      <c r="B1019" s="0" t="s">
        <v>98</v>
      </c>
      <c r="E1019" s="6" t="n">
        <f aca="false">Sens!E1017-Sens!E1018</f>
        <v>30.707</v>
      </c>
      <c r="F1019" s="6" t="n">
        <f aca="false">Sens!F1017-Sens!F1018</f>
        <v>7.78668165075332</v>
      </c>
      <c r="G1019" s="6" t="n">
        <f aca="false">Sens!G1017-Sens!G1018</f>
        <v>-11.1169551301006</v>
      </c>
      <c r="H1019" s="6" t="n">
        <f aca="false">Sens!H1017-Sens!H1018</f>
        <v>-9.1159551301006</v>
      </c>
      <c r="I1019" s="6" t="n">
        <f aca="false">Sens!I1017-Sens!I1018</f>
        <v>43.3334379974457</v>
      </c>
      <c r="J1019" s="6" t="n">
        <f aca="false">Sens!J1017-Sens!J1018</f>
        <v>161.780575372732</v>
      </c>
      <c r="K1019" s="6" t="n">
        <f aca="false">Sens!K1017-Sens!K1018</f>
        <v>310.382095585473</v>
      </c>
    </row>
    <row r="1020" customFormat="false" ht="15" hidden="false" customHeight="false" outlineLevel="0" collapsed="false">
      <c r="A1020" s="1" t="s">
        <v>1128</v>
      </c>
      <c r="B1020" s="0" t="s">
        <v>75</v>
      </c>
      <c r="F1020" s="30" t="n">
        <f aca="false">px*(1+bb_g)^(Sens!F878-base_fy-mid_yr)</f>
        <v>551.84177959629</v>
      </c>
      <c r="G1020" s="30" t="n">
        <f aca="false">px*(1+bb_g)^(Sens!G878-base_fy-mid_yr)</f>
        <v>595.989121963993</v>
      </c>
      <c r="H1020" s="30" t="n">
        <f aca="false">px*(1+bb_g)^(Sens!H878-base_fy-mid_yr)</f>
        <v>643.668251721112</v>
      </c>
      <c r="I1020" s="30" t="n">
        <f aca="false">px*(1+bb_g)^(Sens!I878-base_fy-mid_yr)</f>
        <v>695.161711858801</v>
      </c>
      <c r="J1020" s="30" t="n">
        <f aca="false">px*(1+bb_g)^(Sens!J878-base_fy-mid_yr)</f>
        <v>750.774648807506</v>
      </c>
      <c r="K1020" s="30" t="n">
        <f aca="false">px*(1+bb_g)^(Sens!K878-base_fy-mid_yr)</f>
        <v>810.836620712106</v>
      </c>
    </row>
    <row r="1021" customFormat="false" ht="15" hidden="false" customHeight="false" outlineLevel="0" collapsed="false">
      <c r="A1021" s="1" t="s">
        <v>1129</v>
      </c>
      <c r="B1021" s="1" t="s">
        <v>81</v>
      </c>
      <c r="E1021" s="15" t="n">
        <f aca="false">sh_out26</f>
        <v>7.427</v>
      </c>
      <c r="F1021" s="15" t="n">
        <f aca="false">Sens!E1021+sh_iss-Sens!F1015/Sens!F1020</f>
        <v>7.472</v>
      </c>
      <c r="G1021" s="15" t="n">
        <f aca="false">Sens!F1021+sh_iss-Sens!G1015/Sens!G1020</f>
        <v>7.517</v>
      </c>
      <c r="H1021" s="15" t="n">
        <f aca="false">Sens!G1021+sh_iss-Sens!H1015/Sens!H1020</f>
        <v>7.54458099695311</v>
      </c>
      <c r="I1021" s="15" t="n">
        <f aca="false">Sens!H1021+sh_iss-Sens!I1015/Sens!I1020</f>
        <v>7.55754384700645</v>
      </c>
      <c r="J1021" s="15" t="n">
        <f aca="false">Sens!I1021+sh_iss-Sens!J1015/Sens!J1020</f>
        <v>7.57287981927805</v>
      </c>
      <c r="K1021" s="15" t="n">
        <f aca="false">Sens!J1021+sh_iss-Sens!K1015/Sens!K1020</f>
        <v>7.59041312693695</v>
      </c>
    </row>
    <row r="1022" customFormat="false" ht="15" hidden="false" customHeight="false" outlineLevel="0" collapsed="false">
      <c r="A1022" s="1" t="s">
        <v>1130</v>
      </c>
      <c r="B1022" s="1" t="s">
        <v>81</v>
      </c>
      <c r="E1022" s="15" t="n">
        <f aca="false">sh_dil26</f>
        <v>7.453</v>
      </c>
      <c r="F1022" s="15" t="n">
        <f aca="false">(Sens!E1021+Sens!F1021)/2+dil_gap</f>
        <v>7.4735</v>
      </c>
      <c r="G1022" s="15" t="n">
        <f aca="false">(Sens!F1021+Sens!G1021)/2+dil_gap</f>
        <v>7.5185</v>
      </c>
      <c r="H1022" s="15" t="n">
        <f aca="false">(Sens!G1021+Sens!H1021)/2+dil_gap</f>
        <v>7.55479049847656</v>
      </c>
      <c r="I1022" s="15" t="n">
        <f aca="false">(Sens!H1021+Sens!I1021)/2+dil_gap</f>
        <v>7.57506242197978</v>
      </c>
      <c r="J1022" s="15" t="n">
        <f aca="false">(Sens!I1021+Sens!J1021)/2+dil_gap</f>
        <v>7.58921183314225</v>
      </c>
      <c r="K1022" s="15" t="n">
        <f aca="false">(Sens!J1021+Sens!K1021)/2+dil_gap</f>
        <v>7.6056464731075</v>
      </c>
    </row>
    <row r="1023" customFormat="false" ht="17.15" hidden="false" customHeight="false" outlineLevel="0" collapsed="false">
      <c r="A1023" s="1" t="s">
        <v>1131</v>
      </c>
      <c r="B1023" s="0" t="s">
        <v>98</v>
      </c>
      <c r="C1023" s="6" t="n">
        <f aca="false">SUM(Sens!F1013:J1013)</f>
        <v>186.827634610648</v>
      </c>
    </row>
    <row r="1024" customFormat="false" ht="15" hidden="false" customHeight="false" outlineLevel="0" collapsed="false">
      <c r="A1024" s="26" t="s">
        <v>1096</v>
      </c>
      <c r="B1024" s="31" t="s">
        <v>98</v>
      </c>
      <c r="C1024" s="27" t="n">
        <f aca="false">Sens!$C$1023-(Sens!F1013+Sens!G1013+Sens!H1013+Sens!I1013+Sens!J1013)</f>
        <v>0</v>
      </c>
      <c r="D1024" s="31"/>
      <c r="E1024" s="31"/>
      <c r="F1024" s="31"/>
      <c r="G1024" s="31"/>
      <c r="H1024" s="31"/>
      <c r="I1024" s="31"/>
      <c r="J1024" s="31"/>
      <c r="K1024" s="31"/>
    </row>
    <row r="1025" customFormat="false" ht="17.15" hidden="false" customHeight="false" outlineLevel="0" collapsed="false">
      <c r="A1025" s="1" t="s">
        <v>1090</v>
      </c>
      <c r="B1025" s="1" t="s">
        <v>1132</v>
      </c>
      <c r="C1025" s="33" t="str">
        <f aca="false">IF(SUM(Sens!F1016:J1016)&gt;0.05,"需要舉債 "&amp;TEXT(SUM(Sens!F1016:J1016),"0.0")&amp;" 十億美元","不需舉債")&amp;"；"&amp;IF(SUM(Sens!F1015:J1015)&lt;COUNT(Sens!F1015:J1015)*bb_target-0.05,"回購較每年 "&amp;TEXT(bb_target,"0.0")&amp;" 的目標少 "&amp;TEXT(COUNT(Sens!F1015:J1015)*bb_target-SUM(Sens!F1015:J1015),"0.0")&amp;" 十億美元（"&amp;TEXT(COUNTIF(Sens!F1015:J1015,"&lt;"&amp;(bb_target-0.05)),"0")&amp;" 年減少）","回購不減")</f>
        <v>需要舉債 24.2 十億美元；回購較每年 22.3 的目標少 55.6 十億美元（3 年減少）</v>
      </c>
    </row>
    <row r="1026" customFormat="false" ht="17.15" hidden="false" customHeight="false" outlineLevel="0" collapsed="false">
      <c r="A1026" s="3" t="s">
        <v>1504</v>
      </c>
    </row>
    <row r="1027" customFormat="false" ht="15" hidden="false" customHeight="false" outlineLevel="0" collapsed="false">
      <c r="A1027" s="4" t="s">
        <v>43</v>
      </c>
      <c r="B1027" s="4" t="s">
        <v>65</v>
      </c>
      <c r="C1027" s="23" t="s">
        <v>938</v>
      </c>
      <c r="D1027" s="23" t="s">
        <v>939</v>
      </c>
      <c r="E1027" s="23" t="s">
        <v>940</v>
      </c>
      <c r="F1027" s="23" t="s">
        <v>941</v>
      </c>
      <c r="G1027" s="23" t="s">
        <v>942</v>
      </c>
      <c r="H1027" s="23" t="s">
        <v>943</v>
      </c>
      <c r="I1027" s="23" t="s">
        <v>944</v>
      </c>
      <c r="J1027" s="23" t="s">
        <v>945</v>
      </c>
      <c r="K1027" s="23" t="s">
        <v>946</v>
      </c>
      <c r="L1027" s="4" t="s">
        <v>47</v>
      </c>
    </row>
    <row r="1028" customFormat="false" ht="17.15" hidden="false" customHeight="false" outlineLevel="0" collapsed="false">
      <c r="A1028" s="1" t="s">
        <v>1212</v>
      </c>
      <c r="B1028" s="1" t="s">
        <v>279</v>
      </c>
      <c r="F1028" s="8" t="n">
        <f aca="false">(1-v_off)*mid_yr</f>
        <v>0.373972602739726</v>
      </c>
      <c r="G1028" s="8" t="n">
        <f aca="false">Sens!G878-base_fy-mid_yr-v_off</f>
        <v>1.24794520547945</v>
      </c>
      <c r="H1028" s="8" t="n">
        <f aca="false">Sens!H878-base_fy-mid_yr-v_off</f>
        <v>2.24794520547945</v>
      </c>
      <c r="I1028" s="8" t="n">
        <f aca="false">Sens!I878-base_fy-mid_yr-v_off</f>
        <v>3.24794520547945</v>
      </c>
      <c r="J1028" s="8" t="n">
        <f aca="false">Sens!J878-base_fy-mid_yr-v_off</f>
        <v>4.24794520547945</v>
      </c>
      <c r="K1028" s="8" t="n">
        <f aca="false">Sens!K878-base_fy-mid_yr-v_off</f>
        <v>5.24794520547945</v>
      </c>
      <c r="L1028" s="12" t="s">
        <v>1213</v>
      </c>
    </row>
    <row r="1029" customFormat="false" ht="15" hidden="false" customHeight="false" outlineLevel="0" collapsed="false">
      <c r="A1029" s="1" t="s">
        <v>1214</v>
      </c>
      <c r="B1029" s="1" t="s">
        <v>279</v>
      </c>
      <c r="F1029" s="8" t="n">
        <f aca="false">Sens!F878-base_fy-v_off</f>
        <v>0.747945205479452</v>
      </c>
      <c r="G1029" s="8" t="n">
        <f aca="false">Sens!G878-base_fy-v_off</f>
        <v>1.74794520547945</v>
      </c>
      <c r="H1029" s="8" t="n">
        <f aca="false">Sens!H878-base_fy-v_off</f>
        <v>2.74794520547945</v>
      </c>
      <c r="I1029" s="8" t="n">
        <f aca="false">Sens!I878-base_fy-v_off</f>
        <v>3.74794520547945</v>
      </c>
      <c r="J1029" s="8" t="n">
        <f aca="false">Sens!J878-base_fy-v_off</f>
        <v>4.74794520547945</v>
      </c>
      <c r="K1029" s="8" t="n">
        <f aca="false">Sens!K878-base_fy-v_off</f>
        <v>5.74794520547945</v>
      </c>
    </row>
    <row r="1030" customFormat="false" ht="15" hidden="false" customHeight="false" outlineLevel="0" collapsed="false">
      <c r="A1030" s="1" t="s">
        <v>1215</v>
      </c>
      <c r="B1030" s="0" t="s">
        <v>229</v>
      </c>
      <c r="F1030" s="15" t="n">
        <f aca="false">1/(1+wacc)^Sens!F1028</f>
        <v>0.964022703286649</v>
      </c>
      <c r="G1030" s="15" t="n">
        <f aca="false">1/(1+wacc)^Sens!G1028</f>
        <v>0.884910302296739</v>
      </c>
      <c r="H1030" s="15" t="n">
        <f aca="false">1/(1+wacc)^Sens!H1028</f>
        <v>0.802322009770358</v>
      </c>
      <c r="I1030" s="15" t="n">
        <f aca="false">1/(1+wacc)^Sens!I1028</f>
        <v>0.727441646561469</v>
      </c>
      <c r="J1030" s="15" t="n">
        <f aca="false">1/(1+wacc)^Sens!J1028</f>
        <v>0.659549834988973</v>
      </c>
      <c r="K1030" s="15" t="n">
        <f aca="false">1/(1+wacc)^Sens!K1028</f>
        <v>0.597994336576966</v>
      </c>
    </row>
    <row r="1031" customFormat="false" ht="17.15" hidden="false" customHeight="false" outlineLevel="0" collapsed="false">
      <c r="A1031" s="1" t="s">
        <v>1216</v>
      </c>
      <c r="B1031" s="0" t="s">
        <v>98</v>
      </c>
      <c r="F1031" s="6" t="n">
        <f aca="false">Q!$I$35-Q!$I$39-Q!$I$43</f>
        <v>9.666</v>
      </c>
      <c r="L1031" s="12" t="s">
        <v>1217</v>
      </c>
    </row>
    <row r="1032" customFormat="false" ht="17.15" hidden="false" customHeight="false" outlineLevel="0" collapsed="false">
      <c r="A1032" s="1" t="s">
        <v>1218</v>
      </c>
      <c r="B1032" s="0" t="s">
        <v>98</v>
      </c>
      <c r="F1032" s="6" t="n">
        <f aca="false">Sens!F1003-Sens!F1000-Sens!F1007+Sens!F985*(1-tax_f)*(1-v_off)-Sens!F1031</f>
        <v>-8.71525991260395</v>
      </c>
      <c r="G1032" s="6" t="n">
        <f aca="false">Sens!G1003-Sens!G1000-Sens!G1007+Sens!G985*(1-tax_f)</f>
        <v>19.4869107894457</v>
      </c>
      <c r="H1032" s="6" t="n">
        <f aca="false">Sens!H1003-Sens!H1000-Sens!H1007+Sens!H985*(1-tax_f)</f>
        <v>64.7052198005873</v>
      </c>
      <c r="I1032" s="6" t="n">
        <f aca="false">Sens!I1003-Sens!I1000-Sens!I1007+Sens!I985*(1-tax_f)</f>
        <v>138.91654199142</v>
      </c>
      <c r="J1032" s="6" t="n">
        <f aca="false">Sens!J1003-Sens!J1000-Sens!J1007+Sens!J985*(1-tax_f)</f>
        <v>214.578327963688</v>
      </c>
      <c r="K1032" s="6" t="n">
        <f aca="false">Sens!K1003-Sens!K1000-Sens!K1007+Sens!K985*(1-tax_f)</f>
        <v>251.161421506463</v>
      </c>
      <c r="L1032" s="1" t="s">
        <v>1219</v>
      </c>
    </row>
    <row r="1033" customFormat="false" ht="15" hidden="false" customHeight="false" outlineLevel="0" collapsed="false">
      <c r="A1033" s="1" t="s">
        <v>1220</v>
      </c>
      <c r="B1033" s="0" t="s">
        <v>98</v>
      </c>
      <c r="F1033" s="6" t="n">
        <f aca="false">Sens!F1032*Sens!F1030</f>
        <v>-8.40170842079422</v>
      </c>
      <c r="G1033" s="6" t="n">
        <f aca="false">Sens!G1032*Sens!G1030</f>
        <v>17.244168117518</v>
      </c>
      <c r="H1033" s="6" t="n">
        <f aca="false">Sens!H1032*Sens!H1030</f>
        <v>51.91442199304</v>
      </c>
      <c r="I1033" s="6" t="n">
        <f aca="false">Sens!I1032*Sens!I1030</f>
        <v>101.053678040864</v>
      </c>
      <c r="J1033" s="6" t="n">
        <f aca="false">Sens!J1032*Sens!J1030</f>
        <v>141.52510080066</v>
      </c>
      <c r="K1033" s="6" t="n">
        <f aca="false">Sens!K1032*Sens!K1030</f>
        <v>150.193107627485</v>
      </c>
    </row>
    <row r="1034" customFormat="false" ht="17.15" hidden="false" customHeight="false" outlineLevel="0" collapsed="false">
      <c r="A1034" s="1" t="s">
        <v>1221</v>
      </c>
      <c r="B1034" s="0" t="s">
        <v>98</v>
      </c>
      <c r="C1034" s="6" t="n">
        <f aca="false">SUM(Sens!F1033:K1033)</f>
        <v>453.528768158772</v>
      </c>
    </row>
    <row r="1035" customFormat="false" ht="17.15" hidden="false" customHeight="false" outlineLevel="0" collapsed="false">
      <c r="A1035" s="1" t="s">
        <v>1222</v>
      </c>
      <c r="B1035" s="0" t="s">
        <v>98</v>
      </c>
      <c r="C1035" s="6" t="n">
        <f aca="false">Sens!K971*(1+g_tv)*(1-tax_f)</f>
        <v>262.196965228767</v>
      </c>
    </row>
    <row r="1036" customFormat="false" ht="17.15" hidden="false" customHeight="false" outlineLevel="0" collapsed="false">
      <c r="A1036" s="1" t="s">
        <v>1223</v>
      </c>
      <c r="B1036" s="0" t="s">
        <v>98</v>
      </c>
      <c r="C1036" s="6" t="n">
        <f aca="false">Sens!$C$1035*(1-g_tv/(wacc+ronic_prem))</f>
        <v>185.781874301381</v>
      </c>
    </row>
    <row r="1037" customFormat="false" ht="17.15" hidden="false" customHeight="false" outlineLevel="0" collapsed="false">
      <c r="A1037" s="1" t="s">
        <v>1224</v>
      </c>
      <c r="B1037" s="0" t="s">
        <v>98</v>
      </c>
      <c r="C1037" s="6" t="n">
        <f aca="false">Sens!$C$1036/(wacc-g_tv)</f>
        <v>2547.16969757955</v>
      </c>
    </row>
    <row r="1038" customFormat="false" ht="15" hidden="false" customHeight="false" outlineLevel="0" collapsed="false">
      <c r="A1038" s="1" t="s">
        <v>1225</v>
      </c>
      <c r="B1038" s="0" t="s">
        <v>98</v>
      </c>
      <c r="C1038" s="6" t="n">
        <f aca="false">Sens!$C$1037/(1+wacc)^Sens!K1029</f>
        <v>1450.37290487521</v>
      </c>
    </row>
    <row r="1039" customFormat="false" ht="17.15" hidden="false" customHeight="false" outlineLevel="0" collapsed="false">
      <c r="A1039" s="0" t="s">
        <v>1226</v>
      </c>
      <c r="B1039" s="0" t="s">
        <v>98</v>
      </c>
      <c r="C1039" s="6" t="n">
        <f aca="false">Sens!$C$1034+Sens!$C$1038</f>
        <v>1903.90167303398</v>
      </c>
    </row>
    <row r="1040" customFormat="false" ht="15" hidden="false" customHeight="false" outlineLevel="0" collapsed="false">
      <c r="A1040" s="1" t="s">
        <v>1141</v>
      </c>
      <c r="B1040" s="0" t="s">
        <v>168</v>
      </c>
      <c r="C1040" s="7" t="n">
        <f aca="false">Sens!$C$1038/Sens!$C$1039</f>
        <v>0.761789815838521</v>
      </c>
    </row>
    <row r="1041" customFormat="false" ht="17.15" hidden="false" customHeight="false" outlineLevel="0" collapsed="false">
      <c r="A1041" s="1" t="s">
        <v>1227</v>
      </c>
      <c r="B1041" s="0" t="s">
        <v>98</v>
      </c>
      <c r="C1041" s="6" t="n">
        <f aca="false">Sens!$C$1039+cash_val-debt_val-fl_val+oai_v</f>
        <v>2019.75267303398</v>
      </c>
    </row>
    <row r="1042" customFormat="false" ht="17.15" hidden="false" customHeight="false" outlineLevel="0" collapsed="false">
      <c r="A1042" s="0" t="s">
        <v>1149</v>
      </c>
      <c r="B1042" s="0" t="s">
        <v>75</v>
      </c>
      <c r="C1042" s="5" t="n">
        <f aca="false">Sens!$C$1041/shd_val</f>
        <v>271.253380745901</v>
      </c>
    </row>
    <row r="1043" customFormat="false" ht="15" hidden="false" customHeight="false" outlineLevel="0" collapsed="false">
      <c r="A1043" s="1" t="s">
        <v>1228</v>
      </c>
      <c r="B1043" s="0" t="s">
        <v>75</v>
      </c>
      <c r="C1043" s="8" t="n">
        <f aca="false">div_rem27+Sens!G1011*roll_div_q/q_per_yr</f>
        <v>3.9795</v>
      </c>
    </row>
    <row r="1044" customFormat="false" ht="17.15" hidden="false" customHeight="false" outlineLevel="0" collapsed="false">
      <c r="A1044" s="0" t="s">
        <v>1229</v>
      </c>
      <c r="B1044" s="0" t="s">
        <v>75</v>
      </c>
      <c r="C1044" s="5" t="n">
        <f aca="false">Sens!$C$1042*(1+wacc)^t_roll-Sens!$C$1043</f>
        <v>297.533771552012</v>
      </c>
    </row>
    <row r="1045" customFormat="false" ht="17.15" hidden="false" customHeight="false" outlineLevel="0" collapsed="false">
      <c r="A1045" s="1" t="s">
        <v>1230</v>
      </c>
      <c r="B1045" s="0" t="s">
        <v>168</v>
      </c>
      <c r="F1045" s="7" t="n">
        <f aca="false">Sens!F997/(Sens!F942-Sens!F897)</f>
        <v>0.0683626969592634</v>
      </c>
      <c r="G1045" s="7" t="n">
        <f aca="false">Sens!G997/(Sens!G942-Sens!G897)</f>
        <v>0.06566157674659</v>
      </c>
      <c r="H1045" s="7" t="n">
        <f aca="false">Sens!H997/(Sens!H942-Sens!H897)</f>
        <v>0.0642891793547571</v>
      </c>
      <c r="I1045" s="7" t="n">
        <f aca="false">Sens!I997/(Sens!I942-Sens!I897)</f>
        <v>0.0641271763799047</v>
      </c>
      <c r="J1045" s="7" t="n">
        <f aca="false">Sens!J997/(Sens!J942-Sens!J897)</f>
        <v>0.064897401711999</v>
      </c>
      <c r="K1045" s="7" t="n">
        <f aca="false">Sens!K997/(Sens!K942-Sens!K897)</f>
        <v>0.0662567690631325</v>
      </c>
    </row>
    <row r="1046" customFormat="false" ht="17.15" hidden="false" customHeight="false" outlineLevel="0" collapsed="false">
      <c r="A1046" s="0" t="s">
        <v>1231</v>
      </c>
      <c r="B1046" s="0" t="s">
        <v>98</v>
      </c>
      <c r="F1046" s="6" t="n">
        <f aca="false">Sens!F927*(al_m365+Sens!F1045+sbc_r)</f>
        <v>83.6901012599558</v>
      </c>
      <c r="G1046" s="6" t="n">
        <f aca="false">Sens!G927*(al_m365+Sens!G1045+sbc_r)</f>
        <v>96.1066478594323</v>
      </c>
      <c r="H1046" s="6" t="n">
        <f aca="false">Sens!H927*(al_m365+Sens!H1045+sbc_r)</f>
        <v>108.687991523679</v>
      </c>
      <c r="I1046" s="6" t="n">
        <f aca="false">Sens!I927*(al_m365+Sens!I1045+sbc_r)</f>
        <v>120.253161281556</v>
      </c>
      <c r="J1046" s="6" t="n">
        <f aca="false">Sens!J927*(al_m365+Sens!J1045+sbc_r)</f>
        <v>130.614051020032</v>
      </c>
      <c r="K1046" s="6" t="n">
        <f aca="false">Sens!K927*(al_m365+Sens!K1045+sbc_r)</f>
        <v>140.586948402258</v>
      </c>
      <c r="L1046" s="12" t="s">
        <v>1232</v>
      </c>
    </row>
    <row r="1047" customFormat="false" ht="17.15" hidden="false" customHeight="false" outlineLevel="0" collapsed="false">
      <c r="A1047" s="0" t="s">
        <v>1233</v>
      </c>
      <c r="B1047" s="0" t="s">
        <v>98</v>
      </c>
      <c r="F1047" s="6" t="n">
        <f aca="false">Sens!F928*(al_lic+Sens!F1045+sbc_r)</f>
        <v>32.8479057290952</v>
      </c>
      <c r="G1047" s="6" t="n">
        <f aca="false">Sens!G928*(al_lic+Sens!G1045+sbc_r)</f>
        <v>34.1307536159984</v>
      </c>
      <c r="H1047" s="6" t="n">
        <f aca="false">Sens!H928*(al_lic+Sens!H1045+sbc_r)</f>
        <v>35.3284104470402</v>
      </c>
      <c r="I1047" s="6" t="n">
        <f aca="false">Sens!I928*(al_lic+Sens!I1045+sbc_r)</f>
        <v>36.4227431642581</v>
      </c>
      <c r="J1047" s="6" t="n">
        <f aca="false">Sens!J928*(al_lic+Sens!J1045+sbc_r)</f>
        <v>37.3884468983532</v>
      </c>
      <c r="K1047" s="6" t="n">
        <f aca="false">Sens!K928*(al_lic+Sens!K1045+sbc_r)</f>
        <v>38.1970422401347</v>
      </c>
    </row>
    <row r="1048" customFormat="false" ht="17.15" hidden="false" customHeight="false" outlineLevel="0" collapsed="false">
      <c r="A1048" s="0" t="s">
        <v>1234</v>
      </c>
      <c r="B1048" s="0" t="s">
        <v>98</v>
      </c>
      <c r="F1048" s="6" t="n">
        <f aca="false">Sens!F930*(al_ind+Sens!F1045+sbc_r)</f>
        <v>9.05468465536506</v>
      </c>
      <c r="G1048" s="6" t="n">
        <f aca="false">Sens!G930*(al_ind+Sens!G1045+sbc_r)</f>
        <v>9.83200036158713</v>
      </c>
      <c r="H1048" s="6" t="n">
        <f aca="false">Sens!H930*(al_ind+Sens!H1045+sbc_r)</f>
        <v>10.6543533445825</v>
      </c>
      <c r="I1048" s="6" t="n">
        <f aca="false">Sens!I930*(al_ind+Sens!I1045+sbc_r)</f>
        <v>11.5186956990114</v>
      </c>
      <c r="J1048" s="6" t="n">
        <f aca="false">Sens!J930*(al_ind+Sens!J1045+sbc_r)</f>
        <v>12.4153648396869</v>
      </c>
      <c r="K1048" s="6" t="n">
        <f aca="false">Sens!K930*(al_ind+Sens!K1045+sbc_r)</f>
        <v>13.3293305919337</v>
      </c>
    </row>
    <row r="1049" customFormat="false" ht="17.15" hidden="false" customHeight="false" outlineLevel="0" collapsed="false">
      <c r="A1049" s="0" t="s">
        <v>1235</v>
      </c>
      <c r="B1049" s="0" t="s">
        <v>98</v>
      </c>
      <c r="F1049" s="6" t="n">
        <f aca="false">Sens!F932*(al_fro+Sens!F1045+sbc_r)</f>
        <v>3.55178093415127</v>
      </c>
      <c r="G1049" s="6" t="n">
        <f aca="false">Sens!G932*(al_fro+Sens!G1045+sbc_r)</f>
        <v>3.76201149433451</v>
      </c>
      <c r="H1049" s="6" t="n">
        <f aca="false">Sens!H932*(al_fro+Sens!H1045+sbc_r)</f>
        <v>4.00120973276203</v>
      </c>
      <c r="I1049" s="6" t="n">
        <f aca="false">Sens!I932*(al_fro+Sens!I1045+sbc_r)</f>
        <v>4.27214574409199</v>
      </c>
      <c r="J1049" s="6" t="n">
        <f aca="false">Sens!J932*(al_fro+Sens!J1045+sbc_r)</f>
        <v>4.57599352508408</v>
      </c>
      <c r="K1049" s="6" t="n">
        <f aca="false">Sens!K932*(al_fro+Sens!K1045+sbc_r)</f>
        <v>4.91285848382139</v>
      </c>
    </row>
    <row r="1050" customFormat="false" ht="17.15" hidden="false" customHeight="false" outlineLevel="0" collapsed="false">
      <c r="A1050" s="0" t="s">
        <v>1236</v>
      </c>
      <c r="B1050" s="0" t="s">
        <v>98</v>
      </c>
      <c r="F1050" s="6" t="n">
        <f aca="false">Sens!F935*(al_srch+Sens!F1045+sbc_r)</f>
        <v>11.1820111722776</v>
      </c>
      <c r="G1050" s="6" t="n">
        <f aca="false">Sens!G935*(al_srch+Sens!G1045+sbc_r)</f>
        <v>12.2565150815688</v>
      </c>
      <c r="H1050" s="6" t="n">
        <f aca="false">Sens!H935*(al_srch+Sens!H1045+sbc_r)</f>
        <v>13.3761434650761</v>
      </c>
      <c r="I1050" s="6" t="n">
        <f aca="false">Sens!I935*(al_srch+Sens!I1045+sbc_r)</f>
        <v>14.5302463503753</v>
      </c>
      <c r="J1050" s="6" t="n">
        <f aca="false">Sens!J935*(al_srch+Sens!J1045+sbc_r)</f>
        <v>15.698886968866</v>
      </c>
      <c r="K1050" s="6" t="n">
        <f aca="false">Sens!K935*(al_srch+Sens!K1045+sbc_r)</f>
        <v>16.8545714955156</v>
      </c>
    </row>
    <row r="1051" customFormat="false" ht="17.15" hidden="false" customHeight="false" outlineLevel="0" collapsed="false">
      <c r="A1051" s="0" t="s">
        <v>1237</v>
      </c>
      <c r="B1051" s="0" t="s">
        <v>98</v>
      </c>
      <c r="F1051" s="6" t="n">
        <f aca="false">Sens!F903-Sens!F904+Sens!F985</f>
        <v>34.2313342981248</v>
      </c>
      <c r="G1051" s="6" t="n">
        <f aca="false">Sens!G903-Sens!G904+Sens!G985</f>
        <v>67.7990396029575</v>
      </c>
      <c r="H1051" s="6" t="n">
        <f aca="false">Sens!H903-Sens!H904+Sens!H985</f>
        <v>104.048975170758</v>
      </c>
      <c r="I1051" s="6" t="n">
        <f aca="false">Sens!I903-Sens!I904+Sens!I985</f>
        <v>136.515749580359</v>
      </c>
      <c r="J1051" s="6" t="n">
        <f aca="false">Sens!J903-Sens!J904+Sens!J985</f>
        <v>159.341333863595</v>
      </c>
      <c r="K1051" s="6" t="n">
        <f aca="false">Sens!K903-Sens!K904+Sens!K985</f>
        <v>173.178403419087</v>
      </c>
    </row>
    <row r="1052" customFormat="false" ht="17.15" hidden="false" customHeight="false" outlineLevel="0" collapsed="false">
      <c r="A1052" s="0" t="s">
        <v>1238</v>
      </c>
      <c r="B1052" s="0" t="s">
        <v>98</v>
      </c>
      <c r="F1052" s="6" t="n">
        <f aca="false">Sens!F964+Sens!F985+Sens!F915+Sens!F1045*(Sens!F934-Sens!F897)+sbc_r*Sens!F934</f>
        <v>231.617306434819</v>
      </c>
      <c r="G1052" s="6" t="n">
        <f aca="false">Sens!G964+Sens!G985+Sens!G915+Sens!G1045*(Sens!G934-Sens!G897)+sbc_r*Sens!G934</f>
        <v>287.110070717163</v>
      </c>
      <c r="H1052" s="6" t="n">
        <f aca="false">Sens!H964+Sens!H985+Sens!H915+Sens!H1045*(Sens!H934-Sens!H897)+sbc_r*Sens!H934</f>
        <v>351.167180624761</v>
      </c>
      <c r="I1052" s="6" t="n">
        <f aca="false">Sens!I964+Sens!I985+Sens!I915+Sens!I1045*(Sens!I934-Sens!I897)+sbc_r*Sens!I934</f>
        <v>410.079289335929</v>
      </c>
      <c r="J1052" s="6" t="n">
        <f aca="false">Sens!J964+Sens!J985+Sens!J915+Sens!J1045*(Sens!J934-Sens!J897)+sbc_r*Sens!J934</f>
        <v>456.929885512464</v>
      </c>
      <c r="K1052" s="6" t="n">
        <f aca="false">Sens!K964+Sens!K985+Sens!K915+Sens!K1045*(Sens!K934-Sens!K897)+sbc_r*Sens!K934</f>
        <v>492.414952465069</v>
      </c>
    </row>
    <row r="1053" customFormat="false" ht="17.15" hidden="false" customHeight="false" outlineLevel="0" collapsed="false">
      <c r="A1053" s="0" t="s">
        <v>1239</v>
      </c>
      <c r="B1053" s="0" t="s">
        <v>98</v>
      </c>
      <c r="F1053" s="6" t="n">
        <f aca="false">Sens!F1052-Sens!F1046-Sens!F1047-Sens!F1048-Sens!F1049-Sens!F1051</f>
        <v>68.241499558127</v>
      </c>
      <c r="G1053" s="6" t="n">
        <f aca="false">Sens!G1052-Sens!G1046-Sens!G1047-Sens!G1048-Sens!G1049-Sens!G1051</f>
        <v>75.479617782853</v>
      </c>
      <c r="H1053" s="6" t="n">
        <f aca="false">Sens!H1052-Sens!H1046-Sens!H1047-Sens!H1048-Sens!H1049-Sens!H1051</f>
        <v>88.4462404059395</v>
      </c>
      <c r="I1053" s="6" t="n">
        <f aca="false">Sens!I1052-Sens!I1046-Sens!I1047-Sens!I1048-Sens!I1049-Sens!I1051</f>
        <v>101.096793866652</v>
      </c>
      <c r="J1053" s="6" t="n">
        <f aca="false">Sens!J1052-Sens!J1046-Sens!J1047-Sens!J1048-Sens!J1049-Sens!J1051</f>
        <v>112.594695365713</v>
      </c>
      <c r="K1053" s="6" t="n">
        <f aca="false">Sens!K1052-Sens!K1046-Sens!K1047-Sens!K1048-Sens!K1049-Sens!K1051</f>
        <v>122.210369327834</v>
      </c>
    </row>
    <row r="1054" customFormat="false" ht="17.15" hidden="false" customHeight="false" outlineLevel="0" collapsed="false">
      <c r="A1054" s="0" t="s">
        <v>1240</v>
      </c>
      <c r="B1054" s="0" t="s">
        <v>98</v>
      </c>
      <c r="F1054" s="6" t="n">
        <f aca="false">Sens!F966+Sens!F1045*Sens!F941+sbc_r*Sens!F941</f>
        <v>26.6171192029634</v>
      </c>
      <c r="G1054" s="6" t="n">
        <f aca="false">Sens!G966+Sens!G1045*Sens!G941+sbc_r*Sens!G941</f>
        <v>26.4607011037875</v>
      </c>
      <c r="H1054" s="6" t="n">
        <f aca="false">Sens!H966+Sens!H1045*Sens!H941+sbc_r*Sens!H941</f>
        <v>27.3398952949848</v>
      </c>
      <c r="I1054" s="6" t="n">
        <f aca="false">Sens!I966+Sens!I1045*Sens!I941+sbc_r*Sens!I941</f>
        <v>28.4545692704067</v>
      </c>
      <c r="J1054" s="6" t="n">
        <f aca="false">Sens!J966+Sens!J1045*Sens!J941+sbc_r*Sens!J941</f>
        <v>29.7698512525873</v>
      </c>
      <c r="K1054" s="6" t="n">
        <f aca="false">Sens!K966+Sens!K1045*Sens!K941+sbc_r*Sens!K941</f>
        <v>31.2490312436264</v>
      </c>
    </row>
    <row r="1055" customFormat="false" ht="17.15" hidden="false" customHeight="false" outlineLevel="0" collapsed="false">
      <c r="A1055" s="0" t="s">
        <v>1241</v>
      </c>
      <c r="B1055" s="0" t="s">
        <v>98</v>
      </c>
      <c r="F1055" s="6" t="n">
        <f aca="false">(Sens!F1054-Sens!F1050)*Sens!F937/(Sens!F937+Sens!F939)</f>
        <v>8.71752549230313</v>
      </c>
      <c r="G1055" s="6" t="n">
        <f aca="false">(Sens!G1054-Sens!G1050)*Sens!G937/(Sens!G937+Sens!G939)</f>
        <v>7.88444469312492</v>
      </c>
      <c r="H1055" s="6" t="n">
        <f aca="false">(Sens!H1054-Sens!H1050)*Sens!H937/(Sens!H937+Sens!H939)</f>
        <v>7.6500123518753</v>
      </c>
      <c r="I1055" s="6" t="n">
        <f aca="false">(Sens!I1054-Sens!I1050)*Sens!I937/(Sens!I937+Sens!I939)</f>
        <v>7.56182706880577</v>
      </c>
      <c r="J1055" s="6" t="n">
        <f aca="false">(Sens!J1054-Sens!J1050)*Sens!J937/(Sens!J937+Sens!J939)</f>
        <v>7.6081236736405</v>
      </c>
      <c r="K1055" s="6" t="n">
        <f aca="false">(Sens!K1054-Sens!K1050)*Sens!K937/(Sens!K937+Sens!K939)</f>
        <v>7.78303659725468</v>
      </c>
    </row>
    <row r="1056" customFormat="false" ht="17.15" hidden="false" customHeight="false" outlineLevel="0" collapsed="false">
      <c r="A1056" s="0" t="s">
        <v>1242</v>
      </c>
      <c r="B1056" s="0" t="s">
        <v>98</v>
      </c>
      <c r="F1056" s="6" t="n">
        <f aca="false">Sens!F1054-Sens!F1050-Sens!F1055</f>
        <v>6.71758253838269</v>
      </c>
      <c r="G1056" s="6" t="n">
        <f aca="false">Sens!G1054-Sens!G1050-Sens!G1055</f>
        <v>6.31974132909371</v>
      </c>
      <c r="H1056" s="6" t="n">
        <f aca="false">Sens!H1054-Sens!H1050-Sens!H1055</f>
        <v>6.31373947803346</v>
      </c>
      <c r="I1056" s="6" t="n">
        <f aca="false">Sens!I1054-Sens!I1050-Sens!I1055</f>
        <v>6.36249585122559</v>
      </c>
      <c r="J1056" s="6" t="n">
        <f aca="false">Sens!J1054-Sens!J1050-Sens!J1055</f>
        <v>6.46284061008085</v>
      </c>
      <c r="K1056" s="6" t="n">
        <f aca="false">Sens!K1054-Sens!K1050-Sens!K1055</f>
        <v>6.61142315085609</v>
      </c>
    </row>
    <row r="1057" customFormat="false" ht="17.15" hidden="false" customHeight="false" outlineLevel="0" collapsed="false">
      <c r="A1057" s="0" t="s">
        <v>1243</v>
      </c>
      <c r="B1057" s="0" t="s">
        <v>98</v>
      </c>
      <c r="F1057" s="6" t="n">
        <f aca="false">Sens!F1051-tax_f*(Sens!F1051-Sens!F915)-Sens!F912</f>
        <v>-134.152973707949</v>
      </c>
      <c r="G1057" s="6" t="n">
        <f aca="false">Sens!G1051-tax_f*(Sens!G1051-Sens!G915)-Sens!G912</f>
        <v>-125.558345836222</v>
      </c>
      <c r="H1057" s="6" t="n">
        <f aca="false">Sens!H1051-tax_f*(Sens!H1051-Sens!H915)-Sens!H912</f>
        <v>-95.7468057956171</v>
      </c>
      <c r="I1057" s="6" t="n">
        <f aca="false">Sens!I1051-tax_f*(Sens!I1051-Sens!I915)-Sens!I912</f>
        <v>-36.5560320184135</v>
      </c>
      <c r="J1057" s="6" t="n">
        <f aca="false">Sens!J1051-tax_f*(Sens!J1051-Sens!J915)-Sens!J912</f>
        <v>24.9462705048547</v>
      </c>
      <c r="K1057" s="6" t="n">
        <f aca="false">Sens!K1051-tax_f*(Sens!K1051-Sens!K915)-Sens!K912</f>
        <v>48.1824035807237</v>
      </c>
    </row>
    <row r="1058" customFormat="false" ht="17.15" hidden="false" customHeight="false" outlineLevel="0" collapsed="false">
      <c r="A1058" s="0" t="s">
        <v>1244</v>
      </c>
      <c r="B1058" s="0" t="s">
        <v>98</v>
      </c>
      <c r="G1058" s="6" t="n">
        <f aca="false">Sens!G1057/(1+wacc)^(Sens!G1028-Sens!F1029)</f>
        <v>-119.55570724865</v>
      </c>
      <c r="H1058" s="6" t="n">
        <f aca="false">Sens!H1057/(1+wacc)^(Sens!H1028-Sens!F1029)</f>
        <v>-82.6605854308158</v>
      </c>
      <c r="I1058" s="6" t="n">
        <f aca="false">Sens!I1057/(1+wacc)^(Sens!I1028-Sens!F1029)</f>
        <v>-28.6142710249701</v>
      </c>
      <c r="J1058" s="6" t="n">
        <f aca="false">Sens!J1057/(1+wacc)^(Sens!J1028-Sens!F1029)</f>
        <v>17.7042983446781</v>
      </c>
      <c r="K1058" s="6" t="n">
        <f aca="false">Sens!K1057/(1+wacc)^(Sens!K1028-Sens!F1029)</f>
        <v>31.0035202603186</v>
      </c>
      <c r="L1058" s="1" t="s">
        <v>1245</v>
      </c>
    </row>
    <row r="1059" customFormat="false" ht="17.15" hidden="false" customHeight="false" outlineLevel="0" collapsed="false">
      <c r="A1059" s="0" t="s">
        <v>1246</v>
      </c>
      <c r="B1059" s="0" t="s">
        <v>98</v>
      </c>
      <c r="C1059" s="6" t="n">
        <f aca="false">(Sens!K1051-Sens!K915)*(1-tax_f)*(1+g_tv)*(1-g_tv/(wacc+ronic_prem))/(wacc-g_tv)/(1+wacc)^(Sens!K1029-Sens!F1029)</f>
        <v>147.951236913252</v>
      </c>
    </row>
    <row r="1060" customFormat="false" ht="17.15" hidden="false" customHeight="false" outlineLevel="0" collapsed="false">
      <c r="A1060" s="1" t="s">
        <v>1247</v>
      </c>
      <c r="B1060" s="0" t="s">
        <v>98</v>
      </c>
      <c r="C1060" s="6" t="n">
        <f aca="false">(SUM(Sens!G1058:K1058)+Sens!$C$1059)*(1+wacc)^(t_roll-Sens!F1029)</f>
        <v>-35.2996130137246</v>
      </c>
      <c r="L1060" s="12" t="s">
        <v>1248</v>
      </c>
    </row>
    <row r="1061" customFormat="false" ht="17.15" hidden="false" customHeight="false" outlineLevel="0" collapsed="false">
      <c r="A1061" s="1" t="s">
        <v>1249</v>
      </c>
      <c r="B1061" s="0" t="s">
        <v>98</v>
      </c>
      <c r="C1061" s="6" t="n">
        <f aca="false">(w_ntm28*Sens!G903+(1-w_ntm28)*Sens!H903)*m_ai</f>
        <v>370.709334663451</v>
      </c>
    </row>
    <row r="1062" customFormat="false" ht="17.15" hidden="false" customHeight="false" outlineLevel="0" collapsed="false">
      <c r="A1062" s="1" t="s">
        <v>1250</v>
      </c>
      <c r="B1062" s="0" t="s">
        <v>98</v>
      </c>
      <c r="C1062" s="6" t="n">
        <f aca="false">(w_ntm28*Sens!G1053+(1-w_ntm28)*Sens!H1053)*m_cloud</f>
        <v>1102.04296695938</v>
      </c>
    </row>
    <row r="1063" customFormat="false" ht="17.15" hidden="false" customHeight="false" outlineLevel="0" collapsed="false">
      <c r="A1063" s="1" t="s">
        <v>1251</v>
      </c>
      <c r="B1063" s="0" t="s">
        <v>98</v>
      </c>
      <c r="C1063" s="6" t="n">
        <f aca="false">(w_ntm28*Sens!G1046+(1-w_ntm28)*Sens!H1046)*m_sw</f>
        <v>1082.62418424862</v>
      </c>
    </row>
    <row r="1064" customFormat="false" ht="17.15" hidden="false" customHeight="false" outlineLevel="0" collapsed="false">
      <c r="A1064" s="1" t="s">
        <v>1252</v>
      </c>
      <c r="B1064" s="0" t="s">
        <v>98</v>
      </c>
      <c r="C1064" s="6" t="n">
        <f aca="false">(w_ntm28*Sens!G1047+(1-w_ntm28)*Sens!H1047)*m_sw</f>
        <v>372.864641115879</v>
      </c>
    </row>
    <row r="1065" customFormat="false" ht="17.15" hidden="false" customHeight="false" outlineLevel="0" collapsed="false">
      <c r="A1065" s="1" t="s">
        <v>1253</v>
      </c>
      <c r="B1065" s="0" t="s">
        <v>98</v>
      </c>
      <c r="C1065" s="6" t="n">
        <f aca="false">(w_ntm28*Sens!G1048+(1-w_ntm28)*Sens!H1048)*m_sw</f>
        <v>109.105520250243</v>
      </c>
    </row>
    <row r="1066" customFormat="false" ht="17.15" hidden="false" customHeight="false" outlineLevel="0" collapsed="false">
      <c r="A1066" s="1" t="s">
        <v>1254</v>
      </c>
      <c r="B1066" s="0" t="s">
        <v>98</v>
      </c>
      <c r="C1066" s="6" t="n">
        <f aca="false">(w_ntm28*Sens!G1049+(1-w_ntm28)*Sens!H1049)*m_sw</f>
        <v>41.4790417196403</v>
      </c>
    </row>
    <row r="1067" customFormat="false" ht="17.15" hidden="false" customHeight="false" outlineLevel="0" collapsed="false">
      <c r="A1067" s="1" t="s">
        <v>1255</v>
      </c>
      <c r="B1067" s="0" t="s">
        <v>98</v>
      </c>
      <c r="C1067" s="6" t="n">
        <f aca="false">(w_ntm28*Sens!G1050+(1-w_ntm28)*Sens!H1050)*m_ads</f>
        <v>115.010216088572</v>
      </c>
    </row>
    <row r="1068" customFormat="false" ht="17.15" hidden="false" customHeight="false" outlineLevel="0" collapsed="false">
      <c r="A1068" s="1" t="s">
        <v>1256</v>
      </c>
      <c r="B1068" s="0" t="s">
        <v>98</v>
      </c>
      <c r="C1068" s="6" t="n">
        <f aca="false">(w_ntm28*Sens!G1055+(1-w_ntm28)*Sens!H1055)*m_game</f>
        <v>98.6070963196528</v>
      </c>
    </row>
    <row r="1069" customFormat="false" ht="17.15" hidden="false" customHeight="false" outlineLevel="0" collapsed="false">
      <c r="A1069" s="1" t="s">
        <v>1257</v>
      </c>
      <c r="B1069" s="0" t="s">
        <v>98</v>
      </c>
      <c r="C1069" s="6" t="n">
        <f aca="false">(w_ntm28*Sens!G1056+(1-w_ntm28)*Sens!H1056)*m_pc</f>
        <v>91.4181046643668</v>
      </c>
    </row>
    <row r="1070" customFormat="false" ht="17.15" hidden="false" customHeight="false" outlineLevel="0" collapsed="false">
      <c r="A1070" s="1" t="s">
        <v>1258</v>
      </c>
      <c r="B1070" s="0" t="s">
        <v>98</v>
      </c>
      <c r="C1070" s="6" t="n">
        <f aca="false">Sens!$C$1060+Sens!$C$1062+Sens!$C$1063+Sens!$C$1064+Sens!$C$1065+Sens!$C$1066+Sens!$C$1067+Sens!$C$1068+Sens!$C$1069</f>
        <v>2977.85215835262</v>
      </c>
    </row>
    <row r="1071" customFormat="false" ht="17.15" hidden="false" customHeight="false" outlineLevel="0" collapsed="false">
      <c r="A1071" s="1" t="s">
        <v>1259</v>
      </c>
      <c r="B1071" s="0" t="s">
        <v>98</v>
      </c>
      <c r="C1071" s="6" t="n">
        <f aca="false">(Sens!G1032-Sens!G1057)*t_stub</f>
        <v>48.0834960320708</v>
      </c>
      <c r="L1071" s="1" t="s">
        <v>1260</v>
      </c>
    </row>
    <row r="1072" customFormat="false" ht="17.15" hidden="false" customHeight="false" outlineLevel="0" collapsed="false">
      <c r="A1072" s="1" t="s">
        <v>1169</v>
      </c>
      <c r="B1072" s="0" t="s">
        <v>98</v>
      </c>
      <c r="C1072" s="6" t="n">
        <f aca="false">Sens!F1019+oai_v-Sens!F1008+Sens!$C$1071</f>
        <v>156.984447682824</v>
      </c>
      <c r="L1072" s="1" t="s">
        <v>1261</v>
      </c>
    </row>
    <row r="1073" customFormat="false" ht="17.15" hidden="false" customHeight="false" outlineLevel="0" collapsed="false">
      <c r="A1073" s="1" t="s">
        <v>1262</v>
      </c>
      <c r="B1073" s="0" t="s">
        <v>75</v>
      </c>
      <c r="C1073" s="5" t="n">
        <f aca="false">(Sens!$C$1070+Sens!$C$1072)/(Sens!F1021+dil_gap)-Sens!G1011*roll_div_q/q_per_yr</f>
        <v>417.16175480729</v>
      </c>
      <c r="L1073" s="1" t="s">
        <v>1263</v>
      </c>
    </row>
    <row r="1074" customFormat="false" ht="17.15" hidden="false" customHeight="false" outlineLevel="0" collapsed="false">
      <c r="A1074" s="1" t="s">
        <v>1264</v>
      </c>
      <c r="B1074" s="0" t="s">
        <v>75</v>
      </c>
      <c r="C1074" s="5" t="n">
        <f aca="false">w_dcf*Sens!$C$1044+(1-w_dcf)*Sens!$C$1073</f>
        <v>357.347763179651</v>
      </c>
    </row>
    <row r="1075" customFormat="false" ht="17.15" hidden="false" customHeight="false" outlineLevel="0" collapsed="false">
      <c r="A1075" s="3" t="s">
        <v>1505</v>
      </c>
    </row>
    <row r="1076" customFormat="false" ht="15" hidden="false" customHeight="false" outlineLevel="0" collapsed="false">
      <c r="A1076" s="4" t="s">
        <v>43</v>
      </c>
      <c r="B1076" s="4" t="s">
        <v>65</v>
      </c>
      <c r="C1076" s="23" t="s">
        <v>938</v>
      </c>
      <c r="D1076" s="23" t="s">
        <v>939</v>
      </c>
      <c r="E1076" s="23" t="s">
        <v>940</v>
      </c>
      <c r="F1076" s="23" t="s">
        <v>941</v>
      </c>
      <c r="G1076" s="23" t="s">
        <v>942</v>
      </c>
      <c r="H1076" s="23" t="s">
        <v>943</v>
      </c>
      <c r="I1076" s="23" t="s">
        <v>944</v>
      </c>
      <c r="J1076" s="23" t="s">
        <v>945</v>
      </c>
      <c r="K1076" s="23" t="s">
        <v>946</v>
      </c>
      <c r="L1076" s="4" t="s">
        <v>47</v>
      </c>
    </row>
    <row r="1077" customFormat="false" ht="17.15" hidden="false" customHeight="false" outlineLevel="0" collapsed="false">
      <c r="A1077" s="1" t="s">
        <v>947</v>
      </c>
      <c r="B1077" s="1" t="s">
        <v>279</v>
      </c>
      <c r="C1077" s="21" t="n">
        <v>2024</v>
      </c>
      <c r="D1077" s="21" t="n">
        <v>2025</v>
      </c>
      <c r="E1077" s="21" t="n">
        <v>2026</v>
      </c>
      <c r="F1077" s="21" t="n">
        <v>2027</v>
      </c>
      <c r="G1077" s="21" t="n">
        <v>2028</v>
      </c>
      <c r="H1077" s="21" t="n">
        <v>2029</v>
      </c>
      <c r="I1077" s="21" t="n">
        <v>2030</v>
      </c>
      <c r="J1077" s="21" t="n">
        <v>2031</v>
      </c>
      <c r="K1077" s="21" t="n">
        <v>2032</v>
      </c>
    </row>
    <row r="1078" customFormat="false" ht="17.15" hidden="false" customHeight="false" outlineLevel="0" collapsed="false">
      <c r="A1078" s="1" t="s">
        <v>948</v>
      </c>
      <c r="B1078" s="0" t="s">
        <v>456</v>
      </c>
      <c r="F1078" s="30" t="n">
        <f aca="false">pace</f>
        <v>2726.5351</v>
      </c>
      <c r="G1078" s="30" t="n">
        <f aca="false">pace</f>
        <v>2726.5351</v>
      </c>
      <c r="H1078" s="30" t="n">
        <f aca="false">pace</f>
        <v>2726.5351</v>
      </c>
      <c r="I1078" s="30" t="n">
        <f aca="false">pace+(g_tv*Sens!H1079-pace)*MIN(1,(Sens!I1077-pace_y0)/(pace_y1-pace_y0))</f>
        <v>1931.98611966667</v>
      </c>
      <c r="J1078" s="30" t="n">
        <f aca="false">pace+(g_tv*Sens!I1079-pace)*MIN(1,(Sens!J1077-pace_y0)/(pace_y1-pace_y0))</f>
        <v>1176.07686172667</v>
      </c>
      <c r="K1078" s="30" t="n">
        <f aca="false">pace+(g_tv*Sens!J1079-pace)*MIN(1,(Sens!K1077-pace_y0)/(pace_y1-pace_y0))</f>
        <v>436.1300484418</v>
      </c>
      <c r="L1078" s="12" t="s">
        <v>949</v>
      </c>
    </row>
    <row r="1079" customFormat="false" ht="17.15" hidden="false" customHeight="false" outlineLevel="0" collapsed="false">
      <c r="A1079" s="1" t="s">
        <v>950</v>
      </c>
      <c r="B1079" s="0" t="s">
        <v>456</v>
      </c>
      <c r="C1079" s="30" t="n">
        <f aca="false">mw_ext_24</f>
        <v>640</v>
      </c>
      <c r="D1079" s="30" t="n">
        <f aca="false">mw_ext_25</f>
        <v>1630</v>
      </c>
      <c r="E1079" s="30" t="n">
        <f aca="false">mw_ext_26</f>
        <v>3250</v>
      </c>
      <c r="F1079" s="30" t="n">
        <f aca="false">Sens!E1079+Sens!F1078</f>
        <v>5976.5351</v>
      </c>
      <c r="G1079" s="30" t="n">
        <f aca="false">Sens!F1079+Sens!G1078</f>
        <v>8703.0702</v>
      </c>
      <c r="H1079" s="30" t="n">
        <f aca="false">Sens!G1079+Sens!H1078</f>
        <v>11429.6053</v>
      </c>
      <c r="I1079" s="30" t="n">
        <f aca="false">Sens!H1079+Sens!I1078</f>
        <v>13361.5914196667</v>
      </c>
      <c r="J1079" s="30" t="n">
        <f aca="false">Sens!I1079+Sens!J1078</f>
        <v>14537.6682813933</v>
      </c>
      <c r="K1079" s="30" t="n">
        <f aca="false">Sens!J1079+Sens!K1078</f>
        <v>14973.7983298351</v>
      </c>
      <c r="L1079" s="1" t="s">
        <v>951</v>
      </c>
    </row>
    <row r="1080" customFormat="false" ht="17.15" hidden="false" customHeight="false" outlineLevel="0" collapsed="false">
      <c r="A1080" s="1" t="s">
        <v>952</v>
      </c>
      <c r="B1080" s="0" t="s">
        <v>456</v>
      </c>
      <c r="C1080" s="30" t="n">
        <f aca="false">rent_ext_24</f>
        <v>150</v>
      </c>
      <c r="D1080" s="30" t="n">
        <f aca="false">rent_ext_25</f>
        <v>400</v>
      </c>
      <c r="E1080" s="30" t="n">
        <f aca="false">rent_ext_26</f>
        <v>550</v>
      </c>
      <c r="F1080" s="30" t="n">
        <f aca="false">rent_ext_f</f>
        <v>756</v>
      </c>
      <c r="G1080" s="30" t="n">
        <f aca="false">rent_ext_f</f>
        <v>756</v>
      </c>
      <c r="H1080" s="30" t="n">
        <f aca="false">rent_ext_f</f>
        <v>756</v>
      </c>
      <c r="I1080" s="30" t="n">
        <f aca="false">rent_ext_f</f>
        <v>756</v>
      </c>
      <c r="J1080" s="30" t="n">
        <f aca="false">rent_ext_f</f>
        <v>756</v>
      </c>
      <c r="K1080" s="30" t="n">
        <f aca="false">rent_ext_f</f>
        <v>756</v>
      </c>
      <c r="L1080" s="1" t="s">
        <v>953</v>
      </c>
    </row>
    <row r="1081" customFormat="false" ht="17.15" hidden="false" customHeight="false" outlineLevel="0" collapsed="false">
      <c r="A1081" s="1" t="s">
        <v>954</v>
      </c>
      <c r="B1081" s="0" t="s">
        <v>456</v>
      </c>
      <c r="C1081" s="30" t="n">
        <f aca="false">Sens!C1079-Sens!C1080</f>
        <v>490</v>
      </c>
      <c r="D1081" s="30" t="n">
        <f aca="false">Sens!D1079-Sens!D1080</f>
        <v>1230</v>
      </c>
      <c r="E1081" s="30" t="n">
        <f aca="false">Sens!E1079-Sens!E1080</f>
        <v>2700</v>
      </c>
      <c r="F1081" s="30" t="n">
        <f aca="false">Sens!F1079-Sens!F1080</f>
        <v>5220.5351</v>
      </c>
      <c r="G1081" s="30" t="n">
        <f aca="false">Sens!G1079-Sens!G1080</f>
        <v>7947.0702</v>
      </c>
      <c r="H1081" s="30" t="n">
        <f aca="false">Sens!H1079-Sens!H1080</f>
        <v>10673.6053</v>
      </c>
      <c r="I1081" s="30" t="n">
        <f aca="false">Sens!I1079-Sens!I1080</f>
        <v>12605.5914196667</v>
      </c>
      <c r="J1081" s="30" t="n">
        <f aca="false">Sens!J1079-Sens!J1080</f>
        <v>13781.6682813933</v>
      </c>
      <c r="K1081" s="30" t="n">
        <f aca="false">Sens!K1079-Sens!K1080</f>
        <v>14217.7983298351</v>
      </c>
    </row>
    <row r="1082" customFormat="false" ht="17.15" hidden="false" customHeight="false" outlineLevel="0" collapsed="false">
      <c r="A1082" s="1" t="s">
        <v>955</v>
      </c>
      <c r="B1082" s="0" t="s">
        <v>456</v>
      </c>
      <c r="C1082" s="30" t="n">
        <f aca="false">Sens!C1081/ext_sh</f>
        <v>816.666666666667</v>
      </c>
      <c r="D1082" s="30" t="n">
        <f aca="false">Sens!D1081/ext_sh</f>
        <v>2050</v>
      </c>
      <c r="E1082" s="30" t="n">
        <f aca="false">Sens!E1081/ext_sh</f>
        <v>4500</v>
      </c>
      <c r="F1082" s="30" t="n">
        <f aca="false">Sens!F1081/ext_sh</f>
        <v>8700.89183333333</v>
      </c>
      <c r="G1082" s="30" t="n">
        <f aca="false">Sens!G1081/ext_sh</f>
        <v>13245.117</v>
      </c>
      <c r="H1082" s="30" t="n">
        <f aca="false">Sens!H1081/ext_sh</f>
        <v>17789.3421666667</v>
      </c>
      <c r="I1082" s="30" t="n">
        <f aca="false">Sens!I1081/ext_sh</f>
        <v>21009.3190327778</v>
      </c>
      <c r="J1082" s="30" t="n">
        <f aca="false">Sens!J1081/ext_sh</f>
        <v>22969.4471356556</v>
      </c>
      <c r="K1082" s="30" t="n">
        <f aca="false">Sens!K1081/ext_sh</f>
        <v>23696.3305497252</v>
      </c>
      <c r="L1082" s="1" t="s">
        <v>956</v>
      </c>
    </row>
    <row r="1083" customFormat="false" ht="17.15" hidden="false" customHeight="false" outlineLevel="0" collapsed="false">
      <c r="A1083" s="1" t="s">
        <v>957</v>
      </c>
      <c r="B1083" s="0" t="s">
        <v>456</v>
      </c>
      <c r="C1083" s="30" t="n">
        <f aca="false">Sens!C1082-Sens!C1081</f>
        <v>326.666666666667</v>
      </c>
      <c r="D1083" s="30" t="n">
        <f aca="false">Sens!D1082-Sens!D1081</f>
        <v>820</v>
      </c>
      <c r="E1083" s="30" t="n">
        <f aca="false">Sens!E1082-Sens!E1081</f>
        <v>1800</v>
      </c>
      <c r="F1083" s="30" t="n">
        <f aca="false">Sens!F1082-Sens!F1081</f>
        <v>3480.35673333333</v>
      </c>
      <c r="G1083" s="30" t="n">
        <f aca="false">Sens!G1082-Sens!G1081</f>
        <v>5298.0468</v>
      </c>
      <c r="H1083" s="30" t="n">
        <f aca="false">Sens!H1082-Sens!H1081</f>
        <v>7115.73686666667</v>
      </c>
      <c r="I1083" s="30" t="n">
        <f aca="false">Sens!I1082-Sens!I1081</f>
        <v>8403.72761311111</v>
      </c>
      <c r="J1083" s="30" t="n">
        <f aca="false">Sens!J1082-Sens!J1081</f>
        <v>9187.77885426222</v>
      </c>
      <c r="K1083" s="30" t="n">
        <f aca="false">Sens!K1082-Sens!K1081</f>
        <v>9478.53221989009</v>
      </c>
    </row>
    <row r="1084" customFormat="false" ht="17.15" hidden="false" customHeight="false" outlineLevel="0" collapsed="false">
      <c r="A1084" s="1" t="s">
        <v>958</v>
      </c>
      <c r="B1084" s="0" t="s">
        <v>456</v>
      </c>
      <c r="C1084" s="30" t="n">
        <f aca="false">Sens!C1082</f>
        <v>816.666666666667</v>
      </c>
      <c r="D1084" s="30" t="n">
        <f aca="false">Sens!D1082-Sens!C1082</f>
        <v>1233.33333333333</v>
      </c>
      <c r="E1084" s="30" t="n">
        <f aca="false">Sens!E1082-Sens!D1082</f>
        <v>2450</v>
      </c>
      <c r="F1084" s="30" t="n">
        <f aca="false">Sens!F1082-Sens!E1082</f>
        <v>4200.89183333333</v>
      </c>
      <c r="G1084" s="30" t="n">
        <f aca="false">Sens!G1082-Sens!F1082</f>
        <v>4544.22516666667</v>
      </c>
      <c r="H1084" s="30" t="n">
        <f aca="false">Sens!H1082-Sens!G1082</f>
        <v>4544.22516666667</v>
      </c>
      <c r="I1084" s="30" t="n">
        <f aca="false">Sens!I1082-Sens!H1082</f>
        <v>3219.97686611111</v>
      </c>
      <c r="J1084" s="30" t="n">
        <f aca="false">Sens!J1082-Sens!I1082</f>
        <v>1960.12810287778</v>
      </c>
      <c r="K1084" s="30" t="n">
        <f aca="false">Sens!K1082-Sens!J1082</f>
        <v>726.883414069667</v>
      </c>
    </row>
    <row r="1085" customFormat="false" ht="17.15" hidden="false" customHeight="false" outlineLevel="0" collapsed="false">
      <c r="A1085" s="1" t="s">
        <v>959</v>
      </c>
      <c r="B1085" s="0" t="s">
        <v>456</v>
      </c>
      <c r="D1085" s="30" t="n">
        <f aca="false">Sens!D1079-Sens!C1079</f>
        <v>990</v>
      </c>
      <c r="E1085" s="30" t="n">
        <f aca="false">Sens!E1079-Sens!D1079</f>
        <v>1620</v>
      </c>
      <c r="F1085" s="30" t="n">
        <f aca="false">Sens!F1079-Sens!E1079</f>
        <v>2726.5351</v>
      </c>
      <c r="G1085" s="30" t="n">
        <f aca="false">Sens!G1079-Sens!F1079</f>
        <v>2726.5351</v>
      </c>
      <c r="H1085" s="30" t="n">
        <f aca="false">Sens!H1079-Sens!G1079</f>
        <v>2726.5351</v>
      </c>
      <c r="I1085" s="30" t="n">
        <f aca="false">Sens!I1079-Sens!H1079</f>
        <v>1931.98611966667</v>
      </c>
      <c r="J1085" s="30" t="n">
        <f aca="false">Sens!J1079-Sens!I1079</f>
        <v>1176.07686172667</v>
      </c>
      <c r="K1085" s="30" t="n">
        <f aca="false">Sens!K1079-Sens!J1079</f>
        <v>436.130048441799</v>
      </c>
    </row>
    <row r="1086" customFormat="false" ht="17.15" hidden="false" customHeight="false" outlineLevel="0" collapsed="false">
      <c r="A1086" s="1" t="s">
        <v>960</v>
      </c>
      <c r="B1086" s="0" t="s">
        <v>456</v>
      </c>
      <c r="F1086" s="30" t="n">
        <f aca="false">Sens!F1105*ext_sh</f>
        <v>0</v>
      </c>
      <c r="G1086" s="30" t="n">
        <f aca="false">Sens!G1105*ext_sh</f>
        <v>0</v>
      </c>
      <c r="H1086" s="30" t="n">
        <f aca="false">Sens!H1105*ext_sh</f>
        <v>0</v>
      </c>
      <c r="I1086" s="30" t="n">
        <f aca="false">Sens!I1105*ext_sh</f>
        <v>490</v>
      </c>
      <c r="J1086" s="30" t="n">
        <f aca="false">Sens!J1105*ext_sh</f>
        <v>740</v>
      </c>
      <c r="K1086" s="30" t="n">
        <f aca="false">Sens!K1105*ext_sh</f>
        <v>1470</v>
      </c>
      <c r="L1086" s="1" t="s">
        <v>961</v>
      </c>
    </row>
    <row r="1087" customFormat="false" ht="17.15" hidden="false" customHeight="false" outlineLevel="0" collapsed="false">
      <c r="A1087" s="1" t="s">
        <v>962</v>
      </c>
      <c r="B1087" s="0" t="s">
        <v>456</v>
      </c>
      <c r="C1087" s="30" t="n">
        <f aca="false">mix_h*Sens!C1079</f>
        <v>128</v>
      </c>
      <c r="D1087" s="30" t="n">
        <f aca="false">mix_h*Sens!D1079</f>
        <v>326</v>
      </c>
      <c r="E1087" s="30" t="n">
        <f aca="false">mix_h*Sens!E1079</f>
        <v>650</v>
      </c>
      <c r="F1087" s="30" t="n">
        <f aca="false">Sens!E1087-Sens!F1086*mix_h</f>
        <v>650</v>
      </c>
      <c r="G1087" s="30" t="n">
        <f aca="false">Sens!F1087-Sens!G1086*mix_h</f>
        <v>650</v>
      </c>
      <c r="H1087" s="30" t="n">
        <f aca="false">Sens!G1087-Sens!H1086*mix_h</f>
        <v>650</v>
      </c>
      <c r="I1087" s="30" t="n">
        <f aca="false">Sens!H1087-Sens!I1086*mix_h</f>
        <v>552</v>
      </c>
      <c r="J1087" s="30" t="n">
        <f aca="false">Sens!I1087-Sens!J1086*mix_h</f>
        <v>404</v>
      </c>
      <c r="K1087" s="30" t="n">
        <f aca="false">Sens!J1087-Sens!K1086*mix_h</f>
        <v>110</v>
      </c>
    </row>
    <row r="1088" customFormat="false" ht="17.15" hidden="false" customHeight="false" outlineLevel="0" collapsed="false">
      <c r="A1088" s="1" t="s">
        <v>963</v>
      </c>
      <c r="B1088" s="0" t="s">
        <v>456</v>
      </c>
      <c r="C1088" s="30" t="n">
        <f aca="false">mix_g2*Sens!C1079</f>
        <v>288</v>
      </c>
      <c r="D1088" s="30" t="n">
        <f aca="false">mix_g2*Sens!D1079</f>
        <v>733.5</v>
      </c>
      <c r="E1088" s="30" t="n">
        <f aca="false">mix_g2*Sens!E1079</f>
        <v>1462.5</v>
      </c>
      <c r="F1088" s="30" t="n">
        <f aca="false">Sens!E1088-Sens!F1086*mix_g2</f>
        <v>1462.5</v>
      </c>
      <c r="G1088" s="30" t="n">
        <f aca="false">Sens!F1088-Sens!G1086*mix_g2</f>
        <v>1462.5</v>
      </c>
      <c r="H1088" s="30" t="n">
        <f aca="false">Sens!G1088-Sens!H1086*mix_g2</f>
        <v>1462.5</v>
      </c>
      <c r="I1088" s="30" t="n">
        <f aca="false">Sens!H1088-Sens!I1086*mix_g2</f>
        <v>1242</v>
      </c>
      <c r="J1088" s="30" t="n">
        <f aca="false">Sens!I1088-Sens!J1086*mix_g2</f>
        <v>909</v>
      </c>
      <c r="K1088" s="30" t="n">
        <f aca="false">Sens!J1088-Sens!K1086*mix_g2</f>
        <v>247.5</v>
      </c>
    </row>
    <row r="1089" customFormat="false" ht="17.15" hidden="false" customHeight="false" outlineLevel="0" collapsed="false">
      <c r="A1089" s="1" t="s">
        <v>964</v>
      </c>
      <c r="B1089" s="0" t="s">
        <v>456</v>
      </c>
      <c r="C1089" s="30" t="n">
        <f aca="false">mix_g3*Sens!C1079</f>
        <v>224</v>
      </c>
      <c r="D1089" s="30" t="n">
        <f aca="false">mix_g3*Sens!D1079</f>
        <v>570.5</v>
      </c>
      <c r="E1089" s="30" t="n">
        <f aca="false">mix_g3*Sens!E1079</f>
        <v>1137.5</v>
      </c>
      <c r="F1089" s="30" t="n">
        <f aca="false">Sens!E1089+(Sens!F1085+Sens!F1086)*(a_g3_27-nonnv*a_mai)-Sens!F1086*mix_g3</f>
        <v>2773.42106</v>
      </c>
      <c r="G1089" s="30" t="n">
        <f aca="false">Sens!F1089+(Sens!G1085+Sens!G1086)*(a_g3_28-nonnv*a_mai)-Sens!G1086*mix_g3</f>
        <v>3318.72808</v>
      </c>
      <c r="H1089" s="30" t="n">
        <f aca="false">Sens!G1089+(Sens!H1085+Sens!H1086)*(a_g3_29-nonnv*a_mai)-Sens!H1086*mix_g3</f>
        <v>3318.72808</v>
      </c>
      <c r="I1089" s="30" t="n">
        <f aca="false">Sens!H1089+(Sens!I1085+Sens!I1086)*(a_g3_29-nonnv*a_mai)-Sens!I1086*mix_g3</f>
        <v>3147.22808</v>
      </c>
      <c r="J1089" s="30" t="n">
        <f aca="false">Sens!I1089+(Sens!J1085+Sens!J1086)*(a_g3_29-nonnv*a_mai)-Sens!J1086*mix_g3</f>
        <v>2888.22808</v>
      </c>
      <c r="K1089" s="30" t="n">
        <f aca="false">Sens!J1089+(Sens!K1085+Sens!K1086)*(a_g3_29-nonnv*a_mai)-Sens!K1086*mix_g3</f>
        <v>2373.72808</v>
      </c>
    </row>
    <row r="1090" customFormat="false" ht="17.15" hidden="false" customHeight="false" outlineLevel="0" collapsed="false">
      <c r="A1090" s="1" t="s">
        <v>965</v>
      </c>
      <c r="B1090" s="0" t="s">
        <v>456</v>
      </c>
      <c r="C1090" s="30" t="n">
        <v>0</v>
      </c>
      <c r="D1090" s="30" t="n">
        <v>0</v>
      </c>
      <c r="E1090" s="30" t="n">
        <v>0</v>
      </c>
      <c r="F1090" s="30" t="n">
        <f aca="false">Sens!E1090+(Sens!F1085+Sens!F1086)*nonnv*a_mai</f>
        <v>272.65351</v>
      </c>
      <c r="G1090" s="30" t="n">
        <f aca="false">Sens!F1090+(Sens!G1085+Sens!G1086)*nonnv*a_mai</f>
        <v>545.30702</v>
      </c>
      <c r="H1090" s="30" t="n">
        <f aca="false">Sens!G1090+(Sens!H1085+Sens!H1086)*nonnv*a_mai</f>
        <v>817.96053</v>
      </c>
      <c r="I1090" s="30" t="n">
        <f aca="false">Sens!H1090+(Sens!I1085+Sens!I1086)*nonnv*a_mai</f>
        <v>1060.15914196667</v>
      </c>
      <c r="J1090" s="30" t="n">
        <f aca="false">Sens!I1090+(Sens!J1085+Sens!J1086)*nonnv*a_mai</f>
        <v>1251.76682813933</v>
      </c>
      <c r="K1090" s="30" t="n">
        <f aca="false">Sens!J1090+(Sens!K1085+Sens!K1086)*nonnv*a_mai</f>
        <v>1442.37983298351</v>
      </c>
      <c r="L1090" s="12" t="s">
        <v>966</v>
      </c>
    </row>
    <row r="1091" customFormat="false" ht="17.15" hidden="false" customHeight="false" outlineLevel="0" collapsed="false">
      <c r="A1091" s="1" t="s">
        <v>967</v>
      </c>
      <c r="B1091" s="0" t="s">
        <v>456</v>
      </c>
      <c r="C1091" s="30" t="n">
        <v>0</v>
      </c>
      <c r="D1091" s="30" t="n">
        <v>0</v>
      </c>
      <c r="E1091" s="30" t="n">
        <v>0</v>
      </c>
      <c r="F1091" s="30" t="n">
        <f aca="false">Sens!E1091+(Sens!F1085+Sens!F1086)*(1-a_g3_27)</f>
        <v>817.96053</v>
      </c>
      <c r="G1091" s="30" t="n">
        <f aca="false">Sens!F1091+(Sens!G1085+Sens!G1086)*(1-a_g3_28)</f>
        <v>2726.5351</v>
      </c>
      <c r="H1091" s="30" t="n">
        <f aca="false">Sens!G1091+(Sens!H1085+Sens!H1086)*(1-a_g3_29)</f>
        <v>5180.41669</v>
      </c>
      <c r="I1091" s="30" t="n">
        <f aca="false">Sens!H1091+(Sens!I1085+Sens!I1086)*(1-a_g3_29)</f>
        <v>7360.2041977</v>
      </c>
      <c r="J1091" s="30" t="n">
        <f aca="false">Sens!I1091+(Sens!J1085+Sens!J1086)*(1-a_g3_29)</f>
        <v>9084.673373254</v>
      </c>
      <c r="K1091" s="30" t="n">
        <f aca="false">Sens!J1091+(Sens!K1085+Sens!K1086)*(1-a_g3_29)</f>
        <v>10800.1904168516</v>
      </c>
    </row>
    <row r="1092" customFormat="false" ht="17.15" hidden="false" customHeight="false" outlineLevel="0" collapsed="false">
      <c r="A1092" s="1" t="s">
        <v>968</v>
      </c>
      <c r="B1092" s="0" t="s">
        <v>403</v>
      </c>
      <c r="C1092" s="15" t="n">
        <f aca="false">(Sens!C1087*tk_hold_h100+Sens!C1088*tk_hold_gb200+Sens!C1089*tk_hold_gb300+Sens!C1091*tk_hold_vr200+Sens!C1090*nv_hold_mai*tk_hold_vr200)/Sens!C1079</f>
        <v>9.7235358126469</v>
      </c>
      <c r="D1092" s="15" t="n">
        <f aca="false">(Sens!D1087*tk_hold_h100+Sens!D1088*tk_hold_gb200+Sens!D1089*tk_hold_gb300+Sens!D1091*tk_hold_vr200+Sens!D1090*nv_hold_mai*tk_hold_vr200)/Sens!D1079</f>
        <v>9.7235358126469</v>
      </c>
      <c r="E1092" s="15" t="n">
        <f aca="false">(Sens!E1087*tk_hold_h100+Sens!E1088*tk_hold_gb200+Sens!E1089*tk_hold_gb300+Sens!E1091*tk_hold_vr200+Sens!E1090*nv_hold_mai*tk_hold_vr200)/Sens!E1079</f>
        <v>9.7235358126469</v>
      </c>
      <c r="F1092" s="15" t="n">
        <f aca="false">(Sens!F1087*tk_hold_h100+Sens!F1088*tk_hold_gb200+Sens!F1089*tk_hold_gb300+Sens!F1091*tk_hold_vr200+Sens!F1090*nv_hold_mai*tk_hold_vr200)/Sens!F1079</f>
        <v>10.2195353876665</v>
      </c>
      <c r="G1092" s="15" t="n">
        <f aca="false">(Sens!G1087*tk_hold_h100+Sens!G1088*tk_hold_gb200+Sens!G1089*tk_hold_gb300+Sens!G1091*tk_hold_vr200+Sens!G1090*nv_hold_mai*tk_hold_vr200)/Sens!G1079</f>
        <v>10.5725598017306</v>
      </c>
      <c r="H1092" s="15" t="n">
        <f aca="false">(Sens!H1087*tk_hold_h100+Sens!H1088*tk_hold_gb200+Sens!H1089*tk_hold_gb300+Sens!H1091*tk_hold_vr200+Sens!H1090*nv_hold_mai*tk_hold_vr200)/Sens!H1079</f>
        <v>10.8210427149036</v>
      </c>
      <c r="I1092" s="15" t="n">
        <f aca="false">(Sens!I1087*tk_hold_h100+Sens!I1088*tk_hold_gb200+Sens!I1089*tk_hold_gb300+Sens!I1091*tk_hold_vr200+Sens!I1090*nv_hold_mai*tk_hold_vr200)/Sens!I1079</f>
        <v>11.0050618241982</v>
      </c>
      <c r="J1092" s="15" t="n">
        <f aca="false">(Sens!J1087*tk_hold_h100+Sens!J1088*tk_hold_gb200+Sens!J1089*tk_hold_gb300+Sens!J1091*tk_hold_vr200+Sens!J1090*nv_hold_mai*tk_hold_vr200)/Sens!J1079</f>
        <v>11.1505789658881</v>
      </c>
      <c r="K1092" s="15" t="n">
        <f aca="false">(Sens!K1087*tk_hold_h100+Sens!K1088*tk_hold_gb200+Sens!K1089*tk_hold_gb300+Sens!K1091*tk_hold_vr200+Sens!K1090*nv_hold_mai*tk_hold_vr200)/Sens!K1079</f>
        <v>11.3496914757183</v>
      </c>
      <c r="L1092" s="1" t="s">
        <v>969</v>
      </c>
    </row>
    <row r="1093" customFormat="false" ht="17.15" hidden="false" customHeight="false" outlineLevel="0" collapsed="false">
      <c r="A1093" s="1" t="s">
        <v>970</v>
      </c>
      <c r="B1093" s="0" t="s">
        <v>403</v>
      </c>
      <c r="C1093" s="15" t="n">
        <f aca="false">(Sens!C1087*tk_hold_h100+Sens!C1088*tk_hold_gb200+Sens!C1089*tk_hold_gb300+Sens!C1091*tk_hold_vr200+Sens!C1090*nv_out_mai*tk_hold_vr200)/Sens!C1079</f>
        <v>9.7235358126469</v>
      </c>
      <c r="D1093" s="15" t="n">
        <f aca="false">(Sens!D1087*tk_hold_h100+Sens!D1088*tk_hold_gb200+Sens!D1089*tk_hold_gb300+Sens!D1091*tk_hold_vr200+Sens!D1090*nv_out_mai*tk_hold_vr200)/Sens!D1079</f>
        <v>9.7235358126469</v>
      </c>
      <c r="E1093" s="15" t="n">
        <f aca="false">(Sens!E1087*tk_hold_h100+Sens!E1088*tk_hold_gb200+Sens!E1089*tk_hold_gb300+Sens!E1091*tk_hold_vr200+Sens!E1090*nv_out_mai*tk_hold_vr200)/Sens!E1079</f>
        <v>9.7235358126469</v>
      </c>
      <c r="F1093" s="15" t="n">
        <f aca="false">(Sens!F1087*tk_hold_h100+Sens!F1088*tk_hold_gb200+Sens!F1089*tk_hold_gb300+Sens!F1091*tk_hold_vr200+Sens!F1090*nv_out_mai*tk_hold_vr200)/Sens!F1079</f>
        <v>10.247422093969</v>
      </c>
      <c r="G1093" s="15" t="n">
        <f aca="false">(Sens!G1087*tk_hold_h100+Sens!G1088*tk_hold_gb200+Sens!G1089*tk_hold_gb300+Sens!G1091*tk_hold_vr200+Sens!G1090*nv_out_mai*tk_hold_vr200)/Sens!G1079</f>
        <v>10.6108602808053</v>
      </c>
      <c r="H1093" s="15" t="n">
        <f aca="false">(Sens!H1087*tk_hold_h100+Sens!H1088*tk_hold_gb200+Sens!H1089*tk_hold_gb300+Sens!H1091*tk_hold_vr200+Sens!H1090*nv_out_mai*tk_hold_vr200)/Sens!H1079</f>
        <v>10.8647885507393</v>
      </c>
      <c r="I1093" s="15" t="n">
        <f aca="false">(Sens!I1087*tk_hold_h100+Sens!I1088*tk_hold_gb200+Sens!I1089*tk_hold_gb300+Sens!I1091*tk_hold_vr200+Sens!I1090*nv_out_mai*tk_hold_vr200)/Sens!I1079</f>
        <v>11.0535625770025</v>
      </c>
      <c r="J1093" s="15" t="n">
        <f aca="false">(Sens!J1087*tk_hold_h100+Sens!J1088*tk_hold_gb200+Sens!J1089*tk_hold_gb300+Sens!J1091*tk_hold_vr200+Sens!J1090*nv_out_mai*tk_hold_vr200)/Sens!J1079</f>
        <v>11.2032127128058</v>
      </c>
      <c r="K1093" s="15" t="n">
        <f aca="false">(Sens!K1087*tk_hold_h100+Sens!K1088*tk_hold_gb200+Sens!K1089*tk_hold_gb300+Sens!K1091*tk_hold_vr200+Sens!K1090*nv_out_mai*tk_hold_vr200)/Sens!K1079</f>
        <v>11.4085735724225</v>
      </c>
      <c r="L1093" s="12" t="s">
        <v>971</v>
      </c>
    </row>
    <row r="1094" customFormat="false" ht="17.15" hidden="false" customHeight="false" outlineLevel="0" collapsed="false">
      <c r="A1094" s="0" t="s">
        <v>972</v>
      </c>
      <c r="B1094" s="0" t="s">
        <v>229</v>
      </c>
      <c r="C1094" s="15" t="n">
        <f aca="false">k_B</f>
        <v>1.17213932619116</v>
      </c>
      <c r="D1094" s="15" t="n">
        <f aca="false">k_B</f>
        <v>1.17213932619116</v>
      </c>
      <c r="E1094" s="15" t="n">
        <f aca="false">k_B</f>
        <v>1.17213932619116</v>
      </c>
      <c r="F1094" s="15" t="n">
        <f aca="false">(k_B+((ls_C*k_long+(1-ls_C)*k_spot)-k_B)*MIN(1,(Sens!F1077-base_fy)/k_ramp))*0.85</f>
        <v>0.916667693038224</v>
      </c>
      <c r="G1094" s="15" t="n">
        <f aca="false">(k_B+((ls_C*k_long+(1-ls_C)*k_spot)-k_B)*MIN(1,(Sens!G1077-base_fy)/k_ramp))*0.85</f>
        <v>0.837016958813967</v>
      </c>
      <c r="H1094" s="15" t="n">
        <f aca="false">(k_B+((ls_C*k_long+(1-ls_C)*k_spot)-k_B)*MIN(1,(Sens!H1077-base_fy)/k_ramp))*0.85</f>
        <v>0.757366224589709</v>
      </c>
      <c r="I1094" s="15" t="n">
        <f aca="false">(k_B+((ls_C*k_long+(1-ls_C)*k_spot)-k_B)*MIN(1,(Sens!I1077-base_fy)/k_ramp))*0.85</f>
        <v>0.757366224589709</v>
      </c>
      <c r="J1094" s="15" t="n">
        <f aca="false">(k_B+((ls_C*k_long+(1-ls_C)*k_spot)-k_B)*MIN(1,(Sens!J1077-base_fy)/k_ramp))*0.85</f>
        <v>0.757366224589709</v>
      </c>
      <c r="K1094" s="15" t="n">
        <f aca="false">(k_B+((ls_C*k_long+(1-ls_C)*k_spot)-k_B)*MIN(1,(Sens!K1077-base_fy)/k_ramp))*0.85</f>
        <v>0.757366224589709</v>
      </c>
      <c r="L1094" s="1" t="s">
        <v>973</v>
      </c>
    </row>
    <row r="1095" customFormat="false" ht="17.15" hidden="false" customHeight="false" outlineLevel="0" collapsed="false">
      <c r="A1095" s="1" t="s">
        <v>974</v>
      </c>
      <c r="B1095" s="0" t="s">
        <v>403</v>
      </c>
      <c r="C1095" s="15" t="n">
        <f aca="false">Sens!C1093*Sens!C1094*chip_f</f>
        <v>11.3973387156315</v>
      </c>
      <c r="D1095" s="15" t="n">
        <f aca="false">Sens!D1093*Sens!D1094*chip_f</f>
        <v>11.3973387156315</v>
      </c>
      <c r="E1095" s="15" t="n">
        <f aca="false">Sens!E1093*Sens!E1094*chip_f</f>
        <v>11.3973387156315</v>
      </c>
      <c r="F1095" s="15" t="n">
        <f aca="false">Sens!F1093*Sens!F1094*chip_f</f>
        <v>9.39348077046745</v>
      </c>
      <c r="G1095" s="15" t="n">
        <f aca="false">Sens!G1093*Sens!G1094*chip_f</f>
        <v>8.88147000263955</v>
      </c>
      <c r="H1095" s="15" t="n">
        <f aca="false">Sens!H1093*Sens!H1094*chip_f</f>
        <v>8.22862388563894</v>
      </c>
      <c r="I1095" s="15" t="n">
        <f aca="false">Sens!I1093*Sens!I1094*chip_f</f>
        <v>8.3715949572105</v>
      </c>
      <c r="J1095" s="15" t="n">
        <f aca="false">Sens!J1093*Sens!J1094*chip_f</f>
        <v>8.48493491557314</v>
      </c>
      <c r="K1095" s="15" t="n">
        <f aca="false">Sens!K1093*Sens!K1094*chip_f</f>
        <v>8.64046829449955</v>
      </c>
      <c r="L1095" s="1" t="s">
        <v>975</v>
      </c>
    </row>
    <row r="1096" customFormat="false" ht="17.15" hidden="false" customHeight="false" outlineLevel="0" collapsed="false">
      <c r="A1096" s="0" t="s">
        <v>976</v>
      </c>
      <c r="B1096" s="0" t="s">
        <v>98</v>
      </c>
      <c r="D1096" s="6" t="n">
        <f aca="false">(Sens!C1079+Sens!D1079)/2*Sens!D1095/1000</f>
        <v>12.9359794422418</v>
      </c>
      <c r="E1096" s="6" t="n">
        <f aca="false">(Sens!D1079+Sens!E1079)/2*Sens!E1095/1000</f>
        <v>27.8095064661409</v>
      </c>
      <c r="F1096" s="6" t="n">
        <f aca="false">(Sens!E1079+Sens!F1079)/2*Sens!F1095/1000</f>
        <v>43.3346400199465</v>
      </c>
      <c r="G1096" s="6" t="n">
        <f aca="false">(Sens!F1079+Sens!G1079)/2*Sens!G1095/1000</f>
        <v>65.1882370612693</v>
      </c>
      <c r="H1096" s="6" t="n">
        <f aca="false">(Sens!G1079+Sens!H1079)/2*Sens!H1095/1000</f>
        <v>82.832107250559</v>
      </c>
      <c r="I1096" s="6" t="n">
        <f aca="false">(Sens!H1079+Sens!I1079)/2*Sens!I1095/1000</f>
        <v>103.770928720787</v>
      </c>
      <c r="J1096" s="6" t="n">
        <f aca="false">(Sens!I1079+Sens!J1079)/2*Sens!J1095/1000</f>
        <v>118.361701378083</v>
      </c>
      <c r="K1096" s="6" t="n">
        <f aca="false">(Sens!J1079+Sens!K1079)/2*Sens!K1095/1000</f>
        <v>127.496445789251</v>
      </c>
      <c r="L1096" s="12" t="s">
        <v>977</v>
      </c>
    </row>
    <row r="1097" customFormat="false" ht="17.15" hidden="false" customHeight="false" outlineLevel="0" collapsed="false">
      <c r="A1097" s="1" t="s">
        <v>978</v>
      </c>
      <c r="B1097" s="0" t="s">
        <v>403</v>
      </c>
      <c r="C1097" s="15" t="n">
        <f aca="false">(Sens!C1087*tk_opex_h100+Sens!C1088*tk_opex_gb200+Sens!C1089*tk_opex_gb300+(Sens!C1091+Sens!C1090)*tk_opex_vr200)/Sens!C1079</f>
        <v>1.88636041306092</v>
      </c>
      <c r="D1097" s="15" t="n">
        <f aca="false">(Sens!D1087*tk_opex_h100+Sens!D1088*tk_opex_gb200+Sens!D1089*tk_opex_gb300+(Sens!D1091+Sens!D1090)*tk_opex_vr200)/Sens!D1079</f>
        <v>1.88636041306092</v>
      </c>
      <c r="E1097" s="15" t="n">
        <f aca="false">(Sens!E1087*tk_opex_h100+Sens!E1088*tk_opex_gb200+Sens!E1089*tk_opex_gb300+(Sens!E1091+Sens!E1090)*tk_opex_vr200)/Sens!E1079</f>
        <v>1.88636041306092</v>
      </c>
      <c r="F1097" s="15" t="n">
        <f aca="false">(Sens!F1087*tk_opex_h100+Sens!F1088*tk_opex_gb200+Sens!F1089*tk_opex_gb300+(Sens!F1091+Sens!F1090)*tk_opex_vr200)/Sens!F1079</f>
        <v>1.95051159746876</v>
      </c>
      <c r="G1097" s="15" t="n">
        <f aca="false">(Sens!G1087*tk_opex_h100+Sens!G1088*tk_opex_gb200+Sens!G1089*tk_opex_gb300+(Sens!G1091+Sens!G1090)*tk_opex_vr200)/Sens!G1079</f>
        <v>1.98836003669956</v>
      </c>
      <c r="H1097" s="15" t="n">
        <f aca="false">(Sens!H1087*tk_opex_h100+Sens!H1088*tk_opex_gb200+Sens!H1089*tk_opex_gb300+(Sens!H1091+Sens!H1090)*tk_opex_vr200)/Sens!H1079</f>
        <v>2.01344013834343</v>
      </c>
      <c r="I1097" s="15" t="n">
        <f aca="false">(Sens!I1087*tk_opex_h100+Sens!I1088*tk_opex_gb200+Sens!I1089*tk_opex_gb300+(Sens!I1091+Sens!I1090)*tk_opex_vr200)/Sens!I1079</f>
        <v>2.03261166882178</v>
      </c>
      <c r="J1097" s="15" t="n">
        <f aca="false">(Sens!J1087*tk_opex_h100+Sens!J1088*tk_opex_gb200+Sens!J1089*tk_opex_gb300+(Sens!J1091+Sens!J1090)*tk_opex_vr200)/Sens!J1079</f>
        <v>2.04808073288745</v>
      </c>
      <c r="K1097" s="15" t="n">
        <f aca="false">(Sens!K1087*tk_opex_h100+Sens!K1088*tk_opex_gb200+Sens!K1089*tk_opex_gb300+(Sens!K1091+Sens!K1090)*tk_opex_vr200)/Sens!K1079</f>
        <v>2.06973825807449</v>
      </c>
      <c r="L1097" s="12" t="s">
        <v>979</v>
      </c>
    </row>
    <row r="1098" customFormat="false" ht="17.15" hidden="false" customHeight="false" outlineLevel="0" collapsed="false">
      <c r="A1098" s="0" t="s">
        <v>980</v>
      </c>
      <c r="B1098" s="0" t="s">
        <v>98</v>
      </c>
      <c r="D1098" s="6" t="n">
        <f aca="false">(Sens!C1082+Sens!D1082)/2*Sens!D1097/1000</f>
        <v>2.70378325872065</v>
      </c>
      <c r="E1098" s="6" t="n">
        <f aca="false">(Sens!D1082+Sens!E1082)/2*Sens!E1097/1000</f>
        <v>6.17783035277451</v>
      </c>
      <c r="F1098" s="6" t="n">
        <f aca="false">(Sens!E1082+Sens!F1082)/2*Sens!F1097/1000</f>
        <v>12.8742463089237</v>
      </c>
      <c r="G1098" s="6" t="n">
        <f aca="false">(Sens!F1082+Sens!G1082)/2*Sens!G1097/1000</f>
        <v>21.8182834646277</v>
      </c>
      <c r="H1098" s="6" t="n">
        <f aca="false">(Sens!G1082+Sens!H1082)/2*Sens!H1097/1000</f>
        <v>31.2430128789734</v>
      </c>
      <c r="I1098" s="6" t="n">
        <f aca="false">(Sens!H1082+Sens!I1082)/2*Sens!I1097/1000</f>
        <v>39.4313057443268</v>
      </c>
      <c r="J1098" s="6" t="n">
        <f aca="false">(Sens!I1082+Sens!J1082)/2*Sens!J1097/1000</f>
        <v>45.0360318228653</v>
      </c>
      <c r="K1098" s="6" t="n">
        <f aca="false">(Sens!J1082+Sens!K1082)/2*Sens!K1097/1000</f>
        <v>48.2929727091156</v>
      </c>
    </row>
    <row r="1099" customFormat="false" ht="17.15" hidden="false" customHeight="false" outlineLevel="0" collapsed="false">
      <c r="A1099" s="0" t="s">
        <v>981</v>
      </c>
      <c r="B1099" s="0" t="s">
        <v>98</v>
      </c>
      <c r="D1099" s="6" t="n">
        <f aca="false">(Sens!C1080+Sens!D1080)/2*rent_mw/1000</f>
        <v>2.44475</v>
      </c>
      <c r="E1099" s="6" t="n">
        <f aca="false">(Sens!D1080+Sens!E1080)/2*rent_mw/1000</f>
        <v>4.22275</v>
      </c>
      <c r="F1099" s="6" t="n">
        <f aca="false">(Sens!E1080+Sens!F1080)/2*rent_mw/1000</f>
        <v>5.80517</v>
      </c>
      <c r="G1099" s="6" t="n">
        <f aca="false">(Sens!F1080+Sens!G1080)/2*rent_mw/1000</f>
        <v>6.72084</v>
      </c>
      <c r="H1099" s="6" t="n">
        <f aca="false">(Sens!G1080+Sens!H1080)/2*rent_mw/1000</f>
        <v>6.72084</v>
      </c>
      <c r="I1099" s="6" t="n">
        <f aca="false">(Sens!H1080+Sens!I1080)/2*rent_mw/1000</f>
        <v>6.72084</v>
      </c>
      <c r="J1099" s="6" t="n">
        <f aca="false">(Sens!I1080+Sens!J1080)/2*rent_mw/1000</f>
        <v>6.72084</v>
      </c>
      <c r="K1099" s="6" t="n">
        <f aca="false">(Sens!J1080+Sens!K1080)/2*rent_mw/1000</f>
        <v>6.72084</v>
      </c>
    </row>
    <row r="1100" customFormat="false" ht="17.15" hidden="false" customHeight="false" outlineLevel="0" collapsed="false">
      <c r="A1100" s="0" t="s">
        <v>982</v>
      </c>
      <c r="B1100" s="0" t="s">
        <v>98</v>
      </c>
      <c r="D1100" s="6" t="n">
        <f aca="false">(Sens!C1082+Sens!D1082)/2*(1-self_build)*fac_rent/1000</f>
        <v>0.853242375631075</v>
      </c>
      <c r="E1100" s="6" t="n">
        <f aca="false">(Sens!D1082+Sens!E1082)/2*(1-self_build)*fac_rent/1000</f>
        <v>1.94955961408728</v>
      </c>
      <c r="F1100" s="6" t="n">
        <f aca="false">(Sens!E1082+Sens!F1082)/2*(1-self_build)*fac_rent/1000</f>
        <v>3.92914894476356</v>
      </c>
      <c r="G1100" s="6" t="n">
        <f aca="false">(Sens!F1082+Sens!G1082)/2*(1-self_build)*fac_rent/1000</f>
        <v>6.53206908578159</v>
      </c>
      <c r="H1100" s="6" t="n">
        <f aca="false">(Sens!G1082+Sens!H1082)/2*(1-self_build)*fac_rent/1000</f>
        <v>9.23717988341591</v>
      </c>
      <c r="I1100" s="6" t="n">
        <f aca="false">(Sens!H1082+Sens!I1082)/2*(1-self_build)*fac_rent/1000</f>
        <v>11.5481378557393</v>
      </c>
      <c r="J1100" s="6" t="n">
        <f aca="false">(Sens!I1082+Sens!J1082)/2*(1-self_build)*fac_rent/1000</f>
        <v>13.0899582289108</v>
      </c>
      <c r="K1100" s="6" t="n">
        <f aca="false">(Sens!J1082+Sens!K1082)/2*(1-self_build)*fac_rent/1000</f>
        <v>13.8897275626556</v>
      </c>
      <c r="L1100" s="12" t="s">
        <v>983</v>
      </c>
    </row>
    <row r="1101" customFormat="false" ht="17.15" hidden="false" customHeight="false" outlineLevel="0" collapsed="false">
      <c r="A1101" s="1" t="s">
        <v>984</v>
      </c>
      <c r="B1101" s="0" t="s">
        <v>168</v>
      </c>
      <c r="D1101" s="7" t="n">
        <f aca="false">(Sens!C1081+Sens!D1081)/(Sens!C1082+Sens!D1082)</f>
        <v>0.6</v>
      </c>
      <c r="E1101" s="7" t="n">
        <f aca="false">(Sens!D1081+Sens!E1081)/(Sens!D1082+Sens!E1082)</f>
        <v>0.6</v>
      </c>
      <c r="F1101" s="7" t="n">
        <f aca="false">(Sens!E1081+Sens!F1081)/(Sens!E1082+Sens!F1082)</f>
        <v>0.6</v>
      </c>
      <c r="G1101" s="7" t="n">
        <f aca="false">(Sens!F1081+Sens!G1081)/(Sens!F1082+Sens!G1082)</f>
        <v>0.6</v>
      </c>
      <c r="H1101" s="7" t="n">
        <f aca="false">(Sens!G1081+Sens!H1081)/(Sens!G1082+Sens!H1082)</f>
        <v>0.6</v>
      </c>
      <c r="I1101" s="7" t="n">
        <f aca="false">(Sens!H1081+Sens!I1081)/(Sens!H1082+Sens!I1082)</f>
        <v>0.6</v>
      </c>
      <c r="J1101" s="7" t="n">
        <f aca="false">(Sens!I1081+Sens!J1081)/(Sens!I1082+Sens!J1082)</f>
        <v>0.6</v>
      </c>
      <c r="K1101" s="7" t="n">
        <f aca="false">(Sens!J1081+Sens!K1081)/(Sens!J1082+Sens!K1082)</f>
        <v>0.6</v>
      </c>
    </row>
    <row r="1102" customFormat="false" ht="17.15" hidden="false" customHeight="false" outlineLevel="0" collapsed="false">
      <c r="A1102" s="0" t="s">
        <v>985</v>
      </c>
      <c r="B1102" s="0" t="s">
        <v>98</v>
      </c>
      <c r="D1102" s="6" t="n">
        <f aca="false">Sens!D1096-Sens!D1101*(Sens!D1098+Sens!D1100)-Sens!D1099</f>
        <v>8.35701406163072</v>
      </c>
      <c r="E1102" s="6" t="n">
        <f aca="false">Sens!E1096-Sens!E1101*(Sens!E1098+Sens!E1100)-Sens!E1099</f>
        <v>18.7103224860238</v>
      </c>
      <c r="F1102" s="6" t="n">
        <f aca="false">Sens!F1096-Sens!F1101*(Sens!F1098+Sens!F1100)-Sens!F1099</f>
        <v>27.4474328677342</v>
      </c>
      <c r="G1102" s="6" t="n">
        <f aca="false">Sens!G1096-Sens!G1101*(Sens!G1098+Sens!G1100)-Sens!G1099</f>
        <v>41.4571855310237</v>
      </c>
      <c r="H1102" s="6" t="n">
        <f aca="false">Sens!H1096-Sens!H1101*(Sens!H1098+Sens!H1100)-Sens!H1099</f>
        <v>51.8231515931254</v>
      </c>
      <c r="I1102" s="6" t="n">
        <f aca="false">Sens!I1096-Sens!I1101*(Sens!I1098+Sens!I1100)-Sens!I1099</f>
        <v>66.4624225607478</v>
      </c>
      <c r="J1102" s="6" t="n">
        <f aca="false">Sens!J1096-Sens!J1101*(Sens!J1098+Sens!J1100)-Sens!J1099</f>
        <v>76.7652673470176</v>
      </c>
      <c r="K1102" s="6" t="n">
        <f aca="false">Sens!K1096-Sens!K1101*(Sens!K1098+Sens!K1100)-Sens!K1099</f>
        <v>83.4659856261881</v>
      </c>
    </row>
    <row r="1103" customFormat="false" ht="17.15" hidden="false" customHeight="false" outlineLevel="0" collapsed="false">
      <c r="A1103" s="1" t="s">
        <v>986</v>
      </c>
      <c r="B1103" s="0" t="s">
        <v>98</v>
      </c>
      <c r="D1103" s="6" t="n">
        <f aca="false">(1-Sens!D1101)*(Sens!D1098+Sens!D1100)</f>
        <v>1.42281025374069</v>
      </c>
      <c r="E1103" s="6" t="n">
        <f aca="false">(1-Sens!E1101)*(Sens!E1098+Sens!E1100)</f>
        <v>3.25095598674472</v>
      </c>
      <c r="F1103" s="6" t="n">
        <f aca="false">(1-Sens!F1101)*(Sens!F1098+Sens!F1100)</f>
        <v>6.72135810147489</v>
      </c>
      <c r="G1103" s="6" t="n">
        <f aca="false">(1-Sens!G1101)*(Sens!G1098+Sens!G1100)</f>
        <v>11.3401410201637</v>
      </c>
      <c r="H1103" s="6" t="n">
        <f aca="false">(1-Sens!H1101)*(Sens!H1098+Sens!H1100)</f>
        <v>16.1920771049557</v>
      </c>
      <c r="I1103" s="6" t="n">
        <f aca="false">(1-Sens!I1101)*(Sens!I1098+Sens!I1100)</f>
        <v>20.3917774400264</v>
      </c>
      <c r="J1103" s="6" t="n">
        <f aca="false">(1-Sens!J1101)*(Sens!J1098+Sens!J1100)</f>
        <v>23.2503960207104</v>
      </c>
      <c r="K1103" s="6" t="n">
        <f aca="false">(1-Sens!K1101)*(Sens!K1098+Sens!K1100)</f>
        <v>24.8730801087085</v>
      </c>
    </row>
    <row r="1104" customFormat="false" ht="17.15" hidden="false" customHeight="false" outlineLevel="0" collapsed="false">
      <c r="A1104" s="1" t="s">
        <v>987</v>
      </c>
      <c r="B1104" s="0" t="s">
        <v>414</v>
      </c>
      <c r="C1104" s="8" t="n">
        <f aca="false">cxit_open</f>
        <v>27.5918995</v>
      </c>
      <c r="D1104" s="8" t="n">
        <f aca="false">cxit_open</f>
        <v>27.5918995</v>
      </c>
      <c r="E1104" s="8" t="n">
        <f aca="false">cxit_open</f>
        <v>27.5918995</v>
      </c>
      <c r="F1104" s="8" t="n">
        <f aca="false">((a_g3_27-nonnv*a_mai)*tk_cxit_gb300+nonnv*a_mai*nv_hold_mai*tk_cxit_vr200+(1-a_g3_27)*tk_cxit_vr200)</f>
        <v>32.4975576</v>
      </c>
      <c r="G1104" s="8" t="n">
        <f aca="false">((a_g3_28-nonnv*a_mai)*tk_cxit_gb300+nonnv*a_mai*nv_hold_mai*tk_cxit_vr200+(1-a_g3_28)*tk_cxit_vr200)</f>
        <v>34.6372088</v>
      </c>
      <c r="H1104" s="8" t="n">
        <f aca="false">((a_g3_29-nonnv*a_mai)*tk_cxit_gb300+nonnv*a_mai*nv_hold_mai*tk_cxit_vr200+(1-a_g3_29)*tk_cxit_vr200)</f>
        <v>35.7070344</v>
      </c>
      <c r="I1104" s="8" t="n">
        <f aca="false">((a_g3_29-nonnv*a_mai)*tk_cxit_gb300+nonnv*a_mai*nv_hold_mai*tk_cxit_vr200+(1-a_g3_29)*tk_cxit_vr200)</f>
        <v>35.7070344</v>
      </c>
      <c r="J1104" s="8" t="n">
        <f aca="false">((a_g3_29-nonnv*a_mai)*tk_cxit_gb300+nonnv*a_mai*nv_hold_mai*tk_cxit_vr200+(1-a_g3_29)*tk_cxit_vr200)</f>
        <v>35.7070344</v>
      </c>
      <c r="K1104" s="8" t="n">
        <f aca="false">((a_g3_29-nonnv*a_mai)*tk_cxit_gb300+nonnv*a_mai*nv_hold_mai*tk_cxit_vr200+(1-a_g3_29)*tk_cxit_vr200)</f>
        <v>35.7070344</v>
      </c>
      <c r="L1104" s="12" t="s">
        <v>988</v>
      </c>
    </row>
    <row r="1105" customFormat="false" ht="17.15" hidden="false" customHeight="false" outlineLevel="0" collapsed="false">
      <c r="A1105" s="0" t="s">
        <v>989</v>
      </c>
      <c r="B1105" s="0" t="s">
        <v>456</v>
      </c>
      <c r="F1105" s="30" t="n">
        <f aca="false">Sens!C1084*IF(Sens!F1077-Sens!C1077=life_it,1,0)+Sens!D1084*IF(Sens!F1077-Sens!D1077=life_it,1,0)+Sens!E1084*IF(Sens!F1077-Sens!E1077=life_it,1,0)</f>
        <v>0</v>
      </c>
      <c r="G1105" s="30" t="n">
        <f aca="false">Sens!C1084*IF(Sens!G1077-Sens!C1077=life_it,1,0)+Sens!D1084*IF(Sens!G1077-Sens!D1077=life_it,1,0)+Sens!E1084*IF(Sens!G1077-Sens!E1077=life_it,1,0)+Sens!F1084*IF(Sens!G1077-Sens!F1077=life_it,1,0)</f>
        <v>0</v>
      </c>
      <c r="H1105" s="30" t="n">
        <f aca="false">Sens!C1084*IF(Sens!H1077-Sens!C1077=life_it,1,0)+Sens!D1084*IF(Sens!H1077-Sens!D1077=life_it,1,0)+Sens!E1084*IF(Sens!H1077-Sens!E1077=life_it,1,0)+Sens!F1084*IF(Sens!H1077-Sens!F1077=life_it,1,0)+Sens!G1084*IF(Sens!H1077-Sens!G1077=life_it,1,0)</f>
        <v>0</v>
      </c>
      <c r="I1105" s="30" t="n">
        <f aca="false">Sens!C1084*IF(Sens!I1077-Sens!C1077=life_it,1,0)+Sens!D1084*IF(Sens!I1077-Sens!D1077=life_it,1,0)+Sens!E1084*IF(Sens!I1077-Sens!E1077=life_it,1,0)+Sens!F1084*IF(Sens!I1077-Sens!F1077=life_it,1,0)+Sens!G1084*IF(Sens!I1077-Sens!G1077=life_it,1,0)+Sens!H1084*IF(Sens!I1077-Sens!H1077=life_it,1,0)</f>
        <v>816.666666666667</v>
      </c>
      <c r="J1105" s="30" t="n">
        <f aca="false">Sens!C1084*IF(Sens!J1077-Sens!C1077=life_it,1,0)+Sens!D1084*IF(Sens!J1077-Sens!D1077=life_it,1,0)+Sens!E1084*IF(Sens!J1077-Sens!E1077=life_it,1,0)+Sens!F1084*IF(Sens!J1077-Sens!F1077=life_it,1,0)+Sens!G1084*IF(Sens!J1077-Sens!G1077=life_it,1,0)+Sens!H1084*IF(Sens!J1077-Sens!H1077=life_it,1,0)+Sens!I1084*IF(Sens!J1077-Sens!I1077=life_it,1,0)</f>
        <v>1233.33333333333</v>
      </c>
      <c r="K1105" s="30" t="n">
        <f aca="false">Sens!C1084*IF(Sens!K1077-Sens!C1077=life_it,1,0)+Sens!D1084*IF(Sens!K1077-Sens!D1077=life_it,1,0)+Sens!E1084*IF(Sens!K1077-Sens!E1077=life_it,1,0)+Sens!F1084*IF(Sens!K1077-Sens!F1077=life_it,1,0)+Sens!G1084*IF(Sens!K1077-Sens!G1077=life_it,1,0)+Sens!H1084*IF(Sens!K1077-Sens!H1077=life_it,1,0)+Sens!I1084*IF(Sens!K1077-Sens!I1077=life_it,1,0)+Sens!J1084*IF(Sens!K1077-Sens!J1077=life_it,1,0)</f>
        <v>2450</v>
      </c>
      <c r="L1105" s="1" t="s">
        <v>990</v>
      </c>
    </row>
    <row r="1106" customFormat="false" ht="17.15" hidden="false" customHeight="false" outlineLevel="0" collapsed="false">
      <c r="A1106" s="0" t="s">
        <v>991</v>
      </c>
      <c r="B1106" s="0" t="s">
        <v>98</v>
      </c>
      <c r="C1106" s="6" t="n">
        <f aca="false">Sens!C1084*Sens!C1104/1000</f>
        <v>22.5333845916667</v>
      </c>
      <c r="D1106" s="6" t="n">
        <f aca="false">Sens!D1084*Sens!D1104/1000</f>
        <v>34.0300093833333</v>
      </c>
      <c r="E1106" s="6" t="n">
        <f aca="false">Sens!E1084*Sens!E1104/1000</f>
        <v>67.600153775</v>
      </c>
      <c r="F1106" s="6" t="n">
        <f aca="false">(Sens!F1084+Sens!F1105)*Sens!F1104/1000</f>
        <v>136.51872432512</v>
      </c>
      <c r="G1106" s="6" t="n">
        <f aca="false">(Sens!G1084+Sens!G1105)*Sens!G1104/1000</f>
        <v>157.399275932048</v>
      </c>
      <c r="H1106" s="6" t="n">
        <f aca="false">(Sens!H1084+Sens!H1105)*Sens!H1104/1000</f>
        <v>162.260804347512</v>
      </c>
      <c r="I1106" s="6" t="n">
        <f aca="false">(Sens!I1084+Sens!I1105)*Sens!I1104/1000</f>
        <v>144.136569485434</v>
      </c>
      <c r="J1106" s="6" t="n">
        <f aca="false">(Sens!J1084+Sens!J1105)*Sens!J1104/1000</f>
        <v>114.029037357864</v>
      </c>
      <c r="K1106" s="6" t="n">
        <f aca="false">(Sens!K1084+Sens!K1105)*Sens!K1104/1000</f>
        <v>113.437085350975</v>
      </c>
    </row>
    <row r="1107" customFormat="false" ht="17.15" hidden="false" customHeight="false" outlineLevel="0" collapsed="false">
      <c r="A1107" s="0" t="s">
        <v>992</v>
      </c>
      <c r="B1107" s="0" t="s">
        <v>98</v>
      </c>
      <c r="C1107" s="6" t="n">
        <f aca="false">Sens!C1084*self_build*tk_cxfac/1000</f>
        <v>6.2083</v>
      </c>
      <c r="D1107" s="6" t="n">
        <f aca="false">Sens!D1084*self_build*tk_cxfac/1000</f>
        <v>9.3758</v>
      </c>
      <c r="E1107" s="6" t="n">
        <f aca="false">Sens!E1084*self_build*tk_cxfac/1000</f>
        <v>18.6249</v>
      </c>
      <c r="F1107" s="6" t="n">
        <f aca="false">Sens!F1084*self_build*tk_cxfac/1000</f>
        <v>31.935179717</v>
      </c>
      <c r="G1107" s="6" t="n">
        <f aca="false">Sens!G1084*self_build*tk_cxfac/1000</f>
        <v>34.545199717</v>
      </c>
      <c r="H1107" s="6" t="n">
        <f aca="false">Sens!H1084*self_build*tk_cxfac/1000</f>
        <v>34.545199717</v>
      </c>
      <c r="I1107" s="6" t="n">
        <f aca="false">Sens!I1084*self_build*tk_cxfac/1000</f>
        <v>24.4782641361767</v>
      </c>
      <c r="J1107" s="6" t="n">
        <f aca="false">Sens!J1084*self_build*tk_cxfac/1000</f>
        <v>14.9008938380769</v>
      </c>
      <c r="K1107" s="6" t="n">
        <f aca="false">Sens!K1084*self_build*tk_cxfac/1000</f>
        <v>5.52576771375761</v>
      </c>
    </row>
    <row r="1108" customFormat="false" ht="17.15" hidden="false" customHeight="false" outlineLevel="0" collapsed="false">
      <c r="A1108" s="0" t="s">
        <v>993</v>
      </c>
      <c r="B1108" s="0" t="s">
        <v>98</v>
      </c>
      <c r="F1108" s="15" t="n">
        <f aca="false">capex_floor27-Sens!F1106-Sens!F1107-Sens!F1204</f>
        <v>-0.415808288510604</v>
      </c>
      <c r="L1108" s="12" t="s">
        <v>994</v>
      </c>
    </row>
    <row r="1109" customFormat="false" ht="17.15" hidden="false" customHeight="false" outlineLevel="0" collapsed="false">
      <c r="A1109" s="0" t="s">
        <v>995</v>
      </c>
      <c r="B1109" s="0" t="s">
        <v>98</v>
      </c>
      <c r="F1109" s="6" t="n">
        <f aca="false">MAX(0,Sens!F1108)</f>
        <v>0</v>
      </c>
    </row>
    <row r="1110" customFormat="false" ht="17.15" hidden="false" customHeight="false" outlineLevel="0" collapsed="false">
      <c r="A1110" s="0" t="s">
        <v>996</v>
      </c>
      <c r="B1110" s="0" t="s">
        <v>98</v>
      </c>
      <c r="C1110" s="6" t="n">
        <f aca="false">Sens!C1106</f>
        <v>22.5333845916667</v>
      </c>
      <c r="D1110" s="6" t="n">
        <f aca="false">Sens!D1106</f>
        <v>34.0300093833333</v>
      </c>
      <c r="E1110" s="6" t="n">
        <f aca="false">Sens!E1106</f>
        <v>67.600153775</v>
      </c>
      <c r="F1110" s="6" t="n">
        <f aca="false">Sens!F1106</f>
        <v>136.51872432512</v>
      </c>
      <c r="G1110" s="6" t="n">
        <f aca="false">Sens!G1106</f>
        <v>157.399275932048</v>
      </c>
      <c r="H1110" s="6" t="n">
        <f aca="false">Sens!H1106</f>
        <v>162.260804347512</v>
      </c>
      <c r="I1110" s="6" t="n">
        <f aca="false">Sens!I1106</f>
        <v>144.136569485434</v>
      </c>
      <c r="J1110" s="6" t="n">
        <f aca="false">Sens!J1106</f>
        <v>114.029037357864</v>
      </c>
      <c r="K1110" s="6" t="n">
        <f aca="false">Sens!K1106</f>
        <v>113.437085350975</v>
      </c>
    </row>
    <row r="1111" customFormat="false" ht="17.15" hidden="false" customHeight="false" outlineLevel="0" collapsed="false">
      <c r="A1111" s="0" t="s">
        <v>997</v>
      </c>
      <c r="B1111" s="0" t="s">
        <v>98</v>
      </c>
      <c r="C1111" s="6" t="n">
        <f aca="false">Sens!C1110+Sens!C1107</f>
        <v>28.7416845916667</v>
      </c>
      <c r="D1111" s="6" t="n">
        <f aca="false">Sens!D1110+Sens!D1107</f>
        <v>43.4058093833333</v>
      </c>
      <c r="E1111" s="6" t="n">
        <f aca="false">Sens!E1110+Sens!E1107</f>
        <v>86.225053775</v>
      </c>
      <c r="F1111" s="6" t="n">
        <f aca="false">Sens!F1110+Sens!F1107</f>
        <v>168.45390404212</v>
      </c>
      <c r="G1111" s="6" t="n">
        <f aca="false">Sens!G1110+Sens!G1107</f>
        <v>191.944475649048</v>
      </c>
      <c r="H1111" s="6" t="n">
        <f aca="false">Sens!H1110+Sens!H1107</f>
        <v>196.806004064512</v>
      </c>
      <c r="I1111" s="6" t="n">
        <f aca="false">Sens!I1110+Sens!I1107</f>
        <v>168.61483362161</v>
      </c>
      <c r="J1111" s="6" t="n">
        <f aca="false">Sens!J1110+Sens!J1107</f>
        <v>128.92993119594</v>
      </c>
      <c r="K1111" s="6" t="n">
        <f aca="false">Sens!K1110+Sens!K1107</f>
        <v>118.962853064733</v>
      </c>
      <c r="L1111" s="12" t="s">
        <v>998</v>
      </c>
    </row>
    <row r="1112" customFormat="false" ht="17.15" hidden="false" customHeight="false" outlineLevel="0" collapsed="false">
      <c r="A1112" s="0" t="s">
        <v>999</v>
      </c>
      <c r="B1112" s="0" t="s">
        <v>98</v>
      </c>
      <c r="E1112" s="6" t="n">
        <f aca="false">(Sens!C1110*IF(2&lt;life_it,1,IF(2=life_it,0.5,0))+Sens!D1110*IF(1&lt;life_it,1,IF(1=life_it,0.5,0))+Sens!E1110*0.5)/life_it</f>
        <v>15.0605784770833</v>
      </c>
      <c r="F1112" s="6" t="n">
        <f aca="false">(Sens!C1110*IF(3&lt;life_it,1,IF(3=life_it,0.5,0))+Sens!D1110*IF(2&lt;life_it,1,IF(2=life_it,0.5,0))+Sens!E1110*IF(1&lt;life_it,1,IF(1=life_it,0.5,0))+Sens!F1110*0.5)/life_it</f>
        <v>32.0704849854266</v>
      </c>
      <c r="G1112" s="6" t="n">
        <f aca="false">(Sens!C1110*IF(4&lt;life_it,1,IF(4=life_it,0.5,0))+Sens!D1110*IF(3&lt;life_it,1,IF(3=life_it,0.5,0))+Sens!E1110*IF(2&lt;life_it,1,IF(2=life_it,0.5,0))+Sens!F1110*IF(1&lt;life_it,1,IF(1=life_it,0.5,0))+Sens!G1110*0.5)/life_it</f>
        <v>56.5636516735239</v>
      </c>
      <c r="H1112" s="6" t="n">
        <f aca="false">(Sens!C1110*IF(5&lt;life_it,1,IF(5=life_it,0.5,0))+Sens!D1110*IF(4&lt;life_it,1,IF(4=life_it,0.5,0))+Sens!E1110*IF(3&lt;life_it,1,IF(3=life_it,0.5,0))+Sens!F1110*IF(2&lt;life_it,1,IF(2=life_it,0.5,0))+Sens!G1110*IF(1&lt;life_it,1,IF(1=life_it,0.5,0))+Sens!H1110*0.5)/life_it</f>
        <v>83.2019916968207</v>
      </c>
      <c r="I1112" s="6" t="n">
        <f aca="false">(Sens!C1110*IF(6&lt;life_it,1,IF(6=life_it,0.5,0))+Sens!D1110*IF(5&lt;life_it,1,IF(5=life_it,0.5,0))+Sens!E1110*IF(4&lt;life_it,1,IF(4=life_it,0.5,0))+Sens!F1110*IF(3&lt;life_it,1,IF(3=life_it,0.5,0))+Sens!G1110*IF(2&lt;life_it,1,IF(2=life_it,0.5,0))+Sens!H1110*IF(1&lt;life_it,1,IF(1=life_it,0.5,0))+Sens!I1110*0.5)/life_it</f>
        <v>106.857324133594</v>
      </c>
      <c r="J1112" s="6" t="n">
        <f aca="false">(Sens!C1110*IF(7&lt;life_it,1,IF(7=life_it,0.5,0))+Sens!D1110*IF(6&lt;life_it,1,IF(6=life_it,0.5,0))+Sens!E1110*IF(5&lt;life_it,1,IF(5=life_it,0.5,0))+Sens!F1110*IF(4&lt;life_it,1,IF(4=life_it,0.5,0))+Sens!G1110*IF(3&lt;life_it,1,IF(3=life_it,0.5,0))+Sens!H1110*IF(2&lt;life_it,1,IF(2=life_it,0.5,0))+Sens!I1110*IF(1&lt;life_it,1,IF(1=life_it,0.5,0))+Sens!J1110*0.5)/life_it</f>
        <v>123.657508539285</v>
      </c>
      <c r="K1112" s="6" t="n">
        <f aca="false">(Sens!C1110*IF(8&lt;life_it,1,IF(8=life_it,0.5,0))+Sens!D1110*IF(7&lt;life_it,1,IF(7=life_it,0.5,0))+Sens!E1110*IF(6&lt;life_it,1,IF(6=life_it,0.5,0))+Sens!F1110*IF(5&lt;life_it,1,IF(5=life_it,0.5,0))+Sens!G1110*IF(4&lt;life_it,1,IF(4=life_it,0.5,0))+Sens!H1110*IF(3&lt;life_it,1,IF(3=life_it,0.5,0))+Sens!I1110*IF(2&lt;life_it,1,IF(2=life_it,0.5,0))+Sens!J1110*IF(1&lt;life_it,1,IF(1=life_it,0.5,0))+Sens!K1110*0.5)/life_it</f>
        <v>134.143838501827</v>
      </c>
    </row>
    <row r="1113" customFormat="false" ht="17.15" hidden="false" customHeight="false" outlineLevel="0" collapsed="false">
      <c r="A1113" s="0" t="s">
        <v>1000</v>
      </c>
      <c r="B1113" s="0" t="s">
        <v>98</v>
      </c>
      <c r="E1113" s="6" t="n">
        <f aca="false">(Sens!C1107*IF(2&lt;life_fac,1,IF(2=life_fac,0.5,0))+Sens!D1107*IF(1&lt;life_fac,1,IF(1=life_fac,0.5,0))+Sens!E1107*0.5)/life_fac</f>
        <v>1.2448275</v>
      </c>
      <c r="F1113" s="6" t="n">
        <f aca="false">(Sens!C1107*IF(3&lt;life_fac,1,IF(3=life_fac,0.5,0))+Sens!D1107*IF(2&lt;life_fac,1,IF(2=life_fac,0.5,0))+Sens!E1107*IF(1&lt;life_fac,1,IF(1=life_fac,0.5,0))+Sens!F1107*0.5)/life_fac</f>
        <v>2.508829492925</v>
      </c>
      <c r="G1113" s="6" t="n">
        <f aca="false">(Sens!C1107*IF(4&lt;life_fac,1,IF(4=life_fac,0.5,0))+Sens!D1107*IF(3&lt;life_fac,1,IF(3=life_fac,0.5,0))+Sens!E1107*IF(2&lt;life_fac,1,IF(2=life_fac,0.5,0))+Sens!F1107*IF(1&lt;life_fac,1,IF(1=life_fac,0.5,0))+Sens!G1107*0.5)/life_fac</f>
        <v>4.170838978775</v>
      </c>
      <c r="H1113" s="6" t="n">
        <f aca="false">(Sens!C1107*IF(5&lt;life_fac,1,IF(5=life_fac,0.5,0))+Sens!D1107*IF(4&lt;life_fac,1,IF(4=life_fac,0.5,0))+Sens!E1107*IF(3&lt;life_fac,1,IF(3=life_fac,0.5,0))+Sens!F1107*IF(2&lt;life_fac,1,IF(2=life_fac,0.5,0))+Sens!G1107*IF(1&lt;life_fac,1,IF(1=life_fac,0.5,0))+Sens!H1107*0.5)/life_fac</f>
        <v>5.898098964625</v>
      </c>
      <c r="I1113" s="6" t="n">
        <f aca="false">(Sens!C1107*IF(6&lt;life_fac,1,IF(6=life_fac,0.5,0))+Sens!D1107*IF(5&lt;life_fac,1,IF(5=life_fac,0.5,0))+Sens!E1107*IF(4&lt;life_fac,1,IF(4=life_fac,0.5,0))+Sens!F1107*IF(3&lt;life_fac,1,IF(3=life_fac,0.5,0))+Sens!G1107*IF(2&lt;life_fac,1,IF(2=life_fac,0.5,0))+Sens!H1107*IF(1&lt;life_fac,1,IF(1=life_fac,0.5,0))+Sens!I1107*0.5)/life_fac</f>
        <v>7.37368556095442</v>
      </c>
      <c r="J1113" s="6" t="n">
        <f aca="false">(Sens!C1107*IF(7&lt;life_fac,1,IF(7=life_fac,0.5,0))+Sens!D1107*IF(6&lt;life_fac,1,IF(6=life_fac,0.5,0))+Sens!E1107*IF(5&lt;life_fac,1,IF(5=life_fac,0.5,0))+Sens!F1107*IF(4&lt;life_fac,1,IF(4=life_fac,0.5,0))+Sens!G1107*IF(3&lt;life_fac,1,IF(3=life_fac,0.5,0))+Sens!H1107*IF(2&lt;life_fac,1,IF(2=life_fac,0.5,0))+Sens!I1107*IF(1&lt;life_fac,1,IF(1=life_fac,0.5,0))+Sens!J1107*0.5)/life_fac</f>
        <v>8.35816451031075</v>
      </c>
      <c r="K1113" s="6" t="n">
        <f aca="false">(Sens!C1107*IF(8&lt;life_fac,1,IF(8=life_fac,0.5,0))+Sens!D1107*IF(7&lt;life_fac,1,IF(7=life_fac,0.5,0))+Sens!E1107*IF(6&lt;life_fac,1,IF(6=life_fac,0.5,0))+Sens!F1107*IF(5&lt;life_fac,1,IF(5=life_fac,0.5,0))+Sens!G1107*IF(4&lt;life_fac,1,IF(4=life_fac,0.5,0))+Sens!H1107*IF(3&lt;life_fac,1,IF(3=life_fac,0.5,0))+Sens!I1107*IF(2&lt;life_fac,1,IF(2=life_fac,0.5,0))+Sens!J1107*IF(1&lt;life_fac,1,IF(1=life_fac,0.5,0))+Sens!K1107*0.5)/life_fac</f>
        <v>8.86883104910662</v>
      </c>
    </row>
    <row r="1114" customFormat="false" ht="17.15" hidden="false" customHeight="false" outlineLevel="0" collapsed="false">
      <c r="A1114" s="0" t="s">
        <v>1001</v>
      </c>
      <c r="B1114" s="0" t="s">
        <v>98</v>
      </c>
      <c r="E1114" s="6" t="n">
        <f aca="false">Sens!E1112+Sens!E1113</f>
        <v>16.3054059770833</v>
      </c>
      <c r="F1114" s="6" t="n">
        <f aca="false">Sens!F1112+Sens!F1113</f>
        <v>34.5793144783516</v>
      </c>
      <c r="G1114" s="6" t="n">
        <f aca="false">Sens!G1112+Sens!G1113</f>
        <v>60.7344906522989</v>
      </c>
      <c r="H1114" s="6" t="n">
        <f aca="false">Sens!H1112+Sens!H1113</f>
        <v>89.1000906614457</v>
      </c>
      <c r="I1114" s="6" t="n">
        <f aca="false">Sens!I1112+Sens!I1113</f>
        <v>114.231009694548</v>
      </c>
      <c r="J1114" s="6" t="n">
        <f aca="false">Sens!J1112+Sens!J1113</f>
        <v>132.015673049596</v>
      </c>
      <c r="K1114" s="6" t="n">
        <f aca="false">Sens!K1112+Sens!K1113</f>
        <v>143.012669550934</v>
      </c>
    </row>
    <row r="1115" customFormat="false" ht="17.15" hidden="false" customHeight="false" outlineLevel="0" collapsed="false">
      <c r="A1115" s="0" t="s">
        <v>1002</v>
      </c>
      <c r="B1115" s="0" t="s">
        <v>98</v>
      </c>
      <c r="E1115" s="6" t="n">
        <f aca="false">Sens!E1102-Sens!E1101*Sens!E1114</f>
        <v>8.92707889977379</v>
      </c>
      <c r="F1115" s="6" t="n">
        <f aca="false">Sens!F1102-Sens!F1101*Sens!F1114</f>
        <v>6.69984418072318</v>
      </c>
      <c r="G1115" s="6" t="n">
        <f aca="false">Sens!G1102-Sens!G1101*Sens!G1114</f>
        <v>5.01649113964434</v>
      </c>
      <c r="H1115" s="6" t="n">
        <f aca="false">Sens!H1102-Sens!H1101*Sens!H1114</f>
        <v>-1.636902803742</v>
      </c>
      <c r="I1115" s="6" t="n">
        <f aca="false">Sens!I1102-Sens!I1101*Sens!I1114</f>
        <v>-2.07618325598122</v>
      </c>
      <c r="J1115" s="6" t="n">
        <f aca="false">Sens!J1102-Sens!J1101*Sens!J1114</f>
        <v>-2.44413648274008</v>
      </c>
      <c r="K1115" s="6" t="n">
        <f aca="false">Sens!K1102-Sens!K1101*Sens!K1114</f>
        <v>-2.34161610437232</v>
      </c>
    </row>
    <row r="1116" customFormat="false" ht="17.15" hidden="false" customHeight="false" outlineLevel="0" collapsed="false">
      <c r="A1116" s="3" t="s">
        <v>1506</v>
      </c>
    </row>
    <row r="1117" customFormat="false" ht="15" hidden="false" customHeight="false" outlineLevel="0" collapsed="false">
      <c r="A1117" s="4" t="s">
        <v>43</v>
      </c>
      <c r="B1117" s="4" t="s">
        <v>65</v>
      </c>
      <c r="C1117" s="23" t="s">
        <v>938</v>
      </c>
      <c r="D1117" s="23" t="s">
        <v>939</v>
      </c>
      <c r="E1117" s="23" t="s">
        <v>940</v>
      </c>
      <c r="F1117" s="23" t="s">
        <v>941</v>
      </c>
      <c r="G1117" s="23" t="s">
        <v>942</v>
      </c>
      <c r="H1117" s="23" t="s">
        <v>943</v>
      </c>
      <c r="I1117" s="23" t="s">
        <v>944</v>
      </c>
      <c r="J1117" s="23" t="s">
        <v>945</v>
      </c>
      <c r="K1117" s="23" t="s">
        <v>946</v>
      </c>
      <c r="L1117" s="4" t="s">
        <v>47</v>
      </c>
    </row>
    <row r="1118" customFormat="false" ht="17.15" hidden="false" customHeight="false" outlineLevel="0" collapsed="false">
      <c r="A1118" s="0" t="s">
        <v>1021</v>
      </c>
      <c r="B1118" s="0" t="s">
        <v>98</v>
      </c>
      <c r="D1118" s="6" t="n">
        <f aca="false">Sens!D1096</f>
        <v>12.9359794422418</v>
      </c>
      <c r="E1118" s="6" t="n">
        <f aca="false">Sens!E1096</f>
        <v>27.8095064661409</v>
      </c>
      <c r="F1118" s="6" t="n">
        <f aca="false">Sens!F1096</f>
        <v>43.3346400199465</v>
      </c>
      <c r="G1118" s="6" t="n">
        <f aca="false">Sens!G1096</f>
        <v>65.1882370612693</v>
      </c>
      <c r="H1118" s="6" t="n">
        <f aca="false">Sens!H1096</f>
        <v>82.832107250559</v>
      </c>
      <c r="I1118" s="6" t="n">
        <f aca="false">Sens!I1096</f>
        <v>103.770928720787</v>
      </c>
      <c r="J1118" s="6" t="n">
        <f aca="false">Sens!J1096</f>
        <v>118.361701378083</v>
      </c>
      <c r="K1118" s="6" t="n">
        <f aca="false">Sens!K1096</f>
        <v>127.496445789251</v>
      </c>
    </row>
    <row r="1119" customFormat="false" ht="17.15" hidden="false" customHeight="false" outlineLevel="0" collapsed="false">
      <c r="A1119" s="0" t="s">
        <v>1022</v>
      </c>
      <c r="B1119" s="0" t="s">
        <v>98</v>
      </c>
      <c r="D1119" s="6" t="n">
        <f aca="false">Q!L6-Sens!D1118</f>
        <v>59.6740205577583</v>
      </c>
      <c r="E1119" s="6" t="n">
        <f aca="false">Q!M6-Sens!E1118</f>
        <v>74.1284935338591</v>
      </c>
      <c r="F1119" s="6" t="n">
        <f aca="false">Q!$I$6+(Sens!F1118+Sens!E1119*(1+Sens!F1120))*(1-Q!$E$6/Q!M6)-Sens!F1118</f>
        <v>93.9491799839113</v>
      </c>
      <c r="G1119" s="6" t="n">
        <f aca="false">Sens!F1119*(1+Sens!G1120)</f>
        <v>111.625648239558</v>
      </c>
      <c r="H1119" s="6" t="n">
        <f aca="false">Sens!G1119*(1+Sens!H1120)</f>
        <v>129.609873150855</v>
      </c>
      <c r="I1119" s="6" t="n">
        <f aca="false">Sens!H1119*(1+Sens!I1120)</f>
        <v>146.987268637202</v>
      </c>
      <c r="J1119" s="6" t="n">
        <f aca="false">Sens!I1119*(1+Sens!J1120)</f>
        <v>162.720391040803</v>
      </c>
      <c r="K1119" s="6" t="n">
        <f aca="false">Sens!J1119*(1+Sens!K1120)</f>
        <v>175.738022324067</v>
      </c>
      <c r="L1119" s="12" t="s">
        <v>1023</v>
      </c>
    </row>
    <row r="1120" customFormat="false" ht="15" hidden="false" customHeight="false" outlineLevel="0" collapsed="false">
      <c r="A1120" s="1" t="s">
        <v>1024</v>
      </c>
      <c r="B1120" s="0" t="s">
        <v>168</v>
      </c>
      <c r="E1120" s="7" t="n">
        <f aca="false">Sens!E1119/Sens!D1119-1</f>
        <v>0.242223883039864</v>
      </c>
      <c r="F1120" s="7" t="n">
        <f aca="false">Sens!$E$1120+(glt_azo-Sens!$E$1120)*MIN(1,(Sens!F1077-base_fy)/n_conv)</f>
        <v>0.215186569199887</v>
      </c>
      <c r="G1120" s="7" t="n">
        <f aca="false">Sens!$E$1120+(glt_azo-Sens!$E$1120)*MIN(1,(Sens!G1077-base_fy)/n_conv)</f>
        <v>0.18814925535991</v>
      </c>
      <c r="H1120" s="7" t="n">
        <f aca="false">Sens!$E$1120+(glt_azo-Sens!$E$1120)*MIN(1,(Sens!H1077-base_fy)/n_conv)</f>
        <v>0.161111941519932</v>
      </c>
      <c r="I1120" s="7" t="n">
        <f aca="false">Sens!$E$1120+(glt_azo-Sens!$E$1120)*MIN(1,(Sens!I1077-base_fy)/n_conv)</f>
        <v>0.134074627679955</v>
      </c>
      <c r="J1120" s="7" t="n">
        <f aca="false">Sens!$E$1120+(glt_azo-Sens!$E$1120)*MIN(1,(Sens!J1077-base_fy)/n_conv)</f>
        <v>0.107037313839977</v>
      </c>
      <c r="K1120" s="7" t="n">
        <f aca="false">Sens!$E$1120+(glt_azo-Sens!$E$1120)*MIN(1,(Sens!K1077-base_fy)/n_conv)</f>
        <v>0.08</v>
      </c>
    </row>
    <row r="1121" customFormat="false" ht="15" hidden="false" customHeight="false" outlineLevel="0" collapsed="false">
      <c r="A1121" s="0" t="s">
        <v>1025</v>
      </c>
      <c r="B1121" s="0" t="s">
        <v>98</v>
      </c>
      <c r="D1121" s="6" t="n">
        <f aca="false">Sens!D1118+Sens!D1119</f>
        <v>72.61</v>
      </c>
      <c r="E1121" s="6" t="n">
        <f aca="false">Sens!E1118+Sens!E1119</f>
        <v>101.938</v>
      </c>
      <c r="F1121" s="6" t="n">
        <f aca="false">Sens!F1118+Sens!F1119</f>
        <v>137.283820003858</v>
      </c>
      <c r="G1121" s="6" t="n">
        <f aca="false">Sens!G1118+Sens!G1119</f>
        <v>176.813885300828</v>
      </c>
      <c r="H1121" s="6" t="n">
        <f aca="false">Sens!H1118+Sens!H1119</f>
        <v>212.441980401414</v>
      </c>
      <c r="I1121" s="6" t="n">
        <f aca="false">Sens!I1118+Sens!I1119</f>
        <v>250.758197357989</v>
      </c>
      <c r="J1121" s="6" t="n">
        <f aca="false">Sens!J1118+Sens!J1119</f>
        <v>281.082092418886</v>
      </c>
      <c r="K1121" s="6" t="n">
        <f aca="false">Sens!K1118+Sens!K1119</f>
        <v>303.234468113318</v>
      </c>
    </row>
    <row r="1122" customFormat="false" ht="17.15" hidden="false" customHeight="false" outlineLevel="0" collapsed="false">
      <c r="A1122" s="0" t="s">
        <v>1026</v>
      </c>
      <c r="B1122" s="1" t="s">
        <v>610</v>
      </c>
      <c r="C1122" s="30" t="n">
        <f aca="false">cop_s24</f>
        <v>1</v>
      </c>
      <c r="D1122" s="30" t="n">
        <f aca="false">cop_s25</f>
        <v>5</v>
      </c>
      <c r="E1122" s="30" t="n">
        <f aca="false">cop_s26</f>
        <v>30</v>
      </c>
      <c r="F1122" s="30" t="n">
        <f aca="false">Sens!E1122+cop_add_C</f>
        <v>40</v>
      </c>
      <c r="G1122" s="30" t="n">
        <f aca="false">Sens!F1122+cop_add_C</f>
        <v>50</v>
      </c>
      <c r="H1122" s="30" t="n">
        <f aca="false">Sens!G1122+cop_add_C</f>
        <v>60</v>
      </c>
      <c r="I1122" s="30" t="n">
        <f aca="false">Sens!H1122+cop_add_C*cop_tail</f>
        <v>65</v>
      </c>
      <c r="J1122" s="30" t="n">
        <f aca="false">Sens!I1122+cop_add_C*cop_tail</f>
        <v>70</v>
      </c>
      <c r="K1122" s="30" t="n">
        <f aca="false">Sens!J1122+cop_add_C*cop_tail</f>
        <v>75</v>
      </c>
      <c r="L1122" s="12" t="s">
        <v>1027</v>
      </c>
    </row>
    <row r="1123" customFormat="false" ht="17.15" hidden="false" customHeight="false" outlineLevel="0" collapsed="false">
      <c r="A1123" s="0" t="s">
        <v>1028</v>
      </c>
      <c r="B1123" s="0" t="s">
        <v>98</v>
      </c>
      <c r="D1123" s="6" t="n">
        <f aca="false">(Sens!C1122+Sens!D1122)/2*cop_px*12/1000</f>
        <v>0.9</v>
      </c>
      <c r="E1123" s="6" t="n">
        <f aca="false">(Sens!D1122+Sens!E1122)/2*cop_px*12/1000</f>
        <v>5.25</v>
      </c>
      <c r="F1123" s="6" t="n">
        <f aca="false">(Sens!E1122+Sens!F1122)/2*cop_px*12/1000</f>
        <v>10.5</v>
      </c>
      <c r="G1123" s="6" t="n">
        <f aca="false">(Sens!F1122+Sens!G1122)/2*cop_px*12/1000</f>
        <v>13.5</v>
      </c>
      <c r="H1123" s="6" t="n">
        <f aca="false">(Sens!G1122+Sens!H1122)/2*cop_px*12/1000</f>
        <v>16.5</v>
      </c>
      <c r="I1123" s="6" t="n">
        <f aca="false">(Sens!H1122+Sens!I1122)/2*cop_px*12/1000</f>
        <v>18.75</v>
      </c>
      <c r="J1123" s="6" t="n">
        <f aca="false">(Sens!I1122+Sens!J1122)/2*cop_px*12/1000</f>
        <v>20.25</v>
      </c>
      <c r="K1123" s="6" t="n">
        <f aca="false">(Sens!J1122+Sens!K1122)/2*cop_px*12/1000</f>
        <v>21.75</v>
      </c>
      <c r="L1123" s="1" t="s">
        <v>1029</v>
      </c>
    </row>
    <row r="1124" customFormat="false" ht="17.15" hidden="false" customHeight="false" outlineLevel="0" collapsed="false">
      <c r="A1124" s="0" t="s">
        <v>1030</v>
      </c>
      <c r="B1124" s="0" t="s">
        <v>98</v>
      </c>
      <c r="D1124" s="6" t="n">
        <f aca="false">Q!L7-Sens!D1123</f>
        <v>83.705</v>
      </c>
      <c r="E1124" s="6" t="n">
        <f aca="false">Q!M7-Sens!E1123</f>
        <v>95.049</v>
      </c>
      <c r="F1124" s="6" t="n">
        <f aca="false">Q!$I$7+(Sens!E1124*(1+Sens!F1125)+Sens!F1123)*(1-Q!$E$7/Q!M7)-Sens!F1123</f>
        <v>106.938354189776</v>
      </c>
      <c r="G1124" s="6" t="n">
        <f aca="false">Sens!F1124*(1+Sens!G1125)</f>
        <v>119.095360443801</v>
      </c>
      <c r="H1124" s="6" t="n">
        <f aca="false">Sens!G1124*(1+Sens!H1125)</f>
        <v>131.333811964563</v>
      </c>
      <c r="I1124" s="6" t="n">
        <f aca="false">Sens!H1124*(1+Sens!I1125)</f>
        <v>143.395665319381</v>
      </c>
      <c r="J1124" s="6" t="n">
        <f aca="false">Sens!I1124*(1+Sens!J1125)</f>
        <v>154.999327755573</v>
      </c>
      <c r="K1124" s="6" t="n">
        <f aca="false">Sens!J1124*(1+Sens!K1125)</f>
        <v>165.849280698463</v>
      </c>
      <c r="L1124" s="12" t="s">
        <v>1031</v>
      </c>
    </row>
    <row r="1125" customFormat="false" ht="15" hidden="false" customHeight="false" outlineLevel="0" collapsed="false">
      <c r="A1125" s="1" t="s">
        <v>1024</v>
      </c>
      <c r="B1125" s="0" t="s">
        <v>168</v>
      </c>
      <c r="E1125" s="7" t="n">
        <f aca="false">Sens!E1124/Sens!D1124-1</f>
        <v>0.135523564900544</v>
      </c>
      <c r="F1125" s="7" t="n">
        <f aca="false">Sens!$E$1125+(glt_m365b-Sens!$E$1125)*MIN(1,(Sens!F1077-base_fy)/n_conv)</f>
        <v>0.124602970750453</v>
      </c>
      <c r="G1125" s="7" t="n">
        <f aca="false">Sens!$E$1125+(glt_m365b-Sens!$E$1125)*MIN(1,(Sens!G1077-base_fy)/n_conv)</f>
        <v>0.113682376600363</v>
      </c>
      <c r="H1125" s="7" t="n">
        <f aca="false">Sens!$E$1125+(glt_m365b-Sens!$E$1125)*MIN(1,(Sens!H1077-base_fy)/n_conv)</f>
        <v>0.102761782450272</v>
      </c>
      <c r="I1125" s="7" t="n">
        <f aca="false">Sens!$E$1125+(glt_m365b-Sens!$E$1125)*MIN(1,(Sens!I1077-base_fy)/n_conv)</f>
        <v>0.0918411883001813</v>
      </c>
      <c r="J1125" s="7" t="n">
        <f aca="false">Sens!$E$1125+(glt_m365b-Sens!$E$1125)*MIN(1,(Sens!J1077-base_fy)/n_conv)</f>
        <v>0.0809205941500906</v>
      </c>
      <c r="K1125" s="7" t="n">
        <f aca="false">Sens!$E$1125+(glt_m365b-Sens!$E$1125)*MIN(1,(Sens!K1077-base_fy)/n_conv)</f>
        <v>0.07</v>
      </c>
    </row>
    <row r="1126" customFormat="false" ht="15" hidden="false" customHeight="false" outlineLevel="0" collapsed="false">
      <c r="A1126" s="0" t="s">
        <v>1032</v>
      </c>
      <c r="B1126" s="0" t="s">
        <v>98</v>
      </c>
      <c r="D1126" s="6" t="n">
        <f aca="false">Sens!D1124+Sens!D1123</f>
        <v>84.605</v>
      </c>
      <c r="E1126" s="6" t="n">
        <f aca="false">Sens!E1124+Sens!E1123</f>
        <v>100.299</v>
      </c>
      <c r="F1126" s="6" t="n">
        <f aca="false">Sens!F1124+Sens!F1123</f>
        <v>117.438354189776</v>
      </c>
      <c r="G1126" s="6" t="n">
        <f aca="false">Sens!G1124+Sens!G1123</f>
        <v>132.595360443801</v>
      </c>
      <c r="H1126" s="6" t="n">
        <f aca="false">Sens!H1124+Sens!H1123</f>
        <v>147.833811964563</v>
      </c>
      <c r="I1126" s="6" t="n">
        <f aca="false">Sens!I1124+Sens!I1123</f>
        <v>162.145665319381</v>
      </c>
      <c r="J1126" s="6" t="n">
        <f aca="false">Sens!J1124+Sens!J1123</f>
        <v>175.249327755573</v>
      </c>
      <c r="K1126" s="6" t="n">
        <f aca="false">Sens!K1124+Sens!K1123</f>
        <v>187.599280698463</v>
      </c>
    </row>
    <row r="1127" customFormat="false" ht="17.15" hidden="false" customHeight="false" outlineLevel="0" collapsed="false">
      <c r="A1127" s="0" t="s">
        <v>1033</v>
      </c>
      <c r="B1127" s="0" t="s">
        <v>98</v>
      </c>
      <c r="D1127" s="6" t="n">
        <f aca="false">Q!L8</f>
        <v>35.391</v>
      </c>
      <c r="E1127" s="6" t="n">
        <f aca="false">Q!M8</f>
        <v>37.285</v>
      </c>
      <c r="F1127" s="6" t="n">
        <f aca="false">Q!$I$8+(Q!M8-Q!$E$8)*(1+Sens!F1128)</f>
        <v>38.3851437782675</v>
      </c>
      <c r="G1127" s="6" t="n">
        <f aca="false">Sens!F1127*(1+Sens!G1128)</f>
        <v>40.0105353288615</v>
      </c>
      <c r="H1127" s="6" t="n">
        <f aca="false">Sens!G1127*(1+Sens!H1128)</f>
        <v>41.4812512033683</v>
      </c>
      <c r="I1127" s="6" t="n">
        <f aca="false">Sens!H1127*(1+Sens!I1128)</f>
        <v>42.7743107216329</v>
      </c>
      <c r="J1127" s="6" t="n">
        <f aca="false">Sens!I1127*(1+Sens!J1128)</f>
        <v>43.8687373064601</v>
      </c>
      <c r="K1127" s="6" t="n">
        <f aca="false">Sens!J1127*(1+Sens!K1128)</f>
        <v>44.7461120525893</v>
      </c>
      <c r="L1127" s="12" t="s">
        <v>1034</v>
      </c>
    </row>
    <row r="1128" customFormat="false" ht="15" hidden="false" customHeight="false" outlineLevel="0" collapsed="false">
      <c r="A1128" s="1" t="s">
        <v>1024</v>
      </c>
      <c r="B1128" s="0" t="s">
        <v>168</v>
      </c>
      <c r="E1128" s="7" t="n">
        <f aca="false">Sens!E1127/Sens!D1127-1</f>
        <v>0.0535164307309768</v>
      </c>
      <c r="F1128" s="7" t="n">
        <f aca="false">Sens!$E$1128+(glt_lic-Sens!$E$1128)*MIN(1,(Sens!F1077-base_fy)/n_conv)</f>
        <v>0.0479303589424807</v>
      </c>
      <c r="G1128" s="7" t="n">
        <f aca="false">Sens!$E$1128+(glt_lic-Sens!$E$1128)*MIN(1,(Sens!G1077-base_fy)/n_conv)</f>
        <v>0.0423442871539845</v>
      </c>
      <c r="H1128" s="7" t="n">
        <f aca="false">Sens!$E$1128+(glt_lic-Sens!$E$1128)*MIN(1,(Sens!H1077-base_fy)/n_conv)</f>
        <v>0.0367582153654884</v>
      </c>
      <c r="I1128" s="7" t="n">
        <f aca="false">Sens!$E$1128+(glt_lic-Sens!$E$1128)*MIN(1,(Sens!I1077-base_fy)/n_conv)</f>
        <v>0.0311721435769923</v>
      </c>
      <c r="J1128" s="7" t="n">
        <f aca="false">Sens!$E$1128+(glt_lic-Sens!$E$1128)*MIN(1,(Sens!J1077-base_fy)/n_conv)</f>
        <v>0.0255860717884961</v>
      </c>
      <c r="K1128" s="7" t="n">
        <f aca="false">Sens!$E$1128+(glt_lic-Sens!$E$1128)*MIN(1,(Sens!K1077-base_fy)/n_conv)</f>
        <v>0.02</v>
      </c>
    </row>
    <row r="1129" customFormat="false" ht="17.15" hidden="false" customHeight="false" outlineLevel="0" collapsed="false">
      <c r="A1129" s="0" t="s">
        <v>1035</v>
      </c>
      <c r="B1129" s="0" t="s">
        <v>98</v>
      </c>
      <c r="D1129" s="6" t="n">
        <f aca="false">Q!L9</f>
        <v>18.417</v>
      </c>
      <c r="E1129" s="6" t="n">
        <f aca="false">Q!M9</f>
        <v>20.345</v>
      </c>
      <c r="F1129" s="6" t="n">
        <f aca="false">Q!$I$9+(Q!M9-Q!$E$9)*(1+Sens!F1130)</f>
        <v>22.3161797133988</v>
      </c>
      <c r="G1129" s="6" t="n">
        <f aca="false">Sens!F1129*(1+Sens!G1130)</f>
        <v>24.3943499673233</v>
      </c>
      <c r="H1129" s="6" t="n">
        <f aca="false">Sens!G1129*(1+Sens!H1130)</f>
        <v>26.5250243109019</v>
      </c>
      <c r="I1129" s="6" t="n">
        <f aca="false">Sens!H1129*(1+Sens!I1130)</f>
        <v>28.6884573538181</v>
      </c>
      <c r="J1129" s="6" t="n">
        <f aca="false">Sens!I1129*(1+Sens!J1130)</f>
        <v>30.8624968052127</v>
      </c>
      <c r="K1129" s="6" t="n">
        <f aca="false">Sens!J1129*(1+Sens!K1130)</f>
        <v>33.0228715815776</v>
      </c>
      <c r="L1129" s="12" t="s">
        <v>1034</v>
      </c>
    </row>
    <row r="1130" customFormat="false" ht="15" hidden="false" customHeight="false" outlineLevel="0" collapsed="false">
      <c r="A1130" s="1" t="s">
        <v>1024</v>
      </c>
      <c r="B1130" s="0" t="s">
        <v>168</v>
      </c>
      <c r="E1130" s="7" t="n">
        <f aca="false">Sens!E1129/Sens!D1129-1</f>
        <v>0.104685888038225</v>
      </c>
      <c r="F1130" s="7" t="n">
        <f aca="false">Sens!$E$1130+(glt_ind-Sens!$E$1130)*MIN(1,(Sens!F1077-base_fy)/n_conv)</f>
        <v>0.0989049066985211</v>
      </c>
      <c r="G1130" s="7" t="n">
        <f aca="false">Sens!$E$1130+(glt_ind-Sens!$E$1130)*MIN(1,(Sens!G1077-base_fy)/n_conv)</f>
        <v>0.0931239253588169</v>
      </c>
      <c r="H1130" s="7" t="n">
        <f aca="false">Sens!$E$1130+(glt_ind-Sens!$E$1130)*MIN(1,(Sens!H1077-base_fy)/n_conv)</f>
        <v>0.0873429440191127</v>
      </c>
      <c r="I1130" s="7" t="n">
        <f aca="false">Sens!$E$1130+(glt_ind-Sens!$E$1130)*MIN(1,(Sens!I1077-base_fy)/n_conv)</f>
        <v>0.0815619626794085</v>
      </c>
      <c r="J1130" s="7" t="n">
        <f aca="false">Sens!$E$1130+(glt_ind-Sens!$E$1130)*MIN(1,(Sens!J1077-base_fy)/n_conv)</f>
        <v>0.0757809813397042</v>
      </c>
      <c r="K1130" s="7" t="n">
        <f aca="false">Sens!$E$1130+(glt_ind-Sens!$E$1130)*MIN(1,(Sens!K1077-base_fy)/n_conv)</f>
        <v>0.07</v>
      </c>
    </row>
    <row r="1131" customFormat="false" ht="17.15" hidden="false" customHeight="false" outlineLevel="0" collapsed="false">
      <c r="A1131" s="0" t="s">
        <v>1036</v>
      </c>
      <c r="B1131" s="0" t="s">
        <v>98</v>
      </c>
      <c r="D1131" s="6" t="n">
        <f aca="false">Q!L10</f>
        <v>7.76</v>
      </c>
      <c r="E1131" s="6" t="n">
        <f aca="false">Q!M10</f>
        <v>8.26</v>
      </c>
      <c r="F1131" s="6" t="n">
        <f aca="false">Q!$I$10+(Q!M10-Q!$E$10)*(1+Sens!F1132)</f>
        <v>8.75372082474227</v>
      </c>
      <c r="G1131" s="6" t="n">
        <f aca="false">Sens!F1131*(1+Sens!G1132)</f>
        <v>9.33399324642364</v>
      </c>
      <c r="H1131" s="6" t="n">
        <f aca="false">Sens!G1131*(1+Sens!H1132)</f>
        <v>9.96139155535851</v>
      </c>
      <c r="I1131" s="6" t="n">
        <f aca="false">Sens!H1131*(1+Sens!I1132)</f>
        <v>10.6402039077391</v>
      </c>
      <c r="J1131" s="6" t="n">
        <f aca="false">Sens!I1131*(1+Sens!J1132)</f>
        <v>11.3751458271397</v>
      </c>
      <c r="K1131" s="6" t="n">
        <f aca="false">Sens!J1131*(1+Sens!K1132)</f>
        <v>12.1714060350394</v>
      </c>
      <c r="L1131" s="12" t="s">
        <v>1034</v>
      </c>
    </row>
    <row r="1132" customFormat="false" ht="15" hidden="false" customHeight="false" outlineLevel="0" collapsed="false">
      <c r="A1132" s="1" t="s">
        <v>1024</v>
      </c>
      <c r="B1132" s="0" t="s">
        <v>168</v>
      </c>
      <c r="E1132" s="7" t="n">
        <f aca="false">Sens!E1131/Sens!D1131-1</f>
        <v>0.0644329896907216</v>
      </c>
      <c r="F1132" s="7" t="n">
        <f aca="false">Sens!$E$1132+(glt_fro-Sens!$E$1132)*MIN(1,(Sens!F1077-base_fy)/n_conv)</f>
        <v>0.065360824742268</v>
      </c>
      <c r="G1132" s="7" t="n">
        <f aca="false">Sens!$E$1132+(glt_fro-Sens!$E$1132)*MIN(1,(Sens!G1077-base_fy)/n_conv)</f>
        <v>0.0662886597938144</v>
      </c>
      <c r="H1132" s="7" t="n">
        <f aca="false">Sens!$E$1132+(glt_fro-Sens!$E$1132)*MIN(1,(Sens!H1077-base_fy)/n_conv)</f>
        <v>0.0672164948453608</v>
      </c>
      <c r="I1132" s="7" t="n">
        <f aca="false">Sens!$E$1132+(glt_fro-Sens!$E$1132)*MIN(1,(Sens!I1077-base_fy)/n_conv)</f>
        <v>0.0681443298969072</v>
      </c>
      <c r="J1132" s="7" t="n">
        <f aca="false">Sens!$E$1132+(glt_fro-Sens!$E$1132)*MIN(1,(Sens!J1077-base_fy)/n_conv)</f>
        <v>0.0690721649484536</v>
      </c>
      <c r="K1132" s="7" t="n">
        <f aca="false">Sens!$E$1132+(glt_fro-Sens!$E$1132)*MIN(1,(Sens!K1077-base_fy)/n_conv)</f>
        <v>0.07</v>
      </c>
    </row>
    <row r="1133" customFormat="false" ht="15" hidden="false" customHeight="false" outlineLevel="0" collapsed="false">
      <c r="A1133" s="0" t="s">
        <v>852</v>
      </c>
      <c r="B1133" s="0" t="s">
        <v>98</v>
      </c>
      <c r="D1133" s="6" t="n">
        <f aca="false">Sens!D1121+Sens!D1126+Sens!D1127+Sens!D1129+Sens!D1131</f>
        <v>218.783</v>
      </c>
      <c r="E1133" s="6" t="n">
        <f aca="false">Sens!E1121+Sens!E1126+Sens!E1127+Sens!E1129+Sens!E1131</f>
        <v>268.127</v>
      </c>
      <c r="F1133" s="6" t="n">
        <f aca="false">Sens!F1121+Sens!F1126+Sens!F1127+Sens!F1129+Sens!F1131</f>
        <v>324.177218510042</v>
      </c>
      <c r="G1133" s="6" t="n">
        <f aca="false">Sens!G1121+Sens!G1126+Sens!G1127+Sens!G1129+Sens!G1131</f>
        <v>383.148124287237</v>
      </c>
      <c r="H1133" s="6" t="n">
        <f aca="false">Sens!H1121+Sens!H1126+Sens!H1127+Sens!H1129+Sens!H1131</f>
        <v>438.243459435605</v>
      </c>
      <c r="I1133" s="6" t="n">
        <f aca="false">Sens!I1121+Sens!I1126+Sens!I1127+Sens!I1129+Sens!I1131</f>
        <v>495.00683466056</v>
      </c>
      <c r="J1133" s="6" t="n">
        <f aca="false">Sens!J1121+Sens!J1126+Sens!J1127+Sens!J1129+Sens!J1131</f>
        <v>542.437800113272</v>
      </c>
      <c r="K1133" s="6" t="n">
        <f aca="false">Sens!K1121+Sens!K1126+Sens!K1127+Sens!K1129+Sens!K1131</f>
        <v>580.774138480987</v>
      </c>
    </row>
    <row r="1134" customFormat="false" ht="17.15" hidden="false" customHeight="false" outlineLevel="0" collapsed="false">
      <c r="A1134" s="0" t="s">
        <v>1037</v>
      </c>
      <c r="B1134" s="0" t="s">
        <v>98</v>
      </c>
      <c r="D1134" s="6" t="n">
        <f aca="false">Q!L13</f>
        <v>22.171</v>
      </c>
      <c r="E1134" s="6" t="n">
        <f aca="false">Q!M13</f>
        <v>24.835</v>
      </c>
      <c r="F1134" s="6" t="n">
        <f aca="false">Q!$I$13+(Q!M13-Q!$E$13)*(1+Sens!F1135)</f>
        <v>27.5591895660247</v>
      </c>
      <c r="G1134" s="6" t="n">
        <f aca="false">Sens!F1134*(1+Sens!G1135)</f>
        <v>30.4098563144583</v>
      </c>
      <c r="H1134" s="6" t="n">
        <f aca="false">Sens!G1134*(1+Sens!H1135)</f>
        <v>33.3011792571777</v>
      </c>
      <c r="I1134" s="6" t="n">
        <f aca="false">Sens!H1134*(1+Sens!I1135)</f>
        <v>36.189023797112</v>
      </c>
      <c r="J1134" s="6" t="n">
        <f aca="false">Sens!I1134*(1+Sens!J1135)</f>
        <v>39.0247773769199</v>
      </c>
      <c r="K1134" s="6" t="n">
        <f aca="false">Sens!J1134*(1+Sens!K1135)</f>
        <v>41.7565117933043</v>
      </c>
      <c r="L1134" s="12" t="s">
        <v>1034</v>
      </c>
    </row>
    <row r="1135" customFormat="false" ht="15" hidden="false" customHeight="false" outlineLevel="0" collapsed="false">
      <c r="A1135" s="1" t="s">
        <v>1024</v>
      </c>
      <c r="B1135" s="0" t="s">
        <v>168</v>
      </c>
      <c r="E1135" s="7" t="n">
        <f aca="false">Sens!E1134/Sens!D1134-1</f>
        <v>0.120156961796942</v>
      </c>
      <c r="F1135" s="7" t="n">
        <f aca="false">Sens!$E$1135+(glt_srch-Sens!$E$1135)*MIN(1,(Sens!F1077-base_fy)/n_conv)</f>
        <v>0.111797468164118</v>
      </c>
      <c r="G1135" s="7" t="n">
        <f aca="false">Sens!$E$1135+(glt_srch-Sens!$E$1135)*MIN(1,(Sens!G1077-base_fy)/n_conv)</f>
        <v>0.103437974531295</v>
      </c>
      <c r="H1135" s="7" t="n">
        <f aca="false">Sens!$E$1135+(glt_srch-Sens!$E$1135)*MIN(1,(Sens!H1077-base_fy)/n_conv)</f>
        <v>0.095078480898471</v>
      </c>
      <c r="I1135" s="7" t="n">
        <f aca="false">Sens!$E$1135+(glt_srch-Sens!$E$1135)*MIN(1,(Sens!I1077-base_fy)/n_conv)</f>
        <v>0.0867189872656474</v>
      </c>
      <c r="J1135" s="7" t="n">
        <f aca="false">Sens!$E$1135+(glt_srch-Sens!$E$1135)*MIN(1,(Sens!J1077-base_fy)/n_conv)</f>
        <v>0.0783594936328237</v>
      </c>
      <c r="K1135" s="7" t="n">
        <f aca="false">Sens!$E$1135+(glt_srch-Sens!$E$1135)*MIN(1,(Sens!K1077-base_fy)/n_conv)</f>
        <v>0.07</v>
      </c>
    </row>
    <row r="1136" customFormat="false" ht="17.15" hidden="false" customHeight="false" outlineLevel="0" collapsed="false">
      <c r="A1136" s="0" t="s">
        <v>1038</v>
      </c>
      <c r="B1136" s="0" t="s">
        <v>98</v>
      </c>
      <c r="D1136" s="6" t="n">
        <f aca="false">Q!L14</f>
        <v>23.455</v>
      </c>
      <c r="E1136" s="6" t="n">
        <f aca="false">Q!M14</f>
        <v>21.79</v>
      </c>
      <c r="F1136" s="6" t="n">
        <f aca="false">Q!$I$14+(Q!M14-Q!$E$14)*(1+Sens!F1137)</f>
        <v>20.7520981041711</v>
      </c>
      <c r="G1136" s="6" t="n">
        <f aca="false">Sens!F1136*(1+Sens!G1137)</f>
        <v>19.9083593495882</v>
      </c>
      <c r="H1136" s="6" t="n">
        <f aca="false">Sens!G1136*(1+Sens!H1137)</f>
        <v>19.4008256265831</v>
      </c>
      <c r="I1136" s="6" t="n">
        <f aca="false">Sens!H1136*(1+Sens!I1137)</f>
        <v>19.200434522122</v>
      </c>
      <c r="J1136" s="6" t="n">
        <f aca="false">Sens!I1136*(1+Sens!J1137)</f>
        <v>19.2932782348507</v>
      </c>
      <c r="K1136" s="6" t="n">
        <f aca="false">Sens!J1136*(1+Sens!K1137)</f>
        <v>19.6791437995477</v>
      </c>
      <c r="L1136" s="12" t="s">
        <v>1034</v>
      </c>
    </row>
    <row r="1137" customFormat="false" ht="15" hidden="false" customHeight="false" outlineLevel="0" collapsed="false">
      <c r="A1137" s="1" t="s">
        <v>1024</v>
      </c>
      <c r="B1137" s="0" t="s">
        <v>168</v>
      </c>
      <c r="E1137" s="7" t="n">
        <f aca="false">Sens!E1136/Sens!D1136-1</f>
        <v>-0.0709869963760392</v>
      </c>
      <c r="F1137" s="7" t="n">
        <f aca="false">Sens!$E$1137+(glt_xbox-Sens!$E$1137)*MIN(1,(Sens!F1077-base_fy)/n_conv)</f>
        <v>-0.0558224969800327</v>
      </c>
      <c r="G1137" s="7" t="n">
        <f aca="false">Sens!$E$1137+(glt_xbox-Sens!$E$1137)*MIN(1,(Sens!G1077-base_fy)/n_conv)</f>
        <v>-0.0406579975840262</v>
      </c>
      <c r="H1137" s="7" t="n">
        <f aca="false">Sens!$E$1137+(glt_xbox-Sens!$E$1137)*MIN(1,(Sens!H1077-base_fy)/n_conv)</f>
        <v>-0.0254934981880196</v>
      </c>
      <c r="I1137" s="7" t="n">
        <f aca="false">Sens!$E$1137+(glt_xbox-Sens!$E$1137)*MIN(1,(Sens!I1077-base_fy)/n_conv)</f>
        <v>-0.0103289987920131</v>
      </c>
      <c r="J1137" s="7" t="n">
        <f aca="false">Sens!$E$1137+(glt_xbox-Sens!$E$1137)*MIN(1,(Sens!J1077-base_fy)/n_conv)</f>
        <v>0.00483550060399347</v>
      </c>
      <c r="K1137" s="7" t="n">
        <f aca="false">Sens!$E$1137+(glt_xbox-Sens!$E$1137)*MIN(1,(Sens!K1077-base_fy)/n_conv)</f>
        <v>0.02</v>
      </c>
    </row>
    <row r="1138" customFormat="false" ht="17.15" hidden="false" customHeight="false" outlineLevel="0" collapsed="false">
      <c r="A1138" s="0" t="s">
        <v>1039</v>
      </c>
      <c r="B1138" s="0" t="s">
        <v>98</v>
      </c>
      <c r="D1138" s="6" t="n">
        <f aca="false">Q!L15</f>
        <v>17.315</v>
      </c>
      <c r="E1138" s="6" t="n">
        <f aca="false">Q!M15</f>
        <v>17.087</v>
      </c>
      <c r="F1138" s="6" t="n">
        <f aca="false">Q!$I$15+(Q!M15-Q!$E$15)*(1+Sens!F1139)</f>
        <v>15.9912273250553</v>
      </c>
      <c r="G1138" s="6" t="n">
        <f aca="false">Sens!F1138*(1+Sens!G1139)</f>
        <v>15.9574562664827</v>
      </c>
      <c r="H1138" s="6" t="n">
        <f aca="false">Sens!G1138*(1+Sens!H1139)</f>
        <v>16.0119687434196</v>
      </c>
      <c r="I1138" s="6" t="n">
        <f aca="false">Sens!H1138*(1+Sens!I1139)</f>
        <v>16.1551810001948</v>
      </c>
      <c r="J1138" s="6" t="n">
        <f aca="false">Sens!I1138*(1+Sens!J1139)</f>
        <v>16.3889793892005</v>
      </c>
      <c r="K1138" s="6" t="n">
        <f aca="false">Sens!J1138*(1+Sens!K1139)</f>
        <v>16.7167589769845</v>
      </c>
      <c r="L1138" s="12" t="s">
        <v>1034</v>
      </c>
    </row>
    <row r="1139" customFormat="false" ht="15" hidden="false" customHeight="false" outlineLevel="0" collapsed="false">
      <c r="A1139" s="1" t="s">
        <v>1024</v>
      </c>
      <c r="B1139" s="0" t="s">
        <v>168</v>
      </c>
      <c r="E1139" s="7" t="n">
        <f aca="false">Sens!E1138/Sens!D1138-1</f>
        <v>-0.0131677736066995</v>
      </c>
      <c r="F1139" s="7" t="n">
        <f aca="false">Sens!$E$1139+(glt_win-Sens!$E$1139)*MIN(1,(Sens!F1077-base_fy)/n_conv)</f>
        <v>-0.00763981133891627</v>
      </c>
      <c r="G1139" s="7" t="n">
        <f aca="false">Sens!$E$1139+(glt_win-Sens!$E$1139)*MIN(1,(Sens!G1077-base_fy)/n_conv)</f>
        <v>-0.00211184907113301</v>
      </c>
      <c r="H1139" s="7" t="n">
        <f aca="false">Sens!$E$1139+(glt_win-Sens!$E$1139)*MIN(1,(Sens!H1077-base_fy)/n_conv)</f>
        <v>0.00341611319665024</v>
      </c>
      <c r="I1139" s="7" t="n">
        <f aca="false">Sens!$E$1139+(glt_win-Sens!$E$1139)*MIN(1,(Sens!I1077-base_fy)/n_conv)</f>
        <v>0.00894407546443349</v>
      </c>
      <c r="J1139" s="7" t="n">
        <f aca="false">Sens!$E$1139+(glt_win-Sens!$E$1139)*MIN(1,(Sens!J1077-base_fy)/n_conv)</f>
        <v>0.0144720377322168</v>
      </c>
      <c r="K1139" s="7" t="n">
        <f aca="false">Sens!$E$1139+(glt_win-Sens!$E$1139)*MIN(1,(Sens!K1077-base_fy)/n_conv)</f>
        <v>0.02</v>
      </c>
    </row>
    <row r="1140" customFormat="false" ht="15" hidden="false" customHeight="false" outlineLevel="0" collapsed="false">
      <c r="A1140" s="0" t="s">
        <v>866</v>
      </c>
      <c r="B1140" s="0" t="s">
        <v>98</v>
      </c>
      <c r="D1140" s="6" t="n">
        <f aca="false">Sens!D1134+Sens!D1136+Sens!D1138</f>
        <v>62.941</v>
      </c>
      <c r="E1140" s="6" t="n">
        <f aca="false">Sens!E1134+Sens!E1136+Sens!E1138</f>
        <v>63.712</v>
      </c>
      <c r="F1140" s="6" t="n">
        <f aca="false">Sens!F1134+Sens!F1136+Sens!F1138</f>
        <v>64.3025149952511</v>
      </c>
      <c r="G1140" s="6" t="n">
        <f aca="false">Sens!G1134+Sens!G1136+Sens!G1138</f>
        <v>66.2756719305292</v>
      </c>
      <c r="H1140" s="6" t="n">
        <f aca="false">Sens!H1134+Sens!H1136+Sens!H1138</f>
        <v>68.7139736271804</v>
      </c>
      <c r="I1140" s="6" t="n">
        <f aca="false">Sens!I1134+Sens!I1136+Sens!I1138</f>
        <v>71.5446393194289</v>
      </c>
      <c r="J1140" s="6" t="n">
        <f aca="false">Sens!J1134+Sens!J1136+Sens!J1138</f>
        <v>74.707035000971</v>
      </c>
      <c r="K1140" s="6" t="n">
        <f aca="false">Sens!K1134+Sens!K1136+Sens!K1138</f>
        <v>78.1524145698365</v>
      </c>
    </row>
    <row r="1141" customFormat="false" ht="15" hidden="false" customHeight="false" outlineLevel="0" collapsed="false">
      <c r="A1141" s="1" t="s">
        <v>1040</v>
      </c>
      <c r="B1141" s="0" t="s">
        <v>98</v>
      </c>
      <c r="D1141" s="6" t="n">
        <f aca="false">Sens!D1133+Sens!D1140</f>
        <v>281.724</v>
      </c>
      <c r="E1141" s="6" t="n">
        <f aca="false">Sens!E1133+Sens!E1140</f>
        <v>331.839</v>
      </c>
      <c r="F1141" s="6" t="n">
        <f aca="false">Sens!F1133+Sens!F1140</f>
        <v>388.479733505293</v>
      </c>
      <c r="G1141" s="6" t="n">
        <f aca="false">Sens!G1133+Sens!G1140</f>
        <v>449.423796217766</v>
      </c>
      <c r="H1141" s="6" t="n">
        <f aca="false">Sens!H1133+Sens!H1140</f>
        <v>506.957433062786</v>
      </c>
      <c r="I1141" s="6" t="n">
        <f aca="false">Sens!I1133+Sens!I1140</f>
        <v>566.551473979989</v>
      </c>
      <c r="J1141" s="6" t="n">
        <f aca="false">Sens!J1133+Sens!J1140</f>
        <v>617.144835114243</v>
      </c>
      <c r="K1141" s="6" t="n">
        <f aca="false">Sens!K1133+Sens!K1140</f>
        <v>658.926553050824</v>
      </c>
    </row>
    <row r="1142" customFormat="false" ht="15" hidden="false" customHeight="false" outlineLevel="0" collapsed="false">
      <c r="A1142" s="26" t="s">
        <v>1041</v>
      </c>
      <c r="B1142" s="31" t="s">
        <v>98</v>
      </c>
      <c r="C1142" s="31"/>
      <c r="D1142" s="27" t="n">
        <f aca="false">(Sens!D1121+Sens!D1126+Sens!D1127+Sens!D1129+Sens!D1131-Sens!D1133)+(Sens!D1134+Sens!D1136+Sens!D1138-Sens!D1140)+(Sens!D1133-Q!L5)+(Sens!D1140-Q!L12)+(Sens!D1121-Q!L6)+(Sens!D1126-Q!L7)</f>
        <v>0</v>
      </c>
      <c r="E1142" s="27" t="n">
        <f aca="false">(Sens!E1121+Sens!E1126+Sens!E1127+Sens!E1129+Sens!E1131-Sens!E1133)+(Sens!E1134+Sens!E1136+Sens!E1138-Sens!E1140)+(Sens!E1133-Q!M5)+(Sens!E1140-Q!M12)+(Sens!E1121-Q!M6)+(Sens!E1126-Q!M7)</f>
        <v>0</v>
      </c>
      <c r="F1142" s="27" t="n">
        <f aca="false">(Sens!F1121+Sens!F1126+Sens!F1127+Sens!F1129+Sens!F1131-Sens!F1133)+(Sens!F1134+Sens!F1136+Sens!F1138-Sens!F1140)</f>
        <v>0</v>
      </c>
      <c r="G1142" s="27" t="n">
        <f aca="false">(Sens!G1121+Sens!G1126+Sens!G1127+Sens!G1129+Sens!G1131-Sens!G1133)+(Sens!G1134+Sens!G1136+Sens!G1138-Sens!G1140)</f>
        <v>0</v>
      </c>
      <c r="H1142" s="27" t="n">
        <f aca="false">(Sens!H1121+Sens!H1126+Sens!H1127+Sens!H1129+Sens!H1131-Sens!H1133)+(Sens!H1134+Sens!H1136+Sens!H1138-Sens!H1140)</f>
        <v>0</v>
      </c>
      <c r="I1142" s="27" t="n">
        <f aca="false">(Sens!I1121+Sens!I1126+Sens!I1127+Sens!I1129+Sens!I1131-Sens!I1133)+(Sens!I1134+Sens!I1136+Sens!I1138-Sens!I1140)</f>
        <v>0</v>
      </c>
      <c r="J1142" s="27" t="n">
        <f aca="false">(Sens!J1121+Sens!J1126+Sens!J1127+Sens!J1129+Sens!J1131-Sens!J1133)+(Sens!J1134+Sens!J1136+Sens!J1138-Sens!J1140)</f>
        <v>0</v>
      </c>
      <c r="K1142" s="27" t="n">
        <f aca="false">(Sens!K1121+Sens!K1126+Sens!K1127+Sens!K1129+Sens!K1131-Sens!K1133)+(Sens!K1134+Sens!K1136+Sens!K1138-Sens!K1140)</f>
        <v>0</v>
      </c>
    </row>
    <row r="1143" customFormat="false" ht="17.15" hidden="false" customHeight="false" outlineLevel="0" collapsed="false">
      <c r="A1143" s="3" t="s">
        <v>1507</v>
      </c>
    </row>
    <row r="1144" customFormat="false" ht="15" hidden="false" customHeight="false" outlineLevel="0" collapsed="false">
      <c r="A1144" s="4" t="s">
        <v>43</v>
      </c>
      <c r="B1144" s="4" t="s">
        <v>65</v>
      </c>
      <c r="C1144" s="23" t="s">
        <v>938</v>
      </c>
      <c r="D1144" s="23" t="s">
        <v>939</v>
      </c>
      <c r="E1144" s="23" t="s">
        <v>940</v>
      </c>
      <c r="F1144" s="23" t="s">
        <v>941</v>
      </c>
      <c r="G1144" s="23" t="s">
        <v>942</v>
      </c>
      <c r="H1144" s="23" t="s">
        <v>943</v>
      </c>
      <c r="I1144" s="23" t="s">
        <v>944</v>
      </c>
      <c r="J1144" s="23" t="s">
        <v>945</v>
      </c>
      <c r="K1144" s="23" t="s">
        <v>946</v>
      </c>
      <c r="L1144" s="4" t="s">
        <v>47</v>
      </c>
    </row>
    <row r="1145" customFormat="false" ht="15" hidden="false" customHeight="false" outlineLevel="0" collapsed="false">
      <c r="A1145" s="0" t="s">
        <v>1025</v>
      </c>
      <c r="B1145" s="0" t="s">
        <v>98</v>
      </c>
      <c r="D1145" s="6" t="n">
        <f aca="false">Sens!D1121</f>
        <v>72.61</v>
      </c>
      <c r="E1145" s="6" t="n">
        <f aca="false">Sens!E1121</f>
        <v>101.938</v>
      </c>
      <c r="F1145" s="6" t="n">
        <f aca="false">Sens!F1121</f>
        <v>137.283820003858</v>
      </c>
      <c r="G1145" s="6" t="n">
        <f aca="false">Sens!G1121</f>
        <v>176.813885300828</v>
      </c>
      <c r="H1145" s="6" t="n">
        <f aca="false">Sens!H1121</f>
        <v>212.441980401414</v>
      </c>
      <c r="I1145" s="6" t="n">
        <f aca="false">Sens!I1121</f>
        <v>250.758197357989</v>
      </c>
      <c r="J1145" s="6" t="n">
        <f aca="false">Sens!J1121</f>
        <v>281.082092418886</v>
      </c>
      <c r="K1145" s="6" t="n">
        <f aca="false">Sens!K1121</f>
        <v>303.234468113318</v>
      </c>
    </row>
    <row r="1146" customFormat="false" ht="17.15" hidden="false" customHeight="false" outlineLevel="0" collapsed="false">
      <c r="A1146" s="0" t="s">
        <v>1021</v>
      </c>
      <c r="B1146" s="0" t="s">
        <v>98</v>
      </c>
      <c r="D1146" s="6" t="n">
        <f aca="false">Sens!D1118</f>
        <v>12.9359794422418</v>
      </c>
      <c r="E1146" s="6" t="n">
        <f aca="false">Sens!E1118</f>
        <v>27.8095064661409</v>
      </c>
      <c r="F1146" s="6" t="n">
        <f aca="false">Sens!F1118</f>
        <v>43.3346400199465</v>
      </c>
      <c r="G1146" s="6" t="n">
        <f aca="false">Sens!G1118</f>
        <v>65.1882370612693</v>
      </c>
      <c r="H1146" s="6" t="n">
        <f aca="false">Sens!H1118</f>
        <v>82.832107250559</v>
      </c>
      <c r="I1146" s="6" t="n">
        <f aca="false">Sens!I1118</f>
        <v>103.770928720787</v>
      </c>
      <c r="J1146" s="6" t="n">
        <f aca="false">Sens!J1118</f>
        <v>118.361701378083</v>
      </c>
      <c r="K1146" s="6" t="n">
        <f aca="false">Sens!K1118</f>
        <v>127.496445789251</v>
      </c>
    </row>
    <row r="1147" customFormat="false" ht="17.15" hidden="false" customHeight="false" outlineLevel="0" collapsed="false">
      <c r="A1147" s="0" t="s">
        <v>1052</v>
      </c>
      <c r="B1147" s="0" t="s">
        <v>98</v>
      </c>
      <c r="D1147" s="6" t="n">
        <f aca="false">Sens!D1119</f>
        <v>59.6740205577583</v>
      </c>
      <c r="E1147" s="6" t="n">
        <f aca="false">Sens!E1119</f>
        <v>74.1284935338591</v>
      </c>
      <c r="F1147" s="6" t="n">
        <f aca="false">Sens!F1119</f>
        <v>93.9491799839113</v>
      </c>
      <c r="G1147" s="6" t="n">
        <f aca="false">Sens!G1119</f>
        <v>111.625648239558</v>
      </c>
      <c r="H1147" s="6" t="n">
        <f aca="false">Sens!H1119</f>
        <v>129.609873150855</v>
      </c>
      <c r="I1147" s="6" t="n">
        <f aca="false">Sens!I1119</f>
        <v>146.987268637202</v>
      </c>
      <c r="J1147" s="6" t="n">
        <f aca="false">Sens!J1119</f>
        <v>162.720391040803</v>
      </c>
      <c r="K1147" s="6" t="n">
        <f aca="false">Sens!K1119</f>
        <v>175.738022324067</v>
      </c>
    </row>
    <row r="1148" customFormat="false" ht="15" hidden="false" customHeight="false" outlineLevel="0" collapsed="false">
      <c r="A1148" s="0" t="s">
        <v>1032</v>
      </c>
      <c r="B1148" s="0" t="s">
        <v>98</v>
      </c>
      <c r="D1148" s="6" t="n">
        <f aca="false">Sens!D1126</f>
        <v>84.605</v>
      </c>
      <c r="E1148" s="6" t="n">
        <f aca="false">Sens!E1126</f>
        <v>100.299</v>
      </c>
      <c r="F1148" s="6" t="n">
        <f aca="false">Sens!F1126</f>
        <v>117.438354189776</v>
      </c>
      <c r="G1148" s="6" t="n">
        <f aca="false">Sens!G1126</f>
        <v>132.595360443801</v>
      </c>
      <c r="H1148" s="6" t="n">
        <f aca="false">Sens!H1126</f>
        <v>147.833811964563</v>
      </c>
      <c r="I1148" s="6" t="n">
        <f aca="false">Sens!I1126</f>
        <v>162.145665319381</v>
      </c>
      <c r="J1148" s="6" t="n">
        <f aca="false">Sens!J1126</f>
        <v>175.249327755573</v>
      </c>
      <c r="K1148" s="6" t="n">
        <f aca="false">Sens!K1126</f>
        <v>187.599280698463</v>
      </c>
    </row>
    <row r="1149" customFormat="false" ht="17.15" hidden="false" customHeight="false" outlineLevel="0" collapsed="false">
      <c r="A1149" s="0" t="s">
        <v>1053</v>
      </c>
      <c r="B1149" s="0" t="s">
        <v>98</v>
      </c>
      <c r="D1149" s="6" t="n">
        <f aca="false">Sens!D1124</f>
        <v>83.705</v>
      </c>
      <c r="E1149" s="6" t="n">
        <f aca="false">Sens!E1124</f>
        <v>95.049</v>
      </c>
      <c r="F1149" s="6" t="n">
        <f aca="false">Sens!F1124</f>
        <v>106.938354189776</v>
      </c>
      <c r="G1149" s="6" t="n">
        <f aca="false">Sens!G1124</f>
        <v>119.095360443801</v>
      </c>
      <c r="H1149" s="6" t="n">
        <f aca="false">Sens!H1124</f>
        <v>131.333811964563</v>
      </c>
      <c r="I1149" s="6" t="n">
        <f aca="false">Sens!I1124</f>
        <v>143.395665319381</v>
      </c>
      <c r="J1149" s="6" t="n">
        <f aca="false">Sens!J1124</f>
        <v>154.999327755573</v>
      </c>
      <c r="K1149" s="6" t="n">
        <f aca="false">Sens!K1124</f>
        <v>165.849280698463</v>
      </c>
    </row>
    <row r="1150" customFormat="false" ht="17.15" hidden="false" customHeight="false" outlineLevel="0" collapsed="false">
      <c r="A1150" s="0" t="s">
        <v>1054</v>
      </c>
      <c r="B1150" s="0" t="s">
        <v>98</v>
      </c>
      <c r="D1150" s="6" t="n">
        <f aca="false">Sens!D1123</f>
        <v>0.9</v>
      </c>
      <c r="E1150" s="6" t="n">
        <f aca="false">Sens!E1123</f>
        <v>5.25</v>
      </c>
      <c r="F1150" s="6" t="n">
        <f aca="false">Sens!F1123</f>
        <v>10.5</v>
      </c>
      <c r="G1150" s="6" t="n">
        <f aca="false">Sens!G1123</f>
        <v>13.5</v>
      </c>
      <c r="H1150" s="6" t="n">
        <f aca="false">Sens!H1123</f>
        <v>16.5</v>
      </c>
      <c r="I1150" s="6" t="n">
        <f aca="false">Sens!I1123</f>
        <v>18.75</v>
      </c>
      <c r="J1150" s="6" t="n">
        <f aca="false">Sens!J1123</f>
        <v>20.25</v>
      </c>
      <c r="K1150" s="6" t="n">
        <f aca="false">Sens!K1123</f>
        <v>21.75</v>
      </c>
    </row>
    <row r="1151" customFormat="false" ht="15" hidden="false" customHeight="false" outlineLevel="0" collapsed="false">
      <c r="A1151" s="0" t="s">
        <v>1033</v>
      </c>
      <c r="B1151" s="0" t="s">
        <v>98</v>
      </c>
      <c r="D1151" s="6" t="n">
        <f aca="false">Sens!D1127</f>
        <v>35.391</v>
      </c>
      <c r="E1151" s="6" t="n">
        <f aca="false">Sens!E1127</f>
        <v>37.285</v>
      </c>
      <c r="F1151" s="6" t="n">
        <f aca="false">Sens!F1127</f>
        <v>38.3851437782675</v>
      </c>
      <c r="G1151" s="6" t="n">
        <f aca="false">Sens!G1127</f>
        <v>40.0105353288615</v>
      </c>
      <c r="H1151" s="6" t="n">
        <f aca="false">Sens!H1127</f>
        <v>41.4812512033683</v>
      </c>
      <c r="I1151" s="6" t="n">
        <f aca="false">Sens!I1127</f>
        <v>42.7743107216329</v>
      </c>
      <c r="J1151" s="6" t="n">
        <f aca="false">Sens!J1127</f>
        <v>43.8687373064601</v>
      </c>
      <c r="K1151" s="6" t="n">
        <f aca="false">Sens!K1127</f>
        <v>44.7461120525893</v>
      </c>
    </row>
    <row r="1152" customFormat="false" ht="15" hidden="false" customHeight="false" outlineLevel="0" collapsed="false">
      <c r="A1152" s="0" t="s">
        <v>1035</v>
      </c>
      <c r="B1152" s="0" t="s">
        <v>98</v>
      </c>
      <c r="D1152" s="6" t="n">
        <f aca="false">Sens!D1129</f>
        <v>18.417</v>
      </c>
      <c r="E1152" s="6" t="n">
        <f aca="false">Sens!E1129</f>
        <v>20.345</v>
      </c>
      <c r="F1152" s="6" t="n">
        <f aca="false">Sens!F1129</f>
        <v>22.3161797133988</v>
      </c>
      <c r="G1152" s="6" t="n">
        <f aca="false">Sens!G1129</f>
        <v>24.3943499673233</v>
      </c>
      <c r="H1152" s="6" t="n">
        <f aca="false">Sens!H1129</f>
        <v>26.5250243109019</v>
      </c>
      <c r="I1152" s="6" t="n">
        <f aca="false">Sens!I1129</f>
        <v>28.6884573538181</v>
      </c>
      <c r="J1152" s="6" t="n">
        <f aca="false">Sens!J1129</f>
        <v>30.8624968052127</v>
      </c>
      <c r="K1152" s="6" t="n">
        <f aca="false">Sens!K1129</f>
        <v>33.0228715815776</v>
      </c>
    </row>
    <row r="1153" customFormat="false" ht="15" hidden="false" customHeight="false" outlineLevel="0" collapsed="false">
      <c r="A1153" s="0" t="s">
        <v>1036</v>
      </c>
      <c r="B1153" s="0" t="s">
        <v>98</v>
      </c>
      <c r="D1153" s="6" t="n">
        <f aca="false">Sens!D1131</f>
        <v>7.76</v>
      </c>
      <c r="E1153" s="6" t="n">
        <f aca="false">Sens!E1131</f>
        <v>8.26</v>
      </c>
      <c r="F1153" s="6" t="n">
        <f aca="false">Sens!F1131</f>
        <v>8.75372082474227</v>
      </c>
      <c r="G1153" s="6" t="n">
        <f aca="false">Sens!G1131</f>
        <v>9.33399324642364</v>
      </c>
      <c r="H1153" s="6" t="n">
        <f aca="false">Sens!H1131</f>
        <v>9.96139155535851</v>
      </c>
      <c r="I1153" s="6" t="n">
        <f aca="false">Sens!I1131</f>
        <v>10.6402039077391</v>
      </c>
      <c r="J1153" s="6" t="n">
        <f aca="false">Sens!J1131</f>
        <v>11.3751458271397</v>
      </c>
      <c r="K1153" s="6" t="n">
        <f aca="false">Sens!K1131</f>
        <v>12.1714060350394</v>
      </c>
    </row>
    <row r="1154" customFormat="false" ht="15" hidden="false" customHeight="false" outlineLevel="0" collapsed="false">
      <c r="A1154" s="0" t="s">
        <v>852</v>
      </c>
      <c r="B1154" s="0" t="s">
        <v>98</v>
      </c>
      <c r="D1154" s="6" t="n">
        <f aca="false">Sens!D1133</f>
        <v>218.783</v>
      </c>
      <c r="E1154" s="6" t="n">
        <f aca="false">Sens!E1133</f>
        <v>268.127</v>
      </c>
      <c r="F1154" s="6" t="n">
        <f aca="false">Sens!F1133</f>
        <v>324.177218510042</v>
      </c>
      <c r="G1154" s="6" t="n">
        <f aca="false">Sens!G1133</f>
        <v>383.148124287237</v>
      </c>
      <c r="H1154" s="6" t="n">
        <f aca="false">Sens!H1133</f>
        <v>438.243459435605</v>
      </c>
      <c r="I1154" s="6" t="n">
        <f aca="false">Sens!I1133</f>
        <v>495.00683466056</v>
      </c>
      <c r="J1154" s="6" t="n">
        <f aca="false">Sens!J1133</f>
        <v>542.437800113272</v>
      </c>
      <c r="K1154" s="6" t="n">
        <f aca="false">Sens!K1133</f>
        <v>580.774138480987</v>
      </c>
    </row>
    <row r="1155" customFormat="false" ht="15" hidden="false" customHeight="false" outlineLevel="0" collapsed="false">
      <c r="A1155" s="0" t="s">
        <v>1037</v>
      </c>
      <c r="B1155" s="0" t="s">
        <v>98</v>
      </c>
      <c r="D1155" s="6" t="n">
        <f aca="false">Sens!D1134</f>
        <v>22.171</v>
      </c>
      <c r="E1155" s="6" t="n">
        <f aca="false">Sens!E1134</f>
        <v>24.835</v>
      </c>
      <c r="F1155" s="6" t="n">
        <f aca="false">Sens!F1134</f>
        <v>27.5591895660247</v>
      </c>
      <c r="G1155" s="6" t="n">
        <f aca="false">Sens!G1134</f>
        <v>30.4098563144583</v>
      </c>
      <c r="H1155" s="6" t="n">
        <f aca="false">Sens!H1134</f>
        <v>33.3011792571777</v>
      </c>
      <c r="I1155" s="6" t="n">
        <f aca="false">Sens!I1134</f>
        <v>36.189023797112</v>
      </c>
      <c r="J1155" s="6" t="n">
        <f aca="false">Sens!J1134</f>
        <v>39.0247773769199</v>
      </c>
      <c r="K1155" s="6" t="n">
        <f aca="false">Sens!K1134</f>
        <v>41.7565117933043</v>
      </c>
    </row>
    <row r="1156" customFormat="false" ht="15" hidden="false" customHeight="false" outlineLevel="0" collapsed="false">
      <c r="A1156" s="0" t="s">
        <v>1038</v>
      </c>
      <c r="B1156" s="0" t="s">
        <v>98</v>
      </c>
      <c r="D1156" s="6" t="n">
        <f aca="false">Sens!D1136</f>
        <v>23.455</v>
      </c>
      <c r="E1156" s="6" t="n">
        <f aca="false">Sens!E1136</f>
        <v>21.79</v>
      </c>
      <c r="F1156" s="6" t="n">
        <f aca="false">Sens!F1136</f>
        <v>20.7520981041711</v>
      </c>
      <c r="G1156" s="6" t="n">
        <f aca="false">Sens!G1136</f>
        <v>19.9083593495882</v>
      </c>
      <c r="H1156" s="6" t="n">
        <f aca="false">Sens!H1136</f>
        <v>19.4008256265831</v>
      </c>
      <c r="I1156" s="6" t="n">
        <f aca="false">Sens!I1136</f>
        <v>19.200434522122</v>
      </c>
      <c r="J1156" s="6" t="n">
        <f aca="false">Sens!J1136</f>
        <v>19.2932782348507</v>
      </c>
      <c r="K1156" s="6" t="n">
        <f aca="false">Sens!K1136</f>
        <v>19.6791437995477</v>
      </c>
    </row>
    <row r="1157" customFormat="false" ht="15" hidden="false" customHeight="false" outlineLevel="0" collapsed="false">
      <c r="A1157" s="0" t="s">
        <v>1039</v>
      </c>
      <c r="B1157" s="0" t="s">
        <v>98</v>
      </c>
      <c r="D1157" s="6" t="n">
        <f aca="false">Sens!D1138</f>
        <v>17.315</v>
      </c>
      <c r="E1157" s="6" t="n">
        <f aca="false">Sens!E1138</f>
        <v>17.087</v>
      </c>
      <c r="F1157" s="6" t="n">
        <f aca="false">Sens!F1138</f>
        <v>15.9912273250553</v>
      </c>
      <c r="G1157" s="6" t="n">
        <f aca="false">Sens!G1138</f>
        <v>15.9574562664827</v>
      </c>
      <c r="H1157" s="6" t="n">
        <f aca="false">Sens!H1138</f>
        <v>16.0119687434196</v>
      </c>
      <c r="I1157" s="6" t="n">
        <f aca="false">Sens!I1138</f>
        <v>16.1551810001948</v>
      </c>
      <c r="J1157" s="6" t="n">
        <f aca="false">Sens!J1138</f>
        <v>16.3889793892005</v>
      </c>
      <c r="K1157" s="6" t="n">
        <f aca="false">Sens!K1138</f>
        <v>16.7167589769845</v>
      </c>
    </row>
    <row r="1158" customFormat="false" ht="15" hidden="false" customHeight="false" outlineLevel="0" collapsed="false">
      <c r="A1158" s="0" t="s">
        <v>866</v>
      </c>
      <c r="B1158" s="0" t="s">
        <v>98</v>
      </c>
      <c r="D1158" s="6" t="n">
        <f aca="false">Sens!D1140</f>
        <v>62.941</v>
      </c>
      <c r="E1158" s="6" t="n">
        <f aca="false">Sens!E1140</f>
        <v>63.712</v>
      </c>
      <c r="F1158" s="6" t="n">
        <f aca="false">Sens!F1140</f>
        <v>64.3025149952511</v>
      </c>
      <c r="G1158" s="6" t="n">
        <f aca="false">Sens!G1140</f>
        <v>66.2756719305292</v>
      </c>
      <c r="H1158" s="6" t="n">
        <f aca="false">Sens!H1140</f>
        <v>68.7139736271804</v>
      </c>
      <c r="I1158" s="6" t="n">
        <f aca="false">Sens!I1140</f>
        <v>71.5446393194289</v>
      </c>
      <c r="J1158" s="6" t="n">
        <f aca="false">Sens!J1140</f>
        <v>74.707035000971</v>
      </c>
      <c r="K1158" s="6" t="n">
        <f aca="false">Sens!K1140</f>
        <v>78.1524145698365</v>
      </c>
    </row>
    <row r="1159" customFormat="false" ht="15" hidden="false" customHeight="false" outlineLevel="0" collapsed="false">
      <c r="A1159" s="1" t="s">
        <v>1055</v>
      </c>
      <c r="B1159" s="0" t="s">
        <v>98</v>
      </c>
      <c r="D1159" s="6" t="n">
        <f aca="false">Sens!D1141</f>
        <v>281.724</v>
      </c>
      <c r="E1159" s="6" t="n">
        <f aca="false">Sens!E1141</f>
        <v>331.839</v>
      </c>
      <c r="F1159" s="6" t="n">
        <f aca="false">Sens!F1141</f>
        <v>388.479733505293</v>
      </c>
      <c r="G1159" s="6" t="n">
        <f aca="false">Sens!G1141</f>
        <v>449.423796217766</v>
      </c>
      <c r="H1159" s="6" t="n">
        <f aca="false">Sens!H1141</f>
        <v>506.957433062786</v>
      </c>
      <c r="I1159" s="6" t="n">
        <f aca="false">Sens!I1141</f>
        <v>566.551473979989</v>
      </c>
      <c r="J1159" s="6" t="n">
        <f aca="false">Sens!J1141</f>
        <v>617.144835114243</v>
      </c>
      <c r="K1159" s="6" t="n">
        <f aca="false">Sens!K1141</f>
        <v>658.926553050824</v>
      </c>
    </row>
    <row r="1160" customFormat="false" ht="15" hidden="false" customHeight="false" outlineLevel="0" collapsed="false">
      <c r="A1160" s="1" t="s">
        <v>1056</v>
      </c>
      <c r="B1160" s="0" t="s">
        <v>168</v>
      </c>
      <c r="E1160" s="7" t="n">
        <f aca="false">Sens!E1159/Sens!D1159-1</f>
        <v>0.177886867998467</v>
      </c>
      <c r="F1160" s="7" t="n">
        <f aca="false">Sens!F1159/Sens!E1159-1</f>
        <v>0.17068739209464</v>
      </c>
      <c r="G1160" s="7" t="n">
        <f aca="false">Sens!G1159/Sens!F1159-1</f>
        <v>0.15687835801</v>
      </c>
      <c r="H1160" s="7" t="n">
        <f aca="false">Sens!H1159/Sens!G1159-1</f>
        <v>0.128016445344479</v>
      </c>
      <c r="I1160" s="7" t="n">
        <f aca="false">Sens!I1159/Sens!H1159-1</f>
        <v>0.117552356530539</v>
      </c>
      <c r="J1160" s="7" t="n">
        <f aca="false">Sens!J1159/Sens!I1159-1</f>
        <v>0.0893005551266828</v>
      </c>
      <c r="K1160" s="7" t="n">
        <f aca="false">Sens!K1159/Sens!J1159-1</f>
        <v>0.0677016407807201</v>
      </c>
    </row>
    <row r="1161" customFormat="false" ht="17.15" hidden="false" customHeight="false" outlineLevel="0" collapsed="false">
      <c r="A1161" s="26" t="s">
        <v>1057</v>
      </c>
      <c r="B1161" s="31" t="s">
        <v>98</v>
      </c>
      <c r="C1161" s="31"/>
      <c r="D1161" s="27" t="n">
        <f aca="false">(Sens!D1154+Sens!D1158-Sens!D1159)+(Sens!D1146+Sens!D1147-Sens!D1145)+(Sens!D1149+Sens!D1150-Sens!D1148)+(Sens!D1159-Q!L18)</f>
        <v>0</v>
      </c>
      <c r="E1161" s="27" t="n">
        <f aca="false">(Sens!E1154+Sens!E1158-Sens!E1159)+(Sens!E1146+Sens!E1147-Sens!E1145)+(Sens!E1149+Sens!E1150-Sens!E1148)+(Sens!E1159-Q!M18)</f>
        <v>0</v>
      </c>
      <c r="F1161" s="27" t="n">
        <f aca="false">(Sens!F1154+Sens!F1158-Sens!F1159)+(Sens!F1146+Sens!F1147-Sens!F1145)+(Sens!F1149+Sens!F1150-Sens!F1148)</f>
        <v>0</v>
      </c>
      <c r="G1161" s="27" t="n">
        <f aca="false">(Sens!G1154+Sens!G1158-Sens!G1159)+(Sens!G1146+Sens!G1147-Sens!G1145)+(Sens!G1149+Sens!G1150-Sens!G1148)</f>
        <v>0</v>
      </c>
      <c r="H1161" s="27" t="n">
        <f aca="false">(Sens!H1154+Sens!H1158-Sens!H1159)+(Sens!H1146+Sens!H1147-Sens!H1145)+(Sens!H1149+Sens!H1150-Sens!H1148)</f>
        <v>0</v>
      </c>
      <c r="I1161" s="27" t="n">
        <f aca="false">(Sens!I1154+Sens!I1158-Sens!I1159)+(Sens!I1146+Sens!I1147-Sens!I1145)+(Sens!I1149+Sens!I1150-Sens!I1148)</f>
        <v>0</v>
      </c>
      <c r="J1161" s="27" t="n">
        <f aca="false">(Sens!J1154+Sens!J1158-Sens!J1159)+(Sens!J1146+Sens!J1147-Sens!J1145)+(Sens!J1149+Sens!J1150-Sens!J1148)</f>
        <v>0</v>
      </c>
      <c r="K1161" s="27" t="n">
        <f aca="false">(Sens!K1154+Sens!K1158-Sens!K1159)+(Sens!K1146+Sens!K1147-Sens!K1145)+(Sens!K1149+Sens!K1150-Sens!K1148)</f>
        <v>0</v>
      </c>
    </row>
    <row r="1162" customFormat="false" ht="17.15" hidden="false" customHeight="false" outlineLevel="0" collapsed="false">
      <c r="A1162" s="0" t="s">
        <v>1058</v>
      </c>
      <c r="B1162" s="0" t="s">
        <v>168</v>
      </c>
      <c r="E1162" s="7" t="n">
        <f aca="false">(Q!M21+Sens!E1098+Sens!E1099+Sens!E1100+Sens!E1114-Sens!E1096)/(Q!M5-Sens!E1096)</f>
        <v>0.570957350878296</v>
      </c>
      <c r="F1162" s="7" t="n">
        <f aca="false">Sens!$E$1162+dm_seg</f>
        <v>0.570957350878296</v>
      </c>
      <c r="G1162" s="7" t="n">
        <f aca="false">Sens!$E$1162+dm_seg</f>
        <v>0.570957350878296</v>
      </c>
      <c r="H1162" s="7" t="n">
        <f aca="false">Sens!$E$1162+dm_seg</f>
        <v>0.570957350878296</v>
      </c>
      <c r="I1162" s="7" t="n">
        <f aca="false">Sens!$E$1162+dm_seg</f>
        <v>0.570957350878296</v>
      </c>
      <c r="J1162" s="7" t="n">
        <f aca="false">Sens!$E$1162+dm_seg</f>
        <v>0.570957350878296</v>
      </c>
      <c r="K1162" s="7" t="n">
        <f aca="false">Sens!$E$1162+dm_seg</f>
        <v>0.570957350878296</v>
      </c>
      <c r="L1162" s="12" t="s">
        <v>1059</v>
      </c>
    </row>
    <row r="1163" customFormat="false" ht="17.15" hidden="false" customHeight="false" outlineLevel="0" collapsed="false">
      <c r="A1163" s="0" t="s">
        <v>880</v>
      </c>
      <c r="B1163" s="0" t="s">
        <v>98</v>
      </c>
      <c r="D1163" s="6" t="n">
        <f aca="false">Q!L21</f>
        <v>110.814</v>
      </c>
      <c r="E1163" s="6" t="n">
        <f aca="false">Q!M21</f>
        <v>136.365</v>
      </c>
      <c r="F1163" s="6" t="n">
        <f aca="false">Q!$I$21+(Sens!F1162*(Sens!F1133-Sens!F1096)+Sens!F1096-(Sens!F1098+Sens!F1099+Sens!F1100)-Sens!F1114-Sens!F1197)*(Sens!F1133-Q!$I$5)/Sens!F1133</f>
        <v>152.350184699496</v>
      </c>
      <c r="G1163" s="6" t="n">
        <f aca="false">(Sens!G1162*(Sens!G1133-Sens!G1096)+Sens!G1096-(Sens!G1098+Sens!G1099+Sens!G1100)-Sens!G1114-Sens!G1197)</f>
        <v>150.924088754661</v>
      </c>
      <c r="H1163" s="6" t="n">
        <f aca="false">(Sens!H1162*(Sens!H1133-Sens!H1096)+Sens!H1096-(Sens!H1098+Sens!H1099+Sens!H1100)-Sens!H1114-Sens!H1197)</f>
        <v>149.455707942371</v>
      </c>
      <c r="I1163" s="6" t="n">
        <f aca="false">(Sens!I1162*(Sens!I1133-Sens!I1096)+Sens!I1096-(Sens!I1098+Sens!I1099+Sens!I1100)-Sens!I1114-Sens!I1197)</f>
        <v>155.218651850016</v>
      </c>
      <c r="J1163" s="6" t="n">
        <f aca="false">(Sens!J1162*(Sens!J1133-Sens!J1096)+Sens!J1096-(Sens!J1098+Sens!J1099+Sens!J1100)-Sens!J1114-Sens!J1197)</f>
        <v>163.628564181357</v>
      </c>
      <c r="K1163" s="6" t="n">
        <f aca="false">(Sens!K1162*(Sens!K1133-Sens!K1096)+Sens!K1096-(Sens!K1098+Sens!K1099+Sens!K1100)-Sens!K1114-Sens!K1197)</f>
        <v>174.382466598046</v>
      </c>
      <c r="L1163" s="1" t="s">
        <v>1060</v>
      </c>
    </row>
    <row r="1164" customFormat="false" ht="17.15" hidden="false" customHeight="false" outlineLevel="0" collapsed="false">
      <c r="A1164" s="0" t="s">
        <v>1061</v>
      </c>
      <c r="B1164" s="0" t="s">
        <v>168</v>
      </c>
      <c r="E1164" s="7" t="n">
        <f aca="false">Q!M22/Q!M12</f>
        <v>0.296207935710698</v>
      </c>
      <c r="F1164" s="7" t="n">
        <f aca="false">Sens!$E$1164+dm_seg</f>
        <v>0.296207935710698</v>
      </c>
      <c r="G1164" s="7" t="n">
        <f aca="false">Sens!$E$1164+dm_seg</f>
        <v>0.296207935710698</v>
      </c>
      <c r="H1164" s="7" t="n">
        <f aca="false">Sens!$E$1164+dm_seg</f>
        <v>0.296207935710698</v>
      </c>
      <c r="I1164" s="7" t="n">
        <f aca="false">Sens!$E$1164+dm_seg</f>
        <v>0.296207935710698</v>
      </c>
      <c r="J1164" s="7" t="n">
        <f aca="false">Sens!$E$1164+dm_seg</f>
        <v>0.296207935710698</v>
      </c>
      <c r="K1164" s="7" t="n">
        <f aca="false">Sens!$E$1164+dm_seg</f>
        <v>0.296207935710698</v>
      </c>
      <c r="L1164" s="12" t="s">
        <v>1062</v>
      </c>
    </row>
    <row r="1165" customFormat="false" ht="17.15" hidden="false" customHeight="false" outlineLevel="0" collapsed="false">
      <c r="A1165" s="0" t="s">
        <v>882</v>
      </c>
      <c r="B1165" s="0" t="s">
        <v>98</v>
      </c>
      <c r="D1165" s="6" t="n">
        <f aca="false">Q!L22</f>
        <v>17.714</v>
      </c>
      <c r="E1165" s="6" t="n">
        <f aca="false">Q!M22</f>
        <v>18.872</v>
      </c>
      <c r="F1165" s="6" t="n">
        <f aca="false">Q!$I$22+(Sens!F1140-Q!$I$12)*Sens!F1164</f>
        <v>19.8174315512051</v>
      </c>
      <c r="G1165" s="6" t="n">
        <f aca="false">Sens!G1140*Sens!G1164</f>
        <v>19.6313799703815</v>
      </c>
      <c r="H1165" s="6" t="n">
        <f aca="false">Sens!H1140*Sens!H1164</f>
        <v>20.3536242825865</v>
      </c>
      <c r="I1165" s="6" t="n">
        <f aca="false">Sens!I1140*Sens!I1164</f>
        <v>21.1920899239745</v>
      </c>
      <c r="J1165" s="6" t="n">
        <f aca="false">Sens!J1140*Sens!J1164</f>
        <v>22.1288166207045</v>
      </c>
      <c r="K1165" s="6" t="n">
        <f aca="false">Sens!K1140*Sens!K1164</f>
        <v>23.1493653905379</v>
      </c>
      <c r="L1165" s="12" t="s">
        <v>1063</v>
      </c>
    </row>
    <row r="1166" customFormat="false" ht="15" hidden="false" customHeight="false" outlineLevel="0" collapsed="false">
      <c r="A1166" s="1" t="s">
        <v>1064</v>
      </c>
      <c r="B1166" s="0" t="s">
        <v>98</v>
      </c>
      <c r="D1166" s="6" t="n">
        <f aca="false">Sens!D1163+Sens!D1165</f>
        <v>128.528</v>
      </c>
      <c r="E1166" s="6" t="n">
        <f aca="false">Sens!E1163+Sens!E1165</f>
        <v>155.237</v>
      </c>
      <c r="F1166" s="6" t="n">
        <f aca="false">Sens!F1163+Sens!F1165</f>
        <v>172.167616250701</v>
      </c>
      <c r="G1166" s="6" t="n">
        <f aca="false">Sens!G1163+Sens!G1165</f>
        <v>170.555468725043</v>
      </c>
      <c r="H1166" s="6" t="n">
        <f aca="false">Sens!H1163+Sens!H1165</f>
        <v>169.809332224958</v>
      </c>
      <c r="I1166" s="6" t="n">
        <f aca="false">Sens!I1163+Sens!I1165</f>
        <v>176.41074177399</v>
      </c>
      <c r="J1166" s="6" t="n">
        <f aca="false">Sens!J1163+Sens!J1165</f>
        <v>185.757380802061</v>
      </c>
      <c r="K1166" s="6" t="n">
        <f aca="false">Sens!K1163+Sens!K1165</f>
        <v>197.531831988584</v>
      </c>
    </row>
    <row r="1167" customFormat="false" ht="15" hidden="false" customHeight="false" outlineLevel="0" collapsed="false">
      <c r="A1167" s="26" t="s">
        <v>1065</v>
      </c>
      <c r="B1167" s="31" t="s">
        <v>98</v>
      </c>
      <c r="C1167" s="31"/>
      <c r="D1167" s="27" t="n">
        <f aca="false">Sens!D1166-Q!L23</f>
        <v>0</v>
      </c>
      <c r="E1167" s="27" t="n">
        <f aca="false">Sens!E1166-Q!M23</f>
        <v>0</v>
      </c>
      <c r="F1167" s="31"/>
      <c r="G1167" s="31"/>
      <c r="H1167" s="31"/>
      <c r="I1167" s="31"/>
      <c r="J1167" s="31"/>
      <c r="K1167" s="31"/>
    </row>
    <row r="1168" customFormat="false" ht="15" hidden="false" customHeight="false" outlineLevel="0" collapsed="false">
      <c r="A1168" s="1" t="s">
        <v>1066</v>
      </c>
      <c r="B1168" s="0" t="s">
        <v>168</v>
      </c>
      <c r="D1168" s="7" t="n">
        <f aca="false">Sens!D1166/Sens!D1159</f>
        <v>0.456219562408598</v>
      </c>
      <c r="E1168" s="7" t="n">
        <f aca="false">Sens!E1166/Sens!E1159</f>
        <v>0.467808184089272</v>
      </c>
      <c r="F1168" s="7" t="n">
        <f aca="false">Sens!F1166/Sens!F1159</f>
        <v>0.443183006478137</v>
      </c>
      <c r="G1168" s="7" t="n">
        <f aca="false">Sens!G1166/Sens!G1159</f>
        <v>0.379498082122917</v>
      </c>
      <c r="H1168" s="7" t="n">
        <f aca="false">Sens!H1166/Sens!H1159</f>
        <v>0.334957771896259</v>
      </c>
      <c r="I1168" s="7" t="n">
        <f aca="false">Sens!I1166/Sens!I1159</f>
        <v>0.31137637068476</v>
      </c>
      <c r="J1168" s="7" t="n">
        <f aca="false">Sens!J1166/Sens!J1159</f>
        <v>0.300994791227046</v>
      </c>
      <c r="K1168" s="7" t="n">
        <f aca="false">Sens!K1166/Sens!K1159</f>
        <v>0.299778224255819</v>
      </c>
    </row>
    <row r="1169" customFormat="false" ht="17.15" hidden="false" customHeight="false" outlineLevel="0" collapsed="false">
      <c r="A1169" s="1" t="s">
        <v>1067</v>
      </c>
      <c r="B1169" s="0" t="s">
        <v>98</v>
      </c>
      <c r="F1169" s="6" t="n">
        <f aca="false">Sens!F1184</f>
        <v>10.5962787979473</v>
      </c>
      <c r="G1169" s="6" t="n">
        <f aca="false">Sens!G1184</f>
        <v>27.844646674932</v>
      </c>
      <c r="H1169" s="6" t="n">
        <f aca="false">Sens!H1184</f>
        <v>46.566205501382</v>
      </c>
      <c r="I1169" s="6" t="n">
        <f aca="false">Sens!I1184</f>
        <v>63.2717778126444</v>
      </c>
      <c r="J1169" s="6" t="n">
        <f aca="false">Sens!J1184</f>
        <v>74.9061222882009</v>
      </c>
      <c r="K1169" s="6" t="n">
        <f aca="false">Sens!K1184</f>
        <v>81.6395437180232</v>
      </c>
      <c r="L1169" s="1" t="s">
        <v>1068</v>
      </c>
    </row>
    <row r="1170" customFormat="false" ht="17.15" hidden="false" customHeight="false" outlineLevel="0" collapsed="false">
      <c r="A1170" s="1" t="s">
        <v>1069</v>
      </c>
      <c r="B1170" s="0" t="s">
        <v>98</v>
      </c>
      <c r="D1170" s="6" t="n">
        <f aca="false">Sens!D1166</f>
        <v>128.528</v>
      </c>
      <c r="E1170" s="6" t="n">
        <f aca="false">Sens!E1166</f>
        <v>155.237</v>
      </c>
      <c r="F1170" s="6" t="n">
        <f aca="false">Sens!F1166+Sens!F1169</f>
        <v>182.763895048649</v>
      </c>
      <c r="G1170" s="6" t="n">
        <f aca="false">Sens!G1166+Sens!G1169</f>
        <v>198.400115399975</v>
      </c>
      <c r="H1170" s="6" t="n">
        <f aca="false">Sens!H1166+Sens!H1169</f>
        <v>216.37553772634</v>
      </c>
      <c r="I1170" s="6" t="n">
        <f aca="false">Sens!I1166+Sens!I1169</f>
        <v>239.682519586635</v>
      </c>
      <c r="J1170" s="6" t="n">
        <f aca="false">Sens!J1166+Sens!J1169</f>
        <v>260.663503090262</v>
      </c>
      <c r="K1170" s="6" t="n">
        <f aca="false">Sens!K1166+Sens!K1169</f>
        <v>279.171375706607</v>
      </c>
    </row>
    <row r="1171" customFormat="false" ht="17.15" hidden="false" customHeight="false" outlineLevel="0" collapsed="false">
      <c r="A1171" s="1" t="s">
        <v>1070</v>
      </c>
      <c r="B1171" s="0" t="s">
        <v>98</v>
      </c>
      <c r="E1171" s="6" t="n">
        <f aca="false">Sens!E1114</f>
        <v>16.3054059770833</v>
      </c>
      <c r="F1171" s="6" t="n">
        <f aca="false">Sens!F1114</f>
        <v>34.5793144783516</v>
      </c>
      <c r="G1171" s="6" t="n">
        <f aca="false">Sens!G1114</f>
        <v>60.7344906522989</v>
      </c>
      <c r="H1171" s="6" t="n">
        <f aca="false">Sens!H1114</f>
        <v>89.1000906614457</v>
      </c>
      <c r="I1171" s="6" t="n">
        <f aca="false">Sens!I1114</f>
        <v>114.231009694548</v>
      </c>
      <c r="J1171" s="6" t="n">
        <f aca="false">Sens!J1114</f>
        <v>132.015673049596</v>
      </c>
      <c r="K1171" s="6" t="n">
        <f aca="false">Sens!K1114</f>
        <v>143.012669550934</v>
      </c>
    </row>
    <row r="1172" customFormat="false" ht="17.15" hidden="false" customHeight="false" outlineLevel="0" collapsed="false">
      <c r="A1172" s="1" t="s">
        <v>1071</v>
      </c>
      <c r="B1172" s="0" t="s">
        <v>98</v>
      </c>
      <c r="E1172" s="6" t="n">
        <f aca="false">Sens!E1196</f>
        <v>22.2285940229167</v>
      </c>
      <c r="F1172" s="6" t="n">
        <f aca="false">Sens!F1196</f>
        <v>23.6219250452641</v>
      </c>
      <c r="G1172" s="6" t="n">
        <f aca="false">Sens!G1196</f>
        <v>25.4177381940572</v>
      </c>
      <c r="H1172" s="6" t="n">
        <f aca="false">Sens!H1196</f>
        <v>27.5845423562197</v>
      </c>
      <c r="I1172" s="6" t="n">
        <f aca="false">Sens!I1196</f>
        <v>30.0650611112305</v>
      </c>
      <c r="J1172" s="6" t="n">
        <f aca="false">Sens!J1196</f>
        <v>32.7836267781414</v>
      </c>
      <c r="K1172" s="6" t="n">
        <f aca="false">Sens!K1196</f>
        <v>35.6547207686575</v>
      </c>
    </row>
    <row r="1173" customFormat="false" ht="17.15" hidden="false" customHeight="false" outlineLevel="0" collapsed="false">
      <c r="A1173" s="1" t="s">
        <v>1072</v>
      </c>
      <c r="B1173" s="0" t="s">
        <v>98</v>
      </c>
      <c r="D1173" s="6" t="n">
        <f aca="false">Q!L27</f>
        <v>-4.901</v>
      </c>
      <c r="E1173" s="6" t="n">
        <f aca="false">Q!M27</f>
        <v>10.697</v>
      </c>
      <c r="F1173" s="6" t="n">
        <f aca="false">Q!$I$27+oie_f*(q_per_yr-1)/q_per_yr</f>
        <v>-0.862</v>
      </c>
      <c r="G1173" s="6" t="n">
        <f aca="false">oie_f</f>
        <v>-1.2</v>
      </c>
      <c r="H1173" s="6" t="n">
        <f aca="false">oie_f</f>
        <v>-1.2</v>
      </c>
      <c r="I1173" s="6" t="n">
        <f aca="false">oie_f</f>
        <v>-1.2</v>
      </c>
      <c r="J1173" s="6" t="n">
        <f aca="false">oie_f</f>
        <v>-1.2</v>
      </c>
      <c r="K1173" s="6" t="n">
        <f aca="false">oie_f</f>
        <v>-1.2</v>
      </c>
      <c r="L1173" s="12" t="s">
        <v>1073</v>
      </c>
    </row>
    <row r="1174" customFormat="false" ht="15" hidden="false" customHeight="false" outlineLevel="0" collapsed="false">
      <c r="A1174" s="1" t="s">
        <v>1074</v>
      </c>
      <c r="B1174" s="0" t="s">
        <v>98</v>
      </c>
      <c r="D1174" s="6" t="n">
        <f aca="false">Sens!D1166+Sens!D1173</f>
        <v>123.627</v>
      </c>
      <c r="E1174" s="6" t="n">
        <f aca="false">Sens!E1166+Sens!E1173</f>
        <v>165.934</v>
      </c>
      <c r="F1174" s="6" t="n">
        <f aca="false">Sens!F1166+Sens!F1173</f>
        <v>171.305616250701</v>
      </c>
      <c r="G1174" s="6" t="n">
        <f aca="false">Sens!G1166+Sens!G1173</f>
        <v>169.355468725043</v>
      </c>
      <c r="H1174" s="6" t="n">
        <f aca="false">Sens!H1166+Sens!H1173</f>
        <v>168.609332224958</v>
      </c>
      <c r="I1174" s="6" t="n">
        <f aca="false">Sens!I1166+Sens!I1173</f>
        <v>175.21074177399</v>
      </c>
      <c r="J1174" s="6" t="n">
        <f aca="false">Sens!J1166+Sens!J1173</f>
        <v>184.557380802061</v>
      </c>
      <c r="K1174" s="6" t="n">
        <f aca="false">Sens!K1166+Sens!K1173</f>
        <v>196.331831988584</v>
      </c>
    </row>
    <row r="1175" customFormat="false" ht="15" hidden="false" customHeight="false" outlineLevel="0" collapsed="false">
      <c r="A1175" s="1" t="s">
        <v>1075</v>
      </c>
      <c r="B1175" s="0" t="s">
        <v>98</v>
      </c>
      <c r="D1175" s="6" t="n">
        <f aca="false">Q!L29</f>
        <v>21.795</v>
      </c>
      <c r="E1175" s="6" t="n">
        <f aca="false">Q!M29</f>
        <v>32.185</v>
      </c>
      <c r="F1175" s="6" t="n">
        <f aca="false">Q!$I$29+(Sens!F1174-Q!$I$28)*tax_f</f>
        <v>34.3945232501403</v>
      </c>
      <c r="G1175" s="6" t="n">
        <f aca="false">Sens!G1174*tax_f</f>
        <v>33.8710937450085</v>
      </c>
      <c r="H1175" s="6" t="n">
        <f aca="false">Sens!H1174*tax_f</f>
        <v>33.7218664449915</v>
      </c>
      <c r="I1175" s="6" t="n">
        <f aca="false">Sens!I1174*tax_f</f>
        <v>35.0421483547981</v>
      </c>
      <c r="J1175" s="6" t="n">
        <f aca="false">Sens!J1174*tax_f</f>
        <v>36.9114761604123</v>
      </c>
      <c r="K1175" s="6" t="n">
        <f aca="false">Sens!K1174*tax_f</f>
        <v>39.2663663977167</v>
      </c>
    </row>
    <row r="1176" customFormat="false" ht="15" hidden="false" customHeight="false" outlineLevel="0" collapsed="false">
      <c r="A1176" s="1" t="s">
        <v>1076</v>
      </c>
      <c r="B1176" s="0" t="s">
        <v>98</v>
      </c>
      <c r="D1176" s="6" t="n">
        <f aca="false">Sens!D1174-Sens!D1175</f>
        <v>101.832</v>
      </c>
      <c r="E1176" s="6" t="n">
        <f aca="false">Sens!E1174-Sens!E1175</f>
        <v>133.749</v>
      </c>
      <c r="F1176" s="6" t="n">
        <f aca="false">Sens!F1174-Sens!F1175</f>
        <v>136.911093000561</v>
      </c>
      <c r="G1176" s="6" t="n">
        <f aca="false">Sens!G1174-Sens!G1175</f>
        <v>135.484374980034</v>
      </c>
      <c r="H1176" s="6" t="n">
        <f aca="false">Sens!H1174-Sens!H1175</f>
        <v>134.887465779966</v>
      </c>
      <c r="I1176" s="6" t="n">
        <f aca="false">Sens!I1174-Sens!I1175</f>
        <v>140.168593419192</v>
      </c>
      <c r="J1176" s="6" t="n">
        <f aca="false">Sens!J1174-Sens!J1175</f>
        <v>147.645904641649</v>
      </c>
      <c r="K1176" s="6" t="n">
        <f aca="false">Sens!K1174-Sens!K1175</f>
        <v>157.065465590867</v>
      </c>
    </row>
    <row r="1177" customFormat="false" ht="17.15" hidden="false" customHeight="false" outlineLevel="0" collapsed="false">
      <c r="A1177" s="1" t="s">
        <v>1077</v>
      </c>
      <c r="B1177" s="1" t="s">
        <v>81</v>
      </c>
      <c r="D1177" s="15" t="n">
        <f aca="false">Q!L31</f>
        <v>7.465</v>
      </c>
      <c r="E1177" s="15" t="n">
        <f aca="false">Q!M31</f>
        <v>7.453</v>
      </c>
      <c r="F1177" s="15" t="n">
        <f aca="false">Sens!F1221</f>
        <v>7.4735</v>
      </c>
      <c r="G1177" s="15" t="n">
        <f aca="false">Sens!G1221</f>
        <v>7.5185</v>
      </c>
      <c r="H1177" s="15" t="n">
        <f aca="false">Sens!H1221</f>
        <v>7.5635</v>
      </c>
      <c r="I1177" s="15" t="n">
        <f aca="false">Sens!I1221</f>
        <v>7.59248142502667</v>
      </c>
      <c r="J1177" s="15" t="n">
        <f aca="false">Sens!J1221</f>
        <v>7.60663083618914</v>
      </c>
      <c r="K1177" s="15" t="n">
        <f aca="false">Sens!K1221</f>
        <v>7.62306547615439</v>
      </c>
    </row>
    <row r="1178" customFormat="false" ht="17.15" hidden="false" customHeight="false" outlineLevel="0" collapsed="false">
      <c r="A1178" s="0" t="s">
        <v>1078</v>
      </c>
      <c r="B1178" s="0" t="s">
        <v>75</v>
      </c>
      <c r="D1178" s="8" t="n">
        <f aca="false">Sens!D1176/Sens!D1177</f>
        <v>13.641259209645</v>
      </c>
      <c r="E1178" s="8" t="n">
        <f aca="false">Sens!E1176/Sens!E1177</f>
        <v>17.9456594659869</v>
      </c>
      <c r="F1178" s="8" t="n">
        <f aca="false">Sens!F1176/Sens!F1177</f>
        <v>18.3195414465192</v>
      </c>
      <c r="G1178" s="8" t="n">
        <f aca="false">Sens!G1176/Sens!G1177</f>
        <v>18.0201336676244</v>
      </c>
      <c r="H1178" s="8" t="n">
        <f aca="false">Sens!H1176/Sens!H1177</f>
        <v>17.8340008964059</v>
      </c>
      <c r="I1178" s="8" t="n">
        <f aca="false">Sens!I1176/Sens!I1177</f>
        <v>18.4614996827207</v>
      </c>
      <c r="J1178" s="8" t="n">
        <f aca="false">Sens!J1176/Sens!J1177</f>
        <v>19.4101577717184</v>
      </c>
      <c r="K1178" s="8" t="n">
        <f aca="false">Sens!K1176/Sens!K1177</f>
        <v>20.6039769804131</v>
      </c>
      <c r="L1178" s="1" t="s">
        <v>1079</v>
      </c>
    </row>
    <row r="1179" customFormat="false" ht="17.15" hidden="false" customHeight="false" outlineLevel="0" collapsed="false">
      <c r="A1179" s="1" t="s">
        <v>1080</v>
      </c>
      <c r="B1179" s="0" t="s">
        <v>98</v>
      </c>
      <c r="D1179" s="6" t="n">
        <f aca="false">Sens!D1176</f>
        <v>101.832</v>
      </c>
      <c r="E1179" s="6" t="n">
        <f aca="false">Sens!E1176</f>
        <v>133.749</v>
      </c>
      <c r="F1179" s="6" t="n">
        <f aca="false">Sens!F1176+Sens!F1169*(1-tax_f)</f>
        <v>145.388116038919</v>
      </c>
      <c r="G1179" s="6" t="n">
        <f aca="false">Sens!G1176+Sens!G1169*(1-tax_f)</f>
        <v>157.76009231998</v>
      </c>
      <c r="H1179" s="6" t="n">
        <f aca="false">Sens!H1176+Sens!H1169*(1-tax_f)</f>
        <v>172.140430181072</v>
      </c>
      <c r="I1179" s="6" t="n">
        <f aca="false">Sens!I1176+Sens!I1169*(1-tax_f)</f>
        <v>190.786015669308</v>
      </c>
      <c r="J1179" s="6" t="n">
        <f aca="false">Sens!J1176+Sens!J1169*(1-tax_f)</f>
        <v>207.57080247221</v>
      </c>
      <c r="K1179" s="6" t="n">
        <f aca="false">Sens!K1176+Sens!K1169*(1-tax_f)</f>
        <v>222.377100565286</v>
      </c>
    </row>
    <row r="1180" customFormat="false" ht="17.15" hidden="false" customHeight="false" outlineLevel="0" collapsed="false">
      <c r="A1180" s="0" t="s">
        <v>1081</v>
      </c>
      <c r="B1180" s="0" t="s">
        <v>75</v>
      </c>
      <c r="D1180" s="8" t="n">
        <f aca="false">Sens!D1179/Sens!D1177</f>
        <v>13.641259209645</v>
      </c>
      <c r="E1180" s="8" t="n">
        <f aca="false">Sens!E1179/Sens!E1177</f>
        <v>17.9456594659869</v>
      </c>
      <c r="F1180" s="8" t="n">
        <f aca="false">Sens!F1179/Sens!F1177</f>
        <v>19.4538189655341</v>
      </c>
      <c r="G1180" s="8" t="n">
        <f aca="false">Sens!G1179/Sens!G1177</f>
        <v>20.9829211039409</v>
      </c>
      <c r="H1180" s="8" t="n">
        <f aca="false">Sens!H1179/Sens!H1177</f>
        <v>22.7593614306963</v>
      </c>
      <c r="I1180" s="8" t="n">
        <f aca="false">Sens!I1179/Sens!I1177</f>
        <v>25.1282821766848</v>
      </c>
      <c r="J1180" s="8" t="n">
        <f aca="false">Sens!J1179/Sens!J1177</f>
        <v>27.2881393802727</v>
      </c>
      <c r="K1180" s="8" t="n">
        <f aca="false">Sens!K1179/Sens!K1177</f>
        <v>29.1716109826028</v>
      </c>
      <c r="L1180" s="1" t="s">
        <v>1082</v>
      </c>
    </row>
    <row r="1181" customFormat="false" ht="17.15" hidden="false" customHeight="false" outlineLevel="0" collapsed="false">
      <c r="A1181" s="0" t="s">
        <v>1083</v>
      </c>
      <c r="B1181" s="0" t="s">
        <v>168</v>
      </c>
      <c r="E1181" s="7" t="n">
        <f aca="false">Sens!E1180/Sens!D1180-1</f>
        <v>0.315542736208578</v>
      </c>
      <c r="F1181" s="7" t="n">
        <f aca="false">Sens!F1180/Sens!E1180-1</f>
        <v>0.0840403498353293</v>
      </c>
      <c r="G1181" s="7" t="n">
        <f aca="false">Sens!G1180/Sens!F1180-1</f>
        <v>0.078601643261712</v>
      </c>
      <c r="H1181" s="7" t="n">
        <f aca="false">Sens!H1180/Sens!G1180-1</f>
        <v>0.084661249878206</v>
      </c>
      <c r="I1181" s="7" t="n">
        <f aca="false">Sens!I1180/Sens!H1180-1</f>
        <v>0.104085554122507</v>
      </c>
      <c r="J1181" s="7" t="n">
        <f aca="false">Sens!J1180/Sens!I1180-1</f>
        <v>0.0859532374080063</v>
      </c>
      <c r="K1181" s="7" t="n">
        <f aca="false">Sens!K1180/Sens!J1180-1</f>
        <v>0.0690216205686651</v>
      </c>
    </row>
    <row r="1182" customFormat="false" ht="17.15" hidden="false" customHeight="false" outlineLevel="0" collapsed="false">
      <c r="A1182" s="0" t="s">
        <v>1003</v>
      </c>
      <c r="B1182" s="0" t="s">
        <v>98</v>
      </c>
      <c r="E1182" s="6" t="n">
        <f aca="false">Sens!E1123</f>
        <v>5.25</v>
      </c>
      <c r="F1182" s="6" t="n">
        <f aca="false">Sens!F1123</f>
        <v>10.5</v>
      </c>
      <c r="G1182" s="6" t="n">
        <f aca="false">Sens!G1123</f>
        <v>13.5</v>
      </c>
      <c r="H1182" s="6" t="n">
        <f aca="false">Sens!H1123</f>
        <v>16.5</v>
      </c>
      <c r="I1182" s="6" t="n">
        <f aca="false">Sens!I1123</f>
        <v>18.75</v>
      </c>
      <c r="J1182" s="6" t="n">
        <f aca="false">Sens!J1123</f>
        <v>20.25</v>
      </c>
      <c r="K1182" s="6" t="n">
        <f aca="false">Sens!K1123</f>
        <v>21.75</v>
      </c>
    </row>
    <row r="1183" customFormat="false" ht="17.15" hidden="false" customHeight="false" outlineLevel="0" collapsed="false">
      <c r="A1183" s="1" t="s">
        <v>1004</v>
      </c>
      <c r="B1183" s="0" t="s">
        <v>98</v>
      </c>
      <c r="F1183" s="6" t="n">
        <f aca="false">MAX(0,((Sens!E1083+Sens!F1083)/2-(shadow_base*(Sens!$D$1083+Sens!$E$1083)/2+(1-shadow_base)*Sens!$E$1083))*Sens!F1092/1000-(Sens!F1182-Sens!$E$1182)*Sens!F1162)</f>
        <v>10.5962787979473</v>
      </c>
      <c r="G1183" s="6" t="n">
        <f aca="false">MAX(0,((Sens!F1083+Sens!G1083)/2-(shadow_base*(Sens!$D$1083+Sens!$E$1083)/2+(1-shadow_base)*Sens!$E$1083))*Sens!G1092/1000-(Sens!G1182-Sens!$E$1182)*Sens!G1162)</f>
        <v>27.844646674932</v>
      </c>
      <c r="H1183" s="6" t="n">
        <f aca="false">MAX(0,((Sens!G1083+Sens!H1083)/2-(shadow_base*(Sens!$D$1083+Sens!$E$1083)/2+(1-shadow_base)*Sens!$E$1083))*Sens!H1092/1000-(Sens!H1182-Sens!$E$1182)*Sens!H1162)</f>
        <v>46.566205501382</v>
      </c>
      <c r="I1183" s="6" t="n">
        <f aca="false">MAX(0,((Sens!H1083+Sens!I1083)/2-(shadow_base*(Sens!$D$1083+Sens!$E$1083)/2+(1-shadow_base)*Sens!$E$1083))*Sens!I1092/1000-(Sens!I1182-Sens!$E$1182)*Sens!I1162)</f>
        <v>63.2717778126444</v>
      </c>
      <c r="J1183" s="6" t="n">
        <f aca="false">MAX(0,((Sens!I1083+Sens!J1083)/2-(shadow_base*(Sens!$D$1083+Sens!$E$1083)/2+(1-shadow_base)*Sens!$E$1083))*Sens!J1092/1000-(Sens!J1182-Sens!$E$1182)*Sens!J1162)</f>
        <v>74.9061222882009</v>
      </c>
      <c r="K1183" s="6" t="n">
        <f aca="false">MAX(0,((Sens!J1083+Sens!K1083)/2-(shadow_base*(Sens!$D$1083+Sens!$E$1083)/2+(1-shadow_base)*Sens!$E$1083))*Sens!K1092/1000-(Sens!K1182-Sens!$E$1182)*Sens!K1162)</f>
        <v>81.6395437180232</v>
      </c>
      <c r="L1183" s="1" t="s">
        <v>1005</v>
      </c>
    </row>
    <row r="1184" customFormat="false" ht="17.15" hidden="false" customHeight="false" outlineLevel="0" collapsed="false">
      <c r="A1184" s="1" t="s">
        <v>1006</v>
      </c>
      <c r="B1184" s="0" t="s">
        <v>98</v>
      </c>
      <c r="F1184" s="6" t="n">
        <f aca="false">IF(internal_ai_reading=2,1,0)*Sens!F1183</f>
        <v>10.5962787979473</v>
      </c>
      <c r="G1184" s="6" t="n">
        <f aca="false">IF(internal_ai_reading=2,1,0)*Sens!G1183</f>
        <v>27.844646674932</v>
      </c>
      <c r="H1184" s="6" t="n">
        <f aca="false">IF(internal_ai_reading=2,1,0)*Sens!H1183</f>
        <v>46.566205501382</v>
      </c>
      <c r="I1184" s="6" t="n">
        <f aca="false">IF(internal_ai_reading=2,1,0)*Sens!I1183</f>
        <v>63.2717778126444</v>
      </c>
      <c r="J1184" s="6" t="n">
        <f aca="false">IF(internal_ai_reading=2,1,0)*Sens!J1183</f>
        <v>74.9061222882009</v>
      </c>
      <c r="K1184" s="6" t="n">
        <f aca="false">IF(internal_ai_reading=2,1,0)*Sens!K1183</f>
        <v>81.6395437180232</v>
      </c>
    </row>
    <row r="1185" customFormat="false" ht="17.15" hidden="false" customHeight="false" outlineLevel="0" collapsed="false">
      <c r="A1185" s="0" t="s">
        <v>1007</v>
      </c>
      <c r="B1185" s="0" t="s">
        <v>98</v>
      </c>
      <c r="F1185" s="6" t="n">
        <f aca="false">Sens!F1102+Sens!F1182*Sens!F1162+Sens!F1184-Sens!F1103-Sens!F1114</f>
        <v>2.73809127007709</v>
      </c>
      <c r="G1185" s="6" t="n">
        <f aca="false">Sens!G1102+Sens!G1182*Sens!G1162+Sens!G1184-Sens!G1103-Sens!G1114</f>
        <v>4.93512477035004</v>
      </c>
      <c r="H1185" s="6" t="n">
        <f aca="false">Sens!H1102+Sens!H1182*Sens!H1162+Sens!H1184-Sens!H1103-Sens!H1114</f>
        <v>2.51798561759787</v>
      </c>
      <c r="I1185" s="6" t="n">
        <f aca="false">Sens!I1102+Sens!I1182*Sens!I1162+Sens!I1184-Sens!I1103-Sens!I1114</f>
        <v>5.81686356778549</v>
      </c>
      <c r="J1185" s="6" t="n">
        <f aca="false">Sens!J1102+Sens!J1182*Sens!J1162+Sens!J1184-Sens!J1103-Sens!J1114</f>
        <v>7.96720692019747</v>
      </c>
      <c r="K1185" s="6" t="n">
        <f aca="false">Sens!K1102+Sens!K1182*Sens!K1162+Sens!K1184-Sens!K1103-Sens!K1114</f>
        <v>9.63810206617166</v>
      </c>
    </row>
    <row r="1186" customFormat="false" ht="17.15" hidden="false" customHeight="false" outlineLevel="0" collapsed="false">
      <c r="A1186" s="0" t="s">
        <v>1008</v>
      </c>
      <c r="B1186" s="0" t="s">
        <v>98</v>
      </c>
      <c r="E1186" s="6" t="n">
        <f aca="false">Sens!E1082*(cxit_open+self_build*tk_cxfac)/1000*ai_net_open</f>
        <v>126.6980382</v>
      </c>
      <c r="F1186" s="6" t="n">
        <f aca="false">Sens!E1186+Sens!F1111-Sens!F1114</f>
        <v>260.572627763768</v>
      </c>
      <c r="G1186" s="6" t="n">
        <f aca="false">Sens!F1186+Sens!G1111-Sens!G1114</f>
        <v>391.782612760517</v>
      </c>
      <c r="H1186" s="6" t="n">
        <f aca="false">Sens!G1186+Sens!H1111-Sens!H1114</f>
        <v>499.488526163584</v>
      </c>
      <c r="I1186" s="6" t="n">
        <f aca="false">Sens!H1186+Sens!I1111-Sens!I1114</f>
        <v>553.872350090646</v>
      </c>
      <c r="J1186" s="6" t="n">
        <f aca="false">Sens!I1186+Sens!J1111-Sens!J1114</f>
        <v>550.78660823699</v>
      </c>
      <c r="K1186" s="6" t="n">
        <f aca="false">Sens!J1186+Sens!K1111-Sens!K1114</f>
        <v>526.736791750789</v>
      </c>
      <c r="L1186" s="1" t="s">
        <v>1009</v>
      </c>
    </row>
    <row r="1187" customFormat="false" ht="17.15" hidden="false" customHeight="false" outlineLevel="0" collapsed="false">
      <c r="A1187" s="0" t="s">
        <v>1010</v>
      </c>
      <c r="B1187" s="0" t="s">
        <v>168</v>
      </c>
      <c r="F1187" s="7" t="n">
        <f aca="false">Sens!F1185*(1-tax_f)/((Sens!E1186+Sens!F1186)/2)</f>
        <v>0.0113123621723862</v>
      </c>
      <c r="G1187" s="7" t="n">
        <f aca="false">Sens!G1185*(1-tax_f)/((Sens!F1186+Sens!G1186)/2)</f>
        <v>0.0121041407227971</v>
      </c>
      <c r="H1187" s="7" t="n">
        <f aca="false">Sens!H1185*(1-tax_f)/((Sens!G1186+Sens!H1186)/2)</f>
        <v>0.00452025967431184</v>
      </c>
      <c r="I1187" s="7" t="n">
        <f aca="false">Sens!I1185*(1-tax_f)/((Sens!H1186+Sens!I1186)/2)</f>
        <v>0.00883551109431041</v>
      </c>
      <c r="J1187" s="7" t="n">
        <f aca="false">Sens!J1185*(1-tax_f)/((Sens!I1186+Sens!J1186)/2)</f>
        <v>0.0115397887974535</v>
      </c>
      <c r="K1187" s="7" t="n">
        <f aca="false">Sens!K1185*(1-tax_f)/((Sens!J1186+Sens!K1186)/2)</f>
        <v>0.014311488090235</v>
      </c>
    </row>
    <row r="1188" customFormat="false" ht="17.15" hidden="false" customHeight="false" outlineLevel="0" collapsed="false">
      <c r="A1188" s="1" t="s">
        <v>1011</v>
      </c>
      <c r="B1188" s="0" t="s">
        <v>168</v>
      </c>
      <c r="F1188" s="7" t="n">
        <f aca="false">(Sens!F1185-Sens!F1184)*(1-tax_f)/((Sens!E1186+Sens!F1186)/2)</f>
        <v>-0.0324659240929152</v>
      </c>
      <c r="G1188" s="7" t="n">
        <f aca="false">(Sens!G1185-Sens!G1184)*(1-tax_f)/((Sens!F1186+Sens!G1186)/2)</f>
        <v>-0.0561890711843934</v>
      </c>
      <c r="H1188" s="7" t="n">
        <f aca="false">(Sens!H1185-Sens!H1184)*(1-tax_f)/((Sens!G1186+Sens!H1186)/2)</f>
        <v>-0.0790748726578661</v>
      </c>
      <c r="I1188" s="7" t="n">
        <f aca="false">(Sens!I1185-Sens!I1184)*(1-tax_f)/((Sens!H1186+Sens!I1186)/2)</f>
        <v>-0.0872710054683932</v>
      </c>
      <c r="J1188" s="7" t="n">
        <f aca="false">(Sens!J1185-Sens!J1184)*(1-tax_f)/((Sens!I1186+Sens!J1186)/2)</f>
        <v>-0.0969550500463507</v>
      </c>
      <c r="K1188" s="7" t="n">
        <f aca="false">(Sens!K1185-Sens!K1184)*(1-tax_f)/((Sens!J1186+Sens!K1186)/2)</f>
        <v>-0.106913972025358</v>
      </c>
    </row>
    <row r="1189" customFormat="false" ht="17.15" hidden="false" customHeight="false" outlineLevel="0" collapsed="false">
      <c r="A1189" s="1" t="s">
        <v>1012</v>
      </c>
      <c r="B1189" s="0" t="s">
        <v>168</v>
      </c>
      <c r="F1189" s="7" t="n">
        <f aca="false">(Sens!F1185-Sens!F1184+Sens!F1183)*(1-tax_f)/((Sens!E1186+Sens!F1186)/2)</f>
        <v>0.0113123621723862</v>
      </c>
      <c r="G1189" s="7" t="n">
        <f aca="false">(Sens!G1185-Sens!G1184+Sens!G1183)*(1-tax_f)/((Sens!F1186+Sens!G1186)/2)</f>
        <v>0.0121041407227971</v>
      </c>
      <c r="H1189" s="7" t="n">
        <f aca="false">(Sens!H1185-Sens!H1184+Sens!H1183)*(1-tax_f)/((Sens!G1186+Sens!H1186)/2)</f>
        <v>0.00452025967431184</v>
      </c>
      <c r="I1189" s="7" t="n">
        <f aca="false">(Sens!I1185-Sens!I1184+Sens!I1183)*(1-tax_f)/((Sens!H1186+Sens!I1186)/2)</f>
        <v>0.00883551109431041</v>
      </c>
      <c r="J1189" s="7" t="n">
        <f aca="false">(Sens!J1185-Sens!J1184+Sens!J1183)*(1-tax_f)/((Sens!I1186+Sens!J1186)/2)</f>
        <v>0.0115397887974535</v>
      </c>
      <c r="K1189" s="7" t="n">
        <f aca="false">(Sens!K1185-Sens!K1184+Sens!K1183)*(1-tax_f)/((Sens!J1186+Sens!K1186)/2)</f>
        <v>0.014311488090235</v>
      </c>
    </row>
    <row r="1190" customFormat="false" ht="17.15" hidden="false" customHeight="false" outlineLevel="0" collapsed="false">
      <c r="A1190" s="1" t="s">
        <v>1013</v>
      </c>
      <c r="B1190" s="0" t="s">
        <v>168</v>
      </c>
      <c r="F1190" s="7" t="n">
        <f aca="false">Sens!F1115*(1-tax_f)/(Sens!F1101*(Sens!E1186+Sens!F1186)/2)</f>
        <v>0.0461337579083944</v>
      </c>
      <c r="G1190" s="7" t="n">
        <f aca="false">Sens!G1115*(1-tax_f)/(Sens!G1101*(Sens!F1186+Sens!G1186)/2)</f>
        <v>0.0205061734385197</v>
      </c>
      <c r="H1190" s="7" t="n">
        <f aca="false">Sens!H1115*(1-tax_f)/(Sens!H1101*(Sens!G1186+Sens!H1186)/2)</f>
        <v>-0.00489758273624937</v>
      </c>
      <c r="I1190" s="7" t="n">
        <f aca="false">Sens!I1115*(1-tax_f)/(Sens!I1101*(Sens!H1186+Sens!I1186)/2)</f>
        <v>-0.00525602270544207</v>
      </c>
      <c r="J1190" s="7" t="n">
        <f aca="false">Sens!J1115*(1-tax_f)/(Sens!J1101*(Sens!I1186+Sens!J1186)/2)</f>
        <v>-0.00590018959079836</v>
      </c>
      <c r="K1190" s="7" t="n">
        <f aca="false">Sens!K1115*(1-tax_f)/(Sens!K1101*(Sens!J1186+Sens!K1186)/2)</f>
        <v>-0.00579505708342886</v>
      </c>
    </row>
    <row r="1191" customFormat="false" ht="17.15" hidden="false" customHeight="false" outlineLevel="0" collapsed="false">
      <c r="A1191" s="0" t="s">
        <v>1014</v>
      </c>
      <c r="B1191" s="0" t="s">
        <v>253</v>
      </c>
      <c r="F1191" s="7" t="n">
        <f aca="false">Sens!F1187-wacc</f>
        <v>-0.0916242287732111</v>
      </c>
      <c r="G1191" s="7" t="n">
        <f aca="false">Sens!G1187-wacc</f>
        <v>-0.0908324502228002</v>
      </c>
      <c r="H1191" s="7" t="n">
        <f aca="false">Sens!H1187-wacc</f>
        <v>-0.0984163312712855</v>
      </c>
      <c r="I1191" s="7" t="n">
        <f aca="false">Sens!I1187-wacc</f>
        <v>-0.0941010798512869</v>
      </c>
      <c r="J1191" s="7" t="n">
        <f aca="false">Sens!J1187-wacc</f>
        <v>-0.0913968021481438</v>
      </c>
      <c r="K1191" s="7" t="n">
        <f aca="false">Sens!K1187-wacc</f>
        <v>-0.0886251028553623</v>
      </c>
    </row>
    <row r="1192" customFormat="false" ht="17.15" hidden="false" customHeight="false" outlineLevel="0" collapsed="false">
      <c r="A1192" s="0" t="s">
        <v>1015</v>
      </c>
      <c r="B1192" s="0" t="s">
        <v>98</v>
      </c>
      <c r="F1192" s="6" t="n">
        <f aca="false">Sens!F1185*(1-tax_f)-wacc*(Sens!E1186+Sens!F1186)/2</f>
        <v>-17.741688047709</v>
      </c>
      <c r="G1192" s="6" t="n">
        <f aca="false">Sens!G1185*(1-tax_f)-wacc*(Sens!F1186+Sens!G1186)/2</f>
        <v>-29.6275124562525</v>
      </c>
      <c r="H1192" s="6" t="n">
        <f aca="false">Sens!H1185*(1-tax_f)-wacc*(Sens!G1186+Sens!H1186)/2</f>
        <v>-43.8578178304451</v>
      </c>
      <c r="I1192" s="6" t="n">
        <f aca="false">Sens!I1185*(1-tax_f)-wacc*(Sens!H1186+Sens!I1186)/2</f>
        <v>-49.5611979643104</v>
      </c>
      <c r="J1192" s="6" t="n">
        <f aca="false">Sens!J1185*(1-tax_f)-wacc*(Sens!I1186+Sens!J1186)/2</f>
        <v>-50.4811481277227</v>
      </c>
      <c r="K1192" s="6" t="n">
        <f aca="false">Sens!K1185*(1-tax_f)-wacc*(Sens!J1186+Sens!K1186)/2</f>
        <v>-47.7478110764883</v>
      </c>
    </row>
    <row r="1193" customFormat="false" ht="17.15" hidden="false" customHeight="false" outlineLevel="0" collapsed="false">
      <c r="A1193" s="3" t="s">
        <v>1508</v>
      </c>
    </row>
    <row r="1194" customFormat="false" ht="15" hidden="false" customHeight="false" outlineLevel="0" collapsed="false">
      <c r="A1194" s="4" t="s">
        <v>43</v>
      </c>
      <c r="B1194" s="4" t="s">
        <v>65</v>
      </c>
      <c r="C1194" s="23" t="s">
        <v>938</v>
      </c>
      <c r="D1194" s="23" t="s">
        <v>939</v>
      </c>
      <c r="E1194" s="23" t="s">
        <v>940</v>
      </c>
      <c r="F1194" s="23" t="s">
        <v>941</v>
      </c>
      <c r="G1194" s="23" t="s">
        <v>942</v>
      </c>
      <c r="H1194" s="23" t="s">
        <v>943</v>
      </c>
      <c r="I1194" s="23" t="s">
        <v>944</v>
      </c>
      <c r="J1194" s="23" t="s">
        <v>945</v>
      </c>
      <c r="K1194" s="23" t="s">
        <v>946</v>
      </c>
      <c r="L1194" s="4" t="s">
        <v>47</v>
      </c>
    </row>
    <row r="1195" customFormat="false" ht="15" hidden="false" customHeight="false" outlineLevel="0" collapsed="false">
      <c r="A1195" s="1" t="s">
        <v>1076</v>
      </c>
      <c r="B1195" s="0" t="s">
        <v>98</v>
      </c>
      <c r="F1195" s="6" t="n">
        <f aca="false">Sens!F1176</f>
        <v>136.911093000561</v>
      </c>
      <c r="G1195" s="6" t="n">
        <f aca="false">Sens!G1176</f>
        <v>135.484374980034</v>
      </c>
      <c r="H1195" s="6" t="n">
        <f aca="false">Sens!H1176</f>
        <v>134.887465779966</v>
      </c>
      <c r="I1195" s="6" t="n">
        <f aca="false">Sens!I1176</f>
        <v>140.168593419192</v>
      </c>
      <c r="J1195" s="6" t="n">
        <f aca="false">Sens!J1176</f>
        <v>147.645904641649</v>
      </c>
      <c r="K1195" s="6" t="n">
        <f aca="false">Sens!K1176</f>
        <v>157.065465590867</v>
      </c>
    </row>
    <row r="1196" customFormat="false" ht="17.15" hidden="false" customHeight="false" outlineLevel="0" collapsed="false">
      <c r="A1196" s="1" t="s">
        <v>1098</v>
      </c>
      <c r="B1196" s="0" t="s">
        <v>98</v>
      </c>
      <c r="E1196" s="6" t="n">
        <f aca="false">Q!M38-Sens!E1114</f>
        <v>22.2285940229167</v>
      </c>
      <c r="F1196" s="6" t="n">
        <f aca="false">Sens!E1196*(1-1/life_nonai)+(Sens!F1204+Sens!F1205)/life_nonai</f>
        <v>23.6219250452641</v>
      </c>
      <c r="G1196" s="6" t="n">
        <f aca="false">Sens!F1196*(1-1/life_nonai)+(Sens!G1204)/life_nonai</f>
        <v>25.4177381940572</v>
      </c>
      <c r="H1196" s="6" t="n">
        <f aca="false">Sens!G1196*(1-1/life_nonai)+(Sens!H1204)/life_nonai</f>
        <v>27.5845423562197</v>
      </c>
      <c r="I1196" s="6" t="n">
        <f aca="false">Sens!H1196*(1-1/life_nonai)+(Sens!I1204)/life_nonai</f>
        <v>30.0650611112305</v>
      </c>
      <c r="J1196" s="6" t="n">
        <f aca="false">Sens!I1196*(1-1/life_nonai)+(Sens!J1204)/life_nonai</f>
        <v>32.7836267781414</v>
      </c>
      <c r="K1196" s="6" t="n">
        <f aca="false">Sens!J1196*(1-1/life_nonai)+(Sens!K1204)/life_nonai</f>
        <v>35.6547207686575</v>
      </c>
      <c r="L1196" s="12" t="s">
        <v>1099</v>
      </c>
    </row>
    <row r="1197" customFormat="false" ht="17.15" hidden="false" customHeight="false" outlineLevel="0" collapsed="false">
      <c r="A1197" s="1" t="s">
        <v>1100</v>
      </c>
      <c r="B1197" s="0" t="s">
        <v>98</v>
      </c>
      <c r="F1197" s="6" t="n">
        <f aca="false">Sens!$F$1205/life_nonai*(1-1/life_nonai)^(Sens!F1077-2027)</f>
        <v>0</v>
      </c>
      <c r="G1197" s="6" t="n">
        <f aca="false">Sens!$F$1205/life_nonai*(1-1/life_nonai)^(Sens!G1077-2027)</f>
        <v>0</v>
      </c>
      <c r="H1197" s="6" t="n">
        <f aca="false">Sens!$F$1205/life_nonai*(1-1/life_nonai)^(Sens!H1077-2027)</f>
        <v>0</v>
      </c>
      <c r="I1197" s="6" t="n">
        <f aca="false">Sens!$F$1205/life_nonai*(1-1/life_nonai)^(Sens!I1077-2027)</f>
        <v>0</v>
      </c>
      <c r="J1197" s="6" t="n">
        <f aca="false">Sens!$F$1205/life_nonai*(1-1/life_nonai)^(Sens!J1077-2027)</f>
        <v>0</v>
      </c>
      <c r="K1197" s="6" t="n">
        <f aca="false">Sens!$F$1205/life_nonai*(1-1/life_nonai)^(Sens!K1077-2027)</f>
        <v>0</v>
      </c>
      <c r="L1197" s="1" t="s">
        <v>1101</v>
      </c>
    </row>
    <row r="1198" customFormat="false" ht="17.15" hidden="false" customHeight="false" outlineLevel="0" collapsed="false">
      <c r="A1198" s="1" t="s">
        <v>1102</v>
      </c>
      <c r="B1198" s="0" t="s">
        <v>98</v>
      </c>
      <c r="E1198" s="6" t="n">
        <f aca="false">Sens!E1114+Sens!E1196</f>
        <v>38.534</v>
      </c>
      <c r="F1198" s="6" t="n">
        <f aca="false">Sens!F1114+Sens!F1196</f>
        <v>58.2012395236157</v>
      </c>
      <c r="G1198" s="6" t="n">
        <f aca="false">Sens!G1114+Sens!G1196</f>
        <v>86.1522288463562</v>
      </c>
      <c r="H1198" s="6" t="n">
        <f aca="false">Sens!H1114+Sens!H1196</f>
        <v>116.684633017665</v>
      </c>
      <c r="I1198" s="6" t="n">
        <f aca="false">Sens!I1114+Sens!I1196</f>
        <v>144.296070805779</v>
      </c>
      <c r="J1198" s="6" t="n">
        <f aca="false">Sens!J1114+Sens!J1196</f>
        <v>164.799299827737</v>
      </c>
      <c r="K1198" s="6" t="n">
        <f aca="false">Sens!K1114+Sens!K1196</f>
        <v>178.667390319592</v>
      </c>
    </row>
    <row r="1199" customFormat="false" ht="17.15" hidden="false" customHeight="false" outlineLevel="0" collapsed="false">
      <c r="A1199" s="1" t="s">
        <v>1103</v>
      </c>
      <c r="B1199" s="0" t="s">
        <v>98</v>
      </c>
      <c r="F1199" s="6" t="n">
        <f aca="false">Sens!F1141*sbc_r</f>
        <v>14.522377098934</v>
      </c>
      <c r="G1199" s="6" t="n">
        <f aca="false">Sens!G1141*sbc_r</f>
        <v>16.8006237726168</v>
      </c>
      <c r="H1199" s="6" t="n">
        <f aca="false">Sens!H1141*sbc_r</f>
        <v>18.9513799075571</v>
      </c>
      <c r="I1199" s="6" t="n">
        <f aca="false">Sens!I1141*sbc_r</f>
        <v>21.179159275196</v>
      </c>
      <c r="J1199" s="6" t="n">
        <f aca="false">Sens!J1141*sbc_r</f>
        <v>23.0704699555874</v>
      </c>
      <c r="K1199" s="6" t="n">
        <f aca="false">Sens!K1141*sbc_r</f>
        <v>24.632378625163</v>
      </c>
    </row>
    <row r="1200" customFormat="false" ht="17.15" hidden="false" customHeight="false" outlineLevel="0" collapsed="false">
      <c r="A1200" s="1" t="s">
        <v>1104</v>
      </c>
      <c r="B1200" s="0" t="s">
        <v>98</v>
      </c>
      <c r="F1200" s="6" t="n">
        <f aca="false">wc27-wc26q1</f>
        <v>-4.677</v>
      </c>
      <c r="G1200" s="6" t="n">
        <f aca="false">wc_f</f>
        <v>0</v>
      </c>
      <c r="H1200" s="6" t="n">
        <f aca="false">wc_f</f>
        <v>0</v>
      </c>
      <c r="I1200" s="6" t="n">
        <f aca="false">wc_f</f>
        <v>0</v>
      </c>
      <c r="J1200" s="6" t="n">
        <f aca="false">wc_f</f>
        <v>0</v>
      </c>
      <c r="K1200" s="6" t="n">
        <f aca="false">wc_f</f>
        <v>0</v>
      </c>
      <c r="L1200" s="12" t="s">
        <v>1105</v>
      </c>
    </row>
    <row r="1201" customFormat="false" ht="17.15" hidden="false" customHeight="false" outlineLevel="0" collapsed="false">
      <c r="A1201" s="0" t="s">
        <v>1106</v>
      </c>
      <c r="B1201" s="0" t="s">
        <v>98</v>
      </c>
      <c r="F1201" s="6" t="n">
        <f aca="false">Q!$I$35-Q!$I$26-Q!$I$38-Q!$I$39</f>
        <v>6.493</v>
      </c>
      <c r="L1201" s="1" t="s">
        <v>1107</v>
      </c>
    </row>
    <row r="1202" customFormat="false" ht="15" hidden="false" customHeight="false" outlineLevel="0" collapsed="false">
      <c r="A1202" s="1" t="s">
        <v>904</v>
      </c>
      <c r="B1202" s="0" t="s">
        <v>98</v>
      </c>
      <c r="E1202" s="6" t="n">
        <f aca="false">Q!M35</f>
        <v>182.935</v>
      </c>
      <c r="F1202" s="6" t="n">
        <f aca="false">Sens!F1195+Sens!F1198+Sens!F1199+Sens!F1200+Sens!F1201</f>
        <v>211.450709623111</v>
      </c>
      <c r="G1202" s="6" t="n">
        <f aca="false">Sens!G1195+Sens!G1198+Sens!G1199+Sens!G1200</f>
        <v>238.437227599007</v>
      </c>
      <c r="H1202" s="6" t="n">
        <f aca="false">Sens!H1195+Sens!H1198+Sens!H1199+Sens!H1200</f>
        <v>270.523478705189</v>
      </c>
      <c r="I1202" s="6" t="n">
        <f aca="false">Sens!I1195+Sens!I1198+Sens!I1199+Sens!I1200</f>
        <v>305.643823500167</v>
      </c>
      <c r="J1202" s="6" t="n">
        <f aca="false">Sens!J1195+Sens!J1198+Sens!J1199+Sens!J1200</f>
        <v>335.515674424974</v>
      </c>
      <c r="K1202" s="6" t="n">
        <f aca="false">Sens!K1195+Sens!K1198+Sens!K1199+Sens!K1200</f>
        <v>360.365234535622</v>
      </c>
    </row>
    <row r="1203" customFormat="false" ht="17.15" hidden="false" customHeight="false" outlineLevel="0" collapsed="false">
      <c r="A1203" s="0" t="s">
        <v>1108</v>
      </c>
      <c r="B1203" s="0" t="s">
        <v>98</v>
      </c>
      <c r="F1203" s="6" t="n">
        <f aca="false">Sens!F1111</f>
        <v>168.45390404212</v>
      </c>
      <c r="G1203" s="6" t="n">
        <f aca="false">Sens!G1111</f>
        <v>191.944475649048</v>
      </c>
      <c r="H1203" s="6" t="n">
        <f aca="false">Sens!H1111</f>
        <v>196.806004064512</v>
      </c>
      <c r="I1203" s="6" t="n">
        <f aca="false">Sens!I1111</f>
        <v>168.61483362161</v>
      </c>
      <c r="J1203" s="6" t="n">
        <f aca="false">Sens!J1111</f>
        <v>128.92993119594</v>
      </c>
      <c r="K1203" s="6" t="n">
        <f aca="false">Sens!K1111</f>
        <v>118.962853064733</v>
      </c>
    </row>
    <row r="1204" customFormat="false" ht="17.15" hidden="false" customHeight="false" outlineLevel="0" collapsed="false">
      <c r="A1204" s="1" t="s">
        <v>1109</v>
      </c>
      <c r="B1204" s="0" t="s">
        <v>98</v>
      </c>
      <c r="E1204" s="6" t="n">
        <f aca="false">Sens!E1119*cx_azo+Sens!E1126*cx_m365+Sens!E1127*cx_lic+(Sens!E1129+Sens!E1131)*cx_ind+Sens!E1134*cx_srch+(Sens!E1136+Sens!E1138)*cx_dev</f>
        <v>30.1846587067718</v>
      </c>
      <c r="F1204" s="6" t="n">
        <f aca="false">Sens!F1119*cx_azo+Sens!F1126*cx_m365+Sens!F1127*cx_lic+(Sens!F1129+Sens!F1131)*cx_ind+Sens!F1134*cx_srch+(Sens!F1136+Sens!F1138)*cx_dev</f>
        <v>36.161904246391</v>
      </c>
      <c r="G1204" s="6" t="n">
        <f aca="false">Sens!G1119*cx_azo+Sens!G1126*cx_m365+Sens!G1127*cx_lic+(Sens!G1129+Sens!G1131)*cx_ind+Sens!G1134*cx_srch+(Sens!G1136+Sens!G1138)*cx_dev</f>
        <v>41.5800565331951</v>
      </c>
      <c r="H1204" s="6" t="n">
        <f aca="false">Sens!H1119*cx_azo+Sens!H1126*cx_m365+Sens!H1127*cx_lic+(Sens!H1129+Sens!H1131)*cx_ind+Sens!H1134*cx_srch+(Sens!H1136+Sens!H1138)*cx_dev</f>
        <v>47.0857798156819</v>
      </c>
      <c r="I1204" s="6" t="n">
        <f aca="false">Sens!I1119*cx_azo+Sens!I1126*cx_m365+Sens!I1127*cx_lic+(Sens!I1129+Sens!I1131)*cx_ind+Sens!I1134*cx_srch+(Sens!I1136+Sens!I1138)*cx_dev</f>
        <v>52.3897299063274</v>
      </c>
      <c r="J1204" s="6" t="n">
        <f aca="false">Sens!J1119*cx_azo+Sens!J1126*cx_m365+Sens!J1127*cx_lic+(Sens!J1129+Sens!J1131)*cx_ind+Sens!J1134*cx_srch+(Sens!J1136+Sens!J1138)*cx_dev</f>
        <v>57.2507177803398</v>
      </c>
      <c r="K1204" s="6" t="n">
        <f aca="false">Sens!K1119*cx_azo+Sens!K1126*cx_m365+Sens!K1127*cx_lic+(Sens!K1129+Sens!K1131)*cx_ind+Sens!K1134*cx_srch+(Sens!K1136+Sens!K1138)*cx_dev</f>
        <v>61.4945666833027</v>
      </c>
    </row>
    <row r="1205" customFormat="false" ht="17.15" hidden="false" customHeight="false" outlineLevel="0" collapsed="false">
      <c r="A1205" s="0" t="s">
        <v>1110</v>
      </c>
      <c r="B1205" s="0" t="s">
        <v>98</v>
      </c>
      <c r="F1205" s="6" t="n">
        <f aca="false">Sens!F1109</f>
        <v>0</v>
      </c>
      <c r="L1205" s="1" t="s">
        <v>1111</v>
      </c>
    </row>
    <row r="1206" customFormat="false" ht="17.15" hidden="false" customHeight="false" outlineLevel="0" collapsed="false">
      <c r="A1206" s="1" t="s">
        <v>1112</v>
      </c>
      <c r="B1206" s="0" t="s">
        <v>98</v>
      </c>
      <c r="E1206" s="6" t="n">
        <f aca="false">Q!M43</f>
        <v>145.3</v>
      </c>
      <c r="F1206" s="6" t="n">
        <f aca="false">Sens!F1203+Sens!F1204+Sens!F1205</f>
        <v>204.615808288511</v>
      </c>
      <c r="G1206" s="6" t="n">
        <f aca="false">Sens!G1203+Sens!G1204</f>
        <v>233.524532182243</v>
      </c>
      <c r="H1206" s="6" t="n">
        <f aca="false">Sens!H1203+Sens!H1204</f>
        <v>243.891783880194</v>
      </c>
      <c r="I1206" s="6" t="n">
        <f aca="false">Sens!I1203+Sens!I1204</f>
        <v>221.004563527938</v>
      </c>
      <c r="J1206" s="6" t="n">
        <f aca="false">Sens!J1203+Sens!J1204</f>
        <v>186.18064897628</v>
      </c>
      <c r="K1206" s="6" t="n">
        <f aca="false">Sens!K1203+Sens!K1204</f>
        <v>180.457419748035</v>
      </c>
      <c r="L1206" s="1" t="s">
        <v>1113</v>
      </c>
    </row>
    <row r="1207" customFormat="false" ht="15" hidden="false" customHeight="false" outlineLevel="0" collapsed="false">
      <c r="A1207" s="1" t="s">
        <v>1114</v>
      </c>
      <c r="B1207" s="0" t="s">
        <v>98</v>
      </c>
      <c r="E1207" s="6" t="n">
        <f aca="false">fl_liab</f>
        <v>66.594</v>
      </c>
      <c r="F1207" s="6" t="n">
        <f aca="false">Sens!E1207-Sens!F1208</f>
        <v>62.46973</v>
      </c>
      <c r="G1207" s="6" t="n">
        <f aca="false">Sens!F1207-Sens!G1208</f>
        <v>57.98686785</v>
      </c>
      <c r="H1207" s="6" t="n">
        <f aca="false">Sens!G1207-Sens!H1208</f>
        <v>53.92827690325</v>
      </c>
      <c r="I1207" s="6" t="n">
        <f aca="false">Sens!H1207-Sens!I1208</f>
        <v>49.7850493638962</v>
      </c>
      <c r="J1207" s="6" t="n">
        <f aca="false">Sens!I1207-Sens!J1208</f>
        <v>45.4823765852716</v>
      </c>
      <c r="K1207" s="6" t="n">
        <f aca="false">Sens!J1207-Sens!K1208</f>
        <v>40.9860835316088</v>
      </c>
    </row>
    <row r="1208" customFormat="false" ht="15" hidden="false" customHeight="false" outlineLevel="0" collapsed="false">
      <c r="A1208" s="1" t="s">
        <v>1115</v>
      </c>
      <c r="B1208" s="0" t="s">
        <v>98</v>
      </c>
      <c r="F1208" s="6" t="n">
        <f aca="false">fl_pay_27-Sens!E1207*fl_rate</f>
        <v>4.12427</v>
      </c>
      <c r="G1208" s="6" t="n">
        <f aca="false">fl_pay_28-Sens!F1207*fl_rate</f>
        <v>4.48286215</v>
      </c>
      <c r="H1208" s="6" t="n">
        <f aca="false">fl_pay_29-Sens!G1207*fl_rate</f>
        <v>4.05859094675</v>
      </c>
      <c r="I1208" s="6" t="n">
        <f aca="false">fl_pay_30-Sens!H1207*fl_rate</f>
        <v>4.14322753935375</v>
      </c>
      <c r="J1208" s="6" t="n">
        <f aca="false">fl_pay_31-Sens!I1207*fl_rate</f>
        <v>4.30267277862467</v>
      </c>
      <c r="K1208" s="6" t="n">
        <f aca="false">fl_pay_32-Sens!J1207*fl_rate</f>
        <v>4.49629305366278</v>
      </c>
    </row>
    <row r="1209" customFormat="false" ht="17.15" hidden="false" customHeight="false" outlineLevel="0" collapsed="false">
      <c r="A1209" s="1" t="s">
        <v>1116</v>
      </c>
      <c r="B1209" s="0" t="s">
        <v>98</v>
      </c>
      <c r="E1209" s="6" t="n">
        <f aca="false">Q!M35-Q!M36-Q!M44</f>
        <v>63.886</v>
      </c>
      <c r="F1209" s="6" t="n">
        <f aca="false">Sens!F1202-Sens!F1206-Sens!F1208</f>
        <v>2.71063133460017</v>
      </c>
      <c r="G1209" s="6" t="n">
        <f aca="false">Sens!G1202-Sens!G1206-Sens!G1208</f>
        <v>0.429833266763825</v>
      </c>
      <c r="H1209" s="6" t="n">
        <f aca="false">Sens!H1202-Sens!H1206-Sens!H1208</f>
        <v>22.5731038782444</v>
      </c>
      <c r="I1209" s="6" t="n">
        <f aca="false">Sens!I1202-Sens!I1206-Sens!I1208</f>
        <v>80.4960324328757</v>
      </c>
      <c r="J1209" s="6" t="n">
        <f aca="false">Sens!J1202-Sens!J1206-Sens!J1208</f>
        <v>145.032352670069</v>
      </c>
      <c r="K1209" s="6" t="n">
        <f aca="false">Sens!K1202-Sens!K1206-Sens!K1208</f>
        <v>175.411521733923</v>
      </c>
      <c r="L1209" s="12" t="s">
        <v>1117</v>
      </c>
    </row>
    <row r="1210" customFormat="false" ht="15" hidden="false" customHeight="false" outlineLevel="0" collapsed="false">
      <c r="A1210" s="1" t="s">
        <v>1118</v>
      </c>
      <c r="B1210" s="0" t="s">
        <v>75</v>
      </c>
      <c r="F1210" s="8" t="n">
        <f aca="false">dps_27</f>
        <v>3.85</v>
      </c>
      <c r="G1210" s="8" t="n">
        <f aca="false">Sens!F1210*(1+dps_g)</f>
        <v>4.158</v>
      </c>
      <c r="H1210" s="8" t="n">
        <f aca="false">Sens!G1210*(1+dps_g)</f>
        <v>4.49064</v>
      </c>
      <c r="I1210" s="8" t="n">
        <f aca="false">Sens!H1210*(1+dps_g)</f>
        <v>4.8498912</v>
      </c>
      <c r="J1210" s="8" t="n">
        <f aca="false">Sens!I1210*(1+dps_g)</f>
        <v>5.237882496</v>
      </c>
      <c r="K1210" s="8" t="n">
        <f aca="false">Sens!J1210*(1+dps_g)</f>
        <v>5.65691309568</v>
      </c>
    </row>
    <row r="1211" customFormat="false" ht="17.15" hidden="false" customHeight="false" outlineLevel="0" collapsed="false">
      <c r="A1211" s="1" t="s">
        <v>1119</v>
      </c>
      <c r="B1211" s="0" t="s">
        <v>98</v>
      </c>
      <c r="E1211" s="6" t="n">
        <f aca="false">Q!M41</f>
        <v>26.445</v>
      </c>
      <c r="F1211" s="6" t="n">
        <f aca="false">Sens!F1210*Sens!E1220</f>
        <v>28.59395</v>
      </c>
      <c r="G1211" s="6" t="n">
        <f aca="false">Sens!G1210*Sens!F1220</f>
        <v>31.068576</v>
      </c>
      <c r="H1211" s="6" t="n">
        <f aca="false">Sens!H1210*Sens!G1220</f>
        <v>33.75614088</v>
      </c>
      <c r="I1211" s="6" t="n">
        <f aca="false">Sens!I1210*Sens!H1220</f>
        <v>36.6748772544</v>
      </c>
      <c r="J1211" s="6" t="n">
        <f aca="false">Sens!J1210*Sens!I1220</f>
        <v>39.6767653201446</v>
      </c>
      <c r="K1211" s="6" t="n">
        <f aca="false">Sens!K1210*Sens!J1220</f>
        <v>42.9376608081345</v>
      </c>
      <c r="L1211" s="1" t="s">
        <v>1120</v>
      </c>
    </row>
    <row r="1212" customFormat="false" ht="15" hidden="false" customHeight="false" outlineLevel="0" collapsed="false">
      <c r="A1212" s="1" t="s">
        <v>1121</v>
      </c>
      <c r="B1212" s="0" t="s">
        <v>98</v>
      </c>
      <c r="E1212" s="6" t="n">
        <f aca="false">Sens!E1209-Sens!E1211</f>
        <v>37.441</v>
      </c>
      <c r="F1212" s="6" t="n">
        <f aca="false">Sens!F1209-Sens!F1211</f>
        <v>-25.8833186653998</v>
      </c>
      <c r="G1212" s="6" t="n">
        <f aca="false">Sens!G1209-Sens!G1211</f>
        <v>-30.6387427332362</v>
      </c>
      <c r="H1212" s="6" t="n">
        <f aca="false">Sens!H1209-Sens!H1211</f>
        <v>-11.1830370017556</v>
      </c>
      <c r="I1212" s="6" t="n">
        <f aca="false">Sens!I1209-Sens!I1211</f>
        <v>43.8211551784757</v>
      </c>
      <c r="J1212" s="6" t="n">
        <f aca="false">Sens!J1209-Sens!J1211</f>
        <v>105.355587349924</v>
      </c>
      <c r="K1212" s="6" t="n">
        <f aca="false">Sens!K1209-Sens!K1211</f>
        <v>132.473860925789</v>
      </c>
    </row>
    <row r="1213" customFormat="false" ht="15" hidden="false" customHeight="false" outlineLevel="0" collapsed="false">
      <c r="A1213" s="1" t="s">
        <v>1122</v>
      </c>
      <c r="B1213" s="0" t="s">
        <v>98</v>
      </c>
      <c r="F1213" s="6" t="n">
        <f aca="false">debt_mat_27</f>
        <v>9.25</v>
      </c>
      <c r="G1213" s="6" t="n">
        <f aca="false">debt_mat_28</f>
        <v>0</v>
      </c>
      <c r="H1213" s="6" t="n">
        <f aca="false">debt_mat_29</f>
        <v>2.001</v>
      </c>
      <c r="I1213" s="6" t="n">
        <f aca="false">debt_mat_30</f>
        <v>0</v>
      </c>
      <c r="J1213" s="6" t="n">
        <f aca="false">debt_mat_31</f>
        <v>0.5</v>
      </c>
      <c r="K1213" s="6" t="n">
        <f aca="false">debt_mat_32</f>
        <v>0</v>
      </c>
    </row>
    <row r="1214" customFormat="false" ht="15" hidden="false" customHeight="false" outlineLevel="0" collapsed="false">
      <c r="A1214" s="1" t="s">
        <v>1123</v>
      </c>
      <c r="B1214" s="0" t="s">
        <v>98</v>
      </c>
      <c r="E1214" s="6" t="n">
        <f aca="false">Q!M40</f>
        <v>22.271</v>
      </c>
      <c r="F1214" s="6" t="n">
        <f aca="false">MAX(0,MIN(bb_target,Sens!E1216+Sens!F1212-Sens!F1213-min_cash))</f>
        <v>0</v>
      </c>
      <c r="G1214" s="6" t="n">
        <f aca="false">MAX(0,MIN(bb_target,Sens!F1216+Sens!G1212-Sens!G1213-min_cash))</f>
        <v>0</v>
      </c>
      <c r="H1214" s="6" t="n">
        <f aca="false">MAX(0,MIN(bb_target,Sens!G1216+Sens!H1212-Sens!H1213-min_cash))</f>
        <v>0</v>
      </c>
      <c r="I1214" s="6" t="n">
        <f aca="false">MAX(0,MIN(bb_target,Sens!H1216+Sens!I1212-Sens!I1213-min_cash))</f>
        <v>22.271</v>
      </c>
      <c r="J1214" s="6" t="n">
        <f aca="false">MAX(0,MIN(bb_target,Sens!I1216+Sens!J1212-Sens!J1213-min_cash))</f>
        <v>22.271</v>
      </c>
      <c r="K1214" s="6" t="n">
        <f aca="false">MAX(0,MIN(bb_target,Sens!J1216+Sens!K1212-Sens!K1213-min_cash))</f>
        <v>22.271</v>
      </c>
    </row>
    <row r="1215" customFormat="false" ht="15" hidden="false" customHeight="false" outlineLevel="0" collapsed="false">
      <c r="A1215" s="1" t="s">
        <v>1124</v>
      </c>
      <c r="B1215" s="0" t="s">
        <v>98</v>
      </c>
      <c r="F1215" s="6" t="n">
        <f aca="false">MAX(0,min_cash-(Sens!E1216+Sens!F1212-Sens!F1213-Sens!F1214))</f>
        <v>8.29031866539982</v>
      </c>
      <c r="G1215" s="6" t="n">
        <f aca="false">MAX(0,min_cash-(Sens!F1216+Sens!G1212-Sens!G1213-Sens!G1214))</f>
        <v>30.6387427332362</v>
      </c>
      <c r="H1215" s="6" t="n">
        <f aca="false">MAX(0,min_cash-(Sens!G1216+Sens!H1212-Sens!H1213-Sens!H1214))</f>
        <v>13.1840370017556</v>
      </c>
      <c r="I1215" s="6" t="n">
        <f aca="false">MAX(0,min_cash-(Sens!H1216+Sens!I1212-Sens!I1213-Sens!I1214))</f>
        <v>0</v>
      </c>
      <c r="J1215" s="6" t="n">
        <f aca="false">MAX(0,min_cash-(Sens!I1216+Sens!J1212-Sens!J1213-Sens!J1214))</f>
        <v>0</v>
      </c>
      <c r="K1215" s="6" t="n">
        <f aca="false">MAX(0,min_cash-(Sens!J1216+Sens!K1212-Sens!K1213-Sens!K1214))</f>
        <v>0</v>
      </c>
    </row>
    <row r="1216" customFormat="false" ht="15" hidden="false" customHeight="false" outlineLevel="0" collapsed="false">
      <c r="A1216" s="1" t="s">
        <v>1125</v>
      </c>
      <c r="B1216" s="0" t="s">
        <v>98</v>
      </c>
      <c r="E1216" s="6" t="n">
        <f aca="false">cash_open</f>
        <v>76.843</v>
      </c>
      <c r="F1216" s="6" t="n">
        <f aca="false">Sens!E1216+Sens!F1212-Sens!F1213-Sens!F1214+Sens!F1215</f>
        <v>50</v>
      </c>
      <c r="G1216" s="6" t="n">
        <f aca="false">Sens!F1216+Sens!G1212-Sens!G1213-Sens!G1214+Sens!G1215</f>
        <v>50</v>
      </c>
      <c r="H1216" s="6" t="n">
        <f aca="false">Sens!G1216+Sens!H1212-Sens!H1213-Sens!H1214+Sens!H1215</f>
        <v>50</v>
      </c>
      <c r="I1216" s="6" t="n">
        <f aca="false">Sens!H1216+Sens!I1212-Sens!I1213-Sens!I1214+Sens!I1215</f>
        <v>71.5501551784757</v>
      </c>
      <c r="J1216" s="6" t="n">
        <f aca="false">Sens!I1216+Sens!J1212-Sens!J1213-Sens!J1214+Sens!J1215</f>
        <v>154.1347425284</v>
      </c>
      <c r="K1216" s="6" t="n">
        <f aca="false">Sens!J1216+Sens!K1212-Sens!K1213-Sens!K1214+Sens!K1215</f>
        <v>264.337603454189</v>
      </c>
    </row>
    <row r="1217" customFormat="false" ht="15" hidden="false" customHeight="false" outlineLevel="0" collapsed="false">
      <c r="A1217" s="1" t="s">
        <v>1126</v>
      </c>
      <c r="B1217" s="0" t="s">
        <v>98</v>
      </c>
      <c r="E1217" s="6" t="n">
        <f aca="false">debt_face</f>
        <v>46.136</v>
      </c>
      <c r="F1217" s="6" t="n">
        <f aca="false">Sens!E1217-Sens!F1213+Sens!F1215</f>
        <v>45.1763186653998</v>
      </c>
      <c r="G1217" s="6" t="n">
        <f aca="false">Sens!F1217-Sens!G1213+Sens!G1215</f>
        <v>75.815061398636</v>
      </c>
      <c r="H1217" s="6" t="n">
        <f aca="false">Sens!G1217-Sens!H1213+Sens!H1215</f>
        <v>86.9980984003916</v>
      </c>
      <c r="I1217" s="6" t="n">
        <f aca="false">Sens!H1217-Sens!I1213+Sens!I1215</f>
        <v>86.9980984003916</v>
      </c>
      <c r="J1217" s="6" t="n">
        <f aca="false">Sens!I1217-Sens!J1213+Sens!J1215</f>
        <v>86.4980984003916</v>
      </c>
      <c r="K1217" s="6" t="n">
        <f aca="false">Sens!J1217-Sens!K1213+Sens!K1215</f>
        <v>86.4980984003916</v>
      </c>
    </row>
    <row r="1218" customFormat="false" ht="15" hidden="false" customHeight="false" outlineLevel="0" collapsed="false">
      <c r="A1218" s="1" t="s">
        <v>1127</v>
      </c>
      <c r="B1218" s="0" t="s">
        <v>98</v>
      </c>
      <c r="E1218" s="6" t="n">
        <f aca="false">Sens!E1216-Sens!E1217</f>
        <v>30.707</v>
      </c>
      <c r="F1218" s="6" t="n">
        <f aca="false">Sens!F1216-Sens!F1217</f>
        <v>4.82368133460017</v>
      </c>
      <c r="G1218" s="6" t="n">
        <f aca="false">Sens!G1216-Sens!G1217</f>
        <v>-25.815061398636</v>
      </c>
      <c r="H1218" s="6" t="n">
        <f aca="false">Sens!H1216-Sens!H1217</f>
        <v>-36.9980984003916</v>
      </c>
      <c r="I1218" s="6" t="n">
        <f aca="false">Sens!I1216-Sens!I1217</f>
        <v>-15.4479432219159</v>
      </c>
      <c r="J1218" s="6" t="n">
        <f aca="false">Sens!J1216-Sens!J1217</f>
        <v>67.6366441280086</v>
      </c>
      <c r="K1218" s="6" t="n">
        <f aca="false">Sens!K1216-Sens!K1217</f>
        <v>177.839505053798</v>
      </c>
    </row>
    <row r="1219" customFormat="false" ht="15" hidden="false" customHeight="false" outlineLevel="0" collapsed="false">
      <c r="A1219" s="1" t="s">
        <v>1128</v>
      </c>
      <c r="B1219" s="0" t="s">
        <v>75</v>
      </c>
      <c r="F1219" s="30" t="n">
        <f aca="false">px*(1+bb_g)^(Sens!F1077-base_fy-mid_yr)</f>
        <v>551.84177959629</v>
      </c>
      <c r="G1219" s="30" t="n">
        <f aca="false">px*(1+bb_g)^(Sens!G1077-base_fy-mid_yr)</f>
        <v>595.989121963993</v>
      </c>
      <c r="H1219" s="30" t="n">
        <f aca="false">px*(1+bb_g)^(Sens!H1077-base_fy-mid_yr)</f>
        <v>643.668251721112</v>
      </c>
      <c r="I1219" s="30" t="n">
        <f aca="false">px*(1+bb_g)^(Sens!I1077-base_fy-mid_yr)</f>
        <v>695.161711858801</v>
      </c>
      <c r="J1219" s="30" t="n">
        <f aca="false">px*(1+bb_g)^(Sens!J1077-base_fy-mid_yr)</f>
        <v>750.774648807506</v>
      </c>
      <c r="K1219" s="30" t="n">
        <f aca="false">px*(1+bb_g)^(Sens!K1077-base_fy-mid_yr)</f>
        <v>810.836620712106</v>
      </c>
    </row>
    <row r="1220" customFormat="false" ht="15" hidden="false" customHeight="false" outlineLevel="0" collapsed="false">
      <c r="A1220" s="1" t="s">
        <v>1129</v>
      </c>
      <c r="B1220" s="1" t="s">
        <v>81</v>
      </c>
      <c r="E1220" s="15" t="n">
        <f aca="false">sh_out26</f>
        <v>7.427</v>
      </c>
      <c r="F1220" s="15" t="n">
        <f aca="false">Sens!E1220+sh_iss-Sens!F1214/Sens!F1219</f>
        <v>7.472</v>
      </c>
      <c r="G1220" s="15" t="n">
        <f aca="false">Sens!F1220+sh_iss-Sens!G1214/Sens!G1219</f>
        <v>7.517</v>
      </c>
      <c r="H1220" s="15" t="n">
        <f aca="false">Sens!G1220+sh_iss-Sens!H1214/Sens!H1219</f>
        <v>7.562</v>
      </c>
      <c r="I1220" s="15" t="n">
        <f aca="false">Sens!H1220+sh_iss-Sens!I1214/Sens!I1219</f>
        <v>7.57496285005334</v>
      </c>
      <c r="J1220" s="15" t="n">
        <f aca="false">Sens!I1220+sh_iss-Sens!J1214/Sens!J1219</f>
        <v>7.59029882232494</v>
      </c>
      <c r="K1220" s="15" t="n">
        <f aca="false">Sens!J1220+sh_iss-Sens!K1214/Sens!K1219</f>
        <v>7.60783212998384</v>
      </c>
    </row>
    <row r="1221" customFormat="false" ht="15" hidden="false" customHeight="false" outlineLevel="0" collapsed="false">
      <c r="A1221" s="1" t="s">
        <v>1130</v>
      </c>
      <c r="B1221" s="1" t="s">
        <v>81</v>
      </c>
      <c r="E1221" s="15" t="n">
        <f aca="false">sh_dil26</f>
        <v>7.453</v>
      </c>
      <c r="F1221" s="15" t="n">
        <f aca="false">(Sens!E1220+Sens!F1220)/2+dil_gap</f>
        <v>7.4735</v>
      </c>
      <c r="G1221" s="15" t="n">
        <f aca="false">(Sens!F1220+Sens!G1220)/2+dil_gap</f>
        <v>7.5185</v>
      </c>
      <c r="H1221" s="15" t="n">
        <f aca="false">(Sens!G1220+Sens!H1220)/2+dil_gap</f>
        <v>7.5635</v>
      </c>
      <c r="I1221" s="15" t="n">
        <f aca="false">(Sens!H1220+Sens!I1220)/2+dil_gap</f>
        <v>7.59248142502667</v>
      </c>
      <c r="J1221" s="15" t="n">
        <f aca="false">(Sens!I1220+Sens!J1220)/2+dil_gap</f>
        <v>7.60663083618914</v>
      </c>
      <c r="K1221" s="15" t="n">
        <f aca="false">(Sens!J1220+Sens!K1220)/2+dil_gap</f>
        <v>7.62306547615439</v>
      </c>
    </row>
    <row r="1222" customFormat="false" ht="17.15" hidden="false" customHeight="false" outlineLevel="0" collapsed="false">
      <c r="A1222" s="1" t="s">
        <v>1131</v>
      </c>
      <c r="B1222" s="0" t="s">
        <v>98</v>
      </c>
      <c r="C1222" s="6" t="n">
        <f aca="false">SUM(Sens!F1212:J1212)</f>
        <v>81.4716441280086</v>
      </c>
    </row>
    <row r="1223" customFormat="false" ht="15" hidden="false" customHeight="false" outlineLevel="0" collapsed="false">
      <c r="A1223" s="26" t="s">
        <v>1096</v>
      </c>
      <c r="B1223" s="31" t="s">
        <v>98</v>
      </c>
      <c r="C1223" s="27" t="n">
        <f aca="false">Sens!$C$1222-(Sens!F1212+Sens!G1212+Sens!H1212+Sens!I1212+Sens!J1212)</f>
        <v>0</v>
      </c>
      <c r="D1223" s="31"/>
      <c r="E1223" s="31"/>
      <c r="F1223" s="31"/>
      <c r="G1223" s="31"/>
      <c r="H1223" s="31"/>
      <c r="I1223" s="31"/>
      <c r="J1223" s="31"/>
      <c r="K1223" s="31"/>
    </row>
    <row r="1224" customFormat="false" ht="17.15" hidden="false" customHeight="false" outlineLevel="0" collapsed="false">
      <c r="A1224" s="1" t="s">
        <v>1090</v>
      </c>
      <c r="B1224" s="1" t="s">
        <v>1132</v>
      </c>
      <c r="C1224" s="33" t="str">
        <f aca="false">IF(SUM(Sens!F1215:J1215)&gt;0.05,"需要舉債 "&amp;TEXT(SUM(Sens!F1215:J1215),"0.0")&amp;" 十億美元","不需舉債")&amp;"；"&amp;IF(SUM(Sens!F1214:J1214)&lt;COUNT(Sens!F1214:J1214)*bb_target-0.05,"回購較每年 "&amp;TEXT(bb_target,"0.0")&amp;" 的目標少 "&amp;TEXT(COUNT(Sens!F1214:J1214)*bb_target-SUM(Sens!F1214:J1214),"0.0")&amp;" 十億美元（"&amp;TEXT(COUNTIF(Sens!F1214:J1214,"&lt;"&amp;(bb_target-0.05)),"0")&amp;" 年減少）","回購不減")</f>
        <v>需要舉債 52.1 十億美元；回購較每年 22.3 的目標少 66.8 十億美元（3 年減少）</v>
      </c>
    </row>
    <row r="1225" customFormat="false" ht="17.15" hidden="false" customHeight="false" outlineLevel="0" collapsed="false">
      <c r="A1225" s="3" t="s">
        <v>1509</v>
      </c>
    </row>
    <row r="1226" customFormat="false" ht="15" hidden="false" customHeight="false" outlineLevel="0" collapsed="false">
      <c r="A1226" s="4" t="s">
        <v>43</v>
      </c>
      <c r="B1226" s="4" t="s">
        <v>65</v>
      </c>
      <c r="C1226" s="23" t="s">
        <v>938</v>
      </c>
      <c r="D1226" s="23" t="s">
        <v>939</v>
      </c>
      <c r="E1226" s="23" t="s">
        <v>940</v>
      </c>
      <c r="F1226" s="23" t="s">
        <v>941</v>
      </c>
      <c r="G1226" s="23" t="s">
        <v>942</v>
      </c>
      <c r="H1226" s="23" t="s">
        <v>943</v>
      </c>
      <c r="I1226" s="23" t="s">
        <v>944</v>
      </c>
      <c r="J1226" s="23" t="s">
        <v>945</v>
      </c>
      <c r="K1226" s="23" t="s">
        <v>946</v>
      </c>
      <c r="L1226" s="4" t="s">
        <v>47</v>
      </c>
    </row>
    <row r="1227" customFormat="false" ht="17.15" hidden="false" customHeight="false" outlineLevel="0" collapsed="false">
      <c r="A1227" s="1" t="s">
        <v>1212</v>
      </c>
      <c r="B1227" s="1" t="s">
        <v>279</v>
      </c>
      <c r="F1227" s="8" t="n">
        <f aca="false">(1-v_off)*mid_yr</f>
        <v>0.373972602739726</v>
      </c>
      <c r="G1227" s="8" t="n">
        <f aca="false">Sens!G1077-base_fy-mid_yr-v_off</f>
        <v>1.24794520547945</v>
      </c>
      <c r="H1227" s="8" t="n">
        <f aca="false">Sens!H1077-base_fy-mid_yr-v_off</f>
        <v>2.24794520547945</v>
      </c>
      <c r="I1227" s="8" t="n">
        <f aca="false">Sens!I1077-base_fy-mid_yr-v_off</f>
        <v>3.24794520547945</v>
      </c>
      <c r="J1227" s="8" t="n">
        <f aca="false">Sens!J1077-base_fy-mid_yr-v_off</f>
        <v>4.24794520547945</v>
      </c>
      <c r="K1227" s="8" t="n">
        <f aca="false">Sens!K1077-base_fy-mid_yr-v_off</f>
        <v>5.24794520547945</v>
      </c>
      <c r="L1227" s="12" t="s">
        <v>1213</v>
      </c>
    </row>
    <row r="1228" customFormat="false" ht="15" hidden="false" customHeight="false" outlineLevel="0" collapsed="false">
      <c r="A1228" s="1" t="s">
        <v>1214</v>
      </c>
      <c r="B1228" s="1" t="s">
        <v>279</v>
      </c>
      <c r="F1228" s="8" t="n">
        <f aca="false">Sens!F1077-base_fy-v_off</f>
        <v>0.747945205479452</v>
      </c>
      <c r="G1228" s="8" t="n">
        <f aca="false">Sens!G1077-base_fy-v_off</f>
        <v>1.74794520547945</v>
      </c>
      <c r="H1228" s="8" t="n">
        <f aca="false">Sens!H1077-base_fy-v_off</f>
        <v>2.74794520547945</v>
      </c>
      <c r="I1228" s="8" t="n">
        <f aca="false">Sens!I1077-base_fy-v_off</f>
        <v>3.74794520547945</v>
      </c>
      <c r="J1228" s="8" t="n">
        <f aca="false">Sens!J1077-base_fy-v_off</f>
        <v>4.74794520547945</v>
      </c>
      <c r="K1228" s="8" t="n">
        <f aca="false">Sens!K1077-base_fy-v_off</f>
        <v>5.74794520547945</v>
      </c>
    </row>
    <row r="1229" customFormat="false" ht="15" hidden="false" customHeight="false" outlineLevel="0" collapsed="false">
      <c r="A1229" s="1" t="s">
        <v>1215</v>
      </c>
      <c r="B1229" s="0" t="s">
        <v>229</v>
      </c>
      <c r="F1229" s="15" t="n">
        <f aca="false">1/(1+wacc)^Sens!F1227</f>
        <v>0.964022703286649</v>
      </c>
      <c r="G1229" s="15" t="n">
        <f aca="false">1/(1+wacc)^Sens!G1227</f>
        <v>0.884910302296739</v>
      </c>
      <c r="H1229" s="15" t="n">
        <f aca="false">1/(1+wacc)^Sens!H1227</f>
        <v>0.802322009770358</v>
      </c>
      <c r="I1229" s="15" t="n">
        <f aca="false">1/(1+wacc)^Sens!I1227</f>
        <v>0.727441646561469</v>
      </c>
      <c r="J1229" s="15" t="n">
        <f aca="false">1/(1+wacc)^Sens!J1227</f>
        <v>0.659549834988973</v>
      </c>
      <c r="K1229" s="15" t="n">
        <f aca="false">1/(1+wacc)^Sens!K1227</f>
        <v>0.597994336576966</v>
      </c>
    </row>
    <row r="1230" customFormat="false" ht="17.15" hidden="false" customHeight="false" outlineLevel="0" collapsed="false">
      <c r="A1230" s="1" t="s">
        <v>1216</v>
      </c>
      <c r="B1230" s="0" t="s">
        <v>98</v>
      </c>
      <c r="F1230" s="6" t="n">
        <f aca="false">Q!$I$35-Q!$I$39-Q!$I$43</f>
        <v>9.666</v>
      </c>
      <c r="L1230" s="12" t="s">
        <v>1217</v>
      </c>
    </row>
    <row r="1231" customFormat="false" ht="17.15" hidden="false" customHeight="false" outlineLevel="0" collapsed="false">
      <c r="A1231" s="1" t="s">
        <v>1218</v>
      </c>
      <c r="B1231" s="0" t="s">
        <v>98</v>
      </c>
      <c r="F1231" s="6" t="n">
        <f aca="false">Sens!F1202-Sens!F1199-Sens!F1206+Sens!F1184*(1-tax_f)*(1-v_off)-Sens!F1230</f>
        <v>-11.0131270260552</v>
      </c>
      <c r="G1231" s="6" t="n">
        <f aca="false">Sens!G1202-Sens!G1199-Sens!G1206+Sens!G1184*(1-tax_f)</f>
        <v>10.3877889840926</v>
      </c>
      <c r="H1231" s="6" t="n">
        <f aca="false">Sens!H1202-Sens!H1199-Sens!H1206+Sens!H1184*(1-tax_f)</f>
        <v>44.9332793185428</v>
      </c>
      <c r="I1231" s="6" t="n">
        <f aca="false">Sens!I1202-Sens!I1199-Sens!I1206+Sens!I1184*(1-tax_f)</f>
        <v>114.077522947149</v>
      </c>
      <c r="J1231" s="6" t="n">
        <f aca="false">Sens!J1202-Sens!J1199-Sens!J1206+Sens!J1184*(1-tax_f)</f>
        <v>186.189453323667</v>
      </c>
      <c r="K1231" s="6" t="n">
        <f aca="false">Sens!K1202-Sens!K1199-Sens!K1206+Sens!K1184*(1-tax_f)</f>
        <v>220.587071136842</v>
      </c>
      <c r="L1231" s="1" t="s">
        <v>1219</v>
      </c>
    </row>
    <row r="1232" customFormat="false" ht="15" hidden="false" customHeight="false" outlineLevel="0" collapsed="false">
      <c r="A1232" s="1" t="s">
        <v>1220</v>
      </c>
      <c r="B1232" s="0" t="s">
        <v>98</v>
      </c>
      <c r="F1232" s="6" t="n">
        <f aca="false">Sens!F1231*Sens!F1229</f>
        <v>-10.616904487297</v>
      </c>
      <c r="G1232" s="6" t="n">
        <f aca="false">Sens!G1231*Sens!G1229</f>
        <v>9.19226149010815</v>
      </c>
      <c r="H1232" s="6" t="n">
        <f aca="false">Sens!H1231*Sens!H1229</f>
        <v>36.0509589684261</v>
      </c>
      <c r="I1232" s="6" t="n">
        <f aca="false">Sens!I1231*Sens!I1229</f>
        <v>82.9847411283278</v>
      </c>
      <c r="J1232" s="6" t="n">
        <f aca="false">Sens!J1231*Sens!J1229</f>
        <v>122.801223216312</v>
      </c>
      <c r="K1232" s="6" t="n">
        <f aca="false">Sens!K1231*Sens!K1229</f>
        <v>131.909819261932</v>
      </c>
    </row>
    <row r="1233" customFormat="false" ht="17.15" hidden="false" customHeight="false" outlineLevel="0" collapsed="false">
      <c r="A1233" s="1" t="s">
        <v>1221</v>
      </c>
      <c r="B1233" s="0" t="s">
        <v>98</v>
      </c>
      <c r="C1233" s="6" t="n">
        <f aca="false">SUM(Sens!F1232:K1232)</f>
        <v>372.322099577808</v>
      </c>
    </row>
    <row r="1234" customFormat="false" ht="17.15" hidden="false" customHeight="false" outlineLevel="0" collapsed="false">
      <c r="A1234" s="1" t="s">
        <v>1222</v>
      </c>
      <c r="B1234" s="0" t="s">
        <v>98</v>
      </c>
      <c r="C1234" s="6" t="n">
        <f aca="false">Sens!K1170*(1+g_tv)*(1-tax_f)</f>
        <v>230.037213582244</v>
      </c>
    </row>
    <row r="1235" customFormat="false" ht="17.15" hidden="false" customHeight="false" outlineLevel="0" collapsed="false">
      <c r="A1235" s="1" t="s">
        <v>1223</v>
      </c>
      <c r="B1235" s="0" t="s">
        <v>98</v>
      </c>
      <c r="C1235" s="6" t="n">
        <f aca="false">Sens!$C$1234*(1-g_tv/(wacc+ronic_prem))</f>
        <v>162.994810642024</v>
      </c>
    </row>
    <row r="1236" customFormat="false" ht="17.15" hidden="false" customHeight="false" outlineLevel="0" collapsed="false">
      <c r="A1236" s="1" t="s">
        <v>1224</v>
      </c>
      <c r="B1236" s="0" t="s">
        <v>98</v>
      </c>
      <c r="C1236" s="6" t="n">
        <f aca="false">Sens!$C$1235/(wacc-g_tv)</f>
        <v>2234.746764674</v>
      </c>
    </row>
    <row r="1237" customFormat="false" ht="15" hidden="false" customHeight="false" outlineLevel="0" collapsed="false">
      <c r="A1237" s="1" t="s">
        <v>1225</v>
      </c>
      <c r="B1237" s="0" t="s">
        <v>98</v>
      </c>
      <c r="C1237" s="6" t="n">
        <f aca="false">Sens!$C$1236/(1+wacc)^Sens!K1228</f>
        <v>1272.47751094898</v>
      </c>
    </row>
    <row r="1238" customFormat="false" ht="17.15" hidden="false" customHeight="false" outlineLevel="0" collapsed="false">
      <c r="A1238" s="0" t="s">
        <v>1226</v>
      </c>
      <c r="B1238" s="0" t="s">
        <v>98</v>
      </c>
      <c r="C1238" s="6" t="n">
        <f aca="false">Sens!$C$1233+Sens!$C$1237</f>
        <v>1644.79961052679</v>
      </c>
    </row>
    <row r="1239" customFormat="false" ht="15" hidden="false" customHeight="false" outlineLevel="0" collapsed="false">
      <c r="A1239" s="1" t="s">
        <v>1141</v>
      </c>
      <c r="B1239" s="0" t="s">
        <v>168</v>
      </c>
      <c r="C1239" s="7" t="n">
        <f aca="false">Sens!$C$1237/Sens!$C$1238</f>
        <v>0.773636802200748</v>
      </c>
    </row>
    <row r="1240" customFormat="false" ht="17.15" hidden="false" customHeight="false" outlineLevel="0" collapsed="false">
      <c r="A1240" s="1" t="s">
        <v>1227</v>
      </c>
      <c r="B1240" s="0" t="s">
        <v>98</v>
      </c>
      <c r="C1240" s="6" t="n">
        <f aca="false">Sens!$C$1238+cash_val-debt_val-fl_val+oai_v</f>
        <v>1760.65061052679</v>
      </c>
    </row>
    <row r="1241" customFormat="false" ht="17.15" hidden="false" customHeight="false" outlineLevel="0" collapsed="false">
      <c r="A1241" s="0" t="s">
        <v>1149</v>
      </c>
      <c r="B1241" s="0" t="s">
        <v>75</v>
      </c>
      <c r="C1241" s="5" t="n">
        <f aca="false">Sens!$C$1240/shd_val</f>
        <v>236.455897196722</v>
      </c>
    </row>
    <row r="1242" customFormat="false" ht="15" hidden="false" customHeight="false" outlineLevel="0" collapsed="false">
      <c r="A1242" s="1" t="s">
        <v>1228</v>
      </c>
      <c r="B1242" s="0" t="s">
        <v>75</v>
      </c>
      <c r="C1242" s="8" t="n">
        <f aca="false">div_rem27+Sens!G1210*roll_div_q/q_per_yr</f>
        <v>3.9795</v>
      </c>
    </row>
    <row r="1243" customFormat="false" ht="17.15" hidden="false" customHeight="false" outlineLevel="0" collapsed="false">
      <c r="A1243" s="0" t="s">
        <v>1229</v>
      </c>
      <c r="B1243" s="0" t="s">
        <v>75</v>
      </c>
      <c r="C1243" s="5" t="n">
        <f aca="false">Sens!$C$1241*(1+wacc)^t_roll-Sens!$C$1242</f>
        <v>258.854426513659</v>
      </c>
    </row>
    <row r="1244" customFormat="false" ht="17.15" hidden="false" customHeight="false" outlineLevel="0" collapsed="false">
      <c r="A1244" s="1" t="s">
        <v>1230</v>
      </c>
      <c r="B1244" s="0" t="s">
        <v>168</v>
      </c>
      <c r="F1244" s="7" t="n">
        <f aca="false">Sens!F1196/(Sens!F1141-Sens!F1096)</f>
        <v>0.068440564536859</v>
      </c>
      <c r="G1244" s="7" t="n">
        <f aca="false">Sens!G1196/(Sens!G1141-Sens!G1096)</f>
        <v>0.0661514469141174</v>
      </c>
      <c r="H1244" s="7" t="n">
        <f aca="false">Sens!H1196/(Sens!H1141-Sens!H1096)</f>
        <v>0.0650386588053744</v>
      </c>
      <c r="I1244" s="7" t="n">
        <f aca="false">Sens!I1196/(Sens!I1141-Sens!I1096)</f>
        <v>0.0649661301003721</v>
      </c>
      <c r="J1244" s="7" t="n">
        <f aca="false">Sens!J1196/(Sens!J1141-Sens!J1096)</f>
        <v>0.0657272160198643</v>
      </c>
      <c r="K1244" s="7" t="n">
        <f aca="false">Sens!K1196/(Sens!K1141-Sens!K1096)</f>
        <v>0.0670920226036574</v>
      </c>
    </row>
    <row r="1245" customFormat="false" ht="17.15" hidden="false" customHeight="false" outlineLevel="0" collapsed="false">
      <c r="A1245" s="0" t="s">
        <v>1231</v>
      </c>
      <c r="B1245" s="0" t="s">
        <v>98</v>
      </c>
      <c r="F1245" s="6" t="n">
        <f aca="false">Sens!F1126*(al_m365+Sens!F1244+sbc_r)</f>
        <v>82.890709163785</v>
      </c>
      <c r="G1245" s="6" t="n">
        <f aca="false">Sens!G1126*(al_m365+Sens!G1244+sbc_r)</f>
        <v>93.2853486964477</v>
      </c>
      <c r="H1245" s="6" t="n">
        <f aca="false">Sens!H1126*(al_m365+Sens!H1244+sbc_r)</f>
        <v>103.841610244228</v>
      </c>
      <c r="I1245" s="6" t="n">
        <f aca="false">Sens!I1126*(al_m365+Sens!I1244+sbc_r)</f>
        <v>113.882799879977</v>
      </c>
      <c r="J1245" s="6" t="n">
        <f aca="false">Sens!J1126*(al_m365+Sens!J1244+sbc_r)</f>
        <v>123.219520165755</v>
      </c>
      <c r="K1245" s="6" t="n">
        <f aca="false">Sens!K1126*(al_m365+Sens!K1244+sbc_r)</f>
        <v>132.158929869448</v>
      </c>
      <c r="L1245" s="12" t="s">
        <v>1232</v>
      </c>
    </row>
    <row r="1246" customFormat="false" ht="17.15" hidden="false" customHeight="false" outlineLevel="0" collapsed="false">
      <c r="A1246" s="0" t="s">
        <v>1233</v>
      </c>
      <c r="B1246" s="0" t="s">
        <v>98</v>
      </c>
      <c r="F1246" s="6" t="n">
        <f aca="false">Sens!F1127*(al_lic+Sens!F1244+sbc_r)</f>
        <v>32.8508946872569</v>
      </c>
      <c r="G1246" s="6" t="n">
        <f aca="false">Sens!G1127*(al_lic+Sens!G1244+sbc_r)</f>
        <v>34.1503535836428</v>
      </c>
      <c r="H1246" s="6" t="n">
        <f aca="false">Sens!H1127*(al_lic+Sens!H1244+sbc_r)</f>
        <v>35.359499792403</v>
      </c>
      <c r="I1246" s="6" t="n">
        <f aca="false">Sens!I1127*(al_lic+Sens!I1244+sbc_r)</f>
        <v>36.4586288313785</v>
      </c>
      <c r="J1246" s="6" t="n">
        <f aca="false">Sens!J1127*(al_lic+Sens!J1244+sbc_r)</f>
        <v>37.4248498042381</v>
      </c>
      <c r="K1246" s="6" t="n">
        <f aca="false">Sens!K1127*(al_lic+Sens!K1244+sbc_r)</f>
        <v>38.2344165886514</v>
      </c>
    </row>
    <row r="1247" customFormat="false" ht="17.15" hidden="false" customHeight="false" outlineLevel="0" collapsed="false">
      <c r="A1247" s="0" t="s">
        <v>1234</v>
      </c>
      <c r="B1247" s="0" t="s">
        <v>98</v>
      </c>
      <c r="F1247" s="6" t="n">
        <f aca="false">Sens!F1129*(al_ind+Sens!F1244+sbc_r)</f>
        <v>9.05642236222053</v>
      </c>
      <c r="G1247" s="6" t="n">
        <f aca="false">Sens!G1129*(al_ind+Sens!G1244+sbc_r)</f>
        <v>9.84395042589235</v>
      </c>
      <c r="H1247" s="6" t="n">
        <f aca="false">Sens!H1129*(al_ind+Sens!H1244+sbc_r)</f>
        <v>10.6742333052307</v>
      </c>
      <c r="I1247" s="6" t="n">
        <f aca="false">Sens!I1129*(al_ind+Sens!I1244+sbc_r)</f>
        <v>11.5427639870428</v>
      </c>
      <c r="J1247" s="6" t="n">
        <f aca="false">Sens!J1129*(al_ind+Sens!J1244+sbc_r)</f>
        <v>12.4409749811124</v>
      </c>
      <c r="K1247" s="6" t="n">
        <f aca="false">Sens!K1129*(al_ind+Sens!K1244+sbc_r)</f>
        <v>13.3569130623405</v>
      </c>
    </row>
    <row r="1248" customFormat="false" ht="17.15" hidden="false" customHeight="false" outlineLevel="0" collapsed="false">
      <c r="A1248" s="0" t="s">
        <v>1235</v>
      </c>
      <c r="B1248" s="0" t="s">
        <v>98</v>
      </c>
      <c r="F1248" s="6" t="n">
        <f aca="false">Sens!F1131*(al_fro+Sens!F1244+sbc_r)</f>
        <v>3.55246256518684</v>
      </c>
      <c r="G1248" s="6" t="n">
        <f aca="false">Sens!G1131*(al_fro+Sens!G1244+sbc_r)</f>
        <v>3.76658393916983</v>
      </c>
      <c r="H1248" s="6" t="n">
        <f aca="false">Sens!H1131*(al_fro+Sens!H1244+sbc_r)</f>
        <v>4.00867559103233</v>
      </c>
      <c r="I1248" s="6" t="n">
        <f aca="false">Sens!I1131*(al_fro+Sens!I1244+sbc_r)</f>
        <v>4.28107238274692</v>
      </c>
      <c r="J1248" s="6" t="n">
        <f aca="false">Sens!J1131*(al_fro+Sens!J1244+sbc_r)</f>
        <v>4.58543278384549</v>
      </c>
      <c r="K1248" s="6" t="n">
        <f aca="false">Sens!K1131*(al_fro+Sens!K1244+sbc_r)</f>
        <v>4.92302469380532</v>
      </c>
    </row>
    <row r="1249" customFormat="false" ht="17.15" hidden="false" customHeight="false" outlineLevel="0" collapsed="false">
      <c r="A1249" s="0" t="s">
        <v>1236</v>
      </c>
      <c r="B1249" s="0" t="s">
        <v>98</v>
      </c>
      <c r="F1249" s="6" t="n">
        <f aca="false">Sens!F1134*(al_srch+Sens!F1244+sbc_r)</f>
        <v>11.1841571396096</v>
      </c>
      <c r="G1249" s="6" t="n">
        <f aca="false">Sens!G1134*(al_srch+Sens!G1244+sbc_r)</f>
        <v>12.2714119629761</v>
      </c>
      <c r="H1249" s="6" t="n">
        <f aca="false">Sens!H1134*(al_srch+Sens!H1244+sbc_r)</f>
        <v>13.4011020146107</v>
      </c>
      <c r="I1249" s="6" t="n">
        <f aca="false">Sens!I1134*(al_srch+Sens!I1244+sbc_r)</f>
        <v>14.56060726653</v>
      </c>
      <c r="J1249" s="6" t="n">
        <f aca="false">Sens!J1134*(al_srch+Sens!J1244+sbc_r)</f>
        <v>15.7312702874946</v>
      </c>
      <c r="K1249" s="6" t="n">
        <f aca="false">Sens!K1134*(al_srch+Sens!K1244+sbc_r)</f>
        <v>16.889448769831</v>
      </c>
    </row>
    <row r="1250" customFormat="false" ht="17.15" hidden="false" customHeight="false" outlineLevel="0" collapsed="false">
      <c r="A1250" s="0" t="s">
        <v>1237</v>
      </c>
      <c r="B1250" s="0" t="s">
        <v>98</v>
      </c>
      <c r="F1250" s="6" t="n">
        <f aca="false">Sens!F1102-Sens!F1103+Sens!F1184</f>
        <v>31.3223535642066</v>
      </c>
      <c r="G1250" s="6" t="n">
        <f aca="false">Sens!G1102-Sens!G1103+Sens!G1184</f>
        <v>57.961691185792</v>
      </c>
      <c r="H1250" s="6" t="n">
        <f aca="false">Sens!H1102-Sens!H1103+Sens!H1184</f>
        <v>82.1972799895517</v>
      </c>
      <c r="I1250" s="6" t="n">
        <f aca="false">Sens!I1102-Sens!I1103+Sens!I1184</f>
        <v>109.342422933366</v>
      </c>
      <c r="J1250" s="6" t="n">
        <f aca="false">Sens!J1102-Sens!J1103+Sens!J1184</f>
        <v>128.420993614508</v>
      </c>
      <c r="K1250" s="6" t="n">
        <f aca="false">Sens!K1102-Sens!K1103+Sens!K1184</f>
        <v>140.232449235503</v>
      </c>
    </row>
    <row r="1251" customFormat="false" ht="17.15" hidden="false" customHeight="false" outlineLevel="0" collapsed="false">
      <c r="A1251" s="0" t="s">
        <v>1238</v>
      </c>
      <c r="B1251" s="0" t="s">
        <v>98</v>
      </c>
      <c r="F1251" s="6" t="n">
        <f aca="false">Sens!F1163+Sens!F1184+Sens!F1114+Sens!F1244*(Sens!F1133-Sens!F1096)+sbc_r*Sens!F1133</f>
        <v>228.865385387159</v>
      </c>
      <c r="G1251" s="6" t="n">
        <f aca="false">Sens!G1163+Sens!G1184+Sens!G1114+Sens!G1244*(Sens!G1133-Sens!G1096)+sbc_r*Sens!G1133</f>
        <v>274.859800440649</v>
      </c>
      <c r="H1251" s="6" t="n">
        <f aca="false">Sens!H1163+Sens!H1184+Sens!H1114+Sens!H1244*(Sens!H1133-Sens!H1096)+sbc_r*Sens!H1133</f>
        <v>324.620155645373</v>
      </c>
      <c r="I1251" s="6" t="n">
        <f aca="false">Sens!I1163+Sens!I1184+Sens!I1114+Sens!I1244*(Sens!I1133-Sens!I1096)+sbc_r*Sens!I1133</f>
        <v>376.643157755866</v>
      </c>
      <c r="J1251" s="6" t="n">
        <f aca="false">Sens!J1163+Sens!J1184+Sens!J1114+Sens!J1244*(Sens!J1133-Sens!J1096)+sbc_r*Sens!J1133</f>
        <v>418.701428654458</v>
      </c>
      <c r="K1251" s="6" t="n">
        <f aca="false">Sens!K1163+Sens!K1184+Sens!K1114+Sens!K1244*(Sens!K1133-Sens!K1096)+sbc_r*Sens!K1133</f>
        <v>451.156836326765</v>
      </c>
    </row>
    <row r="1252" customFormat="false" ht="17.15" hidden="false" customHeight="false" outlineLevel="0" collapsed="false">
      <c r="A1252" s="0" t="s">
        <v>1239</v>
      </c>
      <c r="B1252" s="0" t="s">
        <v>98</v>
      </c>
      <c r="F1252" s="6" t="n">
        <f aca="false">Sens!F1251-Sens!F1245-Sens!F1246-Sens!F1247-Sens!F1248-Sens!F1250</f>
        <v>69.192543044503</v>
      </c>
      <c r="G1252" s="6" t="n">
        <f aca="false">Sens!G1251-Sens!G1245-Sens!G1246-Sens!G1247-Sens!G1248-Sens!G1250</f>
        <v>75.8518726097039</v>
      </c>
      <c r="H1252" s="6" t="n">
        <f aca="false">Sens!H1251-Sens!H1245-Sens!H1246-Sens!H1247-Sens!H1248-Sens!H1250</f>
        <v>88.5388567229276</v>
      </c>
      <c r="I1252" s="6" t="n">
        <f aca="false">Sens!I1251-Sens!I1245-Sens!I1246-Sens!I1247-Sens!I1248-Sens!I1250</f>
        <v>101.135469741356</v>
      </c>
      <c r="J1252" s="6" t="n">
        <f aca="false">Sens!J1251-Sens!J1245-Sens!J1246-Sens!J1247-Sens!J1248-Sens!J1250</f>
        <v>112.609657304999</v>
      </c>
      <c r="K1252" s="6" t="n">
        <f aca="false">Sens!K1251-Sens!K1245-Sens!K1246-Sens!K1247-Sens!K1248-Sens!K1250</f>
        <v>122.251102877017</v>
      </c>
    </row>
    <row r="1253" customFormat="false" ht="17.15" hidden="false" customHeight="false" outlineLevel="0" collapsed="false">
      <c r="A1253" s="0" t="s">
        <v>1240</v>
      </c>
      <c r="B1253" s="0" t="s">
        <v>98</v>
      </c>
      <c r="F1253" s="6" t="n">
        <f aca="false">Sens!F1165+Sens!F1244*Sens!F1140+sbc_r*Sens!F1140</f>
        <v>26.6221262840394</v>
      </c>
      <c r="G1253" s="6" t="n">
        <f aca="false">Sens!G1165+Sens!G1244*Sens!G1140+sbc_r*Sens!G1140</f>
        <v>26.493167578299</v>
      </c>
      <c r="H1253" s="6" t="n">
        <f aca="false">Sens!H1165+Sens!H1244*Sens!H1140+sbc_r*Sens!H1140</f>
        <v>27.3913950061887</v>
      </c>
      <c r="I1253" s="6" t="n">
        <f aca="false">Sens!I1165+Sens!I1244*Sens!I1140+sbc_r*Sens!I1140</f>
        <v>28.5145919117432</v>
      </c>
      <c r="J1253" s="6" t="n">
        <f aca="false">Sens!J1165+Sens!J1244*Sens!J1140+sbc_r*Sens!J1140</f>
        <v>29.8318442191293</v>
      </c>
      <c r="K1253" s="6" t="n">
        <f aca="false">Sens!K1165+Sens!K1244*Sens!K1140+sbc_r*Sens!K1140</f>
        <v>31.3143083245964</v>
      </c>
    </row>
    <row r="1254" customFormat="false" ht="17.15" hidden="false" customHeight="false" outlineLevel="0" collapsed="false">
      <c r="A1254" s="0" t="s">
        <v>1241</v>
      </c>
      <c r="B1254" s="0" t="s">
        <v>98</v>
      </c>
      <c r="F1254" s="6" t="n">
        <f aca="false">(Sens!F1253-Sens!F1249)*Sens!F1136/(Sens!F1136+Sens!F1138)</f>
        <v>8.71914140791253</v>
      </c>
      <c r="G1254" s="6" t="n">
        <f aca="false">(Sens!G1253-Sens!G1249)*Sens!G1136/(Sens!G1136+Sens!G1138)</f>
        <v>7.89419720445469</v>
      </c>
      <c r="H1254" s="6" t="n">
        <f aca="false">(Sens!H1253-Sens!H1249)*Sens!H1136/(Sens!H1136+Sens!H1138)</f>
        <v>7.66455287200743</v>
      </c>
      <c r="I1254" s="6" t="n">
        <f aca="false">(Sens!I1253-Sens!I1249)*Sens!I1136/(Sens!I1136+Sens!I1138)</f>
        <v>7.57793534478269</v>
      </c>
      <c r="J1254" s="6" t="n">
        <f aca="false">(Sens!J1253-Sens!J1249)*Sens!J1136/(Sens!J1136+Sens!J1138)</f>
        <v>7.6241335119654</v>
      </c>
      <c r="K1254" s="6" t="n">
        <f aca="false">(Sens!K1253-Sens!K1249)*Sens!K1136/(Sens!K1136+Sens!K1138)</f>
        <v>7.79947367178776</v>
      </c>
    </row>
    <row r="1255" customFormat="false" ht="17.15" hidden="false" customHeight="false" outlineLevel="0" collapsed="false">
      <c r="A1255" s="0" t="s">
        <v>1242</v>
      </c>
      <c r="B1255" s="0" t="s">
        <v>98</v>
      </c>
      <c r="F1255" s="6" t="n">
        <f aca="false">Sens!F1253-Sens!F1249-Sens!F1254</f>
        <v>6.71882773651727</v>
      </c>
      <c r="G1255" s="6" t="n">
        <f aca="false">Sens!G1253-Sens!G1249-Sens!G1254</f>
        <v>6.32755841086829</v>
      </c>
      <c r="H1255" s="6" t="n">
        <f aca="false">Sens!H1253-Sens!H1249-Sens!H1254</f>
        <v>6.32574011957058</v>
      </c>
      <c r="I1255" s="6" t="n">
        <f aca="false">Sens!I1253-Sens!I1249-Sens!I1254</f>
        <v>6.37604930043052</v>
      </c>
      <c r="J1255" s="6" t="n">
        <f aca="false">Sens!J1253-Sens!J1249-Sens!J1254</f>
        <v>6.47644041966932</v>
      </c>
      <c r="K1255" s="6" t="n">
        <f aca="false">Sens!K1253-Sens!K1249-Sens!K1254</f>
        <v>6.62538588297772</v>
      </c>
    </row>
    <row r="1256" customFormat="false" ht="17.15" hidden="false" customHeight="false" outlineLevel="0" collapsed="false">
      <c r="A1256" s="0" t="s">
        <v>1243</v>
      </c>
      <c r="B1256" s="0" t="s">
        <v>98</v>
      </c>
      <c r="F1256" s="6" t="n">
        <f aca="false">Sens!F1250-tax_f*(Sens!F1250-Sens!F1114)-Sens!F1111</f>
        <v>-136.480158295084</v>
      </c>
      <c r="G1256" s="6" t="n">
        <f aca="false">Sens!G1250-tax_f*(Sens!G1250-Sens!G1114)-Sens!G1111</f>
        <v>-133.428224569955</v>
      </c>
      <c r="H1256" s="6" t="n">
        <f aca="false">Sens!H1250-tax_f*(Sens!H1250-Sens!H1114)-Sens!H1111</f>
        <v>-113.228161940582</v>
      </c>
      <c r="I1256" s="6" t="n">
        <f aca="false">Sens!I1250-tax_f*(Sens!I1250-Sens!I1114)-Sens!I1111</f>
        <v>-58.294693336008</v>
      </c>
      <c r="J1256" s="6" t="n">
        <f aca="false">Sens!J1250-tax_f*(Sens!J1250-Sens!J1114)-Sens!J1111</f>
        <v>0.209998305585316</v>
      </c>
      <c r="K1256" s="6" t="n">
        <f aca="false">Sens!K1250-tax_f*(Sens!K1250-Sens!K1114)-Sens!K1111</f>
        <v>21.8256402338564</v>
      </c>
    </row>
    <row r="1257" customFormat="false" ht="17.15" hidden="false" customHeight="false" outlineLevel="0" collapsed="false">
      <c r="A1257" s="0" t="s">
        <v>1244</v>
      </c>
      <c r="B1257" s="0" t="s">
        <v>98</v>
      </c>
      <c r="G1257" s="6" t="n">
        <f aca="false">Sens!G1256/(1+wacc)^(Sens!G1227-Sens!F1228)</f>
        <v>-127.04934625533</v>
      </c>
      <c r="H1257" s="6" t="n">
        <f aca="false">Sens!H1256/(1+wacc)^(Sens!H1227-Sens!F1228)</f>
        <v>-97.7526725355485</v>
      </c>
      <c r="I1257" s="6" t="n">
        <f aca="false">Sens!I1256/(1+wacc)^(Sens!I1227-Sens!F1228)</f>
        <v>-45.6302301517256</v>
      </c>
      <c r="J1257" s="6" t="n">
        <f aca="false">Sens!J1256/(1+wacc)^(Sens!J1227-Sens!F1228)</f>
        <v>0.149035209621245</v>
      </c>
      <c r="K1257" s="6" t="n">
        <f aca="false">Sens!K1256/(1+wacc)^(Sens!K1227-Sens!F1228)</f>
        <v>14.0439585595001</v>
      </c>
      <c r="L1257" s="1" t="s">
        <v>1245</v>
      </c>
    </row>
    <row r="1258" customFormat="false" ht="17.15" hidden="false" customHeight="false" outlineLevel="0" collapsed="false">
      <c r="A1258" s="0" t="s">
        <v>1246</v>
      </c>
      <c r="B1258" s="0" t="s">
        <v>98</v>
      </c>
      <c r="C1258" s="6" t="n">
        <f aca="false">(Sens!K1250-Sens!K1114)*(1-tax_f)*(1+g_tv)*(1-g_tv/(wacc+ronic_prem))/(wacc-g_tv)/(1+wacc)^(Sens!K1228-Sens!F1228)</f>
        <v>-13.6359034511562</v>
      </c>
    </row>
    <row r="1259" customFormat="false" ht="17.15" hidden="false" customHeight="false" outlineLevel="0" collapsed="false">
      <c r="A1259" s="1" t="s">
        <v>1247</v>
      </c>
      <c r="B1259" s="0" t="s">
        <v>98</v>
      </c>
      <c r="C1259" s="6" t="n">
        <f aca="false">(SUM(Sens!G1257:K1257)+Sens!$C$1258)*(1+wacc)^(t_roll-Sens!F1228)</f>
        <v>-278.784553773896</v>
      </c>
      <c r="L1259" s="12" t="s">
        <v>1248</v>
      </c>
    </row>
    <row r="1260" customFormat="false" ht="17.15" hidden="false" customHeight="false" outlineLevel="0" collapsed="false">
      <c r="A1260" s="1" t="s">
        <v>1249</v>
      </c>
      <c r="B1260" s="0" t="s">
        <v>98</v>
      </c>
      <c r="C1260" s="6" t="n">
        <f aca="false">(w_ntm28*Sens!G1102+(1-w_ntm28)*Sens!H1102)*m_ai</f>
        <v>269.191046240151</v>
      </c>
    </row>
    <row r="1261" customFormat="false" ht="17.15" hidden="false" customHeight="false" outlineLevel="0" collapsed="false">
      <c r="A1261" s="1" t="s">
        <v>1250</v>
      </c>
      <c r="B1261" s="0" t="s">
        <v>98</v>
      </c>
      <c r="C1261" s="6" t="n">
        <f aca="false">(w_ntm28*Sens!G1252+(1-w_ntm28)*Sens!H1252)*m_cloud</f>
        <v>1105.9169738589</v>
      </c>
    </row>
    <row r="1262" customFormat="false" ht="17.15" hidden="false" customHeight="false" outlineLevel="0" collapsed="false">
      <c r="A1262" s="1" t="s">
        <v>1251</v>
      </c>
      <c r="B1262" s="0" t="s">
        <v>98</v>
      </c>
      <c r="C1262" s="6" t="n">
        <f aca="false">(w_ntm28*Sens!G1245+(1-w_ntm28)*Sens!H1245)*m_sw</f>
        <v>1044.96372473238</v>
      </c>
    </row>
    <row r="1263" customFormat="false" ht="17.15" hidden="false" customHeight="false" outlineLevel="0" collapsed="false">
      <c r="A1263" s="1" t="s">
        <v>1252</v>
      </c>
      <c r="B1263" s="0" t="s">
        <v>98</v>
      </c>
      <c r="C1263" s="6" t="n">
        <f aca="false">(w_ntm28*Sens!G1246+(1-w_ntm28)*Sens!H1246)*m_sw</f>
        <v>373.117115926776</v>
      </c>
    </row>
    <row r="1264" customFormat="false" ht="17.15" hidden="false" customHeight="false" outlineLevel="0" collapsed="false">
      <c r="A1264" s="1" t="s">
        <v>1253</v>
      </c>
      <c r="B1264" s="0" t="s">
        <v>98</v>
      </c>
      <c r="C1264" s="6" t="n">
        <f aca="false">(w_ntm28*Sens!G1247+(1-w_ntm28)*Sens!H1247)*m_sw</f>
        <v>109.262737508192</v>
      </c>
    </row>
    <row r="1265" customFormat="false" ht="17.15" hidden="false" customHeight="false" outlineLevel="0" collapsed="false">
      <c r="A1265" s="1" t="s">
        <v>1254</v>
      </c>
      <c r="B1265" s="0" t="s">
        <v>98</v>
      </c>
      <c r="C1265" s="6" t="n">
        <f aca="false">(w_ntm28*Sens!G1248+(1-w_ntm28)*Sens!H1248)*m_sw</f>
        <v>41.538697723346</v>
      </c>
    </row>
    <row r="1266" customFormat="false" ht="17.15" hidden="false" customHeight="false" outlineLevel="0" collapsed="false">
      <c r="A1266" s="1" t="s">
        <v>1255</v>
      </c>
      <c r="B1266" s="0" t="s">
        <v>98</v>
      </c>
      <c r="C1266" s="6" t="n">
        <f aca="false">(w_ntm28*Sens!G1249+(1-w_ntm28)*Sens!H1249)*m_ads</f>
        <v>115.176062063389</v>
      </c>
    </row>
    <row r="1267" customFormat="false" ht="17.15" hidden="false" customHeight="false" outlineLevel="0" collapsed="false">
      <c r="A1267" s="1" t="s">
        <v>1256</v>
      </c>
      <c r="B1267" s="0" t="s">
        <v>98</v>
      </c>
      <c r="C1267" s="6" t="n">
        <f aca="false">(w_ntm28*Sens!G1254+(1-w_ntm28)*Sens!H1254)*m_game</f>
        <v>98.7501519244352</v>
      </c>
    </row>
    <row r="1268" customFormat="false" ht="17.15" hidden="false" customHeight="false" outlineLevel="0" collapsed="false">
      <c r="A1268" s="1" t="s">
        <v>1257</v>
      </c>
      <c r="B1268" s="0" t="s">
        <v>98</v>
      </c>
      <c r="C1268" s="6" t="n">
        <f aca="false">(w_ntm28*Sens!G1255+(1-w_ntm28)*Sens!H1255)*m_pc</f>
        <v>91.551120120307</v>
      </c>
    </row>
    <row r="1269" customFormat="false" ht="17.15" hidden="false" customHeight="false" outlineLevel="0" collapsed="false">
      <c r="A1269" s="1" t="s">
        <v>1258</v>
      </c>
      <c r="B1269" s="0" t="s">
        <v>98</v>
      </c>
      <c r="C1269" s="6" t="n">
        <f aca="false">Sens!$C$1259+Sens!$C$1261+Sens!$C$1262+Sens!$C$1263+Sens!$C$1264+Sens!$C$1265+Sens!$C$1266+Sens!$C$1267+Sens!$C$1268</f>
        <v>2701.49203008384</v>
      </c>
    </row>
    <row r="1270" customFormat="false" ht="17.15" hidden="false" customHeight="false" outlineLevel="0" collapsed="false">
      <c r="A1270" s="1" t="s">
        <v>1259</v>
      </c>
      <c r="B1270" s="0" t="s">
        <v>98</v>
      </c>
      <c r="C1270" s="6" t="n">
        <f aca="false">(Sens!G1231-Sens!G1256)*t_stub</f>
        <v>47.6759935343554</v>
      </c>
      <c r="L1270" s="1" t="s">
        <v>1260</v>
      </c>
    </row>
    <row r="1271" customFormat="false" ht="17.15" hidden="false" customHeight="false" outlineLevel="0" collapsed="false">
      <c r="A1271" s="1" t="s">
        <v>1169</v>
      </c>
      <c r="B1271" s="0" t="s">
        <v>98</v>
      </c>
      <c r="C1271" s="6" t="n">
        <f aca="false">Sens!F1218+oai_v-Sens!F1207+Sens!$C$1270</f>
        <v>153.613944868956</v>
      </c>
      <c r="L1271" s="1" t="s">
        <v>1261</v>
      </c>
    </row>
    <row r="1272" customFormat="false" ht="17.15" hidden="false" customHeight="false" outlineLevel="0" collapsed="false">
      <c r="A1272" s="1" t="s">
        <v>1262</v>
      </c>
      <c r="B1272" s="0" t="s">
        <v>75</v>
      </c>
      <c r="C1272" s="5" t="n">
        <f aca="false">(Sens!$C$1269+Sens!$C$1271)/(Sens!F1220+dil_gap)-Sens!G1210*roll_div_q/q_per_yr</f>
        <v>379.84443475891</v>
      </c>
      <c r="L1272" s="1" t="s">
        <v>1263</v>
      </c>
    </row>
    <row r="1273" customFormat="false" ht="17.15" hidden="false" customHeight="false" outlineLevel="0" collapsed="false">
      <c r="A1273" s="1" t="s">
        <v>1264</v>
      </c>
      <c r="B1273" s="0" t="s">
        <v>75</v>
      </c>
      <c r="C1273" s="5" t="n">
        <f aca="false">w_dcf*Sens!$C$1243+(1-w_dcf)*Sens!$C$1272</f>
        <v>319.349430636285</v>
      </c>
    </row>
    <row r="1274" customFormat="false" ht="17.15" hidden="false" customHeight="false" outlineLevel="0" collapsed="false">
      <c r="A1274" s="3" t="s">
        <v>1510</v>
      </c>
    </row>
    <row r="1275" customFormat="false" ht="15" hidden="false" customHeight="false" outlineLevel="0" collapsed="false">
      <c r="A1275" s="4" t="s">
        <v>43</v>
      </c>
      <c r="B1275" s="4" t="s">
        <v>65</v>
      </c>
      <c r="C1275" s="23" t="s">
        <v>938</v>
      </c>
      <c r="D1275" s="23" t="s">
        <v>939</v>
      </c>
      <c r="E1275" s="23" t="s">
        <v>940</v>
      </c>
      <c r="F1275" s="23" t="s">
        <v>941</v>
      </c>
      <c r="G1275" s="23" t="s">
        <v>942</v>
      </c>
      <c r="H1275" s="23" t="s">
        <v>943</v>
      </c>
      <c r="I1275" s="23" t="s">
        <v>944</v>
      </c>
      <c r="J1275" s="23" t="s">
        <v>945</v>
      </c>
      <c r="K1275" s="23" t="s">
        <v>946</v>
      </c>
      <c r="L1275" s="4" t="s">
        <v>47</v>
      </c>
    </row>
    <row r="1276" customFormat="false" ht="17.15" hidden="false" customHeight="false" outlineLevel="0" collapsed="false">
      <c r="A1276" s="1" t="s">
        <v>947</v>
      </c>
      <c r="B1276" s="1" t="s">
        <v>279</v>
      </c>
      <c r="C1276" s="21" t="n">
        <v>2024</v>
      </c>
      <c r="D1276" s="21" t="n">
        <v>2025</v>
      </c>
      <c r="E1276" s="21" t="n">
        <v>2026</v>
      </c>
      <c r="F1276" s="21" t="n">
        <v>2027</v>
      </c>
      <c r="G1276" s="21" t="n">
        <v>2028</v>
      </c>
      <c r="H1276" s="21" t="n">
        <v>2029</v>
      </c>
      <c r="I1276" s="21" t="n">
        <v>2030</v>
      </c>
      <c r="J1276" s="21" t="n">
        <v>2031</v>
      </c>
      <c r="K1276" s="21" t="n">
        <v>2032</v>
      </c>
    </row>
    <row r="1277" customFormat="false" ht="17.15" hidden="false" customHeight="false" outlineLevel="0" collapsed="false">
      <c r="A1277" s="1" t="s">
        <v>948</v>
      </c>
      <c r="B1277" s="0" t="s">
        <v>456</v>
      </c>
      <c r="F1277" s="30" t="n">
        <f aca="false">pace</f>
        <v>2726.5351</v>
      </c>
      <c r="G1277" s="30" t="n">
        <f aca="false">pace</f>
        <v>2726.5351</v>
      </c>
      <c r="H1277" s="30" t="n">
        <f aca="false">pace</f>
        <v>2726.5351</v>
      </c>
      <c r="I1277" s="30" t="n">
        <f aca="false">pace+(g_tv*Sens!H1278-pace)*MIN(1,(Sens!I1276-pace_y0)/(pace_y1-pace_y0))</f>
        <v>1931.98611966667</v>
      </c>
      <c r="J1277" s="30" t="n">
        <f aca="false">pace+(g_tv*Sens!I1278-pace)*MIN(1,(Sens!J1276-pace_y0)/(pace_y1-pace_y0))</f>
        <v>1176.07686172667</v>
      </c>
      <c r="K1277" s="30" t="n">
        <f aca="false">pace+(g_tv*Sens!J1278-pace)*MIN(1,(Sens!K1276-pace_y0)/(pace_y1-pace_y0))</f>
        <v>436.1300484418</v>
      </c>
      <c r="L1277" s="12" t="s">
        <v>949</v>
      </c>
    </row>
    <row r="1278" customFormat="false" ht="17.15" hidden="false" customHeight="false" outlineLevel="0" collapsed="false">
      <c r="A1278" s="1" t="s">
        <v>950</v>
      </c>
      <c r="B1278" s="0" t="s">
        <v>456</v>
      </c>
      <c r="C1278" s="30" t="n">
        <f aca="false">mw_ext_24</f>
        <v>640</v>
      </c>
      <c r="D1278" s="30" t="n">
        <f aca="false">mw_ext_25</f>
        <v>1630</v>
      </c>
      <c r="E1278" s="30" t="n">
        <f aca="false">mw_ext_26</f>
        <v>3250</v>
      </c>
      <c r="F1278" s="30" t="n">
        <f aca="false">Sens!E1278+Sens!F1277</f>
        <v>5976.5351</v>
      </c>
      <c r="G1278" s="30" t="n">
        <f aca="false">Sens!F1278+Sens!G1277</f>
        <v>8703.0702</v>
      </c>
      <c r="H1278" s="30" t="n">
        <f aca="false">Sens!G1278+Sens!H1277</f>
        <v>11429.6053</v>
      </c>
      <c r="I1278" s="30" t="n">
        <f aca="false">Sens!H1278+Sens!I1277</f>
        <v>13361.5914196667</v>
      </c>
      <c r="J1278" s="30" t="n">
        <f aca="false">Sens!I1278+Sens!J1277</f>
        <v>14537.6682813933</v>
      </c>
      <c r="K1278" s="30" t="n">
        <f aca="false">Sens!J1278+Sens!K1277</f>
        <v>14973.7983298351</v>
      </c>
      <c r="L1278" s="1" t="s">
        <v>951</v>
      </c>
    </row>
    <row r="1279" customFormat="false" ht="17.15" hidden="false" customHeight="false" outlineLevel="0" collapsed="false">
      <c r="A1279" s="1" t="s">
        <v>952</v>
      </c>
      <c r="B1279" s="0" t="s">
        <v>456</v>
      </c>
      <c r="C1279" s="30" t="n">
        <f aca="false">rent_ext_24</f>
        <v>150</v>
      </c>
      <c r="D1279" s="30" t="n">
        <f aca="false">rent_ext_25</f>
        <v>400</v>
      </c>
      <c r="E1279" s="30" t="n">
        <f aca="false">rent_ext_26</f>
        <v>550</v>
      </c>
      <c r="F1279" s="30" t="n">
        <f aca="false">rent_ext_f</f>
        <v>756</v>
      </c>
      <c r="G1279" s="30" t="n">
        <f aca="false">rent_ext_f</f>
        <v>756</v>
      </c>
      <c r="H1279" s="30" t="n">
        <f aca="false">rent_ext_f</f>
        <v>756</v>
      </c>
      <c r="I1279" s="30" t="n">
        <f aca="false">rent_ext_f</f>
        <v>756</v>
      </c>
      <c r="J1279" s="30" t="n">
        <f aca="false">rent_ext_f</f>
        <v>756</v>
      </c>
      <c r="K1279" s="30" t="n">
        <f aca="false">rent_ext_f</f>
        <v>756</v>
      </c>
      <c r="L1279" s="1" t="s">
        <v>953</v>
      </c>
    </row>
    <row r="1280" customFormat="false" ht="17.15" hidden="false" customHeight="false" outlineLevel="0" collapsed="false">
      <c r="A1280" s="1" t="s">
        <v>954</v>
      </c>
      <c r="B1280" s="0" t="s">
        <v>456</v>
      </c>
      <c r="C1280" s="30" t="n">
        <f aca="false">Sens!C1278-Sens!C1279</f>
        <v>490</v>
      </c>
      <c r="D1280" s="30" t="n">
        <f aca="false">Sens!D1278-Sens!D1279</f>
        <v>1230</v>
      </c>
      <c r="E1280" s="30" t="n">
        <f aca="false">Sens!E1278-Sens!E1279</f>
        <v>2700</v>
      </c>
      <c r="F1280" s="30" t="n">
        <f aca="false">Sens!F1278-Sens!F1279</f>
        <v>5220.5351</v>
      </c>
      <c r="G1280" s="30" t="n">
        <f aca="false">Sens!G1278-Sens!G1279</f>
        <v>7947.0702</v>
      </c>
      <c r="H1280" s="30" t="n">
        <f aca="false">Sens!H1278-Sens!H1279</f>
        <v>10673.6053</v>
      </c>
      <c r="I1280" s="30" t="n">
        <f aca="false">Sens!I1278-Sens!I1279</f>
        <v>12605.5914196667</v>
      </c>
      <c r="J1280" s="30" t="n">
        <f aca="false">Sens!J1278-Sens!J1279</f>
        <v>13781.6682813933</v>
      </c>
      <c r="K1280" s="30" t="n">
        <f aca="false">Sens!K1278-Sens!K1279</f>
        <v>14217.7983298351</v>
      </c>
    </row>
    <row r="1281" customFormat="false" ht="17.15" hidden="false" customHeight="false" outlineLevel="0" collapsed="false">
      <c r="A1281" s="1" t="s">
        <v>955</v>
      </c>
      <c r="B1281" s="0" t="s">
        <v>456</v>
      </c>
      <c r="C1281" s="30" t="n">
        <f aca="false">Sens!C1280/ext_sh</f>
        <v>816.666666666667</v>
      </c>
      <c r="D1281" s="30" t="n">
        <f aca="false">Sens!D1280/ext_sh</f>
        <v>2050</v>
      </c>
      <c r="E1281" s="30" t="n">
        <f aca="false">Sens!E1280/ext_sh</f>
        <v>4500</v>
      </c>
      <c r="F1281" s="30" t="n">
        <f aca="false">Sens!F1280/ext_sh</f>
        <v>8700.89183333333</v>
      </c>
      <c r="G1281" s="30" t="n">
        <f aca="false">Sens!G1280/ext_sh</f>
        <v>13245.117</v>
      </c>
      <c r="H1281" s="30" t="n">
        <f aca="false">Sens!H1280/ext_sh</f>
        <v>17789.3421666667</v>
      </c>
      <c r="I1281" s="30" t="n">
        <f aca="false">Sens!I1280/ext_sh</f>
        <v>21009.3190327778</v>
      </c>
      <c r="J1281" s="30" t="n">
        <f aca="false">Sens!J1280/ext_sh</f>
        <v>22969.4471356556</v>
      </c>
      <c r="K1281" s="30" t="n">
        <f aca="false">Sens!K1280/ext_sh</f>
        <v>23696.3305497252</v>
      </c>
      <c r="L1281" s="1" t="s">
        <v>956</v>
      </c>
    </row>
    <row r="1282" customFormat="false" ht="17.15" hidden="false" customHeight="false" outlineLevel="0" collapsed="false">
      <c r="A1282" s="1" t="s">
        <v>957</v>
      </c>
      <c r="B1282" s="0" t="s">
        <v>456</v>
      </c>
      <c r="C1282" s="30" t="n">
        <f aca="false">Sens!C1281-Sens!C1280</f>
        <v>326.666666666667</v>
      </c>
      <c r="D1282" s="30" t="n">
        <f aca="false">Sens!D1281-Sens!D1280</f>
        <v>820</v>
      </c>
      <c r="E1282" s="30" t="n">
        <f aca="false">Sens!E1281-Sens!E1280</f>
        <v>1800</v>
      </c>
      <c r="F1282" s="30" t="n">
        <f aca="false">Sens!F1281-Sens!F1280</f>
        <v>3480.35673333333</v>
      </c>
      <c r="G1282" s="30" t="n">
        <f aca="false">Sens!G1281-Sens!G1280</f>
        <v>5298.0468</v>
      </c>
      <c r="H1282" s="30" t="n">
        <f aca="false">Sens!H1281-Sens!H1280</f>
        <v>7115.73686666667</v>
      </c>
      <c r="I1282" s="30" t="n">
        <f aca="false">Sens!I1281-Sens!I1280</f>
        <v>8403.72761311111</v>
      </c>
      <c r="J1282" s="30" t="n">
        <f aca="false">Sens!J1281-Sens!J1280</f>
        <v>9187.77885426222</v>
      </c>
      <c r="K1282" s="30" t="n">
        <f aca="false">Sens!K1281-Sens!K1280</f>
        <v>9478.53221989009</v>
      </c>
    </row>
    <row r="1283" customFormat="false" ht="17.15" hidden="false" customHeight="false" outlineLevel="0" collapsed="false">
      <c r="A1283" s="1" t="s">
        <v>958</v>
      </c>
      <c r="B1283" s="0" t="s">
        <v>456</v>
      </c>
      <c r="C1283" s="30" t="n">
        <f aca="false">Sens!C1281</f>
        <v>816.666666666667</v>
      </c>
      <c r="D1283" s="30" t="n">
        <f aca="false">Sens!D1281-Sens!C1281</f>
        <v>1233.33333333333</v>
      </c>
      <c r="E1283" s="30" t="n">
        <f aca="false">Sens!E1281-Sens!D1281</f>
        <v>2450</v>
      </c>
      <c r="F1283" s="30" t="n">
        <f aca="false">Sens!F1281-Sens!E1281</f>
        <v>4200.89183333333</v>
      </c>
      <c r="G1283" s="30" t="n">
        <f aca="false">Sens!G1281-Sens!F1281</f>
        <v>4544.22516666667</v>
      </c>
      <c r="H1283" s="30" t="n">
        <f aca="false">Sens!H1281-Sens!G1281</f>
        <v>4544.22516666667</v>
      </c>
      <c r="I1283" s="30" t="n">
        <f aca="false">Sens!I1281-Sens!H1281</f>
        <v>3219.97686611111</v>
      </c>
      <c r="J1283" s="30" t="n">
        <f aca="false">Sens!J1281-Sens!I1281</f>
        <v>1960.12810287778</v>
      </c>
      <c r="K1283" s="30" t="n">
        <f aca="false">Sens!K1281-Sens!J1281</f>
        <v>726.883414069667</v>
      </c>
    </row>
    <row r="1284" customFormat="false" ht="17.15" hidden="false" customHeight="false" outlineLevel="0" collapsed="false">
      <c r="A1284" s="1" t="s">
        <v>959</v>
      </c>
      <c r="B1284" s="0" t="s">
        <v>456</v>
      </c>
      <c r="D1284" s="30" t="n">
        <f aca="false">Sens!D1278-Sens!C1278</f>
        <v>990</v>
      </c>
      <c r="E1284" s="30" t="n">
        <f aca="false">Sens!E1278-Sens!D1278</f>
        <v>1620</v>
      </c>
      <c r="F1284" s="30" t="n">
        <f aca="false">Sens!F1278-Sens!E1278</f>
        <v>2726.5351</v>
      </c>
      <c r="G1284" s="30" t="n">
        <f aca="false">Sens!G1278-Sens!F1278</f>
        <v>2726.5351</v>
      </c>
      <c r="H1284" s="30" t="n">
        <f aca="false">Sens!H1278-Sens!G1278</f>
        <v>2726.5351</v>
      </c>
      <c r="I1284" s="30" t="n">
        <f aca="false">Sens!I1278-Sens!H1278</f>
        <v>1931.98611966667</v>
      </c>
      <c r="J1284" s="30" t="n">
        <f aca="false">Sens!J1278-Sens!I1278</f>
        <v>1176.07686172667</v>
      </c>
      <c r="K1284" s="30" t="n">
        <f aca="false">Sens!K1278-Sens!J1278</f>
        <v>436.130048441799</v>
      </c>
    </row>
    <row r="1285" customFormat="false" ht="17.15" hidden="false" customHeight="false" outlineLevel="0" collapsed="false">
      <c r="A1285" s="1" t="s">
        <v>960</v>
      </c>
      <c r="B1285" s="0" t="s">
        <v>456</v>
      </c>
      <c r="F1285" s="30" t="n">
        <f aca="false">Sens!F1304*ext_sh</f>
        <v>0</v>
      </c>
      <c r="G1285" s="30" t="n">
        <f aca="false">Sens!G1304*ext_sh</f>
        <v>0</v>
      </c>
      <c r="H1285" s="30" t="n">
        <f aca="false">Sens!H1304*ext_sh</f>
        <v>0</v>
      </c>
      <c r="I1285" s="30" t="n">
        <f aca="false">Sens!I1304*ext_sh</f>
        <v>490</v>
      </c>
      <c r="J1285" s="30" t="n">
        <f aca="false">Sens!J1304*ext_sh</f>
        <v>740</v>
      </c>
      <c r="K1285" s="30" t="n">
        <f aca="false">Sens!K1304*ext_sh</f>
        <v>1470</v>
      </c>
      <c r="L1285" s="1" t="s">
        <v>961</v>
      </c>
    </row>
    <row r="1286" customFormat="false" ht="17.15" hidden="false" customHeight="false" outlineLevel="0" collapsed="false">
      <c r="A1286" s="1" t="s">
        <v>962</v>
      </c>
      <c r="B1286" s="0" t="s">
        <v>456</v>
      </c>
      <c r="C1286" s="30" t="n">
        <f aca="false">mix_h*Sens!C1278</f>
        <v>128</v>
      </c>
      <c r="D1286" s="30" t="n">
        <f aca="false">mix_h*Sens!D1278</f>
        <v>326</v>
      </c>
      <c r="E1286" s="30" t="n">
        <f aca="false">mix_h*Sens!E1278</f>
        <v>650</v>
      </c>
      <c r="F1286" s="30" t="n">
        <f aca="false">Sens!E1286-Sens!F1285*mix_h</f>
        <v>650</v>
      </c>
      <c r="G1286" s="30" t="n">
        <f aca="false">Sens!F1286-Sens!G1285*mix_h</f>
        <v>650</v>
      </c>
      <c r="H1286" s="30" t="n">
        <f aca="false">Sens!G1286-Sens!H1285*mix_h</f>
        <v>650</v>
      </c>
      <c r="I1286" s="30" t="n">
        <f aca="false">Sens!H1286-Sens!I1285*mix_h</f>
        <v>552</v>
      </c>
      <c r="J1286" s="30" t="n">
        <f aca="false">Sens!I1286-Sens!J1285*mix_h</f>
        <v>404</v>
      </c>
      <c r="K1286" s="30" t="n">
        <f aca="false">Sens!J1286-Sens!K1285*mix_h</f>
        <v>110</v>
      </c>
    </row>
    <row r="1287" customFormat="false" ht="17.15" hidden="false" customHeight="false" outlineLevel="0" collapsed="false">
      <c r="A1287" s="1" t="s">
        <v>963</v>
      </c>
      <c r="B1287" s="0" t="s">
        <v>456</v>
      </c>
      <c r="C1287" s="30" t="n">
        <f aca="false">mix_g2*Sens!C1278</f>
        <v>288</v>
      </c>
      <c r="D1287" s="30" t="n">
        <f aca="false">mix_g2*Sens!D1278</f>
        <v>733.5</v>
      </c>
      <c r="E1287" s="30" t="n">
        <f aca="false">mix_g2*Sens!E1278</f>
        <v>1462.5</v>
      </c>
      <c r="F1287" s="30" t="n">
        <f aca="false">Sens!E1287-Sens!F1285*mix_g2</f>
        <v>1462.5</v>
      </c>
      <c r="G1287" s="30" t="n">
        <f aca="false">Sens!F1287-Sens!G1285*mix_g2</f>
        <v>1462.5</v>
      </c>
      <c r="H1287" s="30" t="n">
        <f aca="false">Sens!G1287-Sens!H1285*mix_g2</f>
        <v>1462.5</v>
      </c>
      <c r="I1287" s="30" t="n">
        <f aca="false">Sens!H1287-Sens!I1285*mix_g2</f>
        <v>1242</v>
      </c>
      <c r="J1287" s="30" t="n">
        <f aca="false">Sens!I1287-Sens!J1285*mix_g2</f>
        <v>909</v>
      </c>
      <c r="K1287" s="30" t="n">
        <f aca="false">Sens!J1287-Sens!K1285*mix_g2</f>
        <v>247.5</v>
      </c>
    </row>
    <row r="1288" customFormat="false" ht="17.15" hidden="false" customHeight="false" outlineLevel="0" collapsed="false">
      <c r="A1288" s="1" t="s">
        <v>964</v>
      </c>
      <c r="B1288" s="0" t="s">
        <v>456</v>
      </c>
      <c r="C1288" s="30" t="n">
        <f aca="false">mix_g3*Sens!C1278</f>
        <v>224</v>
      </c>
      <c r="D1288" s="30" t="n">
        <f aca="false">mix_g3*Sens!D1278</f>
        <v>570.5</v>
      </c>
      <c r="E1288" s="30" t="n">
        <f aca="false">mix_g3*Sens!E1278</f>
        <v>1137.5</v>
      </c>
      <c r="F1288" s="30" t="n">
        <f aca="false">Sens!E1288+(Sens!F1284+Sens!F1285)*(a_g3_27-nonnv*a_mai)-Sens!F1285*mix_g3</f>
        <v>2773.42106</v>
      </c>
      <c r="G1288" s="30" t="n">
        <f aca="false">Sens!F1288+(Sens!G1284+Sens!G1285)*(a_g3_28-nonnv*a_mai)-Sens!G1285*mix_g3</f>
        <v>3318.72808</v>
      </c>
      <c r="H1288" s="30" t="n">
        <f aca="false">Sens!G1288+(Sens!H1284+Sens!H1285)*(a_g3_29-nonnv*a_mai)-Sens!H1285*mix_g3</f>
        <v>3318.72808</v>
      </c>
      <c r="I1288" s="30" t="n">
        <f aca="false">Sens!H1288+(Sens!I1284+Sens!I1285)*(a_g3_29-nonnv*a_mai)-Sens!I1285*mix_g3</f>
        <v>3147.22808</v>
      </c>
      <c r="J1288" s="30" t="n">
        <f aca="false">Sens!I1288+(Sens!J1284+Sens!J1285)*(a_g3_29-nonnv*a_mai)-Sens!J1285*mix_g3</f>
        <v>2888.22808</v>
      </c>
      <c r="K1288" s="30" t="n">
        <f aca="false">Sens!J1288+(Sens!K1284+Sens!K1285)*(a_g3_29-nonnv*a_mai)-Sens!K1285*mix_g3</f>
        <v>2373.72808</v>
      </c>
    </row>
    <row r="1289" customFormat="false" ht="17.15" hidden="false" customHeight="false" outlineLevel="0" collapsed="false">
      <c r="A1289" s="1" t="s">
        <v>965</v>
      </c>
      <c r="B1289" s="0" t="s">
        <v>456</v>
      </c>
      <c r="C1289" s="30" t="n">
        <v>0</v>
      </c>
      <c r="D1289" s="30" t="n">
        <v>0</v>
      </c>
      <c r="E1289" s="30" t="n">
        <v>0</v>
      </c>
      <c r="F1289" s="30" t="n">
        <f aca="false">Sens!E1289+(Sens!F1284+Sens!F1285)*nonnv*a_mai</f>
        <v>272.65351</v>
      </c>
      <c r="G1289" s="30" t="n">
        <f aca="false">Sens!F1289+(Sens!G1284+Sens!G1285)*nonnv*a_mai</f>
        <v>545.30702</v>
      </c>
      <c r="H1289" s="30" t="n">
        <f aca="false">Sens!G1289+(Sens!H1284+Sens!H1285)*nonnv*a_mai</f>
        <v>817.96053</v>
      </c>
      <c r="I1289" s="30" t="n">
        <f aca="false">Sens!H1289+(Sens!I1284+Sens!I1285)*nonnv*a_mai</f>
        <v>1060.15914196667</v>
      </c>
      <c r="J1289" s="30" t="n">
        <f aca="false">Sens!I1289+(Sens!J1284+Sens!J1285)*nonnv*a_mai</f>
        <v>1251.76682813933</v>
      </c>
      <c r="K1289" s="30" t="n">
        <f aca="false">Sens!J1289+(Sens!K1284+Sens!K1285)*nonnv*a_mai</f>
        <v>1442.37983298351</v>
      </c>
      <c r="L1289" s="12" t="s">
        <v>966</v>
      </c>
    </row>
    <row r="1290" customFormat="false" ht="17.15" hidden="false" customHeight="false" outlineLevel="0" collapsed="false">
      <c r="A1290" s="1" t="s">
        <v>967</v>
      </c>
      <c r="B1290" s="0" t="s">
        <v>456</v>
      </c>
      <c r="C1290" s="30" t="n">
        <v>0</v>
      </c>
      <c r="D1290" s="30" t="n">
        <v>0</v>
      </c>
      <c r="E1290" s="30" t="n">
        <v>0</v>
      </c>
      <c r="F1290" s="30" t="n">
        <f aca="false">Sens!E1290+(Sens!F1284+Sens!F1285)*(1-a_g3_27)</f>
        <v>817.96053</v>
      </c>
      <c r="G1290" s="30" t="n">
        <f aca="false">Sens!F1290+(Sens!G1284+Sens!G1285)*(1-a_g3_28)</f>
        <v>2726.5351</v>
      </c>
      <c r="H1290" s="30" t="n">
        <f aca="false">Sens!G1290+(Sens!H1284+Sens!H1285)*(1-a_g3_29)</f>
        <v>5180.41669</v>
      </c>
      <c r="I1290" s="30" t="n">
        <f aca="false">Sens!H1290+(Sens!I1284+Sens!I1285)*(1-a_g3_29)</f>
        <v>7360.2041977</v>
      </c>
      <c r="J1290" s="30" t="n">
        <f aca="false">Sens!I1290+(Sens!J1284+Sens!J1285)*(1-a_g3_29)</f>
        <v>9084.673373254</v>
      </c>
      <c r="K1290" s="30" t="n">
        <f aca="false">Sens!J1290+(Sens!K1284+Sens!K1285)*(1-a_g3_29)</f>
        <v>10800.1904168516</v>
      </c>
    </row>
    <row r="1291" customFormat="false" ht="17.15" hidden="false" customHeight="false" outlineLevel="0" collapsed="false">
      <c r="A1291" s="1" t="s">
        <v>968</v>
      </c>
      <c r="B1291" s="0" t="s">
        <v>403</v>
      </c>
      <c r="C1291" s="15" t="n">
        <f aca="false">(Sens!C1286*tk_hold_h100+Sens!C1287*tk_hold_gb200+Sens!C1288*tk_hold_gb300+Sens!C1290*tk_hold_vr200+Sens!C1289*nv_hold_mai*tk_hold_vr200)/Sens!C1278</f>
        <v>9.7235358126469</v>
      </c>
      <c r="D1291" s="15" t="n">
        <f aca="false">(Sens!D1286*tk_hold_h100+Sens!D1287*tk_hold_gb200+Sens!D1288*tk_hold_gb300+Sens!D1290*tk_hold_vr200+Sens!D1289*nv_hold_mai*tk_hold_vr200)/Sens!D1278</f>
        <v>9.7235358126469</v>
      </c>
      <c r="E1291" s="15" t="n">
        <f aca="false">(Sens!E1286*tk_hold_h100+Sens!E1287*tk_hold_gb200+Sens!E1288*tk_hold_gb300+Sens!E1290*tk_hold_vr200+Sens!E1289*nv_hold_mai*tk_hold_vr200)/Sens!E1278</f>
        <v>9.7235358126469</v>
      </c>
      <c r="F1291" s="15" t="n">
        <f aca="false">(Sens!F1286*tk_hold_h100+Sens!F1287*tk_hold_gb200+Sens!F1288*tk_hold_gb300+Sens!F1290*tk_hold_vr200+Sens!F1289*nv_hold_mai*tk_hold_vr200)/Sens!F1278</f>
        <v>10.2195353876665</v>
      </c>
      <c r="G1291" s="15" t="n">
        <f aca="false">(Sens!G1286*tk_hold_h100+Sens!G1287*tk_hold_gb200+Sens!G1288*tk_hold_gb300+Sens!G1290*tk_hold_vr200+Sens!G1289*nv_hold_mai*tk_hold_vr200)/Sens!G1278</f>
        <v>10.5725598017306</v>
      </c>
      <c r="H1291" s="15" t="n">
        <f aca="false">(Sens!H1286*tk_hold_h100+Sens!H1287*tk_hold_gb200+Sens!H1288*tk_hold_gb300+Sens!H1290*tk_hold_vr200+Sens!H1289*nv_hold_mai*tk_hold_vr200)/Sens!H1278</f>
        <v>10.8210427149036</v>
      </c>
      <c r="I1291" s="15" t="n">
        <f aca="false">(Sens!I1286*tk_hold_h100+Sens!I1287*tk_hold_gb200+Sens!I1288*tk_hold_gb300+Sens!I1290*tk_hold_vr200+Sens!I1289*nv_hold_mai*tk_hold_vr200)/Sens!I1278</f>
        <v>11.0050618241982</v>
      </c>
      <c r="J1291" s="15" t="n">
        <f aca="false">(Sens!J1286*tk_hold_h100+Sens!J1287*tk_hold_gb200+Sens!J1288*tk_hold_gb300+Sens!J1290*tk_hold_vr200+Sens!J1289*nv_hold_mai*tk_hold_vr200)/Sens!J1278</f>
        <v>11.1505789658881</v>
      </c>
      <c r="K1291" s="15" t="n">
        <f aca="false">(Sens!K1286*tk_hold_h100+Sens!K1287*tk_hold_gb200+Sens!K1288*tk_hold_gb300+Sens!K1290*tk_hold_vr200+Sens!K1289*nv_hold_mai*tk_hold_vr200)/Sens!K1278</f>
        <v>11.3496914757183</v>
      </c>
      <c r="L1291" s="1" t="s">
        <v>969</v>
      </c>
    </row>
    <row r="1292" customFormat="false" ht="17.15" hidden="false" customHeight="false" outlineLevel="0" collapsed="false">
      <c r="A1292" s="1" t="s">
        <v>970</v>
      </c>
      <c r="B1292" s="0" t="s">
        <v>403</v>
      </c>
      <c r="C1292" s="15" t="n">
        <f aca="false">(Sens!C1286*tk_hold_h100+Sens!C1287*tk_hold_gb200+Sens!C1288*tk_hold_gb300+Sens!C1290*tk_hold_vr200+Sens!C1289*nv_out_mai*tk_hold_vr200)/Sens!C1278</f>
        <v>9.7235358126469</v>
      </c>
      <c r="D1292" s="15" t="n">
        <f aca="false">(Sens!D1286*tk_hold_h100+Sens!D1287*tk_hold_gb200+Sens!D1288*tk_hold_gb300+Sens!D1290*tk_hold_vr200+Sens!D1289*nv_out_mai*tk_hold_vr200)/Sens!D1278</f>
        <v>9.7235358126469</v>
      </c>
      <c r="E1292" s="15" t="n">
        <f aca="false">(Sens!E1286*tk_hold_h100+Sens!E1287*tk_hold_gb200+Sens!E1288*tk_hold_gb300+Sens!E1290*tk_hold_vr200+Sens!E1289*nv_out_mai*tk_hold_vr200)/Sens!E1278</f>
        <v>9.7235358126469</v>
      </c>
      <c r="F1292" s="15" t="n">
        <f aca="false">(Sens!F1286*tk_hold_h100+Sens!F1287*tk_hold_gb200+Sens!F1288*tk_hold_gb300+Sens!F1290*tk_hold_vr200+Sens!F1289*nv_out_mai*tk_hold_vr200)/Sens!F1278</f>
        <v>10.247422093969</v>
      </c>
      <c r="G1292" s="15" t="n">
        <f aca="false">(Sens!G1286*tk_hold_h100+Sens!G1287*tk_hold_gb200+Sens!G1288*tk_hold_gb300+Sens!G1290*tk_hold_vr200+Sens!G1289*nv_out_mai*tk_hold_vr200)/Sens!G1278</f>
        <v>10.6108602808053</v>
      </c>
      <c r="H1292" s="15" t="n">
        <f aca="false">(Sens!H1286*tk_hold_h100+Sens!H1287*tk_hold_gb200+Sens!H1288*tk_hold_gb300+Sens!H1290*tk_hold_vr200+Sens!H1289*nv_out_mai*tk_hold_vr200)/Sens!H1278</f>
        <v>10.8647885507393</v>
      </c>
      <c r="I1292" s="15" t="n">
        <f aca="false">(Sens!I1286*tk_hold_h100+Sens!I1287*tk_hold_gb200+Sens!I1288*tk_hold_gb300+Sens!I1290*tk_hold_vr200+Sens!I1289*nv_out_mai*tk_hold_vr200)/Sens!I1278</f>
        <v>11.0535625770025</v>
      </c>
      <c r="J1292" s="15" t="n">
        <f aca="false">(Sens!J1286*tk_hold_h100+Sens!J1287*tk_hold_gb200+Sens!J1288*tk_hold_gb300+Sens!J1290*tk_hold_vr200+Sens!J1289*nv_out_mai*tk_hold_vr200)/Sens!J1278</f>
        <v>11.2032127128058</v>
      </c>
      <c r="K1292" s="15" t="n">
        <f aca="false">(Sens!K1286*tk_hold_h100+Sens!K1287*tk_hold_gb200+Sens!K1288*tk_hold_gb300+Sens!K1290*tk_hold_vr200+Sens!K1289*nv_out_mai*tk_hold_vr200)/Sens!K1278</f>
        <v>11.4085735724225</v>
      </c>
      <c r="L1292" s="12" t="s">
        <v>971</v>
      </c>
    </row>
    <row r="1293" customFormat="false" ht="17.15" hidden="false" customHeight="false" outlineLevel="0" collapsed="false">
      <c r="A1293" s="0" t="s">
        <v>972</v>
      </c>
      <c r="B1293" s="0" t="s">
        <v>229</v>
      </c>
      <c r="C1293" s="15" t="n">
        <f aca="false">k_B</f>
        <v>1.17213932619116</v>
      </c>
      <c r="D1293" s="15" t="n">
        <f aca="false">k_B</f>
        <v>1.17213932619116</v>
      </c>
      <c r="E1293" s="15" t="n">
        <f aca="false">k_B</f>
        <v>1.17213932619116</v>
      </c>
      <c r="F1293" s="15" t="n">
        <f aca="false">(k_B+((ls_A*k_long+(1-ls_A)*k_spot)-k_B)*MIN(1,(Sens!F1276-base_fy)/k_ramp))*1.15</f>
        <v>1.43776252350992</v>
      </c>
      <c r="G1293" s="15" t="n">
        <f aca="false">(k_B+((ls_A*k_long+(1-ls_A)*k_spot)-k_B)*MIN(1,(Sens!G1276-base_fy)/k_ramp))*1.15</f>
        <v>1.52756482190002</v>
      </c>
      <c r="H1293" s="15" t="n">
        <f aca="false">(k_B+((ls_A*k_long+(1-ls_A)*k_spot)-k_B)*MIN(1,(Sens!H1276-base_fy)/k_ramp))*1.15</f>
        <v>1.61736712029011</v>
      </c>
      <c r="I1293" s="15" t="n">
        <f aca="false">(k_B+((ls_A*k_long+(1-ls_A)*k_spot)-k_B)*MIN(1,(Sens!I1276-base_fy)/k_ramp))*1.15</f>
        <v>1.61736712029011</v>
      </c>
      <c r="J1293" s="15" t="n">
        <f aca="false">(k_B+((ls_A*k_long+(1-ls_A)*k_spot)-k_B)*MIN(1,(Sens!J1276-base_fy)/k_ramp))*1.15</f>
        <v>1.61736712029011</v>
      </c>
      <c r="K1293" s="15" t="n">
        <f aca="false">(k_B+((ls_A*k_long+(1-ls_A)*k_spot)-k_B)*MIN(1,(Sens!K1276-base_fy)/k_ramp))*1.15</f>
        <v>1.61736712029011</v>
      </c>
      <c r="L1293" s="1" t="s">
        <v>973</v>
      </c>
    </row>
    <row r="1294" customFormat="false" ht="17.15" hidden="false" customHeight="false" outlineLevel="0" collapsed="false">
      <c r="A1294" s="1" t="s">
        <v>974</v>
      </c>
      <c r="B1294" s="0" t="s">
        <v>403</v>
      </c>
      <c r="C1294" s="15" t="n">
        <f aca="false">Sens!C1292*Sens!C1293*chip_f</f>
        <v>11.3973387156315</v>
      </c>
      <c r="D1294" s="15" t="n">
        <f aca="false">Sens!D1292*Sens!D1293*chip_f</f>
        <v>11.3973387156315</v>
      </c>
      <c r="E1294" s="15" t="n">
        <f aca="false">Sens!E1292*Sens!E1293*chip_f</f>
        <v>11.3973387156315</v>
      </c>
      <c r="F1294" s="15" t="n">
        <f aca="false">Sens!F1292*Sens!F1293*chip_f</f>
        <v>14.7333594492961</v>
      </c>
      <c r="G1294" s="15" t="n">
        <f aca="false">Sens!G1292*Sens!G1293*chip_f</f>
        <v>16.2087768950543</v>
      </c>
      <c r="H1294" s="15" t="n">
        <f aca="false">Sens!H1292*Sens!H1293*chip_f</f>
        <v>17.5723517708702</v>
      </c>
      <c r="I1294" s="15" t="n">
        <f aca="false">Sens!I1292*Sens!I1293*chip_f</f>
        <v>17.8776686741131</v>
      </c>
      <c r="J1294" s="15" t="n">
        <f aca="false">Sens!J1292*Sens!J1293*chip_f</f>
        <v>18.1197078833082</v>
      </c>
      <c r="K1294" s="15" t="n">
        <f aca="false">Sens!K1292*Sens!K1293*chip_f</f>
        <v>18.4518517854468</v>
      </c>
      <c r="L1294" s="1" t="s">
        <v>975</v>
      </c>
    </row>
    <row r="1295" customFormat="false" ht="17.15" hidden="false" customHeight="false" outlineLevel="0" collapsed="false">
      <c r="A1295" s="0" t="s">
        <v>976</v>
      </c>
      <c r="B1295" s="0" t="s">
        <v>98</v>
      </c>
      <c r="D1295" s="6" t="n">
        <f aca="false">(Sens!C1278+Sens!D1278)/2*Sens!D1294/1000</f>
        <v>12.9359794422418</v>
      </c>
      <c r="E1295" s="6" t="n">
        <f aca="false">(Sens!D1278+Sens!E1278)/2*Sens!E1294/1000</f>
        <v>27.8095064661409</v>
      </c>
      <c r="F1295" s="6" t="n">
        <f aca="false">(Sens!E1278+Sens!F1278)/2*Sens!F1294/1000</f>
        <v>67.9689290499238</v>
      </c>
      <c r="G1295" s="6" t="n">
        <f aca="false">(Sens!F1278+Sens!G1278)/2*Sens!G1294/1000</f>
        <v>118.969223607578</v>
      </c>
      <c r="H1295" s="6" t="n">
        <f aca="false">(Sens!G1278+Sens!H1278)/2*Sens!H1294/1000</f>
        <v>176.88922798739</v>
      </c>
      <c r="I1295" s="6" t="n">
        <f aca="false">(Sens!H1278+Sens!I1278)/2*Sens!I1294/1000</f>
        <v>221.60440049448</v>
      </c>
      <c r="J1295" s="6" t="n">
        <f aca="false">(Sens!I1278+Sens!J1278)/2*Sens!J1294/1000</f>
        <v>252.76321797188</v>
      </c>
      <c r="K1295" s="6" t="n">
        <f aca="false">(Sens!J1278+Sens!K1278)/2*Sens!K1294/1000</f>
        <v>272.270603940775</v>
      </c>
      <c r="L1295" s="12" t="s">
        <v>977</v>
      </c>
    </row>
    <row r="1296" customFormat="false" ht="17.15" hidden="false" customHeight="false" outlineLevel="0" collapsed="false">
      <c r="A1296" s="1" t="s">
        <v>978</v>
      </c>
      <c r="B1296" s="0" t="s">
        <v>403</v>
      </c>
      <c r="C1296" s="15" t="n">
        <f aca="false">(Sens!C1286*tk_opex_h100+Sens!C1287*tk_opex_gb200+Sens!C1288*tk_opex_gb300+(Sens!C1290+Sens!C1289)*tk_opex_vr200)/Sens!C1278</f>
        <v>1.88636041306092</v>
      </c>
      <c r="D1296" s="15" t="n">
        <f aca="false">(Sens!D1286*tk_opex_h100+Sens!D1287*tk_opex_gb200+Sens!D1288*tk_opex_gb300+(Sens!D1290+Sens!D1289)*tk_opex_vr200)/Sens!D1278</f>
        <v>1.88636041306092</v>
      </c>
      <c r="E1296" s="15" t="n">
        <f aca="false">(Sens!E1286*tk_opex_h100+Sens!E1287*tk_opex_gb200+Sens!E1288*tk_opex_gb300+(Sens!E1290+Sens!E1289)*tk_opex_vr200)/Sens!E1278</f>
        <v>1.88636041306092</v>
      </c>
      <c r="F1296" s="15" t="n">
        <f aca="false">(Sens!F1286*tk_opex_h100+Sens!F1287*tk_opex_gb200+Sens!F1288*tk_opex_gb300+(Sens!F1290+Sens!F1289)*tk_opex_vr200)/Sens!F1278</f>
        <v>1.95051159746876</v>
      </c>
      <c r="G1296" s="15" t="n">
        <f aca="false">(Sens!G1286*tk_opex_h100+Sens!G1287*tk_opex_gb200+Sens!G1288*tk_opex_gb300+(Sens!G1290+Sens!G1289)*tk_opex_vr200)/Sens!G1278</f>
        <v>1.98836003669956</v>
      </c>
      <c r="H1296" s="15" t="n">
        <f aca="false">(Sens!H1286*tk_opex_h100+Sens!H1287*tk_opex_gb200+Sens!H1288*tk_opex_gb300+(Sens!H1290+Sens!H1289)*tk_opex_vr200)/Sens!H1278</f>
        <v>2.01344013834343</v>
      </c>
      <c r="I1296" s="15" t="n">
        <f aca="false">(Sens!I1286*tk_opex_h100+Sens!I1287*tk_opex_gb200+Sens!I1288*tk_opex_gb300+(Sens!I1290+Sens!I1289)*tk_opex_vr200)/Sens!I1278</f>
        <v>2.03261166882178</v>
      </c>
      <c r="J1296" s="15" t="n">
        <f aca="false">(Sens!J1286*tk_opex_h100+Sens!J1287*tk_opex_gb200+Sens!J1288*tk_opex_gb300+(Sens!J1290+Sens!J1289)*tk_opex_vr200)/Sens!J1278</f>
        <v>2.04808073288745</v>
      </c>
      <c r="K1296" s="15" t="n">
        <f aca="false">(Sens!K1286*tk_opex_h100+Sens!K1287*tk_opex_gb200+Sens!K1288*tk_opex_gb300+(Sens!K1290+Sens!K1289)*tk_opex_vr200)/Sens!K1278</f>
        <v>2.06973825807449</v>
      </c>
      <c r="L1296" s="12" t="s">
        <v>979</v>
      </c>
    </row>
    <row r="1297" customFormat="false" ht="17.15" hidden="false" customHeight="false" outlineLevel="0" collapsed="false">
      <c r="A1297" s="0" t="s">
        <v>980</v>
      </c>
      <c r="B1297" s="0" t="s">
        <v>98</v>
      </c>
      <c r="D1297" s="6" t="n">
        <f aca="false">(Sens!C1281+Sens!D1281)/2*Sens!D1296/1000</f>
        <v>2.70378325872065</v>
      </c>
      <c r="E1297" s="6" t="n">
        <f aca="false">(Sens!D1281+Sens!E1281)/2*Sens!E1296/1000</f>
        <v>6.17783035277451</v>
      </c>
      <c r="F1297" s="6" t="n">
        <f aca="false">(Sens!E1281+Sens!F1281)/2*Sens!F1296/1000</f>
        <v>12.8742463089237</v>
      </c>
      <c r="G1297" s="6" t="n">
        <f aca="false">(Sens!F1281+Sens!G1281)/2*Sens!G1296/1000</f>
        <v>21.8182834646277</v>
      </c>
      <c r="H1297" s="6" t="n">
        <f aca="false">(Sens!G1281+Sens!H1281)/2*Sens!H1296/1000</f>
        <v>31.2430128789734</v>
      </c>
      <c r="I1297" s="6" t="n">
        <f aca="false">(Sens!H1281+Sens!I1281)/2*Sens!I1296/1000</f>
        <v>39.4313057443268</v>
      </c>
      <c r="J1297" s="6" t="n">
        <f aca="false">(Sens!I1281+Sens!J1281)/2*Sens!J1296/1000</f>
        <v>45.0360318228653</v>
      </c>
      <c r="K1297" s="6" t="n">
        <f aca="false">(Sens!J1281+Sens!K1281)/2*Sens!K1296/1000</f>
        <v>48.2929727091156</v>
      </c>
    </row>
    <row r="1298" customFormat="false" ht="17.15" hidden="false" customHeight="false" outlineLevel="0" collapsed="false">
      <c r="A1298" s="0" t="s">
        <v>981</v>
      </c>
      <c r="B1298" s="0" t="s">
        <v>98</v>
      </c>
      <c r="D1298" s="6" t="n">
        <f aca="false">(Sens!C1279+Sens!D1279)/2*rent_mw/1000</f>
        <v>2.44475</v>
      </c>
      <c r="E1298" s="6" t="n">
        <f aca="false">(Sens!D1279+Sens!E1279)/2*rent_mw/1000</f>
        <v>4.22275</v>
      </c>
      <c r="F1298" s="6" t="n">
        <f aca="false">(Sens!E1279+Sens!F1279)/2*rent_mw/1000</f>
        <v>5.80517</v>
      </c>
      <c r="G1298" s="6" t="n">
        <f aca="false">(Sens!F1279+Sens!G1279)/2*rent_mw/1000</f>
        <v>6.72084</v>
      </c>
      <c r="H1298" s="6" t="n">
        <f aca="false">(Sens!G1279+Sens!H1279)/2*rent_mw/1000</f>
        <v>6.72084</v>
      </c>
      <c r="I1298" s="6" t="n">
        <f aca="false">(Sens!H1279+Sens!I1279)/2*rent_mw/1000</f>
        <v>6.72084</v>
      </c>
      <c r="J1298" s="6" t="n">
        <f aca="false">(Sens!I1279+Sens!J1279)/2*rent_mw/1000</f>
        <v>6.72084</v>
      </c>
      <c r="K1298" s="6" t="n">
        <f aca="false">(Sens!J1279+Sens!K1279)/2*rent_mw/1000</f>
        <v>6.72084</v>
      </c>
    </row>
    <row r="1299" customFormat="false" ht="17.15" hidden="false" customHeight="false" outlineLevel="0" collapsed="false">
      <c r="A1299" s="0" t="s">
        <v>982</v>
      </c>
      <c r="B1299" s="0" t="s">
        <v>98</v>
      </c>
      <c r="D1299" s="6" t="n">
        <f aca="false">(Sens!C1281+Sens!D1281)/2*(1-self_build)*fac_rent/1000</f>
        <v>0.853242375631075</v>
      </c>
      <c r="E1299" s="6" t="n">
        <f aca="false">(Sens!D1281+Sens!E1281)/2*(1-self_build)*fac_rent/1000</f>
        <v>1.94955961408728</v>
      </c>
      <c r="F1299" s="6" t="n">
        <f aca="false">(Sens!E1281+Sens!F1281)/2*(1-self_build)*fac_rent/1000</f>
        <v>3.92914894476356</v>
      </c>
      <c r="G1299" s="6" t="n">
        <f aca="false">(Sens!F1281+Sens!G1281)/2*(1-self_build)*fac_rent/1000</f>
        <v>6.53206908578159</v>
      </c>
      <c r="H1299" s="6" t="n">
        <f aca="false">(Sens!G1281+Sens!H1281)/2*(1-self_build)*fac_rent/1000</f>
        <v>9.23717988341591</v>
      </c>
      <c r="I1299" s="6" t="n">
        <f aca="false">(Sens!H1281+Sens!I1281)/2*(1-self_build)*fac_rent/1000</f>
        <v>11.5481378557393</v>
      </c>
      <c r="J1299" s="6" t="n">
        <f aca="false">(Sens!I1281+Sens!J1281)/2*(1-self_build)*fac_rent/1000</f>
        <v>13.0899582289108</v>
      </c>
      <c r="K1299" s="6" t="n">
        <f aca="false">(Sens!J1281+Sens!K1281)/2*(1-self_build)*fac_rent/1000</f>
        <v>13.8897275626556</v>
      </c>
      <c r="L1299" s="12" t="s">
        <v>983</v>
      </c>
    </row>
    <row r="1300" customFormat="false" ht="17.15" hidden="false" customHeight="false" outlineLevel="0" collapsed="false">
      <c r="A1300" s="1" t="s">
        <v>984</v>
      </c>
      <c r="B1300" s="0" t="s">
        <v>168</v>
      </c>
      <c r="D1300" s="7" t="n">
        <f aca="false">(Sens!C1280+Sens!D1280)/(Sens!C1281+Sens!D1281)</f>
        <v>0.6</v>
      </c>
      <c r="E1300" s="7" t="n">
        <f aca="false">(Sens!D1280+Sens!E1280)/(Sens!D1281+Sens!E1281)</f>
        <v>0.6</v>
      </c>
      <c r="F1300" s="7" t="n">
        <f aca="false">(Sens!E1280+Sens!F1280)/(Sens!E1281+Sens!F1281)</f>
        <v>0.6</v>
      </c>
      <c r="G1300" s="7" t="n">
        <f aca="false">(Sens!F1280+Sens!G1280)/(Sens!F1281+Sens!G1281)</f>
        <v>0.6</v>
      </c>
      <c r="H1300" s="7" t="n">
        <f aca="false">(Sens!G1280+Sens!H1280)/(Sens!G1281+Sens!H1281)</f>
        <v>0.6</v>
      </c>
      <c r="I1300" s="7" t="n">
        <f aca="false">(Sens!H1280+Sens!I1280)/(Sens!H1281+Sens!I1281)</f>
        <v>0.6</v>
      </c>
      <c r="J1300" s="7" t="n">
        <f aca="false">(Sens!I1280+Sens!J1280)/(Sens!I1281+Sens!J1281)</f>
        <v>0.6</v>
      </c>
      <c r="K1300" s="7" t="n">
        <f aca="false">(Sens!J1280+Sens!K1280)/(Sens!J1281+Sens!K1281)</f>
        <v>0.6</v>
      </c>
    </row>
    <row r="1301" customFormat="false" ht="17.15" hidden="false" customHeight="false" outlineLevel="0" collapsed="false">
      <c r="A1301" s="0" t="s">
        <v>985</v>
      </c>
      <c r="B1301" s="0" t="s">
        <v>98</v>
      </c>
      <c r="D1301" s="6" t="n">
        <f aca="false">Sens!D1295-Sens!D1300*(Sens!D1297+Sens!D1299)-Sens!D1298</f>
        <v>8.35701406163072</v>
      </c>
      <c r="E1301" s="6" t="n">
        <f aca="false">Sens!E1295-Sens!E1300*(Sens!E1297+Sens!E1299)-Sens!E1298</f>
        <v>18.7103224860238</v>
      </c>
      <c r="F1301" s="6" t="n">
        <f aca="false">Sens!F1295-Sens!F1300*(Sens!F1297+Sens!F1299)-Sens!F1298</f>
        <v>52.0817218977114</v>
      </c>
      <c r="G1301" s="6" t="n">
        <f aca="false">Sens!G1295-Sens!G1300*(Sens!G1297+Sens!G1299)-Sens!G1298</f>
        <v>95.2381720773326</v>
      </c>
      <c r="H1301" s="6" t="n">
        <f aca="false">Sens!H1295-Sens!H1300*(Sens!H1297+Sens!H1299)-Sens!H1298</f>
        <v>145.880272329957</v>
      </c>
      <c r="I1301" s="6" t="n">
        <f aca="false">Sens!I1295-Sens!I1300*(Sens!I1297+Sens!I1299)-Sens!I1298</f>
        <v>184.29589433444</v>
      </c>
      <c r="J1301" s="6" t="n">
        <f aca="false">Sens!J1295-Sens!J1300*(Sens!J1297+Sens!J1299)-Sens!J1298</f>
        <v>211.166783940814</v>
      </c>
      <c r="K1301" s="6" t="n">
        <f aca="false">Sens!K1295-Sens!K1300*(Sens!K1297+Sens!K1299)-Sens!K1298</f>
        <v>228.240143777712</v>
      </c>
    </row>
    <row r="1302" customFormat="false" ht="17.15" hidden="false" customHeight="false" outlineLevel="0" collapsed="false">
      <c r="A1302" s="1" t="s">
        <v>986</v>
      </c>
      <c r="B1302" s="0" t="s">
        <v>98</v>
      </c>
      <c r="D1302" s="6" t="n">
        <f aca="false">(1-Sens!D1300)*(Sens!D1297+Sens!D1299)</f>
        <v>1.42281025374069</v>
      </c>
      <c r="E1302" s="6" t="n">
        <f aca="false">(1-Sens!E1300)*(Sens!E1297+Sens!E1299)</f>
        <v>3.25095598674472</v>
      </c>
      <c r="F1302" s="6" t="n">
        <f aca="false">(1-Sens!F1300)*(Sens!F1297+Sens!F1299)</f>
        <v>6.72135810147489</v>
      </c>
      <c r="G1302" s="6" t="n">
        <f aca="false">(1-Sens!G1300)*(Sens!G1297+Sens!G1299)</f>
        <v>11.3401410201637</v>
      </c>
      <c r="H1302" s="6" t="n">
        <f aca="false">(1-Sens!H1300)*(Sens!H1297+Sens!H1299)</f>
        <v>16.1920771049557</v>
      </c>
      <c r="I1302" s="6" t="n">
        <f aca="false">(1-Sens!I1300)*(Sens!I1297+Sens!I1299)</f>
        <v>20.3917774400264</v>
      </c>
      <c r="J1302" s="6" t="n">
        <f aca="false">(1-Sens!J1300)*(Sens!J1297+Sens!J1299)</f>
        <v>23.2503960207104</v>
      </c>
      <c r="K1302" s="6" t="n">
        <f aca="false">(1-Sens!K1300)*(Sens!K1297+Sens!K1299)</f>
        <v>24.8730801087085</v>
      </c>
    </row>
    <row r="1303" customFormat="false" ht="17.15" hidden="false" customHeight="false" outlineLevel="0" collapsed="false">
      <c r="A1303" s="1" t="s">
        <v>987</v>
      </c>
      <c r="B1303" s="0" t="s">
        <v>414</v>
      </c>
      <c r="C1303" s="8" t="n">
        <f aca="false">cxit_open</f>
        <v>27.5918995</v>
      </c>
      <c r="D1303" s="8" t="n">
        <f aca="false">cxit_open</f>
        <v>27.5918995</v>
      </c>
      <c r="E1303" s="8" t="n">
        <f aca="false">cxit_open</f>
        <v>27.5918995</v>
      </c>
      <c r="F1303" s="8" t="n">
        <f aca="false">((a_g3_27-nonnv*a_mai)*tk_cxit_gb300+nonnv*a_mai*nv_hold_mai*tk_cxit_vr200+(1-a_g3_27)*tk_cxit_vr200)</f>
        <v>32.4975576</v>
      </c>
      <c r="G1303" s="8" t="n">
        <f aca="false">((a_g3_28-nonnv*a_mai)*tk_cxit_gb300+nonnv*a_mai*nv_hold_mai*tk_cxit_vr200+(1-a_g3_28)*tk_cxit_vr200)</f>
        <v>34.6372088</v>
      </c>
      <c r="H1303" s="8" t="n">
        <f aca="false">((a_g3_29-nonnv*a_mai)*tk_cxit_gb300+nonnv*a_mai*nv_hold_mai*tk_cxit_vr200+(1-a_g3_29)*tk_cxit_vr200)</f>
        <v>35.7070344</v>
      </c>
      <c r="I1303" s="8" t="n">
        <f aca="false">((a_g3_29-nonnv*a_mai)*tk_cxit_gb300+nonnv*a_mai*nv_hold_mai*tk_cxit_vr200+(1-a_g3_29)*tk_cxit_vr200)</f>
        <v>35.7070344</v>
      </c>
      <c r="J1303" s="8" t="n">
        <f aca="false">((a_g3_29-nonnv*a_mai)*tk_cxit_gb300+nonnv*a_mai*nv_hold_mai*tk_cxit_vr200+(1-a_g3_29)*tk_cxit_vr200)</f>
        <v>35.7070344</v>
      </c>
      <c r="K1303" s="8" t="n">
        <f aca="false">((a_g3_29-nonnv*a_mai)*tk_cxit_gb300+nonnv*a_mai*nv_hold_mai*tk_cxit_vr200+(1-a_g3_29)*tk_cxit_vr200)</f>
        <v>35.7070344</v>
      </c>
      <c r="L1303" s="12" t="s">
        <v>988</v>
      </c>
    </row>
    <row r="1304" customFormat="false" ht="17.15" hidden="false" customHeight="false" outlineLevel="0" collapsed="false">
      <c r="A1304" s="0" t="s">
        <v>989</v>
      </c>
      <c r="B1304" s="0" t="s">
        <v>456</v>
      </c>
      <c r="F1304" s="30" t="n">
        <f aca="false">Sens!C1283*IF(Sens!F1276-Sens!C1276=life_it,1,0)+Sens!D1283*IF(Sens!F1276-Sens!D1276=life_it,1,0)+Sens!E1283*IF(Sens!F1276-Sens!E1276=life_it,1,0)</f>
        <v>0</v>
      </c>
      <c r="G1304" s="30" t="n">
        <f aca="false">Sens!C1283*IF(Sens!G1276-Sens!C1276=life_it,1,0)+Sens!D1283*IF(Sens!G1276-Sens!D1276=life_it,1,0)+Sens!E1283*IF(Sens!G1276-Sens!E1276=life_it,1,0)+Sens!F1283*IF(Sens!G1276-Sens!F1276=life_it,1,0)</f>
        <v>0</v>
      </c>
      <c r="H1304" s="30" t="n">
        <f aca="false">Sens!C1283*IF(Sens!H1276-Sens!C1276=life_it,1,0)+Sens!D1283*IF(Sens!H1276-Sens!D1276=life_it,1,0)+Sens!E1283*IF(Sens!H1276-Sens!E1276=life_it,1,0)+Sens!F1283*IF(Sens!H1276-Sens!F1276=life_it,1,0)+Sens!G1283*IF(Sens!H1276-Sens!G1276=life_it,1,0)</f>
        <v>0</v>
      </c>
      <c r="I1304" s="30" t="n">
        <f aca="false">Sens!C1283*IF(Sens!I1276-Sens!C1276=life_it,1,0)+Sens!D1283*IF(Sens!I1276-Sens!D1276=life_it,1,0)+Sens!E1283*IF(Sens!I1276-Sens!E1276=life_it,1,0)+Sens!F1283*IF(Sens!I1276-Sens!F1276=life_it,1,0)+Sens!G1283*IF(Sens!I1276-Sens!G1276=life_it,1,0)+Sens!H1283*IF(Sens!I1276-Sens!H1276=life_it,1,0)</f>
        <v>816.666666666667</v>
      </c>
      <c r="J1304" s="30" t="n">
        <f aca="false">Sens!C1283*IF(Sens!J1276-Sens!C1276=life_it,1,0)+Sens!D1283*IF(Sens!J1276-Sens!D1276=life_it,1,0)+Sens!E1283*IF(Sens!J1276-Sens!E1276=life_it,1,0)+Sens!F1283*IF(Sens!J1276-Sens!F1276=life_it,1,0)+Sens!G1283*IF(Sens!J1276-Sens!G1276=life_it,1,0)+Sens!H1283*IF(Sens!J1276-Sens!H1276=life_it,1,0)+Sens!I1283*IF(Sens!J1276-Sens!I1276=life_it,1,0)</f>
        <v>1233.33333333333</v>
      </c>
      <c r="K1304" s="30" t="n">
        <f aca="false">Sens!C1283*IF(Sens!K1276-Sens!C1276=life_it,1,0)+Sens!D1283*IF(Sens!K1276-Sens!D1276=life_it,1,0)+Sens!E1283*IF(Sens!K1276-Sens!E1276=life_it,1,0)+Sens!F1283*IF(Sens!K1276-Sens!F1276=life_it,1,0)+Sens!G1283*IF(Sens!K1276-Sens!G1276=life_it,1,0)+Sens!H1283*IF(Sens!K1276-Sens!H1276=life_it,1,0)+Sens!I1283*IF(Sens!K1276-Sens!I1276=life_it,1,0)+Sens!J1283*IF(Sens!K1276-Sens!J1276=life_it,1,0)</f>
        <v>2450</v>
      </c>
      <c r="L1304" s="1" t="s">
        <v>990</v>
      </c>
    </row>
    <row r="1305" customFormat="false" ht="17.15" hidden="false" customHeight="false" outlineLevel="0" collapsed="false">
      <c r="A1305" s="0" t="s">
        <v>991</v>
      </c>
      <c r="B1305" s="0" t="s">
        <v>98</v>
      </c>
      <c r="C1305" s="6" t="n">
        <f aca="false">Sens!C1283*Sens!C1303/1000</f>
        <v>22.5333845916667</v>
      </c>
      <c r="D1305" s="6" t="n">
        <f aca="false">Sens!D1283*Sens!D1303/1000</f>
        <v>34.0300093833333</v>
      </c>
      <c r="E1305" s="6" t="n">
        <f aca="false">Sens!E1283*Sens!E1303/1000</f>
        <v>67.600153775</v>
      </c>
      <c r="F1305" s="6" t="n">
        <f aca="false">(Sens!F1283+Sens!F1304)*Sens!F1303/1000</f>
        <v>136.51872432512</v>
      </c>
      <c r="G1305" s="6" t="n">
        <f aca="false">(Sens!G1283+Sens!G1304)*Sens!G1303/1000</f>
        <v>157.399275932048</v>
      </c>
      <c r="H1305" s="6" t="n">
        <f aca="false">(Sens!H1283+Sens!H1304)*Sens!H1303/1000</f>
        <v>162.260804347512</v>
      </c>
      <c r="I1305" s="6" t="n">
        <f aca="false">(Sens!I1283+Sens!I1304)*Sens!I1303/1000</f>
        <v>144.136569485434</v>
      </c>
      <c r="J1305" s="6" t="n">
        <f aca="false">(Sens!J1283+Sens!J1304)*Sens!J1303/1000</f>
        <v>114.029037357864</v>
      </c>
      <c r="K1305" s="6" t="n">
        <f aca="false">(Sens!K1283+Sens!K1304)*Sens!K1303/1000</f>
        <v>113.437085350975</v>
      </c>
    </row>
    <row r="1306" customFormat="false" ht="17.15" hidden="false" customHeight="false" outlineLevel="0" collapsed="false">
      <c r="A1306" s="0" t="s">
        <v>992</v>
      </c>
      <c r="B1306" s="0" t="s">
        <v>98</v>
      </c>
      <c r="C1306" s="6" t="n">
        <f aca="false">Sens!C1283*self_build*tk_cxfac/1000</f>
        <v>6.2083</v>
      </c>
      <c r="D1306" s="6" t="n">
        <f aca="false">Sens!D1283*self_build*tk_cxfac/1000</f>
        <v>9.3758</v>
      </c>
      <c r="E1306" s="6" t="n">
        <f aca="false">Sens!E1283*self_build*tk_cxfac/1000</f>
        <v>18.6249</v>
      </c>
      <c r="F1306" s="6" t="n">
        <f aca="false">Sens!F1283*self_build*tk_cxfac/1000</f>
        <v>31.935179717</v>
      </c>
      <c r="G1306" s="6" t="n">
        <f aca="false">Sens!G1283*self_build*tk_cxfac/1000</f>
        <v>34.545199717</v>
      </c>
      <c r="H1306" s="6" t="n">
        <f aca="false">Sens!H1283*self_build*tk_cxfac/1000</f>
        <v>34.545199717</v>
      </c>
      <c r="I1306" s="6" t="n">
        <f aca="false">Sens!I1283*self_build*tk_cxfac/1000</f>
        <v>24.4782641361767</v>
      </c>
      <c r="J1306" s="6" t="n">
        <f aca="false">Sens!J1283*self_build*tk_cxfac/1000</f>
        <v>14.9008938380769</v>
      </c>
      <c r="K1306" s="6" t="n">
        <f aca="false">Sens!K1283*self_build*tk_cxfac/1000</f>
        <v>5.52576771375761</v>
      </c>
    </row>
    <row r="1307" customFormat="false" ht="17.15" hidden="false" customHeight="false" outlineLevel="0" collapsed="false">
      <c r="A1307" s="0" t="s">
        <v>993</v>
      </c>
      <c r="B1307" s="0" t="s">
        <v>98</v>
      </c>
      <c r="F1307" s="15" t="n">
        <f aca="false">capex_floor27-Sens!F1305-Sens!F1306-Sens!F1403</f>
        <v>0.436923187687576</v>
      </c>
      <c r="L1307" s="12" t="s">
        <v>994</v>
      </c>
    </row>
    <row r="1308" customFormat="false" ht="17.15" hidden="false" customHeight="false" outlineLevel="0" collapsed="false">
      <c r="A1308" s="0" t="s">
        <v>995</v>
      </c>
      <c r="B1308" s="0" t="s">
        <v>98</v>
      </c>
      <c r="F1308" s="6" t="n">
        <f aca="false">MAX(0,Sens!F1307)</f>
        <v>0.436923187687576</v>
      </c>
    </row>
    <row r="1309" customFormat="false" ht="17.15" hidden="false" customHeight="false" outlineLevel="0" collapsed="false">
      <c r="A1309" s="0" t="s">
        <v>996</v>
      </c>
      <c r="B1309" s="0" t="s">
        <v>98</v>
      </c>
      <c r="C1309" s="6" t="n">
        <f aca="false">Sens!C1305</f>
        <v>22.5333845916667</v>
      </c>
      <c r="D1309" s="6" t="n">
        <f aca="false">Sens!D1305</f>
        <v>34.0300093833333</v>
      </c>
      <c r="E1309" s="6" t="n">
        <f aca="false">Sens!E1305</f>
        <v>67.600153775</v>
      </c>
      <c r="F1309" s="6" t="n">
        <f aca="false">Sens!F1305</f>
        <v>136.51872432512</v>
      </c>
      <c r="G1309" s="6" t="n">
        <f aca="false">Sens!G1305</f>
        <v>157.399275932048</v>
      </c>
      <c r="H1309" s="6" t="n">
        <f aca="false">Sens!H1305</f>
        <v>162.260804347512</v>
      </c>
      <c r="I1309" s="6" t="n">
        <f aca="false">Sens!I1305</f>
        <v>144.136569485434</v>
      </c>
      <c r="J1309" s="6" t="n">
        <f aca="false">Sens!J1305</f>
        <v>114.029037357864</v>
      </c>
      <c r="K1309" s="6" t="n">
        <f aca="false">Sens!K1305</f>
        <v>113.437085350975</v>
      </c>
    </row>
    <row r="1310" customFormat="false" ht="17.15" hidden="false" customHeight="false" outlineLevel="0" collapsed="false">
      <c r="A1310" s="0" t="s">
        <v>997</v>
      </c>
      <c r="B1310" s="0" t="s">
        <v>98</v>
      </c>
      <c r="C1310" s="6" t="n">
        <f aca="false">Sens!C1309+Sens!C1306</f>
        <v>28.7416845916667</v>
      </c>
      <c r="D1310" s="6" t="n">
        <f aca="false">Sens!D1309+Sens!D1306</f>
        <v>43.4058093833333</v>
      </c>
      <c r="E1310" s="6" t="n">
        <f aca="false">Sens!E1309+Sens!E1306</f>
        <v>86.225053775</v>
      </c>
      <c r="F1310" s="6" t="n">
        <f aca="false">Sens!F1309+Sens!F1306</f>
        <v>168.45390404212</v>
      </c>
      <c r="G1310" s="6" t="n">
        <f aca="false">Sens!G1309+Sens!G1306</f>
        <v>191.944475649048</v>
      </c>
      <c r="H1310" s="6" t="n">
        <f aca="false">Sens!H1309+Sens!H1306</f>
        <v>196.806004064512</v>
      </c>
      <c r="I1310" s="6" t="n">
        <f aca="false">Sens!I1309+Sens!I1306</f>
        <v>168.61483362161</v>
      </c>
      <c r="J1310" s="6" t="n">
        <f aca="false">Sens!J1309+Sens!J1306</f>
        <v>128.92993119594</v>
      </c>
      <c r="K1310" s="6" t="n">
        <f aca="false">Sens!K1309+Sens!K1306</f>
        <v>118.962853064733</v>
      </c>
      <c r="L1310" s="12" t="s">
        <v>998</v>
      </c>
    </row>
    <row r="1311" customFormat="false" ht="17.15" hidden="false" customHeight="false" outlineLevel="0" collapsed="false">
      <c r="A1311" s="0" t="s">
        <v>999</v>
      </c>
      <c r="B1311" s="0" t="s">
        <v>98</v>
      </c>
      <c r="E1311" s="6" t="n">
        <f aca="false">(Sens!C1309*IF(2&lt;life_it,1,IF(2=life_it,0.5,0))+Sens!D1309*IF(1&lt;life_it,1,IF(1=life_it,0.5,0))+Sens!E1309*0.5)/life_it</f>
        <v>15.0605784770833</v>
      </c>
      <c r="F1311" s="6" t="n">
        <f aca="false">(Sens!C1309*IF(3&lt;life_it,1,IF(3=life_it,0.5,0))+Sens!D1309*IF(2&lt;life_it,1,IF(2=life_it,0.5,0))+Sens!E1309*IF(1&lt;life_it,1,IF(1=life_it,0.5,0))+Sens!F1309*0.5)/life_it</f>
        <v>32.0704849854266</v>
      </c>
      <c r="G1311" s="6" t="n">
        <f aca="false">(Sens!C1309*IF(4&lt;life_it,1,IF(4=life_it,0.5,0))+Sens!D1309*IF(3&lt;life_it,1,IF(3=life_it,0.5,0))+Sens!E1309*IF(2&lt;life_it,1,IF(2=life_it,0.5,0))+Sens!F1309*IF(1&lt;life_it,1,IF(1=life_it,0.5,0))+Sens!G1309*0.5)/life_it</f>
        <v>56.5636516735239</v>
      </c>
      <c r="H1311" s="6" t="n">
        <f aca="false">(Sens!C1309*IF(5&lt;life_it,1,IF(5=life_it,0.5,0))+Sens!D1309*IF(4&lt;life_it,1,IF(4=life_it,0.5,0))+Sens!E1309*IF(3&lt;life_it,1,IF(3=life_it,0.5,0))+Sens!F1309*IF(2&lt;life_it,1,IF(2=life_it,0.5,0))+Sens!G1309*IF(1&lt;life_it,1,IF(1=life_it,0.5,0))+Sens!H1309*0.5)/life_it</f>
        <v>83.2019916968207</v>
      </c>
      <c r="I1311" s="6" t="n">
        <f aca="false">(Sens!C1309*IF(6&lt;life_it,1,IF(6=life_it,0.5,0))+Sens!D1309*IF(5&lt;life_it,1,IF(5=life_it,0.5,0))+Sens!E1309*IF(4&lt;life_it,1,IF(4=life_it,0.5,0))+Sens!F1309*IF(3&lt;life_it,1,IF(3=life_it,0.5,0))+Sens!G1309*IF(2&lt;life_it,1,IF(2=life_it,0.5,0))+Sens!H1309*IF(1&lt;life_it,1,IF(1=life_it,0.5,0))+Sens!I1309*0.5)/life_it</f>
        <v>106.857324133594</v>
      </c>
      <c r="J1311" s="6" t="n">
        <f aca="false">(Sens!C1309*IF(7&lt;life_it,1,IF(7=life_it,0.5,0))+Sens!D1309*IF(6&lt;life_it,1,IF(6=life_it,0.5,0))+Sens!E1309*IF(5&lt;life_it,1,IF(5=life_it,0.5,0))+Sens!F1309*IF(4&lt;life_it,1,IF(4=life_it,0.5,0))+Sens!G1309*IF(3&lt;life_it,1,IF(3=life_it,0.5,0))+Sens!H1309*IF(2&lt;life_it,1,IF(2=life_it,0.5,0))+Sens!I1309*IF(1&lt;life_it,1,IF(1=life_it,0.5,0))+Sens!J1309*0.5)/life_it</f>
        <v>123.657508539285</v>
      </c>
      <c r="K1311" s="6" t="n">
        <f aca="false">(Sens!C1309*IF(8&lt;life_it,1,IF(8=life_it,0.5,0))+Sens!D1309*IF(7&lt;life_it,1,IF(7=life_it,0.5,0))+Sens!E1309*IF(6&lt;life_it,1,IF(6=life_it,0.5,0))+Sens!F1309*IF(5&lt;life_it,1,IF(5=life_it,0.5,0))+Sens!G1309*IF(4&lt;life_it,1,IF(4=life_it,0.5,0))+Sens!H1309*IF(3&lt;life_it,1,IF(3=life_it,0.5,0))+Sens!I1309*IF(2&lt;life_it,1,IF(2=life_it,0.5,0))+Sens!J1309*IF(1&lt;life_it,1,IF(1=life_it,0.5,0))+Sens!K1309*0.5)/life_it</f>
        <v>134.143838501827</v>
      </c>
    </row>
    <row r="1312" customFormat="false" ht="17.15" hidden="false" customHeight="false" outlineLevel="0" collapsed="false">
      <c r="A1312" s="0" t="s">
        <v>1000</v>
      </c>
      <c r="B1312" s="0" t="s">
        <v>98</v>
      </c>
      <c r="E1312" s="6" t="n">
        <f aca="false">(Sens!C1306*IF(2&lt;life_fac,1,IF(2=life_fac,0.5,0))+Sens!D1306*IF(1&lt;life_fac,1,IF(1=life_fac,0.5,0))+Sens!E1306*0.5)/life_fac</f>
        <v>1.2448275</v>
      </c>
      <c r="F1312" s="6" t="n">
        <f aca="false">(Sens!C1306*IF(3&lt;life_fac,1,IF(3=life_fac,0.5,0))+Sens!D1306*IF(2&lt;life_fac,1,IF(2=life_fac,0.5,0))+Sens!E1306*IF(1&lt;life_fac,1,IF(1=life_fac,0.5,0))+Sens!F1306*0.5)/life_fac</f>
        <v>2.508829492925</v>
      </c>
      <c r="G1312" s="6" t="n">
        <f aca="false">(Sens!C1306*IF(4&lt;life_fac,1,IF(4=life_fac,0.5,0))+Sens!D1306*IF(3&lt;life_fac,1,IF(3=life_fac,0.5,0))+Sens!E1306*IF(2&lt;life_fac,1,IF(2=life_fac,0.5,0))+Sens!F1306*IF(1&lt;life_fac,1,IF(1=life_fac,0.5,0))+Sens!G1306*0.5)/life_fac</f>
        <v>4.170838978775</v>
      </c>
      <c r="H1312" s="6" t="n">
        <f aca="false">(Sens!C1306*IF(5&lt;life_fac,1,IF(5=life_fac,0.5,0))+Sens!D1306*IF(4&lt;life_fac,1,IF(4=life_fac,0.5,0))+Sens!E1306*IF(3&lt;life_fac,1,IF(3=life_fac,0.5,0))+Sens!F1306*IF(2&lt;life_fac,1,IF(2=life_fac,0.5,0))+Sens!G1306*IF(1&lt;life_fac,1,IF(1=life_fac,0.5,0))+Sens!H1306*0.5)/life_fac</f>
        <v>5.898098964625</v>
      </c>
      <c r="I1312" s="6" t="n">
        <f aca="false">(Sens!C1306*IF(6&lt;life_fac,1,IF(6=life_fac,0.5,0))+Sens!D1306*IF(5&lt;life_fac,1,IF(5=life_fac,0.5,0))+Sens!E1306*IF(4&lt;life_fac,1,IF(4=life_fac,0.5,0))+Sens!F1306*IF(3&lt;life_fac,1,IF(3=life_fac,0.5,0))+Sens!G1306*IF(2&lt;life_fac,1,IF(2=life_fac,0.5,0))+Sens!H1306*IF(1&lt;life_fac,1,IF(1=life_fac,0.5,0))+Sens!I1306*0.5)/life_fac</f>
        <v>7.37368556095442</v>
      </c>
      <c r="J1312" s="6" t="n">
        <f aca="false">(Sens!C1306*IF(7&lt;life_fac,1,IF(7=life_fac,0.5,0))+Sens!D1306*IF(6&lt;life_fac,1,IF(6=life_fac,0.5,0))+Sens!E1306*IF(5&lt;life_fac,1,IF(5=life_fac,0.5,0))+Sens!F1306*IF(4&lt;life_fac,1,IF(4=life_fac,0.5,0))+Sens!G1306*IF(3&lt;life_fac,1,IF(3=life_fac,0.5,0))+Sens!H1306*IF(2&lt;life_fac,1,IF(2=life_fac,0.5,0))+Sens!I1306*IF(1&lt;life_fac,1,IF(1=life_fac,0.5,0))+Sens!J1306*0.5)/life_fac</f>
        <v>8.35816451031075</v>
      </c>
      <c r="K1312" s="6" t="n">
        <f aca="false">(Sens!C1306*IF(8&lt;life_fac,1,IF(8=life_fac,0.5,0))+Sens!D1306*IF(7&lt;life_fac,1,IF(7=life_fac,0.5,0))+Sens!E1306*IF(6&lt;life_fac,1,IF(6=life_fac,0.5,0))+Sens!F1306*IF(5&lt;life_fac,1,IF(5=life_fac,0.5,0))+Sens!G1306*IF(4&lt;life_fac,1,IF(4=life_fac,0.5,0))+Sens!H1306*IF(3&lt;life_fac,1,IF(3=life_fac,0.5,0))+Sens!I1306*IF(2&lt;life_fac,1,IF(2=life_fac,0.5,0))+Sens!J1306*IF(1&lt;life_fac,1,IF(1=life_fac,0.5,0))+Sens!K1306*0.5)/life_fac</f>
        <v>8.86883104910662</v>
      </c>
    </row>
    <row r="1313" customFormat="false" ht="17.15" hidden="false" customHeight="false" outlineLevel="0" collapsed="false">
      <c r="A1313" s="0" t="s">
        <v>1001</v>
      </c>
      <c r="B1313" s="0" t="s">
        <v>98</v>
      </c>
      <c r="E1313" s="6" t="n">
        <f aca="false">Sens!E1311+Sens!E1312</f>
        <v>16.3054059770833</v>
      </c>
      <c r="F1313" s="6" t="n">
        <f aca="false">Sens!F1311+Sens!F1312</f>
        <v>34.5793144783516</v>
      </c>
      <c r="G1313" s="6" t="n">
        <f aca="false">Sens!G1311+Sens!G1312</f>
        <v>60.7344906522989</v>
      </c>
      <c r="H1313" s="6" t="n">
        <f aca="false">Sens!H1311+Sens!H1312</f>
        <v>89.1000906614457</v>
      </c>
      <c r="I1313" s="6" t="n">
        <f aca="false">Sens!I1311+Sens!I1312</f>
        <v>114.231009694548</v>
      </c>
      <c r="J1313" s="6" t="n">
        <f aca="false">Sens!J1311+Sens!J1312</f>
        <v>132.015673049596</v>
      </c>
      <c r="K1313" s="6" t="n">
        <f aca="false">Sens!K1311+Sens!K1312</f>
        <v>143.012669550934</v>
      </c>
    </row>
    <row r="1314" customFormat="false" ht="17.15" hidden="false" customHeight="false" outlineLevel="0" collapsed="false">
      <c r="A1314" s="0" t="s">
        <v>1002</v>
      </c>
      <c r="B1314" s="0" t="s">
        <v>98</v>
      </c>
      <c r="E1314" s="6" t="n">
        <f aca="false">Sens!E1301-Sens!E1300*Sens!E1313</f>
        <v>8.92707889977379</v>
      </c>
      <c r="F1314" s="6" t="n">
        <f aca="false">Sens!F1301-Sens!F1300*Sens!F1313</f>
        <v>31.3341332107004</v>
      </c>
      <c r="G1314" s="6" t="n">
        <f aca="false">Sens!G1301-Sens!G1300*Sens!G1313</f>
        <v>58.7974776859533</v>
      </c>
      <c r="H1314" s="6" t="n">
        <f aca="false">Sens!H1301-Sens!H1300*Sens!H1313</f>
        <v>92.4202179330894</v>
      </c>
      <c r="I1314" s="6" t="n">
        <f aca="false">Sens!I1301-Sens!I1300*Sens!I1313</f>
        <v>115.757288517711</v>
      </c>
      <c r="J1314" s="6" t="n">
        <f aca="false">Sens!J1301-Sens!J1300*Sens!J1313</f>
        <v>131.957380111057</v>
      </c>
      <c r="K1314" s="6" t="n">
        <f aca="false">Sens!K1301-Sens!K1300*Sens!K1313</f>
        <v>142.432542047152</v>
      </c>
    </row>
    <row r="1315" customFormat="false" ht="17.15" hidden="false" customHeight="false" outlineLevel="0" collapsed="false">
      <c r="A1315" s="3" t="s">
        <v>1511</v>
      </c>
    </row>
    <row r="1316" customFormat="false" ht="15" hidden="false" customHeight="false" outlineLevel="0" collapsed="false">
      <c r="A1316" s="4" t="s">
        <v>43</v>
      </c>
      <c r="B1316" s="4" t="s">
        <v>65</v>
      </c>
      <c r="C1316" s="23" t="s">
        <v>938</v>
      </c>
      <c r="D1316" s="23" t="s">
        <v>939</v>
      </c>
      <c r="E1316" s="23" t="s">
        <v>940</v>
      </c>
      <c r="F1316" s="23" t="s">
        <v>941</v>
      </c>
      <c r="G1316" s="23" t="s">
        <v>942</v>
      </c>
      <c r="H1316" s="23" t="s">
        <v>943</v>
      </c>
      <c r="I1316" s="23" t="s">
        <v>944</v>
      </c>
      <c r="J1316" s="23" t="s">
        <v>945</v>
      </c>
      <c r="K1316" s="23" t="s">
        <v>946</v>
      </c>
      <c r="L1316" s="4" t="s">
        <v>47</v>
      </c>
    </row>
    <row r="1317" customFormat="false" ht="17.15" hidden="false" customHeight="false" outlineLevel="0" collapsed="false">
      <c r="A1317" s="0" t="s">
        <v>1021</v>
      </c>
      <c r="B1317" s="0" t="s">
        <v>98</v>
      </c>
      <c r="D1317" s="6" t="n">
        <f aca="false">Sens!D1295</f>
        <v>12.9359794422418</v>
      </c>
      <c r="E1317" s="6" t="n">
        <f aca="false">Sens!E1295</f>
        <v>27.8095064661409</v>
      </c>
      <c r="F1317" s="6" t="n">
        <f aca="false">Sens!F1295</f>
        <v>67.9689290499238</v>
      </c>
      <c r="G1317" s="6" t="n">
        <f aca="false">Sens!G1295</f>
        <v>118.969223607578</v>
      </c>
      <c r="H1317" s="6" t="n">
        <f aca="false">Sens!H1295</f>
        <v>176.88922798739</v>
      </c>
      <c r="I1317" s="6" t="n">
        <f aca="false">Sens!I1295</f>
        <v>221.60440049448</v>
      </c>
      <c r="J1317" s="6" t="n">
        <f aca="false">Sens!J1295</f>
        <v>252.76321797188</v>
      </c>
      <c r="K1317" s="6" t="n">
        <f aca="false">Sens!K1295</f>
        <v>272.270603940775</v>
      </c>
    </row>
    <row r="1318" customFormat="false" ht="17.15" hidden="false" customHeight="false" outlineLevel="0" collapsed="false">
      <c r="A1318" s="0" t="s">
        <v>1022</v>
      </c>
      <c r="B1318" s="0" t="s">
        <v>98</v>
      </c>
      <c r="D1318" s="6" t="n">
        <f aca="false">Q!L6-Sens!D1317</f>
        <v>59.6740205577583</v>
      </c>
      <c r="E1318" s="6" t="n">
        <f aca="false">Q!M6-Sens!E1317</f>
        <v>74.1284935338591</v>
      </c>
      <c r="F1318" s="6" t="n">
        <f aca="false">Q!$I$6+(Sens!F1317+Sens!E1318*(1+Sens!F1319))*(1-Q!$E$6/Q!M6)-Sens!F1317</f>
        <v>88.5398730949493</v>
      </c>
      <c r="G1318" s="6" t="n">
        <f aca="false">Sens!F1318*(1+Sens!G1319)</f>
        <v>105.198584287425</v>
      </c>
      <c r="H1318" s="6" t="n">
        <f aca="false">Sens!G1318*(1+Sens!H1319)</f>
        <v>122.14733244712</v>
      </c>
      <c r="I1318" s="6" t="n">
        <f aca="false">Sens!H1318*(1+Sens!I1319)</f>
        <v>138.524190567067</v>
      </c>
      <c r="J1318" s="6" t="n">
        <f aca="false">Sens!I1318*(1+Sens!J1319)</f>
        <v>153.351447827224</v>
      </c>
      <c r="K1318" s="6" t="n">
        <f aca="false">Sens!J1318*(1+Sens!K1319)</f>
        <v>165.619563653401</v>
      </c>
      <c r="L1318" s="12" t="s">
        <v>1023</v>
      </c>
    </row>
    <row r="1319" customFormat="false" ht="15" hidden="false" customHeight="false" outlineLevel="0" collapsed="false">
      <c r="A1319" s="1" t="s">
        <v>1024</v>
      </c>
      <c r="B1319" s="0" t="s">
        <v>168</v>
      </c>
      <c r="E1319" s="7" t="n">
        <f aca="false">Sens!E1318/Sens!D1318-1</f>
        <v>0.242223883039864</v>
      </c>
      <c r="F1319" s="7" t="n">
        <f aca="false">Sens!$E$1319+(glt_azo-Sens!$E$1319)*MIN(1,(Sens!F1276-base_fy)/n_conv)</f>
        <v>0.215186569199887</v>
      </c>
      <c r="G1319" s="7" t="n">
        <f aca="false">Sens!$E$1319+(glt_azo-Sens!$E$1319)*MIN(1,(Sens!G1276-base_fy)/n_conv)</f>
        <v>0.18814925535991</v>
      </c>
      <c r="H1319" s="7" t="n">
        <f aca="false">Sens!$E$1319+(glt_azo-Sens!$E$1319)*MIN(1,(Sens!H1276-base_fy)/n_conv)</f>
        <v>0.161111941519932</v>
      </c>
      <c r="I1319" s="7" t="n">
        <f aca="false">Sens!$E$1319+(glt_azo-Sens!$E$1319)*MIN(1,(Sens!I1276-base_fy)/n_conv)</f>
        <v>0.134074627679955</v>
      </c>
      <c r="J1319" s="7" t="n">
        <f aca="false">Sens!$E$1319+(glt_azo-Sens!$E$1319)*MIN(1,(Sens!J1276-base_fy)/n_conv)</f>
        <v>0.107037313839977</v>
      </c>
      <c r="K1319" s="7" t="n">
        <f aca="false">Sens!$E$1319+(glt_azo-Sens!$E$1319)*MIN(1,(Sens!K1276-base_fy)/n_conv)</f>
        <v>0.08</v>
      </c>
    </row>
    <row r="1320" customFormat="false" ht="15" hidden="false" customHeight="false" outlineLevel="0" collapsed="false">
      <c r="A1320" s="0" t="s">
        <v>1025</v>
      </c>
      <c r="B1320" s="0" t="s">
        <v>98</v>
      </c>
      <c r="D1320" s="6" t="n">
        <f aca="false">Sens!D1317+Sens!D1318</f>
        <v>72.61</v>
      </c>
      <c r="E1320" s="6" t="n">
        <f aca="false">Sens!E1317+Sens!E1318</f>
        <v>101.938</v>
      </c>
      <c r="F1320" s="6" t="n">
        <f aca="false">Sens!F1317+Sens!F1318</f>
        <v>156.508802144873</v>
      </c>
      <c r="G1320" s="6" t="n">
        <f aca="false">Sens!G1317+Sens!G1318</f>
        <v>224.167807895003</v>
      </c>
      <c r="H1320" s="6" t="n">
        <f aca="false">Sens!H1317+Sens!H1318</f>
        <v>299.036560434511</v>
      </c>
      <c r="I1320" s="6" t="n">
        <f aca="false">Sens!I1317+Sens!I1318</f>
        <v>360.128591061548</v>
      </c>
      <c r="J1320" s="6" t="n">
        <f aca="false">Sens!J1317+Sens!J1318</f>
        <v>406.114665799104</v>
      </c>
      <c r="K1320" s="6" t="n">
        <f aca="false">Sens!K1317+Sens!K1318</f>
        <v>437.890167594177</v>
      </c>
    </row>
    <row r="1321" customFormat="false" ht="17.15" hidden="false" customHeight="false" outlineLevel="0" collapsed="false">
      <c r="A1321" s="0" t="s">
        <v>1026</v>
      </c>
      <c r="B1321" s="1" t="s">
        <v>610</v>
      </c>
      <c r="C1321" s="30" t="n">
        <f aca="false">cop_s24</f>
        <v>1</v>
      </c>
      <c r="D1321" s="30" t="n">
        <f aca="false">cop_s25</f>
        <v>5</v>
      </c>
      <c r="E1321" s="30" t="n">
        <f aca="false">cop_s26</f>
        <v>30</v>
      </c>
      <c r="F1321" s="30" t="n">
        <f aca="false">Sens!E1321+cop_add_A</f>
        <v>60</v>
      </c>
      <c r="G1321" s="30" t="n">
        <f aca="false">Sens!F1321+cop_add_A</f>
        <v>90</v>
      </c>
      <c r="H1321" s="30" t="n">
        <f aca="false">Sens!G1321+cop_add_A</f>
        <v>120</v>
      </c>
      <c r="I1321" s="30" t="n">
        <f aca="false">Sens!H1321+cop_add_A*cop_tail</f>
        <v>135</v>
      </c>
      <c r="J1321" s="30" t="n">
        <f aca="false">Sens!I1321+cop_add_A*cop_tail</f>
        <v>150</v>
      </c>
      <c r="K1321" s="30" t="n">
        <f aca="false">Sens!J1321+cop_add_A*cop_tail</f>
        <v>165</v>
      </c>
      <c r="L1321" s="12" t="s">
        <v>1027</v>
      </c>
    </row>
    <row r="1322" customFormat="false" ht="17.15" hidden="false" customHeight="false" outlineLevel="0" collapsed="false">
      <c r="A1322" s="0" t="s">
        <v>1028</v>
      </c>
      <c r="B1322" s="0" t="s">
        <v>98</v>
      </c>
      <c r="D1322" s="6" t="n">
        <f aca="false">(Sens!C1321+Sens!D1321)/2*cop_px*12/1000</f>
        <v>0.9</v>
      </c>
      <c r="E1322" s="6" t="n">
        <f aca="false">(Sens!D1321+Sens!E1321)/2*cop_px*12/1000</f>
        <v>5.25</v>
      </c>
      <c r="F1322" s="6" t="n">
        <f aca="false">(Sens!E1321+Sens!F1321)/2*cop_px*12/1000</f>
        <v>13.5</v>
      </c>
      <c r="G1322" s="6" t="n">
        <f aca="false">(Sens!F1321+Sens!G1321)/2*cop_px*12/1000</f>
        <v>22.5</v>
      </c>
      <c r="H1322" s="6" t="n">
        <f aca="false">(Sens!G1321+Sens!H1321)/2*cop_px*12/1000</f>
        <v>31.5</v>
      </c>
      <c r="I1322" s="6" t="n">
        <f aca="false">(Sens!H1321+Sens!I1321)/2*cop_px*12/1000</f>
        <v>38.25</v>
      </c>
      <c r="J1322" s="6" t="n">
        <f aca="false">(Sens!I1321+Sens!J1321)/2*cop_px*12/1000</f>
        <v>42.75</v>
      </c>
      <c r="K1322" s="6" t="n">
        <f aca="false">(Sens!J1321+Sens!K1321)/2*cop_px*12/1000</f>
        <v>47.25</v>
      </c>
      <c r="L1322" s="1" t="s">
        <v>1029</v>
      </c>
    </row>
    <row r="1323" customFormat="false" ht="17.15" hidden="false" customHeight="false" outlineLevel="0" collapsed="false">
      <c r="A1323" s="0" t="s">
        <v>1030</v>
      </c>
      <c r="B1323" s="0" t="s">
        <v>98</v>
      </c>
      <c r="D1323" s="6" t="n">
        <f aca="false">Q!L7-Sens!D1322</f>
        <v>83.705</v>
      </c>
      <c r="E1323" s="6" t="n">
        <f aca="false">Q!M7-Sens!E1322</f>
        <v>95.049</v>
      </c>
      <c r="F1323" s="6" t="n">
        <f aca="false">Q!$I$7+(Sens!E1323*(1+Sens!F1324)+Sens!F1322)*(1-Q!$E$7/Q!M7)-Sens!F1322</f>
        <v>106.229653205718</v>
      </c>
      <c r="G1323" s="6" t="n">
        <f aca="false">Sens!F1323*(1+Sens!G1324)</f>
        <v>118.306092647576</v>
      </c>
      <c r="H1323" s="6" t="n">
        <f aca="false">Sens!G1323*(1+Sens!H1324)</f>
        <v>130.463437602768</v>
      </c>
      <c r="I1323" s="6" t="n">
        <f aca="false">Sens!H1323*(1+Sens!I1324)</f>
        <v>142.445354741933</v>
      </c>
      <c r="J1323" s="6" t="n">
        <f aca="false">Sens!I1323*(1+Sens!J1324)</f>
        <v>153.972117481571</v>
      </c>
      <c r="K1323" s="6" t="n">
        <f aca="false">Sens!J1323*(1+Sens!K1324)</f>
        <v>164.75016570528</v>
      </c>
      <c r="L1323" s="12" t="s">
        <v>1031</v>
      </c>
    </row>
    <row r="1324" customFormat="false" ht="15" hidden="false" customHeight="false" outlineLevel="0" collapsed="false">
      <c r="A1324" s="1" t="s">
        <v>1024</v>
      </c>
      <c r="B1324" s="0" t="s">
        <v>168</v>
      </c>
      <c r="E1324" s="7" t="n">
        <f aca="false">Sens!E1323/Sens!D1323-1</f>
        <v>0.135523564900544</v>
      </c>
      <c r="F1324" s="7" t="n">
        <f aca="false">Sens!$E$1324+(glt_m365b-Sens!$E$1324)*MIN(1,(Sens!F1276-base_fy)/n_conv)</f>
        <v>0.124602970750453</v>
      </c>
      <c r="G1324" s="7" t="n">
        <f aca="false">Sens!$E$1324+(glt_m365b-Sens!$E$1324)*MIN(1,(Sens!G1276-base_fy)/n_conv)</f>
        <v>0.113682376600363</v>
      </c>
      <c r="H1324" s="7" t="n">
        <f aca="false">Sens!$E$1324+(glt_m365b-Sens!$E$1324)*MIN(1,(Sens!H1276-base_fy)/n_conv)</f>
        <v>0.102761782450272</v>
      </c>
      <c r="I1324" s="7" t="n">
        <f aca="false">Sens!$E$1324+(glt_m365b-Sens!$E$1324)*MIN(1,(Sens!I1276-base_fy)/n_conv)</f>
        <v>0.0918411883001813</v>
      </c>
      <c r="J1324" s="7" t="n">
        <f aca="false">Sens!$E$1324+(glt_m365b-Sens!$E$1324)*MIN(1,(Sens!J1276-base_fy)/n_conv)</f>
        <v>0.0809205941500906</v>
      </c>
      <c r="K1324" s="7" t="n">
        <f aca="false">Sens!$E$1324+(glt_m365b-Sens!$E$1324)*MIN(1,(Sens!K1276-base_fy)/n_conv)</f>
        <v>0.07</v>
      </c>
    </row>
    <row r="1325" customFormat="false" ht="15" hidden="false" customHeight="false" outlineLevel="0" collapsed="false">
      <c r="A1325" s="0" t="s">
        <v>1032</v>
      </c>
      <c r="B1325" s="0" t="s">
        <v>98</v>
      </c>
      <c r="D1325" s="6" t="n">
        <f aca="false">Sens!D1323+Sens!D1322</f>
        <v>84.605</v>
      </c>
      <c r="E1325" s="6" t="n">
        <f aca="false">Sens!E1323+Sens!E1322</f>
        <v>100.299</v>
      </c>
      <c r="F1325" s="6" t="n">
        <f aca="false">Sens!F1323+Sens!F1322</f>
        <v>119.729653205718</v>
      </c>
      <c r="G1325" s="6" t="n">
        <f aca="false">Sens!G1323+Sens!G1322</f>
        <v>140.806092647576</v>
      </c>
      <c r="H1325" s="6" t="n">
        <f aca="false">Sens!H1323+Sens!H1322</f>
        <v>161.963437602768</v>
      </c>
      <c r="I1325" s="6" t="n">
        <f aca="false">Sens!I1323+Sens!I1322</f>
        <v>180.695354741933</v>
      </c>
      <c r="J1325" s="6" t="n">
        <f aca="false">Sens!J1323+Sens!J1322</f>
        <v>196.722117481571</v>
      </c>
      <c r="K1325" s="6" t="n">
        <f aca="false">Sens!K1323+Sens!K1322</f>
        <v>212.00016570528</v>
      </c>
    </row>
    <row r="1326" customFormat="false" ht="17.15" hidden="false" customHeight="false" outlineLevel="0" collapsed="false">
      <c r="A1326" s="0" t="s">
        <v>1033</v>
      </c>
      <c r="B1326" s="0" t="s">
        <v>98</v>
      </c>
      <c r="D1326" s="6" t="n">
        <f aca="false">Q!L8</f>
        <v>35.391</v>
      </c>
      <c r="E1326" s="6" t="n">
        <f aca="false">Q!M8</f>
        <v>37.285</v>
      </c>
      <c r="F1326" s="6" t="n">
        <f aca="false">Q!$I$8+(Q!M8-Q!$E$8)*(1+Sens!F1327)</f>
        <v>38.3851437782675</v>
      </c>
      <c r="G1326" s="6" t="n">
        <f aca="false">Sens!F1326*(1+Sens!G1327)</f>
        <v>40.0105353288615</v>
      </c>
      <c r="H1326" s="6" t="n">
        <f aca="false">Sens!G1326*(1+Sens!H1327)</f>
        <v>41.4812512033683</v>
      </c>
      <c r="I1326" s="6" t="n">
        <f aca="false">Sens!H1326*(1+Sens!I1327)</f>
        <v>42.7743107216329</v>
      </c>
      <c r="J1326" s="6" t="n">
        <f aca="false">Sens!I1326*(1+Sens!J1327)</f>
        <v>43.8687373064601</v>
      </c>
      <c r="K1326" s="6" t="n">
        <f aca="false">Sens!J1326*(1+Sens!K1327)</f>
        <v>44.7461120525893</v>
      </c>
      <c r="L1326" s="12" t="s">
        <v>1034</v>
      </c>
    </row>
    <row r="1327" customFormat="false" ht="15" hidden="false" customHeight="false" outlineLevel="0" collapsed="false">
      <c r="A1327" s="1" t="s">
        <v>1024</v>
      </c>
      <c r="B1327" s="0" t="s">
        <v>168</v>
      </c>
      <c r="E1327" s="7" t="n">
        <f aca="false">Sens!E1326/Sens!D1326-1</f>
        <v>0.0535164307309768</v>
      </c>
      <c r="F1327" s="7" t="n">
        <f aca="false">Sens!$E$1327+(glt_lic-Sens!$E$1327)*MIN(1,(Sens!F1276-base_fy)/n_conv)</f>
        <v>0.0479303589424807</v>
      </c>
      <c r="G1327" s="7" t="n">
        <f aca="false">Sens!$E$1327+(glt_lic-Sens!$E$1327)*MIN(1,(Sens!G1276-base_fy)/n_conv)</f>
        <v>0.0423442871539845</v>
      </c>
      <c r="H1327" s="7" t="n">
        <f aca="false">Sens!$E$1327+(glt_lic-Sens!$E$1327)*MIN(1,(Sens!H1276-base_fy)/n_conv)</f>
        <v>0.0367582153654884</v>
      </c>
      <c r="I1327" s="7" t="n">
        <f aca="false">Sens!$E$1327+(glt_lic-Sens!$E$1327)*MIN(1,(Sens!I1276-base_fy)/n_conv)</f>
        <v>0.0311721435769923</v>
      </c>
      <c r="J1327" s="7" t="n">
        <f aca="false">Sens!$E$1327+(glt_lic-Sens!$E$1327)*MIN(1,(Sens!J1276-base_fy)/n_conv)</f>
        <v>0.0255860717884961</v>
      </c>
      <c r="K1327" s="7" t="n">
        <f aca="false">Sens!$E$1327+(glt_lic-Sens!$E$1327)*MIN(1,(Sens!K1276-base_fy)/n_conv)</f>
        <v>0.02</v>
      </c>
    </row>
    <row r="1328" customFormat="false" ht="17.15" hidden="false" customHeight="false" outlineLevel="0" collapsed="false">
      <c r="A1328" s="0" t="s">
        <v>1035</v>
      </c>
      <c r="B1328" s="0" t="s">
        <v>98</v>
      </c>
      <c r="D1328" s="6" t="n">
        <f aca="false">Q!L9</f>
        <v>18.417</v>
      </c>
      <c r="E1328" s="6" t="n">
        <f aca="false">Q!M9</f>
        <v>20.345</v>
      </c>
      <c r="F1328" s="6" t="n">
        <f aca="false">Q!$I$9+(Q!M9-Q!$E$9)*(1+Sens!F1329)</f>
        <v>22.3161797133988</v>
      </c>
      <c r="G1328" s="6" t="n">
        <f aca="false">Sens!F1328*(1+Sens!G1329)</f>
        <v>24.3943499673233</v>
      </c>
      <c r="H1328" s="6" t="n">
        <f aca="false">Sens!G1328*(1+Sens!H1329)</f>
        <v>26.5250243109019</v>
      </c>
      <c r="I1328" s="6" t="n">
        <f aca="false">Sens!H1328*(1+Sens!I1329)</f>
        <v>28.6884573538181</v>
      </c>
      <c r="J1328" s="6" t="n">
        <f aca="false">Sens!I1328*(1+Sens!J1329)</f>
        <v>30.8624968052127</v>
      </c>
      <c r="K1328" s="6" t="n">
        <f aca="false">Sens!J1328*(1+Sens!K1329)</f>
        <v>33.0228715815776</v>
      </c>
      <c r="L1328" s="12" t="s">
        <v>1034</v>
      </c>
    </row>
    <row r="1329" customFormat="false" ht="15" hidden="false" customHeight="false" outlineLevel="0" collapsed="false">
      <c r="A1329" s="1" t="s">
        <v>1024</v>
      </c>
      <c r="B1329" s="0" t="s">
        <v>168</v>
      </c>
      <c r="E1329" s="7" t="n">
        <f aca="false">Sens!E1328/Sens!D1328-1</f>
        <v>0.104685888038225</v>
      </c>
      <c r="F1329" s="7" t="n">
        <f aca="false">Sens!$E$1329+(glt_ind-Sens!$E$1329)*MIN(1,(Sens!F1276-base_fy)/n_conv)</f>
        <v>0.0989049066985211</v>
      </c>
      <c r="G1329" s="7" t="n">
        <f aca="false">Sens!$E$1329+(glt_ind-Sens!$E$1329)*MIN(1,(Sens!G1276-base_fy)/n_conv)</f>
        <v>0.0931239253588169</v>
      </c>
      <c r="H1329" s="7" t="n">
        <f aca="false">Sens!$E$1329+(glt_ind-Sens!$E$1329)*MIN(1,(Sens!H1276-base_fy)/n_conv)</f>
        <v>0.0873429440191127</v>
      </c>
      <c r="I1329" s="7" t="n">
        <f aca="false">Sens!$E$1329+(glt_ind-Sens!$E$1329)*MIN(1,(Sens!I1276-base_fy)/n_conv)</f>
        <v>0.0815619626794085</v>
      </c>
      <c r="J1329" s="7" t="n">
        <f aca="false">Sens!$E$1329+(glt_ind-Sens!$E$1329)*MIN(1,(Sens!J1276-base_fy)/n_conv)</f>
        <v>0.0757809813397042</v>
      </c>
      <c r="K1329" s="7" t="n">
        <f aca="false">Sens!$E$1329+(glt_ind-Sens!$E$1329)*MIN(1,(Sens!K1276-base_fy)/n_conv)</f>
        <v>0.07</v>
      </c>
    </row>
    <row r="1330" customFormat="false" ht="17.15" hidden="false" customHeight="false" outlineLevel="0" collapsed="false">
      <c r="A1330" s="0" t="s">
        <v>1036</v>
      </c>
      <c r="B1330" s="0" t="s">
        <v>98</v>
      </c>
      <c r="D1330" s="6" t="n">
        <f aca="false">Q!L10</f>
        <v>7.76</v>
      </c>
      <c r="E1330" s="6" t="n">
        <f aca="false">Q!M10</f>
        <v>8.26</v>
      </c>
      <c r="F1330" s="6" t="n">
        <f aca="false">Q!$I$10+(Q!M10-Q!$E$10)*(1+Sens!F1331)</f>
        <v>8.75372082474227</v>
      </c>
      <c r="G1330" s="6" t="n">
        <f aca="false">Sens!F1330*(1+Sens!G1331)</f>
        <v>9.33399324642364</v>
      </c>
      <c r="H1330" s="6" t="n">
        <f aca="false">Sens!G1330*(1+Sens!H1331)</f>
        <v>9.96139155535851</v>
      </c>
      <c r="I1330" s="6" t="n">
        <f aca="false">Sens!H1330*(1+Sens!I1331)</f>
        <v>10.6402039077391</v>
      </c>
      <c r="J1330" s="6" t="n">
        <f aca="false">Sens!I1330*(1+Sens!J1331)</f>
        <v>11.3751458271397</v>
      </c>
      <c r="K1330" s="6" t="n">
        <f aca="false">Sens!J1330*(1+Sens!K1331)</f>
        <v>12.1714060350394</v>
      </c>
      <c r="L1330" s="12" t="s">
        <v>1034</v>
      </c>
    </row>
    <row r="1331" customFormat="false" ht="15" hidden="false" customHeight="false" outlineLevel="0" collapsed="false">
      <c r="A1331" s="1" t="s">
        <v>1024</v>
      </c>
      <c r="B1331" s="0" t="s">
        <v>168</v>
      </c>
      <c r="E1331" s="7" t="n">
        <f aca="false">Sens!E1330/Sens!D1330-1</f>
        <v>0.0644329896907216</v>
      </c>
      <c r="F1331" s="7" t="n">
        <f aca="false">Sens!$E$1331+(glt_fro-Sens!$E$1331)*MIN(1,(Sens!F1276-base_fy)/n_conv)</f>
        <v>0.065360824742268</v>
      </c>
      <c r="G1331" s="7" t="n">
        <f aca="false">Sens!$E$1331+(glt_fro-Sens!$E$1331)*MIN(1,(Sens!G1276-base_fy)/n_conv)</f>
        <v>0.0662886597938144</v>
      </c>
      <c r="H1331" s="7" t="n">
        <f aca="false">Sens!$E$1331+(glt_fro-Sens!$E$1331)*MIN(1,(Sens!H1276-base_fy)/n_conv)</f>
        <v>0.0672164948453608</v>
      </c>
      <c r="I1331" s="7" t="n">
        <f aca="false">Sens!$E$1331+(glt_fro-Sens!$E$1331)*MIN(1,(Sens!I1276-base_fy)/n_conv)</f>
        <v>0.0681443298969072</v>
      </c>
      <c r="J1331" s="7" t="n">
        <f aca="false">Sens!$E$1331+(glt_fro-Sens!$E$1331)*MIN(1,(Sens!J1276-base_fy)/n_conv)</f>
        <v>0.0690721649484536</v>
      </c>
      <c r="K1331" s="7" t="n">
        <f aca="false">Sens!$E$1331+(glt_fro-Sens!$E$1331)*MIN(1,(Sens!K1276-base_fy)/n_conv)</f>
        <v>0.07</v>
      </c>
    </row>
    <row r="1332" customFormat="false" ht="15" hidden="false" customHeight="false" outlineLevel="0" collapsed="false">
      <c r="A1332" s="0" t="s">
        <v>852</v>
      </c>
      <c r="B1332" s="0" t="s">
        <v>98</v>
      </c>
      <c r="D1332" s="6" t="n">
        <f aca="false">Sens!D1320+Sens!D1325+Sens!D1326+Sens!D1328+Sens!D1330</f>
        <v>218.783</v>
      </c>
      <c r="E1332" s="6" t="n">
        <f aca="false">Sens!E1320+Sens!E1325+Sens!E1326+Sens!E1328+Sens!E1330</f>
        <v>268.127</v>
      </c>
      <c r="F1332" s="6" t="n">
        <f aca="false">Sens!F1320+Sens!F1325+Sens!F1326+Sens!F1328+Sens!F1330</f>
        <v>345.693499667</v>
      </c>
      <c r="G1332" s="6" t="n">
        <f aca="false">Sens!G1320+Sens!G1325+Sens!G1326+Sens!G1328+Sens!G1330</f>
        <v>438.712779085188</v>
      </c>
      <c r="H1332" s="6" t="n">
        <f aca="false">Sens!H1320+Sens!H1325+Sens!H1326+Sens!H1328+Sens!H1330</f>
        <v>538.967665106907</v>
      </c>
      <c r="I1332" s="6" t="n">
        <f aca="false">Sens!I1320+Sens!I1325+Sens!I1326+Sens!I1328+Sens!I1330</f>
        <v>622.926917786671</v>
      </c>
      <c r="J1332" s="6" t="n">
        <f aca="false">Sens!J1320+Sens!J1325+Sens!J1326+Sens!J1328+Sens!J1330</f>
        <v>688.943163219487</v>
      </c>
      <c r="K1332" s="6" t="n">
        <f aca="false">Sens!K1320+Sens!K1325+Sens!K1326+Sens!K1328+Sens!K1330</f>
        <v>739.830722968663</v>
      </c>
    </row>
    <row r="1333" customFormat="false" ht="17.15" hidden="false" customHeight="false" outlineLevel="0" collapsed="false">
      <c r="A1333" s="0" t="s">
        <v>1037</v>
      </c>
      <c r="B1333" s="0" t="s">
        <v>98</v>
      </c>
      <c r="D1333" s="6" t="n">
        <f aca="false">Q!L13</f>
        <v>22.171</v>
      </c>
      <c r="E1333" s="6" t="n">
        <f aca="false">Q!M13</f>
        <v>24.835</v>
      </c>
      <c r="F1333" s="6" t="n">
        <f aca="false">Q!$I$13+(Q!M13-Q!$E$13)*(1+Sens!F1334)</f>
        <v>27.5591895660247</v>
      </c>
      <c r="G1333" s="6" t="n">
        <f aca="false">Sens!F1333*(1+Sens!G1334)</f>
        <v>30.4098563144583</v>
      </c>
      <c r="H1333" s="6" t="n">
        <f aca="false">Sens!G1333*(1+Sens!H1334)</f>
        <v>33.3011792571777</v>
      </c>
      <c r="I1333" s="6" t="n">
        <f aca="false">Sens!H1333*(1+Sens!I1334)</f>
        <v>36.189023797112</v>
      </c>
      <c r="J1333" s="6" t="n">
        <f aca="false">Sens!I1333*(1+Sens!J1334)</f>
        <v>39.0247773769199</v>
      </c>
      <c r="K1333" s="6" t="n">
        <f aca="false">Sens!J1333*(1+Sens!K1334)</f>
        <v>41.7565117933043</v>
      </c>
      <c r="L1333" s="12" t="s">
        <v>1034</v>
      </c>
    </row>
    <row r="1334" customFormat="false" ht="15" hidden="false" customHeight="false" outlineLevel="0" collapsed="false">
      <c r="A1334" s="1" t="s">
        <v>1024</v>
      </c>
      <c r="B1334" s="0" t="s">
        <v>168</v>
      </c>
      <c r="E1334" s="7" t="n">
        <f aca="false">Sens!E1333/Sens!D1333-1</f>
        <v>0.120156961796942</v>
      </c>
      <c r="F1334" s="7" t="n">
        <f aca="false">Sens!$E$1334+(glt_srch-Sens!$E$1334)*MIN(1,(Sens!F1276-base_fy)/n_conv)</f>
        <v>0.111797468164118</v>
      </c>
      <c r="G1334" s="7" t="n">
        <f aca="false">Sens!$E$1334+(glt_srch-Sens!$E$1334)*MIN(1,(Sens!G1276-base_fy)/n_conv)</f>
        <v>0.103437974531295</v>
      </c>
      <c r="H1334" s="7" t="n">
        <f aca="false">Sens!$E$1334+(glt_srch-Sens!$E$1334)*MIN(1,(Sens!H1276-base_fy)/n_conv)</f>
        <v>0.095078480898471</v>
      </c>
      <c r="I1334" s="7" t="n">
        <f aca="false">Sens!$E$1334+(glt_srch-Sens!$E$1334)*MIN(1,(Sens!I1276-base_fy)/n_conv)</f>
        <v>0.0867189872656474</v>
      </c>
      <c r="J1334" s="7" t="n">
        <f aca="false">Sens!$E$1334+(glt_srch-Sens!$E$1334)*MIN(1,(Sens!J1276-base_fy)/n_conv)</f>
        <v>0.0783594936328237</v>
      </c>
      <c r="K1334" s="7" t="n">
        <f aca="false">Sens!$E$1334+(glt_srch-Sens!$E$1334)*MIN(1,(Sens!K1276-base_fy)/n_conv)</f>
        <v>0.07</v>
      </c>
    </row>
    <row r="1335" customFormat="false" ht="17.15" hidden="false" customHeight="false" outlineLevel="0" collapsed="false">
      <c r="A1335" s="0" t="s">
        <v>1038</v>
      </c>
      <c r="B1335" s="0" t="s">
        <v>98</v>
      </c>
      <c r="D1335" s="6" t="n">
        <f aca="false">Q!L14</f>
        <v>23.455</v>
      </c>
      <c r="E1335" s="6" t="n">
        <f aca="false">Q!M14</f>
        <v>21.79</v>
      </c>
      <c r="F1335" s="6" t="n">
        <f aca="false">Q!$I$14+(Q!M14-Q!$E$14)*(1+Sens!F1336)</f>
        <v>20.7520981041711</v>
      </c>
      <c r="G1335" s="6" t="n">
        <f aca="false">Sens!F1335*(1+Sens!G1336)</f>
        <v>19.9083593495882</v>
      </c>
      <c r="H1335" s="6" t="n">
        <f aca="false">Sens!G1335*(1+Sens!H1336)</f>
        <v>19.4008256265831</v>
      </c>
      <c r="I1335" s="6" t="n">
        <f aca="false">Sens!H1335*(1+Sens!I1336)</f>
        <v>19.200434522122</v>
      </c>
      <c r="J1335" s="6" t="n">
        <f aca="false">Sens!I1335*(1+Sens!J1336)</f>
        <v>19.2932782348507</v>
      </c>
      <c r="K1335" s="6" t="n">
        <f aca="false">Sens!J1335*(1+Sens!K1336)</f>
        <v>19.6791437995477</v>
      </c>
      <c r="L1335" s="12" t="s">
        <v>1034</v>
      </c>
    </row>
    <row r="1336" customFormat="false" ht="15" hidden="false" customHeight="false" outlineLevel="0" collapsed="false">
      <c r="A1336" s="1" t="s">
        <v>1024</v>
      </c>
      <c r="B1336" s="0" t="s">
        <v>168</v>
      </c>
      <c r="E1336" s="7" t="n">
        <f aca="false">Sens!E1335/Sens!D1335-1</f>
        <v>-0.0709869963760392</v>
      </c>
      <c r="F1336" s="7" t="n">
        <f aca="false">Sens!$E$1336+(glt_xbox-Sens!$E$1336)*MIN(1,(Sens!F1276-base_fy)/n_conv)</f>
        <v>-0.0558224969800327</v>
      </c>
      <c r="G1336" s="7" t="n">
        <f aca="false">Sens!$E$1336+(glt_xbox-Sens!$E$1336)*MIN(1,(Sens!G1276-base_fy)/n_conv)</f>
        <v>-0.0406579975840262</v>
      </c>
      <c r="H1336" s="7" t="n">
        <f aca="false">Sens!$E$1336+(glt_xbox-Sens!$E$1336)*MIN(1,(Sens!H1276-base_fy)/n_conv)</f>
        <v>-0.0254934981880196</v>
      </c>
      <c r="I1336" s="7" t="n">
        <f aca="false">Sens!$E$1336+(glt_xbox-Sens!$E$1336)*MIN(1,(Sens!I1276-base_fy)/n_conv)</f>
        <v>-0.0103289987920131</v>
      </c>
      <c r="J1336" s="7" t="n">
        <f aca="false">Sens!$E$1336+(glt_xbox-Sens!$E$1336)*MIN(1,(Sens!J1276-base_fy)/n_conv)</f>
        <v>0.00483550060399347</v>
      </c>
      <c r="K1336" s="7" t="n">
        <f aca="false">Sens!$E$1336+(glt_xbox-Sens!$E$1336)*MIN(1,(Sens!K1276-base_fy)/n_conv)</f>
        <v>0.02</v>
      </c>
    </row>
    <row r="1337" customFormat="false" ht="17.15" hidden="false" customHeight="false" outlineLevel="0" collapsed="false">
      <c r="A1337" s="0" t="s">
        <v>1039</v>
      </c>
      <c r="B1337" s="0" t="s">
        <v>98</v>
      </c>
      <c r="D1337" s="6" t="n">
        <f aca="false">Q!L15</f>
        <v>17.315</v>
      </c>
      <c r="E1337" s="6" t="n">
        <f aca="false">Q!M15</f>
        <v>17.087</v>
      </c>
      <c r="F1337" s="6" t="n">
        <f aca="false">Q!$I$15+(Q!M15-Q!$E$15)*(1+Sens!F1338)</f>
        <v>15.9912273250553</v>
      </c>
      <c r="G1337" s="6" t="n">
        <f aca="false">Sens!F1337*(1+Sens!G1338)</f>
        <v>15.9574562664827</v>
      </c>
      <c r="H1337" s="6" t="n">
        <f aca="false">Sens!G1337*(1+Sens!H1338)</f>
        <v>16.0119687434196</v>
      </c>
      <c r="I1337" s="6" t="n">
        <f aca="false">Sens!H1337*(1+Sens!I1338)</f>
        <v>16.1551810001948</v>
      </c>
      <c r="J1337" s="6" t="n">
        <f aca="false">Sens!I1337*(1+Sens!J1338)</f>
        <v>16.3889793892005</v>
      </c>
      <c r="K1337" s="6" t="n">
        <f aca="false">Sens!J1337*(1+Sens!K1338)</f>
        <v>16.7167589769845</v>
      </c>
      <c r="L1337" s="12" t="s">
        <v>1034</v>
      </c>
    </row>
    <row r="1338" customFormat="false" ht="15" hidden="false" customHeight="false" outlineLevel="0" collapsed="false">
      <c r="A1338" s="1" t="s">
        <v>1024</v>
      </c>
      <c r="B1338" s="0" t="s">
        <v>168</v>
      </c>
      <c r="E1338" s="7" t="n">
        <f aca="false">Sens!E1337/Sens!D1337-1</f>
        <v>-0.0131677736066995</v>
      </c>
      <c r="F1338" s="7" t="n">
        <f aca="false">Sens!$E$1338+(glt_win-Sens!$E$1338)*MIN(1,(Sens!F1276-base_fy)/n_conv)</f>
        <v>-0.00763981133891627</v>
      </c>
      <c r="G1338" s="7" t="n">
        <f aca="false">Sens!$E$1338+(glt_win-Sens!$E$1338)*MIN(1,(Sens!G1276-base_fy)/n_conv)</f>
        <v>-0.00211184907113301</v>
      </c>
      <c r="H1338" s="7" t="n">
        <f aca="false">Sens!$E$1338+(glt_win-Sens!$E$1338)*MIN(1,(Sens!H1276-base_fy)/n_conv)</f>
        <v>0.00341611319665024</v>
      </c>
      <c r="I1338" s="7" t="n">
        <f aca="false">Sens!$E$1338+(glt_win-Sens!$E$1338)*MIN(1,(Sens!I1276-base_fy)/n_conv)</f>
        <v>0.00894407546443349</v>
      </c>
      <c r="J1338" s="7" t="n">
        <f aca="false">Sens!$E$1338+(glt_win-Sens!$E$1338)*MIN(1,(Sens!J1276-base_fy)/n_conv)</f>
        <v>0.0144720377322168</v>
      </c>
      <c r="K1338" s="7" t="n">
        <f aca="false">Sens!$E$1338+(glt_win-Sens!$E$1338)*MIN(1,(Sens!K1276-base_fy)/n_conv)</f>
        <v>0.02</v>
      </c>
    </row>
    <row r="1339" customFormat="false" ht="15" hidden="false" customHeight="false" outlineLevel="0" collapsed="false">
      <c r="A1339" s="0" t="s">
        <v>866</v>
      </c>
      <c r="B1339" s="0" t="s">
        <v>98</v>
      </c>
      <c r="D1339" s="6" t="n">
        <f aca="false">Sens!D1333+Sens!D1335+Sens!D1337</f>
        <v>62.941</v>
      </c>
      <c r="E1339" s="6" t="n">
        <f aca="false">Sens!E1333+Sens!E1335+Sens!E1337</f>
        <v>63.712</v>
      </c>
      <c r="F1339" s="6" t="n">
        <f aca="false">Sens!F1333+Sens!F1335+Sens!F1337</f>
        <v>64.3025149952511</v>
      </c>
      <c r="G1339" s="6" t="n">
        <f aca="false">Sens!G1333+Sens!G1335+Sens!G1337</f>
        <v>66.2756719305292</v>
      </c>
      <c r="H1339" s="6" t="n">
        <f aca="false">Sens!H1333+Sens!H1335+Sens!H1337</f>
        <v>68.7139736271804</v>
      </c>
      <c r="I1339" s="6" t="n">
        <f aca="false">Sens!I1333+Sens!I1335+Sens!I1337</f>
        <v>71.5446393194289</v>
      </c>
      <c r="J1339" s="6" t="n">
        <f aca="false">Sens!J1333+Sens!J1335+Sens!J1337</f>
        <v>74.707035000971</v>
      </c>
      <c r="K1339" s="6" t="n">
        <f aca="false">Sens!K1333+Sens!K1335+Sens!K1337</f>
        <v>78.1524145698365</v>
      </c>
    </row>
    <row r="1340" customFormat="false" ht="15" hidden="false" customHeight="false" outlineLevel="0" collapsed="false">
      <c r="A1340" s="1" t="s">
        <v>1040</v>
      </c>
      <c r="B1340" s="0" t="s">
        <v>98</v>
      </c>
      <c r="D1340" s="6" t="n">
        <f aca="false">Sens!D1332+Sens!D1339</f>
        <v>281.724</v>
      </c>
      <c r="E1340" s="6" t="n">
        <f aca="false">Sens!E1332+Sens!E1339</f>
        <v>331.839</v>
      </c>
      <c r="F1340" s="6" t="n">
        <f aca="false">Sens!F1332+Sens!F1339</f>
        <v>409.996014662251</v>
      </c>
      <c r="G1340" s="6" t="n">
        <f aca="false">Sens!G1332+Sens!G1339</f>
        <v>504.988451015717</v>
      </c>
      <c r="H1340" s="6" t="n">
        <f aca="false">Sens!H1332+Sens!H1339</f>
        <v>607.681638734088</v>
      </c>
      <c r="I1340" s="6" t="n">
        <f aca="false">Sens!I1332+Sens!I1339</f>
        <v>694.471557106099</v>
      </c>
      <c r="J1340" s="6" t="n">
        <f aca="false">Sens!J1332+Sens!J1339</f>
        <v>763.650198220458</v>
      </c>
      <c r="K1340" s="6" t="n">
        <f aca="false">Sens!K1332+Sens!K1339</f>
        <v>817.9831375385</v>
      </c>
    </row>
    <row r="1341" customFormat="false" ht="15" hidden="false" customHeight="false" outlineLevel="0" collapsed="false">
      <c r="A1341" s="26" t="s">
        <v>1041</v>
      </c>
      <c r="B1341" s="31" t="s">
        <v>98</v>
      </c>
      <c r="C1341" s="31"/>
      <c r="D1341" s="27" t="n">
        <f aca="false">(Sens!D1320+Sens!D1325+Sens!D1326+Sens!D1328+Sens!D1330-Sens!D1332)+(Sens!D1333+Sens!D1335+Sens!D1337-Sens!D1339)+(Sens!D1332-Q!L5)+(Sens!D1339-Q!L12)+(Sens!D1320-Q!L6)+(Sens!D1325-Q!L7)</f>
        <v>0</v>
      </c>
      <c r="E1341" s="27" t="n">
        <f aca="false">(Sens!E1320+Sens!E1325+Sens!E1326+Sens!E1328+Sens!E1330-Sens!E1332)+(Sens!E1333+Sens!E1335+Sens!E1337-Sens!E1339)+(Sens!E1332-Q!M5)+(Sens!E1339-Q!M12)+(Sens!E1320-Q!M6)+(Sens!E1325-Q!M7)</f>
        <v>0</v>
      </c>
      <c r="F1341" s="27" t="n">
        <f aca="false">(Sens!F1320+Sens!F1325+Sens!F1326+Sens!F1328+Sens!F1330-Sens!F1332)+(Sens!F1333+Sens!F1335+Sens!F1337-Sens!F1339)</f>
        <v>0</v>
      </c>
      <c r="G1341" s="27" t="n">
        <f aca="false">(Sens!G1320+Sens!G1325+Sens!G1326+Sens!G1328+Sens!G1330-Sens!G1332)+(Sens!G1333+Sens!G1335+Sens!G1337-Sens!G1339)</f>
        <v>0</v>
      </c>
      <c r="H1341" s="27" t="n">
        <f aca="false">(Sens!H1320+Sens!H1325+Sens!H1326+Sens!H1328+Sens!H1330-Sens!H1332)+(Sens!H1333+Sens!H1335+Sens!H1337-Sens!H1339)</f>
        <v>0</v>
      </c>
      <c r="I1341" s="27" t="n">
        <f aca="false">(Sens!I1320+Sens!I1325+Sens!I1326+Sens!I1328+Sens!I1330-Sens!I1332)+(Sens!I1333+Sens!I1335+Sens!I1337-Sens!I1339)</f>
        <v>0</v>
      </c>
      <c r="J1341" s="27" t="n">
        <f aca="false">(Sens!J1320+Sens!J1325+Sens!J1326+Sens!J1328+Sens!J1330-Sens!J1332)+(Sens!J1333+Sens!J1335+Sens!J1337-Sens!J1339)</f>
        <v>0</v>
      </c>
      <c r="K1341" s="27" t="n">
        <f aca="false">(Sens!K1320+Sens!K1325+Sens!K1326+Sens!K1328+Sens!K1330-Sens!K1332)+(Sens!K1333+Sens!K1335+Sens!K1337-Sens!K1339)</f>
        <v>0</v>
      </c>
    </row>
    <row r="1342" customFormat="false" ht="17.15" hidden="false" customHeight="false" outlineLevel="0" collapsed="false">
      <c r="A1342" s="3" t="s">
        <v>1512</v>
      </c>
    </row>
    <row r="1343" customFormat="false" ht="15" hidden="false" customHeight="false" outlineLevel="0" collapsed="false">
      <c r="A1343" s="4" t="s">
        <v>43</v>
      </c>
      <c r="B1343" s="4" t="s">
        <v>65</v>
      </c>
      <c r="C1343" s="23" t="s">
        <v>938</v>
      </c>
      <c r="D1343" s="23" t="s">
        <v>939</v>
      </c>
      <c r="E1343" s="23" t="s">
        <v>940</v>
      </c>
      <c r="F1343" s="23" t="s">
        <v>941</v>
      </c>
      <c r="G1343" s="23" t="s">
        <v>942</v>
      </c>
      <c r="H1343" s="23" t="s">
        <v>943</v>
      </c>
      <c r="I1343" s="23" t="s">
        <v>944</v>
      </c>
      <c r="J1343" s="23" t="s">
        <v>945</v>
      </c>
      <c r="K1343" s="23" t="s">
        <v>946</v>
      </c>
      <c r="L1343" s="4" t="s">
        <v>47</v>
      </c>
    </row>
    <row r="1344" customFormat="false" ht="15" hidden="false" customHeight="false" outlineLevel="0" collapsed="false">
      <c r="A1344" s="0" t="s">
        <v>1025</v>
      </c>
      <c r="B1344" s="0" t="s">
        <v>98</v>
      </c>
      <c r="D1344" s="6" t="n">
        <f aca="false">Sens!D1320</f>
        <v>72.61</v>
      </c>
      <c r="E1344" s="6" t="n">
        <f aca="false">Sens!E1320</f>
        <v>101.938</v>
      </c>
      <c r="F1344" s="6" t="n">
        <f aca="false">Sens!F1320</f>
        <v>156.508802144873</v>
      </c>
      <c r="G1344" s="6" t="n">
        <f aca="false">Sens!G1320</f>
        <v>224.167807895003</v>
      </c>
      <c r="H1344" s="6" t="n">
        <f aca="false">Sens!H1320</f>
        <v>299.036560434511</v>
      </c>
      <c r="I1344" s="6" t="n">
        <f aca="false">Sens!I1320</f>
        <v>360.128591061548</v>
      </c>
      <c r="J1344" s="6" t="n">
        <f aca="false">Sens!J1320</f>
        <v>406.114665799104</v>
      </c>
      <c r="K1344" s="6" t="n">
        <f aca="false">Sens!K1320</f>
        <v>437.890167594177</v>
      </c>
    </row>
    <row r="1345" customFormat="false" ht="17.15" hidden="false" customHeight="false" outlineLevel="0" collapsed="false">
      <c r="A1345" s="0" t="s">
        <v>1021</v>
      </c>
      <c r="B1345" s="0" t="s">
        <v>98</v>
      </c>
      <c r="D1345" s="6" t="n">
        <f aca="false">Sens!D1317</f>
        <v>12.9359794422418</v>
      </c>
      <c r="E1345" s="6" t="n">
        <f aca="false">Sens!E1317</f>
        <v>27.8095064661409</v>
      </c>
      <c r="F1345" s="6" t="n">
        <f aca="false">Sens!F1317</f>
        <v>67.9689290499238</v>
      </c>
      <c r="G1345" s="6" t="n">
        <f aca="false">Sens!G1317</f>
        <v>118.969223607578</v>
      </c>
      <c r="H1345" s="6" t="n">
        <f aca="false">Sens!H1317</f>
        <v>176.88922798739</v>
      </c>
      <c r="I1345" s="6" t="n">
        <f aca="false">Sens!I1317</f>
        <v>221.60440049448</v>
      </c>
      <c r="J1345" s="6" t="n">
        <f aca="false">Sens!J1317</f>
        <v>252.76321797188</v>
      </c>
      <c r="K1345" s="6" t="n">
        <f aca="false">Sens!K1317</f>
        <v>272.270603940775</v>
      </c>
    </row>
    <row r="1346" customFormat="false" ht="17.15" hidden="false" customHeight="false" outlineLevel="0" collapsed="false">
      <c r="A1346" s="0" t="s">
        <v>1052</v>
      </c>
      <c r="B1346" s="0" t="s">
        <v>98</v>
      </c>
      <c r="D1346" s="6" t="n">
        <f aca="false">Sens!D1318</f>
        <v>59.6740205577583</v>
      </c>
      <c r="E1346" s="6" t="n">
        <f aca="false">Sens!E1318</f>
        <v>74.1284935338591</v>
      </c>
      <c r="F1346" s="6" t="n">
        <f aca="false">Sens!F1318</f>
        <v>88.5398730949493</v>
      </c>
      <c r="G1346" s="6" t="n">
        <f aca="false">Sens!G1318</f>
        <v>105.198584287425</v>
      </c>
      <c r="H1346" s="6" t="n">
        <f aca="false">Sens!H1318</f>
        <v>122.14733244712</v>
      </c>
      <c r="I1346" s="6" t="n">
        <f aca="false">Sens!I1318</f>
        <v>138.524190567067</v>
      </c>
      <c r="J1346" s="6" t="n">
        <f aca="false">Sens!J1318</f>
        <v>153.351447827224</v>
      </c>
      <c r="K1346" s="6" t="n">
        <f aca="false">Sens!K1318</f>
        <v>165.619563653401</v>
      </c>
    </row>
    <row r="1347" customFormat="false" ht="15" hidden="false" customHeight="false" outlineLevel="0" collapsed="false">
      <c r="A1347" s="0" t="s">
        <v>1032</v>
      </c>
      <c r="B1347" s="0" t="s">
        <v>98</v>
      </c>
      <c r="D1347" s="6" t="n">
        <f aca="false">Sens!D1325</f>
        <v>84.605</v>
      </c>
      <c r="E1347" s="6" t="n">
        <f aca="false">Sens!E1325</f>
        <v>100.299</v>
      </c>
      <c r="F1347" s="6" t="n">
        <f aca="false">Sens!F1325</f>
        <v>119.729653205718</v>
      </c>
      <c r="G1347" s="6" t="n">
        <f aca="false">Sens!G1325</f>
        <v>140.806092647576</v>
      </c>
      <c r="H1347" s="6" t="n">
        <f aca="false">Sens!H1325</f>
        <v>161.963437602768</v>
      </c>
      <c r="I1347" s="6" t="n">
        <f aca="false">Sens!I1325</f>
        <v>180.695354741933</v>
      </c>
      <c r="J1347" s="6" t="n">
        <f aca="false">Sens!J1325</f>
        <v>196.722117481571</v>
      </c>
      <c r="K1347" s="6" t="n">
        <f aca="false">Sens!K1325</f>
        <v>212.00016570528</v>
      </c>
    </row>
    <row r="1348" customFormat="false" ht="17.15" hidden="false" customHeight="false" outlineLevel="0" collapsed="false">
      <c r="A1348" s="0" t="s">
        <v>1053</v>
      </c>
      <c r="B1348" s="0" t="s">
        <v>98</v>
      </c>
      <c r="D1348" s="6" t="n">
        <f aca="false">Sens!D1323</f>
        <v>83.705</v>
      </c>
      <c r="E1348" s="6" t="n">
        <f aca="false">Sens!E1323</f>
        <v>95.049</v>
      </c>
      <c r="F1348" s="6" t="n">
        <f aca="false">Sens!F1323</f>
        <v>106.229653205718</v>
      </c>
      <c r="G1348" s="6" t="n">
        <f aca="false">Sens!G1323</f>
        <v>118.306092647576</v>
      </c>
      <c r="H1348" s="6" t="n">
        <f aca="false">Sens!H1323</f>
        <v>130.463437602768</v>
      </c>
      <c r="I1348" s="6" t="n">
        <f aca="false">Sens!I1323</f>
        <v>142.445354741933</v>
      </c>
      <c r="J1348" s="6" t="n">
        <f aca="false">Sens!J1323</f>
        <v>153.972117481571</v>
      </c>
      <c r="K1348" s="6" t="n">
        <f aca="false">Sens!K1323</f>
        <v>164.75016570528</v>
      </c>
    </row>
    <row r="1349" customFormat="false" ht="17.15" hidden="false" customHeight="false" outlineLevel="0" collapsed="false">
      <c r="A1349" s="0" t="s">
        <v>1054</v>
      </c>
      <c r="B1349" s="0" t="s">
        <v>98</v>
      </c>
      <c r="D1349" s="6" t="n">
        <f aca="false">Sens!D1322</f>
        <v>0.9</v>
      </c>
      <c r="E1349" s="6" t="n">
        <f aca="false">Sens!E1322</f>
        <v>5.25</v>
      </c>
      <c r="F1349" s="6" t="n">
        <f aca="false">Sens!F1322</f>
        <v>13.5</v>
      </c>
      <c r="G1349" s="6" t="n">
        <f aca="false">Sens!G1322</f>
        <v>22.5</v>
      </c>
      <c r="H1349" s="6" t="n">
        <f aca="false">Sens!H1322</f>
        <v>31.5</v>
      </c>
      <c r="I1349" s="6" t="n">
        <f aca="false">Sens!I1322</f>
        <v>38.25</v>
      </c>
      <c r="J1349" s="6" t="n">
        <f aca="false">Sens!J1322</f>
        <v>42.75</v>
      </c>
      <c r="K1349" s="6" t="n">
        <f aca="false">Sens!K1322</f>
        <v>47.25</v>
      </c>
    </row>
    <row r="1350" customFormat="false" ht="15" hidden="false" customHeight="false" outlineLevel="0" collapsed="false">
      <c r="A1350" s="0" t="s">
        <v>1033</v>
      </c>
      <c r="B1350" s="0" t="s">
        <v>98</v>
      </c>
      <c r="D1350" s="6" t="n">
        <f aca="false">Sens!D1326</f>
        <v>35.391</v>
      </c>
      <c r="E1350" s="6" t="n">
        <f aca="false">Sens!E1326</f>
        <v>37.285</v>
      </c>
      <c r="F1350" s="6" t="n">
        <f aca="false">Sens!F1326</f>
        <v>38.3851437782675</v>
      </c>
      <c r="G1350" s="6" t="n">
        <f aca="false">Sens!G1326</f>
        <v>40.0105353288615</v>
      </c>
      <c r="H1350" s="6" t="n">
        <f aca="false">Sens!H1326</f>
        <v>41.4812512033683</v>
      </c>
      <c r="I1350" s="6" t="n">
        <f aca="false">Sens!I1326</f>
        <v>42.7743107216329</v>
      </c>
      <c r="J1350" s="6" t="n">
        <f aca="false">Sens!J1326</f>
        <v>43.8687373064601</v>
      </c>
      <c r="K1350" s="6" t="n">
        <f aca="false">Sens!K1326</f>
        <v>44.7461120525893</v>
      </c>
    </row>
    <row r="1351" customFormat="false" ht="15" hidden="false" customHeight="false" outlineLevel="0" collapsed="false">
      <c r="A1351" s="0" t="s">
        <v>1035</v>
      </c>
      <c r="B1351" s="0" t="s">
        <v>98</v>
      </c>
      <c r="D1351" s="6" t="n">
        <f aca="false">Sens!D1328</f>
        <v>18.417</v>
      </c>
      <c r="E1351" s="6" t="n">
        <f aca="false">Sens!E1328</f>
        <v>20.345</v>
      </c>
      <c r="F1351" s="6" t="n">
        <f aca="false">Sens!F1328</f>
        <v>22.3161797133988</v>
      </c>
      <c r="G1351" s="6" t="n">
        <f aca="false">Sens!G1328</f>
        <v>24.3943499673233</v>
      </c>
      <c r="H1351" s="6" t="n">
        <f aca="false">Sens!H1328</f>
        <v>26.5250243109019</v>
      </c>
      <c r="I1351" s="6" t="n">
        <f aca="false">Sens!I1328</f>
        <v>28.6884573538181</v>
      </c>
      <c r="J1351" s="6" t="n">
        <f aca="false">Sens!J1328</f>
        <v>30.8624968052127</v>
      </c>
      <c r="K1351" s="6" t="n">
        <f aca="false">Sens!K1328</f>
        <v>33.0228715815776</v>
      </c>
    </row>
    <row r="1352" customFormat="false" ht="15" hidden="false" customHeight="false" outlineLevel="0" collapsed="false">
      <c r="A1352" s="0" t="s">
        <v>1036</v>
      </c>
      <c r="B1352" s="0" t="s">
        <v>98</v>
      </c>
      <c r="D1352" s="6" t="n">
        <f aca="false">Sens!D1330</f>
        <v>7.76</v>
      </c>
      <c r="E1352" s="6" t="n">
        <f aca="false">Sens!E1330</f>
        <v>8.26</v>
      </c>
      <c r="F1352" s="6" t="n">
        <f aca="false">Sens!F1330</f>
        <v>8.75372082474227</v>
      </c>
      <c r="G1352" s="6" t="n">
        <f aca="false">Sens!G1330</f>
        <v>9.33399324642364</v>
      </c>
      <c r="H1352" s="6" t="n">
        <f aca="false">Sens!H1330</f>
        <v>9.96139155535851</v>
      </c>
      <c r="I1352" s="6" t="n">
        <f aca="false">Sens!I1330</f>
        <v>10.6402039077391</v>
      </c>
      <c r="J1352" s="6" t="n">
        <f aca="false">Sens!J1330</f>
        <v>11.3751458271397</v>
      </c>
      <c r="K1352" s="6" t="n">
        <f aca="false">Sens!K1330</f>
        <v>12.1714060350394</v>
      </c>
    </row>
    <row r="1353" customFormat="false" ht="15" hidden="false" customHeight="false" outlineLevel="0" collapsed="false">
      <c r="A1353" s="0" t="s">
        <v>852</v>
      </c>
      <c r="B1353" s="0" t="s">
        <v>98</v>
      </c>
      <c r="D1353" s="6" t="n">
        <f aca="false">Sens!D1332</f>
        <v>218.783</v>
      </c>
      <c r="E1353" s="6" t="n">
        <f aca="false">Sens!E1332</f>
        <v>268.127</v>
      </c>
      <c r="F1353" s="6" t="n">
        <f aca="false">Sens!F1332</f>
        <v>345.693499667</v>
      </c>
      <c r="G1353" s="6" t="n">
        <f aca="false">Sens!G1332</f>
        <v>438.712779085188</v>
      </c>
      <c r="H1353" s="6" t="n">
        <f aca="false">Sens!H1332</f>
        <v>538.967665106907</v>
      </c>
      <c r="I1353" s="6" t="n">
        <f aca="false">Sens!I1332</f>
        <v>622.926917786671</v>
      </c>
      <c r="J1353" s="6" t="n">
        <f aca="false">Sens!J1332</f>
        <v>688.943163219487</v>
      </c>
      <c r="K1353" s="6" t="n">
        <f aca="false">Sens!K1332</f>
        <v>739.830722968663</v>
      </c>
    </row>
    <row r="1354" customFormat="false" ht="15" hidden="false" customHeight="false" outlineLevel="0" collapsed="false">
      <c r="A1354" s="0" t="s">
        <v>1037</v>
      </c>
      <c r="B1354" s="0" t="s">
        <v>98</v>
      </c>
      <c r="D1354" s="6" t="n">
        <f aca="false">Sens!D1333</f>
        <v>22.171</v>
      </c>
      <c r="E1354" s="6" t="n">
        <f aca="false">Sens!E1333</f>
        <v>24.835</v>
      </c>
      <c r="F1354" s="6" t="n">
        <f aca="false">Sens!F1333</f>
        <v>27.5591895660247</v>
      </c>
      <c r="G1354" s="6" t="n">
        <f aca="false">Sens!G1333</f>
        <v>30.4098563144583</v>
      </c>
      <c r="H1354" s="6" t="n">
        <f aca="false">Sens!H1333</f>
        <v>33.3011792571777</v>
      </c>
      <c r="I1354" s="6" t="n">
        <f aca="false">Sens!I1333</f>
        <v>36.189023797112</v>
      </c>
      <c r="J1354" s="6" t="n">
        <f aca="false">Sens!J1333</f>
        <v>39.0247773769199</v>
      </c>
      <c r="K1354" s="6" t="n">
        <f aca="false">Sens!K1333</f>
        <v>41.7565117933043</v>
      </c>
    </row>
    <row r="1355" customFormat="false" ht="15" hidden="false" customHeight="false" outlineLevel="0" collapsed="false">
      <c r="A1355" s="0" t="s">
        <v>1038</v>
      </c>
      <c r="B1355" s="0" t="s">
        <v>98</v>
      </c>
      <c r="D1355" s="6" t="n">
        <f aca="false">Sens!D1335</f>
        <v>23.455</v>
      </c>
      <c r="E1355" s="6" t="n">
        <f aca="false">Sens!E1335</f>
        <v>21.79</v>
      </c>
      <c r="F1355" s="6" t="n">
        <f aca="false">Sens!F1335</f>
        <v>20.7520981041711</v>
      </c>
      <c r="G1355" s="6" t="n">
        <f aca="false">Sens!G1335</f>
        <v>19.9083593495882</v>
      </c>
      <c r="H1355" s="6" t="n">
        <f aca="false">Sens!H1335</f>
        <v>19.4008256265831</v>
      </c>
      <c r="I1355" s="6" t="n">
        <f aca="false">Sens!I1335</f>
        <v>19.200434522122</v>
      </c>
      <c r="J1355" s="6" t="n">
        <f aca="false">Sens!J1335</f>
        <v>19.2932782348507</v>
      </c>
      <c r="K1355" s="6" t="n">
        <f aca="false">Sens!K1335</f>
        <v>19.6791437995477</v>
      </c>
    </row>
    <row r="1356" customFormat="false" ht="15" hidden="false" customHeight="false" outlineLevel="0" collapsed="false">
      <c r="A1356" s="0" t="s">
        <v>1039</v>
      </c>
      <c r="B1356" s="0" t="s">
        <v>98</v>
      </c>
      <c r="D1356" s="6" t="n">
        <f aca="false">Sens!D1337</f>
        <v>17.315</v>
      </c>
      <c r="E1356" s="6" t="n">
        <f aca="false">Sens!E1337</f>
        <v>17.087</v>
      </c>
      <c r="F1356" s="6" t="n">
        <f aca="false">Sens!F1337</f>
        <v>15.9912273250553</v>
      </c>
      <c r="G1356" s="6" t="n">
        <f aca="false">Sens!G1337</f>
        <v>15.9574562664827</v>
      </c>
      <c r="H1356" s="6" t="n">
        <f aca="false">Sens!H1337</f>
        <v>16.0119687434196</v>
      </c>
      <c r="I1356" s="6" t="n">
        <f aca="false">Sens!I1337</f>
        <v>16.1551810001948</v>
      </c>
      <c r="J1356" s="6" t="n">
        <f aca="false">Sens!J1337</f>
        <v>16.3889793892005</v>
      </c>
      <c r="K1356" s="6" t="n">
        <f aca="false">Sens!K1337</f>
        <v>16.7167589769845</v>
      </c>
    </row>
    <row r="1357" customFormat="false" ht="15" hidden="false" customHeight="false" outlineLevel="0" collapsed="false">
      <c r="A1357" s="0" t="s">
        <v>866</v>
      </c>
      <c r="B1357" s="0" t="s">
        <v>98</v>
      </c>
      <c r="D1357" s="6" t="n">
        <f aca="false">Sens!D1339</f>
        <v>62.941</v>
      </c>
      <c r="E1357" s="6" t="n">
        <f aca="false">Sens!E1339</f>
        <v>63.712</v>
      </c>
      <c r="F1357" s="6" t="n">
        <f aca="false">Sens!F1339</f>
        <v>64.3025149952511</v>
      </c>
      <c r="G1357" s="6" t="n">
        <f aca="false">Sens!G1339</f>
        <v>66.2756719305292</v>
      </c>
      <c r="H1357" s="6" t="n">
        <f aca="false">Sens!H1339</f>
        <v>68.7139736271804</v>
      </c>
      <c r="I1357" s="6" t="n">
        <f aca="false">Sens!I1339</f>
        <v>71.5446393194289</v>
      </c>
      <c r="J1357" s="6" t="n">
        <f aca="false">Sens!J1339</f>
        <v>74.707035000971</v>
      </c>
      <c r="K1357" s="6" t="n">
        <f aca="false">Sens!K1339</f>
        <v>78.1524145698365</v>
      </c>
    </row>
    <row r="1358" customFormat="false" ht="15" hidden="false" customHeight="false" outlineLevel="0" collapsed="false">
      <c r="A1358" s="1" t="s">
        <v>1055</v>
      </c>
      <c r="B1358" s="0" t="s">
        <v>98</v>
      </c>
      <c r="D1358" s="6" t="n">
        <f aca="false">Sens!D1340</f>
        <v>281.724</v>
      </c>
      <c r="E1358" s="6" t="n">
        <f aca="false">Sens!E1340</f>
        <v>331.839</v>
      </c>
      <c r="F1358" s="6" t="n">
        <f aca="false">Sens!F1340</f>
        <v>409.996014662251</v>
      </c>
      <c r="G1358" s="6" t="n">
        <f aca="false">Sens!G1340</f>
        <v>504.988451015717</v>
      </c>
      <c r="H1358" s="6" t="n">
        <f aca="false">Sens!H1340</f>
        <v>607.681638734088</v>
      </c>
      <c r="I1358" s="6" t="n">
        <f aca="false">Sens!I1340</f>
        <v>694.471557106099</v>
      </c>
      <c r="J1358" s="6" t="n">
        <f aca="false">Sens!J1340</f>
        <v>763.650198220458</v>
      </c>
      <c r="K1358" s="6" t="n">
        <f aca="false">Sens!K1340</f>
        <v>817.9831375385</v>
      </c>
    </row>
    <row r="1359" customFormat="false" ht="15" hidden="false" customHeight="false" outlineLevel="0" collapsed="false">
      <c r="A1359" s="1" t="s">
        <v>1056</v>
      </c>
      <c r="B1359" s="0" t="s">
        <v>168</v>
      </c>
      <c r="E1359" s="7" t="n">
        <f aca="false">Sens!E1358/Sens!D1358-1</f>
        <v>0.177886867998467</v>
      </c>
      <c r="F1359" s="7" t="n">
        <f aca="false">Sens!F1358/Sens!E1358-1</f>
        <v>0.235526911129345</v>
      </c>
      <c r="G1359" s="7" t="n">
        <f aca="false">Sens!G1358/Sens!F1358-1</f>
        <v>0.231691121270336</v>
      </c>
      <c r="H1359" s="7" t="n">
        <f aca="false">Sens!H1358/Sens!G1358-1</f>
        <v>0.203357497605771</v>
      </c>
      <c r="I1359" s="7" t="n">
        <f aca="false">Sens!I1358/Sens!H1358-1</f>
        <v>0.142821360462381</v>
      </c>
      <c r="J1359" s="7" t="n">
        <f aca="false">Sens!J1358/Sens!I1358-1</f>
        <v>0.0996133540769177</v>
      </c>
      <c r="K1359" s="7" t="n">
        <f aca="false">Sens!K1358/Sens!J1358-1</f>
        <v>0.0711489886922767</v>
      </c>
    </row>
    <row r="1360" customFormat="false" ht="17.15" hidden="false" customHeight="false" outlineLevel="0" collapsed="false">
      <c r="A1360" s="26" t="s">
        <v>1057</v>
      </c>
      <c r="B1360" s="31" t="s">
        <v>98</v>
      </c>
      <c r="C1360" s="31"/>
      <c r="D1360" s="27" t="n">
        <f aca="false">(Sens!D1353+Sens!D1357-Sens!D1358)+(Sens!D1345+Sens!D1346-Sens!D1344)+(Sens!D1348+Sens!D1349-Sens!D1347)+(Sens!D1358-Q!L18)</f>
        <v>0</v>
      </c>
      <c r="E1360" s="27" t="n">
        <f aca="false">(Sens!E1353+Sens!E1357-Sens!E1358)+(Sens!E1345+Sens!E1346-Sens!E1344)+(Sens!E1348+Sens!E1349-Sens!E1347)+(Sens!E1358-Q!M18)</f>
        <v>0</v>
      </c>
      <c r="F1360" s="27" t="n">
        <f aca="false">(Sens!F1353+Sens!F1357-Sens!F1358)+(Sens!F1345+Sens!F1346-Sens!F1344)+(Sens!F1348+Sens!F1349-Sens!F1347)</f>
        <v>0</v>
      </c>
      <c r="G1360" s="27" t="n">
        <f aca="false">(Sens!G1353+Sens!G1357-Sens!G1358)+(Sens!G1345+Sens!G1346-Sens!G1344)+(Sens!G1348+Sens!G1349-Sens!G1347)</f>
        <v>0</v>
      </c>
      <c r="H1360" s="27" t="n">
        <f aca="false">(Sens!H1353+Sens!H1357-Sens!H1358)+(Sens!H1345+Sens!H1346-Sens!H1344)+(Sens!H1348+Sens!H1349-Sens!H1347)</f>
        <v>0</v>
      </c>
      <c r="I1360" s="27" t="n">
        <f aca="false">(Sens!I1353+Sens!I1357-Sens!I1358)+(Sens!I1345+Sens!I1346-Sens!I1344)+(Sens!I1348+Sens!I1349-Sens!I1347)</f>
        <v>0</v>
      </c>
      <c r="J1360" s="27" t="n">
        <f aca="false">(Sens!J1353+Sens!J1357-Sens!J1358)+(Sens!J1345+Sens!J1346-Sens!J1344)+(Sens!J1348+Sens!J1349-Sens!J1347)</f>
        <v>0</v>
      </c>
      <c r="K1360" s="27" t="n">
        <f aca="false">(Sens!K1353+Sens!K1357-Sens!K1358)+(Sens!K1345+Sens!K1346-Sens!K1344)+(Sens!K1348+Sens!K1349-Sens!K1347)</f>
        <v>0</v>
      </c>
    </row>
    <row r="1361" customFormat="false" ht="17.15" hidden="false" customHeight="false" outlineLevel="0" collapsed="false">
      <c r="A1361" s="0" t="s">
        <v>1058</v>
      </c>
      <c r="B1361" s="0" t="s">
        <v>168</v>
      </c>
      <c r="E1361" s="7" t="n">
        <f aca="false">(Q!M21+Sens!E1297+Sens!E1298+Sens!E1299+Sens!E1313-Sens!E1295)/(Q!M5-Sens!E1295)</f>
        <v>0.570957350878296</v>
      </c>
      <c r="F1361" s="7" t="n">
        <f aca="false">Sens!$E$1361+dm_seg</f>
        <v>0.570957350878296</v>
      </c>
      <c r="G1361" s="7" t="n">
        <f aca="false">Sens!$E$1361+dm_seg</f>
        <v>0.570957350878296</v>
      </c>
      <c r="H1361" s="7" t="n">
        <f aca="false">Sens!$E$1361+dm_seg</f>
        <v>0.570957350878296</v>
      </c>
      <c r="I1361" s="7" t="n">
        <f aca="false">Sens!$E$1361+dm_seg</f>
        <v>0.570957350878296</v>
      </c>
      <c r="J1361" s="7" t="n">
        <f aca="false">Sens!$E$1361+dm_seg</f>
        <v>0.570957350878296</v>
      </c>
      <c r="K1361" s="7" t="n">
        <f aca="false">Sens!$E$1361+dm_seg</f>
        <v>0.570957350878296</v>
      </c>
      <c r="L1361" s="12" t="s">
        <v>1059</v>
      </c>
    </row>
    <row r="1362" customFormat="false" ht="17.15" hidden="false" customHeight="false" outlineLevel="0" collapsed="false">
      <c r="A1362" s="0" t="s">
        <v>880</v>
      </c>
      <c r="B1362" s="0" t="s">
        <v>98</v>
      </c>
      <c r="D1362" s="6" t="n">
        <f aca="false">Q!L21</f>
        <v>110.814</v>
      </c>
      <c r="E1362" s="6" t="n">
        <f aca="false">Q!M21</f>
        <v>136.365</v>
      </c>
      <c r="F1362" s="6" t="n">
        <f aca="false">Q!$I$21+(Sens!F1361*(Sens!F1332-Sens!F1295)+Sens!F1295-(Sens!F1297+Sens!F1298+Sens!F1299)-Sens!F1313-Sens!F1396)*(Sens!F1332-Q!$I$5)/Sens!F1332</f>
        <v>172.253257597124</v>
      </c>
      <c r="G1362" s="6" t="n">
        <f aca="false">(Sens!G1361*(Sens!G1332-Sens!G1295)+Sens!G1295-(Sens!G1297+Sens!G1298+Sens!G1299)-Sens!G1313-Sens!G1396)</f>
        <v>205.684150713882</v>
      </c>
      <c r="H1362" s="6" t="n">
        <f aca="false">(Sens!H1361*(Sens!H1332-Sens!H1295)+Sens!H1295-(Sens!H1297+Sens!H1298+Sens!H1299)-Sens!H1313-Sens!H1396)</f>
        <v>247.284059053266</v>
      </c>
      <c r="I1362" s="6" t="n">
        <f aca="false">(Sens!I1361*(Sens!I1332-Sens!I1295)+Sens!I1295-(Sens!I1297+Sens!I1298+Sens!I1299)-Sens!I1313-Sens!I1396)</f>
        <v>278.779296820441</v>
      </c>
      <c r="J1362" s="6" t="n">
        <f aca="false">(Sens!J1361*(Sens!J1332-Sens!J1295)+Sens!J1295-(Sens!J1297+Sens!J1298+Sens!J1299)-Sens!J1313-Sens!J1396)</f>
        <v>304.912194384977</v>
      </c>
      <c r="K1362" s="6" t="n">
        <f aca="false">(Sens!K1361*(Sens!K1332-Sens!K1295)+Sens!K1295-(Sens!K1297+Sens!K1298+Sens!K1299)-Sens!K1313-Sens!K1396)</f>
        <v>327.285481177264</v>
      </c>
      <c r="L1362" s="1" t="s">
        <v>1060</v>
      </c>
    </row>
    <row r="1363" customFormat="false" ht="17.15" hidden="false" customHeight="false" outlineLevel="0" collapsed="false">
      <c r="A1363" s="0" t="s">
        <v>1061</v>
      </c>
      <c r="B1363" s="0" t="s">
        <v>168</v>
      </c>
      <c r="E1363" s="7" t="n">
        <f aca="false">Q!M22/Q!M12</f>
        <v>0.296207935710698</v>
      </c>
      <c r="F1363" s="7" t="n">
        <f aca="false">Sens!$E$1363+dm_seg</f>
        <v>0.296207935710698</v>
      </c>
      <c r="G1363" s="7" t="n">
        <f aca="false">Sens!$E$1363+dm_seg</f>
        <v>0.296207935710698</v>
      </c>
      <c r="H1363" s="7" t="n">
        <f aca="false">Sens!$E$1363+dm_seg</f>
        <v>0.296207935710698</v>
      </c>
      <c r="I1363" s="7" t="n">
        <f aca="false">Sens!$E$1363+dm_seg</f>
        <v>0.296207935710698</v>
      </c>
      <c r="J1363" s="7" t="n">
        <f aca="false">Sens!$E$1363+dm_seg</f>
        <v>0.296207935710698</v>
      </c>
      <c r="K1363" s="7" t="n">
        <f aca="false">Sens!$E$1363+dm_seg</f>
        <v>0.296207935710698</v>
      </c>
      <c r="L1363" s="12" t="s">
        <v>1062</v>
      </c>
    </row>
    <row r="1364" customFormat="false" ht="17.15" hidden="false" customHeight="false" outlineLevel="0" collapsed="false">
      <c r="A1364" s="0" t="s">
        <v>882</v>
      </c>
      <c r="B1364" s="0" t="s">
        <v>98</v>
      </c>
      <c r="D1364" s="6" t="n">
        <f aca="false">Q!L22</f>
        <v>17.714</v>
      </c>
      <c r="E1364" s="6" t="n">
        <f aca="false">Q!M22</f>
        <v>18.872</v>
      </c>
      <c r="F1364" s="6" t="n">
        <f aca="false">Q!$I$22+(Sens!F1339-Q!$I$12)*Sens!F1363</f>
        <v>19.8174315512051</v>
      </c>
      <c r="G1364" s="6" t="n">
        <f aca="false">Sens!G1339*Sens!G1363</f>
        <v>19.6313799703815</v>
      </c>
      <c r="H1364" s="6" t="n">
        <f aca="false">Sens!H1339*Sens!H1363</f>
        <v>20.3536242825865</v>
      </c>
      <c r="I1364" s="6" t="n">
        <f aca="false">Sens!I1339*Sens!I1363</f>
        <v>21.1920899239745</v>
      </c>
      <c r="J1364" s="6" t="n">
        <f aca="false">Sens!J1339*Sens!J1363</f>
        <v>22.1288166207045</v>
      </c>
      <c r="K1364" s="6" t="n">
        <f aca="false">Sens!K1339*Sens!K1363</f>
        <v>23.1493653905379</v>
      </c>
      <c r="L1364" s="12" t="s">
        <v>1063</v>
      </c>
    </row>
    <row r="1365" customFormat="false" ht="15" hidden="false" customHeight="false" outlineLevel="0" collapsed="false">
      <c r="A1365" s="1" t="s">
        <v>1064</v>
      </c>
      <c r="B1365" s="0" t="s">
        <v>98</v>
      </c>
      <c r="D1365" s="6" t="n">
        <f aca="false">Sens!D1362+Sens!D1364</f>
        <v>128.528</v>
      </c>
      <c r="E1365" s="6" t="n">
        <f aca="false">Sens!E1362+Sens!E1364</f>
        <v>155.237</v>
      </c>
      <c r="F1365" s="6" t="n">
        <f aca="false">Sens!F1362+Sens!F1364</f>
        <v>192.070689148329</v>
      </c>
      <c r="G1365" s="6" t="n">
        <f aca="false">Sens!G1362+Sens!G1364</f>
        <v>225.315530684263</v>
      </c>
      <c r="H1365" s="6" t="n">
        <f aca="false">Sens!H1362+Sens!H1364</f>
        <v>267.637683335852</v>
      </c>
      <c r="I1365" s="6" t="n">
        <f aca="false">Sens!I1362+Sens!I1364</f>
        <v>299.971386744416</v>
      </c>
      <c r="J1365" s="6" t="n">
        <f aca="false">Sens!J1362+Sens!J1364</f>
        <v>327.041011005682</v>
      </c>
      <c r="K1365" s="6" t="n">
        <f aca="false">Sens!K1362+Sens!K1364</f>
        <v>350.434846567802</v>
      </c>
    </row>
    <row r="1366" customFormat="false" ht="15" hidden="false" customHeight="false" outlineLevel="0" collapsed="false">
      <c r="A1366" s="26" t="s">
        <v>1065</v>
      </c>
      <c r="B1366" s="31" t="s">
        <v>98</v>
      </c>
      <c r="C1366" s="31"/>
      <c r="D1366" s="27" t="n">
        <f aca="false">Sens!D1365-Q!L23</f>
        <v>0</v>
      </c>
      <c r="E1366" s="27" t="n">
        <f aca="false">Sens!E1365-Q!M23</f>
        <v>0</v>
      </c>
      <c r="F1366" s="31"/>
      <c r="G1366" s="31"/>
      <c r="H1366" s="31"/>
      <c r="I1366" s="31"/>
      <c r="J1366" s="31"/>
      <c r="K1366" s="31"/>
    </row>
    <row r="1367" customFormat="false" ht="15" hidden="false" customHeight="false" outlineLevel="0" collapsed="false">
      <c r="A1367" s="1" t="s">
        <v>1066</v>
      </c>
      <c r="B1367" s="0" t="s">
        <v>168</v>
      </c>
      <c r="D1367" s="7" t="n">
        <f aca="false">Sens!D1365/Sens!D1358</f>
        <v>0.456219562408598</v>
      </c>
      <c r="E1367" s="7" t="n">
        <f aca="false">Sens!E1365/Sens!E1358</f>
        <v>0.467808184089272</v>
      </c>
      <c r="F1367" s="7" t="n">
        <f aca="false">Sens!F1365/Sens!F1358</f>
        <v>0.468469649166112</v>
      </c>
      <c r="G1367" s="7" t="n">
        <f aca="false">Sens!G1365/Sens!G1358</f>
        <v>0.446179571495291</v>
      </c>
      <c r="H1367" s="7" t="n">
        <f aca="false">Sens!H1365/Sens!H1358</f>
        <v>0.44042417324537</v>
      </c>
      <c r="I1367" s="7" t="n">
        <f aca="false">Sens!I1365/Sens!I1358</f>
        <v>0.431941932934465</v>
      </c>
      <c r="J1367" s="7" t="n">
        <f aca="false">Sens!J1365/Sens!J1358</f>
        <v>0.42826023193314</v>
      </c>
      <c r="K1367" s="7" t="n">
        <f aca="false">Sens!K1365/Sens!K1358</f>
        <v>0.428413289328117</v>
      </c>
    </row>
    <row r="1368" customFormat="false" ht="17.15" hidden="false" customHeight="false" outlineLevel="0" collapsed="false">
      <c r="A1368" s="1" t="s">
        <v>1067</v>
      </c>
      <c r="B1368" s="0" t="s">
        <v>98</v>
      </c>
      <c r="F1368" s="6" t="n">
        <f aca="false">Sens!F1383</f>
        <v>8.88340674531245</v>
      </c>
      <c r="G1368" s="6" t="n">
        <f aca="false">Sens!G1383</f>
        <v>22.7060305170273</v>
      </c>
      <c r="H1368" s="6" t="n">
        <f aca="false">Sens!H1383</f>
        <v>38.0018452382075</v>
      </c>
      <c r="I1368" s="6" t="n">
        <f aca="false">Sens!I1383</f>
        <v>52.1381094705177</v>
      </c>
      <c r="J1368" s="6" t="n">
        <f aca="false">Sens!J1383</f>
        <v>62.0595818934393</v>
      </c>
      <c r="K1368" s="6" t="n">
        <f aca="false">Sens!K1383</f>
        <v>67.0801312706266</v>
      </c>
      <c r="L1368" s="1" t="s">
        <v>1068</v>
      </c>
    </row>
    <row r="1369" customFormat="false" ht="17.15" hidden="false" customHeight="false" outlineLevel="0" collapsed="false">
      <c r="A1369" s="1" t="s">
        <v>1069</v>
      </c>
      <c r="B1369" s="0" t="s">
        <v>98</v>
      </c>
      <c r="D1369" s="6" t="n">
        <f aca="false">Sens!D1365</f>
        <v>128.528</v>
      </c>
      <c r="E1369" s="6" t="n">
        <f aca="false">Sens!E1365</f>
        <v>155.237</v>
      </c>
      <c r="F1369" s="6" t="n">
        <f aca="false">Sens!F1365+Sens!F1368</f>
        <v>200.954095893641</v>
      </c>
      <c r="G1369" s="6" t="n">
        <f aca="false">Sens!G1365+Sens!G1368</f>
        <v>248.02156120129</v>
      </c>
      <c r="H1369" s="6" t="n">
        <f aca="false">Sens!H1365+Sens!H1368</f>
        <v>305.63952857406</v>
      </c>
      <c r="I1369" s="6" t="n">
        <f aca="false">Sens!I1365+Sens!I1368</f>
        <v>352.109496214934</v>
      </c>
      <c r="J1369" s="6" t="n">
        <f aca="false">Sens!J1365+Sens!J1368</f>
        <v>389.100592899121</v>
      </c>
      <c r="K1369" s="6" t="n">
        <f aca="false">Sens!K1365+Sens!K1368</f>
        <v>417.514977838429</v>
      </c>
    </row>
    <row r="1370" customFormat="false" ht="17.15" hidden="false" customHeight="false" outlineLevel="0" collapsed="false">
      <c r="A1370" s="1" t="s">
        <v>1070</v>
      </c>
      <c r="B1370" s="0" t="s">
        <v>98</v>
      </c>
      <c r="E1370" s="6" t="n">
        <f aca="false">Sens!E1313</f>
        <v>16.3054059770833</v>
      </c>
      <c r="F1370" s="6" t="n">
        <f aca="false">Sens!F1313</f>
        <v>34.5793144783516</v>
      </c>
      <c r="G1370" s="6" t="n">
        <f aca="false">Sens!G1313</f>
        <v>60.7344906522989</v>
      </c>
      <c r="H1370" s="6" t="n">
        <f aca="false">Sens!H1313</f>
        <v>89.1000906614457</v>
      </c>
      <c r="I1370" s="6" t="n">
        <f aca="false">Sens!I1313</f>
        <v>114.231009694548</v>
      </c>
      <c r="J1370" s="6" t="n">
        <f aca="false">Sens!J1313</f>
        <v>132.015673049596</v>
      </c>
      <c r="K1370" s="6" t="n">
        <f aca="false">Sens!K1313</f>
        <v>143.012669550934</v>
      </c>
    </row>
    <row r="1371" customFormat="false" ht="17.15" hidden="false" customHeight="false" outlineLevel="0" collapsed="false">
      <c r="A1371" s="1" t="s">
        <v>1071</v>
      </c>
      <c r="B1371" s="0" t="s">
        <v>98</v>
      </c>
      <c r="E1371" s="6" t="n">
        <f aca="false">Sens!E1395</f>
        <v>22.2285940229167</v>
      </c>
      <c r="F1371" s="6" t="n">
        <f aca="false">Sens!F1395</f>
        <v>23.580344216413</v>
      </c>
      <c r="G1371" s="6" t="n">
        <f aca="false">Sens!G1395</f>
        <v>25.3338814910863</v>
      </c>
      <c r="H1371" s="6" t="n">
        <f aca="false">Sens!H1395</f>
        <v>27.5011167658533</v>
      </c>
      <c r="I1371" s="6" t="n">
        <f aca="false">Sens!I1395</f>
        <v>30.0062134127235</v>
      </c>
      <c r="J1371" s="6" t="n">
        <f aca="false">Sens!J1395</f>
        <v>32.7580128824735</v>
      </c>
      <c r="K1371" s="6" t="n">
        <f aca="false">Sens!K1395</f>
        <v>35.6733079392113</v>
      </c>
    </row>
    <row r="1372" customFormat="false" ht="17.15" hidden="false" customHeight="false" outlineLevel="0" collapsed="false">
      <c r="A1372" s="1" t="s">
        <v>1072</v>
      </c>
      <c r="B1372" s="0" t="s">
        <v>98</v>
      </c>
      <c r="D1372" s="6" t="n">
        <f aca="false">Q!L27</f>
        <v>-4.901</v>
      </c>
      <c r="E1372" s="6" t="n">
        <f aca="false">Q!M27</f>
        <v>10.697</v>
      </c>
      <c r="F1372" s="6" t="n">
        <f aca="false">Q!$I$27+oie_f*(q_per_yr-1)/q_per_yr</f>
        <v>-0.862</v>
      </c>
      <c r="G1372" s="6" t="n">
        <f aca="false">oie_f</f>
        <v>-1.2</v>
      </c>
      <c r="H1372" s="6" t="n">
        <f aca="false">oie_f</f>
        <v>-1.2</v>
      </c>
      <c r="I1372" s="6" t="n">
        <f aca="false">oie_f</f>
        <v>-1.2</v>
      </c>
      <c r="J1372" s="6" t="n">
        <f aca="false">oie_f</f>
        <v>-1.2</v>
      </c>
      <c r="K1372" s="6" t="n">
        <f aca="false">oie_f</f>
        <v>-1.2</v>
      </c>
      <c r="L1372" s="12" t="s">
        <v>1073</v>
      </c>
    </row>
    <row r="1373" customFormat="false" ht="15" hidden="false" customHeight="false" outlineLevel="0" collapsed="false">
      <c r="A1373" s="1" t="s">
        <v>1074</v>
      </c>
      <c r="B1373" s="0" t="s">
        <v>98</v>
      </c>
      <c r="D1373" s="6" t="n">
        <f aca="false">Sens!D1365+Sens!D1372</f>
        <v>123.627</v>
      </c>
      <c r="E1373" s="6" t="n">
        <f aca="false">Sens!E1365+Sens!E1372</f>
        <v>165.934</v>
      </c>
      <c r="F1373" s="6" t="n">
        <f aca="false">Sens!F1365+Sens!F1372</f>
        <v>191.208689148329</v>
      </c>
      <c r="G1373" s="6" t="n">
        <f aca="false">Sens!G1365+Sens!G1372</f>
        <v>224.115530684263</v>
      </c>
      <c r="H1373" s="6" t="n">
        <f aca="false">Sens!H1365+Sens!H1372</f>
        <v>266.437683335852</v>
      </c>
      <c r="I1373" s="6" t="n">
        <f aca="false">Sens!I1365+Sens!I1372</f>
        <v>298.771386744416</v>
      </c>
      <c r="J1373" s="6" t="n">
        <f aca="false">Sens!J1365+Sens!J1372</f>
        <v>325.841011005682</v>
      </c>
      <c r="K1373" s="6" t="n">
        <f aca="false">Sens!K1365+Sens!K1372</f>
        <v>349.234846567802</v>
      </c>
    </row>
    <row r="1374" customFormat="false" ht="15" hidden="false" customHeight="false" outlineLevel="0" collapsed="false">
      <c r="A1374" s="1" t="s">
        <v>1075</v>
      </c>
      <c r="B1374" s="0" t="s">
        <v>98</v>
      </c>
      <c r="D1374" s="6" t="n">
        <f aca="false">Q!L29</f>
        <v>21.795</v>
      </c>
      <c r="E1374" s="6" t="n">
        <f aca="false">Q!M29</f>
        <v>32.185</v>
      </c>
      <c r="F1374" s="6" t="n">
        <f aca="false">Q!$I$29+(Sens!F1373-Q!$I$28)*tax_f</f>
        <v>38.3751378296657</v>
      </c>
      <c r="G1374" s="6" t="n">
        <f aca="false">Sens!G1373*tax_f</f>
        <v>44.8231061368526</v>
      </c>
      <c r="H1374" s="6" t="n">
        <f aca="false">Sens!H1373*tax_f</f>
        <v>53.2875366671705</v>
      </c>
      <c r="I1374" s="6" t="n">
        <f aca="false">Sens!I1373*tax_f</f>
        <v>59.7542773488832</v>
      </c>
      <c r="J1374" s="6" t="n">
        <f aca="false">Sens!J1373*tax_f</f>
        <v>65.1682022011364</v>
      </c>
      <c r="K1374" s="6" t="n">
        <f aca="false">Sens!K1373*tax_f</f>
        <v>69.8469693135604</v>
      </c>
    </row>
    <row r="1375" customFormat="false" ht="15" hidden="false" customHeight="false" outlineLevel="0" collapsed="false">
      <c r="A1375" s="1" t="s">
        <v>1076</v>
      </c>
      <c r="B1375" s="0" t="s">
        <v>98</v>
      </c>
      <c r="D1375" s="6" t="n">
        <f aca="false">Sens!D1373-Sens!D1374</f>
        <v>101.832</v>
      </c>
      <c r="E1375" s="6" t="n">
        <f aca="false">Sens!E1373-Sens!E1374</f>
        <v>133.749</v>
      </c>
      <c r="F1375" s="6" t="n">
        <f aca="false">Sens!F1373-Sens!F1374</f>
        <v>152.833551318663</v>
      </c>
      <c r="G1375" s="6" t="n">
        <f aca="false">Sens!G1373-Sens!G1374</f>
        <v>179.29242454741</v>
      </c>
      <c r="H1375" s="6" t="n">
        <f aca="false">Sens!H1373-Sens!H1374</f>
        <v>213.150146668682</v>
      </c>
      <c r="I1375" s="6" t="n">
        <f aca="false">Sens!I1373-Sens!I1374</f>
        <v>239.017109395533</v>
      </c>
      <c r="J1375" s="6" t="n">
        <f aca="false">Sens!J1373-Sens!J1374</f>
        <v>260.672808804545</v>
      </c>
      <c r="K1375" s="6" t="n">
        <f aca="false">Sens!K1373-Sens!K1374</f>
        <v>279.387877254242</v>
      </c>
    </row>
    <row r="1376" customFormat="false" ht="17.15" hidden="false" customHeight="false" outlineLevel="0" collapsed="false">
      <c r="A1376" s="1" t="s">
        <v>1077</v>
      </c>
      <c r="B1376" s="1" t="s">
        <v>81</v>
      </c>
      <c r="D1376" s="15" t="n">
        <f aca="false">Q!L31</f>
        <v>7.465</v>
      </c>
      <c r="E1376" s="15" t="n">
        <f aca="false">Q!M31</f>
        <v>7.453</v>
      </c>
      <c r="F1376" s="15" t="n">
        <f aca="false">Sens!F1420</f>
        <v>7.46551700408364</v>
      </c>
      <c r="G1376" s="15" t="n">
        <f aca="false">Sens!G1420</f>
        <v>7.48936822526044</v>
      </c>
      <c r="H1376" s="15" t="n">
        <f aca="false">Sens!H1420</f>
        <v>7.50390238138241</v>
      </c>
      <c r="I1376" s="15" t="n">
        <f aca="false">Sens!I1420</f>
        <v>7.51558374543788</v>
      </c>
      <c r="J1376" s="15" t="n">
        <f aca="false">Sens!J1420</f>
        <v>7.52973315660035</v>
      </c>
      <c r="K1376" s="15" t="n">
        <f aca="false">Sens!K1420</f>
        <v>7.5461677965656</v>
      </c>
    </row>
    <row r="1377" customFormat="false" ht="17.15" hidden="false" customHeight="false" outlineLevel="0" collapsed="false">
      <c r="A1377" s="0" t="s">
        <v>1078</v>
      </c>
      <c r="B1377" s="0" t="s">
        <v>75</v>
      </c>
      <c r="D1377" s="8" t="n">
        <f aca="false">Sens!D1375/Sens!D1376</f>
        <v>13.641259209645</v>
      </c>
      <c r="E1377" s="8" t="n">
        <f aca="false">Sens!E1375/Sens!E1376</f>
        <v>17.9456594659869</v>
      </c>
      <c r="F1377" s="8" t="n">
        <f aca="false">Sens!F1375/Sens!F1376</f>
        <v>20.4719313123342</v>
      </c>
      <c r="G1377" s="8" t="n">
        <f aca="false">Sens!G1375/Sens!G1376</f>
        <v>23.9395926538484</v>
      </c>
      <c r="H1377" s="8" t="n">
        <f aca="false">Sens!H1375/Sens!H1376</f>
        <v>28.4052398119569</v>
      </c>
      <c r="I1377" s="8" t="n">
        <f aca="false">Sens!I1375/Sens!I1376</f>
        <v>31.8028668818468</v>
      </c>
      <c r="J1377" s="8" t="n">
        <f aca="false">Sens!J1375/Sens!J1376</f>
        <v>34.6191297066148</v>
      </c>
      <c r="K1377" s="8" t="n">
        <f aca="false">Sens!K1375/Sens!K1376</f>
        <v>37.023809274609</v>
      </c>
      <c r="L1377" s="1" t="s">
        <v>1079</v>
      </c>
    </row>
    <row r="1378" customFormat="false" ht="17.15" hidden="false" customHeight="false" outlineLevel="0" collapsed="false">
      <c r="A1378" s="1" t="s">
        <v>1080</v>
      </c>
      <c r="B1378" s="0" t="s">
        <v>98</v>
      </c>
      <c r="D1378" s="6" t="n">
        <f aca="false">Sens!D1375</f>
        <v>101.832</v>
      </c>
      <c r="E1378" s="6" t="n">
        <f aca="false">Sens!E1375</f>
        <v>133.749</v>
      </c>
      <c r="F1378" s="6" t="n">
        <f aca="false">Sens!F1375+Sens!F1368*(1-tax_f)</f>
        <v>159.940276714913</v>
      </c>
      <c r="G1378" s="6" t="n">
        <f aca="false">Sens!G1375+Sens!G1368*(1-tax_f)</f>
        <v>197.457248961032</v>
      </c>
      <c r="H1378" s="6" t="n">
        <f aca="false">Sens!H1375+Sens!H1368*(1-tax_f)</f>
        <v>243.551622859248</v>
      </c>
      <c r="I1378" s="6" t="n">
        <f aca="false">Sens!I1375+Sens!I1368*(1-tax_f)</f>
        <v>280.727596971947</v>
      </c>
      <c r="J1378" s="6" t="n">
        <f aca="false">Sens!J1375+Sens!J1368*(1-tax_f)</f>
        <v>310.320474319297</v>
      </c>
      <c r="K1378" s="6" t="n">
        <f aca="false">Sens!K1375+Sens!K1368*(1-tax_f)</f>
        <v>333.051982270743</v>
      </c>
    </row>
    <row r="1379" customFormat="false" ht="17.15" hidden="false" customHeight="false" outlineLevel="0" collapsed="false">
      <c r="A1379" s="0" t="s">
        <v>1081</v>
      </c>
      <c r="B1379" s="0" t="s">
        <v>75</v>
      </c>
      <c r="D1379" s="8" t="n">
        <f aca="false">Sens!D1378/Sens!D1376</f>
        <v>13.641259209645</v>
      </c>
      <c r="E1379" s="8" t="n">
        <f aca="false">Sens!E1378/Sens!E1376</f>
        <v>17.9456594659869</v>
      </c>
      <c r="F1379" s="8" t="n">
        <f aca="false">Sens!F1378/Sens!F1376</f>
        <v>21.4238714649535</v>
      </c>
      <c r="G1379" s="8" t="n">
        <f aca="false">Sens!G1378/Sens!G1376</f>
        <v>26.3650074374819</v>
      </c>
      <c r="H1379" s="8" t="n">
        <f aca="false">Sens!H1378/Sens!H1376</f>
        <v>32.4566619447919</v>
      </c>
      <c r="I1379" s="8" t="n">
        <f aca="false">Sens!I1378/Sens!I1376</f>
        <v>37.3527335308258</v>
      </c>
      <c r="J1379" s="8" t="n">
        <f aca="false">Sens!J1378/Sens!J1376</f>
        <v>41.2126788380646</v>
      </c>
      <c r="K1379" s="8" t="n">
        <f aca="false">Sens!K1378/Sens!K1376</f>
        <v>44.1352473532753</v>
      </c>
      <c r="L1379" s="1" t="s">
        <v>1082</v>
      </c>
    </row>
    <row r="1380" customFormat="false" ht="17.15" hidden="false" customHeight="false" outlineLevel="0" collapsed="false">
      <c r="A1380" s="0" t="s">
        <v>1083</v>
      </c>
      <c r="B1380" s="0" t="s">
        <v>168</v>
      </c>
      <c r="E1380" s="7" t="n">
        <f aca="false">Sens!E1379/Sens!D1379-1</f>
        <v>0.315542736208578</v>
      </c>
      <c r="F1380" s="7" t="n">
        <f aca="false">Sens!F1379/Sens!E1379-1</f>
        <v>0.193819124092881</v>
      </c>
      <c r="G1380" s="7" t="n">
        <f aca="false">Sens!G1379/Sens!F1379-1</f>
        <v>0.23063693136002</v>
      </c>
      <c r="H1380" s="7" t="n">
        <f aca="false">Sens!H1379/Sens!G1379-1</f>
        <v>0.231050741091382</v>
      </c>
      <c r="I1380" s="7" t="n">
        <f aca="false">Sens!I1379/Sens!H1379-1</f>
        <v>0.150849511091498</v>
      </c>
      <c r="J1380" s="7" t="n">
        <f aca="false">Sens!J1379/Sens!I1379-1</f>
        <v>0.10333769291753</v>
      </c>
      <c r="K1380" s="7" t="n">
        <f aca="false">Sens!K1379/Sens!J1379-1</f>
        <v>0.0709143059274098</v>
      </c>
    </row>
    <row r="1381" customFormat="false" ht="17.15" hidden="false" customHeight="false" outlineLevel="0" collapsed="false">
      <c r="A1381" s="0" t="s">
        <v>1003</v>
      </c>
      <c r="B1381" s="0" t="s">
        <v>98</v>
      </c>
      <c r="E1381" s="6" t="n">
        <f aca="false">Sens!E1322</f>
        <v>5.25</v>
      </c>
      <c r="F1381" s="6" t="n">
        <f aca="false">Sens!F1322</f>
        <v>13.5</v>
      </c>
      <c r="G1381" s="6" t="n">
        <f aca="false">Sens!G1322</f>
        <v>22.5</v>
      </c>
      <c r="H1381" s="6" t="n">
        <f aca="false">Sens!H1322</f>
        <v>31.5</v>
      </c>
      <c r="I1381" s="6" t="n">
        <f aca="false">Sens!I1322</f>
        <v>38.25</v>
      </c>
      <c r="J1381" s="6" t="n">
        <f aca="false">Sens!J1322</f>
        <v>42.75</v>
      </c>
      <c r="K1381" s="6" t="n">
        <f aca="false">Sens!K1322</f>
        <v>47.25</v>
      </c>
    </row>
    <row r="1382" customFormat="false" ht="17.15" hidden="false" customHeight="false" outlineLevel="0" collapsed="false">
      <c r="A1382" s="1" t="s">
        <v>1004</v>
      </c>
      <c r="B1382" s="0" t="s">
        <v>98</v>
      </c>
      <c r="F1382" s="6" t="n">
        <f aca="false">MAX(0,((Sens!E1282+Sens!F1282)/2-(shadow_base*(Sens!$D$1282+Sens!$E$1282)/2+(1-shadow_base)*Sens!$E$1282))*Sens!F1291/1000-(Sens!F1381-Sens!$E$1381)*Sens!F1361)</f>
        <v>8.88340674531245</v>
      </c>
      <c r="G1382" s="6" t="n">
        <f aca="false">MAX(0,((Sens!F1282+Sens!G1282)/2-(shadow_base*(Sens!$D$1282+Sens!$E$1282)/2+(1-shadow_base)*Sens!$E$1282))*Sens!G1291/1000-(Sens!G1381-Sens!$E$1381)*Sens!G1361)</f>
        <v>22.7060305170273</v>
      </c>
      <c r="H1382" s="6" t="n">
        <f aca="false">MAX(0,((Sens!G1282+Sens!H1282)/2-(shadow_base*(Sens!$D$1282+Sens!$E$1282)/2+(1-shadow_base)*Sens!$E$1282))*Sens!H1291/1000-(Sens!H1381-Sens!$E$1381)*Sens!H1361)</f>
        <v>38.0018452382075</v>
      </c>
      <c r="I1382" s="6" t="n">
        <f aca="false">MAX(0,((Sens!H1282+Sens!I1282)/2-(shadow_base*(Sens!$D$1282+Sens!$E$1282)/2+(1-shadow_base)*Sens!$E$1282))*Sens!I1291/1000-(Sens!I1381-Sens!$E$1381)*Sens!I1361)</f>
        <v>52.1381094705177</v>
      </c>
      <c r="J1382" s="6" t="n">
        <f aca="false">MAX(0,((Sens!I1282+Sens!J1282)/2-(shadow_base*(Sens!$D$1282+Sens!$E$1282)/2+(1-shadow_base)*Sens!$E$1282))*Sens!J1291/1000-(Sens!J1381-Sens!$E$1381)*Sens!J1361)</f>
        <v>62.0595818934393</v>
      </c>
      <c r="K1382" s="6" t="n">
        <f aca="false">MAX(0,((Sens!J1282+Sens!K1282)/2-(shadow_base*(Sens!$D$1282+Sens!$E$1282)/2+(1-shadow_base)*Sens!$E$1282))*Sens!K1291/1000-(Sens!K1381-Sens!$E$1381)*Sens!K1361)</f>
        <v>67.0801312706266</v>
      </c>
      <c r="L1382" s="1" t="s">
        <v>1005</v>
      </c>
    </row>
    <row r="1383" customFormat="false" ht="17.15" hidden="false" customHeight="false" outlineLevel="0" collapsed="false">
      <c r="A1383" s="1" t="s">
        <v>1006</v>
      </c>
      <c r="B1383" s="0" t="s">
        <v>98</v>
      </c>
      <c r="F1383" s="6" t="n">
        <f aca="false">IF(internal_ai_reading=2,1,0)*Sens!F1382</f>
        <v>8.88340674531245</v>
      </c>
      <c r="G1383" s="6" t="n">
        <f aca="false">IF(internal_ai_reading=2,1,0)*Sens!G1382</f>
        <v>22.7060305170273</v>
      </c>
      <c r="H1383" s="6" t="n">
        <f aca="false">IF(internal_ai_reading=2,1,0)*Sens!H1382</f>
        <v>38.0018452382075</v>
      </c>
      <c r="I1383" s="6" t="n">
        <f aca="false">IF(internal_ai_reading=2,1,0)*Sens!I1382</f>
        <v>52.1381094705177</v>
      </c>
      <c r="J1383" s="6" t="n">
        <f aca="false">IF(internal_ai_reading=2,1,0)*Sens!J1382</f>
        <v>62.0595818934393</v>
      </c>
      <c r="K1383" s="6" t="n">
        <f aca="false">IF(internal_ai_reading=2,1,0)*Sens!K1382</f>
        <v>67.0801312706266</v>
      </c>
    </row>
    <row r="1384" customFormat="false" ht="17.15" hidden="false" customHeight="false" outlineLevel="0" collapsed="false">
      <c r="A1384" s="0" t="s">
        <v>1007</v>
      </c>
      <c r="B1384" s="0" t="s">
        <v>98</v>
      </c>
      <c r="F1384" s="6" t="n">
        <f aca="false">Sens!F1301+Sens!F1381*Sens!F1361+Sens!F1383-Sens!F1302-Sens!F1313</f>
        <v>27.3723803000543</v>
      </c>
      <c r="G1384" s="6" t="n">
        <f aca="false">Sens!G1301+Sens!G1381*Sens!G1361+Sens!G1383-Sens!G1302-Sens!G1313</f>
        <v>58.716111316659</v>
      </c>
      <c r="H1384" s="6" t="n">
        <f aca="false">Sens!H1301+Sens!H1381*Sens!H1361+Sens!H1383-Sens!H1302-Sens!H1313</f>
        <v>96.5751063544292</v>
      </c>
      <c r="I1384" s="6" t="n">
        <f aca="false">Sens!I1301+Sens!I1381*Sens!I1361+Sens!I1383-Sens!I1302-Sens!I1313</f>
        <v>123.650335341478</v>
      </c>
      <c r="J1384" s="6" t="n">
        <f aca="false">Sens!J1301+Sens!J1381*Sens!J1361+Sens!J1383-Sens!J1302-Sens!J1313</f>
        <v>142.368723513994</v>
      </c>
      <c r="K1384" s="6" t="n">
        <f aca="false">Sens!K1301+Sens!K1381*Sens!K1361+Sens!K1383-Sens!K1302-Sens!K1313</f>
        <v>154.412260217696</v>
      </c>
    </row>
    <row r="1385" customFormat="false" ht="17.15" hidden="false" customHeight="false" outlineLevel="0" collapsed="false">
      <c r="A1385" s="0" t="s">
        <v>1008</v>
      </c>
      <c r="B1385" s="0" t="s">
        <v>98</v>
      </c>
      <c r="E1385" s="6" t="n">
        <f aca="false">Sens!E1281*(cxit_open+self_build*tk_cxfac)/1000*ai_net_open</f>
        <v>126.6980382</v>
      </c>
      <c r="F1385" s="6" t="n">
        <f aca="false">Sens!E1385+Sens!F1310-Sens!F1313</f>
        <v>260.572627763768</v>
      </c>
      <c r="G1385" s="6" t="n">
        <f aca="false">Sens!F1385+Sens!G1310-Sens!G1313</f>
        <v>391.782612760517</v>
      </c>
      <c r="H1385" s="6" t="n">
        <f aca="false">Sens!G1385+Sens!H1310-Sens!H1313</f>
        <v>499.488526163584</v>
      </c>
      <c r="I1385" s="6" t="n">
        <f aca="false">Sens!H1385+Sens!I1310-Sens!I1313</f>
        <v>553.872350090646</v>
      </c>
      <c r="J1385" s="6" t="n">
        <f aca="false">Sens!I1385+Sens!J1310-Sens!J1313</f>
        <v>550.78660823699</v>
      </c>
      <c r="K1385" s="6" t="n">
        <f aca="false">Sens!J1385+Sens!K1310-Sens!K1313</f>
        <v>526.736791750789</v>
      </c>
      <c r="L1385" s="1" t="s">
        <v>1009</v>
      </c>
    </row>
    <row r="1386" customFormat="false" ht="17.15" hidden="false" customHeight="false" outlineLevel="0" collapsed="false">
      <c r="A1386" s="0" t="s">
        <v>1010</v>
      </c>
      <c r="B1386" s="0" t="s">
        <v>168</v>
      </c>
      <c r="F1386" s="7" t="n">
        <f aca="false">Sens!F1384*(1-tax_f)/((Sens!E1385+Sens!F1385)/2)</f>
        <v>0.113088370303225</v>
      </c>
      <c r="G1386" s="7" t="n">
        <f aca="false">Sens!G1384*(1-tax_f)/((Sens!F1385+Sens!G1385)/2)</f>
        <v>0.144010153166168</v>
      </c>
      <c r="H1386" s="7" t="n">
        <f aca="false">Sens!H1384*(1-tax_f)/((Sens!G1385+Sens!H1385)/2)</f>
        <v>0.173370552931419</v>
      </c>
      <c r="I1386" s="7" t="n">
        <f aca="false">Sens!I1384*(1-tax_f)/((Sens!H1385+Sens!I1385)/2)</f>
        <v>0.187818383050156</v>
      </c>
      <c r="J1386" s="7" t="n">
        <f aca="false">Sens!J1384*(1-tax_f)/((Sens!I1385+Sens!J1385)/2)</f>
        <v>0.206208401158713</v>
      </c>
      <c r="K1386" s="7" t="n">
        <f aca="false">Sens!K1384*(1-tax_f)/((Sens!J1385+Sens!K1385)/2)</f>
        <v>0.229284687786006</v>
      </c>
    </row>
    <row r="1387" customFormat="false" ht="17.15" hidden="false" customHeight="false" outlineLevel="0" collapsed="false">
      <c r="A1387" s="1" t="s">
        <v>1011</v>
      </c>
      <c r="B1387" s="0" t="s">
        <v>168</v>
      </c>
      <c r="F1387" s="7" t="n">
        <f aca="false">(Sens!F1384-Sens!F1383)*(1-tax_f)/((Sens!E1385+Sens!F1385)/2)</f>
        <v>0.0763867761942876</v>
      </c>
      <c r="G1387" s="7" t="n">
        <f aca="false">(Sens!G1384-Sens!G1383)*(1-tax_f)/((Sens!F1385+Sens!G1385)/2)</f>
        <v>0.0883201754202291</v>
      </c>
      <c r="H1387" s="7" t="n">
        <f aca="false">(Sens!H1384-Sens!H1383)*(1-tax_f)/((Sens!G1385+Sens!H1385)/2)</f>
        <v>0.105150064546111</v>
      </c>
      <c r="I1387" s="7" t="n">
        <f aca="false">(Sens!I1384-Sens!I1383)*(1-tax_f)/((Sens!H1385+Sens!I1385)/2)</f>
        <v>0.108623325560007</v>
      </c>
      <c r="J1387" s="7" t="n">
        <f aca="false">(Sens!J1384-Sens!J1383)*(1-tax_f)/((Sens!I1385+Sens!J1385)/2)</f>
        <v>0.116320630565852</v>
      </c>
      <c r="K1387" s="7" t="n">
        <f aca="false">(Sens!K1384-Sens!K1383)*(1-tax_f)/((Sens!J1385+Sens!K1385)/2)</f>
        <v>0.129678303336054</v>
      </c>
    </row>
    <row r="1388" customFormat="false" ht="17.15" hidden="false" customHeight="false" outlineLevel="0" collapsed="false">
      <c r="A1388" s="1" t="s">
        <v>1012</v>
      </c>
      <c r="B1388" s="0" t="s">
        <v>168</v>
      </c>
      <c r="F1388" s="7" t="n">
        <f aca="false">(Sens!F1384-Sens!F1383+Sens!F1382)*(1-tax_f)/((Sens!E1385+Sens!F1385)/2)</f>
        <v>0.113088370303225</v>
      </c>
      <c r="G1388" s="7" t="n">
        <f aca="false">(Sens!G1384-Sens!G1383+Sens!G1382)*(1-tax_f)/((Sens!F1385+Sens!G1385)/2)</f>
        <v>0.144010153166168</v>
      </c>
      <c r="H1388" s="7" t="n">
        <f aca="false">(Sens!H1384-Sens!H1383+Sens!H1382)*(1-tax_f)/((Sens!G1385+Sens!H1385)/2)</f>
        <v>0.173370552931419</v>
      </c>
      <c r="I1388" s="7" t="n">
        <f aca="false">(Sens!I1384-Sens!I1383+Sens!I1382)*(1-tax_f)/((Sens!H1385+Sens!I1385)/2)</f>
        <v>0.187818383050156</v>
      </c>
      <c r="J1388" s="7" t="n">
        <f aca="false">(Sens!J1384-Sens!J1383+Sens!J1382)*(1-tax_f)/((Sens!I1385+Sens!J1385)/2)</f>
        <v>0.206208401158713</v>
      </c>
      <c r="K1388" s="7" t="n">
        <f aca="false">(Sens!K1384-Sens!K1383+Sens!K1382)*(1-tax_f)/((Sens!J1385+Sens!K1385)/2)</f>
        <v>0.229284687786006</v>
      </c>
    </row>
    <row r="1389" customFormat="false" ht="17.15" hidden="false" customHeight="false" outlineLevel="0" collapsed="false">
      <c r="A1389" s="1" t="s">
        <v>1013</v>
      </c>
      <c r="B1389" s="0" t="s">
        <v>168</v>
      </c>
      <c r="F1389" s="7" t="n">
        <f aca="false">Sens!F1314*(1-tax_f)/(Sens!F1300*(Sens!E1385+Sens!F1385)/2)</f>
        <v>0.215760438126458</v>
      </c>
      <c r="G1389" s="7" t="n">
        <f aca="false">Sens!G1314*(1-tax_f)/(Sens!G1300*(Sens!F1385+Sens!G1385)/2)</f>
        <v>0.240349527510804</v>
      </c>
      <c r="H1389" s="7" t="n">
        <f aca="false">Sens!H1314*(1-tax_f)/(Sens!H1300*(Sens!G1385+Sens!H1385)/2)</f>
        <v>0.276519572692262</v>
      </c>
      <c r="I1389" s="7" t="n">
        <f aca="false">Sens!I1314*(1-tax_f)/(Sens!I1300*(Sens!H1385+Sens!I1385)/2)</f>
        <v>0.293048763887634</v>
      </c>
      <c r="J1389" s="7" t="n">
        <f aca="false">Sens!J1314*(1-tax_f)/(Sens!J1300*(Sens!I1385+Sens!J1385)/2)</f>
        <v>0.318547497677967</v>
      </c>
      <c r="K1389" s="7" t="n">
        <f aca="false">Sens!K1314*(1-tax_f)/(Sens!K1300*(Sens!J1385+Sens!K1385)/2)</f>
        <v>0.352493609076189</v>
      </c>
    </row>
    <row r="1390" customFormat="false" ht="17.15" hidden="false" customHeight="false" outlineLevel="0" collapsed="false">
      <c r="A1390" s="0" t="s">
        <v>1014</v>
      </c>
      <c r="B1390" s="0" t="s">
        <v>253</v>
      </c>
      <c r="F1390" s="7" t="n">
        <f aca="false">Sens!F1386-wacc</f>
        <v>0.0101517793576272</v>
      </c>
      <c r="G1390" s="7" t="n">
        <f aca="false">Sens!G1386-wacc</f>
        <v>0.0410735622205703</v>
      </c>
      <c r="H1390" s="7" t="n">
        <f aca="false">Sens!H1386-wacc</f>
        <v>0.0704339619858215</v>
      </c>
      <c r="I1390" s="7" t="n">
        <f aca="false">Sens!I1386-wacc</f>
        <v>0.084881792104559</v>
      </c>
      <c r="J1390" s="7" t="n">
        <f aca="false">Sens!J1386-wacc</f>
        <v>0.103271810213116</v>
      </c>
      <c r="K1390" s="7" t="n">
        <f aca="false">Sens!K1386-wacc</f>
        <v>0.126348096840409</v>
      </c>
    </row>
    <row r="1391" customFormat="false" ht="17.15" hidden="false" customHeight="false" outlineLevel="0" collapsed="false">
      <c r="A1391" s="0" t="s">
        <v>1015</v>
      </c>
      <c r="B1391" s="0" t="s">
        <v>98</v>
      </c>
      <c r="F1391" s="6" t="n">
        <f aca="false">Sens!F1384*(1-tax_f)-wacc*(Sens!E1385+Sens!F1385)/2</f>
        <v>1.96574317627277</v>
      </c>
      <c r="G1391" s="6" t="n">
        <f aca="false">Sens!G1384*(1-tax_f)-wacc*(Sens!F1385+Sens!G1385)/2</f>
        <v>13.3972767807947</v>
      </c>
      <c r="H1391" s="6" t="n">
        <f aca="false">Sens!H1384*(1-tax_f)-wacc*(Sens!G1385+Sens!H1385)/2</f>
        <v>31.38787875902</v>
      </c>
      <c r="I1391" s="6" t="n">
        <f aca="false">Sens!I1384*(1-tax_f)-wacc*(Sens!H1385+Sens!I1385)/2</f>
        <v>44.7055794546438</v>
      </c>
      <c r="J1391" s="6" t="n">
        <f aca="false">Sens!J1384*(1-tax_f)-wacc*(Sens!I1385+Sens!J1385)/2</f>
        <v>57.0400651473148</v>
      </c>
      <c r="K1391" s="6" t="n">
        <f aca="false">Sens!K1384*(1-tax_f)-wacc*(Sens!J1385+Sens!K1385)/2</f>
        <v>68.0715154447312</v>
      </c>
    </row>
    <row r="1392" customFormat="false" ht="17.15" hidden="false" customHeight="false" outlineLevel="0" collapsed="false">
      <c r="A1392" s="3" t="s">
        <v>1513</v>
      </c>
    </row>
    <row r="1393" customFormat="false" ht="15" hidden="false" customHeight="false" outlineLevel="0" collapsed="false">
      <c r="A1393" s="4" t="s">
        <v>43</v>
      </c>
      <c r="B1393" s="4" t="s">
        <v>65</v>
      </c>
      <c r="C1393" s="23" t="s">
        <v>938</v>
      </c>
      <c r="D1393" s="23" t="s">
        <v>939</v>
      </c>
      <c r="E1393" s="23" t="s">
        <v>940</v>
      </c>
      <c r="F1393" s="23" t="s">
        <v>941</v>
      </c>
      <c r="G1393" s="23" t="s">
        <v>942</v>
      </c>
      <c r="H1393" s="23" t="s">
        <v>943</v>
      </c>
      <c r="I1393" s="23" t="s">
        <v>944</v>
      </c>
      <c r="J1393" s="23" t="s">
        <v>945</v>
      </c>
      <c r="K1393" s="23" t="s">
        <v>946</v>
      </c>
      <c r="L1393" s="4" t="s">
        <v>47</v>
      </c>
    </row>
    <row r="1394" customFormat="false" ht="15" hidden="false" customHeight="false" outlineLevel="0" collapsed="false">
      <c r="A1394" s="1" t="s">
        <v>1076</v>
      </c>
      <c r="B1394" s="0" t="s">
        <v>98</v>
      </c>
      <c r="F1394" s="6" t="n">
        <f aca="false">Sens!F1375</f>
        <v>152.833551318663</v>
      </c>
      <c r="G1394" s="6" t="n">
        <f aca="false">Sens!G1375</f>
        <v>179.29242454741</v>
      </c>
      <c r="H1394" s="6" t="n">
        <f aca="false">Sens!H1375</f>
        <v>213.150146668682</v>
      </c>
      <c r="I1394" s="6" t="n">
        <f aca="false">Sens!I1375</f>
        <v>239.017109395533</v>
      </c>
      <c r="J1394" s="6" t="n">
        <f aca="false">Sens!J1375</f>
        <v>260.672808804545</v>
      </c>
      <c r="K1394" s="6" t="n">
        <f aca="false">Sens!K1375</f>
        <v>279.387877254242</v>
      </c>
    </row>
    <row r="1395" customFormat="false" ht="17.15" hidden="false" customHeight="false" outlineLevel="0" collapsed="false">
      <c r="A1395" s="1" t="s">
        <v>1098</v>
      </c>
      <c r="B1395" s="0" t="s">
        <v>98</v>
      </c>
      <c r="E1395" s="6" t="n">
        <f aca="false">Q!M38-Sens!E1313</f>
        <v>22.2285940229167</v>
      </c>
      <c r="F1395" s="6" t="n">
        <f aca="false">Sens!E1395*(1-1/life_nonai)+(Sens!F1403+Sens!F1404)/life_nonai</f>
        <v>23.580344216413</v>
      </c>
      <c r="G1395" s="6" t="n">
        <f aca="false">Sens!F1395*(1-1/life_nonai)+(Sens!G1403)/life_nonai</f>
        <v>25.3338814910863</v>
      </c>
      <c r="H1395" s="6" t="n">
        <f aca="false">Sens!G1395*(1-1/life_nonai)+(Sens!H1403)/life_nonai</f>
        <v>27.5011167658533</v>
      </c>
      <c r="I1395" s="6" t="n">
        <f aca="false">Sens!H1395*(1-1/life_nonai)+(Sens!I1403)/life_nonai</f>
        <v>30.0062134127235</v>
      </c>
      <c r="J1395" s="6" t="n">
        <f aca="false">Sens!I1395*(1-1/life_nonai)+(Sens!J1403)/life_nonai</f>
        <v>32.7580128824735</v>
      </c>
      <c r="K1395" s="6" t="n">
        <f aca="false">Sens!J1395*(1-1/life_nonai)+(Sens!K1403)/life_nonai</f>
        <v>35.6733079392113</v>
      </c>
      <c r="L1395" s="12" t="s">
        <v>1099</v>
      </c>
    </row>
    <row r="1396" customFormat="false" ht="17.15" hidden="false" customHeight="false" outlineLevel="0" collapsed="false">
      <c r="A1396" s="1" t="s">
        <v>1100</v>
      </c>
      <c r="B1396" s="0" t="s">
        <v>98</v>
      </c>
      <c r="F1396" s="6" t="n">
        <f aca="false">Sens!$F$1404/life_nonai*(1-1/life_nonai)^(Sens!F1276-2027)</f>
        <v>0.0436923187687576</v>
      </c>
      <c r="G1396" s="6" t="n">
        <f aca="false">Sens!$F$1404/life_nonai*(1-1/life_nonai)^(Sens!G1276-2027)</f>
        <v>0.0393230868918818</v>
      </c>
      <c r="H1396" s="6" t="n">
        <f aca="false">Sens!$F$1404/life_nonai*(1-1/life_nonai)^(Sens!H1276-2027)</f>
        <v>0.0353907782026936</v>
      </c>
      <c r="I1396" s="6" t="n">
        <f aca="false">Sens!$F$1404/life_nonai*(1-1/life_nonai)^(Sens!I1276-2027)</f>
        <v>0.0318517003824243</v>
      </c>
      <c r="J1396" s="6" t="n">
        <f aca="false">Sens!$F$1404/life_nonai*(1-1/life_nonai)^(Sens!J1276-2027)</f>
        <v>0.0286665303441819</v>
      </c>
      <c r="K1396" s="6" t="n">
        <f aca="false">Sens!$F$1404/life_nonai*(1-1/life_nonai)^(Sens!K1276-2027)</f>
        <v>0.0257998773097637</v>
      </c>
      <c r="L1396" s="1" t="s">
        <v>1101</v>
      </c>
    </row>
    <row r="1397" customFormat="false" ht="17.15" hidden="false" customHeight="false" outlineLevel="0" collapsed="false">
      <c r="A1397" s="1" t="s">
        <v>1102</v>
      </c>
      <c r="B1397" s="0" t="s">
        <v>98</v>
      </c>
      <c r="E1397" s="6" t="n">
        <f aca="false">Sens!E1313+Sens!E1395</f>
        <v>38.534</v>
      </c>
      <c r="F1397" s="6" t="n">
        <f aca="false">Sens!F1313+Sens!F1395</f>
        <v>58.1596586947647</v>
      </c>
      <c r="G1397" s="6" t="n">
        <f aca="false">Sens!G1313+Sens!G1395</f>
        <v>86.0683721433853</v>
      </c>
      <c r="H1397" s="6" t="n">
        <f aca="false">Sens!H1313+Sens!H1395</f>
        <v>116.601207427299</v>
      </c>
      <c r="I1397" s="6" t="n">
        <f aca="false">Sens!I1313+Sens!I1395</f>
        <v>144.237223107272</v>
      </c>
      <c r="J1397" s="6" t="n">
        <f aca="false">Sens!J1313+Sens!J1395</f>
        <v>164.77368593207</v>
      </c>
      <c r="K1397" s="6" t="n">
        <f aca="false">Sens!K1313+Sens!K1395</f>
        <v>178.685977490145</v>
      </c>
    </row>
    <row r="1398" customFormat="false" ht="17.15" hidden="false" customHeight="false" outlineLevel="0" collapsed="false">
      <c r="A1398" s="1" t="s">
        <v>1103</v>
      </c>
      <c r="B1398" s="0" t="s">
        <v>98</v>
      </c>
      <c r="F1398" s="6" t="n">
        <f aca="false">Sens!F1340*sbc_r</f>
        <v>15.3267113325595</v>
      </c>
      <c r="G1398" s="6" t="n">
        <f aca="false">Sens!G1340*sbc_r</f>
        <v>18.877774266587</v>
      </c>
      <c r="H1398" s="6" t="n">
        <f aca="false">Sens!H1340*sbc_r</f>
        <v>22.7167112018068</v>
      </c>
      <c r="I1398" s="6" t="n">
        <f aca="false">Sens!I1340*sbc_r</f>
        <v>25.9611428008798</v>
      </c>
      <c r="J1398" s="6" t="n">
        <f aca="false">Sens!J1340*sbc_r</f>
        <v>28.5472193109453</v>
      </c>
      <c r="K1398" s="6" t="n">
        <f aca="false">Sens!K1340*sbc_r</f>
        <v>30.5783250948957</v>
      </c>
    </row>
    <row r="1399" customFormat="false" ht="17.15" hidden="false" customHeight="false" outlineLevel="0" collapsed="false">
      <c r="A1399" s="1" t="s">
        <v>1104</v>
      </c>
      <c r="B1399" s="0" t="s">
        <v>98</v>
      </c>
      <c r="F1399" s="6" t="n">
        <f aca="false">wc27-wc26q1</f>
        <v>-4.677</v>
      </c>
      <c r="G1399" s="6" t="n">
        <f aca="false">wc_f</f>
        <v>0</v>
      </c>
      <c r="H1399" s="6" t="n">
        <f aca="false">wc_f</f>
        <v>0</v>
      </c>
      <c r="I1399" s="6" t="n">
        <f aca="false">wc_f</f>
        <v>0</v>
      </c>
      <c r="J1399" s="6" t="n">
        <f aca="false">wc_f</f>
        <v>0</v>
      </c>
      <c r="K1399" s="6" t="n">
        <f aca="false">wc_f</f>
        <v>0</v>
      </c>
      <c r="L1399" s="12" t="s">
        <v>1105</v>
      </c>
    </row>
    <row r="1400" customFormat="false" ht="17.15" hidden="false" customHeight="false" outlineLevel="0" collapsed="false">
      <c r="A1400" s="0" t="s">
        <v>1106</v>
      </c>
      <c r="B1400" s="0" t="s">
        <v>98</v>
      </c>
      <c r="F1400" s="6" t="n">
        <f aca="false">Q!$I$35-Q!$I$26-Q!$I$38-Q!$I$39</f>
        <v>6.493</v>
      </c>
      <c r="L1400" s="1" t="s">
        <v>1107</v>
      </c>
    </row>
    <row r="1401" customFormat="false" ht="15" hidden="false" customHeight="false" outlineLevel="0" collapsed="false">
      <c r="A1401" s="1" t="s">
        <v>904</v>
      </c>
      <c r="B1401" s="0" t="s">
        <v>98</v>
      </c>
      <c r="E1401" s="6" t="n">
        <f aca="false">Q!M35</f>
        <v>182.935</v>
      </c>
      <c r="F1401" s="6" t="n">
        <f aca="false">Sens!F1394+Sens!F1397+Sens!F1398+Sens!F1399+Sens!F1400</f>
        <v>228.135921345987</v>
      </c>
      <c r="G1401" s="6" t="n">
        <f aca="false">Sens!G1394+Sens!G1397+Sens!G1398+Sens!G1399</f>
        <v>284.238570957383</v>
      </c>
      <c r="H1401" s="6" t="n">
        <f aca="false">Sens!H1394+Sens!H1397+Sens!H1398+Sens!H1399</f>
        <v>352.468065297788</v>
      </c>
      <c r="I1401" s="6" t="n">
        <f aca="false">Sens!I1394+Sens!I1397+Sens!I1398+Sens!I1399</f>
        <v>409.215475303684</v>
      </c>
      <c r="J1401" s="6" t="n">
        <f aca="false">Sens!J1394+Sens!J1397+Sens!J1398+Sens!J1399</f>
        <v>453.99371404756</v>
      </c>
      <c r="K1401" s="6" t="n">
        <f aca="false">Sens!K1394+Sens!K1397+Sens!K1398+Sens!K1399</f>
        <v>488.652179839283</v>
      </c>
    </row>
    <row r="1402" customFormat="false" ht="17.15" hidden="false" customHeight="false" outlineLevel="0" collapsed="false">
      <c r="A1402" s="0" t="s">
        <v>1108</v>
      </c>
      <c r="B1402" s="0" t="s">
        <v>98</v>
      </c>
      <c r="F1402" s="6" t="n">
        <f aca="false">Sens!F1310</f>
        <v>168.45390404212</v>
      </c>
      <c r="G1402" s="6" t="n">
        <f aca="false">Sens!G1310</f>
        <v>191.944475649048</v>
      </c>
      <c r="H1402" s="6" t="n">
        <f aca="false">Sens!H1310</f>
        <v>196.806004064512</v>
      </c>
      <c r="I1402" s="6" t="n">
        <f aca="false">Sens!I1310</f>
        <v>168.61483362161</v>
      </c>
      <c r="J1402" s="6" t="n">
        <f aca="false">Sens!J1310</f>
        <v>128.92993119594</v>
      </c>
      <c r="K1402" s="6" t="n">
        <f aca="false">Sens!K1310</f>
        <v>118.962853064733</v>
      </c>
    </row>
    <row r="1403" customFormat="false" ht="17.15" hidden="false" customHeight="false" outlineLevel="0" collapsed="false">
      <c r="A1403" s="1" t="s">
        <v>1109</v>
      </c>
      <c r="B1403" s="0" t="s">
        <v>98</v>
      </c>
      <c r="E1403" s="6" t="n">
        <f aca="false">Sens!E1318*cx_azo+Sens!E1325*cx_m365+Sens!E1326*cx_lic+(Sens!E1328+Sens!E1330)*cx_ind+Sens!E1333*cx_srch+(Sens!E1335+Sens!E1337)*cx_dev</f>
        <v>30.1846587067718</v>
      </c>
      <c r="F1403" s="6" t="n">
        <f aca="false">Sens!F1318*cx_azo+Sens!F1325*cx_m365+Sens!F1326*cx_lic+(Sens!F1328+Sens!F1330)*cx_ind+Sens!F1333*cx_srch+(Sens!F1335+Sens!F1337)*cx_dev</f>
        <v>35.3091727701928</v>
      </c>
      <c r="G1403" s="6" t="n">
        <f aca="false">Sens!G1318*cx_azo+Sens!G1325*cx_m365+Sens!G1326*cx_lic+(Sens!G1328+Sens!G1330)*cx_ind+Sens!G1333*cx_srch+(Sens!G1335+Sens!G1337)*cx_dev</f>
        <v>41.115716963146</v>
      </c>
      <c r="H1403" s="6" t="n">
        <f aca="false">Sens!H1318*cx_azo+Sens!H1325*cx_m365+Sens!H1326*cx_lic+(Sens!H1328+Sens!H1330)*cx_ind+Sens!H1333*cx_srch+(Sens!H1335+Sens!H1337)*cx_dev</f>
        <v>47.0062342387555</v>
      </c>
      <c r="I1403" s="6" t="n">
        <f aca="false">Sens!I1318*cx_azo+Sens!I1325*cx_m365+Sens!I1326*cx_lic+(Sens!I1328+Sens!I1330)*cx_ind+Sens!I1333*cx_srch+(Sens!I1335+Sens!I1337)*cx_dev</f>
        <v>52.5520832345558</v>
      </c>
      <c r="J1403" s="6" t="n">
        <f aca="false">Sens!J1318*cx_azo+Sens!J1325*cx_m365+Sens!J1326*cx_lic+(Sens!J1328+Sens!J1330)*cx_ind+Sens!J1333*cx_srch+(Sens!J1335+Sens!J1337)*cx_dev</f>
        <v>57.5242081102237</v>
      </c>
      <c r="K1403" s="6" t="n">
        <f aca="false">Sens!K1318*cx_azo+Sens!K1325*cx_m365+Sens!K1326*cx_lic+(Sens!K1328+Sens!K1330)*cx_ind+Sens!K1333*cx_srch+(Sens!K1335+Sens!K1337)*cx_dev</f>
        <v>61.9109634498513</v>
      </c>
    </row>
    <row r="1404" customFormat="false" ht="17.15" hidden="false" customHeight="false" outlineLevel="0" collapsed="false">
      <c r="A1404" s="0" t="s">
        <v>1110</v>
      </c>
      <c r="B1404" s="0" t="s">
        <v>98</v>
      </c>
      <c r="F1404" s="6" t="n">
        <f aca="false">Sens!F1308</f>
        <v>0.436923187687576</v>
      </c>
      <c r="L1404" s="1" t="s">
        <v>1111</v>
      </c>
    </row>
    <row r="1405" customFormat="false" ht="17.15" hidden="false" customHeight="false" outlineLevel="0" collapsed="false">
      <c r="A1405" s="1" t="s">
        <v>1112</v>
      </c>
      <c r="B1405" s="0" t="s">
        <v>98</v>
      </c>
      <c r="E1405" s="6" t="n">
        <f aca="false">Q!M43</f>
        <v>145.3</v>
      </c>
      <c r="F1405" s="6" t="n">
        <f aca="false">Sens!F1402+Sens!F1403+Sens!F1404</f>
        <v>204.2</v>
      </c>
      <c r="G1405" s="6" t="n">
        <f aca="false">Sens!G1402+Sens!G1403</f>
        <v>233.060192612194</v>
      </c>
      <c r="H1405" s="6" t="n">
        <f aca="false">Sens!H1402+Sens!H1403</f>
        <v>243.812238303268</v>
      </c>
      <c r="I1405" s="6" t="n">
        <f aca="false">Sens!I1402+Sens!I1403</f>
        <v>221.166916856166</v>
      </c>
      <c r="J1405" s="6" t="n">
        <f aca="false">Sens!J1402+Sens!J1403</f>
        <v>186.454139306164</v>
      </c>
      <c r="K1405" s="6" t="n">
        <f aca="false">Sens!K1402+Sens!K1403</f>
        <v>180.873816514584</v>
      </c>
      <c r="L1405" s="1" t="s">
        <v>1113</v>
      </c>
    </row>
    <row r="1406" customFormat="false" ht="15" hidden="false" customHeight="false" outlineLevel="0" collapsed="false">
      <c r="A1406" s="1" t="s">
        <v>1114</v>
      </c>
      <c r="B1406" s="0" t="s">
        <v>98</v>
      </c>
      <c r="E1406" s="6" t="n">
        <f aca="false">fl_liab</f>
        <v>66.594</v>
      </c>
      <c r="F1406" s="6" t="n">
        <f aca="false">Sens!E1406-Sens!F1407</f>
        <v>62.46973</v>
      </c>
      <c r="G1406" s="6" t="n">
        <f aca="false">Sens!F1406-Sens!G1407</f>
        <v>57.98686785</v>
      </c>
      <c r="H1406" s="6" t="n">
        <f aca="false">Sens!G1406-Sens!H1407</f>
        <v>53.92827690325</v>
      </c>
      <c r="I1406" s="6" t="n">
        <f aca="false">Sens!H1406-Sens!I1407</f>
        <v>49.7850493638962</v>
      </c>
      <c r="J1406" s="6" t="n">
        <f aca="false">Sens!I1406-Sens!J1407</f>
        <v>45.4823765852716</v>
      </c>
      <c r="K1406" s="6" t="n">
        <f aca="false">Sens!J1406-Sens!K1407</f>
        <v>40.9860835316088</v>
      </c>
    </row>
    <row r="1407" customFormat="false" ht="15" hidden="false" customHeight="false" outlineLevel="0" collapsed="false">
      <c r="A1407" s="1" t="s">
        <v>1115</v>
      </c>
      <c r="B1407" s="0" t="s">
        <v>98</v>
      </c>
      <c r="F1407" s="6" t="n">
        <f aca="false">fl_pay_27-Sens!E1406*fl_rate</f>
        <v>4.12427</v>
      </c>
      <c r="G1407" s="6" t="n">
        <f aca="false">fl_pay_28-Sens!F1406*fl_rate</f>
        <v>4.48286215</v>
      </c>
      <c r="H1407" s="6" t="n">
        <f aca="false">fl_pay_29-Sens!G1406*fl_rate</f>
        <v>4.05859094675</v>
      </c>
      <c r="I1407" s="6" t="n">
        <f aca="false">fl_pay_30-Sens!H1406*fl_rate</f>
        <v>4.14322753935375</v>
      </c>
      <c r="J1407" s="6" t="n">
        <f aca="false">fl_pay_31-Sens!I1406*fl_rate</f>
        <v>4.30267277862467</v>
      </c>
      <c r="K1407" s="6" t="n">
        <f aca="false">fl_pay_32-Sens!J1406*fl_rate</f>
        <v>4.49629305366278</v>
      </c>
    </row>
    <row r="1408" customFormat="false" ht="17.15" hidden="false" customHeight="false" outlineLevel="0" collapsed="false">
      <c r="A1408" s="1" t="s">
        <v>1116</v>
      </c>
      <c r="B1408" s="0" t="s">
        <v>98</v>
      </c>
      <c r="E1408" s="6" t="n">
        <f aca="false">Q!M35-Q!M36-Q!M44</f>
        <v>63.886</v>
      </c>
      <c r="F1408" s="6" t="n">
        <f aca="false">Sens!F1401-Sens!F1405-Sens!F1407</f>
        <v>19.8116513459871</v>
      </c>
      <c r="G1408" s="6" t="n">
        <f aca="false">Sens!G1401-Sens!G1405-Sens!G1407</f>
        <v>46.6955161951887</v>
      </c>
      <c r="H1408" s="6" t="n">
        <f aca="false">Sens!H1401-Sens!H1405-Sens!H1407</f>
        <v>104.59723604777</v>
      </c>
      <c r="I1408" s="6" t="n">
        <f aca="false">Sens!I1401-Sens!I1405-Sens!I1407</f>
        <v>183.905330908165</v>
      </c>
      <c r="J1408" s="6" t="n">
        <f aca="false">Sens!J1401-Sens!J1405-Sens!J1407</f>
        <v>263.236901962772</v>
      </c>
      <c r="K1408" s="6" t="n">
        <f aca="false">Sens!K1401-Sens!K1405-Sens!K1407</f>
        <v>303.282070271036</v>
      </c>
      <c r="L1408" s="12" t="s">
        <v>1117</v>
      </c>
    </row>
    <row r="1409" customFormat="false" ht="15" hidden="false" customHeight="false" outlineLevel="0" collapsed="false">
      <c r="A1409" s="1" t="s">
        <v>1118</v>
      </c>
      <c r="B1409" s="0" t="s">
        <v>75</v>
      </c>
      <c r="F1409" s="8" t="n">
        <f aca="false">dps_27</f>
        <v>3.85</v>
      </c>
      <c r="G1409" s="8" t="n">
        <f aca="false">Sens!F1409*(1+dps_g)</f>
        <v>4.158</v>
      </c>
      <c r="H1409" s="8" t="n">
        <f aca="false">Sens!G1409*(1+dps_g)</f>
        <v>4.49064</v>
      </c>
      <c r="I1409" s="8" t="n">
        <f aca="false">Sens!H1409*(1+dps_g)</f>
        <v>4.8498912</v>
      </c>
      <c r="J1409" s="8" t="n">
        <f aca="false">Sens!I1409*(1+dps_g)</f>
        <v>5.237882496</v>
      </c>
      <c r="K1409" s="8" t="n">
        <f aca="false">Sens!J1409*(1+dps_g)</f>
        <v>5.65691309568</v>
      </c>
    </row>
    <row r="1410" customFormat="false" ht="17.15" hidden="false" customHeight="false" outlineLevel="0" collapsed="false">
      <c r="A1410" s="1" t="s">
        <v>1119</v>
      </c>
      <c r="B1410" s="0" t="s">
        <v>98</v>
      </c>
      <c r="E1410" s="6" t="n">
        <f aca="false">Q!M41</f>
        <v>26.445</v>
      </c>
      <c r="F1410" s="6" t="n">
        <f aca="false">Sens!F1409*Sens!E1419</f>
        <v>28.59395</v>
      </c>
      <c r="G1410" s="6" t="n">
        <f aca="false">Sens!G1409*Sens!F1419</f>
        <v>31.0021894059596</v>
      </c>
      <c r="H1410" s="6" t="n">
        <f aca="false">Sens!H1409*Sens!G1419</f>
        <v>33.5661977757308</v>
      </c>
      <c r="I1410" s="6" t="n">
        <f aca="false">Sens!I1409*Sens!H1419</f>
        <v>36.3019318748619</v>
      </c>
      <c r="J1410" s="6" t="n">
        <f aca="false">Sens!J1409*Sens!I1419</f>
        <v>39.2739843102435</v>
      </c>
      <c r="K1410" s="6" t="n">
        <f aca="false">Sens!K1409*Sens!J1419</f>
        <v>42.5026573174412</v>
      </c>
      <c r="L1410" s="1" t="s">
        <v>1120</v>
      </c>
    </row>
    <row r="1411" customFormat="false" ht="15" hidden="false" customHeight="false" outlineLevel="0" collapsed="false">
      <c r="A1411" s="1" t="s">
        <v>1121</v>
      </c>
      <c r="B1411" s="0" t="s">
        <v>98</v>
      </c>
      <c r="E1411" s="6" t="n">
        <f aca="false">Sens!E1408-Sens!E1410</f>
        <v>37.441</v>
      </c>
      <c r="F1411" s="6" t="n">
        <f aca="false">Sens!F1408-Sens!F1410</f>
        <v>-8.78229865401286</v>
      </c>
      <c r="G1411" s="6" t="n">
        <f aca="false">Sens!G1408-Sens!G1410</f>
        <v>15.6933267892291</v>
      </c>
      <c r="H1411" s="6" t="n">
        <f aca="false">Sens!H1408-Sens!H1410</f>
        <v>71.0310382720389</v>
      </c>
      <c r="I1411" s="6" t="n">
        <f aca="false">Sens!I1408-Sens!I1410</f>
        <v>147.603399033303</v>
      </c>
      <c r="J1411" s="6" t="n">
        <f aca="false">Sens!J1408-Sens!J1410</f>
        <v>223.962917652528</v>
      </c>
      <c r="K1411" s="6" t="n">
        <f aca="false">Sens!K1408-Sens!K1410</f>
        <v>260.779412953595</v>
      </c>
    </row>
    <row r="1412" customFormat="false" ht="15" hidden="false" customHeight="false" outlineLevel="0" collapsed="false">
      <c r="A1412" s="1" t="s">
        <v>1122</v>
      </c>
      <c r="B1412" s="0" t="s">
        <v>98</v>
      </c>
      <c r="F1412" s="6" t="n">
        <f aca="false">debt_mat_27</f>
        <v>9.25</v>
      </c>
      <c r="G1412" s="6" t="n">
        <f aca="false">debt_mat_28</f>
        <v>0</v>
      </c>
      <c r="H1412" s="6" t="n">
        <f aca="false">debt_mat_29</f>
        <v>2.001</v>
      </c>
      <c r="I1412" s="6" t="n">
        <f aca="false">debt_mat_30</f>
        <v>0</v>
      </c>
      <c r="J1412" s="6" t="n">
        <f aca="false">debt_mat_31</f>
        <v>0.5</v>
      </c>
      <c r="K1412" s="6" t="n">
        <f aca="false">debt_mat_32</f>
        <v>0</v>
      </c>
    </row>
    <row r="1413" customFormat="false" ht="15" hidden="false" customHeight="false" outlineLevel="0" collapsed="false">
      <c r="A1413" s="1" t="s">
        <v>1123</v>
      </c>
      <c r="B1413" s="0" t="s">
        <v>98</v>
      </c>
      <c r="E1413" s="6" t="n">
        <f aca="false">Q!M40</f>
        <v>22.271</v>
      </c>
      <c r="F1413" s="6" t="n">
        <f aca="false">MAX(0,MIN(bb_target,Sens!E1415+Sens!F1411-Sens!F1412-min_cash))</f>
        <v>8.81070134598714</v>
      </c>
      <c r="G1413" s="6" t="n">
        <f aca="false">MAX(0,MIN(bb_target,Sens!F1415+Sens!G1411-Sens!G1412-min_cash))</f>
        <v>15.6933267892291</v>
      </c>
      <c r="H1413" s="6" t="n">
        <f aca="false">MAX(0,MIN(bb_target,Sens!G1415+Sens!H1411-Sens!H1412-min_cash))</f>
        <v>22.271</v>
      </c>
      <c r="I1413" s="6" t="n">
        <f aca="false">MAX(0,MIN(bb_target,Sens!H1415+Sens!I1411-Sens!I1412-min_cash))</f>
        <v>22.271</v>
      </c>
      <c r="J1413" s="6" t="n">
        <f aca="false">MAX(0,MIN(bb_target,Sens!I1415+Sens!J1411-Sens!J1412-min_cash))</f>
        <v>22.271</v>
      </c>
      <c r="K1413" s="6" t="n">
        <f aca="false">MAX(0,MIN(bb_target,Sens!J1415+Sens!K1411-Sens!K1412-min_cash))</f>
        <v>22.271</v>
      </c>
    </row>
    <row r="1414" customFormat="false" ht="15" hidden="false" customHeight="false" outlineLevel="0" collapsed="false">
      <c r="A1414" s="1" t="s">
        <v>1124</v>
      </c>
      <c r="B1414" s="0" t="s">
        <v>98</v>
      </c>
      <c r="F1414" s="6" t="n">
        <f aca="false">MAX(0,min_cash-(Sens!E1415+Sens!F1411-Sens!F1412-Sens!F1413))</f>
        <v>0</v>
      </c>
      <c r="G1414" s="6" t="n">
        <f aca="false">MAX(0,min_cash-(Sens!F1415+Sens!G1411-Sens!G1412-Sens!G1413))</f>
        <v>0</v>
      </c>
      <c r="H1414" s="6" t="n">
        <f aca="false">MAX(0,min_cash-(Sens!G1415+Sens!H1411-Sens!H1412-Sens!H1413))</f>
        <v>0</v>
      </c>
      <c r="I1414" s="6" t="n">
        <f aca="false">MAX(0,min_cash-(Sens!H1415+Sens!I1411-Sens!I1412-Sens!I1413))</f>
        <v>0</v>
      </c>
      <c r="J1414" s="6" t="n">
        <f aca="false">MAX(0,min_cash-(Sens!I1415+Sens!J1411-Sens!J1412-Sens!J1413))</f>
        <v>0</v>
      </c>
      <c r="K1414" s="6" t="n">
        <f aca="false">MAX(0,min_cash-(Sens!J1415+Sens!K1411-Sens!K1412-Sens!K1413))</f>
        <v>0</v>
      </c>
    </row>
    <row r="1415" customFormat="false" ht="15" hidden="false" customHeight="false" outlineLevel="0" collapsed="false">
      <c r="A1415" s="1" t="s">
        <v>1125</v>
      </c>
      <c r="B1415" s="0" t="s">
        <v>98</v>
      </c>
      <c r="E1415" s="6" t="n">
        <f aca="false">cash_open</f>
        <v>76.843</v>
      </c>
      <c r="F1415" s="6" t="n">
        <f aca="false">Sens!E1415+Sens!F1411-Sens!F1412-Sens!F1413+Sens!F1414</f>
        <v>50</v>
      </c>
      <c r="G1415" s="6" t="n">
        <f aca="false">Sens!F1415+Sens!G1411-Sens!G1412-Sens!G1413+Sens!G1414</f>
        <v>50</v>
      </c>
      <c r="H1415" s="6" t="n">
        <f aca="false">Sens!G1415+Sens!H1411-Sens!H1412-Sens!H1413+Sens!H1414</f>
        <v>96.7590382720389</v>
      </c>
      <c r="I1415" s="6" t="n">
        <f aca="false">Sens!H1415+Sens!I1411-Sens!I1412-Sens!I1413+Sens!I1414</f>
        <v>222.091437305342</v>
      </c>
      <c r="J1415" s="6" t="n">
        <f aca="false">Sens!I1415+Sens!J1411-Sens!J1412-Sens!J1413+Sens!J1414</f>
        <v>423.28335495787</v>
      </c>
      <c r="K1415" s="6" t="n">
        <f aca="false">Sens!J1415+Sens!K1411-Sens!K1412-Sens!K1413+Sens!K1414</f>
        <v>661.791767911464</v>
      </c>
    </row>
    <row r="1416" customFormat="false" ht="15" hidden="false" customHeight="false" outlineLevel="0" collapsed="false">
      <c r="A1416" s="1" t="s">
        <v>1126</v>
      </c>
      <c r="B1416" s="0" t="s">
        <v>98</v>
      </c>
      <c r="E1416" s="6" t="n">
        <f aca="false">debt_face</f>
        <v>46.136</v>
      </c>
      <c r="F1416" s="6" t="n">
        <f aca="false">Sens!E1416-Sens!F1412+Sens!F1414</f>
        <v>36.886</v>
      </c>
      <c r="G1416" s="6" t="n">
        <f aca="false">Sens!F1416-Sens!G1412+Sens!G1414</f>
        <v>36.886</v>
      </c>
      <c r="H1416" s="6" t="n">
        <f aca="false">Sens!G1416-Sens!H1412+Sens!H1414</f>
        <v>34.885</v>
      </c>
      <c r="I1416" s="6" t="n">
        <f aca="false">Sens!H1416-Sens!I1412+Sens!I1414</f>
        <v>34.885</v>
      </c>
      <c r="J1416" s="6" t="n">
        <f aca="false">Sens!I1416-Sens!J1412+Sens!J1414</f>
        <v>34.385</v>
      </c>
      <c r="K1416" s="6" t="n">
        <f aca="false">Sens!J1416-Sens!K1412+Sens!K1414</f>
        <v>34.385</v>
      </c>
    </row>
    <row r="1417" customFormat="false" ht="15" hidden="false" customHeight="false" outlineLevel="0" collapsed="false">
      <c r="A1417" s="1" t="s">
        <v>1127</v>
      </c>
      <c r="B1417" s="0" t="s">
        <v>98</v>
      </c>
      <c r="E1417" s="6" t="n">
        <f aca="false">Sens!E1415-Sens!E1416</f>
        <v>30.707</v>
      </c>
      <c r="F1417" s="6" t="n">
        <f aca="false">Sens!F1415-Sens!F1416</f>
        <v>13.114</v>
      </c>
      <c r="G1417" s="6" t="n">
        <f aca="false">Sens!G1415-Sens!G1416</f>
        <v>13.114</v>
      </c>
      <c r="H1417" s="6" t="n">
        <f aca="false">Sens!H1415-Sens!H1416</f>
        <v>61.8740382720389</v>
      </c>
      <c r="I1417" s="6" t="n">
        <f aca="false">Sens!I1415-Sens!I1416</f>
        <v>187.206437305342</v>
      </c>
      <c r="J1417" s="6" t="n">
        <f aca="false">Sens!J1415-Sens!J1416</f>
        <v>388.89835495787</v>
      </c>
      <c r="K1417" s="6" t="n">
        <f aca="false">Sens!K1415-Sens!K1416</f>
        <v>627.406767911464</v>
      </c>
    </row>
    <row r="1418" customFormat="false" ht="15" hidden="false" customHeight="false" outlineLevel="0" collapsed="false">
      <c r="A1418" s="1" t="s">
        <v>1128</v>
      </c>
      <c r="B1418" s="0" t="s">
        <v>75</v>
      </c>
      <c r="F1418" s="30" t="n">
        <f aca="false">px*(1+bb_g)^(Sens!F1276-base_fy-mid_yr)</f>
        <v>551.84177959629</v>
      </c>
      <c r="G1418" s="30" t="n">
        <f aca="false">px*(1+bb_g)^(Sens!G1276-base_fy-mid_yr)</f>
        <v>595.989121963993</v>
      </c>
      <c r="H1418" s="30" t="n">
        <f aca="false">px*(1+bb_g)^(Sens!H1276-base_fy-mid_yr)</f>
        <v>643.668251721112</v>
      </c>
      <c r="I1418" s="30" t="n">
        <f aca="false">px*(1+bb_g)^(Sens!I1276-base_fy-mid_yr)</f>
        <v>695.161711858801</v>
      </c>
      <c r="J1418" s="30" t="n">
        <f aca="false">px*(1+bb_g)^(Sens!J1276-base_fy-mid_yr)</f>
        <v>750.774648807506</v>
      </c>
      <c r="K1418" s="30" t="n">
        <f aca="false">px*(1+bb_g)^(Sens!K1276-base_fy-mid_yr)</f>
        <v>810.836620712106</v>
      </c>
    </row>
    <row r="1419" customFormat="false" ht="15" hidden="false" customHeight="false" outlineLevel="0" collapsed="false">
      <c r="A1419" s="1" t="s">
        <v>1129</v>
      </c>
      <c r="B1419" s="1" t="s">
        <v>81</v>
      </c>
      <c r="E1419" s="15" t="n">
        <f aca="false">sh_out26</f>
        <v>7.427</v>
      </c>
      <c r="F1419" s="15" t="n">
        <f aca="false">Sens!E1419+sh_iss-Sens!F1413/Sens!F1418</f>
        <v>7.45603400816728</v>
      </c>
      <c r="G1419" s="15" t="n">
        <f aca="false">Sens!F1419+sh_iss-Sens!G1413/Sens!G1418</f>
        <v>7.47470244235361</v>
      </c>
      <c r="H1419" s="15" t="n">
        <f aca="false">Sens!G1419+sh_iss-Sens!H1413/Sens!H1418</f>
        <v>7.48510232041121</v>
      </c>
      <c r="I1419" s="15" t="n">
        <f aca="false">Sens!H1419+sh_iss-Sens!I1413/Sens!I1418</f>
        <v>7.49806517046455</v>
      </c>
      <c r="J1419" s="15" t="n">
        <f aca="false">Sens!I1419+sh_iss-Sens!J1413/Sens!J1418</f>
        <v>7.51340114273615</v>
      </c>
      <c r="K1419" s="15" t="n">
        <f aca="false">Sens!J1419+sh_iss-Sens!K1413/Sens!K1418</f>
        <v>7.53093445039505</v>
      </c>
    </row>
    <row r="1420" customFormat="false" ht="15" hidden="false" customHeight="false" outlineLevel="0" collapsed="false">
      <c r="A1420" s="1" t="s">
        <v>1130</v>
      </c>
      <c r="B1420" s="1" t="s">
        <v>81</v>
      </c>
      <c r="E1420" s="15" t="n">
        <f aca="false">sh_dil26</f>
        <v>7.453</v>
      </c>
      <c r="F1420" s="15" t="n">
        <f aca="false">(Sens!E1419+Sens!F1419)/2+dil_gap</f>
        <v>7.46551700408364</v>
      </c>
      <c r="G1420" s="15" t="n">
        <f aca="false">(Sens!F1419+Sens!G1419)/2+dil_gap</f>
        <v>7.48936822526044</v>
      </c>
      <c r="H1420" s="15" t="n">
        <f aca="false">(Sens!G1419+Sens!H1419)/2+dil_gap</f>
        <v>7.50390238138241</v>
      </c>
      <c r="I1420" s="15" t="n">
        <f aca="false">(Sens!H1419+Sens!I1419)/2+dil_gap</f>
        <v>7.51558374543788</v>
      </c>
      <c r="J1420" s="15" t="n">
        <f aca="false">(Sens!I1419+Sens!J1419)/2+dil_gap</f>
        <v>7.52973315660035</v>
      </c>
      <c r="K1420" s="15" t="n">
        <f aca="false">(Sens!J1419+Sens!K1419)/2+dil_gap</f>
        <v>7.5461677965656</v>
      </c>
    </row>
    <row r="1421" customFormat="false" ht="17.15" hidden="false" customHeight="false" outlineLevel="0" collapsed="false">
      <c r="A1421" s="1" t="s">
        <v>1131</v>
      </c>
      <c r="B1421" s="0" t="s">
        <v>98</v>
      </c>
      <c r="C1421" s="6" t="n">
        <f aca="false">SUM(Sens!F1411:J1411)</f>
        <v>449.508383093086</v>
      </c>
    </row>
    <row r="1422" customFormat="false" ht="15" hidden="false" customHeight="false" outlineLevel="0" collapsed="false">
      <c r="A1422" s="26" t="s">
        <v>1096</v>
      </c>
      <c r="B1422" s="31" t="s">
        <v>98</v>
      </c>
      <c r="C1422" s="27" t="n">
        <f aca="false">Sens!$C$1421-(Sens!F1411+Sens!G1411+Sens!H1411+Sens!I1411+Sens!J1411)</f>
        <v>0</v>
      </c>
      <c r="D1422" s="31"/>
      <c r="E1422" s="31"/>
      <c r="F1422" s="31"/>
      <c r="G1422" s="31"/>
      <c r="H1422" s="31"/>
      <c r="I1422" s="31"/>
      <c r="J1422" s="31"/>
      <c r="K1422" s="31"/>
    </row>
    <row r="1423" customFormat="false" ht="17.15" hidden="false" customHeight="false" outlineLevel="0" collapsed="false">
      <c r="A1423" s="1" t="s">
        <v>1090</v>
      </c>
      <c r="B1423" s="1" t="s">
        <v>1132</v>
      </c>
      <c r="C1423" s="33" t="str">
        <f aca="false">IF(SUM(Sens!F1414:J1414)&gt;0.05,"需要舉債 "&amp;TEXT(SUM(Sens!F1414:J1414),"0.0")&amp;" 十億美元","不需舉債")&amp;"；"&amp;IF(SUM(Sens!F1413:J1413)&lt;COUNT(Sens!F1413:J1413)*bb_target-0.05,"回購較每年 "&amp;TEXT(bb_target,"0.0")&amp;" 的目標少 "&amp;TEXT(COUNT(Sens!F1413:J1413)*bb_target-SUM(Sens!F1413:J1413),"0.0")&amp;" 十億美元（"&amp;TEXT(COUNTIF(Sens!F1413:J1413,"&lt;"&amp;(bb_target-0.05)),"0")&amp;" 年減少）","回購不減")</f>
        <v>不需舉債；回購較每年 22.3 的目標少 20.0 十億美元（2 年減少）</v>
      </c>
    </row>
    <row r="1424" customFormat="false" ht="17.15" hidden="false" customHeight="false" outlineLevel="0" collapsed="false">
      <c r="A1424" s="3" t="s">
        <v>1514</v>
      </c>
    </row>
    <row r="1425" customFormat="false" ht="15" hidden="false" customHeight="false" outlineLevel="0" collapsed="false">
      <c r="A1425" s="4" t="s">
        <v>43</v>
      </c>
      <c r="B1425" s="4" t="s">
        <v>65</v>
      </c>
      <c r="C1425" s="23" t="s">
        <v>938</v>
      </c>
      <c r="D1425" s="23" t="s">
        <v>939</v>
      </c>
      <c r="E1425" s="23" t="s">
        <v>940</v>
      </c>
      <c r="F1425" s="23" t="s">
        <v>941</v>
      </c>
      <c r="G1425" s="23" t="s">
        <v>942</v>
      </c>
      <c r="H1425" s="23" t="s">
        <v>943</v>
      </c>
      <c r="I1425" s="23" t="s">
        <v>944</v>
      </c>
      <c r="J1425" s="23" t="s">
        <v>945</v>
      </c>
      <c r="K1425" s="23" t="s">
        <v>946</v>
      </c>
      <c r="L1425" s="4" t="s">
        <v>47</v>
      </c>
    </row>
    <row r="1426" customFormat="false" ht="17.15" hidden="false" customHeight="false" outlineLevel="0" collapsed="false">
      <c r="A1426" s="1" t="s">
        <v>1212</v>
      </c>
      <c r="B1426" s="1" t="s">
        <v>279</v>
      </c>
      <c r="F1426" s="8" t="n">
        <f aca="false">(1-v_off)*mid_yr</f>
        <v>0.373972602739726</v>
      </c>
      <c r="G1426" s="8" t="n">
        <f aca="false">Sens!G1276-base_fy-mid_yr-v_off</f>
        <v>1.24794520547945</v>
      </c>
      <c r="H1426" s="8" t="n">
        <f aca="false">Sens!H1276-base_fy-mid_yr-v_off</f>
        <v>2.24794520547945</v>
      </c>
      <c r="I1426" s="8" t="n">
        <f aca="false">Sens!I1276-base_fy-mid_yr-v_off</f>
        <v>3.24794520547945</v>
      </c>
      <c r="J1426" s="8" t="n">
        <f aca="false">Sens!J1276-base_fy-mid_yr-v_off</f>
        <v>4.24794520547945</v>
      </c>
      <c r="K1426" s="8" t="n">
        <f aca="false">Sens!K1276-base_fy-mid_yr-v_off</f>
        <v>5.24794520547945</v>
      </c>
      <c r="L1426" s="12" t="s">
        <v>1213</v>
      </c>
    </row>
    <row r="1427" customFormat="false" ht="15" hidden="false" customHeight="false" outlineLevel="0" collapsed="false">
      <c r="A1427" s="1" t="s">
        <v>1214</v>
      </c>
      <c r="B1427" s="1" t="s">
        <v>279</v>
      </c>
      <c r="F1427" s="8" t="n">
        <f aca="false">Sens!F1276-base_fy-v_off</f>
        <v>0.747945205479452</v>
      </c>
      <c r="G1427" s="8" t="n">
        <f aca="false">Sens!G1276-base_fy-v_off</f>
        <v>1.74794520547945</v>
      </c>
      <c r="H1427" s="8" t="n">
        <f aca="false">Sens!H1276-base_fy-v_off</f>
        <v>2.74794520547945</v>
      </c>
      <c r="I1427" s="8" t="n">
        <f aca="false">Sens!I1276-base_fy-v_off</f>
        <v>3.74794520547945</v>
      </c>
      <c r="J1427" s="8" t="n">
        <f aca="false">Sens!J1276-base_fy-v_off</f>
        <v>4.74794520547945</v>
      </c>
      <c r="K1427" s="8" t="n">
        <f aca="false">Sens!K1276-base_fy-v_off</f>
        <v>5.74794520547945</v>
      </c>
    </row>
    <row r="1428" customFormat="false" ht="15" hidden="false" customHeight="false" outlineLevel="0" collapsed="false">
      <c r="A1428" s="1" t="s">
        <v>1215</v>
      </c>
      <c r="B1428" s="0" t="s">
        <v>229</v>
      </c>
      <c r="F1428" s="15" t="n">
        <f aca="false">1/(1+wacc)^Sens!F1426</f>
        <v>0.964022703286649</v>
      </c>
      <c r="G1428" s="15" t="n">
        <f aca="false">1/(1+wacc)^Sens!G1426</f>
        <v>0.884910302296739</v>
      </c>
      <c r="H1428" s="15" t="n">
        <f aca="false">1/(1+wacc)^Sens!H1426</f>
        <v>0.802322009770358</v>
      </c>
      <c r="I1428" s="15" t="n">
        <f aca="false">1/(1+wacc)^Sens!I1426</f>
        <v>0.727441646561469</v>
      </c>
      <c r="J1428" s="15" t="n">
        <f aca="false">1/(1+wacc)^Sens!J1426</f>
        <v>0.659549834988973</v>
      </c>
      <c r="K1428" s="15" t="n">
        <f aca="false">1/(1+wacc)^Sens!K1426</f>
        <v>0.597994336576966</v>
      </c>
    </row>
    <row r="1429" customFormat="false" ht="17.15" hidden="false" customHeight="false" outlineLevel="0" collapsed="false">
      <c r="A1429" s="1" t="s">
        <v>1216</v>
      </c>
      <c r="B1429" s="0" t="s">
        <v>98</v>
      </c>
      <c r="F1429" s="6" t="n">
        <f aca="false">Q!$I$35-Q!$I$39-Q!$I$43</f>
        <v>9.666</v>
      </c>
      <c r="L1429" s="12" t="s">
        <v>1217</v>
      </c>
    </row>
    <row r="1430" customFormat="false" ht="17.15" hidden="false" customHeight="false" outlineLevel="0" collapsed="false">
      <c r="A1430" s="1" t="s">
        <v>1218</v>
      </c>
      <c r="B1430" s="0" t="s">
        <v>98</v>
      </c>
      <c r="F1430" s="6" t="n">
        <f aca="false">Sens!F1401-Sens!F1398-Sens!F1405+Sens!F1383*(1-tax_f)*(1-v_off)-Sens!F1429</f>
        <v>4.25865120021182</v>
      </c>
      <c r="G1430" s="6" t="n">
        <f aca="false">Sens!G1401-Sens!G1398-Sens!G1405+Sens!G1383*(1-tax_f)</f>
        <v>50.4654284922235</v>
      </c>
      <c r="H1430" s="6" t="n">
        <f aca="false">Sens!H1401-Sens!H1398-Sens!H1405+Sens!H1383*(1-tax_f)</f>
        <v>116.340591983279</v>
      </c>
      <c r="I1430" s="6" t="n">
        <f aca="false">Sens!I1401-Sens!I1398-Sens!I1405+Sens!I1383*(1-tax_f)</f>
        <v>203.797903223053</v>
      </c>
      <c r="J1430" s="6" t="n">
        <f aca="false">Sens!J1401-Sens!J1398-Sens!J1405+Sens!J1383*(1-tax_f)</f>
        <v>288.640020945203</v>
      </c>
      <c r="K1430" s="6" t="n">
        <f aca="false">Sens!K1401-Sens!K1398-Sens!K1405+Sens!K1383*(1-tax_f)</f>
        <v>330.864143246304</v>
      </c>
      <c r="L1430" s="1" t="s">
        <v>1219</v>
      </c>
    </row>
    <row r="1431" customFormat="false" ht="15" hidden="false" customHeight="false" outlineLevel="0" collapsed="false">
      <c r="A1431" s="1" t="s">
        <v>1220</v>
      </c>
      <c r="B1431" s="0" t="s">
        <v>98</v>
      </c>
      <c r="F1431" s="6" t="n">
        <f aca="false">Sens!F1430*Sens!F1428</f>
        <v>4.10543644238313</v>
      </c>
      <c r="G1431" s="6" t="n">
        <f aca="false">Sens!G1430*Sens!G1428</f>
        <v>44.657377582588</v>
      </c>
      <c r="H1431" s="6" t="n">
        <f aca="false">Sens!H1430*Sens!H1428</f>
        <v>93.3426175778975</v>
      </c>
      <c r="I1431" s="6" t="n">
        <f aca="false">Sens!I1430*Sens!I1428</f>
        <v>148.251082286352</v>
      </c>
      <c r="J1431" s="6" t="n">
        <f aca="false">Sens!J1430*Sens!J1428</f>
        <v>190.372478185622</v>
      </c>
      <c r="K1431" s="6" t="n">
        <f aca="false">Sens!K1430*Sens!K1428</f>
        <v>197.85488383768</v>
      </c>
    </row>
    <row r="1432" customFormat="false" ht="17.15" hidden="false" customHeight="false" outlineLevel="0" collapsed="false">
      <c r="A1432" s="1" t="s">
        <v>1221</v>
      </c>
      <c r="B1432" s="0" t="s">
        <v>98</v>
      </c>
      <c r="C1432" s="6" t="n">
        <f aca="false">SUM(Sens!F1431:K1431)</f>
        <v>678.583875912522</v>
      </c>
    </row>
    <row r="1433" customFormat="false" ht="17.15" hidden="false" customHeight="false" outlineLevel="0" collapsed="false">
      <c r="A1433" s="1" t="s">
        <v>1222</v>
      </c>
      <c r="B1433" s="0" t="s">
        <v>98</v>
      </c>
      <c r="C1433" s="6" t="n">
        <f aca="false">Sens!K1369*(1+g_tv)*(1-tax_f)</f>
        <v>344.032341738865</v>
      </c>
    </row>
    <row r="1434" customFormat="false" ht="17.15" hidden="false" customHeight="false" outlineLevel="0" collapsed="false">
      <c r="A1434" s="1" t="s">
        <v>1223</v>
      </c>
      <c r="B1434" s="0" t="s">
        <v>98</v>
      </c>
      <c r="C1434" s="6" t="n">
        <f aca="false">Sens!$C$1433*(1-g_tv/(wacc+ronic_prem))</f>
        <v>243.767021531975</v>
      </c>
    </row>
    <row r="1435" customFormat="false" ht="17.15" hidden="false" customHeight="false" outlineLevel="0" collapsed="false">
      <c r="A1435" s="1" t="s">
        <v>1224</v>
      </c>
      <c r="B1435" s="0" t="s">
        <v>98</v>
      </c>
      <c r="C1435" s="6" t="n">
        <f aca="false">Sens!$C$1434/(wacc-g_tv)</f>
        <v>3342.17734022966</v>
      </c>
    </row>
    <row r="1436" customFormat="false" ht="15" hidden="false" customHeight="false" outlineLevel="0" collapsed="false">
      <c r="A1436" s="1" t="s">
        <v>1225</v>
      </c>
      <c r="B1436" s="0" t="s">
        <v>98</v>
      </c>
      <c r="C1436" s="6" t="n">
        <f aca="false">Sens!$C$1435/(1+wacc)^Sens!K1427</f>
        <v>1903.05477572352</v>
      </c>
    </row>
    <row r="1437" customFormat="false" ht="17.15" hidden="false" customHeight="false" outlineLevel="0" collapsed="false">
      <c r="A1437" s="0" t="s">
        <v>1226</v>
      </c>
      <c r="B1437" s="0" t="s">
        <v>98</v>
      </c>
      <c r="C1437" s="6" t="n">
        <f aca="false">Sens!$C$1432+Sens!$C$1436</f>
        <v>2581.63865163604</v>
      </c>
    </row>
    <row r="1438" customFormat="false" ht="15" hidden="false" customHeight="false" outlineLevel="0" collapsed="false">
      <c r="A1438" s="1" t="s">
        <v>1141</v>
      </c>
      <c r="B1438" s="0" t="s">
        <v>168</v>
      </c>
      <c r="C1438" s="7" t="n">
        <f aca="false">Sens!$C$1436/Sens!$C$1437</f>
        <v>0.737149939445441</v>
      </c>
    </row>
    <row r="1439" customFormat="false" ht="17.15" hidden="false" customHeight="false" outlineLevel="0" collapsed="false">
      <c r="A1439" s="1" t="s">
        <v>1227</v>
      </c>
      <c r="B1439" s="0" t="s">
        <v>98</v>
      </c>
      <c r="C1439" s="6" t="n">
        <f aca="false">Sens!$C$1437+cash_val-debt_val-fl_val+oai_v</f>
        <v>2697.48965163604</v>
      </c>
    </row>
    <row r="1440" customFormat="false" ht="17.15" hidden="false" customHeight="false" outlineLevel="0" collapsed="false">
      <c r="A1440" s="0" t="s">
        <v>1149</v>
      </c>
      <c r="B1440" s="0" t="s">
        <v>75</v>
      </c>
      <c r="C1440" s="5" t="n">
        <f aca="false">Sens!$C$1439/shd_val</f>
        <v>362.273657216766</v>
      </c>
    </row>
    <row r="1441" customFormat="false" ht="15" hidden="false" customHeight="false" outlineLevel="0" collapsed="false">
      <c r="A1441" s="1" t="s">
        <v>1228</v>
      </c>
      <c r="B1441" s="0" t="s">
        <v>75</v>
      </c>
      <c r="C1441" s="8" t="n">
        <f aca="false">div_rem27+Sens!G1409*roll_div_q/q_per_yr</f>
        <v>3.9795</v>
      </c>
    </row>
    <row r="1442" customFormat="false" ht="17.15" hidden="false" customHeight="false" outlineLevel="0" collapsed="false">
      <c r="A1442" s="0" t="s">
        <v>1229</v>
      </c>
      <c r="B1442" s="0" t="s">
        <v>75</v>
      </c>
      <c r="C1442" s="5" t="n">
        <f aca="false">Sens!$C$1440*(1+wacc)^t_roll-Sens!$C$1441</f>
        <v>398.707888758711</v>
      </c>
    </row>
    <row r="1443" customFormat="false" ht="17.15" hidden="false" customHeight="false" outlineLevel="0" collapsed="false">
      <c r="A1443" s="1" t="s">
        <v>1230</v>
      </c>
      <c r="B1443" s="0" t="s">
        <v>168</v>
      </c>
      <c r="F1443" s="7" t="n">
        <f aca="false">Sens!F1395/(Sens!F1340-Sens!F1295)</f>
        <v>0.0689429147817268</v>
      </c>
      <c r="G1443" s="7" t="n">
        <f aca="false">Sens!G1395/(Sens!G1340-Sens!G1295)</f>
        <v>0.0656285482492321</v>
      </c>
      <c r="H1443" s="7" t="n">
        <f aca="false">Sens!H1395/(Sens!H1340-Sens!H1295)</f>
        <v>0.0638384430175668</v>
      </c>
      <c r="I1443" s="7" t="n">
        <f aca="false">Sens!I1395/(Sens!I1340-Sens!I1295)</f>
        <v>0.0634559050954951</v>
      </c>
      <c r="J1443" s="7" t="n">
        <f aca="false">Sens!J1395/(Sens!J1340-Sens!J1295)</f>
        <v>0.0641198819874697</v>
      </c>
      <c r="K1443" s="7" t="n">
        <f aca="false">Sens!K1395/(Sens!K1340-Sens!K1295)</f>
        <v>0.0653701458971952</v>
      </c>
    </row>
    <row r="1444" customFormat="false" ht="17.15" hidden="false" customHeight="false" outlineLevel="0" collapsed="false">
      <c r="A1444" s="0" t="s">
        <v>1231</v>
      </c>
      <c r="B1444" s="0" t="s">
        <v>98</v>
      </c>
      <c r="F1444" s="6" t="n">
        <f aca="false">Sens!F1325*(al_m365+Sens!F1443+sbc_r)</f>
        <v>84.5681072749515</v>
      </c>
      <c r="G1444" s="6" t="n">
        <f aca="false">Sens!G1325*(al_m365+Sens!G1443+sbc_r)</f>
        <v>98.9882509201919</v>
      </c>
      <c r="H1444" s="6" t="n">
        <f aca="false">Sens!H1325*(al_m365+Sens!H1443+sbc_r)</f>
        <v>113.57216840068</v>
      </c>
      <c r="I1444" s="6" t="n">
        <f aca="false">Sens!I1325*(al_m365+Sens!I1443+sbc_r)</f>
        <v>126.638259789449</v>
      </c>
      <c r="J1444" s="6" t="n">
        <f aca="false">Sens!J1325*(al_m365+Sens!J1443+sbc_r)</f>
        <v>138.001050947332</v>
      </c>
      <c r="K1444" s="6" t="n">
        <f aca="false">Sens!K1325*(al_m365+Sens!K1443+sbc_r)</f>
        <v>148.983695640375</v>
      </c>
      <c r="L1444" s="12" t="s">
        <v>1232</v>
      </c>
    </row>
    <row r="1445" customFormat="false" ht="17.15" hidden="false" customHeight="false" outlineLevel="0" collapsed="false">
      <c r="A1445" s="0" t="s">
        <v>1233</v>
      </c>
      <c r="B1445" s="0" t="s">
        <v>98</v>
      </c>
      <c r="F1445" s="6" t="n">
        <f aca="false">Sens!F1326*(al_lic+Sens!F1443+sbc_r)</f>
        <v>32.8701774736332</v>
      </c>
      <c r="G1445" s="6" t="n">
        <f aca="false">Sens!G1326*(al_lic+Sens!G1443+sbc_r)</f>
        <v>34.129432128138</v>
      </c>
      <c r="H1445" s="6" t="n">
        <f aca="false">Sens!H1326*(al_lic+Sens!H1443+sbc_r)</f>
        <v>35.3097133398107</v>
      </c>
      <c r="I1445" s="6" t="n">
        <f aca="false">Sens!I1326*(al_lic+Sens!I1443+sbc_r)</f>
        <v>36.3940299977603</v>
      </c>
      <c r="J1445" s="6" t="n">
        <f aca="false">Sens!J1326*(al_lic+Sens!J1443+sbc_r)</f>
        <v>37.3543380898072</v>
      </c>
      <c r="K1445" s="6" t="n">
        <f aca="false">Sens!K1326*(al_lic+Sens!K1443+sbc_r)</f>
        <v>38.1573693006033</v>
      </c>
    </row>
    <row r="1446" customFormat="false" ht="17.15" hidden="false" customHeight="false" outlineLevel="0" collapsed="false">
      <c r="A1446" s="0" t="s">
        <v>1234</v>
      </c>
      <c r="B1446" s="0" t="s">
        <v>98</v>
      </c>
      <c r="F1446" s="6" t="n">
        <f aca="false">Sens!F1328*(al_ind+Sens!F1443+sbc_r)</f>
        <v>9.06763290056407</v>
      </c>
      <c r="G1446" s="6" t="n">
        <f aca="false">Sens!G1328*(al_ind+Sens!G1443+sbc_r)</f>
        <v>9.83119465286369</v>
      </c>
      <c r="H1446" s="6" t="n">
        <f aca="false">Sens!H1328*(al_ind+Sens!H1443+sbc_r)</f>
        <v>10.6423975522808</v>
      </c>
      <c r="I1446" s="6" t="n">
        <f aca="false">Sens!I1328*(al_ind+Sens!I1443+sbc_r)</f>
        <v>11.4994379613957</v>
      </c>
      <c r="J1446" s="6" t="n">
        <f aca="false">Sens!J1328*(al_ind+Sens!J1443+sbc_r)</f>
        <v>12.3913686396727</v>
      </c>
      <c r="K1446" s="6" t="n">
        <f aca="false">Sens!K1328*(al_ind+Sens!K1443+sbc_r)</f>
        <v>13.3000517489837</v>
      </c>
    </row>
    <row r="1447" customFormat="false" ht="17.15" hidden="false" customHeight="false" outlineLevel="0" collapsed="false">
      <c r="A1447" s="0" t="s">
        <v>1235</v>
      </c>
      <c r="B1447" s="0" t="s">
        <v>98</v>
      </c>
      <c r="F1447" s="6" t="n">
        <f aca="false">Sens!F1330*(al_fro+Sens!F1443+sbc_r)</f>
        <v>3.55685999898666</v>
      </c>
      <c r="G1447" s="6" t="n">
        <f aca="false">Sens!G1330*(al_fro+Sens!G1443+sbc_r)</f>
        <v>3.76170320656323</v>
      </c>
      <c r="H1447" s="6" t="n">
        <f aca="false">Sens!H1330*(al_fro+Sens!H1443+sbc_r)</f>
        <v>3.99671977161905</v>
      </c>
      <c r="I1447" s="6" t="n">
        <f aca="false">Sens!I1330*(al_fro+Sens!I1443+sbc_r)</f>
        <v>4.26500328074847</v>
      </c>
      <c r="J1447" s="6" t="n">
        <f aca="false">Sens!J1330*(al_fro+Sens!J1443+sbc_r)</f>
        <v>4.56714912483408</v>
      </c>
      <c r="K1447" s="6" t="n">
        <f aca="false">Sens!K1330*(al_fro+Sens!K1443+sbc_r)</f>
        <v>4.90206703326869</v>
      </c>
    </row>
    <row r="1448" customFormat="false" ht="17.15" hidden="false" customHeight="false" outlineLevel="0" collapsed="false">
      <c r="A1448" s="0" t="s">
        <v>1236</v>
      </c>
      <c r="B1448" s="0" t="s">
        <v>98</v>
      </c>
      <c r="F1448" s="6" t="n">
        <f aca="false">Sens!F1333*(al_srch+Sens!F1443+sbc_r)</f>
        <v>11.1980015052365</v>
      </c>
      <c r="G1448" s="6" t="n">
        <f aca="false">Sens!G1333*(al_srch+Sens!G1443+sbc_r)</f>
        <v>12.2555106897099</v>
      </c>
      <c r="H1448" s="6" t="n">
        <f aca="false">Sens!H1333*(al_srch+Sens!H1443+sbc_r)</f>
        <v>13.3611334135136</v>
      </c>
      <c r="I1448" s="6" t="n">
        <f aca="false">Sens!I1333*(al_srch+Sens!I1443+sbc_r)</f>
        <v>14.5059536978895</v>
      </c>
      <c r="J1448" s="6" t="n">
        <f aca="false">Sens!J1333*(al_srch+Sens!J1443+sbc_r)</f>
        <v>15.6685444347101</v>
      </c>
      <c r="K1448" s="6" t="n">
        <f aca="false">Sens!K1333*(al_srch+Sens!K1443+sbc_r)</f>
        <v>16.817549204831</v>
      </c>
    </row>
    <row r="1449" customFormat="false" ht="17.15" hidden="false" customHeight="false" outlineLevel="0" collapsed="false">
      <c r="A1449" s="0" t="s">
        <v>1237</v>
      </c>
      <c r="B1449" s="0" t="s">
        <v>98</v>
      </c>
      <c r="F1449" s="6" t="n">
        <f aca="false">Sens!F1301-Sens!F1302+Sens!F1383</f>
        <v>54.243770541549</v>
      </c>
      <c r="G1449" s="6" t="n">
        <f aca="false">Sens!G1301-Sens!G1302+Sens!G1383</f>
        <v>106.604061574196</v>
      </c>
      <c r="H1449" s="6" t="n">
        <f aca="false">Sens!H1301-Sens!H1302+Sens!H1383</f>
        <v>167.690040463209</v>
      </c>
      <c r="I1449" s="6" t="n">
        <f aca="false">Sens!I1301-Sens!I1302+Sens!I1383</f>
        <v>216.042226364932</v>
      </c>
      <c r="J1449" s="6" t="n">
        <f aca="false">Sens!J1301-Sens!J1302+Sens!J1383</f>
        <v>249.975969813543</v>
      </c>
      <c r="K1449" s="6" t="n">
        <f aca="false">Sens!K1301-Sens!K1302+Sens!K1383</f>
        <v>270.447194939631</v>
      </c>
    </row>
    <row r="1450" customFormat="false" ht="17.15" hidden="false" customHeight="false" outlineLevel="0" collapsed="false">
      <c r="A1450" s="0" t="s">
        <v>1238</v>
      </c>
      <c r="B1450" s="0" t="s">
        <v>98</v>
      </c>
      <c r="F1450" s="6" t="n">
        <f aca="false">Sens!F1362+Sens!F1383+Sens!F1313+Sens!F1443*(Sens!F1332-Sens!F1295)+sbc_r*Sens!F1332</f>
        <v>247.786037252772</v>
      </c>
      <c r="G1450" s="6" t="n">
        <f aca="false">Sens!G1362+Sens!G1383+Sens!G1313+Sens!G1443*(Sens!G1332-Sens!G1295)+sbc_r*Sens!G1332</f>
        <v>326.509195493331</v>
      </c>
      <c r="H1450" s="6" t="n">
        <f aca="false">Sens!H1362+Sens!H1383+Sens!H1313+Sens!H1443*(Sens!H1332-Sens!H1295)+sbc_r*Sens!H1332</f>
        <v>417.648523792967</v>
      </c>
      <c r="I1450" s="6" t="n">
        <f aca="false">Sens!I1362+Sens!I1383+Sens!I1313+Sens!I1443*(Sens!I1332-Sens!I1295)+sbc_r*Sens!I1332</f>
        <v>493.901318714607</v>
      </c>
      <c r="J1450" s="6" t="n">
        <f aca="false">Sens!J1362+Sens!J1383+Sens!J1313+Sens!J1443*(Sens!J1332-Sens!J1295)+sbc_r*Sens!J1332</f>
        <v>552.709733082823</v>
      </c>
      <c r="K1450" s="6" t="n">
        <f aca="false">Sens!K1362+Sens!K1383+Sens!K1313+Sens!K1443*(Sens!K1332-Sens!K1295)+sbc_r*Sens!K1332</f>
        <v>595.599540921075</v>
      </c>
    </row>
    <row r="1451" customFormat="false" ht="17.15" hidden="false" customHeight="false" outlineLevel="0" collapsed="false">
      <c r="A1451" s="0" t="s">
        <v>1239</v>
      </c>
      <c r="B1451" s="0" t="s">
        <v>98</v>
      </c>
      <c r="F1451" s="6" t="n">
        <f aca="false">Sens!F1450-Sens!F1444-Sens!F1445-Sens!F1446-Sens!F1447-Sens!F1449</f>
        <v>63.4794890630881</v>
      </c>
      <c r="G1451" s="6" t="n">
        <f aca="false">Sens!G1450-Sens!G1444-Sens!G1445-Sens!G1446-Sens!G1447-Sens!G1449</f>
        <v>73.1945530113774</v>
      </c>
      <c r="H1451" s="6" t="n">
        <f aca="false">Sens!H1450-Sens!H1444-Sens!H1445-Sens!H1446-Sens!H1447-Sens!H1449</f>
        <v>86.4374842653681</v>
      </c>
      <c r="I1451" s="6" t="n">
        <f aca="false">Sens!I1450-Sens!I1444-Sens!I1445-Sens!I1446-Sens!I1447-Sens!I1449</f>
        <v>99.0623613203219</v>
      </c>
      <c r="J1451" s="6" t="n">
        <f aca="false">Sens!J1450-Sens!J1444-Sens!J1445-Sens!J1446-Sens!J1447-Sens!J1449</f>
        <v>110.419856467634</v>
      </c>
      <c r="K1451" s="6" t="n">
        <f aca="false">Sens!K1450-Sens!K1444-Sens!K1445-Sens!K1446-Sens!K1447-Sens!K1449</f>
        <v>119.809162258214</v>
      </c>
    </row>
    <row r="1452" customFormat="false" ht="17.15" hidden="false" customHeight="false" outlineLevel="0" collapsed="false">
      <c r="A1452" s="0" t="s">
        <v>1240</v>
      </c>
      <c r="B1452" s="0" t="s">
        <v>98</v>
      </c>
      <c r="F1452" s="6" t="n">
        <f aca="false">Sens!F1364+Sens!F1443*Sens!F1339+sbc_r*Sens!F1339</f>
        <v>26.6544286681929</v>
      </c>
      <c r="G1452" s="6" t="n">
        <f aca="false">Sens!G1364+Sens!G1443*Sens!G1339+sbc_r*Sens!G1339</f>
        <v>26.4585121179322</v>
      </c>
      <c r="H1452" s="6" t="n">
        <f aca="false">Sens!H1364+Sens!H1443*Sens!H1339+sbc_r*Sens!H1339</f>
        <v>27.3089234101983</v>
      </c>
      <c r="I1452" s="6" t="n">
        <f aca="false">Sens!I1364+Sens!I1443*Sens!I1339+sbc_r*Sens!I1339</f>
        <v>28.4065434084781</v>
      </c>
      <c r="J1452" s="6" t="n">
        <f aca="false">Sens!J1364+Sens!J1443*Sens!J1339+sbc_r*Sens!J1339</f>
        <v>29.711765059313</v>
      </c>
      <c r="K1452" s="6" t="n">
        <f aca="false">Sens!K1364+Sens!K1443*Sens!K1339+sbc_r*Sens!K1339</f>
        <v>31.1797395023949</v>
      </c>
    </row>
    <row r="1453" customFormat="false" ht="17.15" hidden="false" customHeight="false" outlineLevel="0" collapsed="false">
      <c r="A1453" s="0" t="s">
        <v>1241</v>
      </c>
      <c r="B1453" s="0" t="s">
        <v>98</v>
      </c>
      <c r="F1453" s="6" t="n">
        <f aca="false">(Sens!F1452-Sens!F1448)*Sens!F1335/(Sens!F1335+Sens!F1337)</f>
        <v>8.72956622947668</v>
      </c>
      <c r="G1453" s="6" t="n">
        <f aca="false">(Sens!G1452-Sens!G1448)*Sens!G1335/(Sens!G1335+Sens!G1337)</f>
        <v>7.88378714993074</v>
      </c>
      <c r="H1453" s="6" t="n">
        <f aca="false">(Sens!H1452-Sens!H1448)*Sens!H1335/(Sens!H1335+Sens!H1337)</f>
        <v>7.64126769479391</v>
      </c>
      <c r="I1453" s="6" t="n">
        <f aca="false">(Sens!I1452-Sens!I1448)*Sens!I1335/(Sens!I1335+Sens!I1337)</f>
        <v>7.54893836846288</v>
      </c>
      <c r="J1453" s="6" t="n">
        <f aca="false">(Sens!J1452-Sens!J1448)*Sens!J1335/(Sens!J1335+Sens!J1337)</f>
        <v>7.59312276926207</v>
      </c>
      <c r="K1453" s="6" t="n">
        <f aca="false">(Sens!K1452-Sens!K1448)*Sens!K1335/(Sens!K1335+Sens!K1337)</f>
        <v>7.7655886124762</v>
      </c>
    </row>
    <row r="1454" customFormat="false" ht="17.15" hidden="false" customHeight="false" outlineLevel="0" collapsed="false">
      <c r="A1454" s="0" t="s">
        <v>1242</v>
      </c>
      <c r="B1454" s="0" t="s">
        <v>98</v>
      </c>
      <c r="F1454" s="6" t="n">
        <f aca="false">Sens!F1452-Sens!F1448-Sens!F1453</f>
        <v>6.72686093347975</v>
      </c>
      <c r="G1454" s="6" t="n">
        <f aca="false">Sens!G1452-Sens!G1448-Sens!G1453</f>
        <v>6.31921427829158</v>
      </c>
      <c r="H1454" s="6" t="n">
        <f aca="false">Sens!H1452-Sens!H1448-Sens!H1453</f>
        <v>6.30652230189084</v>
      </c>
      <c r="I1454" s="6" t="n">
        <f aca="false">Sens!I1452-Sens!I1448-Sens!I1453</f>
        <v>6.35165134212572</v>
      </c>
      <c r="J1454" s="6" t="n">
        <f aca="false">Sens!J1452-Sens!J1448-Sens!J1453</f>
        <v>6.45009785534085</v>
      </c>
      <c r="K1454" s="6" t="n">
        <f aca="false">Sens!K1452-Sens!K1448-Sens!K1453</f>
        <v>6.59660168508771</v>
      </c>
    </row>
    <row r="1455" customFormat="false" ht="17.15" hidden="false" customHeight="false" outlineLevel="0" collapsed="false">
      <c r="A1455" s="0" t="s">
        <v>1243</v>
      </c>
      <c r="B1455" s="0" t="s">
        <v>98</v>
      </c>
      <c r="F1455" s="6" t="n">
        <f aca="false">Sens!F1449-tax_f*(Sens!F1449-Sens!F1313)-Sens!F1310</f>
        <v>-118.14302471321</v>
      </c>
      <c r="G1455" s="6" t="n">
        <f aca="false">Sens!G1449-tax_f*(Sens!G1449-Sens!G1313)-Sens!G1310</f>
        <v>-94.5143282592314</v>
      </c>
      <c r="H1455" s="6" t="n">
        <f aca="false">Sens!H1449-tax_f*(Sens!H1449-Sens!H1313)-Sens!H1310</f>
        <v>-44.8339535616563</v>
      </c>
      <c r="I1455" s="6" t="n">
        <f aca="false">Sens!I1449-tax_f*(Sens!I1449-Sens!I1313)-Sens!I1310</f>
        <v>27.0651494092447</v>
      </c>
      <c r="J1455" s="6" t="n">
        <f aca="false">Sens!J1449-tax_f*(Sens!J1449-Sens!J1313)-Sens!J1310</f>
        <v>97.4539792648135</v>
      </c>
      <c r="K1455" s="6" t="n">
        <f aca="false">Sens!K1449-tax_f*(Sens!K1449-Sens!K1313)-Sens!K1310</f>
        <v>125.997436797159</v>
      </c>
    </row>
    <row r="1456" customFormat="false" ht="17.15" hidden="false" customHeight="false" outlineLevel="0" collapsed="false">
      <c r="A1456" s="0" t="s">
        <v>1244</v>
      </c>
      <c r="B1456" s="0" t="s">
        <v>98</v>
      </c>
      <c r="G1456" s="6" t="n">
        <f aca="false">Sens!G1455/(1+wacc)^(Sens!G1426-Sens!F1427)</f>
        <v>-89.9958285122899</v>
      </c>
      <c r="H1456" s="6" t="n">
        <f aca="false">Sens!H1455/(1+wacc)^(Sens!H1426-Sens!F1427)</f>
        <v>-38.7062609325623</v>
      </c>
      <c r="I1456" s="6" t="n">
        <f aca="false">Sens!I1455/(1+wacc)^(Sens!I1426-Sens!F1427)</f>
        <v>21.1852730662164</v>
      </c>
      <c r="J1456" s="6" t="n">
        <f aca="false">Sens!J1455/(1+wacc)^(Sens!J1426-Sens!F1427)</f>
        <v>69.1628162792736</v>
      </c>
      <c r="K1456" s="6" t="n">
        <f aca="false">Sens!K1455/(1+wacc)^(Sens!K1426-Sens!F1427)</f>
        <v>81.0744959608393</v>
      </c>
      <c r="L1456" s="1" t="s">
        <v>1245</v>
      </c>
    </row>
    <row r="1457" customFormat="false" ht="17.15" hidden="false" customHeight="false" outlineLevel="0" collapsed="false">
      <c r="A1457" s="0" t="s">
        <v>1246</v>
      </c>
      <c r="B1457" s="0" t="s">
        <v>98</v>
      </c>
      <c r="C1457" s="6" t="n">
        <f aca="false">(Sens!K1449-Sens!K1313)*(1-tax_f)*(1+g_tv)*(1-g_tv/(wacc+ronic_prem))/(wacc-g_tv)/(1+wacc)^(Sens!K1427-Sens!F1427)</f>
        <v>625.016972539689</v>
      </c>
    </row>
    <row r="1458" customFormat="false" ht="17.15" hidden="false" customHeight="false" outlineLevel="0" collapsed="false">
      <c r="A1458" s="1" t="s">
        <v>1247</v>
      </c>
      <c r="B1458" s="0" t="s">
        <v>98</v>
      </c>
      <c r="C1458" s="6" t="n">
        <f aca="false">(SUM(Sens!G1456:K1456)+Sens!$C$1457)*(1+wacc)^(t_roll-Sens!F1427)</f>
        <v>689.781501621079</v>
      </c>
      <c r="L1458" s="12" t="s">
        <v>1248</v>
      </c>
    </row>
    <row r="1459" customFormat="false" ht="17.15" hidden="false" customHeight="false" outlineLevel="0" collapsed="false">
      <c r="A1459" s="1" t="s">
        <v>1249</v>
      </c>
      <c r="B1459" s="0" t="s">
        <v>98</v>
      </c>
      <c r="C1459" s="6" t="n">
        <f aca="false">(w_ntm28*Sens!G1301+(1-w_ntm28)*Sens!H1301)*m_ai</f>
        <v>671.325778167802</v>
      </c>
    </row>
    <row r="1460" customFormat="false" ht="17.15" hidden="false" customHeight="false" outlineLevel="0" collapsed="false">
      <c r="A1460" s="1" t="s">
        <v>1250</v>
      </c>
      <c r="B1460" s="0" t="s">
        <v>98</v>
      </c>
      <c r="C1460" s="6" t="n">
        <f aca="false">(w_ntm28*Sens!G1451+(1-w_ntm28)*Sens!H1451)*m_cloud</f>
        <v>1071.71879711482</v>
      </c>
    </row>
    <row r="1461" customFormat="false" ht="17.15" hidden="false" customHeight="false" outlineLevel="0" collapsed="false">
      <c r="A1461" s="1" t="s">
        <v>1251</v>
      </c>
      <c r="B1461" s="0" t="s">
        <v>98</v>
      </c>
      <c r="C1461" s="6" t="n">
        <f aca="false">(w_ntm28*Sens!G1444+(1-w_ntm28)*Sens!H1444)*m_sw</f>
        <v>1120.85600597838</v>
      </c>
    </row>
    <row r="1462" customFormat="false" ht="17.15" hidden="false" customHeight="false" outlineLevel="0" collapsed="false">
      <c r="A1462" s="1" t="s">
        <v>1252</v>
      </c>
      <c r="B1462" s="0" t="s">
        <v>98</v>
      </c>
      <c r="C1462" s="6" t="n">
        <f aca="false">(w_ntm28*Sens!G1445+(1-w_ntm28)*Sens!H1445)*m_sw</f>
        <v>372.788673697118</v>
      </c>
    </row>
    <row r="1463" customFormat="false" ht="17.15" hidden="false" customHeight="false" outlineLevel="0" collapsed="false">
      <c r="A1463" s="1" t="s">
        <v>1253</v>
      </c>
      <c r="B1463" s="0" t="s">
        <v>98</v>
      </c>
      <c r="C1463" s="6" t="n">
        <f aca="false">(w_ntm28*Sens!G1446+(1-w_ntm28)*Sens!H1446)*m_sw</f>
        <v>109.057228162283</v>
      </c>
    </row>
    <row r="1464" customFormat="false" ht="17.15" hidden="false" customHeight="false" outlineLevel="0" collapsed="false">
      <c r="A1464" s="1" t="s">
        <v>1254</v>
      </c>
      <c r="B1464" s="0" t="s">
        <v>98</v>
      </c>
      <c r="C1464" s="6" t="n">
        <f aca="false">(w_ntm28*Sens!G1447+(1-w_ntm28)*Sens!H1447)*m_sw</f>
        <v>41.4608644070811</v>
      </c>
    </row>
    <row r="1465" customFormat="false" ht="17.15" hidden="false" customHeight="false" outlineLevel="0" collapsed="false">
      <c r="A1465" s="1" t="s">
        <v>1255</v>
      </c>
      <c r="B1465" s="0" t="s">
        <v>98</v>
      </c>
      <c r="C1465" s="6" t="n">
        <f aca="false">(w_ntm28*Sens!G1448+(1-w_ntm28)*Sens!H1448)*m_ads</f>
        <v>114.959118168633</v>
      </c>
    </row>
    <row r="1466" customFormat="false" ht="17.15" hidden="false" customHeight="false" outlineLevel="0" collapsed="false">
      <c r="A1466" s="1" t="s">
        <v>1256</v>
      </c>
      <c r="B1466" s="0" t="s">
        <v>98</v>
      </c>
      <c r="C1466" s="6" t="n">
        <f aca="false">(w_ntm28*Sens!G1453+(1-w_ntm28)*Sens!H1453)*m_game</f>
        <v>98.5652111934735</v>
      </c>
    </row>
    <row r="1467" customFormat="false" ht="17.15" hidden="false" customHeight="false" outlineLevel="0" collapsed="false">
      <c r="A1467" s="1" t="s">
        <v>1257</v>
      </c>
      <c r="B1467" s="0" t="s">
        <v>98</v>
      </c>
      <c r="C1467" s="6" t="n">
        <f aca="false">(w_ntm28*Sens!G1454+(1-w_ntm28)*Sens!H1454)*m_pc</f>
        <v>91.3786515717497</v>
      </c>
    </row>
    <row r="1468" customFormat="false" ht="17.15" hidden="false" customHeight="false" outlineLevel="0" collapsed="false">
      <c r="A1468" s="1" t="s">
        <v>1258</v>
      </c>
      <c r="B1468" s="0" t="s">
        <v>98</v>
      </c>
      <c r="C1468" s="6" t="n">
        <f aca="false">Sens!$C$1458+Sens!$C$1460+Sens!$C$1461+Sens!$C$1462+Sens!$C$1463+Sens!$C$1464+Sens!$C$1465+Sens!$C$1466+Sens!$C$1467</f>
        <v>3710.56605191462</v>
      </c>
    </row>
    <row r="1469" customFormat="false" ht="17.15" hidden="false" customHeight="false" outlineLevel="0" collapsed="false">
      <c r="A1469" s="1" t="s">
        <v>1259</v>
      </c>
      <c r="B1469" s="0" t="s">
        <v>98</v>
      </c>
      <c r="C1469" s="6" t="n">
        <f aca="false">(Sens!G1430-Sens!G1455)*t_stub</f>
        <v>48.0617823751398</v>
      </c>
      <c r="L1469" s="1" t="s">
        <v>1260</v>
      </c>
    </row>
    <row r="1470" customFormat="false" ht="17.15" hidden="false" customHeight="false" outlineLevel="0" collapsed="false">
      <c r="A1470" s="1" t="s">
        <v>1169</v>
      </c>
      <c r="B1470" s="0" t="s">
        <v>98</v>
      </c>
      <c r="C1470" s="6" t="n">
        <f aca="false">Sens!F1417+oai_v-Sens!F1406+Sens!$C$1469</f>
        <v>162.29005237514</v>
      </c>
      <c r="L1470" s="1" t="s">
        <v>1261</v>
      </c>
    </row>
    <row r="1471" customFormat="false" ht="17.15" hidden="false" customHeight="false" outlineLevel="0" collapsed="false">
      <c r="A1471" s="1" t="s">
        <v>1262</v>
      </c>
      <c r="B1471" s="0" t="s">
        <v>75</v>
      </c>
      <c r="C1471" s="5" t="n">
        <f aca="false">(Sens!$C$1468+Sens!$C$1470)/(Sens!F1419+dil_gap)-Sens!G1409*roll_div_q/q_per_yr</f>
        <v>516.719657252637</v>
      </c>
      <c r="L1471" s="1" t="s">
        <v>1263</v>
      </c>
    </row>
    <row r="1472" customFormat="false" ht="17.15" hidden="false" customHeight="false" outlineLevel="0" collapsed="false">
      <c r="A1472" s="1" t="s">
        <v>1264</v>
      </c>
      <c r="B1472" s="0" t="s">
        <v>75</v>
      </c>
      <c r="C1472" s="5" t="n">
        <f aca="false">w_dcf*Sens!$C$1442+(1-w_dcf)*Sens!$C$1471</f>
        <v>457.713773005674</v>
      </c>
    </row>
    <row r="1473" customFormat="false" ht="17.15" hidden="false" customHeight="false" outlineLevel="0" collapsed="false">
      <c r="A1473" s="3" t="s">
        <v>1515</v>
      </c>
    </row>
    <row r="1474" customFormat="false" ht="15" hidden="false" customHeight="false" outlineLevel="0" collapsed="false">
      <c r="A1474" s="4" t="s">
        <v>43</v>
      </c>
      <c r="B1474" s="4" t="s">
        <v>65</v>
      </c>
      <c r="C1474" s="23" t="s">
        <v>938</v>
      </c>
      <c r="D1474" s="23" t="s">
        <v>939</v>
      </c>
      <c r="E1474" s="23" t="s">
        <v>940</v>
      </c>
      <c r="F1474" s="23" t="s">
        <v>941</v>
      </c>
      <c r="G1474" s="23" t="s">
        <v>942</v>
      </c>
      <c r="H1474" s="23" t="s">
        <v>943</v>
      </c>
      <c r="I1474" s="23" t="s">
        <v>944</v>
      </c>
      <c r="J1474" s="23" t="s">
        <v>945</v>
      </c>
      <c r="K1474" s="23" t="s">
        <v>946</v>
      </c>
      <c r="L1474" s="4" t="s">
        <v>47</v>
      </c>
    </row>
    <row r="1475" customFormat="false" ht="17.15" hidden="false" customHeight="false" outlineLevel="0" collapsed="false">
      <c r="A1475" s="1" t="s">
        <v>947</v>
      </c>
      <c r="B1475" s="1" t="s">
        <v>279</v>
      </c>
      <c r="C1475" s="21" t="n">
        <v>2024</v>
      </c>
      <c r="D1475" s="21" t="n">
        <v>2025</v>
      </c>
      <c r="E1475" s="21" t="n">
        <v>2026</v>
      </c>
      <c r="F1475" s="21" t="n">
        <v>2027</v>
      </c>
      <c r="G1475" s="21" t="n">
        <v>2028</v>
      </c>
      <c r="H1475" s="21" t="n">
        <v>2029</v>
      </c>
      <c r="I1475" s="21" t="n">
        <v>2030</v>
      </c>
      <c r="J1475" s="21" t="n">
        <v>2031</v>
      </c>
      <c r="K1475" s="21" t="n">
        <v>2032</v>
      </c>
    </row>
    <row r="1476" customFormat="false" ht="17.15" hidden="false" customHeight="false" outlineLevel="0" collapsed="false">
      <c r="A1476" s="1" t="s">
        <v>948</v>
      </c>
      <c r="B1476" s="0" t="s">
        <v>456</v>
      </c>
      <c r="F1476" s="30" t="n">
        <f aca="false">pace</f>
        <v>2726.5351</v>
      </c>
      <c r="G1476" s="30" t="n">
        <f aca="false">pace</f>
        <v>2726.5351</v>
      </c>
      <c r="H1476" s="30" t="n">
        <f aca="false">pace</f>
        <v>2726.5351</v>
      </c>
      <c r="I1476" s="30" t="n">
        <f aca="false">pace+(g_tv*Sens!H1477-pace)*MIN(1,(Sens!I1475-pace_y0)/(pace_y1-pace_y0))</f>
        <v>1931.98611966667</v>
      </c>
      <c r="J1476" s="30" t="n">
        <f aca="false">pace+(g_tv*Sens!I1477-pace)*MIN(1,(Sens!J1475-pace_y0)/(pace_y1-pace_y0))</f>
        <v>1176.07686172667</v>
      </c>
      <c r="K1476" s="30" t="n">
        <f aca="false">pace+(g_tv*Sens!J1477-pace)*MIN(1,(Sens!K1475-pace_y0)/(pace_y1-pace_y0))</f>
        <v>436.1300484418</v>
      </c>
      <c r="L1476" s="12" t="s">
        <v>949</v>
      </c>
    </row>
    <row r="1477" customFormat="false" ht="17.15" hidden="false" customHeight="false" outlineLevel="0" collapsed="false">
      <c r="A1477" s="1" t="s">
        <v>950</v>
      </c>
      <c r="B1477" s="0" t="s">
        <v>456</v>
      </c>
      <c r="C1477" s="30" t="n">
        <f aca="false">mw_ext_24</f>
        <v>640</v>
      </c>
      <c r="D1477" s="30" t="n">
        <f aca="false">mw_ext_25</f>
        <v>1630</v>
      </c>
      <c r="E1477" s="30" t="n">
        <f aca="false">mw_ext_26</f>
        <v>3250</v>
      </c>
      <c r="F1477" s="30" t="n">
        <f aca="false">Sens!E1477+Sens!F1476</f>
        <v>5976.5351</v>
      </c>
      <c r="G1477" s="30" t="n">
        <f aca="false">Sens!F1477+Sens!G1476</f>
        <v>8703.0702</v>
      </c>
      <c r="H1477" s="30" t="n">
        <f aca="false">Sens!G1477+Sens!H1476</f>
        <v>11429.6053</v>
      </c>
      <c r="I1477" s="30" t="n">
        <f aca="false">Sens!H1477+Sens!I1476</f>
        <v>13361.5914196667</v>
      </c>
      <c r="J1477" s="30" t="n">
        <f aca="false">Sens!I1477+Sens!J1476</f>
        <v>14537.6682813933</v>
      </c>
      <c r="K1477" s="30" t="n">
        <f aca="false">Sens!J1477+Sens!K1476</f>
        <v>14973.7983298351</v>
      </c>
      <c r="L1477" s="1" t="s">
        <v>951</v>
      </c>
    </row>
    <row r="1478" customFormat="false" ht="17.15" hidden="false" customHeight="false" outlineLevel="0" collapsed="false">
      <c r="A1478" s="1" t="s">
        <v>952</v>
      </c>
      <c r="B1478" s="0" t="s">
        <v>456</v>
      </c>
      <c r="C1478" s="30" t="n">
        <f aca="false">rent_ext_24</f>
        <v>150</v>
      </c>
      <c r="D1478" s="30" t="n">
        <f aca="false">rent_ext_25</f>
        <v>400</v>
      </c>
      <c r="E1478" s="30" t="n">
        <f aca="false">rent_ext_26</f>
        <v>550</v>
      </c>
      <c r="F1478" s="30" t="n">
        <f aca="false">rent_ext_f</f>
        <v>756</v>
      </c>
      <c r="G1478" s="30" t="n">
        <f aca="false">rent_ext_f</f>
        <v>756</v>
      </c>
      <c r="H1478" s="30" t="n">
        <f aca="false">rent_ext_f</f>
        <v>756</v>
      </c>
      <c r="I1478" s="30" t="n">
        <f aca="false">rent_ext_f</f>
        <v>756</v>
      </c>
      <c r="J1478" s="30" t="n">
        <f aca="false">rent_ext_f</f>
        <v>756</v>
      </c>
      <c r="K1478" s="30" t="n">
        <f aca="false">rent_ext_f</f>
        <v>756</v>
      </c>
      <c r="L1478" s="1" t="s">
        <v>953</v>
      </c>
    </row>
    <row r="1479" customFormat="false" ht="17.15" hidden="false" customHeight="false" outlineLevel="0" collapsed="false">
      <c r="A1479" s="1" t="s">
        <v>954</v>
      </c>
      <c r="B1479" s="0" t="s">
        <v>456</v>
      </c>
      <c r="C1479" s="30" t="n">
        <f aca="false">Sens!C1477-Sens!C1478</f>
        <v>490</v>
      </c>
      <c r="D1479" s="30" t="n">
        <f aca="false">Sens!D1477-Sens!D1478</f>
        <v>1230</v>
      </c>
      <c r="E1479" s="30" t="n">
        <f aca="false">Sens!E1477-Sens!E1478</f>
        <v>2700</v>
      </c>
      <c r="F1479" s="30" t="n">
        <f aca="false">Sens!F1477-Sens!F1478</f>
        <v>5220.5351</v>
      </c>
      <c r="G1479" s="30" t="n">
        <f aca="false">Sens!G1477-Sens!G1478</f>
        <v>7947.0702</v>
      </c>
      <c r="H1479" s="30" t="n">
        <f aca="false">Sens!H1477-Sens!H1478</f>
        <v>10673.6053</v>
      </c>
      <c r="I1479" s="30" t="n">
        <f aca="false">Sens!I1477-Sens!I1478</f>
        <v>12605.5914196667</v>
      </c>
      <c r="J1479" s="30" t="n">
        <f aca="false">Sens!J1477-Sens!J1478</f>
        <v>13781.6682813933</v>
      </c>
      <c r="K1479" s="30" t="n">
        <f aca="false">Sens!K1477-Sens!K1478</f>
        <v>14217.7983298351</v>
      </c>
    </row>
    <row r="1480" customFormat="false" ht="17.15" hidden="false" customHeight="false" outlineLevel="0" collapsed="false">
      <c r="A1480" s="1" t="s">
        <v>955</v>
      </c>
      <c r="B1480" s="0" t="s">
        <v>456</v>
      </c>
      <c r="C1480" s="30" t="n">
        <f aca="false">Sens!C1479/ext_sh</f>
        <v>816.666666666667</v>
      </c>
      <c r="D1480" s="30" t="n">
        <f aca="false">Sens!D1479/ext_sh</f>
        <v>2050</v>
      </c>
      <c r="E1480" s="30" t="n">
        <f aca="false">Sens!E1479/ext_sh</f>
        <v>4500</v>
      </c>
      <c r="F1480" s="30" t="n">
        <f aca="false">Sens!F1479/ext_sh</f>
        <v>8700.89183333333</v>
      </c>
      <c r="G1480" s="30" t="n">
        <f aca="false">Sens!G1479/ext_sh</f>
        <v>13245.117</v>
      </c>
      <c r="H1480" s="30" t="n">
        <f aca="false">Sens!H1479/ext_sh</f>
        <v>17789.3421666667</v>
      </c>
      <c r="I1480" s="30" t="n">
        <f aca="false">Sens!I1479/ext_sh</f>
        <v>21009.3190327778</v>
      </c>
      <c r="J1480" s="30" t="n">
        <f aca="false">Sens!J1479/ext_sh</f>
        <v>22969.4471356556</v>
      </c>
      <c r="K1480" s="30" t="n">
        <f aca="false">Sens!K1479/ext_sh</f>
        <v>23696.3305497252</v>
      </c>
      <c r="L1480" s="1" t="s">
        <v>956</v>
      </c>
    </row>
    <row r="1481" customFormat="false" ht="17.15" hidden="false" customHeight="false" outlineLevel="0" collapsed="false">
      <c r="A1481" s="1" t="s">
        <v>957</v>
      </c>
      <c r="B1481" s="0" t="s">
        <v>456</v>
      </c>
      <c r="C1481" s="30" t="n">
        <f aca="false">Sens!C1480-Sens!C1479</f>
        <v>326.666666666667</v>
      </c>
      <c r="D1481" s="30" t="n">
        <f aca="false">Sens!D1480-Sens!D1479</f>
        <v>820</v>
      </c>
      <c r="E1481" s="30" t="n">
        <f aca="false">Sens!E1480-Sens!E1479</f>
        <v>1800</v>
      </c>
      <c r="F1481" s="30" t="n">
        <f aca="false">Sens!F1480-Sens!F1479</f>
        <v>3480.35673333333</v>
      </c>
      <c r="G1481" s="30" t="n">
        <f aca="false">Sens!G1480-Sens!G1479</f>
        <v>5298.0468</v>
      </c>
      <c r="H1481" s="30" t="n">
        <f aca="false">Sens!H1480-Sens!H1479</f>
        <v>7115.73686666667</v>
      </c>
      <c r="I1481" s="30" t="n">
        <f aca="false">Sens!I1480-Sens!I1479</f>
        <v>8403.72761311111</v>
      </c>
      <c r="J1481" s="30" t="n">
        <f aca="false">Sens!J1480-Sens!J1479</f>
        <v>9187.77885426222</v>
      </c>
      <c r="K1481" s="30" t="n">
        <f aca="false">Sens!K1480-Sens!K1479</f>
        <v>9478.53221989009</v>
      </c>
    </row>
    <row r="1482" customFormat="false" ht="17.15" hidden="false" customHeight="false" outlineLevel="0" collapsed="false">
      <c r="A1482" s="1" t="s">
        <v>958</v>
      </c>
      <c r="B1482" s="0" t="s">
        <v>456</v>
      </c>
      <c r="C1482" s="30" t="n">
        <f aca="false">Sens!C1480</f>
        <v>816.666666666667</v>
      </c>
      <c r="D1482" s="30" t="n">
        <f aca="false">Sens!D1480-Sens!C1480</f>
        <v>1233.33333333333</v>
      </c>
      <c r="E1482" s="30" t="n">
        <f aca="false">Sens!E1480-Sens!D1480</f>
        <v>2450</v>
      </c>
      <c r="F1482" s="30" t="n">
        <f aca="false">Sens!F1480-Sens!E1480</f>
        <v>4200.89183333333</v>
      </c>
      <c r="G1482" s="30" t="n">
        <f aca="false">Sens!G1480-Sens!F1480</f>
        <v>4544.22516666667</v>
      </c>
      <c r="H1482" s="30" t="n">
        <f aca="false">Sens!H1480-Sens!G1480</f>
        <v>4544.22516666667</v>
      </c>
      <c r="I1482" s="30" t="n">
        <f aca="false">Sens!I1480-Sens!H1480</f>
        <v>3219.97686611111</v>
      </c>
      <c r="J1482" s="30" t="n">
        <f aca="false">Sens!J1480-Sens!I1480</f>
        <v>1960.12810287778</v>
      </c>
      <c r="K1482" s="30" t="n">
        <f aca="false">Sens!K1480-Sens!J1480</f>
        <v>726.883414069667</v>
      </c>
    </row>
    <row r="1483" customFormat="false" ht="17.15" hidden="false" customHeight="false" outlineLevel="0" collapsed="false">
      <c r="A1483" s="1" t="s">
        <v>959</v>
      </c>
      <c r="B1483" s="0" t="s">
        <v>456</v>
      </c>
      <c r="D1483" s="30" t="n">
        <f aca="false">Sens!D1477-Sens!C1477</f>
        <v>990</v>
      </c>
      <c r="E1483" s="30" t="n">
        <f aca="false">Sens!E1477-Sens!D1477</f>
        <v>1620</v>
      </c>
      <c r="F1483" s="30" t="n">
        <f aca="false">Sens!F1477-Sens!E1477</f>
        <v>2726.5351</v>
      </c>
      <c r="G1483" s="30" t="n">
        <f aca="false">Sens!G1477-Sens!F1477</f>
        <v>2726.5351</v>
      </c>
      <c r="H1483" s="30" t="n">
        <f aca="false">Sens!H1477-Sens!G1477</f>
        <v>2726.5351</v>
      </c>
      <c r="I1483" s="30" t="n">
        <f aca="false">Sens!I1477-Sens!H1477</f>
        <v>1931.98611966667</v>
      </c>
      <c r="J1483" s="30" t="n">
        <f aca="false">Sens!J1477-Sens!I1477</f>
        <v>1176.07686172667</v>
      </c>
      <c r="K1483" s="30" t="n">
        <f aca="false">Sens!K1477-Sens!J1477</f>
        <v>436.130048441799</v>
      </c>
    </row>
    <row r="1484" customFormat="false" ht="17.15" hidden="false" customHeight="false" outlineLevel="0" collapsed="false">
      <c r="A1484" s="1" t="s">
        <v>960</v>
      </c>
      <c r="B1484" s="0" t="s">
        <v>456</v>
      </c>
      <c r="F1484" s="30" t="n">
        <f aca="false">Sens!F1503*ext_sh</f>
        <v>0</v>
      </c>
      <c r="G1484" s="30" t="n">
        <f aca="false">Sens!G1503*ext_sh</f>
        <v>0</v>
      </c>
      <c r="H1484" s="30" t="n">
        <f aca="false">Sens!H1503*ext_sh</f>
        <v>0</v>
      </c>
      <c r="I1484" s="30" t="n">
        <f aca="false">Sens!I1503*ext_sh</f>
        <v>490</v>
      </c>
      <c r="J1484" s="30" t="n">
        <f aca="false">Sens!J1503*ext_sh</f>
        <v>740</v>
      </c>
      <c r="K1484" s="30" t="n">
        <f aca="false">Sens!K1503*ext_sh</f>
        <v>1470</v>
      </c>
      <c r="L1484" s="1" t="s">
        <v>961</v>
      </c>
    </row>
    <row r="1485" customFormat="false" ht="17.15" hidden="false" customHeight="false" outlineLevel="0" collapsed="false">
      <c r="A1485" s="1" t="s">
        <v>962</v>
      </c>
      <c r="B1485" s="0" t="s">
        <v>456</v>
      </c>
      <c r="C1485" s="30" t="n">
        <f aca="false">mix_h*Sens!C1477</f>
        <v>128</v>
      </c>
      <c r="D1485" s="30" t="n">
        <f aca="false">mix_h*Sens!D1477</f>
        <v>326</v>
      </c>
      <c r="E1485" s="30" t="n">
        <f aca="false">mix_h*Sens!E1477</f>
        <v>650</v>
      </c>
      <c r="F1485" s="30" t="n">
        <f aca="false">Sens!E1485-Sens!F1484*mix_h</f>
        <v>650</v>
      </c>
      <c r="G1485" s="30" t="n">
        <f aca="false">Sens!F1485-Sens!G1484*mix_h</f>
        <v>650</v>
      </c>
      <c r="H1485" s="30" t="n">
        <f aca="false">Sens!G1485-Sens!H1484*mix_h</f>
        <v>650</v>
      </c>
      <c r="I1485" s="30" t="n">
        <f aca="false">Sens!H1485-Sens!I1484*mix_h</f>
        <v>552</v>
      </c>
      <c r="J1485" s="30" t="n">
        <f aca="false">Sens!I1485-Sens!J1484*mix_h</f>
        <v>404</v>
      </c>
      <c r="K1485" s="30" t="n">
        <f aca="false">Sens!J1485-Sens!K1484*mix_h</f>
        <v>110</v>
      </c>
    </row>
    <row r="1486" customFormat="false" ht="17.15" hidden="false" customHeight="false" outlineLevel="0" collapsed="false">
      <c r="A1486" s="1" t="s">
        <v>963</v>
      </c>
      <c r="B1486" s="0" t="s">
        <v>456</v>
      </c>
      <c r="C1486" s="30" t="n">
        <f aca="false">mix_g2*Sens!C1477</f>
        <v>288</v>
      </c>
      <c r="D1486" s="30" t="n">
        <f aca="false">mix_g2*Sens!D1477</f>
        <v>733.5</v>
      </c>
      <c r="E1486" s="30" t="n">
        <f aca="false">mix_g2*Sens!E1477</f>
        <v>1462.5</v>
      </c>
      <c r="F1486" s="30" t="n">
        <f aca="false">Sens!E1486-Sens!F1484*mix_g2</f>
        <v>1462.5</v>
      </c>
      <c r="G1486" s="30" t="n">
        <f aca="false">Sens!F1486-Sens!G1484*mix_g2</f>
        <v>1462.5</v>
      </c>
      <c r="H1486" s="30" t="n">
        <f aca="false">Sens!G1486-Sens!H1484*mix_g2</f>
        <v>1462.5</v>
      </c>
      <c r="I1486" s="30" t="n">
        <f aca="false">Sens!H1486-Sens!I1484*mix_g2</f>
        <v>1242</v>
      </c>
      <c r="J1486" s="30" t="n">
        <f aca="false">Sens!I1486-Sens!J1484*mix_g2</f>
        <v>909</v>
      </c>
      <c r="K1486" s="30" t="n">
        <f aca="false">Sens!J1486-Sens!K1484*mix_g2</f>
        <v>247.5</v>
      </c>
    </row>
    <row r="1487" customFormat="false" ht="17.15" hidden="false" customHeight="false" outlineLevel="0" collapsed="false">
      <c r="A1487" s="1" t="s">
        <v>964</v>
      </c>
      <c r="B1487" s="0" t="s">
        <v>456</v>
      </c>
      <c r="C1487" s="30" t="n">
        <f aca="false">mix_g3*Sens!C1477</f>
        <v>224</v>
      </c>
      <c r="D1487" s="30" t="n">
        <f aca="false">mix_g3*Sens!D1477</f>
        <v>570.5</v>
      </c>
      <c r="E1487" s="30" t="n">
        <f aca="false">mix_g3*Sens!E1477</f>
        <v>1137.5</v>
      </c>
      <c r="F1487" s="30" t="n">
        <f aca="false">Sens!E1487+(Sens!F1483+Sens!F1484)*(a_g3_27-nonnv*a_mai)-Sens!F1484*mix_g3</f>
        <v>2773.42106</v>
      </c>
      <c r="G1487" s="30" t="n">
        <f aca="false">Sens!F1487+(Sens!G1483+Sens!G1484)*(a_g3_28-nonnv*a_mai)-Sens!G1484*mix_g3</f>
        <v>3318.72808</v>
      </c>
      <c r="H1487" s="30" t="n">
        <f aca="false">Sens!G1487+(Sens!H1483+Sens!H1484)*(a_g3_29-nonnv*a_mai)-Sens!H1484*mix_g3</f>
        <v>3318.72808</v>
      </c>
      <c r="I1487" s="30" t="n">
        <f aca="false">Sens!H1487+(Sens!I1483+Sens!I1484)*(a_g3_29-nonnv*a_mai)-Sens!I1484*mix_g3</f>
        <v>3147.22808</v>
      </c>
      <c r="J1487" s="30" t="n">
        <f aca="false">Sens!I1487+(Sens!J1483+Sens!J1484)*(a_g3_29-nonnv*a_mai)-Sens!J1484*mix_g3</f>
        <v>2888.22808</v>
      </c>
      <c r="K1487" s="30" t="n">
        <f aca="false">Sens!J1487+(Sens!K1483+Sens!K1484)*(a_g3_29-nonnv*a_mai)-Sens!K1484*mix_g3</f>
        <v>2373.72808</v>
      </c>
    </row>
    <row r="1488" customFormat="false" ht="17.15" hidden="false" customHeight="false" outlineLevel="0" collapsed="false">
      <c r="A1488" s="1" t="s">
        <v>965</v>
      </c>
      <c r="B1488" s="0" t="s">
        <v>456</v>
      </c>
      <c r="C1488" s="30" t="n">
        <v>0</v>
      </c>
      <c r="D1488" s="30" t="n">
        <v>0</v>
      </c>
      <c r="E1488" s="30" t="n">
        <v>0</v>
      </c>
      <c r="F1488" s="30" t="n">
        <f aca="false">Sens!E1488+(Sens!F1483+Sens!F1484)*nonnv*a_mai</f>
        <v>272.65351</v>
      </c>
      <c r="G1488" s="30" t="n">
        <f aca="false">Sens!F1488+(Sens!G1483+Sens!G1484)*nonnv*a_mai</f>
        <v>545.30702</v>
      </c>
      <c r="H1488" s="30" t="n">
        <f aca="false">Sens!G1488+(Sens!H1483+Sens!H1484)*nonnv*a_mai</f>
        <v>817.96053</v>
      </c>
      <c r="I1488" s="30" t="n">
        <f aca="false">Sens!H1488+(Sens!I1483+Sens!I1484)*nonnv*a_mai</f>
        <v>1060.15914196667</v>
      </c>
      <c r="J1488" s="30" t="n">
        <f aca="false">Sens!I1488+(Sens!J1483+Sens!J1484)*nonnv*a_mai</f>
        <v>1251.76682813933</v>
      </c>
      <c r="K1488" s="30" t="n">
        <f aca="false">Sens!J1488+(Sens!K1483+Sens!K1484)*nonnv*a_mai</f>
        <v>1442.37983298351</v>
      </c>
      <c r="L1488" s="12" t="s">
        <v>966</v>
      </c>
    </row>
    <row r="1489" customFormat="false" ht="17.15" hidden="false" customHeight="false" outlineLevel="0" collapsed="false">
      <c r="A1489" s="1" t="s">
        <v>967</v>
      </c>
      <c r="B1489" s="0" t="s">
        <v>456</v>
      </c>
      <c r="C1489" s="30" t="n">
        <v>0</v>
      </c>
      <c r="D1489" s="30" t="n">
        <v>0</v>
      </c>
      <c r="E1489" s="30" t="n">
        <v>0</v>
      </c>
      <c r="F1489" s="30" t="n">
        <f aca="false">Sens!E1489+(Sens!F1483+Sens!F1484)*(1-a_g3_27)</f>
        <v>817.96053</v>
      </c>
      <c r="G1489" s="30" t="n">
        <f aca="false">Sens!F1489+(Sens!G1483+Sens!G1484)*(1-a_g3_28)</f>
        <v>2726.5351</v>
      </c>
      <c r="H1489" s="30" t="n">
        <f aca="false">Sens!G1489+(Sens!H1483+Sens!H1484)*(1-a_g3_29)</f>
        <v>5180.41669</v>
      </c>
      <c r="I1489" s="30" t="n">
        <f aca="false">Sens!H1489+(Sens!I1483+Sens!I1484)*(1-a_g3_29)</f>
        <v>7360.2041977</v>
      </c>
      <c r="J1489" s="30" t="n">
        <f aca="false">Sens!I1489+(Sens!J1483+Sens!J1484)*(1-a_g3_29)</f>
        <v>9084.673373254</v>
      </c>
      <c r="K1489" s="30" t="n">
        <f aca="false">Sens!J1489+(Sens!K1483+Sens!K1484)*(1-a_g3_29)</f>
        <v>10800.1904168516</v>
      </c>
    </row>
    <row r="1490" customFormat="false" ht="17.15" hidden="false" customHeight="false" outlineLevel="0" collapsed="false">
      <c r="A1490" s="1" t="s">
        <v>968</v>
      </c>
      <c r="B1490" s="0" t="s">
        <v>403</v>
      </c>
      <c r="C1490" s="15" t="n">
        <f aca="false">(Sens!C1485*tk_hold_h100+Sens!C1486*tk_hold_gb200+Sens!C1487*tk_hold_gb300+Sens!C1489*tk_hold_vr200+Sens!C1488*nv_hold_mai*tk_hold_vr200)/Sens!C1477</f>
        <v>9.7235358126469</v>
      </c>
      <c r="D1490" s="15" t="n">
        <f aca="false">(Sens!D1485*tk_hold_h100+Sens!D1486*tk_hold_gb200+Sens!D1487*tk_hold_gb300+Sens!D1489*tk_hold_vr200+Sens!D1488*nv_hold_mai*tk_hold_vr200)/Sens!D1477</f>
        <v>9.7235358126469</v>
      </c>
      <c r="E1490" s="15" t="n">
        <f aca="false">(Sens!E1485*tk_hold_h100+Sens!E1486*tk_hold_gb200+Sens!E1487*tk_hold_gb300+Sens!E1489*tk_hold_vr200+Sens!E1488*nv_hold_mai*tk_hold_vr200)/Sens!E1477</f>
        <v>9.7235358126469</v>
      </c>
      <c r="F1490" s="15" t="n">
        <f aca="false">(Sens!F1485*tk_hold_h100+Sens!F1486*tk_hold_gb200+Sens!F1487*tk_hold_gb300+Sens!F1489*tk_hold_vr200+Sens!F1488*nv_hold_mai*tk_hold_vr200)/Sens!F1477</f>
        <v>10.2195353876665</v>
      </c>
      <c r="G1490" s="15" t="n">
        <f aca="false">(Sens!G1485*tk_hold_h100+Sens!G1486*tk_hold_gb200+Sens!G1487*tk_hold_gb300+Sens!G1489*tk_hold_vr200+Sens!G1488*nv_hold_mai*tk_hold_vr200)/Sens!G1477</f>
        <v>10.5725598017306</v>
      </c>
      <c r="H1490" s="15" t="n">
        <f aca="false">(Sens!H1485*tk_hold_h100+Sens!H1486*tk_hold_gb200+Sens!H1487*tk_hold_gb300+Sens!H1489*tk_hold_vr200+Sens!H1488*nv_hold_mai*tk_hold_vr200)/Sens!H1477</f>
        <v>10.8210427149036</v>
      </c>
      <c r="I1490" s="15" t="n">
        <f aca="false">(Sens!I1485*tk_hold_h100+Sens!I1486*tk_hold_gb200+Sens!I1487*tk_hold_gb300+Sens!I1489*tk_hold_vr200+Sens!I1488*nv_hold_mai*tk_hold_vr200)/Sens!I1477</f>
        <v>11.0050618241982</v>
      </c>
      <c r="J1490" s="15" t="n">
        <f aca="false">(Sens!J1485*tk_hold_h100+Sens!J1486*tk_hold_gb200+Sens!J1487*tk_hold_gb300+Sens!J1489*tk_hold_vr200+Sens!J1488*nv_hold_mai*tk_hold_vr200)/Sens!J1477</f>
        <v>11.1505789658881</v>
      </c>
      <c r="K1490" s="15" t="n">
        <f aca="false">(Sens!K1485*tk_hold_h100+Sens!K1486*tk_hold_gb200+Sens!K1487*tk_hold_gb300+Sens!K1489*tk_hold_vr200+Sens!K1488*nv_hold_mai*tk_hold_vr200)/Sens!K1477</f>
        <v>11.3496914757183</v>
      </c>
      <c r="L1490" s="1" t="s">
        <v>969</v>
      </c>
    </row>
    <row r="1491" customFormat="false" ht="17.15" hidden="false" customHeight="false" outlineLevel="0" collapsed="false">
      <c r="A1491" s="1" t="s">
        <v>970</v>
      </c>
      <c r="B1491" s="0" t="s">
        <v>403</v>
      </c>
      <c r="C1491" s="15" t="n">
        <f aca="false">(Sens!C1485*tk_hold_h100+Sens!C1486*tk_hold_gb200+Sens!C1487*tk_hold_gb300+Sens!C1489*tk_hold_vr200+Sens!C1488*nv_out_mai*tk_hold_vr200)/Sens!C1477</f>
        <v>9.7235358126469</v>
      </c>
      <c r="D1491" s="15" t="n">
        <f aca="false">(Sens!D1485*tk_hold_h100+Sens!D1486*tk_hold_gb200+Sens!D1487*tk_hold_gb300+Sens!D1489*tk_hold_vr200+Sens!D1488*nv_out_mai*tk_hold_vr200)/Sens!D1477</f>
        <v>9.7235358126469</v>
      </c>
      <c r="E1491" s="15" t="n">
        <f aca="false">(Sens!E1485*tk_hold_h100+Sens!E1486*tk_hold_gb200+Sens!E1487*tk_hold_gb300+Sens!E1489*tk_hold_vr200+Sens!E1488*nv_out_mai*tk_hold_vr200)/Sens!E1477</f>
        <v>9.7235358126469</v>
      </c>
      <c r="F1491" s="15" t="n">
        <f aca="false">(Sens!F1485*tk_hold_h100+Sens!F1486*tk_hold_gb200+Sens!F1487*tk_hold_gb300+Sens!F1489*tk_hold_vr200+Sens!F1488*nv_out_mai*tk_hold_vr200)/Sens!F1477</f>
        <v>10.247422093969</v>
      </c>
      <c r="G1491" s="15" t="n">
        <f aca="false">(Sens!G1485*tk_hold_h100+Sens!G1486*tk_hold_gb200+Sens!G1487*tk_hold_gb300+Sens!G1489*tk_hold_vr200+Sens!G1488*nv_out_mai*tk_hold_vr200)/Sens!G1477</f>
        <v>10.6108602808053</v>
      </c>
      <c r="H1491" s="15" t="n">
        <f aca="false">(Sens!H1485*tk_hold_h100+Sens!H1486*tk_hold_gb200+Sens!H1487*tk_hold_gb300+Sens!H1489*tk_hold_vr200+Sens!H1488*nv_out_mai*tk_hold_vr200)/Sens!H1477</f>
        <v>10.8647885507393</v>
      </c>
      <c r="I1491" s="15" t="n">
        <f aca="false">(Sens!I1485*tk_hold_h100+Sens!I1486*tk_hold_gb200+Sens!I1487*tk_hold_gb300+Sens!I1489*tk_hold_vr200+Sens!I1488*nv_out_mai*tk_hold_vr200)/Sens!I1477</f>
        <v>11.0535625770025</v>
      </c>
      <c r="J1491" s="15" t="n">
        <f aca="false">(Sens!J1485*tk_hold_h100+Sens!J1486*tk_hold_gb200+Sens!J1487*tk_hold_gb300+Sens!J1489*tk_hold_vr200+Sens!J1488*nv_out_mai*tk_hold_vr200)/Sens!J1477</f>
        <v>11.2032127128058</v>
      </c>
      <c r="K1491" s="15" t="n">
        <f aca="false">(Sens!K1485*tk_hold_h100+Sens!K1486*tk_hold_gb200+Sens!K1487*tk_hold_gb300+Sens!K1489*tk_hold_vr200+Sens!K1488*nv_out_mai*tk_hold_vr200)/Sens!K1477</f>
        <v>11.4085735724225</v>
      </c>
      <c r="L1491" s="12" t="s">
        <v>971</v>
      </c>
    </row>
    <row r="1492" customFormat="false" ht="17.15" hidden="false" customHeight="false" outlineLevel="0" collapsed="false">
      <c r="A1492" s="0" t="s">
        <v>972</v>
      </c>
      <c r="B1492" s="0" t="s">
        <v>229</v>
      </c>
      <c r="C1492" s="15" t="n">
        <f aca="false">k_B</f>
        <v>1.17213932619116</v>
      </c>
      <c r="D1492" s="15" t="n">
        <f aca="false">k_B</f>
        <v>1.17213932619116</v>
      </c>
      <c r="E1492" s="15" t="n">
        <f aca="false">k_B</f>
        <v>1.17213932619116</v>
      </c>
      <c r="F1492" s="15" t="n">
        <f aca="false">(k_B+((ls_B*k_long+(1-ls_B)*k_spot)-k_B)*MIN(1,(Sens!F1475-base_fy)/k_ramp))*1.15</f>
        <v>1.34796022511983</v>
      </c>
      <c r="G1492" s="15" t="n">
        <f aca="false">(k_B+((ls_B*k_long+(1-ls_B)*k_spot)-k_B)*MIN(1,(Sens!G1475-base_fy)/k_ramp))*1.15</f>
        <v>1.34796022511983</v>
      </c>
      <c r="H1492" s="15" t="n">
        <f aca="false">(k_B+((ls_B*k_long+(1-ls_B)*k_spot)-k_B)*MIN(1,(Sens!H1475-base_fy)/k_ramp))*1.15</f>
        <v>1.34796022511983</v>
      </c>
      <c r="I1492" s="15" t="n">
        <f aca="false">(k_B+((ls_B*k_long+(1-ls_B)*k_spot)-k_B)*MIN(1,(Sens!I1475-base_fy)/k_ramp))*1.15</f>
        <v>1.34796022511983</v>
      </c>
      <c r="J1492" s="15" t="n">
        <f aca="false">(k_B+((ls_B*k_long+(1-ls_B)*k_spot)-k_B)*MIN(1,(Sens!J1475-base_fy)/k_ramp))*1.15</f>
        <v>1.34796022511983</v>
      </c>
      <c r="K1492" s="15" t="n">
        <f aca="false">(k_B+((ls_B*k_long+(1-ls_B)*k_spot)-k_B)*MIN(1,(Sens!K1475-base_fy)/k_ramp))*1.15</f>
        <v>1.34796022511983</v>
      </c>
      <c r="L1492" s="1" t="s">
        <v>973</v>
      </c>
    </row>
    <row r="1493" customFormat="false" ht="17.15" hidden="false" customHeight="false" outlineLevel="0" collapsed="false">
      <c r="A1493" s="1" t="s">
        <v>974</v>
      </c>
      <c r="B1493" s="0" t="s">
        <v>403</v>
      </c>
      <c r="C1493" s="15" t="n">
        <f aca="false">Sens!C1491*Sens!C1492*chip_f</f>
        <v>11.3973387156315</v>
      </c>
      <c r="D1493" s="15" t="n">
        <f aca="false">Sens!D1491*Sens!D1492*chip_f</f>
        <v>11.3973387156315</v>
      </c>
      <c r="E1493" s="15" t="n">
        <f aca="false">Sens!E1491*Sens!E1492*chip_f</f>
        <v>11.3973387156315</v>
      </c>
      <c r="F1493" s="15" t="n">
        <f aca="false">Sens!F1491*Sens!F1492*chip_f</f>
        <v>13.8131173926843</v>
      </c>
      <c r="G1493" s="15" t="n">
        <f aca="false">Sens!G1491*Sens!G1492*chip_f</f>
        <v>14.3030176128293</v>
      </c>
      <c r="H1493" s="15" t="n">
        <f aca="false">Sens!H1491*Sens!H1492*chip_f</f>
        <v>14.6453028207339</v>
      </c>
      <c r="I1493" s="15" t="n">
        <f aca="false">Sens!I1491*Sens!I1492*chip_f</f>
        <v>14.8997626996724</v>
      </c>
      <c r="J1493" s="15" t="n">
        <f aca="false">Sens!J1491*Sens!J1492*chip_f</f>
        <v>15.101485130419</v>
      </c>
      <c r="K1493" s="15" t="n">
        <f aca="false">Sens!K1491*Sens!K1492*chip_f</f>
        <v>15.3783034009787</v>
      </c>
      <c r="L1493" s="1" t="s">
        <v>975</v>
      </c>
    </row>
    <row r="1494" customFormat="false" ht="17.15" hidden="false" customHeight="false" outlineLevel="0" collapsed="false">
      <c r="A1494" s="0" t="s">
        <v>976</v>
      </c>
      <c r="B1494" s="0" t="s">
        <v>98</v>
      </c>
      <c r="D1494" s="6" t="n">
        <f aca="false">(Sens!C1477+Sens!D1477)/2*Sens!D1493/1000</f>
        <v>12.9359794422418</v>
      </c>
      <c r="E1494" s="6" t="n">
        <f aca="false">(Sens!D1477+Sens!E1477)/2*Sens!E1493/1000</f>
        <v>27.8095064661409</v>
      </c>
      <c r="F1494" s="6" t="n">
        <f aca="false">(Sens!E1477+Sens!F1477)/2*Sens!F1493/1000</f>
        <v>63.7236062320111</v>
      </c>
      <c r="G1494" s="6" t="n">
        <f aca="false">(Sens!F1477+Sens!G1477)/2*Sens!G1493/1000</f>
        <v>104.981326577641</v>
      </c>
      <c r="H1494" s="6" t="n">
        <f aca="false">(Sens!G1477+Sens!H1477)/2*Sens!H1493/1000</f>
        <v>147.424564644535</v>
      </c>
      <c r="I1494" s="6" t="n">
        <f aca="false">(Sens!H1477+Sens!I1477)/2*Sens!I1493/1000</f>
        <v>184.691474081965</v>
      </c>
      <c r="J1494" s="6" t="n">
        <f aca="false">(Sens!I1477+Sens!J1477)/2*Sens!J1493/1000</f>
        <v>210.660127762628</v>
      </c>
      <c r="K1494" s="6" t="n">
        <f aca="false">(Sens!J1477+Sens!K1477)/2*Sens!K1493/1000</f>
        <v>226.918143677663</v>
      </c>
      <c r="L1494" s="12" t="s">
        <v>977</v>
      </c>
    </row>
    <row r="1495" customFormat="false" ht="17.15" hidden="false" customHeight="false" outlineLevel="0" collapsed="false">
      <c r="A1495" s="1" t="s">
        <v>978</v>
      </c>
      <c r="B1495" s="0" t="s">
        <v>403</v>
      </c>
      <c r="C1495" s="15" t="n">
        <f aca="false">(Sens!C1485*tk_opex_h100+Sens!C1486*tk_opex_gb200+Sens!C1487*tk_opex_gb300+(Sens!C1489+Sens!C1488)*tk_opex_vr200)/Sens!C1477</f>
        <v>1.88636041306092</v>
      </c>
      <c r="D1495" s="15" t="n">
        <f aca="false">(Sens!D1485*tk_opex_h100+Sens!D1486*tk_opex_gb200+Sens!D1487*tk_opex_gb300+(Sens!D1489+Sens!D1488)*tk_opex_vr200)/Sens!D1477</f>
        <v>1.88636041306092</v>
      </c>
      <c r="E1495" s="15" t="n">
        <f aca="false">(Sens!E1485*tk_opex_h100+Sens!E1486*tk_opex_gb200+Sens!E1487*tk_opex_gb300+(Sens!E1489+Sens!E1488)*tk_opex_vr200)/Sens!E1477</f>
        <v>1.88636041306092</v>
      </c>
      <c r="F1495" s="15" t="n">
        <f aca="false">(Sens!F1485*tk_opex_h100+Sens!F1486*tk_opex_gb200+Sens!F1487*tk_opex_gb300+(Sens!F1489+Sens!F1488)*tk_opex_vr200)/Sens!F1477</f>
        <v>1.95051159746876</v>
      </c>
      <c r="G1495" s="15" t="n">
        <f aca="false">(Sens!G1485*tk_opex_h100+Sens!G1486*tk_opex_gb200+Sens!G1487*tk_opex_gb300+(Sens!G1489+Sens!G1488)*tk_opex_vr200)/Sens!G1477</f>
        <v>1.98836003669956</v>
      </c>
      <c r="H1495" s="15" t="n">
        <f aca="false">(Sens!H1485*tk_opex_h100+Sens!H1486*tk_opex_gb200+Sens!H1487*tk_opex_gb300+(Sens!H1489+Sens!H1488)*tk_opex_vr200)/Sens!H1477</f>
        <v>2.01344013834343</v>
      </c>
      <c r="I1495" s="15" t="n">
        <f aca="false">(Sens!I1485*tk_opex_h100+Sens!I1486*tk_opex_gb200+Sens!I1487*tk_opex_gb300+(Sens!I1489+Sens!I1488)*tk_opex_vr200)/Sens!I1477</f>
        <v>2.03261166882178</v>
      </c>
      <c r="J1495" s="15" t="n">
        <f aca="false">(Sens!J1485*tk_opex_h100+Sens!J1486*tk_opex_gb200+Sens!J1487*tk_opex_gb300+(Sens!J1489+Sens!J1488)*tk_opex_vr200)/Sens!J1477</f>
        <v>2.04808073288745</v>
      </c>
      <c r="K1495" s="15" t="n">
        <f aca="false">(Sens!K1485*tk_opex_h100+Sens!K1486*tk_opex_gb200+Sens!K1487*tk_opex_gb300+(Sens!K1489+Sens!K1488)*tk_opex_vr200)/Sens!K1477</f>
        <v>2.06973825807449</v>
      </c>
      <c r="L1495" s="12" t="s">
        <v>979</v>
      </c>
    </row>
    <row r="1496" customFormat="false" ht="17.15" hidden="false" customHeight="false" outlineLevel="0" collapsed="false">
      <c r="A1496" s="0" t="s">
        <v>980</v>
      </c>
      <c r="B1496" s="0" t="s">
        <v>98</v>
      </c>
      <c r="D1496" s="6" t="n">
        <f aca="false">(Sens!C1480+Sens!D1480)/2*Sens!D1495/1000</f>
        <v>2.70378325872065</v>
      </c>
      <c r="E1496" s="6" t="n">
        <f aca="false">(Sens!D1480+Sens!E1480)/2*Sens!E1495/1000</f>
        <v>6.17783035277451</v>
      </c>
      <c r="F1496" s="6" t="n">
        <f aca="false">(Sens!E1480+Sens!F1480)/2*Sens!F1495/1000</f>
        <v>12.8742463089237</v>
      </c>
      <c r="G1496" s="6" t="n">
        <f aca="false">(Sens!F1480+Sens!G1480)/2*Sens!G1495/1000</f>
        <v>21.8182834646277</v>
      </c>
      <c r="H1496" s="6" t="n">
        <f aca="false">(Sens!G1480+Sens!H1480)/2*Sens!H1495/1000</f>
        <v>31.2430128789734</v>
      </c>
      <c r="I1496" s="6" t="n">
        <f aca="false">(Sens!H1480+Sens!I1480)/2*Sens!I1495/1000</f>
        <v>39.4313057443268</v>
      </c>
      <c r="J1496" s="6" t="n">
        <f aca="false">(Sens!I1480+Sens!J1480)/2*Sens!J1495/1000</f>
        <v>45.0360318228653</v>
      </c>
      <c r="K1496" s="6" t="n">
        <f aca="false">(Sens!J1480+Sens!K1480)/2*Sens!K1495/1000</f>
        <v>48.2929727091156</v>
      </c>
    </row>
    <row r="1497" customFormat="false" ht="17.15" hidden="false" customHeight="false" outlineLevel="0" collapsed="false">
      <c r="A1497" s="0" t="s">
        <v>981</v>
      </c>
      <c r="B1497" s="0" t="s">
        <v>98</v>
      </c>
      <c r="D1497" s="6" t="n">
        <f aca="false">(Sens!C1478+Sens!D1478)/2*rent_mw/1000</f>
        <v>2.44475</v>
      </c>
      <c r="E1497" s="6" t="n">
        <f aca="false">(Sens!D1478+Sens!E1478)/2*rent_mw/1000</f>
        <v>4.22275</v>
      </c>
      <c r="F1497" s="6" t="n">
        <f aca="false">(Sens!E1478+Sens!F1478)/2*rent_mw/1000</f>
        <v>5.80517</v>
      </c>
      <c r="G1497" s="6" t="n">
        <f aca="false">(Sens!F1478+Sens!G1478)/2*rent_mw/1000</f>
        <v>6.72084</v>
      </c>
      <c r="H1497" s="6" t="n">
        <f aca="false">(Sens!G1478+Sens!H1478)/2*rent_mw/1000</f>
        <v>6.72084</v>
      </c>
      <c r="I1497" s="6" t="n">
        <f aca="false">(Sens!H1478+Sens!I1478)/2*rent_mw/1000</f>
        <v>6.72084</v>
      </c>
      <c r="J1497" s="6" t="n">
        <f aca="false">(Sens!I1478+Sens!J1478)/2*rent_mw/1000</f>
        <v>6.72084</v>
      </c>
      <c r="K1497" s="6" t="n">
        <f aca="false">(Sens!J1478+Sens!K1478)/2*rent_mw/1000</f>
        <v>6.72084</v>
      </c>
    </row>
    <row r="1498" customFormat="false" ht="17.15" hidden="false" customHeight="false" outlineLevel="0" collapsed="false">
      <c r="A1498" s="0" t="s">
        <v>982</v>
      </c>
      <c r="B1498" s="0" t="s">
        <v>98</v>
      </c>
      <c r="D1498" s="6" t="n">
        <f aca="false">(Sens!C1480+Sens!D1480)/2*(1-self_build)*fac_rent/1000</f>
        <v>0.853242375631075</v>
      </c>
      <c r="E1498" s="6" t="n">
        <f aca="false">(Sens!D1480+Sens!E1480)/2*(1-self_build)*fac_rent/1000</f>
        <v>1.94955961408728</v>
      </c>
      <c r="F1498" s="6" t="n">
        <f aca="false">(Sens!E1480+Sens!F1480)/2*(1-self_build)*fac_rent/1000</f>
        <v>3.92914894476356</v>
      </c>
      <c r="G1498" s="6" t="n">
        <f aca="false">(Sens!F1480+Sens!G1480)/2*(1-self_build)*fac_rent/1000</f>
        <v>6.53206908578159</v>
      </c>
      <c r="H1498" s="6" t="n">
        <f aca="false">(Sens!G1480+Sens!H1480)/2*(1-self_build)*fac_rent/1000</f>
        <v>9.23717988341591</v>
      </c>
      <c r="I1498" s="6" t="n">
        <f aca="false">(Sens!H1480+Sens!I1480)/2*(1-self_build)*fac_rent/1000</f>
        <v>11.5481378557393</v>
      </c>
      <c r="J1498" s="6" t="n">
        <f aca="false">(Sens!I1480+Sens!J1480)/2*(1-self_build)*fac_rent/1000</f>
        <v>13.0899582289108</v>
      </c>
      <c r="K1498" s="6" t="n">
        <f aca="false">(Sens!J1480+Sens!K1480)/2*(1-self_build)*fac_rent/1000</f>
        <v>13.8897275626556</v>
      </c>
      <c r="L1498" s="12" t="s">
        <v>983</v>
      </c>
    </row>
    <row r="1499" customFormat="false" ht="17.15" hidden="false" customHeight="false" outlineLevel="0" collapsed="false">
      <c r="A1499" s="1" t="s">
        <v>984</v>
      </c>
      <c r="B1499" s="0" t="s">
        <v>168</v>
      </c>
      <c r="D1499" s="7" t="n">
        <f aca="false">(Sens!C1479+Sens!D1479)/(Sens!C1480+Sens!D1480)</f>
        <v>0.6</v>
      </c>
      <c r="E1499" s="7" t="n">
        <f aca="false">(Sens!D1479+Sens!E1479)/(Sens!D1480+Sens!E1480)</f>
        <v>0.6</v>
      </c>
      <c r="F1499" s="7" t="n">
        <f aca="false">(Sens!E1479+Sens!F1479)/(Sens!E1480+Sens!F1480)</f>
        <v>0.6</v>
      </c>
      <c r="G1499" s="7" t="n">
        <f aca="false">(Sens!F1479+Sens!G1479)/(Sens!F1480+Sens!G1480)</f>
        <v>0.6</v>
      </c>
      <c r="H1499" s="7" t="n">
        <f aca="false">(Sens!G1479+Sens!H1479)/(Sens!G1480+Sens!H1480)</f>
        <v>0.6</v>
      </c>
      <c r="I1499" s="7" t="n">
        <f aca="false">(Sens!H1479+Sens!I1479)/(Sens!H1480+Sens!I1480)</f>
        <v>0.6</v>
      </c>
      <c r="J1499" s="7" t="n">
        <f aca="false">(Sens!I1479+Sens!J1479)/(Sens!I1480+Sens!J1480)</f>
        <v>0.6</v>
      </c>
      <c r="K1499" s="7" t="n">
        <f aca="false">(Sens!J1479+Sens!K1479)/(Sens!J1480+Sens!K1480)</f>
        <v>0.6</v>
      </c>
    </row>
    <row r="1500" customFormat="false" ht="17.15" hidden="false" customHeight="false" outlineLevel="0" collapsed="false">
      <c r="A1500" s="0" t="s">
        <v>985</v>
      </c>
      <c r="B1500" s="0" t="s">
        <v>98</v>
      </c>
      <c r="D1500" s="6" t="n">
        <f aca="false">Sens!D1494-Sens!D1499*(Sens!D1496+Sens!D1498)-Sens!D1497</f>
        <v>8.35701406163072</v>
      </c>
      <c r="E1500" s="6" t="n">
        <f aca="false">Sens!E1494-Sens!E1499*(Sens!E1496+Sens!E1498)-Sens!E1497</f>
        <v>18.7103224860238</v>
      </c>
      <c r="F1500" s="6" t="n">
        <f aca="false">Sens!F1494-Sens!F1499*(Sens!F1496+Sens!F1498)-Sens!F1497</f>
        <v>47.8363990797987</v>
      </c>
      <c r="G1500" s="6" t="n">
        <f aca="false">Sens!G1494-Sens!G1499*(Sens!G1496+Sens!G1498)-Sens!G1497</f>
        <v>81.2502750473959</v>
      </c>
      <c r="H1500" s="6" t="n">
        <f aca="false">Sens!H1494-Sens!H1499*(Sens!H1496+Sens!H1498)-Sens!H1497</f>
        <v>116.415608987102</v>
      </c>
      <c r="I1500" s="6" t="n">
        <f aca="false">Sens!I1494-Sens!I1499*(Sens!I1496+Sens!I1498)-Sens!I1497</f>
        <v>147.382967921926</v>
      </c>
      <c r="J1500" s="6" t="n">
        <f aca="false">Sens!J1494-Sens!J1499*(Sens!J1496+Sens!J1498)-Sens!J1497</f>
        <v>169.063693731562</v>
      </c>
      <c r="K1500" s="6" t="n">
        <f aca="false">Sens!K1494-Sens!K1499*(Sens!K1496+Sens!K1498)-Sens!K1497</f>
        <v>182.8876835146</v>
      </c>
    </row>
    <row r="1501" customFormat="false" ht="17.15" hidden="false" customHeight="false" outlineLevel="0" collapsed="false">
      <c r="A1501" s="1" t="s">
        <v>986</v>
      </c>
      <c r="B1501" s="0" t="s">
        <v>98</v>
      </c>
      <c r="D1501" s="6" t="n">
        <f aca="false">(1-Sens!D1499)*(Sens!D1496+Sens!D1498)</f>
        <v>1.42281025374069</v>
      </c>
      <c r="E1501" s="6" t="n">
        <f aca="false">(1-Sens!E1499)*(Sens!E1496+Sens!E1498)</f>
        <v>3.25095598674472</v>
      </c>
      <c r="F1501" s="6" t="n">
        <f aca="false">(1-Sens!F1499)*(Sens!F1496+Sens!F1498)</f>
        <v>6.72135810147489</v>
      </c>
      <c r="G1501" s="6" t="n">
        <f aca="false">(1-Sens!G1499)*(Sens!G1496+Sens!G1498)</f>
        <v>11.3401410201637</v>
      </c>
      <c r="H1501" s="6" t="n">
        <f aca="false">(1-Sens!H1499)*(Sens!H1496+Sens!H1498)</f>
        <v>16.1920771049557</v>
      </c>
      <c r="I1501" s="6" t="n">
        <f aca="false">(1-Sens!I1499)*(Sens!I1496+Sens!I1498)</f>
        <v>20.3917774400264</v>
      </c>
      <c r="J1501" s="6" t="n">
        <f aca="false">(1-Sens!J1499)*(Sens!J1496+Sens!J1498)</f>
        <v>23.2503960207104</v>
      </c>
      <c r="K1501" s="6" t="n">
        <f aca="false">(1-Sens!K1499)*(Sens!K1496+Sens!K1498)</f>
        <v>24.8730801087085</v>
      </c>
    </row>
    <row r="1502" customFormat="false" ht="17.15" hidden="false" customHeight="false" outlineLevel="0" collapsed="false">
      <c r="A1502" s="1" t="s">
        <v>987</v>
      </c>
      <c r="B1502" s="0" t="s">
        <v>414</v>
      </c>
      <c r="C1502" s="8" t="n">
        <f aca="false">cxit_open</f>
        <v>27.5918995</v>
      </c>
      <c r="D1502" s="8" t="n">
        <f aca="false">cxit_open</f>
        <v>27.5918995</v>
      </c>
      <c r="E1502" s="8" t="n">
        <f aca="false">cxit_open</f>
        <v>27.5918995</v>
      </c>
      <c r="F1502" s="8" t="n">
        <f aca="false">((a_g3_27-nonnv*a_mai)*tk_cxit_gb300+nonnv*a_mai*nv_hold_mai*tk_cxit_vr200+(1-a_g3_27)*tk_cxit_vr200)</f>
        <v>32.4975576</v>
      </c>
      <c r="G1502" s="8" t="n">
        <f aca="false">((a_g3_28-nonnv*a_mai)*tk_cxit_gb300+nonnv*a_mai*nv_hold_mai*tk_cxit_vr200+(1-a_g3_28)*tk_cxit_vr200)</f>
        <v>34.6372088</v>
      </c>
      <c r="H1502" s="8" t="n">
        <f aca="false">((a_g3_29-nonnv*a_mai)*tk_cxit_gb300+nonnv*a_mai*nv_hold_mai*tk_cxit_vr200+(1-a_g3_29)*tk_cxit_vr200)</f>
        <v>35.7070344</v>
      </c>
      <c r="I1502" s="8" t="n">
        <f aca="false">((a_g3_29-nonnv*a_mai)*tk_cxit_gb300+nonnv*a_mai*nv_hold_mai*tk_cxit_vr200+(1-a_g3_29)*tk_cxit_vr200)</f>
        <v>35.7070344</v>
      </c>
      <c r="J1502" s="8" t="n">
        <f aca="false">((a_g3_29-nonnv*a_mai)*tk_cxit_gb300+nonnv*a_mai*nv_hold_mai*tk_cxit_vr200+(1-a_g3_29)*tk_cxit_vr200)</f>
        <v>35.7070344</v>
      </c>
      <c r="K1502" s="8" t="n">
        <f aca="false">((a_g3_29-nonnv*a_mai)*tk_cxit_gb300+nonnv*a_mai*nv_hold_mai*tk_cxit_vr200+(1-a_g3_29)*tk_cxit_vr200)</f>
        <v>35.7070344</v>
      </c>
      <c r="L1502" s="12" t="s">
        <v>988</v>
      </c>
    </row>
    <row r="1503" customFormat="false" ht="17.15" hidden="false" customHeight="false" outlineLevel="0" collapsed="false">
      <c r="A1503" s="0" t="s">
        <v>989</v>
      </c>
      <c r="B1503" s="0" t="s">
        <v>456</v>
      </c>
      <c r="F1503" s="30" t="n">
        <f aca="false">Sens!C1482*IF(Sens!F1475-Sens!C1475=life_it,1,0)+Sens!D1482*IF(Sens!F1475-Sens!D1475=life_it,1,0)+Sens!E1482*IF(Sens!F1475-Sens!E1475=life_it,1,0)</f>
        <v>0</v>
      </c>
      <c r="G1503" s="30" t="n">
        <f aca="false">Sens!C1482*IF(Sens!G1475-Sens!C1475=life_it,1,0)+Sens!D1482*IF(Sens!G1475-Sens!D1475=life_it,1,0)+Sens!E1482*IF(Sens!G1475-Sens!E1475=life_it,1,0)+Sens!F1482*IF(Sens!G1475-Sens!F1475=life_it,1,0)</f>
        <v>0</v>
      </c>
      <c r="H1503" s="30" t="n">
        <f aca="false">Sens!C1482*IF(Sens!H1475-Sens!C1475=life_it,1,0)+Sens!D1482*IF(Sens!H1475-Sens!D1475=life_it,1,0)+Sens!E1482*IF(Sens!H1475-Sens!E1475=life_it,1,0)+Sens!F1482*IF(Sens!H1475-Sens!F1475=life_it,1,0)+Sens!G1482*IF(Sens!H1475-Sens!G1475=life_it,1,0)</f>
        <v>0</v>
      </c>
      <c r="I1503" s="30" t="n">
        <f aca="false">Sens!C1482*IF(Sens!I1475-Sens!C1475=life_it,1,0)+Sens!D1482*IF(Sens!I1475-Sens!D1475=life_it,1,0)+Sens!E1482*IF(Sens!I1475-Sens!E1475=life_it,1,0)+Sens!F1482*IF(Sens!I1475-Sens!F1475=life_it,1,0)+Sens!G1482*IF(Sens!I1475-Sens!G1475=life_it,1,0)+Sens!H1482*IF(Sens!I1475-Sens!H1475=life_it,1,0)</f>
        <v>816.666666666667</v>
      </c>
      <c r="J1503" s="30" t="n">
        <f aca="false">Sens!C1482*IF(Sens!J1475-Sens!C1475=life_it,1,0)+Sens!D1482*IF(Sens!J1475-Sens!D1475=life_it,1,0)+Sens!E1482*IF(Sens!J1475-Sens!E1475=life_it,1,0)+Sens!F1482*IF(Sens!J1475-Sens!F1475=life_it,1,0)+Sens!G1482*IF(Sens!J1475-Sens!G1475=life_it,1,0)+Sens!H1482*IF(Sens!J1475-Sens!H1475=life_it,1,0)+Sens!I1482*IF(Sens!J1475-Sens!I1475=life_it,1,0)</f>
        <v>1233.33333333333</v>
      </c>
      <c r="K1503" s="30" t="n">
        <f aca="false">Sens!C1482*IF(Sens!K1475-Sens!C1475=life_it,1,0)+Sens!D1482*IF(Sens!K1475-Sens!D1475=life_it,1,0)+Sens!E1482*IF(Sens!K1475-Sens!E1475=life_it,1,0)+Sens!F1482*IF(Sens!K1475-Sens!F1475=life_it,1,0)+Sens!G1482*IF(Sens!K1475-Sens!G1475=life_it,1,0)+Sens!H1482*IF(Sens!K1475-Sens!H1475=life_it,1,0)+Sens!I1482*IF(Sens!K1475-Sens!I1475=life_it,1,0)+Sens!J1482*IF(Sens!K1475-Sens!J1475=life_it,1,0)</f>
        <v>2450</v>
      </c>
      <c r="L1503" s="1" t="s">
        <v>990</v>
      </c>
    </row>
    <row r="1504" customFormat="false" ht="17.15" hidden="false" customHeight="false" outlineLevel="0" collapsed="false">
      <c r="A1504" s="0" t="s">
        <v>991</v>
      </c>
      <c r="B1504" s="0" t="s">
        <v>98</v>
      </c>
      <c r="C1504" s="6" t="n">
        <f aca="false">Sens!C1482*Sens!C1502/1000</f>
        <v>22.5333845916667</v>
      </c>
      <c r="D1504" s="6" t="n">
        <f aca="false">Sens!D1482*Sens!D1502/1000</f>
        <v>34.0300093833333</v>
      </c>
      <c r="E1504" s="6" t="n">
        <f aca="false">Sens!E1482*Sens!E1502/1000</f>
        <v>67.600153775</v>
      </c>
      <c r="F1504" s="6" t="n">
        <f aca="false">(Sens!F1482+Sens!F1503)*Sens!F1502/1000</f>
        <v>136.51872432512</v>
      </c>
      <c r="G1504" s="6" t="n">
        <f aca="false">(Sens!G1482+Sens!G1503)*Sens!G1502/1000</f>
        <v>157.399275932048</v>
      </c>
      <c r="H1504" s="6" t="n">
        <f aca="false">(Sens!H1482+Sens!H1503)*Sens!H1502/1000</f>
        <v>162.260804347512</v>
      </c>
      <c r="I1504" s="6" t="n">
        <f aca="false">(Sens!I1482+Sens!I1503)*Sens!I1502/1000</f>
        <v>144.136569485434</v>
      </c>
      <c r="J1504" s="6" t="n">
        <f aca="false">(Sens!J1482+Sens!J1503)*Sens!J1502/1000</f>
        <v>114.029037357864</v>
      </c>
      <c r="K1504" s="6" t="n">
        <f aca="false">(Sens!K1482+Sens!K1503)*Sens!K1502/1000</f>
        <v>113.437085350975</v>
      </c>
    </row>
    <row r="1505" customFormat="false" ht="17.15" hidden="false" customHeight="false" outlineLevel="0" collapsed="false">
      <c r="A1505" s="0" t="s">
        <v>992</v>
      </c>
      <c r="B1505" s="0" t="s">
        <v>98</v>
      </c>
      <c r="C1505" s="6" t="n">
        <f aca="false">Sens!C1482*self_build*tk_cxfac/1000</f>
        <v>6.2083</v>
      </c>
      <c r="D1505" s="6" t="n">
        <f aca="false">Sens!D1482*self_build*tk_cxfac/1000</f>
        <v>9.3758</v>
      </c>
      <c r="E1505" s="6" t="n">
        <f aca="false">Sens!E1482*self_build*tk_cxfac/1000</f>
        <v>18.6249</v>
      </c>
      <c r="F1505" s="6" t="n">
        <f aca="false">Sens!F1482*self_build*tk_cxfac/1000</f>
        <v>31.935179717</v>
      </c>
      <c r="G1505" s="6" t="n">
        <f aca="false">Sens!G1482*self_build*tk_cxfac/1000</f>
        <v>34.545199717</v>
      </c>
      <c r="H1505" s="6" t="n">
        <f aca="false">Sens!H1482*self_build*tk_cxfac/1000</f>
        <v>34.545199717</v>
      </c>
      <c r="I1505" s="6" t="n">
        <f aca="false">Sens!I1482*self_build*tk_cxfac/1000</f>
        <v>24.4782641361767</v>
      </c>
      <c r="J1505" s="6" t="n">
        <f aca="false">Sens!J1482*self_build*tk_cxfac/1000</f>
        <v>14.9008938380769</v>
      </c>
      <c r="K1505" s="6" t="n">
        <f aca="false">Sens!K1482*self_build*tk_cxfac/1000</f>
        <v>5.52576771375761</v>
      </c>
    </row>
    <row r="1506" customFormat="false" ht="17.15" hidden="false" customHeight="false" outlineLevel="0" collapsed="false">
      <c r="A1506" s="0" t="s">
        <v>993</v>
      </c>
      <c r="B1506" s="0" t="s">
        <v>98</v>
      </c>
      <c r="F1506" s="15" t="n">
        <f aca="false">capex_floor27-Sens!F1504-Sens!F1505-Sens!F1602</f>
        <v>0.365046760478137</v>
      </c>
      <c r="L1506" s="12" t="s">
        <v>994</v>
      </c>
    </row>
    <row r="1507" customFormat="false" ht="17.15" hidden="false" customHeight="false" outlineLevel="0" collapsed="false">
      <c r="A1507" s="0" t="s">
        <v>995</v>
      </c>
      <c r="B1507" s="0" t="s">
        <v>98</v>
      </c>
      <c r="F1507" s="6" t="n">
        <f aca="false">MAX(0,Sens!F1506)</f>
        <v>0.365046760478137</v>
      </c>
    </row>
    <row r="1508" customFormat="false" ht="17.15" hidden="false" customHeight="false" outlineLevel="0" collapsed="false">
      <c r="A1508" s="0" t="s">
        <v>996</v>
      </c>
      <c r="B1508" s="0" t="s">
        <v>98</v>
      </c>
      <c r="C1508" s="6" t="n">
        <f aca="false">Sens!C1504</f>
        <v>22.5333845916667</v>
      </c>
      <c r="D1508" s="6" t="n">
        <f aca="false">Sens!D1504</f>
        <v>34.0300093833333</v>
      </c>
      <c r="E1508" s="6" t="n">
        <f aca="false">Sens!E1504</f>
        <v>67.600153775</v>
      </c>
      <c r="F1508" s="6" t="n">
        <f aca="false">Sens!F1504</f>
        <v>136.51872432512</v>
      </c>
      <c r="G1508" s="6" t="n">
        <f aca="false">Sens!G1504</f>
        <v>157.399275932048</v>
      </c>
      <c r="H1508" s="6" t="n">
        <f aca="false">Sens!H1504</f>
        <v>162.260804347512</v>
      </c>
      <c r="I1508" s="6" t="n">
        <f aca="false">Sens!I1504</f>
        <v>144.136569485434</v>
      </c>
      <c r="J1508" s="6" t="n">
        <f aca="false">Sens!J1504</f>
        <v>114.029037357864</v>
      </c>
      <c r="K1508" s="6" t="n">
        <f aca="false">Sens!K1504</f>
        <v>113.437085350975</v>
      </c>
    </row>
    <row r="1509" customFormat="false" ht="17.15" hidden="false" customHeight="false" outlineLevel="0" collapsed="false">
      <c r="A1509" s="0" t="s">
        <v>997</v>
      </c>
      <c r="B1509" s="0" t="s">
        <v>98</v>
      </c>
      <c r="C1509" s="6" t="n">
        <f aca="false">Sens!C1508+Sens!C1505</f>
        <v>28.7416845916667</v>
      </c>
      <c r="D1509" s="6" t="n">
        <f aca="false">Sens!D1508+Sens!D1505</f>
        <v>43.4058093833333</v>
      </c>
      <c r="E1509" s="6" t="n">
        <f aca="false">Sens!E1508+Sens!E1505</f>
        <v>86.225053775</v>
      </c>
      <c r="F1509" s="6" t="n">
        <f aca="false">Sens!F1508+Sens!F1505</f>
        <v>168.45390404212</v>
      </c>
      <c r="G1509" s="6" t="n">
        <f aca="false">Sens!G1508+Sens!G1505</f>
        <v>191.944475649048</v>
      </c>
      <c r="H1509" s="6" t="n">
        <f aca="false">Sens!H1508+Sens!H1505</f>
        <v>196.806004064512</v>
      </c>
      <c r="I1509" s="6" t="n">
        <f aca="false">Sens!I1508+Sens!I1505</f>
        <v>168.61483362161</v>
      </c>
      <c r="J1509" s="6" t="n">
        <f aca="false">Sens!J1508+Sens!J1505</f>
        <v>128.92993119594</v>
      </c>
      <c r="K1509" s="6" t="n">
        <f aca="false">Sens!K1508+Sens!K1505</f>
        <v>118.962853064733</v>
      </c>
      <c r="L1509" s="12" t="s">
        <v>998</v>
      </c>
    </row>
    <row r="1510" customFormat="false" ht="17.15" hidden="false" customHeight="false" outlineLevel="0" collapsed="false">
      <c r="A1510" s="0" t="s">
        <v>999</v>
      </c>
      <c r="B1510" s="0" t="s">
        <v>98</v>
      </c>
      <c r="E1510" s="6" t="n">
        <f aca="false">(Sens!C1508*IF(2&lt;life_it,1,IF(2=life_it,0.5,0))+Sens!D1508*IF(1&lt;life_it,1,IF(1=life_it,0.5,0))+Sens!E1508*0.5)/life_it</f>
        <v>15.0605784770833</v>
      </c>
      <c r="F1510" s="6" t="n">
        <f aca="false">(Sens!C1508*IF(3&lt;life_it,1,IF(3=life_it,0.5,0))+Sens!D1508*IF(2&lt;life_it,1,IF(2=life_it,0.5,0))+Sens!E1508*IF(1&lt;life_it,1,IF(1=life_it,0.5,0))+Sens!F1508*0.5)/life_it</f>
        <v>32.0704849854266</v>
      </c>
      <c r="G1510" s="6" t="n">
        <f aca="false">(Sens!C1508*IF(4&lt;life_it,1,IF(4=life_it,0.5,0))+Sens!D1508*IF(3&lt;life_it,1,IF(3=life_it,0.5,0))+Sens!E1508*IF(2&lt;life_it,1,IF(2=life_it,0.5,0))+Sens!F1508*IF(1&lt;life_it,1,IF(1=life_it,0.5,0))+Sens!G1508*0.5)/life_it</f>
        <v>56.5636516735239</v>
      </c>
      <c r="H1510" s="6" t="n">
        <f aca="false">(Sens!C1508*IF(5&lt;life_it,1,IF(5=life_it,0.5,0))+Sens!D1508*IF(4&lt;life_it,1,IF(4=life_it,0.5,0))+Sens!E1508*IF(3&lt;life_it,1,IF(3=life_it,0.5,0))+Sens!F1508*IF(2&lt;life_it,1,IF(2=life_it,0.5,0))+Sens!G1508*IF(1&lt;life_it,1,IF(1=life_it,0.5,0))+Sens!H1508*0.5)/life_it</f>
        <v>83.2019916968207</v>
      </c>
      <c r="I1510" s="6" t="n">
        <f aca="false">(Sens!C1508*IF(6&lt;life_it,1,IF(6=life_it,0.5,0))+Sens!D1508*IF(5&lt;life_it,1,IF(5=life_it,0.5,0))+Sens!E1508*IF(4&lt;life_it,1,IF(4=life_it,0.5,0))+Sens!F1508*IF(3&lt;life_it,1,IF(3=life_it,0.5,0))+Sens!G1508*IF(2&lt;life_it,1,IF(2=life_it,0.5,0))+Sens!H1508*IF(1&lt;life_it,1,IF(1=life_it,0.5,0))+Sens!I1508*0.5)/life_it</f>
        <v>106.857324133594</v>
      </c>
      <c r="J1510" s="6" t="n">
        <f aca="false">(Sens!C1508*IF(7&lt;life_it,1,IF(7=life_it,0.5,0))+Sens!D1508*IF(6&lt;life_it,1,IF(6=life_it,0.5,0))+Sens!E1508*IF(5&lt;life_it,1,IF(5=life_it,0.5,0))+Sens!F1508*IF(4&lt;life_it,1,IF(4=life_it,0.5,0))+Sens!G1508*IF(3&lt;life_it,1,IF(3=life_it,0.5,0))+Sens!H1508*IF(2&lt;life_it,1,IF(2=life_it,0.5,0))+Sens!I1508*IF(1&lt;life_it,1,IF(1=life_it,0.5,0))+Sens!J1508*0.5)/life_it</f>
        <v>123.657508539285</v>
      </c>
      <c r="K1510" s="6" t="n">
        <f aca="false">(Sens!C1508*IF(8&lt;life_it,1,IF(8=life_it,0.5,0))+Sens!D1508*IF(7&lt;life_it,1,IF(7=life_it,0.5,0))+Sens!E1508*IF(6&lt;life_it,1,IF(6=life_it,0.5,0))+Sens!F1508*IF(5&lt;life_it,1,IF(5=life_it,0.5,0))+Sens!G1508*IF(4&lt;life_it,1,IF(4=life_it,0.5,0))+Sens!H1508*IF(3&lt;life_it,1,IF(3=life_it,0.5,0))+Sens!I1508*IF(2&lt;life_it,1,IF(2=life_it,0.5,0))+Sens!J1508*IF(1&lt;life_it,1,IF(1=life_it,0.5,0))+Sens!K1508*0.5)/life_it</f>
        <v>134.143838501827</v>
      </c>
    </row>
    <row r="1511" customFormat="false" ht="17.15" hidden="false" customHeight="false" outlineLevel="0" collapsed="false">
      <c r="A1511" s="0" t="s">
        <v>1000</v>
      </c>
      <c r="B1511" s="0" t="s">
        <v>98</v>
      </c>
      <c r="E1511" s="6" t="n">
        <f aca="false">(Sens!C1505*IF(2&lt;life_fac,1,IF(2=life_fac,0.5,0))+Sens!D1505*IF(1&lt;life_fac,1,IF(1=life_fac,0.5,0))+Sens!E1505*0.5)/life_fac</f>
        <v>1.2448275</v>
      </c>
      <c r="F1511" s="6" t="n">
        <f aca="false">(Sens!C1505*IF(3&lt;life_fac,1,IF(3=life_fac,0.5,0))+Sens!D1505*IF(2&lt;life_fac,1,IF(2=life_fac,0.5,0))+Sens!E1505*IF(1&lt;life_fac,1,IF(1=life_fac,0.5,0))+Sens!F1505*0.5)/life_fac</f>
        <v>2.508829492925</v>
      </c>
      <c r="G1511" s="6" t="n">
        <f aca="false">(Sens!C1505*IF(4&lt;life_fac,1,IF(4=life_fac,0.5,0))+Sens!D1505*IF(3&lt;life_fac,1,IF(3=life_fac,0.5,0))+Sens!E1505*IF(2&lt;life_fac,1,IF(2=life_fac,0.5,0))+Sens!F1505*IF(1&lt;life_fac,1,IF(1=life_fac,0.5,0))+Sens!G1505*0.5)/life_fac</f>
        <v>4.170838978775</v>
      </c>
      <c r="H1511" s="6" t="n">
        <f aca="false">(Sens!C1505*IF(5&lt;life_fac,1,IF(5=life_fac,0.5,0))+Sens!D1505*IF(4&lt;life_fac,1,IF(4=life_fac,0.5,0))+Sens!E1505*IF(3&lt;life_fac,1,IF(3=life_fac,0.5,0))+Sens!F1505*IF(2&lt;life_fac,1,IF(2=life_fac,0.5,0))+Sens!G1505*IF(1&lt;life_fac,1,IF(1=life_fac,0.5,0))+Sens!H1505*0.5)/life_fac</f>
        <v>5.898098964625</v>
      </c>
      <c r="I1511" s="6" t="n">
        <f aca="false">(Sens!C1505*IF(6&lt;life_fac,1,IF(6=life_fac,0.5,0))+Sens!D1505*IF(5&lt;life_fac,1,IF(5=life_fac,0.5,0))+Sens!E1505*IF(4&lt;life_fac,1,IF(4=life_fac,0.5,0))+Sens!F1505*IF(3&lt;life_fac,1,IF(3=life_fac,0.5,0))+Sens!G1505*IF(2&lt;life_fac,1,IF(2=life_fac,0.5,0))+Sens!H1505*IF(1&lt;life_fac,1,IF(1=life_fac,0.5,0))+Sens!I1505*0.5)/life_fac</f>
        <v>7.37368556095442</v>
      </c>
      <c r="J1511" s="6" t="n">
        <f aca="false">(Sens!C1505*IF(7&lt;life_fac,1,IF(7=life_fac,0.5,0))+Sens!D1505*IF(6&lt;life_fac,1,IF(6=life_fac,0.5,0))+Sens!E1505*IF(5&lt;life_fac,1,IF(5=life_fac,0.5,0))+Sens!F1505*IF(4&lt;life_fac,1,IF(4=life_fac,0.5,0))+Sens!G1505*IF(3&lt;life_fac,1,IF(3=life_fac,0.5,0))+Sens!H1505*IF(2&lt;life_fac,1,IF(2=life_fac,0.5,0))+Sens!I1505*IF(1&lt;life_fac,1,IF(1=life_fac,0.5,0))+Sens!J1505*0.5)/life_fac</f>
        <v>8.35816451031075</v>
      </c>
      <c r="K1511" s="6" t="n">
        <f aca="false">(Sens!C1505*IF(8&lt;life_fac,1,IF(8=life_fac,0.5,0))+Sens!D1505*IF(7&lt;life_fac,1,IF(7=life_fac,0.5,0))+Sens!E1505*IF(6&lt;life_fac,1,IF(6=life_fac,0.5,0))+Sens!F1505*IF(5&lt;life_fac,1,IF(5=life_fac,0.5,0))+Sens!G1505*IF(4&lt;life_fac,1,IF(4=life_fac,0.5,0))+Sens!H1505*IF(3&lt;life_fac,1,IF(3=life_fac,0.5,0))+Sens!I1505*IF(2&lt;life_fac,1,IF(2=life_fac,0.5,0))+Sens!J1505*IF(1&lt;life_fac,1,IF(1=life_fac,0.5,0))+Sens!K1505*0.5)/life_fac</f>
        <v>8.86883104910662</v>
      </c>
    </row>
    <row r="1512" customFormat="false" ht="17.15" hidden="false" customHeight="false" outlineLevel="0" collapsed="false">
      <c r="A1512" s="0" t="s">
        <v>1001</v>
      </c>
      <c r="B1512" s="0" t="s">
        <v>98</v>
      </c>
      <c r="E1512" s="6" t="n">
        <f aca="false">Sens!E1510+Sens!E1511</f>
        <v>16.3054059770833</v>
      </c>
      <c r="F1512" s="6" t="n">
        <f aca="false">Sens!F1510+Sens!F1511</f>
        <v>34.5793144783516</v>
      </c>
      <c r="G1512" s="6" t="n">
        <f aca="false">Sens!G1510+Sens!G1511</f>
        <v>60.7344906522989</v>
      </c>
      <c r="H1512" s="6" t="n">
        <f aca="false">Sens!H1510+Sens!H1511</f>
        <v>89.1000906614457</v>
      </c>
      <c r="I1512" s="6" t="n">
        <f aca="false">Sens!I1510+Sens!I1511</f>
        <v>114.231009694548</v>
      </c>
      <c r="J1512" s="6" t="n">
        <f aca="false">Sens!J1510+Sens!J1511</f>
        <v>132.015673049596</v>
      </c>
      <c r="K1512" s="6" t="n">
        <f aca="false">Sens!K1510+Sens!K1511</f>
        <v>143.012669550934</v>
      </c>
    </row>
    <row r="1513" customFormat="false" ht="17.15" hidden="false" customHeight="false" outlineLevel="0" collapsed="false">
      <c r="A1513" s="0" t="s">
        <v>1002</v>
      </c>
      <c r="B1513" s="0" t="s">
        <v>98</v>
      </c>
      <c r="E1513" s="6" t="n">
        <f aca="false">Sens!E1500-Sens!E1499*Sens!E1512</f>
        <v>8.92707889977379</v>
      </c>
      <c r="F1513" s="6" t="n">
        <f aca="false">Sens!F1500-Sens!F1499*Sens!F1512</f>
        <v>27.0888103927878</v>
      </c>
      <c r="G1513" s="6" t="n">
        <f aca="false">Sens!G1500-Sens!G1499*Sens!G1512</f>
        <v>44.8095806560165</v>
      </c>
      <c r="H1513" s="6" t="n">
        <f aca="false">Sens!H1500-Sens!H1499*Sens!H1512</f>
        <v>62.9555545902343</v>
      </c>
      <c r="I1513" s="6" t="n">
        <f aca="false">Sens!I1500-Sens!I1499*Sens!I1512</f>
        <v>78.8443621051968</v>
      </c>
      <c r="J1513" s="6" t="n">
        <f aca="false">Sens!J1500-Sens!J1499*Sens!J1512</f>
        <v>89.8542899018042</v>
      </c>
      <c r="K1513" s="6" t="n">
        <f aca="false">Sens!K1500-Sens!K1499*Sens!K1512</f>
        <v>97.0800817840394</v>
      </c>
    </row>
    <row r="1514" customFormat="false" ht="17.15" hidden="false" customHeight="false" outlineLevel="0" collapsed="false">
      <c r="A1514" s="3" t="s">
        <v>1516</v>
      </c>
    </row>
    <row r="1515" customFormat="false" ht="15" hidden="false" customHeight="false" outlineLevel="0" collapsed="false">
      <c r="A1515" s="4" t="s">
        <v>43</v>
      </c>
      <c r="B1515" s="4" t="s">
        <v>65</v>
      </c>
      <c r="C1515" s="23" t="s">
        <v>938</v>
      </c>
      <c r="D1515" s="23" t="s">
        <v>939</v>
      </c>
      <c r="E1515" s="23" t="s">
        <v>940</v>
      </c>
      <c r="F1515" s="23" t="s">
        <v>941</v>
      </c>
      <c r="G1515" s="23" t="s">
        <v>942</v>
      </c>
      <c r="H1515" s="23" t="s">
        <v>943</v>
      </c>
      <c r="I1515" s="23" t="s">
        <v>944</v>
      </c>
      <c r="J1515" s="23" t="s">
        <v>945</v>
      </c>
      <c r="K1515" s="23" t="s">
        <v>946</v>
      </c>
      <c r="L1515" s="4" t="s">
        <v>47</v>
      </c>
    </row>
    <row r="1516" customFormat="false" ht="17.15" hidden="false" customHeight="false" outlineLevel="0" collapsed="false">
      <c r="A1516" s="0" t="s">
        <v>1021</v>
      </c>
      <c r="B1516" s="0" t="s">
        <v>98</v>
      </c>
      <c r="D1516" s="6" t="n">
        <f aca="false">Sens!D1494</f>
        <v>12.9359794422418</v>
      </c>
      <c r="E1516" s="6" t="n">
        <f aca="false">Sens!E1494</f>
        <v>27.8095064661409</v>
      </c>
      <c r="F1516" s="6" t="n">
        <f aca="false">Sens!F1494</f>
        <v>63.7236062320111</v>
      </c>
      <c r="G1516" s="6" t="n">
        <f aca="false">Sens!G1494</f>
        <v>104.981326577641</v>
      </c>
      <c r="H1516" s="6" t="n">
        <f aca="false">Sens!H1494</f>
        <v>147.424564644535</v>
      </c>
      <c r="I1516" s="6" t="n">
        <f aca="false">Sens!I1494</f>
        <v>184.691474081965</v>
      </c>
      <c r="J1516" s="6" t="n">
        <f aca="false">Sens!J1494</f>
        <v>210.660127762628</v>
      </c>
      <c r="K1516" s="6" t="n">
        <f aca="false">Sens!K1494</f>
        <v>226.918143677663</v>
      </c>
    </row>
    <row r="1517" customFormat="false" ht="17.15" hidden="false" customHeight="false" outlineLevel="0" collapsed="false">
      <c r="A1517" s="0" t="s">
        <v>1022</v>
      </c>
      <c r="B1517" s="0" t="s">
        <v>98</v>
      </c>
      <c r="D1517" s="6" t="n">
        <f aca="false">Q!L6-Sens!D1516</f>
        <v>59.6740205577583</v>
      </c>
      <c r="E1517" s="6" t="n">
        <f aca="false">Q!M6-Sens!E1516</f>
        <v>74.1284935338591</v>
      </c>
      <c r="F1517" s="6" t="n">
        <f aca="false">Q!$I$6+(Sens!F1516+Sens!E1517*(1+Sens!F1518))*(1-Q!$E$6/Q!M6)-Sens!F1516</f>
        <v>89.4720799849821</v>
      </c>
      <c r="G1517" s="6" t="n">
        <f aca="false">Sens!F1517*(1+Sens!G1518)</f>
        <v>106.306185209659</v>
      </c>
      <c r="H1517" s="6" t="n">
        <f aca="false">Sens!G1517*(1+Sens!H1518)</f>
        <v>123.433381104364</v>
      </c>
      <c r="I1517" s="6" t="n">
        <f aca="false">Sens!H1517*(1+Sens!I1518)</f>
        <v>139.98266571921</v>
      </c>
      <c r="J1517" s="6" t="n">
        <f aca="false">Sens!I1517*(1+Sens!J1518)</f>
        <v>154.966034241954</v>
      </c>
      <c r="K1517" s="6" t="n">
        <f aca="false">Sens!J1517*(1+Sens!K1518)</f>
        <v>167.36331698131</v>
      </c>
      <c r="L1517" s="12" t="s">
        <v>1023</v>
      </c>
    </row>
    <row r="1518" customFormat="false" ht="15" hidden="false" customHeight="false" outlineLevel="0" collapsed="false">
      <c r="A1518" s="1" t="s">
        <v>1024</v>
      </c>
      <c r="B1518" s="0" t="s">
        <v>168</v>
      </c>
      <c r="E1518" s="7" t="n">
        <f aca="false">Sens!E1517/Sens!D1517-1</f>
        <v>0.242223883039864</v>
      </c>
      <c r="F1518" s="7" t="n">
        <f aca="false">Sens!$E$1518+(glt_azo-Sens!$E$1518)*MIN(1,(Sens!F1475-base_fy)/n_conv)</f>
        <v>0.215186569199887</v>
      </c>
      <c r="G1518" s="7" t="n">
        <f aca="false">Sens!$E$1518+(glt_azo-Sens!$E$1518)*MIN(1,(Sens!G1475-base_fy)/n_conv)</f>
        <v>0.18814925535991</v>
      </c>
      <c r="H1518" s="7" t="n">
        <f aca="false">Sens!$E$1518+(glt_azo-Sens!$E$1518)*MIN(1,(Sens!H1475-base_fy)/n_conv)</f>
        <v>0.161111941519932</v>
      </c>
      <c r="I1518" s="7" t="n">
        <f aca="false">Sens!$E$1518+(glt_azo-Sens!$E$1518)*MIN(1,(Sens!I1475-base_fy)/n_conv)</f>
        <v>0.134074627679955</v>
      </c>
      <c r="J1518" s="7" t="n">
        <f aca="false">Sens!$E$1518+(glt_azo-Sens!$E$1518)*MIN(1,(Sens!J1475-base_fy)/n_conv)</f>
        <v>0.107037313839977</v>
      </c>
      <c r="K1518" s="7" t="n">
        <f aca="false">Sens!$E$1518+(glt_azo-Sens!$E$1518)*MIN(1,(Sens!K1475-base_fy)/n_conv)</f>
        <v>0.08</v>
      </c>
    </row>
    <row r="1519" customFormat="false" ht="15" hidden="false" customHeight="false" outlineLevel="0" collapsed="false">
      <c r="A1519" s="0" t="s">
        <v>1025</v>
      </c>
      <c r="B1519" s="0" t="s">
        <v>98</v>
      </c>
      <c r="D1519" s="6" t="n">
        <f aca="false">Sens!D1516+Sens!D1517</f>
        <v>72.61</v>
      </c>
      <c r="E1519" s="6" t="n">
        <f aca="false">Sens!E1516+Sens!E1517</f>
        <v>101.938</v>
      </c>
      <c r="F1519" s="6" t="n">
        <f aca="false">Sens!F1516+Sens!F1517</f>
        <v>153.195686216993</v>
      </c>
      <c r="G1519" s="6" t="n">
        <f aca="false">Sens!G1516+Sens!G1517</f>
        <v>211.2875117873</v>
      </c>
      <c r="H1519" s="6" t="n">
        <f aca="false">Sens!H1516+Sens!H1517</f>
        <v>270.8579457489</v>
      </c>
      <c r="I1519" s="6" t="n">
        <f aca="false">Sens!I1516+Sens!I1517</f>
        <v>324.674139801175</v>
      </c>
      <c r="J1519" s="6" t="n">
        <f aca="false">Sens!J1516+Sens!J1517</f>
        <v>365.626162004581</v>
      </c>
      <c r="K1519" s="6" t="n">
        <f aca="false">Sens!K1516+Sens!K1517</f>
        <v>394.281460658973</v>
      </c>
    </row>
    <row r="1520" customFormat="false" ht="17.15" hidden="false" customHeight="false" outlineLevel="0" collapsed="false">
      <c r="A1520" s="0" t="s">
        <v>1026</v>
      </c>
      <c r="B1520" s="1" t="s">
        <v>610</v>
      </c>
      <c r="C1520" s="30" t="n">
        <f aca="false">cop_s24</f>
        <v>1</v>
      </c>
      <c r="D1520" s="30" t="n">
        <f aca="false">cop_s25</f>
        <v>5</v>
      </c>
      <c r="E1520" s="30" t="n">
        <f aca="false">cop_s26</f>
        <v>30</v>
      </c>
      <c r="F1520" s="30" t="n">
        <f aca="false">Sens!E1520+cop_add_B</f>
        <v>50</v>
      </c>
      <c r="G1520" s="30" t="n">
        <f aca="false">Sens!F1520+cop_add_B</f>
        <v>70</v>
      </c>
      <c r="H1520" s="30" t="n">
        <f aca="false">Sens!G1520+cop_add_B</f>
        <v>90</v>
      </c>
      <c r="I1520" s="30" t="n">
        <f aca="false">Sens!H1520+cop_add_B*cop_tail</f>
        <v>100</v>
      </c>
      <c r="J1520" s="30" t="n">
        <f aca="false">Sens!I1520+cop_add_B*cop_tail</f>
        <v>110</v>
      </c>
      <c r="K1520" s="30" t="n">
        <f aca="false">Sens!J1520+cop_add_B*cop_tail</f>
        <v>120</v>
      </c>
      <c r="L1520" s="12" t="s">
        <v>1027</v>
      </c>
    </row>
    <row r="1521" customFormat="false" ht="17.15" hidden="false" customHeight="false" outlineLevel="0" collapsed="false">
      <c r="A1521" s="0" t="s">
        <v>1028</v>
      </c>
      <c r="B1521" s="0" t="s">
        <v>98</v>
      </c>
      <c r="D1521" s="6" t="n">
        <f aca="false">(Sens!C1520+Sens!D1520)/2*cop_px*12/1000</f>
        <v>0.9</v>
      </c>
      <c r="E1521" s="6" t="n">
        <f aca="false">(Sens!D1520+Sens!E1520)/2*cop_px*12/1000</f>
        <v>5.25</v>
      </c>
      <c r="F1521" s="6" t="n">
        <f aca="false">(Sens!E1520+Sens!F1520)/2*cop_px*12/1000</f>
        <v>12</v>
      </c>
      <c r="G1521" s="6" t="n">
        <f aca="false">(Sens!F1520+Sens!G1520)/2*cop_px*12/1000</f>
        <v>18</v>
      </c>
      <c r="H1521" s="6" t="n">
        <f aca="false">(Sens!G1520+Sens!H1520)/2*cop_px*12/1000</f>
        <v>24</v>
      </c>
      <c r="I1521" s="6" t="n">
        <f aca="false">(Sens!H1520+Sens!I1520)/2*cop_px*12/1000</f>
        <v>28.5</v>
      </c>
      <c r="J1521" s="6" t="n">
        <f aca="false">(Sens!I1520+Sens!J1520)/2*cop_px*12/1000</f>
        <v>31.5</v>
      </c>
      <c r="K1521" s="6" t="n">
        <f aca="false">(Sens!J1520+Sens!K1520)/2*cop_px*12/1000</f>
        <v>34.5</v>
      </c>
      <c r="L1521" s="1" t="s">
        <v>1029</v>
      </c>
    </row>
    <row r="1522" customFormat="false" ht="17.15" hidden="false" customHeight="false" outlineLevel="0" collapsed="false">
      <c r="A1522" s="0" t="s">
        <v>1030</v>
      </c>
      <c r="B1522" s="0" t="s">
        <v>98</v>
      </c>
      <c r="D1522" s="6" t="n">
        <f aca="false">Q!L7-Sens!D1521</f>
        <v>83.705</v>
      </c>
      <c r="E1522" s="6" t="n">
        <f aca="false">Q!M7-Sens!E1521</f>
        <v>95.049</v>
      </c>
      <c r="F1522" s="6" t="n">
        <f aca="false">Q!$I$7+(Sens!E1522*(1+Sens!F1523)+Sens!F1521)*(1-Q!$E$7/Q!M7)-Sens!F1521</f>
        <v>106.584003697747</v>
      </c>
      <c r="G1522" s="6" t="n">
        <f aca="false">Sens!F1522*(1+Sens!G1523)</f>
        <v>118.700726545688</v>
      </c>
      <c r="H1522" s="6" t="n">
        <f aca="false">Sens!G1522*(1+Sens!H1523)</f>
        <v>130.898624783666</v>
      </c>
      <c r="I1522" s="6" t="n">
        <f aca="false">Sens!H1522*(1+Sens!I1523)</f>
        <v>142.920510030657</v>
      </c>
      <c r="J1522" s="6" t="n">
        <f aca="false">Sens!I1522*(1+Sens!J1523)</f>
        <v>154.485722618572</v>
      </c>
      <c r="K1522" s="6" t="n">
        <f aca="false">Sens!J1522*(1+Sens!K1523)</f>
        <v>165.299723201872</v>
      </c>
      <c r="L1522" s="12" t="s">
        <v>1031</v>
      </c>
    </row>
    <row r="1523" customFormat="false" ht="15" hidden="false" customHeight="false" outlineLevel="0" collapsed="false">
      <c r="A1523" s="1" t="s">
        <v>1024</v>
      </c>
      <c r="B1523" s="0" t="s">
        <v>168</v>
      </c>
      <c r="E1523" s="7" t="n">
        <f aca="false">Sens!E1522/Sens!D1522-1</f>
        <v>0.135523564900544</v>
      </c>
      <c r="F1523" s="7" t="n">
        <f aca="false">Sens!$E$1523+(glt_m365b-Sens!$E$1523)*MIN(1,(Sens!F1475-base_fy)/n_conv)</f>
        <v>0.124602970750453</v>
      </c>
      <c r="G1523" s="7" t="n">
        <f aca="false">Sens!$E$1523+(glt_m365b-Sens!$E$1523)*MIN(1,(Sens!G1475-base_fy)/n_conv)</f>
        <v>0.113682376600363</v>
      </c>
      <c r="H1523" s="7" t="n">
        <f aca="false">Sens!$E$1523+(glt_m365b-Sens!$E$1523)*MIN(1,(Sens!H1475-base_fy)/n_conv)</f>
        <v>0.102761782450272</v>
      </c>
      <c r="I1523" s="7" t="n">
        <f aca="false">Sens!$E$1523+(glt_m365b-Sens!$E$1523)*MIN(1,(Sens!I1475-base_fy)/n_conv)</f>
        <v>0.0918411883001813</v>
      </c>
      <c r="J1523" s="7" t="n">
        <f aca="false">Sens!$E$1523+(glt_m365b-Sens!$E$1523)*MIN(1,(Sens!J1475-base_fy)/n_conv)</f>
        <v>0.0809205941500906</v>
      </c>
      <c r="K1523" s="7" t="n">
        <f aca="false">Sens!$E$1523+(glt_m365b-Sens!$E$1523)*MIN(1,(Sens!K1475-base_fy)/n_conv)</f>
        <v>0.07</v>
      </c>
    </row>
    <row r="1524" customFormat="false" ht="15" hidden="false" customHeight="false" outlineLevel="0" collapsed="false">
      <c r="A1524" s="0" t="s">
        <v>1032</v>
      </c>
      <c r="B1524" s="0" t="s">
        <v>98</v>
      </c>
      <c r="D1524" s="6" t="n">
        <f aca="false">Sens!D1522+Sens!D1521</f>
        <v>84.605</v>
      </c>
      <c r="E1524" s="6" t="n">
        <f aca="false">Sens!E1522+Sens!E1521</f>
        <v>100.299</v>
      </c>
      <c r="F1524" s="6" t="n">
        <f aca="false">Sens!F1522+Sens!F1521</f>
        <v>118.584003697747</v>
      </c>
      <c r="G1524" s="6" t="n">
        <f aca="false">Sens!G1522+Sens!G1521</f>
        <v>136.700726545688</v>
      </c>
      <c r="H1524" s="6" t="n">
        <f aca="false">Sens!H1522+Sens!H1521</f>
        <v>154.898624783666</v>
      </c>
      <c r="I1524" s="6" t="n">
        <f aca="false">Sens!I1522+Sens!I1521</f>
        <v>171.420510030657</v>
      </c>
      <c r="J1524" s="6" t="n">
        <f aca="false">Sens!J1522+Sens!J1521</f>
        <v>185.985722618572</v>
      </c>
      <c r="K1524" s="6" t="n">
        <f aca="false">Sens!K1522+Sens!K1521</f>
        <v>199.799723201872</v>
      </c>
    </row>
    <row r="1525" customFormat="false" ht="17.15" hidden="false" customHeight="false" outlineLevel="0" collapsed="false">
      <c r="A1525" s="0" t="s">
        <v>1033</v>
      </c>
      <c r="B1525" s="0" t="s">
        <v>98</v>
      </c>
      <c r="D1525" s="6" t="n">
        <f aca="false">Q!L8</f>
        <v>35.391</v>
      </c>
      <c r="E1525" s="6" t="n">
        <f aca="false">Q!M8</f>
        <v>37.285</v>
      </c>
      <c r="F1525" s="6" t="n">
        <f aca="false">Q!$I$8+(Q!M8-Q!$E$8)*(1+Sens!F1526)</f>
        <v>38.3851437782675</v>
      </c>
      <c r="G1525" s="6" t="n">
        <f aca="false">Sens!F1525*(1+Sens!G1526)</f>
        <v>40.0105353288615</v>
      </c>
      <c r="H1525" s="6" t="n">
        <f aca="false">Sens!G1525*(1+Sens!H1526)</f>
        <v>41.4812512033683</v>
      </c>
      <c r="I1525" s="6" t="n">
        <f aca="false">Sens!H1525*(1+Sens!I1526)</f>
        <v>42.7743107216329</v>
      </c>
      <c r="J1525" s="6" t="n">
        <f aca="false">Sens!I1525*(1+Sens!J1526)</f>
        <v>43.8687373064601</v>
      </c>
      <c r="K1525" s="6" t="n">
        <f aca="false">Sens!J1525*(1+Sens!K1526)</f>
        <v>44.7461120525893</v>
      </c>
      <c r="L1525" s="12" t="s">
        <v>1034</v>
      </c>
    </row>
    <row r="1526" customFormat="false" ht="15" hidden="false" customHeight="false" outlineLevel="0" collapsed="false">
      <c r="A1526" s="1" t="s">
        <v>1024</v>
      </c>
      <c r="B1526" s="0" t="s">
        <v>168</v>
      </c>
      <c r="E1526" s="7" t="n">
        <f aca="false">Sens!E1525/Sens!D1525-1</f>
        <v>0.0535164307309768</v>
      </c>
      <c r="F1526" s="7" t="n">
        <f aca="false">Sens!$E$1526+(glt_lic-Sens!$E$1526)*MIN(1,(Sens!F1475-base_fy)/n_conv)</f>
        <v>0.0479303589424807</v>
      </c>
      <c r="G1526" s="7" t="n">
        <f aca="false">Sens!$E$1526+(glt_lic-Sens!$E$1526)*MIN(1,(Sens!G1475-base_fy)/n_conv)</f>
        <v>0.0423442871539845</v>
      </c>
      <c r="H1526" s="7" t="n">
        <f aca="false">Sens!$E$1526+(glt_lic-Sens!$E$1526)*MIN(1,(Sens!H1475-base_fy)/n_conv)</f>
        <v>0.0367582153654884</v>
      </c>
      <c r="I1526" s="7" t="n">
        <f aca="false">Sens!$E$1526+(glt_lic-Sens!$E$1526)*MIN(1,(Sens!I1475-base_fy)/n_conv)</f>
        <v>0.0311721435769923</v>
      </c>
      <c r="J1526" s="7" t="n">
        <f aca="false">Sens!$E$1526+(glt_lic-Sens!$E$1526)*MIN(1,(Sens!J1475-base_fy)/n_conv)</f>
        <v>0.0255860717884961</v>
      </c>
      <c r="K1526" s="7" t="n">
        <f aca="false">Sens!$E$1526+(glt_lic-Sens!$E$1526)*MIN(1,(Sens!K1475-base_fy)/n_conv)</f>
        <v>0.02</v>
      </c>
    </row>
    <row r="1527" customFormat="false" ht="17.15" hidden="false" customHeight="false" outlineLevel="0" collapsed="false">
      <c r="A1527" s="0" t="s">
        <v>1035</v>
      </c>
      <c r="B1527" s="0" t="s">
        <v>98</v>
      </c>
      <c r="D1527" s="6" t="n">
        <f aca="false">Q!L9</f>
        <v>18.417</v>
      </c>
      <c r="E1527" s="6" t="n">
        <f aca="false">Q!M9</f>
        <v>20.345</v>
      </c>
      <c r="F1527" s="6" t="n">
        <f aca="false">Q!$I$9+(Q!M9-Q!$E$9)*(1+Sens!F1528)</f>
        <v>22.3161797133988</v>
      </c>
      <c r="G1527" s="6" t="n">
        <f aca="false">Sens!F1527*(1+Sens!G1528)</f>
        <v>24.3943499673233</v>
      </c>
      <c r="H1527" s="6" t="n">
        <f aca="false">Sens!G1527*(1+Sens!H1528)</f>
        <v>26.5250243109019</v>
      </c>
      <c r="I1527" s="6" t="n">
        <f aca="false">Sens!H1527*(1+Sens!I1528)</f>
        <v>28.6884573538181</v>
      </c>
      <c r="J1527" s="6" t="n">
        <f aca="false">Sens!I1527*(1+Sens!J1528)</f>
        <v>30.8624968052127</v>
      </c>
      <c r="K1527" s="6" t="n">
        <f aca="false">Sens!J1527*(1+Sens!K1528)</f>
        <v>33.0228715815776</v>
      </c>
      <c r="L1527" s="12" t="s">
        <v>1034</v>
      </c>
    </row>
    <row r="1528" customFormat="false" ht="15" hidden="false" customHeight="false" outlineLevel="0" collapsed="false">
      <c r="A1528" s="1" t="s">
        <v>1024</v>
      </c>
      <c r="B1528" s="0" t="s">
        <v>168</v>
      </c>
      <c r="E1528" s="7" t="n">
        <f aca="false">Sens!E1527/Sens!D1527-1</f>
        <v>0.104685888038225</v>
      </c>
      <c r="F1528" s="7" t="n">
        <f aca="false">Sens!$E$1528+(glt_ind-Sens!$E$1528)*MIN(1,(Sens!F1475-base_fy)/n_conv)</f>
        <v>0.0989049066985211</v>
      </c>
      <c r="G1528" s="7" t="n">
        <f aca="false">Sens!$E$1528+(glt_ind-Sens!$E$1528)*MIN(1,(Sens!G1475-base_fy)/n_conv)</f>
        <v>0.0931239253588169</v>
      </c>
      <c r="H1528" s="7" t="n">
        <f aca="false">Sens!$E$1528+(glt_ind-Sens!$E$1528)*MIN(1,(Sens!H1475-base_fy)/n_conv)</f>
        <v>0.0873429440191127</v>
      </c>
      <c r="I1528" s="7" t="n">
        <f aca="false">Sens!$E$1528+(glt_ind-Sens!$E$1528)*MIN(1,(Sens!I1475-base_fy)/n_conv)</f>
        <v>0.0815619626794085</v>
      </c>
      <c r="J1528" s="7" t="n">
        <f aca="false">Sens!$E$1528+(glt_ind-Sens!$E$1528)*MIN(1,(Sens!J1475-base_fy)/n_conv)</f>
        <v>0.0757809813397042</v>
      </c>
      <c r="K1528" s="7" t="n">
        <f aca="false">Sens!$E$1528+(glt_ind-Sens!$E$1528)*MIN(1,(Sens!K1475-base_fy)/n_conv)</f>
        <v>0.07</v>
      </c>
    </row>
    <row r="1529" customFormat="false" ht="17.15" hidden="false" customHeight="false" outlineLevel="0" collapsed="false">
      <c r="A1529" s="0" t="s">
        <v>1036</v>
      </c>
      <c r="B1529" s="0" t="s">
        <v>98</v>
      </c>
      <c r="D1529" s="6" t="n">
        <f aca="false">Q!L10</f>
        <v>7.76</v>
      </c>
      <c r="E1529" s="6" t="n">
        <f aca="false">Q!M10</f>
        <v>8.26</v>
      </c>
      <c r="F1529" s="6" t="n">
        <f aca="false">Q!$I$10+(Q!M10-Q!$E$10)*(1+Sens!F1530)</f>
        <v>8.75372082474227</v>
      </c>
      <c r="G1529" s="6" t="n">
        <f aca="false">Sens!F1529*(1+Sens!G1530)</f>
        <v>9.33399324642364</v>
      </c>
      <c r="H1529" s="6" t="n">
        <f aca="false">Sens!G1529*(1+Sens!H1530)</f>
        <v>9.96139155535851</v>
      </c>
      <c r="I1529" s="6" t="n">
        <f aca="false">Sens!H1529*(1+Sens!I1530)</f>
        <v>10.6402039077391</v>
      </c>
      <c r="J1529" s="6" t="n">
        <f aca="false">Sens!I1529*(1+Sens!J1530)</f>
        <v>11.3751458271397</v>
      </c>
      <c r="K1529" s="6" t="n">
        <f aca="false">Sens!J1529*(1+Sens!K1530)</f>
        <v>12.1714060350394</v>
      </c>
      <c r="L1529" s="12" t="s">
        <v>1034</v>
      </c>
    </row>
    <row r="1530" customFormat="false" ht="15" hidden="false" customHeight="false" outlineLevel="0" collapsed="false">
      <c r="A1530" s="1" t="s">
        <v>1024</v>
      </c>
      <c r="B1530" s="0" t="s">
        <v>168</v>
      </c>
      <c r="E1530" s="7" t="n">
        <f aca="false">Sens!E1529/Sens!D1529-1</f>
        <v>0.0644329896907216</v>
      </c>
      <c r="F1530" s="7" t="n">
        <f aca="false">Sens!$E$1530+(glt_fro-Sens!$E$1530)*MIN(1,(Sens!F1475-base_fy)/n_conv)</f>
        <v>0.065360824742268</v>
      </c>
      <c r="G1530" s="7" t="n">
        <f aca="false">Sens!$E$1530+(glt_fro-Sens!$E$1530)*MIN(1,(Sens!G1475-base_fy)/n_conv)</f>
        <v>0.0662886597938144</v>
      </c>
      <c r="H1530" s="7" t="n">
        <f aca="false">Sens!$E$1530+(glt_fro-Sens!$E$1530)*MIN(1,(Sens!H1475-base_fy)/n_conv)</f>
        <v>0.0672164948453608</v>
      </c>
      <c r="I1530" s="7" t="n">
        <f aca="false">Sens!$E$1530+(glt_fro-Sens!$E$1530)*MIN(1,(Sens!I1475-base_fy)/n_conv)</f>
        <v>0.0681443298969072</v>
      </c>
      <c r="J1530" s="7" t="n">
        <f aca="false">Sens!$E$1530+(glt_fro-Sens!$E$1530)*MIN(1,(Sens!J1475-base_fy)/n_conv)</f>
        <v>0.0690721649484536</v>
      </c>
      <c r="K1530" s="7" t="n">
        <f aca="false">Sens!$E$1530+(glt_fro-Sens!$E$1530)*MIN(1,(Sens!K1475-base_fy)/n_conv)</f>
        <v>0.07</v>
      </c>
    </row>
    <row r="1531" customFormat="false" ht="15" hidden="false" customHeight="false" outlineLevel="0" collapsed="false">
      <c r="A1531" s="0" t="s">
        <v>852</v>
      </c>
      <c r="B1531" s="0" t="s">
        <v>98</v>
      </c>
      <c r="D1531" s="6" t="n">
        <f aca="false">Sens!D1519+Sens!D1524+Sens!D1525+Sens!D1527+Sens!D1529</f>
        <v>218.783</v>
      </c>
      <c r="E1531" s="6" t="n">
        <f aca="false">Sens!E1519+Sens!E1524+Sens!E1525+Sens!E1527+Sens!E1529</f>
        <v>268.127</v>
      </c>
      <c r="F1531" s="6" t="n">
        <f aca="false">Sens!F1519+Sens!F1524+Sens!F1525+Sens!F1527+Sens!F1529</f>
        <v>341.234734231149</v>
      </c>
      <c r="G1531" s="6" t="n">
        <f aca="false">Sens!G1519+Sens!G1524+Sens!G1525+Sens!G1527+Sens!G1529</f>
        <v>421.727116875597</v>
      </c>
      <c r="H1531" s="6" t="n">
        <f aca="false">Sens!H1519+Sens!H1524+Sens!H1525+Sens!H1527+Sens!H1529</f>
        <v>503.724237602194</v>
      </c>
      <c r="I1531" s="6" t="n">
        <f aca="false">Sens!I1519+Sens!I1524+Sens!I1525+Sens!I1527+Sens!I1529</f>
        <v>578.197621815023</v>
      </c>
      <c r="J1531" s="6" t="n">
        <f aca="false">Sens!J1519+Sens!J1524+Sens!J1525+Sens!J1527+Sens!J1529</f>
        <v>637.718264561966</v>
      </c>
      <c r="K1531" s="6" t="n">
        <f aca="false">Sens!K1519+Sens!K1524+Sens!K1525+Sens!K1527+Sens!K1529</f>
        <v>684.021573530051</v>
      </c>
    </row>
    <row r="1532" customFormat="false" ht="17.15" hidden="false" customHeight="false" outlineLevel="0" collapsed="false">
      <c r="A1532" s="0" t="s">
        <v>1037</v>
      </c>
      <c r="B1532" s="0" t="s">
        <v>98</v>
      </c>
      <c r="D1532" s="6" t="n">
        <f aca="false">Q!L13</f>
        <v>22.171</v>
      </c>
      <c r="E1532" s="6" t="n">
        <f aca="false">Q!M13</f>
        <v>24.835</v>
      </c>
      <c r="F1532" s="6" t="n">
        <f aca="false">Q!$I$13+(Q!M13-Q!$E$13)*(1+Sens!F1533)</f>
        <v>27.5591895660247</v>
      </c>
      <c r="G1532" s="6" t="n">
        <f aca="false">Sens!F1532*(1+Sens!G1533)</f>
        <v>30.4098563144583</v>
      </c>
      <c r="H1532" s="6" t="n">
        <f aca="false">Sens!G1532*(1+Sens!H1533)</f>
        <v>33.3011792571777</v>
      </c>
      <c r="I1532" s="6" t="n">
        <f aca="false">Sens!H1532*(1+Sens!I1533)</f>
        <v>36.189023797112</v>
      </c>
      <c r="J1532" s="6" t="n">
        <f aca="false">Sens!I1532*(1+Sens!J1533)</f>
        <v>39.0247773769199</v>
      </c>
      <c r="K1532" s="6" t="n">
        <f aca="false">Sens!J1532*(1+Sens!K1533)</f>
        <v>41.7565117933043</v>
      </c>
      <c r="L1532" s="12" t="s">
        <v>1034</v>
      </c>
    </row>
    <row r="1533" customFormat="false" ht="15" hidden="false" customHeight="false" outlineLevel="0" collapsed="false">
      <c r="A1533" s="1" t="s">
        <v>1024</v>
      </c>
      <c r="B1533" s="0" t="s">
        <v>168</v>
      </c>
      <c r="E1533" s="7" t="n">
        <f aca="false">Sens!E1532/Sens!D1532-1</f>
        <v>0.120156961796942</v>
      </c>
      <c r="F1533" s="7" t="n">
        <f aca="false">Sens!$E$1533+(glt_srch-Sens!$E$1533)*MIN(1,(Sens!F1475-base_fy)/n_conv)</f>
        <v>0.111797468164118</v>
      </c>
      <c r="G1533" s="7" t="n">
        <f aca="false">Sens!$E$1533+(glt_srch-Sens!$E$1533)*MIN(1,(Sens!G1475-base_fy)/n_conv)</f>
        <v>0.103437974531295</v>
      </c>
      <c r="H1533" s="7" t="n">
        <f aca="false">Sens!$E$1533+(glt_srch-Sens!$E$1533)*MIN(1,(Sens!H1475-base_fy)/n_conv)</f>
        <v>0.095078480898471</v>
      </c>
      <c r="I1533" s="7" t="n">
        <f aca="false">Sens!$E$1533+(glt_srch-Sens!$E$1533)*MIN(1,(Sens!I1475-base_fy)/n_conv)</f>
        <v>0.0867189872656474</v>
      </c>
      <c r="J1533" s="7" t="n">
        <f aca="false">Sens!$E$1533+(glt_srch-Sens!$E$1533)*MIN(1,(Sens!J1475-base_fy)/n_conv)</f>
        <v>0.0783594936328237</v>
      </c>
      <c r="K1533" s="7" t="n">
        <f aca="false">Sens!$E$1533+(glt_srch-Sens!$E$1533)*MIN(1,(Sens!K1475-base_fy)/n_conv)</f>
        <v>0.07</v>
      </c>
    </row>
    <row r="1534" customFormat="false" ht="17.15" hidden="false" customHeight="false" outlineLevel="0" collapsed="false">
      <c r="A1534" s="0" t="s">
        <v>1038</v>
      </c>
      <c r="B1534" s="0" t="s">
        <v>98</v>
      </c>
      <c r="D1534" s="6" t="n">
        <f aca="false">Q!L14</f>
        <v>23.455</v>
      </c>
      <c r="E1534" s="6" t="n">
        <f aca="false">Q!M14</f>
        <v>21.79</v>
      </c>
      <c r="F1534" s="6" t="n">
        <f aca="false">Q!$I$14+(Q!M14-Q!$E$14)*(1+Sens!F1535)</f>
        <v>20.7520981041711</v>
      </c>
      <c r="G1534" s="6" t="n">
        <f aca="false">Sens!F1534*(1+Sens!G1535)</f>
        <v>19.9083593495882</v>
      </c>
      <c r="H1534" s="6" t="n">
        <f aca="false">Sens!G1534*(1+Sens!H1535)</f>
        <v>19.4008256265831</v>
      </c>
      <c r="I1534" s="6" t="n">
        <f aca="false">Sens!H1534*(1+Sens!I1535)</f>
        <v>19.200434522122</v>
      </c>
      <c r="J1534" s="6" t="n">
        <f aca="false">Sens!I1534*(1+Sens!J1535)</f>
        <v>19.2932782348507</v>
      </c>
      <c r="K1534" s="6" t="n">
        <f aca="false">Sens!J1534*(1+Sens!K1535)</f>
        <v>19.6791437995477</v>
      </c>
      <c r="L1534" s="12" t="s">
        <v>1034</v>
      </c>
    </row>
    <row r="1535" customFormat="false" ht="15" hidden="false" customHeight="false" outlineLevel="0" collapsed="false">
      <c r="A1535" s="1" t="s">
        <v>1024</v>
      </c>
      <c r="B1535" s="0" t="s">
        <v>168</v>
      </c>
      <c r="E1535" s="7" t="n">
        <f aca="false">Sens!E1534/Sens!D1534-1</f>
        <v>-0.0709869963760392</v>
      </c>
      <c r="F1535" s="7" t="n">
        <f aca="false">Sens!$E$1535+(glt_xbox-Sens!$E$1535)*MIN(1,(Sens!F1475-base_fy)/n_conv)</f>
        <v>-0.0558224969800327</v>
      </c>
      <c r="G1535" s="7" t="n">
        <f aca="false">Sens!$E$1535+(glt_xbox-Sens!$E$1535)*MIN(1,(Sens!G1475-base_fy)/n_conv)</f>
        <v>-0.0406579975840262</v>
      </c>
      <c r="H1535" s="7" t="n">
        <f aca="false">Sens!$E$1535+(glt_xbox-Sens!$E$1535)*MIN(1,(Sens!H1475-base_fy)/n_conv)</f>
        <v>-0.0254934981880196</v>
      </c>
      <c r="I1535" s="7" t="n">
        <f aca="false">Sens!$E$1535+(glt_xbox-Sens!$E$1535)*MIN(1,(Sens!I1475-base_fy)/n_conv)</f>
        <v>-0.0103289987920131</v>
      </c>
      <c r="J1535" s="7" t="n">
        <f aca="false">Sens!$E$1535+(glt_xbox-Sens!$E$1535)*MIN(1,(Sens!J1475-base_fy)/n_conv)</f>
        <v>0.00483550060399347</v>
      </c>
      <c r="K1535" s="7" t="n">
        <f aca="false">Sens!$E$1535+(glt_xbox-Sens!$E$1535)*MIN(1,(Sens!K1475-base_fy)/n_conv)</f>
        <v>0.02</v>
      </c>
    </row>
    <row r="1536" customFormat="false" ht="17.15" hidden="false" customHeight="false" outlineLevel="0" collapsed="false">
      <c r="A1536" s="0" t="s">
        <v>1039</v>
      </c>
      <c r="B1536" s="0" t="s">
        <v>98</v>
      </c>
      <c r="D1536" s="6" t="n">
        <f aca="false">Q!L15</f>
        <v>17.315</v>
      </c>
      <c r="E1536" s="6" t="n">
        <f aca="false">Q!M15</f>
        <v>17.087</v>
      </c>
      <c r="F1536" s="6" t="n">
        <f aca="false">Q!$I$15+(Q!M15-Q!$E$15)*(1+Sens!F1537)</f>
        <v>15.9912273250553</v>
      </c>
      <c r="G1536" s="6" t="n">
        <f aca="false">Sens!F1536*(1+Sens!G1537)</f>
        <v>15.9574562664827</v>
      </c>
      <c r="H1536" s="6" t="n">
        <f aca="false">Sens!G1536*(1+Sens!H1537)</f>
        <v>16.0119687434196</v>
      </c>
      <c r="I1536" s="6" t="n">
        <f aca="false">Sens!H1536*(1+Sens!I1537)</f>
        <v>16.1551810001948</v>
      </c>
      <c r="J1536" s="6" t="n">
        <f aca="false">Sens!I1536*(1+Sens!J1537)</f>
        <v>16.3889793892005</v>
      </c>
      <c r="K1536" s="6" t="n">
        <f aca="false">Sens!J1536*(1+Sens!K1537)</f>
        <v>16.7167589769845</v>
      </c>
      <c r="L1536" s="12" t="s">
        <v>1034</v>
      </c>
    </row>
    <row r="1537" customFormat="false" ht="15" hidden="false" customHeight="false" outlineLevel="0" collapsed="false">
      <c r="A1537" s="1" t="s">
        <v>1024</v>
      </c>
      <c r="B1537" s="0" t="s">
        <v>168</v>
      </c>
      <c r="E1537" s="7" t="n">
        <f aca="false">Sens!E1536/Sens!D1536-1</f>
        <v>-0.0131677736066995</v>
      </c>
      <c r="F1537" s="7" t="n">
        <f aca="false">Sens!$E$1537+(glt_win-Sens!$E$1537)*MIN(1,(Sens!F1475-base_fy)/n_conv)</f>
        <v>-0.00763981133891627</v>
      </c>
      <c r="G1537" s="7" t="n">
        <f aca="false">Sens!$E$1537+(glt_win-Sens!$E$1537)*MIN(1,(Sens!G1475-base_fy)/n_conv)</f>
        <v>-0.00211184907113301</v>
      </c>
      <c r="H1537" s="7" t="n">
        <f aca="false">Sens!$E$1537+(glt_win-Sens!$E$1537)*MIN(1,(Sens!H1475-base_fy)/n_conv)</f>
        <v>0.00341611319665024</v>
      </c>
      <c r="I1537" s="7" t="n">
        <f aca="false">Sens!$E$1537+(glt_win-Sens!$E$1537)*MIN(1,(Sens!I1475-base_fy)/n_conv)</f>
        <v>0.00894407546443349</v>
      </c>
      <c r="J1537" s="7" t="n">
        <f aca="false">Sens!$E$1537+(glt_win-Sens!$E$1537)*MIN(1,(Sens!J1475-base_fy)/n_conv)</f>
        <v>0.0144720377322168</v>
      </c>
      <c r="K1537" s="7" t="n">
        <f aca="false">Sens!$E$1537+(glt_win-Sens!$E$1537)*MIN(1,(Sens!K1475-base_fy)/n_conv)</f>
        <v>0.02</v>
      </c>
    </row>
    <row r="1538" customFormat="false" ht="15" hidden="false" customHeight="false" outlineLevel="0" collapsed="false">
      <c r="A1538" s="0" t="s">
        <v>866</v>
      </c>
      <c r="B1538" s="0" t="s">
        <v>98</v>
      </c>
      <c r="D1538" s="6" t="n">
        <f aca="false">Sens!D1532+Sens!D1534+Sens!D1536</f>
        <v>62.941</v>
      </c>
      <c r="E1538" s="6" t="n">
        <f aca="false">Sens!E1532+Sens!E1534+Sens!E1536</f>
        <v>63.712</v>
      </c>
      <c r="F1538" s="6" t="n">
        <f aca="false">Sens!F1532+Sens!F1534+Sens!F1536</f>
        <v>64.3025149952511</v>
      </c>
      <c r="G1538" s="6" t="n">
        <f aca="false">Sens!G1532+Sens!G1534+Sens!G1536</f>
        <v>66.2756719305292</v>
      </c>
      <c r="H1538" s="6" t="n">
        <f aca="false">Sens!H1532+Sens!H1534+Sens!H1536</f>
        <v>68.7139736271804</v>
      </c>
      <c r="I1538" s="6" t="n">
        <f aca="false">Sens!I1532+Sens!I1534+Sens!I1536</f>
        <v>71.5446393194289</v>
      </c>
      <c r="J1538" s="6" t="n">
        <f aca="false">Sens!J1532+Sens!J1534+Sens!J1536</f>
        <v>74.707035000971</v>
      </c>
      <c r="K1538" s="6" t="n">
        <f aca="false">Sens!K1532+Sens!K1534+Sens!K1536</f>
        <v>78.1524145698365</v>
      </c>
    </row>
    <row r="1539" customFormat="false" ht="15" hidden="false" customHeight="false" outlineLevel="0" collapsed="false">
      <c r="A1539" s="1" t="s">
        <v>1040</v>
      </c>
      <c r="B1539" s="0" t="s">
        <v>98</v>
      </c>
      <c r="D1539" s="6" t="n">
        <f aca="false">Sens!D1531+Sens!D1538</f>
        <v>281.724</v>
      </c>
      <c r="E1539" s="6" t="n">
        <f aca="false">Sens!E1531+Sens!E1538</f>
        <v>331.839</v>
      </c>
      <c r="F1539" s="6" t="n">
        <f aca="false">Sens!F1531+Sens!F1538</f>
        <v>405.5372492264</v>
      </c>
      <c r="G1539" s="6" t="n">
        <f aca="false">Sens!G1531+Sens!G1538</f>
        <v>488.002788806126</v>
      </c>
      <c r="H1539" s="6" t="n">
        <f aca="false">Sens!H1531+Sens!H1538</f>
        <v>572.438211229374</v>
      </c>
      <c r="I1539" s="6" t="n">
        <f aca="false">Sens!I1531+Sens!I1538</f>
        <v>649.742261134451</v>
      </c>
      <c r="J1539" s="6" t="n">
        <f aca="false">Sens!J1531+Sens!J1538</f>
        <v>712.425299562937</v>
      </c>
      <c r="K1539" s="6" t="n">
        <f aca="false">Sens!K1531+Sens!K1538</f>
        <v>762.173988099887</v>
      </c>
    </row>
    <row r="1540" customFormat="false" ht="15" hidden="false" customHeight="false" outlineLevel="0" collapsed="false">
      <c r="A1540" s="26" t="s">
        <v>1041</v>
      </c>
      <c r="B1540" s="31" t="s">
        <v>98</v>
      </c>
      <c r="C1540" s="31"/>
      <c r="D1540" s="27" t="n">
        <f aca="false">(Sens!D1519+Sens!D1524+Sens!D1525+Sens!D1527+Sens!D1529-Sens!D1531)+(Sens!D1532+Sens!D1534+Sens!D1536-Sens!D1538)+(Sens!D1531-Q!L5)+(Sens!D1538-Q!L12)+(Sens!D1519-Q!L6)+(Sens!D1524-Q!L7)</f>
        <v>0</v>
      </c>
      <c r="E1540" s="27" t="n">
        <f aca="false">(Sens!E1519+Sens!E1524+Sens!E1525+Sens!E1527+Sens!E1529-Sens!E1531)+(Sens!E1532+Sens!E1534+Sens!E1536-Sens!E1538)+(Sens!E1531-Q!M5)+(Sens!E1538-Q!M12)+(Sens!E1519-Q!M6)+(Sens!E1524-Q!M7)</f>
        <v>0</v>
      </c>
      <c r="F1540" s="27" t="n">
        <f aca="false">(Sens!F1519+Sens!F1524+Sens!F1525+Sens!F1527+Sens!F1529-Sens!F1531)+(Sens!F1532+Sens!F1534+Sens!F1536-Sens!F1538)</f>
        <v>0</v>
      </c>
      <c r="G1540" s="27" t="n">
        <f aca="false">(Sens!G1519+Sens!G1524+Sens!G1525+Sens!G1527+Sens!G1529-Sens!G1531)+(Sens!G1532+Sens!G1534+Sens!G1536-Sens!G1538)</f>
        <v>0</v>
      </c>
      <c r="H1540" s="27" t="n">
        <f aca="false">(Sens!H1519+Sens!H1524+Sens!H1525+Sens!H1527+Sens!H1529-Sens!H1531)+(Sens!H1532+Sens!H1534+Sens!H1536-Sens!H1538)</f>
        <v>0</v>
      </c>
      <c r="I1540" s="27" t="n">
        <f aca="false">(Sens!I1519+Sens!I1524+Sens!I1525+Sens!I1527+Sens!I1529-Sens!I1531)+(Sens!I1532+Sens!I1534+Sens!I1536-Sens!I1538)</f>
        <v>0</v>
      </c>
      <c r="J1540" s="27" t="n">
        <f aca="false">(Sens!J1519+Sens!J1524+Sens!J1525+Sens!J1527+Sens!J1529-Sens!J1531)+(Sens!J1532+Sens!J1534+Sens!J1536-Sens!J1538)</f>
        <v>0</v>
      </c>
      <c r="K1540" s="27" t="n">
        <f aca="false">(Sens!K1519+Sens!K1524+Sens!K1525+Sens!K1527+Sens!K1529-Sens!K1531)+(Sens!K1532+Sens!K1534+Sens!K1536-Sens!K1538)</f>
        <v>0</v>
      </c>
    </row>
    <row r="1541" customFormat="false" ht="17.15" hidden="false" customHeight="false" outlineLevel="0" collapsed="false">
      <c r="A1541" s="3" t="s">
        <v>1517</v>
      </c>
    </row>
    <row r="1542" customFormat="false" ht="15" hidden="false" customHeight="false" outlineLevel="0" collapsed="false">
      <c r="A1542" s="4" t="s">
        <v>43</v>
      </c>
      <c r="B1542" s="4" t="s">
        <v>65</v>
      </c>
      <c r="C1542" s="23" t="s">
        <v>938</v>
      </c>
      <c r="D1542" s="23" t="s">
        <v>939</v>
      </c>
      <c r="E1542" s="23" t="s">
        <v>940</v>
      </c>
      <c r="F1542" s="23" t="s">
        <v>941</v>
      </c>
      <c r="G1542" s="23" t="s">
        <v>942</v>
      </c>
      <c r="H1542" s="23" t="s">
        <v>943</v>
      </c>
      <c r="I1542" s="23" t="s">
        <v>944</v>
      </c>
      <c r="J1542" s="23" t="s">
        <v>945</v>
      </c>
      <c r="K1542" s="23" t="s">
        <v>946</v>
      </c>
      <c r="L1542" s="4" t="s">
        <v>47</v>
      </c>
    </row>
    <row r="1543" customFormat="false" ht="15" hidden="false" customHeight="false" outlineLevel="0" collapsed="false">
      <c r="A1543" s="0" t="s">
        <v>1025</v>
      </c>
      <c r="B1543" s="0" t="s">
        <v>98</v>
      </c>
      <c r="D1543" s="6" t="n">
        <f aca="false">Sens!D1519</f>
        <v>72.61</v>
      </c>
      <c r="E1543" s="6" t="n">
        <f aca="false">Sens!E1519</f>
        <v>101.938</v>
      </c>
      <c r="F1543" s="6" t="n">
        <f aca="false">Sens!F1519</f>
        <v>153.195686216993</v>
      </c>
      <c r="G1543" s="6" t="n">
        <f aca="false">Sens!G1519</f>
        <v>211.2875117873</v>
      </c>
      <c r="H1543" s="6" t="n">
        <f aca="false">Sens!H1519</f>
        <v>270.8579457489</v>
      </c>
      <c r="I1543" s="6" t="n">
        <f aca="false">Sens!I1519</f>
        <v>324.674139801175</v>
      </c>
      <c r="J1543" s="6" t="n">
        <f aca="false">Sens!J1519</f>
        <v>365.626162004581</v>
      </c>
      <c r="K1543" s="6" t="n">
        <f aca="false">Sens!K1519</f>
        <v>394.281460658973</v>
      </c>
    </row>
    <row r="1544" customFormat="false" ht="17.15" hidden="false" customHeight="false" outlineLevel="0" collapsed="false">
      <c r="A1544" s="0" t="s">
        <v>1021</v>
      </c>
      <c r="B1544" s="0" t="s">
        <v>98</v>
      </c>
      <c r="D1544" s="6" t="n">
        <f aca="false">Sens!D1516</f>
        <v>12.9359794422418</v>
      </c>
      <c r="E1544" s="6" t="n">
        <f aca="false">Sens!E1516</f>
        <v>27.8095064661409</v>
      </c>
      <c r="F1544" s="6" t="n">
        <f aca="false">Sens!F1516</f>
        <v>63.7236062320111</v>
      </c>
      <c r="G1544" s="6" t="n">
        <f aca="false">Sens!G1516</f>
        <v>104.981326577641</v>
      </c>
      <c r="H1544" s="6" t="n">
        <f aca="false">Sens!H1516</f>
        <v>147.424564644535</v>
      </c>
      <c r="I1544" s="6" t="n">
        <f aca="false">Sens!I1516</f>
        <v>184.691474081965</v>
      </c>
      <c r="J1544" s="6" t="n">
        <f aca="false">Sens!J1516</f>
        <v>210.660127762628</v>
      </c>
      <c r="K1544" s="6" t="n">
        <f aca="false">Sens!K1516</f>
        <v>226.918143677663</v>
      </c>
    </row>
    <row r="1545" customFormat="false" ht="17.15" hidden="false" customHeight="false" outlineLevel="0" collapsed="false">
      <c r="A1545" s="0" t="s">
        <v>1052</v>
      </c>
      <c r="B1545" s="0" t="s">
        <v>98</v>
      </c>
      <c r="D1545" s="6" t="n">
        <f aca="false">Sens!D1517</f>
        <v>59.6740205577583</v>
      </c>
      <c r="E1545" s="6" t="n">
        <f aca="false">Sens!E1517</f>
        <v>74.1284935338591</v>
      </c>
      <c r="F1545" s="6" t="n">
        <f aca="false">Sens!F1517</f>
        <v>89.4720799849821</v>
      </c>
      <c r="G1545" s="6" t="n">
        <f aca="false">Sens!G1517</f>
        <v>106.306185209659</v>
      </c>
      <c r="H1545" s="6" t="n">
        <f aca="false">Sens!H1517</f>
        <v>123.433381104364</v>
      </c>
      <c r="I1545" s="6" t="n">
        <f aca="false">Sens!I1517</f>
        <v>139.98266571921</v>
      </c>
      <c r="J1545" s="6" t="n">
        <f aca="false">Sens!J1517</f>
        <v>154.966034241954</v>
      </c>
      <c r="K1545" s="6" t="n">
        <f aca="false">Sens!K1517</f>
        <v>167.36331698131</v>
      </c>
    </row>
    <row r="1546" customFormat="false" ht="15" hidden="false" customHeight="false" outlineLevel="0" collapsed="false">
      <c r="A1546" s="0" t="s">
        <v>1032</v>
      </c>
      <c r="B1546" s="0" t="s">
        <v>98</v>
      </c>
      <c r="D1546" s="6" t="n">
        <f aca="false">Sens!D1524</f>
        <v>84.605</v>
      </c>
      <c r="E1546" s="6" t="n">
        <f aca="false">Sens!E1524</f>
        <v>100.299</v>
      </c>
      <c r="F1546" s="6" t="n">
        <f aca="false">Sens!F1524</f>
        <v>118.584003697747</v>
      </c>
      <c r="G1546" s="6" t="n">
        <f aca="false">Sens!G1524</f>
        <v>136.700726545688</v>
      </c>
      <c r="H1546" s="6" t="n">
        <f aca="false">Sens!H1524</f>
        <v>154.898624783666</v>
      </c>
      <c r="I1546" s="6" t="n">
        <f aca="false">Sens!I1524</f>
        <v>171.420510030657</v>
      </c>
      <c r="J1546" s="6" t="n">
        <f aca="false">Sens!J1524</f>
        <v>185.985722618572</v>
      </c>
      <c r="K1546" s="6" t="n">
        <f aca="false">Sens!K1524</f>
        <v>199.799723201872</v>
      </c>
    </row>
    <row r="1547" customFormat="false" ht="17.15" hidden="false" customHeight="false" outlineLevel="0" collapsed="false">
      <c r="A1547" s="0" t="s">
        <v>1053</v>
      </c>
      <c r="B1547" s="0" t="s">
        <v>98</v>
      </c>
      <c r="D1547" s="6" t="n">
        <f aca="false">Sens!D1522</f>
        <v>83.705</v>
      </c>
      <c r="E1547" s="6" t="n">
        <f aca="false">Sens!E1522</f>
        <v>95.049</v>
      </c>
      <c r="F1547" s="6" t="n">
        <f aca="false">Sens!F1522</f>
        <v>106.584003697747</v>
      </c>
      <c r="G1547" s="6" t="n">
        <f aca="false">Sens!G1522</f>
        <v>118.700726545688</v>
      </c>
      <c r="H1547" s="6" t="n">
        <f aca="false">Sens!H1522</f>
        <v>130.898624783666</v>
      </c>
      <c r="I1547" s="6" t="n">
        <f aca="false">Sens!I1522</f>
        <v>142.920510030657</v>
      </c>
      <c r="J1547" s="6" t="n">
        <f aca="false">Sens!J1522</f>
        <v>154.485722618572</v>
      </c>
      <c r="K1547" s="6" t="n">
        <f aca="false">Sens!K1522</f>
        <v>165.299723201872</v>
      </c>
    </row>
    <row r="1548" customFormat="false" ht="17.15" hidden="false" customHeight="false" outlineLevel="0" collapsed="false">
      <c r="A1548" s="0" t="s">
        <v>1054</v>
      </c>
      <c r="B1548" s="0" t="s">
        <v>98</v>
      </c>
      <c r="D1548" s="6" t="n">
        <f aca="false">Sens!D1521</f>
        <v>0.9</v>
      </c>
      <c r="E1548" s="6" t="n">
        <f aca="false">Sens!E1521</f>
        <v>5.25</v>
      </c>
      <c r="F1548" s="6" t="n">
        <f aca="false">Sens!F1521</f>
        <v>12</v>
      </c>
      <c r="G1548" s="6" t="n">
        <f aca="false">Sens!G1521</f>
        <v>18</v>
      </c>
      <c r="H1548" s="6" t="n">
        <f aca="false">Sens!H1521</f>
        <v>24</v>
      </c>
      <c r="I1548" s="6" t="n">
        <f aca="false">Sens!I1521</f>
        <v>28.5</v>
      </c>
      <c r="J1548" s="6" t="n">
        <f aca="false">Sens!J1521</f>
        <v>31.5</v>
      </c>
      <c r="K1548" s="6" t="n">
        <f aca="false">Sens!K1521</f>
        <v>34.5</v>
      </c>
    </row>
    <row r="1549" customFormat="false" ht="15" hidden="false" customHeight="false" outlineLevel="0" collapsed="false">
      <c r="A1549" s="0" t="s">
        <v>1033</v>
      </c>
      <c r="B1549" s="0" t="s">
        <v>98</v>
      </c>
      <c r="D1549" s="6" t="n">
        <f aca="false">Sens!D1525</f>
        <v>35.391</v>
      </c>
      <c r="E1549" s="6" t="n">
        <f aca="false">Sens!E1525</f>
        <v>37.285</v>
      </c>
      <c r="F1549" s="6" t="n">
        <f aca="false">Sens!F1525</f>
        <v>38.3851437782675</v>
      </c>
      <c r="G1549" s="6" t="n">
        <f aca="false">Sens!G1525</f>
        <v>40.0105353288615</v>
      </c>
      <c r="H1549" s="6" t="n">
        <f aca="false">Sens!H1525</f>
        <v>41.4812512033683</v>
      </c>
      <c r="I1549" s="6" t="n">
        <f aca="false">Sens!I1525</f>
        <v>42.7743107216329</v>
      </c>
      <c r="J1549" s="6" t="n">
        <f aca="false">Sens!J1525</f>
        <v>43.8687373064601</v>
      </c>
      <c r="K1549" s="6" t="n">
        <f aca="false">Sens!K1525</f>
        <v>44.7461120525893</v>
      </c>
    </row>
    <row r="1550" customFormat="false" ht="15" hidden="false" customHeight="false" outlineLevel="0" collapsed="false">
      <c r="A1550" s="0" t="s">
        <v>1035</v>
      </c>
      <c r="B1550" s="0" t="s">
        <v>98</v>
      </c>
      <c r="D1550" s="6" t="n">
        <f aca="false">Sens!D1527</f>
        <v>18.417</v>
      </c>
      <c r="E1550" s="6" t="n">
        <f aca="false">Sens!E1527</f>
        <v>20.345</v>
      </c>
      <c r="F1550" s="6" t="n">
        <f aca="false">Sens!F1527</f>
        <v>22.3161797133988</v>
      </c>
      <c r="G1550" s="6" t="n">
        <f aca="false">Sens!G1527</f>
        <v>24.3943499673233</v>
      </c>
      <c r="H1550" s="6" t="n">
        <f aca="false">Sens!H1527</f>
        <v>26.5250243109019</v>
      </c>
      <c r="I1550" s="6" t="n">
        <f aca="false">Sens!I1527</f>
        <v>28.6884573538181</v>
      </c>
      <c r="J1550" s="6" t="n">
        <f aca="false">Sens!J1527</f>
        <v>30.8624968052127</v>
      </c>
      <c r="K1550" s="6" t="n">
        <f aca="false">Sens!K1527</f>
        <v>33.0228715815776</v>
      </c>
    </row>
    <row r="1551" customFormat="false" ht="15" hidden="false" customHeight="false" outlineLevel="0" collapsed="false">
      <c r="A1551" s="0" t="s">
        <v>1036</v>
      </c>
      <c r="B1551" s="0" t="s">
        <v>98</v>
      </c>
      <c r="D1551" s="6" t="n">
        <f aca="false">Sens!D1529</f>
        <v>7.76</v>
      </c>
      <c r="E1551" s="6" t="n">
        <f aca="false">Sens!E1529</f>
        <v>8.26</v>
      </c>
      <c r="F1551" s="6" t="n">
        <f aca="false">Sens!F1529</f>
        <v>8.75372082474227</v>
      </c>
      <c r="G1551" s="6" t="n">
        <f aca="false">Sens!G1529</f>
        <v>9.33399324642364</v>
      </c>
      <c r="H1551" s="6" t="n">
        <f aca="false">Sens!H1529</f>
        <v>9.96139155535851</v>
      </c>
      <c r="I1551" s="6" t="n">
        <f aca="false">Sens!I1529</f>
        <v>10.6402039077391</v>
      </c>
      <c r="J1551" s="6" t="n">
        <f aca="false">Sens!J1529</f>
        <v>11.3751458271397</v>
      </c>
      <c r="K1551" s="6" t="n">
        <f aca="false">Sens!K1529</f>
        <v>12.1714060350394</v>
      </c>
    </row>
    <row r="1552" customFormat="false" ht="15" hidden="false" customHeight="false" outlineLevel="0" collapsed="false">
      <c r="A1552" s="0" t="s">
        <v>852</v>
      </c>
      <c r="B1552" s="0" t="s">
        <v>98</v>
      </c>
      <c r="D1552" s="6" t="n">
        <f aca="false">Sens!D1531</f>
        <v>218.783</v>
      </c>
      <c r="E1552" s="6" t="n">
        <f aca="false">Sens!E1531</f>
        <v>268.127</v>
      </c>
      <c r="F1552" s="6" t="n">
        <f aca="false">Sens!F1531</f>
        <v>341.234734231149</v>
      </c>
      <c r="G1552" s="6" t="n">
        <f aca="false">Sens!G1531</f>
        <v>421.727116875597</v>
      </c>
      <c r="H1552" s="6" t="n">
        <f aca="false">Sens!H1531</f>
        <v>503.724237602194</v>
      </c>
      <c r="I1552" s="6" t="n">
        <f aca="false">Sens!I1531</f>
        <v>578.197621815023</v>
      </c>
      <c r="J1552" s="6" t="n">
        <f aca="false">Sens!J1531</f>
        <v>637.718264561966</v>
      </c>
      <c r="K1552" s="6" t="n">
        <f aca="false">Sens!K1531</f>
        <v>684.021573530051</v>
      </c>
    </row>
    <row r="1553" customFormat="false" ht="15" hidden="false" customHeight="false" outlineLevel="0" collapsed="false">
      <c r="A1553" s="0" t="s">
        <v>1037</v>
      </c>
      <c r="B1553" s="0" t="s">
        <v>98</v>
      </c>
      <c r="D1553" s="6" t="n">
        <f aca="false">Sens!D1532</f>
        <v>22.171</v>
      </c>
      <c r="E1553" s="6" t="n">
        <f aca="false">Sens!E1532</f>
        <v>24.835</v>
      </c>
      <c r="F1553" s="6" t="n">
        <f aca="false">Sens!F1532</f>
        <v>27.5591895660247</v>
      </c>
      <c r="G1553" s="6" t="n">
        <f aca="false">Sens!G1532</f>
        <v>30.4098563144583</v>
      </c>
      <c r="H1553" s="6" t="n">
        <f aca="false">Sens!H1532</f>
        <v>33.3011792571777</v>
      </c>
      <c r="I1553" s="6" t="n">
        <f aca="false">Sens!I1532</f>
        <v>36.189023797112</v>
      </c>
      <c r="J1553" s="6" t="n">
        <f aca="false">Sens!J1532</f>
        <v>39.0247773769199</v>
      </c>
      <c r="K1553" s="6" t="n">
        <f aca="false">Sens!K1532</f>
        <v>41.7565117933043</v>
      </c>
    </row>
    <row r="1554" customFormat="false" ht="15" hidden="false" customHeight="false" outlineLevel="0" collapsed="false">
      <c r="A1554" s="0" t="s">
        <v>1038</v>
      </c>
      <c r="B1554" s="0" t="s">
        <v>98</v>
      </c>
      <c r="D1554" s="6" t="n">
        <f aca="false">Sens!D1534</f>
        <v>23.455</v>
      </c>
      <c r="E1554" s="6" t="n">
        <f aca="false">Sens!E1534</f>
        <v>21.79</v>
      </c>
      <c r="F1554" s="6" t="n">
        <f aca="false">Sens!F1534</f>
        <v>20.7520981041711</v>
      </c>
      <c r="G1554" s="6" t="n">
        <f aca="false">Sens!G1534</f>
        <v>19.9083593495882</v>
      </c>
      <c r="H1554" s="6" t="n">
        <f aca="false">Sens!H1534</f>
        <v>19.4008256265831</v>
      </c>
      <c r="I1554" s="6" t="n">
        <f aca="false">Sens!I1534</f>
        <v>19.200434522122</v>
      </c>
      <c r="J1554" s="6" t="n">
        <f aca="false">Sens!J1534</f>
        <v>19.2932782348507</v>
      </c>
      <c r="K1554" s="6" t="n">
        <f aca="false">Sens!K1534</f>
        <v>19.6791437995477</v>
      </c>
    </row>
    <row r="1555" customFormat="false" ht="15" hidden="false" customHeight="false" outlineLevel="0" collapsed="false">
      <c r="A1555" s="0" t="s">
        <v>1039</v>
      </c>
      <c r="B1555" s="0" t="s">
        <v>98</v>
      </c>
      <c r="D1555" s="6" t="n">
        <f aca="false">Sens!D1536</f>
        <v>17.315</v>
      </c>
      <c r="E1555" s="6" t="n">
        <f aca="false">Sens!E1536</f>
        <v>17.087</v>
      </c>
      <c r="F1555" s="6" t="n">
        <f aca="false">Sens!F1536</f>
        <v>15.9912273250553</v>
      </c>
      <c r="G1555" s="6" t="n">
        <f aca="false">Sens!G1536</f>
        <v>15.9574562664827</v>
      </c>
      <c r="H1555" s="6" t="n">
        <f aca="false">Sens!H1536</f>
        <v>16.0119687434196</v>
      </c>
      <c r="I1555" s="6" t="n">
        <f aca="false">Sens!I1536</f>
        <v>16.1551810001948</v>
      </c>
      <c r="J1555" s="6" t="n">
        <f aca="false">Sens!J1536</f>
        <v>16.3889793892005</v>
      </c>
      <c r="K1555" s="6" t="n">
        <f aca="false">Sens!K1536</f>
        <v>16.7167589769845</v>
      </c>
    </row>
    <row r="1556" customFormat="false" ht="15" hidden="false" customHeight="false" outlineLevel="0" collapsed="false">
      <c r="A1556" s="0" t="s">
        <v>866</v>
      </c>
      <c r="B1556" s="0" t="s">
        <v>98</v>
      </c>
      <c r="D1556" s="6" t="n">
        <f aca="false">Sens!D1538</f>
        <v>62.941</v>
      </c>
      <c r="E1556" s="6" t="n">
        <f aca="false">Sens!E1538</f>
        <v>63.712</v>
      </c>
      <c r="F1556" s="6" t="n">
        <f aca="false">Sens!F1538</f>
        <v>64.3025149952511</v>
      </c>
      <c r="G1556" s="6" t="n">
        <f aca="false">Sens!G1538</f>
        <v>66.2756719305292</v>
      </c>
      <c r="H1556" s="6" t="n">
        <f aca="false">Sens!H1538</f>
        <v>68.7139736271804</v>
      </c>
      <c r="I1556" s="6" t="n">
        <f aca="false">Sens!I1538</f>
        <v>71.5446393194289</v>
      </c>
      <c r="J1556" s="6" t="n">
        <f aca="false">Sens!J1538</f>
        <v>74.707035000971</v>
      </c>
      <c r="K1556" s="6" t="n">
        <f aca="false">Sens!K1538</f>
        <v>78.1524145698365</v>
      </c>
    </row>
    <row r="1557" customFormat="false" ht="15" hidden="false" customHeight="false" outlineLevel="0" collapsed="false">
      <c r="A1557" s="1" t="s">
        <v>1055</v>
      </c>
      <c r="B1557" s="0" t="s">
        <v>98</v>
      </c>
      <c r="D1557" s="6" t="n">
        <f aca="false">Sens!D1539</f>
        <v>281.724</v>
      </c>
      <c r="E1557" s="6" t="n">
        <f aca="false">Sens!E1539</f>
        <v>331.839</v>
      </c>
      <c r="F1557" s="6" t="n">
        <f aca="false">Sens!F1539</f>
        <v>405.5372492264</v>
      </c>
      <c r="G1557" s="6" t="n">
        <f aca="false">Sens!G1539</f>
        <v>488.002788806126</v>
      </c>
      <c r="H1557" s="6" t="n">
        <f aca="false">Sens!H1539</f>
        <v>572.438211229374</v>
      </c>
      <c r="I1557" s="6" t="n">
        <f aca="false">Sens!I1539</f>
        <v>649.742261134451</v>
      </c>
      <c r="J1557" s="6" t="n">
        <f aca="false">Sens!J1539</f>
        <v>712.425299562937</v>
      </c>
      <c r="K1557" s="6" t="n">
        <f aca="false">Sens!K1539</f>
        <v>762.173988099887</v>
      </c>
    </row>
    <row r="1558" customFormat="false" ht="15" hidden="false" customHeight="false" outlineLevel="0" collapsed="false">
      <c r="A1558" s="1" t="s">
        <v>1056</v>
      </c>
      <c r="B1558" s="0" t="s">
        <v>168</v>
      </c>
      <c r="E1558" s="7" t="n">
        <f aca="false">Sens!E1557/Sens!D1557-1</f>
        <v>0.177886867998467</v>
      </c>
      <c r="F1558" s="7" t="n">
        <f aca="false">Sens!F1557/Sens!E1557-1</f>
        <v>0.222090378847573</v>
      </c>
      <c r="G1558" s="7" t="n">
        <f aca="false">Sens!G1557/Sens!F1557-1</f>
        <v>0.203348865577792</v>
      </c>
      <c r="H1558" s="7" t="n">
        <f aca="false">Sens!H1557/Sens!G1557-1</f>
        <v>0.173022417822273</v>
      </c>
      <c r="I1558" s="7" t="n">
        <f aca="false">Sens!I1557/Sens!H1557-1</f>
        <v>0.135043483101972</v>
      </c>
      <c r="J1558" s="7" t="n">
        <f aca="false">Sens!J1557/Sens!I1557-1</f>
        <v>0.096473697615175</v>
      </c>
      <c r="K1558" s="7" t="n">
        <f aca="false">Sens!K1557/Sens!J1557-1</f>
        <v>0.0698300419250562</v>
      </c>
    </row>
    <row r="1559" customFormat="false" ht="17.15" hidden="false" customHeight="false" outlineLevel="0" collapsed="false">
      <c r="A1559" s="26" t="s">
        <v>1057</v>
      </c>
      <c r="B1559" s="31" t="s">
        <v>98</v>
      </c>
      <c r="C1559" s="31"/>
      <c r="D1559" s="27" t="n">
        <f aca="false">(Sens!D1552+Sens!D1556-Sens!D1557)+(Sens!D1544+Sens!D1545-Sens!D1543)+(Sens!D1547+Sens!D1548-Sens!D1546)+(Sens!D1557-Q!L18)</f>
        <v>0</v>
      </c>
      <c r="E1559" s="27" t="n">
        <f aca="false">(Sens!E1552+Sens!E1556-Sens!E1557)+(Sens!E1544+Sens!E1545-Sens!E1543)+(Sens!E1547+Sens!E1548-Sens!E1546)+(Sens!E1557-Q!M18)</f>
        <v>0</v>
      </c>
      <c r="F1559" s="27" t="n">
        <f aca="false">(Sens!F1552+Sens!F1556-Sens!F1557)+(Sens!F1544+Sens!F1545-Sens!F1543)+(Sens!F1547+Sens!F1548-Sens!F1546)</f>
        <v>0</v>
      </c>
      <c r="G1559" s="27" t="n">
        <f aca="false">(Sens!G1552+Sens!G1556-Sens!G1557)+(Sens!G1544+Sens!G1545-Sens!G1543)+(Sens!G1547+Sens!G1548-Sens!G1546)</f>
        <v>0</v>
      </c>
      <c r="H1559" s="27" t="n">
        <f aca="false">(Sens!H1552+Sens!H1556-Sens!H1557)+(Sens!H1544+Sens!H1545-Sens!H1543)+(Sens!H1547+Sens!H1548-Sens!H1546)</f>
        <v>0</v>
      </c>
      <c r="I1559" s="27" t="n">
        <f aca="false">(Sens!I1552+Sens!I1556-Sens!I1557)+(Sens!I1544+Sens!I1545-Sens!I1543)+(Sens!I1547+Sens!I1548-Sens!I1546)</f>
        <v>0</v>
      </c>
      <c r="J1559" s="27" t="n">
        <f aca="false">(Sens!J1552+Sens!J1556-Sens!J1557)+(Sens!J1544+Sens!J1545-Sens!J1543)+(Sens!J1547+Sens!J1548-Sens!J1546)</f>
        <v>0</v>
      </c>
      <c r="K1559" s="27" t="n">
        <f aca="false">(Sens!K1552+Sens!K1556-Sens!K1557)+(Sens!K1544+Sens!K1545-Sens!K1543)+(Sens!K1547+Sens!K1548-Sens!K1546)</f>
        <v>0</v>
      </c>
    </row>
    <row r="1560" customFormat="false" ht="17.15" hidden="false" customHeight="false" outlineLevel="0" collapsed="false">
      <c r="A1560" s="0" t="s">
        <v>1058</v>
      </c>
      <c r="B1560" s="0" t="s">
        <v>168</v>
      </c>
      <c r="E1560" s="7" t="n">
        <f aca="false">(Q!M21+Sens!E1496+Sens!E1497+Sens!E1498+Sens!E1512-Sens!E1494)/(Q!M5-Sens!E1494)</f>
        <v>0.570957350878296</v>
      </c>
      <c r="F1560" s="7" t="n">
        <f aca="false">Sens!$E$1560+dm_seg</f>
        <v>0.570957350878296</v>
      </c>
      <c r="G1560" s="7" t="n">
        <f aca="false">Sens!$E$1560+dm_seg</f>
        <v>0.570957350878296</v>
      </c>
      <c r="H1560" s="7" t="n">
        <f aca="false">Sens!$E$1560+dm_seg</f>
        <v>0.570957350878296</v>
      </c>
      <c r="I1560" s="7" t="n">
        <f aca="false">Sens!$E$1560+dm_seg</f>
        <v>0.570957350878296</v>
      </c>
      <c r="J1560" s="7" t="n">
        <f aca="false">Sens!$E$1560+dm_seg</f>
        <v>0.570957350878296</v>
      </c>
      <c r="K1560" s="7" t="n">
        <f aca="false">Sens!$E$1560+dm_seg</f>
        <v>0.570957350878296</v>
      </c>
      <c r="L1560" s="12" t="s">
        <v>1059</v>
      </c>
    </row>
    <row r="1561" customFormat="false" ht="17.15" hidden="false" customHeight="false" outlineLevel="0" collapsed="false">
      <c r="A1561" s="0" t="s">
        <v>880</v>
      </c>
      <c r="B1561" s="0" t="s">
        <v>98</v>
      </c>
      <c r="D1561" s="6" t="n">
        <f aca="false">Q!L21</f>
        <v>110.814</v>
      </c>
      <c r="E1561" s="6" t="n">
        <f aca="false">Q!M21</f>
        <v>136.365</v>
      </c>
      <c r="F1561" s="6" t="n">
        <f aca="false">Q!$I$21+(Sens!F1560*(Sens!F1531-Sens!F1494)+Sens!F1494-(Sens!F1496+Sens!F1497+Sens!F1498)-Sens!F1512-Sens!F1595)*(Sens!F1531-Q!$I$5)/Sens!F1531</f>
        <v>168.383029439362</v>
      </c>
      <c r="G1561" s="6" t="n">
        <f aca="false">(Sens!G1560*(Sens!G1531-Sens!G1494)+Sens!G1494-(Sens!G1496+Sens!G1497+Sens!G1498)-Sens!G1512-Sens!G1595)</f>
        <v>189.991126496863</v>
      </c>
      <c r="H1561" s="6" t="n">
        <f aca="false">(Sens!H1560*(Sens!H1531-Sens!H1494)+Sens!H1494-(Sens!H1496+Sens!H1497+Sens!H1498)-Sens!H1512-Sens!H1595)</f>
        <v>214.52578982381</v>
      </c>
      <c r="I1561" s="6" t="n">
        <f aca="false">(Sens!I1560*(Sens!I1531-Sens!I1494)+Sens!I1494-(Sens!I1496+Sens!I1497+Sens!I1498)-Sens!I1512-Sens!I1595)</f>
        <v>237.408796542502</v>
      </c>
      <c r="J1561" s="6" t="n">
        <f aca="false">(Sens!J1560*(Sens!J1531-Sens!J1494)+Sens!J1494-(Sens!J1496+Sens!J1497+Sens!J1498)-Sens!J1512-Sens!J1595)</f>
        <v>257.605656401271</v>
      </c>
      <c r="K1561" s="6" t="n">
        <f aca="false">(Sens!K1560*(Sens!K1531-Sens!K1494)+Sens!K1494-(Sens!K1496+Sens!K1497+Sens!K1498)-Sens!K1512-Sens!K1595)</f>
        <v>275.9669415947</v>
      </c>
      <c r="L1561" s="1" t="s">
        <v>1060</v>
      </c>
    </row>
    <row r="1562" customFormat="false" ht="17.15" hidden="false" customHeight="false" outlineLevel="0" collapsed="false">
      <c r="A1562" s="0" t="s">
        <v>1061</v>
      </c>
      <c r="B1562" s="0" t="s">
        <v>168</v>
      </c>
      <c r="E1562" s="7" t="n">
        <f aca="false">Q!M22/Q!M12</f>
        <v>0.296207935710698</v>
      </c>
      <c r="F1562" s="7" t="n">
        <f aca="false">Sens!$E$1562+dm_seg</f>
        <v>0.296207935710698</v>
      </c>
      <c r="G1562" s="7" t="n">
        <f aca="false">Sens!$E$1562+dm_seg</f>
        <v>0.296207935710698</v>
      </c>
      <c r="H1562" s="7" t="n">
        <f aca="false">Sens!$E$1562+dm_seg</f>
        <v>0.296207935710698</v>
      </c>
      <c r="I1562" s="7" t="n">
        <f aca="false">Sens!$E$1562+dm_seg</f>
        <v>0.296207935710698</v>
      </c>
      <c r="J1562" s="7" t="n">
        <f aca="false">Sens!$E$1562+dm_seg</f>
        <v>0.296207935710698</v>
      </c>
      <c r="K1562" s="7" t="n">
        <f aca="false">Sens!$E$1562+dm_seg</f>
        <v>0.296207935710698</v>
      </c>
      <c r="L1562" s="12" t="s">
        <v>1062</v>
      </c>
    </row>
    <row r="1563" customFormat="false" ht="17.15" hidden="false" customHeight="false" outlineLevel="0" collapsed="false">
      <c r="A1563" s="0" t="s">
        <v>882</v>
      </c>
      <c r="B1563" s="0" t="s">
        <v>98</v>
      </c>
      <c r="D1563" s="6" t="n">
        <f aca="false">Q!L22</f>
        <v>17.714</v>
      </c>
      <c r="E1563" s="6" t="n">
        <f aca="false">Q!M22</f>
        <v>18.872</v>
      </c>
      <c r="F1563" s="6" t="n">
        <f aca="false">Q!$I$22+(Sens!F1538-Q!$I$12)*Sens!F1562</f>
        <v>19.8174315512051</v>
      </c>
      <c r="G1563" s="6" t="n">
        <f aca="false">Sens!G1538*Sens!G1562</f>
        <v>19.6313799703815</v>
      </c>
      <c r="H1563" s="6" t="n">
        <f aca="false">Sens!H1538*Sens!H1562</f>
        <v>20.3536242825865</v>
      </c>
      <c r="I1563" s="6" t="n">
        <f aca="false">Sens!I1538*Sens!I1562</f>
        <v>21.1920899239745</v>
      </c>
      <c r="J1563" s="6" t="n">
        <f aca="false">Sens!J1538*Sens!J1562</f>
        <v>22.1288166207045</v>
      </c>
      <c r="K1563" s="6" t="n">
        <f aca="false">Sens!K1538*Sens!K1562</f>
        <v>23.1493653905379</v>
      </c>
      <c r="L1563" s="12" t="s">
        <v>1063</v>
      </c>
    </row>
    <row r="1564" customFormat="false" ht="15" hidden="false" customHeight="false" outlineLevel="0" collapsed="false">
      <c r="A1564" s="1" t="s">
        <v>1064</v>
      </c>
      <c r="B1564" s="0" t="s">
        <v>98</v>
      </c>
      <c r="D1564" s="6" t="n">
        <f aca="false">Sens!D1561+Sens!D1563</f>
        <v>128.528</v>
      </c>
      <c r="E1564" s="6" t="n">
        <f aca="false">Sens!E1561+Sens!E1563</f>
        <v>155.237</v>
      </c>
      <c r="F1564" s="6" t="n">
        <f aca="false">Sens!F1561+Sens!F1563</f>
        <v>188.200460990567</v>
      </c>
      <c r="G1564" s="6" t="n">
        <f aca="false">Sens!G1561+Sens!G1563</f>
        <v>209.622506467245</v>
      </c>
      <c r="H1564" s="6" t="n">
        <f aca="false">Sens!H1561+Sens!H1563</f>
        <v>234.879414106396</v>
      </c>
      <c r="I1564" s="6" t="n">
        <f aca="false">Sens!I1561+Sens!I1563</f>
        <v>258.600886466476</v>
      </c>
      <c r="J1564" s="6" t="n">
        <f aca="false">Sens!J1561+Sens!J1563</f>
        <v>279.734473021976</v>
      </c>
      <c r="K1564" s="6" t="n">
        <f aca="false">Sens!K1561+Sens!K1563</f>
        <v>299.116306985238</v>
      </c>
    </row>
    <row r="1565" customFormat="false" ht="15" hidden="false" customHeight="false" outlineLevel="0" collapsed="false">
      <c r="A1565" s="26" t="s">
        <v>1065</v>
      </c>
      <c r="B1565" s="31" t="s">
        <v>98</v>
      </c>
      <c r="C1565" s="31"/>
      <c r="D1565" s="27" t="n">
        <f aca="false">Sens!D1564-Q!L23</f>
        <v>0</v>
      </c>
      <c r="E1565" s="27" t="n">
        <f aca="false">Sens!E1564-Q!M23</f>
        <v>0</v>
      </c>
      <c r="F1565" s="31"/>
      <c r="G1565" s="31"/>
      <c r="H1565" s="31"/>
      <c r="I1565" s="31"/>
      <c r="J1565" s="31"/>
      <c r="K1565" s="31"/>
    </row>
    <row r="1566" customFormat="false" ht="15" hidden="false" customHeight="false" outlineLevel="0" collapsed="false">
      <c r="A1566" s="1" t="s">
        <v>1066</v>
      </c>
      <c r="B1566" s="0" t="s">
        <v>168</v>
      </c>
      <c r="D1566" s="7" t="n">
        <f aca="false">Sens!D1564/Sens!D1557</f>
        <v>0.456219562408598</v>
      </c>
      <c r="E1566" s="7" t="n">
        <f aca="false">Sens!E1564/Sens!E1557</f>
        <v>0.467808184089272</v>
      </c>
      <c r="F1566" s="7" t="n">
        <f aca="false">Sens!F1564/Sens!F1557</f>
        <v>0.464076879126583</v>
      </c>
      <c r="G1566" s="7" t="n">
        <f aca="false">Sens!G1564/Sens!G1557</f>
        <v>0.429551861742584</v>
      </c>
      <c r="H1566" s="7" t="n">
        <f aca="false">Sens!H1564/Sens!H1557</f>
        <v>0.41031400332617</v>
      </c>
      <c r="I1566" s="7" t="n">
        <f aca="false">Sens!I1564/Sens!I1557</f>
        <v>0.398005335246254</v>
      </c>
      <c r="J1566" s="7" t="n">
        <f aca="false">Sens!J1564/Sens!J1557</f>
        <v>0.392650953290948</v>
      </c>
      <c r="K1566" s="7" t="n">
        <f aca="false">Sens!K1564/Sens!K1557</f>
        <v>0.392451476507274</v>
      </c>
    </row>
    <row r="1567" customFormat="false" ht="17.15" hidden="false" customHeight="false" outlineLevel="0" collapsed="false">
      <c r="A1567" s="1" t="s">
        <v>1067</v>
      </c>
      <c r="B1567" s="0" t="s">
        <v>98</v>
      </c>
      <c r="F1567" s="6" t="n">
        <f aca="false">Sens!F1582</f>
        <v>9.7398427716299</v>
      </c>
      <c r="G1567" s="6" t="n">
        <f aca="false">Sens!G1582</f>
        <v>25.2753385959797</v>
      </c>
      <c r="H1567" s="6" t="n">
        <f aca="false">Sens!H1582</f>
        <v>42.2840253697948</v>
      </c>
      <c r="I1567" s="6" t="n">
        <f aca="false">Sens!I1582</f>
        <v>57.704943641581</v>
      </c>
      <c r="J1567" s="6" t="n">
        <f aca="false">Sens!J1582</f>
        <v>68.4828520908201</v>
      </c>
      <c r="K1567" s="6" t="n">
        <f aca="false">Sens!K1582</f>
        <v>74.3598374943249</v>
      </c>
      <c r="L1567" s="1" t="s">
        <v>1068</v>
      </c>
    </row>
    <row r="1568" customFormat="false" ht="17.15" hidden="false" customHeight="false" outlineLevel="0" collapsed="false">
      <c r="A1568" s="1" t="s">
        <v>1069</v>
      </c>
      <c r="B1568" s="0" t="s">
        <v>98</v>
      </c>
      <c r="D1568" s="6" t="n">
        <f aca="false">Sens!D1564</f>
        <v>128.528</v>
      </c>
      <c r="E1568" s="6" t="n">
        <f aca="false">Sens!E1564</f>
        <v>155.237</v>
      </c>
      <c r="F1568" s="6" t="n">
        <f aca="false">Sens!F1564+Sens!F1567</f>
        <v>197.940303762197</v>
      </c>
      <c r="G1568" s="6" t="n">
        <f aca="false">Sens!G1564+Sens!G1567</f>
        <v>234.897845063224</v>
      </c>
      <c r="H1568" s="6" t="n">
        <f aca="false">Sens!H1564+Sens!H1567</f>
        <v>277.163439476191</v>
      </c>
      <c r="I1568" s="6" t="n">
        <f aca="false">Sens!I1564+Sens!I1567</f>
        <v>316.305830108057</v>
      </c>
      <c r="J1568" s="6" t="n">
        <f aca="false">Sens!J1564+Sens!J1567</f>
        <v>348.217325112796</v>
      </c>
      <c r="K1568" s="6" t="n">
        <f aca="false">Sens!K1564+Sens!K1567</f>
        <v>373.476144479563</v>
      </c>
    </row>
    <row r="1569" customFormat="false" ht="17.15" hidden="false" customHeight="false" outlineLevel="0" collapsed="false">
      <c r="A1569" s="1" t="s">
        <v>1070</v>
      </c>
      <c r="B1569" s="0" t="s">
        <v>98</v>
      </c>
      <c r="E1569" s="6" t="n">
        <f aca="false">Sens!E1512</f>
        <v>16.3054059770833</v>
      </c>
      <c r="F1569" s="6" t="n">
        <f aca="false">Sens!F1512</f>
        <v>34.5793144783516</v>
      </c>
      <c r="G1569" s="6" t="n">
        <f aca="false">Sens!G1512</f>
        <v>60.7344906522989</v>
      </c>
      <c r="H1569" s="6" t="n">
        <f aca="false">Sens!H1512</f>
        <v>89.1000906614457</v>
      </c>
      <c r="I1569" s="6" t="n">
        <f aca="false">Sens!I1512</f>
        <v>114.231009694548</v>
      </c>
      <c r="J1569" s="6" t="n">
        <f aca="false">Sens!J1512</f>
        <v>132.015673049596</v>
      </c>
      <c r="K1569" s="6" t="n">
        <f aca="false">Sens!K1512</f>
        <v>143.012669550934</v>
      </c>
    </row>
    <row r="1570" customFormat="false" ht="17.15" hidden="false" customHeight="false" outlineLevel="0" collapsed="false">
      <c r="A1570" s="1" t="s">
        <v>1071</v>
      </c>
      <c r="B1570" s="0" t="s">
        <v>98</v>
      </c>
      <c r="E1570" s="6" t="n">
        <f aca="false">Sens!E1594</f>
        <v>22.2285940229167</v>
      </c>
      <c r="F1570" s="6" t="n">
        <f aca="false">Sens!F1594</f>
        <v>23.580344216413</v>
      </c>
      <c r="G1570" s="6" t="n">
        <f aca="false">Sens!G1594</f>
        <v>25.3149798485121</v>
      </c>
      <c r="H1570" s="6" t="n">
        <f aca="false">Sens!H1594</f>
        <v>27.4391781324903</v>
      </c>
      <c r="I1570" s="6" t="n">
        <f aca="false">Sens!I1594</f>
        <v>29.886889698627</v>
      </c>
      <c r="J1570" s="6" t="n">
        <f aca="false">Sens!J1594</f>
        <v>32.5755493194513</v>
      </c>
      <c r="K1570" s="6" t="n">
        <f aca="false">Sens!K1594</f>
        <v>35.4219613740153</v>
      </c>
    </row>
    <row r="1571" customFormat="false" ht="17.15" hidden="false" customHeight="false" outlineLevel="0" collapsed="false">
      <c r="A1571" s="1" t="s">
        <v>1072</v>
      </c>
      <c r="B1571" s="0" t="s">
        <v>98</v>
      </c>
      <c r="D1571" s="6" t="n">
        <f aca="false">Q!L27</f>
        <v>-4.901</v>
      </c>
      <c r="E1571" s="6" t="n">
        <f aca="false">Q!M27</f>
        <v>10.697</v>
      </c>
      <c r="F1571" s="6" t="n">
        <f aca="false">Q!$I$27+oie_f*(q_per_yr-1)/q_per_yr</f>
        <v>-0.862</v>
      </c>
      <c r="G1571" s="6" t="n">
        <f aca="false">oie_f</f>
        <v>-1.2</v>
      </c>
      <c r="H1571" s="6" t="n">
        <f aca="false">oie_f</f>
        <v>-1.2</v>
      </c>
      <c r="I1571" s="6" t="n">
        <f aca="false">oie_f</f>
        <v>-1.2</v>
      </c>
      <c r="J1571" s="6" t="n">
        <f aca="false">oie_f</f>
        <v>-1.2</v>
      </c>
      <c r="K1571" s="6" t="n">
        <f aca="false">oie_f</f>
        <v>-1.2</v>
      </c>
      <c r="L1571" s="12" t="s">
        <v>1073</v>
      </c>
    </row>
    <row r="1572" customFormat="false" ht="15" hidden="false" customHeight="false" outlineLevel="0" collapsed="false">
      <c r="A1572" s="1" t="s">
        <v>1074</v>
      </c>
      <c r="B1572" s="0" t="s">
        <v>98</v>
      </c>
      <c r="D1572" s="6" t="n">
        <f aca="false">Sens!D1564+Sens!D1571</f>
        <v>123.627</v>
      </c>
      <c r="E1572" s="6" t="n">
        <f aca="false">Sens!E1564+Sens!E1571</f>
        <v>165.934</v>
      </c>
      <c r="F1572" s="6" t="n">
        <f aca="false">Sens!F1564+Sens!F1571</f>
        <v>187.338460990567</v>
      </c>
      <c r="G1572" s="6" t="n">
        <f aca="false">Sens!G1564+Sens!G1571</f>
        <v>208.422506467245</v>
      </c>
      <c r="H1572" s="6" t="n">
        <f aca="false">Sens!H1564+Sens!H1571</f>
        <v>233.679414106396</v>
      </c>
      <c r="I1572" s="6" t="n">
        <f aca="false">Sens!I1564+Sens!I1571</f>
        <v>257.400886466476</v>
      </c>
      <c r="J1572" s="6" t="n">
        <f aca="false">Sens!J1564+Sens!J1571</f>
        <v>278.534473021976</v>
      </c>
      <c r="K1572" s="6" t="n">
        <f aca="false">Sens!K1564+Sens!K1571</f>
        <v>297.916306985238</v>
      </c>
    </row>
    <row r="1573" customFormat="false" ht="15" hidden="false" customHeight="false" outlineLevel="0" collapsed="false">
      <c r="A1573" s="1" t="s">
        <v>1075</v>
      </c>
      <c r="B1573" s="0" t="s">
        <v>98</v>
      </c>
      <c r="D1573" s="6" t="n">
        <f aca="false">Q!L29</f>
        <v>21.795</v>
      </c>
      <c r="E1573" s="6" t="n">
        <f aca="false">Q!M29</f>
        <v>32.185</v>
      </c>
      <c r="F1573" s="6" t="n">
        <f aca="false">Q!$I$29+(Sens!F1572-Q!$I$28)*tax_f</f>
        <v>37.6010921981134</v>
      </c>
      <c r="G1573" s="6" t="n">
        <f aca="false">Sens!G1572*tax_f</f>
        <v>41.6845012934489</v>
      </c>
      <c r="H1573" s="6" t="n">
        <f aca="false">Sens!H1572*tax_f</f>
        <v>46.7358828212792</v>
      </c>
      <c r="I1573" s="6" t="n">
        <f aca="false">Sens!I1572*tax_f</f>
        <v>51.4801772932953</v>
      </c>
      <c r="J1573" s="6" t="n">
        <f aca="false">Sens!J1572*tax_f</f>
        <v>55.7068946043952</v>
      </c>
      <c r="K1573" s="6" t="n">
        <f aca="false">Sens!K1572*tax_f</f>
        <v>59.5832613970477</v>
      </c>
    </row>
    <row r="1574" customFormat="false" ht="15" hidden="false" customHeight="false" outlineLevel="0" collapsed="false">
      <c r="A1574" s="1" t="s">
        <v>1076</v>
      </c>
      <c r="B1574" s="0" t="s">
        <v>98</v>
      </c>
      <c r="D1574" s="6" t="n">
        <f aca="false">Sens!D1572-Sens!D1573</f>
        <v>101.832</v>
      </c>
      <c r="E1574" s="6" t="n">
        <f aca="false">Sens!E1572-Sens!E1573</f>
        <v>133.749</v>
      </c>
      <c r="F1574" s="6" t="n">
        <f aca="false">Sens!F1572-Sens!F1573</f>
        <v>149.737368792453</v>
      </c>
      <c r="G1574" s="6" t="n">
        <f aca="false">Sens!G1572-Sens!G1573</f>
        <v>166.738005173796</v>
      </c>
      <c r="H1574" s="6" t="n">
        <f aca="false">Sens!H1572-Sens!H1573</f>
        <v>186.943531285117</v>
      </c>
      <c r="I1574" s="6" t="n">
        <f aca="false">Sens!I1572-Sens!I1573</f>
        <v>205.920709173181</v>
      </c>
      <c r="J1574" s="6" t="n">
        <f aca="false">Sens!J1572-Sens!J1573</f>
        <v>222.827578417581</v>
      </c>
      <c r="K1574" s="6" t="n">
        <f aca="false">Sens!K1572-Sens!K1573</f>
        <v>238.333045588191</v>
      </c>
    </row>
    <row r="1575" customFormat="false" ht="17.15" hidden="false" customHeight="false" outlineLevel="0" collapsed="false">
      <c r="A1575" s="1" t="s">
        <v>1077</v>
      </c>
      <c r="B1575" s="1" t="s">
        <v>81</v>
      </c>
      <c r="D1575" s="15" t="n">
        <f aca="false">Q!L31</f>
        <v>7.465</v>
      </c>
      <c r="E1575" s="15" t="n">
        <f aca="false">Q!M31</f>
        <v>7.453</v>
      </c>
      <c r="F1575" s="15" t="n">
        <f aca="false">Sens!F1619</f>
        <v>7.46847334304691</v>
      </c>
      <c r="G1575" s="15" t="n">
        <f aca="false">Sens!G1619</f>
        <v>7.50622393637765</v>
      </c>
      <c r="H1575" s="15" t="n">
        <f aca="false">Sens!H1619</f>
        <v>7.53170112569028</v>
      </c>
      <c r="I1575" s="15" t="n">
        <f aca="false">Sens!I1619</f>
        <v>7.54338248974575</v>
      </c>
      <c r="J1575" s="15" t="n">
        <f aca="false">Sens!J1619</f>
        <v>7.55753190090822</v>
      </c>
      <c r="K1575" s="15" t="n">
        <f aca="false">Sens!K1619</f>
        <v>7.57396654087347</v>
      </c>
    </row>
    <row r="1576" customFormat="false" ht="17.15" hidden="false" customHeight="false" outlineLevel="0" collapsed="false">
      <c r="A1576" s="0" t="s">
        <v>1078</v>
      </c>
      <c r="B1576" s="0" t="s">
        <v>75</v>
      </c>
      <c r="D1576" s="8" t="n">
        <f aca="false">Sens!D1574/Sens!D1575</f>
        <v>13.641259209645</v>
      </c>
      <c r="E1576" s="8" t="n">
        <f aca="false">Sens!E1574/Sens!E1575</f>
        <v>17.9456594659869</v>
      </c>
      <c r="F1576" s="8" t="n">
        <f aca="false">Sens!F1574/Sens!F1575</f>
        <v>20.049260660729</v>
      </c>
      <c r="G1576" s="8" t="n">
        <f aca="false">Sens!G1574/Sens!G1575</f>
        <v>22.2133001342696</v>
      </c>
      <c r="H1576" s="8" t="n">
        <f aca="false">Sens!H1574/Sens!H1575</f>
        <v>24.82089081409</v>
      </c>
      <c r="I1576" s="8" t="n">
        <f aca="false">Sens!I1574/Sens!I1575</f>
        <v>27.298192747498</v>
      </c>
      <c r="J1576" s="8" t="n">
        <f aca="false">Sens!J1574/Sens!J1575</f>
        <v>29.484173052687</v>
      </c>
      <c r="K1576" s="8" t="n">
        <f aca="false">Sens!K1574/Sens!K1575</f>
        <v>31.4674014338469</v>
      </c>
      <c r="L1576" s="1" t="s">
        <v>1079</v>
      </c>
    </row>
    <row r="1577" customFormat="false" ht="17.15" hidden="false" customHeight="false" outlineLevel="0" collapsed="false">
      <c r="A1577" s="1" t="s">
        <v>1080</v>
      </c>
      <c r="B1577" s="0" t="s">
        <v>98</v>
      </c>
      <c r="D1577" s="6" t="n">
        <f aca="false">Sens!D1574</f>
        <v>101.832</v>
      </c>
      <c r="E1577" s="6" t="n">
        <f aca="false">Sens!E1574</f>
        <v>133.749</v>
      </c>
      <c r="F1577" s="6" t="n">
        <f aca="false">Sens!F1574+Sens!F1567*(1-tax_f)</f>
        <v>157.529243009757</v>
      </c>
      <c r="G1577" s="6" t="n">
        <f aca="false">Sens!G1574+Sens!G1567*(1-tax_f)</f>
        <v>186.958276050579</v>
      </c>
      <c r="H1577" s="6" t="n">
        <f aca="false">Sens!H1574+Sens!H1567*(1-tax_f)</f>
        <v>220.770751580953</v>
      </c>
      <c r="I1577" s="6" t="n">
        <f aca="false">Sens!I1574+Sens!I1567*(1-tax_f)</f>
        <v>252.084664086446</v>
      </c>
      <c r="J1577" s="6" t="n">
        <f aca="false">Sens!J1574+Sens!J1567*(1-tax_f)</f>
        <v>277.613860090237</v>
      </c>
      <c r="K1577" s="6" t="n">
        <f aca="false">Sens!K1574+Sens!K1567*(1-tax_f)</f>
        <v>297.820915583651</v>
      </c>
    </row>
    <row r="1578" customFormat="false" ht="17.15" hidden="false" customHeight="false" outlineLevel="0" collapsed="false">
      <c r="A1578" s="0" t="s">
        <v>1081</v>
      </c>
      <c r="B1578" s="0" t="s">
        <v>75</v>
      </c>
      <c r="D1578" s="8" t="n">
        <f aca="false">Sens!D1577/Sens!D1575</f>
        <v>13.641259209645</v>
      </c>
      <c r="E1578" s="8" t="n">
        <f aca="false">Sens!E1577/Sens!E1575</f>
        <v>17.9456594659869</v>
      </c>
      <c r="F1578" s="8" t="n">
        <f aca="false">Sens!F1577/Sens!F1575</f>
        <v>21.0925628001894</v>
      </c>
      <c r="G1578" s="8" t="n">
        <f aca="false">Sens!G1577/Sens!G1575</f>
        <v>24.9071007786642</v>
      </c>
      <c r="H1578" s="8" t="n">
        <f aca="false">Sens!H1577/Sens!H1575</f>
        <v>29.31220290034</v>
      </c>
      <c r="I1578" s="8" t="n">
        <f aca="false">Sens!I1577/Sens!I1575</f>
        <v>33.4179878097289</v>
      </c>
      <c r="J1578" s="8" t="n">
        <f aca="false">Sens!J1577/Sens!J1575</f>
        <v>36.7334023501607</v>
      </c>
      <c r="K1578" s="8" t="n">
        <f aca="false">Sens!K1577/Sens!K1575</f>
        <v>39.3216571497164</v>
      </c>
      <c r="L1578" s="1" t="s">
        <v>1082</v>
      </c>
    </row>
    <row r="1579" customFormat="false" ht="17.15" hidden="false" customHeight="false" outlineLevel="0" collapsed="false">
      <c r="A1579" s="0" t="s">
        <v>1083</v>
      </c>
      <c r="B1579" s="0" t="s">
        <v>168</v>
      </c>
      <c r="E1579" s="7" t="n">
        <f aca="false">Sens!E1578/Sens!D1578-1</f>
        <v>0.315542736208578</v>
      </c>
      <c r="F1579" s="7" t="n">
        <f aca="false">Sens!F1578/Sens!E1578-1</f>
        <v>0.175357352576928</v>
      </c>
      <c r="G1579" s="7" t="n">
        <f aca="false">Sens!G1578/Sens!F1578-1</f>
        <v>0.180847534489291</v>
      </c>
      <c r="H1579" s="7" t="n">
        <f aca="false">Sens!H1578/Sens!G1578-1</f>
        <v>0.176861295934102</v>
      </c>
      <c r="I1579" s="7" t="n">
        <f aca="false">Sens!I1578/Sens!H1578-1</f>
        <v>0.140070840917292</v>
      </c>
      <c r="J1579" s="7" t="n">
        <f aca="false">Sens!J1578/Sens!I1578-1</f>
        <v>0.0992104778812153</v>
      </c>
      <c r="K1579" s="7" t="n">
        <f aca="false">Sens!K1578/Sens!J1578-1</f>
        <v>0.070460524589669</v>
      </c>
    </row>
    <row r="1580" customFormat="false" ht="17.15" hidden="false" customHeight="false" outlineLevel="0" collapsed="false">
      <c r="A1580" s="0" t="s">
        <v>1003</v>
      </c>
      <c r="B1580" s="0" t="s">
        <v>98</v>
      </c>
      <c r="E1580" s="6" t="n">
        <f aca="false">Sens!E1521</f>
        <v>5.25</v>
      </c>
      <c r="F1580" s="6" t="n">
        <f aca="false">Sens!F1521</f>
        <v>12</v>
      </c>
      <c r="G1580" s="6" t="n">
        <f aca="false">Sens!G1521</f>
        <v>18</v>
      </c>
      <c r="H1580" s="6" t="n">
        <f aca="false">Sens!H1521</f>
        <v>24</v>
      </c>
      <c r="I1580" s="6" t="n">
        <f aca="false">Sens!I1521</f>
        <v>28.5</v>
      </c>
      <c r="J1580" s="6" t="n">
        <f aca="false">Sens!J1521</f>
        <v>31.5</v>
      </c>
      <c r="K1580" s="6" t="n">
        <f aca="false">Sens!K1521</f>
        <v>34.5</v>
      </c>
    </row>
    <row r="1581" customFormat="false" ht="17.15" hidden="false" customHeight="false" outlineLevel="0" collapsed="false">
      <c r="A1581" s="1" t="s">
        <v>1004</v>
      </c>
      <c r="B1581" s="0" t="s">
        <v>98</v>
      </c>
      <c r="F1581" s="6" t="n">
        <f aca="false">MAX(0,((Sens!E1481+Sens!F1481)/2-(shadow_base*(Sens!$D$1481+Sens!$E$1481)/2+(1-shadow_base)*Sens!$E$1481))*Sens!F1490/1000-(Sens!F1580-Sens!$E$1580)*Sens!F1560)</f>
        <v>9.7398427716299</v>
      </c>
      <c r="G1581" s="6" t="n">
        <f aca="false">MAX(0,((Sens!F1481+Sens!G1481)/2-(shadow_base*(Sens!$D$1481+Sens!$E$1481)/2+(1-shadow_base)*Sens!$E$1481))*Sens!G1490/1000-(Sens!G1580-Sens!$E$1580)*Sens!G1560)</f>
        <v>25.2753385959797</v>
      </c>
      <c r="H1581" s="6" t="n">
        <f aca="false">MAX(0,((Sens!G1481+Sens!H1481)/2-(shadow_base*(Sens!$D$1481+Sens!$E$1481)/2+(1-shadow_base)*Sens!$E$1481))*Sens!H1490/1000-(Sens!H1580-Sens!$E$1580)*Sens!H1560)</f>
        <v>42.2840253697948</v>
      </c>
      <c r="I1581" s="6" t="n">
        <f aca="false">MAX(0,((Sens!H1481+Sens!I1481)/2-(shadow_base*(Sens!$D$1481+Sens!$E$1481)/2+(1-shadow_base)*Sens!$E$1481))*Sens!I1490/1000-(Sens!I1580-Sens!$E$1580)*Sens!I1560)</f>
        <v>57.704943641581</v>
      </c>
      <c r="J1581" s="6" t="n">
        <f aca="false">MAX(0,((Sens!I1481+Sens!J1481)/2-(shadow_base*(Sens!$D$1481+Sens!$E$1481)/2+(1-shadow_base)*Sens!$E$1481))*Sens!J1490/1000-(Sens!J1580-Sens!$E$1580)*Sens!J1560)</f>
        <v>68.4828520908201</v>
      </c>
      <c r="K1581" s="6" t="n">
        <f aca="false">MAX(0,((Sens!J1481+Sens!K1481)/2-(shadow_base*(Sens!$D$1481+Sens!$E$1481)/2+(1-shadow_base)*Sens!$E$1481))*Sens!K1490/1000-(Sens!K1580-Sens!$E$1580)*Sens!K1560)</f>
        <v>74.3598374943249</v>
      </c>
      <c r="L1581" s="1" t="s">
        <v>1005</v>
      </c>
    </row>
    <row r="1582" customFormat="false" ht="17.15" hidden="false" customHeight="false" outlineLevel="0" collapsed="false">
      <c r="A1582" s="1" t="s">
        <v>1006</v>
      </c>
      <c r="B1582" s="0" t="s">
        <v>98</v>
      </c>
      <c r="F1582" s="6" t="n">
        <f aca="false">IF(internal_ai_reading=2,1,0)*Sens!F1581</f>
        <v>9.7398427716299</v>
      </c>
      <c r="G1582" s="6" t="n">
        <f aca="false">IF(internal_ai_reading=2,1,0)*Sens!G1581</f>
        <v>25.2753385959797</v>
      </c>
      <c r="H1582" s="6" t="n">
        <f aca="false">IF(internal_ai_reading=2,1,0)*Sens!H1581</f>
        <v>42.2840253697948</v>
      </c>
      <c r="I1582" s="6" t="n">
        <f aca="false">IF(internal_ai_reading=2,1,0)*Sens!I1581</f>
        <v>57.704943641581</v>
      </c>
      <c r="J1582" s="6" t="n">
        <f aca="false">IF(internal_ai_reading=2,1,0)*Sens!J1581</f>
        <v>68.4828520908201</v>
      </c>
      <c r="K1582" s="6" t="n">
        <f aca="false">IF(internal_ai_reading=2,1,0)*Sens!K1581</f>
        <v>74.3598374943249</v>
      </c>
    </row>
    <row r="1583" customFormat="false" ht="17.15" hidden="false" customHeight="false" outlineLevel="0" collapsed="false">
      <c r="A1583" s="0" t="s">
        <v>1007</v>
      </c>
      <c r="B1583" s="0" t="s">
        <v>98</v>
      </c>
      <c r="F1583" s="6" t="n">
        <f aca="false">Sens!F1500+Sens!F1580*Sens!F1560+Sens!F1582-Sens!F1501-Sens!F1512</f>
        <v>23.1270574821417</v>
      </c>
      <c r="G1583" s="6" t="n">
        <f aca="false">Sens!G1500+Sens!G1580*Sens!G1560+Sens!G1582-Sens!G1501-Sens!G1512</f>
        <v>44.7282142867222</v>
      </c>
      <c r="H1583" s="6" t="n">
        <f aca="false">Sens!H1500+Sens!H1580*Sens!H1560+Sens!H1582-Sens!H1501-Sens!H1512</f>
        <v>67.1104430115742</v>
      </c>
      <c r="I1583" s="6" t="n">
        <f aca="false">Sens!I1500+Sens!I1580*Sens!I1560+Sens!I1582-Sens!I1501-Sens!I1512</f>
        <v>86.7374089289635</v>
      </c>
      <c r="J1583" s="6" t="n">
        <f aca="false">Sens!J1500+Sens!J1580*Sens!J1560+Sens!J1582-Sens!J1501-Sens!J1512</f>
        <v>100.265633304742</v>
      </c>
      <c r="K1583" s="6" t="n">
        <f aca="false">Sens!K1500+Sens!K1580*Sens!K1560+Sens!K1582-Sens!K1501-Sens!K1512</f>
        <v>109.059799954583</v>
      </c>
    </row>
    <row r="1584" customFormat="false" ht="17.15" hidden="false" customHeight="false" outlineLevel="0" collapsed="false">
      <c r="A1584" s="0" t="s">
        <v>1008</v>
      </c>
      <c r="B1584" s="0" t="s">
        <v>98</v>
      </c>
      <c r="E1584" s="6" t="n">
        <f aca="false">Sens!E1480*(cxit_open+self_build*tk_cxfac)/1000*ai_net_open</f>
        <v>126.6980382</v>
      </c>
      <c r="F1584" s="6" t="n">
        <f aca="false">Sens!E1584+Sens!F1509-Sens!F1512</f>
        <v>260.572627763768</v>
      </c>
      <c r="G1584" s="6" t="n">
        <f aca="false">Sens!F1584+Sens!G1509-Sens!G1512</f>
        <v>391.782612760517</v>
      </c>
      <c r="H1584" s="6" t="n">
        <f aca="false">Sens!G1584+Sens!H1509-Sens!H1512</f>
        <v>499.488526163584</v>
      </c>
      <c r="I1584" s="6" t="n">
        <f aca="false">Sens!H1584+Sens!I1509-Sens!I1512</f>
        <v>553.872350090646</v>
      </c>
      <c r="J1584" s="6" t="n">
        <f aca="false">Sens!I1584+Sens!J1509-Sens!J1512</f>
        <v>550.78660823699</v>
      </c>
      <c r="K1584" s="6" t="n">
        <f aca="false">Sens!J1584+Sens!K1509-Sens!K1512</f>
        <v>526.736791750789</v>
      </c>
      <c r="L1584" s="1" t="s">
        <v>1009</v>
      </c>
    </row>
    <row r="1585" customFormat="false" ht="17.15" hidden="false" customHeight="false" outlineLevel="0" collapsed="false">
      <c r="A1585" s="0" t="s">
        <v>1010</v>
      </c>
      <c r="B1585" s="0" t="s">
        <v>168</v>
      </c>
      <c r="F1585" s="7" t="n">
        <f aca="false">Sens!F1583*(1-tax_f)/((Sens!E1584+Sens!F1584)/2)</f>
        <v>0.0955489150703932</v>
      </c>
      <c r="G1585" s="7" t="n">
        <f aca="false">Sens!G1583*(1-tax_f)/((Sens!F1584+Sens!G1584)/2)</f>
        <v>0.109702717803325</v>
      </c>
      <c r="H1585" s="7" t="n">
        <f aca="false">Sens!H1583*(1-tax_f)/((Sens!G1584+Sens!H1584)/2)</f>
        <v>0.120475918190438</v>
      </c>
      <c r="I1585" s="7" t="n">
        <f aca="false">Sens!I1583*(1-tax_f)/((Sens!H1584+Sens!I1584)/2)</f>
        <v>0.131749581188021</v>
      </c>
      <c r="J1585" s="7" t="n">
        <f aca="false">Sens!J1583*(1-tax_f)/((Sens!I1584+Sens!J1584)/2)</f>
        <v>0.14522582927355</v>
      </c>
      <c r="K1585" s="7" t="n">
        <f aca="false">Sens!K1583*(1-tax_f)/((Sens!J1584+Sens!K1584)/2)</f>
        <v>0.161941429698244</v>
      </c>
    </row>
    <row r="1586" customFormat="false" ht="17.15" hidden="false" customHeight="false" outlineLevel="0" collapsed="false">
      <c r="A1586" s="1" t="s">
        <v>1011</v>
      </c>
      <c r="B1586" s="0" t="s">
        <v>168</v>
      </c>
      <c r="F1586" s="7" t="n">
        <f aca="false">(Sens!F1583-Sens!F1582)*(1-tax_f)/((Sens!E1584+Sens!F1584)/2)</f>
        <v>0.055308974883274</v>
      </c>
      <c r="G1586" s="7" t="n">
        <f aca="false">(Sens!G1583-Sens!G1582)*(1-tax_f)/((Sens!F1584+Sens!G1584)/2)</f>
        <v>0.04771112297676</v>
      </c>
      <c r="H1586" s="7" t="n">
        <f aca="false">(Sens!H1583-Sens!H1582)*(1-tax_f)/((Sens!G1584+Sens!H1584)/2)</f>
        <v>0.0445681078316951</v>
      </c>
      <c r="I1586" s="7" t="n">
        <f aca="false">(Sens!I1583-Sens!I1582)*(1-tax_f)/((Sens!H1584+Sens!I1584)/2)</f>
        <v>0.0440987941615944</v>
      </c>
      <c r="J1586" s="7" t="n">
        <f aca="false">(Sens!J1583-Sens!J1582)*(1-tax_f)/((Sens!I1584+Sens!J1584)/2)</f>
        <v>0.0460345245552176</v>
      </c>
      <c r="K1586" s="7" t="n">
        <f aca="false">(Sens!K1583-Sens!K1582)*(1-tax_f)/((Sens!J1584+Sens!K1584)/2)</f>
        <v>0.0515255074154707</v>
      </c>
    </row>
    <row r="1587" customFormat="false" ht="17.15" hidden="false" customHeight="false" outlineLevel="0" collapsed="false">
      <c r="A1587" s="1" t="s">
        <v>1012</v>
      </c>
      <c r="B1587" s="0" t="s">
        <v>168</v>
      </c>
      <c r="F1587" s="7" t="n">
        <f aca="false">(Sens!F1583-Sens!F1582+Sens!F1581)*(1-tax_f)/((Sens!E1584+Sens!F1584)/2)</f>
        <v>0.0955489150703932</v>
      </c>
      <c r="G1587" s="7" t="n">
        <f aca="false">(Sens!G1583-Sens!G1582+Sens!G1581)*(1-tax_f)/((Sens!F1584+Sens!G1584)/2)</f>
        <v>0.109702717803325</v>
      </c>
      <c r="H1587" s="7" t="n">
        <f aca="false">(Sens!H1583-Sens!H1582+Sens!H1581)*(1-tax_f)/((Sens!G1584+Sens!H1584)/2)</f>
        <v>0.120475918190438</v>
      </c>
      <c r="I1587" s="7" t="n">
        <f aca="false">(Sens!I1583-Sens!I1582+Sens!I1581)*(1-tax_f)/((Sens!H1584+Sens!I1584)/2)</f>
        <v>0.131749581188021</v>
      </c>
      <c r="J1587" s="7" t="n">
        <f aca="false">(Sens!J1583-Sens!J1582+Sens!J1581)*(1-tax_f)/((Sens!I1584+Sens!J1584)/2)</f>
        <v>0.14522582927355</v>
      </c>
      <c r="K1587" s="7" t="n">
        <f aca="false">(Sens!K1583-Sens!K1582+Sens!K1581)*(1-tax_f)/((Sens!J1584+Sens!K1584)/2)</f>
        <v>0.161941429698244</v>
      </c>
    </row>
    <row r="1588" customFormat="false" ht="17.15" hidden="false" customHeight="false" outlineLevel="0" collapsed="false">
      <c r="A1588" s="1" t="s">
        <v>1013</v>
      </c>
      <c r="B1588" s="0" t="s">
        <v>168</v>
      </c>
      <c r="F1588" s="7" t="n">
        <f aca="false">Sens!F1513*(1-tax_f)/(Sens!F1499*(Sens!E1584+Sens!F1584)/2)</f>
        <v>0.186528012738406</v>
      </c>
      <c r="G1588" s="7" t="n">
        <f aca="false">Sens!G1513*(1-tax_f)/(Sens!G1499*(Sens!F1584+Sens!G1584)/2)</f>
        <v>0.183170468572732</v>
      </c>
      <c r="H1588" s="7" t="n">
        <f aca="false">Sens!H1513*(1-tax_f)/(Sens!H1499*(Sens!G1584+Sens!H1584)/2)</f>
        <v>0.188361848123961</v>
      </c>
      <c r="I1588" s="7" t="n">
        <f aca="false">Sens!I1513*(1-tax_f)/(Sens!I1499*(Sens!H1584+Sens!I1584)/2)</f>
        <v>0.199600760784076</v>
      </c>
      <c r="J1588" s="7" t="n">
        <f aca="false">Sens!J1513*(1-tax_f)/(Sens!J1499*(Sens!I1584+Sens!J1584)/2)</f>
        <v>0.216909877869362</v>
      </c>
      <c r="K1588" s="7" t="n">
        <f aca="false">Sens!K1513*(1-tax_f)/(Sens!K1499*(Sens!J1584+Sens!K1584)/2)</f>
        <v>0.240254845596586</v>
      </c>
    </row>
    <row r="1589" customFormat="false" ht="17.15" hidden="false" customHeight="false" outlineLevel="0" collapsed="false">
      <c r="A1589" s="0" t="s">
        <v>1014</v>
      </c>
      <c r="B1589" s="0" t="s">
        <v>253</v>
      </c>
      <c r="F1589" s="7" t="n">
        <f aca="false">Sens!F1585-wacc</f>
        <v>-0.0073876758752041</v>
      </c>
      <c r="G1589" s="7" t="n">
        <f aca="false">Sens!G1585-wacc</f>
        <v>0.00676612685772721</v>
      </c>
      <c r="H1589" s="7" t="n">
        <f aca="false">Sens!H1585-wacc</f>
        <v>0.017539327244841</v>
      </c>
      <c r="I1589" s="7" t="n">
        <f aca="false">Sens!I1585-wacc</f>
        <v>0.0288129902424238</v>
      </c>
      <c r="J1589" s="7" t="n">
        <f aca="false">Sens!J1585-wacc</f>
        <v>0.0422892383279528</v>
      </c>
      <c r="K1589" s="7" t="n">
        <f aca="false">Sens!K1585-wacc</f>
        <v>0.0590048387526464</v>
      </c>
    </row>
    <row r="1590" customFormat="false" ht="17.15" hidden="false" customHeight="false" outlineLevel="0" collapsed="false">
      <c r="A1590" s="0" t="s">
        <v>1015</v>
      </c>
      <c r="B1590" s="0" t="s">
        <v>98</v>
      </c>
      <c r="F1590" s="6" t="n">
        <f aca="false">Sens!F1583*(1-tax_f)-wacc*(Sens!E1584+Sens!F1584)/2</f>
        <v>-1.43051507805738</v>
      </c>
      <c r="G1590" s="6" t="n">
        <f aca="false">Sens!G1583*(1-tax_f)-wacc*(Sens!F1584+Sens!G1584)/2</f>
        <v>2.20695915684523</v>
      </c>
      <c r="H1590" s="6" t="n">
        <f aca="false">Sens!H1583*(1-tax_f)-wacc*(Sens!G1584+Sens!H1584)/2</f>
        <v>7.81614808473596</v>
      </c>
      <c r="I1590" s="6" t="n">
        <f aca="false">Sens!I1583*(1-tax_f)-wacc*(Sens!H1584+Sens!I1584)/2</f>
        <v>15.1752383246321</v>
      </c>
      <c r="J1590" s="6" t="n">
        <f aca="false">Sens!J1583*(1-tax_f)-wacc*(Sens!I1584+Sens!J1584)/2</f>
        <v>23.3575929799127</v>
      </c>
      <c r="K1590" s="6" t="n">
        <f aca="false">Sens!K1583*(1-tax_f)-wacc*(Sens!J1584+Sens!K1584)/2</f>
        <v>31.7895472342411</v>
      </c>
    </row>
    <row r="1591" customFormat="false" ht="17.15" hidden="false" customHeight="false" outlineLevel="0" collapsed="false">
      <c r="A1591" s="3" t="s">
        <v>1518</v>
      </c>
    </row>
    <row r="1592" customFormat="false" ht="15" hidden="false" customHeight="false" outlineLevel="0" collapsed="false">
      <c r="A1592" s="4" t="s">
        <v>43</v>
      </c>
      <c r="B1592" s="4" t="s">
        <v>65</v>
      </c>
      <c r="C1592" s="23" t="s">
        <v>938</v>
      </c>
      <c r="D1592" s="23" t="s">
        <v>939</v>
      </c>
      <c r="E1592" s="23" t="s">
        <v>940</v>
      </c>
      <c r="F1592" s="23" t="s">
        <v>941</v>
      </c>
      <c r="G1592" s="23" t="s">
        <v>942</v>
      </c>
      <c r="H1592" s="23" t="s">
        <v>943</v>
      </c>
      <c r="I1592" s="23" t="s">
        <v>944</v>
      </c>
      <c r="J1592" s="23" t="s">
        <v>945</v>
      </c>
      <c r="K1592" s="23" t="s">
        <v>946</v>
      </c>
      <c r="L1592" s="4" t="s">
        <v>47</v>
      </c>
    </row>
    <row r="1593" customFormat="false" ht="15" hidden="false" customHeight="false" outlineLevel="0" collapsed="false">
      <c r="A1593" s="1" t="s">
        <v>1076</v>
      </c>
      <c r="B1593" s="0" t="s">
        <v>98</v>
      </c>
      <c r="F1593" s="6" t="n">
        <f aca="false">Sens!F1574</f>
        <v>149.737368792453</v>
      </c>
      <c r="G1593" s="6" t="n">
        <f aca="false">Sens!G1574</f>
        <v>166.738005173796</v>
      </c>
      <c r="H1593" s="6" t="n">
        <f aca="false">Sens!H1574</f>
        <v>186.943531285117</v>
      </c>
      <c r="I1593" s="6" t="n">
        <f aca="false">Sens!I1574</f>
        <v>205.920709173181</v>
      </c>
      <c r="J1593" s="6" t="n">
        <f aca="false">Sens!J1574</f>
        <v>222.827578417581</v>
      </c>
      <c r="K1593" s="6" t="n">
        <f aca="false">Sens!K1574</f>
        <v>238.333045588191</v>
      </c>
    </row>
    <row r="1594" customFormat="false" ht="17.15" hidden="false" customHeight="false" outlineLevel="0" collapsed="false">
      <c r="A1594" s="1" t="s">
        <v>1098</v>
      </c>
      <c r="B1594" s="0" t="s">
        <v>98</v>
      </c>
      <c r="E1594" s="6" t="n">
        <f aca="false">Q!M38-Sens!E1512</f>
        <v>22.2285940229167</v>
      </c>
      <c r="F1594" s="6" t="n">
        <f aca="false">Sens!E1594*(1-1/life_nonai)+(Sens!F1602+Sens!F1603)/life_nonai</f>
        <v>23.580344216413</v>
      </c>
      <c r="G1594" s="6" t="n">
        <f aca="false">Sens!F1594*(1-1/life_nonai)+(Sens!G1602)/life_nonai</f>
        <v>25.3149798485121</v>
      </c>
      <c r="H1594" s="6" t="n">
        <f aca="false">Sens!G1594*(1-1/life_nonai)+(Sens!H1602)/life_nonai</f>
        <v>27.4391781324903</v>
      </c>
      <c r="I1594" s="6" t="n">
        <f aca="false">Sens!H1594*(1-1/life_nonai)+(Sens!I1602)/life_nonai</f>
        <v>29.886889698627</v>
      </c>
      <c r="J1594" s="6" t="n">
        <f aca="false">Sens!I1594*(1-1/life_nonai)+(Sens!J1602)/life_nonai</f>
        <v>32.5755493194513</v>
      </c>
      <c r="K1594" s="6" t="n">
        <f aca="false">Sens!J1594*(1-1/life_nonai)+(Sens!K1602)/life_nonai</f>
        <v>35.4219613740153</v>
      </c>
      <c r="L1594" s="12" t="s">
        <v>1099</v>
      </c>
    </row>
    <row r="1595" customFormat="false" ht="17.15" hidden="false" customHeight="false" outlineLevel="0" collapsed="false">
      <c r="A1595" s="1" t="s">
        <v>1100</v>
      </c>
      <c r="B1595" s="0" t="s">
        <v>98</v>
      </c>
      <c r="F1595" s="6" t="n">
        <f aca="false">Sens!$F$1603/life_nonai*(1-1/life_nonai)^(Sens!F1475-2027)</f>
        <v>0.0365046760478137</v>
      </c>
      <c r="G1595" s="6" t="n">
        <f aca="false">Sens!$F$1603/life_nonai*(1-1/life_nonai)^(Sens!G1475-2027)</f>
        <v>0.0328542084430323</v>
      </c>
      <c r="H1595" s="6" t="n">
        <f aca="false">Sens!$F$1603/life_nonai*(1-1/life_nonai)^(Sens!H1475-2027)</f>
        <v>0.0295687875987291</v>
      </c>
      <c r="I1595" s="6" t="n">
        <f aca="false">Sens!$F$1603/life_nonai*(1-1/life_nonai)^(Sens!I1475-2027)</f>
        <v>0.0266119088388562</v>
      </c>
      <c r="J1595" s="6" t="n">
        <f aca="false">Sens!$F$1603/life_nonai*(1-1/life_nonai)^(Sens!J1475-2027)</f>
        <v>0.0239507179549706</v>
      </c>
      <c r="K1595" s="6" t="n">
        <f aca="false">Sens!$F$1603/life_nonai*(1-1/life_nonai)^(Sens!K1475-2027)</f>
        <v>0.0215556461594735</v>
      </c>
      <c r="L1595" s="1" t="s">
        <v>1101</v>
      </c>
    </row>
    <row r="1596" customFormat="false" ht="17.15" hidden="false" customHeight="false" outlineLevel="0" collapsed="false">
      <c r="A1596" s="1" t="s">
        <v>1102</v>
      </c>
      <c r="B1596" s="0" t="s">
        <v>98</v>
      </c>
      <c r="E1596" s="6" t="n">
        <f aca="false">Sens!E1512+Sens!E1594</f>
        <v>38.534</v>
      </c>
      <c r="F1596" s="6" t="n">
        <f aca="false">Sens!F1512+Sens!F1594</f>
        <v>58.1596586947647</v>
      </c>
      <c r="G1596" s="6" t="n">
        <f aca="false">Sens!G1512+Sens!G1594</f>
        <v>86.0494705008111</v>
      </c>
      <c r="H1596" s="6" t="n">
        <f aca="false">Sens!H1512+Sens!H1594</f>
        <v>116.539268793936</v>
      </c>
      <c r="I1596" s="6" t="n">
        <f aca="false">Sens!I1512+Sens!I1594</f>
        <v>144.117899393175</v>
      </c>
      <c r="J1596" s="6" t="n">
        <f aca="false">Sens!J1512+Sens!J1594</f>
        <v>164.591222369047</v>
      </c>
      <c r="K1596" s="6" t="n">
        <f aca="false">Sens!K1512+Sens!K1594</f>
        <v>178.434630924949</v>
      </c>
    </row>
    <row r="1597" customFormat="false" ht="17.15" hidden="false" customHeight="false" outlineLevel="0" collapsed="false">
      <c r="A1597" s="1" t="s">
        <v>1103</v>
      </c>
      <c r="B1597" s="0" t="s">
        <v>98</v>
      </c>
      <c r="F1597" s="6" t="n">
        <f aca="false">Sens!F1539*sbc_r</f>
        <v>15.1600311496041</v>
      </c>
      <c r="G1597" s="6" t="n">
        <f aca="false">Sens!G1539*sbc_r</f>
        <v>18.2428062860001</v>
      </c>
      <c r="H1597" s="6" t="n">
        <f aca="false">Sens!H1539*sbc_r</f>
        <v>21.3992207374672</v>
      </c>
      <c r="I1597" s="6" t="n">
        <f aca="false">Sens!I1539*sbc_r</f>
        <v>24.2890460415228</v>
      </c>
      <c r="J1597" s="6" t="n">
        <f aca="false">Sens!J1539*sbc_r</f>
        <v>26.6323001246937</v>
      </c>
      <c r="K1597" s="6" t="n">
        <f aca="false">Sens!K1539*sbc_r</f>
        <v>28.4920347589617</v>
      </c>
    </row>
    <row r="1598" customFormat="false" ht="17.15" hidden="false" customHeight="false" outlineLevel="0" collapsed="false">
      <c r="A1598" s="1" t="s">
        <v>1104</v>
      </c>
      <c r="B1598" s="0" t="s">
        <v>98</v>
      </c>
      <c r="F1598" s="6" t="n">
        <f aca="false">wc27-wc26q1</f>
        <v>-4.677</v>
      </c>
      <c r="G1598" s="6" t="n">
        <f aca="false">wc_f</f>
        <v>0</v>
      </c>
      <c r="H1598" s="6" t="n">
        <f aca="false">wc_f</f>
        <v>0</v>
      </c>
      <c r="I1598" s="6" t="n">
        <f aca="false">wc_f</f>
        <v>0</v>
      </c>
      <c r="J1598" s="6" t="n">
        <f aca="false">wc_f</f>
        <v>0</v>
      </c>
      <c r="K1598" s="6" t="n">
        <f aca="false">wc_f</f>
        <v>0</v>
      </c>
      <c r="L1598" s="12" t="s">
        <v>1105</v>
      </c>
    </row>
    <row r="1599" customFormat="false" ht="17.15" hidden="false" customHeight="false" outlineLevel="0" collapsed="false">
      <c r="A1599" s="0" t="s">
        <v>1106</v>
      </c>
      <c r="B1599" s="0" t="s">
        <v>98</v>
      </c>
      <c r="F1599" s="6" t="n">
        <f aca="false">Q!$I$35-Q!$I$26-Q!$I$38-Q!$I$39</f>
        <v>6.493</v>
      </c>
      <c r="L1599" s="1" t="s">
        <v>1107</v>
      </c>
    </row>
    <row r="1600" customFormat="false" ht="15" hidden="false" customHeight="false" outlineLevel="0" collapsed="false">
      <c r="A1600" s="1" t="s">
        <v>904</v>
      </c>
      <c r="B1600" s="0" t="s">
        <v>98</v>
      </c>
      <c r="E1600" s="6" t="n">
        <f aca="false">Q!M35</f>
        <v>182.935</v>
      </c>
      <c r="F1600" s="6" t="n">
        <f aca="false">Sens!F1593+Sens!F1596+Sens!F1597+Sens!F1598+Sens!F1599</f>
        <v>224.873058636822</v>
      </c>
      <c r="G1600" s="6" t="n">
        <f aca="false">Sens!G1593+Sens!G1596+Sens!G1597+Sens!G1598</f>
        <v>271.030281960607</v>
      </c>
      <c r="H1600" s="6" t="n">
        <f aca="false">Sens!H1593+Sens!H1596+Sens!H1597+Sens!H1598</f>
        <v>324.88202081652</v>
      </c>
      <c r="I1600" s="6" t="n">
        <f aca="false">Sens!I1593+Sens!I1596+Sens!I1597+Sens!I1598</f>
        <v>374.327654607879</v>
      </c>
      <c r="J1600" s="6" t="n">
        <f aca="false">Sens!J1593+Sens!J1596+Sens!J1597+Sens!J1598</f>
        <v>414.051100911322</v>
      </c>
      <c r="K1600" s="6" t="n">
        <f aca="false">Sens!K1593+Sens!K1596+Sens!K1597+Sens!K1598</f>
        <v>445.259711272102</v>
      </c>
    </row>
    <row r="1601" customFormat="false" ht="17.15" hidden="false" customHeight="false" outlineLevel="0" collapsed="false">
      <c r="A1601" s="0" t="s">
        <v>1108</v>
      </c>
      <c r="B1601" s="0" t="s">
        <v>98</v>
      </c>
      <c r="F1601" s="6" t="n">
        <f aca="false">Sens!F1509</f>
        <v>168.45390404212</v>
      </c>
      <c r="G1601" s="6" t="n">
        <f aca="false">Sens!G1509</f>
        <v>191.944475649048</v>
      </c>
      <c r="H1601" s="6" t="n">
        <f aca="false">Sens!H1509</f>
        <v>196.806004064512</v>
      </c>
      <c r="I1601" s="6" t="n">
        <f aca="false">Sens!I1509</f>
        <v>168.61483362161</v>
      </c>
      <c r="J1601" s="6" t="n">
        <f aca="false">Sens!J1509</f>
        <v>128.92993119594</v>
      </c>
      <c r="K1601" s="6" t="n">
        <f aca="false">Sens!K1509</f>
        <v>118.962853064733</v>
      </c>
    </row>
    <row r="1602" customFormat="false" ht="17.15" hidden="false" customHeight="false" outlineLevel="0" collapsed="false">
      <c r="A1602" s="1" t="s">
        <v>1109</v>
      </c>
      <c r="B1602" s="0" t="s">
        <v>98</v>
      </c>
      <c r="E1602" s="6" t="n">
        <f aca="false">Sens!E1517*cx_azo+Sens!E1524*cx_m365+Sens!E1525*cx_lic+(Sens!E1527+Sens!E1529)*cx_ind+Sens!E1532*cx_srch+(Sens!E1534+Sens!E1536)*cx_dev</f>
        <v>30.1846587067718</v>
      </c>
      <c r="F1602" s="6" t="n">
        <f aca="false">Sens!F1517*cx_azo+Sens!F1524*cx_m365+Sens!F1525*cx_lic+(Sens!F1527+Sens!F1529)*cx_ind+Sens!F1532*cx_srch+(Sens!F1534+Sens!F1536)*cx_dev</f>
        <v>35.3810491974023</v>
      </c>
      <c r="G1602" s="6" t="n">
        <f aca="false">Sens!G1517*cx_azo+Sens!G1524*cx_m365+Sens!G1525*cx_lic+(Sens!G1527+Sens!G1529)*cx_ind+Sens!G1532*cx_srch+(Sens!G1534+Sens!G1536)*cx_dev</f>
        <v>40.926700537404</v>
      </c>
      <c r="H1602" s="6" t="n">
        <f aca="false">Sens!H1517*cx_azo+Sens!H1524*cx_m365+Sens!H1525*cx_lic+(Sens!H1527+Sens!H1529)*cx_ind+Sens!H1532*cx_srch+(Sens!H1534+Sens!H1536)*cx_dev</f>
        <v>46.5569626882941</v>
      </c>
      <c r="I1602" s="6" t="n">
        <f aca="false">Sens!I1517*cx_azo+Sens!I1524*cx_m365+Sens!I1525*cx_lic+(Sens!I1527+Sens!I1529)*cx_ind+Sens!I1532*cx_srch+(Sens!I1534+Sens!I1536)*cx_dev</f>
        <v>51.9162937938567</v>
      </c>
      <c r="J1602" s="6" t="n">
        <f aca="false">Sens!J1517*cx_azo+Sens!J1524*cx_m365+Sens!J1525*cx_lic+(Sens!J1527+Sens!J1529)*cx_ind+Sens!J1532*cx_srch+(Sens!J1534+Sens!J1536)*cx_dev</f>
        <v>56.7734859068699</v>
      </c>
      <c r="K1602" s="6" t="n">
        <f aca="false">Sens!K1517*cx_azo+Sens!K1524*cx_m365+Sens!K1525*cx_lic+(Sens!K1527+Sens!K1529)*cx_ind+Sens!K1532*cx_srch+(Sens!K1534+Sens!K1536)*cx_dev</f>
        <v>61.0396698650921</v>
      </c>
    </row>
    <row r="1603" customFormat="false" ht="17.15" hidden="false" customHeight="false" outlineLevel="0" collapsed="false">
      <c r="A1603" s="0" t="s">
        <v>1110</v>
      </c>
      <c r="B1603" s="0" t="s">
        <v>98</v>
      </c>
      <c r="F1603" s="6" t="n">
        <f aca="false">Sens!F1507</f>
        <v>0.365046760478137</v>
      </c>
      <c r="L1603" s="1" t="s">
        <v>1111</v>
      </c>
    </row>
    <row r="1604" customFormat="false" ht="17.15" hidden="false" customHeight="false" outlineLevel="0" collapsed="false">
      <c r="A1604" s="1" t="s">
        <v>1112</v>
      </c>
      <c r="B1604" s="0" t="s">
        <v>98</v>
      </c>
      <c r="E1604" s="6" t="n">
        <f aca="false">Q!M43</f>
        <v>145.3</v>
      </c>
      <c r="F1604" s="6" t="n">
        <f aca="false">Sens!F1601+Sens!F1602+Sens!F1603</f>
        <v>204.2</v>
      </c>
      <c r="G1604" s="6" t="n">
        <f aca="false">Sens!G1601+Sens!G1602</f>
        <v>232.871176186452</v>
      </c>
      <c r="H1604" s="6" t="n">
        <f aca="false">Sens!H1601+Sens!H1602</f>
        <v>243.362966752806</v>
      </c>
      <c r="I1604" s="6" t="n">
        <f aca="false">Sens!I1601+Sens!I1602</f>
        <v>220.531127415467</v>
      </c>
      <c r="J1604" s="6" t="n">
        <f aca="false">Sens!J1601+Sens!J1602</f>
        <v>185.70341710281</v>
      </c>
      <c r="K1604" s="6" t="n">
        <f aca="false">Sens!K1601+Sens!K1602</f>
        <v>180.002522929825</v>
      </c>
      <c r="L1604" s="1" t="s">
        <v>1113</v>
      </c>
    </row>
    <row r="1605" customFormat="false" ht="15" hidden="false" customHeight="false" outlineLevel="0" collapsed="false">
      <c r="A1605" s="1" t="s">
        <v>1114</v>
      </c>
      <c r="B1605" s="0" t="s">
        <v>98</v>
      </c>
      <c r="E1605" s="6" t="n">
        <f aca="false">fl_liab</f>
        <v>66.594</v>
      </c>
      <c r="F1605" s="6" t="n">
        <f aca="false">Sens!E1605-Sens!F1606</f>
        <v>62.46973</v>
      </c>
      <c r="G1605" s="6" t="n">
        <f aca="false">Sens!F1605-Sens!G1606</f>
        <v>57.98686785</v>
      </c>
      <c r="H1605" s="6" t="n">
        <f aca="false">Sens!G1605-Sens!H1606</f>
        <v>53.92827690325</v>
      </c>
      <c r="I1605" s="6" t="n">
        <f aca="false">Sens!H1605-Sens!I1606</f>
        <v>49.7850493638962</v>
      </c>
      <c r="J1605" s="6" t="n">
        <f aca="false">Sens!I1605-Sens!J1606</f>
        <v>45.4823765852716</v>
      </c>
      <c r="K1605" s="6" t="n">
        <f aca="false">Sens!J1605-Sens!K1606</f>
        <v>40.9860835316088</v>
      </c>
    </row>
    <row r="1606" customFormat="false" ht="15" hidden="false" customHeight="false" outlineLevel="0" collapsed="false">
      <c r="A1606" s="1" t="s">
        <v>1115</v>
      </c>
      <c r="B1606" s="0" t="s">
        <v>98</v>
      </c>
      <c r="F1606" s="6" t="n">
        <f aca="false">fl_pay_27-Sens!E1605*fl_rate</f>
        <v>4.12427</v>
      </c>
      <c r="G1606" s="6" t="n">
        <f aca="false">fl_pay_28-Sens!F1605*fl_rate</f>
        <v>4.48286215</v>
      </c>
      <c r="H1606" s="6" t="n">
        <f aca="false">fl_pay_29-Sens!G1605*fl_rate</f>
        <v>4.05859094675</v>
      </c>
      <c r="I1606" s="6" t="n">
        <f aca="false">fl_pay_30-Sens!H1605*fl_rate</f>
        <v>4.14322753935375</v>
      </c>
      <c r="J1606" s="6" t="n">
        <f aca="false">fl_pay_31-Sens!I1605*fl_rate</f>
        <v>4.30267277862467</v>
      </c>
      <c r="K1606" s="6" t="n">
        <f aca="false">fl_pay_32-Sens!J1605*fl_rate</f>
        <v>4.49629305366278</v>
      </c>
    </row>
    <row r="1607" customFormat="false" ht="17.15" hidden="false" customHeight="false" outlineLevel="0" collapsed="false">
      <c r="A1607" s="1" t="s">
        <v>1116</v>
      </c>
      <c r="B1607" s="0" t="s">
        <v>98</v>
      </c>
      <c r="E1607" s="6" t="n">
        <f aca="false">Q!M35-Q!M36-Q!M44</f>
        <v>63.886</v>
      </c>
      <c r="F1607" s="6" t="n">
        <f aca="false">Sens!F1600-Sens!F1604-Sens!F1606</f>
        <v>16.5487886368223</v>
      </c>
      <c r="G1607" s="6" t="n">
        <f aca="false">Sens!G1600-Sens!G1604-Sens!G1606</f>
        <v>33.6762436241549</v>
      </c>
      <c r="H1607" s="6" t="n">
        <f aca="false">Sens!H1600-Sens!H1604-Sens!H1606</f>
        <v>77.4604631169636</v>
      </c>
      <c r="I1607" s="6" t="n">
        <f aca="false">Sens!I1600-Sens!I1604-Sens!I1606</f>
        <v>149.653299653058</v>
      </c>
      <c r="J1607" s="6" t="n">
        <f aca="false">Sens!J1600-Sens!J1604-Sens!J1606</f>
        <v>224.045011029887</v>
      </c>
      <c r="K1607" s="6" t="n">
        <f aca="false">Sens!K1600-Sens!K1604-Sens!K1606</f>
        <v>260.760895288614</v>
      </c>
      <c r="L1607" s="12" t="s">
        <v>1117</v>
      </c>
    </row>
    <row r="1608" customFormat="false" ht="15" hidden="false" customHeight="false" outlineLevel="0" collapsed="false">
      <c r="A1608" s="1" t="s">
        <v>1118</v>
      </c>
      <c r="B1608" s="0" t="s">
        <v>75</v>
      </c>
      <c r="F1608" s="8" t="n">
        <f aca="false">dps_27</f>
        <v>3.85</v>
      </c>
      <c r="G1608" s="8" t="n">
        <f aca="false">Sens!F1608*(1+dps_g)</f>
        <v>4.158</v>
      </c>
      <c r="H1608" s="8" t="n">
        <f aca="false">Sens!G1608*(1+dps_g)</f>
        <v>4.49064</v>
      </c>
      <c r="I1608" s="8" t="n">
        <f aca="false">Sens!H1608*(1+dps_g)</f>
        <v>4.8498912</v>
      </c>
      <c r="J1608" s="8" t="n">
        <f aca="false">Sens!I1608*(1+dps_g)</f>
        <v>5.237882496</v>
      </c>
      <c r="K1608" s="8" t="n">
        <f aca="false">Sens!J1608*(1+dps_g)</f>
        <v>5.65691309568</v>
      </c>
    </row>
    <row r="1609" customFormat="false" ht="17.15" hidden="false" customHeight="false" outlineLevel="0" collapsed="false">
      <c r="A1609" s="1" t="s">
        <v>1119</v>
      </c>
      <c r="B1609" s="0" t="s">
        <v>98</v>
      </c>
      <c r="E1609" s="6" t="n">
        <f aca="false">Q!M41</f>
        <v>26.445</v>
      </c>
      <c r="F1609" s="6" t="n">
        <f aca="false">Sens!F1608*Sens!E1618</f>
        <v>28.59395</v>
      </c>
      <c r="G1609" s="6" t="n">
        <f aca="false">Sens!G1608*Sens!F1618</f>
        <v>31.0267743207781</v>
      </c>
      <c r="H1609" s="6" t="n">
        <f aca="false">Sens!H1608*Sens!G1618</f>
        <v>33.6910319288695</v>
      </c>
      <c r="I1609" s="6" t="n">
        <f aca="false">Sens!I1608*Sens!H1618</f>
        <v>36.4367527602517</v>
      </c>
      <c r="J1609" s="6" t="n">
        <f aca="false">Sens!J1608*Sens!I1618</f>
        <v>39.4195908664645</v>
      </c>
      <c r="K1609" s="6" t="n">
        <f aca="false">Sens!K1608*Sens!J1618</f>
        <v>42.6599123981599</v>
      </c>
      <c r="L1609" s="1" t="s">
        <v>1120</v>
      </c>
    </row>
    <row r="1610" customFormat="false" ht="15" hidden="false" customHeight="false" outlineLevel="0" collapsed="false">
      <c r="A1610" s="1" t="s">
        <v>1121</v>
      </c>
      <c r="B1610" s="0" t="s">
        <v>98</v>
      </c>
      <c r="E1610" s="6" t="n">
        <f aca="false">Sens!E1607-Sens!E1609</f>
        <v>37.441</v>
      </c>
      <c r="F1610" s="6" t="n">
        <f aca="false">Sens!F1607-Sens!F1609</f>
        <v>-12.0451613631777</v>
      </c>
      <c r="G1610" s="6" t="n">
        <f aca="false">Sens!G1607-Sens!G1609</f>
        <v>2.64946930337671</v>
      </c>
      <c r="H1610" s="6" t="n">
        <f aca="false">Sens!H1607-Sens!H1609</f>
        <v>43.7694311880941</v>
      </c>
      <c r="I1610" s="6" t="n">
        <f aca="false">Sens!I1607-Sens!I1609</f>
        <v>113.216546892807</v>
      </c>
      <c r="J1610" s="6" t="n">
        <f aca="false">Sens!J1607-Sens!J1609</f>
        <v>184.625420163422</v>
      </c>
      <c r="K1610" s="6" t="n">
        <f aca="false">Sens!K1607-Sens!K1609</f>
        <v>218.100982890454</v>
      </c>
    </row>
    <row r="1611" customFormat="false" ht="15" hidden="false" customHeight="false" outlineLevel="0" collapsed="false">
      <c r="A1611" s="1" t="s">
        <v>1122</v>
      </c>
      <c r="B1611" s="0" t="s">
        <v>98</v>
      </c>
      <c r="F1611" s="6" t="n">
        <f aca="false">debt_mat_27</f>
        <v>9.25</v>
      </c>
      <c r="G1611" s="6" t="n">
        <f aca="false">debt_mat_28</f>
        <v>0</v>
      </c>
      <c r="H1611" s="6" t="n">
        <f aca="false">debt_mat_29</f>
        <v>2.001</v>
      </c>
      <c r="I1611" s="6" t="n">
        <f aca="false">debt_mat_30</f>
        <v>0</v>
      </c>
      <c r="J1611" s="6" t="n">
        <f aca="false">debt_mat_31</f>
        <v>0.5</v>
      </c>
      <c r="K1611" s="6" t="n">
        <f aca="false">debt_mat_32</f>
        <v>0</v>
      </c>
    </row>
    <row r="1612" customFormat="false" ht="15" hidden="false" customHeight="false" outlineLevel="0" collapsed="false">
      <c r="A1612" s="1" t="s">
        <v>1123</v>
      </c>
      <c r="B1612" s="0" t="s">
        <v>98</v>
      </c>
      <c r="E1612" s="6" t="n">
        <f aca="false">Q!M40</f>
        <v>22.271</v>
      </c>
      <c r="F1612" s="6" t="n">
        <f aca="false">MAX(0,MIN(bb_target,Sens!E1614+Sens!F1610-Sens!F1611-min_cash))</f>
        <v>5.54783863682233</v>
      </c>
      <c r="G1612" s="6" t="n">
        <f aca="false">MAX(0,MIN(bb_target,Sens!F1614+Sens!G1610-Sens!G1611-min_cash))</f>
        <v>2.64946930337671</v>
      </c>
      <c r="H1612" s="6" t="n">
        <f aca="false">MAX(0,MIN(bb_target,Sens!G1614+Sens!H1610-Sens!H1611-min_cash))</f>
        <v>22.271</v>
      </c>
      <c r="I1612" s="6" t="n">
        <f aca="false">MAX(0,MIN(bb_target,Sens!H1614+Sens!I1610-Sens!I1611-min_cash))</f>
        <v>22.271</v>
      </c>
      <c r="J1612" s="6" t="n">
        <f aca="false">MAX(0,MIN(bb_target,Sens!I1614+Sens!J1610-Sens!J1611-min_cash))</f>
        <v>22.271</v>
      </c>
      <c r="K1612" s="6" t="n">
        <f aca="false">MAX(0,MIN(bb_target,Sens!J1614+Sens!K1610-Sens!K1611-min_cash))</f>
        <v>22.271</v>
      </c>
    </row>
    <row r="1613" customFormat="false" ht="15" hidden="false" customHeight="false" outlineLevel="0" collapsed="false">
      <c r="A1613" s="1" t="s">
        <v>1124</v>
      </c>
      <c r="B1613" s="0" t="s">
        <v>98</v>
      </c>
      <c r="F1613" s="6" t="n">
        <f aca="false">MAX(0,min_cash-(Sens!E1614+Sens!F1610-Sens!F1611-Sens!F1612))</f>
        <v>0</v>
      </c>
      <c r="G1613" s="6" t="n">
        <f aca="false">MAX(0,min_cash-(Sens!F1614+Sens!G1610-Sens!G1611-Sens!G1612))</f>
        <v>0</v>
      </c>
      <c r="H1613" s="6" t="n">
        <f aca="false">MAX(0,min_cash-(Sens!G1614+Sens!H1610-Sens!H1611-Sens!H1612))</f>
        <v>0</v>
      </c>
      <c r="I1613" s="6" t="n">
        <f aca="false">MAX(0,min_cash-(Sens!H1614+Sens!I1610-Sens!I1611-Sens!I1612))</f>
        <v>0</v>
      </c>
      <c r="J1613" s="6" t="n">
        <f aca="false">MAX(0,min_cash-(Sens!I1614+Sens!J1610-Sens!J1611-Sens!J1612))</f>
        <v>0</v>
      </c>
      <c r="K1613" s="6" t="n">
        <f aca="false">MAX(0,min_cash-(Sens!J1614+Sens!K1610-Sens!K1611-Sens!K1612))</f>
        <v>0</v>
      </c>
    </row>
    <row r="1614" customFormat="false" ht="15" hidden="false" customHeight="false" outlineLevel="0" collapsed="false">
      <c r="A1614" s="1" t="s">
        <v>1125</v>
      </c>
      <c r="B1614" s="0" t="s">
        <v>98</v>
      </c>
      <c r="E1614" s="6" t="n">
        <f aca="false">cash_open</f>
        <v>76.843</v>
      </c>
      <c r="F1614" s="6" t="n">
        <f aca="false">Sens!E1614+Sens!F1610-Sens!F1611-Sens!F1612+Sens!F1613</f>
        <v>50</v>
      </c>
      <c r="G1614" s="6" t="n">
        <f aca="false">Sens!F1614+Sens!G1610-Sens!G1611-Sens!G1612+Sens!G1613</f>
        <v>50</v>
      </c>
      <c r="H1614" s="6" t="n">
        <f aca="false">Sens!G1614+Sens!H1610-Sens!H1611-Sens!H1612+Sens!H1613</f>
        <v>69.4974311880941</v>
      </c>
      <c r="I1614" s="6" t="n">
        <f aca="false">Sens!H1614+Sens!I1610-Sens!I1611-Sens!I1612+Sens!I1613</f>
        <v>160.442978080901</v>
      </c>
      <c r="J1614" s="6" t="n">
        <f aca="false">Sens!I1614+Sens!J1610-Sens!J1611-Sens!J1612+Sens!J1613</f>
        <v>322.297398244323</v>
      </c>
      <c r="K1614" s="6" t="n">
        <f aca="false">Sens!J1614+Sens!K1610-Sens!K1611-Sens!K1612+Sens!K1613</f>
        <v>518.127381134777</v>
      </c>
    </row>
    <row r="1615" customFormat="false" ht="15" hidden="false" customHeight="false" outlineLevel="0" collapsed="false">
      <c r="A1615" s="1" t="s">
        <v>1126</v>
      </c>
      <c r="B1615" s="0" t="s">
        <v>98</v>
      </c>
      <c r="E1615" s="6" t="n">
        <f aca="false">debt_face</f>
        <v>46.136</v>
      </c>
      <c r="F1615" s="6" t="n">
        <f aca="false">Sens!E1615-Sens!F1611+Sens!F1613</f>
        <v>36.886</v>
      </c>
      <c r="G1615" s="6" t="n">
        <f aca="false">Sens!F1615-Sens!G1611+Sens!G1613</f>
        <v>36.886</v>
      </c>
      <c r="H1615" s="6" t="n">
        <f aca="false">Sens!G1615-Sens!H1611+Sens!H1613</f>
        <v>34.885</v>
      </c>
      <c r="I1615" s="6" t="n">
        <f aca="false">Sens!H1615-Sens!I1611+Sens!I1613</f>
        <v>34.885</v>
      </c>
      <c r="J1615" s="6" t="n">
        <f aca="false">Sens!I1615-Sens!J1611+Sens!J1613</f>
        <v>34.385</v>
      </c>
      <c r="K1615" s="6" t="n">
        <f aca="false">Sens!J1615-Sens!K1611+Sens!K1613</f>
        <v>34.385</v>
      </c>
    </row>
    <row r="1616" customFormat="false" ht="15" hidden="false" customHeight="false" outlineLevel="0" collapsed="false">
      <c r="A1616" s="1" t="s">
        <v>1127</v>
      </c>
      <c r="B1616" s="0" t="s">
        <v>98</v>
      </c>
      <c r="E1616" s="6" t="n">
        <f aca="false">Sens!E1614-Sens!E1615</f>
        <v>30.707</v>
      </c>
      <c r="F1616" s="6" t="n">
        <f aca="false">Sens!F1614-Sens!F1615</f>
        <v>13.114</v>
      </c>
      <c r="G1616" s="6" t="n">
        <f aca="false">Sens!G1614-Sens!G1615</f>
        <v>13.114</v>
      </c>
      <c r="H1616" s="6" t="n">
        <f aca="false">Sens!H1614-Sens!H1615</f>
        <v>34.6124311880941</v>
      </c>
      <c r="I1616" s="6" t="n">
        <f aca="false">Sens!I1614-Sens!I1615</f>
        <v>125.557978080901</v>
      </c>
      <c r="J1616" s="6" t="n">
        <f aca="false">Sens!J1614-Sens!J1615</f>
        <v>287.912398244323</v>
      </c>
      <c r="K1616" s="6" t="n">
        <f aca="false">Sens!K1614-Sens!K1615</f>
        <v>483.742381134777</v>
      </c>
    </row>
    <row r="1617" customFormat="false" ht="15" hidden="false" customHeight="false" outlineLevel="0" collapsed="false">
      <c r="A1617" s="1" t="s">
        <v>1128</v>
      </c>
      <c r="B1617" s="0" t="s">
        <v>75</v>
      </c>
      <c r="F1617" s="30" t="n">
        <f aca="false">px*(1+bb_g)^(Sens!F1475-base_fy-mid_yr)</f>
        <v>551.84177959629</v>
      </c>
      <c r="G1617" s="30" t="n">
        <f aca="false">px*(1+bb_g)^(Sens!G1475-base_fy-mid_yr)</f>
        <v>595.989121963993</v>
      </c>
      <c r="H1617" s="30" t="n">
        <f aca="false">px*(1+bb_g)^(Sens!H1475-base_fy-mid_yr)</f>
        <v>643.668251721112</v>
      </c>
      <c r="I1617" s="30" t="n">
        <f aca="false">px*(1+bb_g)^(Sens!I1475-base_fy-mid_yr)</f>
        <v>695.161711858801</v>
      </c>
      <c r="J1617" s="30" t="n">
        <f aca="false">px*(1+bb_g)^(Sens!J1475-base_fy-mid_yr)</f>
        <v>750.774648807506</v>
      </c>
      <c r="K1617" s="30" t="n">
        <f aca="false">px*(1+bb_g)^(Sens!K1475-base_fy-mid_yr)</f>
        <v>810.836620712106</v>
      </c>
    </row>
    <row r="1618" customFormat="false" ht="15" hidden="false" customHeight="false" outlineLevel="0" collapsed="false">
      <c r="A1618" s="1" t="s">
        <v>1129</v>
      </c>
      <c r="B1618" s="1" t="s">
        <v>81</v>
      </c>
      <c r="E1618" s="15" t="n">
        <f aca="false">sh_out26</f>
        <v>7.427</v>
      </c>
      <c r="F1618" s="15" t="n">
        <f aca="false">Sens!E1618+sh_iss-Sens!F1612/Sens!F1617</f>
        <v>7.46194668609383</v>
      </c>
      <c r="G1618" s="15" t="n">
        <f aca="false">Sens!F1618+sh_iss-Sens!G1612/Sens!G1617</f>
        <v>7.50250118666148</v>
      </c>
      <c r="H1618" s="15" t="n">
        <f aca="false">Sens!G1618+sh_iss-Sens!H1612/Sens!H1617</f>
        <v>7.51290106471908</v>
      </c>
      <c r="I1618" s="15" t="n">
        <f aca="false">Sens!H1618+sh_iss-Sens!I1612/Sens!I1617</f>
        <v>7.52586391477242</v>
      </c>
      <c r="J1618" s="15" t="n">
        <f aca="false">Sens!I1618+sh_iss-Sens!J1612/Sens!J1617</f>
        <v>7.54119988704403</v>
      </c>
      <c r="K1618" s="15" t="n">
        <f aca="false">Sens!J1618+sh_iss-Sens!K1612/Sens!K1617</f>
        <v>7.55873319470292</v>
      </c>
    </row>
    <row r="1619" customFormat="false" ht="15" hidden="false" customHeight="false" outlineLevel="0" collapsed="false">
      <c r="A1619" s="1" t="s">
        <v>1130</v>
      </c>
      <c r="B1619" s="1" t="s">
        <v>81</v>
      </c>
      <c r="E1619" s="15" t="n">
        <f aca="false">sh_dil26</f>
        <v>7.453</v>
      </c>
      <c r="F1619" s="15" t="n">
        <f aca="false">(Sens!E1618+Sens!F1618)/2+dil_gap</f>
        <v>7.46847334304691</v>
      </c>
      <c r="G1619" s="15" t="n">
        <f aca="false">(Sens!F1618+Sens!G1618)/2+dil_gap</f>
        <v>7.50622393637765</v>
      </c>
      <c r="H1619" s="15" t="n">
        <f aca="false">(Sens!G1618+Sens!H1618)/2+dil_gap</f>
        <v>7.53170112569028</v>
      </c>
      <c r="I1619" s="15" t="n">
        <f aca="false">(Sens!H1618+Sens!I1618)/2+dil_gap</f>
        <v>7.54338248974575</v>
      </c>
      <c r="J1619" s="15" t="n">
        <f aca="false">(Sens!I1618+Sens!J1618)/2+dil_gap</f>
        <v>7.55753190090822</v>
      </c>
      <c r="K1619" s="15" t="n">
        <f aca="false">(Sens!J1618+Sens!K1618)/2+dil_gap</f>
        <v>7.57396654087347</v>
      </c>
    </row>
    <row r="1620" customFormat="false" ht="17.15" hidden="false" customHeight="false" outlineLevel="0" collapsed="false">
      <c r="A1620" s="1" t="s">
        <v>1131</v>
      </c>
      <c r="B1620" s="0" t="s">
        <v>98</v>
      </c>
      <c r="C1620" s="6" t="n">
        <f aca="false">SUM(Sens!F1610:J1610)</f>
        <v>332.215706184522</v>
      </c>
    </row>
    <row r="1621" customFormat="false" ht="15" hidden="false" customHeight="false" outlineLevel="0" collapsed="false">
      <c r="A1621" s="26" t="s">
        <v>1096</v>
      </c>
      <c r="B1621" s="31" t="s">
        <v>98</v>
      </c>
      <c r="C1621" s="27" t="n">
        <f aca="false">Sens!$C$1620-(Sens!F1610+Sens!G1610+Sens!H1610+Sens!I1610+Sens!J1610)</f>
        <v>0</v>
      </c>
      <c r="D1621" s="31"/>
      <c r="E1621" s="31"/>
      <c r="F1621" s="31"/>
      <c r="G1621" s="31"/>
      <c r="H1621" s="31"/>
      <c r="I1621" s="31"/>
      <c r="J1621" s="31"/>
      <c r="K1621" s="31"/>
    </row>
    <row r="1622" customFormat="false" ht="17.15" hidden="false" customHeight="false" outlineLevel="0" collapsed="false">
      <c r="A1622" s="1" t="s">
        <v>1090</v>
      </c>
      <c r="B1622" s="1" t="s">
        <v>1132</v>
      </c>
      <c r="C1622" s="33" t="str">
        <f aca="false">IF(SUM(Sens!F1613:J1613)&gt;0.05,"需要舉債 "&amp;TEXT(SUM(Sens!F1613:J1613),"0.0")&amp;" 十億美元","不需舉債")&amp;"；"&amp;IF(SUM(Sens!F1612:J1612)&lt;COUNT(Sens!F1612:J1612)*bb_target-0.05,"回購較每年 "&amp;TEXT(bb_target,"0.0")&amp;" 的目標少 "&amp;TEXT(COUNT(Sens!F1612:J1612)*bb_target-SUM(Sens!F1612:J1612),"0.0")&amp;" 十億美元（"&amp;TEXT(COUNTIF(Sens!F1612:J1612,"&lt;"&amp;(bb_target-0.05)),"0")&amp;" 年減少）","回購不減")</f>
        <v>不需舉債；回購較每年 22.3 的目標少 36.3 十億美元（2 年減少）</v>
      </c>
    </row>
    <row r="1623" customFormat="false" ht="17.15" hidden="false" customHeight="false" outlineLevel="0" collapsed="false">
      <c r="A1623" s="3" t="s">
        <v>1519</v>
      </c>
    </row>
    <row r="1624" customFormat="false" ht="15" hidden="false" customHeight="false" outlineLevel="0" collapsed="false">
      <c r="A1624" s="4" t="s">
        <v>43</v>
      </c>
      <c r="B1624" s="4" t="s">
        <v>65</v>
      </c>
      <c r="C1624" s="23" t="s">
        <v>938</v>
      </c>
      <c r="D1624" s="23" t="s">
        <v>939</v>
      </c>
      <c r="E1624" s="23" t="s">
        <v>940</v>
      </c>
      <c r="F1624" s="23" t="s">
        <v>941</v>
      </c>
      <c r="G1624" s="23" t="s">
        <v>942</v>
      </c>
      <c r="H1624" s="23" t="s">
        <v>943</v>
      </c>
      <c r="I1624" s="23" t="s">
        <v>944</v>
      </c>
      <c r="J1624" s="23" t="s">
        <v>945</v>
      </c>
      <c r="K1624" s="23" t="s">
        <v>946</v>
      </c>
      <c r="L1624" s="4" t="s">
        <v>47</v>
      </c>
    </row>
    <row r="1625" customFormat="false" ht="17.15" hidden="false" customHeight="false" outlineLevel="0" collapsed="false">
      <c r="A1625" s="1" t="s">
        <v>1212</v>
      </c>
      <c r="B1625" s="1" t="s">
        <v>279</v>
      </c>
      <c r="F1625" s="8" t="n">
        <f aca="false">(1-v_off)*mid_yr</f>
        <v>0.373972602739726</v>
      </c>
      <c r="G1625" s="8" t="n">
        <f aca="false">Sens!G1475-base_fy-mid_yr-v_off</f>
        <v>1.24794520547945</v>
      </c>
      <c r="H1625" s="8" t="n">
        <f aca="false">Sens!H1475-base_fy-mid_yr-v_off</f>
        <v>2.24794520547945</v>
      </c>
      <c r="I1625" s="8" t="n">
        <f aca="false">Sens!I1475-base_fy-mid_yr-v_off</f>
        <v>3.24794520547945</v>
      </c>
      <c r="J1625" s="8" t="n">
        <f aca="false">Sens!J1475-base_fy-mid_yr-v_off</f>
        <v>4.24794520547945</v>
      </c>
      <c r="K1625" s="8" t="n">
        <f aca="false">Sens!K1475-base_fy-mid_yr-v_off</f>
        <v>5.24794520547945</v>
      </c>
      <c r="L1625" s="12" t="s">
        <v>1213</v>
      </c>
    </row>
    <row r="1626" customFormat="false" ht="15" hidden="false" customHeight="false" outlineLevel="0" collapsed="false">
      <c r="A1626" s="1" t="s">
        <v>1214</v>
      </c>
      <c r="B1626" s="1" t="s">
        <v>279</v>
      </c>
      <c r="F1626" s="8" t="n">
        <f aca="false">Sens!F1475-base_fy-v_off</f>
        <v>0.747945205479452</v>
      </c>
      <c r="G1626" s="8" t="n">
        <f aca="false">Sens!G1475-base_fy-v_off</f>
        <v>1.74794520547945</v>
      </c>
      <c r="H1626" s="8" t="n">
        <f aca="false">Sens!H1475-base_fy-v_off</f>
        <v>2.74794520547945</v>
      </c>
      <c r="I1626" s="8" t="n">
        <f aca="false">Sens!I1475-base_fy-v_off</f>
        <v>3.74794520547945</v>
      </c>
      <c r="J1626" s="8" t="n">
        <f aca="false">Sens!J1475-base_fy-v_off</f>
        <v>4.74794520547945</v>
      </c>
      <c r="K1626" s="8" t="n">
        <f aca="false">Sens!K1475-base_fy-v_off</f>
        <v>5.74794520547945</v>
      </c>
    </row>
    <row r="1627" customFormat="false" ht="15" hidden="false" customHeight="false" outlineLevel="0" collapsed="false">
      <c r="A1627" s="1" t="s">
        <v>1215</v>
      </c>
      <c r="B1627" s="0" t="s">
        <v>229</v>
      </c>
      <c r="F1627" s="15" t="n">
        <f aca="false">1/(1+wacc)^Sens!F1625</f>
        <v>0.964022703286649</v>
      </c>
      <c r="G1627" s="15" t="n">
        <f aca="false">1/(1+wacc)^Sens!G1625</f>
        <v>0.884910302296739</v>
      </c>
      <c r="H1627" s="15" t="n">
        <f aca="false">1/(1+wacc)^Sens!H1625</f>
        <v>0.802322009770358</v>
      </c>
      <c r="I1627" s="15" t="n">
        <f aca="false">1/(1+wacc)^Sens!I1625</f>
        <v>0.727441646561469</v>
      </c>
      <c r="J1627" s="15" t="n">
        <f aca="false">1/(1+wacc)^Sens!J1625</f>
        <v>0.659549834988973</v>
      </c>
      <c r="K1627" s="15" t="n">
        <f aca="false">1/(1+wacc)^Sens!K1625</f>
        <v>0.597994336576966</v>
      </c>
    </row>
    <row r="1628" customFormat="false" ht="17.15" hidden="false" customHeight="false" outlineLevel="0" collapsed="false">
      <c r="A1628" s="1" t="s">
        <v>1216</v>
      </c>
      <c r="B1628" s="0" t="s">
        <v>98</v>
      </c>
      <c r="F1628" s="6" t="n">
        <f aca="false">Q!$I$35-Q!$I$39-Q!$I$43</f>
        <v>9.666</v>
      </c>
      <c r="L1628" s="12" t="s">
        <v>1217</v>
      </c>
    </row>
    <row r="1629" customFormat="false" ht="17.15" hidden="false" customHeight="false" outlineLevel="0" collapsed="false">
      <c r="A1629" s="1" t="s">
        <v>1218</v>
      </c>
      <c r="B1629" s="0" t="s">
        <v>98</v>
      </c>
      <c r="F1629" s="6" t="n">
        <f aca="false">Sens!F1600-Sens!F1597-Sens!F1604+Sens!F1582*(1-tax_f)*(1-v_off)-Sens!F1628</f>
        <v>1.67492244974964</v>
      </c>
      <c r="G1629" s="6" t="n">
        <f aca="false">Sens!G1600-Sens!G1597-Sens!G1604+Sens!G1582*(1-tax_f)</f>
        <v>40.1365703649385</v>
      </c>
      <c r="H1629" s="6" t="n">
        <f aca="false">Sens!H1600-Sens!H1597-Sens!H1604+Sens!H1582*(1-tax_f)</f>
        <v>93.9470536220822</v>
      </c>
      <c r="I1629" s="6" t="n">
        <f aca="false">Sens!I1600-Sens!I1597-Sens!I1604+Sens!I1582*(1-tax_f)</f>
        <v>175.671436064154</v>
      </c>
      <c r="J1629" s="6" t="n">
        <f aca="false">Sens!J1600-Sens!J1597-Sens!J1604+Sens!J1582*(1-tax_f)</f>
        <v>256.501665356474</v>
      </c>
      <c r="K1629" s="6" t="n">
        <f aca="false">Sens!K1600-Sens!K1597-Sens!K1604+Sens!K1582*(1-tax_f)</f>
        <v>296.253023578775</v>
      </c>
      <c r="L1629" s="1" t="s">
        <v>1219</v>
      </c>
    </row>
    <row r="1630" customFormat="false" ht="15" hidden="false" customHeight="false" outlineLevel="0" collapsed="false">
      <c r="A1630" s="1" t="s">
        <v>1220</v>
      </c>
      <c r="B1630" s="0" t="s">
        <v>98</v>
      </c>
      <c r="F1630" s="6" t="n">
        <f aca="false">Sens!F1629*Sens!F1627</f>
        <v>1.61466326780314</v>
      </c>
      <c r="G1630" s="6" t="n">
        <f aca="false">Sens!G1629*Sens!G1627</f>
        <v>35.517264614792</v>
      </c>
      <c r="H1630" s="6" t="n">
        <f aca="false">Sens!H1629*Sens!H1627</f>
        <v>75.3757888740726</v>
      </c>
      <c r="I1630" s="6" t="n">
        <f aca="false">Sens!I1629*Sens!I1627</f>
        <v>127.790718704326</v>
      </c>
      <c r="J1630" s="6" t="n">
        <f aca="false">Sens!J1629*Sens!J1627</f>
        <v>169.175631060259</v>
      </c>
      <c r="K1630" s="6" t="n">
        <f aca="false">Sens!K1629*Sens!K1627</f>
        <v>177.15763029391</v>
      </c>
    </row>
    <row r="1631" customFormat="false" ht="17.15" hidden="false" customHeight="false" outlineLevel="0" collapsed="false">
      <c r="A1631" s="1" t="s">
        <v>1221</v>
      </c>
      <c r="B1631" s="0" t="s">
        <v>98</v>
      </c>
      <c r="C1631" s="6" t="n">
        <f aca="false">SUM(Sens!F1630:K1630)</f>
        <v>586.631696815163</v>
      </c>
    </row>
    <row r="1632" customFormat="false" ht="17.15" hidden="false" customHeight="false" outlineLevel="0" collapsed="false">
      <c r="A1632" s="1" t="s">
        <v>1222</v>
      </c>
      <c r="B1632" s="0" t="s">
        <v>98</v>
      </c>
      <c r="C1632" s="6" t="n">
        <f aca="false">Sens!K1568*(1+g_tv)*(1-tax_f)</f>
        <v>307.74434305116</v>
      </c>
    </row>
    <row r="1633" customFormat="false" ht="17.15" hidden="false" customHeight="false" outlineLevel="0" collapsed="false">
      <c r="A1633" s="1" t="s">
        <v>1223</v>
      </c>
      <c r="B1633" s="0" t="s">
        <v>98</v>
      </c>
      <c r="C1633" s="6" t="n">
        <f aca="false">Sens!$C$1632*(1-g_tv/(wacc+ronic_prem))</f>
        <v>218.054853563266</v>
      </c>
    </row>
    <row r="1634" customFormat="false" ht="17.15" hidden="false" customHeight="false" outlineLevel="0" collapsed="false">
      <c r="A1634" s="1" t="s">
        <v>1224</v>
      </c>
      <c r="B1634" s="0" t="s">
        <v>98</v>
      </c>
      <c r="C1634" s="6" t="n">
        <f aca="false">Sens!$C$1633/(wacc-g_tv)</f>
        <v>2989.64964959647</v>
      </c>
    </row>
    <row r="1635" customFormat="false" ht="15" hidden="false" customHeight="false" outlineLevel="0" collapsed="false">
      <c r="A1635" s="1" t="s">
        <v>1225</v>
      </c>
      <c r="B1635" s="0" t="s">
        <v>98</v>
      </c>
      <c r="C1635" s="6" t="n">
        <f aca="false">Sens!$C$1634/(1+wacc)^Sens!K1626</f>
        <v>1702.3235047766</v>
      </c>
    </row>
    <row r="1636" customFormat="false" ht="17.15" hidden="false" customHeight="false" outlineLevel="0" collapsed="false">
      <c r="A1636" s="0" t="s">
        <v>1226</v>
      </c>
      <c r="B1636" s="0" t="s">
        <v>98</v>
      </c>
      <c r="C1636" s="6" t="n">
        <f aca="false">Sens!$C$1631+Sens!$C$1635</f>
        <v>2288.95520159177</v>
      </c>
    </row>
    <row r="1637" customFormat="false" ht="15" hidden="false" customHeight="false" outlineLevel="0" collapsed="false">
      <c r="A1637" s="1" t="s">
        <v>1141</v>
      </c>
      <c r="B1637" s="0" t="s">
        <v>168</v>
      </c>
      <c r="C1637" s="7" t="n">
        <f aca="false">Sens!$C$1635/Sens!$C$1636</f>
        <v>0.743712023543662</v>
      </c>
    </row>
    <row r="1638" customFormat="false" ht="17.15" hidden="false" customHeight="false" outlineLevel="0" collapsed="false">
      <c r="A1638" s="1" t="s">
        <v>1227</v>
      </c>
      <c r="B1638" s="0" t="s">
        <v>98</v>
      </c>
      <c r="C1638" s="6" t="n">
        <f aca="false">Sens!$C$1636+cash_val-debt_val-fl_val+oai_v</f>
        <v>2404.80620159177</v>
      </c>
    </row>
    <row r="1639" customFormat="false" ht="17.15" hidden="false" customHeight="false" outlineLevel="0" collapsed="false">
      <c r="A1639" s="0" t="s">
        <v>1149</v>
      </c>
      <c r="B1639" s="0" t="s">
        <v>75</v>
      </c>
      <c r="C1639" s="5" t="n">
        <f aca="false">Sens!$C$1638/shd_val</f>
        <v>322.966183399378</v>
      </c>
    </row>
    <row r="1640" customFormat="false" ht="15" hidden="false" customHeight="false" outlineLevel="0" collapsed="false">
      <c r="A1640" s="1" t="s">
        <v>1228</v>
      </c>
      <c r="B1640" s="0" t="s">
        <v>75</v>
      </c>
      <c r="C1640" s="8" t="n">
        <f aca="false">div_rem27+Sens!G1608*roll_div_q/q_per_yr</f>
        <v>3.9795</v>
      </c>
    </row>
    <row r="1641" customFormat="false" ht="17.15" hidden="false" customHeight="false" outlineLevel="0" collapsed="false">
      <c r="A1641" s="0" t="s">
        <v>1229</v>
      </c>
      <c r="B1641" s="0" t="s">
        <v>75</v>
      </c>
      <c r="C1641" s="5" t="n">
        <f aca="false">Sens!$C$1639*(1+wacc)^t_roll-Sens!$C$1640</f>
        <v>355.015437831332</v>
      </c>
    </row>
    <row r="1642" customFormat="false" ht="17.15" hidden="false" customHeight="false" outlineLevel="0" collapsed="false">
      <c r="A1642" s="1" t="s">
        <v>1230</v>
      </c>
      <c r="B1642" s="0" t="s">
        <v>168</v>
      </c>
      <c r="F1642" s="7" t="n">
        <f aca="false">Sens!F1594/(Sens!F1539-Sens!F1494)</f>
        <v>0.0689859655976346</v>
      </c>
      <c r="G1642" s="7" t="n">
        <f aca="false">Sens!G1594/(Sens!G1539-Sens!G1494)</f>
        <v>0.0660928494743486</v>
      </c>
      <c r="H1642" s="7" t="n">
        <f aca="false">Sens!H1594/(Sens!H1539-Sens!H1494)</f>
        <v>0.0645606990574903</v>
      </c>
      <c r="I1642" s="7" t="n">
        <f aca="false">Sens!I1594/(Sens!I1539-Sens!I1494)</f>
        <v>0.0642658619890776</v>
      </c>
      <c r="J1642" s="7" t="n">
        <f aca="false">Sens!J1594/(Sens!J1539-Sens!J1494)</f>
        <v>0.0649219020175748</v>
      </c>
      <c r="K1642" s="7" t="n">
        <f aca="false">Sens!K1594/(Sens!K1539-Sens!K1494)</f>
        <v>0.0661776265371771</v>
      </c>
    </row>
    <row r="1643" customFormat="false" ht="17.15" hidden="false" customHeight="false" outlineLevel="0" collapsed="false">
      <c r="A1643" s="0" t="s">
        <v>1231</v>
      </c>
      <c r="B1643" s="0" t="s">
        <v>98</v>
      </c>
      <c r="F1643" s="6" t="n">
        <f aca="false">Sens!F1524*(al_m365+Sens!F1642+sbc_r)</f>
        <v>83.7640109504731</v>
      </c>
      <c r="G1643" s="6" t="n">
        <f aca="false">Sens!G1524*(al_m365+Sens!G1642+sbc_r)</f>
        <v>96.1656031546563</v>
      </c>
      <c r="H1643" s="6" t="n">
        <f aca="false">Sens!H1524*(al_m365+Sens!H1642+sbc_r)</f>
        <v>108.730049552234</v>
      </c>
      <c r="I1643" s="6" t="n">
        <f aca="false">Sens!I1524*(al_m365+Sens!I1642+sbc_r)</f>
        <v>120.276934839415</v>
      </c>
      <c r="J1643" s="6" t="n">
        <f aca="false">Sens!J1524*(al_m365+Sens!J1642+sbc_r)</f>
        <v>130.618607727069</v>
      </c>
      <c r="K1643" s="6" t="n">
        <f aca="false">Sens!K1524*(al_m365+Sens!K1642+sbc_r)</f>
        <v>140.571135747479</v>
      </c>
      <c r="L1643" s="12" t="s">
        <v>1232</v>
      </c>
    </row>
    <row r="1644" customFormat="false" ht="17.15" hidden="false" customHeight="false" outlineLevel="0" collapsed="false">
      <c r="A1644" s="0" t="s">
        <v>1233</v>
      </c>
      <c r="B1644" s="0" t="s">
        <v>98</v>
      </c>
      <c r="F1644" s="6" t="n">
        <f aca="false">Sens!F1525*(al_lic+Sens!F1642+sbc_r)</f>
        <v>32.8718299853916</v>
      </c>
      <c r="G1644" s="6" t="n">
        <f aca="false">Sens!G1525*(al_lic+Sens!G1642+sbc_r)</f>
        <v>34.1480090687088</v>
      </c>
      <c r="H1644" s="6" t="n">
        <f aca="false">Sens!H1525*(al_lic+Sens!H1642+sbc_r)</f>
        <v>35.339673424036</v>
      </c>
      <c r="I1644" s="6" t="n">
        <f aca="false">Sens!I1525*(al_lic+Sens!I1642+sbc_r)</f>
        <v>36.4286753455975</v>
      </c>
      <c r="J1644" s="6" t="n">
        <f aca="false">Sens!J1525*(al_lic+Sens!J1642+sbc_r)</f>
        <v>37.3895216958224</v>
      </c>
      <c r="K1644" s="6" t="n">
        <f aca="false">Sens!K1525*(al_lic+Sens!K1642+sbc_r)</f>
        <v>38.1935009198002</v>
      </c>
    </row>
    <row r="1645" customFormat="false" ht="17.15" hidden="false" customHeight="false" outlineLevel="0" collapsed="false">
      <c r="A1645" s="0" t="s">
        <v>1234</v>
      </c>
      <c r="B1645" s="0" t="s">
        <v>98</v>
      </c>
      <c r="F1645" s="6" t="n">
        <f aca="false">Sens!F1527*(al_ind+Sens!F1642+sbc_r)</f>
        <v>9.06859363030867</v>
      </c>
      <c r="G1645" s="6" t="n">
        <f aca="false">Sens!G1527*(al_ind+Sens!G1642+sbc_r)</f>
        <v>9.84252097943944</v>
      </c>
      <c r="H1645" s="6" t="n">
        <f aca="false">Sens!H1527*(al_ind+Sens!H1642+sbc_r)</f>
        <v>10.6615554112984</v>
      </c>
      <c r="I1645" s="6" t="n">
        <f aca="false">Sens!I1527*(al_ind+Sens!I1642+sbc_r)</f>
        <v>11.5226743751957</v>
      </c>
      <c r="J1645" s="6" t="n">
        <f aca="false">Sens!J1527*(al_ind+Sens!J1642+sbc_r)</f>
        <v>12.4161209802895</v>
      </c>
      <c r="K1645" s="6" t="n">
        <f aca="false">Sens!K1527*(al_ind+Sens!K1642+sbc_r)</f>
        <v>13.3267170784624</v>
      </c>
    </row>
    <row r="1646" customFormat="false" ht="17.15" hidden="false" customHeight="false" outlineLevel="0" collapsed="false">
      <c r="A1646" s="0" t="s">
        <v>1235</v>
      </c>
      <c r="B1646" s="0" t="s">
        <v>98</v>
      </c>
      <c r="F1646" s="6" t="n">
        <f aca="false">Sens!F1529*(al_fro+Sens!F1642+sbc_r)</f>
        <v>3.55723685381039</v>
      </c>
      <c r="G1646" s="6" t="n">
        <f aca="false">Sens!G1529*(al_fro+Sens!G1642+sbc_r)</f>
        <v>3.76603699106277</v>
      </c>
      <c r="H1646" s="6" t="n">
        <f aca="false">Sens!H1529*(al_fro+Sens!H1642+sbc_r)</f>
        <v>4.00391444683595</v>
      </c>
      <c r="I1646" s="6" t="n">
        <f aca="false">Sens!I1529*(al_fro+Sens!I1642+sbc_r)</f>
        <v>4.27362138725266</v>
      </c>
      <c r="J1646" s="6" t="n">
        <f aca="false">Sens!J1529*(al_fro+Sens!J1642+sbc_r)</f>
        <v>4.57627221963281</v>
      </c>
      <c r="K1646" s="6" t="n">
        <f aca="false">Sens!K1529*(al_fro+Sens!K1642+sbc_r)</f>
        <v>4.91189520800335</v>
      </c>
    </row>
    <row r="1647" customFormat="false" ht="17.15" hidden="false" customHeight="false" outlineLevel="0" collapsed="false">
      <c r="A1647" s="0" t="s">
        <v>1236</v>
      </c>
      <c r="B1647" s="0" t="s">
        <v>98</v>
      </c>
      <c r="F1647" s="6" t="n">
        <f aca="false">Sens!F1532*(al_srch+Sens!F1642+sbc_r)</f>
        <v>11.199187950833</v>
      </c>
      <c r="G1647" s="6" t="n">
        <f aca="false">Sens!G1532*(al_srch+Sens!G1642+sbc_r)</f>
        <v>12.2696300232523</v>
      </c>
      <c r="H1647" s="6" t="n">
        <f aca="false">Sens!H1532*(al_srch+Sens!H1642+sbc_r)</f>
        <v>13.3851853913687</v>
      </c>
      <c r="I1647" s="6" t="n">
        <f aca="false">Sens!I1532*(al_srch+Sens!I1642+sbc_r)</f>
        <v>14.535265247186</v>
      </c>
      <c r="J1647" s="6" t="n">
        <f aca="false">Sens!J1532*(al_srch+Sens!J1642+sbc_r)</f>
        <v>15.6998430878367</v>
      </c>
      <c r="K1647" s="6" t="n">
        <f aca="false">Sens!K1532*(al_srch+Sens!K1642+sbc_r)</f>
        <v>16.8512667796972</v>
      </c>
    </row>
    <row r="1648" customFormat="false" ht="17.15" hidden="false" customHeight="false" outlineLevel="0" collapsed="false">
      <c r="A1648" s="0" t="s">
        <v>1237</v>
      </c>
      <c r="B1648" s="0" t="s">
        <v>98</v>
      </c>
      <c r="F1648" s="6" t="n">
        <f aca="false">Sens!F1500-Sens!F1501+Sens!F1582</f>
        <v>50.8548837499537</v>
      </c>
      <c r="G1648" s="6" t="n">
        <f aca="false">Sens!G1500-Sens!G1501+Sens!G1582</f>
        <v>95.1854726232118</v>
      </c>
      <c r="H1648" s="6" t="n">
        <f aca="false">Sens!H1500-Sens!H1501+Sens!H1582</f>
        <v>142.507557251941</v>
      </c>
      <c r="I1648" s="6" t="n">
        <f aca="false">Sens!I1500-Sens!I1501+Sens!I1582</f>
        <v>184.69613412348</v>
      </c>
      <c r="J1648" s="6" t="n">
        <f aca="false">Sens!J1500-Sens!J1501+Sens!J1582</f>
        <v>214.296149801672</v>
      </c>
      <c r="K1648" s="6" t="n">
        <f aca="false">Sens!K1500-Sens!K1501+Sens!K1582</f>
        <v>232.374440900216</v>
      </c>
    </row>
    <row r="1649" customFormat="false" ht="17.15" hidden="false" customHeight="false" outlineLevel="0" collapsed="false">
      <c r="A1649" s="0" t="s">
        <v>1238</v>
      </c>
      <c r="B1649" s="0" t="s">
        <v>98</v>
      </c>
      <c r="F1649" s="6" t="n">
        <f aca="false">Sens!F1561+Sens!F1582+Sens!F1512+Sens!F1642*(Sens!F1531-Sens!F1494)+sbc_r*Sens!F1531</f>
        <v>244.602796662637</v>
      </c>
      <c r="G1649" s="6" t="n">
        <f aca="false">Sens!G1561+Sens!G1582+Sens!G1512+Sens!G1642*(Sens!G1531-Sens!G1494)+sbc_r*Sens!G1531</f>
        <v>312.700837856431</v>
      </c>
      <c r="H1649" s="6" t="n">
        <f aca="false">Sens!H1561+Sens!H1582+Sens!H1512+Sens!H1642*(Sens!H1531-Sens!H1494)+sbc_r*Sens!H1531</f>
        <v>387.743376514916</v>
      </c>
      <c r="I1649" s="6" t="n">
        <f aca="false">Sens!I1561+Sens!I1582+Sens!I1512+Sens!I1642*(Sens!I1531-Sens!I1494)+sbc_r*Sens!I1531</f>
        <v>456.248284060462</v>
      </c>
      <c r="J1649" s="6" t="n">
        <f aca="false">Sens!J1561+Sens!J1582+Sens!J1512+Sens!J1642*(Sens!J1531-Sens!J1494)+sbc_r*Sens!J1531</f>
        <v>509.669166008764</v>
      </c>
      <c r="K1649" s="6" t="n">
        <f aca="false">Sens!K1561+Sens!K1582+Sens!K1512+Sens!K1642*(Sens!K1531-Sens!K1494)+sbc_r*Sens!K1531</f>
        <v>549.159964099346</v>
      </c>
    </row>
    <row r="1650" customFormat="false" ht="17.15" hidden="false" customHeight="false" outlineLevel="0" collapsed="false">
      <c r="A1650" s="0" t="s">
        <v>1239</v>
      </c>
      <c r="B1650" s="0" t="s">
        <v>98</v>
      </c>
      <c r="F1650" s="6" t="n">
        <f aca="false">Sens!F1649-Sens!F1643-Sens!F1644-Sens!F1645-Sens!F1646-Sens!F1648</f>
        <v>64.4862414926997</v>
      </c>
      <c r="G1650" s="6" t="n">
        <f aca="false">Sens!G1649-Sens!G1643-Sens!G1644-Sens!G1645-Sens!G1646-Sens!G1648</f>
        <v>73.5931950393515</v>
      </c>
      <c r="H1650" s="6" t="n">
        <f aca="false">Sens!H1649-Sens!H1643-Sens!H1644-Sens!H1645-Sens!H1646-Sens!H1648</f>
        <v>86.5006264285713</v>
      </c>
      <c r="I1650" s="6" t="n">
        <f aca="false">Sens!I1649-Sens!I1643-Sens!I1644-Sens!I1645-Sens!I1646-Sens!I1648</f>
        <v>99.0502439895207</v>
      </c>
      <c r="J1650" s="6" t="n">
        <f aca="false">Sens!J1649-Sens!J1643-Sens!J1644-Sens!J1645-Sens!J1646-Sens!J1648</f>
        <v>110.372493584278</v>
      </c>
      <c r="K1650" s="6" t="n">
        <f aca="false">Sens!K1649-Sens!K1643-Sens!K1644-Sens!K1645-Sens!K1646-Sens!K1648</f>
        <v>119.782274245386</v>
      </c>
    </row>
    <row r="1651" customFormat="false" ht="17.15" hidden="false" customHeight="false" outlineLevel="0" collapsed="false">
      <c r="A1651" s="0" t="s">
        <v>1240</v>
      </c>
      <c r="B1651" s="0" t="s">
        <v>98</v>
      </c>
      <c r="F1651" s="6" t="n">
        <f aca="false">Sens!F1563+Sens!F1642*Sens!F1538+sbc_r*Sens!F1538</f>
        <v>26.6571969439283</v>
      </c>
      <c r="G1651" s="6" t="n">
        <f aca="false">Sens!G1563+Sens!G1642*Sens!G1538+sbc_r*Sens!G1538</f>
        <v>26.489283993605</v>
      </c>
      <c r="H1651" s="6" t="n">
        <f aca="false">Sens!H1563+Sens!H1642*Sens!H1538+sbc_r*Sens!H1538</f>
        <v>27.3585524926777</v>
      </c>
      <c r="I1651" s="6" t="n">
        <f aca="false">Sens!I1563+Sens!I1642*Sens!I1538+sbc_r*Sens!I1538</f>
        <v>28.4644914822938</v>
      </c>
      <c r="J1651" s="6" t="n">
        <f aca="false">Sens!J1563+Sens!J1642*Sens!J1538+sbc_r*Sens!J1538</f>
        <v>29.7716815977735</v>
      </c>
      <c r="K1651" s="6" t="n">
        <f aca="false">Sens!K1563+Sens!K1642*Sens!K1538+sbc_r*Sens!K1538</f>
        <v>31.2428460641278</v>
      </c>
    </row>
    <row r="1652" customFormat="false" ht="17.15" hidden="false" customHeight="false" outlineLevel="0" collapsed="false">
      <c r="A1652" s="0" t="s">
        <v>1241</v>
      </c>
      <c r="B1652" s="0" t="s">
        <v>98</v>
      </c>
      <c r="F1652" s="6" t="n">
        <f aca="false">(Sens!F1651-Sens!F1647)*Sens!F1534/(Sens!F1534+Sens!F1536)</f>
        <v>8.73045962423186</v>
      </c>
      <c r="G1652" s="6" t="n">
        <f aca="false">(Sens!G1651-Sens!G1647)*Sens!G1534/(Sens!G1534+Sens!G1536)</f>
        <v>7.89303062556681</v>
      </c>
      <c r="H1652" s="6" t="n">
        <f aca="false">(Sens!H1651-Sens!H1647)*Sens!H1534/(Sens!H1534+Sens!H1536)</f>
        <v>7.65528005828221</v>
      </c>
      <c r="I1652" s="6" t="n">
        <f aca="false">(Sens!I1651-Sens!I1647)*Sens!I1534/(Sens!I1534+Sens!I1536)</f>
        <v>7.56448989276385</v>
      </c>
      <c r="J1652" s="6" t="n">
        <f aca="false">(Sens!J1651-Sens!J1647)*Sens!J1534/(Sens!J1534+Sens!J1536)</f>
        <v>7.60859636485281</v>
      </c>
      <c r="K1652" s="6" t="n">
        <f aca="false">(Sens!K1651-Sens!K1647)*Sens!K1534/(Sens!K1534+Sens!K1536)</f>
        <v>7.78147914010575</v>
      </c>
    </row>
    <row r="1653" customFormat="false" ht="17.15" hidden="false" customHeight="false" outlineLevel="0" collapsed="false">
      <c r="A1653" s="0" t="s">
        <v>1242</v>
      </c>
      <c r="B1653" s="0" t="s">
        <v>98</v>
      </c>
      <c r="F1653" s="6" t="n">
        <f aca="false">Sens!F1651-Sens!F1647-Sens!F1652</f>
        <v>6.72754936886346</v>
      </c>
      <c r="G1653" s="6" t="n">
        <f aca="false">Sens!G1651-Sens!G1647-Sens!G1652</f>
        <v>6.32662334478585</v>
      </c>
      <c r="H1653" s="6" t="n">
        <f aca="false">Sens!H1651-Sens!H1647-Sens!H1652</f>
        <v>6.31808704302685</v>
      </c>
      <c r="I1653" s="6" t="n">
        <f aca="false">Sens!I1651-Sens!I1647-Sens!I1652</f>
        <v>6.3647363423439</v>
      </c>
      <c r="J1653" s="6" t="n">
        <f aca="false">Sens!J1651-Sens!J1647-Sens!J1652</f>
        <v>6.46324214508396</v>
      </c>
      <c r="K1653" s="6" t="n">
        <f aca="false">Sens!K1651-Sens!K1647-Sens!K1652</f>
        <v>6.61010014432486</v>
      </c>
    </row>
    <row r="1654" customFormat="false" ht="17.15" hidden="false" customHeight="false" outlineLevel="0" collapsed="false">
      <c r="A1654" s="0" t="s">
        <v>1243</v>
      </c>
      <c r="B1654" s="0" t="s">
        <v>98</v>
      </c>
      <c r="F1654" s="6" t="n">
        <f aca="false">Sens!F1648-tax_f*(Sens!F1648-Sens!F1512)-Sens!F1509</f>
        <v>-120.854134146486</v>
      </c>
      <c r="G1654" s="6" t="n">
        <f aca="false">Sens!G1648-tax_f*(Sens!G1648-Sens!G1512)-Sens!G1509</f>
        <v>-103.649199420019</v>
      </c>
      <c r="H1654" s="6" t="n">
        <f aca="false">Sens!H1648-tax_f*(Sens!H1648-Sens!H1512)-Sens!H1509</f>
        <v>-64.9799401306706</v>
      </c>
      <c r="I1654" s="6" t="n">
        <f aca="false">Sens!I1648-tax_f*(Sens!I1648-Sens!I1512)-Sens!I1509</f>
        <v>1.98827561608368</v>
      </c>
      <c r="J1654" s="6" t="n">
        <f aca="false">Sens!J1648-tax_f*(Sens!J1648-Sens!J1512)-Sens!J1509</f>
        <v>68.9101232553161</v>
      </c>
      <c r="K1654" s="6" t="n">
        <f aca="false">Sens!K1648-tax_f*(Sens!K1648-Sens!K1512)-Sens!K1509</f>
        <v>95.5392335656272</v>
      </c>
    </row>
    <row r="1655" customFormat="false" ht="17.15" hidden="false" customHeight="false" outlineLevel="0" collapsed="false">
      <c r="A1655" s="0" t="s">
        <v>1244</v>
      </c>
      <c r="B1655" s="0" t="s">
        <v>98</v>
      </c>
      <c r="G1655" s="6" t="n">
        <f aca="false">Sens!G1654/(1+wacc)^(Sens!G1625-Sens!F1626)</f>
        <v>-98.693983740281</v>
      </c>
      <c r="H1655" s="6" t="n">
        <f aca="false">Sens!H1654/(1+wacc)^(Sens!H1625-Sens!F1626)</f>
        <v>-56.0987893833892</v>
      </c>
      <c r="I1655" s="6" t="n">
        <f aca="false">Sens!I1654/(1+wacc)^(Sens!I1625-Sens!F1626)</f>
        <v>1.55632474887594</v>
      </c>
      <c r="J1655" s="6" t="n">
        <f aca="false">Sens!J1654/(1+wacc)^(Sens!J1625-Sens!F1626)</f>
        <v>48.9053215727471</v>
      </c>
      <c r="K1655" s="6" t="n">
        <f aca="false">Sens!K1654/(1+wacc)^(Sens!K1625-Sens!F1626)</f>
        <v>61.4758157206639</v>
      </c>
      <c r="L1655" s="1" t="s">
        <v>1245</v>
      </c>
    </row>
    <row r="1656" customFormat="false" ht="17.15" hidden="false" customHeight="false" outlineLevel="0" collapsed="false">
      <c r="A1656" s="0" t="s">
        <v>1246</v>
      </c>
      <c r="B1656" s="0" t="s">
        <v>98</v>
      </c>
      <c r="C1656" s="6" t="n">
        <f aca="false">(Sens!K1648-Sens!K1512)*(1-tax_f)*(1+g_tv)*(1-g_tv/(wacc+ronic_prem))/(wacc-g_tv)/(1+wacc)^(Sens!K1626-Sens!F1626)</f>
        <v>438.284865260434</v>
      </c>
    </row>
    <row r="1657" customFormat="false" ht="17.15" hidden="false" customHeight="false" outlineLevel="0" collapsed="false">
      <c r="A1657" s="1" t="s">
        <v>1247</v>
      </c>
      <c r="B1657" s="0" t="s">
        <v>98</v>
      </c>
      <c r="C1657" s="6" t="n">
        <f aca="false">(SUM(Sens!G1655:K1655)+Sens!$C$1656)*(1+wacc)^(t_roll-Sens!F1626)</f>
        <v>408.483879630235</v>
      </c>
      <c r="L1657" s="12" t="s">
        <v>1248</v>
      </c>
    </row>
    <row r="1658" customFormat="false" ht="17.15" hidden="false" customHeight="false" outlineLevel="0" collapsed="false">
      <c r="A1658" s="1" t="s">
        <v>1249</v>
      </c>
      <c r="B1658" s="0" t="s">
        <v>98</v>
      </c>
      <c r="C1658" s="6" t="n">
        <f aca="false">(w_ntm28*Sens!G1500+(1-w_ntm28)*Sens!H1500)*m_ai</f>
        <v>556.86888435722</v>
      </c>
    </row>
    <row r="1659" customFormat="false" ht="17.15" hidden="false" customHeight="false" outlineLevel="0" collapsed="false">
      <c r="A1659" s="1" t="s">
        <v>1250</v>
      </c>
      <c r="B1659" s="0" t="s">
        <v>98</v>
      </c>
      <c r="C1659" s="6" t="n">
        <f aca="false">(w_ntm28*Sens!G1650+(1-w_ntm28)*Sens!H1650)*m_cloud</f>
        <v>1075.70366562434</v>
      </c>
    </row>
    <row r="1660" customFormat="false" ht="17.15" hidden="false" customHeight="false" outlineLevel="0" collapsed="false">
      <c r="A1660" s="1" t="s">
        <v>1251</v>
      </c>
      <c r="B1660" s="0" t="s">
        <v>98</v>
      </c>
      <c r="C1660" s="6" t="n">
        <f aca="false">(w_ntm28*Sens!G1643+(1-w_ntm28)*Sens!H1643)*m_sw</f>
        <v>1083.20090456689</v>
      </c>
    </row>
    <row r="1661" customFormat="false" ht="17.15" hidden="false" customHeight="false" outlineLevel="0" collapsed="false">
      <c r="A1661" s="1" t="s">
        <v>1252</v>
      </c>
      <c r="B1661" s="0" t="s">
        <v>98</v>
      </c>
      <c r="C1661" s="6" t="n">
        <f aca="false">(w_ntm28*Sens!G1644+(1-w_ntm28)*Sens!H1644)*m_sw</f>
        <v>373.029722611929</v>
      </c>
    </row>
    <row r="1662" customFormat="false" ht="17.15" hidden="false" customHeight="false" outlineLevel="0" collapsed="false">
      <c r="A1662" s="1" t="s">
        <v>1253</v>
      </c>
      <c r="B1662" s="0" t="s">
        <v>98</v>
      </c>
      <c r="C1662" s="6" t="n">
        <f aca="false">(w_ntm28*Sens!G1645+(1-w_ntm28)*Sens!H1645)*m_sw</f>
        <v>109.207359793533</v>
      </c>
    </row>
    <row r="1663" customFormat="false" ht="17.15" hidden="false" customHeight="false" outlineLevel="0" collapsed="false">
      <c r="A1663" s="1" t="s">
        <v>1254</v>
      </c>
      <c r="B1663" s="0" t="s">
        <v>98</v>
      </c>
      <c r="C1663" s="6" t="n">
        <f aca="false">(w_ntm28*Sens!G1646+(1-w_ntm28)*Sens!H1646)*m_sw</f>
        <v>41.517827401237</v>
      </c>
    </row>
    <row r="1664" customFormat="false" ht="17.15" hidden="false" customHeight="false" outlineLevel="0" collapsed="false">
      <c r="A1664" s="1" t="s">
        <v>1255</v>
      </c>
      <c r="B1664" s="0" t="s">
        <v>98</v>
      </c>
      <c r="C1664" s="6" t="n">
        <f aca="false">(w_ntm28*Sens!G1647+(1-w_ntm28)*Sens!H1647)*m_ads</f>
        <v>115.117494247239</v>
      </c>
    </row>
    <row r="1665" customFormat="false" ht="17.15" hidden="false" customHeight="false" outlineLevel="0" collapsed="false">
      <c r="A1665" s="1" t="s">
        <v>1256</v>
      </c>
      <c r="B1665" s="0" t="s">
        <v>98</v>
      </c>
      <c r="C1665" s="6" t="n">
        <f aca="false">(w_ntm28*Sens!G1652+(1-w_ntm28)*Sens!H1652)*m_game</f>
        <v>98.7017582809731</v>
      </c>
    </row>
    <row r="1666" customFormat="false" ht="17.15" hidden="false" customHeight="false" outlineLevel="0" collapsed="false">
      <c r="A1666" s="1" t="s">
        <v>1257</v>
      </c>
      <c r="B1666" s="0" t="s">
        <v>98</v>
      </c>
      <c r="C1666" s="6" t="n">
        <f aca="false">(w_ntm28*Sens!G1653+(1-w_ntm28)*Sens!H1653)*m_pc</f>
        <v>91.5056303898065</v>
      </c>
    </row>
    <row r="1667" customFormat="false" ht="17.15" hidden="false" customHeight="false" outlineLevel="0" collapsed="false">
      <c r="A1667" s="1" t="s">
        <v>1258</v>
      </c>
      <c r="B1667" s="0" t="s">
        <v>98</v>
      </c>
      <c r="C1667" s="6" t="n">
        <f aca="false">Sens!$C$1657+Sens!$C$1659+Sens!$C$1660+Sens!$C$1661+Sens!$C$1662+Sens!$C$1663+Sens!$C$1664+Sens!$C$1665+Sens!$C$1666</f>
        <v>3396.46824254618</v>
      </c>
    </row>
    <row r="1668" customFormat="false" ht="17.15" hidden="false" customHeight="false" outlineLevel="0" collapsed="false">
      <c r="A1668" s="1" t="s">
        <v>1259</v>
      </c>
      <c r="B1668" s="0" t="s">
        <v>98</v>
      </c>
      <c r="C1668" s="6" t="n">
        <f aca="false">(Sens!G1629-Sens!G1654)*t_stub</f>
        <v>47.665967517753</v>
      </c>
      <c r="L1668" s="1" t="s">
        <v>1260</v>
      </c>
    </row>
    <row r="1669" customFormat="false" ht="17.15" hidden="false" customHeight="false" outlineLevel="0" collapsed="false">
      <c r="A1669" s="1" t="s">
        <v>1169</v>
      </c>
      <c r="B1669" s="0" t="s">
        <v>98</v>
      </c>
      <c r="C1669" s="6" t="n">
        <f aca="false">Sens!F1616+oai_v-Sens!F1605+Sens!$C$1668</f>
        <v>161.894237517753</v>
      </c>
      <c r="L1669" s="1" t="s">
        <v>1261</v>
      </c>
    </row>
    <row r="1670" customFormat="false" ht="17.15" hidden="false" customHeight="false" outlineLevel="0" collapsed="false">
      <c r="A1670" s="1" t="s">
        <v>1262</v>
      </c>
      <c r="B1670" s="0" t="s">
        <v>75</v>
      </c>
      <c r="C1670" s="5" t="n">
        <f aca="false">(Sens!$C$1667+Sens!$C$1669)/(Sens!F1618+dil_gap)-Sens!G1608*roll_div_q/q_per_yr</f>
        <v>474.299509116119</v>
      </c>
      <c r="L1670" s="1" t="s">
        <v>1263</v>
      </c>
    </row>
    <row r="1671" customFormat="false" ht="17.15" hidden="false" customHeight="false" outlineLevel="0" collapsed="false">
      <c r="A1671" s="1" t="s">
        <v>1264</v>
      </c>
      <c r="B1671" s="0" t="s">
        <v>75</v>
      </c>
      <c r="C1671" s="5" t="n">
        <f aca="false">w_dcf*Sens!$C$1641+(1-w_dcf)*Sens!$C$1670</f>
        <v>414.657473473726</v>
      </c>
    </row>
    <row r="1672" customFormat="false" ht="17.15" hidden="false" customHeight="false" outlineLevel="0" collapsed="false">
      <c r="A1672" s="3" t="s">
        <v>1520</v>
      </c>
    </row>
    <row r="1673" customFormat="false" ht="15" hidden="false" customHeight="false" outlineLevel="0" collapsed="false">
      <c r="A1673" s="4" t="s">
        <v>43</v>
      </c>
      <c r="B1673" s="4" t="s">
        <v>65</v>
      </c>
      <c r="C1673" s="23" t="s">
        <v>938</v>
      </c>
      <c r="D1673" s="23" t="s">
        <v>939</v>
      </c>
      <c r="E1673" s="23" t="s">
        <v>940</v>
      </c>
      <c r="F1673" s="23" t="s">
        <v>941</v>
      </c>
      <c r="G1673" s="23" t="s">
        <v>942</v>
      </c>
      <c r="H1673" s="23" t="s">
        <v>943</v>
      </c>
      <c r="I1673" s="23" t="s">
        <v>944</v>
      </c>
      <c r="J1673" s="23" t="s">
        <v>945</v>
      </c>
      <c r="K1673" s="23" t="s">
        <v>946</v>
      </c>
      <c r="L1673" s="4" t="s">
        <v>47</v>
      </c>
    </row>
    <row r="1674" customFormat="false" ht="17.15" hidden="false" customHeight="false" outlineLevel="0" collapsed="false">
      <c r="A1674" s="1" t="s">
        <v>947</v>
      </c>
      <c r="B1674" s="1" t="s">
        <v>279</v>
      </c>
      <c r="C1674" s="21" t="n">
        <v>2024</v>
      </c>
      <c r="D1674" s="21" t="n">
        <v>2025</v>
      </c>
      <c r="E1674" s="21" t="n">
        <v>2026</v>
      </c>
      <c r="F1674" s="21" t="n">
        <v>2027</v>
      </c>
      <c r="G1674" s="21" t="n">
        <v>2028</v>
      </c>
      <c r="H1674" s="21" t="n">
        <v>2029</v>
      </c>
      <c r="I1674" s="21" t="n">
        <v>2030</v>
      </c>
      <c r="J1674" s="21" t="n">
        <v>2031</v>
      </c>
      <c r="K1674" s="21" t="n">
        <v>2032</v>
      </c>
    </row>
    <row r="1675" customFormat="false" ht="17.15" hidden="false" customHeight="false" outlineLevel="0" collapsed="false">
      <c r="A1675" s="1" t="s">
        <v>948</v>
      </c>
      <c r="B1675" s="0" t="s">
        <v>456</v>
      </c>
      <c r="F1675" s="30" t="n">
        <f aca="false">pace</f>
        <v>2726.5351</v>
      </c>
      <c r="G1675" s="30" t="n">
        <f aca="false">pace</f>
        <v>2726.5351</v>
      </c>
      <c r="H1675" s="30" t="n">
        <f aca="false">pace</f>
        <v>2726.5351</v>
      </c>
      <c r="I1675" s="30" t="n">
        <f aca="false">pace+(g_tv*Sens!H1676-pace)*MIN(1,(Sens!I1674-pace_y0)/(pace_y1-pace_y0))</f>
        <v>1931.98611966667</v>
      </c>
      <c r="J1675" s="30" t="n">
        <f aca="false">pace+(g_tv*Sens!I1676-pace)*MIN(1,(Sens!J1674-pace_y0)/(pace_y1-pace_y0))</f>
        <v>1176.07686172667</v>
      </c>
      <c r="K1675" s="30" t="n">
        <f aca="false">pace+(g_tv*Sens!J1676-pace)*MIN(1,(Sens!K1674-pace_y0)/(pace_y1-pace_y0))</f>
        <v>436.1300484418</v>
      </c>
      <c r="L1675" s="12" t="s">
        <v>949</v>
      </c>
    </row>
    <row r="1676" customFormat="false" ht="17.15" hidden="false" customHeight="false" outlineLevel="0" collapsed="false">
      <c r="A1676" s="1" t="s">
        <v>950</v>
      </c>
      <c r="B1676" s="0" t="s">
        <v>456</v>
      </c>
      <c r="C1676" s="30" t="n">
        <f aca="false">mw_ext_24</f>
        <v>640</v>
      </c>
      <c r="D1676" s="30" t="n">
        <f aca="false">mw_ext_25</f>
        <v>1630</v>
      </c>
      <c r="E1676" s="30" t="n">
        <f aca="false">mw_ext_26</f>
        <v>3250</v>
      </c>
      <c r="F1676" s="30" t="n">
        <f aca="false">Sens!E1676+Sens!F1675</f>
        <v>5976.5351</v>
      </c>
      <c r="G1676" s="30" t="n">
        <f aca="false">Sens!F1676+Sens!G1675</f>
        <v>8703.0702</v>
      </c>
      <c r="H1676" s="30" t="n">
        <f aca="false">Sens!G1676+Sens!H1675</f>
        <v>11429.6053</v>
      </c>
      <c r="I1676" s="30" t="n">
        <f aca="false">Sens!H1676+Sens!I1675</f>
        <v>13361.5914196667</v>
      </c>
      <c r="J1676" s="30" t="n">
        <f aca="false">Sens!I1676+Sens!J1675</f>
        <v>14537.6682813933</v>
      </c>
      <c r="K1676" s="30" t="n">
        <f aca="false">Sens!J1676+Sens!K1675</f>
        <v>14973.7983298351</v>
      </c>
      <c r="L1676" s="1" t="s">
        <v>951</v>
      </c>
    </row>
    <row r="1677" customFormat="false" ht="17.15" hidden="false" customHeight="false" outlineLevel="0" collapsed="false">
      <c r="A1677" s="1" t="s">
        <v>952</v>
      </c>
      <c r="B1677" s="0" t="s">
        <v>456</v>
      </c>
      <c r="C1677" s="30" t="n">
        <f aca="false">rent_ext_24</f>
        <v>150</v>
      </c>
      <c r="D1677" s="30" t="n">
        <f aca="false">rent_ext_25</f>
        <v>400</v>
      </c>
      <c r="E1677" s="30" t="n">
        <f aca="false">rent_ext_26</f>
        <v>550</v>
      </c>
      <c r="F1677" s="30" t="n">
        <f aca="false">rent_ext_f</f>
        <v>756</v>
      </c>
      <c r="G1677" s="30" t="n">
        <f aca="false">rent_ext_f</f>
        <v>756</v>
      </c>
      <c r="H1677" s="30" t="n">
        <f aca="false">rent_ext_f</f>
        <v>756</v>
      </c>
      <c r="I1677" s="30" t="n">
        <f aca="false">rent_ext_f</f>
        <v>756</v>
      </c>
      <c r="J1677" s="30" t="n">
        <f aca="false">rent_ext_f</f>
        <v>756</v>
      </c>
      <c r="K1677" s="30" t="n">
        <f aca="false">rent_ext_f</f>
        <v>756</v>
      </c>
      <c r="L1677" s="1" t="s">
        <v>953</v>
      </c>
    </row>
    <row r="1678" customFormat="false" ht="17.15" hidden="false" customHeight="false" outlineLevel="0" collapsed="false">
      <c r="A1678" s="1" t="s">
        <v>954</v>
      </c>
      <c r="B1678" s="0" t="s">
        <v>456</v>
      </c>
      <c r="C1678" s="30" t="n">
        <f aca="false">Sens!C1676-Sens!C1677</f>
        <v>490</v>
      </c>
      <c r="D1678" s="30" t="n">
        <f aca="false">Sens!D1676-Sens!D1677</f>
        <v>1230</v>
      </c>
      <c r="E1678" s="30" t="n">
        <f aca="false">Sens!E1676-Sens!E1677</f>
        <v>2700</v>
      </c>
      <c r="F1678" s="30" t="n">
        <f aca="false">Sens!F1676-Sens!F1677</f>
        <v>5220.5351</v>
      </c>
      <c r="G1678" s="30" t="n">
        <f aca="false">Sens!G1676-Sens!G1677</f>
        <v>7947.0702</v>
      </c>
      <c r="H1678" s="30" t="n">
        <f aca="false">Sens!H1676-Sens!H1677</f>
        <v>10673.6053</v>
      </c>
      <c r="I1678" s="30" t="n">
        <f aca="false">Sens!I1676-Sens!I1677</f>
        <v>12605.5914196667</v>
      </c>
      <c r="J1678" s="30" t="n">
        <f aca="false">Sens!J1676-Sens!J1677</f>
        <v>13781.6682813933</v>
      </c>
      <c r="K1678" s="30" t="n">
        <f aca="false">Sens!K1676-Sens!K1677</f>
        <v>14217.7983298351</v>
      </c>
    </row>
    <row r="1679" customFormat="false" ht="17.15" hidden="false" customHeight="false" outlineLevel="0" collapsed="false">
      <c r="A1679" s="1" t="s">
        <v>955</v>
      </c>
      <c r="B1679" s="0" t="s">
        <v>456</v>
      </c>
      <c r="C1679" s="30" t="n">
        <f aca="false">Sens!C1678/ext_sh</f>
        <v>816.666666666667</v>
      </c>
      <c r="D1679" s="30" t="n">
        <f aca="false">Sens!D1678/ext_sh</f>
        <v>2050</v>
      </c>
      <c r="E1679" s="30" t="n">
        <f aca="false">Sens!E1678/ext_sh</f>
        <v>4500</v>
      </c>
      <c r="F1679" s="30" t="n">
        <f aca="false">Sens!F1678/ext_sh</f>
        <v>8700.89183333333</v>
      </c>
      <c r="G1679" s="30" t="n">
        <f aca="false">Sens!G1678/ext_sh</f>
        <v>13245.117</v>
      </c>
      <c r="H1679" s="30" t="n">
        <f aca="false">Sens!H1678/ext_sh</f>
        <v>17789.3421666667</v>
      </c>
      <c r="I1679" s="30" t="n">
        <f aca="false">Sens!I1678/ext_sh</f>
        <v>21009.3190327778</v>
      </c>
      <c r="J1679" s="30" t="n">
        <f aca="false">Sens!J1678/ext_sh</f>
        <v>22969.4471356556</v>
      </c>
      <c r="K1679" s="30" t="n">
        <f aca="false">Sens!K1678/ext_sh</f>
        <v>23696.3305497252</v>
      </c>
      <c r="L1679" s="1" t="s">
        <v>956</v>
      </c>
    </row>
    <row r="1680" customFormat="false" ht="17.15" hidden="false" customHeight="false" outlineLevel="0" collapsed="false">
      <c r="A1680" s="1" t="s">
        <v>957</v>
      </c>
      <c r="B1680" s="0" t="s">
        <v>456</v>
      </c>
      <c r="C1680" s="30" t="n">
        <f aca="false">Sens!C1679-Sens!C1678</f>
        <v>326.666666666667</v>
      </c>
      <c r="D1680" s="30" t="n">
        <f aca="false">Sens!D1679-Sens!D1678</f>
        <v>820</v>
      </c>
      <c r="E1680" s="30" t="n">
        <f aca="false">Sens!E1679-Sens!E1678</f>
        <v>1800</v>
      </c>
      <c r="F1680" s="30" t="n">
        <f aca="false">Sens!F1679-Sens!F1678</f>
        <v>3480.35673333333</v>
      </c>
      <c r="G1680" s="30" t="n">
        <f aca="false">Sens!G1679-Sens!G1678</f>
        <v>5298.0468</v>
      </c>
      <c r="H1680" s="30" t="n">
        <f aca="false">Sens!H1679-Sens!H1678</f>
        <v>7115.73686666667</v>
      </c>
      <c r="I1680" s="30" t="n">
        <f aca="false">Sens!I1679-Sens!I1678</f>
        <v>8403.72761311111</v>
      </c>
      <c r="J1680" s="30" t="n">
        <f aca="false">Sens!J1679-Sens!J1678</f>
        <v>9187.77885426222</v>
      </c>
      <c r="K1680" s="30" t="n">
        <f aca="false">Sens!K1679-Sens!K1678</f>
        <v>9478.53221989009</v>
      </c>
    </row>
    <row r="1681" customFormat="false" ht="17.15" hidden="false" customHeight="false" outlineLevel="0" collapsed="false">
      <c r="A1681" s="1" t="s">
        <v>958</v>
      </c>
      <c r="B1681" s="0" t="s">
        <v>456</v>
      </c>
      <c r="C1681" s="30" t="n">
        <f aca="false">Sens!C1679</f>
        <v>816.666666666667</v>
      </c>
      <c r="D1681" s="30" t="n">
        <f aca="false">Sens!D1679-Sens!C1679</f>
        <v>1233.33333333333</v>
      </c>
      <c r="E1681" s="30" t="n">
        <f aca="false">Sens!E1679-Sens!D1679</f>
        <v>2450</v>
      </c>
      <c r="F1681" s="30" t="n">
        <f aca="false">Sens!F1679-Sens!E1679</f>
        <v>4200.89183333333</v>
      </c>
      <c r="G1681" s="30" t="n">
        <f aca="false">Sens!G1679-Sens!F1679</f>
        <v>4544.22516666667</v>
      </c>
      <c r="H1681" s="30" t="n">
        <f aca="false">Sens!H1679-Sens!G1679</f>
        <v>4544.22516666667</v>
      </c>
      <c r="I1681" s="30" t="n">
        <f aca="false">Sens!I1679-Sens!H1679</f>
        <v>3219.97686611111</v>
      </c>
      <c r="J1681" s="30" t="n">
        <f aca="false">Sens!J1679-Sens!I1679</f>
        <v>1960.12810287778</v>
      </c>
      <c r="K1681" s="30" t="n">
        <f aca="false">Sens!K1679-Sens!J1679</f>
        <v>726.883414069667</v>
      </c>
    </row>
    <row r="1682" customFormat="false" ht="17.15" hidden="false" customHeight="false" outlineLevel="0" collapsed="false">
      <c r="A1682" s="1" t="s">
        <v>959</v>
      </c>
      <c r="B1682" s="0" t="s">
        <v>456</v>
      </c>
      <c r="D1682" s="30" t="n">
        <f aca="false">Sens!D1676-Sens!C1676</f>
        <v>990</v>
      </c>
      <c r="E1682" s="30" t="n">
        <f aca="false">Sens!E1676-Sens!D1676</f>
        <v>1620</v>
      </c>
      <c r="F1682" s="30" t="n">
        <f aca="false">Sens!F1676-Sens!E1676</f>
        <v>2726.5351</v>
      </c>
      <c r="G1682" s="30" t="n">
        <f aca="false">Sens!G1676-Sens!F1676</f>
        <v>2726.5351</v>
      </c>
      <c r="H1682" s="30" t="n">
        <f aca="false">Sens!H1676-Sens!G1676</f>
        <v>2726.5351</v>
      </c>
      <c r="I1682" s="30" t="n">
        <f aca="false">Sens!I1676-Sens!H1676</f>
        <v>1931.98611966667</v>
      </c>
      <c r="J1682" s="30" t="n">
        <f aca="false">Sens!J1676-Sens!I1676</f>
        <v>1176.07686172667</v>
      </c>
      <c r="K1682" s="30" t="n">
        <f aca="false">Sens!K1676-Sens!J1676</f>
        <v>436.130048441799</v>
      </c>
    </row>
    <row r="1683" customFormat="false" ht="17.15" hidden="false" customHeight="false" outlineLevel="0" collapsed="false">
      <c r="A1683" s="1" t="s">
        <v>960</v>
      </c>
      <c r="B1683" s="0" t="s">
        <v>456</v>
      </c>
      <c r="F1683" s="30" t="n">
        <f aca="false">Sens!F1702*ext_sh</f>
        <v>0</v>
      </c>
      <c r="G1683" s="30" t="n">
        <f aca="false">Sens!G1702*ext_sh</f>
        <v>0</v>
      </c>
      <c r="H1683" s="30" t="n">
        <f aca="false">Sens!H1702*ext_sh</f>
        <v>0</v>
      </c>
      <c r="I1683" s="30" t="n">
        <f aca="false">Sens!I1702*ext_sh</f>
        <v>490</v>
      </c>
      <c r="J1683" s="30" t="n">
        <f aca="false">Sens!J1702*ext_sh</f>
        <v>740</v>
      </c>
      <c r="K1683" s="30" t="n">
        <f aca="false">Sens!K1702*ext_sh</f>
        <v>1470</v>
      </c>
      <c r="L1683" s="1" t="s">
        <v>961</v>
      </c>
    </row>
    <row r="1684" customFormat="false" ht="17.15" hidden="false" customHeight="false" outlineLevel="0" collapsed="false">
      <c r="A1684" s="1" t="s">
        <v>962</v>
      </c>
      <c r="B1684" s="0" t="s">
        <v>456</v>
      </c>
      <c r="C1684" s="30" t="n">
        <f aca="false">mix_h*Sens!C1676</f>
        <v>128</v>
      </c>
      <c r="D1684" s="30" t="n">
        <f aca="false">mix_h*Sens!D1676</f>
        <v>326</v>
      </c>
      <c r="E1684" s="30" t="n">
        <f aca="false">mix_h*Sens!E1676</f>
        <v>650</v>
      </c>
      <c r="F1684" s="30" t="n">
        <f aca="false">Sens!E1684-Sens!F1683*mix_h</f>
        <v>650</v>
      </c>
      <c r="G1684" s="30" t="n">
        <f aca="false">Sens!F1684-Sens!G1683*mix_h</f>
        <v>650</v>
      </c>
      <c r="H1684" s="30" t="n">
        <f aca="false">Sens!G1684-Sens!H1683*mix_h</f>
        <v>650</v>
      </c>
      <c r="I1684" s="30" t="n">
        <f aca="false">Sens!H1684-Sens!I1683*mix_h</f>
        <v>552</v>
      </c>
      <c r="J1684" s="30" t="n">
        <f aca="false">Sens!I1684-Sens!J1683*mix_h</f>
        <v>404</v>
      </c>
      <c r="K1684" s="30" t="n">
        <f aca="false">Sens!J1684-Sens!K1683*mix_h</f>
        <v>110</v>
      </c>
    </row>
    <row r="1685" customFormat="false" ht="17.15" hidden="false" customHeight="false" outlineLevel="0" collapsed="false">
      <c r="A1685" s="1" t="s">
        <v>963</v>
      </c>
      <c r="B1685" s="0" t="s">
        <v>456</v>
      </c>
      <c r="C1685" s="30" t="n">
        <f aca="false">mix_g2*Sens!C1676</f>
        <v>288</v>
      </c>
      <c r="D1685" s="30" t="n">
        <f aca="false">mix_g2*Sens!D1676</f>
        <v>733.5</v>
      </c>
      <c r="E1685" s="30" t="n">
        <f aca="false">mix_g2*Sens!E1676</f>
        <v>1462.5</v>
      </c>
      <c r="F1685" s="30" t="n">
        <f aca="false">Sens!E1685-Sens!F1683*mix_g2</f>
        <v>1462.5</v>
      </c>
      <c r="G1685" s="30" t="n">
        <f aca="false">Sens!F1685-Sens!G1683*mix_g2</f>
        <v>1462.5</v>
      </c>
      <c r="H1685" s="30" t="n">
        <f aca="false">Sens!G1685-Sens!H1683*mix_g2</f>
        <v>1462.5</v>
      </c>
      <c r="I1685" s="30" t="n">
        <f aca="false">Sens!H1685-Sens!I1683*mix_g2</f>
        <v>1242</v>
      </c>
      <c r="J1685" s="30" t="n">
        <f aca="false">Sens!I1685-Sens!J1683*mix_g2</f>
        <v>909</v>
      </c>
      <c r="K1685" s="30" t="n">
        <f aca="false">Sens!J1685-Sens!K1683*mix_g2</f>
        <v>247.5</v>
      </c>
    </row>
    <row r="1686" customFormat="false" ht="17.15" hidden="false" customHeight="false" outlineLevel="0" collapsed="false">
      <c r="A1686" s="1" t="s">
        <v>964</v>
      </c>
      <c r="B1686" s="0" t="s">
        <v>456</v>
      </c>
      <c r="C1686" s="30" t="n">
        <f aca="false">mix_g3*Sens!C1676</f>
        <v>224</v>
      </c>
      <c r="D1686" s="30" t="n">
        <f aca="false">mix_g3*Sens!D1676</f>
        <v>570.5</v>
      </c>
      <c r="E1686" s="30" t="n">
        <f aca="false">mix_g3*Sens!E1676</f>
        <v>1137.5</v>
      </c>
      <c r="F1686" s="30" t="n">
        <f aca="false">Sens!E1686+(Sens!F1682+Sens!F1683)*(a_g3_27-nonnv*a_mai)-Sens!F1683*mix_g3</f>
        <v>2773.42106</v>
      </c>
      <c r="G1686" s="30" t="n">
        <f aca="false">Sens!F1686+(Sens!G1682+Sens!G1683)*(a_g3_28-nonnv*a_mai)-Sens!G1683*mix_g3</f>
        <v>3318.72808</v>
      </c>
      <c r="H1686" s="30" t="n">
        <f aca="false">Sens!G1686+(Sens!H1682+Sens!H1683)*(a_g3_29-nonnv*a_mai)-Sens!H1683*mix_g3</f>
        <v>3318.72808</v>
      </c>
      <c r="I1686" s="30" t="n">
        <f aca="false">Sens!H1686+(Sens!I1682+Sens!I1683)*(a_g3_29-nonnv*a_mai)-Sens!I1683*mix_g3</f>
        <v>3147.22808</v>
      </c>
      <c r="J1686" s="30" t="n">
        <f aca="false">Sens!I1686+(Sens!J1682+Sens!J1683)*(a_g3_29-nonnv*a_mai)-Sens!J1683*mix_g3</f>
        <v>2888.22808</v>
      </c>
      <c r="K1686" s="30" t="n">
        <f aca="false">Sens!J1686+(Sens!K1682+Sens!K1683)*(a_g3_29-nonnv*a_mai)-Sens!K1683*mix_g3</f>
        <v>2373.72808</v>
      </c>
    </row>
    <row r="1687" customFormat="false" ht="17.15" hidden="false" customHeight="false" outlineLevel="0" collapsed="false">
      <c r="A1687" s="1" t="s">
        <v>965</v>
      </c>
      <c r="B1687" s="0" t="s">
        <v>456</v>
      </c>
      <c r="C1687" s="30" t="n">
        <v>0</v>
      </c>
      <c r="D1687" s="30" t="n">
        <v>0</v>
      </c>
      <c r="E1687" s="30" t="n">
        <v>0</v>
      </c>
      <c r="F1687" s="30" t="n">
        <f aca="false">Sens!E1687+(Sens!F1682+Sens!F1683)*nonnv*a_mai</f>
        <v>272.65351</v>
      </c>
      <c r="G1687" s="30" t="n">
        <f aca="false">Sens!F1687+(Sens!G1682+Sens!G1683)*nonnv*a_mai</f>
        <v>545.30702</v>
      </c>
      <c r="H1687" s="30" t="n">
        <f aca="false">Sens!G1687+(Sens!H1682+Sens!H1683)*nonnv*a_mai</f>
        <v>817.96053</v>
      </c>
      <c r="I1687" s="30" t="n">
        <f aca="false">Sens!H1687+(Sens!I1682+Sens!I1683)*nonnv*a_mai</f>
        <v>1060.15914196667</v>
      </c>
      <c r="J1687" s="30" t="n">
        <f aca="false">Sens!I1687+(Sens!J1682+Sens!J1683)*nonnv*a_mai</f>
        <v>1251.76682813933</v>
      </c>
      <c r="K1687" s="30" t="n">
        <f aca="false">Sens!J1687+(Sens!K1682+Sens!K1683)*nonnv*a_mai</f>
        <v>1442.37983298351</v>
      </c>
      <c r="L1687" s="12" t="s">
        <v>966</v>
      </c>
    </row>
    <row r="1688" customFormat="false" ht="17.15" hidden="false" customHeight="false" outlineLevel="0" collapsed="false">
      <c r="A1688" s="1" t="s">
        <v>967</v>
      </c>
      <c r="B1688" s="0" t="s">
        <v>456</v>
      </c>
      <c r="C1688" s="30" t="n">
        <v>0</v>
      </c>
      <c r="D1688" s="30" t="n">
        <v>0</v>
      </c>
      <c r="E1688" s="30" t="n">
        <v>0</v>
      </c>
      <c r="F1688" s="30" t="n">
        <f aca="false">Sens!E1688+(Sens!F1682+Sens!F1683)*(1-a_g3_27)</f>
        <v>817.96053</v>
      </c>
      <c r="G1688" s="30" t="n">
        <f aca="false">Sens!F1688+(Sens!G1682+Sens!G1683)*(1-a_g3_28)</f>
        <v>2726.5351</v>
      </c>
      <c r="H1688" s="30" t="n">
        <f aca="false">Sens!G1688+(Sens!H1682+Sens!H1683)*(1-a_g3_29)</f>
        <v>5180.41669</v>
      </c>
      <c r="I1688" s="30" t="n">
        <f aca="false">Sens!H1688+(Sens!I1682+Sens!I1683)*(1-a_g3_29)</f>
        <v>7360.2041977</v>
      </c>
      <c r="J1688" s="30" t="n">
        <f aca="false">Sens!I1688+(Sens!J1682+Sens!J1683)*(1-a_g3_29)</f>
        <v>9084.673373254</v>
      </c>
      <c r="K1688" s="30" t="n">
        <f aca="false">Sens!J1688+(Sens!K1682+Sens!K1683)*(1-a_g3_29)</f>
        <v>10800.1904168516</v>
      </c>
    </row>
    <row r="1689" customFormat="false" ht="17.15" hidden="false" customHeight="false" outlineLevel="0" collapsed="false">
      <c r="A1689" s="1" t="s">
        <v>968</v>
      </c>
      <c r="B1689" s="0" t="s">
        <v>403</v>
      </c>
      <c r="C1689" s="15" t="n">
        <f aca="false">(Sens!C1684*tk_hold_h100+Sens!C1685*tk_hold_gb200+Sens!C1686*tk_hold_gb300+Sens!C1688*tk_hold_vr200+Sens!C1687*nv_hold_mai*tk_hold_vr200)/Sens!C1676</f>
        <v>9.7235358126469</v>
      </c>
      <c r="D1689" s="15" t="n">
        <f aca="false">(Sens!D1684*tk_hold_h100+Sens!D1685*tk_hold_gb200+Sens!D1686*tk_hold_gb300+Sens!D1688*tk_hold_vr200+Sens!D1687*nv_hold_mai*tk_hold_vr200)/Sens!D1676</f>
        <v>9.7235358126469</v>
      </c>
      <c r="E1689" s="15" t="n">
        <f aca="false">(Sens!E1684*tk_hold_h100+Sens!E1685*tk_hold_gb200+Sens!E1686*tk_hold_gb300+Sens!E1688*tk_hold_vr200+Sens!E1687*nv_hold_mai*tk_hold_vr200)/Sens!E1676</f>
        <v>9.7235358126469</v>
      </c>
      <c r="F1689" s="15" t="n">
        <f aca="false">(Sens!F1684*tk_hold_h100+Sens!F1685*tk_hold_gb200+Sens!F1686*tk_hold_gb300+Sens!F1688*tk_hold_vr200+Sens!F1687*nv_hold_mai*tk_hold_vr200)/Sens!F1676</f>
        <v>10.2195353876665</v>
      </c>
      <c r="G1689" s="15" t="n">
        <f aca="false">(Sens!G1684*tk_hold_h100+Sens!G1685*tk_hold_gb200+Sens!G1686*tk_hold_gb300+Sens!G1688*tk_hold_vr200+Sens!G1687*nv_hold_mai*tk_hold_vr200)/Sens!G1676</f>
        <v>10.5725598017306</v>
      </c>
      <c r="H1689" s="15" t="n">
        <f aca="false">(Sens!H1684*tk_hold_h100+Sens!H1685*tk_hold_gb200+Sens!H1686*tk_hold_gb300+Sens!H1688*tk_hold_vr200+Sens!H1687*nv_hold_mai*tk_hold_vr200)/Sens!H1676</f>
        <v>10.8210427149036</v>
      </c>
      <c r="I1689" s="15" t="n">
        <f aca="false">(Sens!I1684*tk_hold_h100+Sens!I1685*tk_hold_gb200+Sens!I1686*tk_hold_gb300+Sens!I1688*tk_hold_vr200+Sens!I1687*nv_hold_mai*tk_hold_vr200)/Sens!I1676</f>
        <v>11.0050618241982</v>
      </c>
      <c r="J1689" s="15" t="n">
        <f aca="false">(Sens!J1684*tk_hold_h100+Sens!J1685*tk_hold_gb200+Sens!J1686*tk_hold_gb300+Sens!J1688*tk_hold_vr200+Sens!J1687*nv_hold_mai*tk_hold_vr200)/Sens!J1676</f>
        <v>11.1505789658881</v>
      </c>
      <c r="K1689" s="15" t="n">
        <f aca="false">(Sens!K1684*tk_hold_h100+Sens!K1685*tk_hold_gb200+Sens!K1686*tk_hold_gb300+Sens!K1688*tk_hold_vr200+Sens!K1687*nv_hold_mai*tk_hold_vr200)/Sens!K1676</f>
        <v>11.3496914757183</v>
      </c>
      <c r="L1689" s="1" t="s">
        <v>969</v>
      </c>
    </row>
    <row r="1690" customFormat="false" ht="17.15" hidden="false" customHeight="false" outlineLevel="0" collapsed="false">
      <c r="A1690" s="1" t="s">
        <v>970</v>
      </c>
      <c r="B1690" s="0" t="s">
        <v>403</v>
      </c>
      <c r="C1690" s="15" t="n">
        <f aca="false">(Sens!C1684*tk_hold_h100+Sens!C1685*tk_hold_gb200+Sens!C1686*tk_hold_gb300+Sens!C1688*tk_hold_vr200+Sens!C1687*nv_out_mai*tk_hold_vr200)/Sens!C1676</f>
        <v>9.7235358126469</v>
      </c>
      <c r="D1690" s="15" t="n">
        <f aca="false">(Sens!D1684*tk_hold_h100+Sens!D1685*tk_hold_gb200+Sens!D1686*tk_hold_gb300+Sens!D1688*tk_hold_vr200+Sens!D1687*nv_out_mai*tk_hold_vr200)/Sens!D1676</f>
        <v>9.7235358126469</v>
      </c>
      <c r="E1690" s="15" t="n">
        <f aca="false">(Sens!E1684*tk_hold_h100+Sens!E1685*tk_hold_gb200+Sens!E1686*tk_hold_gb300+Sens!E1688*tk_hold_vr200+Sens!E1687*nv_out_mai*tk_hold_vr200)/Sens!E1676</f>
        <v>9.7235358126469</v>
      </c>
      <c r="F1690" s="15" t="n">
        <f aca="false">(Sens!F1684*tk_hold_h100+Sens!F1685*tk_hold_gb200+Sens!F1686*tk_hold_gb300+Sens!F1688*tk_hold_vr200+Sens!F1687*nv_out_mai*tk_hold_vr200)/Sens!F1676</f>
        <v>10.247422093969</v>
      </c>
      <c r="G1690" s="15" t="n">
        <f aca="false">(Sens!G1684*tk_hold_h100+Sens!G1685*tk_hold_gb200+Sens!G1686*tk_hold_gb300+Sens!G1688*tk_hold_vr200+Sens!G1687*nv_out_mai*tk_hold_vr200)/Sens!G1676</f>
        <v>10.6108602808053</v>
      </c>
      <c r="H1690" s="15" t="n">
        <f aca="false">(Sens!H1684*tk_hold_h100+Sens!H1685*tk_hold_gb200+Sens!H1686*tk_hold_gb300+Sens!H1688*tk_hold_vr200+Sens!H1687*nv_out_mai*tk_hold_vr200)/Sens!H1676</f>
        <v>10.8647885507393</v>
      </c>
      <c r="I1690" s="15" t="n">
        <f aca="false">(Sens!I1684*tk_hold_h100+Sens!I1685*tk_hold_gb200+Sens!I1686*tk_hold_gb300+Sens!I1688*tk_hold_vr200+Sens!I1687*nv_out_mai*tk_hold_vr200)/Sens!I1676</f>
        <v>11.0535625770025</v>
      </c>
      <c r="J1690" s="15" t="n">
        <f aca="false">(Sens!J1684*tk_hold_h100+Sens!J1685*tk_hold_gb200+Sens!J1686*tk_hold_gb300+Sens!J1688*tk_hold_vr200+Sens!J1687*nv_out_mai*tk_hold_vr200)/Sens!J1676</f>
        <v>11.2032127128058</v>
      </c>
      <c r="K1690" s="15" t="n">
        <f aca="false">(Sens!K1684*tk_hold_h100+Sens!K1685*tk_hold_gb200+Sens!K1686*tk_hold_gb300+Sens!K1688*tk_hold_vr200+Sens!K1687*nv_out_mai*tk_hold_vr200)/Sens!K1676</f>
        <v>11.4085735724225</v>
      </c>
      <c r="L1690" s="12" t="s">
        <v>971</v>
      </c>
    </row>
    <row r="1691" customFormat="false" ht="17.15" hidden="false" customHeight="false" outlineLevel="0" collapsed="false">
      <c r="A1691" s="0" t="s">
        <v>972</v>
      </c>
      <c r="B1691" s="0" t="s">
        <v>229</v>
      </c>
      <c r="C1691" s="15" t="n">
        <f aca="false">k_B</f>
        <v>1.17213932619116</v>
      </c>
      <c r="D1691" s="15" t="n">
        <f aca="false">k_B</f>
        <v>1.17213932619116</v>
      </c>
      <c r="E1691" s="15" t="n">
        <f aca="false">k_B</f>
        <v>1.17213932619116</v>
      </c>
      <c r="F1691" s="15" t="n">
        <f aca="false">(k_B+((ls_C*k_long+(1-ls_C)*k_spot)-k_B)*MIN(1,(Sens!F1674-base_fy)/k_ramp))*1.15</f>
        <v>1.24019746705172</v>
      </c>
      <c r="G1691" s="15" t="n">
        <f aca="false">(k_B+((ls_C*k_long+(1-ls_C)*k_spot)-k_B)*MIN(1,(Sens!G1674-base_fy)/k_ramp))*1.15</f>
        <v>1.1324347089836</v>
      </c>
      <c r="H1691" s="15" t="n">
        <f aca="false">(k_B+((ls_C*k_long+(1-ls_C)*k_spot)-k_B)*MIN(1,(Sens!H1674-base_fy)/k_ramp))*1.15</f>
        <v>1.02467195091549</v>
      </c>
      <c r="I1691" s="15" t="n">
        <f aca="false">(k_B+((ls_C*k_long+(1-ls_C)*k_spot)-k_B)*MIN(1,(Sens!I1674-base_fy)/k_ramp))*1.15</f>
        <v>1.02467195091549</v>
      </c>
      <c r="J1691" s="15" t="n">
        <f aca="false">(k_B+((ls_C*k_long+(1-ls_C)*k_spot)-k_B)*MIN(1,(Sens!J1674-base_fy)/k_ramp))*1.15</f>
        <v>1.02467195091549</v>
      </c>
      <c r="K1691" s="15" t="n">
        <f aca="false">(k_B+((ls_C*k_long+(1-ls_C)*k_spot)-k_B)*MIN(1,(Sens!K1674-base_fy)/k_ramp))*1.15</f>
        <v>1.02467195091549</v>
      </c>
      <c r="L1691" s="1" t="s">
        <v>973</v>
      </c>
    </row>
    <row r="1692" customFormat="false" ht="17.15" hidden="false" customHeight="false" outlineLevel="0" collapsed="false">
      <c r="A1692" s="1" t="s">
        <v>974</v>
      </c>
      <c r="B1692" s="0" t="s">
        <v>403</v>
      </c>
      <c r="C1692" s="15" t="n">
        <f aca="false">Sens!C1690*Sens!C1691*chip_f</f>
        <v>11.3973387156315</v>
      </c>
      <c r="D1692" s="15" t="n">
        <f aca="false">Sens!D1690*Sens!D1691*chip_f</f>
        <v>11.3973387156315</v>
      </c>
      <c r="E1692" s="15" t="n">
        <f aca="false">Sens!E1690*Sens!E1691*chip_f</f>
        <v>11.3973387156315</v>
      </c>
      <c r="F1692" s="15" t="n">
        <f aca="false">Sens!F1690*Sens!F1691*chip_f</f>
        <v>12.7088269247501</v>
      </c>
      <c r="G1692" s="15" t="n">
        <f aca="false">Sens!G1690*Sens!G1691*chip_f</f>
        <v>12.0161064741594</v>
      </c>
      <c r="H1692" s="15" t="n">
        <f aca="false">Sens!H1690*Sens!H1691*chip_f</f>
        <v>11.1328440805703</v>
      </c>
      <c r="I1692" s="15" t="n">
        <f aca="false">Sens!I1690*Sens!I1691*chip_f</f>
        <v>11.3262755303436</v>
      </c>
      <c r="J1692" s="15" t="n">
        <f aca="false">Sens!J1690*Sens!J1691*chip_f</f>
        <v>11.4796178269519</v>
      </c>
      <c r="K1692" s="15" t="n">
        <f aca="false">Sens!K1690*Sens!K1691*chip_f</f>
        <v>11.690045339617</v>
      </c>
      <c r="L1692" s="1" t="s">
        <v>975</v>
      </c>
    </row>
    <row r="1693" customFormat="false" ht="17.15" hidden="false" customHeight="false" outlineLevel="0" collapsed="false">
      <c r="A1693" s="0" t="s">
        <v>976</v>
      </c>
      <c r="B1693" s="0" t="s">
        <v>98</v>
      </c>
      <c r="D1693" s="6" t="n">
        <f aca="false">(Sens!C1676+Sens!D1676)/2*Sens!D1692/1000</f>
        <v>12.9359794422418</v>
      </c>
      <c r="E1693" s="6" t="n">
        <f aca="false">(Sens!D1676+Sens!E1676)/2*Sens!E1692/1000</f>
        <v>27.8095064661409</v>
      </c>
      <c r="F1693" s="6" t="n">
        <f aca="false">(Sens!E1676+Sens!F1676)/2*Sens!F1692/1000</f>
        <v>58.6292188505159</v>
      </c>
      <c r="G1693" s="6" t="n">
        <f aca="false">(Sens!F1676+Sens!G1676)/2*Sens!G1692/1000</f>
        <v>88.1958501417173</v>
      </c>
      <c r="H1693" s="6" t="n">
        <f aca="false">(Sens!G1676+Sens!H1676)/2*Sens!H1692/1000</f>
        <v>112.066968633109</v>
      </c>
      <c r="I1693" s="6" t="n">
        <f aca="false">(Sens!H1676+Sens!I1676)/2*Sens!I1692/1000</f>
        <v>140.395962386948</v>
      </c>
      <c r="J1693" s="6" t="n">
        <f aca="false">(Sens!I1676+Sens!J1676)/2*Sens!J1692/1000</f>
        <v>160.136419511524</v>
      </c>
      <c r="K1693" s="6" t="n">
        <f aca="false">(Sens!J1676+Sens!K1676)/2*Sens!K1692/1000</f>
        <v>172.495191361928</v>
      </c>
      <c r="L1693" s="12" t="s">
        <v>977</v>
      </c>
    </row>
    <row r="1694" customFormat="false" ht="17.15" hidden="false" customHeight="false" outlineLevel="0" collapsed="false">
      <c r="A1694" s="1" t="s">
        <v>978</v>
      </c>
      <c r="B1694" s="0" t="s">
        <v>403</v>
      </c>
      <c r="C1694" s="15" t="n">
        <f aca="false">(Sens!C1684*tk_opex_h100+Sens!C1685*tk_opex_gb200+Sens!C1686*tk_opex_gb300+(Sens!C1688+Sens!C1687)*tk_opex_vr200)/Sens!C1676</f>
        <v>1.88636041306092</v>
      </c>
      <c r="D1694" s="15" t="n">
        <f aca="false">(Sens!D1684*tk_opex_h100+Sens!D1685*tk_opex_gb200+Sens!D1686*tk_opex_gb300+(Sens!D1688+Sens!D1687)*tk_opex_vr200)/Sens!D1676</f>
        <v>1.88636041306092</v>
      </c>
      <c r="E1694" s="15" t="n">
        <f aca="false">(Sens!E1684*tk_opex_h100+Sens!E1685*tk_opex_gb200+Sens!E1686*tk_opex_gb300+(Sens!E1688+Sens!E1687)*tk_opex_vr200)/Sens!E1676</f>
        <v>1.88636041306092</v>
      </c>
      <c r="F1694" s="15" t="n">
        <f aca="false">(Sens!F1684*tk_opex_h100+Sens!F1685*tk_opex_gb200+Sens!F1686*tk_opex_gb300+(Sens!F1688+Sens!F1687)*tk_opex_vr200)/Sens!F1676</f>
        <v>1.95051159746876</v>
      </c>
      <c r="G1694" s="15" t="n">
        <f aca="false">(Sens!G1684*tk_opex_h100+Sens!G1685*tk_opex_gb200+Sens!G1686*tk_opex_gb300+(Sens!G1688+Sens!G1687)*tk_opex_vr200)/Sens!G1676</f>
        <v>1.98836003669956</v>
      </c>
      <c r="H1694" s="15" t="n">
        <f aca="false">(Sens!H1684*tk_opex_h100+Sens!H1685*tk_opex_gb200+Sens!H1686*tk_opex_gb300+(Sens!H1688+Sens!H1687)*tk_opex_vr200)/Sens!H1676</f>
        <v>2.01344013834343</v>
      </c>
      <c r="I1694" s="15" t="n">
        <f aca="false">(Sens!I1684*tk_opex_h100+Sens!I1685*tk_opex_gb200+Sens!I1686*tk_opex_gb300+(Sens!I1688+Sens!I1687)*tk_opex_vr200)/Sens!I1676</f>
        <v>2.03261166882178</v>
      </c>
      <c r="J1694" s="15" t="n">
        <f aca="false">(Sens!J1684*tk_opex_h100+Sens!J1685*tk_opex_gb200+Sens!J1686*tk_opex_gb300+(Sens!J1688+Sens!J1687)*tk_opex_vr200)/Sens!J1676</f>
        <v>2.04808073288745</v>
      </c>
      <c r="K1694" s="15" t="n">
        <f aca="false">(Sens!K1684*tk_opex_h100+Sens!K1685*tk_opex_gb200+Sens!K1686*tk_opex_gb300+(Sens!K1688+Sens!K1687)*tk_opex_vr200)/Sens!K1676</f>
        <v>2.06973825807449</v>
      </c>
      <c r="L1694" s="12" t="s">
        <v>979</v>
      </c>
    </row>
    <row r="1695" customFormat="false" ht="17.15" hidden="false" customHeight="false" outlineLevel="0" collapsed="false">
      <c r="A1695" s="0" t="s">
        <v>980</v>
      </c>
      <c r="B1695" s="0" t="s">
        <v>98</v>
      </c>
      <c r="D1695" s="6" t="n">
        <f aca="false">(Sens!C1679+Sens!D1679)/2*Sens!D1694/1000</f>
        <v>2.70378325872065</v>
      </c>
      <c r="E1695" s="6" t="n">
        <f aca="false">(Sens!D1679+Sens!E1679)/2*Sens!E1694/1000</f>
        <v>6.17783035277451</v>
      </c>
      <c r="F1695" s="6" t="n">
        <f aca="false">(Sens!E1679+Sens!F1679)/2*Sens!F1694/1000</f>
        <v>12.8742463089237</v>
      </c>
      <c r="G1695" s="6" t="n">
        <f aca="false">(Sens!F1679+Sens!G1679)/2*Sens!G1694/1000</f>
        <v>21.8182834646277</v>
      </c>
      <c r="H1695" s="6" t="n">
        <f aca="false">(Sens!G1679+Sens!H1679)/2*Sens!H1694/1000</f>
        <v>31.2430128789734</v>
      </c>
      <c r="I1695" s="6" t="n">
        <f aca="false">(Sens!H1679+Sens!I1679)/2*Sens!I1694/1000</f>
        <v>39.4313057443268</v>
      </c>
      <c r="J1695" s="6" t="n">
        <f aca="false">(Sens!I1679+Sens!J1679)/2*Sens!J1694/1000</f>
        <v>45.0360318228653</v>
      </c>
      <c r="K1695" s="6" t="n">
        <f aca="false">(Sens!J1679+Sens!K1679)/2*Sens!K1694/1000</f>
        <v>48.2929727091156</v>
      </c>
    </row>
    <row r="1696" customFormat="false" ht="17.15" hidden="false" customHeight="false" outlineLevel="0" collapsed="false">
      <c r="A1696" s="0" t="s">
        <v>981</v>
      </c>
      <c r="B1696" s="0" t="s">
        <v>98</v>
      </c>
      <c r="D1696" s="6" t="n">
        <f aca="false">(Sens!C1677+Sens!D1677)/2*rent_mw/1000</f>
        <v>2.44475</v>
      </c>
      <c r="E1696" s="6" t="n">
        <f aca="false">(Sens!D1677+Sens!E1677)/2*rent_mw/1000</f>
        <v>4.22275</v>
      </c>
      <c r="F1696" s="6" t="n">
        <f aca="false">(Sens!E1677+Sens!F1677)/2*rent_mw/1000</f>
        <v>5.80517</v>
      </c>
      <c r="G1696" s="6" t="n">
        <f aca="false">(Sens!F1677+Sens!G1677)/2*rent_mw/1000</f>
        <v>6.72084</v>
      </c>
      <c r="H1696" s="6" t="n">
        <f aca="false">(Sens!G1677+Sens!H1677)/2*rent_mw/1000</f>
        <v>6.72084</v>
      </c>
      <c r="I1696" s="6" t="n">
        <f aca="false">(Sens!H1677+Sens!I1677)/2*rent_mw/1000</f>
        <v>6.72084</v>
      </c>
      <c r="J1696" s="6" t="n">
        <f aca="false">(Sens!I1677+Sens!J1677)/2*rent_mw/1000</f>
        <v>6.72084</v>
      </c>
      <c r="K1696" s="6" t="n">
        <f aca="false">(Sens!J1677+Sens!K1677)/2*rent_mw/1000</f>
        <v>6.72084</v>
      </c>
    </row>
    <row r="1697" customFormat="false" ht="17.15" hidden="false" customHeight="false" outlineLevel="0" collapsed="false">
      <c r="A1697" s="0" t="s">
        <v>982</v>
      </c>
      <c r="B1697" s="0" t="s">
        <v>98</v>
      </c>
      <c r="D1697" s="6" t="n">
        <f aca="false">(Sens!C1679+Sens!D1679)/2*(1-self_build)*fac_rent/1000</f>
        <v>0.853242375631075</v>
      </c>
      <c r="E1697" s="6" t="n">
        <f aca="false">(Sens!D1679+Sens!E1679)/2*(1-self_build)*fac_rent/1000</f>
        <v>1.94955961408728</v>
      </c>
      <c r="F1697" s="6" t="n">
        <f aca="false">(Sens!E1679+Sens!F1679)/2*(1-self_build)*fac_rent/1000</f>
        <v>3.92914894476356</v>
      </c>
      <c r="G1697" s="6" t="n">
        <f aca="false">(Sens!F1679+Sens!G1679)/2*(1-self_build)*fac_rent/1000</f>
        <v>6.53206908578159</v>
      </c>
      <c r="H1697" s="6" t="n">
        <f aca="false">(Sens!G1679+Sens!H1679)/2*(1-self_build)*fac_rent/1000</f>
        <v>9.23717988341591</v>
      </c>
      <c r="I1697" s="6" t="n">
        <f aca="false">(Sens!H1679+Sens!I1679)/2*(1-self_build)*fac_rent/1000</f>
        <v>11.5481378557393</v>
      </c>
      <c r="J1697" s="6" t="n">
        <f aca="false">(Sens!I1679+Sens!J1679)/2*(1-self_build)*fac_rent/1000</f>
        <v>13.0899582289108</v>
      </c>
      <c r="K1697" s="6" t="n">
        <f aca="false">(Sens!J1679+Sens!K1679)/2*(1-self_build)*fac_rent/1000</f>
        <v>13.8897275626556</v>
      </c>
      <c r="L1697" s="12" t="s">
        <v>983</v>
      </c>
    </row>
    <row r="1698" customFormat="false" ht="17.15" hidden="false" customHeight="false" outlineLevel="0" collapsed="false">
      <c r="A1698" s="1" t="s">
        <v>984</v>
      </c>
      <c r="B1698" s="0" t="s">
        <v>168</v>
      </c>
      <c r="D1698" s="7" t="n">
        <f aca="false">(Sens!C1678+Sens!D1678)/(Sens!C1679+Sens!D1679)</f>
        <v>0.6</v>
      </c>
      <c r="E1698" s="7" t="n">
        <f aca="false">(Sens!D1678+Sens!E1678)/(Sens!D1679+Sens!E1679)</f>
        <v>0.6</v>
      </c>
      <c r="F1698" s="7" t="n">
        <f aca="false">(Sens!E1678+Sens!F1678)/(Sens!E1679+Sens!F1679)</f>
        <v>0.6</v>
      </c>
      <c r="G1698" s="7" t="n">
        <f aca="false">(Sens!F1678+Sens!G1678)/(Sens!F1679+Sens!G1679)</f>
        <v>0.6</v>
      </c>
      <c r="H1698" s="7" t="n">
        <f aca="false">(Sens!G1678+Sens!H1678)/(Sens!G1679+Sens!H1679)</f>
        <v>0.6</v>
      </c>
      <c r="I1698" s="7" t="n">
        <f aca="false">(Sens!H1678+Sens!I1678)/(Sens!H1679+Sens!I1679)</f>
        <v>0.6</v>
      </c>
      <c r="J1698" s="7" t="n">
        <f aca="false">(Sens!I1678+Sens!J1678)/(Sens!I1679+Sens!J1679)</f>
        <v>0.6</v>
      </c>
      <c r="K1698" s="7" t="n">
        <f aca="false">(Sens!J1678+Sens!K1678)/(Sens!J1679+Sens!K1679)</f>
        <v>0.6</v>
      </c>
    </row>
    <row r="1699" customFormat="false" ht="17.15" hidden="false" customHeight="false" outlineLevel="0" collapsed="false">
      <c r="A1699" s="0" t="s">
        <v>985</v>
      </c>
      <c r="B1699" s="0" t="s">
        <v>98</v>
      </c>
      <c r="D1699" s="6" t="n">
        <f aca="false">Sens!D1693-Sens!D1698*(Sens!D1695+Sens!D1697)-Sens!D1696</f>
        <v>8.35701406163072</v>
      </c>
      <c r="E1699" s="6" t="n">
        <f aca="false">Sens!E1693-Sens!E1698*(Sens!E1695+Sens!E1697)-Sens!E1696</f>
        <v>18.7103224860238</v>
      </c>
      <c r="F1699" s="6" t="n">
        <f aca="false">Sens!F1693-Sens!F1698*(Sens!F1695+Sens!F1697)-Sens!F1696</f>
        <v>42.7420116983035</v>
      </c>
      <c r="G1699" s="6" t="n">
        <f aca="false">Sens!G1693-Sens!G1698*(Sens!G1695+Sens!G1697)-Sens!G1696</f>
        <v>64.4647986114717</v>
      </c>
      <c r="H1699" s="6" t="n">
        <f aca="false">Sens!H1693-Sens!H1698*(Sens!H1695+Sens!H1697)-Sens!H1696</f>
        <v>81.0580129756756</v>
      </c>
      <c r="I1699" s="6" t="n">
        <f aca="false">Sens!I1693-Sens!I1698*(Sens!I1695+Sens!I1697)-Sens!I1696</f>
        <v>103.087456226908</v>
      </c>
      <c r="J1699" s="6" t="n">
        <f aca="false">Sens!J1693-Sens!J1698*(Sens!J1695+Sens!J1697)-Sens!J1696</f>
        <v>118.539985480459</v>
      </c>
      <c r="K1699" s="6" t="n">
        <f aca="false">Sens!K1693-Sens!K1698*(Sens!K1695+Sens!K1697)-Sens!K1696</f>
        <v>128.464731198865</v>
      </c>
    </row>
    <row r="1700" customFormat="false" ht="17.15" hidden="false" customHeight="false" outlineLevel="0" collapsed="false">
      <c r="A1700" s="1" t="s">
        <v>986</v>
      </c>
      <c r="B1700" s="0" t="s">
        <v>98</v>
      </c>
      <c r="D1700" s="6" t="n">
        <f aca="false">(1-Sens!D1698)*(Sens!D1695+Sens!D1697)</f>
        <v>1.42281025374069</v>
      </c>
      <c r="E1700" s="6" t="n">
        <f aca="false">(1-Sens!E1698)*(Sens!E1695+Sens!E1697)</f>
        <v>3.25095598674472</v>
      </c>
      <c r="F1700" s="6" t="n">
        <f aca="false">(1-Sens!F1698)*(Sens!F1695+Sens!F1697)</f>
        <v>6.72135810147489</v>
      </c>
      <c r="G1700" s="6" t="n">
        <f aca="false">(1-Sens!G1698)*(Sens!G1695+Sens!G1697)</f>
        <v>11.3401410201637</v>
      </c>
      <c r="H1700" s="6" t="n">
        <f aca="false">(1-Sens!H1698)*(Sens!H1695+Sens!H1697)</f>
        <v>16.1920771049557</v>
      </c>
      <c r="I1700" s="6" t="n">
        <f aca="false">(1-Sens!I1698)*(Sens!I1695+Sens!I1697)</f>
        <v>20.3917774400264</v>
      </c>
      <c r="J1700" s="6" t="n">
        <f aca="false">(1-Sens!J1698)*(Sens!J1695+Sens!J1697)</f>
        <v>23.2503960207104</v>
      </c>
      <c r="K1700" s="6" t="n">
        <f aca="false">(1-Sens!K1698)*(Sens!K1695+Sens!K1697)</f>
        <v>24.8730801087085</v>
      </c>
    </row>
    <row r="1701" customFormat="false" ht="17.15" hidden="false" customHeight="false" outlineLevel="0" collapsed="false">
      <c r="A1701" s="1" t="s">
        <v>987</v>
      </c>
      <c r="B1701" s="0" t="s">
        <v>414</v>
      </c>
      <c r="C1701" s="8" t="n">
        <f aca="false">cxit_open</f>
        <v>27.5918995</v>
      </c>
      <c r="D1701" s="8" t="n">
        <f aca="false">cxit_open</f>
        <v>27.5918995</v>
      </c>
      <c r="E1701" s="8" t="n">
        <f aca="false">cxit_open</f>
        <v>27.5918995</v>
      </c>
      <c r="F1701" s="8" t="n">
        <f aca="false">((a_g3_27-nonnv*a_mai)*tk_cxit_gb300+nonnv*a_mai*nv_hold_mai*tk_cxit_vr200+(1-a_g3_27)*tk_cxit_vr200)</f>
        <v>32.4975576</v>
      </c>
      <c r="G1701" s="8" t="n">
        <f aca="false">((a_g3_28-nonnv*a_mai)*tk_cxit_gb300+nonnv*a_mai*nv_hold_mai*tk_cxit_vr200+(1-a_g3_28)*tk_cxit_vr200)</f>
        <v>34.6372088</v>
      </c>
      <c r="H1701" s="8" t="n">
        <f aca="false">((a_g3_29-nonnv*a_mai)*tk_cxit_gb300+nonnv*a_mai*nv_hold_mai*tk_cxit_vr200+(1-a_g3_29)*tk_cxit_vr200)</f>
        <v>35.7070344</v>
      </c>
      <c r="I1701" s="8" t="n">
        <f aca="false">((a_g3_29-nonnv*a_mai)*tk_cxit_gb300+nonnv*a_mai*nv_hold_mai*tk_cxit_vr200+(1-a_g3_29)*tk_cxit_vr200)</f>
        <v>35.7070344</v>
      </c>
      <c r="J1701" s="8" t="n">
        <f aca="false">((a_g3_29-nonnv*a_mai)*tk_cxit_gb300+nonnv*a_mai*nv_hold_mai*tk_cxit_vr200+(1-a_g3_29)*tk_cxit_vr200)</f>
        <v>35.7070344</v>
      </c>
      <c r="K1701" s="8" t="n">
        <f aca="false">((a_g3_29-nonnv*a_mai)*tk_cxit_gb300+nonnv*a_mai*nv_hold_mai*tk_cxit_vr200+(1-a_g3_29)*tk_cxit_vr200)</f>
        <v>35.7070344</v>
      </c>
      <c r="L1701" s="12" t="s">
        <v>988</v>
      </c>
    </row>
    <row r="1702" customFormat="false" ht="17.15" hidden="false" customHeight="false" outlineLevel="0" collapsed="false">
      <c r="A1702" s="0" t="s">
        <v>989</v>
      </c>
      <c r="B1702" s="0" t="s">
        <v>456</v>
      </c>
      <c r="F1702" s="30" t="n">
        <f aca="false">Sens!C1681*IF(Sens!F1674-Sens!C1674=life_it,1,0)+Sens!D1681*IF(Sens!F1674-Sens!D1674=life_it,1,0)+Sens!E1681*IF(Sens!F1674-Sens!E1674=life_it,1,0)</f>
        <v>0</v>
      </c>
      <c r="G1702" s="30" t="n">
        <f aca="false">Sens!C1681*IF(Sens!G1674-Sens!C1674=life_it,1,0)+Sens!D1681*IF(Sens!G1674-Sens!D1674=life_it,1,0)+Sens!E1681*IF(Sens!G1674-Sens!E1674=life_it,1,0)+Sens!F1681*IF(Sens!G1674-Sens!F1674=life_it,1,0)</f>
        <v>0</v>
      </c>
      <c r="H1702" s="30" t="n">
        <f aca="false">Sens!C1681*IF(Sens!H1674-Sens!C1674=life_it,1,0)+Sens!D1681*IF(Sens!H1674-Sens!D1674=life_it,1,0)+Sens!E1681*IF(Sens!H1674-Sens!E1674=life_it,1,0)+Sens!F1681*IF(Sens!H1674-Sens!F1674=life_it,1,0)+Sens!G1681*IF(Sens!H1674-Sens!G1674=life_it,1,0)</f>
        <v>0</v>
      </c>
      <c r="I1702" s="30" t="n">
        <f aca="false">Sens!C1681*IF(Sens!I1674-Sens!C1674=life_it,1,0)+Sens!D1681*IF(Sens!I1674-Sens!D1674=life_it,1,0)+Sens!E1681*IF(Sens!I1674-Sens!E1674=life_it,1,0)+Sens!F1681*IF(Sens!I1674-Sens!F1674=life_it,1,0)+Sens!G1681*IF(Sens!I1674-Sens!G1674=life_it,1,0)+Sens!H1681*IF(Sens!I1674-Sens!H1674=life_it,1,0)</f>
        <v>816.666666666667</v>
      </c>
      <c r="J1702" s="30" t="n">
        <f aca="false">Sens!C1681*IF(Sens!J1674-Sens!C1674=life_it,1,0)+Sens!D1681*IF(Sens!J1674-Sens!D1674=life_it,1,0)+Sens!E1681*IF(Sens!J1674-Sens!E1674=life_it,1,0)+Sens!F1681*IF(Sens!J1674-Sens!F1674=life_it,1,0)+Sens!G1681*IF(Sens!J1674-Sens!G1674=life_it,1,0)+Sens!H1681*IF(Sens!J1674-Sens!H1674=life_it,1,0)+Sens!I1681*IF(Sens!J1674-Sens!I1674=life_it,1,0)</f>
        <v>1233.33333333333</v>
      </c>
      <c r="K1702" s="30" t="n">
        <f aca="false">Sens!C1681*IF(Sens!K1674-Sens!C1674=life_it,1,0)+Sens!D1681*IF(Sens!K1674-Sens!D1674=life_it,1,0)+Sens!E1681*IF(Sens!K1674-Sens!E1674=life_it,1,0)+Sens!F1681*IF(Sens!K1674-Sens!F1674=life_it,1,0)+Sens!G1681*IF(Sens!K1674-Sens!G1674=life_it,1,0)+Sens!H1681*IF(Sens!K1674-Sens!H1674=life_it,1,0)+Sens!I1681*IF(Sens!K1674-Sens!I1674=life_it,1,0)+Sens!J1681*IF(Sens!K1674-Sens!J1674=life_it,1,0)</f>
        <v>2450</v>
      </c>
      <c r="L1702" s="1" t="s">
        <v>990</v>
      </c>
    </row>
    <row r="1703" customFormat="false" ht="17.15" hidden="false" customHeight="false" outlineLevel="0" collapsed="false">
      <c r="A1703" s="0" t="s">
        <v>991</v>
      </c>
      <c r="B1703" s="0" t="s">
        <v>98</v>
      </c>
      <c r="C1703" s="6" t="n">
        <f aca="false">Sens!C1681*Sens!C1701/1000</f>
        <v>22.5333845916667</v>
      </c>
      <c r="D1703" s="6" t="n">
        <f aca="false">Sens!D1681*Sens!D1701/1000</f>
        <v>34.0300093833333</v>
      </c>
      <c r="E1703" s="6" t="n">
        <f aca="false">Sens!E1681*Sens!E1701/1000</f>
        <v>67.600153775</v>
      </c>
      <c r="F1703" s="6" t="n">
        <f aca="false">(Sens!F1681+Sens!F1702)*Sens!F1701/1000</f>
        <v>136.51872432512</v>
      </c>
      <c r="G1703" s="6" t="n">
        <f aca="false">(Sens!G1681+Sens!G1702)*Sens!G1701/1000</f>
        <v>157.399275932048</v>
      </c>
      <c r="H1703" s="6" t="n">
        <f aca="false">(Sens!H1681+Sens!H1702)*Sens!H1701/1000</f>
        <v>162.260804347512</v>
      </c>
      <c r="I1703" s="6" t="n">
        <f aca="false">(Sens!I1681+Sens!I1702)*Sens!I1701/1000</f>
        <v>144.136569485434</v>
      </c>
      <c r="J1703" s="6" t="n">
        <f aca="false">(Sens!J1681+Sens!J1702)*Sens!J1701/1000</f>
        <v>114.029037357864</v>
      </c>
      <c r="K1703" s="6" t="n">
        <f aca="false">(Sens!K1681+Sens!K1702)*Sens!K1701/1000</f>
        <v>113.437085350975</v>
      </c>
    </row>
    <row r="1704" customFormat="false" ht="17.15" hidden="false" customHeight="false" outlineLevel="0" collapsed="false">
      <c r="A1704" s="0" t="s">
        <v>992</v>
      </c>
      <c r="B1704" s="0" t="s">
        <v>98</v>
      </c>
      <c r="C1704" s="6" t="n">
        <f aca="false">Sens!C1681*self_build*tk_cxfac/1000</f>
        <v>6.2083</v>
      </c>
      <c r="D1704" s="6" t="n">
        <f aca="false">Sens!D1681*self_build*tk_cxfac/1000</f>
        <v>9.3758</v>
      </c>
      <c r="E1704" s="6" t="n">
        <f aca="false">Sens!E1681*self_build*tk_cxfac/1000</f>
        <v>18.6249</v>
      </c>
      <c r="F1704" s="6" t="n">
        <f aca="false">Sens!F1681*self_build*tk_cxfac/1000</f>
        <v>31.935179717</v>
      </c>
      <c r="G1704" s="6" t="n">
        <f aca="false">Sens!G1681*self_build*tk_cxfac/1000</f>
        <v>34.545199717</v>
      </c>
      <c r="H1704" s="6" t="n">
        <f aca="false">Sens!H1681*self_build*tk_cxfac/1000</f>
        <v>34.545199717</v>
      </c>
      <c r="I1704" s="6" t="n">
        <f aca="false">Sens!I1681*self_build*tk_cxfac/1000</f>
        <v>24.4782641361767</v>
      </c>
      <c r="J1704" s="6" t="n">
        <f aca="false">Sens!J1681*self_build*tk_cxfac/1000</f>
        <v>14.9008938380769</v>
      </c>
      <c r="K1704" s="6" t="n">
        <f aca="false">Sens!K1681*self_build*tk_cxfac/1000</f>
        <v>5.52576771375761</v>
      </c>
    </row>
    <row r="1705" customFormat="false" ht="17.15" hidden="false" customHeight="false" outlineLevel="0" collapsed="false">
      <c r="A1705" s="0" t="s">
        <v>993</v>
      </c>
      <c r="B1705" s="0" t="s">
        <v>98</v>
      </c>
      <c r="F1705" s="15" t="n">
        <f aca="false">capex_floor27-Sens!F1703-Sens!F1704-Sens!F1801</f>
        <v>0.255882057667392</v>
      </c>
      <c r="L1705" s="12" t="s">
        <v>994</v>
      </c>
    </row>
    <row r="1706" customFormat="false" ht="17.15" hidden="false" customHeight="false" outlineLevel="0" collapsed="false">
      <c r="A1706" s="0" t="s">
        <v>995</v>
      </c>
      <c r="B1706" s="0" t="s">
        <v>98</v>
      </c>
      <c r="F1706" s="6" t="n">
        <f aca="false">MAX(0,Sens!F1705)</f>
        <v>0.255882057667392</v>
      </c>
    </row>
    <row r="1707" customFormat="false" ht="17.15" hidden="false" customHeight="false" outlineLevel="0" collapsed="false">
      <c r="A1707" s="0" t="s">
        <v>996</v>
      </c>
      <c r="B1707" s="0" t="s">
        <v>98</v>
      </c>
      <c r="C1707" s="6" t="n">
        <f aca="false">Sens!C1703</f>
        <v>22.5333845916667</v>
      </c>
      <c r="D1707" s="6" t="n">
        <f aca="false">Sens!D1703</f>
        <v>34.0300093833333</v>
      </c>
      <c r="E1707" s="6" t="n">
        <f aca="false">Sens!E1703</f>
        <v>67.600153775</v>
      </c>
      <c r="F1707" s="6" t="n">
        <f aca="false">Sens!F1703</f>
        <v>136.51872432512</v>
      </c>
      <c r="G1707" s="6" t="n">
        <f aca="false">Sens!G1703</f>
        <v>157.399275932048</v>
      </c>
      <c r="H1707" s="6" t="n">
        <f aca="false">Sens!H1703</f>
        <v>162.260804347512</v>
      </c>
      <c r="I1707" s="6" t="n">
        <f aca="false">Sens!I1703</f>
        <v>144.136569485434</v>
      </c>
      <c r="J1707" s="6" t="n">
        <f aca="false">Sens!J1703</f>
        <v>114.029037357864</v>
      </c>
      <c r="K1707" s="6" t="n">
        <f aca="false">Sens!K1703</f>
        <v>113.437085350975</v>
      </c>
    </row>
    <row r="1708" customFormat="false" ht="17.15" hidden="false" customHeight="false" outlineLevel="0" collapsed="false">
      <c r="A1708" s="0" t="s">
        <v>997</v>
      </c>
      <c r="B1708" s="0" t="s">
        <v>98</v>
      </c>
      <c r="C1708" s="6" t="n">
        <f aca="false">Sens!C1707+Sens!C1704</f>
        <v>28.7416845916667</v>
      </c>
      <c r="D1708" s="6" t="n">
        <f aca="false">Sens!D1707+Sens!D1704</f>
        <v>43.4058093833333</v>
      </c>
      <c r="E1708" s="6" t="n">
        <f aca="false">Sens!E1707+Sens!E1704</f>
        <v>86.225053775</v>
      </c>
      <c r="F1708" s="6" t="n">
        <f aca="false">Sens!F1707+Sens!F1704</f>
        <v>168.45390404212</v>
      </c>
      <c r="G1708" s="6" t="n">
        <f aca="false">Sens!G1707+Sens!G1704</f>
        <v>191.944475649048</v>
      </c>
      <c r="H1708" s="6" t="n">
        <f aca="false">Sens!H1707+Sens!H1704</f>
        <v>196.806004064512</v>
      </c>
      <c r="I1708" s="6" t="n">
        <f aca="false">Sens!I1707+Sens!I1704</f>
        <v>168.61483362161</v>
      </c>
      <c r="J1708" s="6" t="n">
        <f aca="false">Sens!J1707+Sens!J1704</f>
        <v>128.92993119594</v>
      </c>
      <c r="K1708" s="6" t="n">
        <f aca="false">Sens!K1707+Sens!K1704</f>
        <v>118.962853064733</v>
      </c>
      <c r="L1708" s="12" t="s">
        <v>998</v>
      </c>
    </row>
    <row r="1709" customFormat="false" ht="17.15" hidden="false" customHeight="false" outlineLevel="0" collapsed="false">
      <c r="A1709" s="0" t="s">
        <v>999</v>
      </c>
      <c r="B1709" s="0" t="s">
        <v>98</v>
      </c>
      <c r="E1709" s="6" t="n">
        <f aca="false">(Sens!C1707*IF(2&lt;life_it,1,IF(2=life_it,0.5,0))+Sens!D1707*IF(1&lt;life_it,1,IF(1=life_it,0.5,0))+Sens!E1707*0.5)/life_it</f>
        <v>15.0605784770833</v>
      </c>
      <c r="F1709" s="6" t="n">
        <f aca="false">(Sens!C1707*IF(3&lt;life_it,1,IF(3=life_it,0.5,0))+Sens!D1707*IF(2&lt;life_it,1,IF(2=life_it,0.5,0))+Sens!E1707*IF(1&lt;life_it,1,IF(1=life_it,0.5,0))+Sens!F1707*0.5)/life_it</f>
        <v>32.0704849854266</v>
      </c>
      <c r="G1709" s="6" t="n">
        <f aca="false">(Sens!C1707*IF(4&lt;life_it,1,IF(4=life_it,0.5,0))+Sens!D1707*IF(3&lt;life_it,1,IF(3=life_it,0.5,0))+Sens!E1707*IF(2&lt;life_it,1,IF(2=life_it,0.5,0))+Sens!F1707*IF(1&lt;life_it,1,IF(1=life_it,0.5,0))+Sens!G1707*0.5)/life_it</f>
        <v>56.5636516735239</v>
      </c>
      <c r="H1709" s="6" t="n">
        <f aca="false">(Sens!C1707*IF(5&lt;life_it,1,IF(5=life_it,0.5,0))+Sens!D1707*IF(4&lt;life_it,1,IF(4=life_it,0.5,0))+Sens!E1707*IF(3&lt;life_it,1,IF(3=life_it,0.5,0))+Sens!F1707*IF(2&lt;life_it,1,IF(2=life_it,0.5,0))+Sens!G1707*IF(1&lt;life_it,1,IF(1=life_it,0.5,0))+Sens!H1707*0.5)/life_it</f>
        <v>83.2019916968207</v>
      </c>
      <c r="I1709" s="6" t="n">
        <f aca="false">(Sens!C1707*IF(6&lt;life_it,1,IF(6=life_it,0.5,0))+Sens!D1707*IF(5&lt;life_it,1,IF(5=life_it,0.5,0))+Sens!E1707*IF(4&lt;life_it,1,IF(4=life_it,0.5,0))+Sens!F1707*IF(3&lt;life_it,1,IF(3=life_it,0.5,0))+Sens!G1707*IF(2&lt;life_it,1,IF(2=life_it,0.5,0))+Sens!H1707*IF(1&lt;life_it,1,IF(1=life_it,0.5,0))+Sens!I1707*0.5)/life_it</f>
        <v>106.857324133594</v>
      </c>
      <c r="J1709" s="6" t="n">
        <f aca="false">(Sens!C1707*IF(7&lt;life_it,1,IF(7=life_it,0.5,0))+Sens!D1707*IF(6&lt;life_it,1,IF(6=life_it,0.5,0))+Sens!E1707*IF(5&lt;life_it,1,IF(5=life_it,0.5,0))+Sens!F1707*IF(4&lt;life_it,1,IF(4=life_it,0.5,0))+Sens!G1707*IF(3&lt;life_it,1,IF(3=life_it,0.5,0))+Sens!H1707*IF(2&lt;life_it,1,IF(2=life_it,0.5,0))+Sens!I1707*IF(1&lt;life_it,1,IF(1=life_it,0.5,0))+Sens!J1707*0.5)/life_it</f>
        <v>123.657508539285</v>
      </c>
      <c r="K1709" s="6" t="n">
        <f aca="false">(Sens!C1707*IF(8&lt;life_it,1,IF(8=life_it,0.5,0))+Sens!D1707*IF(7&lt;life_it,1,IF(7=life_it,0.5,0))+Sens!E1707*IF(6&lt;life_it,1,IF(6=life_it,0.5,0))+Sens!F1707*IF(5&lt;life_it,1,IF(5=life_it,0.5,0))+Sens!G1707*IF(4&lt;life_it,1,IF(4=life_it,0.5,0))+Sens!H1707*IF(3&lt;life_it,1,IF(3=life_it,0.5,0))+Sens!I1707*IF(2&lt;life_it,1,IF(2=life_it,0.5,0))+Sens!J1707*IF(1&lt;life_it,1,IF(1=life_it,0.5,0))+Sens!K1707*0.5)/life_it</f>
        <v>134.143838501827</v>
      </c>
    </row>
    <row r="1710" customFormat="false" ht="17.15" hidden="false" customHeight="false" outlineLevel="0" collapsed="false">
      <c r="A1710" s="0" t="s">
        <v>1000</v>
      </c>
      <c r="B1710" s="0" t="s">
        <v>98</v>
      </c>
      <c r="E1710" s="6" t="n">
        <f aca="false">(Sens!C1704*IF(2&lt;life_fac,1,IF(2=life_fac,0.5,0))+Sens!D1704*IF(1&lt;life_fac,1,IF(1=life_fac,0.5,0))+Sens!E1704*0.5)/life_fac</f>
        <v>1.2448275</v>
      </c>
      <c r="F1710" s="6" t="n">
        <f aca="false">(Sens!C1704*IF(3&lt;life_fac,1,IF(3=life_fac,0.5,0))+Sens!D1704*IF(2&lt;life_fac,1,IF(2=life_fac,0.5,0))+Sens!E1704*IF(1&lt;life_fac,1,IF(1=life_fac,0.5,0))+Sens!F1704*0.5)/life_fac</f>
        <v>2.508829492925</v>
      </c>
      <c r="G1710" s="6" t="n">
        <f aca="false">(Sens!C1704*IF(4&lt;life_fac,1,IF(4=life_fac,0.5,0))+Sens!D1704*IF(3&lt;life_fac,1,IF(3=life_fac,0.5,0))+Sens!E1704*IF(2&lt;life_fac,1,IF(2=life_fac,0.5,0))+Sens!F1704*IF(1&lt;life_fac,1,IF(1=life_fac,0.5,0))+Sens!G1704*0.5)/life_fac</f>
        <v>4.170838978775</v>
      </c>
      <c r="H1710" s="6" t="n">
        <f aca="false">(Sens!C1704*IF(5&lt;life_fac,1,IF(5=life_fac,0.5,0))+Sens!D1704*IF(4&lt;life_fac,1,IF(4=life_fac,0.5,0))+Sens!E1704*IF(3&lt;life_fac,1,IF(3=life_fac,0.5,0))+Sens!F1704*IF(2&lt;life_fac,1,IF(2=life_fac,0.5,0))+Sens!G1704*IF(1&lt;life_fac,1,IF(1=life_fac,0.5,0))+Sens!H1704*0.5)/life_fac</f>
        <v>5.898098964625</v>
      </c>
      <c r="I1710" s="6" t="n">
        <f aca="false">(Sens!C1704*IF(6&lt;life_fac,1,IF(6=life_fac,0.5,0))+Sens!D1704*IF(5&lt;life_fac,1,IF(5=life_fac,0.5,0))+Sens!E1704*IF(4&lt;life_fac,1,IF(4=life_fac,0.5,0))+Sens!F1704*IF(3&lt;life_fac,1,IF(3=life_fac,0.5,0))+Sens!G1704*IF(2&lt;life_fac,1,IF(2=life_fac,0.5,0))+Sens!H1704*IF(1&lt;life_fac,1,IF(1=life_fac,0.5,0))+Sens!I1704*0.5)/life_fac</f>
        <v>7.37368556095442</v>
      </c>
      <c r="J1710" s="6" t="n">
        <f aca="false">(Sens!C1704*IF(7&lt;life_fac,1,IF(7=life_fac,0.5,0))+Sens!D1704*IF(6&lt;life_fac,1,IF(6=life_fac,0.5,0))+Sens!E1704*IF(5&lt;life_fac,1,IF(5=life_fac,0.5,0))+Sens!F1704*IF(4&lt;life_fac,1,IF(4=life_fac,0.5,0))+Sens!G1704*IF(3&lt;life_fac,1,IF(3=life_fac,0.5,0))+Sens!H1704*IF(2&lt;life_fac,1,IF(2=life_fac,0.5,0))+Sens!I1704*IF(1&lt;life_fac,1,IF(1=life_fac,0.5,0))+Sens!J1704*0.5)/life_fac</f>
        <v>8.35816451031075</v>
      </c>
      <c r="K1710" s="6" t="n">
        <f aca="false">(Sens!C1704*IF(8&lt;life_fac,1,IF(8=life_fac,0.5,0))+Sens!D1704*IF(7&lt;life_fac,1,IF(7=life_fac,0.5,0))+Sens!E1704*IF(6&lt;life_fac,1,IF(6=life_fac,0.5,0))+Sens!F1704*IF(5&lt;life_fac,1,IF(5=life_fac,0.5,0))+Sens!G1704*IF(4&lt;life_fac,1,IF(4=life_fac,0.5,0))+Sens!H1704*IF(3&lt;life_fac,1,IF(3=life_fac,0.5,0))+Sens!I1704*IF(2&lt;life_fac,1,IF(2=life_fac,0.5,0))+Sens!J1704*IF(1&lt;life_fac,1,IF(1=life_fac,0.5,0))+Sens!K1704*0.5)/life_fac</f>
        <v>8.86883104910662</v>
      </c>
    </row>
    <row r="1711" customFormat="false" ht="17.15" hidden="false" customHeight="false" outlineLevel="0" collapsed="false">
      <c r="A1711" s="0" t="s">
        <v>1001</v>
      </c>
      <c r="B1711" s="0" t="s">
        <v>98</v>
      </c>
      <c r="E1711" s="6" t="n">
        <f aca="false">Sens!E1709+Sens!E1710</f>
        <v>16.3054059770833</v>
      </c>
      <c r="F1711" s="6" t="n">
        <f aca="false">Sens!F1709+Sens!F1710</f>
        <v>34.5793144783516</v>
      </c>
      <c r="G1711" s="6" t="n">
        <f aca="false">Sens!G1709+Sens!G1710</f>
        <v>60.7344906522989</v>
      </c>
      <c r="H1711" s="6" t="n">
        <f aca="false">Sens!H1709+Sens!H1710</f>
        <v>89.1000906614457</v>
      </c>
      <c r="I1711" s="6" t="n">
        <f aca="false">Sens!I1709+Sens!I1710</f>
        <v>114.231009694548</v>
      </c>
      <c r="J1711" s="6" t="n">
        <f aca="false">Sens!J1709+Sens!J1710</f>
        <v>132.015673049596</v>
      </c>
      <c r="K1711" s="6" t="n">
        <f aca="false">Sens!K1709+Sens!K1710</f>
        <v>143.012669550934</v>
      </c>
    </row>
    <row r="1712" customFormat="false" ht="17.15" hidden="false" customHeight="false" outlineLevel="0" collapsed="false">
      <c r="A1712" s="0" t="s">
        <v>1002</v>
      </c>
      <c r="B1712" s="0" t="s">
        <v>98</v>
      </c>
      <c r="E1712" s="6" t="n">
        <f aca="false">Sens!E1699-Sens!E1698*Sens!E1711</f>
        <v>8.92707889977379</v>
      </c>
      <c r="F1712" s="6" t="n">
        <f aca="false">Sens!F1699-Sens!F1698*Sens!F1711</f>
        <v>21.9944230112925</v>
      </c>
      <c r="G1712" s="6" t="n">
        <f aca="false">Sens!G1699-Sens!G1698*Sens!G1711</f>
        <v>28.0241042200923</v>
      </c>
      <c r="H1712" s="6" t="n">
        <f aca="false">Sens!H1699-Sens!H1698*Sens!H1711</f>
        <v>27.5979585788082</v>
      </c>
      <c r="I1712" s="6" t="n">
        <f aca="false">Sens!I1699-Sens!I1698*Sens!I1711</f>
        <v>34.5488504101791</v>
      </c>
      <c r="J1712" s="6" t="n">
        <f aca="false">Sens!J1699-Sens!J1698*Sens!J1711</f>
        <v>39.3305816507011</v>
      </c>
      <c r="K1712" s="6" t="n">
        <f aca="false">Sens!K1699-Sens!K1698*Sens!K1711</f>
        <v>42.6571294683044</v>
      </c>
    </row>
    <row r="1713" customFormat="false" ht="17.15" hidden="false" customHeight="false" outlineLevel="0" collapsed="false">
      <c r="A1713" s="3" t="s">
        <v>1521</v>
      </c>
    </row>
    <row r="1714" customFormat="false" ht="15" hidden="false" customHeight="false" outlineLevel="0" collapsed="false">
      <c r="A1714" s="4" t="s">
        <v>43</v>
      </c>
      <c r="B1714" s="4" t="s">
        <v>65</v>
      </c>
      <c r="C1714" s="23" t="s">
        <v>938</v>
      </c>
      <c r="D1714" s="23" t="s">
        <v>939</v>
      </c>
      <c r="E1714" s="23" t="s">
        <v>940</v>
      </c>
      <c r="F1714" s="23" t="s">
        <v>941</v>
      </c>
      <c r="G1714" s="23" t="s">
        <v>942</v>
      </c>
      <c r="H1714" s="23" t="s">
        <v>943</v>
      </c>
      <c r="I1714" s="23" t="s">
        <v>944</v>
      </c>
      <c r="J1714" s="23" t="s">
        <v>945</v>
      </c>
      <c r="K1714" s="23" t="s">
        <v>946</v>
      </c>
      <c r="L1714" s="4" t="s">
        <v>47</v>
      </c>
    </row>
    <row r="1715" customFormat="false" ht="17.15" hidden="false" customHeight="false" outlineLevel="0" collapsed="false">
      <c r="A1715" s="0" t="s">
        <v>1021</v>
      </c>
      <c r="B1715" s="0" t="s">
        <v>98</v>
      </c>
      <c r="D1715" s="6" t="n">
        <f aca="false">Sens!D1693</f>
        <v>12.9359794422418</v>
      </c>
      <c r="E1715" s="6" t="n">
        <f aca="false">Sens!E1693</f>
        <v>27.8095064661409</v>
      </c>
      <c r="F1715" s="6" t="n">
        <f aca="false">Sens!F1693</f>
        <v>58.6292188505159</v>
      </c>
      <c r="G1715" s="6" t="n">
        <f aca="false">Sens!G1693</f>
        <v>88.1958501417173</v>
      </c>
      <c r="H1715" s="6" t="n">
        <f aca="false">Sens!H1693</f>
        <v>112.066968633109</v>
      </c>
      <c r="I1715" s="6" t="n">
        <f aca="false">Sens!I1693</f>
        <v>140.395962386948</v>
      </c>
      <c r="J1715" s="6" t="n">
        <f aca="false">Sens!J1693</f>
        <v>160.136419511524</v>
      </c>
      <c r="K1715" s="6" t="n">
        <f aca="false">Sens!K1693</f>
        <v>172.495191361928</v>
      </c>
    </row>
    <row r="1716" customFormat="false" ht="17.15" hidden="false" customHeight="false" outlineLevel="0" collapsed="false">
      <c r="A1716" s="0" t="s">
        <v>1022</v>
      </c>
      <c r="B1716" s="0" t="s">
        <v>98</v>
      </c>
      <c r="D1716" s="6" t="n">
        <f aca="false">Q!L6-Sens!D1715</f>
        <v>59.6740205577583</v>
      </c>
      <c r="E1716" s="6" t="n">
        <f aca="false">Q!M6-Sens!E1715</f>
        <v>74.1284935338591</v>
      </c>
      <c r="F1716" s="6" t="n">
        <f aca="false">Q!$I$6+(Sens!F1715+Sens!E1716*(1+Sens!F1717))*(1-Q!$E$6/Q!M6)-Sens!F1715</f>
        <v>90.5907282530214</v>
      </c>
      <c r="G1716" s="6" t="n">
        <f aca="false">Sens!F1716*(1+Sens!G1717)</f>
        <v>107.635306316339</v>
      </c>
      <c r="H1716" s="6" t="n">
        <f aca="false">Sens!G1716*(1+Sens!H1717)</f>
        <v>124.976639493057</v>
      </c>
      <c r="I1716" s="6" t="n">
        <f aca="false">Sens!H1716*(1+Sens!I1717)</f>
        <v>141.732835901781</v>
      </c>
      <c r="J1716" s="6" t="n">
        <f aca="false">Sens!I1716*(1+Sens!J1717)</f>
        <v>156.90353793963</v>
      </c>
      <c r="K1716" s="6" t="n">
        <f aca="false">Sens!J1716*(1+Sens!K1717)</f>
        <v>169.4558209748</v>
      </c>
      <c r="L1716" s="12" t="s">
        <v>1023</v>
      </c>
    </row>
    <row r="1717" customFormat="false" ht="15" hidden="false" customHeight="false" outlineLevel="0" collapsed="false">
      <c r="A1717" s="1" t="s">
        <v>1024</v>
      </c>
      <c r="B1717" s="0" t="s">
        <v>168</v>
      </c>
      <c r="E1717" s="7" t="n">
        <f aca="false">Sens!E1716/Sens!D1716-1</f>
        <v>0.242223883039864</v>
      </c>
      <c r="F1717" s="7" t="n">
        <f aca="false">Sens!$E$1717+(glt_azo-Sens!$E$1717)*MIN(1,(Sens!F1674-base_fy)/n_conv)</f>
        <v>0.215186569199887</v>
      </c>
      <c r="G1717" s="7" t="n">
        <f aca="false">Sens!$E$1717+(glt_azo-Sens!$E$1717)*MIN(1,(Sens!G1674-base_fy)/n_conv)</f>
        <v>0.18814925535991</v>
      </c>
      <c r="H1717" s="7" t="n">
        <f aca="false">Sens!$E$1717+(glt_azo-Sens!$E$1717)*MIN(1,(Sens!H1674-base_fy)/n_conv)</f>
        <v>0.161111941519932</v>
      </c>
      <c r="I1717" s="7" t="n">
        <f aca="false">Sens!$E$1717+(glt_azo-Sens!$E$1717)*MIN(1,(Sens!I1674-base_fy)/n_conv)</f>
        <v>0.134074627679955</v>
      </c>
      <c r="J1717" s="7" t="n">
        <f aca="false">Sens!$E$1717+(glt_azo-Sens!$E$1717)*MIN(1,(Sens!J1674-base_fy)/n_conv)</f>
        <v>0.107037313839977</v>
      </c>
      <c r="K1717" s="7" t="n">
        <f aca="false">Sens!$E$1717+(glt_azo-Sens!$E$1717)*MIN(1,(Sens!K1674-base_fy)/n_conv)</f>
        <v>0.08</v>
      </c>
    </row>
    <row r="1718" customFormat="false" ht="15" hidden="false" customHeight="false" outlineLevel="0" collapsed="false">
      <c r="A1718" s="0" t="s">
        <v>1025</v>
      </c>
      <c r="B1718" s="0" t="s">
        <v>98</v>
      </c>
      <c r="D1718" s="6" t="n">
        <f aca="false">Sens!D1715+Sens!D1716</f>
        <v>72.61</v>
      </c>
      <c r="E1718" s="6" t="n">
        <f aca="false">Sens!E1715+Sens!E1716</f>
        <v>101.938</v>
      </c>
      <c r="F1718" s="6" t="n">
        <f aca="false">Sens!F1715+Sens!F1716</f>
        <v>149.219947103537</v>
      </c>
      <c r="G1718" s="6" t="n">
        <f aca="false">Sens!G1715+Sens!G1716</f>
        <v>195.831156458057</v>
      </c>
      <c r="H1718" s="6" t="n">
        <f aca="false">Sens!H1715+Sens!H1716</f>
        <v>237.043608126167</v>
      </c>
      <c r="I1718" s="6" t="n">
        <f aca="false">Sens!I1715+Sens!I1716</f>
        <v>282.128798288729</v>
      </c>
      <c r="J1718" s="6" t="n">
        <f aca="false">Sens!J1715+Sens!J1716</f>
        <v>317.039957451154</v>
      </c>
      <c r="K1718" s="6" t="n">
        <f aca="false">Sens!K1715+Sens!K1716</f>
        <v>341.951012336728</v>
      </c>
    </row>
    <row r="1719" customFormat="false" ht="17.15" hidden="false" customHeight="false" outlineLevel="0" collapsed="false">
      <c r="A1719" s="0" t="s">
        <v>1026</v>
      </c>
      <c r="B1719" s="1" t="s">
        <v>610</v>
      </c>
      <c r="C1719" s="30" t="n">
        <f aca="false">cop_s24</f>
        <v>1</v>
      </c>
      <c r="D1719" s="30" t="n">
        <f aca="false">cop_s25</f>
        <v>5</v>
      </c>
      <c r="E1719" s="30" t="n">
        <f aca="false">cop_s26</f>
        <v>30</v>
      </c>
      <c r="F1719" s="30" t="n">
        <f aca="false">Sens!E1719+cop_add_C</f>
        <v>40</v>
      </c>
      <c r="G1719" s="30" t="n">
        <f aca="false">Sens!F1719+cop_add_C</f>
        <v>50</v>
      </c>
      <c r="H1719" s="30" t="n">
        <f aca="false">Sens!G1719+cop_add_C</f>
        <v>60</v>
      </c>
      <c r="I1719" s="30" t="n">
        <f aca="false">Sens!H1719+cop_add_C*cop_tail</f>
        <v>65</v>
      </c>
      <c r="J1719" s="30" t="n">
        <f aca="false">Sens!I1719+cop_add_C*cop_tail</f>
        <v>70</v>
      </c>
      <c r="K1719" s="30" t="n">
        <f aca="false">Sens!J1719+cop_add_C*cop_tail</f>
        <v>75</v>
      </c>
      <c r="L1719" s="12" t="s">
        <v>1027</v>
      </c>
    </row>
    <row r="1720" customFormat="false" ht="17.15" hidden="false" customHeight="false" outlineLevel="0" collapsed="false">
      <c r="A1720" s="0" t="s">
        <v>1028</v>
      </c>
      <c r="B1720" s="0" t="s">
        <v>98</v>
      </c>
      <c r="D1720" s="6" t="n">
        <f aca="false">(Sens!C1719+Sens!D1719)/2*cop_px*12/1000</f>
        <v>0.9</v>
      </c>
      <c r="E1720" s="6" t="n">
        <f aca="false">(Sens!D1719+Sens!E1719)/2*cop_px*12/1000</f>
        <v>5.25</v>
      </c>
      <c r="F1720" s="6" t="n">
        <f aca="false">(Sens!E1719+Sens!F1719)/2*cop_px*12/1000</f>
        <v>10.5</v>
      </c>
      <c r="G1720" s="6" t="n">
        <f aca="false">(Sens!F1719+Sens!G1719)/2*cop_px*12/1000</f>
        <v>13.5</v>
      </c>
      <c r="H1720" s="6" t="n">
        <f aca="false">(Sens!G1719+Sens!H1719)/2*cop_px*12/1000</f>
        <v>16.5</v>
      </c>
      <c r="I1720" s="6" t="n">
        <f aca="false">(Sens!H1719+Sens!I1719)/2*cop_px*12/1000</f>
        <v>18.75</v>
      </c>
      <c r="J1720" s="6" t="n">
        <f aca="false">(Sens!I1719+Sens!J1719)/2*cop_px*12/1000</f>
        <v>20.25</v>
      </c>
      <c r="K1720" s="6" t="n">
        <f aca="false">(Sens!J1719+Sens!K1719)/2*cop_px*12/1000</f>
        <v>21.75</v>
      </c>
      <c r="L1720" s="1" t="s">
        <v>1029</v>
      </c>
    </row>
    <row r="1721" customFormat="false" ht="17.15" hidden="false" customHeight="false" outlineLevel="0" collapsed="false">
      <c r="A1721" s="0" t="s">
        <v>1030</v>
      </c>
      <c r="B1721" s="0" t="s">
        <v>98</v>
      </c>
      <c r="D1721" s="6" t="n">
        <f aca="false">Q!L7-Sens!D1720</f>
        <v>83.705</v>
      </c>
      <c r="E1721" s="6" t="n">
        <f aca="false">Q!M7-Sens!E1720</f>
        <v>95.049</v>
      </c>
      <c r="F1721" s="6" t="n">
        <f aca="false">Q!$I$7+(Sens!E1721*(1+Sens!F1722)+Sens!F1720)*(1-Q!$E$7/Q!M7)-Sens!F1720</f>
        <v>106.938354189776</v>
      </c>
      <c r="G1721" s="6" t="n">
        <f aca="false">Sens!F1721*(1+Sens!G1722)</f>
        <v>119.095360443801</v>
      </c>
      <c r="H1721" s="6" t="n">
        <f aca="false">Sens!G1721*(1+Sens!H1722)</f>
        <v>131.333811964563</v>
      </c>
      <c r="I1721" s="6" t="n">
        <f aca="false">Sens!H1721*(1+Sens!I1722)</f>
        <v>143.395665319381</v>
      </c>
      <c r="J1721" s="6" t="n">
        <f aca="false">Sens!I1721*(1+Sens!J1722)</f>
        <v>154.999327755573</v>
      </c>
      <c r="K1721" s="6" t="n">
        <f aca="false">Sens!J1721*(1+Sens!K1722)</f>
        <v>165.849280698463</v>
      </c>
      <c r="L1721" s="12" t="s">
        <v>1031</v>
      </c>
    </row>
    <row r="1722" customFormat="false" ht="15" hidden="false" customHeight="false" outlineLevel="0" collapsed="false">
      <c r="A1722" s="1" t="s">
        <v>1024</v>
      </c>
      <c r="B1722" s="0" t="s">
        <v>168</v>
      </c>
      <c r="E1722" s="7" t="n">
        <f aca="false">Sens!E1721/Sens!D1721-1</f>
        <v>0.135523564900544</v>
      </c>
      <c r="F1722" s="7" t="n">
        <f aca="false">Sens!$E$1722+(glt_m365b-Sens!$E$1722)*MIN(1,(Sens!F1674-base_fy)/n_conv)</f>
        <v>0.124602970750453</v>
      </c>
      <c r="G1722" s="7" t="n">
        <f aca="false">Sens!$E$1722+(glt_m365b-Sens!$E$1722)*MIN(1,(Sens!G1674-base_fy)/n_conv)</f>
        <v>0.113682376600363</v>
      </c>
      <c r="H1722" s="7" t="n">
        <f aca="false">Sens!$E$1722+(glt_m365b-Sens!$E$1722)*MIN(1,(Sens!H1674-base_fy)/n_conv)</f>
        <v>0.102761782450272</v>
      </c>
      <c r="I1722" s="7" t="n">
        <f aca="false">Sens!$E$1722+(glt_m365b-Sens!$E$1722)*MIN(1,(Sens!I1674-base_fy)/n_conv)</f>
        <v>0.0918411883001813</v>
      </c>
      <c r="J1722" s="7" t="n">
        <f aca="false">Sens!$E$1722+(glt_m365b-Sens!$E$1722)*MIN(1,(Sens!J1674-base_fy)/n_conv)</f>
        <v>0.0809205941500906</v>
      </c>
      <c r="K1722" s="7" t="n">
        <f aca="false">Sens!$E$1722+(glt_m365b-Sens!$E$1722)*MIN(1,(Sens!K1674-base_fy)/n_conv)</f>
        <v>0.07</v>
      </c>
    </row>
    <row r="1723" customFormat="false" ht="15" hidden="false" customHeight="false" outlineLevel="0" collapsed="false">
      <c r="A1723" s="0" t="s">
        <v>1032</v>
      </c>
      <c r="B1723" s="0" t="s">
        <v>98</v>
      </c>
      <c r="D1723" s="6" t="n">
        <f aca="false">Sens!D1721+Sens!D1720</f>
        <v>84.605</v>
      </c>
      <c r="E1723" s="6" t="n">
        <f aca="false">Sens!E1721+Sens!E1720</f>
        <v>100.299</v>
      </c>
      <c r="F1723" s="6" t="n">
        <f aca="false">Sens!F1721+Sens!F1720</f>
        <v>117.438354189776</v>
      </c>
      <c r="G1723" s="6" t="n">
        <f aca="false">Sens!G1721+Sens!G1720</f>
        <v>132.595360443801</v>
      </c>
      <c r="H1723" s="6" t="n">
        <f aca="false">Sens!H1721+Sens!H1720</f>
        <v>147.833811964563</v>
      </c>
      <c r="I1723" s="6" t="n">
        <f aca="false">Sens!I1721+Sens!I1720</f>
        <v>162.145665319381</v>
      </c>
      <c r="J1723" s="6" t="n">
        <f aca="false">Sens!J1721+Sens!J1720</f>
        <v>175.249327755573</v>
      </c>
      <c r="K1723" s="6" t="n">
        <f aca="false">Sens!K1721+Sens!K1720</f>
        <v>187.599280698463</v>
      </c>
    </row>
    <row r="1724" customFormat="false" ht="17.15" hidden="false" customHeight="false" outlineLevel="0" collapsed="false">
      <c r="A1724" s="0" t="s">
        <v>1033</v>
      </c>
      <c r="B1724" s="0" t="s">
        <v>98</v>
      </c>
      <c r="D1724" s="6" t="n">
        <f aca="false">Q!L8</f>
        <v>35.391</v>
      </c>
      <c r="E1724" s="6" t="n">
        <f aca="false">Q!M8</f>
        <v>37.285</v>
      </c>
      <c r="F1724" s="6" t="n">
        <f aca="false">Q!$I$8+(Q!M8-Q!$E$8)*(1+Sens!F1725)</f>
        <v>38.3851437782675</v>
      </c>
      <c r="G1724" s="6" t="n">
        <f aca="false">Sens!F1724*(1+Sens!G1725)</f>
        <v>40.0105353288615</v>
      </c>
      <c r="H1724" s="6" t="n">
        <f aca="false">Sens!G1724*(1+Sens!H1725)</f>
        <v>41.4812512033683</v>
      </c>
      <c r="I1724" s="6" t="n">
        <f aca="false">Sens!H1724*(1+Sens!I1725)</f>
        <v>42.7743107216329</v>
      </c>
      <c r="J1724" s="6" t="n">
        <f aca="false">Sens!I1724*(1+Sens!J1725)</f>
        <v>43.8687373064601</v>
      </c>
      <c r="K1724" s="6" t="n">
        <f aca="false">Sens!J1724*(1+Sens!K1725)</f>
        <v>44.7461120525893</v>
      </c>
      <c r="L1724" s="12" t="s">
        <v>1034</v>
      </c>
    </row>
    <row r="1725" customFormat="false" ht="15" hidden="false" customHeight="false" outlineLevel="0" collapsed="false">
      <c r="A1725" s="1" t="s">
        <v>1024</v>
      </c>
      <c r="B1725" s="0" t="s">
        <v>168</v>
      </c>
      <c r="E1725" s="7" t="n">
        <f aca="false">Sens!E1724/Sens!D1724-1</f>
        <v>0.0535164307309768</v>
      </c>
      <c r="F1725" s="7" t="n">
        <f aca="false">Sens!$E$1725+(glt_lic-Sens!$E$1725)*MIN(1,(Sens!F1674-base_fy)/n_conv)</f>
        <v>0.0479303589424807</v>
      </c>
      <c r="G1725" s="7" t="n">
        <f aca="false">Sens!$E$1725+(glt_lic-Sens!$E$1725)*MIN(1,(Sens!G1674-base_fy)/n_conv)</f>
        <v>0.0423442871539845</v>
      </c>
      <c r="H1725" s="7" t="n">
        <f aca="false">Sens!$E$1725+(glt_lic-Sens!$E$1725)*MIN(1,(Sens!H1674-base_fy)/n_conv)</f>
        <v>0.0367582153654884</v>
      </c>
      <c r="I1725" s="7" t="n">
        <f aca="false">Sens!$E$1725+(glt_lic-Sens!$E$1725)*MIN(1,(Sens!I1674-base_fy)/n_conv)</f>
        <v>0.0311721435769923</v>
      </c>
      <c r="J1725" s="7" t="n">
        <f aca="false">Sens!$E$1725+(glt_lic-Sens!$E$1725)*MIN(1,(Sens!J1674-base_fy)/n_conv)</f>
        <v>0.0255860717884961</v>
      </c>
      <c r="K1725" s="7" t="n">
        <f aca="false">Sens!$E$1725+(glt_lic-Sens!$E$1725)*MIN(1,(Sens!K1674-base_fy)/n_conv)</f>
        <v>0.02</v>
      </c>
    </row>
    <row r="1726" customFormat="false" ht="17.15" hidden="false" customHeight="false" outlineLevel="0" collapsed="false">
      <c r="A1726" s="0" t="s">
        <v>1035</v>
      </c>
      <c r="B1726" s="0" t="s">
        <v>98</v>
      </c>
      <c r="D1726" s="6" t="n">
        <f aca="false">Q!L9</f>
        <v>18.417</v>
      </c>
      <c r="E1726" s="6" t="n">
        <f aca="false">Q!M9</f>
        <v>20.345</v>
      </c>
      <c r="F1726" s="6" t="n">
        <f aca="false">Q!$I$9+(Q!M9-Q!$E$9)*(1+Sens!F1727)</f>
        <v>22.3161797133988</v>
      </c>
      <c r="G1726" s="6" t="n">
        <f aca="false">Sens!F1726*(1+Sens!G1727)</f>
        <v>24.3943499673233</v>
      </c>
      <c r="H1726" s="6" t="n">
        <f aca="false">Sens!G1726*(1+Sens!H1727)</f>
        <v>26.5250243109019</v>
      </c>
      <c r="I1726" s="6" t="n">
        <f aca="false">Sens!H1726*(1+Sens!I1727)</f>
        <v>28.6884573538181</v>
      </c>
      <c r="J1726" s="6" t="n">
        <f aca="false">Sens!I1726*(1+Sens!J1727)</f>
        <v>30.8624968052127</v>
      </c>
      <c r="K1726" s="6" t="n">
        <f aca="false">Sens!J1726*(1+Sens!K1727)</f>
        <v>33.0228715815776</v>
      </c>
      <c r="L1726" s="12" t="s">
        <v>1034</v>
      </c>
    </row>
    <row r="1727" customFormat="false" ht="15" hidden="false" customHeight="false" outlineLevel="0" collapsed="false">
      <c r="A1727" s="1" t="s">
        <v>1024</v>
      </c>
      <c r="B1727" s="0" t="s">
        <v>168</v>
      </c>
      <c r="E1727" s="7" t="n">
        <f aca="false">Sens!E1726/Sens!D1726-1</f>
        <v>0.104685888038225</v>
      </c>
      <c r="F1727" s="7" t="n">
        <f aca="false">Sens!$E$1727+(glt_ind-Sens!$E$1727)*MIN(1,(Sens!F1674-base_fy)/n_conv)</f>
        <v>0.0989049066985211</v>
      </c>
      <c r="G1727" s="7" t="n">
        <f aca="false">Sens!$E$1727+(glt_ind-Sens!$E$1727)*MIN(1,(Sens!G1674-base_fy)/n_conv)</f>
        <v>0.0931239253588169</v>
      </c>
      <c r="H1727" s="7" t="n">
        <f aca="false">Sens!$E$1727+(glt_ind-Sens!$E$1727)*MIN(1,(Sens!H1674-base_fy)/n_conv)</f>
        <v>0.0873429440191127</v>
      </c>
      <c r="I1727" s="7" t="n">
        <f aca="false">Sens!$E$1727+(glt_ind-Sens!$E$1727)*MIN(1,(Sens!I1674-base_fy)/n_conv)</f>
        <v>0.0815619626794085</v>
      </c>
      <c r="J1727" s="7" t="n">
        <f aca="false">Sens!$E$1727+(glt_ind-Sens!$E$1727)*MIN(1,(Sens!J1674-base_fy)/n_conv)</f>
        <v>0.0757809813397042</v>
      </c>
      <c r="K1727" s="7" t="n">
        <f aca="false">Sens!$E$1727+(glt_ind-Sens!$E$1727)*MIN(1,(Sens!K1674-base_fy)/n_conv)</f>
        <v>0.07</v>
      </c>
    </row>
    <row r="1728" customFormat="false" ht="17.15" hidden="false" customHeight="false" outlineLevel="0" collapsed="false">
      <c r="A1728" s="0" t="s">
        <v>1036</v>
      </c>
      <c r="B1728" s="0" t="s">
        <v>98</v>
      </c>
      <c r="D1728" s="6" t="n">
        <f aca="false">Q!L10</f>
        <v>7.76</v>
      </c>
      <c r="E1728" s="6" t="n">
        <f aca="false">Q!M10</f>
        <v>8.26</v>
      </c>
      <c r="F1728" s="6" t="n">
        <f aca="false">Q!$I$10+(Q!M10-Q!$E$10)*(1+Sens!F1729)</f>
        <v>8.75372082474227</v>
      </c>
      <c r="G1728" s="6" t="n">
        <f aca="false">Sens!F1728*(1+Sens!G1729)</f>
        <v>9.33399324642364</v>
      </c>
      <c r="H1728" s="6" t="n">
        <f aca="false">Sens!G1728*(1+Sens!H1729)</f>
        <v>9.96139155535851</v>
      </c>
      <c r="I1728" s="6" t="n">
        <f aca="false">Sens!H1728*(1+Sens!I1729)</f>
        <v>10.6402039077391</v>
      </c>
      <c r="J1728" s="6" t="n">
        <f aca="false">Sens!I1728*(1+Sens!J1729)</f>
        <v>11.3751458271397</v>
      </c>
      <c r="K1728" s="6" t="n">
        <f aca="false">Sens!J1728*(1+Sens!K1729)</f>
        <v>12.1714060350394</v>
      </c>
      <c r="L1728" s="12" t="s">
        <v>1034</v>
      </c>
    </row>
    <row r="1729" customFormat="false" ht="15" hidden="false" customHeight="false" outlineLevel="0" collapsed="false">
      <c r="A1729" s="1" t="s">
        <v>1024</v>
      </c>
      <c r="B1729" s="0" t="s">
        <v>168</v>
      </c>
      <c r="E1729" s="7" t="n">
        <f aca="false">Sens!E1728/Sens!D1728-1</f>
        <v>0.0644329896907216</v>
      </c>
      <c r="F1729" s="7" t="n">
        <f aca="false">Sens!$E$1729+(glt_fro-Sens!$E$1729)*MIN(1,(Sens!F1674-base_fy)/n_conv)</f>
        <v>0.065360824742268</v>
      </c>
      <c r="G1729" s="7" t="n">
        <f aca="false">Sens!$E$1729+(glt_fro-Sens!$E$1729)*MIN(1,(Sens!G1674-base_fy)/n_conv)</f>
        <v>0.0662886597938144</v>
      </c>
      <c r="H1729" s="7" t="n">
        <f aca="false">Sens!$E$1729+(glt_fro-Sens!$E$1729)*MIN(1,(Sens!H1674-base_fy)/n_conv)</f>
        <v>0.0672164948453608</v>
      </c>
      <c r="I1729" s="7" t="n">
        <f aca="false">Sens!$E$1729+(glt_fro-Sens!$E$1729)*MIN(1,(Sens!I1674-base_fy)/n_conv)</f>
        <v>0.0681443298969072</v>
      </c>
      <c r="J1729" s="7" t="n">
        <f aca="false">Sens!$E$1729+(glt_fro-Sens!$E$1729)*MIN(1,(Sens!J1674-base_fy)/n_conv)</f>
        <v>0.0690721649484536</v>
      </c>
      <c r="K1729" s="7" t="n">
        <f aca="false">Sens!$E$1729+(glt_fro-Sens!$E$1729)*MIN(1,(Sens!K1674-base_fy)/n_conv)</f>
        <v>0.07</v>
      </c>
    </row>
    <row r="1730" customFormat="false" ht="15" hidden="false" customHeight="false" outlineLevel="0" collapsed="false">
      <c r="A1730" s="0" t="s">
        <v>852</v>
      </c>
      <c r="B1730" s="0" t="s">
        <v>98</v>
      </c>
      <c r="D1730" s="6" t="n">
        <f aca="false">Sens!D1718+Sens!D1723+Sens!D1724+Sens!D1726+Sens!D1728</f>
        <v>218.783</v>
      </c>
      <c r="E1730" s="6" t="n">
        <f aca="false">Sens!E1718+Sens!E1723+Sens!E1724+Sens!E1726+Sens!E1728</f>
        <v>268.127</v>
      </c>
      <c r="F1730" s="6" t="n">
        <f aca="false">Sens!F1718+Sens!F1723+Sens!F1724+Sens!F1726+Sens!F1728</f>
        <v>336.113345609722</v>
      </c>
      <c r="G1730" s="6" t="n">
        <f aca="false">Sens!G1718+Sens!G1723+Sens!G1724+Sens!G1726+Sens!G1728</f>
        <v>402.165395444466</v>
      </c>
      <c r="H1730" s="6" t="n">
        <f aca="false">Sens!H1718+Sens!H1723+Sens!H1724+Sens!H1726+Sens!H1728</f>
        <v>462.845087160358</v>
      </c>
      <c r="I1730" s="6" t="n">
        <f aca="false">Sens!I1718+Sens!I1723+Sens!I1724+Sens!I1726+Sens!I1728</f>
        <v>526.3774355913</v>
      </c>
      <c r="J1730" s="6" t="n">
        <f aca="false">Sens!J1718+Sens!J1723+Sens!J1724+Sens!J1726+Sens!J1728</f>
        <v>578.39566514554</v>
      </c>
      <c r="K1730" s="6" t="n">
        <f aca="false">Sens!K1718+Sens!K1723+Sens!K1724+Sens!K1726+Sens!K1728</f>
        <v>619.490682704397</v>
      </c>
    </row>
    <row r="1731" customFormat="false" ht="17.15" hidden="false" customHeight="false" outlineLevel="0" collapsed="false">
      <c r="A1731" s="0" t="s">
        <v>1037</v>
      </c>
      <c r="B1731" s="0" t="s">
        <v>98</v>
      </c>
      <c r="D1731" s="6" t="n">
        <f aca="false">Q!L13</f>
        <v>22.171</v>
      </c>
      <c r="E1731" s="6" t="n">
        <f aca="false">Q!M13</f>
        <v>24.835</v>
      </c>
      <c r="F1731" s="6" t="n">
        <f aca="false">Q!$I$13+(Q!M13-Q!$E$13)*(1+Sens!F1732)</f>
        <v>27.5591895660247</v>
      </c>
      <c r="G1731" s="6" t="n">
        <f aca="false">Sens!F1731*(1+Sens!G1732)</f>
        <v>30.4098563144583</v>
      </c>
      <c r="H1731" s="6" t="n">
        <f aca="false">Sens!G1731*(1+Sens!H1732)</f>
        <v>33.3011792571777</v>
      </c>
      <c r="I1731" s="6" t="n">
        <f aca="false">Sens!H1731*(1+Sens!I1732)</f>
        <v>36.189023797112</v>
      </c>
      <c r="J1731" s="6" t="n">
        <f aca="false">Sens!I1731*(1+Sens!J1732)</f>
        <v>39.0247773769199</v>
      </c>
      <c r="K1731" s="6" t="n">
        <f aca="false">Sens!J1731*(1+Sens!K1732)</f>
        <v>41.7565117933043</v>
      </c>
      <c r="L1731" s="12" t="s">
        <v>1034</v>
      </c>
    </row>
    <row r="1732" customFormat="false" ht="15" hidden="false" customHeight="false" outlineLevel="0" collapsed="false">
      <c r="A1732" s="1" t="s">
        <v>1024</v>
      </c>
      <c r="B1732" s="0" t="s">
        <v>168</v>
      </c>
      <c r="E1732" s="7" t="n">
        <f aca="false">Sens!E1731/Sens!D1731-1</f>
        <v>0.120156961796942</v>
      </c>
      <c r="F1732" s="7" t="n">
        <f aca="false">Sens!$E$1732+(glt_srch-Sens!$E$1732)*MIN(1,(Sens!F1674-base_fy)/n_conv)</f>
        <v>0.111797468164118</v>
      </c>
      <c r="G1732" s="7" t="n">
        <f aca="false">Sens!$E$1732+(glt_srch-Sens!$E$1732)*MIN(1,(Sens!G1674-base_fy)/n_conv)</f>
        <v>0.103437974531295</v>
      </c>
      <c r="H1732" s="7" t="n">
        <f aca="false">Sens!$E$1732+(glt_srch-Sens!$E$1732)*MIN(1,(Sens!H1674-base_fy)/n_conv)</f>
        <v>0.095078480898471</v>
      </c>
      <c r="I1732" s="7" t="n">
        <f aca="false">Sens!$E$1732+(glt_srch-Sens!$E$1732)*MIN(1,(Sens!I1674-base_fy)/n_conv)</f>
        <v>0.0867189872656474</v>
      </c>
      <c r="J1732" s="7" t="n">
        <f aca="false">Sens!$E$1732+(glt_srch-Sens!$E$1732)*MIN(1,(Sens!J1674-base_fy)/n_conv)</f>
        <v>0.0783594936328237</v>
      </c>
      <c r="K1732" s="7" t="n">
        <f aca="false">Sens!$E$1732+(glt_srch-Sens!$E$1732)*MIN(1,(Sens!K1674-base_fy)/n_conv)</f>
        <v>0.07</v>
      </c>
    </row>
    <row r="1733" customFormat="false" ht="17.15" hidden="false" customHeight="false" outlineLevel="0" collapsed="false">
      <c r="A1733" s="0" t="s">
        <v>1038</v>
      </c>
      <c r="B1733" s="0" t="s">
        <v>98</v>
      </c>
      <c r="D1733" s="6" t="n">
        <f aca="false">Q!L14</f>
        <v>23.455</v>
      </c>
      <c r="E1733" s="6" t="n">
        <f aca="false">Q!M14</f>
        <v>21.79</v>
      </c>
      <c r="F1733" s="6" t="n">
        <f aca="false">Q!$I$14+(Q!M14-Q!$E$14)*(1+Sens!F1734)</f>
        <v>20.7520981041711</v>
      </c>
      <c r="G1733" s="6" t="n">
        <f aca="false">Sens!F1733*(1+Sens!G1734)</f>
        <v>19.9083593495882</v>
      </c>
      <c r="H1733" s="6" t="n">
        <f aca="false">Sens!G1733*(1+Sens!H1734)</f>
        <v>19.4008256265831</v>
      </c>
      <c r="I1733" s="6" t="n">
        <f aca="false">Sens!H1733*(1+Sens!I1734)</f>
        <v>19.200434522122</v>
      </c>
      <c r="J1733" s="6" t="n">
        <f aca="false">Sens!I1733*(1+Sens!J1734)</f>
        <v>19.2932782348507</v>
      </c>
      <c r="K1733" s="6" t="n">
        <f aca="false">Sens!J1733*(1+Sens!K1734)</f>
        <v>19.6791437995477</v>
      </c>
      <c r="L1733" s="12" t="s">
        <v>1034</v>
      </c>
    </row>
    <row r="1734" customFormat="false" ht="15" hidden="false" customHeight="false" outlineLevel="0" collapsed="false">
      <c r="A1734" s="1" t="s">
        <v>1024</v>
      </c>
      <c r="B1734" s="0" t="s">
        <v>168</v>
      </c>
      <c r="E1734" s="7" t="n">
        <f aca="false">Sens!E1733/Sens!D1733-1</f>
        <v>-0.0709869963760392</v>
      </c>
      <c r="F1734" s="7" t="n">
        <f aca="false">Sens!$E$1734+(glt_xbox-Sens!$E$1734)*MIN(1,(Sens!F1674-base_fy)/n_conv)</f>
        <v>-0.0558224969800327</v>
      </c>
      <c r="G1734" s="7" t="n">
        <f aca="false">Sens!$E$1734+(glt_xbox-Sens!$E$1734)*MIN(1,(Sens!G1674-base_fy)/n_conv)</f>
        <v>-0.0406579975840262</v>
      </c>
      <c r="H1734" s="7" t="n">
        <f aca="false">Sens!$E$1734+(glt_xbox-Sens!$E$1734)*MIN(1,(Sens!H1674-base_fy)/n_conv)</f>
        <v>-0.0254934981880196</v>
      </c>
      <c r="I1734" s="7" t="n">
        <f aca="false">Sens!$E$1734+(glt_xbox-Sens!$E$1734)*MIN(1,(Sens!I1674-base_fy)/n_conv)</f>
        <v>-0.0103289987920131</v>
      </c>
      <c r="J1734" s="7" t="n">
        <f aca="false">Sens!$E$1734+(glt_xbox-Sens!$E$1734)*MIN(1,(Sens!J1674-base_fy)/n_conv)</f>
        <v>0.00483550060399347</v>
      </c>
      <c r="K1734" s="7" t="n">
        <f aca="false">Sens!$E$1734+(glt_xbox-Sens!$E$1734)*MIN(1,(Sens!K1674-base_fy)/n_conv)</f>
        <v>0.02</v>
      </c>
    </row>
    <row r="1735" customFormat="false" ht="17.15" hidden="false" customHeight="false" outlineLevel="0" collapsed="false">
      <c r="A1735" s="0" t="s">
        <v>1039</v>
      </c>
      <c r="B1735" s="0" t="s">
        <v>98</v>
      </c>
      <c r="D1735" s="6" t="n">
        <f aca="false">Q!L15</f>
        <v>17.315</v>
      </c>
      <c r="E1735" s="6" t="n">
        <f aca="false">Q!M15</f>
        <v>17.087</v>
      </c>
      <c r="F1735" s="6" t="n">
        <f aca="false">Q!$I$15+(Q!M15-Q!$E$15)*(1+Sens!F1736)</f>
        <v>15.9912273250553</v>
      </c>
      <c r="G1735" s="6" t="n">
        <f aca="false">Sens!F1735*(1+Sens!G1736)</f>
        <v>15.9574562664827</v>
      </c>
      <c r="H1735" s="6" t="n">
        <f aca="false">Sens!G1735*(1+Sens!H1736)</f>
        <v>16.0119687434196</v>
      </c>
      <c r="I1735" s="6" t="n">
        <f aca="false">Sens!H1735*(1+Sens!I1736)</f>
        <v>16.1551810001948</v>
      </c>
      <c r="J1735" s="6" t="n">
        <f aca="false">Sens!I1735*(1+Sens!J1736)</f>
        <v>16.3889793892005</v>
      </c>
      <c r="K1735" s="6" t="n">
        <f aca="false">Sens!J1735*(1+Sens!K1736)</f>
        <v>16.7167589769845</v>
      </c>
      <c r="L1735" s="12" t="s">
        <v>1034</v>
      </c>
    </row>
    <row r="1736" customFormat="false" ht="15" hidden="false" customHeight="false" outlineLevel="0" collapsed="false">
      <c r="A1736" s="1" t="s">
        <v>1024</v>
      </c>
      <c r="B1736" s="0" t="s">
        <v>168</v>
      </c>
      <c r="E1736" s="7" t="n">
        <f aca="false">Sens!E1735/Sens!D1735-1</f>
        <v>-0.0131677736066995</v>
      </c>
      <c r="F1736" s="7" t="n">
        <f aca="false">Sens!$E$1736+(glt_win-Sens!$E$1736)*MIN(1,(Sens!F1674-base_fy)/n_conv)</f>
        <v>-0.00763981133891627</v>
      </c>
      <c r="G1736" s="7" t="n">
        <f aca="false">Sens!$E$1736+(glt_win-Sens!$E$1736)*MIN(1,(Sens!G1674-base_fy)/n_conv)</f>
        <v>-0.00211184907113301</v>
      </c>
      <c r="H1736" s="7" t="n">
        <f aca="false">Sens!$E$1736+(glt_win-Sens!$E$1736)*MIN(1,(Sens!H1674-base_fy)/n_conv)</f>
        <v>0.00341611319665024</v>
      </c>
      <c r="I1736" s="7" t="n">
        <f aca="false">Sens!$E$1736+(glt_win-Sens!$E$1736)*MIN(1,(Sens!I1674-base_fy)/n_conv)</f>
        <v>0.00894407546443349</v>
      </c>
      <c r="J1736" s="7" t="n">
        <f aca="false">Sens!$E$1736+(glt_win-Sens!$E$1736)*MIN(1,(Sens!J1674-base_fy)/n_conv)</f>
        <v>0.0144720377322168</v>
      </c>
      <c r="K1736" s="7" t="n">
        <f aca="false">Sens!$E$1736+(glt_win-Sens!$E$1736)*MIN(1,(Sens!K1674-base_fy)/n_conv)</f>
        <v>0.02</v>
      </c>
    </row>
    <row r="1737" customFormat="false" ht="15" hidden="false" customHeight="false" outlineLevel="0" collapsed="false">
      <c r="A1737" s="0" t="s">
        <v>866</v>
      </c>
      <c r="B1737" s="0" t="s">
        <v>98</v>
      </c>
      <c r="D1737" s="6" t="n">
        <f aca="false">Sens!D1731+Sens!D1733+Sens!D1735</f>
        <v>62.941</v>
      </c>
      <c r="E1737" s="6" t="n">
        <f aca="false">Sens!E1731+Sens!E1733+Sens!E1735</f>
        <v>63.712</v>
      </c>
      <c r="F1737" s="6" t="n">
        <f aca="false">Sens!F1731+Sens!F1733+Sens!F1735</f>
        <v>64.3025149952511</v>
      </c>
      <c r="G1737" s="6" t="n">
        <f aca="false">Sens!G1731+Sens!G1733+Sens!G1735</f>
        <v>66.2756719305292</v>
      </c>
      <c r="H1737" s="6" t="n">
        <f aca="false">Sens!H1731+Sens!H1733+Sens!H1735</f>
        <v>68.7139736271804</v>
      </c>
      <c r="I1737" s="6" t="n">
        <f aca="false">Sens!I1731+Sens!I1733+Sens!I1735</f>
        <v>71.5446393194289</v>
      </c>
      <c r="J1737" s="6" t="n">
        <f aca="false">Sens!J1731+Sens!J1733+Sens!J1735</f>
        <v>74.707035000971</v>
      </c>
      <c r="K1737" s="6" t="n">
        <f aca="false">Sens!K1731+Sens!K1733+Sens!K1735</f>
        <v>78.1524145698365</v>
      </c>
    </row>
    <row r="1738" customFormat="false" ht="15" hidden="false" customHeight="false" outlineLevel="0" collapsed="false">
      <c r="A1738" s="1" t="s">
        <v>1040</v>
      </c>
      <c r="B1738" s="0" t="s">
        <v>98</v>
      </c>
      <c r="D1738" s="6" t="n">
        <f aca="false">Sens!D1730+Sens!D1737</f>
        <v>281.724</v>
      </c>
      <c r="E1738" s="6" t="n">
        <f aca="false">Sens!E1730+Sens!E1737</f>
        <v>331.839</v>
      </c>
      <c r="F1738" s="6" t="n">
        <f aca="false">Sens!F1730+Sens!F1737</f>
        <v>400.415860604973</v>
      </c>
      <c r="G1738" s="6" t="n">
        <f aca="false">Sens!G1730+Sens!G1737</f>
        <v>468.441067374995</v>
      </c>
      <c r="H1738" s="6" t="n">
        <f aca="false">Sens!H1730+Sens!H1737</f>
        <v>531.559060787539</v>
      </c>
      <c r="I1738" s="6" t="n">
        <f aca="false">Sens!I1730+Sens!I1737</f>
        <v>597.922074910729</v>
      </c>
      <c r="J1738" s="6" t="n">
        <f aca="false">Sens!J1730+Sens!J1737</f>
        <v>653.102700146511</v>
      </c>
      <c r="K1738" s="6" t="n">
        <f aca="false">Sens!K1730+Sens!K1737</f>
        <v>697.643097274234</v>
      </c>
    </row>
    <row r="1739" customFormat="false" ht="15" hidden="false" customHeight="false" outlineLevel="0" collapsed="false">
      <c r="A1739" s="26" t="s">
        <v>1041</v>
      </c>
      <c r="B1739" s="31" t="s">
        <v>98</v>
      </c>
      <c r="C1739" s="31"/>
      <c r="D1739" s="27" t="n">
        <f aca="false">(Sens!D1718+Sens!D1723+Sens!D1724+Sens!D1726+Sens!D1728-Sens!D1730)+(Sens!D1731+Sens!D1733+Sens!D1735-Sens!D1737)+(Sens!D1730-Q!L5)+(Sens!D1737-Q!L12)+(Sens!D1718-Q!L6)+(Sens!D1723-Q!L7)</f>
        <v>0</v>
      </c>
      <c r="E1739" s="27" t="n">
        <f aca="false">(Sens!E1718+Sens!E1723+Sens!E1724+Sens!E1726+Sens!E1728-Sens!E1730)+(Sens!E1731+Sens!E1733+Sens!E1735-Sens!E1737)+(Sens!E1730-Q!M5)+(Sens!E1737-Q!M12)+(Sens!E1718-Q!M6)+(Sens!E1723-Q!M7)</f>
        <v>0</v>
      </c>
      <c r="F1739" s="27" t="n">
        <f aca="false">(Sens!F1718+Sens!F1723+Sens!F1724+Sens!F1726+Sens!F1728-Sens!F1730)+(Sens!F1731+Sens!F1733+Sens!F1735-Sens!F1737)</f>
        <v>0</v>
      </c>
      <c r="G1739" s="27" t="n">
        <f aca="false">(Sens!G1718+Sens!G1723+Sens!G1724+Sens!G1726+Sens!G1728-Sens!G1730)+(Sens!G1731+Sens!G1733+Sens!G1735-Sens!G1737)</f>
        <v>0</v>
      </c>
      <c r="H1739" s="27" t="n">
        <f aca="false">(Sens!H1718+Sens!H1723+Sens!H1724+Sens!H1726+Sens!H1728-Sens!H1730)+(Sens!H1731+Sens!H1733+Sens!H1735-Sens!H1737)</f>
        <v>0</v>
      </c>
      <c r="I1739" s="27" t="n">
        <f aca="false">(Sens!I1718+Sens!I1723+Sens!I1724+Sens!I1726+Sens!I1728-Sens!I1730)+(Sens!I1731+Sens!I1733+Sens!I1735-Sens!I1737)</f>
        <v>0</v>
      </c>
      <c r="J1739" s="27" t="n">
        <f aca="false">(Sens!J1718+Sens!J1723+Sens!J1724+Sens!J1726+Sens!J1728-Sens!J1730)+(Sens!J1731+Sens!J1733+Sens!J1735-Sens!J1737)</f>
        <v>0</v>
      </c>
      <c r="K1739" s="27" t="n">
        <f aca="false">(Sens!K1718+Sens!K1723+Sens!K1724+Sens!K1726+Sens!K1728-Sens!K1730)+(Sens!K1731+Sens!K1733+Sens!K1735-Sens!K1737)</f>
        <v>0</v>
      </c>
    </row>
    <row r="1740" customFormat="false" ht="17.15" hidden="false" customHeight="false" outlineLevel="0" collapsed="false">
      <c r="A1740" s="3" t="s">
        <v>1522</v>
      </c>
    </row>
    <row r="1741" customFormat="false" ht="15" hidden="false" customHeight="false" outlineLevel="0" collapsed="false">
      <c r="A1741" s="4" t="s">
        <v>43</v>
      </c>
      <c r="B1741" s="4" t="s">
        <v>65</v>
      </c>
      <c r="C1741" s="23" t="s">
        <v>938</v>
      </c>
      <c r="D1741" s="23" t="s">
        <v>939</v>
      </c>
      <c r="E1741" s="23" t="s">
        <v>940</v>
      </c>
      <c r="F1741" s="23" t="s">
        <v>941</v>
      </c>
      <c r="G1741" s="23" t="s">
        <v>942</v>
      </c>
      <c r="H1741" s="23" t="s">
        <v>943</v>
      </c>
      <c r="I1741" s="23" t="s">
        <v>944</v>
      </c>
      <c r="J1741" s="23" t="s">
        <v>945</v>
      </c>
      <c r="K1741" s="23" t="s">
        <v>946</v>
      </c>
      <c r="L1741" s="4" t="s">
        <v>47</v>
      </c>
    </row>
    <row r="1742" customFormat="false" ht="15" hidden="false" customHeight="false" outlineLevel="0" collapsed="false">
      <c r="A1742" s="0" t="s">
        <v>1025</v>
      </c>
      <c r="B1742" s="0" t="s">
        <v>98</v>
      </c>
      <c r="D1742" s="6" t="n">
        <f aca="false">Sens!D1718</f>
        <v>72.61</v>
      </c>
      <c r="E1742" s="6" t="n">
        <f aca="false">Sens!E1718</f>
        <v>101.938</v>
      </c>
      <c r="F1742" s="6" t="n">
        <f aca="false">Sens!F1718</f>
        <v>149.219947103537</v>
      </c>
      <c r="G1742" s="6" t="n">
        <f aca="false">Sens!G1718</f>
        <v>195.831156458057</v>
      </c>
      <c r="H1742" s="6" t="n">
        <f aca="false">Sens!H1718</f>
        <v>237.043608126167</v>
      </c>
      <c r="I1742" s="6" t="n">
        <f aca="false">Sens!I1718</f>
        <v>282.128798288729</v>
      </c>
      <c r="J1742" s="6" t="n">
        <f aca="false">Sens!J1718</f>
        <v>317.039957451154</v>
      </c>
      <c r="K1742" s="6" t="n">
        <f aca="false">Sens!K1718</f>
        <v>341.951012336728</v>
      </c>
    </row>
    <row r="1743" customFormat="false" ht="17.15" hidden="false" customHeight="false" outlineLevel="0" collapsed="false">
      <c r="A1743" s="0" t="s">
        <v>1021</v>
      </c>
      <c r="B1743" s="0" t="s">
        <v>98</v>
      </c>
      <c r="D1743" s="6" t="n">
        <f aca="false">Sens!D1715</f>
        <v>12.9359794422418</v>
      </c>
      <c r="E1743" s="6" t="n">
        <f aca="false">Sens!E1715</f>
        <v>27.8095064661409</v>
      </c>
      <c r="F1743" s="6" t="n">
        <f aca="false">Sens!F1715</f>
        <v>58.6292188505159</v>
      </c>
      <c r="G1743" s="6" t="n">
        <f aca="false">Sens!G1715</f>
        <v>88.1958501417173</v>
      </c>
      <c r="H1743" s="6" t="n">
        <f aca="false">Sens!H1715</f>
        <v>112.066968633109</v>
      </c>
      <c r="I1743" s="6" t="n">
        <f aca="false">Sens!I1715</f>
        <v>140.395962386948</v>
      </c>
      <c r="J1743" s="6" t="n">
        <f aca="false">Sens!J1715</f>
        <v>160.136419511524</v>
      </c>
      <c r="K1743" s="6" t="n">
        <f aca="false">Sens!K1715</f>
        <v>172.495191361928</v>
      </c>
    </row>
    <row r="1744" customFormat="false" ht="17.15" hidden="false" customHeight="false" outlineLevel="0" collapsed="false">
      <c r="A1744" s="0" t="s">
        <v>1052</v>
      </c>
      <c r="B1744" s="0" t="s">
        <v>98</v>
      </c>
      <c r="D1744" s="6" t="n">
        <f aca="false">Sens!D1716</f>
        <v>59.6740205577583</v>
      </c>
      <c r="E1744" s="6" t="n">
        <f aca="false">Sens!E1716</f>
        <v>74.1284935338591</v>
      </c>
      <c r="F1744" s="6" t="n">
        <f aca="false">Sens!F1716</f>
        <v>90.5907282530214</v>
      </c>
      <c r="G1744" s="6" t="n">
        <f aca="false">Sens!G1716</f>
        <v>107.635306316339</v>
      </c>
      <c r="H1744" s="6" t="n">
        <f aca="false">Sens!H1716</f>
        <v>124.976639493057</v>
      </c>
      <c r="I1744" s="6" t="n">
        <f aca="false">Sens!I1716</f>
        <v>141.732835901781</v>
      </c>
      <c r="J1744" s="6" t="n">
        <f aca="false">Sens!J1716</f>
        <v>156.90353793963</v>
      </c>
      <c r="K1744" s="6" t="n">
        <f aca="false">Sens!K1716</f>
        <v>169.4558209748</v>
      </c>
    </row>
    <row r="1745" customFormat="false" ht="15" hidden="false" customHeight="false" outlineLevel="0" collapsed="false">
      <c r="A1745" s="0" t="s">
        <v>1032</v>
      </c>
      <c r="B1745" s="0" t="s">
        <v>98</v>
      </c>
      <c r="D1745" s="6" t="n">
        <f aca="false">Sens!D1723</f>
        <v>84.605</v>
      </c>
      <c r="E1745" s="6" t="n">
        <f aca="false">Sens!E1723</f>
        <v>100.299</v>
      </c>
      <c r="F1745" s="6" t="n">
        <f aca="false">Sens!F1723</f>
        <v>117.438354189776</v>
      </c>
      <c r="G1745" s="6" t="n">
        <f aca="false">Sens!G1723</f>
        <v>132.595360443801</v>
      </c>
      <c r="H1745" s="6" t="n">
        <f aca="false">Sens!H1723</f>
        <v>147.833811964563</v>
      </c>
      <c r="I1745" s="6" t="n">
        <f aca="false">Sens!I1723</f>
        <v>162.145665319381</v>
      </c>
      <c r="J1745" s="6" t="n">
        <f aca="false">Sens!J1723</f>
        <v>175.249327755573</v>
      </c>
      <c r="K1745" s="6" t="n">
        <f aca="false">Sens!K1723</f>
        <v>187.599280698463</v>
      </c>
    </row>
    <row r="1746" customFormat="false" ht="17.15" hidden="false" customHeight="false" outlineLevel="0" collapsed="false">
      <c r="A1746" s="0" t="s">
        <v>1053</v>
      </c>
      <c r="B1746" s="0" t="s">
        <v>98</v>
      </c>
      <c r="D1746" s="6" t="n">
        <f aca="false">Sens!D1721</f>
        <v>83.705</v>
      </c>
      <c r="E1746" s="6" t="n">
        <f aca="false">Sens!E1721</f>
        <v>95.049</v>
      </c>
      <c r="F1746" s="6" t="n">
        <f aca="false">Sens!F1721</f>
        <v>106.938354189776</v>
      </c>
      <c r="G1746" s="6" t="n">
        <f aca="false">Sens!G1721</f>
        <v>119.095360443801</v>
      </c>
      <c r="H1746" s="6" t="n">
        <f aca="false">Sens!H1721</f>
        <v>131.333811964563</v>
      </c>
      <c r="I1746" s="6" t="n">
        <f aca="false">Sens!I1721</f>
        <v>143.395665319381</v>
      </c>
      <c r="J1746" s="6" t="n">
        <f aca="false">Sens!J1721</f>
        <v>154.999327755573</v>
      </c>
      <c r="K1746" s="6" t="n">
        <f aca="false">Sens!K1721</f>
        <v>165.849280698463</v>
      </c>
    </row>
    <row r="1747" customFormat="false" ht="17.15" hidden="false" customHeight="false" outlineLevel="0" collapsed="false">
      <c r="A1747" s="0" t="s">
        <v>1054</v>
      </c>
      <c r="B1747" s="0" t="s">
        <v>98</v>
      </c>
      <c r="D1747" s="6" t="n">
        <f aca="false">Sens!D1720</f>
        <v>0.9</v>
      </c>
      <c r="E1747" s="6" t="n">
        <f aca="false">Sens!E1720</f>
        <v>5.25</v>
      </c>
      <c r="F1747" s="6" t="n">
        <f aca="false">Sens!F1720</f>
        <v>10.5</v>
      </c>
      <c r="G1747" s="6" t="n">
        <f aca="false">Sens!G1720</f>
        <v>13.5</v>
      </c>
      <c r="H1747" s="6" t="n">
        <f aca="false">Sens!H1720</f>
        <v>16.5</v>
      </c>
      <c r="I1747" s="6" t="n">
        <f aca="false">Sens!I1720</f>
        <v>18.75</v>
      </c>
      <c r="J1747" s="6" t="n">
        <f aca="false">Sens!J1720</f>
        <v>20.25</v>
      </c>
      <c r="K1747" s="6" t="n">
        <f aca="false">Sens!K1720</f>
        <v>21.75</v>
      </c>
    </row>
    <row r="1748" customFormat="false" ht="15" hidden="false" customHeight="false" outlineLevel="0" collapsed="false">
      <c r="A1748" s="0" t="s">
        <v>1033</v>
      </c>
      <c r="B1748" s="0" t="s">
        <v>98</v>
      </c>
      <c r="D1748" s="6" t="n">
        <f aca="false">Sens!D1724</f>
        <v>35.391</v>
      </c>
      <c r="E1748" s="6" t="n">
        <f aca="false">Sens!E1724</f>
        <v>37.285</v>
      </c>
      <c r="F1748" s="6" t="n">
        <f aca="false">Sens!F1724</f>
        <v>38.3851437782675</v>
      </c>
      <c r="G1748" s="6" t="n">
        <f aca="false">Sens!G1724</f>
        <v>40.0105353288615</v>
      </c>
      <c r="H1748" s="6" t="n">
        <f aca="false">Sens!H1724</f>
        <v>41.4812512033683</v>
      </c>
      <c r="I1748" s="6" t="n">
        <f aca="false">Sens!I1724</f>
        <v>42.7743107216329</v>
      </c>
      <c r="J1748" s="6" t="n">
        <f aca="false">Sens!J1724</f>
        <v>43.8687373064601</v>
      </c>
      <c r="K1748" s="6" t="n">
        <f aca="false">Sens!K1724</f>
        <v>44.7461120525893</v>
      </c>
    </row>
    <row r="1749" customFormat="false" ht="15" hidden="false" customHeight="false" outlineLevel="0" collapsed="false">
      <c r="A1749" s="0" t="s">
        <v>1035</v>
      </c>
      <c r="B1749" s="0" t="s">
        <v>98</v>
      </c>
      <c r="D1749" s="6" t="n">
        <f aca="false">Sens!D1726</f>
        <v>18.417</v>
      </c>
      <c r="E1749" s="6" t="n">
        <f aca="false">Sens!E1726</f>
        <v>20.345</v>
      </c>
      <c r="F1749" s="6" t="n">
        <f aca="false">Sens!F1726</f>
        <v>22.3161797133988</v>
      </c>
      <c r="G1749" s="6" t="n">
        <f aca="false">Sens!G1726</f>
        <v>24.3943499673233</v>
      </c>
      <c r="H1749" s="6" t="n">
        <f aca="false">Sens!H1726</f>
        <v>26.5250243109019</v>
      </c>
      <c r="I1749" s="6" t="n">
        <f aca="false">Sens!I1726</f>
        <v>28.6884573538181</v>
      </c>
      <c r="J1749" s="6" t="n">
        <f aca="false">Sens!J1726</f>
        <v>30.8624968052127</v>
      </c>
      <c r="K1749" s="6" t="n">
        <f aca="false">Sens!K1726</f>
        <v>33.0228715815776</v>
      </c>
    </row>
    <row r="1750" customFormat="false" ht="15" hidden="false" customHeight="false" outlineLevel="0" collapsed="false">
      <c r="A1750" s="0" t="s">
        <v>1036</v>
      </c>
      <c r="B1750" s="0" t="s">
        <v>98</v>
      </c>
      <c r="D1750" s="6" t="n">
        <f aca="false">Sens!D1728</f>
        <v>7.76</v>
      </c>
      <c r="E1750" s="6" t="n">
        <f aca="false">Sens!E1728</f>
        <v>8.26</v>
      </c>
      <c r="F1750" s="6" t="n">
        <f aca="false">Sens!F1728</f>
        <v>8.75372082474227</v>
      </c>
      <c r="G1750" s="6" t="n">
        <f aca="false">Sens!G1728</f>
        <v>9.33399324642364</v>
      </c>
      <c r="H1750" s="6" t="n">
        <f aca="false">Sens!H1728</f>
        <v>9.96139155535851</v>
      </c>
      <c r="I1750" s="6" t="n">
        <f aca="false">Sens!I1728</f>
        <v>10.6402039077391</v>
      </c>
      <c r="J1750" s="6" t="n">
        <f aca="false">Sens!J1728</f>
        <v>11.3751458271397</v>
      </c>
      <c r="K1750" s="6" t="n">
        <f aca="false">Sens!K1728</f>
        <v>12.1714060350394</v>
      </c>
    </row>
    <row r="1751" customFormat="false" ht="15" hidden="false" customHeight="false" outlineLevel="0" collapsed="false">
      <c r="A1751" s="0" t="s">
        <v>852</v>
      </c>
      <c r="B1751" s="0" t="s">
        <v>98</v>
      </c>
      <c r="D1751" s="6" t="n">
        <f aca="false">Sens!D1730</f>
        <v>218.783</v>
      </c>
      <c r="E1751" s="6" t="n">
        <f aca="false">Sens!E1730</f>
        <v>268.127</v>
      </c>
      <c r="F1751" s="6" t="n">
        <f aca="false">Sens!F1730</f>
        <v>336.113345609722</v>
      </c>
      <c r="G1751" s="6" t="n">
        <f aca="false">Sens!G1730</f>
        <v>402.165395444466</v>
      </c>
      <c r="H1751" s="6" t="n">
        <f aca="false">Sens!H1730</f>
        <v>462.845087160358</v>
      </c>
      <c r="I1751" s="6" t="n">
        <f aca="false">Sens!I1730</f>
        <v>526.3774355913</v>
      </c>
      <c r="J1751" s="6" t="n">
        <f aca="false">Sens!J1730</f>
        <v>578.39566514554</v>
      </c>
      <c r="K1751" s="6" t="n">
        <f aca="false">Sens!K1730</f>
        <v>619.490682704397</v>
      </c>
    </row>
    <row r="1752" customFormat="false" ht="15" hidden="false" customHeight="false" outlineLevel="0" collapsed="false">
      <c r="A1752" s="0" t="s">
        <v>1037</v>
      </c>
      <c r="B1752" s="0" t="s">
        <v>98</v>
      </c>
      <c r="D1752" s="6" t="n">
        <f aca="false">Sens!D1731</f>
        <v>22.171</v>
      </c>
      <c r="E1752" s="6" t="n">
        <f aca="false">Sens!E1731</f>
        <v>24.835</v>
      </c>
      <c r="F1752" s="6" t="n">
        <f aca="false">Sens!F1731</f>
        <v>27.5591895660247</v>
      </c>
      <c r="G1752" s="6" t="n">
        <f aca="false">Sens!G1731</f>
        <v>30.4098563144583</v>
      </c>
      <c r="H1752" s="6" t="n">
        <f aca="false">Sens!H1731</f>
        <v>33.3011792571777</v>
      </c>
      <c r="I1752" s="6" t="n">
        <f aca="false">Sens!I1731</f>
        <v>36.189023797112</v>
      </c>
      <c r="J1752" s="6" t="n">
        <f aca="false">Sens!J1731</f>
        <v>39.0247773769199</v>
      </c>
      <c r="K1752" s="6" t="n">
        <f aca="false">Sens!K1731</f>
        <v>41.7565117933043</v>
      </c>
    </row>
    <row r="1753" customFormat="false" ht="15" hidden="false" customHeight="false" outlineLevel="0" collapsed="false">
      <c r="A1753" s="0" t="s">
        <v>1038</v>
      </c>
      <c r="B1753" s="0" t="s">
        <v>98</v>
      </c>
      <c r="D1753" s="6" t="n">
        <f aca="false">Sens!D1733</f>
        <v>23.455</v>
      </c>
      <c r="E1753" s="6" t="n">
        <f aca="false">Sens!E1733</f>
        <v>21.79</v>
      </c>
      <c r="F1753" s="6" t="n">
        <f aca="false">Sens!F1733</f>
        <v>20.7520981041711</v>
      </c>
      <c r="G1753" s="6" t="n">
        <f aca="false">Sens!G1733</f>
        <v>19.9083593495882</v>
      </c>
      <c r="H1753" s="6" t="n">
        <f aca="false">Sens!H1733</f>
        <v>19.4008256265831</v>
      </c>
      <c r="I1753" s="6" t="n">
        <f aca="false">Sens!I1733</f>
        <v>19.200434522122</v>
      </c>
      <c r="J1753" s="6" t="n">
        <f aca="false">Sens!J1733</f>
        <v>19.2932782348507</v>
      </c>
      <c r="K1753" s="6" t="n">
        <f aca="false">Sens!K1733</f>
        <v>19.6791437995477</v>
      </c>
    </row>
    <row r="1754" customFormat="false" ht="15" hidden="false" customHeight="false" outlineLevel="0" collapsed="false">
      <c r="A1754" s="0" t="s">
        <v>1039</v>
      </c>
      <c r="B1754" s="0" t="s">
        <v>98</v>
      </c>
      <c r="D1754" s="6" t="n">
        <f aca="false">Sens!D1735</f>
        <v>17.315</v>
      </c>
      <c r="E1754" s="6" t="n">
        <f aca="false">Sens!E1735</f>
        <v>17.087</v>
      </c>
      <c r="F1754" s="6" t="n">
        <f aca="false">Sens!F1735</f>
        <v>15.9912273250553</v>
      </c>
      <c r="G1754" s="6" t="n">
        <f aca="false">Sens!G1735</f>
        <v>15.9574562664827</v>
      </c>
      <c r="H1754" s="6" t="n">
        <f aca="false">Sens!H1735</f>
        <v>16.0119687434196</v>
      </c>
      <c r="I1754" s="6" t="n">
        <f aca="false">Sens!I1735</f>
        <v>16.1551810001948</v>
      </c>
      <c r="J1754" s="6" t="n">
        <f aca="false">Sens!J1735</f>
        <v>16.3889793892005</v>
      </c>
      <c r="K1754" s="6" t="n">
        <f aca="false">Sens!K1735</f>
        <v>16.7167589769845</v>
      </c>
    </row>
    <row r="1755" customFormat="false" ht="15" hidden="false" customHeight="false" outlineLevel="0" collapsed="false">
      <c r="A1755" s="0" t="s">
        <v>866</v>
      </c>
      <c r="B1755" s="0" t="s">
        <v>98</v>
      </c>
      <c r="D1755" s="6" t="n">
        <f aca="false">Sens!D1737</f>
        <v>62.941</v>
      </c>
      <c r="E1755" s="6" t="n">
        <f aca="false">Sens!E1737</f>
        <v>63.712</v>
      </c>
      <c r="F1755" s="6" t="n">
        <f aca="false">Sens!F1737</f>
        <v>64.3025149952511</v>
      </c>
      <c r="G1755" s="6" t="n">
        <f aca="false">Sens!G1737</f>
        <v>66.2756719305292</v>
      </c>
      <c r="H1755" s="6" t="n">
        <f aca="false">Sens!H1737</f>
        <v>68.7139736271804</v>
      </c>
      <c r="I1755" s="6" t="n">
        <f aca="false">Sens!I1737</f>
        <v>71.5446393194289</v>
      </c>
      <c r="J1755" s="6" t="n">
        <f aca="false">Sens!J1737</f>
        <v>74.707035000971</v>
      </c>
      <c r="K1755" s="6" t="n">
        <f aca="false">Sens!K1737</f>
        <v>78.1524145698365</v>
      </c>
    </row>
    <row r="1756" customFormat="false" ht="15" hidden="false" customHeight="false" outlineLevel="0" collapsed="false">
      <c r="A1756" s="1" t="s">
        <v>1055</v>
      </c>
      <c r="B1756" s="0" t="s">
        <v>98</v>
      </c>
      <c r="D1756" s="6" t="n">
        <f aca="false">Sens!D1738</f>
        <v>281.724</v>
      </c>
      <c r="E1756" s="6" t="n">
        <f aca="false">Sens!E1738</f>
        <v>331.839</v>
      </c>
      <c r="F1756" s="6" t="n">
        <f aca="false">Sens!F1738</f>
        <v>400.415860604973</v>
      </c>
      <c r="G1756" s="6" t="n">
        <f aca="false">Sens!G1738</f>
        <v>468.441067374995</v>
      </c>
      <c r="H1756" s="6" t="n">
        <f aca="false">Sens!H1738</f>
        <v>531.559060787539</v>
      </c>
      <c r="I1756" s="6" t="n">
        <f aca="false">Sens!I1738</f>
        <v>597.922074910729</v>
      </c>
      <c r="J1756" s="6" t="n">
        <f aca="false">Sens!J1738</f>
        <v>653.102700146511</v>
      </c>
      <c r="K1756" s="6" t="n">
        <f aca="false">Sens!K1738</f>
        <v>697.643097274234</v>
      </c>
    </row>
    <row r="1757" customFormat="false" ht="15" hidden="false" customHeight="false" outlineLevel="0" collapsed="false">
      <c r="A1757" s="1" t="s">
        <v>1056</v>
      </c>
      <c r="B1757" s="0" t="s">
        <v>168</v>
      </c>
      <c r="E1757" s="7" t="n">
        <f aca="false">Sens!E1756/Sens!D1756-1</f>
        <v>0.177886867998467</v>
      </c>
      <c r="F1757" s="7" t="n">
        <f aca="false">Sens!F1756/Sens!E1756-1</f>
        <v>0.206657025259155</v>
      </c>
      <c r="G1757" s="7" t="n">
        <f aca="false">Sens!G1756/Sens!F1756-1</f>
        <v>0.169886394278302</v>
      </c>
      <c r="H1757" s="7" t="n">
        <f aca="false">Sens!H1756/Sens!G1756-1</f>
        <v>0.134740520864745</v>
      </c>
      <c r="I1757" s="7" t="n">
        <f aca="false">Sens!I1756/Sens!H1756-1</f>
        <v>0.124845984235259</v>
      </c>
      <c r="J1757" s="7" t="n">
        <f aca="false">Sens!J1756/Sens!I1756-1</f>
        <v>0.0922873189520903</v>
      </c>
      <c r="K1757" s="7" t="n">
        <f aca="false">Sens!K1756/Sens!J1756-1</f>
        <v>0.0681981518645247</v>
      </c>
    </row>
    <row r="1758" customFormat="false" ht="17.15" hidden="false" customHeight="false" outlineLevel="0" collapsed="false">
      <c r="A1758" s="26" t="s">
        <v>1057</v>
      </c>
      <c r="B1758" s="31" t="s">
        <v>98</v>
      </c>
      <c r="C1758" s="31"/>
      <c r="D1758" s="27" t="n">
        <f aca="false">(Sens!D1751+Sens!D1755-Sens!D1756)+(Sens!D1743+Sens!D1744-Sens!D1742)+(Sens!D1746+Sens!D1747-Sens!D1745)+(Sens!D1756-Q!L18)</f>
        <v>0</v>
      </c>
      <c r="E1758" s="27" t="n">
        <f aca="false">(Sens!E1751+Sens!E1755-Sens!E1756)+(Sens!E1743+Sens!E1744-Sens!E1742)+(Sens!E1746+Sens!E1747-Sens!E1745)+(Sens!E1756-Q!M18)</f>
        <v>0</v>
      </c>
      <c r="F1758" s="27" t="n">
        <f aca="false">(Sens!F1751+Sens!F1755-Sens!F1756)+(Sens!F1743+Sens!F1744-Sens!F1742)+(Sens!F1746+Sens!F1747-Sens!F1745)</f>
        <v>0</v>
      </c>
      <c r="G1758" s="27" t="n">
        <f aca="false">(Sens!G1751+Sens!G1755-Sens!G1756)+(Sens!G1743+Sens!G1744-Sens!G1742)+(Sens!G1746+Sens!G1747-Sens!G1745)</f>
        <v>0</v>
      </c>
      <c r="H1758" s="27" t="n">
        <f aca="false">(Sens!H1751+Sens!H1755-Sens!H1756)+(Sens!H1743+Sens!H1744-Sens!H1742)+(Sens!H1746+Sens!H1747-Sens!H1745)</f>
        <v>0</v>
      </c>
      <c r="I1758" s="27" t="n">
        <f aca="false">(Sens!I1751+Sens!I1755-Sens!I1756)+(Sens!I1743+Sens!I1744-Sens!I1742)+(Sens!I1746+Sens!I1747-Sens!I1745)</f>
        <v>0</v>
      </c>
      <c r="J1758" s="27" t="n">
        <f aca="false">(Sens!J1751+Sens!J1755-Sens!J1756)+(Sens!J1743+Sens!J1744-Sens!J1742)+(Sens!J1746+Sens!J1747-Sens!J1745)</f>
        <v>0</v>
      </c>
      <c r="K1758" s="27" t="n">
        <f aca="false">(Sens!K1751+Sens!K1755-Sens!K1756)+(Sens!K1743+Sens!K1744-Sens!K1742)+(Sens!K1746+Sens!K1747-Sens!K1745)</f>
        <v>0</v>
      </c>
    </row>
    <row r="1759" customFormat="false" ht="17.15" hidden="false" customHeight="false" outlineLevel="0" collapsed="false">
      <c r="A1759" s="0" t="s">
        <v>1058</v>
      </c>
      <c r="B1759" s="0" t="s">
        <v>168</v>
      </c>
      <c r="E1759" s="7" t="n">
        <f aca="false">(Q!M21+Sens!E1695+Sens!E1696+Sens!E1697+Sens!E1711-Sens!E1693)/(Q!M5-Sens!E1693)</f>
        <v>0.570957350878296</v>
      </c>
      <c r="F1759" s="7" t="n">
        <f aca="false">Sens!$E$1759+dm_seg</f>
        <v>0.570957350878296</v>
      </c>
      <c r="G1759" s="7" t="n">
        <f aca="false">Sens!$E$1759+dm_seg</f>
        <v>0.570957350878296</v>
      </c>
      <c r="H1759" s="7" t="n">
        <f aca="false">Sens!$E$1759+dm_seg</f>
        <v>0.570957350878296</v>
      </c>
      <c r="I1759" s="7" t="n">
        <f aca="false">Sens!$E$1759+dm_seg</f>
        <v>0.570957350878296</v>
      </c>
      <c r="J1759" s="7" t="n">
        <f aca="false">Sens!$E$1759+dm_seg</f>
        <v>0.570957350878296</v>
      </c>
      <c r="K1759" s="7" t="n">
        <f aca="false">Sens!$E$1759+dm_seg</f>
        <v>0.570957350878296</v>
      </c>
      <c r="L1759" s="12" t="s">
        <v>1059</v>
      </c>
    </row>
    <row r="1760" customFormat="false" ht="17.15" hidden="false" customHeight="false" outlineLevel="0" collapsed="false">
      <c r="A1760" s="0" t="s">
        <v>880</v>
      </c>
      <c r="B1760" s="0" t="s">
        <v>98</v>
      </c>
      <c r="D1760" s="6" t="n">
        <f aca="false">Q!L21</f>
        <v>110.814</v>
      </c>
      <c r="E1760" s="6" t="n">
        <f aca="false">Q!M21</f>
        <v>136.365</v>
      </c>
      <c r="F1760" s="6" t="n">
        <f aca="false">Q!$I$21+(Sens!F1759*(Sens!F1730-Sens!F1693)+Sens!F1693-(Sens!F1695+Sens!F1696+Sens!F1697)-Sens!F1711-Sens!F1794)*(Sens!F1730-Q!$I$5)/Sens!F1730</f>
        <v>163.883513935871</v>
      </c>
      <c r="G1760" s="6" t="n">
        <f aca="false">(Sens!G1759*(Sens!G1730-Sens!G1693)+Sens!G1693-(Sens!G1695+Sens!G1696+Sens!G1697)-Sens!G1711-Sens!G1794)</f>
        <v>171.630357396339</v>
      </c>
      <c r="H1760" s="6" t="n">
        <f aca="false">(Sens!H1759*(Sens!H1730-Sens!H1693)+Sens!H1693-(Sens!H1695+Sens!H1696+Sens!H1697)-Sens!H1711-Sens!H1794)</f>
        <v>176.024464062994</v>
      </c>
      <c r="I1760" s="6" t="n">
        <f aca="false">(Sens!I1759*(Sens!I1730-Sens!I1693)+Sens!I1693-(Sens!I1695+Sens!I1696+Sens!I1697)-Sens!I1711-Sens!I1794)</f>
        <v>188.824974719188</v>
      </c>
      <c r="J1760" s="6" t="n">
        <f aca="false">(Sens!J1759*(Sens!J1730-Sens!J1693)+Sens!J1693-(Sens!J1695+Sens!J1696+Sens!J1697)-Sens!J1711-Sens!J1794)</f>
        <v>202.065318855901</v>
      </c>
      <c r="K1760" s="6" t="n">
        <f aca="false">(Sens!K1759*(Sens!K1730-Sens!K1693)+Sens!K1693-(Sens!K1695+Sens!K1696+Sens!K1697)-Sens!K1711-Sens!K1794)</f>
        <v>215.779233551038</v>
      </c>
      <c r="L1760" s="1" t="s">
        <v>1060</v>
      </c>
    </row>
    <row r="1761" customFormat="false" ht="17.15" hidden="false" customHeight="false" outlineLevel="0" collapsed="false">
      <c r="A1761" s="0" t="s">
        <v>1061</v>
      </c>
      <c r="B1761" s="0" t="s">
        <v>168</v>
      </c>
      <c r="E1761" s="7" t="n">
        <f aca="false">Q!M22/Q!M12</f>
        <v>0.296207935710698</v>
      </c>
      <c r="F1761" s="7" t="n">
        <f aca="false">Sens!$E$1761+dm_seg</f>
        <v>0.296207935710698</v>
      </c>
      <c r="G1761" s="7" t="n">
        <f aca="false">Sens!$E$1761+dm_seg</f>
        <v>0.296207935710698</v>
      </c>
      <c r="H1761" s="7" t="n">
        <f aca="false">Sens!$E$1761+dm_seg</f>
        <v>0.296207935710698</v>
      </c>
      <c r="I1761" s="7" t="n">
        <f aca="false">Sens!$E$1761+dm_seg</f>
        <v>0.296207935710698</v>
      </c>
      <c r="J1761" s="7" t="n">
        <f aca="false">Sens!$E$1761+dm_seg</f>
        <v>0.296207935710698</v>
      </c>
      <c r="K1761" s="7" t="n">
        <f aca="false">Sens!$E$1761+dm_seg</f>
        <v>0.296207935710698</v>
      </c>
      <c r="L1761" s="12" t="s">
        <v>1062</v>
      </c>
    </row>
    <row r="1762" customFormat="false" ht="17.15" hidden="false" customHeight="false" outlineLevel="0" collapsed="false">
      <c r="A1762" s="0" t="s">
        <v>882</v>
      </c>
      <c r="B1762" s="0" t="s">
        <v>98</v>
      </c>
      <c r="D1762" s="6" t="n">
        <f aca="false">Q!L22</f>
        <v>17.714</v>
      </c>
      <c r="E1762" s="6" t="n">
        <f aca="false">Q!M22</f>
        <v>18.872</v>
      </c>
      <c r="F1762" s="6" t="n">
        <f aca="false">Q!$I$22+(Sens!F1737-Q!$I$12)*Sens!F1761</f>
        <v>19.8174315512051</v>
      </c>
      <c r="G1762" s="6" t="n">
        <f aca="false">Sens!G1737*Sens!G1761</f>
        <v>19.6313799703815</v>
      </c>
      <c r="H1762" s="6" t="n">
        <f aca="false">Sens!H1737*Sens!H1761</f>
        <v>20.3536242825865</v>
      </c>
      <c r="I1762" s="6" t="n">
        <f aca="false">Sens!I1737*Sens!I1761</f>
        <v>21.1920899239745</v>
      </c>
      <c r="J1762" s="6" t="n">
        <f aca="false">Sens!J1737*Sens!J1761</f>
        <v>22.1288166207045</v>
      </c>
      <c r="K1762" s="6" t="n">
        <f aca="false">Sens!K1737*Sens!K1761</f>
        <v>23.1493653905379</v>
      </c>
      <c r="L1762" s="12" t="s">
        <v>1063</v>
      </c>
    </row>
    <row r="1763" customFormat="false" ht="15" hidden="false" customHeight="false" outlineLevel="0" collapsed="false">
      <c r="A1763" s="1" t="s">
        <v>1064</v>
      </c>
      <c r="B1763" s="0" t="s">
        <v>98</v>
      </c>
      <c r="D1763" s="6" t="n">
        <f aca="false">Sens!D1760+Sens!D1762</f>
        <v>128.528</v>
      </c>
      <c r="E1763" s="6" t="n">
        <f aca="false">Sens!E1760+Sens!E1762</f>
        <v>155.237</v>
      </c>
      <c r="F1763" s="6" t="n">
        <f aca="false">Sens!F1760+Sens!F1762</f>
        <v>183.700945487076</v>
      </c>
      <c r="G1763" s="6" t="n">
        <f aca="false">Sens!G1760+Sens!G1762</f>
        <v>191.261737366721</v>
      </c>
      <c r="H1763" s="6" t="n">
        <f aca="false">Sens!H1760+Sens!H1762</f>
        <v>196.378088345581</v>
      </c>
      <c r="I1763" s="6" t="n">
        <f aca="false">Sens!I1760+Sens!I1762</f>
        <v>210.017064643163</v>
      </c>
      <c r="J1763" s="6" t="n">
        <f aca="false">Sens!J1760+Sens!J1762</f>
        <v>224.194135476605</v>
      </c>
      <c r="K1763" s="6" t="n">
        <f aca="false">Sens!K1760+Sens!K1762</f>
        <v>238.928598941576</v>
      </c>
    </row>
    <row r="1764" customFormat="false" ht="15" hidden="false" customHeight="false" outlineLevel="0" collapsed="false">
      <c r="A1764" s="26" t="s">
        <v>1065</v>
      </c>
      <c r="B1764" s="31" t="s">
        <v>98</v>
      </c>
      <c r="C1764" s="31"/>
      <c r="D1764" s="27" t="n">
        <f aca="false">Sens!D1763-Q!L23</f>
        <v>0</v>
      </c>
      <c r="E1764" s="27" t="n">
        <f aca="false">Sens!E1763-Q!M23</f>
        <v>0</v>
      </c>
      <c r="F1764" s="31"/>
      <c r="G1764" s="31"/>
      <c r="H1764" s="31"/>
      <c r="I1764" s="31"/>
      <c r="J1764" s="31"/>
      <c r="K1764" s="31"/>
    </row>
    <row r="1765" customFormat="false" ht="15" hidden="false" customHeight="false" outlineLevel="0" collapsed="false">
      <c r="A1765" s="1" t="s">
        <v>1066</v>
      </c>
      <c r="B1765" s="0" t="s">
        <v>168</v>
      </c>
      <c r="D1765" s="7" t="n">
        <f aca="false">Sens!D1763/Sens!D1756</f>
        <v>0.456219562408598</v>
      </c>
      <c r="E1765" s="7" t="n">
        <f aca="false">Sens!E1763/Sens!E1756</f>
        <v>0.467808184089272</v>
      </c>
      <c r="F1765" s="7" t="n">
        <f aca="false">Sens!F1763/Sens!F1756</f>
        <v>0.458775397182142</v>
      </c>
      <c r="G1765" s="7" t="n">
        <f aca="false">Sens!G1763/Sens!G1756</f>
        <v>0.40829412851972</v>
      </c>
      <c r="H1765" s="7" t="n">
        <f aca="false">Sens!H1763/Sens!H1756</f>
        <v>0.369437947411966</v>
      </c>
      <c r="I1765" s="7" t="n">
        <f aca="false">Sens!I1763/Sens!I1756</f>
        <v>0.351244875303389</v>
      </c>
      <c r="J1765" s="7" t="n">
        <f aca="false">Sens!J1763/Sens!J1756</f>
        <v>0.343275468661072</v>
      </c>
      <c r="K1765" s="7" t="n">
        <f aca="false">Sens!K1763/Sens!K1756</f>
        <v>0.342479700401388</v>
      </c>
    </row>
    <row r="1766" customFormat="false" ht="17.15" hidden="false" customHeight="false" outlineLevel="0" collapsed="false">
      <c r="A1766" s="1" t="s">
        <v>1067</v>
      </c>
      <c r="B1766" s="0" t="s">
        <v>98</v>
      </c>
      <c r="F1766" s="6" t="n">
        <f aca="false">Sens!F1781</f>
        <v>10.5962787979473</v>
      </c>
      <c r="G1766" s="6" t="n">
        <f aca="false">Sens!G1781</f>
        <v>27.844646674932</v>
      </c>
      <c r="H1766" s="6" t="n">
        <f aca="false">Sens!H1781</f>
        <v>46.566205501382</v>
      </c>
      <c r="I1766" s="6" t="n">
        <f aca="false">Sens!I1781</f>
        <v>63.2717778126444</v>
      </c>
      <c r="J1766" s="6" t="n">
        <f aca="false">Sens!J1781</f>
        <v>74.9061222882009</v>
      </c>
      <c r="K1766" s="6" t="n">
        <f aca="false">Sens!K1781</f>
        <v>81.6395437180232</v>
      </c>
      <c r="L1766" s="1" t="s">
        <v>1068</v>
      </c>
    </row>
    <row r="1767" customFormat="false" ht="17.15" hidden="false" customHeight="false" outlineLevel="0" collapsed="false">
      <c r="A1767" s="1" t="s">
        <v>1069</v>
      </c>
      <c r="B1767" s="0" t="s">
        <v>98</v>
      </c>
      <c r="D1767" s="6" t="n">
        <f aca="false">Sens!D1763</f>
        <v>128.528</v>
      </c>
      <c r="E1767" s="6" t="n">
        <f aca="false">Sens!E1763</f>
        <v>155.237</v>
      </c>
      <c r="F1767" s="6" t="n">
        <f aca="false">Sens!F1763+Sens!F1766</f>
        <v>194.297224285023</v>
      </c>
      <c r="G1767" s="6" t="n">
        <f aca="false">Sens!G1763+Sens!G1766</f>
        <v>219.106384041653</v>
      </c>
      <c r="H1767" s="6" t="n">
        <f aca="false">Sens!H1763+Sens!H1766</f>
        <v>242.944293846963</v>
      </c>
      <c r="I1767" s="6" t="n">
        <f aca="false">Sens!I1763+Sens!I1766</f>
        <v>273.288842455807</v>
      </c>
      <c r="J1767" s="6" t="n">
        <f aca="false">Sens!J1763+Sens!J1766</f>
        <v>299.100257764806</v>
      </c>
      <c r="K1767" s="6" t="n">
        <f aca="false">Sens!K1763+Sens!K1766</f>
        <v>320.568142659599</v>
      </c>
    </row>
    <row r="1768" customFormat="false" ht="17.15" hidden="false" customHeight="false" outlineLevel="0" collapsed="false">
      <c r="A1768" s="1" t="s">
        <v>1070</v>
      </c>
      <c r="B1768" s="0" t="s">
        <v>98</v>
      </c>
      <c r="E1768" s="6" t="n">
        <f aca="false">Sens!E1711</f>
        <v>16.3054059770833</v>
      </c>
      <c r="F1768" s="6" t="n">
        <f aca="false">Sens!F1711</f>
        <v>34.5793144783516</v>
      </c>
      <c r="G1768" s="6" t="n">
        <f aca="false">Sens!G1711</f>
        <v>60.7344906522989</v>
      </c>
      <c r="H1768" s="6" t="n">
        <f aca="false">Sens!H1711</f>
        <v>89.1000906614457</v>
      </c>
      <c r="I1768" s="6" t="n">
        <f aca="false">Sens!I1711</f>
        <v>114.231009694548</v>
      </c>
      <c r="J1768" s="6" t="n">
        <f aca="false">Sens!J1711</f>
        <v>132.015673049596</v>
      </c>
      <c r="K1768" s="6" t="n">
        <f aca="false">Sens!K1711</f>
        <v>143.012669550934</v>
      </c>
    </row>
    <row r="1769" customFormat="false" ht="17.15" hidden="false" customHeight="false" outlineLevel="0" collapsed="false">
      <c r="A1769" s="1" t="s">
        <v>1071</v>
      </c>
      <c r="B1769" s="0" t="s">
        <v>98</v>
      </c>
      <c r="E1769" s="6" t="n">
        <f aca="false">Sens!E1793</f>
        <v>22.2285940229167</v>
      </c>
      <c r="F1769" s="6" t="n">
        <f aca="false">Sens!F1793</f>
        <v>23.580344216413</v>
      </c>
      <c r="G1769" s="6" t="n">
        <f aca="false">Sens!G1793</f>
        <v>25.3005086096269</v>
      </c>
      <c r="H1769" s="6" t="n">
        <f aca="false">Sens!H1793</f>
        <v>27.3863710570764</v>
      </c>
      <c r="I1769" s="6" t="n">
        <f aca="false">Sens!I1793</f>
        <v>29.7816182872931</v>
      </c>
      <c r="J1769" s="6" t="n">
        <f aca="false">Sens!J1793</f>
        <v>32.4121911745743</v>
      </c>
      <c r="K1769" s="6" t="n">
        <f aca="false">Sens!K1793</f>
        <v>35.1947846984618</v>
      </c>
    </row>
    <row r="1770" customFormat="false" ht="17.15" hidden="false" customHeight="false" outlineLevel="0" collapsed="false">
      <c r="A1770" s="1" t="s">
        <v>1072</v>
      </c>
      <c r="B1770" s="0" t="s">
        <v>98</v>
      </c>
      <c r="D1770" s="6" t="n">
        <f aca="false">Q!L27</f>
        <v>-4.901</v>
      </c>
      <c r="E1770" s="6" t="n">
        <f aca="false">Q!M27</f>
        <v>10.697</v>
      </c>
      <c r="F1770" s="6" t="n">
        <f aca="false">Q!$I$27+oie_f*(q_per_yr-1)/q_per_yr</f>
        <v>-0.862</v>
      </c>
      <c r="G1770" s="6" t="n">
        <f aca="false">oie_f</f>
        <v>-1.2</v>
      </c>
      <c r="H1770" s="6" t="n">
        <f aca="false">oie_f</f>
        <v>-1.2</v>
      </c>
      <c r="I1770" s="6" t="n">
        <f aca="false">oie_f</f>
        <v>-1.2</v>
      </c>
      <c r="J1770" s="6" t="n">
        <f aca="false">oie_f</f>
        <v>-1.2</v>
      </c>
      <c r="K1770" s="6" t="n">
        <f aca="false">oie_f</f>
        <v>-1.2</v>
      </c>
      <c r="L1770" s="12" t="s">
        <v>1073</v>
      </c>
    </row>
    <row r="1771" customFormat="false" ht="15" hidden="false" customHeight="false" outlineLevel="0" collapsed="false">
      <c r="A1771" s="1" t="s">
        <v>1074</v>
      </c>
      <c r="B1771" s="0" t="s">
        <v>98</v>
      </c>
      <c r="D1771" s="6" t="n">
        <f aca="false">Sens!D1763+Sens!D1770</f>
        <v>123.627</v>
      </c>
      <c r="E1771" s="6" t="n">
        <f aca="false">Sens!E1763+Sens!E1770</f>
        <v>165.934</v>
      </c>
      <c r="F1771" s="6" t="n">
        <f aca="false">Sens!F1763+Sens!F1770</f>
        <v>182.838945487076</v>
      </c>
      <c r="G1771" s="6" t="n">
        <f aca="false">Sens!G1763+Sens!G1770</f>
        <v>190.061737366721</v>
      </c>
      <c r="H1771" s="6" t="n">
        <f aca="false">Sens!H1763+Sens!H1770</f>
        <v>195.178088345581</v>
      </c>
      <c r="I1771" s="6" t="n">
        <f aca="false">Sens!I1763+Sens!I1770</f>
        <v>208.817064643163</v>
      </c>
      <c r="J1771" s="6" t="n">
        <f aca="false">Sens!J1763+Sens!J1770</f>
        <v>222.994135476605</v>
      </c>
      <c r="K1771" s="6" t="n">
        <f aca="false">Sens!K1763+Sens!K1770</f>
        <v>237.728598941576</v>
      </c>
    </row>
    <row r="1772" customFormat="false" ht="15" hidden="false" customHeight="false" outlineLevel="0" collapsed="false">
      <c r="A1772" s="1" t="s">
        <v>1075</v>
      </c>
      <c r="B1772" s="0" t="s">
        <v>98</v>
      </c>
      <c r="D1772" s="6" t="n">
        <f aca="false">Q!L29</f>
        <v>21.795</v>
      </c>
      <c r="E1772" s="6" t="n">
        <f aca="false">Q!M29</f>
        <v>32.185</v>
      </c>
      <c r="F1772" s="6" t="n">
        <f aca="false">Q!$I$29+(Sens!F1771-Q!$I$28)*tax_f</f>
        <v>36.7011890974151</v>
      </c>
      <c r="G1772" s="6" t="n">
        <f aca="false">Sens!G1771*tax_f</f>
        <v>38.0123474733442</v>
      </c>
      <c r="H1772" s="6" t="n">
        <f aca="false">Sens!H1771*tax_f</f>
        <v>39.0356176691162</v>
      </c>
      <c r="I1772" s="6" t="n">
        <f aca="false">Sens!I1771*tax_f</f>
        <v>41.7634129286326</v>
      </c>
      <c r="J1772" s="6" t="n">
        <f aca="false">Sens!J1771*tax_f</f>
        <v>44.598827095321</v>
      </c>
      <c r="K1772" s="6" t="n">
        <f aca="false">Sens!K1771*tax_f</f>
        <v>47.5457197883152</v>
      </c>
    </row>
    <row r="1773" customFormat="false" ht="15" hidden="false" customHeight="false" outlineLevel="0" collapsed="false">
      <c r="A1773" s="1" t="s">
        <v>1076</v>
      </c>
      <c r="B1773" s="0" t="s">
        <v>98</v>
      </c>
      <c r="D1773" s="6" t="n">
        <f aca="false">Sens!D1771-Sens!D1772</f>
        <v>101.832</v>
      </c>
      <c r="E1773" s="6" t="n">
        <f aca="false">Sens!E1771-Sens!E1772</f>
        <v>133.749</v>
      </c>
      <c r="F1773" s="6" t="n">
        <f aca="false">Sens!F1771-Sens!F1772</f>
        <v>146.137756389661</v>
      </c>
      <c r="G1773" s="6" t="n">
        <f aca="false">Sens!G1771-Sens!G1772</f>
        <v>152.049389893377</v>
      </c>
      <c r="H1773" s="6" t="n">
        <f aca="false">Sens!H1771-Sens!H1772</f>
        <v>156.142470676465</v>
      </c>
      <c r="I1773" s="6" t="n">
        <f aca="false">Sens!I1771-Sens!I1772</f>
        <v>167.05365171453</v>
      </c>
      <c r="J1773" s="6" t="n">
        <f aca="false">Sens!J1771-Sens!J1772</f>
        <v>178.395308381284</v>
      </c>
      <c r="K1773" s="6" t="n">
        <f aca="false">Sens!K1771-Sens!K1772</f>
        <v>190.182879153261</v>
      </c>
    </row>
    <row r="1774" customFormat="false" ht="17.15" hidden="false" customHeight="false" outlineLevel="0" collapsed="false">
      <c r="A1774" s="1" t="s">
        <v>1077</v>
      </c>
      <c r="B1774" s="1" t="s">
        <v>81</v>
      </c>
      <c r="D1774" s="15" t="n">
        <f aca="false">Q!L31</f>
        <v>7.465</v>
      </c>
      <c r="E1774" s="15" t="n">
        <f aca="false">Q!M31</f>
        <v>7.453</v>
      </c>
      <c r="F1774" s="15" t="n">
        <f aca="false">Sens!F1818</f>
        <v>7.47190826161799</v>
      </c>
      <c r="G1774" s="15" t="n">
        <f aca="false">Sens!G1818</f>
        <v>7.51531652323597</v>
      </c>
      <c r="H1774" s="15" t="n">
        <f aca="false">Sens!H1818</f>
        <v>7.5527556317234</v>
      </c>
      <c r="I1774" s="15" t="n">
        <f aca="false">Sens!I1818</f>
        <v>7.57417616523749</v>
      </c>
      <c r="J1774" s="15" t="n">
        <f aca="false">Sens!J1818</f>
        <v>7.58832557639996</v>
      </c>
      <c r="K1774" s="15" t="n">
        <f aca="false">Sens!K1818</f>
        <v>7.60476021636522</v>
      </c>
    </row>
    <row r="1775" customFormat="false" ht="17.15" hidden="false" customHeight="false" outlineLevel="0" collapsed="false">
      <c r="A1775" s="0" t="s">
        <v>1078</v>
      </c>
      <c r="B1775" s="0" t="s">
        <v>75</v>
      </c>
      <c r="D1775" s="8" t="n">
        <f aca="false">Sens!D1773/Sens!D1774</f>
        <v>13.641259209645</v>
      </c>
      <c r="E1775" s="8" t="n">
        <f aca="false">Sens!E1773/Sens!E1774</f>
        <v>17.9456594659869</v>
      </c>
      <c r="F1775" s="8" t="n">
        <f aca="false">Sens!F1773/Sens!F1774</f>
        <v>19.5582910379598</v>
      </c>
      <c r="G1775" s="8" t="n">
        <f aca="false">Sens!G1773/Sens!G1774</f>
        <v>20.2319342669425</v>
      </c>
      <c r="H1775" s="8" t="n">
        <f aca="false">Sens!H1773/Sens!H1774</f>
        <v>20.6735764123797</v>
      </c>
      <c r="I1775" s="8" t="n">
        <f aca="false">Sens!I1773/Sens!I1774</f>
        <v>22.0556860667225</v>
      </c>
      <c r="J1775" s="8" t="n">
        <f aca="false">Sens!J1773/Sens!J1774</f>
        <v>23.5091795397</v>
      </c>
      <c r="K1775" s="8" t="n">
        <f aca="false">Sens!K1773/Sens!K1774</f>
        <v>25.0083991792395</v>
      </c>
      <c r="L1775" s="1" t="s">
        <v>1079</v>
      </c>
    </row>
    <row r="1776" customFormat="false" ht="17.15" hidden="false" customHeight="false" outlineLevel="0" collapsed="false">
      <c r="A1776" s="1" t="s">
        <v>1080</v>
      </c>
      <c r="B1776" s="0" t="s">
        <v>98</v>
      </c>
      <c r="D1776" s="6" t="n">
        <f aca="false">Sens!D1773</f>
        <v>101.832</v>
      </c>
      <c r="E1776" s="6" t="n">
        <f aca="false">Sens!E1773</f>
        <v>133.749</v>
      </c>
      <c r="F1776" s="6" t="n">
        <f aca="false">Sens!F1773+Sens!F1766*(1-tax_f)</f>
        <v>154.614779428018</v>
      </c>
      <c r="G1776" s="6" t="n">
        <f aca="false">Sens!G1773+Sens!G1766*(1-tax_f)</f>
        <v>174.325107233322</v>
      </c>
      <c r="H1776" s="6" t="n">
        <f aca="false">Sens!H1773+Sens!H1766*(1-tax_f)</f>
        <v>193.39543507757</v>
      </c>
      <c r="I1776" s="6" t="n">
        <f aca="false">Sens!I1773+Sens!I1766*(1-tax_f)</f>
        <v>217.671073964646</v>
      </c>
      <c r="J1776" s="6" t="n">
        <f aca="false">Sens!J1773+Sens!J1766*(1-tax_f)</f>
        <v>238.320206211845</v>
      </c>
      <c r="K1776" s="6" t="n">
        <f aca="false">Sens!K1773+Sens!K1766*(1-tax_f)</f>
        <v>255.494514127679</v>
      </c>
    </row>
    <row r="1777" customFormat="false" ht="17.15" hidden="false" customHeight="false" outlineLevel="0" collapsed="false">
      <c r="A1777" s="0" t="s">
        <v>1081</v>
      </c>
      <c r="B1777" s="0" t="s">
        <v>75</v>
      </c>
      <c r="D1777" s="8" t="n">
        <f aca="false">Sens!D1776/Sens!D1774</f>
        <v>13.641259209645</v>
      </c>
      <c r="E1777" s="8" t="n">
        <f aca="false">Sens!E1776/Sens!E1774</f>
        <v>17.9456594659869</v>
      </c>
      <c r="F1777" s="8" t="n">
        <f aca="false">Sens!F1776/Sens!F1774</f>
        <v>20.6928101917753</v>
      </c>
      <c r="G1777" s="8" t="n">
        <f aca="false">Sens!G1776/Sens!G1774</f>
        <v>23.1959767355561</v>
      </c>
      <c r="H1777" s="8" t="n">
        <f aca="false">Sens!H1776/Sens!H1774</f>
        <v>25.6059436459539</v>
      </c>
      <c r="I1777" s="8" t="n">
        <f aca="false">Sens!I1776/Sens!I1774</f>
        <v>28.7385808325493</v>
      </c>
      <c r="J1777" s="8" t="n">
        <f aca="false">Sens!J1776/Sens!J1774</f>
        <v>31.406165143076</v>
      </c>
      <c r="K1777" s="8" t="n">
        <f aca="false">Sens!K1776/Sens!K1774</f>
        <v>33.5966561546362</v>
      </c>
      <c r="L1777" s="1" t="s">
        <v>1082</v>
      </c>
    </row>
    <row r="1778" customFormat="false" ht="17.15" hidden="false" customHeight="false" outlineLevel="0" collapsed="false">
      <c r="A1778" s="0" t="s">
        <v>1083</v>
      </c>
      <c r="B1778" s="0" t="s">
        <v>168</v>
      </c>
      <c r="E1778" s="7" t="n">
        <f aca="false">Sens!E1777/Sens!D1777-1</f>
        <v>0.315542736208578</v>
      </c>
      <c r="F1778" s="7" t="n">
        <f aca="false">Sens!F1777/Sens!E1777-1</f>
        <v>0.153081625726555</v>
      </c>
      <c r="G1778" s="7" t="n">
        <f aca="false">Sens!G1777/Sens!F1777-1</f>
        <v>0.120967936233998</v>
      </c>
      <c r="H1778" s="7" t="n">
        <f aca="false">Sens!H1777/Sens!G1777-1</f>
        <v>0.103895901339805</v>
      </c>
      <c r="I1778" s="7" t="n">
        <f aca="false">Sens!I1777/Sens!H1777-1</f>
        <v>0.122340235919811</v>
      </c>
      <c r="J1778" s="7" t="n">
        <f aca="false">Sens!J1777/Sens!I1777-1</f>
        <v>0.0928224092229859</v>
      </c>
      <c r="K1778" s="7" t="n">
        <f aca="false">Sens!K1777/Sens!J1777-1</f>
        <v>0.0697471659332192</v>
      </c>
    </row>
    <row r="1779" customFormat="false" ht="17.15" hidden="false" customHeight="false" outlineLevel="0" collapsed="false">
      <c r="A1779" s="0" t="s">
        <v>1003</v>
      </c>
      <c r="B1779" s="0" t="s">
        <v>98</v>
      </c>
      <c r="E1779" s="6" t="n">
        <f aca="false">Sens!E1720</f>
        <v>5.25</v>
      </c>
      <c r="F1779" s="6" t="n">
        <f aca="false">Sens!F1720</f>
        <v>10.5</v>
      </c>
      <c r="G1779" s="6" t="n">
        <f aca="false">Sens!G1720</f>
        <v>13.5</v>
      </c>
      <c r="H1779" s="6" t="n">
        <f aca="false">Sens!H1720</f>
        <v>16.5</v>
      </c>
      <c r="I1779" s="6" t="n">
        <f aca="false">Sens!I1720</f>
        <v>18.75</v>
      </c>
      <c r="J1779" s="6" t="n">
        <f aca="false">Sens!J1720</f>
        <v>20.25</v>
      </c>
      <c r="K1779" s="6" t="n">
        <f aca="false">Sens!K1720</f>
        <v>21.75</v>
      </c>
    </row>
    <row r="1780" customFormat="false" ht="17.15" hidden="false" customHeight="false" outlineLevel="0" collapsed="false">
      <c r="A1780" s="1" t="s">
        <v>1004</v>
      </c>
      <c r="B1780" s="0" t="s">
        <v>98</v>
      </c>
      <c r="F1780" s="6" t="n">
        <f aca="false">MAX(0,((Sens!E1680+Sens!F1680)/2-(shadow_base*(Sens!$D$1680+Sens!$E$1680)/2+(1-shadow_base)*Sens!$E$1680))*Sens!F1689/1000-(Sens!F1779-Sens!$E$1779)*Sens!F1759)</f>
        <v>10.5962787979473</v>
      </c>
      <c r="G1780" s="6" t="n">
        <f aca="false">MAX(0,((Sens!F1680+Sens!G1680)/2-(shadow_base*(Sens!$D$1680+Sens!$E$1680)/2+(1-shadow_base)*Sens!$E$1680))*Sens!G1689/1000-(Sens!G1779-Sens!$E$1779)*Sens!G1759)</f>
        <v>27.844646674932</v>
      </c>
      <c r="H1780" s="6" t="n">
        <f aca="false">MAX(0,((Sens!G1680+Sens!H1680)/2-(shadow_base*(Sens!$D$1680+Sens!$E$1680)/2+(1-shadow_base)*Sens!$E$1680))*Sens!H1689/1000-(Sens!H1779-Sens!$E$1779)*Sens!H1759)</f>
        <v>46.566205501382</v>
      </c>
      <c r="I1780" s="6" t="n">
        <f aca="false">MAX(0,((Sens!H1680+Sens!I1680)/2-(shadow_base*(Sens!$D$1680+Sens!$E$1680)/2+(1-shadow_base)*Sens!$E$1680))*Sens!I1689/1000-(Sens!I1779-Sens!$E$1779)*Sens!I1759)</f>
        <v>63.2717778126444</v>
      </c>
      <c r="J1780" s="6" t="n">
        <f aca="false">MAX(0,((Sens!I1680+Sens!J1680)/2-(shadow_base*(Sens!$D$1680+Sens!$E$1680)/2+(1-shadow_base)*Sens!$E$1680))*Sens!J1689/1000-(Sens!J1779-Sens!$E$1779)*Sens!J1759)</f>
        <v>74.9061222882009</v>
      </c>
      <c r="K1780" s="6" t="n">
        <f aca="false">MAX(0,((Sens!J1680+Sens!K1680)/2-(shadow_base*(Sens!$D$1680+Sens!$E$1680)/2+(1-shadow_base)*Sens!$E$1680))*Sens!K1689/1000-(Sens!K1779-Sens!$E$1779)*Sens!K1759)</f>
        <v>81.6395437180232</v>
      </c>
      <c r="L1780" s="1" t="s">
        <v>1005</v>
      </c>
    </row>
    <row r="1781" customFormat="false" ht="17.15" hidden="false" customHeight="false" outlineLevel="0" collapsed="false">
      <c r="A1781" s="1" t="s">
        <v>1006</v>
      </c>
      <c r="B1781" s="0" t="s">
        <v>98</v>
      </c>
      <c r="F1781" s="6" t="n">
        <f aca="false">IF(internal_ai_reading=2,1,0)*Sens!F1780</f>
        <v>10.5962787979473</v>
      </c>
      <c r="G1781" s="6" t="n">
        <f aca="false">IF(internal_ai_reading=2,1,0)*Sens!G1780</f>
        <v>27.844646674932</v>
      </c>
      <c r="H1781" s="6" t="n">
        <f aca="false">IF(internal_ai_reading=2,1,0)*Sens!H1780</f>
        <v>46.566205501382</v>
      </c>
      <c r="I1781" s="6" t="n">
        <f aca="false">IF(internal_ai_reading=2,1,0)*Sens!I1780</f>
        <v>63.2717778126444</v>
      </c>
      <c r="J1781" s="6" t="n">
        <f aca="false">IF(internal_ai_reading=2,1,0)*Sens!J1780</f>
        <v>74.9061222882009</v>
      </c>
      <c r="K1781" s="6" t="n">
        <f aca="false">IF(internal_ai_reading=2,1,0)*Sens!K1780</f>
        <v>81.6395437180232</v>
      </c>
    </row>
    <row r="1782" customFormat="false" ht="17.15" hidden="false" customHeight="false" outlineLevel="0" collapsed="false">
      <c r="A1782" s="0" t="s">
        <v>1007</v>
      </c>
      <c r="B1782" s="0" t="s">
        <v>98</v>
      </c>
      <c r="F1782" s="6" t="n">
        <f aca="false">Sens!F1699+Sens!F1779*Sens!F1759+Sens!F1781-Sens!F1700-Sens!F1711</f>
        <v>18.0326701006464</v>
      </c>
      <c r="G1782" s="6" t="n">
        <f aca="false">Sens!G1699+Sens!G1779*Sens!G1759+Sens!G1781-Sens!G1700-Sens!G1711</f>
        <v>27.942737850798</v>
      </c>
      <c r="H1782" s="6" t="n">
        <f aca="false">Sens!H1699+Sens!H1779*Sens!H1759+Sens!H1781-Sens!H1700-Sens!H1711</f>
        <v>31.7528470001481</v>
      </c>
      <c r="I1782" s="6" t="n">
        <f aca="false">Sens!I1699+Sens!I1779*Sens!I1759+Sens!I1781-Sens!I1700-Sens!I1711</f>
        <v>42.4418972339458</v>
      </c>
      <c r="J1782" s="6" t="n">
        <f aca="false">Sens!J1699+Sens!J1779*Sens!J1759+Sens!J1781-Sens!J1700-Sens!J1711</f>
        <v>49.7419250536387</v>
      </c>
      <c r="K1782" s="6" t="n">
        <f aca="false">Sens!K1699+Sens!K1779*Sens!K1759+Sens!K1781-Sens!K1700-Sens!K1711</f>
        <v>54.6368476388484</v>
      </c>
    </row>
    <row r="1783" customFormat="false" ht="17.15" hidden="false" customHeight="false" outlineLevel="0" collapsed="false">
      <c r="A1783" s="0" t="s">
        <v>1008</v>
      </c>
      <c r="B1783" s="0" t="s">
        <v>98</v>
      </c>
      <c r="E1783" s="6" t="n">
        <f aca="false">Sens!E1679*(cxit_open+self_build*tk_cxfac)/1000*ai_net_open</f>
        <v>126.6980382</v>
      </c>
      <c r="F1783" s="6" t="n">
        <f aca="false">Sens!E1783+Sens!F1708-Sens!F1711</f>
        <v>260.572627763768</v>
      </c>
      <c r="G1783" s="6" t="n">
        <f aca="false">Sens!F1783+Sens!G1708-Sens!G1711</f>
        <v>391.782612760517</v>
      </c>
      <c r="H1783" s="6" t="n">
        <f aca="false">Sens!G1783+Sens!H1708-Sens!H1711</f>
        <v>499.488526163584</v>
      </c>
      <c r="I1783" s="6" t="n">
        <f aca="false">Sens!H1783+Sens!I1708-Sens!I1711</f>
        <v>553.872350090646</v>
      </c>
      <c r="J1783" s="6" t="n">
        <f aca="false">Sens!I1783+Sens!J1708-Sens!J1711</f>
        <v>550.78660823699</v>
      </c>
      <c r="K1783" s="6" t="n">
        <f aca="false">Sens!J1783+Sens!K1708-Sens!K1711</f>
        <v>526.736791750789</v>
      </c>
      <c r="L1783" s="1" t="s">
        <v>1009</v>
      </c>
    </row>
    <row r="1784" customFormat="false" ht="17.15" hidden="false" customHeight="false" outlineLevel="0" collapsed="false">
      <c r="A1784" s="0" t="s">
        <v>1010</v>
      </c>
      <c r="B1784" s="0" t="s">
        <v>168</v>
      </c>
      <c r="F1784" s="7" t="n">
        <f aca="false">Sens!F1782*(1-tax_f)/((Sens!E1783+Sens!F1783)/2)</f>
        <v>0.0745015687909955</v>
      </c>
      <c r="G1784" s="7" t="n">
        <f aca="false">Sens!G1782*(1-tax_f)/((Sens!F1783+Sens!G1783)/2)</f>
        <v>0.0685337953679128</v>
      </c>
      <c r="H1784" s="7" t="n">
        <f aca="false">Sens!H1782*(1-tax_f)/((Sens!G1783+Sens!H1783)/2)</f>
        <v>0.0570023565012615</v>
      </c>
      <c r="I1784" s="7" t="n">
        <f aca="false">Sens!I1782*(1-tax_f)/((Sens!H1783+Sens!I1783)/2)</f>
        <v>0.0644670189534587</v>
      </c>
      <c r="J1784" s="7" t="n">
        <f aca="false">Sens!J1782*(1-tax_f)/((Sens!I1783+Sens!J1783)/2)</f>
        <v>0.0720467430113547</v>
      </c>
      <c r="K1784" s="7" t="n">
        <f aca="false">Sens!K1782*(1-tax_f)/((Sens!J1783+Sens!K1783)/2)</f>
        <v>0.0811295199929291</v>
      </c>
    </row>
    <row r="1785" customFormat="false" ht="17.15" hidden="false" customHeight="false" outlineLevel="0" collapsed="false">
      <c r="A1785" s="1" t="s">
        <v>1011</v>
      </c>
      <c r="B1785" s="0" t="s">
        <v>168</v>
      </c>
      <c r="F1785" s="7" t="n">
        <f aca="false">(Sens!F1782-Sens!F1781)*(1-tax_f)/((Sens!E1783+Sens!F1783)/2)</f>
        <v>0.0307232825256941</v>
      </c>
      <c r="G1785" s="7" t="n">
        <f aca="false">(Sens!G1782-Sens!G1781)*(1-tax_f)/((Sens!F1783+Sens!G1783)/2)</f>
        <v>0.000240583460722275</v>
      </c>
      <c r="H1785" s="7" t="n">
        <f aca="false">(Sens!H1782-Sens!H1781)*(1-tax_f)/((Sens!G1783+Sens!H1783)/2)</f>
        <v>-0.0265927758309164</v>
      </c>
      <c r="I1785" s="7" t="n">
        <f aca="false">(Sens!I1782-Sens!I1781)*(1-tax_f)/((Sens!H1783+Sens!I1783)/2)</f>
        <v>-0.0316394976092449</v>
      </c>
      <c r="J1785" s="7" t="n">
        <f aca="false">(Sens!J1782-Sens!J1781)*(1-tax_f)/((Sens!I1783+Sens!J1783)/2)</f>
        <v>-0.0364480958324496</v>
      </c>
      <c r="K1785" s="7" t="n">
        <f aca="false">(Sens!K1782-Sens!K1781)*(1-tax_f)/((Sens!J1783+Sens!K1783)/2)</f>
        <v>-0.0400959401226643</v>
      </c>
    </row>
    <row r="1786" customFormat="false" ht="17.15" hidden="false" customHeight="false" outlineLevel="0" collapsed="false">
      <c r="A1786" s="1" t="s">
        <v>1012</v>
      </c>
      <c r="B1786" s="0" t="s">
        <v>168</v>
      </c>
      <c r="F1786" s="7" t="n">
        <f aca="false">(Sens!F1782-Sens!F1781+Sens!F1780)*(1-tax_f)/((Sens!E1783+Sens!F1783)/2)</f>
        <v>0.0745015687909955</v>
      </c>
      <c r="G1786" s="7" t="n">
        <f aca="false">(Sens!G1782-Sens!G1781+Sens!G1780)*(1-tax_f)/((Sens!F1783+Sens!G1783)/2)</f>
        <v>0.0685337953679128</v>
      </c>
      <c r="H1786" s="7" t="n">
        <f aca="false">(Sens!H1782-Sens!H1781+Sens!H1780)*(1-tax_f)/((Sens!G1783+Sens!H1783)/2)</f>
        <v>0.0570023565012615</v>
      </c>
      <c r="I1786" s="7" t="n">
        <f aca="false">(Sens!I1782-Sens!I1781+Sens!I1780)*(1-tax_f)/((Sens!H1783+Sens!I1783)/2)</f>
        <v>0.0644670189534587</v>
      </c>
      <c r="J1786" s="7" t="n">
        <f aca="false">(Sens!J1782-Sens!J1781+Sens!J1780)*(1-tax_f)/((Sens!I1783+Sens!J1783)/2)</f>
        <v>0.0720467430113547</v>
      </c>
      <c r="K1786" s="7" t="n">
        <f aca="false">(Sens!K1782-Sens!K1781+Sens!K1780)*(1-tax_f)/((Sens!J1783+Sens!K1783)/2)</f>
        <v>0.0811295199929291</v>
      </c>
    </row>
    <row r="1787" customFormat="false" ht="17.15" hidden="false" customHeight="false" outlineLevel="0" collapsed="false">
      <c r="A1787" s="1" t="s">
        <v>1013</v>
      </c>
      <c r="B1787" s="0" t="s">
        <v>168</v>
      </c>
      <c r="F1787" s="7" t="n">
        <f aca="false">Sens!F1712*(1-tax_f)/(Sens!F1698*(Sens!E1783+Sens!F1783)/2)</f>
        <v>0.151449102272743</v>
      </c>
      <c r="G1787" s="7" t="n">
        <f aca="false">Sens!G1712*(1-tax_f)/(Sens!G1698*(Sens!F1783+Sens!G1783)/2)</f>
        <v>0.114555597847046</v>
      </c>
      <c r="H1787" s="7" t="n">
        <f aca="false">Sens!H1712*(1-tax_f)/(Sens!H1698*(Sens!G1783+Sens!H1783)/2)</f>
        <v>0.0825725786420001</v>
      </c>
      <c r="I1787" s="7" t="n">
        <f aca="false">Sens!I1712*(1-tax_f)/(Sens!I1698*(Sens!H1783+Sens!I1783)/2)</f>
        <v>0.087463157059805</v>
      </c>
      <c r="J1787" s="7" t="n">
        <f aca="false">Sens!J1712*(1-tax_f)/(Sens!J1698*(Sens!I1783+Sens!J1783)/2)</f>
        <v>0.0949447340990368</v>
      </c>
      <c r="K1787" s="7" t="n">
        <f aca="false">Sens!K1712*(1-tax_f)/(Sens!K1698*(Sens!J1783+Sens!K1783)/2)</f>
        <v>0.105568329421061</v>
      </c>
    </row>
    <row r="1788" customFormat="false" ht="17.15" hidden="false" customHeight="false" outlineLevel="0" collapsed="false">
      <c r="A1788" s="0" t="s">
        <v>1014</v>
      </c>
      <c r="B1788" s="0" t="s">
        <v>253</v>
      </c>
      <c r="F1788" s="7" t="n">
        <f aca="false">Sens!F1784-wacc</f>
        <v>-0.0284350221546018</v>
      </c>
      <c r="G1788" s="7" t="n">
        <f aca="false">Sens!G1784-wacc</f>
        <v>-0.0344027955776845</v>
      </c>
      <c r="H1788" s="7" t="n">
        <f aca="false">Sens!H1784-wacc</f>
        <v>-0.0459342344443358</v>
      </c>
      <c r="I1788" s="7" t="n">
        <f aca="false">Sens!I1784-wacc</f>
        <v>-0.0384695719921386</v>
      </c>
      <c r="J1788" s="7" t="n">
        <f aca="false">Sens!J1784-wacc</f>
        <v>-0.0308898479342426</v>
      </c>
      <c r="K1788" s="7" t="n">
        <f aca="false">Sens!K1784-wacc</f>
        <v>-0.0218070709526682</v>
      </c>
    </row>
    <row r="1789" customFormat="false" ht="17.15" hidden="false" customHeight="false" outlineLevel="0" collapsed="false">
      <c r="A1789" s="0" t="s">
        <v>1015</v>
      </c>
      <c r="B1789" s="0" t="s">
        <v>98</v>
      </c>
      <c r="F1789" s="6" t="n">
        <f aca="false">Sens!F1782*(1-tax_f)-wacc*(Sens!E1783+Sens!F1783)/2</f>
        <v>-5.50602498325356</v>
      </c>
      <c r="G1789" s="6" t="n">
        <f aca="false">Sens!G1782*(1-tax_f)-wacc*(Sens!F1783+Sens!G1783)/2</f>
        <v>-11.2214219918941</v>
      </c>
      <c r="H1789" s="6" t="n">
        <f aca="false">Sens!H1782*(1-tax_f)-wacc*(Sens!G1783+Sens!H1783)/2</f>
        <v>-20.4699287244049</v>
      </c>
      <c r="I1789" s="6" t="n">
        <f aca="false">Sens!I1782*(1-tax_f)-wacc*(Sens!H1783+Sens!I1783)/2</f>
        <v>-20.2611710313821</v>
      </c>
      <c r="J1789" s="6" t="n">
        <f aca="false">Sens!J1782*(1-tax_f)-wacc*(Sens!I1783+Sens!J1783)/2</f>
        <v>-17.0613736209697</v>
      </c>
      <c r="K1789" s="6" t="n">
        <f aca="false">Sens!K1782*(1-tax_f)-wacc*(Sens!J1783+Sens!K1783)/2</f>
        <v>-11.7488146183469</v>
      </c>
    </row>
    <row r="1790" customFormat="false" ht="17.15" hidden="false" customHeight="false" outlineLevel="0" collapsed="false">
      <c r="A1790" s="3" t="s">
        <v>1523</v>
      </c>
    </row>
    <row r="1791" customFormat="false" ht="15" hidden="false" customHeight="false" outlineLevel="0" collapsed="false">
      <c r="A1791" s="4" t="s">
        <v>43</v>
      </c>
      <c r="B1791" s="4" t="s">
        <v>65</v>
      </c>
      <c r="C1791" s="23" t="s">
        <v>938</v>
      </c>
      <c r="D1791" s="23" t="s">
        <v>939</v>
      </c>
      <c r="E1791" s="23" t="s">
        <v>940</v>
      </c>
      <c r="F1791" s="23" t="s">
        <v>941</v>
      </c>
      <c r="G1791" s="23" t="s">
        <v>942</v>
      </c>
      <c r="H1791" s="23" t="s">
        <v>943</v>
      </c>
      <c r="I1791" s="23" t="s">
        <v>944</v>
      </c>
      <c r="J1791" s="23" t="s">
        <v>945</v>
      </c>
      <c r="K1791" s="23" t="s">
        <v>946</v>
      </c>
      <c r="L1791" s="4" t="s">
        <v>47</v>
      </c>
    </row>
    <row r="1792" customFormat="false" ht="15" hidden="false" customHeight="false" outlineLevel="0" collapsed="false">
      <c r="A1792" s="1" t="s">
        <v>1076</v>
      </c>
      <c r="B1792" s="0" t="s">
        <v>98</v>
      </c>
      <c r="F1792" s="6" t="n">
        <f aca="false">Sens!F1773</f>
        <v>146.137756389661</v>
      </c>
      <c r="G1792" s="6" t="n">
        <f aca="false">Sens!G1773</f>
        <v>152.049389893377</v>
      </c>
      <c r="H1792" s="6" t="n">
        <f aca="false">Sens!H1773</f>
        <v>156.142470676465</v>
      </c>
      <c r="I1792" s="6" t="n">
        <f aca="false">Sens!I1773</f>
        <v>167.05365171453</v>
      </c>
      <c r="J1792" s="6" t="n">
        <f aca="false">Sens!J1773</f>
        <v>178.395308381284</v>
      </c>
      <c r="K1792" s="6" t="n">
        <f aca="false">Sens!K1773</f>
        <v>190.182879153261</v>
      </c>
    </row>
    <row r="1793" customFormat="false" ht="17.15" hidden="false" customHeight="false" outlineLevel="0" collapsed="false">
      <c r="A1793" s="1" t="s">
        <v>1098</v>
      </c>
      <c r="B1793" s="0" t="s">
        <v>98</v>
      </c>
      <c r="E1793" s="6" t="n">
        <f aca="false">Q!M38-Sens!E1711</f>
        <v>22.2285940229167</v>
      </c>
      <c r="F1793" s="6" t="n">
        <f aca="false">Sens!E1793*(1-1/life_nonai)+(Sens!F1801+Sens!F1802)/life_nonai</f>
        <v>23.580344216413</v>
      </c>
      <c r="G1793" s="6" t="n">
        <f aca="false">Sens!F1793*(1-1/life_nonai)+(Sens!G1801)/life_nonai</f>
        <v>25.3005086096269</v>
      </c>
      <c r="H1793" s="6" t="n">
        <f aca="false">Sens!G1793*(1-1/life_nonai)+(Sens!H1801)/life_nonai</f>
        <v>27.3863710570764</v>
      </c>
      <c r="I1793" s="6" t="n">
        <f aca="false">Sens!H1793*(1-1/life_nonai)+(Sens!I1801)/life_nonai</f>
        <v>29.7816182872931</v>
      </c>
      <c r="J1793" s="6" t="n">
        <f aca="false">Sens!I1793*(1-1/life_nonai)+(Sens!J1801)/life_nonai</f>
        <v>32.4121911745743</v>
      </c>
      <c r="K1793" s="6" t="n">
        <f aca="false">Sens!J1793*(1-1/life_nonai)+(Sens!K1801)/life_nonai</f>
        <v>35.1947846984618</v>
      </c>
      <c r="L1793" s="12" t="s">
        <v>1099</v>
      </c>
    </row>
    <row r="1794" customFormat="false" ht="17.15" hidden="false" customHeight="false" outlineLevel="0" collapsed="false">
      <c r="A1794" s="1" t="s">
        <v>1100</v>
      </c>
      <c r="B1794" s="0" t="s">
        <v>98</v>
      </c>
      <c r="F1794" s="6" t="n">
        <f aca="false">Sens!$F$1802/life_nonai*(1-1/life_nonai)^(Sens!F1674-2027)</f>
        <v>0.0255882057667392</v>
      </c>
      <c r="G1794" s="6" t="n">
        <f aca="false">Sens!$F$1802/life_nonai*(1-1/life_nonai)^(Sens!G1674-2027)</f>
        <v>0.0230293851900653</v>
      </c>
      <c r="H1794" s="6" t="n">
        <f aca="false">Sens!$F$1802/life_nonai*(1-1/life_nonai)^(Sens!H1674-2027)</f>
        <v>0.0207264466710588</v>
      </c>
      <c r="I1794" s="6" t="n">
        <f aca="false">Sens!$F$1802/life_nonai*(1-1/life_nonai)^(Sens!I1674-2027)</f>
        <v>0.0186538020039529</v>
      </c>
      <c r="J1794" s="6" t="n">
        <f aca="false">Sens!$F$1802/life_nonai*(1-1/life_nonai)^(Sens!J1674-2027)</f>
        <v>0.0167884218035576</v>
      </c>
      <c r="K1794" s="6" t="n">
        <f aca="false">Sens!$F$1802/life_nonai*(1-1/life_nonai)^(Sens!K1674-2027)</f>
        <v>0.0151095796232019</v>
      </c>
      <c r="L1794" s="1" t="s">
        <v>1101</v>
      </c>
    </row>
    <row r="1795" customFormat="false" ht="17.15" hidden="false" customHeight="false" outlineLevel="0" collapsed="false">
      <c r="A1795" s="1" t="s">
        <v>1102</v>
      </c>
      <c r="B1795" s="0" t="s">
        <v>98</v>
      </c>
      <c r="E1795" s="6" t="n">
        <f aca="false">Sens!E1711+Sens!E1793</f>
        <v>38.534</v>
      </c>
      <c r="F1795" s="6" t="n">
        <f aca="false">Sens!F1711+Sens!F1793</f>
        <v>58.1596586947647</v>
      </c>
      <c r="G1795" s="6" t="n">
        <f aca="false">Sens!G1711+Sens!G1793</f>
        <v>86.0349992619258</v>
      </c>
      <c r="H1795" s="6" t="n">
        <f aca="false">Sens!H1711+Sens!H1793</f>
        <v>116.486461718522</v>
      </c>
      <c r="I1795" s="6" t="n">
        <f aca="false">Sens!I1711+Sens!I1793</f>
        <v>144.012627981841</v>
      </c>
      <c r="J1795" s="6" t="n">
        <f aca="false">Sens!J1711+Sens!J1793</f>
        <v>164.42786422417</v>
      </c>
      <c r="K1795" s="6" t="n">
        <f aca="false">Sens!K1711+Sens!K1793</f>
        <v>178.207454249396</v>
      </c>
    </row>
    <row r="1796" customFormat="false" ht="17.15" hidden="false" customHeight="false" outlineLevel="0" collapsed="false">
      <c r="A1796" s="1" t="s">
        <v>1103</v>
      </c>
      <c r="B1796" s="0" t="s">
        <v>98</v>
      </c>
      <c r="F1796" s="6" t="n">
        <f aca="false">Sens!F1738*sbc_r</f>
        <v>14.9685803983398</v>
      </c>
      <c r="G1796" s="6" t="n">
        <f aca="false">Sens!G1738*sbc_r</f>
        <v>17.5115385496786</v>
      </c>
      <c r="H1796" s="6" t="n">
        <f aca="false">Sens!H1738*sbc_r</f>
        <v>19.8710523750054</v>
      </c>
      <c r="I1796" s="6" t="n">
        <f aca="false">Sens!I1738*sbc_r</f>
        <v>22.3518734665533</v>
      </c>
      <c r="J1796" s="6" t="n">
        <f aca="false">Sens!J1738*sbc_r</f>
        <v>24.4146679423379</v>
      </c>
      <c r="K1796" s="6" t="n">
        <f aca="false">Sens!K1738*sbc_r</f>
        <v>26.0797031743914</v>
      </c>
    </row>
    <row r="1797" customFormat="false" ht="17.15" hidden="false" customHeight="false" outlineLevel="0" collapsed="false">
      <c r="A1797" s="1" t="s">
        <v>1104</v>
      </c>
      <c r="B1797" s="0" t="s">
        <v>98</v>
      </c>
      <c r="F1797" s="6" t="n">
        <f aca="false">wc27-wc26q1</f>
        <v>-4.677</v>
      </c>
      <c r="G1797" s="6" t="n">
        <f aca="false">wc_f</f>
        <v>0</v>
      </c>
      <c r="H1797" s="6" t="n">
        <f aca="false">wc_f</f>
        <v>0</v>
      </c>
      <c r="I1797" s="6" t="n">
        <f aca="false">wc_f</f>
        <v>0</v>
      </c>
      <c r="J1797" s="6" t="n">
        <f aca="false">wc_f</f>
        <v>0</v>
      </c>
      <c r="K1797" s="6" t="n">
        <f aca="false">wc_f</f>
        <v>0</v>
      </c>
      <c r="L1797" s="12" t="s">
        <v>1105</v>
      </c>
    </row>
    <row r="1798" customFormat="false" ht="17.15" hidden="false" customHeight="false" outlineLevel="0" collapsed="false">
      <c r="A1798" s="0" t="s">
        <v>1106</v>
      </c>
      <c r="B1798" s="0" t="s">
        <v>98</v>
      </c>
      <c r="F1798" s="6" t="n">
        <f aca="false">Q!$I$35-Q!$I$26-Q!$I$38-Q!$I$39</f>
        <v>6.493</v>
      </c>
      <c r="L1798" s="1" t="s">
        <v>1107</v>
      </c>
    </row>
    <row r="1799" customFormat="false" ht="15" hidden="false" customHeight="false" outlineLevel="0" collapsed="false">
      <c r="A1799" s="1" t="s">
        <v>904</v>
      </c>
      <c r="B1799" s="0" t="s">
        <v>98</v>
      </c>
      <c r="E1799" s="6" t="n">
        <f aca="false">Q!M35</f>
        <v>182.935</v>
      </c>
      <c r="F1799" s="6" t="n">
        <f aca="false">Sens!F1792+Sens!F1795+Sens!F1796+Sens!F1797+Sens!F1798</f>
        <v>221.081995482765</v>
      </c>
      <c r="G1799" s="6" t="n">
        <f aca="false">Sens!G1792+Sens!G1795+Sens!G1796+Sens!G1797</f>
        <v>255.595927704981</v>
      </c>
      <c r="H1799" s="6" t="n">
        <f aca="false">Sens!H1792+Sens!H1795+Sens!H1796+Sens!H1797</f>
        <v>292.499984769992</v>
      </c>
      <c r="I1799" s="6" t="n">
        <f aca="false">Sens!I1792+Sens!I1795+Sens!I1796+Sens!I1797</f>
        <v>333.418153162925</v>
      </c>
      <c r="J1799" s="6" t="n">
        <f aca="false">Sens!J1792+Sens!J1795+Sens!J1796+Sens!J1797</f>
        <v>367.237840547792</v>
      </c>
      <c r="K1799" s="6" t="n">
        <f aca="false">Sens!K1792+Sens!K1795+Sens!K1796+Sens!K1797</f>
        <v>394.470036577048</v>
      </c>
    </row>
    <row r="1800" customFormat="false" ht="17.15" hidden="false" customHeight="false" outlineLevel="0" collapsed="false">
      <c r="A1800" s="0" t="s">
        <v>1108</v>
      </c>
      <c r="B1800" s="0" t="s">
        <v>98</v>
      </c>
      <c r="F1800" s="6" t="n">
        <f aca="false">Sens!F1708</f>
        <v>168.45390404212</v>
      </c>
      <c r="G1800" s="6" t="n">
        <f aca="false">Sens!G1708</f>
        <v>191.944475649048</v>
      </c>
      <c r="H1800" s="6" t="n">
        <f aca="false">Sens!H1708</f>
        <v>196.806004064512</v>
      </c>
      <c r="I1800" s="6" t="n">
        <f aca="false">Sens!I1708</f>
        <v>168.61483362161</v>
      </c>
      <c r="J1800" s="6" t="n">
        <f aca="false">Sens!J1708</f>
        <v>128.92993119594</v>
      </c>
      <c r="K1800" s="6" t="n">
        <f aca="false">Sens!K1708</f>
        <v>118.962853064733</v>
      </c>
    </row>
    <row r="1801" customFormat="false" ht="17.15" hidden="false" customHeight="false" outlineLevel="0" collapsed="false">
      <c r="A1801" s="1" t="s">
        <v>1109</v>
      </c>
      <c r="B1801" s="0" t="s">
        <v>98</v>
      </c>
      <c r="E1801" s="6" t="n">
        <f aca="false">Sens!E1716*cx_azo+Sens!E1723*cx_m365+Sens!E1724*cx_lic+(Sens!E1726+Sens!E1728)*cx_ind+Sens!E1731*cx_srch+(Sens!E1733+Sens!E1735)*cx_dev</f>
        <v>30.1846587067718</v>
      </c>
      <c r="F1801" s="6" t="n">
        <f aca="false">Sens!F1716*cx_azo+Sens!F1723*cx_m365+Sens!F1724*cx_lic+(Sens!F1726+Sens!F1728)*cx_ind+Sens!F1731*cx_srch+(Sens!F1733+Sens!F1735)*cx_dev</f>
        <v>35.490213900213</v>
      </c>
      <c r="G1801" s="6" t="n">
        <f aca="false">Sens!G1716*cx_azo+Sens!G1723*cx_m365+Sens!G1724*cx_lic+(Sens!G1726+Sens!G1728)*cx_ind+Sens!G1731*cx_srch+(Sens!G1733+Sens!G1735)*cx_dev</f>
        <v>40.7819881485513</v>
      </c>
      <c r="H1801" s="6" t="n">
        <f aca="false">Sens!H1716*cx_azo+Sens!H1723*cx_m365+Sens!H1724*cx_lic+(Sens!H1726+Sens!H1728)*cx_ind+Sens!H1731*cx_srch+(Sens!H1733+Sens!H1735)*cx_dev</f>
        <v>46.1591330841225</v>
      </c>
      <c r="I1801" s="6" t="n">
        <f aca="false">Sens!I1716*cx_azo+Sens!I1723*cx_m365+Sens!I1724*cx_lic+(Sens!I1726+Sens!I1728)*cx_ind+Sens!I1731*cx_srch+(Sens!I1733+Sens!I1735)*cx_dev</f>
        <v>51.3388433592433</v>
      </c>
      <c r="J1801" s="6" t="n">
        <f aca="false">Sens!J1716*cx_azo+Sens!J1723*cx_m365+Sens!J1724*cx_lic+(Sens!J1726+Sens!J1728)*cx_ind+Sens!J1731*cx_srch+(Sens!J1733+Sens!J1735)*cx_dev</f>
        <v>56.0873471601052</v>
      </c>
      <c r="K1801" s="6" t="n">
        <f aca="false">Sens!K1716*cx_azo+Sens!K1723*cx_m365+Sens!K1724*cx_lic+(Sens!K1726+Sens!K1728)*cx_ind+Sens!K1731*cx_srch+(Sens!K1733+Sens!K1735)*cx_dev</f>
        <v>60.2381264134493</v>
      </c>
    </row>
    <row r="1802" customFormat="false" ht="17.15" hidden="false" customHeight="false" outlineLevel="0" collapsed="false">
      <c r="A1802" s="0" t="s">
        <v>1110</v>
      </c>
      <c r="B1802" s="0" t="s">
        <v>98</v>
      </c>
      <c r="F1802" s="6" t="n">
        <f aca="false">Sens!F1706</f>
        <v>0.255882057667392</v>
      </c>
      <c r="L1802" s="1" t="s">
        <v>1111</v>
      </c>
    </row>
    <row r="1803" customFormat="false" ht="17.15" hidden="false" customHeight="false" outlineLevel="0" collapsed="false">
      <c r="A1803" s="1" t="s">
        <v>1112</v>
      </c>
      <c r="B1803" s="0" t="s">
        <v>98</v>
      </c>
      <c r="E1803" s="6" t="n">
        <f aca="false">Q!M43</f>
        <v>145.3</v>
      </c>
      <c r="F1803" s="6" t="n">
        <f aca="false">Sens!F1800+Sens!F1801+Sens!F1802</f>
        <v>204.2</v>
      </c>
      <c r="G1803" s="6" t="n">
        <f aca="false">Sens!G1800+Sens!G1801</f>
        <v>232.726463797599</v>
      </c>
      <c r="H1803" s="6" t="n">
        <f aca="false">Sens!H1800+Sens!H1801</f>
        <v>242.965137148635</v>
      </c>
      <c r="I1803" s="6" t="n">
        <f aca="false">Sens!I1800+Sens!I1801</f>
        <v>219.953676980854</v>
      </c>
      <c r="J1803" s="6" t="n">
        <f aca="false">Sens!J1800+Sens!J1801</f>
        <v>185.017278356046</v>
      </c>
      <c r="K1803" s="6" t="n">
        <f aca="false">Sens!K1800+Sens!K1801</f>
        <v>179.200979478182</v>
      </c>
      <c r="L1803" s="1" t="s">
        <v>1113</v>
      </c>
    </row>
    <row r="1804" customFormat="false" ht="15" hidden="false" customHeight="false" outlineLevel="0" collapsed="false">
      <c r="A1804" s="1" t="s">
        <v>1114</v>
      </c>
      <c r="B1804" s="0" t="s">
        <v>98</v>
      </c>
      <c r="E1804" s="6" t="n">
        <f aca="false">fl_liab</f>
        <v>66.594</v>
      </c>
      <c r="F1804" s="6" t="n">
        <f aca="false">Sens!E1804-Sens!F1805</f>
        <v>62.46973</v>
      </c>
      <c r="G1804" s="6" t="n">
        <f aca="false">Sens!F1804-Sens!G1805</f>
        <v>57.98686785</v>
      </c>
      <c r="H1804" s="6" t="n">
        <f aca="false">Sens!G1804-Sens!H1805</f>
        <v>53.92827690325</v>
      </c>
      <c r="I1804" s="6" t="n">
        <f aca="false">Sens!H1804-Sens!I1805</f>
        <v>49.7850493638962</v>
      </c>
      <c r="J1804" s="6" t="n">
        <f aca="false">Sens!I1804-Sens!J1805</f>
        <v>45.4823765852716</v>
      </c>
      <c r="K1804" s="6" t="n">
        <f aca="false">Sens!J1804-Sens!K1805</f>
        <v>40.9860835316088</v>
      </c>
    </row>
    <row r="1805" customFormat="false" ht="15" hidden="false" customHeight="false" outlineLevel="0" collapsed="false">
      <c r="A1805" s="1" t="s">
        <v>1115</v>
      </c>
      <c r="B1805" s="0" t="s">
        <v>98</v>
      </c>
      <c r="F1805" s="6" t="n">
        <f aca="false">fl_pay_27-Sens!E1804*fl_rate</f>
        <v>4.12427</v>
      </c>
      <c r="G1805" s="6" t="n">
        <f aca="false">fl_pay_28-Sens!F1804*fl_rate</f>
        <v>4.48286215</v>
      </c>
      <c r="H1805" s="6" t="n">
        <f aca="false">fl_pay_29-Sens!G1804*fl_rate</f>
        <v>4.05859094675</v>
      </c>
      <c r="I1805" s="6" t="n">
        <f aca="false">fl_pay_30-Sens!H1804*fl_rate</f>
        <v>4.14322753935375</v>
      </c>
      <c r="J1805" s="6" t="n">
        <f aca="false">fl_pay_31-Sens!I1804*fl_rate</f>
        <v>4.30267277862467</v>
      </c>
      <c r="K1805" s="6" t="n">
        <f aca="false">fl_pay_32-Sens!J1804*fl_rate</f>
        <v>4.49629305366278</v>
      </c>
    </row>
    <row r="1806" customFormat="false" ht="17.15" hidden="false" customHeight="false" outlineLevel="0" collapsed="false">
      <c r="A1806" s="1" t="s">
        <v>1116</v>
      </c>
      <c r="B1806" s="0" t="s">
        <v>98</v>
      </c>
      <c r="E1806" s="6" t="n">
        <f aca="false">Q!M35-Q!M36-Q!M44</f>
        <v>63.886</v>
      </c>
      <c r="F1806" s="6" t="n">
        <f aca="false">Sens!F1799-Sens!F1803-Sens!F1805</f>
        <v>12.757725482765</v>
      </c>
      <c r="G1806" s="6" t="n">
        <f aca="false">Sens!G1799-Sens!G1803-Sens!G1805</f>
        <v>18.3866017573817</v>
      </c>
      <c r="H1806" s="6" t="n">
        <f aca="false">Sens!H1799-Sens!H1803-Sens!H1805</f>
        <v>45.4762566746073</v>
      </c>
      <c r="I1806" s="6" t="n">
        <f aca="false">Sens!I1799-Sens!I1803-Sens!I1805</f>
        <v>109.321248642718</v>
      </c>
      <c r="J1806" s="6" t="n">
        <f aca="false">Sens!J1799-Sens!J1803-Sens!J1805</f>
        <v>177.917889413122</v>
      </c>
      <c r="K1806" s="6" t="n">
        <f aca="false">Sens!K1799-Sens!K1803-Sens!K1805</f>
        <v>210.772764045203</v>
      </c>
      <c r="L1806" s="12" t="s">
        <v>1117</v>
      </c>
    </row>
    <row r="1807" customFormat="false" ht="15" hidden="false" customHeight="false" outlineLevel="0" collapsed="false">
      <c r="A1807" s="1" t="s">
        <v>1118</v>
      </c>
      <c r="B1807" s="0" t="s">
        <v>75</v>
      </c>
      <c r="F1807" s="8" t="n">
        <f aca="false">dps_27</f>
        <v>3.85</v>
      </c>
      <c r="G1807" s="8" t="n">
        <f aca="false">Sens!F1807*(1+dps_g)</f>
        <v>4.158</v>
      </c>
      <c r="H1807" s="8" t="n">
        <f aca="false">Sens!G1807*(1+dps_g)</f>
        <v>4.49064</v>
      </c>
      <c r="I1807" s="8" t="n">
        <f aca="false">Sens!H1807*(1+dps_g)</f>
        <v>4.8498912</v>
      </c>
      <c r="J1807" s="8" t="n">
        <f aca="false">Sens!I1807*(1+dps_g)</f>
        <v>5.237882496</v>
      </c>
      <c r="K1807" s="8" t="n">
        <f aca="false">Sens!J1807*(1+dps_g)</f>
        <v>5.65691309568</v>
      </c>
    </row>
    <row r="1808" customFormat="false" ht="17.15" hidden="false" customHeight="false" outlineLevel="0" collapsed="false">
      <c r="A1808" s="1" t="s">
        <v>1119</v>
      </c>
      <c r="B1808" s="0" t="s">
        <v>98</v>
      </c>
      <c r="E1808" s="6" t="n">
        <f aca="false">Q!M41</f>
        <v>26.445</v>
      </c>
      <c r="F1808" s="6" t="n">
        <f aca="false">Sens!F1807*Sens!E1817</f>
        <v>28.59395</v>
      </c>
      <c r="G1808" s="6" t="n">
        <f aca="false">Sens!G1807*Sens!F1817</f>
        <v>31.0553391036152</v>
      </c>
      <c r="H1808" s="6" t="n">
        <f aca="false">Sens!H1807*Sens!G1817</f>
        <v>33.7418450319044</v>
      </c>
      <c r="I1808" s="6" t="n">
        <f aca="false">Sens!I1807*Sens!H1817</f>
        <v>36.5860987360348</v>
      </c>
      <c r="J1808" s="6" t="n">
        <f aca="false">Sens!J1807*Sens!I1817</f>
        <v>39.5808845203102</v>
      </c>
      <c r="K1808" s="6" t="n">
        <f aca="false">Sens!K1807*Sens!J1817</f>
        <v>42.8341095443133</v>
      </c>
      <c r="L1808" s="1" t="s">
        <v>1120</v>
      </c>
    </row>
    <row r="1809" customFormat="false" ht="15" hidden="false" customHeight="false" outlineLevel="0" collapsed="false">
      <c r="A1809" s="1" t="s">
        <v>1121</v>
      </c>
      <c r="B1809" s="0" t="s">
        <v>98</v>
      </c>
      <c r="E1809" s="6" t="n">
        <f aca="false">Sens!E1806-Sens!E1808</f>
        <v>37.441</v>
      </c>
      <c r="F1809" s="6" t="n">
        <f aca="false">Sens!F1806-Sens!F1808</f>
        <v>-15.836224517235</v>
      </c>
      <c r="G1809" s="6" t="n">
        <f aca="false">Sens!G1806-Sens!G1808</f>
        <v>-12.6687373462335</v>
      </c>
      <c r="H1809" s="6" t="n">
        <f aca="false">Sens!H1806-Sens!H1808</f>
        <v>11.7344116427029</v>
      </c>
      <c r="I1809" s="6" t="n">
        <f aca="false">Sens!I1806-Sens!I1808</f>
        <v>72.7351499066829</v>
      </c>
      <c r="J1809" s="6" t="n">
        <f aca="false">Sens!J1806-Sens!J1808</f>
        <v>138.337004892812</v>
      </c>
      <c r="K1809" s="6" t="n">
        <f aca="false">Sens!K1806-Sens!K1808</f>
        <v>167.93865450089</v>
      </c>
    </row>
    <row r="1810" customFormat="false" ht="15" hidden="false" customHeight="false" outlineLevel="0" collapsed="false">
      <c r="A1810" s="1" t="s">
        <v>1122</v>
      </c>
      <c r="B1810" s="0" t="s">
        <v>98</v>
      </c>
      <c r="F1810" s="6" t="n">
        <f aca="false">debt_mat_27</f>
        <v>9.25</v>
      </c>
      <c r="G1810" s="6" t="n">
        <f aca="false">debt_mat_28</f>
        <v>0</v>
      </c>
      <c r="H1810" s="6" t="n">
        <f aca="false">debt_mat_29</f>
        <v>2.001</v>
      </c>
      <c r="I1810" s="6" t="n">
        <f aca="false">debt_mat_30</f>
        <v>0</v>
      </c>
      <c r="J1810" s="6" t="n">
        <f aca="false">debt_mat_31</f>
        <v>0.5</v>
      </c>
      <c r="K1810" s="6" t="n">
        <f aca="false">debt_mat_32</f>
        <v>0</v>
      </c>
    </row>
    <row r="1811" customFormat="false" ht="15" hidden="false" customHeight="false" outlineLevel="0" collapsed="false">
      <c r="A1811" s="1" t="s">
        <v>1123</v>
      </c>
      <c r="B1811" s="0" t="s">
        <v>98</v>
      </c>
      <c r="E1811" s="6" t="n">
        <f aca="false">Q!M40</f>
        <v>22.271</v>
      </c>
      <c r="F1811" s="6" t="n">
        <f aca="false">MAX(0,MIN(bb_target,Sens!E1813+Sens!F1809-Sens!F1810-min_cash))</f>
        <v>1.75677548276498</v>
      </c>
      <c r="G1811" s="6" t="n">
        <f aca="false">MAX(0,MIN(bb_target,Sens!F1813+Sens!G1809-Sens!G1810-min_cash))</f>
        <v>0</v>
      </c>
      <c r="H1811" s="6" t="n">
        <f aca="false">MAX(0,MIN(bb_target,Sens!G1813+Sens!H1809-Sens!H1810-min_cash))</f>
        <v>9.73341164270291</v>
      </c>
      <c r="I1811" s="6" t="n">
        <f aca="false">MAX(0,MIN(bb_target,Sens!H1813+Sens!I1809-Sens!I1810-min_cash))</f>
        <v>22.271</v>
      </c>
      <c r="J1811" s="6" t="n">
        <f aca="false">MAX(0,MIN(bb_target,Sens!I1813+Sens!J1809-Sens!J1810-min_cash))</f>
        <v>22.271</v>
      </c>
      <c r="K1811" s="6" t="n">
        <f aca="false">MAX(0,MIN(bb_target,Sens!J1813+Sens!K1809-Sens!K1810-min_cash))</f>
        <v>22.271</v>
      </c>
    </row>
    <row r="1812" customFormat="false" ht="15" hidden="false" customHeight="false" outlineLevel="0" collapsed="false">
      <c r="A1812" s="1" t="s">
        <v>1124</v>
      </c>
      <c r="B1812" s="0" t="s">
        <v>98</v>
      </c>
      <c r="F1812" s="6" t="n">
        <f aca="false">MAX(0,min_cash-(Sens!E1813+Sens!F1809-Sens!F1810-Sens!F1811))</f>
        <v>0</v>
      </c>
      <c r="G1812" s="6" t="n">
        <f aca="false">MAX(0,min_cash-(Sens!F1813+Sens!G1809-Sens!G1810-Sens!G1811))</f>
        <v>12.6687373462335</v>
      </c>
      <c r="H1812" s="6" t="n">
        <f aca="false">MAX(0,min_cash-(Sens!G1813+Sens!H1809-Sens!H1810-Sens!H1811))</f>
        <v>0</v>
      </c>
      <c r="I1812" s="6" t="n">
        <f aca="false">MAX(0,min_cash-(Sens!H1813+Sens!I1809-Sens!I1810-Sens!I1811))</f>
        <v>0</v>
      </c>
      <c r="J1812" s="6" t="n">
        <f aca="false">MAX(0,min_cash-(Sens!I1813+Sens!J1809-Sens!J1810-Sens!J1811))</f>
        <v>0</v>
      </c>
      <c r="K1812" s="6" t="n">
        <f aca="false">MAX(0,min_cash-(Sens!J1813+Sens!K1809-Sens!K1810-Sens!K1811))</f>
        <v>0</v>
      </c>
    </row>
    <row r="1813" customFormat="false" ht="15" hidden="false" customHeight="false" outlineLevel="0" collapsed="false">
      <c r="A1813" s="1" t="s">
        <v>1125</v>
      </c>
      <c r="B1813" s="0" t="s">
        <v>98</v>
      </c>
      <c r="E1813" s="6" t="n">
        <f aca="false">cash_open</f>
        <v>76.843</v>
      </c>
      <c r="F1813" s="6" t="n">
        <f aca="false">Sens!E1813+Sens!F1809-Sens!F1810-Sens!F1811+Sens!F1812</f>
        <v>50</v>
      </c>
      <c r="G1813" s="6" t="n">
        <f aca="false">Sens!F1813+Sens!G1809-Sens!G1810-Sens!G1811+Sens!G1812</f>
        <v>50</v>
      </c>
      <c r="H1813" s="6" t="n">
        <f aca="false">Sens!G1813+Sens!H1809-Sens!H1810-Sens!H1811+Sens!H1812</f>
        <v>50</v>
      </c>
      <c r="I1813" s="6" t="n">
        <f aca="false">Sens!H1813+Sens!I1809-Sens!I1810-Sens!I1811+Sens!I1812</f>
        <v>100.464149906683</v>
      </c>
      <c r="J1813" s="6" t="n">
        <f aca="false">Sens!I1813+Sens!J1809-Sens!J1810-Sens!J1811+Sens!J1812</f>
        <v>216.030154799495</v>
      </c>
      <c r="K1813" s="6" t="n">
        <f aca="false">Sens!J1813+Sens!K1809-Sens!K1810-Sens!K1811+Sens!K1812</f>
        <v>361.697809300385</v>
      </c>
    </row>
    <row r="1814" customFormat="false" ht="15" hidden="false" customHeight="false" outlineLevel="0" collapsed="false">
      <c r="A1814" s="1" t="s">
        <v>1126</v>
      </c>
      <c r="B1814" s="0" t="s">
        <v>98</v>
      </c>
      <c r="E1814" s="6" t="n">
        <f aca="false">debt_face</f>
        <v>46.136</v>
      </c>
      <c r="F1814" s="6" t="n">
        <f aca="false">Sens!E1814-Sens!F1810+Sens!F1812</f>
        <v>36.886</v>
      </c>
      <c r="G1814" s="6" t="n">
        <f aca="false">Sens!F1814-Sens!G1810+Sens!G1812</f>
        <v>49.5547373462335</v>
      </c>
      <c r="H1814" s="6" t="n">
        <f aca="false">Sens!G1814-Sens!H1810+Sens!H1812</f>
        <v>47.5537373462335</v>
      </c>
      <c r="I1814" s="6" t="n">
        <f aca="false">Sens!H1814-Sens!I1810+Sens!I1812</f>
        <v>47.5537373462335</v>
      </c>
      <c r="J1814" s="6" t="n">
        <f aca="false">Sens!I1814-Sens!J1810+Sens!J1812</f>
        <v>47.0537373462335</v>
      </c>
      <c r="K1814" s="6" t="n">
        <f aca="false">Sens!J1814-Sens!K1810+Sens!K1812</f>
        <v>47.0537373462335</v>
      </c>
    </row>
    <row r="1815" customFormat="false" ht="15" hidden="false" customHeight="false" outlineLevel="0" collapsed="false">
      <c r="A1815" s="1" t="s">
        <v>1127</v>
      </c>
      <c r="B1815" s="0" t="s">
        <v>98</v>
      </c>
      <c r="E1815" s="6" t="n">
        <f aca="false">Sens!E1813-Sens!E1814</f>
        <v>30.707</v>
      </c>
      <c r="F1815" s="6" t="n">
        <f aca="false">Sens!F1813-Sens!F1814</f>
        <v>13.114</v>
      </c>
      <c r="G1815" s="6" t="n">
        <f aca="false">Sens!G1813-Sens!G1814</f>
        <v>0.445262653766513</v>
      </c>
      <c r="H1815" s="6" t="n">
        <f aca="false">Sens!H1813-Sens!H1814</f>
        <v>2.44626265376651</v>
      </c>
      <c r="I1815" s="6" t="n">
        <f aca="false">Sens!I1813-Sens!I1814</f>
        <v>52.9104125604494</v>
      </c>
      <c r="J1815" s="6" t="n">
        <f aca="false">Sens!J1813-Sens!J1814</f>
        <v>168.976417453261</v>
      </c>
      <c r="K1815" s="6" t="n">
        <f aca="false">Sens!K1813-Sens!K1814</f>
        <v>314.644071954151</v>
      </c>
    </row>
    <row r="1816" customFormat="false" ht="15" hidden="false" customHeight="false" outlineLevel="0" collapsed="false">
      <c r="A1816" s="1" t="s">
        <v>1128</v>
      </c>
      <c r="B1816" s="0" t="s">
        <v>75</v>
      </c>
      <c r="F1816" s="30" t="n">
        <f aca="false">px*(1+bb_g)^(Sens!F1674-base_fy-mid_yr)</f>
        <v>551.84177959629</v>
      </c>
      <c r="G1816" s="30" t="n">
        <f aca="false">px*(1+bb_g)^(Sens!G1674-base_fy-mid_yr)</f>
        <v>595.989121963993</v>
      </c>
      <c r="H1816" s="30" t="n">
        <f aca="false">px*(1+bb_g)^(Sens!H1674-base_fy-mid_yr)</f>
        <v>643.668251721112</v>
      </c>
      <c r="I1816" s="30" t="n">
        <f aca="false">px*(1+bb_g)^(Sens!I1674-base_fy-mid_yr)</f>
        <v>695.161711858801</v>
      </c>
      <c r="J1816" s="30" t="n">
        <f aca="false">px*(1+bb_g)^(Sens!J1674-base_fy-mid_yr)</f>
        <v>750.774648807506</v>
      </c>
      <c r="K1816" s="30" t="n">
        <f aca="false">px*(1+bb_g)^(Sens!K1674-base_fy-mid_yr)</f>
        <v>810.836620712106</v>
      </c>
    </row>
    <row r="1817" customFormat="false" ht="15" hidden="false" customHeight="false" outlineLevel="0" collapsed="false">
      <c r="A1817" s="1" t="s">
        <v>1129</v>
      </c>
      <c r="B1817" s="1" t="s">
        <v>81</v>
      </c>
      <c r="E1817" s="15" t="n">
        <f aca="false">sh_out26</f>
        <v>7.427</v>
      </c>
      <c r="F1817" s="15" t="n">
        <f aca="false">Sens!E1817+sh_iss-Sens!F1811/Sens!F1816</f>
        <v>7.46881652323597</v>
      </c>
      <c r="G1817" s="15" t="n">
        <f aca="false">Sens!F1817+sh_iss-Sens!G1811/Sens!G1816</f>
        <v>7.51381652323597</v>
      </c>
      <c r="H1817" s="15" t="n">
        <f aca="false">Sens!G1817+sh_iss-Sens!H1811/Sens!H1816</f>
        <v>7.54369474021082</v>
      </c>
      <c r="I1817" s="15" t="n">
        <f aca="false">Sens!H1817+sh_iss-Sens!I1811/Sens!I1816</f>
        <v>7.55665759026416</v>
      </c>
      <c r="J1817" s="15" t="n">
        <f aca="false">Sens!I1817+sh_iss-Sens!J1811/Sens!J1816</f>
        <v>7.57199356253577</v>
      </c>
      <c r="K1817" s="15" t="n">
        <f aca="false">Sens!J1817+sh_iss-Sens!K1811/Sens!K1816</f>
        <v>7.58952687019466</v>
      </c>
    </row>
    <row r="1818" customFormat="false" ht="15" hidden="false" customHeight="false" outlineLevel="0" collapsed="false">
      <c r="A1818" s="1" t="s">
        <v>1130</v>
      </c>
      <c r="B1818" s="1" t="s">
        <v>81</v>
      </c>
      <c r="E1818" s="15" t="n">
        <f aca="false">sh_dil26</f>
        <v>7.453</v>
      </c>
      <c r="F1818" s="15" t="n">
        <f aca="false">(Sens!E1817+Sens!F1817)/2+dil_gap</f>
        <v>7.47190826161799</v>
      </c>
      <c r="G1818" s="15" t="n">
        <f aca="false">(Sens!F1817+Sens!G1817)/2+dil_gap</f>
        <v>7.51531652323597</v>
      </c>
      <c r="H1818" s="15" t="n">
        <f aca="false">(Sens!G1817+Sens!H1817)/2+dil_gap</f>
        <v>7.5527556317234</v>
      </c>
      <c r="I1818" s="15" t="n">
        <f aca="false">(Sens!H1817+Sens!I1817)/2+dil_gap</f>
        <v>7.57417616523749</v>
      </c>
      <c r="J1818" s="15" t="n">
        <f aca="false">(Sens!I1817+Sens!J1817)/2+dil_gap</f>
        <v>7.58832557639996</v>
      </c>
      <c r="K1818" s="15" t="n">
        <f aca="false">(Sens!J1817+Sens!K1817)/2+dil_gap</f>
        <v>7.60476021636522</v>
      </c>
    </row>
    <row r="1819" customFormat="false" ht="17.15" hidden="false" customHeight="false" outlineLevel="0" collapsed="false">
      <c r="A1819" s="1" t="s">
        <v>1131</v>
      </c>
      <c r="B1819" s="0" t="s">
        <v>98</v>
      </c>
      <c r="C1819" s="6" t="n">
        <f aca="false">SUM(Sens!F1809:J1809)</f>
        <v>194.301604578729</v>
      </c>
    </row>
    <row r="1820" customFormat="false" ht="15" hidden="false" customHeight="false" outlineLevel="0" collapsed="false">
      <c r="A1820" s="26" t="s">
        <v>1096</v>
      </c>
      <c r="B1820" s="31" t="s">
        <v>98</v>
      </c>
      <c r="C1820" s="27" t="n">
        <f aca="false">Sens!$C$1819-(Sens!F1809+Sens!G1809+Sens!H1809+Sens!I1809+Sens!J1809)</f>
        <v>0</v>
      </c>
      <c r="D1820" s="31"/>
      <c r="E1820" s="31"/>
      <c r="F1820" s="31"/>
      <c r="G1820" s="31"/>
      <c r="H1820" s="31"/>
      <c r="I1820" s="31"/>
      <c r="J1820" s="31"/>
      <c r="K1820" s="31"/>
    </row>
    <row r="1821" customFormat="false" ht="17.15" hidden="false" customHeight="false" outlineLevel="0" collapsed="false">
      <c r="A1821" s="1" t="s">
        <v>1090</v>
      </c>
      <c r="B1821" s="1" t="s">
        <v>1132</v>
      </c>
      <c r="C1821" s="33" t="str">
        <f aca="false">IF(SUM(Sens!F1812:J1812)&gt;0.05,"需要舉債 "&amp;TEXT(SUM(Sens!F1812:J1812),"0.0")&amp;" 十億美元","不需舉債")&amp;"；"&amp;IF(SUM(Sens!F1811:J1811)&lt;COUNT(Sens!F1811:J1811)*bb_target-0.05,"回購較每年 "&amp;TEXT(bb_target,"0.0")&amp;" 的目標少 "&amp;TEXT(COUNT(Sens!F1811:J1811)*bb_target-SUM(Sens!F1811:J1811),"0.0")&amp;" 十億美元（"&amp;TEXT(COUNTIF(Sens!F1811:J1811,"&lt;"&amp;(bb_target-0.05)),"0")&amp;" 年減少）","回購不減")</f>
        <v>需要舉債 12.7 十億美元；回購較每年 22.3 的目標少 55.3 十億美元（3 年減少）</v>
      </c>
    </row>
    <row r="1822" customFormat="false" ht="17.15" hidden="false" customHeight="false" outlineLevel="0" collapsed="false">
      <c r="A1822" s="3" t="s">
        <v>1524</v>
      </c>
    </row>
    <row r="1823" customFormat="false" ht="15" hidden="false" customHeight="false" outlineLevel="0" collapsed="false">
      <c r="A1823" s="4" t="s">
        <v>43</v>
      </c>
      <c r="B1823" s="4" t="s">
        <v>65</v>
      </c>
      <c r="C1823" s="23" t="s">
        <v>938</v>
      </c>
      <c r="D1823" s="23" t="s">
        <v>939</v>
      </c>
      <c r="E1823" s="23" t="s">
        <v>940</v>
      </c>
      <c r="F1823" s="23" t="s">
        <v>941</v>
      </c>
      <c r="G1823" s="23" t="s">
        <v>942</v>
      </c>
      <c r="H1823" s="23" t="s">
        <v>943</v>
      </c>
      <c r="I1823" s="23" t="s">
        <v>944</v>
      </c>
      <c r="J1823" s="23" t="s">
        <v>945</v>
      </c>
      <c r="K1823" s="23" t="s">
        <v>946</v>
      </c>
      <c r="L1823" s="4" t="s">
        <v>47</v>
      </c>
    </row>
    <row r="1824" customFormat="false" ht="17.15" hidden="false" customHeight="false" outlineLevel="0" collapsed="false">
      <c r="A1824" s="1" t="s">
        <v>1212</v>
      </c>
      <c r="B1824" s="1" t="s">
        <v>279</v>
      </c>
      <c r="F1824" s="8" t="n">
        <f aca="false">(1-v_off)*mid_yr</f>
        <v>0.373972602739726</v>
      </c>
      <c r="G1824" s="8" t="n">
        <f aca="false">Sens!G1674-base_fy-mid_yr-v_off</f>
        <v>1.24794520547945</v>
      </c>
      <c r="H1824" s="8" t="n">
        <f aca="false">Sens!H1674-base_fy-mid_yr-v_off</f>
        <v>2.24794520547945</v>
      </c>
      <c r="I1824" s="8" t="n">
        <f aca="false">Sens!I1674-base_fy-mid_yr-v_off</f>
        <v>3.24794520547945</v>
      </c>
      <c r="J1824" s="8" t="n">
        <f aca="false">Sens!J1674-base_fy-mid_yr-v_off</f>
        <v>4.24794520547945</v>
      </c>
      <c r="K1824" s="8" t="n">
        <f aca="false">Sens!K1674-base_fy-mid_yr-v_off</f>
        <v>5.24794520547945</v>
      </c>
      <c r="L1824" s="12" t="s">
        <v>1213</v>
      </c>
    </row>
    <row r="1825" customFormat="false" ht="15" hidden="false" customHeight="false" outlineLevel="0" collapsed="false">
      <c r="A1825" s="1" t="s">
        <v>1214</v>
      </c>
      <c r="B1825" s="1" t="s">
        <v>279</v>
      </c>
      <c r="F1825" s="8" t="n">
        <f aca="false">Sens!F1674-base_fy-v_off</f>
        <v>0.747945205479452</v>
      </c>
      <c r="G1825" s="8" t="n">
        <f aca="false">Sens!G1674-base_fy-v_off</f>
        <v>1.74794520547945</v>
      </c>
      <c r="H1825" s="8" t="n">
        <f aca="false">Sens!H1674-base_fy-v_off</f>
        <v>2.74794520547945</v>
      </c>
      <c r="I1825" s="8" t="n">
        <f aca="false">Sens!I1674-base_fy-v_off</f>
        <v>3.74794520547945</v>
      </c>
      <c r="J1825" s="8" t="n">
        <f aca="false">Sens!J1674-base_fy-v_off</f>
        <v>4.74794520547945</v>
      </c>
      <c r="K1825" s="8" t="n">
        <f aca="false">Sens!K1674-base_fy-v_off</f>
        <v>5.74794520547945</v>
      </c>
    </row>
    <row r="1826" customFormat="false" ht="15" hidden="false" customHeight="false" outlineLevel="0" collapsed="false">
      <c r="A1826" s="1" t="s">
        <v>1215</v>
      </c>
      <c r="B1826" s="0" t="s">
        <v>229</v>
      </c>
      <c r="F1826" s="15" t="n">
        <f aca="false">1/(1+wacc)^Sens!F1824</f>
        <v>0.964022703286649</v>
      </c>
      <c r="G1826" s="15" t="n">
        <f aca="false">1/(1+wacc)^Sens!G1824</f>
        <v>0.884910302296739</v>
      </c>
      <c r="H1826" s="15" t="n">
        <f aca="false">1/(1+wacc)^Sens!H1824</f>
        <v>0.802322009770358</v>
      </c>
      <c r="I1826" s="15" t="n">
        <f aca="false">1/(1+wacc)^Sens!I1824</f>
        <v>0.727441646561469</v>
      </c>
      <c r="J1826" s="15" t="n">
        <f aca="false">1/(1+wacc)^Sens!J1824</f>
        <v>0.659549834988973</v>
      </c>
      <c r="K1826" s="15" t="n">
        <f aca="false">1/(1+wacc)^Sens!K1824</f>
        <v>0.597994336576966</v>
      </c>
    </row>
    <row r="1827" customFormat="false" ht="17.15" hidden="false" customHeight="false" outlineLevel="0" collapsed="false">
      <c r="A1827" s="1" t="s">
        <v>1216</v>
      </c>
      <c r="B1827" s="0" t="s">
        <v>98</v>
      </c>
      <c r="F1827" s="6" t="n">
        <f aca="false">Q!$I$35-Q!$I$39-Q!$I$43</f>
        <v>9.666</v>
      </c>
      <c r="L1827" s="12" t="s">
        <v>1217</v>
      </c>
    </row>
    <row r="1828" customFormat="false" ht="17.15" hidden="false" customHeight="false" outlineLevel="0" collapsed="false">
      <c r="A1828" s="1" t="s">
        <v>1218</v>
      </c>
      <c r="B1828" s="0" t="s">
        <v>98</v>
      </c>
      <c r="F1828" s="6" t="n">
        <f aca="false">Sens!F1799-Sens!F1796-Sens!F1803+Sens!F1781*(1-tax_f)*(1-v_off)-Sens!F1827</f>
        <v>-1.4122361772962</v>
      </c>
      <c r="G1828" s="6" t="n">
        <f aca="false">Sens!G1799-Sens!G1796-Sens!G1803+Sens!G1781*(1-tax_f)</f>
        <v>27.6336426976487</v>
      </c>
      <c r="H1828" s="6" t="n">
        <f aca="false">Sens!H1799-Sens!H1796-Sens!H1803+Sens!H1781*(1-tax_f)</f>
        <v>66.9167596474575</v>
      </c>
      <c r="I1828" s="6" t="n">
        <f aca="false">Sens!I1799-Sens!I1796-Sens!I1803+Sens!I1781*(1-tax_f)</f>
        <v>141.730024965634</v>
      </c>
      <c r="J1828" s="6" t="n">
        <f aca="false">Sens!J1799-Sens!J1796-Sens!J1803+Sens!J1781*(1-tax_f)</f>
        <v>217.73079207997</v>
      </c>
      <c r="K1828" s="6" t="n">
        <f aca="false">Sens!K1799-Sens!K1796-Sens!K1803+Sens!K1781*(1-tax_f)</f>
        <v>254.500988898893</v>
      </c>
      <c r="L1828" s="1" t="s">
        <v>1219</v>
      </c>
    </row>
    <row r="1829" customFormat="false" ht="15" hidden="false" customHeight="false" outlineLevel="0" collapsed="false">
      <c r="A1829" s="1" t="s">
        <v>1220</v>
      </c>
      <c r="B1829" s="0" t="s">
        <v>98</v>
      </c>
      <c r="F1829" s="6" t="n">
        <f aca="false">Sens!F1828*Sens!F1826</f>
        <v>-1.36142773731629</v>
      </c>
      <c r="G1829" s="6" t="n">
        <f aca="false">Sens!G1828*Sens!G1826</f>
        <v>24.4532951131363</v>
      </c>
      <c r="H1829" s="6" t="n">
        <f aca="false">Sens!H1828*Sens!H1826</f>
        <v>53.6887890876681</v>
      </c>
      <c r="I1829" s="6" t="n">
        <f aca="false">Sens!I1828*Sens!I1826</f>
        <v>103.100322728199</v>
      </c>
      <c r="J1829" s="6" t="n">
        <f aca="false">Sens!J1828*Sens!J1826</f>
        <v>143.604307988362</v>
      </c>
      <c r="K1829" s="6" t="n">
        <f aca="false">Sens!K1828*Sens!K1826</f>
        <v>152.190150014775</v>
      </c>
    </row>
    <row r="1830" customFormat="false" ht="17.15" hidden="false" customHeight="false" outlineLevel="0" collapsed="false">
      <c r="A1830" s="1" t="s">
        <v>1221</v>
      </c>
      <c r="B1830" s="0" t="s">
        <v>98</v>
      </c>
      <c r="C1830" s="6" t="n">
        <f aca="false">SUM(Sens!F1829:K1829)</f>
        <v>475.675437194824</v>
      </c>
    </row>
    <row r="1831" customFormat="false" ht="17.15" hidden="false" customHeight="false" outlineLevel="0" collapsed="false">
      <c r="A1831" s="1" t="s">
        <v>1222</v>
      </c>
      <c r="B1831" s="0" t="s">
        <v>98</v>
      </c>
      <c r="C1831" s="6" t="n">
        <f aca="false">Sens!K1767*(1+g_tv)*(1-tax_f)</f>
        <v>264.14814955151</v>
      </c>
    </row>
    <row r="1832" customFormat="false" ht="17.15" hidden="false" customHeight="false" outlineLevel="0" collapsed="false">
      <c r="A1832" s="1" t="s">
        <v>1223</v>
      </c>
      <c r="B1832" s="0" t="s">
        <v>98</v>
      </c>
      <c r="C1832" s="6" t="n">
        <f aca="false">Sens!$C$1831*(1-g_tv/(wacc+ronic_prem))</f>
        <v>187.164402433506</v>
      </c>
    </row>
    <row r="1833" customFormat="false" ht="17.15" hidden="false" customHeight="false" outlineLevel="0" collapsed="false">
      <c r="A1833" s="1" t="s">
        <v>1224</v>
      </c>
      <c r="B1833" s="0" t="s">
        <v>98</v>
      </c>
      <c r="C1833" s="6" t="n">
        <f aca="false">Sens!$C$1832/(wacc-g_tv)</f>
        <v>2566.12490393347</v>
      </c>
    </row>
    <row r="1834" customFormat="false" ht="15" hidden="false" customHeight="false" outlineLevel="0" collapsed="false">
      <c r="A1834" s="1" t="s">
        <v>1225</v>
      </c>
      <c r="B1834" s="0" t="s">
        <v>98</v>
      </c>
      <c r="C1834" s="6" t="n">
        <f aca="false">Sens!$C$1833/(1+wacc)^Sens!K1825</f>
        <v>1461.16610712167</v>
      </c>
    </row>
    <row r="1835" customFormat="false" ht="17.15" hidden="false" customHeight="false" outlineLevel="0" collapsed="false">
      <c r="A1835" s="0" t="s">
        <v>1226</v>
      </c>
      <c r="B1835" s="0" t="s">
        <v>98</v>
      </c>
      <c r="C1835" s="6" t="n">
        <f aca="false">Sens!$C$1830+Sens!$C$1834</f>
        <v>1936.8415443165</v>
      </c>
    </row>
    <row r="1836" customFormat="false" ht="15" hidden="false" customHeight="false" outlineLevel="0" collapsed="false">
      <c r="A1836" s="1" t="s">
        <v>1141</v>
      </c>
      <c r="B1836" s="0" t="s">
        <v>168</v>
      </c>
      <c r="C1836" s="7" t="n">
        <f aca="false">Sens!$C$1834/Sens!$C$1835</f>
        <v>0.754406632493683</v>
      </c>
    </row>
    <row r="1837" customFormat="false" ht="17.15" hidden="false" customHeight="false" outlineLevel="0" collapsed="false">
      <c r="A1837" s="1" t="s">
        <v>1227</v>
      </c>
      <c r="B1837" s="0" t="s">
        <v>98</v>
      </c>
      <c r="C1837" s="6" t="n">
        <f aca="false">Sens!$C$1835+cash_val-debt_val-fl_val+oai_v</f>
        <v>2052.6925443165</v>
      </c>
    </row>
    <row r="1838" customFormat="false" ht="17.15" hidden="false" customHeight="false" outlineLevel="0" collapsed="false">
      <c r="A1838" s="0" t="s">
        <v>1149</v>
      </c>
      <c r="B1838" s="0" t="s">
        <v>75</v>
      </c>
      <c r="C1838" s="5" t="n">
        <f aca="false">Sens!$C$1837/shd_val</f>
        <v>275.677215191579</v>
      </c>
    </row>
    <row r="1839" customFormat="false" ht="15" hidden="false" customHeight="false" outlineLevel="0" collapsed="false">
      <c r="A1839" s="1" t="s">
        <v>1228</v>
      </c>
      <c r="B1839" s="0" t="s">
        <v>75</v>
      </c>
      <c r="C1839" s="8" t="n">
        <f aca="false">div_rem27+Sens!G1807*roll_div_q/q_per_yr</f>
        <v>3.9795</v>
      </c>
    </row>
    <row r="1840" customFormat="false" ht="17.15" hidden="false" customHeight="false" outlineLevel="0" collapsed="false">
      <c r="A1840" s="0" t="s">
        <v>1229</v>
      </c>
      <c r="B1840" s="0" t="s">
        <v>75</v>
      </c>
      <c r="C1840" s="5" t="n">
        <f aca="false">Sens!$C$1838*(1+wacc)^t_roll-Sens!$C$1839</f>
        <v>302.451110435874</v>
      </c>
    </row>
    <row r="1841" customFormat="false" ht="17.15" hidden="false" customHeight="false" outlineLevel="0" collapsed="false">
      <c r="A1841" s="1" t="s">
        <v>1230</v>
      </c>
      <c r="B1841" s="0" t="s">
        <v>168</v>
      </c>
      <c r="F1841" s="7" t="n">
        <f aca="false">Sens!F1793/(Sens!F1738-Sens!F1693)</f>
        <v>0.0689914155081386</v>
      </c>
      <c r="G1841" s="7" t="n">
        <f aca="false">Sens!G1793/(Sens!G1738-Sens!G1693)</f>
        <v>0.0665373486975517</v>
      </c>
      <c r="H1841" s="7" t="n">
        <f aca="false">Sens!H1793/(Sens!H1738-Sens!H1693)</f>
        <v>0.0652845943207782</v>
      </c>
      <c r="I1841" s="7" t="n">
        <f aca="false">Sens!I1793/(Sens!I1738-Sens!I1693)</f>
        <v>0.0650927181467596</v>
      </c>
      <c r="J1841" s="7" t="n">
        <f aca="false">Sens!J1793/(Sens!J1738-Sens!J1693)</f>
        <v>0.0657493066925884</v>
      </c>
      <c r="K1841" s="7" t="n">
        <f aca="false">Sens!K1793/(Sens!K1738-Sens!K1693)</f>
        <v>0.0670188042306294</v>
      </c>
    </row>
    <row r="1842" customFormat="false" ht="17.15" hidden="false" customHeight="false" outlineLevel="0" collapsed="false">
      <c r="A1842" s="0" t="s">
        <v>1231</v>
      </c>
      <c r="B1842" s="0" t="s">
        <v>98</v>
      </c>
      <c r="F1842" s="6" t="n">
        <f aca="false">Sens!F1723*(al_m365+Sens!F1841+sbc_r)</f>
        <v>82.9554001952559</v>
      </c>
      <c r="G1842" s="6" t="n">
        <f aca="false">Sens!G1723*(al_m365+Sens!G1841+sbc_r)</f>
        <v>93.3365174825181</v>
      </c>
      <c r="H1842" s="6" t="n">
        <f aca="false">Sens!H1723*(al_m365+Sens!H1841+sbc_r)</f>
        <v>103.877967828968</v>
      </c>
      <c r="I1842" s="6" t="n">
        <f aca="false">Sens!I1723*(al_m365+Sens!I1841+sbc_r)</f>
        <v>113.90332558298</v>
      </c>
      <c r="J1842" s="6" t="n">
        <f aca="false">Sens!J1723*(al_m365+Sens!J1841+sbc_r)</f>
        <v>123.2233915413</v>
      </c>
      <c r="K1842" s="6" t="n">
        <f aca="false">Sens!K1723*(al_m365+Sens!K1841+sbc_r)</f>
        <v>132.145194155334</v>
      </c>
      <c r="L1842" s="12" t="s">
        <v>1232</v>
      </c>
    </row>
    <row r="1843" customFormat="false" ht="17.15" hidden="false" customHeight="false" outlineLevel="0" collapsed="false">
      <c r="A1843" s="0" t="s">
        <v>1233</v>
      </c>
      <c r="B1843" s="0" t="s">
        <v>98</v>
      </c>
      <c r="F1843" s="6" t="n">
        <f aca="false">Sens!F1724*(al_lic+Sens!F1841+sbc_r)</f>
        <v>32.8720391809899</v>
      </c>
      <c r="G1843" s="6" t="n">
        <f aca="false">Sens!G1724*(al_lic+Sens!G1841+sbc_r)</f>
        <v>34.1657937205824</v>
      </c>
      <c r="H1843" s="6" t="n">
        <f aca="false">Sens!H1724*(al_lic+Sens!H1841+sbc_r)</f>
        <v>35.3697015052973</v>
      </c>
      <c r="I1843" s="6" t="n">
        <f aca="false">Sens!I1724*(al_lic+Sens!I1841+sbc_r)</f>
        <v>36.4640435478083</v>
      </c>
      <c r="J1843" s="6" t="n">
        <f aca="false">Sens!J1724*(al_lic+Sens!J1841+sbc_r)</f>
        <v>37.4258188941567</v>
      </c>
      <c r="K1843" s="6" t="n">
        <f aca="false">Sens!K1724*(al_lic+Sens!K1841+sbc_r)</f>
        <v>38.2311403511275</v>
      </c>
    </row>
    <row r="1844" customFormat="false" ht="17.15" hidden="false" customHeight="false" outlineLevel="0" collapsed="false">
      <c r="A1844" s="0" t="s">
        <v>1234</v>
      </c>
      <c r="B1844" s="0" t="s">
        <v>98</v>
      </c>
      <c r="F1844" s="6" t="n">
        <f aca="false">Sens!F1726*(al_ind+Sens!F1841+sbc_r)</f>
        <v>9.0687152514909</v>
      </c>
      <c r="G1844" s="6" t="n">
        <f aca="false">Sens!G1726*(al_ind+Sens!G1841+sbc_r)</f>
        <v>9.85336424905046</v>
      </c>
      <c r="H1844" s="6" t="n">
        <f aca="false">Sens!H1726*(al_ind+Sens!H1841+sbc_r)</f>
        <v>10.6807567507557</v>
      </c>
      <c r="I1844" s="6" t="n">
        <f aca="false">Sens!I1726*(al_ind+Sens!I1841+sbc_r)</f>
        <v>11.5463956028131</v>
      </c>
      <c r="J1844" s="6" t="n">
        <f aca="false">Sens!J1726*(al_ind+Sens!J1841+sbc_r)</f>
        <v>12.4416567544287</v>
      </c>
      <c r="K1844" s="6" t="n">
        <f aca="false">Sens!K1726*(al_ind+Sens!K1841+sbc_r)</f>
        <v>13.3544951814106</v>
      </c>
    </row>
    <row r="1845" customFormat="false" ht="17.15" hidden="false" customHeight="false" outlineLevel="0" collapsed="false">
      <c r="A1845" s="0" t="s">
        <v>1235</v>
      </c>
      <c r="B1845" s="0" t="s">
        <v>98</v>
      </c>
      <c r="F1845" s="6" t="n">
        <f aca="false">Sens!F1728*(al_fro+Sens!F1841+sbc_r)</f>
        <v>3.55728456080546</v>
      </c>
      <c r="G1845" s="6" t="n">
        <f aca="false">Sens!G1728*(al_fro+Sens!G1841+sbc_r)</f>
        <v>3.77018594381019</v>
      </c>
      <c r="H1845" s="6" t="n">
        <f aca="false">Sens!H1728*(al_fro+Sens!H1841+sbc_r)</f>
        <v>4.01112545099863</v>
      </c>
      <c r="I1845" s="6" t="n">
        <f aca="false">Sens!I1728*(al_fro+Sens!I1841+sbc_r)</f>
        <v>4.28241930537277</v>
      </c>
      <c r="J1845" s="6" t="n">
        <f aca="false">Sens!J1728*(al_fro+Sens!J1841+sbc_r)</f>
        <v>4.58568406846915</v>
      </c>
      <c r="K1845" s="6" t="n">
        <f aca="false">Sens!K1728*(al_fro+Sens!K1841+sbc_r)</f>
        <v>4.92213352325797</v>
      </c>
    </row>
    <row r="1846" customFormat="false" ht="17.15" hidden="false" customHeight="false" outlineLevel="0" collapsed="false">
      <c r="A1846" s="0" t="s">
        <v>1236</v>
      </c>
      <c r="B1846" s="0" t="s">
        <v>98</v>
      </c>
      <c r="F1846" s="6" t="n">
        <f aca="false">Sens!F1731*(al_srch+Sens!F1841+sbc_r)</f>
        <v>11.1993381459497</v>
      </c>
      <c r="G1846" s="6" t="n">
        <f aca="false">Sens!G1731*(al_srch+Sens!G1841+sbc_r)</f>
        <v>12.2831471807618</v>
      </c>
      <c r="H1846" s="6" t="n">
        <f aca="false">Sens!H1731*(al_srch+Sens!H1841+sbc_r)</f>
        <v>13.4092919572948</v>
      </c>
      <c r="I1846" s="6" t="n">
        <f aca="false">Sens!I1731*(al_srch+Sens!I1841+sbc_r)</f>
        <v>14.5651883643532</v>
      </c>
      <c r="J1846" s="6" t="n">
        <f aca="false">Sens!J1731*(al_srch+Sens!J1841+sbc_r)</f>
        <v>15.7321323710798</v>
      </c>
      <c r="K1846" s="6" t="n">
        <f aca="false">Sens!K1731*(al_srch+Sens!K1841+sbc_r)</f>
        <v>16.8863914259741</v>
      </c>
    </row>
    <row r="1847" customFormat="false" ht="17.15" hidden="false" customHeight="false" outlineLevel="0" collapsed="false">
      <c r="A1847" s="0" t="s">
        <v>1237</v>
      </c>
      <c r="B1847" s="0" t="s">
        <v>98</v>
      </c>
      <c r="F1847" s="6" t="n">
        <f aca="false">Sens!F1699-Sens!F1700+Sens!F1781</f>
        <v>46.616932394776</v>
      </c>
      <c r="G1847" s="6" t="n">
        <f aca="false">Sens!G1699-Sens!G1700+Sens!G1781</f>
        <v>80.96930426624</v>
      </c>
      <c r="H1847" s="6" t="n">
        <f aca="false">Sens!H1699-Sens!H1700+Sens!H1781</f>
        <v>111.432141372102</v>
      </c>
      <c r="I1847" s="6" t="n">
        <f aca="false">Sens!I1699-Sens!I1700+Sens!I1781</f>
        <v>145.967456599526</v>
      </c>
      <c r="J1847" s="6" t="n">
        <f aca="false">Sens!J1699-Sens!J1700+Sens!J1781</f>
        <v>170.195711747949</v>
      </c>
      <c r="K1847" s="6" t="n">
        <f aca="false">Sens!K1699-Sens!K1700+Sens!K1781</f>
        <v>185.23119480818</v>
      </c>
    </row>
    <row r="1848" customFormat="false" ht="17.15" hidden="false" customHeight="false" outlineLevel="0" collapsed="false">
      <c r="A1848" s="0" t="s">
        <v>1238</v>
      </c>
      <c r="B1848" s="0" t="s">
        <v>98</v>
      </c>
      <c r="F1848" s="6" t="n">
        <f aca="false">Sens!F1760+Sens!F1781+Sens!F1711+Sens!F1841*(Sens!F1730-Sens!F1693)+sbc_r*Sens!F1730</f>
        <v>240.767915991247</v>
      </c>
      <c r="G1848" s="6" t="n">
        <f aca="false">Sens!G1760+Sens!G1781+Sens!G1711+Sens!G1841*(Sens!G1730-Sens!G1693)+sbc_r*Sens!G1730</f>
        <v>296.134178374962</v>
      </c>
      <c r="H1848" s="6" t="n">
        <f aca="false">Sens!H1760+Sens!H1781+Sens!H1711+Sens!H1841*(Sens!H1730-Sens!H1693)+sbc_r*Sens!H1730</f>
        <v>351.893513727782</v>
      </c>
      <c r="I1848" s="6" t="n">
        <f aca="false">Sens!I1760+Sens!I1781+Sens!I1711+Sens!I1841*(Sens!I1730-Sens!I1693)+sbc_r*Sens!I1730</f>
        <v>411.129695296338</v>
      </c>
      <c r="J1848" s="6" t="n">
        <f aca="false">Sens!J1760+Sens!J1781+Sens!J1711+Sens!J1841*(Sens!J1730-Sens!J1693)+sbc_r*Sens!J1730</f>
        <v>458.109295383525</v>
      </c>
      <c r="K1848" s="6" t="n">
        <f aca="false">Sens!K1760+Sens!K1781+Sens!K1711+Sens!K1841*(Sens!K1730-Sens!K1693)+sbc_r*Sens!K1730</f>
        <v>493.546713951433</v>
      </c>
    </row>
    <row r="1849" customFormat="false" ht="17.15" hidden="false" customHeight="false" outlineLevel="0" collapsed="false">
      <c r="A1849" s="0" t="s">
        <v>1239</v>
      </c>
      <c r="B1849" s="0" t="s">
        <v>98</v>
      </c>
      <c r="F1849" s="6" t="n">
        <f aca="false">Sens!F1848-Sens!F1842-Sens!F1843-Sens!F1844-Sens!F1845-Sens!F1847</f>
        <v>65.6975444079291</v>
      </c>
      <c r="G1849" s="6" t="n">
        <f aca="false">Sens!G1848-Sens!G1842-Sens!G1843-Sens!G1844-Sens!G1845-Sens!G1847</f>
        <v>74.0390127127609</v>
      </c>
      <c r="H1849" s="6" t="n">
        <f aca="false">Sens!H1848-Sens!H1842-Sens!H1843-Sens!H1844-Sens!H1845-Sens!H1847</f>
        <v>86.5218208196608</v>
      </c>
      <c r="I1849" s="6" t="n">
        <f aca="false">Sens!I1848-Sens!I1842-Sens!I1843-Sens!I1844-Sens!I1845-Sens!I1847</f>
        <v>98.9660546578379</v>
      </c>
      <c r="J1849" s="6" t="n">
        <f aca="false">Sens!J1848-Sens!J1842-Sens!J1843-Sens!J1844-Sens!J1845-Sens!J1847</f>
        <v>110.237032377221</v>
      </c>
      <c r="K1849" s="6" t="n">
        <f aca="false">Sens!K1848-Sens!K1842-Sens!K1843-Sens!K1844-Sens!K1845-Sens!K1847</f>
        <v>119.662555932124</v>
      </c>
    </row>
    <row r="1850" customFormat="false" ht="17.15" hidden="false" customHeight="false" outlineLevel="0" collapsed="false">
      <c r="A1850" s="0" t="s">
        <v>1240</v>
      </c>
      <c r="B1850" s="0" t="s">
        <v>98</v>
      </c>
      <c r="F1850" s="6" t="n">
        <f aca="false">Sens!F1762+Sens!F1841*Sens!F1737+sbc_r*Sens!F1737</f>
        <v>26.6575473868803</v>
      </c>
      <c r="G1850" s="6" t="n">
        <f aca="false">Sens!G1762+Sens!G1841*Sens!G1737+sbc_r*Sens!G1737</f>
        <v>26.5187434782953</v>
      </c>
      <c r="H1850" s="6" t="n">
        <f aca="false">Sens!H1762+Sens!H1841*Sens!H1737+sbc_r*Sens!H1737</f>
        <v>27.4082942127081</v>
      </c>
      <c r="I1850" s="6" t="n">
        <f aca="false">Sens!I1762+Sens!I1841*Sens!I1737+sbc_r*Sens!I1737</f>
        <v>28.5236486078642</v>
      </c>
      <c r="J1850" s="6" t="n">
        <f aca="false">Sens!J1762+Sens!J1841*Sens!J1737+sbc_r*Sens!J1737</f>
        <v>29.8334945477897</v>
      </c>
      <c r="K1850" s="6" t="n">
        <f aca="false">Sens!K1762+Sens!K1841*Sens!K1737+sbc_r*Sens!K1737</f>
        <v>31.3085861319534</v>
      </c>
    </row>
    <row r="1851" customFormat="false" ht="17.15" hidden="false" customHeight="false" outlineLevel="0" collapsed="false">
      <c r="A1851" s="0" t="s">
        <v>1241</v>
      </c>
      <c r="B1851" s="0" t="s">
        <v>98</v>
      </c>
      <c r="F1851" s="6" t="n">
        <f aca="false">(Sens!F1850-Sens!F1846)*Sens!F1733/(Sens!F1733+Sens!F1735)</f>
        <v>8.7305727213093</v>
      </c>
      <c r="G1851" s="6" t="n">
        <f aca="false">(Sens!G1850-Sens!G1846)*Sens!G1733/(Sens!G1733+Sens!G1735)</f>
        <v>7.90187987583295</v>
      </c>
      <c r="H1851" s="6" t="n">
        <f aca="false">(Sens!H1850-Sens!H1846)*Sens!H1733/(Sens!H1733+Sens!H1735)</f>
        <v>7.66932422405716</v>
      </c>
      <c r="I1851" s="6" t="n">
        <f aca="false">(Sens!I1850-Sens!I1846)*Sens!I1733/(Sens!I1733+Sens!I1735)</f>
        <v>7.58036589027864</v>
      </c>
      <c r="J1851" s="6" t="n">
        <f aca="false">(Sens!J1850-Sens!J1846)*Sens!J1733/(Sens!J1733+Sens!J1735)</f>
        <v>7.62455971346066</v>
      </c>
      <c r="K1851" s="6" t="n">
        <f aca="false">(Sens!K1850-Sens!K1846)*Sens!K1733/(Sens!K1733+Sens!K1735)</f>
        <v>7.79803279689617</v>
      </c>
    </row>
    <row r="1852" customFormat="false" ht="17.15" hidden="false" customHeight="false" outlineLevel="0" collapsed="false">
      <c r="A1852" s="0" t="s">
        <v>1242</v>
      </c>
      <c r="B1852" s="0" t="s">
        <v>98</v>
      </c>
      <c r="F1852" s="6" t="n">
        <f aca="false">Sens!F1850-Sens!F1846-Sens!F1851</f>
        <v>6.72763651962123</v>
      </c>
      <c r="G1852" s="6" t="n">
        <f aca="false">Sens!G1850-Sens!G1846-Sens!G1851</f>
        <v>6.3337164217006</v>
      </c>
      <c r="H1852" s="6" t="n">
        <f aca="false">Sens!H1850-Sens!H1846-Sens!H1851</f>
        <v>6.32967803135612</v>
      </c>
      <c r="I1852" s="6" t="n">
        <f aca="false">Sens!I1850-Sens!I1846-Sens!I1851</f>
        <v>6.37809435323238</v>
      </c>
      <c r="J1852" s="6" t="n">
        <f aca="false">Sens!J1850-Sens!J1846-Sens!J1851</f>
        <v>6.47680246324929</v>
      </c>
      <c r="K1852" s="6" t="n">
        <f aca="false">Sens!K1850-Sens!K1846-Sens!K1851</f>
        <v>6.62416190908312</v>
      </c>
    </row>
    <row r="1853" customFormat="false" ht="17.15" hidden="false" customHeight="false" outlineLevel="0" collapsed="false">
      <c r="A1853" s="0" t="s">
        <v>1243</v>
      </c>
      <c r="B1853" s="0" t="s">
        <v>98</v>
      </c>
      <c r="F1853" s="6" t="n">
        <f aca="false">Sens!F1847-tax_f*(Sens!F1847-Sens!F1711)-Sens!F1708</f>
        <v>-124.244495230628</v>
      </c>
      <c r="G1853" s="6" t="n">
        <f aca="false">Sens!G1847-tax_f*(Sens!G1847-Sens!G1711)-Sens!G1708</f>
        <v>-115.022134105596</v>
      </c>
      <c r="H1853" s="6" t="n">
        <f aca="false">Sens!H1847-tax_f*(Sens!H1847-Sens!H1711)-Sens!H1708</f>
        <v>-89.8402728345417</v>
      </c>
      <c r="I1853" s="6" t="n">
        <f aca="false">Sens!I1847-tax_f*(Sens!I1847-Sens!I1711)-Sens!I1708</f>
        <v>-28.9946664030798</v>
      </c>
      <c r="J1853" s="6" t="n">
        <f aca="false">Sens!J1847-tax_f*(Sens!J1847-Sens!J1711)-Sens!J1708</f>
        <v>33.6297728123383</v>
      </c>
      <c r="K1853" s="6" t="n">
        <f aca="false">Sens!K1847-tax_f*(Sens!K1847-Sens!K1711)-Sens!K1708</f>
        <v>57.8246366919978</v>
      </c>
    </row>
    <row r="1854" customFormat="false" ht="17.15" hidden="false" customHeight="false" outlineLevel="0" collapsed="false">
      <c r="A1854" s="0" t="s">
        <v>1244</v>
      </c>
      <c r="B1854" s="0" t="s">
        <v>98</v>
      </c>
      <c r="G1854" s="6" t="n">
        <f aca="false">Sens!G1853/(1+wacc)^(Sens!G1824-Sens!F1825)</f>
        <v>-109.523206129054</v>
      </c>
      <c r="H1854" s="6" t="n">
        <f aca="false">Sens!H1853/(1+wacc)^(Sens!H1824-Sens!F1825)</f>
        <v>-77.5613294465368</v>
      </c>
      <c r="I1854" s="6" t="n">
        <f aca="false">Sens!I1853/(1+wacc)^(Sens!I1824-Sens!F1825)</f>
        <v>-22.6956044441152</v>
      </c>
      <c r="J1854" s="6" t="n">
        <f aca="false">Sens!J1853/(1+wacc)^(Sens!J1824-Sens!F1825)</f>
        <v>23.8669556243894</v>
      </c>
      <c r="K1854" s="6" t="n">
        <f aca="false">Sens!K1853/(1+wacc)^(Sens!K1824-Sens!F1825)</f>
        <v>37.2079257570111</v>
      </c>
      <c r="L1854" s="1" t="s">
        <v>1245</v>
      </c>
    </row>
    <row r="1855" customFormat="false" ht="17.15" hidden="false" customHeight="false" outlineLevel="0" collapsed="false">
      <c r="A1855" s="0" t="s">
        <v>1246</v>
      </c>
      <c r="B1855" s="0" t="s">
        <v>98</v>
      </c>
      <c r="C1855" s="6" t="n">
        <f aca="false">(Sens!K1847-Sens!K1711)*(1-tax_f)*(1+g_tv)*(1-g_tv/(wacc+ronic_prem))/(wacc-g_tv)/(1+wacc)^(Sens!K1825-Sens!F1825)</f>
        <v>207.065508824146</v>
      </c>
    </row>
    <row r="1856" customFormat="false" ht="17.15" hidden="false" customHeight="false" outlineLevel="0" collapsed="false">
      <c r="A1856" s="1" t="s">
        <v>1247</v>
      </c>
      <c r="B1856" s="0" t="s">
        <v>98</v>
      </c>
      <c r="C1856" s="6" t="n">
        <f aca="false">(SUM(Sens!G1854:K1854)+Sens!$C$1855)*(1+wacc)^(t_roll-Sens!F1825)</f>
        <v>60.2868985389713</v>
      </c>
      <c r="L1856" s="12" t="s">
        <v>1248</v>
      </c>
    </row>
    <row r="1857" customFormat="false" ht="17.15" hidden="false" customHeight="false" outlineLevel="0" collapsed="false">
      <c r="A1857" s="1" t="s">
        <v>1249</v>
      </c>
      <c r="B1857" s="0" t="s">
        <v>98</v>
      </c>
      <c r="C1857" s="6" t="n">
        <f aca="false">(w_ntm28*Sens!G1699+(1-w_ntm28)*Sens!H1699)*m_ai</f>
        <v>419.52061178452</v>
      </c>
    </row>
    <row r="1858" customFormat="false" ht="17.15" hidden="false" customHeight="false" outlineLevel="0" collapsed="false">
      <c r="A1858" s="1" t="s">
        <v>1250</v>
      </c>
      <c r="B1858" s="0" t="s">
        <v>98</v>
      </c>
      <c r="C1858" s="6" t="n">
        <f aca="false">(w_ntm28*Sens!G1849+(1-w_ntm28)*Sens!H1849)*m_cloud</f>
        <v>1079.93556381223</v>
      </c>
    </row>
    <row r="1859" customFormat="false" ht="17.15" hidden="false" customHeight="false" outlineLevel="0" collapsed="false">
      <c r="A1859" s="1" t="s">
        <v>1251</v>
      </c>
      <c r="B1859" s="0" t="s">
        <v>98</v>
      </c>
      <c r="C1859" s="6" t="n">
        <f aca="false">(w_ntm28*Sens!G1842+(1-w_ntm28)*Sens!H1842)*m_sw</f>
        <v>1045.46375771256</v>
      </c>
    </row>
    <row r="1860" customFormat="false" ht="17.15" hidden="false" customHeight="false" outlineLevel="0" collapsed="false">
      <c r="A1860" s="1" t="s">
        <v>1252</v>
      </c>
      <c r="B1860" s="0" t="s">
        <v>98</v>
      </c>
      <c r="C1860" s="6" t="n">
        <f aca="false">(w_ntm28*Sens!G1843+(1-w_ntm28)*Sens!H1843)*m_sw</f>
        <v>373.265269412401</v>
      </c>
    </row>
    <row r="1861" customFormat="false" ht="17.15" hidden="false" customHeight="false" outlineLevel="0" collapsed="false">
      <c r="A1861" s="1" t="s">
        <v>1253</v>
      </c>
      <c r="B1861" s="0" t="s">
        <v>98</v>
      </c>
      <c r="C1861" s="6" t="n">
        <f aca="false">(w_ntm28*Sens!G1844+(1-w_ntm28)*Sens!H1844)*m_sw</f>
        <v>109.354143977991</v>
      </c>
    </row>
    <row r="1862" customFormat="false" ht="17.15" hidden="false" customHeight="false" outlineLevel="0" collapsed="false">
      <c r="A1862" s="1" t="s">
        <v>1254</v>
      </c>
      <c r="B1862" s="0" t="s">
        <v>98</v>
      </c>
      <c r="C1862" s="6" t="n">
        <f aca="false">(w_ntm28*Sens!G1845+(1-w_ntm28)*Sens!H1845)*m_sw</f>
        <v>41.5735084707288</v>
      </c>
    </row>
    <row r="1863" customFormat="false" ht="17.15" hidden="false" customHeight="false" outlineLevel="0" collapsed="false">
      <c r="A1863" s="1" t="s">
        <v>1255</v>
      </c>
      <c r="B1863" s="0" t="s">
        <v>98</v>
      </c>
      <c r="C1863" s="6" t="n">
        <f aca="false">(w_ntm28*Sens!G1846+(1-w_ntm28)*Sens!H1846)*m_ads</f>
        <v>115.27235155566</v>
      </c>
    </row>
    <row r="1864" customFormat="false" ht="17.15" hidden="false" customHeight="false" outlineLevel="0" collapsed="false">
      <c r="A1864" s="1" t="s">
        <v>1256</v>
      </c>
      <c r="B1864" s="0" t="s">
        <v>98</v>
      </c>
      <c r="C1864" s="6" t="n">
        <f aca="false">(w_ntm28*Sens!G1851+(1-w_ntm28)*Sens!H1851)*m_game</f>
        <v>98.8350953089445</v>
      </c>
    </row>
    <row r="1865" customFormat="false" ht="17.15" hidden="false" customHeight="false" outlineLevel="0" collapsed="false">
      <c r="A1865" s="1" t="s">
        <v>1257</v>
      </c>
      <c r="B1865" s="0" t="s">
        <v>98</v>
      </c>
      <c r="C1865" s="6" t="n">
        <f aca="false">(w_ntm28*Sens!G1852+(1-w_ntm28)*Sens!H1852)*m_pc</f>
        <v>91.6296649480511</v>
      </c>
    </row>
    <row r="1866" customFormat="false" ht="17.15" hidden="false" customHeight="false" outlineLevel="0" collapsed="false">
      <c r="A1866" s="1" t="s">
        <v>1258</v>
      </c>
      <c r="B1866" s="0" t="s">
        <v>98</v>
      </c>
      <c r="C1866" s="6" t="n">
        <f aca="false">Sens!$C$1856+Sens!$C$1858+Sens!$C$1859+Sens!$C$1860+Sens!$C$1861+Sens!$C$1862+Sens!$C$1863+Sens!$C$1864+Sens!$C$1865</f>
        <v>3015.61625373754</v>
      </c>
    </row>
    <row r="1867" customFormat="false" ht="17.15" hidden="false" customHeight="false" outlineLevel="0" collapsed="false">
      <c r="A1867" s="1" t="s">
        <v>1259</v>
      </c>
      <c r="B1867" s="0" t="s">
        <v>98</v>
      </c>
      <c r="C1867" s="6" t="n">
        <f aca="false">(Sens!G1828-Sens!G1853)*t_stub</f>
        <v>47.2913671046374</v>
      </c>
      <c r="L1867" s="1" t="s">
        <v>1260</v>
      </c>
    </row>
    <row r="1868" customFormat="false" ht="17.15" hidden="false" customHeight="false" outlineLevel="0" collapsed="false">
      <c r="A1868" s="1" t="s">
        <v>1169</v>
      </c>
      <c r="B1868" s="0" t="s">
        <v>98</v>
      </c>
      <c r="C1868" s="6" t="n">
        <f aca="false">Sens!F1815+oai_v-Sens!F1804+Sens!$C$1867</f>
        <v>161.519637104637</v>
      </c>
      <c r="L1868" s="1" t="s">
        <v>1261</v>
      </c>
    </row>
    <row r="1869" customFormat="false" ht="17.15" hidden="false" customHeight="false" outlineLevel="0" collapsed="false">
      <c r="A1869" s="1" t="s">
        <v>1262</v>
      </c>
      <c r="B1869" s="0" t="s">
        <v>75</v>
      </c>
      <c r="C1869" s="5" t="n">
        <f aca="false">(Sens!$C$1866+Sens!$C$1868)/(Sens!F1817+dil_gap)-Sens!G1807*roll_div_q/q_per_yr</f>
        <v>422.984747889903</v>
      </c>
      <c r="L1869" s="1" t="s">
        <v>1263</v>
      </c>
    </row>
    <row r="1870" customFormat="false" ht="17.15" hidden="false" customHeight="false" outlineLevel="0" collapsed="false">
      <c r="A1870" s="1" t="s">
        <v>1264</v>
      </c>
      <c r="B1870" s="0" t="s">
        <v>75</v>
      </c>
      <c r="C1870" s="5" t="n">
        <f aca="false">w_dcf*Sens!$C$1840+(1-w_dcf)*Sens!$C$1869</f>
        <v>362.717929162889</v>
      </c>
    </row>
    <row r="1871" customFormat="false" ht="17.15" hidden="false" customHeight="false" outlineLevel="0" collapsed="false">
      <c r="A1871" s="3" t="s">
        <v>1525</v>
      </c>
    </row>
    <row r="1872" customFormat="false" ht="15" hidden="false" customHeight="false" outlineLevel="0" collapsed="false">
      <c r="A1872" s="4" t="s">
        <v>43</v>
      </c>
      <c r="B1872" s="4" t="s">
        <v>65</v>
      </c>
      <c r="C1872" s="23" t="s">
        <v>938</v>
      </c>
      <c r="D1872" s="23" t="s">
        <v>939</v>
      </c>
      <c r="E1872" s="23" t="s">
        <v>940</v>
      </c>
      <c r="F1872" s="23" t="s">
        <v>941</v>
      </c>
      <c r="G1872" s="23" t="s">
        <v>942</v>
      </c>
      <c r="H1872" s="23" t="s">
        <v>943</v>
      </c>
      <c r="I1872" s="23" t="s">
        <v>944</v>
      </c>
      <c r="J1872" s="23" t="s">
        <v>945</v>
      </c>
      <c r="K1872" s="23" t="s">
        <v>946</v>
      </c>
      <c r="L1872" s="4" t="s">
        <v>47</v>
      </c>
    </row>
    <row r="1873" customFormat="false" ht="17.15" hidden="false" customHeight="false" outlineLevel="0" collapsed="false">
      <c r="A1873" s="1" t="s">
        <v>947</v>
      </c>
      <c r="B1873" s="1" t="s">
        <v>279</v>
      </c>
      <c r="C1873" s="21" t="n">
        <v>2024</v>
      </c>
      <c r="D1873" s="21" t="n">
        <v>2025</v>
      </c>
      <c r="E1873" s="21" t="n">
        <v>2026</v>
      </c>
      <c r="F1873" s="21" t="n">
        <v>2027</v>
      </c>
      <c r="G1873" s="21" t="n">
        <v>2028</v>
      </c>
      <c r="H1873" s="21" t="n">
        <v>2029</v>
      </c>
      <c r="I1873" s="21" t="n">
        <v>2030</v>
      </c>
      <c r="J1873" s="21" t="n">
        <v>2031</v>
      </c>
      <c r="K1873" s="21" t="n">
        <v>2032</v>
      </c>
    </row>
    <row r="1874" customFormat="false" ht="17.15" hidden="false" customHeight="false" outlineLevel="0" collapsed="false">
      <c r="A1874" s="1" t="s">
        <v>948</v>
      </c>
      <c r="B1874" s="0" t="s">
        <v>456</v>
      </c>
      <c r="F1874" s="30" t="n">
        <f aca="false">pace</f>
        <v>2726.5351</v>
      </c>
      <c r="G1874" s="30" t="n">
        <f aca="false">pace</f>
        <v>2726.5351</v>
      </c>
      <c r="H1874" s="30" t="n">
        <f aca="false">pace</f>
        <v>2726.5351</v>
      </c>
      <c r="I1874" s="30" t="n">
        <f aca="false">pace+(g_tv*Sens!H1875-pace)*MIN(1,(Sens!I1873-pace_y0)/(pace_y1-pace_y0))</f>
        <v>1931.98611966667</v>
      </c>
      <c r="J1874" s="30" t="n">
        <f aca="false">pace+(g_tv*Sens!I1875-pace)*MIN(1,(Sens!J1873-pace_y0)/(pace_y1-pace_y0))</f>
        <v>1176.07686172667</v>
      </c>
      <c r="K1874" s="30" t="n">
        <f aca="false">pace+(g_tv*Sens!J1875-pace)*MIN(1,(Sens!K1873-pace_y0)/(pace_y1-pace_y0))</f>
        <v>436.1300484418</v>
      </c>
      <c r="L1874" s="12" t="s">
        <v>949</v>
      </c>
    </row>
    <row r="1875" customFormat="false" ht="17.15" hidden="false" customHeight="false" outlineLevel="0" collapsed="false">
      <c r="A1875" s="1" t="s">
        <v>950</v>
      </c>
      <c r="B1875" s="0" t="s">
        <v>456</v>
      </c>
      <c r="C1875" s="30" t="n">
        <f aca="false">mw_ext_24</f>
        <v>640</v>
      </c>
      <c r="D1875" s="30" t="n">
        <f aca="false">mw_ext_25</f>
        <v>1630</v>
      </c>
      <c r="E1875" s="30" t="n">
        <f aca="false">mw_ext_26</f>
        <v>3250</v>
      </c>
      <c r="F1875" s="30" t="n">
        <f aca="false">Sens!E1875+Sens!F1874</f>
        <v>5976.5351</v>
      </c>
      <c r="G1875" s="30" t="n">
        <f aca="false">Sens!F1875+Sens!G1874</f>
        <v>8703.0702</v>
      </c>
      <c r="H1875" s="30" t="n">
        <f aca="false">Sens!G1875+Sens!H1874</f>
        <v>11429.6053</v>
      </c>
      <c r="I1875" s="30" t="n">
        <f aca="false">Sens!H1875+Sens!I1874</f>
        <v>13361.5914196667</v>
      </c>
      <c r="J1875" s="30" t="n">
        <f aca="false">Sens!I1875+Sens!J1874</f>
        <v>14537.6682813933</v>
      </c>
      <c r="K1875" s="30" t="n">
        <f aca="false">Sens!J1875+Sens!K1874</f>
        <v>14973.7983298351</v>
      </c>
      <c r="L1875" s="1" t="s">
        <v>951</v>
      </c>
    </row>
    <row r="1876" customFormat="false" ht="17.15" hidden="false" customHeight="false" outlineLevel="0" collapsed="false">
      <c r="A1876" s="1" t="s">
        <v>952</v>
      </c>
      <c r="B1876" s="0" t="s">
        <v>456</v>
      </c>
      <c r="C1876" s="30" t="n">
        <f aca="false">rent_ext_24</f>
        <v>150</v>
      </c>
      <c r="D1876" s="30" t="n">
        <f aca="false">rent_ext_25</f>
        <v>400</v>
      </c>
      <c r="E1876" s="30" t="n">
        <f aca="false">rent_ext_26</f>
        <v>550</v>
      </c>
      <c r="F1876" s="30" t="n">
        <f aca="false">rent_ext_f</f>
        <v>756</v>
      </c>
      <c r="G1876" s="30" t="n">
        <f aca="false">rent_ext_f</f>
        <v>756</v>
      </c>
      <c r="H1876" s="30" t="n">
        <f aca="false">rent_ext_f</f>
        <v>756</v>
      </c>
      <c r="I1876" s="30" t="n">
        <f aca="false">rent_ext_f</f>
        <v>756</v>
      </c>
      <c r="J1876" s="30" t="n">
        <f aca="false">rent_ext_f</f>
        <v>756</v>
      </c>
      <c r="K1876" s="30" t="n">
        <f aca="false">rent_ext_f</f>
        <v>756</v>
      </c>
      <c r="L1876" s="1" t="s">
        <v>953</v>
      </c>
    </row>
    <row r="1877" customFormat="false" ht="17.15" hidden="false" customHeight="false" outlineLevel="0" collapsed="false">
      <c r="A1877" s="1" t="s">
        <v>954</v>
      </c>
      <c r="B1877" s="0" t="s">
        <v>456</v>
      </c>
      <c r="C1877" s="30" t="n">
        <f aca="false">Sens!C1875-Sens!C1876</f>
        <v>490</v>
      </c>
      <c r="D1877" s="30" t="n">
        <f aca="false">Sens!D1875-Sens!D1876</f>
        <v>1230</v>
      </c>
      <c r="E1877" s="30" t="n">
        <f aca="false">Sens!E1875-Sens!E1876</f>
        <v>2700</v>
      </c>
      <c r="F1877" s="30" t="n">
        <f aca="false">Sens!F1875-Sens!F1876</f>
        <v>5220.5351</v>
      </c>
      <c r="G1877" s="30" t="n">
        <f aca="false">Sens!G1875-Sens!G1876</f>
        <v>7947.0702</v>
      </c>
      <c r="H1877" s="30" t="n">
        <f aca="false">Sens!H1875-Sens!H1876</f>
        <v>10673.6053</v>
      </c>
      <c r="I1877" s="30" t="n">
        <f aca="false">Sens!I1875-Sens!I1876</f>
        <v>12605.5914196667</v>
      </c>
      <c r="J1877" s="30" t="n">
        <f aca="false">Sens!J1875-Sens!J1876</f>
        <v>13781.6682813933</v>
      </c>
      <c r="K1877" s="30" t="n">
        <f aca="false">Sens!K1875-Sens!K1876</f>
        <v>14217.7983298351</v>
      </c>
    </row>
    <row r="1878" customFormat="false" ht="17.15" hidden="false" customHeight="false" outlineLevel="0" collapsed="false">
      <c r="A1878" s="1" t="s">
        <v>955</v>
      </c>
      <c r="B1878" s="0" t="s">
        <v>456</v>
      </c>
      <c r="C1878" s="30" t="n">
        <f aca="false">Sens!C1877/ext_sh_lo</f>
        <v>980</v>
      </c>
      <c r="D1878" s="30" t="n">
        <f aca="false">Sens!D1877/ext_sh_lo</f>
        <v>2460</v>
      </c>
      <c r="E1878" s="30" t="n">
        <f aca="false">Sens!E1877/ext_sh_lo</f>
        <v>5400</v>
      </c>
      <c r="F1878" s="30" t="n">
        <f aca="false">Sens!F1877/ext_sh_lo</f>
        <v>10441.0702</v>
      </c>
      <c r="G1878" s="30" t="n">
        <f aca="false">Sens!G1877/ext_sh_lo</f>
        <v>15894.1404</v>
      </c>
      <c r="H1878" s="30" t="n">
        <f aca="false">Sens!H1877/ext_sh_lo</f>
        <v>21347.2106</v>
      </c>
      <c r="I1878" s="30" t="n">
        <f aca="false">Sens!I1877/ext_sh_lo</f>
        <v>25211.1828393333</v>
      </c>
      <c r="J1878" s="30" t="n">
        <f aca="false">Sens!J1877/ext_sh_lo</f>
        <v>27563.3365627867</v>
      </c>
      <c r="K1878" s="30" t="n">
        <f aca="false">Sens!K1877/ext_sh_lo</f>
        <v>28435.5966596703</v>
      </c>
      <c r="L1878" s="1" t="s">
        <v>956</v>
      </c>
    </row>
    <row r="1879" customFormat="false" ht="17.15" hidden="false" customHeight="false" outlineLevel="0" collapsed="false">
      <c r="A1879" s="1" t="s">
        <v>957</v>
      </c>
      <c r="B1879" s="0" t="s">
        <v>456</v>
      </c>
      <c r="C1879" s="30" t="n">
        <f aca="false">Sens!C1878-Sens!C1877</f>
        <v>490</v>
      </c>
      <c r="D1879" s="30" t="n">
        <f aca="false">Sens!D1878-Sens!D1877</f>
        <v>1230</v>
      </c>
      <c r="E1879" s="30" t="n">
        <f aca="false">Sens!E1878-Sens!E1877</f>
        <v>2700</v>
      </c>
      <c r="F1879" s="30" t="n">
        <f aca="false">Sens!F1878-Sens!F1877</f>
        <v>5220.5351</v>
      </c>
      <c r="G1879" s="30" t="n">
        <f aca="false">Sens!G1878-Sens!G1877</f>
        <v>7947.0702</v>
      </c>
      <c r="H1879" s="30" t="n">
        <f aca="false">Sens!H1878-Sens!H1877</f>
        <v>10673.6053</v>
      </c>
      <c r="I1879" s="30" t="n">
        <f aca="false">Sens!I1878-Sens!I1877</f>
        <v>12605.5914196667</v>
      </c>
      <c r="J1879" s="30" t="n">
        <f aca="false">Sens!J1878-Sens!J1877</f>
        <v>13781.6682813933</v>
      </c>
      <c r="K1879" s="30" t="n">
        <f aca="false">Sens!K1878-Sens!K1877</f>
        <v>14217.7983298351</v>
      </c>
    </row>
    <row r="1880" customFormat="false" ht="17.15" hidden="false" customHeight="false" outlineLevel="0" collapsed="false">
      <c r="A1880" s="1" t="s">
        <v>958</v>
      </c>
      <c r="B1880" s="0" t="s">
        <v>456</v>
      </c>
      <c r="C1880" s="30" t="n">
        <f aca="false">Sens!C1878</f>
        <v>980</v>
      </c>
      <c r="D1880" s="30" t="n">
        <f aca="false">Sens!D1878-Sens!C1878</f>
        <v>1480</v>
      </c>
      <c r="E1880" s="30" t="n">
        <f aca="false">Sens!E1878-Sens!D1878</f>
        <v>2940</v>
      </c>
      <c r="F1880" s="30" t="n">
        <f aca="false">Sens!F1878-Sens!E1878</f>
        <v>5041.0702</v>
      </c>
      <c r="G1880" s="30" t="n">
        <f aca="false">Sens!G1878-Sens!F1878</f>
        <v>5453.0702</v>
      </c>
      <c r="H1880" s="30" t="n">
        <f aca="false">Sens!H1878-Sens!G1878</f>
        <v>5453.0702</v>
      </c>
      <c r="I1880" s="30" t="n">
        <f aca="false">Sens!I1878-Sens!H1878</f>
        <v>3863.97223933333</v>
      </c>
      <c r="J1880" s="30" t="n">
        <f aca="false">Sens!J1878-Sens!I1878</f>
        <v>2352.15372345334</v>
      </c>
      <c r="K1880" s="30" t="n">
        <f aca="false">Sens!K1878-Sens!J1878</f>
        <v>872.260096883598</v>
      </c>
    </row>
    <row r="1881" customFormat="false" ht="17.15" hidden="false" customHeight="false" outlineLevel="0" collapsed="false">
      <c r="A1881" s="1" t="s">
        <v>959</v>
      </c>
      <c r="B1881" s="0" t="s">
        <v>456</v>
      </c>
      <c r="D1881" s="30" t="n">
        <f aca="false">Sens!D1875-Sens!C1875</f>
        <v>990</v>
      </c>
      <c r="E1881" s="30" t="n">
        <f aca="false">Sens!E1875-Sens!D1875</f>
        <v>1620</v>
      </c>
      <c r="F1881" s="30" t="n">
        <f aca="false">Sens!F1875-Sens!E1875</f>
        <v>2726.5351</v>
      </c>
      <c r="G1881" s="30" t="n">
        <f aca="false">Sens!G1875-Sens!F1875</f>
        <v>2726.5351</v>
      </c>
      <c r="H1881" s="30" t="n">
        <f aca="false">Sens!H1875-Sens!G1875</f>
        <v>2726.5351</v>
      </c>
      <c r="I1881" s="30" t="n">
        <f aca="false">Sens!I1875-Sens!H1875</f>
        <v>1931.98611966667</v>
      </c>
      <c r="J1881" s="30" t="n">
        <f aca="false">Sens!J1875-Sens!I1875</f>
        <v>1176.07686172667</v>
      </c>
      <c r="K1881" s="30" t="n">
        <f aca="false">Sens!K1875-Sens!J1875</f>
        <v>436.130048441799</v>
      </c>
    </row>
    <row r="1882" customFormat="false" ht="17.15" hidden="false" customHeight="false" outlineLevel="0" collapsed="false">
      <c r="A1882" s="1" t="s">
        <v>960</v>
      </c>
      <c r="B1882" s="0" t="s">
        <v>456</v>
      </c>
      <c r="F1882" s="30" t="n">
        <f aca="false">Sens!F1901*ext_sh_lo</f>
        <v>0</v>
      </c>
      <c r="G1882" s="30" t="n">
        <f aca="false">Sens!G1901*ext_sh_lo</f>
        <v>0</v>
      </c>
      <c r="H1882" s="30" t="n">
        <f aca="false">Sens!H1901*ext_sh_lo</f>
        <v>0</v>
      </c>
      <c r="I1882" s="30" t="n">
        <f aca="false">Sens!I1901*ext_sh_lo</f>
        <v>490</v>
      </c>
      <c r="J1882" s="30" t="n">
        <f aca="false">Sens!J1901*ext_sh_lo</f>
        <v>740</v>
      </c>
      <c r="K1882" s="30" t="n">
        <f aca="false">Sens!K1901*ext_sh_lo</f>
        <v>1470</v>
      </c>
      <c r="L1882" s="1" t="s">
        <v>961</v>
      </c>
    </row>
    <row r="1883" customFormat="false" ht="17.15" hidden="false" customHeight="false" outlineLevel="0" collapsed="false">
      <c r="A1883" s="1" t="s">
        <v>962</v>
      </c>
      <c r="B1883" s="0" t="s">
        <v>456</v>
      </c>
      <c r="C1883" s="30" t="n">
        <f aca="false">mix_h*Sens!C1875</f>
        <v>128</v>
      </c>
      <c r="D1883" s="30" t="n">
        <f aca="false">mix_h*Sens!D1875</f>
        <v>326</v>
      </c>
      <c r="E1883" s="30" t="n">
        <f aca="false">mix_h*Sens!E1875</f>
        <v>650</v>
      </c>
      <c r="F1883" s="30" t="n">
        <f aca="false">Sens!E1883-Sens!F1882*mix_h</f>
        <v>650</v>
      </c>
      <c r="G1883" s="30" t="n">
        <f aca="false">Sens!F1883-Sens!G1882*mix_h</f>
        <v>650</v>
      </c>
      <c r="H1883" s="30" t="n">
        <f aca="false">Sens!G1883-Sens!H1882*mix_h</f>
        <v>650</v>
      </c>
      <c r="I1883" s="30" t="n">
        <f aca="false">Sens!H1883-Sens!I1882*mix_h</f>
        <v>552</v>
      </c>
      <c r="J1883" s="30" t="n">
        <f aca="false">Sens!I1883-Sens!J1882*mix_h</f>
        <v>404</v>
      </c>
      <c r="K1883" s="30" t="n">
        <f aca="false">Sens!J1883-Sens!K1882*mix_h</f>
        <v>110</v>
      </c>
    </row>
    <row r="1884" customFormat="false" ht="17.15" hidden="false" customHeight="false" outlineLevel="0" collapsed="false">
      <c r="A1884" s="1" t="s">
        <v>963</v>
      </c>
      <c r="B1884" s="0" t="s">
        <v>456</v>
      </c>
      <c r="C1884" s="30" t="n">
        <f aca="false">mix_g2*Sens!C1875</f>
        <v>288</v>
      </c>
      <c r="D1884" s="30" t="n">
        <f aca="false">mix_g2*Sens!D1875</f>
        <v>733.5</v>
      </c>
      <c r="E1884" s="30" t="n">
        <f aca="false">mix_g2*Sens!E1875</f>
        <v>1462.5</v>
      </c>
      <c r="F1884" s="30" t="n">
        <f aca="false">Sens!E1884-Sens!F1882*mix_g2</f>
        <v>1462.5</v>
      </c>
      <c r="G1884" s="30" t="n">
        <f aca="false">Sens!F1884-Sens!G1882*mix_g2</f>
        <v>1462.5</v>
      </c>
      <c r="H1884" s="30" t="n">
        <f aca="false">Sens!G1884-Sens!H1882*mix_g2</f>
        <v>1462.5</v>
      </c>
      <c r="I1884" s="30" t="n">
        <f aca="false">Sens!H1884-Sens!I1882*mix_g2</f>
        <v>1242</v>
      </c>
      <c r="J1884" s="30" t="n">
        <f aca="false">Sens!I1884-Sens!J1882*mix_g2</f>
        <v>909</v>
      </c>
      <c r="K1884" s="30" t="n">
        <f aca="false">Sens!J1884-Sens!K1882*mix_g2</f>
        <v>247.5</v>
      </c>
    </row>
    <row r="1885" customFormat="false" ht="17.15" hidden="false" customHeight="false" outlineLevel="0" collapsed="false">
      <c r="A1885" s="1" t="s">
        <v>964</v>
      </c>
      <c r="B1885" s="0" t="s">
        <v>456</v>
      </c>
      <c r="C1885" s="30" t="n">
        <f aca="false">mix_g3*Sens!C1875</f>
        <v>224</v>
      </c>
      <c r="D1885" s="30" t="n">
        <f aca="false">mix_g3*Sens!D1875</f>
        <v>570.5</v>
      </c>
      <c r="E1885" s="30" t="n">
        <f aca="false">mix_g3*Sens!E1875</f>
        <v>1137.5</v>
      </c>
      <c r="F1885" s="30" t="n">
        <f aca="false">Sens!E1885+(Sens!F1881+Sens!F1882)*(a_g3_27-nonnv*a_mai)-Sens!F1882*mix_g3</f>
        <v>2773.42106</v>
      </c>
      <c r="G1885" s="30" t="n">
        <f aca="false">Sens!F1885+(Sens!G1881+Sens!G1882)*(a_g3_28-nonnv*a_mai)-Sens!G1882*mix_g3</f>
        <v>3318.72808</v>
      </c>
      <c r="H1885" s="30" t="n">
        <f aca="false">Sens!G1885+(Sens!H1881+Sens!H1882)*(a_g3_29-nonnv*a_mai)-Sens!H1882*mix_g3</f>
        <v>3318.72808</v>
      </c>
      <c r="I1885" s="30" t="n">
        <f aca="false">Sens!H1885+(Sens!I1881+Sens!I1882)*(a_g3_29-nonnv*a_mai)-Sens!I1882*mix_g3</f>
        <v>3147.22808</v>
      </c>
      <c r="J1885" s="30" t="n">
        <f aca="false">Sens!I1885+(Sens!J1881+Sens!J1882)*(a_g3_29-nonnv*a_mai)-Sens!J1882*mix_g3</f>
        <v>2888.22808</v>
      </c>
      <c r="K1885" s="30" t="n">
        <f aca="false">Sens!J1885+(Sens!K1881+Sens!K1882)*(a_g3_29-nonnv*a_mai)-Sens!K1882*mix_g3</f>
        <v>2373.72808</v>
      </c>
    </row>
    <row r="1886" customFormat="false" ht="17.15" hidden="false" customHeight="false" outlineLevel="0" collapsed="false">
      <c r="A1886" s="1" t="s">
        <v>965</v>
      </c>
      <c r="B1886" s="0" t="s">
        <v>456</v>
      </c>
      <c r="C1886" s="30" t="n">
        <v>0</v>
      </c>
      <c r="D1886" s="30" t="n">
        <v>0</v>
      </c>
      <c r="E1886" s="30" t="n">
        <v>0</v>
      </c>
      <c r="F1886" s="30" t="n">
        <f aca="false">Sens!E1886+(Sens!F1881+Sens!F1882)*nonnv*a_mai</f>
        <v>272.65351</v>
      </c>
      <c r="G1886" s="30" t="n">
        <f aca="false">Sens!F1886+(Sens!G1881+Sens!G1882)*nonnv*a_mai</f>
        <v>545.30702</v>
      </c>
      <c r="H1886" s="30" t="n">
        <f aca="false">Sens!G1886+(Sens!H1881+Sens!H1882)*nonnv*a_mai</f>
        <v>817.96053</v>
      </c>
      <c r="I1886" s="30" t="n">
        <f aca="false">Sens!H1886+(Sens!I1881+Sens!I1882)*nonnv*a_mai</f>
        <v>1060.15914196667</v>
      </c>
      <c r="J1886" s="30" t="n">
        <f aca="false">Sens!I1886+(Sens!J1881+Sens!J1882)*nonnv*a_mai</f>
        <v>1251.76682813933</v>
      </c>
      <c r="K1886" s="30" t="n">
        <f aca="false">Sens!J1886+(Sens!K1881+Sens!K1882)*nonnv*a_mai</f>
        <v>1442.37983298351</v>
      </c>
      <c r="L1886" s="12" t="s">
        <v>966</v>
      </c>
    </row>
    <row r="1887" customFormat="false" ht="17.15" hidden="false" customHeight="false" outlineLevel="0" collapsed="false">
      <c r="A1887" s="1" t="s">
        <v>967</v>
      </c>
      <c r="B1887" s="0" t="s">
        <v>456</v>
      </c>
      <c r="C1887" s="30" t="n">
        <v>0</v>
      </c>
      <c r="D1887" s="30" t="n">
        <v>0</v>
      </c>
      <c r="E1887" s="30" t="n">
        <v>0</v>
      </c>
      <c r="F1887" s="30" t="n">
        <f aca="false">Sens!E1887+(Sens!F1881+Sens!F1882)*(1-a_g3_27)</f>
        <v>817.96053</v>
      </c>
      <c r="G1887" s="30" t="n">
        <f aca="false">Sens!F1887+(Sens!G1881+Sens!G1882)*(1-a_g3_28)</f>
        <v>2726.5351</v>
      </c>
      <c r="H1887" s="30" t="n">
        <f aca="false">Sens!G1887+(Sens!H1881+Sens!H1882)*(1-a_g3_29)</f>
        <v>5180.41669</v>
      </c>
      <c r="I1887" s="30" t="n">
        <f aca="false">Sens!H1887+(Sens!I1881+Sens!I1882)*(1-a_g3_29)</f>
        <v>7360.2041977</v>
      </c>
      <c r="J1887" s="30" t="n">
        <f aca="false">Sens!I1887+(Sens!J1881+Sens!J1882)*(1-a_g3_29)</f>
        <v>9084.673373254</v>
      </c>
      <c r="K1887" s="30" t="n">
        <f aca="false">Sens!J1887+(Sens!K1881+Sens!K1882)*(1-a_g3_29)</f>
        <v>10800.1904168516</v>
      </c>
    </row>
    <row r="1888" customFormat="false" ht="17.15" hidden="false" customHeight="false" outlineLevel="0" collapsed="false">
      <c r="A1888" s="1" t="s">
        <v>968</v>
      </c>
      <c r="B1888" s="0" t="s">
        <v>403</v>
      </c>
      <c r="C1888" s="15" t="n">
        <f aca="false">(Sens!C1883*tk_hold_h100+Sens!C1884*tk_hold_gb200+Sens!C1885*tk_hold_gb300+Sens!C1887*tk_hold_vr200+Sens!C1886*nv_hold_mai*tk_hold_vr200)/Sens!C1875</f>
        <v>9.7235358126469</v>
      </c>
      <c r="D1888" s="15" t="n">
        <f aca="false">(Sens!D1883*tk_hold_h100+Sens!D1884*tk_hold_gb200+Sens!D1885*tk_hold_gb300+Sens!D1887*tk_hold_vr200+Sens!D1886*nv_hold_mai*tk_hold_vr200)/Sens!D1875</f>
        <v>9.7235358126469</v>
      </c>
      <c r="E1888" s="15" t="n">
        <f aca="false">(Sens!E1883*tk_hold_h100+Sens!E1884*tk_hold_gb200+Sens!E1885*tk_hold_gb300+Sens!E1887*tk_hold_vr200+Sens!E1886*nv_hold_mai*tk_hold_vr200)/Sens!E1875</f>
        <v>9.7235358126469</v>
      </c>
      <c r="F1888" s="15" t="n">
        <f aca="false">(Sens!F1883*tk_hold_h100+Sens!F1884*tk_hold_gb200+Sens!F1885*tk_hold_gb300+Sens!F1887*tk_hold_vr200+Sens!F1886*nv_hold_mai*tk_hold_vr200)/Sens!F1875</f>
        <v>10.2195353876665</v>
      </c>
      <c r="G1888" s="15" t="n">
        <f aca="false">(Sens!G1883*tk_hold_h100+Sens!G1884*tk_hold_gb200+Sens!G1885*tk_hold_gb300+Sens!G1887*tk_hold_vr200+Sens!G1886*nv_hold_mai*tk_hold_vr200)/Sens!G1875</f>
        <v>10.5725598017306</v>
      </c>
      <c r="H1888" s="15" t="n">
        <f aca="false">(Sens!H1883*tk_hold_h100+Sens!H1884*tk_hold_gb200+Sens!H1885*tk_hold_gb300+Sens!H1887*tk_hold_vr200+Sens!H1886*nv_hold_mai*tk_hold_vr200)/Sens!H1875</f>
        <v>10.8210427149036</v>
      </c>
      <c r="I1888" s="15" t="n">
        <f aca="false">(Sens!I1883*tk_hold_h100+Sens!I1884*tk_hold_gb200+Sens!I1885*tk_hold_gb300+Sens!I1887*tk_hold_vr200+Sens!I1886*nv_hold_mai*tk_hold_vr200)/Sens!I1875</f>
        <v>11.0050618241982</v>
      </c>
      <c r="J1888" s="15" t="n">
        <f aca="false">(Sens!J1883*tk_hold_h100+Sens!J1884*tk_hold_gb200+Sens!J1885*tk_hold_gb300+Sens!J1887*tk_hold_vr200+Sens!J1886*nv_hold_mai*tk_hold_vr200)/Sens!J1875</f>
        <v>11.1505789658881</v>
      </c>
      <c r="K1888" s="15" t="n">
        <f aca="false">(Sens!K1883*tk_hold_h100+Sens!K1884*tk_hold_gb200+Sens!K1885*tk_hold_gb300+Sens!K1887*tk_hold_vr200+Sens!K1886*nv_hold_mai*tk_hold_vr200)/Sens!K1875</f>
        <v>11.3496914757183</v>
      </c>
      <c r="L1888" s="1" t="s">
        <v>969</v>
      </c>
    </row>
    <row r="1889" customFormat="false" ht="17.15" hidden="false" customHeight="false" outlineLevel="0" collapsed="false">
      <c r="A1889" s="1" t="s">
        <v>970</v>
      </c>
      <c r="B1889" s="0" t="s">
        <v>403</v>
      </c>
      <c r="C1889" s="15" t="n">
        <f aca="false">(Sens!C1883*tk_hold_h100+Sens!C1884*tk_hold_gb200+Sens!C1885*tk_hold_gb300+Sens!C1887*tk_hold_vr200+Sens!C1886*nv_out_mai*tk_hold_vr200)/Sens!C1875</f>
        <v>9.7235358126469</v>
      </c>
      <c r="D1889" s="15" t="n">
        <f aca="false">(Sens!D1883*tk_hold_h100+Sens!D1884*tk_hold_gb200+Sens!D1885*tk_hold_gb300+Sens!D1887*tk_hold_vr200+Sens!D1886*nv_out_mai*tk_hold_vr200)/Sens!D1875</f>
        <v>9.7235358126469</v>
      </c>
      <c r="E1889" s="15" t="n">
        <f aca="false">(Sens!E1883*tk_hold_h100+Sens!E1884*tk_hold_gb200+Sens!E1885*tk_hold_gb300+Sens!E1887*tk_hold_vr200+Sens!E1886*nv_out_mai*tk_hold_vr200)/Sens!E1875</f>
        <v>9.7235358126469</v>
      </c>
      <c r="F1889" s="15" t="n">
        <f aca="false">(Sens!F1883*tk_hold_h100+Sens!F1884*tk_hold_gb200+Sens!F1885*tk_hold_gb300+Sens!F1887*tk_hold_vr200+Sens!F1886*nv_out_mai*tk_hold_vr200)/Sens!F1875</f>
        <v>10.247422093969</v>
      </c>
      <c r="G1889" s="15" t="n">
        <f aca="false">(Sens!G1883*tk_hold_h100+Sens!G1884*tk_hold_gb200+Sens!G1885*tk_hold_gb300+Sens!G1887*tk_hold_vr200+Sens!G1886*nv_out_mai*tk_hold_vr200)/Sens!G1875</f>
        <v>10.6108602808053</v>
      </c>
      <c r="H1889" s="15" t="n">
        <f aca="false">(Sens!H1883*tk_hold_h100+Sens!H1884*tk_hold_gb200+Sens!H1885*tk_hold_gb300+Sens!H1887*tk_hold_vr200+Sens!H1886*nv_out_mai*tk_hold_vr200)/Sens!H1875</f>
        <v>10.8647885507393</v>
      </c>
      <c r="I1889" s="15" t="n">
        <f aca="false">(Sens!I1883*tk_hold_h100+Sens!I1884*tk_hold_gb200+Sens!I1885*tk_hold_gb300+Sens!I1887*tk_hold_vr200+Sens!I1886*nv_out_mai*tk_hold_vr200)/Sens!I1875</f>
        <v>11.0535625770025</v>
      </c>
      <c r="J1889" s="15" t="n">
        <f aca="false">(Sens!J1883*tk_hold_h100+Sens!J1884*tk_hold_gb200+Sens!J1885*tk_hold_gb300+Sens!J1887*tk_hold_vr200+Sens!J1886*nv_out_mai*tk_hold_vr200)/Sens!J1875</f>
        <v>11.2032127128058</v>
      </c>
      <c r="K1889" s="15" t="n">
        <f aca="false">(Sens!K1883*tk_hold_h100+Sens!K1884*tk_hold_gb200+Sens!K1885*tk_hold_gb300+Sens!K1887*tk_hold_vr200+Sens!K1886*nv_out_mai*tk_hold_vr200)/Sens!K1875</f>
        <v>11.4085735724225</v>
      </c>
      <c r="L1889" s="12" t="s">
        <v>971</v>
      </c>
    </row>
    <row r="1890" customFormat="false" ht="17.15" hidden="false" customHeight="false" outlineLevel="0" collapsed="false">
      <c r="A1890" s="0" t="s">
        <v>972</v>
      </c>
      <c r="B1890" s="0" t="s">
        <v>229</v>
      </c>
      <c r="C1890" s="15" t="n">
        <f aca="false">k_B</f>
        <v>1.17213932619116</v>
      </c>
      <c r="D1890" s="15" t="n">
        <f aca="false">k_B</f>
        <v>1.17213932619116</v>
      </c>
      <c r="E1890" s="15" t="n">
        <f aca="false">k_B</f>
        <v>1.17213932619116</v>
      </c>
      <c r="F1890" s="15" t="n">
        <f aca="false">(k_B+((ls_A*k_long+(1-ls_A)*k_spot)-k_B)*MIN(1,(Sens!F1873-base_fy)/k_ramp))</f>
        <v>1.25022828131298</v>
      </c>
      <c r="G1890" s="15" t="n">
        <f aca="false">(k_B+((ls_A*k_long+(1-ls_A)*k_spot)-k_B)*MIN(1,(Sens!G1873-base_fy)/k_ramp))</f>
        <v>1.3283172364348</v>
      </c>
      <c r="H1890" s="15" t="n">
        <f aca="false">(k_B+((ls_A*k_long+(1-ls_A)*k_spot)-k_B)*MIN(1,(Sens!H1873-base_fy)/k_ramp))</f>
        <v>1.40640619155662</v>
      </c>
      <c r="I1890" s="15" t="n">
        <f aca="false">(k_B+((ls_A*k_long+(1-ls_A)*k_spot)-k_B)*MIN(1,(Sens!I1873-base_fy)/k_ramp))</f>
        <v>1.40640619155662</v>
      </c>
      <c r="J1890" s="15" t="n">
        <f aca="false">(k_B+((ls_A*k_long+(1-ls_A)*k_spot)-k_B)*MIN(1,(Sens!J1873-base_fy)/k_ramp))</f>
        <v>1.40640619155662</v>
      </c>
      <c r="K1890" s="15" t="n">
        <f aca="false">(k_B+((ls_A*k_long+(1-ls_A)*k_spot)-k_B)*MIN(1,(Sens!K1873-base_fy)/k_ramp))</f>
        <v>1.40640619155662</v>
      </c>
      <c r="L1890" s="1" t="s">
        <v>973</v>
      </c>
    </row>
    <row r="1891" customFormat="false" ht="17.15" hidden="false" customHeight="false" outlineLevel="0" collapsed="false">
      <c r="A1891" s="1" t="s">
        <v>974</v>
      </c>
      <c r="B1891" s="0" t="s">
        <v>403</v>
      </c>
      <c r="C1891" s="15" t="n">
        <f aca="false">Sens!C1889*Sens!C1890*chip_f</f>
        <v>11.3973387156315</v>
      </c>
      <c r="D1891" s="15" t="n">
        <f aca="false">Sens!D1889*Sens!D1890*chip_f</f>
        <v>11.3973387156315</v>
      </c>
      <c r="E1891" s="15" t="n">
        <f aca="false">Sens!E1889*Sens!E1890*chip_f</f>
        <v>11.3973387156315</v>
      </c>
      <c r="F1891" s="15" t="n">
        <f aca="false">Sens!F1889*Sens!F1890*chip_f</f>
        <v>12.8116169124314</v>
      </c>
      <c r="G1891" s="15" t="n">
        <f aca="false">Sens!G1889*Sens!G1890*chip_f</f>
        <v>14.094588604395</v>
      </c>
      <c r="H1891" s="15" t="n">
        <f aca="false">Sens!H1889*Sens!H1890*chip_f</f>
        <v>15.2803058877132</v>
      </c>
      <c r="I1891" s="15" t="n">
        <f aca="false">Sens!I1889*Sens!I1890*chip_f</f>
        <v>15.5457988470549</v>
      </c>
      <c r="J1891" s="15" t="n">
        <f aca="false">Sens!J1889*Sens!J1890*chip_f</f>
        <v>15.7562677246158</v>
      </c>
      <c r="K1891" s="15" t="n">
        <f aca="false">Sens!K1889*Sens!K1890*chip_f</f>
        <v>16.0450885090842</v>
      </c>
      <c r="L1891" s="1" t="s">
        <v>975</v>
      </c>
    </row>
    <row r="1892" customFormat="false" ht="17.15" hidden="false" customHeight="false" outlineLevel="0" collapsed="false">
      <c r="A1892" s="0" t="s">
        <v>976</v>
      </c>
      <c r="B1892" s="0" t="s">
        <v>98</v>
      </c>
      <c r="D1892" s="6" t="n">
        <f aca="false">(Sens!C1875+Sens!D1875)/2*Sens!D1891/1000</f>
        <v>12.9359794422418</v>
      </c>
      <c r="E1892" s="6" t="n">
        <f aca="false">(Sens!D1875+Sens!E1875)/2*Sens!E1891/1000</f>
        <v>27.8095064661409</v>
      </c>
      <c r="F1892" s="6" t="n">
        <f aca="false">(Sens!E1875+Sens!F1875)/2*Sens!F1891/1000</f>
        <v>59.1034165651511</v>
      </c>
      <c r="G1892" s="6" t="n">
        <f aca="false">(Sens!F1875+Sens!G1875)/2*Sens!G1891/1000</f>
        <v>103.451498789198</v>
      </c>
      <c r="H1892" s="6" t="n">
        <f aca="false">(Sens!G1875+Sens!H1875)/2*Sens!H1891/1000</f>
        <v>153.816719989035</v>
      </c>
      <c r="I1892" s="6" t="n">
        <f aca="false">(Sens!H1875+Sens!I1875)/2*Sens!I1891/1000</f>
        <v>192.699478690852</v>
      </c>
      <c r="J1892" s="6" t="n">
        <f aca="false">(Sens!I1875+Sens!J1875)/2*Sens!J1891/1000</f>
        <v>219.794102584244</v>
      </c>
      <c r="K1892" s="6" t="n">
        <f aca="false">(Sens!J1875+Sens!K1875)/2*Sens!K1891/1000</f>
        <v>236.757046905022</v>
      </c>
      <c r="L1892" s="12" t="s">
        <v>977</v>
      </c>
    </row>
    <row r="1893" customFormat="false" ht="17.15" hidden="false" customHeight="false" outlineLevel="0" collapsed="false">
      <c r="A1893" s="1" t="s">
        <v>978</v>
      </c>
      <c r="B1893" s="0" t="s">
        <v>403</v>
      </c>
      <c r="C1893" s="15" t="n">
        <f aca="false">(Sens!C1883*tk_opex_h100+Sens!C1884*tk_opex_gb200+Sens!C1885*tk_opex_gb300+(Sens!C1887+Sens!C1886)*tk_opex_vr200)/Sens!C1875</f>
        <v>1.88636041306092</v>
      </c>
      <c r="D1893" s="15" t="n">
        <f aca="false">(Sens!D1883*tk_opex_h100+Sens!D1884*tk_opex_gb200+Sens!D1885*tk_opex_gb300+(Sens!D1887+Sens!D1886)*tk_opex_vr200)/Sens!D1875</f>
        <v>1.88636041306092</v>
      </c>
      <c r="E1893" s="15" t="n">
        <f aca="false">(Sens!E1883*tk_opex_h100+Sens!E1884*tk_opex_gb200+Sens!E1885*tk_opex_gb300+(Sens!E1887+Sens!E1886)*tk_opex_vr200)/Sens!E1875</f>
        <v>1.88636041306092</v>
      </c>
      <c r="F1893" s="15" t="n">
        <f aca="false">(Sens!F1883*tk_opex_h100+Sens!F1884*tk_opex_gb200+Sens!F1885*tk_opex_gb300+(Sens!F1887+Sens!F1886)*tk_opex_vr200)/Sens!F1875</f>
        <v>1.95051159746876</v>
      </c>
      <c r="G1893" s="15" t="n">
        <f aca="false">(Sens!G1883*tk_opex_h100+Sens!G1884*tk_opex_gb200+Sens!G1885*tk_opex_gb300+(Sens!G1887+Sens!G1886)*tk_opex_vr200)/Sens!G1875</f>
        <v>1.98836003669956</v>
      </c>
      <c r="H1893" s="15" t="n">
        <f aca="false">(Sens!H1883*tk_opex_h100+Sens!H1884*tk_opex_gb200+Sens!H1885*tk_opex_gb300+(Sens!H1887+Sens!H1886)*tk_opex_vr200)/Sens!H1875</f>
        <v>2.01344013834343</v>
      </c>
      <c r="I1893" s="15" t="n">
        <f aca="false">(Sens!I1883*tk_opex_h100+Sens!I1884*tk_opex_gb200+Sens!I1885*tk_opex_gb300+(Sens!I1887+Sens!I1886)*tk_opex_vr200)/Sens!I1875</f>
        <v>2.03261166882178</v>
      </c>
      <c r="J1893" s="15" t="n">
        <f aca="false">(Sens!J1883*tk_opex_h100+Sens!J1884*tk_opex_gb200+Sens!J1885*tk_opex_gb300+(Sens!J1887+Sens!J1886)*tk_opex_vr200)/Sens!J1875</f>
        <v>2.04808073288745</v>
      </c>
      <c r="K1893" s="15" t="n">
        <f aca="false">(Sens!K1883*tk_opex_h100+Sens!K1884*tk_opex_gb200+Sens!K1885*tk_opex_gb300+(Sens!K1887+Sens!K1886)*tk_opex_vr200)/Sens!K1875</f>
        <v>2.06973825807449</v>
      </c>
      <c r="L1893" s="12" t="s">
        <v>979</v>
      </c>
    </row>
    <row r="1894" customFormat="false" ht="17.15" hidden="false" customHeight="false" outlineLevel="0" collapsed="false">
      <c r="A1894" s="0" t="s">
        <v>980</v>
      </c>
      <c r="B1894" s="0" t="s">
        <v>98</v>
      </c>
      <c r="D1894" s="6" t="n">
        <f aca="false">(Sens!C1878+Sens!D1878)/2*Sens!D1893/1000</f>
        <v>3.24453991046478</v>
      </c>
      <c r="E1894" s="6" t="n">
        <f aca="false">(Sens!D1878+Sens!E1878)/2*Sens!E1893/1000</f>
        <v>7.41339642332941</v>
      </c>
      <c r="F1894" s="6" t="n">
        <f aca="false">(Sens!E1878+Sens!F1878)/2*Sens!F1893/1000</f>
        <v>15.4490955707084</v>
      </c>
      <c r="G1894" s="6" t="n">
        <f aca="false">(Sens!F1878+Sens!G1878)/2*Sens!G1893/1000</f>
        <v>26.1819401575533</v>
      </c>
      <c r="H1894" s="6" t="n">
        <f aca="false">(Sens!G1878+Sens!H1878)/2*Sens!H1893/1000</f>
        <v>37.4916154547681</v>
      </c>
      <c r="I1894" s="6" t="n">
        <f aca="false">(Sens!H1878+Sens!I1878)/2*Sens!I1893/1000</f>
        <v>47.3175668931922</v>
      </c>
      <c r="J1894" s="6" t="n">
        <f aca="false">(Sens!I1878+Sens!J1878)/2*Sens!J1893/1000</f>
        <v>54.0432381874384</v>
      </c>
      <c r="K1894" s="6" t="n">
        <f aca="false">(Sens!J1878+Sens!K1878)/2*Sens!K1893/1000</f>
        <v>57.9515672509388</v>
      </c>
    </row>
    <row r="1895" customFormat="false" ht="17.15" hidden="false" customHeight="false" outlineLevel="0" collapsed="false">
      <c r="A1895" s="0" t="s">
        <v>981</v>
      </c>
      <c r="B1895" s="0" t="s">
        <v>98</v>
      </c>
      <c r="D1895" s="6" t="n">
        <f aca="false">(Sens!C1876+Sens!D1876)/2*rent_mw/1000</f>
        <v>2.44475</v>
      </c>
      <c r="E1895" s="6" t="n">
        <f aca="false">(Sens!D1876+Sens!E1876)/2*rent_mw/1000</f>
        <v>4.22275</v>
      </c>
      <c r="F1895" s="6" t="n">
        <f aca="false">(Sens!E1876+Sens!F1876)/2*rent_mw/1000</f>
        <v>5.80517</v>
      </c>
      <c r="G1895" s="6" t="n">
        <f aca="false">(Sens!F1876+Sens!G1876)/2*rent_mw/1000</f>
        <v>6.72084</v>
      </c>
      <c r="H1895" s="6" t="n">
        <f aca="false">(Sens!G1876+Sens!H1876)/2*rent_mw/1000</f>
        <v>6.72084</v>
      </c>
      <c r="I1895" s="6" t="n">
        <f aca="false">(Sens!H1876+Sens!I1876)/2*rent_mw/1000</f>
        <v>6.72084</v>
      </c>
      <c r="J1895" s="6" t="n">
        <f aca="false">(Sens!I1876+Sens!J1876)/2*rent_mw/1000</f>
        <v>6.72084</v>
      </c>
      <c r="K1895" s="6" t="n">
        <f aca="false">(Sens!J1876+Sens!K1876)/2*rent_mw/1000</f>
        <v>6.72084</v>
      </c>
    </row>
    <row r="1896" customFormat="false" ht="17.15" hidden="false" customHeight="false" outlineLevel="0" collapsed="false">
      <c r="A1896" s="0" t="s">
        <v>982</v>
      </c>
      <c r="B1896" s="0" t="s">
        <v>98</v>
      </c>
      <c r="D1896" s="6" t="n">
        <f aca="false">(Sens!C1878+Sens!D1878)/2*(1-self_build)*fac_rent/1000</f>
        <v>1.02389085075729</v>
      </c>
      <c r="E1896" s="6" t="n">
        <f aca="false">(Sens!D1878+Sens!E1878)/2*(1-self_build)*fac_rent/1000</f>
        <v>2.33947153690474</v>
      </c>
      <c r="F1896" s="6" t="n">
        <f aca="false">(Sens!E1878+Sens!F1878)/2*(1-self_build)*fac_rent/1000</f>
        <v>4.71497873371627</v>
      </c>
      <c r="G1896" s="6" t="n">
        <f aca="false">(Sens!F1878+Sens!G1878)/2*(1-self_build)*fac_rent/1000</f>
        <v>7.83848290293791</v>
      </c>
      <c r="H1896" s="6" t="n">
        <f aca="false">(Sens!G1878+Sens!H1878)/2*(1-self_build)*fac_rent/1000</f>
        <v>11.0846158600991</v>
      </c>
      <c r="I1896" s="6" t="n">
        <f aca="false">(Sens!H1878+Sens!I1878)/2*(1-self_build)*fac_rent/1000</f>
        <v>13.8577654268871</v>
      </c>
      <c r="J1896" s="6" t="n">
        <f aca="false">(Sens!I1878+Sens!J1878)/2*(1-self_build)*fac_rent/1000</f>
        <v>15.707949874693</v>
      </c>
      <c r="K1896" s="6" t="n">
        <f aca="false">(Sens!J1878+Sens!K1878)/2*(1-self_build)*fac_rent/1000</f>
        <v>16.6676730751867</v>
      </c>
      <c r="L1896" s="12" t="s">
        <v>983</v>
      </c>
    </row>
    <row r="1897" customFormat="false" ht="17.15" hidden="false" customHeight="false" outlineLevel="0" collapsed="false">
      <c r="A1897" s="1" t="s">
        <v>984</v>
      </c>
      <c r="B1897" s="0" t="s">
        <v>168</v>
      </c>
      <c r="D1897" s="7" t="n">
        <f aca="false">(Sens!C1877+Sens!D1877)/(Sens!C1878+Sens!D1878)</f>
        <v>0.5</v>
      </c>
      <c r="E1897" s="7" t="n">
        <f aca="false">(Sens!D1877+Sens!E1877)/(Sens!D1878+Sens!E1878)</f>
        <v>0.5</v>
      </c>
      <c r="F1897" s="7" t="n">
        <f aca="false">(Sens!E1877+Sens!F1877)/(Sens!E1878+Sens!F1878)</f>
        <v>0.5</v>
      </c>
      <c r="G1897" s="7" t="n">
        <f aca="false">(Sens!F1877+Sens!G1877)/(Sens!F1878+Sens!G1878)</f>
        <v>0.5</v>
      </c>
      <c r="H1897" s="7" t="n">
        <f aca="false">(Sens!G1877+Sens!H1877)/(Sens!G1878+Sens!H1878)</f>
        <v>0.5</v>
      </c>
      <c r="I1897" s="7" t="n">
        <f aca="false">(Sens!H1877+Sens!I1877)/(Sens!H1878+Sens!I1878)</f>
        <v>0.5</v>
      </c>
      <c r="J1897" s="7" t="n">
        <f aca="false">(Sens!I1877+Sens!J1877)/(Sens!I1878+Sens!J1878)</f>
        <v>0.5</v>
      </c>
      <c r="K1897" s="7" t="n">
        <f aca="false">(Sens!J1877+Sens!K1877)/(Sens!J1878+Sens!K1878)</f>
        <v>0.5</v>
      </c>
    </row>
    <row r="1898" customFormat="false" ht="17.15" hidden="false" customHeight="false" outlineLevel="0" collapsed="false">
      <c r="A1898" s="0" t="s">
        <v>985</v>
      </c>
      <c r="B1898" s="0" t="s">
        <v>98</v>
      </c>
      <c r="D1898" s="6" t="n">
        <f aca="false">Sens!D1892-Sens!D1897*(Sens!D1894+Sens!D1896)-Sens!D1895</f>
        <v>8.35701406163072</v>
      </c>
      <c r="E1898" s="6" t="n">
        <f aca="false">Sens!E1892-Sens!E1897*(Sens!E1894+Sens!E1896)-Sens!E1895</f>
        <v>18.7103224860238</v>
      </c>
      <c r="F1898" s="6" t="n">
        <f aca="false">Sens!F1892-Sens!F1897*(Sens!F1894+Sens!F1896)-Sens!F1895</f>
        <v>43.2162094129388</v>
      </c>
      <c r="G1898" s="6" t="n">
        <f aca="false">Sens!G1892-Sens!G1897*(Sens!G1894+Sens!G1896)-Sens!G1895</f>
        <v>79.7204472589529</v>
      </c>
      <c r="H1898" s="6" t="n">
        <f aca="false">Sens!H1892-Sens!H1897*(Sens!H1894+Sens!H1896)-Sens!H1895</f>
        <v>122.807764331602</v>
      </c>
      <c r="I1898" s="6" t="n">
        <f aca="false">Sens!I1892-Sens!I1897*(Sens!I1894+Sens!I1896)-Sens!I1895</f>
        <v>155.390972530813</v>
      </c>
      <c r="J1898" s="6" t="n">
        <f aca="false">Sens!J1892-Sens!J1897*(Sens!J1894+Sens!J1896)-Sens!J1895</f>
        <v>178.197668553178</v>
      </c>
      <c r="K1898" s="6" t="n">
        <f aca="false">Sens!K1892-Sens!K1897*(Sens!K1894+Sens!K1896)-Sens!K1895</f>
        <v>192.726586741959</v>
      </c>
    </row>
    <row r="1899" customFormat="false" ht="17.15" hidden="false" customHeight="false" outlineLevel="0" collapsed="false">
      <c r="A1899" s="1" t="s">
        <v>986</v>
      </c>
      <c r="B1899" s="0" t="s">
        <v>98</v>
      </c>
      <c r="D1899" s="6" t="n">
        <f aca="false">(1-Sens!D1897)*(Sens!D1894+Sens!D1896)</f>
        <v>2.13421538061103</v>
      </c>
      <c r="E1899" s="6" t="n">
        <f aca="false">(1-Sens!E1897)*(Sens!E1894+Sens!E1896)</f>
        <v>4.87643398011707</v>
      </c>
      <c r="F1899" s="6" t="n">
        <f aca="false">(1-Sens!F1897)*(Sens!F1894+Sens!F1896)</f>
        <v>10.0820371522123</v>
      </c>
      <c r="G1899" s="6" t="n">
        <f aca="false">(1-Sens!G1897)*(Sens!G1894+Sens!G1896)</f>
        <v>17.0102115302456</v>
      </c>
      <c r="H1899" s="6" t="n">
        <f aca="false">(1-Sens!H1897)*(Sens!H1894+Sens!H1896)</f>
        <v>24.2881156574336</v>
      </c>
      <c r="I1899" s="6" t="n">
        <f aca="false">(1-Sens!I1897)*(Sens!I1894+Sens!I1896)</f>
        <v>30.5876661600396</v>
      </c>
      <c r="J1899" s="6" t="n">
        <f aca="false">(1-Sens!J1897)*(Sens!J1894+Sens!J1896)</f>
        <v>34.8755940310657</v>
      </c>
      <c r="K1899" s="6" t="n">
        <f aca="false">(1-Sens!K1897)*(Sens!K1894+Sens!K1896)</f>
        <v>37.3096201630627</v>
      </c>
    </row>
    <row r="1900" customFormat="false" ht="17.15" hidden="false" customHeight="false" outlineLevel="0" collapsed="false">
      <c r="A1900" s="1" t="s">
        <v>987</v>
      </c>
      <c r="B1900" s="0" t="s">
        <v>414</v>
      </c>
      <c r="C1900" s="8" t="n">
        <f aca="false">cxit_open</f>
        <v>27.5918995</v>
      </c>
      <c r="D1900" s="8" t="n">
        <f aca="false">cxit_open</f>
        <v>27.5918995</v>
      </c>
      <c r="E1900" s="8" t="n">
        <f aca="false">cxit_open</f>
        <v>27.5918995</v>
      </c>
      <c r="F1900" s="8" t="n">
        <f aca="false">((a_g3_27-nonnv*a_mai)*tk_cxit_gb300+nonnv*a_mai*nv_hold_mai*tk_cxit_vr200+(1-a_g3_27)*tk_cxit_vr200)</f>
        <v>32.4975576</v>
      </c>
      <c r="G1900" s="8" t="n">
        <f aca="false">((a_g3_28-nonnv*a_mai)*tk_cxit_gb300+nonnv*a_mai*nv_hold_mai*tk_cxit_vr200+(1-a_g3_28)*tk_cxit_vr200)</f>
        <v>34.6372088</v>
      </c>
      <c r="H1900" s="8" t="n">
        <f aca="false">((a_g3_29-nonnv*a_mai)*tk_cxit_gb300+nonnv*a_mai*nv_hold_mai*tk_cxit_vr200+(1-a_g3_29)*tk_cxit_vr200)</f>
        <v>35.7070344</v>
      </c>
      <c r="I1900" s="8" t="n">
        <f aca="false">((a_g3_29-nonnv*a_mai)*tk_cxit_gb300+nonnv*a_mai*nv_hold_mai*tk_cxit_vr200+(1-a_g3_29)*tk_cxit_vr200)</f>
        <v>35.7070344</v>
      </c>
      <c r="J1900" s="8" t="n">
        <f aca="false">((a_g3_29-nonnv*a_mai)*tk_cxit_gb300+nonnv*a_mai*nv_hold_mai*tk_cxit_vr200+(1-a_g3_29)*tk_cxit_vr200)</f>
        <v>35.7070344</v>
      </c>
      <c r="K1900" s="8" t="n">
        <f aca="false">((a_g3_29-nonnv*a_mai)*tk_cxit_gb300+nonnv*a_mai*nv_hold_mai*tk_cxit_vr200+(1-a_g3_29)*tk_cxit_vr200)</f>
        <v>35.7070344</v>
      </c>
      <c r="L1900" s="12" t="s">
        <v>988</v>
      </c>
    </row>
    <row r="1901" customFormat="false" ht="17.15" hidden="false" customHeight="false" outlineLevel="0" collapsed="false">
      <c r="A1901" s="0" t="s">
        <v>989</v>
      </c>
      <c r="B1901" s="0" t="s">
        <v>456</v>
      </c>
      <c r="F1901" s="30" t="n">
        <f aca="false">Sens!C1880*IF(Sens!F1873-Sens!C1873=life_it,1,0)+Sens!D1880*IF(Sens!F1873-Sens!D1873=life_it,1,0)+Sens!E1880*IF(Sens!F1873-Sens!E1873=life_it,1,0)</f>
        <v>0</v>
      </c>
      <c r="G1901" s="30" t="n">
        <f aca="false">Sens!C1880*IF(Sens!G1873-Sens!C1873=life_it,1,0)+Sens!D1880*IF(Sens!G1873-Sens!D1873=life_it,1,0)+Sens!E1880*IF(Sens!G1873-Sens!E1873=life_it,1,0)+Sens!F1880*IF(Sens!G1873-Sens!F1873=life_it,1,0)</f>
        <v>0</v>
      </c>
      <c r="H1901" s="30" t="n">
        <f aca="false">Sens!C1880*IF(Sens!H1873-Sens!C1873=life_it,1,0)+Sens!D1880*IF(Sens!H1873-Sens!D1873=life_it,1,0)+Sens!E1880*IF(Sens!H1873-Sens!E1873=life_it,1,0)+Sens!F1880*IF(Sens!H1873-Sens!F1873=life_it,1,0)+Sens!G1880*IF(Sens!H1873-Sens!G1873=life_it,1,0)</f>
        <v>0</v>
      </c>
      <c r="I1901" s="30" t="n">
        <f aca="false">Sens!C1880*IF(Sens!I1873-Sens!C1873=life_it,1,0)+Sens!D1880*IF(Sens!I1873-Sens!D1873=life_it,1,0)+Sens!E1880*IF(Sens!I1873-Sens!E1873=life_it,1,0)+Sens!F1880*IF(Sens!I1873-Sens!F1873=life_it,1,0)+Sens!G1880*IF(Sens!I1873-Sens!G1873=life_it,1,0)+Sens!H1880*IF(Sens!I1873-Sens!H1873=life_it,1,0)</f>
        <v>980</v>
      </c>
      <c r="J1901" s="30" t="n">
        <f aca="false">Sens!C1880*IF(Sens!J1873-Sens!C1873=life_it,1,0)+Sens!D1880*IF(Sens!J1873-Sens!D1873=life_it,1,0)+Sens!E1880*IF(Sens!J1873-Sens!E1873=life_it,1,0)+Sens!F1880*IF(Sens!J1873-Sens!F1873=life_it,1,0)+Sens!G1880*IF(Sens!J1873-Sens!G1873=life_it,1,0)+Sens!H1880*IF(Sens!J1873-Sens!H1873=life_it,1,0)+Sens!I1880*IF(Sens!J1873-Sens!I1873=life_it,1,0)</f>
        <v>1480</v>
      </c>
      <c r="K1901" s="30" t="n">
        <f aca="false">Sens!C1880*IF(Sens!K1873-Sens!C1873=life_it,1,0)+Sens!D1880*IF(Sens!K1873-Sens!D1873=life_it,1,0)+Sens!E1880*IF(Sens!K1873-Sens!E1873=life_it,1,0)+Sens!F1880*IF(Sens!K1873-Sens!F1873=life_it,1,0)+Sens!G1880*IF(Sens!K1873-Sens!G1873=life_it,1,0)+Sens!H1880*IF(Sens!K1873-Sens!H1873=life_it,1,0)+Sens!I1880*IF(Sens!K1873-Sens!I1873=life_it,1,0)+Sens!J1880*IF(Sens!K1873-Sens!J1873=life_it,1,0)</f>
        <v>2940</v>
      </c>
      <c r="L1901" s="1" t="s">
        <v>990</v>
      </c>
    </row>
    <row r="1902" customFormat="false" ht="17.15" hidden="false" customHeight="false" outlineLevel="0" collapsed="false">
      <c r="A1902" s="0" t="s">
        <v>991</v>
      </c>
      <c r="B1902" s="0" t="s">
        <v>98</v>
      </c>
      <c r="C1902" s="6" t="n">
        <f aca="false">Sens!C1880*Sens!C1900/1000</f>
        <v>27.04006151</v>
      </c>
      <c r="D1902" s="6" t="n">
        <f aca="false">Sens!D1880*Sens!D1900/1000</f>
        <v>40.83601126</v>
      </c>
      <c r="E1902" s="6" t="n">
        <f aca="false">Sens!E1880*Sens!E1900/1000</f>
        <v>81.12018453</v>
      </c>
      <c r="F1902" s="6" t="n">
        <f aca="false">(Sens!F1880+Sens!F1901)*Sens!F1900/1000</f>
        <v>163.822469190144</v>
      </c>
      <c r="G1902" s="6" t="n">
        <f aca="false">(Sens!G1880+Sens!G1901)*Sens!G1900/1000</f>
        <v>188.879131118458</v>
      </c>
      <c r="H1902" s="6" t="n">
        <f aca="false">(Sens!H1880+Sens!H1901)*Sens!H1900/1000</f>
        <v>194.712965217015</v>
      </c>
      <c r="I1902" s="6" t="n">
        <f aca="false">(Sens!I1880+Sens!I1901)*Sens!I1900/1000</f>
        <v>172.96388338252</v>
      </c>
      <c r="J1902" s="6" t="n">
        <f aca="false">(Sens!J1880+Sens!J1901)*Sens!J1900/1000</f>
        <v>136.834844829436</v>
      </c>
      <c r="K1902" s="6" t="n">
        <f aca="false">(Sens!K1880+Sens!K1901)*Sens!K1900/1000</f>
        <v>136.12450242117</v>
      </c>
    </row>
    <row r="1903" customFormat="false" ht="17.15" hidden="false" customHeight="false" outlineLevel="0" collapsed="false">
      <c r="A1903" s="0" t="s">
        <v>992</v>
      </c>
      <c r="B1903" s="0" t="s">
        <v>98</v>
      </c>
      <c r="C1903" s="6" t="n">
        <f aca="false">Sens!C1880*self_build*tk_cxfac/1000</f>
        <v>7.44996</v>
      </c>
      <c r="D1903" s="6" t="n">
        <f aca="false">Sens!D1880*self_build*tk_cxfac/1000</f>
        <v>11.25096</v>
      </c>
      <c r="E1903" s="6" t="n">
        <f aca="false">Sens!E1880*self_build*tk_cxfac/1000</f>
        <v>22.34988</v>
      </c>
      <c r="F1903" s="6" t="n">
        <f aca="false">Sens!F1880*self_build*tk_cxfac/1000</f>
        <v>38.3222156604</v>
      </c>
      <c r="G1903" s="6" t="n">
        <f aca="false">Sens!G1880*self_build*tk_cxfac/1000</f>
        <v>41.4542396604</v>
      </c>
      <c r="H1903" s="6" t="n">
        <f aca="false">Sens!H1880*self_build*tk_cxfac/1000</f>
        <v>41.4542396604</v>
      </c>
      <c r="I1903" s="6" t="n">
        <f aca="false">Sens!I1880*self_build*tk_cxfac/1000</f>
        <v>29.373916963412</v>
      </c>
      <c r="J1903" s="6" t="n">
        <f aca="false">Sens!J1880*self_build*tk_cxfac/1000</f>
        <v>17.8810726056923</v>
      </c>
      <c r="K1903" s="6" t="n">
        <f aca="false">Sens!K1880*self_build*tk_cxfac/1000</f>
        <v>6.63092125650911</v>
      </c>
    </row>
    <row r="1904" customFormat="false" ht="17.15" hidden="false" customHeight="false" outlineLevel="0" collapsed="false">
      <c r="A1904" s="0" t="s">
        <v>993</v>
      </c>
      <c r="B1904" s="0" t="s">
        <v>98</v>
      </c>
      <c r="F1904" s="15" t="n">
        <f aca="false">capex_floor27-Sens!F1902-Sens!F1903-Sens!F2000</f>
        <v>-33.6432033631664</v>
      </c>
      <c r="L1904" s="12" t="s">
        <v>994</v>
      </c>
    </row>
    <row r="1905" customFormat="false" ht="17.15" hidden="false" customHeight="false" outlineLevel="0" collapsed="false">
      <c r="A1905" s="0" t="s">
        <v>995</v>
      </c>
      <c r="B1905" s="0" t="s">
        <v>98</v>
      </c>
      <c r="F1905" s="6" t="n">
        <f aca="false">MAX(0,Sens!F1904)</f>
        <v>0</v>
      </c>
    </row>
    <row r="1906" customFormat="false" ht="17.15" hidden="false" customHeight="false" outlineLevel="0" collapsed="false">
      <c r="A1906" s="0" t="s">
        <v>996</v>
      </c>
      <c r="B1906" s="0" t="s">
        <v>98</v>
      </c>
      <c r="C1906" s="6" t="n">
        <f aca="false">Sens!C1902</f>
        <v>27.04006151</v>
      </c>
      <c r="D1906" s="6" t="n">
        <f aca="false">Sens!D1902</f>
        <v>40.83601126</v>
      </c>
      <c r="E1906" s="6" t="n">
        <f aca="false">Sens!E1902</f>
        <v>81.12018453</v>
      </c>
      <c r="F1906" s="6" t="n">
        <f aca="false">Sens!F1902</f>
        <v>163.822469190144</v>
      </c>
      <c r="G1906" s="6" t="n">
        <f aca="false">Sens!G1902</f>
        <v>188.879131118458</v>
      </c>
      <c r="H1906" s="6" t="n">
        <f aca="false">Sens!H1902</f>
        <v>194.712965217015</v>
      </c>
      <c r="I1906" s="6" t="n">
        <f aca="false">Sens!I1902</f>
        <v>172.96388338252</v>
      </c>
      <c r="J1906" s="6" t="n">
        <f aca="false">Sens!J1902</f>
        <v>136.834844829436</v>
      </c>
      <c r="K1906" s="6" t="n">
        <f aca="false">Sens!K1902</f>
        <v>136.12450242117</v>
      </c>
    </row>
    <row r="1907" customFormat="false" ht="17.15" hidden="false" customHeight="false" outlineLevel="0" collapsed="false">
      <c r="A1907" s="0" t="s">
        <v>997</v>
      </c>
      <c r="B1907" s="0" t="s">
        <v>98</v>
      </c>
      <c r="C1907" s="6" t="n">
        <f aca="false">Sens!C1906+Sens!C1903</f>
        <v>34.49002151</v>
      </c>
      <c r="D1907" s="6" t="n">
        <f aca="false">Sens!D1906+Sens!D1903</f>
        <v>52.08697126</v>
      </c>
      <c r="E1907" s="6" t="n">
        <f aca="false">Sens!E1906+Sens!E1903</f>
        <v>103.47006453</v>
      </c>
      <c r="F1907" s="6" t="n">
        <f aca="false">Sens!F1906+Sens!F1903</f>
        <v>202.144684850544</v>
      </c>
      <c r="G1907" s="6" t="n">
        <f aca="false">Sens!G1906+Sens!G1903</f>
        <v>230.333370778858</v>
      </c>
      <c r="H1907" s="6" t="n">
        <f aca="false">Sens!H1906+Sens!H1903</f>
        <v>236.167204877415</v>
      </c>
      <c r="I1907" s="6" t="n">
        <f aca="false">Sens!I1906+Sens!I1903</f>
        <v>202.337800345932</v>
      </c>
      <c r="J1907" s="6" t="n">
        <f aca="false">Sens!J1906+Sens!J1903</f>
        <v>154.715917435129</v>
      </c>
      <c r="K1907" s="6" t="n">
        <f aca="false">Sens!K1906+Sens!K1903</f>
        <v>142.755423677679</v>
      </c>
      <c r="L1907" s="12" t="s">
        <v>998</v>
      </c>
    </row>
    <row r="1908" customFormat="false" ht="17.15" hidden="false" customHeight="false" outlineLevel="0" collapsed="false">
      <c r="A1908" s="0" t="s">
        <v>999</v>
      </c>
      <c r="B1908" s="0" t="s">
        <v>98</v>
      </c>
      <c r="E1908" s="6" t="n">
        <f aca="false">(Sens!C1906*IF(2&lt;life_it,1,IF(2=life_it,0.5,0))+Sens!D1906*IF(1&lt;life_it,1,IF(1=life_it,0.5,0))+Sens!E1906*0.5)/life_it</f>
        <v>18.0726941725</v>
      </c>
      <c r="F1908" s="6" t="n">
        <f aca="false">(Sens!C1906*IF(3&lt;life_it,1,IF(3=life_it,0.5,0))+Sens!D1906*IF(2&lt;life_it,1,IF(2=life_it,0.5,0))+Sens!E1906*IF(1&lt;life_it,1,IF(1=life_it,0.5,0))+Sens!F1906*0.5)/life_it</f>
        <v>38.484581982512</v>
      </c>
      <c r="G1908" s="6" t="n">
        <f aca="false">(Sens!C1906*IF(4&lt;life_it,1,IF(4=life_it,0.5,0))+Sens!D1906*IF(3&lt;life_it,1,IF(3=life_it,0.5,0))+Sens!E1906*IF(2&lt;life_it,1,IF(2=life_it,0.5,0))+Sens!F1906*IF(1&lt;life_it,1,IF(1=life_it,0.5,0))+Sens!G1906*0.5)/life_it</f>
        <v>67.8763820082287</v>
      </c>
      <c r="H1908" s="6" t="n">
        <f aca="false">(Sens!C1906*IF(5&lt;life_it,1,IF(5=life_it,0.5,0))+Sens!D1906*IF(4&lt;life_it,1,IF(4=life_it,0.5,0))+Sens!E1906*IF(3&lt;life_it,1,IF(3=life_it,0.5,0))+Sens!F1906*IF(2&lt;life_it,1,IF(2=life_it,0.5,0))+Sens!G1906*IF(1&lt;life_it,1,IF(1=life_it,0.5,0))+Sens!H1906*0.5)/life_it</f>
        <v>99.8423900361848</v>
      </c>
      <c r="I1908" s="6" t="n">
        <f aca="false">(Sens!C1906*IF(6&lt;life_it,1,IF(6=life_it,0.5,0))+Sens!D1906*IF(5&lt;life_it,1,IF(5=life_it,0.5,0))+Sens!E1906*IF(4&lt;life_it,1,IF(4=life_it,0.5,0))+Sens!F1906*IF(3&lt;life_it,1,IF(3=life_it,0.5,0))+Sens!G1906*IF(2&lt;life_it,1,IF(2=life_it,0.5,0))+Sens!H1906*IF(1&lt;life_it,1,IF(1=life_it,0.5,0))+Sens!I1906*0.5)/life_it</f>
        <v>128.228788960313</v>
      </c>
      <c r="J1908" s="6" t="n">
        <f aca="false">(Sens!C1906*IF(7&lt;life_it,1,IF(7=life_it,0.5,0))+Sens!D1906*IF(6&lt;life_it,1,IF(6=life_it,0.5,0))+Sens!E1906*IF(5&lt;life_it,1,IF(5=life_it,0.5,0))+Sens!F1906*IF(4&lt;life_it,1,IF(4=life_it,0.5,0))+Sens!G1906*IF(3&lt;life_it,1,IF(3=life_it,0.5,0))+Sens!H1906*IF(2&lt;life_it,1,IF(2=life_it,0.5,0))+Sens!I1906*IF(1&lt;life_it,1,IF(1=life_it,0.5,0))+Sens!J1906*0.5)/life_it</f>
        <v>148.389010247142</v>
      </c>
      <c r="K1908" s="6" t="n">
        <f aca="false">(Sens!C1906*IF(8&lt;life_it,1,IF(8=life_it,0.5,0))+Sens!D1906*IF(7&lt;life_it,1,IF(7=life_it,0.5,0))+Sens!E1906*IF(6&lt;life_it,1,IF(6=life_it,0.5,0))+Sens!F1906*IF(5&lt;life_it,1,IF(5=life_it,0.5,0))+Sens!G1906*IF(4&lt;life_it,1,IF(4=life_it,0.5,0))+Sens!H1906*IF(3&lt;life_it,1,IF(3=life_it,0.5,0))+Sens!I1906*IF(2&lt;life_it,1,IF(2=life_it,0.5,0))+Sens!J1906*IF(1&lt;life_it,1,IF(1=life_it,0.5,0))+Sens!K1906*0.5)/life_it</f>
        <v>160.972606202193</v>
      </c>
    </row>
    <row r="1909" customFormat="false" ht="17.15" hidden="false" customHeight="false" outlineLevel="0" collapsed="false">
      <c r="A1909" s="0" t="s">
        <v>1000</v>
      </c>
      <c r="B1909" s="0" t="s">
        <v>98</v>
      </c>
      <c r="E1909" s="6" t="n">
        <f aca="false">(Sens!C1903*IF(2&lt;life_fac,1,IF(2=life_fac,0.5,0))+Sens!D1903*IF(1&lt;life_fac,1,IF(1=life_fac,0.5,0))+Sens!E1903*0.5)/life_fac</f>
        <v>1.493793</v>
      </c>
      <c r="F1909" s="6" t="n">
        <f aca="false">(Sens!C1903*IF(3&lt;life_fac,1,IF(3=life_fac,0.5,0))+Sens!D1903*IF(2&lt;life_fac,1,IF(2=life_fac,0.5,0))+Sens!E1903*IF(1&lt;life_fac,1,IF(1=life_fac,0.5,0))+Sens!F1903*0.5)/life_fac</f>
        <v>3.01059539151</v>
      </c>
      <c r="G1909" s="6" t="n">
        <f aca="false">(Sens!C1903*IF(4&lt;life_fac,1,IF(4=life_fac,0.5,0))+Sens!D1903*IF(3&lt;life_fac,1,IF(3=life_fac,0.5,0))+Sens!E1903*IF(2&lt;life_fac,1,IF(2=life_fac,0.5,0))+Sens!F1903*IF(1&lt;life_fac,1,IF(1=life_fac,0.5,0))+Sens!G1903*0.5)/life_fac</f>
        <v>5.00500677453</v>
      </c>
      <c r="H1909" s="6" t="n">
        <f aca="false">(Sens!C1903*IF(5&lt;life_fac,1,IF(5=life_fac,0.5,0))+Sens!D1903*IF(4&lt;life_fac,1,IF(4=life_fac,0.5,0))+Sens!E1903*IF(3&lt;life_fac,1,IF(3=life_fac,0.5,0))+Sens!F1903*IF(2&lt;life_fac,1,IF(2=life_fac,0.5,0))+Sens!G1903*IF(1&lt;life_fac,1,IF(1=life_fac,0.5,0))+Sens!H1903*0.5)/life_fac</f>
        <v>7.07771875755</v>
      </c>
      <c r="I1909" s="6" t="n">
        <f aca="false">(Sens!C1903*IF(6&lt;life_fac,1,IF(6=life_fac,0.5,0))+Sens!D1903*IF(5&lt;life_fac,1,IF(5=life_fac,0.5,0))+Sens!E1903*IF(4&lt;life_fac,1,IF(4=life_fac,0.5,0))+Sens!F1903*IF(3&lt;life_fac,1,IF(3=life_fac,0.5,0))+Sens!G1903*IF(2&lt;life_fac,1,IF(2=life_fac,0.5,0))+Sens!H1903*IF(1&lt;life_fac,1,IF(1=life_fac,0.5,0))+Sens!I1903*0.5)/life_fac</f>
        <v>8.8484226731453</v>
      </c>
      <c r="J1909" s="6" t="n">
        <f aca="false">(Sens!C1903*IF(7&lt;life_fac,1,IF(7=life_fac,0.5,0))+Sens!D1903*IF(6&lt;life_fac,1,IF(6=life_fac,0.5,0))+Sens!E1903*IF(5&lt;life_fac,1,IF(5=life_fac,0.5,0))+Sens!F1903*IF(4&lt;life_fac,1,IF(4=life_fac,0.5,0))+Sens!G1903*IF(3&lt;life_fac,1,IF(3=life_fac,0.5,0))+Sens!H1903*IF(2&lt;life_fac,1,IF(2=life_fac,0.5,0))+Sens!I1903*IF(1&lt;life_fac,1,IF(1=life_fac,0.5,0))+Sens!J1903*0.5)/life_fac</f>
        <v>10.0297974123729</v>
      </c>
      <c r="K1909" s="6" t="n">
        <f aca="false">(Sens!C1903*IF(8&lt;life_fac,1,IF(8=life_fac,0.5,0))+Sens!D1903*IF(7&lt;life_fac,1,IF(7=life_fac,0.5,0))+Sens!E1903*IF(6&lt;life_fac,1,IF(6=life_fac,0.5,0))+Sens!F1903*IF(5&lt;life_fac,1,IF(5=life_fac,0.5,0))+Sens!G1903*IF(4&lt;life_fac,1,IF(4=life_fac,0.5,0))+Sens!H1903*IF(3&lt;life_fac,1,IF(3=life_fac,0.5,0))+Sens!I1903*IF(2&lt;life_fac,1,IF(2=life_fac,0.5,0))+Sens!J1903*IF(1&lt;life_fac,1,IF(1=life_fac,0.5,0))+Sens!K1903*0.5)/life_fac</f>
        <v>10.6425972589279</v>
      </c>
    </row>
    <row r="1910" customFormat="false" ht="17.15" hidden="false" customHeight="false" outlineLevel="0" collapsed="false">
      <c r="A1910" s="0" t="s">
        <v>1001</v>
      </c>
      <c r="B1910" s="0" t="s">
        <v>98</v>
      </c>
      <c r="E1910" s="6" t="n">
        <f aca="false">Sens!E1908+Sens!E1909</f>
        <v>19.5664871725</v>
      </c>
      <c r="F1910" s="6" t="n">
        <f aca="false">Sens!F1908+Sens!F1909</f>
        <v>41.495177374022</v>
      </c>
      <c r="G1910" s="6" t="n">
        <f aca="false">Sens!G1908+Sens!G1909</f>
        <v>72.8813887827587</v>
      </c>
      <c r="H1910" s="6" t="n">
        <f aca="false">Sens!H1908+Sens!H1909</f>
        <v>106.920108793735</v>
      </c>
      <c r="I1910" s="6" t="n">
        <f aca="false">Sens!I1908+Sens!I1909</f>
        <v>137.077211633458</v>
      </c>
      <c r="J1910" s="6" t="n">
        <f aca="false">Sens!J1908+Sens!J1909</f>
        <v>158.418807659515</v>
      </c>
      <c r="K1910" s="6" t="n">
        <f aca="false">Sens!K1908+Sens!K1909</f>
        <v>171.615203461121</v>
      </c>
    </row>
    <row r="1911" customFormat="false" ht="17.15" hidden="false" customHeight="false" outlineLevel="0" collapsed="false">
      <c r="A1911" s="0" t="s">
        <v>1002</v>
      </c>
      <c r="B1911" s="0" t="s">
        <v>98</v>
      </c>
      <c r="E1911" s="6" t="n">
        <f aca="false">Sens!E1898-Sens!E1897*Sens!E1910</f>
        <v>8.92707889977379</v>
      </c>
      <c r="F1911" s="6" t="n">
        <f aca="false">Sens!F1898-Sens!F1897*Sens!F1910</f>
        <v>22.4686207259278</v>
      </c>
      <c r="G1911" s="6" t="n">
        <f aca="false">Sens!G1898-Sens!G1897*Sens!G1910</f>
        <v>43.2797528675735</v>
      </c>
      <c r="H1911" s="6" t="n">
        <f aca="false">Sens!H1898-Sens!H1897*Sens!H1910</f>
        <v>69.3477099347341</v>
      </c>
      <c r="I1911" s="6" t="n">
        <f aca="false">Sens!I1898-Sens!I1897*Sens!I1910</f>
        <v>86.8523667140837</v>
      </c>
      <c r="J1911" s="6" t="n">
        <f aca="false">Sens!J1898-Sens!J1897*Sens!J1910</f>
        <v>98.9882647234203</v>
      </c>
      <c r="K1911" s="6" t="n">
        <f aca="false">Sens!K1898-Sens!K1897*Sens!K1910</f>
        <v>106.918985011399</v>
      </c>
    </row>
    <row r="1912" customFormat="false" ht="17.15" hidden="false" customHeight="false" outlineLevel="0" collapsed="false">
      <c r="A1912" s="3" t="s">
        <v>1526</v>
      </c>
    </row>
    <row r="1913" customFormat="false" ht="15" hidden="false" customHeight="false" outlineLevel="0" collapsed="false">
      <c r="A1913" s="4" t="s">
        <v>43</v>
      </c>
      <c r="B1913" s="4" t="s">
        <v>65</v>
      </c>
      <c r="C1913" s="23" t="s">
        <v>938</v>
      </c>
      <c r="D1913" s="23" t="s">
        <v>939</v>
      </c>
      <c r="E1913" s="23" t="s">
        <v>940</v>
      </c>
      <c r="F1913" s="23" t="s">
        <v>941</v>
      </c>
      <c r="G1913" s="23" t="s">
        <v>942</v>
      </c>
      <c r="H1913" s="23" t="s">
        <v>943</v>
      </c>
      <c r="I1913" s="23" t="s">
        <v>944</v>
      </c>
      <c r="J1913" s="23" t="s">
        <v>945</v>
      </c>
      <c r="K1913" s="23" t="s">
        <v>946</v>
      </c>
      <c r="L1913" s="4" t="s">
        <v>47</v>
      </c>
    </row>
    <row r="1914" customFormat="false" ht="17.15" hidden="false" customHeight="false" outlineLevel="0" collapsed="false">
      <c r="A1914" s="0" t="s">
        <v>1021</v>
      </c>
      <c r="B1914" s="0" t="s">
        <v>98</v>
      </c>
      <c r="D1914" s="6" t="n">
        <f aca="false">Sens!D1892</f>
        <v>12.9359794422418</v>
      </c>
      <c r="E1914" s="6" t="n">
        <f aca="false">Sens!E1892</f>
        <v>27.8095064661409</v>
      </c>
      <c r="F1914" s="6" t="n">
        <f aca="false">Sens!F1892</f>
        <v>59.1034165651511</v>
      </c>
      <c r="G1914" s="6" t="n">
        <f aca="false">Sens!G1892</f>
        <v>103.451498789198</v>
      </c>
      <c r="H1914" s="6" t="n">
        <f aca="false">Sens!H1892</f>
        <v>153.816719989035</v>
      </c>
      <c r="I1914" s="6" t="n">
        <f aca="false">Sens!I1892</f>
        <v>192.699478690852</v>
      </c>
      <c r="J1914" s="6" t="n">
        <f aca="false">Sens!J1892</f>
        <v>219.794102584244</v>
      </c>
      <c r="K1914" s="6" t="n">
        <f aca="false">Sens!K1892</f>
        <v>236.757046905022</v>
      </c>
    </row>
    <row r="1915" customFormat="false" ht="17.15" hidden="false" customHeight="false" outlineLevel="0" collapsed="false">
      <c r="A1915" s="0" t="s">
        <v>1022</v>
      </c>
      <c r="B1915" s="0" t="s">
        <v>98</v>
      </c>
      <c r="D1915" s="6" t="n">
        <f aca="false">Q!L6-Sens!D1914</f>
        <v>59.6740205577583</v>
      </c>
      <c r="E1915" s="6" t="n">
        <f aca="false">Q!M6-Sens!E1914</f>
        <v>74.1284935338591</v>
      </c>
      <c r="F1915" s="6" t="n">
        <f aca="false">Q!$I$6+(Sens!F1914+Sens!E1915*(1+Sens!F1916))*(1-Q!$E$6/Q!M6)-Sens!F1914</f>
        <v>90.4866018070994</v>
      </c>
      <c r="G1915" s="6" t="n">
        <f aca="false">Sens!F1915*(1+Sens!G1916)</f>
        <v>107.511588557154</v>
      </c>
      <c r="H1915" s="6" t="n">
        <f aca="false">Sens!G1915*(1+Sens!H1916)</f>
        <v>124.832989325489</v>
      </c>
      <c r="I1915" s="6" t="n">
        <f aca="false">Sens!H1915*(1+Sens!I1916)</f>
        <v>141.56992589148</v>
      </c>
      <c r="J1915" s="6" t="n">
        <f aca="false">Sens!I1915*(1+Sens!J1916)</f>
        <v>156.723190479428</v>
      </c>
      <c r="K1915" s="6" t="n">
        <f aca="false">Sens!J1915*(1+Sens!K1916)</f>
        <v>169.261045717783</v>
      </c>
      <c r="L1915" s="12" t="s">
        <v>1023</v>
      </c>
    </row>
    <row r="1916" customFormat="false" ht="15" hidden="false" customHeight="false" outlineLevel="0" collapsed="false">
      <c r="A1916" s="1" t="s">
        <v>1024</v>
      </c>
      <c r="B1916" s="0" t="s">
        <v>168</v>
      </c>
      <c r="E1916" s="7" t="n">
        <f aca="false">Sens!E1915/Sens!D1915-1</f>
        <v>0.242223883039864</v>
      </c>
      <c r="F1916" s="7" t="n">
        <f aca="false">Sens!$E$1916+(glt_azo-Sens!$E$1916)*MIN(1,(Sens!F1873-base_fy)/n_conv)</f>
        <v>0.215186569199887</v>
      </c>
      <c r="G1916" s="7" t="n">
        <f aca="false">Sens!$E$1916+(glt_azo-Sens!$E$1916)*MIN(1,(Sens!G1873-base_fy)/n_conv)</f>
        <v>0.18814925535991</v>
      </c>
      <c r="H1916" s="7" t="n">
        <f aca="false">Sens!$E$1916+(glt_azo-Sens!$E$1916)*MIN(1,(Sens!H1873-base_fy)/n_conv)</f>
        <v>0.161111941519932</v>
      </c>
      <c r="I1916" s="7" t="n">
        <f aca="false">Sens!$E$1916+(glt_azo-Sens!$E$1916)*MIN(1,(Sens!I1873-base_fy)/n_conv)</f>
        <v>0.134074627679955</v>
      </c>
      <c r="J1916" s="7" t="n">
        <f aca="false">Sens!$E$1916+(glt_azo-Sens!$E$1916)*MIN(1,(Sens!J1873-base_fy)/n_conv)</f>
        <v>0.107037313839977</v>
      </c>
      <c r="K1916" s="7" t="n">
        <f aca="false">Sens!$E$1916+(glt_azo-Sens!$E$1916)*MIN(1,(Sens!K1873-base_fy)/n_conv)</f>
        <v>0.08</v>
      </c>
    </row>
    <row r="1917" customFormat="false" ht="15" hidden="false" customHeight="false" outlineLevel="0" collapsed="false">
      <c r="A1917" s="0" t="s">
        <v>1025</v>
      </c>
      <c r="B1917" s="0" t="s">
        <v>98</v>
      </c>
      <c r="D1917" s="6" t="n">
        <f aca="false">Sens!D1914+Sens!D1915</f>
        <v>72.61</v>
      </c>
      <c r="E1917" s="6" t="n">
        <f aca="false">Sens!E1914+Sens!E1915</f>
        <v>101.938</v>
      </c>
      <c r="F1917" s="6" t="n">
        <f aca="false">Sens!F1914+Sens!F1915</f>
        <v>149.59001837225</v>
      </c>
      <c r="G1917" s="6" t="n">
        <f aca="false">Sens!G1914+Sens!G1915</f>
        <v>210.963087346352</v>
      </c>
      <c r="H1917" s="6" t="n">
        <f aca="false">Sens!H1914+Sens!H1915</f>
        <v>278.649709314524</v>
      </c>
      <c r="I1917" s="6" t="n">
        <f aca="false">Sens!I1914+Sens!I1915</f>
        <v>334.269404582332</v>
      </c>
      <c r="J1917" s="6" t="n">
        <f aca="false">Sens!J1914+Sens!J1915</f>
        <v>376.517293063672</v>
      </c>
      <c r="K1917" s="6" t="n">
        <f aca="false">Sens!K1914+Sens!K1915</f>
        <v>406.018092622804</v>
      </c>
    </row>
    <row r="1918" customFormat="false" ht="17.15" hidden="false" customHeight="false" outlineLevel="0" collapsed="false">
      <c r="A1918" s="0" t="s">
        <v>1026</v>
      </c>
      <c r="B1918" s="1" t="s">
        <v>610</v>
      </c>
      <c r="C1918" s="30" t="n">
        <f aca="false">cop_s24</f>
        <v>1</v>
      </c>
      <c r="D1918" s="30" t="n">
        <f aca="false">cop_s25</f>
        <v>5</v>
      </c>
      <c r="E1918" s="30" t="n">
        <f aca="false">cop_s26</f>
        <v>30</v>
      </c>
      <c r="F1918" s="30" t="n">
        <f aca="false">Sens!E1918+cop_add_A</f>
        <v>60</v>
      </c>
      <c r="G1918" s="30" t="n">
        <f aca="false">Sens!F1918+cop_add_A</f>
        <v>90</v>
      </c>
      <c r="H1918" s="30" t="n">
        <f aca="false">Sens!G1918+cop_add_A</f>
        <v>120</v>
      </c>
      <c r="I1918" s="30" t="n">
        <f aca="false">Sens!H1918+cop_add_A*cop_tail</f>
        <v>135</v>
      </c>
      <c r="J1918" s="30" t="n">
        <f aca="false">Sens!I1918+cop_add_A*cop_tail</f>
        <v>150</v>
      </c>
      <c r="K1918" s="30" t="n">
        <f aca="false">Sens!J1918+cop_add_A*cop_tail</f>
        <v>165</v>
      </c>
      <c r="L1918" s="12" t="s">
        <v>1027</v>
      </c>
    </row>
    <row r="1919" customFormat="false" ht="17.15" hidden="false" customHeight="false" outlineLevel="0" collapsed="false">
      <c r="A1919" s="0" t="s">
        <v>1028</v>
      </c>
      <c r="B1919" s="0" t="s">
        <v>98</v>
      </c>
      <c r="D1919" s="6" t="n">
        <f aca="false">(Sens!C1918+Sens!D1918)/2*cop_px*12/1000</f>
        <v>0.9</v>
      </c>
      <c r="E1919" s="6" t="n">
        <f aca="false">(Sens!D1918+Sens!E1918)/2*cop_px*12/1000</f>
        <v>5.25</v>
      </c>
      <c r="F1919" s="6" t="n">
        <f aca="false">(Sens!E1918+Sens!F1918)/2*cop_px*12/1000</f>
        <v>13.5</v>
      </c>
      <c r="G1919" s="6" t="n">
        <f aca="false">(Sens!F1918+Sens!G1918)/2*cop_px*12/1000</f>
        <v>22.5</v>
      </c>
      <c r="H1919" s="6" t="n">
        <f aca="false">(Sens!G1918+Sens!H1918)/2*cop_px*12/1000</f>
        <v>31.5</v>
      </c>
      <c r="I1919" s="6" t="n">
        <f aca="false">(Sens!H1918+Sens!I1918)/2*cop_px*12/1000</f>
        <v>38.25</v>
      </c>
      <c r="J1919" s="6" t="n">
        <f aca="false">(Sens!I1918+Sens!J1918)/2*cop_px*12/1000</f>
        <v>42.75</v>
      </c>
      <c r="K1919" s="6" t="n">
        <f aca="false">(Sens!J1918+Sens!K1918)/2*cop_px*12/1000</f>
        <v>47.25</v>
      </c>
      <c r="L1919" s="1" t="s">
        <v>1029</v>
      </c>
    </row>
    <row r="1920" customFormat="false" ht="17.15" hidden="false" customHeight="false" outlineLevel="0" collapsed="false">
      <c r="A1920" s="0" t="s">
        <v>1030</v>
      </c>
      <c r="B1920" s="0" t="s">
        <v>98</v>
      </c>
      <c r="D1920" s="6" t="n">
        <f aca="false">Q!L7-Sens!D1919</f>
        <v>83.705</v>
      </c>
      <c r="E1920" s="6" t="n">
        <f aca="false">Q!M7-Sens!E1919</f>
        <v>95.049</v>
      </c>
      <c r="F1920" s="6" t="n">
        <f aca="false">Q!$I$7+(Sens!E1920*(1+Sens!F1921)+Sens!F1919)*(1-Q!$E$7/Q!M7)-Sens!F1919</f>
        <v>106.229653205718</v>
      </c>
      <c r="G1920" s="6" t="n">
        <f aca="false">Sens!F1920*(1+Sens!G1921)</f>
        <v>118.306092647576</v>
      </c>
      <c r="H1920" s="6" t="n">
        <f aca="false">Sens!G1920*(1+Sens!H1921)</f>
        <v>130.463437602768</v>
      </c>
      <c r="I1920" s="6" t="n">
        <f aca="false">Sens!H1920*(1+Sens!I1921)</f>
        <v>142.445354741933</v>
      </c>
      <c r="J1920" s="6" t="n">
        <f aca="false">Sens!I1920*(1+Sens!J1921)</f>
        <v>153.972117481571</v>
      </c>
      <c r="K1920" s="6" t="n">
        <f aca="false">Sens!J1920*(1+Sens!K1921)</f>
        <v>164.75016570528</v>
      </c>
      <c r="L1920" s="12" t="s">
        <v>1031</v>
      </c>
    </row>
    <row r="1921" customFormat="false" ht="15" hidden="false" customHeight="false" outlineLevel="0" collapsed="false">
      <c r="A1921" s="1" t="s">
        <v>1024</v>
      </c>
      <c r="B1921" s="0" t="s">
        <v>168</v>
      </c>
      <c r="E1921" s="7" t="n">
        <f aca="false">Sens!E1920/Sens!D1920-1</f>
        <v>0.135523564900544</v>
      </c>
      <c r="F1921" s="7" t="n">
        <f aca="false">Sens!$E$1921+(glt_m365b-Sens!$E$1921)*MIN(1,(Sens!F1873-base_fy)/n_conv)</f>
        <v>0.124602970750453</v>
      </c>
      <c r="G1921" s="7" t="n">
        <f aca="false">Sens!$E$1921+(glt_m365b-Sens!$E$1921)*MIN(1,(Sens!G1873-base_fy)/n_conv)</f>
        <v>0.113682376600363</v>
      </c>
      <c r="H1921" s="7" t="n">
        <f aca="false">Sens!$E$1921+(glt_m365b-Sens!$E$1921)*MIN(1,(Sens!H1873-base_fy)/n_conv)</f>
        <v>0.102761782450272</v>
      </c>
      <c r="I1921" s="7" t="n">
        <f aca="false">Sens!$E$1921+(glt_m365b-Sens!$E$1921)*MIN(1,(Sens!I1873-base_fy)/n_conv)</f>
        <v>0.0918411883001813</v>
      </c>
      <c r="J1921" s="7" t="n">
        <f aca="false">Sens!$E$1921+(glt_m365b-Sens!$E$1921)*MIN(1,(Sens!J1873-base_fy)/n_conv)</f>
        <v>0.0809205941500906</v>
      </c>
      <c r="K1921" s="7" t="n">
        <f aca="false">Sens!$E$1921+(glt_m365b-Sens!$E$1921)*MIN(1,(Sens!K1873-base_fy)/n_conv)</f>
        <v>0.07</v>
      </c>
    </row>
    <row r="1922" customFormat="false" ht="15" hidden="false" customHeight="false" outlineLevel="0" collapsed="false">
      <c r="A1922" s="0" t="s">
        <v>1032</v>
      </c>
      <c r="B1922" s="0" t="s">
        <v>98</v>
      </c>
      <c r="D1922" s="6" t="n">
        <f aca="false">Sens!D1920+Sens!D1919</f>
        <v>84.605</v>
      </c>
      <c r="E1922" s="6" t="n">
        <f aca="false">Sens!E1920+Sens!E1919</f>
        <v>100.299</v>
      </c>
      <c r="F1922" s="6" t="n">
        <f aca="false">Sens!F1920+Sens!F1919</f>
        <v>119.729653205718</v>
      </c>
      <c r="G1922" s="6" t="n">
        <f aca="false">Sens!G1920+Sens!G1919</f>
        <v>140.806092647576</v>
      </c>
      <c r="H1922" s="6" t="n">
        <f aca="false">Sens!H1920+Sens!H1919</f>
        <v>161.963437602768</v>
      </c>
      <c r="I1922" s="6" t="n">
        <f aca="false">Sens!I1920+Sens!I1919</f>
        <v>180.695354741933</v>
      </c>
      <c r="J1922" s="6" t="n">
        <f aca="false">Sens!J1920+Sens!J1919</f>
        <v>196.722117481571</v>
      </c>
      <c r="K1922" s="6" t="n">
        <f aca="false">Sens!K1920+Sens!K1919</f>
        <v>212.00016570528</v>
      </c>
    </row>
    <row r="1923" customFormat="false" ht="17.15" hidden="false" customHeight="false" outlineLevel="0" collapsed="false">
      <c r="A1923" s="0" t="s">
        <v>1033</v>
      </c>
      <c r="B1923" s="0" t="s">
        <v>98</v>
      </c>
      <c r="D1923" s="6" t="n">
        <f aca="false">Q!L8</f>
        <v>35.391</v>
      </c>
      <c r="E1923" s="6" t="n">
        <f aca="false">Q!M8</f>
        <v>37.285</v>
      </c>
      <c r="F1923" s="6" t="n">
        <f aca="false">Q!$I$8+(Q!M8-Q!$E$8)*(1+Sens!F1924)</f>
        <v>38.3851437782675</v>
      </c>
      <c r="G1923" s="6" t="n">
        <f aca="false">Sens!F1923*(1+Sens!G1924)</f>
        <v>40.0105353288615</v>
      </c>
      <c r="H1923" s="6" t="n">
        <f aca="false">Sens!G1923*(1+Sens!H1924)</f>
        <v>41.4812512033683</v>
      </c>
      <c r="I1923" s="6" t="n">
        <f aca="false">Sens!H1923*(1+Sens!I1924)</f>
        <v>42.7743107216329</v>
      </c>
      <c r="J1923" s="6" t="n">
        <f aca="false">Sens!I1923*(1+Sens!J1924)</f>
        <v>43.8687373064601</v>
      </c>
      <c r="K1923" s="6" t="n">
        <f aca="false">Sens!J1923*(1+Sens!K1924)</f>
        <v>44.7461120525893</v>
      </c>
      <c r="L1923" s="12" t="s">
        <v>1034</v>
      </c>
    </row>
    <row r="1924" customFormat="false" ht="15" hidden="false" customHeight="false" outlineLevel="0" collapsed="false">
      <c r="A1924" s="1" t="s">
        <v>1024</v>
      </c>
      <c r="B1924" s="0" t="s">
        <v>168</v>
      </c>
      <c r="E1924" s="7" t="n">
        <f aca="false">Sens!E1923/Sens!D1923-1</f>
        <v>0.0535164307309768</v>
      </c>
      <c r="F1924" s="7" t="n">
        <f aca="false">Sens!$E$1924+(glt_lic-Sens!$E$1924)*MIN(1,(Sens!F1873-base_fy)/n_conv)</f>
        <v>0.0479303589424807</v>
      </c>
      <c r="G1924" s="7" t="n">
        <f aca="false">Sens!$E$1924+(glt_lic-Sens!$E$1924)*MIN(1,(Sens!G1873-base_fy)/n_conv)</f>
        <v>0.0423442871539845</v>
      </c>
      <c r="H1924" s="7" t="n">
        <f aca="false">Sens!$E$1924+(glt_lic-Sens!$E$1924)*MIN(1,(Sens!H1873-base_fy)/n_conv)</f>
        <v>0.0367582153654884</v>
      </c>
      <c r="I1924" s="7" t="n">
        <f aca="false">Sens!$E$1924+(glt_lic-Sens!$E$1924)*MIN(1,(Sens!I1873-base_fy)/n_conv)</f>
        <v>0.0311721435769923</v>
      </c>
      <c r="J1924" s="7" t="n">
        <f aca="false">Sens!$E$1924+(glt_lic-Sens!$E$1924)*MIN(1,(Sens!J1873-base_fy)/n_conv)</f>
        <v>0.0255860717884961</v>
      </c>
      <c r="K1924" s="7" t="n">
        <f aca="false">Sens!$E$1924+(glt_lic-Sens!$E$1924)*MIN(1,(Sens!K1873-base_fy)/n_conv)</f>
        <v>0.02</v>
      </c>
    </row>
    <row r="1925" customFormat="false" ht="17.15" hidden="false" customHeight="false" outlineLevel="0" collapsed="false">
      <c r="A1925" s="0" t="s">
        <v>1035</v>
      </c>
      <c r="B1925" s="0" t="s">
        <v>98</v>
      </c>
      <c r="D1925" s="6" t="n">
        <f aca="false">Q!L9</f>
        <v>18.417</v>
      </c>
      <c r="E1925" s="6" t="n">
        <f aca="false">Q!M9</f>
        <v>20.345</v>
      </c>
      <c r="F1925" s="6" t="n">
        <f aca="false">Q!$I$9+(Q!M9-Q!$E$9)*(1+Sens!F1926)</f>
        <v>22.3161797133988</v>
      </c>
      <c r="G1925" s="6" t="n">
        <f aca="false">Sens!F1925*(1+Sens!G1926)</f>
        <v>24.3943499673233</v>
      </c>
      <c r="H1925" s="6" t="n">
        <f aca="false">Sens!G1925*(1+Sens!H1926)</f>
        <v>26.5250243109019</v>
      </c>
      <c r="I1925" s="6" t="n">
        <f aca="false">Sens!H1925*(1+Sens!I1926)</f>
        <v>28.6884573538181</v>
      </c>
      <c r="J1925" s="6" t="n">
        <f aca="false">Sens!I1925*(1+Sens!J1926)</f>
        <v>30.8624968052127</v>
      </c>
      <c r="K1925" s="6" t="n">
        <f aca="false">Sens!J1925*(1+Sens!K1926)</f>
        <v>33.0228715815776</v>
      </c>
      <c r="L1925" s="12" t="s">
        <v>1034</v>
      </c>
    </row>
    <row r="1926" customFormat="false" ht="15" hidden="false" customHeight="false" outlineLevel="0" collapsed="false">
      <c r="A1926" s="1" t="s">
        <v>1024</v>
      </c>
      <c r="B1926" s="0" t="s">
        <v>168</v>
      </c>
      <c r="E1926" s="7" t="n">
        <f aca="false">Sens!E1925/Sens!D1925-1</f>
        <v>0.104685888038225</v>
      </c>
      <c r="F1926" s="7" t="n">
        <f aca="false">Sens!$E$1926+(glt_ind-Sens!$E$1926)*MIN(1,(Sens!F1873-base_fy)/n_conv)</f>
        <v>0.0989049066985211</v>
      </c>
      <c r="G1926" s="7" t="n">
        <f aca="false">Sens!$E$1926+(glt_ind-Sens!$E$1926)*MIN(1,(Sens!G1873-base_fy)/n_conv)</f>
        <v>0.0931239253588169</v>
      </c>
      <c r="H1926" s="7" t="n">
        <f aca="false">Sens!$E$1926+(glt_ind-Sens!$E$1926)*MIN(1,(Sens!H1873-base_fy)/n_conv)</f>
        <v>0.0873429440191127</v>
      </c>
      <c r="I1926" s="7" t="n">
        <f aca="false">Sens!$E$1926+(glt_ind-Sens!$E$1926)*MIN(1,(Sens!I1873-base_fy)/n_conv)</f>
        <v>0.0815619626794085</v>
      </c>
      <c r="J1926" s="7" t="n">
        <f aca="false">Sens!$E$1926+(glt_ind-Sens!$E$1926)*MIN(1,(Sens!J1873-base_fy)/n_conv)</f>
        <v>0.0757809813397042</v>
      </c>
      <c r="K1926" s="7" t="n">
        <f aca="false">Sens!$E$1926+(glt_ind-Sens!$E$1926)*MIN(1,(Sens!K1873-base_fy)/n_conv)</f>
        <v>0.07</v>
      </c>
    </row>
    <row r="1927" customFormat="false" ht="17.15" hidden="false" customHeight="false" outlineLevel="0" collapsed="false">
      <c r="A1927" s="0" t="s">
        <v>1036</v>
      </c>
      <c r="B1927" s="0" t="s">
        <v>98</v>
      </c>
      <c r="D1927" s="6" t="n">
        <f aca="false">Q!L10</f>
        <v>7.76</v>
      </c>
      <c r="E1927" s="6" t="n">
        <f aca="false">Q!M10</f>
        <v>8.26</v>
      </c>
      <c r="F1927" s="6" t="n">
        <f aca="false">Q!$I$10+(Q!M10-Q!$E$10)*(1+Sens!F1928)</f>
        <v>8.75372082474227</v>
      </c>
      <c r="G1927" s="6" t="n">
        <f aca="false">Sens!F1927*(1+Sens!G1928)</f>
        <v>9.33399324642364</v>
      </c>
      <c r="H1927" s="6" t="n">
        <f aca="false">Sens!G1927*(1+Sens!H1928)</f>
        <v>9.96139155535851</v>
      </c>
      <c r="I1927" s="6" t="n">
        <f aca="false">Sens!H1927*(1+Sens!I1928)</f>
        <v>10.6402039077391</v>
      </c>
      <c r="J1927" s="6" t="n">
        <f aca="false">Sens!I1927*(1+Sens!J1928)</f>
        <v>11.3751458271397</v>
      </c>
      <c r="K1927" s="6" t="n">
        <f aca="false">Sens!J1927*(1+Sens!K1928)</f>
        <v>12.1714060350394</v>
      </c>
      <c r="L1927" s="12" t="s">
        <v>1034</v>
      </c>
    </row>
    <row r="1928" customFormat="false" ht="15" hidden="false" customHeight="false" outlineLevel="0" collapsed="false">
      <c r="A1928" s="1" t="s">
        <v>1024</v>
      </c>
      <c r="B1928" s="0" t="s">
        <v>168</v>
      </c>
      <c r="E1928" s="7" t="n">
        <f aca="false">Sens!E1927/Sens!D1927-1</f>
        <v>0.0644329896907216</v>
      </c>
      <c r="F1928" s="7" t="n">
        <f aca="false">Sens!$E$1928+(glt_fro-Sens!$E$1928)*MIN(1,(Sens!F1873-base_fy)/n_conv)</f>
        <v>0.065360824742268</v>
      </c>
      <c r="G1928" s="7" t="n">
        <f aca="false">Sens!$E$1928+(glt_fro-Sens!$E$1928)*MIN(1,(Sens!G1873-base_fy)/n_conv)</f>
        <v>0.0662886597938144</v>
      </c>
      <c r="H1928" s="7" t="n">
        <f aca="false">Sens!$E$1928+(glt_fro-Sens!$E$1928)*MIN(1,(Sens!H1873-base_fy)/n_conv)</f>
        <v>0.0672164948453608</v>
      </c>
      <c r="I1928" s="7" t="n">
        <f aca="false">Sens!$E$1928+(glt_fro-Sens!$E$1928)*MIN(1,(Sens!I1873-base_fy)/n_conv)</f>
        <v>0.0681443298969072</v>
      </c>
      <c r="J1928" s="7" t="n">
        <f aca="false">Sens!$E$1928+(glt_fro-Sens!$E$1928)*MIN(1,(Sens!J1873-base_fy)/n_conv)</f>
        <v>0.0690721649484536</v>
      </c>
      <c r="K1928" s="7" t="n">
        <f aca="false">Sens!$E$1928+(glt_fro-Sens!$E$1928)*MIN(1,(Sens!K1873-base_fy)/n_conv)</f>
        <v>0.07</v>
      </c>
    </row>
    <row r="1929" customFormat="false" ht="15" hidden="false" customHeight="false" outlineLevel="0" collapsed="false">
      <c r="A1929" s="0" t="s">
        <v>852</v>
      </c>
      <c r="B1929" s="0" t="s">
        <v>98</v>
      </c>
      <c r="D1929" s="6" t="n">
        <f aca="false">Sens!D1917+Sens!D1922+Sens!D1923+Sens!D1925+Sens!D1927</f>
        <v>218.783</v>
      </c>
      <c r="E1929" s="6" t="n">
        <f aca="false">Sens!E1917+Sens!E1922+Sens!E1923+Sens!E1925+Sens!E1927</f>
        <v>268.127</v>
      </c>
      <c r="F1929" s="6" t="n">
        <f aca="false">Sens!F1917+Sens!F1922+Sens!F1923+Sens!F1925+Sens!F1927</f>
        <v>338.774715894377</v>
      </c>
      <c r="G1929" s="6" t="n">
        <f aca="false">Sens!G1917+Sens!G1922+Sens!G1923+Sens!G1925+Sens!G1927</f>
        <v>425.508058536537</v>
      </c>
      <c r="H1929" s="6" t="n">
        <f aca="false">Sens!H1917+Sens!H1922+Sens!H1923+Sens!H1925+Sens!H1927</f>
        <v>518.580813986921</v>
      </c>
      <c r="I1929" s="6" t="n">
        <f aca="false">Sens!I1917+Sens!I1922+Sens!I1923+Sens!I1925+Sens!I1927</f>
        <v>597.067731307455</v>
      </c>
      <c r="J1929" s="6" t="n">
        <f aca="false">Sens!J1917+Sens!J1922+Sens!J1923+Sens!J1925+Sens!J1927</f>
        <v>659.345790484055</v>
      </c>
      <c r="K1929" s="6" t="n">
        <f aca="false">Sens!K1917+Sens!K1922+Sens!K1923+Sens!K1925+Sens!K1927</f>
        <v>707.958647997291</v>
      </c>
    </row>
    <row r="1930" customFormat="false" ht="17.15" hidden="false" customHeight="false" outlineLevel="0" collapsed="false">
      <c r="A1930" s="0" t="s">
        <v>1037</v>
      </c>
      <c r="B1930" s="0" t="s">
        <v>98</v>
      </c>
      <c r="D1930" s="6" t="n">
        <f aca="false">Q!L13</f>
        <v>22.171</v>
      </c>
      <c r="E1930" s="6" t="n">
        <f aca="false">Q!M13</f>
        <v>24.835</v>
      </c>
      <c r="F1930" s="6" t="n">
        <f aca="false">Q!$I$13+(Q!M13-Q!$E$13)*(1+Sens!F1931)</f>
        <v>27.5591895660247</v>
      </c>
      <c r="G1930" s="6" t="n">
        <f aca="false">Sens!F1930*(1+Sens!G1931)</f>
        <v>30.4098563144583</v>
      </c>
      <c r="H1930" s="6" t="n">
        <f aca="false">Sens!G1930*(1+Sens!H1931)</f>
        <v>33.3011792571777</v>
      </c>
      <c r="I1930" s="6" t="n">
        <f aca="false">Sens!H1930*(1+Sens!I1931)</f>
        <v>36.189023797112</v>
      </c>
      <c r="J1930" s="6" t="n">
        <f aca="false">Sens!I1930*(1+Sens!J1931)</f>
        <v>39.0247773769199</v>
      </c>
      <c r="K1930" s="6" t="n">
        <f aca="false">Sens!J1930*(1+Sens!K1931)</f>
        <v>41.7565117933043</v>
      </c>
      <c r="L1930" s="12" t="s">
        <v>1034</v>
      </c>
    </row>
    <row r="1931" customFormat="false" ht="15" hidden="false" customHeight="false" outlineLevel="0" collapsed="false">
      <c r="A1931" s="1" t="s">
        <v>1024</v>
      </c>
      <c r="B1931" s="0" t="s">
        <v>168</v>
      </c>
      <c r="E1931" s="7" t="n">
        <f aca="false">Sens!E1930/Sens!D1930-1</f>
        <v>0.120156961796942</v>
      </c>
      <c r="F1931" s="7" t="n">
        <f aca="false">Sens!$E$1931+(glt_srch-Sens!$E$1931)*MIN(1,(Sens!F1873-base_fy)/n_conv)</f>
        <v>0.111797468164118</v>
      </c>
      <c r="G1931" s="7" t="n">
        <f aca="false">Sens!$E$1931+(glt_srch-Sens!$E$1931)*MIN(1,(Sens!G1873-base_fy)/n_conv)</f>
        <v>0.103437974531295</v>
      </c>
      <c r="H1931" s="7" t="n">
        <f aca="false">Sens!$E$1931+(glt_srch-Sens!$E$1931)*MIN(1,(Sens!H1873-base_fy)/n_conv)</f>
        <v>0.095078480898471</v>
      </c>
      <c r="I1931" s="7" t="n">
        <f aca="false">Sens!$E$1931+(glt_srch-Sens!$E$1931)*MIN(1,(Sens!I1873-base_fy)/n_conv)</f>
        <v>0.0867189872656474</v>
      </c>
      <c r="J1931" s="7" t="n">
        <f aca="false">Sens!$E$1931+(glt_srch-Sens!$E$1931)*MIN(1,(Sens!J1873-base_fy)/n_conv)</f>
        <v>0.0783594936328237</v>
      </c>
      <c r="K1931" s="7" t="n">
        <f aca="false">Sens!$E$1931+(glt_srch-Sens!$E$1931)*MIN(1,(Sens!K1873-base_fy)/n_conv)</f>
        <v>0.07</v>
      </c>
    </row>
    <row r="1932" customFormat="false" ht="17.15" hidden="false" customHeight="false" outlineLevel="0" collapsed="false">
      <c r="A1932" s="0" t="s">
        <v>1038</v>
      </c>
      <c r="B1932" s="0" t="s">
        <v>98</v>
      </c>
      <c r="D1932" s="6" t="n">
        <f aca="false">Q!L14</f>
        <v>23.455</v>
      </c>
      <c r="E1932" s="6" t="n">
        <f aca="false">Q!M14</f>
        <v>21.79</v>
      </c>
      <c r="F1932" s="6" t="n">
        <f aca="false">Q!$I$14+(Q!M14-Q!$E$14)*(1+Sens!F1933)</f>
        <v>20.7520981041711</v>
      </c>
      <c r="G1932" s="6" t="n">
        <f aca="false">Sens!F1932*(1+Sens!G1933)</f>
        <v>19.9083593495882</v>
      </c>
      <c r="H1932" s="6" t="n">
        <f aca="false">Sens!G1932*(1+Sens!H1933)</f>
        <v>19.4008256265831</v>
      </c>
      <c r="I1932" s="6" t="n">
        <f aca="false">Sens!H1932*(1+Sens!I1933)</f>
        <v>19.200434522122</v>
      </c>
      <c r="J1932" s="6" t="n">
        <f aca="false">Sens!I1932*(1+Sens!J1933)</f>
        <v>19.2932782348507</v>
      </c>
      <c r="K1932" s="6" t="n">
        <f aca="false">Sens!J1932*(1+Sens!K1933)</f>
        <v>19.6791437995477</v>
      </c>
      <c r="L1932" s="12" t="s">
        <v>1034</v>
      </c>
    </row>
    <row r="1933" customFormat="false" ht="15" hidden="false" customHeight="false" outlineLevel="0" collapsed="false">
      <c r="A1933" s="1" t="s">
        <v>1024</v>
      </c>
      <c r="B1933" s="0" t="s">
        <v>168</v>
      </c>
      <c r="E1933" s="7" t="n">
        <f aca="false">Sens!E1932/Sens!D1932-1</f>
        <v>-0.0709869963760392</v>
      </c>
      <c r="F1933" s="7" t="n">
        <f aca="false">Sens!$E$1933+(glt_xbox-Sens!$E$1933)*MIN(1,(Sens!F1873-base_fy)/n_conv)</f>
        <v>-0.0558224969800327</v>
      </c>
      <c r="G1933" s="7" t="n">
        <f aca="false">Sens!$E$1933+(glt_xbox-Sens!$E$1933)*MIN(1,(Sens!G1873-base_fy)/n_conv)</f>
        <v>-0.0406579975840262</v>
      </c>
      <c r="H1933" s="7" t="n">
        <f aca="false">Sens!$E$1933+(glt_xbox-Sens!$E$1933)*MIN(1,(Sens!H1873-base_fy)/n_conv)</f>
        <v>-0.0254934981880196</v>
      </c>
      <c r="I1933" s="7" t="n">
        <f aca="false">Sens!$E$1933+(glt_xbox-Sens!$E$1933)*MIN(1,(Sens!I1873-base_fy)/n_conv)</f>
        <v>-0.0103289987920131</v>
      </c>
      <c r="J1933" s="7" t="n">
        <f aca="false">Sens!$E$1933+(glt_xbox-Sens!$E$1933)*MIN(1,(Sens!J1873-base_fy)/n_conv)</f>
        <v>0.00483550060399347</v>
      </c>
      <c r="K1933" s="7" t="n">
        <f aca="false">Sens!$E$1933+(glt_xbox-Sens!$E$1933)*MIN(1,(Sens!K1873-base_fy)/n_conv)</f>
        <v>0.02</v>
      </c>
    </row>
    <row r="1934" customFormat="false" ht="17.15" hidden="false" customHeight="false" outlineLevel="0" collapsed="false">
      <c r="A1934" s="0" t="s">
        <v>1039</v>
      </c>
      <c r="B1934" s="0" t="s">
        <v>98</v>
      </c>
      <c r="D1934" s="6" t="n">
        <f aca="false">Q!L15</f>
        <v>17.315</v>
      </c>
      <c r="E1934" s="6" t="n">
        <f aca="false">Q!M15</f>
        <v>17.087</v>
      </c>
      <c r="F1934" s="6" t="n">
        <f aca="false">Q!$I$15+(Q!M15-Q!$E$15)*(1+Sens!F1935)</f>
        <v>15.9912273250553</v>
      </c>
      <c r="G1934" s="6" t="n">
        <f aca="false">Sens!F1934*(1+Sens!G1935)</f>
        <v>15.9574562664827</v>
      </c>
      <c r="H1934" s="6" t="n">
        <f aca="false">Sens!G1934*(1+Sens!H1935)</f>
        <v>16.0119687434196</v>
      </c>
      <c r="I1934" s="6" t="n">
        <f aca="false">Sens!H1934*(1+Sens!I1935)</f>
        <v>16.1551810001948</v>
      </c>
      <c r="J1934" s="6" t="n">
        <f aca="false">Sens!I1934*(1+Sens!J1935)</f>
        <v>16.3889793892005</v>
      </c>
      <c r="K1934" s="6" t="n">
        <f aca="false">Sens!J1934*(1+Sens!K1935)</f>
        <v>16.7167589769845</v>
      </c>
      <c r="L1934" s="12" t="s">
        <v>1034</v>
      </c>
    </row>
    <row r="1935" customFormat="false" ht="15" hidden="false" customHeight="false" outlineLevel="0" collapsed="false">
      <c r="A1935" s="1" t="s">
        <v>1024</v>
      </c>
      <c r="B1935" s="0" t="s">
        <v>168</v>
      </c>
      <c r="E1935" s="7" t="n">
        <f aca="false">Sens!E1934/Sens!D1934-1</f>
        <v>-0.0131677736066995</v>
      </c>
      <c r="F1935" s="7" t="n">
        <f aca="false">Sens!$E$1935+(glt_win-Sens!$E$1935)*MIN(1,(Sens!F1873-base_fy)/n_conv)</f>
        <v>-0.00763981133891627</v>
      </c>
      <c r="G1935" s="7" t="n">
        <f aca="false">Sens!$E$1935+(glt_win-Sens!$E$1935)*MIN(1,(Sens!G1873-base_fy)/n_conv)</f>
        <v>-0.00211184907113301</v>
      </c>
      <c r="H1935" s="7" t="n">
        <f aca="false">Sens!$E$1935+(glt_win-Sens!$E$1935)*MIN(1,(Sens!H1873-base_fy)/n_conv)</f>
        <v>0.00341611319665024</v>
      </c>
      <c r="I1935" s="7" t="n">
        <f aca="false">Sens!$E$1935+(glt_win-Sens!$E$1935)*MIN(1,(Sens!I1873-base_fy)/n_conv)</f>
        <v>0.00894407546443349</v>
      </c>
      <c r="J1935" s="7" t="n">
        <f aca="false">Sens!$E$1935+(glt_win-Sens!$E$1935)*MIN(1,(Sens!J1873-base_fy)/n_conv)</f>
        <v>0.0144720377322168</v>
      </c>
      <c r="K1935" s="7" t="n">
        <f aca="false">Sens!$E$1935+(glt_win-Sens!$E$1935)*MIN(1,(Sens!K1873-base_fy)/n_conv)</f>
        <v>0.02</v>
      </c>
    </row>
    <row r="1936" customFormat="false" ht="15" hidden="false" customHeight="false" outlineLevel="0" collapsed="false">
      <c r="A1936" s="0" t="s">
        <v>866</v>
      </c>
      <c r="B1936" s="0" t="s">
        <v>98</v>
      </c>
      <c r="D1936" s="6" t="n">
        <f aca="false">Sens!D1930+Sens!D1932+Sens!D1934</f>
        <v>62.941</v>
      </c>
      <c r="E1936" s="6" t="n">
        <f aca="false">Sens!E1930+Sens!E1932+Sens!E1934</f>
        <v>63.712</v>
      </c>
      <c r="F1936" s="6" t="n">
        <f aca="false">Sens!F1930+Sens!F1932+Sens!F1934</f>
        <v>64.3025149952511</v>
      </c>
      <c r="G1936" s="6" t="n">
        <f aca="false">Sens!G1930+Sens!G1932+Sens!G1934</f>
        <v>66.2756719305292</v>
      </c>
      <c r="H1936" s="6" t="n">
        <f aca="false">Sens!H1930+Sens!H1932+Sens!H1934</f>
        <v>68.7139736271804</v>
      </c>
      <c r="I1936" s="6" t="n">
        <f aca="false">Sens!I1930+Sens!I1932+Sens!I1934</f>
        <v>71.5446393194289</v>
      </c>
      <c r="J1936" s="6" t="n">
        <f aca="false">Sens!J1930+Sens!J1932+Sens!J1934</f>
        <v>74.707035000971</v>
      </c>
      <c r="K1936" s="6" t="n">
        <f aca="false">Sens!K1930+Sens!K1932+Sens!K1934</f>
        <v>78.1524145698365</v>
      </c>
    </row>
    <row r="1937" customFormat="false" ht="15" hidden="false" customHeight="false" outlineLevel="0" collapsed="false">
      <c r="A1937" s="1" t="s">
        <v>1040</v>
      </c>
      <c r="B1937" s="0" t="s">
        <v>98</v>
      </c>
      <c r="D1937" s="6" t="n">
        <f aca="false">Sens!D1929+Sens!D1936</f>
        <v>281.724</v>
      </c>
      <c r="E1937" s="6" t="n">
        <f aca="false">Sens!E1929+Sens!E1936</f>
        <v>331.839</v>
      </c>
      <c r="F1937" s="6" t="n">
        <f aca="false">Sens!F1929+Sens!F1936</f>
        <v>403.077230889628</v>
      </c>
      <c r="G1937" s="6" t="n">
        <f aca="false">Sens!G1929+Sens!G1936</f>
        <v>491.783730467066</v>
      </c>
      <c r="H1937" s="6" t="n">
        <f aca="false">Sens!H1929+Sens!H1936</f>
        <v>587.294787614101</v>
      </c>
      <c r="I1937" s="6" t="n">
        <f aca="false">Sens!I1929+Sens!I1936</f>
        <v>668.612370626884</v>
      </c>
      <c r="J1937" s="6" t="n">
        <f aca="false">Sens!J1929+Sens!J1936</f>
        <v>734.052825485026</v>
      </c>
      <c r="K1937" s="6" t="n">
        <f aca="false">Sens!K1929+Sens!K1936</f>
        <v>786.111062567128</v>
      </c>
    </row>
    <row r="1938" customFormat="false" ht="15" hidden="false" customHeight="false" outlineLevel="0" collapsed="false">
      <c r="A1938" s="26" t="s">
        <v>1041</v>
      </c>
      <c r="B1938" s="31" t="s">
        <v>98</v>
      </c>
      <c r="C1938" s="31"/>
      <c r="D1938" s="27" t="n">
        <f aca="false">(Sens!D1917+Sens!D1922+Sens!D1923+Sens!D1925+Sens!D1927-Sens!D1929)+(Sens!D1930+Sens!D1932+Sens!D1934-Sens!D1936)+(Sens!D1929-Q!L5)+(Sens!D1936-Q!L12)+(Sens!D1917-Q!L6)+(Sens!D1922-Q!L7)</f>
        <v>0</v>
      </c>
      <c r="E1938" s="27" t="n">
        <f aca="false">(Sens!E1917+Sens!E1922+Sens!E1923+Sens!E1925+Sens!E1927-Sens!E1929)+(Sens!E1930+Sens!E1932+Sens!E1934-Sens!E1936)+(Sens!E1929-Q!M5)+(Sens!E1936-Q!M12)+(Sens!E1917-Q!M6)+(Sens!E1922-Q!M7)</f>
        <v>0</v>
      </c>
      <c r="F1938" s="27" t="n">
        <f aca="false">(Sens!F1917+Sens!F1922+Sens!F1923+Sens!F1925+Sens!F1927-Sens!F1929)+(Sens!F1930+Sens!F1932+Sens!F1934-Sens!F1936)</f>
        <v>0</v>
      </c>
      <c r="G1938" s="27" t="n">
        <f aca="false">(Sens!G1917+Sens!G1922+Sens!G1923+Sens!G1925+Sens!G1927-Sens!G1929)+(Sens!G1930+Sens!G1932+Sens!G1934-Sens!G1936)</f>
        <v>0</v>
      </c>
      <c r="H1938" s="27" t="n">
        <f aca="false">(Sens!H1917+Sens!H1922+Sens!H1923+Sens!H1925+Sens!H1927-Sens!H1929)+(Sens!H1930+Sens!H1932+Sens!H1934-Sens!H1936)</f>
        <v>0</v>
      </c>
      <c r="I1938" s="27" t="n">
        <f aca="false">(Sens!I1917+Sens!I1922+Sens!I1923+Sens!I1925+Sens!I1927-Sens!I1929)+(Sens!I1930+Sens!I1932+Sens!I1934-Sens!I1936)</f>
        <v>0</v>
      </c>
      <c r="J1938" s="27" t="n">
        <f aca="false">(Sens!J1917+Sens!J1922+Sens!J1923+Sens!J1925+Sens!J1927-Sens!J1929)+(Sens!J1930+Sens!J1932+Sens!J1934-Sens!J1936)</f>
        <v>0</v>
      </c>
      <c r="K1938" s="27" t="n">
        <f aca="false">(Sens!K1917+Sens!K1922+Sens!K1923+Sens!K1925+Sens!K1927-Sens!K1929)+(Sens!K1930+Sens!K1932+Sens!K1934-Sens!K1936)</f>
        <v>0</v>
      </c>
    </row>
    <row r="1939" customFormat="false" ht="17.15" hidden="false" customHeight="false" outlineLevel="0" collapsed="false">
      <c r="A1939" s="3" t="s">
        <v>1527</v>
      </c>
    </row>
    <row r="1940" customFormat="false" ht="15" hidden="false" customHeight="false" outlineLevel="0" collapsed="false">
      <c r="A1940" s="4" t="s">
        <v>43</v>
      </c>
      <c r="B1940" s="4" t="s">
        <v>65</v>
      </c>
      <c r="C1940" s="23" t="s">
        <v>938</v>
      </c>
      <c r="D1940" s="23" t="s">
        <v>939</v>
      </c>
      <c r="E1940" s="23" t="s">
        <v>940</v>
      </c>
      <c r="F1940" s="23" t="s">
        <v>941</v>
      </c>
      <c r="G1940" s="23" t="s">
        <v>942</v>
      </c>
      <c r="H1940" s="23" t="s">
        <v>943</v>
      </c>
      <c r="I1940" s="23" t="s">
        <v>944</v>
      </c>
      <c r="J1940" s="23" t="s">
        <v>945</v>
      </c>
      <c r="K1940" s="23" t="s">
        <v>946</v>
      </c>
      <c r="L1940" s="4" t="s">
        <v>47</v>
      </c>
    </row>
    <row r="1941" customFormat="false" ht="15" hidden="false" customHeight="false" outlineLevel="0" collapsed="false">
      <c r="A1941" s="0" t="s">
        <v>1025</v>
      </c>
      <c r="B1941" s="0" t="s">
        <v>98</v>
      </c>
      <c r="D1941" s="6" t="n">
        <f aca="false">Sens!D1917</f>
        <v>72.61</v>
      </c>
      <c r="E1941" s="6" t="n">
        <f aca="false">Sens!E1917</f>
        <v>101.938</v>
      </c>
      <c r="F1941" s="6" t="n">
        <f aca="false">Sens!F1917</f>
        <v>149.59001837225</v>
      </c>
      <c r="G1941" s="6" t="n">
        <f aca="false">Sens!G1917</f>
        <v>210.963087346352</v>
      </c>
      <c r="H1941" s="6" t="n">
        <f aca="false">Sens!H1917</f>
        <v>278.649709314524</v>
      </c>
      <c r="I1941" s="6" t="n">
        <f aca="false">Sens!I1917</f>
        <v>334.269404582332</v>
      </c>
      <c r="J1941" s="6" t="n">
        <f aca="false">Sens!J1917</f>
        <v>376.517293063672</v>
      </c>
      <c r="K1941" s="6" t="n">
        <f aca="false">Sens!K1917</f>
        <v>406.018092622804</v>
      </c>
    </row>
    <row r="1942" customFormat="false" ht="17.15" hidden="false" customHeight="false" outlineLevel="0" collapsed="false">
      <c r="A1942" s="0" t="s">
        <v>1021</v>
      </c>
      <c r="B1942" s="0" t="s">
        <v>98</v>
      </c>
      <c r="D1942" s="6" t="n">
        <f aca="false">Sens!D1914</f>
        <v>12.9359794422418</v>
      </c>
      <c r="E1942" s="6" t="n">
        <f aca="false">Sens!E1914</f>
        <v>27.8095064661409</v>
      </c>
      <c r="F1942" s="6" t="n">
        <f aca="false">Sens!F1914</f>
        <v>59.1034165651511</v>
      </c>
      <c r="G1942" s="6" t="n">
        <f aca="false">Sens!G1914</f>
        <v>103.451498789198</v>
      </c>
      <c r="H1942" s="6" t="n">
        <f aca="false">Sens!H1914</f>
        <v>153.816719989035</v>
      </c>
      <c r="I1942" s="6" t="n">
        <f aca="false">Sens!I1914</f>
        <v>192.699478690852</v>
      </c>
      <c r="J1942" s="6" t="n">
        <f aca="false">Sens!J1914</f>
        <v>219.794102584244</v>
      </c>
      <c r="K1942" s="6" t="n">
        <f aca="false">Sens!K1914</f>
        <v>236.757046905022</v>
      </c>
    </row>
    <row r="1943" customFormat="false" ht="17.15" hidden="false" customHeight="false" outlineLevel="0" collapsed="false">
      <c r="A1943" s="0" t="s">
        <v>1052</v>
      </c>
      <c r="B1943" s="0" t="s">
        <v>98</v>
      </c>
      <c r="D1943" s="6" t="n">
        <f aca="false">Sens!D1915</f>
        <v>59.6740205577583</v>
      </c>
      <c r="E1943" s="6" t="n">
        <f aca="false">Sens!E1915</f>
        <v>74.1284935338591</v>
      </c>
      <c r="F1943" s="6" t="n">
        <f aca="false">Sens!F1915</f>
        <v>90.4866018070994</v>
      </c>
      <c r="G1943" s="6" t="n">
        <f aca="false">Sens!G1915</f>
        <v>107.511588557154</v>
      </c>
      <c r="H1943" s="6" t="n">
        <f aca="false">Sens!H1915</f>
        <v>124.832989325489</v>
      </c>
      <c r="I1943" s="6" t="n">
        <f aca="false">Sens!I1915</f>
        <v>141.56992589148</v>
      </c>
      <c r="J1943" s="6" t="n">
        <f aca="false">Sens!J1915</f>
        <v>156.723190479428</v>
      </c>
      <c r="K1943" s="6" t="n">
        <f aca="false">Sens!K1915</f>
        <v>169.261045717783</v>
      </c>
    </row>
    <row r="1944" customFormat="false" ht="15" hidden="false" customHeight="false" outlineLevel="0" collapsed="false">
      <c r="A1944" s="0" t="s">
        <v>1032</v>
      </c>
      <c r="B1944" s="0" t="s">
        <v>98</v>
      </c>
      <c r="D1944" s="6" t="n">
        <f aca="false">Sens!D1922</f>
        <v>84.605</v>
      </c>
      <c r="E1944" s="6" t="n">
        <f aca="false">Sens!E1922</f>
        <v>100.299</v>
      </c>
      <c r="F1944" s="6" t="n">
        <f aca="false">Sens!F1922</f>
        <v>119.729653205718</v>
      </c>
      <c r="G1944" s="6" t="n">
        <f aca="false">Sens!G1922</f>
        <v>140.806092647576</v>
      </c>
      <c r="H1944" s="6" t="n">
        <f aca="false">Sens!H1922</f>
        <v>161.963437602768</v>
      </c>
      <c r="I1944" s="6" t="n">
        <f aca="false">Sens!I1922</f>
        <v>180.695354741933</v>
      </c>
      <c r="J1944" s="6" t="n">
        <f aca="false">Sens!J1922</f>
        <v>196.722117481571</v>
      </c>
      <c r="K1944" s="6" t="n">
        <f aca="false">Sens!K1922</f>
        <v>212.00016570528</v>
      </c>
    </row>
    <row r="1945" customFormat="false" ht="17.15" hidden="false" customHeight="false" outlineLevel="0" collapsed="false">
      <c r="A1945" s="0" t="s">
        <v>1053</v>
      </c>
      <c r="B1945" s="0" t="s">
        <v>98</v>
      </c>
      <c r="D1945" s="6" t="n">
        <f aca="false">Sens!D1920</f>
        <v>83.705</v>
      </c>
      <c r="E1945" s="6" t="n">
        <f aca="false">Sens!E1920</f>
        <v>95.049</v>
      </c>
      <c r="F1945" s="6" t="n">
        <f aca="false">Sens!F1920</f>
        <v>106.229653205718</v>
      </c>
      <c r="G1945" s="6" t="n">
        <f aca="false">Sens!G1920</f>
        <v>118.306092647576</v>
      </c>
      <c r="H1945" s="6" t="n">
        <f aca="false">Sens!H1920</f>
        <v>130.463437602768</v>
      </c>
      <c r="I1945" s="6" t="n">
        <f aca="false">Sens!I1920</f>
        <v>142.445354741933</v>
      </c>
      <c r="J1945" s="6" t="n">
        <f aca="false">Sens!J1920</f>
        <v>153.972117481571</v>
      </c>
      <c r="K1945" s="6" t="n">
        <f aca="false">Sens!K1920</f>
        <v>164.75016570528</v>
      </c>
    </row>
    <row r="1946" customFormat="false" ht="17.15" hidden="false" customHeight="false" outlineLevel="0" collapsed="false">
      <c r="A1946" s="0" t="s">
        <v>1054</v>
      </c>
      <c r="B1946" s="0" t="s">
        <v>98</v>
      </c>
      <c r="D1946" s="6" t="n">
        <f aca="false">Sens!D1919</f>
        <v>0.9</v>
      </c>
      <c r="E1946" s="6" t="n">
        <f aca="false">Sens!E1919</f>
        <v>5.25</v>
      </c>
      <c r="F1946" s="6" t="n">
        <f aca="false">Sens!F1919</f>
        <v>13.5</v>
      </c>
      <c r="G1946" s="6" t="n">
        <f aca="false">Sens!G1919</f>
        <v>22.5</v>
      </c>
      <c r="H1946" s="6" t="n">
        <f aca="false">Sens!H1919</f>
        <v>31.5</v>
      </c>
      <c r="I1946" s="6" t="n">
        <f aca="false">Sens!I1919</f>
        <v>38.25</v>
      </c>
      <c r="J1946" s="6" t="n">
        <f aca="false">Sens!J1919</f>
        <v>42.75</v>
      </c>
      <c r="K1946" s="6" t="n">
        <f aca="false">Sens!K1919</f>
        <v>47.25</v>
      </c>
    </row>
    <row r="1947" customFormat="false" ht="15" hidden="false" customHeight="false" outlineLevel="0" collapsed="false">
      <c r="A1947" s="0" t="s">
        <v>1033</v>
      </c>
      <c r="B1947" s="0" t="s">
        <v>98</v>
      </c>
      <c r="D1947" s="6" t="n">
        <f aca="false">Sens!D1923</f>
        <v>35.391</v>
      </c>
      <c r="E1947" s="6" t="n">
        <f aca="false">Sens!E1923</f>
        <v>37.285</v>
      </c>
      <c r="F1947" s="6" t="n">
        <f aca="false">Sens!F1923</f>
        <v>38.3851437782675</v>
      </c>
      <c r="G1947" s="6" t="n">
        <f aca="false">Sens!G1923</f>
        <v>40.0105353288615</v>
      </c>
      <c r="H1947" s="6" t="n">
        <f aca="false">Sens!H1923</f>
        <v>41.4812512033683</v>
      </c>
      <c r="I1947" s="6" t="n">
        <f aca="false">Sens!I1923</f>
        <v>42.7743107216329</v>
      </c>
      <c r="J1947" s="6" t="n">
        <f aca="false">Sens!J1923</f>
        <v>43.8687373064601</v>
      </c>
      <c r="K1947" s="6" t="n">
        <f aca="false">Sens!K1923</f>
        <v>44.7461120525893</v>
      </c>
    </row>
    <row r="1948" customFormat="false" ht="15" hidden="false" customHeight="false" outlineLevel="0" collapsed="false">
      <c r="A1948" s="0" t="s">
        <v>1035</v>
      </c>
      <c r="B1948" s="0" t="s">
        <v>98</v>
      </c>
      <c r="D1948" s="6" t="n">
        <f aca="false">Sens!D1925</f>
        <v>18.417</v>
      </c>
      <c r="E1948" s="6" t="n">
        <f aca="false">Sens!E1925</f>
        <v>20.345</v>
      </c>
      <c r="F1948" s="6" t="n">
        <f aca="false">Sens!F1925</f>
        <v>22.3161797133988</v>
      </c>
      <c r="G1948" s="6" t="n">
        <f aca="false">Sens!G1925</f>
        <v>24.3943499673233</v>
      </c>
      <c r="H1948" s="6" t="n">
        <f aca="false">Sens!H1925</f>
        <v>26.5250243109019</v>
      </c>
      <c r="I1948" s="6" t="n">
        <f aca="false">Sens!I1925</f>
        <v>28.6884573538181</v>
      </c>
      <c r="J1948" s="6" t="n">
        <f aca="false">Sens!J1925</f>
        <v>30.8624968052127</v>
      </c>
      <c r="K1948" s="6" t="n">
        <f aca="false">Sens!K1925</f>
        <v>33.0228715815776</v>
      </c>
    </row>
    <row r="1949" customFormat="false" ht="15" hidden="false" customHeight="false" outlineLevel="0" collapsed="false">
      <c r="A1949" s="0" t="s">
        <v>1036</v>
      </c>
      <c r="B1949" s="0" t="s">
        <v>98</v>
      </c>
      <c r="D1949" s="6" t="n">
        <f aca="false">Sens!D1927</f>
        <v>7.76</v>
      </c>
      <c r="E1949" s="6" t="n">
        <f aca="false">Sens!E1927</f>
        <v>8.26</v>
      </c>
      <c r="F1949" s="6" t="n">
        <f aca="false">Sens!F1927</f>
        <v>8.75372082474227</v>
      </c>
      <c r="G1949" s="6" t="n">
        <f aca="false">Sens!G1927</f>
        <v>9.33399324642364</v>
      </c>
      <c r="H1949" s="6" t="n">
        <f aca="false">Sens!H1927</f>
        <v>9.96139155535851</v>
      </c>
      <c r="I1949" s="6" t="n">
        <f aca="false">Sens!I1927</f>
        <v>10.6402039077391</v>
      </c>
      <c r="J1949" s="6" t="n">
        <f aca="false">Sens!J1927</f>
        <v>11.3751458271397</v>
      </c>
      <c r="K1949" s="6" t="n">
        <f aca="false">Sens!K1927</f>
        <v>12.1714060350394</v>
      </c>
    </row>
    <row r="1950" customFormat="false" ht="15" hidden="false" customHeight="false" outlineLevel="0" collapsed="false">
      <c r="A1950" s="0" t="s">
        <v>852</v>
      </c>
      <c r="B1950" s="0" t="s">
        <v>98</v>
      </c>
      <c r="D1950" s="6" t="n">
        <f aca="false">Sens!D1929</f>
        <v>218.783</v>
      </c>
      <c r="E1950" s="6" t="n">
        <f aca="false">Sens!E1929</f>
        <v>268.127</v>
      </c>
      <c r="F1950" s="6" t="n">
        <f aca="false">Sens!F1929</f>
        <v>338.774715894377</v>
      </c>
      <c r="G1950" s="6" t="n">
        <f aca="false">Sens!G1929</f>
        <v>425.508058536537</v>
      </c>
      <c r="H1950" s="6" t="n">
        <f aca="false">Sens!H1929</f>
        <v>518.580813986921</v>
      </c>
      <c r="I1950" s="6" t="n">
        <f aca="false">Sens!I1929</f>
        <v>597.067731307455</v>
      </c>
      <c r="J1950" s="6" t="n">
        <f aca="false">Sens!J1929</f>
        <v>659.345790484055</v>
      </c>
      <c r="K1950" s="6" t="n">
        <f aca="false">Sens!K1929</f>
        <v>707.958647997291</v>
      </c>
    </row>
    <row r="1951" customFormat="false" ht="15" hidden="false" customHeight="false" outlineLevel="0" collapsed="false">
      <c r="A1951" s="0" t="s">
        <v>1037</v>
      </c>
      <c r="B1951" s="0" t="s">
        <v>98</v>
      </c>
      <c r="D1951" s="6" t="n">
        <f aca="false">Sens!D1930</f>
        <v>22.171</v>
      </c>
      <c r="E1951" s="6" t="n">
        <f aca="false">Sens!E1930</f>
        <v>24.835</v>
      </c>
      <c r="F1951" s="6" t="n">
        <f aca="false">Sens!F1930</f>
        <v>27.5591895660247</v>
      </c>
      <c r="G1951" s="6" t="n">
        <f aca="false">Sens!G1930</f>
        <v>30.4098563144583</v>
      </c>
      <c r="H1951" s="6" t="n">
        <f aca="false">Sens!H1930</f>
        <v>33.3011792571777</v>
      </c>
      <c r="I1951" s="6" t="n">
        <f aca="false">Sens!I1930</f>
        <v>36.189023797112</v>
      </c>
      <c r="J1951" s="6" t="n">
        <f aca="false">Sens!J1930</f>
        <v>39.0247773769199</v>
      </c>
      <c r="K1951" s="6" t="n">
        <f aca="false">Sens!K1930</f>
        <v>41.7565117933043</v>
      </c>
    </row>
    <row r="1952" customFormat="false" ht="15" hidden="false" customHeight="false" outlineLevel="0" collapsed="false">
      <c r="A1952" s="0" t="s">
        <v>1038</v>
      </c>
      <c r="B1952" s="0" t="s">
        <v>98</v>
      </c>
      <c r="D1952" s="6" t="n">
        <f aca="false">Sens!D1932</f>
        <v>23.455</v>
      </c>
      <c r="E1952" s="6" t="n">
        <f aca="false">Sens!E1932</f>
        <v>21.79</v>
      </c>
      <c r="F1952" s="6" t="n">
        <f aca="false">Sens!F1932</f>
        <v>20.7520981041711</v>
      </c>
      <c r="G1952" s="6" t="n">
        <f aca="false">Sens!G1932</f>
        <v>19.9083593495882</v>
      </c>
      <c r="H1952" s="6" t="n">
        <f aca="false">Sens!H1932</f>
        <v>19.4008256265831</v>
      </c>
      <c r="I1952" s="6" t="n">
        <f aca="false">Sens!I1932</f>
        <v>19.200434522122</v>
      </c>
      <c r="J1952" s="6" t="n">
        <f aca="false">Sens!J1932</f>
        <v>19.2932782348507</v>
      </c>
      <c r="K1952" s="6" t="n">
        <f aca="false">Sens!K1932</f>
        <v>19.6791437995477</v>
      </c>
    </row>
    <row r="1953" customFormat="false" ht="15" hidden="false" customHeight="false" outlineLevel="0" collapsed="false">
      <c r="A1953" s="0" t="s">
        <v>1039</v>
      </c>
      <c r="B1953" s="0" t="s">
        <v>98</v>
      </c>
      <c r="D1953" s="6" t="n">
        <f aca="false">Sens!D1934</f>
        <v>17.315</v>
      </c>
      <c r="E1953" s="6" t="n">
        <f aca="false">Sens!E1934</f>
        <v>17.087</v>
      </c>
      <c r="F1953" s="6" t="n">
        <f aca="false">Sens!F1934</f>
        <v>15.9912273250553</v>
      </c>
      <c r="G1953" s="6" t="n">
        <f aca="false">Sens!G1934</f>
        <v>15.9574562664827</v>
      </c>
      <c r="H1953" s="6" t="n">
        <f aca="false">Sens!H1934</f>
        <v>16.0119687434196</v>
      </c>
      <c r="I1953" s="6" t="n">
        <f aca="false">Sens!I1934</f>
        <v>16.1551810001948</v>
      </c>
      <c r="J1953" s="6" t="n">
        <f aca="false">Sens!J1934</f>
        <v>16.3889793892005</v>
      </c>
      <c r="K1953" s="6" t="n">
        <f aca="false">Sens!K1934</f>
        <v>16.7167589769845</v>
      </c>
    </row>
    <row r="1954" customFormat="false" ht="15" hidden="false" customHeight="false" outlineLevel="0" collapsed="false">
      <c r="A1954" s="0" t="s">
        <v>866</v>
      </c>
      <c r="B1954" s="0" t="s">
        <v>98</v>
      </c>
      <c r="D1954" s="6" t="n">
        <f aca="false">Sens!D1936</f>
        <v>62.941</v>
      </c>
      <c r="E1954" s="6" t="n">
        <f aca="false">Sens!E1936</f>
        <v>63.712</v>
      </c>
      <c r="F1954" s="6" t="n">
        <f aca="false">Sens!F1936</f>
        <v>64.3025149952511</v>
      </c>
      <c r="G1954" s="6" t="n">
        <f aca="false">Sens!G1936</f>
        <v>66.2756719305292</v>
      </c>
      <c r="H1954" s="6" t="n">
        <f aca="false">Sens!H1936</f>
        <v>68.7139736271804</v>
      </c>
      <c r="I1954" s="6" t="n">
        <f aca="false">Sens!I1936</f>
        <v>71.5446393194289</v>
      </c>
      <c r="J1954" s="6" t="n">
        <f aca="false">Sens!J1936</f>
        <v>74.707035000971</v>
      </c>
      <c r="K1954" s="6" t="n">
        <f aca="false">Sens!K1936</f>
        <v>78.1524145698365</v>
      </c>
    </row>
    <row r="1955" customFormat="false" ht="15" hidden="false" customHeight="false" outlineLevel="0" collapsed="false">
      <c r="A1955" s="1" t="s">
        <v>1055</v>
      </c>
      <c r="B1955" s="0" t="s">
        <v>98</v>
      </c>
      <c r="D1955" s="6" t="n">
        <f aca="false">Sens!D1937</f>
        <v>281.724</v>
      </c>
      <c r="E1955" s="6" t="n">
        <f aca="false">Sens!E1937</f>
        <v>331.839</v>
      </c>
      <c r="F1955" s="6" t="n">
        <f aca="false">Sens!F1937</f>
        <v>403.077230889628</v>
      </c>
      <c r="G1955" s="6" t="n">
        <f aca="false">Sens!G1937</f>
        <v>491.783730467066</v>
      </c>
      <c r="H1955" s="6" t="n">
        <f aca="false">Sens!H1937</f>
        <v>587.294787614101</v>
      </c>
      <c r="I1955" s="6" t="n">
        <f aca="false">Sens!I1937</f>
        <v>668.612370626884</v>
      </c>
      <c r="J1955" s="6" t="n">
        <f aca="false">Sens!J1937</f>
        <v>734.052825485026</v>
      </c>
      <c r="K1955" s="6" t="n">
        <f aca="false">Sens!K1937</f>
        <v>786.111062567128</v>
      </c>
    </row>
    <row r="1956" customFormat="false" ht="15" hidden="false" customHeight="false" outlineLevel="0" collapsed="false">
      <c r="A1956" s="1" t="s">
        <v>1056</v>
      </c>
      <c r="B1956" s="0" t="s">
        <v>168</v>
      </c>
      <c r="E1956" s="7" t="n">
        <f aca="false">Sens!E1955/Sens!D1955-1</f>
        <v>0.177886867998467</v>
      </c>
      <c r="F1956" s="7" t="n">
        <f aca="false">Sens!F1955/Sens!E1955-1</f>
        <v>0.21467709006364</v>
      </c>
      <c r="G1956" s="7" t="n">
        <f aca="false">Sens!G1955/Sens!F1955-1</f>
        <v>0.220073208753704</v>
      </c>
      <c r="H1956" s="7" t="n">
        <f aca="false">Sens!H1955/Sens!G1955-1</f>
        <v>0.194213535808362</v>
      </c>
      <c r="I1956" s="7" t="n">
        <f aca="false">Sens!I1955/Sens!H1955-1</f>
        <v>0.13846127145643</v>
      </c>
      <c r="J1956" s="7" t="n">
        <f aca="false">Sens!J1955/Sens!I1955-1</f>
        <v>0.0978750285412546</v>
      </c>
      <c r="K1956" s="7" t="n">
        <f aca="false">Sens!K1955/Sens!J1955-1</f>
        <v>0.0709189247350204</v>
      </c>
    </row>
    <row r="1957" customFormat="false" ht="17.15" hidden="false" customHeight="false" outlineLevel="0" collapsed="false">
      <c r="A1957" s="26" t="s">
        <v>1057</v>
      </c>
      <c r="B1957" s="31" t="s">
        <v>98</v>
      </c>
      <c r="C1957" s="31"/>
      <c r="D1957" s="27" t="n">
        <f aca="false">(Sens!D1950+Sens!D1954-Sens!D1955)+(Sens!D1942+Sens!D1943-Sens!D1941)+(Sens!D1945+Sens!D1946-Sens!D1944)+(Sens!D1955-Q!L18)</f>
        <v>0</v>
      </c>
      <c r="E1957" s="27" t="n">
        <f aca="false">(Sens!E1950+Sens!E1954-Sens!E1955)+(Sens!E1942+Sens!E1943-Sens!E1941)+(Sens!E1945+Sens!E1946-Sens!E1944)+(Sens!E1955-Q!M18)</f>
        <v>0</v>
      </c>
      <c r="F1957" s="27" t="n">
        <f aca="false">(Sens!F1950+Sens!F1954-Sens!F1955)+(Sens!F1942+Sens!F1943-Sens!F1941)+(Sens!F1945+Sens!F1946-Sens!F1944)</f>
        <v>0</v>
      </c>
      <c r="G1957" s="27" t="n">
        <f aca="false">(Sens!G1950+Sens!G1954-Sens!G1955)+(Sens!G1942+Sens!G1943-Sens!G1941)+(Sens!G1945+Sens!G1946-Sens!G1944)</f>
        <v>0</v>
      </c>
      <c r="H1957" s="27" t="n">
        <f aca="false">(Sens!H1950+Sens!H1954-Sens!H1955)+(Sens!H1942+Sens!H1943-Sens!H1941)+(Sens!H1945+Sens!H1946-Sens!H1944)</f>
        <v>0</v>
      </c>
      <c r="I1957" s="27" t="n">
        <f aca="false">(Sens!I1950+Sens!I1954-Sens!I1955)+(Sens!I1942+Sens!I1943-Sens!I1941)+(Sens!I1945+Sens!I1946-Sens!I1944)</f>
        <v>0</v>
      </c>
      <c r="J1957" s="27" t="n">
        <f aca="false">(Sens!J1950+Sens!J1954-Sens!J1955)+(Sens!J1942+Sens!J1943-Sens!J1941)+(Sens!J1945+Sens!J1946-Sens!J1944)</f>
        <v>0</v>
      </c>
      <c r="K1957" s="27" t="n">
        <f aca="false">(Sens!K1950+Sens!K1954-Sens!K1955)+(Sens!K1942+Sens!K1943-Sens!K1941)+(Sens!K1945+Sens!K1946-Sens!K1944)</f>
        <v>0</v>
      </c>
    </row>
    <row r="1958" customFormat="false" ht="17.15" hidden="false" customHeight="false" outlineLevel="0" collapsed="false">
      <c r="A1958" s="0" t="s">
        <v>1058</v>
      </c>
      <c r="B1958" s="0" t="s">
        <v>168</v>
      </c>
      <c r="E1958" s="7" t="n">
        <f aca="false">(Q!M21+Sens!E1894+Sens!E1895+Sens!E1896+Sens!E1910-Sens!E1892)/(Q!M5-Sens!E1892)</f>
        <v>0.591291114837517</v>
      </c>
      <c r="F1958" s="7" t="n">
        <f aca="false">Sens!$E$1958+dm_seg</f>
        <v>0.591291114837517</v>
      </c>
      <c r="G1958" s="7" t="n">
        <f aca="false">Sens!$E$1958+dm_seg</f>
        <v>0.591291114837517</v>
      </c>
      <c r="H1958" s="7" t="n">
        <f aca="false">Sens!$E$1958+dm_seg</f>
        <v>0.591291114837517</v>
      </c>
      <c r="I1958" s="7" t="n">
        <f aca="false">Sens!$E$1958+dm_seg</f>
        <v>0.591291114837517</v>
      </c>
      <c r="J1958" s="7" t="n">
        <f aca="false">Sens!$E$1958+dm_seg</f>
        <v>0.591291114837517</v>
      </c>
      <c r="K1958" s="7" t="n">
        <f aca="false">Sens!$E$1958+dm_seg</f>
        <v>0.591291114837517</v>
      </c>
      <c r="L1958" s="12" t="s">
        <v>1059</v>
      </c>
    </row>
    <row r="1959" customFormat="false" ht="17.15" hidden="false" customHeight="false" outlineLevel="0" collapsed="false">
      <c r="A1959" s="0" t="s">
        <v>880</v>
      </c>
      <c r="B1959" s="0" t="s">
        <v>98</v>
      </c>
      <c r="D1959" s="6" t="n">
        <f aca="false">Q!L21</f>
        <v>110.814</v>
      </c>
      <c r="E1959" s="6" t="n">
        <f aca="false">Q!M21</f>
        <v>136.365</v>
      </c>
      <c r="F1959" s="6" t="n">
        <f aca="false">Q!$I$21+(Sens!F1958*(Sens!F1929-Sens!F1892)+Sens!F1892-(Sens!F1894+Sens!F1895+Sens!F1896)-Sens!F1910-Sens!F1993)*(Sens!F1929-Q!$I$5)/Sens!F1929</f>
        <v>161.973278194361</v>
      </c>
      <c r="G1959" s="6" t="n">
        <f aca="false">(Sens!G1958*(Sens!G1929-Sens!G1892)+Sens!G1892-(Sens!G1894+Sens!G1895+Sens!G1896)-Sens!G1910-Sens!G1993)</f>
        <v>180.258029199688</v>
      </c>
      <c r="H1959" s="6" t="n">
        <f aca="false">(Sens!H1958*(Sens!H1929-Sens!H1892)+Sens!H1892-(Sens!H1894+Sens!H1895+Sens!H1896)-Sens!H1910-Sens!H1993)</f>
        <v>207.28130767314</v>
      </c>
      <c r="I1959" s="6" t="n">
        <f aca="false">(Sens!I1958*(Sens!I1929-Sens!I1892)+Sens!I1892-(Sens!I1894+Sens!I1895+Sens!I1896)-Sens!I1910-Sens!I1993)</f>
        <v>226.825449631885</v>
      </c>
      <c r="J1959" s="6" t="n">
        <f aca="false">(Sens!J1958*(Sens!J1929-Sens!J1892)+Sens!J1892-(Sens!J1894+Sens!J1895+Sens!J1896)-Sens!J1910-Sens!J1993)</f>
        <v>244.806274429589</v>
      </c>
      <c r="K1959" s="6" t="n">
        <f aca="false">(Sens!K1958*(Sens!K1929-Sens!K1892)+Sens!K1892-(Sens!K1894+Sens!K1895+Sens!K1896)-Sens!K1910-Sens!K1993)</f>
        <v>262.419083140846</v>
      </c>
      <c r="L1959" s="1" t="s">
        <v>1060</v>
      </c>
    </row>
    <row r="1960" customFormat="false" ht="17.15" hidden="false" customHeight="false" outlineLevel="0" collapsed="false">
      <c r="A1960" s="0" t="s">
        <v>1061</v>
      </c>
      <c r="B1960" s="0" t="s">
        <v>168</v>
      </c>
      <c r="E1960" s="7" t="n">
        <f aca="false">Q!M22/Q!M12</f>
        <v>0.296207935710698</v>
      </c>
      <c r="F1960" s="7" t="n">
        <f aca="false">Sens!$E$1960+dm_seg</f>
        <v>0.296207935710698</v>
      </c>
      <c r="G1960" s="7" t="n">
        <f aca="false">Sens!$E$1960+dm_seg</f>
        <v>0.296207935710698</v>
      </c>
      <c r="H1960" s="7" t="n">
        <f aca="false">Sens!$E$1960+dm_seg</f>
        <v>0.296207935710698</v>
      </c>
      <c r="I1960" s="7" t="n">
        <f aca="false">Sens!$E$1960+dm_seg</f>
        <v>0.296207935710698</v>
      </c>
      <c r="J1960" s="7" t="n">
        <f aca="false">Sens!$E$1960+dm_seg</f>
        <v>0.296207935710698</v>
      </c>
      <c r="K1960" s="7" t="n">
        <f aca="false">Sens!$E$1960+dm_seg</f>
        <v>0.296207935710698</v>
      </c>
      <c r="L1960" s="12" t="s">
        <v>1062</v>
      </c>
    </row>
    <row r="1961" customFormat="false" ht="17.15" hidden="false" customHeight="false" outlineLevel="0" collapsed="false">
      <c r="A1961" s="0" t="s">
        <v>882</v>
      </c>
      <c r="B1961" s="0" t="s">
        <v>98</v>
      </c>
      <c r="D1961" s="6" t="n">
        <f aca="false">Q!L22</f>
        <v>17.714</v>
      </c>
      <c r="E1961" s="6" t="n">
        <f aca="false">Q!M22</f>
        <v>18.872</v>
      </c>
      <c r="F1961" s="6" t="n">
        <f aca="false">Q!$I$22+(Sens!F1936-Q!$I$12)*Sens!F1960</f>
        <v>19.8174315512051</v>
      </c>
      <c r="G1961" s="6" t="n">
        <f aca="false">Sens!G1936*Sens!G1960</f>
        <v>19.6313799703815</v>
      </c>
      <c r="H1961" s="6" t="n">
        <f aca="false">Sens!H1936*Sens!H1960</f>
        <v>20.3536242825865</v>
      </c>
      <c r="I1961" s="6" t="n">
        <f aca="false">Sens!I1936*Sens!I1960</f>
        <v>21.1920899239745</v>
      </c>
      <c r="J1961" s="6" t="n">
        <f aca="false">Sens!J1936*Sens!J1960</f>
        <v>22.1288166207045</v>
      </c>
      <c r="K1961" s="6" t="n">
        <f aca="false">Sens!K1936*Sens!K1960</f>
        <v>23.1493653905379</v>
      </c>
      <c r="L1961" s="12" t="s">
        <v>1063</v>
      </c>
    </row>
    <row r="1962" customFormat="false" ht="15" hidden="false" customHeight="false" outlineLevel="0" collapsed="false">
      <c r="A1962" s="1" t="s">
        <v>1064</v>
      </c>
      <c r="B1962" s="0" t="s">
        <v>98</v>
      </c>
      <c r="D1962" s="6" t="n">
        <f aca="false">Sens!D1959+Sens!D1961</f>
        <v>128.528</v>
      </c>
      <c r="E1962" s="6" t="n">
        <f aca="false">Sens!E1959+Sens!E1961</f>
        <v>155.237</v>
      </c>
      <c r="F1962" s="6" t="n">
        <f aca="false">Sens!F1959+Sens!F1961</f>
        <v>181.790709745567</v>
      </c>
      <c r="G1962" s="6" t="n">
        <f aca="false">Sens!G1959+Sens!G1961</f>
        <v>199.889409170069</v>
      </c>
      <c r="H1962" s="6" t="n">
        <f aca="false">Sens!H1959+Sens!H1961</f>
        <v>227.634931955726</v>
      </c>
      <c r="I1962" s="6" t="n">
        <f aca="false">Sens!I1959+Sens!I1961</f>
        <v>248.017539555859</v>
      </c>
      <c r="J1962" s="6" t="n">
        <f aca="false">Sens!J1959+Sens!J1961</f>
        <v>266.935091050293</v>
      </c>
      <c r="K1962" s="6" t="n">
        <f aca="false">Sens!K1959+Sens!K1961</f>
        <v>285.568448531384</v>
      </c>
    </row>
    <row r="1963" customFormat="false" ht="15" hidden="false" customHeight="false" outlineLevel="0" collapsed="false">
      <c r="A1963" s="26" t="s">
        <v>1065</v>
      </c>
      <c r="B1963" s="31" t="s">
        <v>98</v>
      </c>
      <c r="C1963" s="31"/>
      <c r="D1963" s="27" t="n">
        <f aca="false">Sens!D1962-Q!L23</f>
        <v>0</v>
      </c>
      <c r="E1963" s="27" t="n">
        <f aca="false">Sens!E1962-Q!M23</f>
        <v>0</v>
      </c>
      <c r="F1963" s="31"/>
      <c r="G1963" s="31"/>
      <c r="H1963" s="31"/>
      <c r="I1963" s="31"/>
      <c r="J1963" s="31"/>
      <c r="K1963" s="31"/>
    </row>
    <row r="1964" customFormat="false" ht="15" hidden="false" customHeight="false" outlineLevel="0" collapsed="false">
      <c r="A1964" s="1" t="s">
        <v>1066</v>
      </c>
      <c r="B1964" s="0" t="s">
        <v>168</v>
      </c>
      <c r="D1964" s="7" t="n">
        <f aca="false">Sens!D1962/Sens!D1955</f>
        <v>0.456219562408598</v>
      </c>
      <c r="E1964" s="7" t="n">
        <f aca="false">Sens!E1962/Sens!E1955</f>
        <v>0.467808184089272</v>
      </c>
      <c r="F1964" s="7" t="n">
        <f aca="false">Sens!F1962/Sens!F1955</f>
        <v>0.451007141595019</v>
      </c>
      <c r="G1964" s="7" t="n">
        <f aca="false">Sens!G1962/Sens!G1955</f>
        <v>0.406457954557029</v>
      </c>
      <c r="H1964" s="7" t="n">
        <f aca="false">Sens!H1962/Sens!H1955</f>
        <v>0.387599101433368</v>
      </c>
      <c r="I1964" s="7" t="n">
        <f aca="false">Sens!I1962/Sens!I1955</f>
        <v>0.37094368942549</v>
      </c>
      <c r="J1964" s="7" t="n">
        <f aca="false">Sens!J1962/Sens!J1955</f>
        <v>0.363645614842386</v>
      </c>
      <c r="K1964" s="7" t="n">
        <f aca="false">Sens!K1962/Sens!K1955</f>
        <v>0.363267306783383</v>
      </c>
    </row>
    <row r="1965" customFormat="false" ht="17.15" hidden="false" customHeight="false" outlineLevel="0" collapsed="false">
      <c r="A1965" s="1" t="s">
        <v>1067</v>
      </c>
      <c r="B1965" s="0" t="s">
        <v>98</v>
      </c>
      <c r="F1965" s="6" t="n">
        <f aca="false">Sens!F1980</f>
        <v>15.5125556376781</v>
      </c>
      <c r="G1965" s="6" t="n">
        <f aca="false">Sens!G1980</f>
        <v>38.6327954985698</v>
      </c>
      <c r="H1965" s="6" t="n">
        <f aca="false">Sens!H1980</f>
        <v>63.9628217836594</v>
      </c>
      <c r="I1965" s="6" t="n">
        <f aca="false">Sens!I1980</f>
        <v>86.9569462846141</v>
      </c>
      <c r="J1965" s="6" t="n">
        <f aca="false">Sens!J1980</f>
        <v>103.032307020656</v>
      </c>
      <c r="K1965" s="6" t="n">
        <f aca="false">Sens!K1980</f>
        <v>111.756283188097</v>
      </c>
      <c r="L1965" s="1" t="s">
        <v>1068</v>
      </c>
    </row>
    <row r="1966" customFormat="false" ht="17.15" hidden="false" customHeight="false" outlineLevel="0" collapsed="false">
      <c r="A1966" s="1" t="s">
        <v>1069</v>
      </c>
      <c r="B1966" s="0" t="s">
        <v>98</v>
      </c>
      <c r="D1966" s="6" t="n">
        <f aca="false">Sens!D1962</f>
        <v>128.528</v>
      </c>
      <c r="E1966" s="6" t="n">
        <f aca="false">Sens!E1962</f>
        <v>155.237</v>
      </c>
      <c r="F1966" s="6" t="n">
        <f aca="false">Sens!F1962+Sens!F1965</f>
        <v>197.303265383245</v>
      </c>
      <c r="G1966" s="6" t="n">
        <f aca="false">Sens!G1962+Sens!G1965</f>
        <v>238.522204668639</v>
      </c>
      <c r="H1966" s="6" t="n">
        <f aca="false">Sens!H1962+Sens!H1965</f>
        <v>291.597753739386</v>
      </c>
      <c r="I1966" s="6" t="n">
        <f aca="false">Sens!I1962+Sens!I1965</f>
        <v>334.974485840473</v>
      </c>
      <c r="J1966" s="6" t="n">
        <f aca="false">Sens!J1962+Sens!J1965</f>
        <v>369.967398070949</v>
      </c>
      <c r="K1966" s="6" t="n">
        <f aca="false">Sens!K1962+Sens!K1965</f>
        <v>397.324731719481</v>
      </c>
    </row>
    <row r="1967" customFormat="false" ht="17.15" hidden="false" customHeight="false" outlineLevel="0" collapsed="false">
      <c r="A1967" s="1" t="s">
        <v>1070</v>
      </c>
      <c r="B1967" s="0" t="s">
        <v>98</v>
      </c>
      <c r="E1967" s="6" t="n">
        <f aca="false">Sens!E1910</f>
        <v>19.5664871725</v>
      </c>
      <c r="F1967" s="6" t="n">
        <f aca="false">Sens!F1910</f>
        <v>41.495177374022</v>
      </c>
      <c r="G1967" s="6" t="n">
        <f aca="false">Sens!G1910</f>
        <v>72.8813887827587</v>
      </c>
      <c r="H1967" s="6" t="n">
        <f aca="false">Sens!H1910</f>
        <v>106.920108793735</v>
      </c>
      <c r="I1967" s="6" t="n">
        <f aca="false">Sens!I1910</f>
        <v>137.077211633458</v>
      </c>
      <c r="J1967" s="6" t="n">
        <f aca="false">Sens!J1910</f>
        <v>158.418807659515</v>
      </c>
      <c r="K1967" s="6" t="n">
        <f aca="false">Sens!K1910</f>
        <v>171.615203461121</v>
      </c>
    </row>
    <row r="1968" customFormat="false" ht="17.15" hidden="false" customHeight="false" outlineLevel="0" collapsed="false">
      <c r="A1968" s="1" t="s">
        <v>1071</v>
      </c>
      <c r="B1968" s="0" t="s">
        <v>98</v>
      </c>
      <c r="E1968" s="6" t="n">
        <f aca="false">Sens!E1992</f>
        <v>18.9675128275</v>
      </c>
      <c r="F1968" s="6" t="n">
        <f aca="false">Sens!F1992</f>
        <v>20.6406133960123</v>
      </c>
      <c r="G1968" s="6" t="n">
        <f aca="false">Sens!G1992</f>
        <v>22.7343838381202</v>
      </c>
      <c r="H1968" s="6" t="n">
        <f aca="false">Sens!H1992</f>
        <v>25.2152820157511</v>
      </c>
      <c r="I1968" s="6" t="n">
        <f aca="false">Sens!I1992</f>
        <v>28.0098768441198</v>
      </c>
      <c r="J1968" s="6" t="n">
        <f aca="false">Sens!J1992</f>
        <v>31.0287448237743</v>
      </c>
      <c r="K1968" s="6" t="n">
        <f aca="false">Sens!K1992</f>
        <v>34.1897963276697</v>
      </c>
    </row>
    <row r="1969" customFormat="false" ht="17.15" hidden="false" customHeight="false" outlineLevel="0" collapsed="false">
      <c r="A1969" s="1" t="s">
        <v>1072</v>
      </c>
      <c r="B1969" s="0" t="s">
        <v>98</v>
      </c>
      <c r="D1969" s="6" t="n">
        <f aca="false">Q!L27</f>
        <v>-4.901</v>
      </c>
      <c r="E1969" s="6" t="n">
        <f aca="false">Q!M27</f>
        <v>10.697</v>
      </c>
      <c r="F1969" s="6" t="n">
        <f aca="false">Q!$I$27+oie_f*(q_per_yr-1)/q_per_yr</f>
        <v>-0.862</v>
      </c>
      <c r="G1969" s="6" t="n">
        <f aca="false">oie_f</f>
        <v>-1.2</v>
      </c>
      <c r="H1969" s="6" t="n">
        <f aca="false">oie_f</f>
        <v>-1.2</v>
      </c>
      <c r="I1969" s="6" t="n">
        <f aca="false">oie_f</f>
        <v>-1.2</v>
      </c>
      <c r="J1969" s="6" t="n">
        <f aca="false">oie_f</f>
        <v>-1.2</v>
      </c>
      <c r="K1969" s="6" t="n">
        <f aca="false">oie_f</f>
        <v>-1.2</v>
      </c>
      <c r="L1969" s="12" t="s">
        <v>1073</v>
      </c>
    </row>
    <row r="1970" customFormat="false" ht="15" hidden="false" customHeight="false" outlineLevel="0" collapsed="false">
      <c r="A1970" s="1" t="s">
        <v>1074</v>
      </c>
      <c r="B1970" s="0" t="s">
        <v>98</v>
      </c>
      <c r="D1970" s="6" t="n">
        <f aca="false">Sens!D1962+Sens!D1969</f>
        <v>123.627</v>
      </c>
      <c r="E1970" s="6" t="n">
        <f aca="false">Sens!E1962+Sens!E1969</f>
        <v>165.934</v>
      </c>
      <c r="F1970" s="6" t="n">
        <f aca="false">Sens!F1962+Sens!F1969</f>
        <v>180.928709745567</v>
      </c>
      <c r="G1970" s="6" t="n">
        <f aca="false">Sens!G1962+Sens!G1969</f>
        <v>198.689409170069</v>
      </c>
      <c r="H1970" s="6" t="n">
        <f aca="false">Sens!H1962+Sens!H1969</f>
        <v>226.434931955726</v>
      </c>
      <c r="I1970" s="6" t="n">
        <f aca="false">Sens!I1962+Sens!I1969</f>
        <v>246.817539555859</v>
      </c>
      <c r="J1970" s="6" t="n">
        <f aca="false">Sens!J1962+Sens!J1969</f>
        <v>265.735091050293</v>
      </c>
      <c r="K1970" s="6" t="n">
        <f aca="false">Sens!K1962+Sens!K1969</f>
        <v>284.368448531384</v>
      </c>
    </row>
    <row r="1971" customFormat="false" ht="15" hidden="false" customHeight="false" outlineLevel="0" collapsed="false">
      <c r="A1971" s="1" t="s">
        <v>1075</v>
      </c>
      <c r="B1971" s="0" t="s">
        <v>98</v>
      </c>
      <c r="D1971" s="6" t="n">
        <f aca="false">Q!L29</f>
        <v>21.795</v>
      </c>
      <c r="E1971" s="6" t="n">
        <f aca="false">Q!M29</f>
        <v>32.185</v>
      </c>
      <c r="F1971" s="6" t="n">
        <f aca="false">Q!$I$29+(Sens!F1970-Q!$I$28)*tax_f</f>
        <v>36.3191419491133</v>
      </c>
      <c r="G1971" s="6" t="n">
        <f aca="false">Sens!G1970*tax_f</f>
        <v>39.7378818340138</v>
      </c>
      <c r="H1971" s="6" t="n">
        <f aca="false">Sens!H1970*tax_f</f>
        <v>45.2869863911453</v>
      </c>
      <c r="I1971" s="6" t="n">
        <f aca="false">Sens!I1970*tax_f</f>
        <v>49.3635079111718</v>
      </c>
      <c r="J1971" s="6" t="n">
        <f aca="false">Sens!J1970*tax_f</f>
        <v>53.1470182100586</v>
      </c>
      <c r="K1971" s="6" t="n">
        <f aca="false">Sens!K1970*tax_f</f>
        <v>56.8736897062768</v>
      </c>
    </row>
    <row r="1972" customFormat="false" ht="15" hidden="false" customHeight="false" outlineLevel="0" collapsed="false">
      <c r="A1972" s="1" t="s">
        <v>1076</v>
      </c>
      <c r="B1972" s="0" t="s">
        <v>98</v>
      </c>
      <c r="D1972" s="6" t="n">
        <f aca="false">Sens!D1970-Sens!D1971</f>
        <v>101.832</v>
      </c>
      <c r="E1972" s="6" t="n">
        <f aca="false">Sens!E1970-Sens!E1971</f>
        <v>133.749</v>
      </c>
      <c r="F1972" s="6" t="n">
        <f aca="false">Sens!F1970-Sens!F1971</f>
        <v>144.609567796453</v>
      </c>
      <c r="G1972" s="6" t="n">
        <f aca="false">Sens!G1970-Sens!G1971</f>
        <v>158.951527336055</v>
      </c>
      <c r="H1972" s="6" t="n">
        <f aca="false">Sens!H1970-Sens!H1971</f>
        <v>181.147945564581</v>
      </c>
      <c r="I1972" s="6" t="n">
        <f aca="false">Sens!I1970-Sens!I1971</f>
        <v>197.454031644687</v>
      </c>
      <c r="J1972" s="6" t="n">
        <f aca="false">Sens!J1970-Sens!J1971</f>
        <v>212.588072840235</v>
      </c>
      <c r="K1972" s="6" t="n">
        <f aca="false">Sens!K1970-Sens!K1971</f>
        <v>227.494758825107</v>
      </c>
    </row>
    <row r="1973" customFormat="false" ht="17.15" hidden="false" customHeight="false" outlineLevel="0" collapsed="false">
      <c r="A1973" s="1" t="s">
        <v>1077</v>
      </c>
      <c r="B1973" s="1" t="s">
        <v>81</v>
      </c>
      <c r="D1973" s="15" t="n">
        <f aca="false">Q!L31</f>
        <v>7.465</v>
      </c>
      <c r="E1973" s="15" t="n">
        <f aca="false">Q!M31</f>
        <v>7.453</v>
      </c>
      <c r="F1973" s="15" t="n">
        <f aca="false">Sens!F2017</f>
        <v>7.4735</v>
      </c>
      <c r="G1973" s="15" t="n">
        <f aca="false">Sens!G2017</f>
        <v>7.5185</v>
      </c>
      <c r="H1973" s="15" t="n">
        <f aca="false">Sens!H2017</f>
        <v>7.55440243148705</v>
      </c>
      <c r="I1973" s="15" t="n">
        <f aca="false">Sens!I2017</f>
        <v>7.57428628800076</v>
      </c>
      <c r="J1973" s="15" t="n">
        <f aca="false">Sens!J2017</f>
        <v>7.58843569916323</v>
      </c>
      <c r="K1973" s="15" t="n">
        <f aca="false">Sens!K2017</f>
        <v>7.60487033912848</v>
      </c>
    </row>
    <row r="1974" customFormat="false" ht="17.15" hidden="false" customHeight="false" outlineLevel="0" collapsed="false">
      <c r="A1974" s="0" t="s">
        <v>1078</v>
      </c>
      <c r="B1974" s="0" t="s">
        <v>75</v>
      </c>
      <c r="D1974" s="8" t="n">
        <f aca="false">Sens!D1972/Sens!D1973</f>
        <v>13.641259209645</v>
      </c>
      <c r="E1974" s="8" t="n">
        <f aca="false">Sens!E1972/Sens!E1973</f>
        <v>17.9456594659869</v>
      </c>
      <c r="F1974" s="8" t="n">
        <f aca="false">Sens!F1972/Sens!F1973</f>
        <v>19.3496444499168</v>
      </c>
      <c r="G1974" s="8" t="n">
        <f aca="false">Sens!G1972/Sens!G1973</f>
        <v>21.1413882205301</v>
      </c>
      <c r="H1974" s="8" t="n">
        <f aca="false">Sens!H1972/Sens!H1973</f>
        <v>23.9791230620108</v>
      </c>
      <c r="I1974" s="8" t="n">
        <f aca="false">Sens!I1972/Sens!I1973</f>
        <v>26.068995036205</v>
      </c>
      <c r="J1974" s="8" t="n">
        <f aca="false">Sens!J1972/Sens!J1973</f>
        <v>28.0147425988832</v>
      </c>
      <c r="K1974" s="8" t="n">
        <f aca="false">Sens!K1972/Sens!K1973</f>
        <v>29.9143507621168</v>
      </c>
      <c r="L1974" s="1" t="s">
        <v>1079</v>
      </c>
    </row>
    <row r="1975" customFormat="false" ht="17.15" hidden="false" customHeight="false" outlineLevel="0" collapsed="false">
      <c r="A1975" s="1" t="s">
        <v>1080</v>
      </c>
      <c r="B1975" s="0" t="s">
        <v>98</v>
      </c>
      <c r="D1975" s="6" t="n">
        <f aca="false">Sens!D1972</f>
        <v>101.832</v>
      </c>
      <c r="E1975" s="6" t="n">
        <f aca="false">Sens!E1972</f>
        <v>133.749</v>
      </c>
      <c r="F1975" s="6" t="n">
        <f aca="false">Sens!F1972+Sens!F1965*(1-tax_f)</f>
        <v>157.019612306596</v>
      </c>
      <c r="G1975" s="6" t="n">
        <f aca="false">Sens!G1972+Sens!G1965*(1-tax_f)</f>
        <v>189.857763734911</v>
      </c>
      <c r="H1975" s="6" t="n">
        <f aca="false">Sens!H1972+Sens!H1965*(1-tax_f)</f>
        <v>232.318202991509</v>
      </c>
      <c r="I1975" s="6" t="n">
        <f aca="false">Sens!I1972+Sens!I1965*(1-tax_f)</f>
        <v>267.019588672379</v>
      </c>
      <c r="J1975" s="6" t="n">
        <f aca="false">Sens!J1972+Sens!J1965*(1-tax_f)</f>
        <v>295.013918456759</v>
      </c>
      <c r="K1975" s="6" t="n">
        <f aca="false">Sens!K1972+Sens!K1965*(1-tax_f)</f>
        <v>316.899785375585</v>
      </c>
    </row>
    <row r="1976" customFormat="false" ht="17.15" hidden="false" customHeight="false" outlineLevel="0" collapsed="false">
      <c r="A1976" s="0" t="s">
        <v>1081</v>
      </c>
      <c r="B1976" s="0" t="s">
        <v>75</v>
      </c>
      <c r="D1976" s="8" t="n">
        <f aca="false">Sens!D1975/Sens!D1973</f>
        <v>13.641259209645</v>
      </c>
      <c r="E1976" s="8" t="n">
        <f aca="false">Sens!E1975/Sens!E1973</f>
        <v>17.9456594659869</v>
      </c>
      <c r="F1976" s="8" t="n">
        <f aca="false">Sens!F1975/Sens!F1973</f>
        <v>21.0101842920447</v>
      </c>
      <c r="G1976" s="8" t="n">
        <f aca="false">Sens!G1975/Sens!G1973</f>
        <v>25.2520800339045</v>
      </c>
      <c r="H1976" s="8" t="n">
        <f aca="false">Sens!H1975/Sens!H1973</f>
        <v>30.7526909108254</v>
      </c>
      <c r="I1976" s="8" t="n">
        <f aca="false">Sens!I1975/Sens!I1973</f>
        <v>35.2534322732682</v>
      </c>
      <c r="J1976" s="8" t="n">
        <f aca="false">Sens!J1975/Sens!J1973</f>
        <v>38.8767764730866</v>
      </c>
      <c r="K1976" s="8" t="n">
        <f aca="false">Sens!K1975/Sens!K1973</f>
        <v>41.6706362165146</v>
      </c>
      <c r="L1976" s="1" t="s">
        <v>1082</v>
      </c>
    </row>
    <row r="1977" customFormat="false" ht="17.15" hidden="false" customHeight="false" outlineLevel="0" collapsed="false">
      <c r="A1977" s="0" t="s">
        <v>1083</v>
      </c>
      <c r="B1977" s="0" t="s">
        <v>168</v>
      </c>
      <c r="E1977" s="7" t="n">
        <f aca="false">Sens!E1976/Sens!D1976-1</f>
        <v>0.315542736208578</v>
      </c>
      <c r="F1977" s="7" t="n">
        <f aca="false">Sens!F1976/Sens!E1976-1</f>
        <v>0.170766910620706</v>
      </c>
      <c r="G1977" s="7" t="n">
        <f aca="false">Sens!G1976/Sens!F1976-1</f>
        <v>0.201897122028864</v>
      </c>
      <c r="H1977" s="7" t="n">
        <f aca="false">Sens!H1976/Sens!G1976-1</f>
        <v>0.217828031177451</v>
      </c>
      <c r="I1977" s="7" t="n">
        <f aca="false">Sens!I1976/Sens!H1976-1</f>
        <v>0.146352765535015</v>
      </c>
      <c r="J1977" s="7" t="n">
        <f aca="false">Sens!J1976/Sens!I1976-1</f>
        <v>0.10277989875516</v>
      </c>
      <c r="K1977" s="7" t="n">
        <f aca="false">Sens!K1976/Sens!J1976-1</f>
        <v>0.0718644907548367</v>
      </c>
    </row>
    <row r="1978" customFormat="false" ht="17.15" hidden="false" customHeight="false" outlineLevel="0" collapsed="false">
      <c r="A1978" s="0" t="s">
        <v>1003</v>
      </c>
      <c r="B1978" s="0" t="s">
        <v>98</v>
      </c>
      <c r="E1978" s="6" t="n">
        <f aca="false">Sens!E1919</f>
        <v>5.25</v>
      </c>
      <c r="F1978" s="6" t="n">
        <f aca="false">Sens!F1919</f>
        <v>13.5</v>
      </c>
      <c r="G1978" s="6" t="n">
        <f aca="false">Sens!G1919</f>
        <v>22.5</v>
      </c>
      <c r="H1978" s="6" t="n">
        <f aca="false">Sens!H1919</f>
        <v>31.5</v>
      </c>
      <c r="I1978" s="6" t="n">
        <f aca="false">Sens!I1919</f>
        <v>38.25</v>
      </c>
      <c r="J1978" s="6" t="n">
        <f aca="false">Sens!J1919</f>
        <v>42.75</v>
      </c>
      <c r="K1978" s="6" t="n">
        <f aca="false">Sens!K1919</f>
        <v>47.25</v>
      </c>
    </row>
    <row r="1979" customFormat="false" ht="17.15" hidden="false" customHeight="false" outlineLevel="0" collapsed="false">
      <c r="A1979" s="1" t="s">
        <v>1004</v>
      </c>
      <c r="B1979" s="0" t="s">
        <v>98</v>
      </c>
      <c r="F1979" s="6" t="n">
        <f aca="false">MAX(0,((Sens!E1879+Sens!F1879)/2-(shadow_base*(Sens!$D$1879+Sens!$E$1879)/2+(1-shadow_base)*Sens!$E$1879))*Sens!F1888/1000-(Sens!F1978-Sens!$E$1978)*Sens!F1958)</f>
        <v>15.5125556376781</v>
      </c>
      <c r="G1979" s="6" t="n">
        <f aca="false">MAX(0,((Sens!F1879+Sens!G1879)/2-(shadow_base*(Sens!$D$1879+Sens!$E$1879)/2+(1-shadow_base)*Sens!$E$1879))*Sens!G1888/1000-(Sens!G1978-Sens!$E$1978)*Sens!G1958)</f>
        <v>38.6327954985698</v>
      </c>
      <c r="H1979" s="6" t="n">
        <f aca="false">MAX(0,((Sens!G1879+Sens!H1879)/2-(shadow_base*(Sens!$D$1879+Sens!$E$1879)/2+(1-shadow_base)*Sens!$E$1879))*Sens!H1888/1000-(Sens!H1978-Sens!$E$1978)*Sens!H1958)</f>
        <v>63.9628217836594</v>
      </c>
      <c r="I1979" s="6" t="n">
        <f aca="false">MAX(0,((Sens!H1879+Sens!I1879)/2-(shadow_base*(Sens!$D$1879+Sens!$E$1879)/2+(1-shadow_base)*Sens!$E$1879))*Sens!I1888/1000-(Sens!I1978-Sens!$E$1978)*Sens!I1958)</f>
        <v>86.9569462846141</v>
      </c>
      <c r="J1979" s="6" t="n">
        <f aca="false">MAX(0,((Sens!I1879+Sens!J1879)/2-(shadow_base*(Sens!$D$1879+Sens!$E$1879)/2+(1-shadow_base)*Sens!$E$1879))*Sens!J1888/1000-(Sens!J1978-Sens!$E$1978)*Sens!J1958)</f>
        <v>103.032307020656</v>
      </c>
      <c r="K1979" s="6" t="n">
        <f aca="false">MAX(0,((Sens!J1879+Sens!K1879)/2-(shadow_base*(Sens!$D$1879+Sens!$E$1879)/2+(1-shadow_base)*Sens!$E$1879))*Sens!K1888/1000-(Sens!K1978-Sens!$E$1978)*Sens!K1958)</f>
        <v>111.756283188097</v>
      </c>
      <c r="L1979" s="1" t="s">
        <v>1005</v>
      </c>
    </row>
    <row r="1980" customFormat="false" ht="17.15" hidden="false" customHeight="false" outlineLevel="0" collapsed="false">
      <c r="A1980" s="1" t="s">
        <v>1006</v>
      </c>
      <c r="B1980" s="0" t="s">
        <v>98</v>
      </c>
      <c r="F1980" s="6" t="n">
        <f aca="false">IF(internal_ai_reading=2,1,0)*Sens!F1979</f>
        <v>15.5125556376781</v>
      </c>
      <c r="G1980" s="6" t="n">
        <f aca="false">IF(internal_ai_reading=2,1,0)*Sens!G1979</f>
        <v>38.6327954985698</v>
      </c>
      <c r="H1980" s="6" t="n">
        <f aca="false">IF(internal_ai_reading=2,1,0)*Sens!H1979</f>
        <v>63.9628217836594</v>
      </c>
      <c r="I1980" s="6" t="n">
        <f aca="false">IF(internal_ai_reading=2,1,0)*Sens!I1979</f>
        <v>86.9569462846141</v>
      </c>
      <c r="J1980" s="6" t="n">
        <f aca="false">IF(internal_ai_reading=2,1,0)*Sens!J1979</f>
        <v>103.032307020656</v>
      </c>
      <c r="K1980" s="6" t="n">
        <f aca="false">IF(internal_ai_reading=2,1,0)*Sens!K1979</f>
        <v>111.756283188097</v>
      </c>
    </row>
    <row r="1981" customFormat="false" ht="17.15" hidden="false" customHeight="false" outlineLevel="0" collapsed="false">
      <c r="A1981" s="0" t="s">
        <v>1007</v>
      </c>
      <c r="B1981" s="0" t="s">
        <v>98</v>
      </c>
      <c r="F1981" s="6" t="n">
        <f aca="false">Sens!F1898+Sens!F1978*Sens!F1958+Sens!F1980-Sens!F1899-Sens!F1910</f>
        <v>15.133980574689</v>
      </c>
      <c r="G1981" s="6" t="n">
        <f aca="false">Sens!G1898+Sens!G1978*Sens!G1958+Sens!G1980-Sens!G1899-Sens!G1910</f>
        <v>41.7656925283625</v>
      </c>
      <c r="H1981" s="6" t="n">
        <f aca="false">Sens!H1898+Sens!H1978*Sens!H1958+Sens!H1980-Sens!H1899-Sens!H1910</f>
        <v>74.1880317814743</v>
      </c>
      <c r="I1981" s="6" t="n">
        <f aca="false">Sens!I1898+Sens!I1978*Sens!I1958+Sens!I1980-Sens!I1899-Sens!I1910</f>
        <v>97.2999261644641</v>
      </c>
      <c r="J1981" s="6" t="n">
        <f aca="false">Sens!J1898+Sens!J1978*Sens!J1958+Sens!J1980-Sens!J1899-Sens!J1910</f>
        <v>113.213269042557</v>
      </c>
      <c r="K1981" s="6" t="n">
        <f aca="false">Sens!K1898+Sens!K1978*Sens!K1958+Sens!K1980-Sens!K1899-Sens!K1910</f>
        <v>123.496551481945</v>
      </c>
    </row>
    <row r="1982" customFormat="false" ht="17.15" hidden="false" customHeight="false" outlineLevel="0" collapsed="false">
      <c r="A1982" s="0" t="s">
        <v>1008</v>
      </c>
      <c r="B1982" s="0" t="s">
        <v>98</v>
      </c>
      <c r="E1982" s="6" t="n">
        <f aca="false">Sens!E1878*(cxit_open+self_build*tk_cxfac)/1000*ai_net_open</f>
        <v>152.03764584</v>
      </c>
      <c r="F1982" s="6" t="n">
        <f aca="false">Sens!E1982+Sens!F1907-Sens!F1910</f>
        <v>312.687153316522</v>
      </c>
      <c r="G1982" s="6" t="n">
        <f aca="false">Sens!F1982+Sens!G1907-Sens!G1910</f>
        <v>470.13913531262</v>
      </c>
      <c r="H1982" s="6" t="n">
        <f aca="false">Sens!G1982+Sens!H1907-Sens!H1910</f>
        <v>599.3862313963</v>
      </c>
      <c r="I1982" s="6" t="n">
        <f aca="false">Sens!H1982+Sens!I1907-Sens!I1910</f>
        <v>664.646820108775</v>
      </c>
      <c r="J1982" s="6" t="n">
        <f aca="false">Sens!I1982+Sens!J1907-Sens!J1910</f>
        <v>660.943929884388</v>
      </c>
      <c r="K1982" s="6" t="n">
        <f aca="false">Sens!J1982+Sens!K1907-Sens!K1910</f>
        <v>632.084150100946</v>
      </c>
      <c r="L1982" s="1" t="s">
        <v>1009</v>
      </c>
    </row>
    <row r="1983" customFormat="false" ht="17.15" hidden="false" customHeight="false" outlineLevel="0" collapsed="false">
      <c r="A1983" s="0" t="s">
        <v>1010</v>
      </c>
      <c r="B1983" s="0" t="s">
        <v>168</v>
      </c>
      <c r="F1983" s="7" t="n">
        <f aca="false">Sens!F1981*(1-tax_f)/((Sens!E1982+Sens!F1982)/2)</f>
        <v>0.052104748796388</v>
      </c>
      <c r="G1983" s="7" t="n">
        <f aca="false">Sens!G1981*(1-tax_f)/((Sens!F1982+Sens!G1982)/2)</f>
        <v>0.0853639038648047</v>
      </c>
      <c r="H1983" s="7" t="n">
        <f aca="false">Sens!H1981*(1-tax_f)/((Sens!G1982+Sens!H1982)/2)</f>
        <v>0.110984605456922</v>
      </c>
      <c r="I1983" s="7" t="n">
        <f aca="false">Sens!I1981*(1-tax_f)/((Sens!H1982+Sens!I1982)/2)</f>
        <v>0.123161243036941</v>
      </c>
      <c r="J1983" s="7" t="n">
        <f aca="false">Sens!J1981*(1-tax_f)/((Sens!I1982+Sens!J1982)/2)</f>
        <v>0.136649437595295</v>
      </c>
      <c r="K1983" s="7" t="n">
        <f aca="false">Sens!K1981*(1-tax_f)/((Sens!J1982+Sens!K1982)/2)</f>
        <v>0.152815306511637</v>
      </c>
    </row>
    <row r="1984" customFormat="false" ht="17.15" hidden="false" customHeight="false" outlineLevel="0" collapsed="false">
      <c r="A1984" s="1" t="s">
        <v>1011</v>
      </c>
      <c r="B1984" s="0" t="s">
        <v>168</v>
      </c>
      <c r="F1984" s="7" t="n">
        <f aca="false">(Sens!F1981-Sens!F1980)*(1-tax_f)/((Sens!E1982+Sens!F1982)/2)</f>
        <v>-0.00130339526076913</v>
      </c>
      <c r="G1984" s="7" t="n">
        <f aca="false">(Sens!G1981-Sens!G1980)*(1-tax_f)/((Sens!F1982+Sens!G1982)/2)</f>
        <v>0.00640325359594944</v>
      </c>
      <c r="H1984" s="7" t="n">
        <f aca="false">(Sens!H1981-Sens!H1980)*(1-tax_f)/((Sens!G1982+Sens!H1982)/2)</f>
        <v>0.0152968190430555</v>
      </c>
      <c r="I1984" s="7" t="n">
        <f aca="false">(Sens!I1981-Sens!I1980)*(1-tax_f)/((Sens!H1982+Sens!I1982)/2)</f>
        <v>0.013092037259671</v>
      </c>
      <c r="J1984" s="7" t="n">
        <f aca="false">(Sens!J1981-Sens!J1980)*(1-tax_f)/((Sens!I1982+Sens!J1982)/2)</f>
        <v>0.0122885130536143</v>
      </c>
      <c r="K1984" s="7" t="n">
        <f aca="false">(Sens!K1981-Sens!K1980)*(1-tax_f)/((Sens!J1982+Sens!K1982)/2)</f>
        <v>0.0145274720332214</v>
      </c>
    </row>
    <row r="1985" customFormat="false" ht="17.15" hidden="false" customHeight="false" outlineLevel="0" collapsed="false">
      <c r="A1985" s="1" t="s">
        <v>1012</v>
      </c>
      <c r="B1985" s="0" t="s">
        <v>168</v>
      </c>
      <c r="F1985" s="7" t="n">
        <f aca="false">(Sens!F1981-Sens!F1980+Sens!F1979)*(1-tax_f)/((Sens!E1982+Sens!F1982)/2)</f>
        <v>0.052104748796388</v>
      </c>
      <c r="G1985" s="7" t="n">
        <f aca="false">(Sens!G1981-Sens!G1980+Sens!G1979)*(1-tax_f)/((Sens!F1982+Sens!G1982)/2)</f>
        <v>0.0853639038648047</v>
      </c>
      <c r="H1985" s="7" t="n">
        <f aca="false">(Sens!H1981-Sens!H1980+Sens!H1979)*(1-tax_f)/((Sens!G1982+Sens!H1982)/2)</f>
        <v>0.110984605456922</v>
      </c>
      <c r="I1985" s="7" t="n">
        <f aca="false">(Sens!I1981-Sens!I1980+Sens!I1979)*(1-tax_f)/((Sens!H1982+Sens!I1982)/2)</f>
        <v>0.123161243036941</v>
      </c>
      <c r="J1985" s="7" t="n">
        <f aca="false">(Sens!J1981-Sens!J1980+Sens!J1979)*(1-tax_f)/((Sens!I1982+Sens!J1982)/2)</f>
        <v>0.136649437595295</v>
      </c>
      <c r="K1985" s="7" t="n">
        <f aca="false">(Sens!K1981-Sens!K1980+Sens!K1979)*(1-tax_f)/((Sens!J1982+Sens!K1982)/2)</f>
        <v>0.152815306511637</v>
      </c>
    </row>
    <row r="1986" customFormat="false" ht="17.15" hidden="false" customHeight="false" outlineLevel="0" collapsed="false">
      <c r="A1986" s="1" t="s">
        <v>1013</v>
      </c>
      <c r="B1986" s="0" t="s">
        <v>168</v>
      </c>
      <c r="F1986" s="7" t="n">
        <f aca="false">Sens!F1911*(1-tax_f)/(Sens!F1897*(Sens!E1982+Sens!F1982)/2)</f>
        <v>0.15471433083293</v>
      </c>
      <c r="G1986" s="7" t="n">
        <f aca="false">Sens!G1911*(1-tax_f)/(Sens!G1897*(Sens!F1982+Sens!G1982)/2)</f>
        <v>0.176916911437355</v>
      </c>
      <c r="H1986" s="7" t="n">
        <f aca="false">Sens!H1911*(1-tax_f)/(Sens!H1897*(Sens!G1982+Sens!H1982)/2)</f>
        <v>0.207487057996582</v>
      </c>
      <c r="I1986" s="7" t="n">
        <f aca="false">Sens!I1911*(1-tax_f)/(Sens!I1897*(Sens!H1982+Sens!I1982)/2)</f>
        <v>0.219873660070946</v>
      </c>
      <c r="J1986" s="7" t="n">
        <f aca="false">Sens!J1911*(1-tax_f)/(Sens!J1897*(Sens!I1982+Sens!J1982)/2)</f>
        <v>0.238959457974928</v>
      </c>
      <c r="K1986" s="7" t="n">
        <f aca="false">Sens!K1911*(1-tax_f)/(Sens!K1897*(Sens!J1982+Sens!K1982)/2)</f>
        <v>0.264604270651536</v>
      </c>
    </row>
    <row r="1987" customFormat="false" ht="17.15" hidden="false" customHeight="false" outlineLevel="0" collapsed="false">
      <c r="A1987" s="0" t="s">
        <v>1014</v>
      </c>
      <c r="B1987" s="0" t="s">
        <v>253</v>
      </c>
      <c r="F1987" s="7" t="n">
        <f aca="false">Sens!F1983-wacc</f>
        <v>-0.0508318421492093</v>
      </c>
      <c r="G1987" s="7" t="n">
        <f aca="false">Sens!G1983-wacc</f>
        <v>-0.0175726870807926</v>
      </c>
      <c r="H1987" s="7" t="n">
        <f aca="false">Sens!H1983-wacc</f>
        <v>0.00804801451132428</v>
      </c>
      <c r="I1987" s="7" t="n">
        <f aca="false">Sens!I1983-wacc</f>
        <v>0.0202246520913436</v>
      </c>
      <c r="J1987" s="7" t="n">
        <f aca="false">Sens!J1983-wacc</f>
        <v>0.0337128466496978</v>
      </c>
      <c r="K1987" s="7" t="n">
        <f aca="false">Sens!K1983-wacc</f>
        <v>0.0498787155660393</v>
      </c>
    </row>
    <row r="1988" customFormat="false" ht="17.15" hidden="false" customHeight="false" outlineLevel="0" collapsed="false">
      <c r="A1988" s="0" t="s">
        <v>1015</v>
      </c>
      <c r="B1988" s="0" t="s">
        <v>98</v>
      </c>
      <c r="F1988" s="6" t="n">
        <f aca="false">Sens!F1981*(1-tax_f)-wacc*(Sens!E1982+Sens!F1982)/2</f>
        <v>-11.8114088167736</v>
      </c>
      <c r="G1988" s="6" t="n">
        <f aca="false">Sens!G1981*(1-tax_f)-wacc*(Sens!F1982+Sens!G1982)/2</f>
        <v>-6.87818070434908</v>
      </c>
      <c r="H1988" s="6" t="n">
        <f aca="false">Sens!H1981*(1-tax_f)-wacc*(Sens!G1982+Sens!H1982)/2</f>
        <v>4.3037778357514</v>
      </c>
      <c r="I1988" s="6" t="n">
        <f aca="false">Sens!I1981*(1-tax_f)-wacc*(Sens!H1982+Sens!I1982)/2</f>
        <v>12.7823143493248</v>
      </c>
      <c r="J1988" s="6" t="n">
        <f aca="false">Sens!J1981*(1-tax_f)-wacc*(Sens!I1982+Sens!J1982)/2</f>
        <v>22.3447188373887</v>
      </c>
      <c r="K1988" s="6" t="n">
        <f aca="false">Sens!K1981*(1-tax_f)-wacc*(Sens!J1982+Sens!K1982)/2</f>
        <v>32.2472899102452</v>
      </c>
    </row>
    <row r="1989" customFormat="false" ht="17.15" hidden="false" customHeight="false" outlineLevel="0" collapsed="false">
      <c r="A1989" s="3" t="s">
        <v>1528</v>
      </c>
    </row>
    <row r="1990" customFormat="false" ht="15" hidden="false" customHeight="false" outlineLevel="0" collapsed="false">
      <c r="A1990" s="4" t="s">
        <v>43</v>
      </c>
      <c r="B1990" s="4" t="s">
        <v>65</v>
      </c>
      <c r="C1990" s="23" t="s">
        <v>938</v>
      </c>
      <c r="D1990" s="23" t="s">
        <v>939</v>
      </c>
      <c r="E1990" s="23" t="s">
        <v>940</v>
      </c>
      <c r="F1990" s="23" t="s">
        <v>941</v>
      </c>
      <c r="G1990" s="23" t="s">
        <v>942</v>
      </c>
      <c r="H1990" s="23" t="s">
        <v>943</v>
      </c>
      <c r="I1990" s="23" t="s">
        <v>944</v>
      </c>
      <c r="J1990" s="23" t="s">
        <v>945</v>
      </c>
      <c r="K1990" s="23" t="s">
        <v>946</v>
      </c>
      <c r="L1990" s="4" t="s">
        <v>47</v>
      </c>
    </row>
    <row r="1991" customFormat="false" ht="15" hidden="false" customHeight="false" outlineLevel="0" collapsed="false">
      <c r="A1991" s="1" t="s">
        <v>1076</v>
      </c>
      <c r="B1991" s="0" t="s">
        <v>98</v>
      </c>
      <c r="F1991" s="6" t="n">
        <f aca="false">Sens!F1972</f>
        <v>144.609567796453</v>
      </c>
      <c r="G1991" s="6" t="n">
        <f aca="false">Sens!G1972</f>
        <v>158.951527336055</v>
      </c>
      <c r="H1991" s="6" t="n">
        <f aca="false">Sens!H1972</f>
        <v>181.147945564581</v>
      </c>
      <c r="I1991" s="6" t="n">
        <f aca="false">Sens!I1972</f>
        <v>197.454031644687</v>
      </c>
      <c r="J1991" s="6" t="n">
        <f aca="false">Sens!J1972</f>
        <v>212.588072840235</v>
      </c>
      <c r="K1991" s="6" t="n">
        <f aca="false">Sens!K1972</f>
        <v>227.494758825107</v>
      </c>
    </row>
    <row r="1992" customFormat="false" ht="17.15" hidden="false" customHeight="false" outlineLevel="0" collapsed="false">
      <c r="A1992" s="1" t="s">
        <v>1098</v>
      </c>
      <c r="B1992" s="0" t="s">
        <v>98</v>
      </c>
      <c r="E1992" s="6" t="n">
        <f aca="false">Q!M38-Sens!E1910</f>
        <v>18.9675128275</v>
      </c>
      <c r="F1992" s="6" t="n">
        <f aca="false">Sens!E1992*(1-1/life_nonai)+(Sens!F2000+Sens!F2001)/life_nonai</f>
        <v>20.6406133960123</v>
      </c>
      <c r="G1992" s="6" t="n">
        <f aca="false">Sens!F1992*(1-1/life_nonai)+(Sens!G2000)/life_nonai</f>
        <v>22.7343838381202</v>
      </c>
      <c r="H1992" s="6" t="n">
        <f aca="false">Sens!G1992*(1-1/life_nonai)+(Sens!H2000)/life_nonai</f>
        <v>25.2152820157511</v>
      </c>
      <c r="I1992" s="6" t="n">
        <f aca="false">Sens!H1992*(1-1/life_nonai)+(Sens!I2000)/life_nonai</f>
        <v>28.0098768441198</v>
      </c>
      <c r="J1992" s="6" t="n">
        <f aca="false">Sens!I1992*(1-1/life_nonai)+(Sens!J2000)/life_nonai</f>
        <v>31.0287448237743</v>
      </c>
      <c r="K1992" s="6" t="n">
        <f aca="false">Sens!J1992*(1-1/life_nonai)+(Sens!K2000)/life_nonai</f>
        <v>34.1897963276697</v>
      </c>
      <c r="L1992" s="12" t="s">
        <v>1099</v>
      </c>
    </row>
    <row r="1993" customFormat="false" ht="17.15" hidden="false" customHeight="false" outlineLevel="0" collapsed="false">
      <c r="A1993" s="1" t="s">
        <v>1100</v>
      </c>
      <c r="B1993" s="0" t="s">
        <v>98</v>
      </c>
      <c r="F1993" s="6" t="n">
        <f aca="false">Sens!$F$2001/life_nonai*(1-1/life_nonai)^(Sens!F1873-2027)</f>
        <v>0</v>
      </c>
      <c r="G1993" s="6" t="n">
        <f aca="false">Sens!$F$2001/life_nonai*(1-1/life_nonai)^(Sens!G1873-2027)</f>
        <v>0</v>
      </c>
      <c r="H1993" s="6" t="n">
        <f aca="false">Sens!$F$2001/life_nonai*(1-1/life_nonai)^(Sens!H1873-2027)</f>
        <v>0</v>
      </c>
      <c r="I1993" s="6" t="n">
        <f aca="false">Sens!$F$2001/life_nonai*(1-1/life_nonai)^(Sens!I1873-2027)</f>
        <v>0</v>
      </c>
      <c r="J1993" s="6" t="n">
        <f aca="false">Sens!$F$2001/life_nonai*(1-1/life_nonai)^(Sens!J1873-2027)</f>
        <v>0</v>
      </c>
      <c r="K1993" s="6" t="n">
        <f aca="false">Sens!$F$2001/life_nonai*(1-1/life_nonai)^(Sens!K1873-2027)</f>
        <v>0</v>
      </c>
      <c r="L1993" s="1" t="s">
        <v>1101</v>
      </c>
    </row>
    <row r="1994" customFormat="false" ht="17.15" hidden="false" customHeight="false" outlineLevel="0" collapsed="false">
      <c r="A1994" s="1" t="s">
        <v>1102</v>
      </c>
      <c r="B1994" s="0" t="s">
        <v>98</v>
      </c>
      <c r="E1994" s="6" t="n">
        <f aca="false">Sens!E1910+Sens!E1992</f>
        <v>38.534</v>
      </c>
      <c r="F1994" s="6" t="n">
        <f aca="false">Sens!F1910+Sens!F1992</f>
        <v>62.1357907700343</v>
      </c>
      <c r="G1994" s="6" t="n">
        <f aca="false">Sens!G1910+Sens!G1992</f>
        <v>95.615772620879</v>
      </c>
      <c r="H1994" s="6" t="n">
        <f aca="false">Sens!H1910+Sens!H1992</f>
        <v>132.135390809486</v>
      </c>
      <c r="I1994" s="6" t="n">
        <f aca="false">Sens!I1910+Sens!I1992</f>
        <v>165.087088477578</v>
      </c>
      <c r="J1994" s="6" t="n">
        <f aca="false">Sens!J1910+Sens!J1992</f>
        <v>189.44755248329</v>
      </c>
      <c r="K1994" s="6" t="n">
        <f aca="false">Sens!K1910+Sens!K1992</f>
        <v>205.804999788791</v>
      </c>
    </row>
    <row r="1995" customFormat="false" ht="17.15" hidden="false" customHeight="false" outlineLevel="0" collapsed="false">
      <c r="A1995" s="1" t="s">
        <v>1103</v>
      </c>
      <c r="B1995" s="0" t="s">
        <v>98</v>
      </c>
      <c r="F1995" s="6" t="n">
        <f aca="false">Sens!F1937*sbc_r</f>
        <v>15.0680693022395</v>
      </c>
      <c r="G1995" s="6" t="n">
        <f aca="false">Sens!G1937*sbc_r</f>
        <v>18.3841476633065</v>
      </c>
      <c r="H1995" s="6" t="n">
        <f aca="false">Sens!H1937*sbc_r</f>
        <v>21.9545979838202</v>
      </c>
      <c r="I1995" s="6" t="n">
        <f aca="false">Sens!I1937*sbc_r</f>
        <v>24.9944595349748</v>
      </c>
      <c r="J1995" s="6" t="n">
        <f aca="false">Sens!J1937*sbc_r</f>
        <v>27.4407929753337</v>
      </c>
      <c r="K1995" s="6" t="n">
        <f aca="false">Sens!K1937*sbc_r</f>
        <v>29.3868645070206</v>
      </c>
    </row>
    <row r="1996" customFormat="false" ht="17.15" hidden="false" customHeight="false" outlineLevel="0" collapsed="false">
      <c r="A1996" s="1" t="s">
        <v>1104</v>
      </c>
      <c r="B1996" s="0" t="s">
        <v>98</v>
      </c>
      <c r="F1996" s="6" t="n">
        <f aca="false">wc27-wc26q1</f>
        <v>-4.677</v>
      </c>
      <c r="G1996" s="6" t="n">
        <f aca="false">wc_f</f>
        <v>0</v>
      </c>
      <c r="H1996" s="6" t="n">
        <f aca="false">wc_f</f>
        <v>0</v>
      </c>
      <c r="I1996" s="6" t="n">
        <f aca="false">wc_f</f>
        <v>0</v>
      </c>
      <c r="J1996" s="6" t="n">
        <f aca="false">wc_f</f>
        <v>0</v>
      </c>
      <c r="K1996" s="6" t="n">
        <f aca="false">wc_f</f>
        <v>0</v>
      </c>
      <c r="L1996" s="12" t="s">
        <v>1105</v>
      </c>
    </row>
    <row r="1997" customFormat="false" ht="17.15" hidden="false" customHeight="false" outlineLevel="0" collapsed="false">
      <c r="A1997" s="0" t="s">
        <v>1106</v>
      </c>
      <c r="B1997" s="0" t="s">
        <v>98</v>
      </c>
      <c r="F1997" s="6" t="n">
        <f aca="false">Q!$I$35-Q!$I$26-Q!$I$38-Q!$I$39</f>
        <v>6.493</v>
      </c>
      <c r="L1997" s="1" t="s">
        <v>1107</v>
      </c>
    </row>
    <row r="1998" customFormat="false" ht="15" hidden="false" customHeight="false" outlineLevel="0" collapsed="false">
      <c r="A1998" s="1" t="s">
        <v>904</v>
      </c>
      <c r="B1998" s="0" t="s">
        <v>98</v>
      </c>
      <c r="E1998" s="6" t="n">
        <f aca="false">Q!M35</f>
        <v>182.935</v>
      </c>
      <c r="F1998" s="6" t="n">
        <f aca="false">Sens!F1991+Sens!F1994+Sens!F1995+Sens!F1996+Sens!F1997</f>
        <v>223.629427868727</v>
      </c>
      <c r="G1998" s="6" t="n">
        <f aca="false">Sens!G1991+Sens!G1994+Sens!G1995+Sens!G1996</f>
        <v>272.951447620241</v>
      </c>
      <c r="H1998" s="6" t="n">
        <f aca="false">Sens!H1991+Sens!H1994+Sens!H1995+Sens!H1996</f>
        <v>335.237934357887</v>
      </c>
      <c r="I1998" s="6" t="n">
        <f aca="false">Sens!I1991+Sens!I1994+Sens!I1995+Sens!I1996</f>
        <v>387.53557965724</v>
      </c>
      <c r="J1998" s="6" t="n">
        <f aca="false">Sens!J1991+Sens!J1994+Sens!J1995+Sens!J1996</f>
        <v>429.476418298858</v>
      </c>
      <c r="K1998" s="6" t="n">
        <f aca="false">Sens!K1991+Sens!K1994+Sens!K1995+Sens!K1996</f>
        <v>462.686623120918</v>
      </c>
    </row>
    <row r="1999" customFormat="false" ht="17.15" hidden="false" customHeight="false" outlineLevel="0" collapsed="false">
      <c r="A1999" s="0" t="s">
        <v>1108</v>
      </c>
      <c r="B1999" s="0" t="s">
        <v>98</v>
      </c>
      <c r="F1999" s="6" t="n">
        <f aca="false">Sens!F1907</f>
        <v>202.144684850544</v>
      </c>
      <c r="G1999" s="6" t="n">
        <f aca="false">Sens!G1907</f>
        <v>230.333370778858</v>
      </c>
      <c r="H1999" s="6" t="n">
        <f aca="false">Sens!H1907</f>
        <v>236.167204877415</v>
      </c>
      <c r="I1999" s="6" t="n">
        <f aca="false">Sens!I1907</f>
        <v>202.337800345932</v>
      </c>
      <c r="J1999" s="6" t="n">
        <f aca="false">Sens!J1907</f>
        <v>154.715917435129</v>
      </c>
      <c r="K1999" s="6" t="n">
        <f aca="false">Sens!K1907</f>
        <v>142.755423677679</v>
      </c>
    </row>
    <row r="2000" customFormat="false" ht="17.15" hidden="false" customHeight="false" outlineLevel="0" collapsed="false">
      <c r="A2000" s="1" t="s">
        <v>1109</v>
      </c>
      <c r="B2000" s="0" t="s">
        <v>98</v>
      </c>
      <c r="E2000" s="6" t="n">
        <f aca="false">Sens!E1915*cx_azo+Sens!E1922*cx_m365+Sens!E1923*cx_lic+(Sens!E1925+Sens!E1927)*cx_ind+Sens!E1930*cx_srch+(Sens!E1932+Sens!E1934)*cx_dev</f>
        <v>30.1846587067718</v>
      </c>
      <c r="F2000" s="6" t="n">
        <f aca="false">Sens!F1915*cx_azo+Sens!F1922*cx_m365+Sens!F1923*cx_lic+(Sens!F1925+Sens!F1927)*cx_ind+Sens!F1930*cx_srch+(Sens!F1932+Sens!F1934)*cx_dev</f>
        <v>35.6985185126228</v>
      </c>
      <c r="G2000" s="6" t="n">
        <f aca="false">Sens!G1915*cx_azo+Sens!G1922*cx_m365+Sens!G1923*cx_lic+(Sens!G1925+Sens!G1927)*cx_ind+Sens!G1930*cx_srch+(Sens!G1932+Sens!G1934)*cx_dev</f>
        <v>41.5783178170917</v>
      </c>
      <c r="H2000" s="6" t="n">
        <f aca="false">Sens!H1915*cx_azo+Sens!H1922*cx_m365+Sens!H1923*cx_lic+(Sens!H1925+Sens!H1927)*cx_ind+Sens!H1930*cx_srch+(Sens!H1932+Sens!H1934)*cx_dev</f>
        <v>47.5433656144293</v>
      </c>
      <c r="I2000" s="6" t="n">
        <f aca="false">Sens!I1915*cx_azo+Sens!I1922*cx_m365+Sens!I1923*cx_lic+(Sens!I1925+Sens!I1927)*cx_ind+Sens!I1930*cx_srch+(Sens!I1932+Sens!I1934)*cx_dev</f>
        <v>53.1612302994382</v>
      </c>
      <c r="J2000" s="6" t="n">
        <f aca="false">Sens!J1915*cx_azo+Sens!J1922*cx_m365+Sens!J1923*cx_lic+(Sens!J1925+Sens!J1927)*cx_ind+Sens!J1930*cx_srch+(Sens!J1932+Sens!J1934)*cx_dev</f>
        <v>58.1985566406647</v>
      </c>
      <c r="K2000" s="6" t="n">
        <f aca="false">Sens!K1915*cx_azo+Sens!K1922*cx_m365+Sens!K1923*cx_lic+(Sens!K1925+Sens!K1927)*cx_ind+Sens!K1930*cx_srch+(Sens!K1932+Sens!K1934)*cx_dev</f>
        <v>62.6392598627275</v>
      </c>
    </row>
    <row r="2001" customFormat="false" ht="17.15" hidden="false" customHeight="false" outlineLevel="0" collapsed="false">
      <c r="A2001" s="0" t="s">
        <v>1110</v>
      </c>
      <c r="B2001" s="0" t="s">
        <v>98</v>
      </c>
      <c r="F2001" s="6" t="n">
        <f aca="false">Sens!F1905</f>
        <v>0</v>
      </c>
      <c r="L2001" s="1" t="s">
        <v>1111</v>
      </c>
    </row>
    <row r="2002" customFormat="false" ht="17.15" hidden="false" customHeight="false" outlineLevel="0" collapsed="false">
      <c r="A2002" s="1" t="s">
        <v>1112</v>
      </c>
      <c r="B2002" s="0" t="s">
        <v>98</v>
      </c>
      <c r="E2002" s="6" t="n">
        <f aca="false">Q!M43</f>
        <v>145.3</v>
      </c>
      <c r="F2002" s="6" t="n">
        <f aca="false">Sens!F1999+Sens!F2000+Sens!F2001</f>
        <v>237.843203363166</v>
      </c>
      <c r="G2002" s="6" t="n">
        <f aca="false">Sens!G1999+Sens!G2000</f>
        <v>271.91168859595</v>
      </c>
      <c r="H2002" s="6" t="n">
        <f aca="false">Sens!H1999+Sens!H2000</f>
        <v>283.710570491844</v>
      </c>
      <c r="I2002" s="6" t="n">
        <f aca="false">Sens!I1999+Sens!I2000</f>
        <v>255.499030645371</v>
      </c>
      <c r="J2002" s="6" t="n">
        <f aca="false">Sens!J1999+Sens!J2000</f>
        <v>212.914474075793</v>
      </c>
      <c r="K2002" s="6" t="n">
        <f aca="false">Sens!K1999+Sens!K2000</f>
        <v>205.394683540407</v>
      </c>
      <c r="L2002" s="1" t="s">
        <v>1113</v>
      </c>
    </row>
    <row r="2003" customFormat="false" ht="15" hidden="false" customHeight="false" outlineLevel="0" collapsed="false">
      <c r="A2003" s="1" t="s">
        <v>1114</v>
      </c>
      <c r="B2003" s="0" t="s">
        <v>98</v>
      </c>
      <c r="E2003" s="6" t="n">
        <f aca="false">fl_liab</f>
        <v>66.594</v>
      </c>
      <c r="F2003" s="6" t="n">
        <f aca="false">Sens!E2003-Sens!F2004</f>
        <v>62.46973</v>
      </c>
      <c r="G2003" s="6" t="n">
        <f aca="false">Sens!F2003-Sens!G2004</f>
        <v>57.98686785</v>
      </c>
      <c r="H2003" s="6" t="n">
        <f aca="false">Sens!G2003-Sens!H2004</f>
        <v>53.92827690325</v>
      </c>
      <c r="I2003" s="6" t="n">
        <f aca="false">Sens!H2003-Sens!I2004</f>
        <v>49.7850493638962</v>
      </c>
      <c r="J2003" s="6" t="n">
        <f aca="false">Sens!I2003-Sens!J2004</f>
        <v>45.4823765852716</v>
      </c>
      <c r="K2003" s="6" t="n">
        <f aca="false">Sens!J2003-Sens!K2004</f>
        <v>40.9860835316088</v>
      </c>
    </row>
    <row r="2004" customFormat="false" ht="15" hidden="false" customHeight="false" outlineLevel="0" collapsed="false">
      <c r="A2004" s="1" t="s">
        <v>1115</v>
      </c>
      <c r="B2004" s="0" t="s">
        <v>98</v>
      </c>
      <c r="F2004" s="6" t="n">
        <f aca="false">fl_pay_27-Sens!E2003*fl_rate</f>
        <v>4.12427</v>
      </c>
      <c r="G2004" s="6" t="n">
        <f aca="false">fl_pay_28-Sens!F2003*fl_rate</f>
        <v>4.48286215</v>
      </c>
      <c r="H2004" s="6" t="n">
        <f aca="false">fl_pay_29-Sens!G2003*fl_rate</f>
        <v>4.05859094675</v>
      </c>
      <c r="I2004" s="6" t="n">
        <f aca="false">fl_pay_30-Sens!H2003*fl_rate</f>
        <v>4.14322753935375</v>
      </c>
      <c r="J2004" s="6" t="n">
        <f aca="false">fl_pay_31-Sens!I2003*fl_rate</f>
        <v>4.30267277862467</v>
      </c>
      <c r="K2004" s="6" t="n">
        <f aca="false">fl_pay_32-Sens!J2003*fl_rate</f>
        <v>4.49629305366278</v>
      </c>
    </row>
    <row r="2005" customFormat="false" ht="17.15" hidden="false" customHeight="false" outlineLevel="0" collapsed="false">
      <c r="A2005" s="1" t="s">
        <v>1116</v>
      </c>
      <c r="B2005" s="0" t="s">
        <v>98</v>
      </c>
      <c r="E2005" s="6" t="n">
        <f aca="false">Q!M35-Q!M36-Q!M44</f>
        <v>63.886</v>
      </c>
      <c r="F2005" s="6" t="n">
        <f aca="false">Sens!F1998-Sens!F2002-Sens!F2004</f>
        <v>-18.3380454944394</v>
      </c>
      <c r="G2005" s="6" t="n">
        <f aca="false">Sens!G1998-Sens!G2002-Sens!G2004</f>
        <v>-3.44310312570876</v>
      </c>
      <c r="H2005" s="6" t="n">
        <f aca="false">Sens!H1998-Sens!H2002-Sens!H2004</f>
        <v>47.4687729192931</v>
      </c>
      <c r="I2005" s="6" t="n">
        <f aca="false">Sens!I1998-Sens!I2002-Sens!I2004</f>
        <v>127.893321472516</v>
      </c>
      <c r="J2005" s="6" t="n">
        <f aca="false">Sens!J1998-Sens!J2002-Sens!J2004</f>
        <v>212.25927144444</v>
      </c>
      <c r="K2005" s="6" t="n">
        <f aca="false">Sens!K1998-Sens!K2002-Sens!K2004</f>
        <v>252.795646526849</v>
      </c>
      <c r="L2005" s="12" t="s">
        <v>1117</v>
      </c>
    </row>
    <row r="2006" customFormat="false" ht="15" hidden="false" customHeight="false" outlineLevel="0" collapsed="false">
      <c r="A2006" s="1" t="s">
        <v>1118</v>
      </c>
      <c r="B2006" s="0" t="s">
        <v>75</v>
      </c>
      <c r="F2006" s="8" t="n">
        <f aca="false">dps_27</f>
        <v>3.85</v>
      </c>
      <c r="G2006" s="8" t="n">
        <f aca="false">Sens!F2006*(1+dps_g)</f>
        <v>4.158</v>
      </c>
      <c r="H2006" s="8" t="n">
        <f aca="false">Sens!G2006*(1+dps_g)</f>
        <v>4.49064</v>
      </c>
      <c r="I2006" s="8" t="n">
        <f aca="false">Sens!H2006*(1+dps_g)</f>
        <v>4.8498912</v>
      </c>
      <c r="J2006" s="8" t="n">
        <f aca="false">Sens!I2006*(1+dps_g)</f>
        <v>5.237882496</v>
      </c>
      <c r="K2006" s="8" t="n">
        <f aca="false">Sens!J2006*(1+dps_g)</f>
        <v>5.65691309568</v>
      </c>
    </row>
    <row r="2007" customFormat="false" ht="17.15" hidden="false" customHeight="false" outlineLevel="0" collapsed="false">
      <c r="A2007" s="1" t="s">
        <v>1119</v>
      </c>
      <c r="B2007" s="0" t="s">
        <v>98</v>
      </c>
      <c r="E2007" s="6" t="n">
        <f aca="false">Q!M41</f>
        <v>26.445</v>
      </c>
      <c r="F2007" s="6" t="n">
        <f aca="false">Sens!F2006*Sens!E2016</f>
        <v>28.59395</v>
      </c>
      <c r="G2007" s="6" t="n">
        <f aca="false">Sens!G2006*Sens!F2016</f>
        <v>31.068576</v>
      </c>
      <c r="H2007" s="6" t="n">
        <f aca="false">Sens!H2006*Sens!G2016</f>
        <v>33.75614088</v>
      </c>
      <c r="I2007" s="6" t="n">
        <f aca="false">Sens!I2006*Sens!H2016</f>
        <v>36.5866328194553</v>
      </c>
      <c r="J2007" s="6" t="n">
        <f aca="false">Sens!J2006*Sens!I2016</f>
        <v>39.5814613304043</v>
      </c>
      <c r="K2007" s="6" t="n">
        <f aca="false">Sens!K2006*Sens!J2016</f>
        <v>42.8347324992149</v>
      </c>
      <c r="L2007" s="1" t="s">
        <v>1120</v>
      </c>
    </row>
    <row r="2008" customFormat="false" ht="15" hidden="false" customHeight="false" outlineLevel="0" collapsed="false">
      <c r="A2008" s="1" t="s">
        <v>1121</v>
      </c>
      <c r="B2008" s="0" t="s">
        <v>98</v>
      </c>
      <c r="E2008" s="6" t="n">
        <f aca="false">Sens!E2005-Sens!E2007</f>
        <v>37.441</v>
      </c>
      <c r="F2008" s="6" t="n">
        <f aca="false">Sens!F2005-Sens!F2007</f>
        <v>-46.9319954944394</v>
      </c>
      <c r="G2008" s="6" t="n">
        <f aca="false">Sens!G2005-Sens!G2007</f>
        <v>-34.5116791257088</v>
      </c>
      <c r="H2008" s="6" t="n">
        <f aca="false">Sens!H2005-Sens!H2007</f>
        <v>13.7126320392931</v>
      </c>
      <c r="I2008" s="6" t="n">
        <f aca="false">Sens!I2005-Sens!I2007</f>
        <v>91.3066886530603</v>
      </c>
      <c r="J2008" s="6" t="n">
        <f aca="false">Sens!J2005-Sens!J2007</f>
        <v>172.677810114036</v>
      </c>
      <c r="K2008" s="6" t="n">
        <f aca="false">Sens!K2005-Sens!K2007</f>
        <v>209.960914027634</v>
      </c>
    </row>
    <row r="2009" customFormat="false" ht="15" hidden="false" customHeight="false" outlineLevel="0" collapsed="false">
      <c r="A2009" s="1" t="s">
        <v>1122</v>
      </c>
      <c r="B2009" s="0" t="s">
        <v>98</v>
      </c>
      <c r="F2009" s="6" t="n">
        <f aca="false">debt_mat_27</f>
        <v>9.25</v>
      </c>
      <c r="G2009" s="6" t="n">
        <f aca="false">debt_mat_28</f>
        <v>0</v>
      </c>
      <c r="H2009" s="6" t="n">
        <f aca="false">debt_mat_29</f>
        <v>2.001</v>
      </c>
      <c r="I2009" s="6" t="n">
        <f aca="false">debt_mat_30</f>
        <v>0</v>
      </c>
      <c r="J2009" s="6" t="n">
        <f aca="false">debt_mat_31</f>
        <v>0.5</v>
      </c>
      <c r="K2009" s="6" t="n">
        <f aca="false">debt_mat_32</f>
        <v>0</v>
      </c>
    </row>
    <row r="2010" customFormat="false" ht="15" hidden="false" customHeight="false" outlineLevel="0" collapsed="false">
      <c r="A2010" s="1" t="s">
        <v>1123</v>
      </c>
      <c r="B2010" s="0" t="s">
        <v>98</v>
      </c>
      <c r="E2010" s="6" t="n">
        <f aca="false">Q!M40</f>
        <v>22.271</v>
      </c>
      <c r="F2010" s="6" t="n">
        <f aca="false">MAX(0,MIN(bb_target,Sens!E2012+Sens!F2008-Sens!F2009-min_cash))</f>
        <v>0</v>
      </c>
      <c r="G2010" s="6" t="n">
        <f aca="false">MAX(0,MIN(bb_target,Sens!F2012+Sens!G2008-Sens!G2009-min_cash))</f>
        <v>0</v>
      </c>
      <c r="H2010" s="6" t="n">
        <f aca="false">MAX(0,MIN(bb_target,Sens!G2012+Sens!H2008-Sens!H2009-min_cash))</f>
        <v>11.7116320392931</v>
      </c>
      <c r="I2010" s="6" t="n">
        <f aca="false">MAX(0,MIN(bb_target,Sens!H2012+Sens!I2008-Sens!I2009-min_cash))</f>
        <v>22.271</v>
      </c>
      <c r="J2010" s="6" t="n">
        <f aca="false">MAX(0,MIN(bb_target,Sens!I2012+Sens!J2008-Sens!J2009-min_cash))</f>
        <v>22.271</v>
      </c>
      <c r="K2010" s="6" t="n">
        <f aca="false">MAX(0,MIN(bb_target,Sens!J2012+Sens!K2008-Sens!K2009-min_cash))</f>
        <v>22.271</v>
      </c>
    </row>
    <row r="2011" customFormat="false" ht="15" hidden="false" customHeight="false" outlineLevel="0" collapsed="false">
      <c r="A2011" s="1" t="s">
        <v>1124</v>
      </c>
      <c r="B2011" s="0" t="s">
        <v>98</v>
      </c>
      <c r="F2011" s="6" t="n">
        <f aca="false">MAX(0,min_cash-(Sens!E2012+Sens!F2008-Sens!F2009-Sens!F2010))</f>
        <v>29.3389954944394</v>
      </c>
      <c r="G2011" s="6" t="n">
        <f aca="false">MAX(0,min_cash-(Sens!F2012+Sens!G2008-Sens!G2009-Sens!G2010))</f>
        <v>34.5116791257088</v>
      </c>
      <c r="H2011" s="6" t="n">
        <f aca="false">MAX(0,min_cash-(Sens!G2012+Sens!H2008-Sens!H2009-Sens!H2010))</f>
        <v>0</v>
      </c>
      <c r="I2011" s="6" t="n">
        <f aca="false">MAX(0,min_cash-(Sens!H2012+Sens!I2008-Sens!I2009-Sens!I2010))</f>
        <v>0</v>
      </c>
      <c r="J2011" s="6" t="n">
        <f aca="false">MAX(0,min_cash-(Sens!I2012+Sens!J2008-Sens!J2009-Sens!J2010))</f>
        <v>0</v>
      </c>
      <c r="K2011" s="6" t="n">
        <f aca="false">MAX(0,min_cash-(Sens!J2012+Sens!K2008-Sens!K2009-Sens!K2010))</f>
        <v>0</v>
      </c>
    </row>
    <row r="2012" customFormat="false" ht="15" hidden="false" customHeight="false" outlineLevel="0" collapsed="false">
      <c r="A2012" s="1" t="s">
        <v>1125</v>
      </c>
      <c r="B2012" s="0" t="s">
        <v>98</v>
      </c>
      <c r="E2012" s="6" t="n">
        <f aca="false">cash_open</f>
        <v>76.843</v>
      </c>
      <c r="F2012" s="6" t="n">
        <f aca="false">Sens!E2012+Sens!F2008-Sens!F2009-Sens!F2010+Sens!F2011</f>
        <v>50</v>
      </c>
      <c r="G2012" s="6" t="n">
        <f aca="false">Sens!F2012+Sens!G2008-Sens!G2009-Sens!G2010+Sens!G2011</f>
        <v>50</v>
      </c>
      <c r="H2012" s="6" t="n">
        <f aca="false">Sens!G2012+Sens!H2008-Sens!H2009-Sens!H2010+Sens!H2011</f>
        <v>50</v>
      </c>
      <c r="I2012" s="6" t="n">
        <f aca="false">Sens!H2012+Sens!I2008-Sens!I2009-Sens!I2010+Sens!I2011</f>
        <v>119.03568865306</v>
      </c>
      <c r="J2012" s="6" t="n">
        <f aca="false">Sens!I2012+Sens!J2008-Sens!J2009-Sens!J2010+Sens!J2011</f>
        <v>268.942498767096</v>
      </c>
      <c r="K2012" s="6" t="n">
        <f aca="false">Sens!J2012+Sens!K2008-Sens!K2009-Sens!K2010+Sens!K2011</f>
        <v>456.63241279473</v>
      </c>
    </row>
    <row r="2013" customFormat="false" ht="15" hidden="false" customHeight="false" outlineLevel="0" collapsed="false">
      <c r="A2013" s="1" t="s">
        <v>1126</v>
      </c>
      <c r="B2013" s="0" t="s">
        <v>98</v>
      </c>
      <c r="E2013" s="6" t="n">
        <f aca="false">debt_face</f>
        <v>46.136</v>
      </c>
      <c r="F2013" s="6" t="n">
        <f aca="false">Sens!E2013-Sens!F2009+Sens!F2011</f>
        <v>66.2249954944394</v>
      </c>
      <c r="G2013" s="6" t="n">
        <f aca="false">Sens!F2013-Sens!G2009+Sens!G2011</f>
        <v>100.736674620148</v>
      </c>
      <c r="H2013" s="6" t="n">
        <f aca="false">Sens!G2013-Sens!H2009+Sens!H2011</f>
        <v>98.7356746201482</v>
      </c>
      <c r="I2013" s="6" t="n">
        <f aca="false">Sens!H2013-Sens!I2009+Sens!I2011</f>
        <v>98.7356746201482</v>
      </c>
      <c r="J2013" s="6" t="n">
        <f aca="false">Sens!I2013-Sens!J2009+Sens!J2011</f>
        <v>98.2356746201482</v>
      </c>
      <c r="K2013" s="6" t="n">
        <f aca="false">Sens!J2013-Sens!K2009+Sens!K2011</f>
        <v>98.2356746201482</v>
      </c>
    </row>
    <row r="2014" customFormat="false" ht="15" hidden="false" customHeight="false" outlineLevel="0" collapsed="false">
      <c r="A2014" s="1" t="s">
        <v>1127</v>
      </c>
      <c r="B2014" s="0" t="s">
        <v>98</v>
      </c>
      <c r="E2014" s="6" t="n">
        <f aca="false">Sens!E2012-Sens!E2013</f>
        <v>30.707</v>
      </c>
      <c r="F2014" s="6" t="n">
        <f aca="false">Sens!F2012-Sens!F2013</f>
        <v>-16.2249954944394</v>
      </c>
      <c r="G2014" s="6" t="n">
        <f aca="false">Sens!G2012-Sens!G2013</f>
        <v>-50.7366746201482</v>
      </c>
      <c r="H2014" s="6" t="n">
        <f aca="false">Sens!H2012-Sens!H2013</f>
        <v>-48.7356746201482</v>
      </c>
      <c r="I2014" s="6" t="n">
        <f aca="false">Sens!I2012-Sens!I2013</f>
        <v>20.3000140329121</v>
      </c>
      <c r="J2014" s="6" t="n">
        <f aca="false">Sens!J2012-Sens!J2013</f>
        <v>170.706824146948</v>
      </c>
      <c r="K2014" s="6" t="n">
        <f aca="false">Sens!K2012-Sens!K2013</f>
        <v>358.396738174582</v>
      </c>
    </row>
    <row r="2015" customFormat="false" ht="15" hidden="false" customHeight="false" outlineLevel="0" collapsed="false">
      <c r="A2015" s="1" t="s">
        <v>1128</v>
      </c>
      <c r="B2015" s="0" t="s">
        <v>75</v>
      </c>
      <c r="F2015" s="30" t="n">
        <f aca="false">px*(1+bb_g)^(Sens!F1873-base_fy-mid_yr)</f>
        <v>551.84177959629</v>
      </c>
      <c r="G2015" s="30" t="n">
        <f aca="false">px*(1+bb_g)^(Sens!G1873-base_fy-mid_yr)</f>
        <v>595.989121963993</v>
      </c>
      <c r="H2015" s="30" t="n">
        <f aca="false">px*(1+bb_g)^(Sens!H1873-base_fy-mid_yr)</f>
        <v>643.668251721112</v>
      </c>
      <c r="I2015" s="30" t="n">
        <f aca="false">px*(1+bb_g)^(Sens!I1873-base_fy-mid_yr)</f>
        <v>695.161711858801</v>
      </c>
      <c r="J2015" s="30" t="n">
        <f aca="false">px*(1+bb_g)^(Sens!J1873-base_fy-mid_yr)</f>
        <v>750.774648807506</v>
      </c>
      <c r="K2015" s="30" t="n">
        <f aca="false">px*(1+bb_g)^(Sens!K1873-base_fy-mid_yr)</f>
        <v>810.836620712106</v>
      </c>
    </row>
    <row r="2016" customFormat="false" ht="15" hidden="false" customHeight="false" outlineLevel="0" collapsed="false">
      <c r="A2016" s="1" t="s">
        <v>1129</v>
      </c>
      <c r="B2016" s="1" t="s">
        <v>81</v>
      </c>
      <c r="E2016" s="15" t="n">
        <f aca="false">sh_out26</f>
        <v>7.427</v>
      </c>
      <c r="F2016" s="15" t="n">
        <f aca="false">Sens!E2016+sh_iss-Sens!F2010/Sens!F2015</f>
        <v>7.472</v>
      </c>
      <c r="G2016" s="15" t="n">
        <f aca="false">Sens!F2016+sh_iss-Sens!G2010/Sens!G2015</f>
        <v>7.517</v>
      </c>
      <c r="H2016" s="15" t="n">
        <f aca="false">Sens!G2016+sh_iss-Sens!H2010/Sens!H2015</f>
        <v>7.54380486297409</v>
      </c>
      <c r="I2016" s="15" t="n">
        <f aca="false">Sens!H2016+sh_iss-Sens!I2010/Sens!I2015</f>
        <v>7.55676771302743</v>
      </c>
      <c r="J2016" s="15" t="n">
        <f aca="false">Sens!I2016+sh_iss-Sens!J2010/Sens!J2015</f>
        <v>7.57210368529903</v>
      </c>
      <c r="K2016" s="15" t="n">
        <f aca="false">Sens!J2016+sh_iss-Sens!K2010/Sens!K2015</f>
        <v>7.58963699295793</v>
      </c>
    </row>
    <row r="2017" customFormat="false" ht="15" hidden="false" customHeight="false" outlineLevel="0" collapsed="false">
      <c r="A2017" s="1" t="s">
        <v>1130</v>
      </c>
      <c r="B2017" s="1" t="s">
        <v>81</v>
      </c>
      <c r="E2017" s="15" t="n">
        <f aca="false">sh_dil26</f>
        <v>7.453</v>
      </c>
      <c r="F2017" s="15" t="n">
        <f aca="false">(Sens!E2016+Sens!F2016)/2+dil_gap</f>
        <v>7.4735</v>
      </c>
      <c r="G2017" s="15" t="n">
        <f aca="false">(Sens!F2016+Sens!G2016)/2+dil_gap</f>
        <v>7.5185</v>
      </c>
      <c r="H2017" s="15" t="n">
        <f aca="false">(Sens!G2016+Sens!H2016)/2+dil_gap</f>
        <v>7.55440243148705</v>
      </c>
      <c r="I2017" s="15" t="n">
        <f aca="false">(Sens!H2016+Sens!I2016)/2+dil_gap</f>
        <v>7.57428628800076</v>
      </c>
      <c r="J2017" s="15" t="n">
        <f aca="false">(Sens!I2016+Sens!J2016)/2+dil_gap</f>
        <v>7.58843569916323</v>
      </c>
      <c r="K2017" s="15" t="n">
        <f aca="false">(Sens!J2016+Sens!K2016)/2+dil_gap</f>
        <v>7.60487033912848</v>
      </c>
    </row>
    <row r="2018" customFormat="false" ht="17.15" hidden="false" customHeight="false" outlineLevel="0" collapsed="false">
      <c r="A2018" s="1" t="s">
        <v>1131</v>
      </c>
      <c r="B2018" s="0" t="s">
        <v>98</v>
      </c>
      <c r="C2018" s="6" t="n">
        <f aca="false">SUM(Sens!F2008:J2008)</f>
        <v>196.253456186241</v>
      </c>
    </row>
    <row r="2019" customFormat="false" ht="15" hidden="false" customHeight="false" outlineLevel="0" collapsed="false">
      <c r="A2019" s="26" t="s">
        <v>1096</v>
      </c>
      <c r="B2019" s="31" t="s">
        <v>98</v>
      </c>
      <c r="C2019" s="27" t="n">
        <f aca="false">Sens!$C$2018-(Sens!F2008+Sens!G2008+Sens!H2008+Sens!I2008+Sens!J2008)</f>
        <v>0</v>
      </c>
      <c r="D2019" s="31"/>
      <c r="E2019" s="31"/>
      <c r="F2019" s="31"/>
      <c r="G2019" s="31"/>
      <c r="H2019" s="31"/>
      <c r="I2019" s="31"/>
      <c r="J2019" s="31"/>
      <c r="K2019" s="31"/>
    </row>
    <row r="2020" customFormat="false" ht="17.15" hidden="false" customHeight="false" outlineLevel="0" collapsed="false">
      <c r="A2020" s="1" t="s">
        <v>1090</v>
      </c>
      <c r="B2020" s="1" t="s">
        <v>1132</v>
      </c>
      <c r="C2020" s="33" t="str">
        <f aca="false">IF(SUM(Sens!F2011:J2011)&gt;0.05,"需要舉債 "&amp;TEXT(SUM(Sens!F2011:J2011),"0.0")&amp;" 十億美元","不需舉債")&amp;"；"&amp;IF(SUM(Sens!F2010:J2010)&lt;COUNT(Sens!F2010:J2010)*bb_target-0.05,"回購較每年 "&amp;TEXT(bb_target,"0.0")&amp;" 的目標少 "&amp;TEXT(COUNT(Sens!F2010:J2010)*bb_target-SUM(Sens!F2010:J2010),"0.0")&amp;" 十億美元（"&amp;TEXT(COUNTIF(Sens!F2010:J2010,"&lt;"&amp;(bb_target-0.05)),"0")&amp;" 年減少）","回購不減")</f>
        <v>需要舉債 63.9 十億美元；回購較每年 22.3 的目標少 55.1 十億美元（3 年減少）</v>
      </c>
    </row>
    <row r="2021" customFormat="false" ht="17.15" hidden="false" customHeight="false" outlineLevel="0" collapsed="false">
      <c r="A2021" s="3" t="s">
        <v>1529</v>
      </c>
    </row>
    <row r="2022" customFormat="false" ht="15" hidden="false" customHeight="false" outlineLevel="0" collapsed="false">
      <c r="A2022" s="4" t="s">
        <v>43</v>
      </c>
      <c r="B2022" s="4" t="s">
        <v>65</v>
      </c>
      <c r="C2022" s="23" t="s">
        <v>938</v>
      </c>
      <c r="D2022" s="23" t="s">
        <v>939</v>
      </c>
      <c r="E2022" s="23" t="s">
        <v>940</v>
      </c>
      <c r="F2022" s="23" t="s">
        <v>941</v>
      </c>
      <c r="G2022" s="23" t="s">
        <v>942</v>
      </c>
      <c r="H2022" s="23" t="s">
        <v>943</v>
      </c>
      <c r="I2022" s="23" t="s">
        <v>944</v>
      </c>
      <c r="J2022" s="23" t="s">
        <v>945</v>
      </c>
      <c r="K2022" s="23" t="s">
        <v>946</v>
      </c>
      <c r="L2022" s="4" t="s">
        <v>47</v>
      </c>
    </row>
    <row r="2023" customFormat="false" ht="17.15" hidden="false" customHeight="false" outlineLevel="0" collapsed="false">
      <c r="A2023" s="1" t="s">
        <v>1212</v>
      </c>
      <c r="B2023" s="1" t="s">
        <v>279</v>
      </c>
      <c r="F2023" s="8" t="n">
        <f aca="false">(1-v_off)*mid_yr</f>
        <v>0.373972602739726</v>
      </c>
      <c r="G2023" s="8" t="n">
        <f aca="false">Sens!G1873-base_fy-mid_yr-v_off</f>
        <v>1.24794520547945</v>
      </c>
      <c r="H2023" s="8" t="n">
        <f aca="false">Sens!H1873-base_fy-mid_yr-v_off</f>
        <v>2.24794520547945</v>
      </c>
      <c r="I2023" s="8" t="n">
        <f aca="false">Sens!I1873-base_fy-mid_yr-v_off</f>
        <v>3.24794520547945</v>
      </c>
      <c r="J2023" s="8" t="n">
        <f aca="false">Sens!J1873-base_fy-mid_yr-v_off</f>
        <v>4.24794520547945</v>
      </c>
      <c r="K2023" s="8" t="n">
        <f aca="false">Sens!K1873-base_fy-mid_yr-v_off</f>
        <v>5.24794520547945</v>
      </c>
      <c r="L2023" s="12" t="s">
        <v>1213</v>
      </c>
    </row>
    <row r="2024" customFormat="false" ht="15" hidden="false" customHeight="false" outlineLevel="0" collapsed="false">
      <c r="A2024" s="1" t="s">
        <v>1214</v>
      </c>
      <c r="B2024" s="1" t="s">
        <v>279</v>
      </c>
      <c r="F2024" s="8" t="n">
        <f aca="false">Sens!F1873-base_fy-v_off</f>
        <v>0.747945205479452</v>
      </c>
      <c r="G2024" s="8" t="n">
        <f aca="false">Sens!G1873-base_fy-v_off</f>
        <v>1.74794520547945</v>
      </c>
      <c r="H2024" s="8" t="n">
        <f aca="false">Sens!H1873-base_fy-v_off</f>
        <v>2.74794520547945</v>
      </c>
      <c r="I2024" s="8" t="n">
        <f aca="false">Sens!I1873-base_fy-v_off</f>
        <v>3.74794520547945</v>
      </c>
      <c r="J2024" s="8" t="n">
        <f aca="false">Sens!J1873-base_fy-v_off</f>
        <v>4.74794520547945</v>
      </c>
      <c r="K2024" s="8" t="n">
        <f aca="false">Sens!K1873-base_fy-v_off</f>
        <v>5.74794520547945</v>
      </c>
    </row>
    <row r="2025" customFormat="false" ht="15" hidden="false" customHeight="false" outlineLevel="0" collapsed="false">
      <c r="A2025" s="1" t="s">
        <v>1215</v>
      </c>
      <c r="B2025" s="0" t="s">
        <v>229</v>
      </c>
      <c r="F2025" s="15" t="n">
        <f aca="false">1/(1+wacc)^Sens!F2023</f>
        <v>0.964022703286649</v>
      </c>
      <c r="G2025" s="15" t="n">
        <f aca="false">1/(1+wacc)^Sens!G2023</f>
        <v>0.884910302296739</v>
      </c>
      <c r="H2025" s="15" t="n">
        <f aca="false">1/(1+wacc)^Sens!H2023</f>
        <v>0.802322009770358</v>
      </c>
      <c r="I2025" s="15" t="n">
        <f aca="false">1/(1+wacc)^Sens!I2023</f>
        <v>0.727441646561469</v>
      </c>
      <c r="J2025" s="15" t="n">
        <f aca="false">1/(1+wacc)^Sens!J2023</f>
        <v>0.659549834988973</v>
      </c>
      <c r="K2025" s="15" t="n">
        <f aca="false">1/(1+wacc)^Sens!K2023</f>
        <v>0.597994336576966</v>
      </c>
    </row>
    <row r="2026" customFormat="false" ht="17.15" hidden="false" customHeight="false" outlineLevel="0" collapsed="false">
      <c r="A2026" s="1" t="s">
        <v>1216</v>
      </c>
      <c r="B2026" s="0" t="s">
        <v>98</v>
      </c>
      <c r="F2026" s="6" t="n">
        <f aca="false">Q!$I$35-Q!$I$39-Q!$I$43</f>
        <v>9.666</v>
      </c>
      <c r="L2026" s="12" t="s">
        <v>1217</v>
      </c>
    </row>
    <row r="2027" customFormat="false" ht="17.15" hidden="false" customHeight="false" outlineLevel="0" collapsed="false">
      <c r="A2027" s="1" t="s">
        <v>1218</v>
      </c>
      <c r="B2027" s="0" t="s">
        <v>98</v>
      </c>
      <c r="F2027" s="6" t="n">
        <f aca="false">Sens!F1998-Sens!F1995-Sens!F2002+Sens!F1980*(1-tax_f)*(1-v_off)-Sens!F2026</f>
        <v>-29.6658115055312</v>
      </c>
      <c r="G2027" s="6" t="n">
        <f aca="false">Sens!G1998-Sens!G1995-Sens!G2002+Sens!G1980*(1-tax_f)</f>
        <v>13.5618477598406</v>
      </c>
      <c r="H2027" s="6" t="n">
        <f aca="false">Sens!H1998-Sens!H1995-Sens!H2002+Sens!H1980*(1-tax_f)</f>
        <v>80.7430233091504</v>
      </c>
      <c r="I2027" s="6" t="n">
        <f aca="false">Sens!I1998-Sens!I1995-Sens!I2002+Sens!I1980*(1-tax_f)</f>
        <v>176.607646504586</v>
      </c>
      <c r="J2027" s="6" t="n">
        <f aca="false">Sens!J1998-Sens!J1995-Sens!J2002+Sens!J1980*(1-tax_f)</f>
        <v>271.546996864256</v>
      </c>
      <c r="K2027" s="6" t="n">
        <f aca="false">Sens!K1998-Sens!K1995-Sens!K2002+Sens!K1980*(1-tax_f)</f>
        <v>317.310101623969</v>
      </c>
      <c r="L2027" s="1" t="s">
        <v>1219</v>
      </c>
    </row>
    <row r="2028" customFormat="false" ht="15" hidden="false" customHeight="false" outlineLevel="0" collapsed="false">
      <c r="A2028" s="1" t="s">
        <v>1220</v>
      </c>
      <c r="B2028" s="0" t="s">
        <v>98</v>
      </c>
      <c r="F2028" s="6" t="n">
        <f aca="false">Sens!F2027*Sens!F2025</f>
        <v>-28.5985158027544</v>
      </c>
      <c r="G2028" s="6" t="n">
        <f aca="false">Sens!G2027*Sens!G2025</f>
        <v>12.0010188008629</v>
      </c>
      <c r="H2028" s="6" t="n">
        <f aca="false">Sens!H2027*Sens!H2025</f>
        <v>64.7819047363324</v>
      </c>
      <c r="I2028" s="6" t="n">
        <f aca="false">Sens!I2027*Sens!I2025</f>
        <v>128.471757168642</v>
      </c>
      <c r="J2028" s="6" t="n">
        <f aca="false">Sens!J2027*Sens!J2025</f>
        <v>179.098776973571</v>
      </c>
      <c r="K2028" s="6" t="n">
        <f aca="false">Sens!K2027*Sens!K2025</f>
        <v>189.749643709795</v>
      </c>
    </row>
    <row r="2029" customFormat="false" ht="17.15" hidden="false" customHeight="false" outlineLevel="0" collapsed="false">
      <c r="A2029" s="1" t="s">
        <v>1221</v>
      </c>
      <c r="B2029" s="0" t="s">
        <v>98</v>
      </c>
      <c r="C2029" s="6" t="n">
        <f aca="false">SUM(Sens!F2028:K2028)</f>
        <v>545.504585586448</v>
      </c>
    </row>
    <row r="2030" customFormat="false" ht="17.15" hidden="false" customHeight="false" outlineLevel="0" collapsed="false">
      <c r="A2030" s="1" t="s">
        <v>1222</v>
      </c>
      <c r="B2030" s="0" t="s">
        <v>98</v>
      </c>
      <c r="C2030" s="6" t="n">
        <f aca="false">Sens!K1966*(1+g_tv)*(1-tax_f)</f>
        <v>327.395578936852</v>
      </c>
    </row>
    <row r="2031" customFormat="false" ht="17.15" hidden="false" customHeight="false" outlineLevel="0" collapsed="false">
      <c r="A2031" s="1" t="s">
        <v>1223</v>
      </c>
      <c r="B2031" s="0" t="s">
        <v>98</v>
      </c>
      <c r="C2031" s="6" t="n">
        <f aca="false">Sens!$C$2030*(1-g_tv/(wacc+ronic_prem))</f>
        <v>231.97890272988</v>
      </c>
    </row>
    <row r="2032" customFormat="false" ht="17.15" hidden="false" customHeight="false" outlineLevel="0" collapsed="false">
      <c r="A2032" s="1" t="s">
        <v>1224</v>
      </c>
      <c r="B2032" s="0" t="s">
        <v>98</v>
      </c>
      <c r="C2032" s="6" t="n">
        <f aca="false">Sens!$C$2031/(wacc-g_tv)</f>
        <v>3180.55587356573</v>
      </c>
    </row>
    <row r="2033" customFormat="false" ht="15" hidden="false" customHeight="false" outlineLevel="0" collapsed="false">
      <c r="A2033" s="1" t="s">
        <v>1225</v>
      </c>
      <c r="B2033" s="0" t="s">
        <v>98</v>
      </c>
      <c r="C2033" s="6" t="n">
        <f aca="false">Sens!$C$2032/(1+wacc)^Sens!K2024</f>
        <v>1811.02659388769</v>
      </c>
    </row>
    <row r="2034" customFormat="false" ht="17.15" hidden="false" customHeight="false" outlineLevel="0" collapsed="false">
      <c r="A2034" s="0" t="s">
        <v>1226</v>
      </c>
      <c r="B2034" s="0" t="s">
        <v>98</v>
      </c>
      <c r="C2034" s="6" t="n">
        <f aca="false">Sens!$C$2029+Sens!$C$2033</f>
        <v>2356.53117947414</v>
      </c>
    </row>
    <row r="2035" customFormat="false" ht="15" hidden="false" customHeight="false" outlineLevel="0" collapsed="false">
      <c r="A2035" s="1" t="s">
        <v>1141</v>
      </c>
      <c r="B2035" s="0" t="s">
        <v>168</v>
      </c>
      <c r="C2035" s="7" t="n">
        <f aca="false">Sens!$C$2033/Sens!$C$2034</f>
        <v>0.768513741580038</v>
      </c>
    </row>
    <row r="2036" customFormat="false" ht="17.15" hidden="false" customHeight="false" outlineLevel="0" collapsed="false">
      <c r="A2036" s="1" t="s">
        <v>1227</v>
      </c>
      <c r="B2036" s="0" t="s">
        <v>98</v>
      </c>
      <c r="C2036" s="6" t="n">
        <f aca="false">Sens!$C$2034+cash_val-debt_val-fl_val+oai_v</f>
        <v>2472.38217947414</v>
      </c>
    </row>
    <row r="2037" customFormat="false" ht="17.15" hidden="false" customHeight="false" outlineLevel="0" collapsed="false">
      <c r="A2037" s="0" t="s">
        <v>1149</v>
      </c>
      <c r="B2037" s="0" t="s">
        <v>75</v>
      </c>
      <c r="C2037" s="5" t="n">
        <f aca="false">Sens!$C$2036/shd_val</f>
        <v>332.041657195023</v>
      </c>
    </row>
    <row r="2038" customFormat="false" ht="15" hidden="false" customHeight="false" outlineLevel="0" collapsed="false">
      <c r="A2038" s="1" t="s">
        <v>1228</v>
      </c>
      <c r="B2038" s="0" t="s">
        <v>75</v>
      </c>
      <c r="C2038" s="8" t="n">
        <f aca="false">div_rem27+Sens!G2006*roll_div_q/q_per_yr</f>
        <v>3.9795</v>
      </c>
    </row>
    <row r="2039" customFormat="false" ht="17.15" hidden="false" customHeight="false" outlineLevel="0" collapsed="false">
      <c r="A2039" s="0" t="s">
        <v>1229</v>
      </c>
      <c r="B2039" s="0" t="s">
        <v>75</v>
      </c>
      <c r="C2039" s="5" t="n">
        <f aca="false">Sens!$C$2037*(1+wacc)^t_roll-Sens!$C$2038</f>
        <v>365.103333464135</v>
      </c>
    </row>
    <row r="2040" customFormat="false" ht="17.15" hidden="false" customHeight="false" outlineLevel="0" collapsed="false">
      <c r="A2040" s="1" t="s">
        <v>1230</v>
      </c>
      <c r="B2040" s="0" t="s">
        <v>168</v>
      </c>
      <c r="F2040" s="7" t="n">
        <f aca="false">Sens!F1992/(Sens!F1937-Sens!F1892)</f>
        <v>0.0600063508803656</v>
      </c>
      <c r="G2040" s="7" t="n">
        <f aca="false">Sens!G1992/(Sens!G1937-Sens!G1892)</f>
        <v>0.0585436437760825</v>
      </c>
      <c r="H2040" s="7" t="n">
        <f aca="false">Sens!H1992/(Sens!H1937-Sens!H1892)</f>
        <v>0.058169683541085</v>
      </c>
      <c r="I2040" s="7" t="n">
        <f aca="false">Sens!I1992/(Sens!I1937-Sens!I1892)</f>
        <v>0.0588550495662654</v>
      </c>
      <c r="J2040" s="7" t="n">
        <f aca="false">Sens!J1992/(Sens!J1937-Sens!J1892)</f>
        <v>0.0603368371638896</v>
      </c>
      <c r="K2040" s="7" t="n">
        <f aca="false">Sens!K1992/(Sens!K1937-Sens!K1892)</f>
        <v>0.0622363637161414</v>
      </c>
    </row>
    <row r="2041" customFormat="false" ht="17.15" hidden="false" customHeight="false" outlineLevel="0" collapsed="false">
      <c r="A2041" s="0" t="s">
        <v>1231</v>
      </c>
      <c r="B2041" s="0" t="s">
        <v>98</v>
      </c>
      <c r="F2041" s="6" t="n">
        <f aca="false">Sens!F1922*(al_m365+Sens!F2040+sbc_r)</f>
        <v>83.4981355781907</v>
      </c>
      <c r="G2041" s="6" t="n">
        <f aca="false">Sens!G1922*(al_m365+Sens!G2040+sbc_r)</f>
        <v>97.9906532045464</v>
      </c>
      <c r="H2041" s="6" t="n">
        <f aca="false">Sens!H1922*(al_m365+Sens!H2040+sbc_r)</f>
        <v>112.654036628926</v>
      </c>
      <c r="I2041" s="6" t="n">
        <f aca="false">Sens!I1922*(al_m365+Sens!I2040+sbc_r)</f>
        <v>125.806906567479</v>
      </c>
      <c r="J2041" s="6" t="n">
        <f aca="false">Sens!J1922*(al_m365+Sens!J2040+sbc_r)</f>
        <v>137.25684235911</v>
      </c>
      <c r="K2041" s="6" t="n">
        <f aca="false">Sens!K1922*(al_m365+Sens!K2040+sbc_r)</f>
        <v>148.319333298707</v>
      </c>
      <c r="L2041" s="12" t="s">
        <v>1232</v>
      </c>
    </row>
    <row r="2042" customFormat="false" ht="17.15" hidden="false" customHeight="false" outlineLevel="0" collapsed="false">
      <c r="A2042" s="0" t="s">
        <v>1233</v>
      </c>
      <c r="B2042" s="0" t="s">
        <v>98</v>
      </c>
      <c r="F2042" s="6" t="n">
        <f aca="false">Sens!F1923*(al_lic+Sens!F2040+sbc_r)</f>
        <v>32.5271461833958</v>
      </c>
      <c r="G2042" s="6" t="n">
        <f aca="false">Sens!G1923*(al_lic+Sens!G2040+sbc_r)</f>
        <v>33.8459613074134</v>
      </c>
      <c r="H2042" s="6" t="n">
        <f aca="false">Sens!H1923*(al_lic+Sens!H2040+sbc_r)</f>
        <v>35.0745661039553</v>
      </c>
      <c r="I2042" s="6" t="n">
        <f aca="false">Sens!I1923*(al_lic+Sens!I2040+sbc_r)</f>
        <v>36.1972315737676</v>
      </c>
      <c r="J2042" s="6" t="n">
        <f aca="false">Sens!J1923*(al_lic+Sens!J2040+sbc_r)</f>
        <v>37.188380690223</v>
      </c>
      <c r="K2042" s="6" t="n">
        <f aca="false">Sens!K1923*(al_lic+Sens!K2040+sbc_r)</f>
        <v>38.0171447319814</v>
      </c>
    </row>
    <row r="2043" customFormat="false" ht="17.15" hidden="false" customHeight="false" outlineLevel="0" collapsed="false">
      <c r="A2043" s="0" t="s">
        <v>1234</v>
      </c>
      <c r="B2043" s="0" t="s">
        <v>98</v>
      </c>
      <c r="F2043" s="6" t="n">
        <f aca="false">Sens!F1925*(al_ind+Sens!F2040+sbc_r)</f>
        <v>8.86820293452102</v>
      </c>
      <c r="G2043" s="6" t="n">
        <f aca="false">Sens!G1925*(al_ind+Sens!G2040+sbc_r)</f>
        <v>9.65836301366062</v>
      </c>
      <c r="H2043" s="6" t="n">
        <f aca="false">Sens!H1925*(al_ind+Sens!H2040+sbc_r)</f>
        <v>10.4920335693544</v>
      </c>
      <c r="I2043" s="6" t="n">
        <f aca="false">Sens!I1925*(al_ind+Sens!I2040+sbc_r)</f>
        <v>11.3674465137544</v>
      </c>
      <c r="J2043" s="6" t="n">
        <f aca="false">Sens!J1925*(al_ind+Sens!J2040+sbc_r)</f>
        <v>12.2746144308909</v>
      </c>
      <c r="K2043" s="6" t="n">
        <f aca="false">Sens!K1925*(al_ind+Sens!K2040+sbc_r)</f>
        <v>13.1965652624541</v>
      </c>
    </row>
    <row r="2044" customFormat="false" ht="17.15" hidden="false" customHeight="false" outlineLevel="0" collapsed="false">
      <c r="A2044" s="0" t="s">
        <v>1235</v>
      </c>
      <c r="B2044" s="0" t="s">
        <v>98</v>
      </c>
      <c r="F2044" s="6" t="n">
        <f aca="false">Sens!F1927*(al_fro+Sens!F2040+sbc_r)</f>
        <v>3.47863181346167</v>
      </c>
      <c r="G2044" s="6" t="n">
        <f aca="false">Sens!G1927*(al_fro+Sens!G2040+sbc_r)</f>
        <v>3.69557275605929</v>
      </c>
      <c r="H2044" s="6" t="n">
        <f aca="false">Sens!H1927*(al_fro+Sens!H2040+sbc_r)</f>
        <v>3.94025103884067</v>
      </c>
      <c r="I2044" s="6" t="n">
        <f aca="false">Sens!I1927*(al_fro+Sens!I2040+sbc_r)</f>
        <v>4.21604923976741</v>
      </c>
      <c r="J2044" s="6" t="n">
        <f aca="false">Sens!J1927*(al_fro+Sens!J2040+sbc_r)</f>
        <v>4.52411643829525</v>
      </c>
      <c r="K2044" s="6" t="n">
        <f aca="false">Sens!K1927*(al_fro+Sens!K2040+sbc_r)</f>
        <v>4.86392449791772</v>
      </c>
    </row>
    <row r="2045" customFormat="false" ht="17.15" hidden="false" customHeight="false" outlineLevel="0" collapsed="false">
      <c r="A2045" s="0" t="s">
        <v>1236</v>
      </c>
      <c r="B2045" s="0" t="s">
        <v>98</v>
      </c>
      <c r="F2045" s="6" t="n">
        <f aca="false">Sens!F1930*(al_srch+Sens!F2040+sbc_r)</f>
        <v>10.9517170466099</v>
      </c>
      <c r="G2045" s="6" t="n">
        <f aca="false">Sens!G1930*(al_srch+Sens!G2040+sbc_r)</f>
        <v>12.0400597626797</v>
      </c>
      <c r="H2045" s="6" t="n">
        <f aca="false">Sens!H1930*(al_srch+Sens!H2040+sbc_r)</f>
        <v>13.1723570380214</v>
      </c>
      <c r="I2045" s="6" t="n">
        <f aca="false">Sens!I1930*(al_srch+Sens!I2040+sbc_r)</f>
        <v>14.3394532276552</v>
      </c>
      <c r="J2045" s="6" t="n">
        <f aca="false">Sens!J1930*(al_srch+Sens!J2040+sbc_r)</f>
        <v>15.5209119526629</v>
      </c>
      <c r="K2045" s="6" t="n">
        <f aca="false">Sens!K1930*(al_srch+Sens!K2040+sbc_r)</f>
        <v>16.6866933922301</v>
      </c>
    </row>
    <row r="2046" customFormat="false" ht="17.15" hidden="false" customHeight="false" outlineLevel="0" collapsed="false">
      <c r="A2046" s="0" t="s">
        <v>1237</v>
      </c>
      <c r="B2046" s="0" t="s">
        <v>98</v>
      </c>
      <c r="F2046" s="6" t="n">
        <f aca="false">Sens!F1898-Sens!F1899+Sens!F1980</f>
        <v>48.6467278984045</v>
      </c>
      <c r="G2046" s="6" t="n">
        <f aca="false">Sens!G1898-Sens!G1899+Sens!G1980</f>
        <v>101.343031227277</v>
      </c>
      <c r="H2046" s="6" t="n">
        <f aca="false">Sens!H1898-Sens!H1899+Sens!H1980</f>
        <v>162.482470457827</v>
      </c>
      <c r="I2046" s="6" t="n">
        <f aca="false">Sens!I1898-Sens!I1899+Sens!I1980</f>
        <v>211.760252655387</v>
      </c>
      <c r="J2046" s="6" t="n">
        <f aca="false">Sens!J1898-Sens!J1899+Sens!J1980</f>
        <v>246.354381542768</v>
      </c>
      <c r="K2046" s="6" t="n">
        <f aca="false">Sens!K1898-Sens!K1899+Sens!K1980</f>
        <v>267.173249766993</v>
      </c>
    </row>
    <row r="2047" customFormat="false" ht="17.15" hidden="false" customHeight="false" outlineLevel="0" collapsed="false">
      <c r="A2047" s="0" t="s">
        <v>1238</v>
      </c>
      <c r="B2047" s="0" t="s">
        <v>98</v>
      </c>
      <c r="F2047" s="6" t="n">
        <f aca="false">Sens!F1959+Sens!F1980+Sens!F1910+Sens!F2040*(Sens!F1929-Sens!F1892)+sbc_r*Sens!F1929</f>
        <v>248.427340321599</v>
      </c>
      <c r="G2047" s="6" t="n">
        <f aca="false">Sens!G1959+Sens!G1980+Sens!G1910+Sens!G2040*(Sens!G1929-Sens!G1892)+sbc_r*Sens!G1929</f>
        <v>326.533169639414</v>
      </c>
      <c r="H2047" s="6" t="n">
        <f aca="false">Sens!H1959+Sens!H1980+Sens!H1910+Sens!H2040*(Sens!H1929-Sens!H1892)+sbc_r*Sens!H1929</f>
        <v>418.768342111659</v>
      </c>
      <c r="I2047" s="6" t="n">
        <f aca="false">Sens!I1959+Sens!I1980+Sens!I1910+Sens!I2040*(Sens!I1929-Sens!I1892)+sbc_r*Sens!I1929</f>
        <v>496.978656993947</v>
      </c>
      <c r="J2047" s="6" t="n">
        <f aca="false">Sens!J1959+Sens!J1980+Sens!J1910+Sens!J2040*(Sens!J1929-Sens!J1892)+sbc_r*Sens!J1929</f>
        <v>557.426598532305</v>
      </c>
      <c r="K2047" s="6" t="n">
        <f aca="false">Sens!K1959+Sens!K1980+Sens!K1910+Sens!K2040*(Sens!K1929-Sens!K1892)+sbc_r*Sens!K1929</f>
        <v>601.581769157083</v>
      </c>
    </row>
    <row r="2048" customFormat="false" ht="17.15" hidden="false" customHeight="false" outlineLevel="0" collapsed="false">
      <c r="A2048" s="0" t="s">
        <v>1239</v>
      </c>
      <c r="B2048" s="0" t="s">
        <v>98</v>
      </c>
      <c r="F2048" s="6" t="n">
        <f aca="false">Sens!F2047-Sens!F2041-Sens!F2042-Sens!F2043-Sens!F2044-Sens!F2046</f>
        <v>71.408495913625</v>
      </c>
      <c r="G2048" s="6" t="n">
        <f aca="false">Sens!G2047-Sens!G2041-Sens!G2042-Sens!G2043-Sens!G2044-Sens!G2046</f>
        <v>79.9995881304569</v>
      </c>
      <c r="H2048" s="6" t="n">
        <f aca="false">Sens!H2047-Sens!H2041-Sens!H2042-Sens!H2043-Sens!H2044-Sens!H2046</f>
        <v>94.1249843127561</v>
      </c>
      <c r="I2048" s="6" t="n">
        <f aca="false">Sens!I2047-Sens!I2041-Sens!I2042-Sens!I2043-Sens!I2044-Sens!I2046</f>
        <v>107.630770443792</v>
      </c>
      <c r="J2048" s="6" t="n">
        <f aca="false">Sens!J2047-Sens!J2041-Sens!J2042-Sens!J2043-Sens!J2044-Sens!J2046</f>
        <v>119.828263071018</v>
      </c>
      <c r="K2048" s="6" t="n">
        <f aca="false">Sens!K2047-Sens!K2041-Sens!K2042-Sens!K2043-Sens!K2044-Sens!K2046</f>
        <v>130.011551599029</v>
      </c>
    </row>
    <row r="2049" customFormat="false" ht="17.15" hidden="false" customHeight="false" outlineLevel="0" collapsed="false">
      <c r="A2049" s="0" t="s">
        <v>1240</v>
      </c>
      <c r="B2049" s="0" t="s">
        <v>98</v>
      </c>
      <c r="F2049" s="6" t="n">
        <f aca="false">Sens!F1961+Sens!F2040*Sens!F1936+sbc_r*Sens!F1936</f>
        <v>26.0797851339196</v>
      </c>
      <c r="G2049" s="6" t="n">
        <f aca="false">Sens!G1961+Sens!G2040*Sens!G1936+sbc_r*Sens!G1936</f>
        <v>25.9889553134106</v>
      </c>
      <c r="H2049" s="6" t="n">
        <f aca="false">Sens!H1961+Sens!H2040*Sens!H1936+sbc_r*Sens!H1936</f>
        <v>26.9194004210325</v>
      </c>
      <c r="I2049" s="6" t="n">
        <f aca="false">Sens!I1961+Sens!I2040*Sens!I1936+sbc_r*Sens!I1936</f>
        <v>28.0773768590786</v>
      </c>
      <c r="J2049" s="6" t="n">
        <f aca="false">Sens!J1961+Sens!J2040*Sens!J1936+sbc_r*Sens!J1936</f>
        <v>29.4291449972675</v>
      </c>
      <c r="K2049" s="6" t="n">
        <f aca="false">Sens!K1961+Sens!K2040*Sens!K1936+sbc_r*Sens!K1936</f>
        <v>30.9348268582096</v>
      </c>
    </row>
    <row r="2050" customFormat="false" ht="17.15" hidden="false" customHeight="false" outlineLevel="0" collapsed="false">
      <c r="A2050" s="0" t="s">
        <v>1241</v>
      </c>
      <c r="B2050" s="0" t="s">
        <v>98</v>
      </c>
      <c r="F2050" s="6" t="n">
        <f aca="false">(Sens!F2049-Sens!F2045)*Sens!F1932/(Sens!F1932+Sens!F1934)</f>
        <v>8.54411377868144</v>
      </c>
      <c r="G2050" s="6" t="n">
        <f aca="false">(Sens!G2049-Sens!G2045)*Sens!G1932/(Sens!G1932+Sens!G1934)</f>
        <v>7.74273832572177</v>
      </c>
      <c r="H2050" s="6" t="n">
        <f aca="false">(Sens!H2049-Sens!H2045)*Sens!H1932/(Sens!H1932+Sens!H1934)</f>
        <v>7.53128908067164</v>
      </c>
      <c r="I2050" s="6" t="n">
        <f aca="false">(Sens!I2049-Sens!I2045)*Sens!I1932/(Sens!I1932+Sens!I1934)</f>
        <v>7.46059994312817</v>
      </c>
      <c r="J2050" s="6" t="n">
        <f aca="false">(Sens!J2049-Sens!J2045)*Sens!J1932/(Sens!J1932+Sens!J1934)</f>
        <v>7.52013543290583</v>
      </c>
      <c r="K2050" s="6" t="n">
        <f aca="false">(Sens!K2049-Sens!K2045)*Sens!K1932/(Sens!K1932+Sens!K1934)</f>
        <v>7.70391846229877</v>
      </c>
    </row>
    <row r="2051" customFormat="false" ht="17.15" hidden="false" customHeight="false" outlineLevel="0" collapsed="false">
      <c r="A2051" s="0" t="s">
        <v>1242</v>
      </c>
      <c r="B2051" s="0" t="s">
        <v>98</v>
      </c>
      <c r="F2051" s="6" t="n">
        <f aca="false">Sens!F2049-Sens!F2045-Sens!F2050</f>
        <v>6.5839543086282</v>
      </c>
      <c r="G2051" s="6" t="n">
        <f aca="false">Sens!G2049-Sens!G2045-Sens!G2050</f>
        <v>6.20615722500908</v>
      </c>
      <c r="H2051" s="6" t="n">
        <f aca="false">Sens!H2049-Sens!H2045-Sens!H2050</f>
        <v>6.21575430233945</v>
      </c>
      <c r="I2051" s="6" t="n">
        <f aca="false">Sens!I2049-Sens!I2045-Sens!I2050</f>
        <v>6.27732368829526</v>
      </c>
      <c r="J2051" s="6" t="n">
        <f aca="false">Sens!J2049-Sens!J2045-Sens!J2050</f>
        <v>6.38809761169877</v>
      </c>
      <c r="K2051" s="6" t="n">
        <f aca="false">Sens!K2049-Sens!K2045-Sens!K2050</f>
        <v>6.54421500368066</v>
      </c>
    </row>
    <row r="2052" customFormat="false" ht="17.15" hidden="false" customHeight="false" outlineLevel="0" collapsed="false">
      <c r="A2052" s="0" t="s">
        <v>1243</v>
      </c>
      <c r="B2052" s="0" t="s">
        <v>98</v>
      </c>
      <c r="F2052" s="6" t="n">
        <f aca="false">Sens!F2046-tax_f*(Sens!F2046-Sens!F1910)-Sens!F1907</f>
        <v>-154.928267057016</v>
      </c>
      <c r="G2052" s="6" t="n">
        <f aca="false">Sens!G2046-tax_f*(Sens!G2046-Sens!G1910)-Sens!G1907</f>
        <v>-134.682668040484</v>
      </c>
      <c r="H2052" s="6" t="n">
        <f aca="false">Sens!H2046-tax_f*(Sens!H2046-Sens!H1910)-Sens!H1907</f>
        <v>-84.797206752406</v>
      </c>
      <c r="I2052" s="6" t="n">
        <f aca="false">Sens!I2046-tax_f*(Sens!I2046-Sens!I1910)-Sens!I1907</f>
        <v>-5.51415589493104</v>
      </c>
      <c r="J2052" s="6" t="n">
        <f aca="false">Sens!J2046-tax_f*(Sens!J2046-Sens!J1910)-Sens!J1907</f>
        <v>74.0513493309892</v>
      </c>
      <c r="K2052" s="6" t="n">
        <f aca="false">Sens!K2046-tax_f*(Sens!K2046-Sens!K1910)-Sens!K1907</f>
        <v>105.30621682814</v>
      </c>
    </row>
    <row r="2053" customFormat="false" ht="17.15" hidden="false" customHeight="false" outlineLevel="0" collapsed="false">
      <c r="A2053" s="0" t="s">
        <v>1244</v>
      </c>
      <c r="B2053" s="0" t="s">
        <v>98</v>
      </c>
      <c r="G2053" s="6" t="n">
        <f aca="false">Sens!G2052/(1+wacc)^(Sens!G2023-Sens!F2024)</f>
        <v>-128.243817840024</v>
      </c>
      <c r="H2053" s="6" t="n">
        <f aca="false">Sens!H2052/(1+wacc)^(Sens!H2023-Sens!F2024)</f>
        <v>-73.207525773906</v>
      </c>
      <c r="I2053" s="6" t="n">
        <f aca="false">Sens!I2052/(1+wacc)^(Sens!I2023-Sens!F2024)</f>
        <v>-4.31621110223388</v>
      </c>
      <c r="J2053" s="6" t="n">
        <f aca="false">Sens!J2052/(1+wacc)^(Sens!J2023-Sens!F2024)</f>
        <v>52.5540353267105</v>
      </c>
      <c r="K2053" s="6" t="n">
        <f aca="false">Sens!K2052/(1+wacc)^(Sens!K2023-Sens!F2024)</f>
        <v>67.7604931331176</v>
      </c>
      <c r="L2053" s="1" t="s">
        <v>1245</v>
      </c>
    </row>
    <row r="2054" customFormat="false" ht="17.15" hidden="false" customHeight="false" outlineLevel="0" collapsed="false">
      <c r="A2054" s="0" t="s">
        <v>1246</v>
      </c>
      <c r="B2054" s="0" t="s">
        <v>98</v>
      </c>
      <c r="C2054" s="6" t="n">
        <f aca="false">(Sens!K2046-Sens!K1910)*(1-tax_f)*(1+g_tv)*(1-g_tv/(wacc+ronic_prem))/(wacc-g_tv)/(1+wacc)^(Sens!K2024-Sens!F2024)</f>
        <v>468.675193176506</v>
      </c>
    </row>
    <row r="2055" customFormat="false" ht="17.15" hidden="false" customHeight="false" outlineLevel="0" collapsed="false">
      <c r="A2055" s="1" t="s">
        <v>1247</v>
      </c>
      <c r="B2055" s="0" t="s">
        <v>98</v>
      </c>
      <c r="C2055" s="6" t="n">
        <f aca="false">(SUM(Sens!G2053:K2053)+Sens!$C$2054)*(1+wacc)^(t_roll-Sens!F2024)</f>
        <v>395.873489600059</v>
      </c>
      <c r="L2055" s="12" t="s">
        <v>1248</v>
      </c>
    </row>
    <row r="2056" customFormat="false" ht="17.15" hidden="false" customHeight="false" outlineLevel="0" collapsed="false">
      <c r="A2056" s="1" t="s">
        <v>1249</v>
      </c>
      <c r="B2056" s="0" t="s">
        <v>98</v>
      </c>
      <c r="C2056" s="6" t="n">
        <f aca="false">(w_ntm28*Sens!G1898+(1-w_ntm28)*Sens!H1898)*m_ai</f>
        <v>563.316843258668</v>
      </c>
    </row>
    <row r="2057" customFormat="false" ht="17.15" hidden="false" customHeight="false" outlineLevel="0" collapsed="false">
      <c r="A2057" s="1" t="s">
        <v>1250</v>
      </c>
      <c r="B2057" s="0" t="s">
        <v>98</v>
      </c>
      <c r="C2057" s="6" t="n">
        <f aca="false">(w_ntm28*Sens!G2048+(1-w_ntm28)*Sens!H2048)*m_cloud</f>
        <v>1169.77391626079</v>
      </c>
    </row>
    <row r="2058" customFormat="false" ht="17.15" hidden="false" customHeight="false" outlineLevel="0" collapsed="false">
      <c r="A2058" s="1" t="s">
        <v>1251</v>
      </c>
      <c r="B2058" s="0" t="s">
        <v>98</v>
      </c>
      <c r="C2058" s="6" t="n">
        <f aca="false">(w_ntm28*Sens!G2041+(1-w_ntm28)*Sens!H2041)*m_sw</f>
        <v>1110.36410917895</v>
      </c>
    </row>
    <row r="2059" customFormat="false" ht="17.15" hidden="false" customHeight="false" outlineLevel="0" collapsed="false">
      <c r="A2059" s="1" t="s">
        <v>1252</v>
      </c>
      <c r="B2059" s="0" t="s">
        <v>98</v>
      </c>
      <c r="C2059" s="6" t="n">
        <f aca="false">(w_ntm28*Sens!G2042+(1-w_ntm28)*Sens!H2042)*m_sw</f>
        <v>369.898770657924</v>
      </c>
    </row>
    <row r="2060" customFormat="false" ht="17.15" hidden="false" customHeight="false" outlineLevel="0" collapsed="false">
      <c r="A2060" s="1" t="s">
        <v>1253</v>
      </c>
      <c r="B2060" s="0" t="s">
        <v>98</v>
      </c>
      <c r="C2060" s="6" t="n">
        <f aca="false">(w_ntm28*Sens!G2043+(1-w_ntm28)*Sens!H2043)*m_sw</f>
        <v>107.270422027478</v>
      </c>
    </row>
    <row r="2061" customFormat="false" ht="17.15" hidden="false" customHeight="false" outlineLevel="0" collapsed="false">
      <c r="A2061" s="1" t="s">
        <v>1254</v>
      </c>
      <c r="B2061" s="0" t="s">
        <v>98</v>
      </c>
      <c r="C2061" s="6" t="n">
        <f aca="false">(w_ntm28*Sens!G2044+(1-w_ntm28)*Sens!H2044)*m_sw</f>
        <v>40.7809612571792</v>
      </c>
    </row>
    <row r="2062" customFormat="false" ht="17.15" hidden="false" customHeight="false" outlineLevel="0" collapsed="false">
      <c r="A2062" s="1" t="s">
        <v>1255</v>
      </c>
      <c r="B2062" s="0" t="s">
        <v>98</v>
      </c>
      <c r="C2062" s="6" t="n">
        <f aca="false">(w_ntm28*Sens!G2045+(1-w_ntm28)*Sens!H2045)*m_ads</f>
        <v>113.076252332269</v>
      </c>
    </row>
    <row r="2063" customFormat="false" ht="17.15" hidden="false" customHeight="false" outlineLevel="0" collapsed="false">
      <c r="A2063" s="1" t="s">
        <v>1256</v>
      </c>
      <c r="B2063" s="0" t="s">
        <v>98</v>
      </c>
      <c r="C2063" s="6" t="n">
        <f aca="false">(w_ntm28*Sens!G2050+(1-w_ntm28)*Sens!H2050)*m_game</f>
        <v>96.9127782708578</v>
      </c>
    </row>
    <row r="2064" customFormat="false" ht="17.15" hidden="false" customHeight="false" outlineLevel="0" collapsed="false">
      <c r="A2064" s="1" t="s">
        <v>1257</v>
      </c>
      <c r="B2064" s="0" t="s">
        <v>98</v>
      </c>
      <c r="C2064" s="6" t="n">
        <f aca="false">(w_ntm28*Sens!G2051+(1-w_ntm28)*Sens!H2051)*m_pc</f>
        <v>89.8487508406115</v>
      </c>
    </row>
    <row r="2065" customFormat="false" ht="17.15" hidden="false" customHeight="false" outlineLevel="0" collapsed="false">
      <c r="A2065" s="1" t="s">
        <v>1258</v>
      </c>
      <c r="B2065" s="0" t="s">
        <v>98</v>
      </c>
      <c r="C2065" s="6" t="n">
        <f aca="false">Sens!$C$2055+Sens!$C$2057+Sens!$C$2058+Sens!$C$2059+Sens!$C$2060+Sens!$C$2061+Sens!$C$2062+Sens!$C$2063+Sens!$C$2064</f>
        <v>3493.79945042612</v>
      </c>
    </row>
    <row r="2066" customFormat="false" ht="17.15" hidden="false" customHeight="false" outlineLevel="0" collapsed="false">
      <c r="A2066" s="1" t="s">
        <v>1259</v>
      </c>
      <c r="B2066" s="0" t="s">
        <v>98</v>
      </c>
      <c r="C2066" s="6" t="n">
        <f aca="false">(Sens!G2027-Sens!G2052)*t_stub</f>
        <v>49.1440723612036</v>
      </c>
      <c r="L2066" s="1" t="s">
        <v>1260</v>
      </c>
    </row>
    <row r="2067" customFormat="false" ht="17.15" hidden="false" customHeight="false" outlineLevel="0" collapsed="false">
      <c r="A2067" s="1" t="s">
        <v>1169</v>
      </c>
      <c r="B2067" s="0" t="s">
        <v>98</v>
      </c>
      <c r="C2067" s="6" t="n">
        <f aca="false">Sens!F2014+oai_v-Sens!F2003+Sens!$C$2066</f>
        <v>134.033346866764</v>
      </c>
      <c r="L2067" s="1" t="s">
        <v>1261</v>
      </c>
    </row>
    <row r="2068" customFormat="false" ht="17.15" hidden="false" customHeight="false" outlineLevel="0" collapsed="false">
      <c r="A2068" s="1" t="s">
        <v>1262</v>
      </c>
      <c r="B2068" s="0" t="s">
        <v>75</v>
      </c>
      <c r="C2068" s="5" t="n">
        <f aca="false">(Sens!$C$2065+Sens!$C$2067)/(Sens!F2016+dil_gap)-Sens!G2006*roll_div_q/q_per_yr</f>
        <v>482.92965652253</v>
      </c>
      <c r="L2068" s="1" t="s">
        <v>1263</v>
      </c>
    </row>
    <row r="2069" customFormat="false" ht="17.15" hidden="false" customHeight="false" outlineLevel="0" collapsed="false">
      <c r="A2069" s="1" t="s">
        <v>1264</v>
      </c>
      <c r="B2069" s="0" t="s">
        <v>75</v>
      </c>
      <c r="C2069" s="5" t="n">
        <f aca="false">w_dcf*Sens!$C$2039+(1-w_dcf)*Sens!$C$2068</f>
        <v>424.016494993333</v>
      </c>
    </row>
    <row r="2070" customFormat="false" ht="17.15" hidden="false" customHeight="false" outlineLevel="0" collapsed="false">
      <c r="A2070" s="3" t="s">
        <v>1530</v>
      </c>
    </row>
    <row r="2071" customFormat="false" ht="15" hidden="false" customHeight="false" outlineLevel="0" collapsed="false">
      <c r="A2071" s="4" t="s">
        <v>43</v>
      </c>
      <c r="B2071" s="4" t="s">
        <v>65</v>
      </c>
      <c r="C2071" s="23" t="s">
        <v>938</v>
      </c>
      <c r="D2071" s="23" t="s">
        <v>939</v>
      </c>
      <c r="E2071" s="23" t="s">
        <v>940</v>
      </c>
      <c r="F2071" s="23" t="s">
        <v>941</v>
      </c>
      <c r="G2071" s="23" t="s">
        <v>942</v>
      </c>
      <c r="H2071" s="23" t="s">
        <v>943</v>
      </c>
      <c r="I2071" s="23" t="s">
        <v>944</v>
      </c>
      <c r="J2071" s="23" t="s">
        <v>945</v>
      </c>
      <c r="K2071" s="23" t="s">
        <v>946</v>
      </c>
      <c r="L2071" s="4" t="s">
        <v>47</v>
      </c>
    </row>
    <row r="2072" customFormat="false" ht="17.15" hidden="false" customHeight="false" outlineLevel="0" collapsed="false">
      <c r="A2072" s="1" t="s">
        <v>947</v>
      </c>
      <c r="B2072" s="1" t="s">
        <v>279</v>
      </c>
      <c r="C2072" s="21" t="n">
        <v>2024</v>
      </c>
      <c r="D2072" s="21" t="n">
        <v>2025</v>
      </c>
      <c r="E2072" s="21" t="n">
        <v>2026</v>
      </c>
      <c r="F2072" s="21" t="n">
        <v>2027</v>
      </c>
      <c r="G2072" s="21" t="n">
        <v>2028</v>
      </c>
      <c r="H2072" s="21" t="n">
        <v>2029</v>
      </c>
      <c r="I2072" s="21" t="n">
        <v>2030</v>
      </c>
      <c r="J2072" s="21" t="n">
        <v>2031</v>
      </c>
      <c r="K2072" s="21" t="n">
        <v>2032</v>
      </c>
    </row>
    <row r="2073" customFormat="false" ht="17.15" hidden="false" customHeight="false" outlineLevel="0" collapsed="false">
      <c r="A2073" s="1" t="s">
        <v>948</v>
      </c>
      <c r="B2073" s="0" t="s">
        <v>456</v>
      </c>
      <c r="F2073" s="30" t="n">
        <f aca="false">pace</f>
        <v>2726.5351</v>
      </c>
      <c r="G2073" s="30" t="n">
        <f aca="false">pace</f>
        <v>2726.5351</v>
      </c>
      <c r="H2073" s="30" t="n">
        <f aca="false">pace</f>
        <v>2726.5351</v>
      </c>
      <c r="I2073" s="30" t="n">
        <f aca="false">pace+(g_tv*Sens!H2074-pace)*MIN(1,(Sens!I2072-pace_y0)/(pace_y1-pace_y0))</f>
        <v>1931.98611966667</v>
      </c>
      <c r="J2073" s="30" t="n">
        <f aca="false">pace+(g_tv*Sens!I2074-pace)*MIN(1,(Sens!J2072-pace_y0)/(pace_y1-pace_y0))</f>
        <v>1176.07686172667</v>
      </c>
      <c r="K2073" s="30" t="n">
        <f aca="false">pace+(g_tv*Sens!J2074-pace)*MIN(1,(Sens!K2072-pace_y0)/(pace_y1-pace_y0))</f>
        <v>436.1300484418</v>
      </c>
      <c r="L2073" s="12" t="s">
        <v>949</v>
      </c>
    </row>
    <row r="2074" customFormat="false" ht="17.15" hidden="false" customHeight="false" outlineLevel="0" collapsed="false">
      <c r="A2074" s="1" t="s">
        <v>950</v>
      </c>
      <c r="B2074" s="0" t="s">
        <v>456</v>
      </c>
      <c r="C2074" s="30" t="n">
        <f aca="false">mw_ext_24</f>
        <v>640</v>
      </c>
      <c r="D2074" s="30" t="n">
        <f aca="false">mw_ext_25</f>
        <v>1630</v>
      </c>
      <c r="E2074" s="30" t="n">
        <f aca="false">mw_ext_26</f>
        <v>3250</v>
      </c>
      <c r="F2074" s="30" t="n">
        <f aca="false">Sens!E2074+Sens!F2073</f>
        <v>5976.5351</v>
      </c>
      <c r="G2074" s="30" t="n">
        <f aca="false">Sens!F2074+Sens!G2073</f>
        <v>8703.0702</v>
      </c>
      <c r="H2074" s="30" t="n">
        <f aca="false">Sens!G2074+Sens!H2073</f>
        <v>11429.6053</v>
      </c>
      <c r="I2074" s="30" t="n">
        <f aca="false">Sens!H2074+Sens!I2073</f>
        <v>13361.5914196667</v>
      </c>
      <c r="J2074" s="30" t="n">
        <f aca="false">Sens!I2074+Sens!J2073</f>
        <v>14537.6682813933</v>
      </c>
      <c r="K2074" s="30" t="n">
        <f aca="false">Sens!J2074+Sens!K2073</f>
        <v>14973.7983298351</v>
      </c>
      <c r="L2074" s="1" t="s">
        <v>951</v>
      </c>
    </row>
    <row r="2075" customFormat="false" ht="17.15" hidden="false" customHeight="false" outlineLevel="0" collapsed="false">
      <c r="A2075" s="1" t="s">
        <v>952</v>
      </c>
      <c r="B2075" s="0" t="s">
        <v>456</v>
      </c>
      <c r="C2075" s="30" t="n">
        <f aca="false">rent_ext_24</f>
        <v>150</v>
      </c>
      <c r="D2075" s="30" t="n">
        <f aca="false">rent_ext_25</f>
        <v>400</v>
      </c>
      <c r="E2075" s="30" t="n">
        <f aca="false">rent_ext_26</f>
        <v>550</v>
      </c>
      <c r="F2075" s="30" t="n">
        <f aca="false">rent_ext_f</f>
        <v>756</v>
      </c>
      <c r="G2075" s="30" t="n">
        <f aca="false">rent_ext_f</f>
        <v>756</v>
      </c>
      <c r="H2075" s="30" t="n">
        <f aca="false">rent_ext_f</f>
        <v>756</v>
      </c>
      <c r="I2075" s="30" t="n">
        <f aca="false">rent_ext_f</f>
        <v>756</v>
      </c>
      <c r="J2075" s="30" t="n">
        <f aca="false">rent_ext_f</f>
        <v>756</v>
      </c>
      <c r="K2075" s="30" t="n">
        <f aca="false">rent_ext_f</f>
        <v>756</v>
      </c>
      <c r="L2075" s="1" t="s">
        <v>953</v>
      </c>
    </row>
    <row r="2076" customFormat="false" ht="17.15" hidden="false" customHeight="false" outlineLevel="0" collapsed="false">
      <c r="A2076" s="1" t="s">
        <v>954</v>
      </c>
      <c r="B2076" s="0" t="s">
        <v>456</v>
      </c>
      <c r="C2076" s="30" t="n">
        <f aca="false">Sens!C2074-Sens!C2075</f>
        <v>490</v>
      </c>
      <c r="D2076" s="30" t="n">
        <f aca="false">Sens!D2074-Sens!D2075</f>
        <v>1230</v>
      </c>
      <c r="E2076" s="30" t="n">
        <f aca="false">Sens!E2074-Sens!E2075</f>
        <v>2700</v>
      </c>
      <c r="F2076" s="30" t="n">
        <f aca="false">Sens!F2074-Sens!F2075</f>
        <v>5220.5351</v>
      </c>
      <c r="G2076" s="30" t="n">
        <f aca="false">Sens!G2074-Sens!G2075</f>
        <v>7947.0702</v>
      </c>
      <c r="H2076" s="30" t="n">
        <f aca="false">Sens!H2074-Sens!H2075</f>
        <v>10673.6053</v>
      </c>
      <c r="I2076" s="30" t="n">
        <f aca="false">Sens!I2074-Sens!I2075</f>
        <v>12605.5914196667</v>
      </c>
      <c r="J2076" s="30" t="n">
        <f aca="false">Sens!J2074-Sens!J2075</f>
        <v>13781.6682813933</v>
      </c>
      <c r="K2076" s="30" t="n">
        <f aca="false">Sens!K2074-Sens!K2075</f>
        <v>14217.7983298351</v>
      </c>
    </row>
    <row r="2077" customFormat="false" ht="17.15" hidden="false" customHeight="false" outlineLevel="0" collapsed="false">
      <c r="A2077" s="1" t="s">
        <v>955</v>
      </c>
      <c r="B2077" s="0" t="s">
        <v>456</v>
      </c>
      <c r="C2077" s="30" t="n">
        <f aca="false">Sens!C2076/ext_sh_lo</f>
        <v>980</v>
      </c>
      <c r="D2077" s="30" t="n">
        <f aca="false">Sens!D2076/ext_sh_lo</f>
        <v>2460</v>
      </c>
      <c r="E2077" s="30" t="n">
        <f aca="false">Sens!E2076/ext_sh_lo</f>
        <v>5400</v>
      </c>
      <c r="F2077" s="30" t="n">
        <f aca="false">Sens!F2076/ext_sh_lo</f>
        <v>10441.0702</v>
      </c>
      <c r="G2077" s="30" t="n">
        <f aca="false">Sens!G2076/ext_sh_lo</f>
        <v>15894.1404</v>
      </c>
      <c r="H2077" s="30" t="n">
        <f aca="false">Sens!H2076/ext_sh_lo</f>
        <v>21347.2106</v>
      </c>
      <c r="I2077" s="30" t="n">
        <f aca="false">Sens!I2076/ext_sh_lo</f>
        <v>25211.1828393333</v>
      </c>
      <c r="J2077" s="30" t="n">
        <f aca="false">Sens!J2076/ext_sh_lo</f>
        <v>27563.3365627867</v>
      </c>
      <c r="K2077" s="30" t="n">
        <f aca="false">Sens!K2076/ext_sh_lo</f>
        <v>28435.5966596703</v>
      </c>
      <c r="L2077" s="1" t="s">
        <v>956</v>
      </c>
    </row>
    <row r="2078" customFormat="false" ht="17.15" hidden="false" customHeight="false" outlineLevel="0" collapsed="false">
      <c r="A2078" s="1" t="s">
        <v>957</v>
      </c>
      <c r="B2078" s="0" t="s">
        <v>456</v>
      </c>
      <c r="C2078" s="30" t="n">
        <f aca="false">Sens!C2077-Sens!C2076</f>
        <v>490</v>
      </c>
      <c r="D2078" s="30" t="n">
        <f aca="false">Sens!D2077-Sens!D2076</f>
        <v>1230</v>
      </c>
      <c r="E2078" s="30" t="n">
        <f aca="false">Sens!E2077-Sens!E2076</f>
        <v>2700</v>
      </c>
      <c r="F2078" s="30" t="n">
        <f aca="false">Sens!F2077-Sens!F2076</f>
        <v>5220.5351</v>
      </c>
      <c r="G2078" s="30" t="n">
        <f aca="false">Sens!G2077-Sens!G2076</f>
        <v>7947.0702</v>
      </c>
      <c r="H2078" s="30" t="n">
        <f aca="false">Sens!H2077-Sens!H2076</f>
        <v>10673.6053</v>
      </c>
      <c r="I2078" s="30" t="n">
        <f aca="false">Sens!I2077-Sens!I2076</f>
        <v>12605.5914196667</v>
      </c>
      <c r="J2078" s="30" t="n">
        <f aca="false">Sens!J2077-Sens!J2076</f>
        <v>13781.6682813933</v>
      </c>
      <c r="K2078" s="30" t="n">
        <f aca="false">Sens!K2077-Sens!K2076</f>
        <v>14217.7983298351</v>
      </c>
    </row>
    <row r="2079" customFormat="false" ht="17.15" hidden="false" customHeight="false" outlineLevel="0" collapsed="false">
      <c r="A2079" s="1" t="s">
        <v>958</v>
      </c>
      <c r="B2079" s="0" t="s">
        <v>456</v>
      </c>
      <c r="C2079" s="30" t="n">
        <f aca="false">Sens!C2077</f>
        <v>980</v>
      </c>
      <c r="D2079" s="30" t="n">
        <f aca="false">Sens!D2077-Sens!C2077</f>
        <v>1480</v>
      </c>
      <c r="E2079" s="30" t="n">
        <f aca="false">Sens!E2077-Sens!D2077</f>
        <v>2940</v>
      </c>
      <c r="F2079" s="30" t="n">
        <f aca="false">Sens!F2077-Sens!E2077</f>
        <v>5041.0702</v>
      </c>
      <c r="G2079" s="30" t="n">
        <f aca="false">Sens!G2077-Sens!F2077</f>
        <v>5453.0702</v>
      </c>
      <c r="H2079" s="30" t="n">
        <f aca="false">Sens!H2077-Sens!G2077</f>
        <v>5453.0702</v>
      </c>
      <c r="I2079" s="30" t="n">
        <f aca="false">Sens!I2077-Sens!H2077</f>
        <v>3863.97223933333</v>
      </c>
      <c r="J2079" s="30" t="n">
        <f aca="false">Sens!J2077-Sens!I2077</f>
        <v>2352.15372345334</v>
      </c>
      <c r="K2079" s="30" t="n">
        <f aca="false">Sens!K2077-Sens!J2077</f>
        <v>872.260096883598</v>
      </c>
    </row>
    <row r="2080" customFormat="false" ht="17.15" hidden="false" customHeight="false" outlineLevel="0" collapsed="false">
      <c r="A2080" s="1" t="s">
        <v>959</v>
      </c>
      <c r="B2080" s="0" t="s">
        <v>456</v>
      </c>
      <c r="D2080" s="30" t="n">
        <f aca="false">Sens!D2074-Sens!C2074</f>
        <v>990</v>
      </c>
      <c r="E2080" s="30" t="n">
        <f aca="false">Sens!E2074-Sens!D2074</f>
        <v>1620</v>
      </c>
      <c r="F2080" s="30" t="n">
        <f aca="false">Sens!F2074-Sens!E2074</f>
        <v>2726.5351</v>
      </c>
      <c r="G2080" s="30" t="n">
        <f aca="false">Sens!G2074-Sens!F2074</f>
        <v>2726.5351</v>
      </c>
      <c r="H2080" s="30" t="n">
        <f aca="false">Sens!H2074-Sens!G2074</f>
        <v>2726.5351</v>
      </c>
      <c r="I2080" s="30" t="n">
        <f aca="false">Sens!I2074-Sens!H2074</f>
        <v>1931.98611966667</v>
      </c>
      <c r="J2080" s="30" t="n">
        <f aca="false">Sens!J2074-Sens!I2074</f>
        <v>1176.07686172667</v>
      </c>
      <c r="K2080" s="30" t="n">
        <f aca="false">Sens!K2074-Sens!J2074</f>
        <v>436.130048441799</v>
      </c>
    </row>
    <row r="2081" customFormat="false" ht="17.15" hidden="false" customHeight="false" outlineLevel="0" collapsed="false">
      <c r="A2081" s="1" t="s">
        <v>960</v>
      </c>
      <c r="B2081" s="0" t="s">
        <v>456</v>
      </c>
      <c r="F2081" s="30" t="n">
        <f aca="false">Sens!F2100*ext_sh_lo</f>
        <v>0</v>
      </c>
      <c r="G2081" s="30" t="n">
        <f aca="false">Sens!G2100*ext_sh_lo</f>
        <v>0</v>
      </c>
      <c r="H2081" s="30" t="n">
        <f aca="false">Sens!H2100*ext_sh_lo</f>
        <v>0</v>
      </c>
      <c r="I2081" s="30" t="n">
        <f aca="false">Sens!I2100*ext_sh_lo</f>
        <v>490</v>
      </c>
      <c r="J2081" s="30" t="n">
        <f aca="false">Sens!J2100*ext_sh_lo</f>
        <v>740</v>
      </c>
      <c r="K2081" s="30" t="n">
        <f aca="false">Sens!K2100*ext_sh_lo</f>
        <v>1470</v>
      </c>
      <c r="L2081" s="1" t="s">
        <v>961</v>
      </c>
    </row>
    <row r="2082" customFormat="false" ht="17.15" hidden="false" customHeight="false" outlineLevel="0" collapsed="false">
      <c r="A2082" s="1" t="s">
        <v>962</v>
      </c>
      <c r="B2082" s="0" t="s">
        <v>456</v>
      </c>
      <c r="C2082" s="30" t="n">
        <f aca="false">mix_h*Sens!C2074</f>
        <v>128</v>
      </c>
      <c r="D2082" s="30" t="n">
        <f aca="false">mix_h*Sens!D2074</f>
        <v>326</v>
      </c>
      <c r="E2082" s="30" t="n">
        <f aca="false">mix_h*Sens!E2074</f>
        <v>650</v>
      </c>
      <c r="F2082" s="30" t="n">
        <f aca="false">Sens!E2082-Sens!F2081*mix_h</f>
        <v>650</v>
      </c>
      <c r="G2082" s="30" t="n">
        <f aca="false">Sens!F2082-Sens!G2081*mix_h</f>
        <v>650</v>
      </c>
      <c r="H2082" s="30" t="n">
        <f aca="false">Sens!G2082-Sens!H2081*mix_h</f>
        <v>650</v>
      </c>
      <c r="I2082" s="30" t="n">
        <f aca="false">Sens!H2082-Sens!I2081*mix_h</f>
        <v>552</v>
      </c>
      <c r="J2082" s="30" t="n">
        <f aca="false">Sens!I2082-Sens!J2081*mix_h</f>
        <v>404</v>
      </c>
      <c r="K2082" s="30" t="n">
        <f aca="false">Sens!J2082-Sens!K2081*mix_h</f>
        <v>110</v>
      </c>
    </row>
    <row r="2083" customFormat="false" ht="17.15" hidden="false" customHeight="false" outlineLevel="0" collapsed="false">
      <c r="A2083" s="1" t="s">
        <v>963</v>
      </c>
      <c r="B2083" s="0" t="s">
        <v>456</v>
      </c>
      <c r="C2083" s="30" t="n">
        <f aca="false">mix_g2*Sens!C2074</f>
        <v>288</v>
      </c>
      <c r="D2083" s="30" t="n">
        <f aca="false">mix_g2*Sens!D2074</f>
        <v>733.5</v>
      </c>
      <c r="E2083" s="30" t="n">
        <f aca="false">mix_g2*Sens!E2074</f>
        <v>1462.5</v>
      </c>
      <c r="F2083" s="30" t="n">
        <f aca="false">Sens!E2083-Sens!F2081*mix_g2</f>
        <v>1462.5</v>
      </c>
      <c r="G2083" s="30" t="n">
        <f aca="false">Sens!F2083-Sens!G2081*mix_g2</f>
        <v>1462.5</v>
      </c>
      <c r="H2083" s="30" t="n">
        <f aca="false">Sens!G2083-Sens!H2081*mix_g2</f>
        <v>1462.5</v>
      </c>
      <c r="I2083" s="30" t="n">
        <f aca="false">Sens!H2083-Sens!I2081*mix_g2</f>
        <v>1242</v>
      </c>
      <c r="J2083" s="30" t="n">
        <f aca="false">Sens!I2083-Sens!J2081*mix_g2</f>
        <v>909</v>
      </c>
      <c r="K2083" s="30" t="n">
        <f aca="false">Sens!J2083-Sens!K2081*mix_g2</f>
        <v>247.5</v>
      </c>
    </row>
    <row r="2084" customFormat="false" ht="17.15" hidden="false" customHeight="false" outlineLevel="0" collapsed="false">
      <c r="A2084" s="1" t="s">
        <v>964</v>
      </c>
      <c r="B2084" s="0" t="s">
        <v>456</v>
      </c>
      <c r="C2084" s="30" t="n">
        <f aca="false">mix_g3*Sens!C2074</f>
        <v>224</v>
      </c>
      <c r="D2084" s="30" t="n">
        <f aca="false">mix_g3*Sens!D2074</f>
        <v>570.5</v>
      </c>
      <c r="E2084" s="30" t="n">
        <f aca="false">mix_g3*Sens!E2074</f>
        <v>1137.5</v>
      </c>
      <c r="F2084" s="30" t="n">
        <f aca="false">Sens!E2084+(Sens!F2080+Sens!F2081)*(a_g3_27-nonnv*a_mai)-Sens!F2081*mix_g3</f>
        <v>2773.42106</v>
      </c>
      <c r="G2084" s="30" t="n">
        <f aca="false">Sens!F2084+(Sens!G2080+Sens!G2081)*(a_g3_28-nonnv*a_mai)-Sens!G2081*mix_g3</f>
        <v>3318.72808</v>
      </c>
      <c r="H2084" s="30" t="n">
        <f aca="false">Sens!G2084+(Sens!H2080+Sens!H2081)*(a_g3_29-nonnv*a_mai)-Sens!H2081*mix_g3</f>
        <v>3318.72808</v>
      </c>
      <c r="I2084" s="30" t="n">
        <f aca="false">Sens!H2084+(Sens!I2080+Sens!I2081)*(a_g3_29-nonnv*a_mai)-Sens!I2081*mix_g3</f>
        <v>3147.22808</v>
      </c>
      <c r="J2084" s="30" t="n">
        <f aca="false">Sens!I2084+(Sens!J2080+Sens!J2081)*(a_g3_29-nonnv*a_mai)-Sens!J2081*mix_g3</f>
        <v>2888.22808</v>
      </c>
      <c r="K2084" s="30" t="n">
        <f aca="false">Sens!J2084+(Sens!K2080+Sens!K2081)*(a_g3_29-nonnv*a_mai)-Sens!K2081*mix_g3</f>
        <v>2373.72808</v>
      </c>
    </row>
    <row r="2085" customFormat="false" ht="17.15" hidden="false" customHeight="false" outlineLevel="0" collapsed="false">
      <c r="A2085" s="1" t="s">
        <v>965</v>
      </c>
      <c r="B2085" s="0" t="s">
        <v>456</v>
      </c>
      <c r="C2085" s="30" t="n">
        <v>0</v>
      </c>
      <c r="D2085" s="30" t="n">
        <v>0</v>
      </c>
      <c r="E2085" s="30" t="n">
        <v>0</v>
      </c>
      <c r="F2085" s="30" t="n">
        <f aca="false">Sens!E2085+(Sens!F2080+Sens!F2081)*nonnv*a_mai</f>
        <v>272.65351</v>
      </c>
      <c r="G2085" s="30" t="n">
        <f aca="false">Sens!F2085+(Sens!G2080+Sens!G2081)*nonnv*a_mai</f>
        <v>545.30702</v>
      </c>
      <c r="H2085" s="30" t="n">
        <f aca="false">Sens!G2085+(Sens!H2080+Sens!H2081)*nonnv*a_mai</f>
        <v>817.96053</v>
      </c>
      <c r="I2085" s="30" t="n">
        <f aca="false">Sens!H2085+(Sens!I2080+Sens!I2081)*nonnv*a_mai</f>
        <v>1060.15914196667</v>
      </c>
      <c r="J2085" s="30" t="n">
        <f aca="false">Sens!I2085+(Sens!J2080+Sens!J2081)*nonnv*a_mai</f>
        <v>1251.76682813933</v>
      </c>
      <c r="K2085" s="30" t="n">
        <f aca="false">Sens!J2085+(Sens!K2080+Sens!K2081)*nonnv*a_mai</f>
        <v>1442.37983298351</v>
      </c>
      <c r="L2085" s="12" t="s">
        <v>966</v>
      </c>
    </row>
    <row r="2086" customFormat="false" ht="17.15" hidden="false" customHeight="false" outlineLevel="0" collapsed="false">
      <c r="A2086" s="1" t="s">
        <v>967</v>
      </c>
      <c r="B2086" s="0" t="s">
        <v>456</v>
      </c>
      <c r="C2086" s="30" t="n">
        <v>0</v>
      </c>
      <c r="D2086" s="30" t="n">
        <v>0</v>
      </c>
      <c r="E2086" s="30" t="n">
        <v>0</v>
      </c>
      <c r="F2086" s="30" t="n">
        <f aca="false">Sens!E2086+(Sens!F2080+Sens!F2081)*(1-a_g3_27)</f>
        <v>817.96053</v>
      </c>
      <c r="G2086" s="30" t="n">
        <f aca="false">Sens!F2086+(Sens!G2080+Sens!G2081)*(1-a_g3_28)</f>
        <v>2726.5351</v>
      </c>
      <c r="H2086" s="30" t="n">
        <f aca="false">Sens!G2086+(Sens!H2080+Sens!H2081)*(1-a_g3_29)</f>
        <v>5180.41669</v>
      </c>
      <c r="I2086" s="30" t="n">
        <f aca="false">Sens!H2086+(Sens!I2080+Sens!I2081)*(1-a_g3_29)</f>
        <v>7360.2041977</v>
      </c>
      <c r="J2086" s="30" t="n">
        <f aca="false">Sens!I2086+(Sens!J2080+Sens!J2081)*(1-a_g3_29)</f>
        <v>9084.673373254</v>
      </c>
      <c r="K2086" s="30" t="n">
        <f aca="false">Sens!J2086+(Sens!K2080+Sens!K2081)*(1-a_g3_29)</f>
        <v>10800.1904168516</v>
      </c>
    </row>
    <row r="2087" customFormat="false" ht="17.15" hidden="false" customHeight="false" outlineLevel="0" collapsed="false">
      <c r="A2087" s="1" t="s">
        <v>968</v>
      </c>
      <c r="B2087" s="0" t="s">
        <v>403</v>
      </c>
      <c r="C2087" s="15" t="n">
        <f aca="false">(Sens!C2082*tk_hold_h100+Sens!C2083*tk_hold_gb200+Sens!C2084*tk_hold_gb300+Sens!C2086*tk_hold_vr200+Sens!C2085*nv_hold_mai*tk_hold_vr200)/Sens!C2074</f>
        <v>9.7235358126469</v>
      </c>
      <c r="D2087" s="15" t="n">
        <f aca="false">(Sens!D2082*tk_hold_h100+Sens!D2083*tk_hold_gb200+Sens!D2084*tk_hold_gb300+Sens!D2086*tk_hold_vr200+Sens!D2085*nv_hold_mai*tk_hold_vr200)/Sens!D2074</f>
        <v>9.7235358126469</v>
      </c>
      <c r="E2087" s="15" t="n">
        <f aca="false">(Sens!E2082*tk_hold_h100+Sens!E2083*tk_hold_gb200+Sens!E2084*tk_hold_gb300+Sens!E2086*tk_hold_vr200+Sens!E2085*nv_hold_mai*tk_hold_vr200)/Sens!E2074</f>
        <v>9.7235358126469</v>
      </c>
      <c r="F2087" s="15" t="n">
        <f aca="false">(Sens!F2082*tk_hold_h100+Sens!F2083*tk_hold_gb200+Sens!F2084*tk_hold_gb300+Sens!F2086*tk_hold_vr200+Sens!F2085*nv_hold_mai*tk_hold_vr200)/Sens!F2074</f>
        <v>10.2195353876665</v>
      </c>
      <c r="G2087" s="15" t="n">
        <f aca="false">(Sens!G2082*tk_hold_h100+Sens!G2083*tk_hold_gb200+Sens!G2084*tk_hold_gb300+Sens!G2086*tk_hold_vr200+Sens!G2085*nv_hold_mai*tk_hold_vr200)/Sens!G2074</f>
        <v>10.5725598017306</v>
      </c>
      <c r="H2087" s="15" t="n">
        <f aca="false">(Sens!H2082*tk_hold_h100+Sens!H2083*tk_hold_gb200+Sens!H2084*tk_hold_gb300+Sens!H2086*tk_hold_vr200+Sens!H2085*nv_hold_mai*tk_hold_vr200)/Sens!H2074</f>
        <v>10.8210427149036</v>
      </c>
      <c r="I2087" s="15" t="n">
        <f aca="false">(Sens!I2082*tk_hold_h100+Sens!I2083*tk_hold_gb200+Sens!I2084*tk_hold_gb300+Sens!I2086*tk_hold_vr200+Sens!I2085*nv_hold_mai*tk_hold_vr200)/Sens!I2074</f>
        <v>11.0050618241982</v>
      </c>
      <c r="J2087" s="15" t="n">
        <f aca="false">(Sens!J2082*tk_hold_h100+Sens!J2083*tk_hold_gb200+Sens!J2084*tk_hold_gb300+Sens!J2086*tk_hold_vr200+Sens!J2085*nv_hold_mai*tk_hold_vr200)/Sens!J2074</f>
        <v>11.1505789658881</v>
      </c>
      <c r="K2087" s="15" t="n">
        <f aca="false">(Sens!K2082*tk_hold_h100+Sens!K2083*tk_hold_gb200+Sens!K2084*tk_hold_gb300+Sens!K2086*tk_hold_vr200+Sens!K2085*nv_hold_mai*tk_hold_vr200)/Sens!K2074</f>
        <v>11.3496914757183</v>
      </c>
      <c r="L2087" s="1" t="s">
        <v>969</v>
      </c>
    </row>
    <row r="2088" customFormat="false" ht="17.15" hidden="false" customHeight="false" outlineLevel="0" collapsed="false">
      <c r="A2088" s="1" t="s">
        <v>970</v>
      </c>
      <c r="B2088" s="0" t="s">
        <v>403</v>
      </c>
      <c r="C2088" s="15" t="n">
        <f aca="false">(Sens!C2082*tk_hold_h100+Sens!C2083*tk_hold_gb200+Sens!C2084*tk_hold_gb300+Sens!C2086*tk_hold_vr200+Sens!C2085*nv_out_mai*tk_hold_vr200)/Sens!C2074</f>
        <v>9.7235358126469</v>
      </c>
      <c r="D2088" s="15" t="n">
        <f aca="false">(Sens!D2082*tk_hold_h100+Sens!D2083*tk_hold_gb200+Sens!D2084*tk_hold_gb300+Sens!D2086*tk_hold_vr200+Sens!D2085*nv_out_mai*tk_hold_vr200)/Sens!D2074</f>
        <v>9.7235358126469</v>
      </c>
      <c r="E2088" s="15" t="n">
        <f aca="false">(Sens!E2082*tk_hold_h100+Sens!E2083*tk_hold_gb200+Sens!E2084*tk_hold_gb300+Sens!E2086*tk_hold_vr200+Sens!E2085*nv_out_mai*tk_hold_vr200)/Sens!E2074</f>
        <v>9.7235358126469</v>
      </c>
      <c r="F2088" s="15" t="n">
        <f aca="false">(Sens!F2082*tk_hold_h100+Sens!F2083*tk_hold_gb200+Sens!F2084*tk_hold_gb300+Sens!F2086*tk_hold_vr200+Sens!F2085*nv_out_mai*tk_hold_vr200)/Sens!F2074</f>
        <v>10.247422093969</v>
      </c>
      <c r="G2088" s="15" t="n">
        <f aca="false">(Sens!G2082*tk_hold_h100+Sens!G2083*tk_hold_gb200+Sens!G2084*tk_hold_gb300+Sens!G2086*tk_hold_vr200+Sens!G2085*nv_out_mai*tk_hold_vr200)/Sens!G2074</f>
        <v>10.6108602808053</v>
      </c>
      <c r="H2088" s="15" t="n">
        <f aca="false">(Sens!H2082*tk_hold_h100+Sens!H2083*tk_hold_gb200+Sens!H2084*tk_hold_gb300+Sens!H2086*tk_hold_vr200+Sens!H2085*nv_out_mai*tk_hold_vr200)/Sens!H2074</f>
        <v>10.8647885507393</v>
      </c>
      <c r="I2088" s="15" t="n">
        <f aca="false">(Sens!I2082*tk_hold_h100+Sens!I2083*tk_hold_gb200+Sens!I2084*tk_hold_gb300+Sens!I2086*tk_hold_vr200+Sens!I2085*nv_out_mai*tk_hold_vr200)/Sens!I2074</f>
        <v>11.0535625770025</v>
      </c>
      <c r="J2088" s="15" t="n">
        <f aca="false">(Sens!J2082*tk_hold_h100+Sens!J2083*tk_hold_gb200+Sens!J2084*tk_hold_gb300+Sens!J2086*tk_hold_vr200+Sens!J2085*nv_out_mai*tk_hold_vr200)/Sens!J2074</f>
        <v>11.2032127128058</v>
      </c>
      <c r="K2088" s="15" t="n">
        <f aca="false">(Sens!K2082*tk_hold_h100+Sens!K2083*tk_hold_gb200+Sens!K2084*tk_hold_gb300+Sens!K2086*tk_hold_vr200+Sens!K2085*nv_out_mai*tk_hold_vr200)/Sens!K2074</f>
        <v>11.4085735724225</v>
      </c>
      <c r="L2088" s="12" t="s">
        <v>971</v>
      </c>
    </row>
    <row r="2089" customFormat="false" ht="17.15" hidden="false" customHeight="false" outlineLevel="0" collapsed="false">
      <c r="A2089" s="0" t="s">
        <v>972</v>
      </c>
      <c r="B2089" s="0" t="s">
        <v>229</v>
      </c>
      <c r="C2089" s="15" t="n">
        <f aca="false">k_B</f>
        <v>1.17213932619116</v>
      </c>
      <c r="D2089" s="15" t="n">
        <f aca="false">k_B</f>
        <v>1.17213932619116</v>
      </c>
      <c r="E2089" s="15" t="n">
        <f aca="false">k_B</f>
        <v>1.17213932619116</v>
      </c>
      <c r="F2089" s="15" t="n">
        <f aca="false">(k_B+((ls_B*k_long+(1-ls_B)*k_spot)-k_B)*MIN(1,(Sens!F2072-base_fy)/k_ramp))</f>
        <v>1.17213932619116</v>
      </c>
      <c r="G2089" s="15" t="n">
        <f aca="false">(k_B+((ls_B*k_long+(1-ls_B)*k_spot)-k_B)*MIN(1,(Sens!G2072-base_fy)/k_ramp))</f>
        <v>1.17213932619116</v>
      </c>
      <c r="H2089" s="15" t="n">
        <f aca="false">(k_B+((ls_B*k_long+(1-ls_B)*k_spot)-k_B)*MIN(1,(Sens!H2072-base_fy)/k_ramp))</f>
        <v>1.17213932619116</v>
      </c>
      <c r="I2089" s="15" t="n">
        <f aca="false">(k_B+((ls_B*k_long+(1-ls_B)*k_spot)-k_B)*MIN(1,(Sens!I2072-base_fy)/k_ramp))</f>
        <v>1.17213932619116</v>
      </c>
      <c r="J2089" s="15" t="n">
        <f aca="false">(k_B+((ls_B*k_long+(1-ls_B)*k_spot)-k_B)*MIN(1,(Sens!J2072-base_fy)/k_ramp))</f>
        <v>1.17213932619116</v>
      </c>
      <c r="K2089" s="15" t="n">
        <f aca="false">(k_B+((ls_B*k_long+(1-ls_B)*k_spot)-k_B)*MIN(1,(Sens!K2072-base_fy)/k_ramp))</f>
        <v>1.17213932619116</v>
      </c>
      <c r="L2089" s="1" t="s">
        <v>973</v>
      </c>
    </row>
    <row r="2090" customFormat="false" ht="17.15" hidden="false" customHeight="false" outlineLevel="0" collapsed="false">
      <c r="A2090" s="1" t="s">
        <v>974</v>
      </c>
      <c r="B2090" s="0" t="s">
        <v>403</v>
      </c>
      <c r="C2090" s="15" t="n">
        <f aca="false">Sens!C2088*Sens!C2089*chip_f</f>
        <v>11.3973387156315</v>
      </c>
      <c r="D2090" s="15" t="n">
        <f aca="false">Sens!D2088*Sens!D2089*chip_f</f>
        <v>11.3973387156315</v>
      </c>
      <c r="E2090" s="15" t="n">
        <f aca="false">Sens!E2088*Sens!E2089*chip_f</f>
        <v>11.3973387156315</v>
      </c>
      <c r="F2090" s="15" t="n">
        <f aca="false">Sens!F2088*Sens!F2089*chip_f</f>
        <v>12.0114064284211</v>
      </c>
      <c r="G2090" s="15" t="n">
        <f aca="false">Sens!G2088*Sens!G2089*chip_f</f>
        <v>12.4374066198516</v>
      </c>
      <c r="H2090" s="15" t="n">
        <f aca="false">Sens!H2088*Sens!H2089*chip_f</f>
        <v>12.735045931073</v>
      </c>
      <c r="I2090" s="15" t="n">
        <f aca="false">Sens!I2088*Sens!I2089*chip_f</f>
        <v>12.9563153910195</v>
      </c>
      <c r="J2090" s="15" t="n">
        <f aca="false">Sens!J2088*Sens!J2089*chip_f</f>
        <v>13.1317262003643</v>
      </c>
      <c r="K2090" s="15" t="n">
        <f aca="false">Sens!K2088*Sens!K2089*chip_f</f>
        <v>13.3724377399815</v>
      </c>
      <c r="L2090" s="1" t="s">
        <v>975</v>
      </c>
    </row>
    <row r="2091" customFormat="false" ht="17.15" hidden="false" customHeight="false" outlineLevel="0" collapsed="false">
      <c r="A2091" s="0" t="s">
        <v>976</v>
      </c>
      <c r="B2091" s="0" t="s">
        <v>98</v>
      </c>
      <c r="D2091" s="6" t="n">
        <f aca="false">(Sens!C2074+Sens!D2074)/2*Sens!D2090/1000</f>
        <v>12.9359794422418</v>
      </c>
      <c r="E2091" s="6" t="n">
        <f aca="false">(Sens!D2074+Sens!E2074)/2*Sens!E2090/1000</f>
        <v>27.8095064661409</v>
      </c>
      <c r="F2091" s="6" t="n">
        <f aca="false">(Sens!E2074+Sens!F2074)/2*Sens!F2090/1000</f>
        <v>55.4118315060966</v>
      </c>
      <c r="G2091" s="6" t="n">
        <f aca="false">(Sens!F2074+Sens!G2074)/2*Sens!G2090/1000</f>
        <v>91.2881100675143</v>
      </c>
      <c r="H2091" s="6" t="n">
        <f aca="false">(Sens!G2074+Sens!H2074)/2*Sens!H2090/1000</f>
        <v>128.195273603944</v>
      </c>
      <c r="I2091" s="6" t="n">
        <f aca="false">(Sens!H2074+Sens!I2074)/2*Sens!I2090/1000</f>
        <v>160.601281810405</v>
      </c>
      <c r="J2091" s="6" t="n">
        <f aca="false">(Sens!I2074+Sens!J2074)/2*Sens!J2090/1000</f>
        <v>183.182719793589</v>
      </c>
      <c r="K2091" s="6" t="n">
        <f aca="false">(Sens!J2074+Sens!K2074)/2*Sens!K2090/1000</f>
        <v>197.320124937098</v>
      </c>
      <c r="L2091" s="12" t="s">
        <v>977</v>
      </c>
    </row>
    <row r="2092" customFormat="false" ht="17.15" hidden="false" customHeight="false" outlineLevel="0" collapsed="false">
      <c r="A2092" s="1" t="s">
        <v>978</v>
      </c>
      <c r="B2092" s="0" t="s">
        <v>403</v>
      </c>
      <c r="C2092" s="15" t="n">
        <f aca="false">(Sens!C2082*tk_opex_h100+Sens!C2083*tk_opex_gb200+Sens!C2084*tk_opex_gb300+(Sens!C2086+Sens!C2085)*tk_opex_vr200)/Sens!C2074</f>
        <v>1.88636041306092</v>
      </c>
      <c r="D2092" s="15" t="n">
        <f aca="false">(Sens!D2082*tk_opex_h100+Sens!D2083*tk_opex_gb200+Sens!D2084*tk_opex_gb300+(Sens!D2086+Sens!D2085)*tk_opex_vr200)/Sens!D2074</f>
        <v>1.88636041306092</v>
      </c>
      <c r="E2092" s="15" t="n">
        <f aca="false">(Sens!E2082*tk_opex_h100+Sens!E2083*tk_opex_gb200+Sens!E2084*tk_opex_gb300+(Sens!E2086+Sens!E2085)*tk_opex_vr200)/Sens!E2074</f>
        <v>1.88636041306092</v>
      </c>
      <c r="F2092" s="15" t="n">
        <f aca="false">(Sens!F2082*tk_opex_h100+Sens!F2083*tk_opex_gb200+Sens!F2084*tk_opex_gb300+(Sens!F2086+Sens!F2085)*tk_opex_vr200)/Sens!F2074</f>
        <v>1.95051159746876</v>
      </c>
      <c r="G2092" s="15" t="n">
        <f aca="false">(Sens!G2082*tk_opex_h100+Sens!G2083*tk_opex_gb200+Sens!G2084*tk_opex_gb300+(Sens!G2086+Sens!G2085)*tk_opex_vr200)/Sens!G2074</f>
        <v>1.98836003669956</v>
      </c>
      <c r="H2092" s="15" t="n">
        <f aca="false">(Sens!H2082*tk_opex_h100+Sens!H2083*tk_opex_gb200+Sens!H2084*tk_opex_gb300+(Sens!H2086+Sens!H2085)*tk_opex_vr200)/Sens!H2074</f>
        <v>2.01344013834343</v>
      </c>
      <c r="I2092" s="15" t="n">
        <f aca="false">(Sens!I2082*tk_opex_h100+Sens!I2083*tk_opex_gb200+Sens!I2084*tk_opex_gb300+(Sens!I2086+Sens!I2085)*tk_opex_vr200)/Sens!I2074</f>
        <v>2.03261166882178</v>
      </c>
      <c r="J2092" s="15" t="n">
        <f aca="false">(Sens!J2082*tk_opex_h100+Sens!J2083*tk_opex_gb200+Sens!J2084*tk_opex_gb300+(Sens!J2086+Sens!J2085)*tk_opex_vr200)/Sens!J2074</f>
        <v>2.04808073288745</v>
      </c>
      <c r="K2092" s="15" t="n">
        <f aca="false">(Sens!K2082*tk_opex_h100+Sens!K2083*tk_opex_gb200+Sens!K2084*tk_opex_gb300+(Sens!K2086+Sens!K2085)*tk_opex_vr200)/Sens!K2074</f>
        <v>2.06973825807449</v>
      </c>
      <c r="L2092" s="12" t="s">
        <v>979</v>
      </c>
    </row>
    <row r="2093" customFormat="false" ht="17.15" hidden="false" customHeight="false" outlineLevel="0" collapsed="false">
      <c r="A2093" s="0" t="s">
        <v>980</v>
      </c>
      <c r="B2093" s="0" t="s">
        <v>98</v>
      </c>
      <c r="D2093" s="6" t="n">
        <f aca="false">(Sens!C2077+Sens!D2077)/2*Sens!D2092/1000</f>
        <v>3.24453991046478</v>
      </c>
      <c r="E2093" s="6" t="n">
        <f aca="false">(Sens!D2077+Sens!E2077)/2*Sens!E2092/1000</f>
        <v>7.41339642332941</v>
      </c>
      <c r="F2093" s="6" t="n">
        <f aca="false">(Sens!E2077+Sens!F2077)/2*Sens!F2092/1000</f>
        <v>15.4490955707084</v>
      </c>
      <c r="G2093" s="6" t="n">
        <f aca="false">(Sens!F2077+Sens!G2077)/2*Sens!G2092/1000</f>
        <v>26.1819401575533</v>
      </c>
      <c r="H2093" s="6" t="n">
        <f aca="false">(Sens!G2077+Sens!H2077)/2*Sens!H2092/1000</f>
        <v>37.4916154547681</v>
      </c>
      <c r="I2093" s="6" t="n">
        <f aca="false">(Sens!H2077+Sens!I2077)/2*Sens!I2092/1000</f>
        <v>47.3175668931922</v>
      </c>
      <c r="J2093" s="6" t="n">
        <f aca="false">(Sens!I2077+Sens!J2077)/2*Sens!J2092/1000</f>
        <v>54.0432381874384</v>
      </c>
      <c r="K2093" s="6" t="n">
        <f aca="false">(Sens!J2077+Sens!K2077)/2*Sens!K2092/1000</f>
        <v>57.9515672509388</v>
      </c>
    </row>
    <row r="2094" customFormat="false" ht="17.15" hidden="false" customHeight="false" outlineLevel="0" collapsed="false">
      <c r="A2094" s="0" t="s">
        <v>981</v>
      </c>
      <c r="B2094" s="0" t="s">
        <v>98</v>
      </c>
      <c r="D2094" s="6" t="n">
        <f aca="false">(Sens!C2075+Sens!D2075)/2*rent_mw/1000</f>
        <v>2.44475</v>
      </c>
      <c r="E2094" s="6" t="n">
        <f aca="false">(Sens!D2075+Sens!E2075)/2*rent_mw/1000</f>
        <v>4.22275</v>
      </c>
      <c r="F2094" s="6" t="n">
        <f aca="false">(Sens!E2075+Sens!F2075)/2*rent_mw/1000</f>
        <v>5.80517</v>
      </c>
      <c r="G2094" s="6" t="n">
        <f aca="false">(Sens!F2075+Sens!G2075)/2*rent_mw/1000</f>
        <v>6.72084</v>
      </c>
      <c r="H2094" s="6" t="n">
        <f aca="false">(Sens!G2075+Sens!H2075)/2*rent_mw/1000</f>
        <v>6.72084</v>
      </c>
      <c r="I2094" s="6" t="n">
        <f aca="false">(Sens!H2075+Sens!I2075)/2*rent_mw/1000</f>
        <v>6.72084</v>
      </c>
      <c r="J2094" s="6" t="n">
        <f aca="false">(Sens!I2075+Sens!J2075)/2*rent_mw/1000</f>
        <v>6.72084</v>
      </c>
      <c r="K2094" s="6" t="n">
        <f aca="false">(Sens!J2075+Sens!K2075)/2*rent_mw/1000</f>
        <v>6.72084</v>
      </c>
    </row>
    <row r="2095" customFormat="false" ht="17.15" hidden="false" customHeight="false" outlineLevel="0" collapsed="false">
      <c r="A2095" s="0" t="s">
        <v>982</v>
      </c>
      <c r="B2095" s="0" t="s">
        <v>98</v>
      </c>
      <c r="D2095" s="6" t="n">
        <f aca="false">(Sens!C2077+Sens!D2077)/2*(1-self_build)*fac_rent/1000</f>
        <v>1.02389085075729</v>
      </c>
      <c r="E2095" s="6" t="n">
        <f aca="false">(Sens!D2077+Sens!E2077)/2*(1-self_build)*fac_rent/1000</f>
        <v>2.33947153690474</v>
      </c>
      <c r="F2095" s="6" t="n">
        <f aca="false">(Sens!E2077+Sens!F2077)/2*(1-self_build)*fac_rent/1000</f>
        <v>4.71497873371627</v>
      </c>
      <c r="G2095" s="6" t="n">
        <f aca="false">(Sens!F2077+Sens!G2077)/2*(1-self_build)*fac_rent/1000</f>
        <v>7.83848290293791</v>
      </c>
      <c r="H2095" s="6" t="n">
        <f aca="false">(Sens!G2077+Sens!H2077)/2*(1-self_build)*fac_rent/1000</f>
        <v>11.0846158600991</v>
      </c>
      <c r="I2095" s="6" t="n">
        <f aca="false">(Sens!H2077+Sens!I2077)/2*(1-self_build)*fac_rent/1000</f>
        <v>13.8577654268871</v>
      </c>
      <c r="J2095" s="6" t="n">
        <f aca="false">(Sens!I2077+Sens!J2077)/2*(1-self_build)*fac_rent/1000</f>
        <v>15.707949874693</v>
      </c>
      <c r="K2095" s="6" t="n">
        <f aca="false">(Sens!J2077+Sens!K2077)/2*(1-self_build)*fac_rent/1000</f>
        <v>16.6676730751867</v>
      </c>
      <c r="L2095" s="12" t="s">
        <v>983</v>
      </c>
    </row>
    <row r="2096" customFormat="false" ht="17.15" hidden="false" customHeight="false" outlineLevel="0" collapsed="false">
      <c r="A2096" s="1" t="s">
        <v>984</v>
      </c>
      <c r="B2096" s="0" t="s">
        <v>168</v>
      </c>
      <c r="D2096" s="7" t="n">
        <f aca="false">(Sens!C2076+Sens!D2076)/(Sens!C2077+Sens!D2077)</f>
        <v>0.5</v>
      </c>
      <c r="E2096" s="7" t="n">
        <f aca="false">(Sens!D2076+Sens!E2076)/(Sens!D2077+Sens!E2077)</f>
        <v>0.5</v>
      </c>
      <c r="F2096" s="7" t="n">
        <f aca="false">(Sens!E2076+Sens!F2076)/(Sens!E2077+Sens!F2077)</f>
        <v>0.5</v>
      </c>
      <c r="G2096" s="7" t="n">
        <f aca="false">(Sens!F2076+Sens!G2076)/(Sens!F2077+Sens!G2077)</f>
        <v>0.5</v>
      </c>
      <c r="H2096" s="7" t="n">
        <f aca="false">(Sens!G2076+Sens!H2076)/(Sens!G2077+Sens!H2077)</f>
        <v>0.5</v>
      </c>
      <c r="I2096" s="7" t="n">
        <f aca="false">(Sens!H2076+Sens!I2076)/(Sens!H2077+Sens!I2077)</f>
        <v>0.5</v>
      </c>
      <c r="J2096" s="7" t="n">
        <f aca="false">(Sens!I2076+Sens!J2076)/(Sens!I2077+Sens!J2077)</f>
        <v>0.5</v>
      </c>
      <c r="K2096" s="7" t="n">
        <f aca="false">(Sens!J2076+Sens!K2076)/(Sens!J2077+Sens!K2077)</f>
        <v>0.5</v>
      </c>
    </row>
    <row r="2097" customFormat="false" ht="17.15" hidden="false" customHeight="false" outlineLevel="0" collapsed="false">
      <c r="A2097" s="0" t="s">
        <v>985</v>
      </c>
      <c r="B2097" s="0" t="s">
        <v>98</v>
      </c>
      <c r="D2097" s="6" t="n">
        <f aca="false">Sens!D2091-Sens!D2096*(Sens!D2093+Sens!D2095)-Sens!D2094</f>
        <v>8.35701406163072</v>
      </c>
      <c r="E2097" s="6" t="n">
        <f aca="false">Sens!E2091-Sens!E2096*(Sens!E2093+Sens!E2095)-Sens!E2094</f>
        <v>18.7103224860238</v>
      </c>
      <c r="F2097" s="6" t="n">
        <f aca="false">Sens!F2091-Sens!F2096*(Sens!F2093+Sens!F2095)-Sens!F2094</f>
        <v>39.5246243538843</v>
      </c>
      <c r="G2097" s="6" t="n">
        <f aca="false">Sens!G2091-Sens!G2096*(Sens!G2093+Sens!G2095)-Sens!G2094</f>
        <v>67.5570585372687</v>
      </c>
      <c r="H2097" s="6" t="n">
        <f aca="false">Sens!H2091-Sens!H2096*(Sens!H2093+Sens!H2095)-Sens!H2094</f>
        <v>97.1863179465102</v>
      </c>
      <c r="I2097" s="6" t="n">
        <f aca="false">Sens!I2091-Sens!I2096*(Sens!I2093+Sens!I2095)-Sens!I2094</f>
        <v>123.292775650365</v>
      </c>
      <c r="J2097" s="6" t="n">
        <f aca="false">Sens!J2091-Sens!J2096*(Sens!J2093+Sens!J2095)-Sens!J2094</f>
        <v>141.586285762524</v>
      </c>
      <c r="K2097" s="6" t="n">
        <f aca="false">Sens!K2091-Sens!K2096*(Sens!K2093+Sens!K2095)-Sens!K2094</f>
        <v>153.289664774035</v>
      </c>
    </row>
    <row r="2098" customFormat="false" ht="17.15" hidden="false" customHeight="false" outlineLevel="0" collapsed="false">
      <c r="A2098" s="1" t="s">
        <v>986</v>
      </c>
      <c r="B2098" s="0" t="s">
        <v>98</v>
      </c>
      <c r="D2098" s="6" t="n">
        <f aca="false">(1-Sens!D2096)*(Sens!D2093+Sens!D2095)</f>
        <v>2.13421538061103</v>
      </c>
      <c r="E2098" s="6" t="n">
        <f aca="false">(1-Sens!E2096)*(Sens!E2093+Sens!E2095)</f>
        <v>4.87643398011707</v>
      </c>
      <c r="F2098" s="6" t="n">
        <f aca="false">(1-Sens!F2096)*(Sens!F2093+Sens!F2095)</f>
        <v>10.0820371522123</v>
      </c>
      <c r="G2098" s="6" t="n">
        <f aca="false">(1-Sens!G2096)*(Sens!G2093+Sens!G2095)</f>
        <v>17.0102115302456</v>
      </c>
      <c r="H2098" s="6" t="n">
        <f aca="false">(1-Sens!H2096)*(Sens!H2093+Sens!H2095)</f>
        <v>24.2881156574336</v>
      </c>
      <c r="I2098" s="6" t="n">
        <f aca="false">(1-Sens!I2096)*(Sens!I2093+Sens!I2095)</f>
        <v>30.5876661600396</v>
      </c>
      <c r="J2098" s="6" t="n">
        <f aca="false">(1-Sens!J2096)*(Sens!J2093+Sens!J2095)</f>
        <v>34.8755940310657</v>
      </c>
      <c r="K2098" s="6" t="n">
        <f aca="false">(1-Sens!K2096)*(Sens!K2093+Sens!K2095)</f>
        <v>37.3096201630627</v>
      </c>
    </row>
    <row r="2099" customFormat="false" ht="17.15" hidden="false" customHeight="false" outlineLevel="0" collapsed="false">
      <c r="A2099" s="1" t="s">
        <v>987</v>
      </c>
      <c r="B2099" s="0" t="s">
        <v>414</v>
      </c>
      <c r="C2099" s="8" t="n">
        <f aca="false">cxit_open</f>
        <v>27.5918995</v>
      </c>
      <c r="D2099" s="8" t="n">
        <f aca="false">cxit_open</f>
        <v>27.5918995</v>
      </c>
      <c r="E2099" s="8" t="n">
        <f aca="false">cxit_open</f>
        <v>27.5918995</v>
      </c>
      <c r="F2099" s="8" t="n">
        <f aca="false">((a_g3_27-nonnv*a_mai)*tk_cxit_gb300+nonnv*a_mai*nv_hold_mai*tk_cxit_vr200+(1-a_g3_27)*tk_cxit_vr200)</f>
        <v>32.4975576</v>
      </c>
      <c r="G2099" s="8" t="n">
        <f aca="false">((a_g3_28-nonnv*a_mai)*tk_cxit_gb300+nonnv*a_mai*nv_hold_mai*tk_cxit_vr200+(1-a_g3_28)*tk_cxit_vr200)</f>
        <v>34.6372088</v>
      </c>
      <c r="H2099" s="8" t="n">
        <f aca="false">((a_g3_29-nonnv*a_mai)*tk_cxit_gb300+nonnv*a_mai*nv_hold_mai*tk_cxit_vr200+(1-a_g3_29)*tk_cxit_vr200)</f>
        <v>35.7070344</v>
      </c>
      <c r="I2099" s="8" t="n">
        <f aca="false">((a_g3_29-nonnv*a_mai)*tk_cxit_gb300+nonnv*a_mai*nv_hold_mai*tk_cxit_vr200+(1-a_g3_29)*tk_cxit_vr200)</f>
        <v>35.7070344</v>
      </c>
      <c r="J2099" s="8" t="n">
        <f aca="false">((a_g3_29-nonnv*a_mai)*tk_cxit_gb300+nonnv*a_mai*nv_hold_mai*tk_cxit_vr200+(1-a_g3_29)*tk_cxit_vr200)</f>
        <v>35.7070344</v>
      </c>
      <c r="K2099" s="8" t="n">
        <f aca="false">((a_g3_29-nonnv*a_mai)*tk_cxit_gb300+nonnv*a_mai*nv_hold_mai*tk_cxit_vr200+(1-a_g3_29)*tk_cxit_vr200)</f>
        <v>35.7070344</v>
      </c>
      <c r="L2099" s="12" t="s">
        <v>988</v>
      </c>
    </row>
    <row r="2100" customFormat="false" ht="17.15" hidden="false" customHeight="false" outlineLevel="0" collapsed="false">
      <c r="A2100" s="0" t="s">
        <v>989</v>
      </c>
      <c r="B2100" s="0" t="s">
        <v>456</v>
      </c>
      <c r="F2100" s="30" t="n">
        <f aca="false">Sens!C2079*IF(Sens!F2072-Sens!C2072=life_it,1,0)+Sens!D2079*IF(Sens!F2072-Sens!D2072=life_it,1,0)+Sens!E2079*IF(Sens!F2072-Sens!E2072=life_it,1,0)</f>
        <v>0</v>
      </c>
      <c r="G2100" s="30" t="n">
        <f aca="false">Sens!C2079*IF(Sens!G2072-Sens!C2072=life_it,1,0)+Sens!D2079*IF(Sens!G2072-Sens!D2072=life_it,1,0)+Sens!E2079*IF(Sens!G2072-Sens!E2072=life_it,1,0)+Sens!F2079*IF(Sens!G2072-Sens!F2072=life_it,1,0)</f>
        <v>0</v>
      </c>
      <c r="H2100" s="30" t="n">
        <f aca="false">Sens!C2079*IF(Sens!H2072-Sens!C2072=life_it,1,0)+Sens!D2079*IF(Sens!H2072-Sens!D2072=life_it,1,0)+Sens!E2079*IF(Sens!H2072-Sens!E2072=life_it,1,0)+Sens!F2079*IF(Sens!H2072-Sens!F2072=life_it,1,0)+Sens!G2079*IF(Sens!H2072-Sens!G2072=life_it,1,0)</f>
        <v>0</v>
      </c>
      <c r="I2100" s="30" t="n">
        <f aca="false">Sens!C2079*IF(Sens!I2072-Sens!C2072=life_it,1,0)+Sens!D2079*IF(Sens!I2072-Sens!D2072=life_it,1,0)+Sens!E2079*IF(Sens!I2072-Sens!E2072=life_it,1,0)+Sens!F2079*IF(Sens!I2072-Sens!F2072=life_it,1,0)+Sens!G2079*IF(Sens!I2072-Sens!G2072=life_it,1,0)+Sens!H2079*IF(Sens!I2072-Sens!H2072=life_it,1,0)</f>
        <v>980</v>
      </c>
      <c r="J2100" s="30" t="n">
        <f aca="false">Sens!C2079*IF(Sens!J2072-Sens!C2072=life_it,1,0)+Sens!D2079*IF(Sens!J2072-Sens!D2072=life_it,1,0)+Sens!E2079*IF(Sens!J2072-Sens!E2072=life_it,1,0)+Sens!F2079*IF(Sens!J2072-Sens!F2072=life_it,1,0)+Sens!G2079*IF(Sens!J2072-Sens!G2072=life_it,1,0)+Sens!H2079*IF(Sens!J2072-Sens!H2072=life_it,1,0)+Sens!I2079*IF(Sens!J2072-Sens!I2072=life_it,1,0)</f>
        <v>1480</v>
      </c>
      <c r="K2100" s="30" t="n">
        <f aca="false">Sens!C2079*IF(Sens!K2072-Sens!C2072=life_it,1,0)+Sens!D2079*IF(Sens!K2072-Sens!D2072=life_it,1,0)+Sens!E2079*IF(Sens!K2072-Sens!E2072=life_it,1,0)+Sens!F2079*IF(Sens!K2072-Sens!F2072=life_it,1,0)+Sens!G2079*IF(Sens!K2072-Sens!G2072=life_it,1,0)+Sens!H2079*IF(Sens!K2072-Sens!H2072=life_it,1,0)+Sens!I2079*IF(Sens!K2072-Sens!I2072=life_it,1,0)+Sens!J2079*IF(Sens!K2072-Sens!J2072=life_it,1,0)</f>
        <v>2940</v>
      </c>
      <c r="L2100" s="1" t="s">
        <v>990</v>
      </c>
    </row>
    <row r="2101" customFormat="false" ht="17.15" hidden="false" customHeight="false" outlineLevel="0" collapsed="false">
      <c r="A2101" s="0" t="s">
        <v>991</v>
      </c>
      <c r="B2101" s="0" t="s">
        <v>98</v>
      </c>
      <c r="C2101" s="6" t="n">
        <f aca="false">Sens!C2079*Sens!C2099/1000</f>
        <v>27.04006151</v>
      </c>
      <c r="D2101" s="6" t="n">
        <f aca="false">Sens!D2079*Sens!D2099/1000</f>
        <v>40.83601126</v>
      </c>
      <c r="E2101" s="6" t="n">
        <f aca="false">Sens!E2079*Sens!E2099/1000</f>
        <v>81.12018453</v>
      </c>
      <c r="F2101" s="6" t="n">
        <f aca="false">(Sens!F2079+Sens!F2100)*Sens!F2099/1000</f>
        <v>163.822469190144</v>
      </c>
      <c r="G2101" s="6" t="n">
        <f aca="false">(Sens!G2079+Sens!G2100)*Sens!G2099/1000</f>
        <v>188.879131118458</v>
      </c>
      <c r="H2101" s="6" t="n">
        <f aca="false">(Sens!H2079+Sens!H2100)*Sens!H2099/1000</f>
        <v>194.712965217015</v>
      </c>
      <c r="I2101" s="6" t="n">
        <f aca="false">(Sens!I2079+Sens!I2100)*Sens!I2099/1000</f>
        <v>172.96388338252</v>
      </c>
      <c r="J2101" s="6" t="n">
        <f aca="false">(Sens!J2079+Sens!J2100)*Sens!J2099/1000</f>
        <v>136.834844829436</v>
      </c>
      <c r="K2101" s="6" t="n">
        <f aca="false">(Sens!K2079+Sens!K2100)*Sens!K2099/1000</f>
        <v>136.12450242117</v>
      </c>
    </row>
    <row r="2102" customFormat="false" ht="17.15" hidden="false" customHeight="false" outlineLevel="0" collapsed="false">
      <c r="A2102" s="0" t="s">
        <v>992</v>
      </c>
      <c r="B2102" s="0" t="s">
        <v>98</v>
      </c>
      <c r="C2102" s="6" t="n">
        <f aca="false">Sens!C2079*self_build*tk_cxfac/1000</f>
        <v>7.44996</v>
      </c>
      <c r="D2102" s="6" t="n">
        <f aca="false">Sens!D2079*self_build*tk_cxfac/1000</f>
        <v>11.25096</v>
      </c>
      <c r="E2102" s="6" t="n">
        <f aca="false">Sens!E2079*self_build*tk_cxfac/1000</f>
        <v>22.34988</v>
      </c>
      <c r="F2102" s="6" t="n">
        <f aca="false">Sens!F2079*self_build*tk_cxfac/1000</f>
        <v>38.3222156604</v>
      </c>
      <c r="G2102" s="6" t="n">
        <f aca="false">Sens!G2079*self_build*tk_cxfac/1000</f>
        <v>41.4542396604</v>
      </c>
      <c r="H2102" s="6" t="n">
        <f aca="false">Sens!H2079*self_build*tk_cxfac/1000</f>
        <v>41.4542396604</v>
      </c>
      <c r="I2102" s="6" t="n">
        <f aca="false">Sens!I2079*self_build*tk_cxfac/1000</f>
        <v>29.373916963412</v>
      </c>
      <c r="J2102" s="6" t="n">
        <f aca="false">Sens!J2079*self_build*tk_cxfac/1000</f>
        <v>17.8810726056923</v>
      </c>
      <c r="K2102" s="6" t="n">
        <f aca="false">Sens!K2079*self_build*tk_cxfac/1000</f>
        <v>6.63092125650911</v>
      </c>
    </row>
    <row r="2103" customFormat="false" ht="17.15" hidden="false" customHeight="false" outlineLevel="0" collapsed="false">
      <c r="A2103" s="0" t="s">
        <v>993</v>
      </c>
      <c r="B2103" s="0" t="s">
        <v>98</v>
      </c>
      <c r="F2103" s="15" t="n">
        <f aca="false">capex_floor27-Sens!F2101-Sens!F2102-Sens!F2199</f>
        <v>-33.6907613497663</v>
      </c>
      <c r="L2103" s="12" t="s">
        <v>994</v>
      </c>
    </row>
    <row r="2104" customFormat="false" ht="17.15" hidden="false" customHeight="false" outlineLevel="0" collapsed="false">
      <c r="A2104" s="0" t="s">
        <v>995</v>
      </c>
      <c r="B2104" s="0" t="s">
        <v>98</v>
      </c>
      <c r="F2104" s="6" t="n">
        <f aca="false">MAX(0,Sens!F2103)</f>
        <v>0</v>
      </c>
    </row>
    <row r="2105" customFormat="false" ht="17.15" hidden="false" customHeight="false" outlineLevel="0" collapsed="false">
      <c r="A2105" s="0" t="s">
        <v>996</v>
      </c>
      <c r="B2105" s="0" t="s">
        <v>98</v>
      </c>
      <c r="C2105" s="6" t="n">
        <f aca="false">Sens!C2101</f>
        <v>27.04006151</v>
      </c>
      <c r="D2105" s="6" t="n">
        <f aca="false">Sens!D2101</f>
        <v>40.83601126</v>
      </c>
      <c r="E2105" s="6" t="n">
        <f aca="false">Sens!E2101</f>
        <v>81.12018453</v>
      </c>
      <c r="F2105" s="6" t="n">
        <f aca="false">Sens!F2101</f>
        <v>163.822469190144</v>
      </c>
      <c r="G2105" s="6" t="n">
        <f aca="false">Sens!G2101</f>
        <v>188.879131118458</v>
      </c>
      <c r="H2105" s="6" t="n">
        <f aca="false">Sens!H2101</f>
        <v>194.712965217015</v>
      </c>
      <c r="I2105" s="6" t="n">
        <f aca="false">Sens!I2101</f>
        <v>172.96388338252</v>
      </c>
      <c r="J2105" s="6" t="n">
        <f aca="false">Sens!J2101</f>
        <v>136.834844829436</v>
      </c>
      <c r="K2105" s="6" t="n">
        <f aca="false">Sens!K2101</f>
        <v>136.12450242117</v>
      </c>
    </row>
    <row r="2106" customFormat="false" ht="17.15" hidden="false" customHeight="false" outlineLevel="0" collapsed="false">
      <c r="A2106" s="0" t="s">
        <v>997</v>
      </c>
      <c r="B2106" s="0" t="s">
        <v>98</v>
      </c>
      <c r="C2106" s="6" t="n">
        <f aca="false">Sens!C2105+Sens!C2102</f>
        <v>34.49002151</v>
      </c>
      <c r="D2106" s="6" t="n">
        <f aca="false">Sens!D2105+Sens!D2102</f>
        <v>52.08697126</v>
      </c>
      <c r="E2106" s="6" t="n">
        <f aca="false">Sens!E2105+Sens!E2102</f>
        <v>103.47006453</v>
      </c>
      <c r="F2106" s="6" t="n">
        <f aca="false">Sens!F2105+Sens!F2102</f>
        <v>202.144684850544</v>
      </c>
      <c r="G2106" s="6" t="n">
        <f aca="false">Sens!G2105+Sens!G2102</f>
        <v>230.333370778858</v>
      </c>
      <c r="H2106" s="6" t="n">
        <f aca="false">Sens!H2105+Sens!H2102</f>
        <v>236.167204877415</v>
      </c>
      <c r="I2106" s="6" t="n">
        <f aca="false">Sens!I2105+Sens!I2102</f>
        <v>202.337800345932</v>
      </c>
      <c r="J2106" s="6" t="n">
        <f aca="false">Sens!J2105+Sens!J2102</f>
        <v>154.715917435129</v>
      </c>
      <c r="K2106" s="6" t="n">
        <f aca="false">Sens!K2105+Sens!K2102</f>
        <v>142.755423677679</v>
      </c>
      <c r="L2106" s="12" t="s">
        <v>998</v>
      </c>
    </row>
    <row r="2107" customFormat="false" ht="17.15" hidden="false" customHeight="false" outlineLevel="0" collapsed="false">
      <c r="A2107" s="0" t="s">
        <v>999</v>
      </c>
      <c r="B2107" s="0" t="s">
        <v>98</v>
      </c>
      <c r="E2107" s="6" t="n">
        <f aca="false">(Sens!C2105*IF(2&lt;life_it,1,IF(2=life_it,0.5,0))+Sens!D2105*IF(1&lt;life_it,1,IF(1=life_it,0.5,0))+Sens!E2105*0.5)/life_it</f>
        <v>18.0726941725</v>
      </c>
      <c r="F2107" s="6" t="n">
        <f aca="false">(Sens!C2105*IF(3&lt;life_it,1,IF(3=life_it,0.5,0))+Sens!D2105*IF(2&lt;life_it,1,IF(2=life_it,0.5,0))+Sens!E2105*IF(1&lt;life_it,1,IF(1=life_it,0.5,0))+Sens!F2105*0.5)/life_it</f>
        <v>38.484581982512</v>
      </c>
      <c r="G2107" s="6" t="n">
        <f aca="false">(Sens!C2105*IF(4&lt;life_it,1,IF(4=life_it,0.5,0))+Sens!D2105*IF(3&lt;life_it,1,IF(3=life_it,0.5,0))+Sens!E2105*IF(2&lt;life_it,1,IF(2=life_it,0.5,0))+Sens!F2105*IF(1&lt;life_it,1,IF(1=life_it,0.5,0))+Sens!G2105*0.5)/life_it</f>
        <v>67.8763820082287</v>
      </c>
      <c r="H2107" s="6" t="n">
        <f aca="false">(Sens!C2105*IF(5&lt;life_it,1,IF(5=life_it,0.5,0))+Sens!D2105*IF(4&lt;life_it,1,IF(4=life_it,0.5,0))+Sens!E2105*IF(3&lt;life_it,1,IF(3=life_it,0.5,0))+Sens!F2105*IF(2&lt;life_it,1,IF(2=life_it,0.5,0))+Sens!G2105*IF(1&lt;life_it,1,IF(1=life_it,0.5,0))+Sens!H2105*0.5)/life_it</f>
        <v>99.8423900361848</v>
      </c>
      <c r="I2107" s="6" t="n">
        <f aca="false">(Sens!C2105*IF(6&lt;life_it,1,IF(6=life_it,0.5,0))+Sens!D2105*IF(5&lt;life_it,1,IF(5=life_it,0.5,0))+Sens!E2105*IF(4&lt;life_it,1,IF(4=life_it,0.5,0))+Sens!F2105*IF(3&lt;life_it,1,IF(3=life_it,0.5,0))+Sens!G2105*IF(2&lt;life_it,1,IF(2=life_it,0.5,0))+Sens!H2105*IF(1&lt;life_it,1,IF(1=life_it,0.5,0))+Sens!I2105*0.5)/life_it</f>
        <v>128.228788960313</v>
      </c>
      <c r="J2107" s="6" t="n">
        <f aca="false">(Sens!C2105*IF(7&lt;life_it,1,IF(7=life_it,0.5,0))+Sens!D2105*IF(6&lt;life_it,1,IF(6=life_it,0.5,0))+Sens!E2105*IF(5&lt;life_it,1,IF(5=life_it,0.5,0))+Sens!F2105*IF(4&lt;life_it,1,IF(4=life_it,0.5,0))+Sens!G2105*IF(3&lt;life_it,1,IF(3=life_it,0.5,0))+Sens!H2105*IF(2&lt;life_it,1,IF(2=life_it,0.5,0))+Sens!I2105*IF(1&lt;life_it,1,IF(1=life_it,0.5,0))+Sens!J2105*0.5)/life_it</f>
        <v>148.389010247142</v>
      </c>
      <c r="K2107" s="6" t="n">
        <f aca="false">(Sens!C2105*IF(8&lt;life_it,1,IF(8=life_it,0.5,0))+Sens!D2105*IF(7&lt;life_it,1,IF(7=life_it,0.5,0))+Sens!E2105*IF(6&lt;life_it,1,IF(6=life_it,0.5,0))+Sens!F2105*IF(5&lt;life_it,1,IF(5=life_it,0.5,0))+Sens!G2105*IF(4&lt;life_it,1,IF(4=life_it,0.5,0))+Sens!H2105*IF(3&lt;life_it,1,IF(3=life_it,0.5,0))+Sens!I2105*IF(2&lt;life_it,1,IF(2=life_it,0.5,0))+Sens!J2105*IF(1&lt;life_it,1,IF(1=life_it,0.5,0))+Sens!K2105*0.5)/life_it</f>
        <v>160.972606202193</v>
      </c>
    </row>
    <row r="2108" customFormat="false" ht="17.15" hidden="false" customHeight="false" outlineLevel="0" collapsed="false">
      <c r="A2108" s="0" t="s">
        <v>1000</v>
      </c>
      <c r="B2108" s="0" t="s">
        <v>98</v>
      </c>
      <c r="E2108" s="6" t="n">
        <f aca="false">(Sens!C2102*IF(2&lt;life_fac,1,IF(2=life_fac,0.5,0))+Sens!D2102*IF(1&lt;life_fac,1,IF(1=life_fac,0.5,0))+Sens!E2102*0.5)/life_fac</f>
        <v>1.493793</v>
      </c>
      <c r="F2108" s="6" t="n">
        <f aca="false">(Sens!C2102*IF(3&lt;life_fac,1,IF(3=life_fac,0.5,0))+Sens!D2102*IF(2&lt;life_fac,1,IF(2=life_fac,0.5,0))+Sens!E2102*IF(1&lt;life_fac,1,IF(1=life_fac,0.5,0))+Sens!F2102*0.5)/life_fac</f>
        <v>3.01059539151</v>
      </c>
      <c r="G2108" s="6" t="n">
        <f aca="false">(Sens!C2102*IF(4&lt;life_fac,1,IF(4=life_fac,0.5,0))+Sens!D2102*IF(3&lt;life_fac,1,IF(3=life_fac,0.5,0))+Sens!E2102*IF(2&lt;life_fac,1,IF(2=life_fac,0.5,0))+Sens!F2102*IF(1&lt;life_fac,1,IF(1=life_fac,0.5,0))+Sens!G2102*0.5)/life_fac</f>
        <v>5.00500677453</v>
      </c>
      <c r="H2108" s="6" t="n">
        <f aca="false">(Sens!C2102*IF(5&lt;life_fac,1,IF(5=life_fac,0.5,0))+Sens!D2102*IF(4&lt;life_fac,1,IF(4=life_fac,0.5,0))+Sens!E2102*IF(3&lt;life_fac,1,IF(3=life_fac,0.5,0))+Sens!F2102*IF(2&lt;life_fac,1,IF(2=life_fac,0.5,0))+Sens!G2102*IF(1&lt;life_fac,1,IF(1=life_fac,0.5,0))+Sens!H2102*0.5)/life_fac</f>
        <v>7.07771875755</v>
      </c>
      <c r="I2108" s="6" t="n">
        <f aca="false">(Sens!C2102*IF(6&lt;life_fac,1,IF(6=life_fac,0.5,0))+Sens!D2102*IF(5&lt;life_fac,1,IF(5=life_fac,0.5,0))+Sens!E2102*IF(4&lt;life_fac,1,IF(4=life_fac,0.5,0))+Sens!F2102*IF(3&lt;life_fac,1,IF(3=life_fac,0.5,0))+Sens!G2102*IF(2&lt;life_fac,1,IF(2=life_fac,0.5,0))+Sens!H2102*IF(1&lt;life_fac,1,IF(1=life_fac,0.5,0))+Sens!I2102*0.5)/life_fac</f>
        <v>8.8484226731453</v>
      </c>
      <c r="J2108" s="6" t="n">
        <f aca="false">(Sens!C2102*IF(7&lt;life_fac,1,IF(7=life_fac,0.5,0))+Sens!D2102*IF(6&lt;life_fac,1,IF(6=life_fac,0.5,0))+Sens!E2102*IF(5&lt;life_fac,1,IF(5=life_fac,0.5,0))+Sens!F2102*IF(4&lt;life_fac,1,IF(4=life_fac,0.5,0))+Sens!G2102*IF(3&lt;life_fac,1,IF(3=life_fac,0.5,0))+Sens!H2102*IF(2&lt;life_fac,1,IF(2=life_fac,0.5,0))+Sens!I2102*IF(1&lt;life_fac,1,IF(1=life_fac,0.5,0))+Sens!J2102*0.5)/life_fac</f>
        <v>10.0297974123729</v>
      </c>
      <c r="K2108" s="6" t="n">
        <f aca="false">(Sens!C2102*IF(8&lt;life_fac,1,IF(8=life_fac,0.5,0))+Sens!D2102*IF(7&lt;life_fac,1,IF(7=life_fac,0.5,0))+Sens!E2102*IF(6&lt;life_fac,1,IF(6=life_fac,0.5,0))+Sens!F2102*IF(5&lt;life_fac,1,IF(5=life_fac,0.5,0))+Sens!G2102*IF(4&lt;life_fac,1,IF(4=life_fac,0.5,0))+Sens!H2102*IF(3&lt;life_fac,1,IF(3=life_fac,0.5,0))+Sens!I2102*IF(2&lt;life_fac,1,IF(2=life_fac,0.5,0))+Sens!J2102*IF(1&lt;life_fac,1,IF(1=life_fac,0.5,0))+Sens!K2102*0.5)/life_fac</f>
        <v>10.6425972589279</v>
      </c>
    </row>
    <row r="2109" customFormat="false" ht="17.15" hidden="false" customHeight="false" outlineLevel="0" collapsed="false">
      <c r="A2109" s="0" t="s">
        <v>1001</v>
      </c>
      <c r="B2109" s="0" t="s">
        <v>98</v>
      </c>
      <c r="E2109" s="6" t="n">
        <f aca="false">Sens!E2107+Sens!E2108</f>
        <v>19.5664871725</v>
      </c>
      <c r="F2109" s="6" t="n">
        <f aca="false">Sens!F2107+Sens!F2108</f>
        <v>41.495177374022</v>
      </c>
      <c r="G2109" s="6" t="n">
        <f aca="false">Sens!G2107+Sens!G2108</f>
        <v>72.8813887827587</v>
      </c>
      <c r="H2109" s="6" t="n">
        <f aca="false">Sens!H2107+Sens!H2108</f>
        <v>106.920108793735</v>
      </c>
      <c r="I2109" s="6" t="n">
        <f aca="false">Sens!I2107+Sens!I2108</f>
        <v>137.077211633458</v>
      </c>
      <c r="J2109" s="6" t="n">
        <f aca="false">Sens!J2107+Sens!J2108</f>
        <v>158.418807659515</v>
      </c>
      <c r="K2109" s="6" t="n">
        <f aca="false">Sens!K2107+Sens!K2108</f>
        <v>171.615203461121</v>
      </c>
    </row>
    <row r="2110" customFormat="false" ht="17.15" hidden="false" customHeight="false" outlineLevel="0" collapsed="false">
      <c r="A2110" s="0" t="s">
        <v>1002</v>
      </c>
      <c r="B2110" s="0" t="s">
        <v>98</v>
      </c>
      <c r="E2110" s="6" t="n">
        <f aca="false">Sens!E2097-Sens!E2096*Sens!E2109</f>
        <v>8.92707889977379</v>
      </c>
      <c r="F2110" s="6" t="n">
        <f aca="false">Sens!F2097-Sens!F2096*Sens!F2109</f>
        <v>18.7770356668733</v>
      </c>
      <c r="G2110" s="6" t="n">
        <f aca="false">Sens!G2097-Sens!G2096*Sens!G2109</f>
        <v>31.1163641458894</v>
      </c>
      <c r="H2110" s="6" t="n">
        <f aca="false">Sens!H2097-Sens!H2096*Sens!H2109</f>
        <v>43.7262635496428</v>
      </c>
      <c r="I2110" s="6" t="n">
        <f aca="false">Sens!I2097-Sens!I2096*Sens!I2109</f>
        <v>54.7541698336361</v>
      </c>
      <c r="J2110" s="6" t="n">
        <f aca="false">Sens!J2097-Sens!J2096*Sens!J2109</f>
        <v>62.3768819327659</v>
      </c>
      <c r="K2110" s="6" t="n">
        <f aca="false">Sens!K2097-Sens!K2096*Sens!K2109</f>
        <v>67.4820630434748</v>
      </c>
    </row>
    <row r="2111" customFormat="false" ht="17.15" hidden="false" customHeight="false" outlineLevel="0" collapsed="false">
      <c r="A2111" s="3" t="s">
        <v>1531</v>
      </c>
    </row>
    <row r="2112" customFormat="false" ht="15" hidden="false" customHeight="false" outlineLevel="0" collapsed="false">
      <c r="A2112" s="4" t="s">
        <v>43</v>
      </c>
      <c r="B2112" s="4" t="s">
        <v>65</v>
      </c>
      <c r="C2112" s="23" t="s">
        <v>938</v>
      </c>
      <c r="D2112" s="23" t="s">
        <v>939</v>
      </c>
      <c r="E2112" s="23" t="s">
        <v>940</v>
      </c>
      <c r="F2112" s="23" t="s">
        <v>941</v>
      </c>
      <c r="G2112" s="23" t="s">
        <v>942</v>
      </c>
      <c r="H2112" s="23" t="s">
        <v>943</v>
      </c>
      <c r="I2112" s="23" t="s">
        <v>944</v>
      </c>
      <c r="J2112" s="23" t="s">
        <v>945</v>
      </c>
      <c r="K2112" s="23" t="s">
        <v>946</v>
      </c>
      <c r="L2112" s="4" t="s">
        <v>47</v>
      </c>
    </row>
    <row r="2113" customFormat="false" ht="17.15" hidden="false" customHeight="false" outlineLevel="0" collapsed="false">
      <c r="A2113" s="0" t="s">
        <v>1021</v>
      </c>
      <c r="B2113" s="0" t="s">
        <v>98</v>
      </c>
      <c r="D2113" s="6" t="n">
        <f aca="false">Sens!D2091</f>
        <v>12.9359794422418</v>
      </c>
      <c r="E2113" s="6" t="n">
        <f aca="false">Sens!E2091</f>
        <v>27.8095064661409</v>
      </c>
      <c r="F2113" s="6" t="n">
        <f aca="false">Sens!F2091</f>
        <v>55.4118315060966</v>
      </c>
      <c r="G2113" s="6" t="n">
        <f aca="false">Sens!G2091</f>
        <v>91.2881100675143</v>
      </c>
      <c r="H2113" s="6" t="n">
        <f aca="false">Sens!H2091</f>
        <v>128.195273603944</v>
      </c>
      <c r="I2113" s="6" t="n">
        <f aca="false">Sens!I2091</f>
        <v>160.601281810405</v>
      </c>
      <c r="J2113" s="6" t="n">
        <f aca="false">Sens!J2091</f>
        <v>183.182719793589</v>
      </c>
      <c r="K2113" s="6" t="n">
        <f aca="false">Sens!K2091</f>
        <v>197.320124937098</v>
      </c>
    </row>
    <row r="2114" customFormat="false" ht="17.15" hidden="false" customHeight="false" outlineLevel="0" collapsed="false">
      <c r="A2114" s="0" t="s">
        <v>1022</v>
      </c>
      <c r="B2114" s="0" t="s">
        <v>98</v>
      </c>
      <c r="D2114" s="6" t="n">
        <f aca="false">Q!L6-Sens!D2113</f>
        <v>59.6740205577583</v>
      </c>
      <c r="E2114" s="6" t="n">
        <f aca="false">Q!M6-Sens!E2113</f>
        <v>74.1284935338591</v>
      </c>
      <c r="F2114" s="6" t="n">
        <f aca="false">Q!$I$6+(Sens!F2113+Sens!E2114*(1+Sens!F2115))*(1-Q!$E$6/Q!M6)-Sens!F2113</f>
        <v>91.2972164940844</v>
      </c>
      <c r="G2114" s="6" t="n">
        <f aca="false">Sens!F2114*(1+Sens!G2115)</f>
        <v>108.474719793879</v>
      </c>
      <c r="H2114" s="6" t="n">
        <f aca="false">Sens!G2114*(1+Sens!H2115)</f>
        <v>125.951292505701</v>
      </c>
      <c r="I2114" s="6" t="n">
        <f aca="false">Sens!H2114*(1+Sens!I2115)</f>
        <v>142.838165154212</v>
      </c>
      <c r="J2114" s="6" t="n">
        <f aca="false">Sens!I2114*(1+Sens!J2115)</f>
        <v>158.12717866615</v>
      </c>
      <c r="K2114" s="6" t="n">
        <f aca="false">Sens!J2114*(1+Sens!K2115)</f>
        <v>170.777352959442</v>
      </c>
      <c r="L2114" s="12" t="s">
        <v>1023</v>
      </c>
    </row>
    <row r="2115" customFormat="false" ht="15" hidden="false" customHeight="false" outlineLevel="0" collapsed="false">
      <c r="A2115" s="1" t="s">
        <v>1024</v>
      </c>
      <c r="B2115" s="0" t="s">
        <v>168</v>
      </c>
      <c r="E2115" s="7" t="n">
        <f aca="false">Sens!E2114/Sens!D2114-1</f>
        <v>0.242223883039864</v>
      </c>
      <c r="F2115" s="7" t="n">
        <f aca="false">Sens!$E$2115+(glt_azo-Sens!$E$2115)*MIN(1,(Sens!F2072-base_fy)/n_conv)</f>
        <v>0.215186569199887</v>
      </c>
      <c r="G2115" s="7" t="n">
        <f aca="false">Sens!$E$2115+(glt_azo-Sens!$E$2115)*MIN(1,(Sens!G2072-base_fy)/n_conv)</f>
        <v>0.18814925535991</v>
      </c>
      <c r="H2115" s="7" t="n">
        <f aca="false">Sens!$E$2115+(glt_azo-Sens!$E$2115)*MIN(1,(Sens!H2072-base_fy)/n_conv)</f>
        <v>0.161111941519932</v>
      </c>
      <c r="I2115" s="7" t="n">
        <f aca="false">Sens!$E$2115+(glt_azo-Sens!$E$2115)*MIN(1,(Sens!I2072-base_fy)/n_conv)</f>
        <v>0.134074627679955</v>
      </c>
      <c r="J2115" s="7" t="n">
        <f aca="false">Sens!$E$2115+(glt_azo-Sens!$E$2115)*MIN(1,(Sens!J2072-base_fy)/n_conv)</f>
        <v>0.107037313839977</v>
      </c>
      <c r="K2115" s="7" t="n">
        <f aca="false">Sens!$E$2115+(glt_azo-Sens!$E$2115)*MIN(1,(Sens!K2072-base_fy)/n_conv)</f>
        <v>0.08</v>
      </c>
    </row>
    <row r="2116" customFormat="false" ht="15" hidden="false" customHeight="false" outlineLevel="0" collapsed="false">
      <c r="A2116" s="0" t="s">
        <v>1025</v>
      </c>
      <c r="B2116" s="0" t="s">
        <v>98</v>
      </c>
      <c r="D2116" s="6" t="n">
        <f aca="false">Sens!D2113+Sens!D2114</f>
        <v>72.61</v>
      </c>
      <c r="E2116" s="6" t="n">
        <f aca="false">Sens!E2113+Sens!E2114</f>
        <v>101.938</v>
      </c>
      <c r="F2116" s="6" t="n">
        <f aca="false">Sens!F2113+Sens!F2114</f>
        <v>146.709048000181</v>
      </c>
      <c r="G2116" s="6" t="n">
        <f aca="false">Sens!G2113+Sens!G2114</f>
        <v>199.762829861393</v>
      </c>
      <c r="H2116" s="6" t="n">
        <f aca="false">Sens!H2113+Sens!H2114</f>
        <v>254.146566109645</v>
      </c>
      <c r="I2116" s="6" t="n">
        <f aca="false">Sens!I2113+Sens!I2114</f>
        <v>303.439446964617</v>
      </c>
      <c r="J2116" s="6" t="n">
        <f aca="false">Sens!J2113+Sens!J2114</f>
        <v>341.309898459739</v>
      </c>
      <c r="K2116" s="6" t="n">
        <f aca="false">Sens!K2113+Sens!K2114</f>
        <v>368.09747789654</v>
      </c>
    </row>
    <row r="2117" customFormat="false" ht="17.15" hidden="false" customHeight="false" outlineLevel="0" collapsed="false">
      <c r="A2117" s="0" t="s">
        <v>1026</v>
      </c>
      <c r="B2117" s="1" t="s">
        <v>610</v>
      </c>
      <c r="C2117" s="30" t="n">
        <f aca="false">cop_s24</f>
        <v>1</v>
      </c>
      <c r="D2117" s="30" t="n">
        <f aca="false">cop_s25</f>
        <v>5</v>
      </c>
      <c r="E2117" s="30" t="n">
        <f aca="false">cop_s26</f>
        <v>30</v>
      </c>
      <c r="F2117" s="30" t="n">
        <f aca="false">Sens!E2117+cop_add_B</f>
        <v>50</v>
      </c>
      <c r="G2117" s="30" t="n">
        <f aca="false">Sens!F2117+cop_add_B</f>
        <v>70</v>
      </c>
      <c r="H2117" s="30" t="n">
        <f aca="false">Sens!G2117+cop_add_B</f>
        <v>90</v>
      </c>
      <c r="I2117" s="30" t="n">
        <f aca="false">Sens!H2117+cop_add_B*cop_tail</f>
        <v>100</v>
      </c>
      <c r="J2117" s="30" t="n">
        <f aca="false">Sens!I2117+cop_add_B*cop_tail</f>
        <v>110</v>
      </c>
      <c r="K2117" s="30" t="n">
        <f aca="false">Sens!J2117+cop_add_B*cop_tail</f>
        <v>120</v>
      </c>
      <c r="L2117" s="12" t="s">
        <v>1027</v>
      </c>
    </row>
    <row r="2118" customFormat="false" ht="17.15" hidden="false" customHeight="false" outlineLevel="0" collapsed="false">
      <c r="A2118" s="0" t="s">
        <v>1028</v>
      </c>
      <c r="B2118" s="0" t="s">
        <v>98</v>
      </c>
      <c r="D2118" s="6" t="n">
        <f aca="false">(Sens!C2117+Sens!D2117)/2*cop_px*12/1000</f>
        <v>0.9</v>
      </c>
      <c r="E2118" s="6" t="n">
        <f aca="false">(Sens!D2117+Sens!E2117)/2*cop_px*12/1000</f>
        <v>5.25</v>
      </c>
      <c r="F2118" s="6" t="n">
        <f aca="false">(Sens!E2117+Sens!F2117)/2*cop_px*12/1000</f>
        <v>12</v>
      </c>
      <c r="G2118" s="6" t="n">
        <f aca="false">(Sens!F2117+Sens!G2117)/2*cop_px*12/1000</f>
        <v>18</v>
      </c>
      <c r="H2118" s="6" t="n">
        <f aca="false">(Sens!G2117+Sens!H2117)/2*cop_px*12/1000</f>
        <v>24</v>
      </c>
      <c r="I2118" s="6" t="n">
        <f aca="false">(Sens!H2117+Sens!I2117)/2*cop_px*12/1000</f>
        <v>28.5</v>
      </c>
      <c r="J2118" s="6" t="n">
        <f aca="false">(Sens!I2117+Sens!J2117)/2*cop_px*12/1000</f>
        <v>31.5</v>
      </c>
      <c r="K2118" s="6" t="n">
        <f aca="false">(Sens!J2117+Sens!K2117)/2*cop_px*12/1000</f>
        <v>34.5</v>
      </c>
      <c r="L2118" s="1" t="s">
        <v>1029</v>
      </c>
    </row>
    <row r="2119" customFormat="false" ht="17.15" hidden="false" customHeight="false" outlineLevel="0" collapsed="false">
      <c r="A2119" s="0" t="s">
        <v>1030</v>
      </c>
      <c r="B2119" s="0" t="s">
        <v>98</v>
      </c>
      <c r="D2119" s="6" t="n">
        <f aca="false">Q!L7-Sens!D2118</f>
        <v>83.705</v>
      </c>
      <c r="E2119" s="6" t="n">
        <f aca="false">Q!M7-Sens!E2118</f>
        <v>95.049</v>
      </c>
      <c r="F2119" s="6" t="n">
        <f aca="false">Q!$I$7+(Sens!E2119*(1+Sens!F2120)+Sens!F2118)*(1-Q!$E$7/Q!M7)-Sens!F2118</f>
        <v>106.584003697747</v>
      </c>
      <c r="G2119" s="6" t="n">
        <f aca="false">Sens!F2119*(1+Sens!G2120)</f>
        <v>118.700726545688</v>
      </c>
      <c r="H2119" s="6" t="n">
        <f aca="false">Sens!G2119*(1+Sens!H2120)</f>
        <v>130.898624783666</v>
      </c>
      <c r="I2119" s="6" t="n">
        <f aca="false">Sens!H2119*(1+Sens!I2120)</f>
        <v>142.920510030657</v>
      </c>
      <c r="J2119" s="6" t="n">
        <f aca="false">Sens!I2119*(1+Sens!J2120)</f>
        <v>154.485722618572</v>
      </c>
      <c r="K2119" s="6" t="n">
        <f aca="false">Sens!J2119*(1+Sens!K2120)</f>
        <v>165.299723201872</v>
      </c>
      <c r="L2119" s="12" t="s">
        <v>1031</v>
      </c>
    </row>
    <row r="2120" customFormat="false" ht="15" hidden="false" customHeight="false" outlineLevel="0" collapsed="false">
      <c r="A2120" s="1" t="s">
        <v>1024</v>
      </c>
      <c r="B2120" s="0" t="s">
        <v>168</v>
      </c>
      <c r="E2120" s="7" t="n">
        <f aca="false">Sens!E2119/Sens!D2119-1</f>
        <v>0.135523564900544</v>
      </c>
      <c r="F2120" s="7" t="n">
        <f aca="false">Sens!$E$2120+(glt_m365b-Sens!$E$2120)*MIN(1,(Sens!F2072-base_fy)/n_conv)</f>
        <v>0.124602970750453</v>
      </c>
      <c r="G2120" s="7" t="n">
        <f aca="false">Sens!$E$2120+(glt_m365b-Sens!$E$2120)*MIN(1,(Sens!G2072-base_fy)/n_conv)</f>
        <v>0.113682376600363</v>
      </c>
      <c r="H2120" s="7" t="n">
        <f aca="false">Sens!$E$2120+(glt_m365b-Sens!$E$2120)*MIN(1,(Sens!H2072-base_fy)/n_conv)</f>
        <v>0.102761782450272</v>
      </c>
      <c r="I2120" s="7" t="n">
        <f aca="false">Sens!$E$2120+(glt_m365b-Sens!$E$2120)*MIN(1,(Sens!I2072-base_fy)/n_conv)</f>
        <v>0.0918411883001813</v>
      </c>
      <c r="J2120" s="7" t="n">
        <f aca="false">Sens!$E$2120+(glt_m365b-Sens!$E$2120)*MIN(1,(Sens!J2072-base_fy)/n_conv)</f>
        <v>0.0809205941500906</v>
      </c>
      <c r="K2120" s="7" t="n">
        <f aca="false">Sens!$E$2120+(glt_m365b-Sens!$E$2120)*MIN(1,(Sens!K2072-base_fy)/n_conv)</f>
        <v>0.07</v>
      </c>
    </row>
    <row r="2121" customFormat="false" ht="15" hidden="false" customHeight="false" outlineLevel="0" collapsed="false">
      <c r="A2121" s="0" t="s">
        <v>1032</v>
      </c>
      <c r="B2121" s="0" t="s">
        <v>98</v>
      </c>
      <c r="D2121" s="6" t="n">
        <f aca="false">Sens!D2119+Sens!D2118</f>
        <v>84.605</v>
      </c>
      <c r="E2121" s="6" t="n">
        <f aca="false">Sens!E2119+Sens!E2118</f>
        <v>100.299</v>
      </c>
      <c r="F2121" s="6" t="n">
        <f aca="false">Sens!F2119+Sens!F2118</f>
        <v>118.584003697747</v>
      </c>
      <c r="G2121" s="6" t="n">
        <f aca="false">Sens!G2119+Sens!G2118</f>
        <v>136.700726545688</v>
      </c>
      <c r="H2121" s="6" t="n">
        <f aca="false">Sens!H2119+Sens!H2118</f>
        <v>154.898624783666</v>
      </c>
      <c r="I2121" s="6" t="n">
        <f aca="false">Sens!I2119+Sens!I2118</f>
        <v>171.420510030657</v>
      </c>
      <c r="J2121" s="6" t="n">
        <f aca="false">Sens!J2119+Sens!J2118</f>
        <v>185.985722618572</v>
      </c>
      <c r="K2121" s="6" t="n">
        <f aca="false">Sens!K2119+Sens!K2118</f>
        <v>199.799723201872</v>
      </c>
    </row>
    <row r="2122" customFormat="false" ht="17.15" hidden="false" customHeight="false" outlineLevel="0" collapsed="false">
      <c r="A2122" s="0" t="s">
        <v>1033</v>
      </c>
      <c r="B2122" s="0" t="s">
        <v>98</v>
      </c>
      <c r="D2122" s="6" t="n">
        <f aca="false">Q!L8</f>
        <v>35.391</v>
      </c>
      <c r="E2122" s="6" t="n">
        <f aca="false">Q!M8</f>
        <v>37.285</v>
      </c>
      <c r="F2122" s="6" t="n">
        <f aca="false">Q!$I$8+(Q!M8-Q!$E$8)*(1+Sens!F2123)</f>
        <v>38.3851437782675</v>
      </c>
      <c r="G2122" s="6" t="n">
        <f aca="false">Sens!F2122*(1+Sens!G2123)</f>
        <v>40.0105353288615</v>
      </c>
      <c r="H2122" s="6" t="n">
        <f aca="false">Sens!G2122*(1+Sens!H2123)</f>
        <v>41.4812512033683</v>
      </c>
      <c r="I2122" s="6" t="n">
        <f aca="false">Sens!H2122*(1+Sens!I2123)</f>
        <v>42.7743107216329</v>
      </c>
      <c r="J2122" s="6" t="n">
        <f aca="false">Sens!I2122*(1+Sens!J2123)</f>
        <v>43.8687373064601</v>
      </c>
      <c r="K2122" s="6" t="n">
        <f aca="false">Sens!J2122*(1+Sens!K2123)</f>
        <v>44.7461120525893</v>
      </c>
      <c r="L2122" s="12" t="s">
        <v>1034</v>
      </c>
    </row>
    <row r="2123" customFormat="false" ht="15" hidden="false" customHeight="false" outlineLevel="0" collapsed="false">
      <c r="A2123" s="1" t="s">
        <v>1024</v>
      </c>
      <c r="B2123" s="0" t="s">
        <v>168</v>
      </c>
      <c r="E2123" s="7" t="n">
        <f aca="false">Sens!E2122/Sens!D2122-1</f>
        <v>0.0535164307309768</v>
      </c>
      <c r="F2123" s="7" t="n">
        <f aca="false">Sens!$E$2123+(glt_lic-Sens!$E$2123)*MIN(1,(Sens!F2072-base_fy)/n_conv)</f>
        <v>0.0479303589424807</v>
      </c>
      <c r="G2123" s="7" t="n">
        <f aca="false">Sens!$E$2123+(glt_lic-Sens!$E$2123)*MIN(1,(Sens!G2072-base_fy)/n_conv)</f>
        <v>0.0423442871539845</v>
      </c>
      <c r="H2123" s="7" t="n">
        <f aca="false">Sens!$E$2123+(glt_lic-Sens!$E$2123)*MIN(1,(Sens!H2072-base_fy)/n_conv)</f>
        <v>0.0367582153654884</v>
      </c>
      <c r="I2123" s="7" t="n">
        <f aca="false">Sens!$E$2123+(glt_lic-Sens!$E$2123)*MIN(1,(Sens!I2072-base_fy)/n_conv)</f>
        <v>0.0311721435769923</v>
      </c>
      <c r="J2123" s="7" t="n">
        <f aca="false">Sens!$E$2123+(glt_lic-Sens!$E$2123)*MIN(1,(Sens!J2072-base_fy)/n_conv)</f>
        <v>0.0255860717884961</v>
      </c>
      <c r="K2123" s="7" t="n">
        <f aca="false">Sens!$E$2123+(glt_lic-Sens!$E$2123)*MIN(1,(Sens!K2072-base_fy)/n_conv)</f>
        <v>0.02</v>
      </c>
    </row>
    <row r="2124" customFormat="false" ht="17.15" hidden="false" customHeight="false" outlineLevel="0" collapsed="false">
      <c r="A2124" s="0" t="s">
        <v>1035</v>
      </c>
      <c r="B2124" s="0" t="s">
        <v>98</v>
      </c>
      <c r="D2124" s="6" t="n">
        <f aca="false">Q!L9</f>
        <v>18.417</v>
      </c>
      <c r="E2124" s="6" t="n">
        <f aca="false">Q!M9</f>
        <v>20.345</v>
      </c>
      <c r="F2124" s="6" t="n">
        <f aca="false">Q!$I$9+(Q!M9-Q!$E$9)*(1+Sens!F2125)</f>
        <v>22.3161797133988</v>
      </c>
      <c r="G2124" s="6" t="n">
        <f aca="false">Sens!F2124*(1+Sens!G2125)</f>
        <v>24.3943499673233</v>
      </c>
      <c r="H2124" s="6" t="n">
        <f aca="false">Sens!G2124*(1+Sens!H2125)</f>
        <v>26.5250243109019</v>
      </c>
      <c r="I2124" s="6" t="n">
        <f aca="false">Sens!H2124*(1+Sens!I2125)</f>
        <v>28.6884573538181</v>
      </c>
      <c r="J2124" s="6" t="n">
        <f aca="false">Sens!I2124*(1+Sens!J2125)</f>
        <v>30.8624968052127</v>
      </c>
      <c r="K2124" s="6" t="n">
        <f aca="false">Sens!J2124*(1+Sens!K2125)</f>
        <v>33.0228715815776</v>
      </c>
      <c r="L2124" s="12" t="s">
        <v>1034</v>
      </c>
    </row>
    <row r="2125" customFormat="false" ht="15" hidden="false" customHeight="false" outlineLevel="0" collapsed="false">
      <c r="A2125" s="1" t="s">
        <v>1024</v>
      </c>
      <c r="B2125" s="0" t="s">
        <v>168</v>
      </c>
      <c r="E2125" s="7" t="n">
        <f aca="false">Sens!E2124/Sens!D2124-1</f>
        <v>0.104685888038225</v>
      </c>
      <c r="F2125" s="7" t="n">
        <f aca="false">Sens!$E$2125+(glt_ind-Sens!$E$2125)*MIN(1,(Sens!F2072-base_fy)/n_conv)</f>
        <v>0.0989049066985211</v>
      </c>
      <c r="G2125" s="7" t="n">
        <f aca="false">Sens!$E$2125+(glt_ind-Sens!$E$2125)*MIN(1,(Sens!G2072-base_fy)/n_conv)</f>
        <v>0.0931239253588169</v>
      </c>
      <c r="H2125" s="7" t="n">
        <f aca="false">Sens!$E$2125+(glt_ind-Sens!$E$2125)*MIN(1,(Sens!H2072-base_fy)/n_conv)</f>
        <v>0.0873429440191127</v>
      </c>
      <c r="I2125" s="7" t="n">
        <f aca="false">Sens!$E$2125+(glt_ind-Sens!$E$2125)*MIN(1,(Sens!I2072-base_fy)/n_conv)</f>
        <v>0.0815619626794085</v>
      </c>
      <c r="J2125" s="7" t="n">
        <f aca="false">Sens!$E$2125+(glt_ind-Sens!$E$2125)*MIN(1,(Sens!J2072-base_fy)/n_conv)</f>
        <v>0.0757809813397042</v>
      </c>
      <c r="K2125" s="7" t="n">
        <f aca="false">Sens!$E$2125+(glt_ind-Sens!$E$2125)*MIN(1,(Sens!K2072-base_fy)/n_conv)</f>
        <v>0.07</v>
      </c>
    </row>
    <row r="2126" customFormat="false" ht="17.15" hidden="false" customHeight="false" outlineLevel="0" collapsed="false">
      <c r="A2126" s="0" t="s">
        <v>1036</v>
      </c>
      <c r="B2126" s="0" t="s">
        <v>98</v>
      </c>
      <c r="D2126" s="6" t="n">
        <f aca="false">Q!L10</f>
        <v>7.76</v>
      </c>
      <c r="E2126" s="6" t="n">
        <f aca="false">Q!M10</f>
        <v>8.26</v>
      </c>
      <c r="F2126" s="6" t="n">
        <f aca="false">Q!$I$10+(Q!M10-Q!$E$10)*(1+Sens!F2127)</f>
        <v>8.75372082474227</v>
      </c>
      <c r="G2126" s="6" t="n">
        <f aca="false">Sens!F2126*(1+Sens!G2127)</f>
        <v>9.33399324642364</v>
      </c>
      <c r="H2126" s="6" t="n">
        <f aca="false">Sens!G2126*(1+Sens!H2127)</f>
        <v>9.96139155535851</v>
      </c>
      <c r="I2126" s="6" t="n">
        <f aca="false">Sens!H2126*(1+Sens!I2127)</f>
        <v>10.6402039077391</v>
      </c>
      <c r="J2126" s="6" t="n">
        <f aca="false">Sens!I2126*(1+Sens!J2127)</f>
        <v>11.3751458271397</v>
      </c>
      <c r="K2126" s="6" t="n">
        <f aca="false">Sens!J2126*(1+Sens!K2127)</f>
        <v>12.1714060350394</v>
      </c>
      <c r="L2126" s="12" t="s">
        <v>1034</v>
      </c>
    </row>
    <row r="2127" customFormat="false" ht="15" hidden="false" customHeight="false" outlineLevel="0" collapsed="false">
      <c r="A2127" s="1" t="s">
        <v>1024</v>
      </c>
      <c r="B2127" s="0" t="s">
        <v>168</v>
      </c>
      <c r="E2127" s="7" t="n">
        <f aca="false">Sens!E2126/Sens!D2126-1</f>
        <v>0.0644329896907216</v>
      </c>
      <c r="F2127" s="7" t="n">
        <f aca="false">Sens!$E$2127+(glt_fro-Sens!$E$2127)*MIN(1,(Sens!F2072-base_fy)/n_conv)</f>
        <v>0.065360824742268</v>
      </c>
      <c r="G2127" s="7" t="n">
        <f aca="false">Sens!$E$2127+(glt_fro-Sens!$E$2127)*MIN(1,(Sens!G2072-base_fy)/n_conv)</f>
        <v>0.0662886597938144</v>
      </c>
      <c r="H2127" s="7" t="n">
        <f aca="false">Sens!$E$2127+(glt_fro-Sens!$E$2127)*MIN(1,(Sens!H2072-base_fy)/n_conv)</f>
        <v>0.0672164948453608</v>
      </c>
      <c r="I2127" s="7" t="n">
        <f aca="false">Sens!$E$2127+(glt_fro-Sens!$E$2127)*MIN(1,(Sens!I2072-base_fy)/n_conv)</f>
        <v>0.0681443298969072</v>
      </c>
      <c r="J2127" s="7" t="n">
        <f aca="false">Sens!$E$2127+(glt_fro-Sens!$E$2127)*MIN(1,(Sens!J2072-base_fy)/n_conv)</f>
        <v>0.0690721649484536</v>
      </c>
      <c r="K2127" s="7" t="n">
        <f aca="false">Sens!$E$2127+(glt_fro-Sens!$E$2127)*MIN(1,(Sens!K2072-base_fy)/n_conv)</f>
        <v>0.07</v>
      </c>
    </row>
    <row r="2128" customFormat="false" ht="15" hidden="false" customHeight="false" outlineLevel="0" collapsed="false">
      <c r="A2128" s="0" t="s">
        <v>852</v>
      </c>
      <c r="B2128" s="0" t="s">
        <v>98</v>
      </c>
      <c r="D2128" s="6" t="n">
        <f aca="false">Sens!D2116+Sens!D2121+Sens!D2122+Sens!D2124+Sens!D2126</f>
        <v>218.783</v>
      </c>
      <c r="E2128" s="6" t="n">
        <f aca="false">Sens!E2116+Sens!E2121+Sens!E2122+Sens!E2124+Sens!E2126</f>
        <v>268.127</v>
      </c>
      <c r="F2128" s="6" t="n">
        <f aca="false">Sens!F2116+Sens!F2121+Sens!F2122+Sens!F2124+Sens!F2126</f>
        <v>334.748096014336</v>
      </c>
      <c r="G2128" s="6" t="n">
        <f aca="false">Sens!G2116+Sens!G2121+Sens!G2122+Sens!G2124+Sens!G2126</f>
        <v>410.20243494969</v>
      </c>
      <c r="H2128" s="6" t="n">
        <f aca="false">Sens!H2116+Sens!H2121+Sens!H2122+Sens!H2124+Sens!H2126</f>
        <v>487.012857962939</v>
      </c>
      <c r="I2128" s="6" t="n">
        <f aca="false">Sens!I2116+Sens!I2121+Sens!I2122+Sens!I2124+Sens!I2126</f>
        <v>556.962928978464</v>
      </c>
      <c r="J2128" s="6" t="n">
        <f aca="false">Sens!J2116+Sens!J2121+Sens!J2122+Sens!J2124+Sens!J2126</f>
        <v>613.402001017124</v>
      </c>
      <c r="K2128" s="6" t="n">
        <f aca="false">Sens!K2116+Sens!K2121+Sens!K2122+Sens!K2124+Sens!K2126</f>
        <v>657.837590767618</v>
      </c>
    </row>
    <row r="2129" customFormat="false" ht="17.15" hidden="false" customHeight="false" outlineLevel="0" collapsed="false">
      <c r="A2129" s="0" t="s">
        <v>1037</v>
      </c>
      <c r="B2129" s="0" t="s">
        <v>98</v>
      </c>
      <c r="D2129" s="6" t="n">
        <f aca="false">Q!L13</f>
        <v>22.171</v>
      </c>
      <c r="E2129" s="6" t="n">
        <f aca="false">Q!M13</f>
        <v>24.835</v>
      </c>
      <c r="F2129" s="6" t="n">
        <f aca="false">Q!$I$13+(Q!M13-Q!$E$13)*(1+Sens!F2130)</f>
        <v>27.5591895660247</v>
      </c>
      <c r="G2129" s="6" t="n">
        <f aca="false">Sens!F2129*(1+Sens!G2130)</f>
        <v>30.4098563144583</v>
      </c>
      <c r="H2129" s="6" t="n">
        <f aca="false">Sens!G2129*(1+Sens!H2130)</f>
        <v>33.3011792571777</v>
      </c>
      <c r="I2129" s="6" t="n">
        <f aca="false">Sens!H2129*(1+Sens!I2130)</f>
        <v>36.189023797112</v>
      </c>
      <c r="J2129" s="6" t="n">
        <f aca="false">Sens!I2129*(1+Sens!J2130)</f>
        <v>39.0247773769199</v>
      </c>
      <c r="K2129" s="6" t="n">
        <f aca="false">Sens!J2129*(1+Sens!K2130)</f>
        <v>41.7565117933043</v>
      </c>
      <c r="L2129" s="12" t="s">
        <v>1034</v>
      </c>
    </row>
    <row r="2130" customFormat="false" ht="15" hidden="false" customHeight="false" outlineLevel="0" collapsed="false">
      <c r="A2130" s="1" t="s">
        <v>1024</v>
      </c>
      <c r="B2130" s="0" t="s">
        <v>168</v>
      </c>
      <c r="E2130" s="7" t="n">
        <f aca="false">Sens!E2129/Sens!D2129-1</f>
        <v>0.120156961796942</v>
      </c>
      <c r="F2130" s="7" t="n">
        <f aca="false">Sens!$E$2130+(glt_srch-Sens!$E$2130)*MIN(1,(Sens!F2072-base_fy)/n_conv)</f>
        <v>0.111797468164118</v>
      </c>
      <c r="G2130" s="7" t="n">
        <f aca="false">Sens!$E$2130+(glt_srch-Sens!$E$2130)*MIN(1,(Sens!G2072-base_fy)/n_conv)</f>
        <v>0.103437974531295</v>
      </c>
      <c r="H2130" s="7" t="n">
        <f aca="false">Sens!$E$2130+(glt_srch-Sens!$E$2130)*MIN(1,(Sens!H2072-base_fy)/n_conv)</f>
        <v>0.095078480898471</v>
      </c>
      <c r="I2130" s="7" t="n">
        <f aca="false">Sens!$E$2130+(glt_srch-Sens!$E$2130)*MIN(1,(Sens!I2072-base_fy)/n_conv)</f>
        <v>0.0867189872656474</v>
      </c>
      <c r="J2130" s="7" t="n">
        <f aca="false">Sens!$E$2130+(glt_srch-Sens!$E$2130)*MIN(1,(Sens!J2072-base_fy)/n_conv)</f>
        <v>0.0783594936328237</v>
      </c>
      <c r="K2130" s="7" t="n">
        <f aca="false">Sens!$E$2130+(glt_srch-Sens!$E$2130)*MIN(1,(Sens!K2072-base_fy)/n_conv)</f>
        <v>0.07</v>
      </c>
    </row>
    <row r="2131" customFormat="false" ht="17.15" hidden="false" customHeight="false" outlineLevel="0" collapsed="false">
      <c r="A2131" s="0" t="s">
        <v>1038</v>
      </c>
      <c r="B2131" s="0" t="s">
        <v>98</v>
      </c>
      <c r="D2131" s="6" t="n">
        <f aca="false">Q!L14</f>
        <v>23.455</v>
      </c>
      <c r="E2131" s="6" t="n">
        <f aca="false">Q!M14</f>
        <v>21.79</v>
      </c>
      <c r="F2131" s="6" t="n">
        <f aca="false">Q!$I$14+(Q!M14-Q!$E$14)*(1+Sens!F2132)</f>
        <v>20.7520981041711</v>
      </c>
      <c r="G2131" s="6" t="n">
        <f aca="false">Sens!F2131*(1+Sens!G2132)</f>
        <v>19.9083593495882</v>
      </c>
      <c r="H2131" s="6" t="n">
        <f aca="false">Sens!G2131*(1+Sens!H2132)</f>
        <v>19.4008256265831</v>
      </c>
      <c r="I2131" s="6" t="n">
        <f aca="false">Sens!H2131*(1+Sens!I2132)</f>
        <v>19.200434522122</v>
      </c>
      <c r="J2131" s="6" t="n">
        <f aca="false">Sens!I2131*(1+Sens!J2132)</f>
        <v>19.2932782348507</v>
      </c>
      <c r="K2131" s="6" t="n">
        <f aca="false">Sens!J2131*(1+Sens!K2132)</f>
        <v>19.6791437995477</v>
      </c>
      <c r="L2131" s="12" t="s">
        <v>1034</v>
      </c>
    </row>
    <row r="2132" customFormat="false" ht="15" hidden="false" customHeight="false" outlineLevel="0" collapsed="false">
      <c r="A2132" s="1" t="s">
        <v>1024</v>
      </c>
      <c r="B2132" s="0" t="s">
        <v>168</v>
      </c>
      <c r="E2132" s="7" t="n">
        <f aca="false">Sens!E2131/Sens!D2131-1</f>
        <v>-0.0709869963760392</v>
      </c>
      <c r="F2132" s="7" t="n">
        <f aca="false">Sens!$E$2132+(glt_xbox-Sens!$E$2132)*MIN(1,(Sens!F2072-base_fy)/n_conv)</f>
        <v>-0.0558224969800327</v>
      </c>
      <c r="G2132" s="7" t="n">
        <f aca="false">Sens!$E$2132+(glt_xbox-Sens!$E$2132)*MIN(1,(Sens!G2072-base_fy)/n_conv)</f>
        <v>-0.0406579975840262</v>
      </c>
      <c r="H2132" s="7" t="n">
        <f aca="false">Sens!$E$2132+(glt_xbox-Sens!$E$2132)*MIN(1,(Sens!H2072-base_fy)/n_conv)</f>
        <v>-0.0254934981880196</v>
      </c>
      <c r="I2132" s="7" t="n">
        <f aca="false">Sens!$E$2132+(glt_xbox-Sens!$E$2132)*MIN(1,(Sens!I2072-base_fy)/n_conv)</f>
        <v>-0.0103289987920131</v>
      </c>
      <c r="J2132" s="7" t="n">
        <f aca="false">Sens!$E$2132+(glt_xbox-Sens!$E$2132)*MIN(1,(Sens!J2072-base_fy)/n_conv)</f>
        <v>0.00483550060399347</v>
      </c>
      <c r="K2132" s="7" t="n">
        <f aca="false">Sens!$E$2132+(glt_xbox-Sens!$E$2132)*MIN(1,(Sens!K2072-base_fy)/n_conv)</f>
        <v>0.02</v>
      </c>
    </row>
    <row r="2133" customFormat="false" ht="17.15" hidden="false" customHeight="false" outlineLevel="0" collapsed="false">
      <c r="A2133" s="0" t="s">
        <v>1039</v>
      </c>
      <c r="B2133" s="0" t="s">
        <v>98</v>
      </c>
      <c r="D2133" s="6" t="n">
        <f aca="false">Q!L15</f>
        <v>17.315</v>
      </c>
      <c r="E2133" s="6" t="n">
        <f aca="false">Q!M15</f>
        <v>17.087</v>
      </c>
      <c r="F2133" s="6" t="n">
        <f aca="false">Q!$I$15+(Q!M15-Q!$E$15)*(1+Sens!F2134)</f>
        <v>15.9912273250553</v>
      </c>
      <c r="G2133" s="6" t="n">
        <f aca="false">Sens!F2133*(1+Sens!G2134)</f>
        <v>15.9574562664827</v>
      </c>
      <c r="H2133" s="6" t="n">
        <f aca="false">Sens!G2133*(1+Sens!H2134)</f>
        <v>16.0119687434196</v>
      </c>
      <c r="I2133" s="6" t="n">
        <f aca="false">Sens!H2133*(1+Sens!I2134)</f>
        <v>16.1551810001948</v>
      </c>
      <c r="J2133" s="6" t="n">
        <f aca="false">Sens!I2133*(1+Sens!J2134)</f>
        <v>16.3889793892005</v>
      </c>
      <c r="K2133" s="6" t="n">
        <f aca="false">Sens!J2133*(1+Sens!K2134)</f>
        <v>16.7167589769845</v>
      </c>
      <c r="L2133" s="12" t="s">
        <v>1034</v>
      </c>
    </row>
    <row r="2134" customFormat="false" ht="15" hidden="false" customHeight="false" outlineLevel="0" collapsed="false">
      <c r="A2134" s="1" t="s">
        <v>1024</v>
      </c>
      <c r="B2134" s="0" t="s">
        <v>168</v>
      </c>
      <c r="E2134" s="7" t="n">
        <f aca="false">Sens!E2133/Sens!D2133-1</f>
        <v>-0.0131677736066995</v>
      </c>
      <c r="F2134" s="7" t="n">
        <f aca="false">Sens!$E$2134+(glt_win-Sens!$E$2134)*MIN(1,(Sens!F2072-base_fy)/n_conv)</f>
        <v>-0.00763981133891627</v>
      </c>
      <c r="G2134" s="7" t="n">
        <f aca="false">Sens!$E$2134+(glt_win-Sens!$E$2134)*MIN(1,(Sens!G2072-base_fy)/n_conv)</f>
        <v>-0.00211184907113301</v>
      </c>
      <c r="H2134" s="7" t="n">
        <f aca="false">Sens!$E$2134+(glt_win-Sens!$E$2134)*MIN(1,(Sens!H2072-base_fy)/n_conv)</f>
        <v>0.00341611319665024</v>
      </c>
      <c r="I2134" s="7" t="n">
        <f aca="false">Sens!$E$2134+(glt_win-Sens!$E$2134)*MIN(1,(Sens!I2072-base_fy)/n_conv)</f>
        <v>0.00894407546443349</v>
      </c>
      <c r="J2134" s="7" t="n">
        <f aca="false">Sens!$E$2134+(glt_win-Sens!$E$2134)*MIN(1,(Sens!J2072-base_fy)/n_conv)</f>
        <v>0.0144720377322168</v>
      </c>
      <c r="K2134" s="7" t="n">
        <f aca="false">Sens!$E$2134+(glt_win-Sens!$E$2134)*MIN(1,(Sens!K2072-base_fy)/n_conv)</f>
        <v>0.02</v>
      </c>
    </row>
    <row r="2135" customFormat="false" ht="15" hidden="false" customHeight="false" outlineLevel="0" collapsed="false">
      <c r="A2135" s="0" t="s">
        <v>866</v>
      </c>
      <c r="B2135" s="0" t="s">
        <v>98</v>
      </c>
      <c r="D2135" s="6" t="n">
        <f aca="false">Sens!D2129+Sens!D2131+Sens!D2133</f>
        <v>62.941</v>
      </c>
      <c r="E2135" s="6" t="n">
        <f aca="false">Sens!E2129+Sens!E2131+Sens!E2133</f>
        <v>63.712</v>
      </c>
      <c r="F2135" s="6" t="n">
        <f aca="false">Sens!F2129+Sens!F2131+Sens!F2133</f>
        <v>64.3025149952511</v>
      </c>
      <c r="G2135" s="6" t="n">
        <f aca="false">Sens!G2129+Sens!G2131+Sens!G2133</f>
        <v>66.2756719305292</v>
      </c>
      <c r="H2135" s="6" t="n">
        <f aca="false">Sens!H2129+Sens!H2131+Sens!H2133</f>
        <v>68.7139736271804</v>
      </c>
      <c r="I2135" s="6" t="n">
        <f aca="false">Sens!I2129+Sens!I2131+Sens!I2133</f>
        <v>71.5446393194289</v>
      </c>
      <c r="J2135" s="6" t="n">
        <f aca="false">Sens!J2129+Sens!J2131+Sens!J2133</f>
        <v>74.707035000971</v>
      </c>
      <c r="K2135" s="6" t="n">
        <f aca="false">Sens!K2129+Sens!K2131+Sens!K2133</f>
        <v>78.1524145698365</v>
      </c>
    </row>
    <row r="2136" customFormat="false" ht="15" hidden="false" customHeight="false" outlineLevel="0" collapsed="false">
      <c r="A2136" s="1" t="s">
        <v>1040</v>
      </c>
      <c r="B2136" s="0" t="s">
        <v>98</v>
      </c>
      <c r="D2136" s="6" t="n">
        <f aca="false">Sens!D2128+Sens!D2135</f>
        <v>281.724</v>
      </c>
      <c r="E2136" s="6" t="n">
        <f aca="false">Sens!E2128+Sens!E2135</f>
        <v>331.839</v>
      </c>
      <c r="F2136" s="6" t="n">
        <f aca="false">Sens!F2128+Sens!F2135</f>
        <v>399.050611009588</v>
      </c>
      <c r="G2136" s="6" t="n">
        <f aca="false">Sens!G2128+Sens!G2135</f>
        <v>476.478106880219</v>
      </c>
      <c r="H2136" s="6" t="n">
        <f aca="false">Sens!H2128+Sens!H2135</f>
        <v>555.72683159012</v>
      </c>
      <c r="I2136" s="6" t="n">
        <f aca="false">Sens!I2128+Sens!I2135</f>
        <v>628.507568297893</v>
      </c>
      <c r="J2136" s="6" t="n">
        <f aca="false">Sens!J2128+Sens!J2135</f>
        <v>688.109036018095</v>
      </c>
      <c r="K2136" s="6" t="n">
        <f aca="false">Sens!K2128+Sens!K2135</f>
        <v>735.990005337455</v>
      </c>
    </row>
    <row r="2137" customFormat="false" ht="15" hidden="false" customHeight="false" outlineLevel="0" collapsed="false">
      <c r="A2137" s="26" t="s">
        <v>1041</v>
      </c>
      <c r="B2137" s="31" t="s">
        <v>98</v>
      </c>
      <c r="C2137" s="31"/>
      <c r="D2137" s="27" t="n">
        <f aca="false">(Sens!D2116+Sens!D2121+Sens!D2122+Sens!D2124+Sens!D2126-Sens!D2128)+(Sens!D2129+Sens!D2131+Sens!D2133-Sens!D2135)+(Sens!D2128-Q!L5)+(Sens!D2135-Q!L12)+(Sens!D2116-Q!L6)+(Sens!D2121-Q!L7)</f>
        <v>0</v>
      </c>
      <c r="E2137" s="27" t="n">
        <f aca="false">(Sens!E2116+Sens!E2121+Sens!E2122+Sens!E2124+Sens!E2126-Sens!E2128)+(Sens!E2129+Sens!E2131+Sens!E2133-Sens!E2135)+(Sens!E2128-Q!M5)+(Sens!E2135-Q!M12)+(Sens!E2116-Q!M6)+(Sens!E2121-Q!M7)</f>
        <v>0</v>
      </c>
      <c r="F2137" s="27" t="n">
        <f aca="false">(Sens!F2116+Sens!F2121+Sens!F2122+Sens!F2124+Sens!F2126-Sens!F2128)+(Sens!F2129+Sens!F2131+Sens!F2133-Sens!F2135)</f>
        <v>0</v>
      </c>
      <c r="G2137" s="27" t="n">
        <f aca="false">(Sens!G2116+Sens!G2121+Sens!G2122+Sens!G2124+Sens!G2126-Sens!G2128)+(Sens!G2129+Sens!G2131+Sens!G2133-Sens!G2135)</f>
        <v>0</v>
      </c>
      <c r="H2137" s="27" t="n">
        <f aca="false">(Sens!H2116+Sens!H2121+Sens!H2122+Sens!H2124+Sens!H2126-Sens!H2128)+(Sens!H2129+Sens!H2131+Sens!H2133-Sens!H2135)</f>
        <v>0</v>
      </c>
      <c r="I2137" s="27" t="n">
        <f aca="false">(Sens!I2116+Sens!I2121+Sens!I2122+Sens!I2124+Sens!I2126-Sens!I2128)+(Sens!I2129+Sens!I2131+Sens!I2133-Sens!I2135)</f>
        <v>0</v>
      </c>
      <c r="J2137" s="27" t="n">
        <f aca="false">(Sens!J2116+Sens!J2121+Sens!J2122+Sens!J2124+Sens!J2126-Sens!J2128)+(Sens!J2129+Sens!J2131+Sens!J2133-Sens!J2135)</f>
        <v>0</v>
      </c>
      <c r="K2137" s="27" t="n">
        <f aca="false">(Sens!K2116+Sens!K2121+Sens!K2122+Sens!K2124+Sens!K2126-Sens!K2128)+(Sens!K2129+Sens!K2131+Sens!K2133-Sens!K2135)</f>
        <v>0</v>
      </c>
    </row>
    <row r="2138" customFormat="false" ht="17.15" hidden="false" customHeight="false" outlineLevel="0" collapsed="false">
      <c r="A2138" s="3" t="s">
        <v>1532</v>
      </c>
    </row>
    <row r="2139" customFormat="false" ht="15" hidden="false" customHeight="false" outlineLevel="0" collapsed="false">
      <c r="A2139" s="4" t="s">
        <v>43</v>
      </c>
      <c r="B2139" s="4" t="s">
        <v>65</v>
      </c>
      <c r="C2139" s="23" t="s">
        <v>938</v>
      </c>
      <c r="D2139" s="23" t="s">
        <v>939</v>
      </c>
      <c r="E2139" s="23" t="s">
        <v>940</v>
      </c>
      <c r="F2139" s="23" t="s">
        <v>941</v>
      </c>
      <c r="G2139" s="23" t="s">
        <v>942</v>
      </c>
      <c r="H2139" s="23" t="s">
        <v>943</v>
      </c>
      <c r="I2139" s="23" t="s">
        <v>944</v>
      </c>
      <c r="J2139" s="23" t="s">
        <v>945</v>
      </c>
      <c r="K2139" s="23" t="s">
        <v>946</v>
      </c>
      <c r="L2139" s="4" t="s">
        <v>47</v>
      </c>
    </row>
    <row r="2140" customFormat="false" ht="15" hidden="false" customHeight="false" outlineLevel="0" collapsed="false">
      <c r="A2140" s="0" t="s">
        <v>1025</v>
      </c>
      <c r="B2140" s="0" t="s">
        <v>98</v>
      </c>
      <c r="D2140" s="6" t="n">
        <f aca="false">Sens!D2116</f>
        <v>72.61</v>
      </c>
      <c r="E2140" s="6" t="n">
        <f aca="false">Sens!E2116</f>
        <v>101.938</v>
      </c>
      <c r="F2140" s="6" t="n">
        <f aca="false">Sens!F2116</f>
        <v>146.709048000181</v>
      </c>
      <c r="G2140" s="6" t="n">
        <f aca="false">Sens!G2116</f>
        <v>199.762829861393</v>
      </c>
      <c r="H2140" s="6" t="n">
        <f aca="false">Sens!H2116</f>
        <v>254.146566109645</v>
      </c>
      <c r="I2140" s="6" t="n">
        <f aca="false">Sens!I2116</f>
        <v>303.439446964617</v>
      </c>
      <c r="J2140" s="6" t="n">
        <f aca="false">Sens!J2116</f>
        <v>341.309898459739</v>
      </c>
      <c r="K2140" s="6" t="n">
        <f aca="false">Sens!K2116</f>
        <v>368.09747789654</v>
      </c>
    </row>
    <row r="2141" customFormat="false" ht="17.15" hidden="false" customHeight="false" outlineLevel="0" collapsed="false">
      <c r="A2141" s="0" t="s">
        <v>1021</v>
      </c>
      <c r="B2141" s="0" t="s">
        <v>98</v>
      </c>
      <c r="D2141" s="6" t="n">
        <f aca="false">Sens!D2113</f>
        <v>12.9359794422418</v>
      </c>
      <c r="E2141" s="6" t="n">
        <f aca="false">Sens!E2113</f>
        <v>27.8095064661409</v>
      </c>
      <c r="F2141" s="6" t="n">
        <f aca="false">Sens!F2113</f>
        <v>55.4118315060966</v>
      </c>
      <c r="G2141" s="6" t="n">
        <f aca="false">Sens!G2113</f>
        <v>91.2881100675143</v>
      </c>
      <c r="H2141" s="6" t="n">
        <f aca="false">Sens!H2113</f>
        <v>128.195273603944</v>
      </c>
      <c r="I2141" s="6" t="n">
        <f aca="false">Sens!I2113</f>
        <v>160.601281810405</v>
      </c>
      <c r="J2141" s="6" t="n">
        <f aca="false">Sens!J2113</f>
        <v>183.182719793589</v>
      </c>
      <c r="K2141" s="6" t="n">
        <f aca="false">Sens!K2113</f>
        <v>197.320124937098</v>
      </c>
    </row>
    <row r="2142" customFormat="false" ht="17.15" hidden="false" customHeight="false" outlineLevel="0" collapsed="false">
      <c r="A2142" s="0" t="s">
        <v>1052</v>
      </c>
      <c r="B2142" s="0" t="s">
        <v>98</v>
      </c>
      <c r="D2142" s="6" t="n">
        <f aca="false">Sens!D2114</f>
        <v>59.6740205577583</v>
      </c>
      <c r="E2142" s="6" t="n">
        <f aca="false">Sens!E2114</f>
        <v>74.1284935338591</v>
      </c>
      <c r="F2142" s="6" t="n">
        <f aca="false">Sens!F2114</f>
        <v>91.2972164940844</v>
      </c>
      <c r="G2142" s="6" t="n">
        <f aca="false">Sens!G2114</f>
        <v>108.474719793879</v>
      </c>
      <c r="H2142" s="6" t="n">
        <f aca="false">Sens!H2114</f>
        <v>125.951292505701</v>
      </c>
      <c r="I2142" s="6" t="n">
        <f aca="false">Sens!I2114</f>
        <v>142.838165154212</v>
      </c>
      <c r="J2142" s="6" t="n">
        <f aca="false">Sens!J2114</f>
        <v>158.12717866615</v>
      </c>
      <c r="K2142" s="6" t="n">
        <f aca="false">Sens!K2114</f>
        <v>170.777352959442</v>
      </c>
    </row>
    <row r="2143" customFormat="false" ht="15" hidden="false" customHeight="false" outlineLevel="0" collapsed="false">
      <c r="A2143" s="0" t="s">
        <v>1032</v>
      </c>
      <c r="B2143" s="0" t="s">
        <v>98</v>
      </c>
      <c r="D2143" s="6" t="n">
        <f aca="false">Sens!D2121</f>
        <v>84.605</v>
      </c>
      <c r="E2143" s="6" t="n">
        <f aca="false">Sens!E2121</f>
        <v>100.299</v>
      </c>
      <c r="F2143" s="6" t="n">
        <f aca="false">Sens!F2121</f>
        <v>118.584003697747</v>
      </c>
      <c r="G2143" s="6" t="n">
        <f aca="false">Sens!G2121</f>
        <v>136.700726545688</v>
      </c>
      <c r="H2143" s="6" t="n">
        <f aca="false">Sens!H2121</f>
        <v>154.898624783666</v>
      </c>
      <c r="I2143" s="6" t="n">
        <f aca="false">Sens!I2121</f>
        <v>171.420510030657</v>
      </c>
      <c r="J2143" s="6" t="n">
        <f aca="false">Sens!J2121</f>
        <v>185.985722618572</v>
      </c>
      <c r="K2143" s="6" t="n">
        <f aca="false">Sens!K2121</f>
        <v>199.799723201872</v>
      </c>
    </row>
    <row r="2144" customFormat="false" ht="17.15" hidden="false" customHeight="false" outlineLevel="0" collapsed="false">
      <c r="A2144" s="0" t="s">
        <v>1053</v>
      </c>
      <c r="B2144" s="0" t="s">
        <v>98</v>
      </c>
      <c r="D2144" s="6" t="n">
        <f aca="false">Sens!D2119</f>
        <v>83.705</v>
      </c>
      <c r="E2144" s="6" t="n">
        <f aca="false">Sens!E2119</f>
        <v>95.049</v>
      </c>
      <c r="F2144" s="6" t="n">
        <f aca="false">Sens!F2119</f>
        <v>106.584003697747</v>
      </c>
      <c r="G2144" s="6" t="n">
        <f aca="false">Sens!G2119</f>
        <v>118.700726545688</v>
      </c>
      <c r="H2144" s="6" t="n">
        <f aca="false">Sens!H2119</f>
        <v>130.898624783666</v>
      </c>
      <c r="I2144" s="6" t="n">
        <f aca="false">Sens!I2119</f>
        <v>142.920510030657</v>
      </c>
      <c r="J2144" s="6" t="n">
        <f aca="false">Sens!J2119</f>
        <v>154.485722618572</v>
      </c>
      <c r="K2144" s="6" t="n">
        <f aca="false">Sens!K2119</f>
        <v>165.299723201872</v>
      </c>
    </row>
    <row r="2145" customFormat="false" ht="17.15" hidden="false" customHeight="false" outlineLevel="0" collapsed="false">
      <c r="A2145" s="0" t="s">
        <v>1054</v>
      </c>
      <c r="B2145" s="0" t="s">
        <v>98</v>
      </c>
      <c r="D2145" s="6" t="n">
        <f aca="false">Sens!D2118</f>
        <v>0.9</v>
      </c>
      <c r="E2145" s="6" t="n">
        <f aca="false">Sens!E2118</f>
        <v>5.25</v>
      </c>
      <c r="F2145" s="6" t="n">
        <f aca="false">Sens!F2118</f>
        <v>12</v>
      </c>
      <c r="G2145" s="6" t="n">
        <f aca="false">Sens!G2118</f>
        <v>18</v>
      </c>
      <c r="H2145" s="6" t="n">
        <f aca="false">Sens!H2118</f>
        <v>24</v>
      </c>
      <c r="I2145" s="6" t="n">
        <f aca="false">Sens!I2118</f>
        <v>28.5</v>
      </c>
      <c r="J2145" s="6" t="n">
        <f aca="false">Sens!J2118</f>
        <v>31.5</v>
      </c>
      <c r="K2145" s="6" t="n">
        <f aca="false">Sens!K2118</f>
        <v>34.5</v>
      </c>
    </row>
    <row r="2146" customFormat="false" ht="15" hidden="false" customHeight="false" outlineLevel="0" collapsed="false">
      <c r="A2146" s="0" t="s">
        <v>1033</v>
      </c>
      <c r="B2146" s="0" t="s">
        <v>98</v>
      </c>
      <c r="D2146" s="6" t="n">
        <f aca="false">Sens!D2122</f>
        <v>35.391</v>
      </c>
      <c r="E2146" s="6" t="n">
        <f aca="false">Sens!E2122</f>
        <v>37.285</v>
      </c>
      <c r="F2146" s="6" t="n">
        <f aca="false">Sens!F2122</f>
        <v>38.3851437782675</v>
      </c>
      <c r="G2146" s="6" t="n">
        <f aca="false">Sens!G2122</f>
        <v>40.0105353288615</v>
      </c>
      <c r="H2146" s="6" t="n">
        <f aca="false">Sens!H2122</f>
        <v>41.4812512033683</v>
      </c>
      <c r="I2146" s="6" t="n">
        <f aca="false">Sens!I2122</f>
        <v>42.7743107216329</v>
      </c>
      <c r="J2146" s="6" t="n">
        <f aca="false">Sens!J2122</f>
        <v>43.8687373064601</v>
      </c>
      <c r="K2146" s="6" t="n">
        <f aca="false">Sens!K2122</f>
        <v>44.7461120525893</v>
      </c>
    </row>
    <row r="2147" customFormat="false" ht="15" hidden="false" customHeight="false" outlineLevel="0" collapsed="false">
      <c r="A2147" s="0" t="s">
        <v>1035</v>
      </c>
      <c r="B2147" s="0" t="s">
        <v>98</v>
      </c>
      <c r="D2147" s="6" t="n">
        <f aca="false">Sens!D2124</f>
        <v>18.417</v>
      </c>
      <c r="E2147" s="6" t="n">
        <f aca="false">Sens!E2124</f>
        <v>20.345</v>
      </c>
      <c r="F2147" s="6" t="n">
        <f aca="false">Sens!F2124</f>
        <v>22.3161797133988</v>
      </c>
      <c r="G2147" s="6" t="n">
        <f aca="false">Sens!G2124</f>
        <v>24.3943499673233</v>
      </c>
      <c r="H2147" s="6" t="n">
        <f aca="false">Sens!H2124</f>
        <v>26.5250243109019</v>
      </c>
      <c r="I2147" s="6" t="n">
        <f aca="false">Sens!I2124</f>
        <v>28.6884573538181</v>
      </c>
      <c r="J2147" s="6" t="n">
        <f aca="false">Sens!J2124</f>
        <v>30.8624968052127</v>
      </c>
      <c r="K2147" s="6" t="n">
        <f aca="false">Sens!K2124</f>
        <v>33.0228715815776</v>
      </c>
    </row>
    <row r="2148" customFormat="false" ht="15" hidden="false" customHeight="false" outlineLevel="0" collapsed="false">
      <c r="A2148" s="0" t="s">
        <v>1036</v>
      </c>
      <c r="B2148" s="0" t="s">
        <v>98</v>
      </c>
      <c r="D2148" s="6" t="n">
        <f aca="false">Sens!D2126</f>
        <v>7.76</v>
      </c>
      <c r="E2148" s="6" t="n">
        <f aca="false">Sens!E2126</f>
        <v>8.26</v>
      </c>
      <c r="F2148" s="6" t="n">
        <f aca="false">Sens!F2126</f>
        <v>8.75372082474227</v>
      </c>
      <c r="G2148" s="6" t="n">
        <f aca="false">Sens!G2126</f>
        <v>9.33399324642364</v>
      </c>
      <c r="H2148" s="6" t="n">
        <f aca="false">Sens!H2126</f>
        <v>9.96139155535851</v>
      </c>
      <c r="I2148" s="6" t="n">
        <f aca="false">Sens!I2126</f>
        <v>10.6402039077391</v>
      </c>
      <c r="J2148" s="6" t="n">
        <f aca="false">Sens!J2126</f>
        <v>11.3751458271397</v>
      </c>
      <c r="K2148" s="6" t="n">
        <f aca="false">Sens!K2126</f>
        <v>12.1714060350394</v>
      </c>
    </row>
    <row r="2149" customFormat="false" ht="15" hidden="false" customHeight="false" outlineLevel="0" collapsed="false">
      <c r="A2149" s="0" t="s">
        <v>852</v>
      </c>
      <c r="B2149" s="0" t="s">
        <v>98</v>
      </c>
      <c r="D2149" s="6" t="n">
        <f aca="false">Sens!D2128</f>
        <v>218.783</v>
      </c>
      <c r="E2149" s="6" t="n">
        <f aca="false">Sens!E2128</f>
        <v>268.127</v>
      </c>
      <c r="F2149" s="6" t="n">
        <f aca="false">Sens!F2128</f>
        <v>334.748096014336</v>
      </c>
      <c r="G2149" s="6" t="n">
        <f aca="false">Sens!G2128</f>
        <v>410.20243494969</v>
      </c>
      <c r="H2149" s="6" t="n">
        <f aca="false">Sens!H2128</f>
        <v>487.012857962939</v>
      </c>
      <c r="I2149" s="6" t="n">
        <f aca="false">Sens!I2128</f>
        <v>556.962928978464</v>
      </c>
      <c r="J2149" s="6" t="n">
        <f aca="false">Sens!J2128</f>
        <v>613.402001017124</v>
      </c>
      <c r="K2149" s="6" t="n">
        <f aca="false">Sens!K2128</f>
        <v>657.837590767618</v>
      </c>
    </row>
    <row r="2150" customFormat="false" ht="15" hidden="false" customHeight="false" outlineLevel="0" collapsed="false">
      <c r="A2150" s="0" t="s">
        <v>1037</v>
      </c>
      <c r="B2150" s="0" t="s">
        <v>98</v>
      </c>
      <c r="D2150" s="6" t="n">
        <f aca="false">Sens!D2129</f>
        <v>22.171</v>
      </c>
      <c r="E2150" s="6" t="n">
        <f aca="false">Sens!E2129</f>
        <v>24.835</v>
      </c>
      <c r="F2150" s="6" t="n">
        <f aca="false">Sens!F2129</f>
        <v>27.5591895660247</v>
      </c>
      <c r="G2150" s="6" t="n">
        <f aca="false">Sens!G2129</f>
        <v>30.4098563144583</v>
      </c>
      <c r="H2150" s="6" t="n">
        <f aca="false">Sens!H2129</f>
        <v>33.3011792571777</v>
      </c>
      <c r="I2150" s="6" t="n">
        <f aca="false">Sens!I2129</f>
        <v>36.189023797112</v>
      </c>
      <c r="J2150" s="6" t="n">
        <f aca="false">Sens!J2129</f>
        <v>39.0247773769199</v>
      </c>
      <c r="K2150" s="6" t="n">
        <f aca="false">Sens!K2129</f>
        <v>41.7565117933043</v>
      </c>
    </row>
    <row r="2151" customFormat="false" ht="15" hidden="false" customHeight="false" outlineLevel="0" collapsed="false">
      <c r="A2151" s="0" t="s">
        <v>1038</v>
      </c>
      <c r="B2151" s="0" t="s">
        <v>98</v>
      </c>
      <c r="D2151" s="6" t="n">
        <f aca="false">Sens!D2131</f>
        <v>23.455</v>
      </c>
      <c r="E2151" s="6" t="n">
        <f aca="false">Sens!E2131</f>
        <v>21.79</v>
      </c>
      <c r="F2151" s="6" t="n">
        <f aca="false">Sens!F2131</f>
        <v>20.7520981041711</v>
      </c>
      <c r="G2151" s="6" t="n">
        <f aca="false">Sens!G2131</f>
        <v>19.9083593495882</v>
      </c>
      <c r="H2151" s="6" t="n">
        <f aca="false">Sens!H2131</f>
        <v>19.4008256265831</v>
      </c>
      <c r="I2151" s="6" t="n">
        <f aca="false">Sens!I2131</f>
        <v>19.200434522122</v>
      </c>
      <c r="J2151" s="6" t="n">
        <f aca="false">Sens!J2131</f>
        <v>19.2932782348507</v>
      </c>
      <c r="K2151" s="6" t="n">
        <f aca="false">Sens!K2131</f>
        <v>19.6791437995477</v>
      </c>
    </row>
    <row r="2152" customFormat="false" ht="15" hidden="false" customHeight="false" outlineLevel="0" collapsed="false">
      <c r="A2152" s="0" t="s">
        <v>1039</v>
      </c>
      <c r="B2152" s="0" t="s">
        <v>98</v>
      </c>
      <c r="D2152" s="6" t="n">
        <f aca="false">Sens!D2133</f>
        <v>17.315</v>
      </c>
      <c r="E2152" s="6" t="n">
        <f aca="false">Sens!E2133</f>
        <v>17.087</v>
      </c>
      <c r="F2152" s="6" t="n">
        <f aca="false">Sens!F2133</f>
        <v>15.9912273250553</v>
      </c>
      <c r="G2152" s="6" t="n">
        <f aca="false">Sens!G2133</f>
        <v>15.9574562664827</v>
      </c>
      <c r="H2152" s="6" t="n">
        <f aca="false">Sens!H2133</f>
        <v>16.0119687434196</v>
      </c>
      <c r="I2152" s="6" t="n">
        <f aca="false">Sens!I2133</f>
        <v>16.1551810001948</v>
      </c>
      <c r="J2152" s="6" t="n">
        <f aca="false">Sens!J2133</f>
        <v>16.3889793892005</v>
      </c>
      <c r="K2152" s="6" t="n">
        <f aca="false">Sens!K2133</f>
        <v>16.7167589769845</v>
      </c>
    </row>
    <row r="2153" customFormat="false" ht="15" hidden="false" customHeight="false" outlineLevel="0" collapsed="false">
      <c r="A2153" s="0" t="s">
        <v>866</v>
      </c>
      <c r="B2153" s="0" t="s">
        <v>98</v>
      </c>
      <c r="D2153" s="6" t="n">
        <f aca="false">Sens!D2135</f>
        <v>62.941</v>
      </c>
      <c r="E2153" s="6" t="n">
        <f aca="false">Sens!E2135</f>
        <v>63.712</v>
      </c>
      <c r="F2153" s="6" t="n">
        <f aca="false">Sens!F2135</f>
        <v>64.3025149952511</v>
      </c>
      <c r="G2153" s="6" t="n">
        <f aca="false">Sens!G2135</f>
        <v>66.2756719305292</v>
      </c>
      <c r="H2153" s="6" t="n">
        <f aca="false">Sens!H2135</f>
        <v>68.7139736271804</v>
      </c>
      <c r="I2153" s="6" t="n">
        <f aca="false">Sens!I2135</f>
        <v>71.5446393194289</v>
      </c>
      <c r="J2153" s="6" t="n">
        <f aca="false">Sens!J2135</f>
        <v>74.707035000971</v>
      </c>
      <c r="K2153" s="6" t="n">
        <f aca="false">Sens!K2135</f>
        <v>78.1524145698365</v>
      </c>
    </row>
    <row r="2154" customFormat="false" ht="15" hidden="false" customHeight="false" outlineLevel="0" collapsed="false">
      <c r="A2154" s="1" t="s">
        <v>1055</v>
      </c>
      <c r="B2154" s="0" t="s">
        <v>98</v>
      </c>
      <c r="D2154" s="6" t="n">
        <f aca="false">Sens!D2136</f>
        <v>281.724</v>
      </c>
      <c r="E2154" s="6" t="n">
        <f aca="false">Sens!E2136</f>
        <v>331.839</v>
      </c>
      <c r="F2154" s="6" t="n">
        <f aca="false">Sens!F2136</f>
        <v>399.050611009588</v>
      </c>
      <c r="G2154" s="6" t="n">
        <f aca="false">Sens!G2136</f>
        <v>476.478106880219</v>
      </c>
      <c r="H2154" s="6" t="n">
        <f aca="false">Sens!H2136</f>
        <v>555.72683159012</v>
      </c>
      <c r="I2154" s="6" t="n">
        <f aca="false">Sens!I2136</f>
        <v>628.507568297893</v>
      </c>
      <c r="J2154" s="6" t="n">
        <f aca="false">Sens!J2136</f>
        <v>688.109036018095</v>
      </c>
      <c r="K2154" s="6" t="n">
        <f aca="false">Sens!K2136</f>
        <v>735.990005337455</v>
      </c>
    </row>
    <row r="2155" customFormat="false" ht="15" hidden="false" customHeight="false" outlineLevel="0" collapsed="false">
      <c r="A2155" s="1" t="s">
        <v>1056</v>
      </c>
      <c r="B2155" s="0" t="s">
        <v>168</v>
      </c>
      <c r="E2155" s="7" t="n">
        <f aca="false">Sens!E2154/Sens!D2154-1</f>
        <v>0.177886867998467</v>
      </c>
      <c r="F2155" s="7" t="n">
        <f aca="false">Sens!F2154/Sens!E2154-1</f>
        <v>0.202542832547071</v>
      </c>
      <c r="G2155" s="7" t="n">
        <f aca="false">Sens!G2154/Sens!F2154-1</f>
        <v>0.194029262791359</v>
      </c>
      <c r="H2155" s="7" t="n">
        <f aca="false">Sens!H2154/Sens!G2154-1</f>
        <v>0.166321859421387</v>
      </c>
      <c r="I2155" s="7" t="n">
        <f aca="false">Sens!I2154/Sens!H2154-1</f>
        <v>0.13096494999085</v>
      </c>
      <c r="J2155" s="7" t="n">
        <f aca="false">Sens!J2154/Sens!I2154-1</f>
        <v>0.0948301511811749</v>
      </c>
      <c r="K2155" s="7" t="n">
        <f aca="false">Sens!K2154/Sens!J2154-1</f>
        <v>0.0695834043924704</v>
      </c>
    </row>
    <row r="2156" customFormat="false" ht="17.15" hidden="false" customHeight="false" outlineLevel="0" collapsed="false">
      <c r="A2156" s="26" t="s">
        <v>1057</v>
      </c>
      <c r="B2156" s="31" t="s">
        <v>98</v>
      </c>
      <c r="C2156" s="31"/>
      <c r="D2156" s="27" t="n">
        <f aca="false">(Sens!D2149+Sens!D2153-Sens!D2154)+(Sens!D2141+Sens!D2142-Sens!D2140)+(Sens!D2144+Sens!D2145-Sens!D2143)+(Sens!D2154-Q!L18)</f>
        <v>0</v>
      </c>
      <c r="E2156" s="27" t="n">
        <f aca="false">(Sens!E2149+Sens!E2153-Sens!E2154)+(Sens!E2141+Sens!E2142-Sens!E2140)+(Sens!E2144+Sens!E2145-Sens!E2143)+(Sens!E2154-Q!M18)</f>
        <v>0</v>
      </c>
      <c r="F2156" s="27" t="n">
        <f aca="false">(Sens!F2149+Sens!F2153-Sens!F2154)+(Sens!F2141+Sens!F2142-Sens!F2140)+(Sens!F2144+Sens!F2145-Sens!F2143)</f>
        <v>0</v>
      </c>
      <c r="G2156" s="27" t="n">
        <f aca="false">(Sens!G2149+Sens!G2153-Sens!G2154)+(Sens!G2141+Sens!G2142-Sens!G2140)+(Sens!G2144+Sens!G2145-Sens!G2143)</f>
        <v>0</v>
      </c>
      <c r="H2156" s="27" t="n">
        <f aca="false">(Sens!H2149+Sens!H2153-Sens!H2154)+(Sens!H2141+Sens!H2142-Sens!H2140)+(Sens!H2144+Sens!H2145-Sens!H2143)</f>
        <v>0</v>
      </c>
      <c r="I2156" s="27" t="n">
        <f aca="false">(Sens!I2149+Sens!I2153-Sens!I2154)+(Sens!I2141+Sens!I2142-Sens!I2140)+(Sens!I2144+Sens!I2145-Sens!I2143)</f>
        <v>0</v>
      </c>
      <c r="J2156" s="27" t="n">
        <f aca="false">(Sens!J2149+Sens!J2153-Sens!J2154)+(Sens!J2141+Sens!J2142-Sens!J2140)+(Sens!J2144+Sens!J2145-Sens!J2143)</f>
        <v>0</v>
      </c>
      <c r="K2156" s="27" t="n">
        <f aca="false">(Sens!K2149+Sens!K2153-Sens!K2154)+(Sens!K2141+Sens!K2142-Sens!K2140)+(Sens!K2144+Sens!K2145-Sens!K2143)</f>
        <v>0</v>
      </c>
    </row>
    <row r="2157" customFormat="false" ht="17.15" hidden="false" customHeight="false" outlineLevel="0" collapsed="false">
      <c r="A2157" s="0" t="s">
        <v>1058</v>
      </c>
      <c r="B2157" s="0" t="s">
        <v>168</v>
      </c>
      <c r="E2157" s="7" t="n">
        <f aca="false">(Q!M21+Sens!E2093+Sens!E2094+Sens!E2095+Sens!E2109-Sens!E2091)/(Q!M5-Sens!E2091)</f>
        <v>0.591291114837517</v>
      </c>
      <c r="F2157" s="7" t="n">
        <f aca="false">Sens!$E$2157+dm_seg</f>
        <v>0.591291114837517</v>
      </c>
      <c r="G2157" s="7" t="n">
        <f aca="false">Sens!$E$2157+dm_seg</f>
        <v>0.591291114837517</v>
      </c>
      <c r="H2157" s="7" t="n">
        <f aca="false">Sens!$E$2157+dm_seg</f>
        <v>0.591291114837517</v>
      </c>
      <c r="I2157" s="7" t="n">
        <f aca="false">Sens!$E$2157+dm_seg</f>
        <v>0.591291114837517</v>
      </c>
      <c r="J2157" s="7" t="n">
        <f aca="false">Sens!$E$2157+dm_seg</f>
        <v>0.591291114837517</v>
      </c>
      <c r="K2157" s="7" t="n">
        <f aca="false">Sens!$E$2157+dm_seg</f>
        <v>0.591291114837517</v>
      </c>
      <c r="L2157" s="12" t="s">
        <v>1059</v>
      </c>
    </row>
    <row r="2158" customFormat="false" ht="17.15" hidden="false" customHeight="false" outlineLevel="0" collapsed="false">
      <c r="A2158" s="0" t="s">
        <v>880</v>
      </c>
      <c r="B2158" s="0" t="s">
        <v>98</v>
      </c>
      <c r="D2158" s="6" t="n">
        <f aca="false">Q!L21</f>
        <v>110.814</v>
      </c>
      <c r="E2158" s="6" t="n">
        <f aca="false">Q!M21</f>
        <v>136.365</v>
      </c>
      <c r="F2158" s="6" t="n">
        <f aca="false">Q!$I$21+(Sens!F2157*(Sens!F2128-Sens!F2091)+Sens!F2091-(Sens!F2093+Sens!F2094+Sens!F2095)-Sens!F2109-Sens!F2192)*(Sens!F2128-Q!$I$5)/Sens!F2128</f>
        <v>158.547812809862</v>
      </c>
      <c r="G2158" s="6" t="n">
        <f aca="false">(Sens!G2157*(Sens!G2128-Sens!G2091)+Sens!G2091-(Sens!G2093+Sens!G2094+Sens!G2095)-Sens!G2109-Sens!G2192)</f>
        <v>166.2366649215</v>
      </c>
      <c r="H2158" s="6" t="n">
        <f aca="false">(Sens!H2157*(Sens!H2128-Sens!H2091)+Sens!H2091-(Sens!H2093+Sens!H2094+Sens!H2095)-Sens!H2109-Sens!H2192)</f>
        <v>178.143742974277</v>
      </c>
      <c r="I2158" s="6" t="n">
        <f aca="false">(Sens!I2157*(Sens!I2128-Sens!I2091)+Sens!I2091-(Sens!I2093+Sens!I2094+Sens!I2095)-Sens!I2109-Sens!I2192)</f>
        <v>189.993018089704</v>
      </c>
      <c r="J2158" s="6" t="n">
        <f aca="false">(Sens!J2157*(Sens!J2128-Sens!J2091)+Sens!J2091-(Sens!J2093+Sens!J2094+Sens!J2095)-Sens!J2109-Sens!J2192)</f>
        <v>202.676722491201</v>
      </c>
      <c r="K2158" s="6" t="n">
        <f aca="false">(Sens!K2157*(Sens!K2128-Sens!K2091)+Sens!K2091-(Sens!K2093+Sens!K2094+Sens!K2095)-Sens!K2109-Sens!K2192)</f>
        <v>216.664726922928</v>
      </c>
      <c r="L2158" s="1" t="s">
        <v>1060</v>
      </c>
    </row>
    <row r="2159" customFormat="false" ht="17.15" hidden="false" customHeight="false" outlineLevel="0" collapsed="false">
      <c r="A2159" s="0" t="s">
        <v>1061</v>
      </c>
      <c r="B2159" s="0" t="s">
        <v>168</v>
      </c>
      <c r="E2159" s="7" t="n">
        <f aca="false">Q!M22/Q!M12</f>
        <v>0.296207935710698</v>
      </c>
      <c r="F2159" s="7" t="n">
        <f aca="false">Sens!$E$2159+dm_seg</f>
        <v>0.296207935710698</v>
      </c>
      <c r="G2159" s="7" t="n">
        <f aca="false">Sens!$E$2159+dm_seg</f>
        <v>0.296207935710698</v>
      </c>
      <c r="H2159" s="7" t="n">
        <f aca="false">Sens!$E$2159+dm_seg</f>
        <v>0.296207935710698</v>
      </c>
      <c r="I2159" s="7" t="n">
        <f aca="false">Sens!$E$2159+dm_seg</f>
        <v>0.296207935710698</v>
      </c>
      <c r="J2159" s="7" t="n">
        <f aca="false">Sens!$E$2159+dm_seg</f>
        <v>0.296207935710698</v>
      </c>
      <c r="K2159" s="7" t="n">
        <f aca="false">Sens!$E$2159+dm_seg</f>
        <v>0.296207935710698</v>
      </c>
      <c r="L2159" s="12" t="s">
        <v>1062</v>
      </c>
    </row>
    <row r="2160" customFormat="false" ht="17.15" hidden="false" customHeight="false" outlineLevel="0" collapsed="false">
      <c r="A2160" s="0" t="s">
        <v>882</v>
      </c>
      <c r="B2160" s="0" t="s">
        <v>98</v>
      </c>
      <c r="D2160" s="6" t="n">
        <f aca="false">Q!L22</f>
        <v>17.714</v>
      </c>
      <c r="E2160" s="6" t="n">
        <f aca="false">Q!M22</f>
        <v>18.872</v>
      </c>
      <c r="F2160" s="6" t="n">
        <f aca="false">Q!$I$22+(Sens!F2135-Q!$I$12)*Sens!F2159</f>
        <v>19.8174315512051</v>
      </c>
      <c r="G2160" s="6" t="n">
        <f aca="false">Sens!G2135*Sens!G2159</f>
        <v>19.6313799703815</v>
      </c>
      <c r="H2160" s="6" t="n">
        <f aca="false">Sens!H2135*Sens!H2159</f>
        <v>20.3536242825865</v>
      </c>
      <c r="I2160" s="6" t="n">
        <f aca="false">Sens!I2135*Sens!I2159</f>
        <v>21.1920899239745</v>
      </c>
      <c r="J2160" s="6" t="n">
        <f aca="false">Sens!J2135*Sens!J2159</f>
        <v>22.1288166207045</v>
      </c>
      <c r="K2160" s="6" t="n">
        <f aca="false">Sens!K2135*Sens!K2159</f>
        <v>23.1493653905379</v>
      </c>
      <c r="L2160" s="12" t="s">
        <v>1063</v>
      </c>
    </row>
    <row r="2161" customFormat="false" ht="15" hidden="false" customHeight="false" outlineLevel="0" collapsed="false">
      <c r="A2161" s="1" t="s">
        <v>1064</v>
      </c>
      <c r="B2161" s="0" t="s">
        <v>98</v>
      </c>
      <c r="D2161" s="6" t="n">
        <f aca="false">Sens!D2158+Sens!D2160</f>
        <v>128.528</v>
      </c>
      <c r="E2161" s="6" t="n">
        <f aca="false">Sens!E2158+Sens!E2160</f>
        <v>155.237</v>
      </c>
      <c r="F2161" s="6" t="n">
        <f aca="false">Sens!F2158+Sens!F2160</f>
        <v>178.365244361067</v>
      </c>
      <c r="G2161" s="6" t="n">
        <f aca="false">Sens!G2158+Sens!G2160</f>
        <v>185.868044891882</v>
      </c>
      <c r="H2161" s="6" t="n">
        <f aca="false">Sens!H2158+Sens!H2160</f>
        <v>198.497367256863</v>
      </c>
      <c r="I2161" s="6" t="n">
        <f aca="false">Sens!I2158+Sens!I2160</f>
        <v>211.185108013678</v>
      </c>
      <c r="J2161" s="6" t="n">
        <f aca="false">Sens!J2158+Sens!J2160</f>
        <v>224.805539111906</v>
      </c>
      <c r="K2161" s="6" t="n">
        <f aca="false">Sens!K2158+Sens!K2160</f>
        <v>239.814092313466</v>
      </c>
    </row>
    <row r="2162" customFormat="false" ht="15" hidden="false" customHeight="false" outlineLevel="0" collapsed="false">
      <c r="A2162" s="26" t="s">
        <v>1065</v>
      </c>
      <c r="B2162" s="31" t="s">
        <v>98</v>
      </c>
      <c r="C2162" s="31"/>
      <c r="D2162" s="27" t="n">
        <f aca="false">Sens!D2161-Q!L23</f>
        <v>0</v>
      </c>
      <c r="E2162" s="27" t="n">
        <f aca="false">Sens!E2161-Q!M23</f>
        <v>0</v>
      </c>
      <c r="F2162" s="31"/>
      <c r="G2162" s="31"/>
      <c r="H2162" s="31"/>
      <c r="I2162" s="31"/>
      <c r="J2162" s="31"/>
      <c r="K2162" s="31"/>
    </row>
    <row r="2163" customFormat="false" ht="15" hidden="false" customHeight="false" outlineLevel="0" collapsed="false">
      <c r="A2163" s="1" t="s">
        <v>1066</v>
      </c>
      <c r="B2163" s="0" t="s">
        <v>168</v>
      </c>
      <c r="D2163" s="7" t="n">
        <f aca="false">Sens!D2161/Sens!D2154</f>
        <v>0.456219562408598</v>
      </c>
      <c r="E2163" s="7" t="n">
        <f aca="false">Sens!E2161/Sens!E2154</f>
        <v>0.467808184089272</v>
      </c>
      <c r="F2163" s="7" t="n">
        <f aca="false">Sens!F2161/Sens!F2154</f>
        <v>0.446973991368684</v>
      </c>
      <c r="G2163" s="7" t="n">
        <f aca="false">Sens!G2161/Sens!G2154</f>
        <v>0.390087272023616</v>
      </c>
      <c r="H2163" s="7" t="n">
        <f aca="false">Sens!H2161/Sens!H2154</f>
        <v>0.357185142003845</v>
      </c>
      <c r="I2163" s="7" t="n">
        <f aca="false">Sens!I2161/Sens!I2154</f>
        <v>0.336010445483742</v>
      </c>
      <c r="J2163" s="7" t="n">
        <f aca="false">Sens!J2161/Sens!J2154</f>
        <v>0.326700460747901</v>
      </c>
      <c r="K2163" s="7" t="n">
        <f aca="false">Sens!K2161/Sens!K2154</f>
        <v>0.325838789350828</v>
      </c>
    </row>
    <row r="2164" customFormat="false" ht="17.15" hidden="false" customHeight="false" outlineLevel="0" collapsed="false">
      <c r="A2164" s="1" t="s">
        <v>1067</v>
      </c>
      <c r="B2164" s="0" t="s">
        <v>98</v>
      </c>
      <c r="F2164" s="6" t="n">
        <f aca="false">Sens!F2179</f>
        <v>16.3994923099344</v>
      </c>
      <c r="G2164" s="6" t="n">
        <f aca="false">Sens!G2179</f>
        <v>41.2936055153386</v>
      </c>
      <c r="H2164" s="6" t="n">
        <f aca="false">Sens!H2179</f>
        <v>68.3975051449408</v>
      </c>
      <c r="I2164" s="6" t="n">
        <f aca="false">Sens!I2179</f>
        <v>92.7220346542799</v>
      </c>
      <c r="J2164" s="6" t="n">
        <f aca="false">Sens!J2179</f>
        <v>109.684332062578</v>
      </c>
      <c r="K2164" s="6" t="n">
        <f aca="false">Sens!K2179</f>
        <v>119.295244902275</v>
      </c>
      <c r="L2164" s="1" t="s">
        <v>1068</v>
      </c>
    </row>
    <row r="2165" customFormat="false" ht="17.15" hidden="false" customHeight="false" outlineLevel="0" collapsed="false">
      <c r="A2165" s="1" t="s">
        <v>1069</v>
      </c>
      <c r="B2165" s="0" t="s">
        <v>98</v>
      </c>
      <c r="D2165" s="6" t="n">
        <f aca="false">Sens!D2161</f>
        <v>128.528</v>
      </c>
      <c r="E2165" s="6" t="n">
        <f aca="false">Sens!E2161</f>
        <v>155.237</v>
      </c>
      <c r="F2165" s="6" t="n">
        <f aca="false">Sens!F2161+Sens!F2164</f>
        <v>194.764736671002</v>
      </c>
      <c r="G2165" s="6" t="n">
        <f aca="false">Sens!G2161+Sens!G2164</f>
        <v>227.16165040722</v>
      </c>
      <c r="H2165" s="6" t="n">
        <f aca="false">Sens!H2161+Sens!H2164</f>
        <v>266.894872401804</v>
      </c>
      <c r="I2165" s="6" t="n">
        <f aca="false">Sens!I2161+Sens!I2164</f>
        <v>303.907142667958</v>
      </c>
      <c r="J2165" s="6" t="n">
        <f aca="false">Sens!J2161+Sens!J2164</f>
        <v>334.489871174484</v>
      </c>
      <c r="K2165" s="6" t="n">
        <f aca="false">Sens!K2161+Sens!K2164</f>
        <v>359.109337215741</v>
      </c>
    </row>
    <row r="2166" customFormat="false" ht="17.15" hidden="false" customHeight="false" outlineLevel="0" collapsed="false">
      <c r="A2166" s="1" t="s">
        <v>1070</v>
      </c>
      <c r="B2166" s="0" t="s">
        <v>98</v>
      </c>
      <c r="E2166" s="6" t="n">
        <f aca="false">Sens!E2109</f>
        <v>19.5664871725</v>
      </c>
      <c r="F2166" s="6" t="n">
        <f aca="false">Sens!F2109</f>
        <v>41.495177374022</v>
      </c>
      <c r="G2166" s="6" t="n">
        <f aca="false">Sens!G2109</f>
        <v>72.8813887827587</v>
      </c>
      <c r="H2166" s="6" t="n">
        <f aca="false">Sens!H2109</f>
        <v>106.920108793735</v>
      </c>
      <c r="I2166" s="6" t="n">
        <f aca="false">Sens!I2109</f>
        <v>137.077211633458</v>
      </c>
      <c r="J2166" s="6" t="n">
        <f aca="false">Sens!J2109</f>
        <v>158.418807659515</v>
      </c>
      <c r="K2166" s="6" t="n">
        <f aca="false">Sens!K2109</f>
        <v>171.615203461121</v>
      </c>
    </row>
    <row r="2167" customFormat="false" ht="17.15" hidden="false" customHeight="false" outlineLevel="0" collapsed="false">
      <c r="A2167" s="1" t="s">
        <v>1071</v>
      </c>
      <c r="B2167" s="0" t="s">
        <v>98</v>
      </c>
      <c r="E2167" s="6" t="n">
        <f aca="false">Sens!E2191</f>
        <v>18.9675128275</v>
      </c>
      <c r="F2167" s="6" t="n">
        <f aca="false">Sens!F2191</f>
        <v>20.6453691946723</v>
      </c>
      <c r="G2167" s="6" t="n">
        <f aca="false">Sens!G2191</f>
        <v>22.7168730206298</v>
      </c>
      <c r="H2167" s="6" t="n">
        <f aca="false">Sens!H2191</f>
        <v>25.151240215423</v>
      </c>
      <c r="I2167" s="6" t="n">
        <f aca="false">Sens!I2191</f>
        <v>27.8848555619664</v>
      </c>
      <c r="J2167" s="6" t="n">
        <f aca="false">Sens!J2191</f>
        <v>30.8369414849407</v>
      </c>
      <c r="K2167" s="6" t="n">
        <f aca="false">Sens!K2191</f>
        <v>33.9254950425185</v>
      </c>
    </row>
    <row r="2168" customFormat="false" ht="17.15" hidden="false" customHeight="false" outlineLevel="0" collapsed="false">
      <c r="A2168" s="1" t="s">
        <v>1072</v>
      </c>
      <c r="B2168" s="0" t="s">
        <v>98</v>
      </c>
      <c r="D2168" s="6" t="n">
        <f aca="false">Q!L27</f>
        <v>-4.901</v>
      </c>
      <c r="E2168" s="6" t="n">
        <f aca="false">Q!M27</f>
        <v>10.697</v>
      </c>
      <c r="F2168" s="6" t="n">
        <f aca="false">Q!$I$27+oie_f*(q_per_yr-1)/q_per_yr</f>
        <v>-0.862</v>
      </c>
      <c r="G2168" s="6" t="n">
        <f aca="false">oie_f</f>
        <v>-1.2</v>
      </c>
      <c r="H2168" s="6" t="n">
        <f aca="false">oie_f</f>
        <v>-1.2</v>
      </c>
      <c r="I2168" s="6" t="n">
        <f aca="false">oie_f</f>
        <v>-1.2</v>
      </c>
      <c r="J2168" s="6" t="n">
        <f aca="false">oie_f</f>
        <v>-1.2</v>
      </c>
      <c r="K2168" s="6" t="n">
        <f aca="false">oie_f</f>
        <v>-1.2</v>
      </c>
      <c r="L2168" s="12" t="s">
        <v>1073</v>
      </c>
    </row>
    <row r="2169" customFormat="false" ht="15" hidden="false" customHeight="false" outlineLevel="0" collapsed="false">
      <c r="A2169" s="1" t="s">
        <v>1074</v>
      </c>
      <c r="B2169" s="0" t="s">
        <v>98</v>
      </c>
      <c r="D2169" s="6" t="n">
        <f aca="false">Sens!D2161+Sens!D2168</f>
        <v>123.627</v>
      </c>
      <c r="E2169" s="6" t="n">
        <f aca="false">Sens!E2161+Sens!E2168</f>
        <v>165.934</v>
      </c>
      <c r="F2169" s="6" t="n">
        <f aca="false">Sens!F2161+Sens!F2168</f>
        <v>177.503244361067</v>
      </c>
      <c r="G2169" s="6" t="n">
        <f aca="false">Sens!G2161+Sens!G2168</f>
        <v>184.668044891882</v>
      </c>
      <c r="H2169" s="6" t="n">
        <f aca="false">Sens!H2161+Sens!H2168</f>
        <v>197.297367256863</v>
      </c>
      <c r="I2169" s="6" t="n">
        <f aca="false">Sens!I2161+Sens!I2168</f>
        <v>209.985108013678</v>
      </c>
      <c r="J2169" s="6" t="n">
        <f aca="false">Sens!J2161+Sens!J2168</f>
        <v>223.605539111906</v>
      </c>
      <c r="K2169" s="6" t="n">
        <f aca="false">Sens!K2161+Sens!K2168</f>
        <v>238.614092313466</v>
      </c>
    </row>
    <row r="2170" customFormat="false" ht="15" hidden="false" customHeight="false" outlineLevel="0" collapsed="false">
      <c r="A2170" s="1" t="s">
        <v>1075</v>
      </c>
      <c r="B2170" s="0" t="s">
        <v>98</v>
      </c>
      <c r="D2170" s="6" t="n">
        <f aca="false">Q!L29</f>
        <v>21.795</v>
      </c>
      <c r="E2170" s="6" t="n">
        <f aca="false">Q!M29</f>
        <v>32.185</v>
      </c>
      <c r="F2170" s="6" t="n">
        <f aca="false">Q!$I$29+(Sens!F2169-Q!$I$28)*tax_f</f>
        <v>35.6340488722135</v>
      </c>
      <c r="G2170" s="6" t="n">
        <f aca="false">Sens!G2169*tax_f</f>
        <v>36.9336089783763</v>
      </c>
      <c r="H2170" s="6" t="n">
        <f aca="false">Sens!H2169*tax_f</f>
        <v>39.4594734513727</v>
      </c>
      <c r="I2170" s="6" t="n">
        <f aca="false">Sens!I2169*tax_f</f>
        <v>41.9970216027356</v>
      </c>
      <c r="J2170" s="6" t="n">
        <f aca="false">Sens!J2169*tax_f</f>
        <v>44.7211078223812</v>
      </c>
      <c r="K2170" s="6" t="n">
        <f aca="false">Sens!K2169*tax_f</f>
        <v>47.7228184626932</v>
      </c>
    </row>
    <row r="2171" customFormat="false" ht="15" hidden="false" customHeight="false" outlineLevel="0" collapsed="false">
      <c r="A2171" s="1" t="s">
        <v>1076</v>
      </c>
      <c r="B2171" s="0" t="s">
        <v>98</v>
      </c>
      <c r="D2171" s="6" t="n">
        <f aca="false">Sens!D2169-Sens!D2170</f>
        <v>101.832</v>
      </c>
      <c r="E2171" s="6" t="n">
        <f aca="false">Sens!E2169-Sens!E2170</f>
        <v>133.749</v>
      </c>
      <c r="F2171" s="6" t="n">
        <f aca="false">Sens!F2169-Sens!F2170</f>
        <v>141.869195488854</v>
      </c>
      <c r="G2171" s="6" t="n">
        <f aca="false">Sens!G2169-Sens!G2170</f>
        <v>147.734435913505</v>
      </c>
      <c r="H2171" s="6" t="n">
        <f aca="false">Sens!H2169-Sens!H2170</f>
        <v>157.837893805491</v>
      </c>
      <c r="I2171" s="6" t="n">
        <f aca="false">Sens!I2169-Sens!I2170</f>
        <v>167.988086410942</v>
      </c>
      <c r="J2171" s="6" t="n">
        <f aca="false">Sens!J2169-Sens!J2170</f>
        <v>178.884431289525</v>
      </c>
      <c r="K2171" s="6" t="n">
        <f aca="false">Sens!K2169-Sens!K2170</f>
        <v>190.891273850773</v>
      </c>
    </row>
    <row r="2172" customFormat="false" ht="17.15" hidden="false" customHeight="false" outlineLevel="0" collapsed="false">
      <c r="A2172" s="1" t="s">
        <v>1077</v>
      </c>
      <c r="B2172" s="1" t="s">
        <v>81</v>
      </c>
      <c r="D2172" s="15" t="n">
        <f aca="false">Q!L31</f>
        <v>7.465</v>
      </c>
      <c r="E2172" s="15" t="n">
        <f aca="false">Q!M31</f>
        <v>7.453</v>
      </c>
      <c r="F2172" s="15" t="n">
        <f aca="false">Sens!F2216</f>
        <v>7.4735</v>
      </c>
      <c r="G2172" s="15" t="n">
        <f aca="false">Sens!G2216</f>
        <v>7.5185</v>
      </c>
      <c r="H2172" s="15" t="n">
        <f aca="false">Sens!H2216</f>
        <v>7.5635</v>
      </c>
      <c r="I2172" s="15" t="n">
        <f aca="false">Sens!I2216</f>
        <v>7.59248142502667</v>
      </c>
      <c r="J2172" s="15" t="n">
        <f aca="false">Sens!J2216</f>
        <v>7.60663083618914</v>
      </c>
      <c r="K2172" s="15" t="n">
        <f aca="false">Sens!K2216</f>
        <v>7.62306547615439</v>
      </c>
    </row>
    <row r="2173" customFormat="false" ht="17.15" hidden="false" customHeight="false" outlineLevel="0" collapsed="false">
      <c r="A2173" s="0" t="s">
        <v>1078</v>
      </c>
      <c r="B2173" s="0" t="s">
        <v>75</v>
      </c>
      <c r="D2173" s="8" t="n">
        <f aca="false">Sens!D2171/Sens!D2172</f>
        <v>13.641259209645</v>
      </c>
      <c r="E2173" s="8" t="n">
        <f aca="false">Sens!E2171/Sens!E2172</f>
        <v>17.9456594659869</v>
      </c>
      <c r="F2173" s="8" t="n">
        <f aca="false">Sens!F2171/Sens!F2172</f>
        <v>18.9829658779493</v>
      </c>
      <c r="G2173" s="8" t="n">
        <f aca="false">Sens!G2171/Sens!G2172</f>
        <v>19.6494561300133</v>
      </c>
      <c r="H2173" s="8" t="n">
        <f aca="false">Sens!H2171/Sens!H2172</f>
        <v>20.868367000131</v>
      </c>
      <c r="I2173" s="8" t="n">
        <f aca="false">Sens!I2171/Sens!I2172</f>
        <v>22.1255841149921</v>
      </c>
      <c r="J2173" s="8" t="n">
        <f aca="false">Sens!J2171/Sens!J2172</f>
        <v>23.5169071750489</v>
      </c>
      <c r="K2173" s="8" t="n">
        <f aca="false">Sens!K2171/Sens!K2172</f>
        <v>25.0412743335207</v>
      </c>
      <c r="L2173" s="1" t="s">
        <v>1079</v>
      </c>
    </row>
    <row r="2174" customFormat="false" ht="17.15" hidden="false" customHeight="false" outlineLevel="0" collapsed="false">
      <c r="A2174" s="1" t="s">
        <v>1080</v>
      </c>
      <c r="B2174" s="0" t="s">
        <v>98</v>
      </c>
      <c r="D2174" s="6" t="n">
        <f aca="false">Sens!D2171</f>
        <v>101.832</v>
      </c>
      <c r="E2174" s="6" t="n">
        <f aca="false">Sens!E2171</f>
        <v>133.749</v>
      </c>
      <c r="F2174" s="6" t="n">
        <f aca="false">Sens!F2171+Sens!F2164*(1-tax_f)</f>
        <v>154.988789336801</v>
      </c>
      <c r="G2174" s="6" t="n">
        <f aca="false">Sens!G2171+Sens!G2164*(1-tax_f)</f>
        <v>180.769320325776</v>
      </c>
      <c r="H2174" s="6" t="n">
        <f aca="false">Sens!H2171+Sens!H2164*(1-tax_f)</f>
        <v>212.555897921443</v>
      </c>
      <c r="I2174" s="6" t="n">
        <f aca="false">Sens!I2171+Sens!I2164*(1-tax_f)</f>
        <v>242.165714134366</v>
      </c>
      <c r="J2174" s="6" t="n">
        <f aca="false">Sens!J2171+Sens!J2164*(1-tax_f)</f>
        <v>266.631896939587</v>
      </c>
      <c r="K2174" s="6" t="n">
        <f aca="false">Sens!K2171+Sens!K2164*(1-tax_f)</f>
        <v>286.327469772593</v>
      </c>
    </row>
    <row r="2175" customFormat="false" ht="17.15" hidden="false" customHeight="false" outlineLevel="0" collapsed="false">
      <c r="A2175" s="0" t="s">
        <v>1081</v>
      </c>
      <c r="B2175" s="0" t="s">
        <v>75</v>
      </c>
      <c r="D2175" s="8" t="n">
        <f aca="false">Sens!D2174/Sens!D2172</f>
        <v>13.641259209645</v>
      </c>
      <c r="E2175" s="8" t="n">
        <f aca="false">Sens!E2174/Sens!E2172</f>
        <v>17.9456594659869</v>
      </c>
      <c r="F2175" s="8" t="n">
        <f aca="false">Sens!F2174/Sens!F2172</f>
        <v>20.7384477603267</v>
      </c>
      <c r="G2175" s="8" t="n">
        <f aca="false">Sens!G2174/Sens!G2172</f>
        <v>24.0432693124661</v>
      </c>
      <c r="H2175" s="8" t="n">
        <f aca="false">Sens!H2174/Sens!H2172</f>
        <v>28.1028489352077</v>
      </c>
      <c r="I2175" s="8" t="n">
        <f aca="false">Sens!I2174/Sens!I2172</f>
        <v>31.8954634957853</v>
      </c>
      <c r="J2175" s="8" t="n">
        <f aca="false">Sens!J2174/Sens!J2172</f>
        <v>35.0525617295722</v>
      </c>
      <c r="K2175" s="8" t="n">
        <f aca="false">Sens!K2174/Sens!K2172</f>
        <v>37.5606730216669</v>
      </c>
      <c r="L2175" s="1" t="s">
        <v>1082</v>
      </c>
    </row>
    <row r="2176" customFormat="false" ht="17.15" hidden="false" customHeight="false" outlineLevel="0" collapsed="false">
      <c r="A2176" s="0" t="s">
        <v>1083</v>
      </c>
      <c r="B2176" s="0" t="s">
        <v>168</v>
      </c>
      <c r="E2176" s="7" t="n">
        <f aca="false">Sens!E2175/Sens!D2175-1</f>
        <v>0.315542736208578</v>
      </c>
      <c r="F2176" s="7" t="n">
        <f aca="false">Sens!F2175/Sens!E2175-1</f>
        <v>0.155624723607015</v>
      </c>
      <c r="G2176" s="7" t="n">
        <f aca="false">Sens!G2175/Sens!F2175-1</f>
        <v>0.15935722819437</v>
      </c>
      <c r="H2176" s="7" t="n">
        <f aca="false">Sens!H2175/Sens!G2175-1</f>
        <v>0.168844742783661</v>
      </c>
      <c r="I2176" s="7" t="n">
        <f aca="false">Sens!I2175/Sens!H2175-1</f>
        <v>0.1349548072269</v>
      </c>
      <c r="J2176" s="7" t="n">
        <f aca="false">Sens!J2175/Sens!I2175-1</f>
        <v>0.0989826730125443</v>
      </c>
      <c r="K2176" s="7" t="n">
        <f aca="false">Sens!K2175/Sens!J2175-1</f>
        <v>0.07155286713264</v>
      </c>
    </row>
    <row r="2177" customFormat="false" ht="17.15" hidden="false" customHeight="false" outlineLevel="0" collapsed="false">
      <c r="A2177" s="0" t="s">
        <v>1003</v>
      </c>
      <c r="B2177" s="0" t="s">
        <v>98</v>
      </c>
      <c r="E2177" s="6" t="n">
        <f aca="false">Sens!E2118</f>
        <v>5.25</v>
      </c>
      <c r="F2177" s="6" t="n">
        <f aca="false">Sens!F2118</f>
        <v>12</v>
      </c>
      <c r="G2177" s="6" t="n">
        <f aca="false">Sens!G2118</f>
        <v>18</v>
      </c>
      <c r="H2177" s="6" t="n">
        <f aca="false">Sens!H2118</f>
        <v>24</v>
      </c>
      <c r="I2177" s="6" t="n">
        <f aca="false">Sens!I2118</f>
        <v>28.5</v>
      </c>
      <c r="J2177" s="6" t="n">
        <f aca="false">Sens!J2118</f>
        <v>31.5</v>
      </c>
      <c r="K2177" s="6" t="n">
        <f aca="false">Sens!K2118</f>
        <v>34.5</v>
      </c>
    </row>
    <row r="2178" customFormat="false" ht="17.15" hidden="false" customHeight="false" outlineLevel="0" collapsed="false">
      <c r="A2178" s="1" t="s">
        <v>1004</v>
      </c>
      <c r="B2178" s="0" t="s">
        <v>98</v>
      </c>
      <c r="F2178" s="6" t="n">
        <f aca="false">MAX(0,((Sens!E2078+Sens!F2078)/2-(shadow_base*(Sens!$D$2078+Sens!$E$2078)/2+(1-shadow_base)*Sens!$E$2078))*Sens!F2087/1000-(Sens!F2177-Sens!$E$2177)*Sens!F2157)</f>
        <v>16.3994923099344</v>
      </c>
      <c r="G2178" s="6" t="n">
        <f aca="false">MAX(0,((Sens!F2078+Sens!G2078)/2-(shadow_base*(Sens!$D$2078+Sens!$E$2078)/2+(1-shadow_base)*Sens!$E$2078))*Sens!G2087/1000-(Sens!G2177-Sens!$E$2177)*Sens!G2157)</f>
        <v>41.2936055153386</v>
      </c>
      <c r="H2178" s="6" t="n">
        <f aca="false">MAX(0,((Sens!G2078+Sens!H2078)/2-(shadow_base*(Sens!$D$2078+Sens!$E$2078)/2+(1-shadow_base)*Sens!$E$2078))*Sens!H2087/1000-(Sens!H2177-Sens!$E$2177)*Sens!H2157)</f>
        <v>68.3975051449408</v>
      </c>
      <c r="I2178" s="6" t="n">
        <f aca="false">MAX(0,((Sens!H2078+Sens!I2078)/2-(shadow_base*(Sens!$D$2078+Sens!$E$2078)/2+(1-shadow_base)*Sens!$E$2078))*Sens!I2087/1000-(Sens!I2177-Sens!$E$2177)*Sens!I2157)</f>
        <v>92.7220346542799</v>
      </c>
      <c r="J2178" s="6" t="n">
        <f aca="false">MAX(0,((Sens!I2078+Sens!J2078)/2-(shadow_base*(Sens!$D$2078+Sens!$E$2078)/2+(1-shadow_base)*Sens!$E$2078))*Sens!J2087/1000-(Sens!J2177-Sens!$E$2177)*Sens!J2157)</f>
        <v>109.684332062578</v>
      </c>
      <c r="K2178" s="6" t="n">
        <f aca="false">MAX(0,((Sens!J2078+Sens!K2078)/2-(shadow_base*(Sens!$D$2078+Sens!$E$2078)/2+(1-shadow_base)*Sens!$E$2078))*Sens!K2087/1000-(Sens!K2177-Sens!$E$2177)*Sens!K2157)</f>
        <v>119.295244902275</v>
      </c>
      <c r="L2178" s="1" t="s">
        <v>1005</v>
      </c>
    </row>
    <row r="2179" customFormat="false" ht="17.15" hidden="false" customHeight="false" outlineLevel="0" collapsed="false">
      <c r="A2179" s="1" t="s">
        <v>1006</v>
      </c>
      <c r="B2179" s="0" t="s">
        <v>98</v>
      </c>
      <c r="F2179" s="6" t="n">
        <f aca="false">IF(internal_ai_reading=2,1,0)*Sens!F2178</f>
        <v>16.3994923099344</v>
      </c>
      <c r="G2179" s="6" t="n">
        <f aca="false">IF(internal_ai_reading=2,1,0)*Sens!G2178</f>
        <v>41.2936055153386</v>
      </c>
      <c r="H2179" s="6" t="n">
        <f aca="false">IF(internal_ai_reading=2,1,0)*Sens!H2178</f>
        <v>68.3975051449408</v>
      </c>
      <c r="I2179" s="6" t="n">
        <f aca="false">IF(internal_ai_reading=2,1,0)*Sens!I2178</f>
        <v>92.7220346542799</v>
      </c>
      <c r="J2179" s="6" t="n">
        <f aca="false">IF(internal_ai_reading=2,1,0)*Sens!J2178</f>
        <v>109.684332062578</v>
      </c>
      <c r="K2179" s="6" t="n">
        <f aca="false">IF(internal_ai_reading=2,1,0)*Sens!K2178</f>
        <v>119.295244902275</v>
      </c>
    </row>
    <row r="2180" customFormat="false" ht="17.15" hidden="false" customHeight="false" outlineLevel="0" collapsed="false">
      <c r="A2180" s="0" t="s">
        <v>1007</v>
      </c>
      <c r="B2180" s="0" t="s">
        <v>98</v>
      </c>
      <c r="F2180" s="6" t="n">
        <f aca="false">Sens!F2097+Sens!F2177*Sens!F2157+Sens!F2179-Sens!F2098-Sens!F2109</f>
        <v>11.4423955156345</v>
      </c>
      <c r="G2180" s="6" t="n">
        <f aca="false">Sens!G2097+Sens!G2177*Sens!G2157+Sens!G2179-Sens!G2098-Sens!G2109</f>
        <v>29.6023038066783</v>
      </c>
      <c r="H2180" s="6" t="n">
        <f aca="false">Sens!H2097+Sens!H2177*Sens!H2157+Sens!H2179-Sens!H2098-Sens!H2109</f>
        <v>48.566585396383</v>
      </c>
      <c r="I2180" s="6" t="n">
        <f aca="false">Sens!I2097+Sens!I2177*Sens!I2157+Sens!I2179-Sens!I2098-Sens!I2109</f>
        <v>65.2017292840166</v>
      </c>
      <c r="J2180" s="6" t="n">
        <f aca="false">Sens!J2097+Sens!J2177*Sens!J2157+Sens!J2179-Sens!J2098-Sens!J2109</f>
        <v>76.6018862519025</v>
      </c>
      <c r="K2180" s="6" t="n">
        <f aca="false">Sens!K2097+Sens!K2177*Sens!K2157+Sens!K2179-Sens!K2098-Sens!K2109</f>
        <v>84.0596295140211</v>
      </c>
    </row>
    <row r="2181" customFormat="false" ht="17.15" hidden="false" customHeight="false" outlineLevel="0" collapsed="false">
      <c r="A2181" s="0" t="s">
        <v>1008</v>
      </c>
      <c r="B2181" s="0" t="s">
        <v>98</v>
      </c>
      <c r="E2181" s="6" t="n">
        <f aca="false">Sens!E2077*(cxit_open+self_build*tk_cxfac)/1000*ai_net_open</f>
        <v>152.03764584</v>
      </c>
      <c r="F2181" s="6" t="n">
        <f aca="false">Sens!E2181+Sens!F2106-Sens!F2109</f>
        <v>312.687153316522</v>
      </c>
      <c r="G2181" s="6" t="n">
        <f aca="false">Sens!F2181+Sens!G2106-Sens!G2109</f>
        <v>470.13913531262</v>
      </c>
      <c r="H2181" s="6" t="n">
        <f aca="false">Sens!G2181+Sens!H2106-Sens!H2109</f>
        <v>599.3862313963</v>
      </c>
      <c r="I2181" s="6" t="n">
        <f aca="false">Sens!H2181+Sens!I2106-Sens!I2109</f>
        <v>664.646820108775</v>
      </c>
      <c r="J2181" s="6" t="n">
        <f aca="false">Sens!I2181+Sens!J2106-Sens!J2109</f>
        <v>660.943929884388</v>
      </c>
      <c r="K2181" s="6" t="n">
        <f aca="false">Sens!J2181+Sens!K2106-Sens!K2109</f>
        <v>632.084150100946</v>
      </c>
      <c r="L2181" s="1" t="s">
        <v>1009</v>
      </c>
    </row>
    <row r="2182" customFormat="false" ht="17.15" hidden="false" customHeight="false" outlineLevel="0" collapsed="false">
      <c r="A2182" s="0" t="s">
        <v>1010</v>
      </c>
      <c r="B2182" s="0" t="s">
        <v>168</v>
      </c>
      <c r="F2182" s="7" t="n">
        <f aca="false">Sens!F2180*(1-tax_f)/((Sens!E2181+Sens!F2181)/2)</f>
        <v>0.0393949986276697</v>
      </c>
      <c r="G2182" s="7" t="n">
        <f aca="false">Sens!G2180*(1-tax_f)/((Sens!F2181+Sens!G2181)/2)</f>
        <v>0.0605034434569474</v>
      </c>
      <c r="H2182" s="7" t="n">
        <f aca="false">Sens!H2180*(1-tax_f)/((Sens!G2181+Sens!H2181)/2)</f>
        <v>0.0726551599924429</v>
      </c>
      <c r="I2182" s="7" t="n">
        <f aca="false">Sens!I2180*(1-tax_f)/((Sens!H2181+Sens!I2181)/2)</f>
        <v>0.0825316764701762</v>
      </c>
      <c r="J2182" s="7" t="n">
        <f aca="false">Sens!J2180*(1-tax_f)/((Sens!I2181+Sens!J2181)/2)</f>
        <v>0.092459168113293</v>
      </c>
      <c r="K2182" s="7" t="n">
        <f aca="false">Sens!K2180*(1-tax_f)/((Sens!J2181+Sens!K2181)/2)</f>
        <v>0.1040158441292</v>
      </c>
    </row>
    <row r="2183" customFormat="false" ht="17.15" hidden="false" customHeight="false" outlineLevel="0" collapsed="false">
      <c r="A2183" s="1" t="s">
        <v>1011</v>
      </c>
      <c r="B2183" s="0" t="s">
        <v>168</v>
      </c>
      <c r="F2183" s="7" t="n">
        <f aca="false">(Sens!F2180-Sens!F2179)*(1-tax_f)/((Sens!E2181+Sens!F2181)/2)</f>
        <v>-0.0170667777688542</v>
      </c>
      <c r="G2183" s="7" t="n">
        <f aca="false">(Sens!G2180-Sens!G2179)*(1-tax_f)/((Sens!F2181+Sens!G2181)/2)</f>
        <v>-0.0238955730097081</v>
      </c>
      <c r="H2183" s="7" t="n">
        <f aca="false">(Sens!H2180-Sens!H2179)*(1-tax_f)/((Sens!G2181+Sens!H2181)/2)</f>
        <v>-0.029666871479008</v>
      </c>
      <c r="I2183" s="7" t="n">
        <f aca="false">(Sens!I2180-Sens!I2179)*(1-tax_f)/((Sens!H2181+Sens!I2181)/2)</f>
        <v>-0.0348349187072222</v>
      </c>
      <c r="J2183" s="7" t="n">
        <f aca="false">(Sens!J2180-Sens!J2179)*(1-tax_f)/((Sens!I2181+Sens!J2181)/2)</f>
        <v>-0.0399308106950461</v>
      </c>
      <c r="K2183" s="7" t="n">
        <f aca="false">(Sens!K2180-Sens!K2179)*(1-tax_f)/((Sens!J2181+Sens!K2181)/2)</f>
        <v>-0.0436007427014624</v>
      </c>
    </row>
    <row r="2184" customFormat="false" ht="17.15" hidden="false" customHeight="false" outlineLevel="0" collapsed="false">
      <c r="A2184" s="1" t="s">
        <v>1012</v>
      </c>
      <c r="B2184" s="0" t="s">
        <v>168</v>
      </c>
      <c r="F2184" s="7" t="n">
        <f aca="false">(Sens!F2180-Sens!F2179+Sens!F2178)*(1-tax_f)/((Sens!E2181+Sens!F2181)/2)</f>
        <v>0.0393949986276697</v>
      </c>
      <c r="G2184" s="7" t="n">
        <f aca="false">(Sens!G2180-Sens!G2179+Sens!G2178)*(1-tax_f)/((Sens!F2181+Sens!G2181)/2)</f>
        <v>0.0605034434569474</v>
      </c>
      <c r="H2184" s="7" t="n">
        <f aca="false">(Sens!H2180-Sens!H2179+Sens!H2178)*(1-tax_f)/((Sens!G2181+Sens!H2181)/2)</f>
        <v>0.0726551599924429</v>
      </c>
      <c r="I2184" s="7" t="n">
        <f aca="false">(Sens!I2180-Sens!I2179+Sens!I2178)*(1-tax_f)/((Sens!H2181+Sens!I2181)/2)</f>
        <v>0.0825316764701762</v>
      </c>
      <c r="J2184" s="7" t="n">
        <f aca="false">(Sens!J2180-Sens!J2179+Sens!J2178)*(1-tax_f)/((Sens!I2181+Sens!J2181)/2)</f>
        <v>0.092459168113293</v>
      </c>
      <c r="K2184" s="7" t="n">
        <f aca="false">(Sens!K2180-Sens!K2179+Sens!K2178)*(1-tax_f)/((Sens!J2181+Sens!K2181)/2)</f>
        <v>0.1040158441292</v>
      </c>
    </row>
    <row r="2185" customFormat="false" ht="17.15" hidden="false" customHeight="false" outlineLevel="0" collapsed="false">
      <c r="A2185" s="1" t="s">
        <v>1013</v>
      </c>
      <c r="B2185" s="0" t="s">
        <v>168</v>
      </c>
      <c r="F2185" s="7" t="n">
        <f aca="false">Sens!F2110*(1-tax_f)/(Sens!F2096*(Sens!E2181+Sens!F2181)/2)</f>
        <v>0.129294830495493</v>
      </c>
      <c r="G2185" s="7" t="n">
        <f aca="false">Sens!G2110*(1-tax_f)/(Sens!G2096*(Sens!F2181+Sens!G2181)/2)</f>
        <v>0.12719599062164</v>
      </c>
      <c r="H2185" s="7" t="n">
        <f aca="false">Sens!H2110*(1-tax_f)/(Sens!H2096*(Sens!G2181+Sens!H2181)/2)</f>
        <v>0.130828167067624</v>
      </c>
      <c r="I2185" s="7" t="n">
        <f aca="false">Sens!I2110*(1-tax_f)/(Sens!I2096*(Sens!H2181+Sens!I2181)/2)</f>
        <v>0.138614526937417</v>
      </c>
      <c r="J2185" s="7" t="n">
        <f aca="false">Sens!J2110*(1-tax_f)/(Sens!J2096*(Sens!I2181+Sens!J2181)/2)</f>
        <v>0.150578919010924</v>
      </c>
      <c r="K2185" s="7" t="n">
        <f aca="false">Sens!K2110*(1-tax_f)/(Sens!K2096*(Sens!J2181+Sens!K2181)/2)</f>
        <v>0.167005345886664</v>
      </c>
    </row>
    <row r="2186" customFormat="false" ht="17.15" hidden="false" customHeight="false" outlineLevel="0" collapsed="false">
      <c r="A2186" s="0" t="s">
        <v>1014</v>
      </c>
      <c r="B2186" s="0" t="s">
        <v>253</v>
      </c>
      <c r="F2186" s="7" t="n">
        <f aca="false">Sens!F2182-wacc</f>
        <v>-0.0635415923179276</v>
      </c>
      <c r="G2186" s="7" t="n">
        <f aca="false">Sens!G2182-wacc</f>
        <v>-0.0424331474886499</v>
      </c>
      <c r="H2186" s="7" t="n">
        <f aca="false">Sens!H2182-wacc</f>
        <v>-0.0302814309531544</v>
      </c>
      <c r="I2186" s="7" t="n">
        <f aca="false">Sens!I2182-wacc</f>
        <v>-0.020404914475421</v>
      </c>
      <c r="J2186" s="7" t="n">
        <f aca="false">Sens!J2182-wacc</f>
        <v>-0.0104774228323043</v>
      </c>
      <c r="K2186" s="7" t="n">
        <f aca="false">Sens!K2182-wacc</f>
        <v>0.00107925318360304</v>
      </c>
    </row>
    <row r="2187" customFormat="false" ht="17.15" hidden="false" customHeight="false" outlineLevel="0" collapsed="false">
      <c r="A2187" s="0" t="s">
        <v>1015</v>
      </c>
      <c r="B2187" s="0" t="s">
        <v>98</v>
      </c>
      <c r="F2187" s="6" t="n">
        <f aca="false">Sens!F2180*(1-tax_f)-wacc*(Sens!E2181+Sens!F2181)/2</f>
        <v>-14.7646768640172</v>
      </c>
      <c r="G2187" s="6" t="n">
        <f aca="false">Sens!G2180*(1-tax_f)-wacc*(Sens!F2181+Sens!G2181)/2</f>
        <v>-16.6088916816964</v>
      </c>
      <c r="H2187" s="6" t="n">
        <f aca="false">Sens!H2180*(1-tax_f)-wacc*(Sens!G2181+Sens!H2181)/2</f>
        <v>-16.1933792723217</v>
      </c>
      <c r="I2187" s="6" t="n">
        <f aca="false">Sens!I2180*(1-tax_f)-wacc*(Sens!H2181+Sens!I2181)/2</f>
        <v>-12.8962431550333</v>
      </c>
      <c r="J2187" s="6" t="n">
        <f aca="false">Sens!J2180*(1-tax_f)-wacc*(Sens!I2181+Sens!J2181)/2</f>
        <v>-6.94438739513484</v>
      </c>
      <c r="K2187" s="6" t="n">
        <f aca="false">Sens!K2180*(1-tax_f)-wacc*(Sens!J2181+Sens!K2181)/2</f>
        <v>0.697752335906145</v>
      </c>
    </row>
    <row r="2188" customFormat="false" ht="17.15" hidden="false" customHeight="false" outlineLevel="0" collapsed="false">
      <c r="A2188" s="3" t="s">
        <v>1533</v>
      </c>
    </row>
    <row r="2189" customFormat="false" ht="15" hidden="false" customHeight="false" outlineLevel="0" collapsed="false">
      <c r="A2189" s="4" t="s">
        <v>43</v>
      </c>
      <c r="B2189" s="4" t="s">
        <v>65</v>
      </c>
      <c r="C2189" s="23" t="s">
        <v>938</v>
      </c>
      <c r="D2189" s="23" t="s">
        <v>939</v>
      </c>
      <c r="E2189" s="23" t="s">
        <v>940</v>
      </c>
      <c r="F2189" s="23" t="s">
        <v>941</v>
      </c>
      <c r="G2189" s="23" t="s">
        <v>942</v>
      </c>
      <c r="H2189" s="23" t="s">
        <v>943</v>
      </c>
      <c r="I2189" s="23" t="s">
        <v>944</v>
      </c>
      <c r="J2189" s="23" t="s">
        <v>945</v>
      </c>
      <c r="K2189" s="23" t="s">
        <v>946</v>
      </c>
      <c r="L2189" s="4" t="s">
        <v>47</v>
      </c>
    </row>
    <row r="2190" customFormat="false" ht="15" hidden="false" customHeight="false" outlineLevel="0" collapsed="false">
      <c r="A2190" s="1" t="s">
        <v>1076</v>
      </c>
      <c r="B2190" s="0" t="s">
        <v>98</v>
      </c>
      <c r="F2190" s="6" t="n">
        <f aca="false">Sens!F2171</f>
        <v>141.869195488854</v>
      </c>
      <c r="G2190" s="6" t="n">
        <f aca="false">Sens!G2171</f>
        <v>147.734435913505</v>
      </c>
      <c r="H2190" s="6" t="n">
        <f aca="false">Sens!H2171</f>
        <v>157.837893805491</v>
      </c>
      <c r="I2190" s="6" t="n">
        <f aca="false">Sens!I2171</f>
        <v>167.988086410942</v>
      </c>
      <c r="J2190" s="6" t="n">
        <f aca="false">Sens!J2171</f>
        <v>178.884431289525</v>
      </c>
      <c r="K2190" s="6" t="n">
        <f aca="false">Sens!K2171</f>
        <v>190.891273850773</v>
      </c>
    </row>
    <row r="2191" customFormat="false" ht="17.15" hidden="false" customHeight="false" outlineLevel="0" collapsed="false">
      <c r="A2191" s="1" t="s">
        <v>1098</v>
      </c>
      <c r="B2191" s="0" t="s">
        <v>98</v>
      </c>
      <c r="E2191" s="6" t="n">
        <f aca="false">Q!M38-Sens!E2109</f>
        <v>18.9675128275</v>
      </c>
      <c r="F2191" s="6" t="n">
        <f aca="false">Sens!E2191*(1-1/life_nonai)+(Sens!F2199+Sens!F2200)/life_nonai</f>
        <v>20.6453691946723</v>
      </c>
      <c r="G2191" s="6" t="n">
        <f aca="false">Sens!F2191*(1-1/life_nonai)+(Sens!G2199)/life_nonai</f>
        <v>22.7168730206298</v>
      </c>
      <c r="H2191" s="6" t="n">
        <f aca="false">Sens!G2191*(1-1/life_nonai)+(Sens!H2199)/life_nonai</f>
        <v>25.151240215423</v>
      </c>
      <c r="I2191" s="6" t="n">
        <f aca="false">Sens!H2191*(1-1/life_nonai)+(Sens!I2199)/life_nonai</f>
        <v>27.8848555619664</v>
      </c>
      <c r="J2191" s="6" t="n">
        <f aca="false">Sens!I2191*(1-1/life_nonai)+(Sens!J2199)/life_nonai</f>
        <v>30.8369414849407</v>
      </c>
      <c r="K2191" s="6" t="n">
        <f aca="false">Sens!J2191*(1-1/life_nonai)+(Sens!K2199)/life_nonai</f>
        <v>33.9254950425185</v>
      </c>
      <c r="L2191" s="12" t="s">
        <v>1099</v>
      </c>
    </row>
    <row r="2192" customFormat="false" ht="17.15" hidden="false" customHeight="false" outlineLevel="0" collapsed="false">
      <c r="A2192" s="1" t="s">
        <v>1100</v>
      </c>
      <c r="B2192" s="0" t="s">
        <v>98</v>
      </c>
      <c r="F2192" s="6" t="n">
        <f aca="false">Sens!$F$2200/life_nonai*(1-1/life_nonai)^(Sens!F2072-2027)</f>
        <v>0</v>
      </c>
      <c r="G2192" s="6" t="n">
        <f aca="false">Sens!$F$2200/life_nonai*(1-1/life_nonai)^(Sens!G2072-2027)</f>
        <v>0</v>
      </c>
      <c r="H2192" s="6" t="n">
        <f aca="false">Sens!$F$2200/life_nonai*(1-1/life_nonai)^(Sens!H2072-2027)</f>
        <v>0</v>
      </c>
      <c r="I2192" s="6" t="n">
        <f aca="false">Sens!$F$2200/life_nonai*(1-1/life_nonai)^(Sens!I2072-2027)</f>
        <v>0</v>
      </c>
      <c r="J2192" s="6" t="n">
        <f aca="false">Sens!$F$2200/life_nonai*(1-1/life_nonai)^(Sens!J2072-2027)</f>
        <v>0</v>
      </c>
      <c r="K2192" s="6" t="n">
        <f aca="false">Sens!$F$2200/life_nonai*(1-1/life_nonai)^(Sens!K2072-2027)</f>
        <v>0</v>
      </c>
      <c r="L2192" s="1" t="s">
        <v>1101</v>
      </c>
    </row>
    <row r="2193" customFormat="false" ht="17.15" hidden="false" customHeight="false" outlineLevel="0" collapsed="false">
      <c r="A2193" s="1" t="s">
        <v>1102</v>
      </c>
      <c r="B2193" s="0" t="s">
        <v>98</v>
      </c>
      <c r="E2193" s="6" t="n">
        <f aca="false">Sens!E2109+Sens!E2191</f>
        <v>38.534</v>
      </c>
      <c r="F2193" s="6" t="n">
        <f aca="false">Sens!F2109+Sens!F2191</f>
        <v>62.1405465686942</v>
      </c>
      <c r="G2193" s="6" t="n">
        <f aca="false">Sens!G2109+Sens!G2191</f>
        <v>95.5982618033886</v>
      </c>
      <c r="H2193" s="6" t="n">
        <f aca="false">Sens!H2109+Sens!H2191</f>
        <v>132.071349009158</v>
      </c>
      <c r="I2193" s="6" t="n">
        <f aca="false">Sens!I2109+Sens!I2191</f>
        <v>164.962067195424</v>
      </c>
      <c r="J2193" s="6" t="n">
        <f aca="false">Sens!J2109+Sens!J2191</f>
        <v>189.255749144456</v>
      </c>
      <c r="K2193" s="6" t="n">
        <f aca="false">Sens!K2109+Sens!K2191</f>
        <v>205.540698503639</v>
      </c>
    </row>
    <row r="2194" customFormat="false" ht="17.15" hidden="false" customHeight="false" outlineLevel="0" collapsed="false">
      <c r="A2194" s="1" t="s">
        <v>1103</v>
      </c>
      <c r="B2194" s="0" t="s">
        <v>98</v>
      </c>
      <c r="F2194" s="6" t="n">
        <f aca="false">Sens!F2136*sbc_r</f>
        <v>14.9175438377464</v>
      </c>
      <c r="G2194" s="6" t="n">
        <f aca="false">Sens!G2136*sbc_r</f>
        <v>17.8119838712421</v>
      </c>
      <c r="H2194" s="6" t="n">
        <f aca="false">Sens!H2136*sbc_r</f>
        <v>20.7745061486909</v>
      </c>
      <c r="I2194" s="6" t="n">
        <f aca="false">Sens!I2136*sbc_r</f>
        <v>23.4952383075388</v>
      </c>
      <c r="J2194" s="6" t="n">
        <f aca="false">Sens!J2136*sbc_r</f>
        <v>25.7232953082804</v>
      </c>
      <c r="K2194" s="6" t="n">
        <f aca="false">Sens!K2136*sbc_r</f>
        <v>27.5132097680234</v>
      </c>
    </row>
    <row r="2195" customFormat="false" ht="17.15" hidden="false" customHeight="false" outlineLevel="0" collapsed="false">
      <c r="A2195" s="1" t="s">
        <v>1104</v>
      </c>
      <c r="B2195" s="0" t="s">
        <v>98</v>
      </c>
      <c r="F2195" s="6" t="n">
        <f aca="false">wc27-wc26q1</f>
        <v>-4.677</v>
      </c>
      <c r="G2195" s="6" t="n">
        <f aca="false">wc_f</f>
        <v>0</v>
      </c>
      <c r="H2195" s="6" t="n">
        <f aca="false">wc_f</f>
        <v>0</v>
      </c>
      <c r="I2195" s="6" t="n">
        <f aca="false">wc_f</f>
        <v>0</v>
      </c>
      <c r="J2195" s="6" t="n">
        <f aca="false">wc_f</f>
        <v>0</v>
      </c>
      <c r="K2195" s="6" t="n">
        <f aca="false">wc_f</f>
        <v>0</v>
      </c>
      <c r="L2195" s="12" t="s">
        <v>1105</v>
      </c>
    </row>
    <row r="2196" customFormat="false" ht="17.15" hidden="false" customHeight="false" outlineLevel="0" collapsed="false">
      <c r="A2196" s="0" t="s">
        <v>1106</v>
      </c>
      <c r="B2196" s="0" t="s">
        <v>98</v>
      </c>
      <c r="F2196" s="6" t="n">
        <f aca="false">Q!$I$35-Q!$I$26-Q!$I$38-Q!$I$39</f>
        <v>6.493</v>
      </c>
      <c r="L2196" s="1" t="s">
        <v>1107</v>
      </c>
    </row>
    <row r="2197" customFormat="false" ht="15" hidden="false" customHeight="false" outlineLevel="0" collapsed="false">
      <c r="A2197" s="1" t="s">
        <v>904</v>
      </c>
      <c r="B2197" s="0" t="s">
        <v>98</v>
      </c>
      <c r="E2197" s="6" t="n">
        <f aca="false">Q!M35</f>
        <v>182.935</v>
      </c>
      <c r="F2197" s="6" t="n">
        <f aca="false">Sens!F2190+Sens!F2193+Sens!F2194+Sens!F2195+Sens!F2196</f>
        <v>220.743285895294</v>
      </c>
      <c r="G2197" s="6" t="n">
        <f aca="false">Sens!G2190+Sens!G2193+Sens!G2194+Sens!G2195</f>
        <v>261.144681588136</v>
      </c>
      <c r="H2197" s="6" t="n">
        <f aca="false">Sens!H2190+Sens!H2193+Sens!H2194+Sens!H2195</f>
        <v>310.683748963339</v>
      </c>
      <c r="I2197" s="6" t="n">
        <f aca="false">Sens!I2190+Sens!I2193+Sens!I2194+Sens!I2195</f>
        <v>356.445391913906</v>
      </c>
      <c r="J2197" s="6" t="n">
        <f aca="false">Sens!J2190+Sens!J2193+Sens!J2194+Sens!J2195</f>
        <v>393.863475742261</v>
      </c>
      <c r="K2197" s="6" t="n">
        <f aca="false">Sens!K2190+Sens!K2193+Sens!K2194+Sens!K2195</f>
        <v>423.945182122436</v>
      </c>
    </row>
    <row r="2198" customFormat="false" ht="17.15" hidden="false" customHeight="false" outlineLevel="0" collapsed="false">
      <c r="A2198" s="0" t="s">
        <v>1108</v>
      </c>
      <c r="B2198" s="0" t="s">
        <v>98</v>
      </c>
      <c r="F2198" s="6" t="n">
        <f aca="false">Sens!F2106</f>
        <v>202.144684850544</v>
      </c>
      <c r="G2198" s="6" t="n">
        <f aca="false">Sens!G2106</f>
        <v>230.333370778858</v>
      </c>
      <c r="H2198" s="6" t="n">
        <f aca="false">Sens!H2106</f>
        <v>236.167204877415</v>
      </c>
      <c r="I2198" s="6" t="n">
        <f aca="false">Sens!I2106</f>
        <v>202.337800345932</v>
      </c>
      <c r="J2198" s="6" t="n">
        <f aca="false">Sens!J2106</f>
        <v>154.715917435129</v>
      </c>
      <c r="K2198" s="6" t="n">
        <f aca="false">Sens!K2106</f>
        <v>142.755423677679</v>
      </c>
    </row>
    <row r="2199" customFormat="false" ht="17.15" hidden="false" customHeight="false" outlineLevel="0" collapsed="false">
      <c r="A2199" s="1" t="s">
        <v>1109</v>
      </c>
      <c r="B2199" s="0" t="s">
        <v>98</v>
      </c>
      <c r="E2199" s="6" t="n">
        <f aca="false">Sens!E2114*cx_azo+Sens!E2121*cx_m365+Sens!E2122*cx_lic+(Sens!E2124+Sens!E2126)*cx_ind+Sens!E2129*cx_srch+(Sens!E2131+Sens!E2133)*cx_dev</f>
        <v>30.1846587067718</v>
      </c>
      <c r="F2199" s="6" t="n">
        <f aca="false">Sens!F2114*cx_azo+Sens!F2121*cx_m365+Sens!F2122*cx_lic+(Sens!F2124+Sens!F2126)*cx_ind+Sens!F2129*cx_srch+(Sens!F2131+Sens!F2133)*cx_dev</f>
        <v>35.7460764992227</v>
      </c>
      <c r="G2199" s="6" t="n">
        <f aca="false">Sens!G2114*cx_azo+Sens!G2121*cx_m365+Sens!G2122*cx_lic+(Sens!G2124+Sens!G2126)*cx_ind+Sens!G2129*cx_srch+(Sens!G2131+Sens!G2133)*cx_dev</f>
        <v>41.360407454248</v>
      </c>
      <c r="H2199" s="6" t="n">
        <f aca="false">Sens!H2114*cx_azo+Sens!H2121*cx_m365+Sens!H2122*cx_lic+(Sens!H2124+Sens!H2126)*cx_ind+Sens!H2129*cx_srch+(Sens!H2131+Sens!H2133)*cx_dev</f>
        <v>47.0605449685615</v>
      </c>
      <c r="I2199" s="6" t="n">
        <f aca="false">Sens!I2114*cx_azo+Sens!I2121*cx_m365+Sens!I2122*cx_lic+(Sens!I2124+Sens!I2126)*cx_ind+Sens!I2129*cx_srch+(Sens!I2131+Sens!I2133)*cx_dev</f>
        <v>52.4873936808571</v>
      </c>
      <c r="J2199" s="6" t="n">
        <f aca="false">Sens!J2114*cx_azo+Sens!J2121*cx_m365+Sens!J2122*cx_lic+(Sens!J2124+Sens!J2126)*cx_ind+Sens!J2129*cx_srch+(Sens!J2131+Sens!J2133)*cx_dev</f>
        <v>57.4057147917091</v>
      </c>
      <c r="K2199" s="6" t="n">
        <f aca="false">Sens!K2114*cx_azo+Sens!K2121*cx_m365+Sens!K2122*cx_lic+(Sens!K2124+Sens!K2126)*cx_ind+Sens!K2129*cx_srch+(Sens!K2131+Sens!K2133)*cx_dev</f>
        <v>61.7224770607185</v>
      </c>
    </row>
    <row r="2200" customFormat="false" ht="17.15" hidden="false" customHeight="false" outlineLevel="0" collapsed="false">
      <c r="A2200" s="0" t="s">
        <v>1110</v>
      </c>
      <c r="B2200" s="0" t="s">
        <v>98</v>
      </c>
      <c r="F2200" s="6" t="n">
        <f aca="false">Sens!F2104</f>
        <v>0</v>
      </c>
      <c r="L2200" s="1" t="s">
        <v>1111</v>
      </c>
    </row>
    <row r="2201" customFormat="false" ht="17.15" hidden="false" customHeight="false" outlineLevel="0" collapsed="false">
      <c r="A2201" s="1" t="s">
        <v>1112</v>
      </c>
      <c r="B2201" s="0" t="s">
        <v>98</v>
      </c>
      <c r="E2201" s="6" t="n">
        <f aca="false">Q!M43</f>
        <v>145.3</v>
      </c>
      <c r="F2201" s="6" t="n">
        <f aca="false">Sens!F2198+Sens!F2199+Sens!F2200</f>
        <v>237.890761349766</v>
      </c>
      <c r="G2201" s="6" t="n">
        <f aca="false">Sens!G2198+Sens!G2199</f>
        <v>271.693778233106</v>
      </c>
      <c r="H2201" s="6" t="n">
        <f aca="false">Sens!H2198+Sens!H2199</f>
        <v>283.227749845976</v>
      </c>
      <c r="I2201" s="6" t="n">
        <f aca="false">Sens!I2198+Sens!I2199</f>
        <v>254.825194026789</v>
      </c>
      <c r="J2201" s="6" t="n">
        <f aca="false">Sens!J2198+Sens!J2199</f>
        <v>212.121632226838</v>
      </c>
      <c r="K2201" s="6" t="n">
        <f aca="false">Sens!K2198+Sens!K2199</f>
        <v>204.477900738398</v>
      </c>
      <c r="L2201" s="1" t="s">
        <v>1113</v>
      </c>
    </row>
    <row r="2202" customFormat="false" ht="15" hidden="false" customHeight="false" outlineLevel="0" collapsed="false">
      <c r="A2202" s="1" t="s">
        <v>1114</v>
      </c>
      <c r="B2202" s="0" t="s">
        <v>98</v>
      </c>
      <c r="E2202" s="6" t="n">
        <f aca="false">fl_liab</f>
        <v>66.594</v>
      </c>
      <c r="F2202" s="6" t="n">
        <f aca="false">Sens!E2202-Sens!F2203</f>
        <v>62.46973</v>
      </c>
      <c r="G2202" s="6" t="n">
        <f aca="false">Sens!F2202-Sens!G2203</f>
        <v>57.98686785</v>
      </c>
      <c r="H2202" s="6" t="n">
        <f aca="false">Sens!G2202-Sens!H2203</f>
        <v>53.92827690325</v>
      </c>
      <c r="I2202" s="6" t="n">
        <f aca="false">Sens!H2202-Sens!I2203</f>
        <v>49.7850493638962</v>
      </c>
      <c r="J2202" s="6" t="n">
        <f aca="false">Sens!I2202-Sens!J2203</f>
        <v>45.4823765852716</v>
      </c>
      <c r="K2202" s="6" t="n">
        <f aca="false">Sens!J2202-Sens!K2203</f>
        <v>40.9860835316088</v>
      </c>
    </row>
    <row r="2203" customFormat="false" ht="15" hidden="false" customHeight="false" outlineLevel="0" collapsed="false">
      <c r="A2203" s="1" t="s">
        <v>1115</v>
      </c>
      <c r="B2203" s="0" t="s">
        <v>98</v>
      </c>
      <c r="F2203" s="6" t="n">
        <f aca="false">fl_pay_27-Sens!E2202*fl_rate</f>
        <v>4.12427</v>
      </c>
      <c r="G2203" s="6" t="n">
        <f aca="false">fl_pay_28-Sens!F2202*fl_rate</f>
        <v>4.48286215</v>
      </c>
      <c r="H2203" s="6" t="n">
        <f aca="false">fl_pay_29-Sens!G2202*fl_rate</f>
        <v>4.05859094675</v>
      </c>
      <c r="I2203" s="6" t="n">
        <f aca="false">fl_pay_30-Sens!H2202*fl_rate</f>
        <v>4.14322753935375</v>
      </c>
      <c r="J2203" s="6" t="n">
        <f aca="false">fl_pay_31-Sens!I2202*fl_rate</f>
        <v>4.30267277862467</v>
      </c>
      <c r="K2203" s="6" t="n">
        <f aca="false">fl_pay_32-Sens!J2202*fl_rate</f>
        <v>4.49629305366278</v>
      </c>
    </row>
    <row r="2204" customFormat="false" ht="17.15" hidden="false" customHeight="false" outlineLevel="0" collapsed="false">
      <c r="A2204" s="1" t="s">
        <v>1116</v>
      </c>
      <c r="B2204" s="0" t="s">
        <v>98</v>
      </c>
      <c r="E2204" s="6" t="n">
        <f aca="false">Q!M35-Q!M36-Q!M44</f>
        <v>63.886</v>
      </c>
      <c r="F2204" s="6" t="n">
        <f aca="false">Sens!F2197-Sens!F2201-Sens!F2203</f>
        <v>-21.2717454544718</v>
      </c>
      <c r="G2204" s="6" t="n">
        <f aca="false">Sens!G2197-Sens!G2201-Sens!G2203</f>
        <v>-15.0319587949698</v>
      </c>
      <c r="H2204" s="6" t="n">
        <f aca="false">Sens!H2197-Sens!H2201-Sens!H2203</f>
        <v>23.3974081706131</v>
      </c>
      <c r="I2204" s="6" t="n">
        <f aca="false">Sens!I2197-Sens!I2201-Sens!I2203</f>
        <v>97.4769703477625</v>
      </c>
      <c r="J2204" s="6" t="n">
        <f aca="false">Sens!J2197-Sens!J2201-Sens!J2203</f>
        <v>177.439170736799</v>
      </c>
      <c r="K2204" s="6" t="n">
        <f aca="false">Sens!K2197-Sens!K2201-Sens!K2203</f>
        <v>214.970988330375</v>
      </c>
      <c r="L2204" s="12" t="s">
        <v>1117</v>
      </c>
    </row>
    <row r="2205" customFormat="false" ht="15" hidden="false" customHeight="false" outlineLevel="0" collapsed="false">
      <c r="A2205" s="1" t="s">
        <v>1118</v>
      </c>
      <c r="B2205" s="0" t="s">
        <v>75</v>
      </c>
      <c r="F2205" s="8" t="n">
        <f aca="false">dps_27</f>
        <v>3.85</v>
      </c>
      <c r="G2205" s="8" t="n">
        <f aca="false">Sens!F2205*(1+dps_g)</f>
        <v>4.158</v>
      </c>
      <c r="H2205" s="8" t="n">
        <f aca="false">Sens!G2205*(1+dps_g)</f>
        <v>4.49064</v>
      </c>
      <c r="I2205" s="8" t="n">
        <f aca="false">Sens!H2205*(1+dps_g)</f>
        <v>4.8498912</v>
      </c>
      <c r="J2205" s="8" t="n">
        <f aca="false">Sens!I2205*(1+dps_g)</f>
        <v>5.237882496</v>
      </c>
      <c r="K2205" s="8" t="n">
        <f aca="false">Sens!J2205*(1+dps_g)</f>
        <v>5.65691309568</v>
      </c>
    </row>
    <row r="2206" customFormat="false" ht="17.15" hidden="false" customHeight="false" outlineLevel="0" collapsed="false">
      <c r="A2206" s="1" t="s">
        <v>1119</v>
      </c>
      <c r="B2206" s="0" t="s">
        <v>98</v>
      </c>
      <c r="E2206" s="6" t="n">
        <f aca="false">Q!M41</f>
        <v>26.445</v>
      </c>
      <c r="F2206" s="6" t="n">
        <f aca="false">Sens!F2205*Sens!E2215</f>
        <v>28.59395</v>
      </c>
      <c r="G2206" s="6" t="n">
        <f aca="false">Sens!G2205*Sens!F2215</f>
        <v>31.068576</v>
      </c>
      <c r="H2206" s="6" t="n">
        <f aca="false">Sens!H2205*Sens!G2215</f>
        <v>33.75614088</v>
      </c>
      <c r="I2206" s="6" t="n">
        <f aca="false">Sens!I2205*Sens!H2215</f>
        <v>36.6748772544</v>
      </c>
      <c r="J2206" s="6" t="n">
        <f aca="false">Sens!J2205*Sens!I2215</f>
        <v>39.6767653201446</v>
      </c>
      <c r="K2206" s="6" t="n">
        <f aca="false">Sens!K2205*Sens!J2215</f>
        <v>42.9376608081345</v>
      </c>
      <c r="L2206" s="1" t="s">
        <v>1120</v>
      </c>
    </row>
    <row r="2207" customFormat="false" ht="15" hidden="false" customHeight="false" outlineLevel="0" collapsed="false">
      <c r="A2207" s="1" t="s">
        <v>1121</v>
      </c>
      <c r="B2207" s="0" t="s">
        <v>98</v>
      </c>
      <c r="E2207" s="6" t="n">
        <f aca="false">Sens!E2204-Sens!E2206</f>
        <v>37.441</v>
      </c>
      <c r="F2207" s="6" t="n">
        <f aca="false">Sens!F2204-Sens!F2206</f>
        <v>-49.8656954544718</v>
      </c>
      <c r="G2207" s="6" t="n">
        <f aca="false">Sens!G2204-Sens!G2206</f>
        <v>-46.1005347949698</v>
      </c>
      <c r="H2207" s="6" t="n">
        <f aca="false">Sens!H2204-Sens!H2206</f>
        <v>-10.3587327093869</v>
      </c>
      <c r="I2207" s="6" t="n">
        <f aca="false">Sens!I2204-Sens!I2206</f>
        <v>60.8020930933625</v>
      </c>
      <c r="J2207" s="6" t="n">
        <f aca="false">Sens!J2204-Sens!J2206</f>
        <v>137.762405416654</v>
      </c>
      <c r="K2207" s="6" t="n">
        <f aca="false">Sens!K2204-Sens!K2206</f>
        <v>172.033327522241</v>
      </c>
    </row>
    <row r="2208" customFormat="false" ht="15" hidden="false" customHeight="false" outlineLevel="0" collapsed="false">
      <c r="A2208" s="1" t="s">
        <v>1122</v>
      </c>
      <c r="B2208" s="0" t="s">
        <v>98</v>
      </c>
      <c r="F2208" s="6" t="n">
        <f aca="false">debt_mat_27</f>
        <v>9.25</v>
      </c>
      <c r="G2208" s="6" t="n">
        <f aca="false">debt_mat_28</f>
        <v>0</v>
      </c>
      <c r="H2208" s="6" t="n">
        <f aca="false">debt_mat_29</f>
        <v>2.001</v>
      </c>
      <c r="I2208" s="6" t="n">
        <f aca="false">debt_mat_30</f>
        <v>0</v>
      </c>
      <c r="J2208" s="6" t="n">
        <f aca="false">debt_mat_31</f>
        <v>0.5</v>
      </c>
      <c r="K2208" s="6" t="n">
        <f aca="false">debt_mat_32</f>
        <v>0</v>
      </c>
    </row>
    <row r="2209" customFormat="false" ht="15" hidden="false" customHeight="false" outlineLevel="0" collapsed="false">
      <c r="A2209" s="1" t="s">
        <v>1123</v>
      </c>
      <c r="B2209" s="0" t="s">
        <v>98</v>
      </c>
      <c r="E2209" s="6" t="n">
        <f aca="false">Q!M40</f>
        <v>22.271</v>
      </c>
      <c r="F2209" s="6" t="n">
        <f aca="false">MAX(0,MIN(bb_target,Sens!E2211+Sens!F2207-Sens!F2208-min_cash))</f>
        <v>0</v>
      </c>
      <c r="G2209" s="6" t="n">
        <f aca="false">MAX(0,MIN(bb_target,Sens!F2211+Sens!G2207-Sens!G2208-min_cash))</f>
        <v>0</v>
      </c>
      <c r="H2209" s="6" t="n">
        <f aca="false">MAX(0,MIN(bb_target,Sens!G2211+Sens!H2207-Sens!H2208-min_cash))</f>
        <v>0</v>
      </c>
      <c r="I2209" s="6" t="n">
        <f aca="false">MAX(0,MIN(bb_target,Sens!H2211+Sens!I2207-Sens!I2208-min_cash))</f>
        <v>22.271</v>
      </c>
      <c r="J2209" s="6" t="n">
        <f aca="false">MAX(0,MIN(bb_target,Sens!I2211+Sens!J2207-Sens!J2208-min_cash))</f>
        <v>22.271</v>
      </c>
      <c r="K2209" s="6" t="n">
        <f aca="false">MAX(0,MIN(bb_target,Sens!J2211+Sens!K2207-Sens!K2208-min_cash))</f>
        <v>22.271</v>
      </c>
    </row>
    <row r="2210" customFormat="false" ht="15" hidden="false" customHeight="false" outlineLevel="0" collapsed="false">
      <c r="A2210" s="1" t="s">
        <v>1124</v>
      </c>
      <c r="B2210" s="0" t="s">
        <v>98</v>
      </c>
      <c r="F2210" s="6" t="n">
        <f aca="false">MAX(0,min_cash-(Sens!E2211+Sens!F2207-Sens!F2208-Sens!F2209))</f>
        <v>32.2726954544718</v>
      </c>
      <c r="G2210" s="6" t="n">
        <f aca="false">MAX(0,min_cash-(Sens!F2211+Sens!G2207-Sens!G2208-Sens!G2209))</f>
        <v>46.1005347949698</v>
      </c>
      <c r="H2210" s="6" t="n">
        <f aca="false">MAX(0,min_cash-(Sens!G2211+Sens!H2207-Sens!H2208-Sens!H2209))</f>
        <v>12.3597327093869</v>
      </c>
      <c r="I2210" s="6" t="n">
        <f aca="false">MAX(0,min_cash-(Sens!H2211+Sens!I2207-Sens!I2208-Sens!I2209))</f>
        <v>0</v>
      </c>
      <c r="J2210" s="6" t="n">
        <f aca="false">MAX(0,min_cash-(Sens!I2211+Sens!J2207-Sens!J2208-Sens!J2209))</f>
        <v>0</v>
      </c>
      <c r="K2210" s="6" t="n">
        <f aca="false">MAX(0,min_cash-(Sens!J2211+Sens!K2207-Sens!K2208-Sens!K2209))</f>
        <v>0</v>
      </c>
    </row>
    <row r="2211" customFormat="false" ht="15" hidden="false" customHeight="false" outlineLevel="0" collapsed="false">
      <c r="A2211" s="1" t="s">
        <v>1125</v>
      </c>
      <c r="B2211" s="0" t="s">
        <v>98</v>
      </c>
      <c r="E2211" s="6" t="n">
        <f aca="false">cash_open</f>
        <v>76.843</v>
      </c>
      <c r="F2211" s="6" t="n">
        <f aca="false">Sens!E2211+Sens!F2207-Sens!F2208-Sens!F2209+Sens!F2210</f>
        <v>50</v>
      </c>
      <c r="G2211" s="6" t="n">
        <f aca="false">Sens!F2211+Sens!G2207-Sens!G2208-Sens!G2209+Sens!G2210</f>
        <v>50</v>
      </c>
      <c r="H2211" s="6" t="n">
        <f aca="false">Sens!G2211+Sens!H2207-Sens!H2208-Sens!H2209+Sens!H2210</f>
        <v>50</v>
      </c>
      <c r="I2211" s="6" t="n">
        <f aca="false">Sens!H2211+Sens!I2207-Sens!I2208-Sens!I2209+Sens!I2210</f>
        <v>88.5310930933625</v>
      </c>
      <c r="J2211" s="6" t="n">
        <f aca="false">Sens!I2211+Sens!J2207-Sens!J2208-Sens!J2209+Sens!J2210</f>
        <v>203.522498510017</v>
      </c>
      <c r="K2211" s="6" t="n">
        <f aca="false">Sens!J2211+Sens!K2207-Sens!K2208-Sens!K2209+Sens!K2210</f>
        <v>353.284826032257</v>
      </c>
    </row>
    <row r="2212" customFormat="false" ht="15" hidden="false" customHeight="false" outlineLevel="0" collapsed="false">
      <c r="A2212" s="1" t="s">
        <v>1126</v>
      </c>
      <c r="B2212" s="0" t="s">
        <v>98</v>
      </c>
      <c r="E2212" s="6" t="n">
        <f aca="false">debt_face</f>
        <v>46.136</v>
      </c>
      <c r="F2212" s="6" t="n">
        <f aca="false">Sens!E2212-Sens!F2208+Sens!F2210</f>
        <v>69.1586954544718</v>
      </c>
      <c r="G2212" s="6" t="n">
        <f aca="false">Sens!F2212-Sens!G2208+Sens!G2210</f>
        <v>115.259230249442</v>
      </c>
      <c r="H2212" s="6" t="n">
        <f aca="false">Sens!G2212-Sens!H2208+Sens!H2210</f>
        <v>125.617962958828</v>
      </c>
      <c r="I2212" s="6" t="n">
        <f aca="false">Sens!H2212-Sens!I2208+Sens!I2210</f>
        <v>125.617962958828</v>
      </c>
      <c r="J2212" s="6" t="n">
        <f aca="false">Sens!I2212-Sens!J2208+Sens!J2210</f>
        <v>125.117962958828</v>
      </c>
      <c r="K2212" s="6" t="n">
        <f aca="false">Sens!J2212-Sens!K2208+Sens!K2210</f>
        <v>125.117962958828</v>
      </c>
    </row>
    <row r="2213" customFormat="false" ht="15" hidden="false" customHeight="false" outlineLevel="0" collapsed="false">
      <c r="A2213" s="1" t="s">
        <v>1127</v>
      </c>
      <c r="B2213" s="0" t="s">
        <v>98</v>
      </c>
      <c r="E2213" s="6" t="n">
        <f aca="false">Sens!E2211-Sens!E2212</f>
        <v>30.707</v>
      </c>
      <c r="F2213" s="6" t="n">
        <f aca="false">Sens!F2211-Sens!F2212</f>
        <v>-19.1586954544718</v>
      </c>
      <c r="G2213" s="6" t="n">
        <f aca="false">Sens!G2211-Sens!G2212</f>
        <v>-65.2592302494416</v>
      </c>
      <c r="H2213" s="6" t="n">
        <f aca="false">Sens!H2211-Sens!H2212</f>
        <v>-75.6179629588285</v>
      </c>
      <c r="I2213" s="6" t="n">
        <f aca="false">Sens!I2211-Sens!I2212</f>
        <v>-37.086869865466</v>
      </c>
      <c r="J2213" s="6" t="n">
        <f aca="false">Sens!J2211-Sens!J2212</f>
        <v>78.4045355511881</v>
      </c>
      <c r="K2213" s="6" t="n">
        <f aca="false">Sens!K2211-Sens!K2212</f>
        <v>228.166863073429</v>
      </c>
    </row>
    <row r="2214" customFormat="false" ht="15" hidden="false" customHeight="false" outlineLevel="0" collapsed="false">
      <c r="A2214" s="1" t="s">
        <v>1128</v>
      </c>
      <c r="B2214" s="0" t="s">
        <v>75</v>
      </c>
      <c r="F2214" s="30" t="n">
        <f aca="false">px*(1+bb_g)^(Sens!F2072-base_fy-mid_yr)</f>
        <v>551.84177959629</v>
      </c>
      <c r="G2214" s="30" t="n">
        <f aca="false">px*(1+bb_g)^(Sens!G2072-base_fy-mid_yr)</f>
        <v>595.989121963993</v>
      </c>
      <c r="H2214" s="30" t="n">
        <f aca="false">px*(1+bb_g)^(Sens!H2072-base_fy-mid_yr)</f>
        <v>643.668251721112</v>
      </c>
      <c r="I2214" s="30" t="n">
        <f aca="false">px*(1+bb_g)^(Sens!I2072-base_fy-mid_yr)</f>
        <v>695.161711858801</v>
      </c>
      <c r="J2214" s="30" t="n">
        <f aca="false">px*(1+bb_g)^(Sens!J2072-base_fy-mid_yr)</f>
        <v>750.774648807506</v>
      </c>
      <c r="K2214" s="30" t="n">
        <f aca="false">px*(1+bb_g)^(Sens!K2072-base_fy-mid_yr)</f>
        <v>810.836620712106</v>
      </c>
    </row>
    <row r="2215" customFormat="false" ht="15" hidden="false" customHeight="false" outlineLevel="0" collapsed="false">
      <c r="A2215" s="1" t="s">
        <v>1129</v>
      </c>
      <c r="B2215" s="1" t="s">
        <v>81</v>
      </c>
      <c r="E2215" s="15" t="n">
        <f aca="false">sh_out26</f>
        <v>7.427</v>
      </c>
      <c r="F2215" s="15" t="n">
        <f aca="false">Sens!E2215+sh_iss-Sens!F2209/Sens!F2214</f>
        <v>7.472</v>
      </c>
      <c r="G2215" s="15" t="n">
        <f aca="false">Sens!F2215+sh_iss-Sens!G2209/Sens!G2214</f>
        <v>7.517</v>
      </c>
      <c r="H2215" s="15" t="n">
        <f aca="false">Sens!G2215+sh_iss-Sens!H2209/Sens!H2214</f>
        <v>7.562</v>
      </c>
      <c r="I2215" s="15" t="n">
        <f aca="false">Sens!H2215+sh_iss-Sens!I2209/Sens!I2214</f>
        <v>7.57496285005334</v>
      </c>
      <c r="J2215" s="15" t="n">
        <f aca="false">Sens!I2215+sh_iss-Sens!J2209/Sens!J2214</f>
        <v>7.59029882232494</v>
      </c>
      <c r="K2215" s="15" t="n">
        <f aca="false">Sens!J2215+sh_iss-Sens!K2209/Sens!K2214</f>
        <v>7.60783212998384</v>
      </c>
    </row>
    <row r="2216" customFormat="false" ht="15" hidden="false" customHeight="false" outlineLevel="0" collapsed="false">
      <c r="A2216" s="1" t="s">
        <v>1130</v>
      </c>
      <c r="B2216" s="1" t="s">
        <v>81</v>
      </c>
      <c r="E2216" s="15" t="n">
        <f aca="false">sh_dil26</f>
        <v>7.453</v>
      </c>
      <c r="F2216" s="15" t="n">
        <f aca="false">(Sens!E2215+Sens!F2215)/2+dil_gap</f>
        <v>7.4735</v>
      </c>
      <c r="G2216" s="15" t="n">
        <f aca="false">(Sens!F2215+Sens!G2215)/2+dil_gap</f>
        <v>7.5185</v>
      </c>
      <c r="H2216" s="15" t="n">
        <f aca="false">(Sens!G2215+Sens!H2215)/2+dil_gap</f>
        <v>7.5635</v>
      </c>
      <c r="I2216" s="15" t="n">
        <f aca="false">(Sens!H2215+Sens!I2215)/2+dil_gap</f>
        <v>7.59248142502667</v>
      </c>
      <c r="J2216" s="15" t="n">
        <f aca="false">(Sens!I2215+Sens!J2215)/2+dil_gap</f>
        <v>7.60663083618914</v>
      </c>
      <c r="K2216" s="15" t="n">
        <f aca="false">(Sens!J2215+Sens!K2215)/2+dil_gap</f>
        <v>7.62306547615439</v>
      </c>
    </row>
    <row r="2217" customFormat="false" ht="17.15" hidden="false" customHeight="false" outlineLevel="0" collapsed="false">
      <c r="A2217" s="1" t="s">
        <v>1131</v>
      </c>
      <c r="B2217" s="0" t="s">
        <v>98</v>
      </c>
      <c r="C2217" s="6" t="n">
        <f aca="false">SUM(Sens!F2207:J2207)</f>
        <v>92.2395355511881</v>
      </c>
    </row>
    <row r="2218" customFormat="false" ht="15" hidden="false" customHeight="false" outlineLevel="0" collapsed="false">
      <c r="A2218" s="26" t="s">
        <v>1096</v>
      </c>
      <c r="B2218" s="31" t="s">
        <v>98</v>
      </c>
      <c r="C2218" s="27" t="n">
        <f aca="false">Sens!$C$2217-(Sens!F2207+Sens!G2207+Sens!H2207+Sens!I2207+Sens!J2207)</f>
        <v>0</v>
      </c>
      <c r="D2218" s="31"/>
      <c r="E2218" s="31"/>
      <c r="F2218" s="31"/>
      <c r="G2218" s="31"/>
      <c r="H2218" s="31"/>
      <c r="I2218" s="31"/>
      <c r="J2218" s="31"/>
      <c r="K2218" s="31"/>
    </row>
    <row r="2219" customFormat="false" ht="17.15" hidden="false" customHeight="false" outlineLevel="0" collapsed="false">
      <c r="A2219" s="1" t="s">
        <v>1090</v>
      </c>
      <c r="B2219" s="1" t="s">
        <v>1132</v>
      </c>
      <c r="C2219" s="33" t="str">
        <f aca="false">IF(SUM(Sens!F2210:J2210)&gt;0.05,"需要舉債 "&amp;TEXT(SUM(Sens!F2210:J2210),"0.0")&amp;" 十億美元","不需舉債")&amp;"；"&amp;IF(SUM(Sens!F2209:J2209)&lt;COUNT(Sens!F2209:J2209)*bb_target-0.05,"回購較每年 "&amp;TEXT(bb_target,"0.0")&amp;" 的目標少 "&amp;TEXT(COUNT(Sens!F2209:J2209)*bb_target-SUM(Sens!F2209:J2209),"0.0")&amp;" 十億美元（"&amp;TEXT(COUNTIF(Sens!F2209:J2209,"&lt;"&amp;(bb_target-0.05)),"0")&amp;" 年減少）","回購不減")</f>
        <v>需要舉債 90.7 十億美元；回購較每年 22.3 的目標少 66.8 十億美元（3 年減少）</v>
      </c>
    </row>
    <row r="2220" customFormat="false" ht="17.15" hidden="false" customHeight="false" outlineLevel="0" collapsed="false">
      <c r="A2220" s="3" t="s">
        <v>1534</v>
      </c>
    </row>
    <row r="2221" customFormat="false" ht="15" hidden="false" customHeight="false" outlineLevel="0" collapsed="false">
      <c r="A2221" s="4" t="s">
        <v>43</v>
      </c>
      <c r="B2221" s="4" t="s">
        <v>65</v>
      </c>
      <c r="C2221" s="23" t="s">
        <v>938</v>
      </c>
      <c r="D2221" s="23" t="s">
        <v>939</v>
      </c>
      <c r="E2221" s="23" t="s">
        <v>940</v>
      </c>
      <c r="F2221" s="23" t="s">
        <v>941</v>
      </c>
      <c r="G2221" s="23" t="s">
        <v>942</v>
      </c>
      <c r="H2221" s="23" t="s">
        <v>943</v>
      </c>
      <c r="I2221" s="23" t="s">
        <v>944</v>
      </c>
      <c r="J2221" s="23" t="s">
        <v>945</v>
      </c>
      <c r="K2221" s="23" t="s">
        <v>946</v>
      </c>
      <c r="L2221" s="4" t="s">
        <v>47</v>
      </c>
    </row>
    <row r="2222" customFormat="false" ht="17.15" hidden="false" customHeight="false" outlineLevel="0" collapsed="false">
      <c r="A2222" s="1" t="s">
        <v>1212</v>
      </c>
      <c r="B2222" s="1" t="s">
        <v>279</v>
      </c>
      <c r="F2222" s="8" t="n">
        <f aca="false">(1-v_off)*mid_yr</f>
        <v>0.373972602739726</v>
      </c>
      <c r="G2222" s="8" t="n">
        <f aca="false">Sens!G2072-base_fy-mid_yr-v_off</f>
        <v>1.24794520547945</v>
      </c>
      <c r="H2222" s="8" t="n">
        <f aca="false">Sens!H2072-base_fy-mid_yr-v_off</f>
        <v>2.24794520547945</v>
      </c>
      <c r="I2222" s="8" t="n">
        <f aca="false">Sens!I2072-base_fy-mid_yr-v_off</f>
        <v>3.24794520547945</v>
      </c>
      <c r="J2222" s="8" t="n">
        <f aca="false">Sens!J2072-base_fy-mid_yr-v_off</f>
        <v>4.24794520547945</v>
      </c>
      <c r="K2222" s="8" t="n">
        <f aca="false">Sens!K2072-base_fy-mid_yr-v_off</f>
        <v>5.24794520547945</v>
      </c>
      <c r="L2222" s="12" t="s">
        <v>1213</v>
      </c>
    </row>
    <row r="2223" customFormat="false" ht="15" hidden="false" customHeight="false" outlineLevel="0" collapsed="false">
      <c r="A2223" s="1" t="s">
        <v>1214</v>
      </c>
      <c r="B2223" s="1" t="s">
        <v>279</v>
      </c>
      <c r="F2223" s="8" t="n">
        <f aca="false">Sens!F2072-base_fy-v_off</f>
        <v>0.747945205479452</v>
      </c>
      <c r="G2223" s="8" t="n">
        <f aca="false">Sens!G2072-base_fy-v_off</f>
        <v>1.74794520547945</v>
      </c>
      <c r="H2223" s="8" t="n">
        <f aca="false">Sens!H2072-base_fy-v_off</f>
        <v>2.74794520547945</v>
      </c>
      <c r="I2223" s="8" t="n">
        <f aca="false">Sens!I2072-base_fy-v_off</f>
        <v>3.74794520547945</v>
      </c>
      <c r="J2223" s="8" t="n">
        <f aca="false">Sens!J2072-base_fy-v_off</f>
        <v>4.74794520547945</v>
      </c>
      <c r="K2223" s="8" t="n">
        <f aca="false">Sens!K2072-base_fy-v_off</f>
        <v>5.74794520547945</v>
      </c>
    </row>
    <row r="2224" customFormat="false" ht="15" hidden="false" customHeight="false" outlineLevel="0" collapsed="false">
      <c r="A2224" s="1" t="s">
        <v>1215</v>
      </c>
      <c r="B2224" s="0" t="s">
        <v>229</v>
      </c>
      <c r="F2224" s="15" t="n">
        <f aca="false">1/(1+wacc)^Sens!F2222</f>
        <v>0.964022703286649</v>
      </c>
      <c r="G2224" s="15" t="n">
        <f aca="false">1/(1+wacc)^Sens!G2222</f>
        <v>0.884910302296739</v>
      </c>
      <c r="H2224" s="15" t="n">
        <f aca="false">1/(1+wacc)^Sens!H2222</f>
        <v>0.802322009770358</v>
      </c>
      <c r="I2224" s="15" t="n">
        <f aca="false">1/(1+wacc)^Sens!I2222</f>
        <v>0.727441646561469</v>
      </c>
      <c r="J2224" s="15" t="n">
        <f aca="false">1/(1+wacc)^Sens!J2222</f>
        <v>0.659549834988973</v>
      </c>
      <c r="K2224" s="15" t="n">
        <f aca="false">1/(1+wacc)^Sens!K2222</f>
        <v>0.597994336576966</v>
      </c>
    </row>
    <row r="2225" customFormat="false" ht="17.15" hidden="false" customHeight="false" outlineLevel="0" collapsed="false">
      <c r="A2225" s="1" t="s">
        <v>1216</v>
      </c>
      <c r="B2225" s="0" t="s">
        <v>98</v>
      </c>
      <c r="F2225" s="6" t="n">
        <f aca="false">Q!$I$35-Q!$I$39-Q!$I$43</f>
        <v>9.666</v>
      </c>
      <c r="L2225" s="12" t="s">
        <v>1217</v>
      </c>
    </row>
    <row r="2226" customFormat="false" ht="17.15" hidden="false" customHeight="false" outlineLevel="0" collapsed="false">
      <c r="A2226" s="1" t="s">
        <v>1218</v>
      </c>
      <c r="B2226" s="0" t="s">
        <v>98</v>
      </c>
      <c r="F2226" s="6" t="n">
        <f aca="false">Sens!F2197-Sens!F2194-Sens!F2201+Sens!F2179*(1-tax_f)*(1-v_off)-Sens!F2225</f>
        <v>-31.9182819758082</v>
      </c>
      <c r="G2226" s="6" t="n">
        <f aca="false">Sens!G2197-Sens!G2194-Sens!G2201+Sens!G2179*(1-tax_f)</f>
        <v>4.67380389605897</v>
      </c>
      <c r="H2226" s="6" t="n">
        <f aca="false">Sens!H2197-Sens!H2194-Sens!H2201+Sens!H2179*(1-tax_f)</f>
        <v>61.3994970846249</v>
      </c>
      <c r="I2226" s="6" t="n">
        <f aca="false">Sens!I2197-Sens!I2194-Sens!I2201+Sens!I2179*(1-tax_f)</f>
        <v>152.302587303001</v>
      </c>
      <c r="J2226" s="6" t="n">
        <f aca="false">Sens!J2197-Sens!J2194-Sens!J2201+Sens!J2179*(1-tax_f)</f>
        <v>243.766013857206</v>
      </c>
      <c r="K2226" s="6" t="n">
        <f aca="false">Sens!K2197-Sens!K2194-Sens!K2201+Sens!K2179*(1-tax_f)</f>
        <v>287.390267537835</v>
      </c>
      <c r="L2226" s="1" t="s">
        <v>1219</v>
      </c>
    </row>
    <row r="2227" customFormat="false" ht="15" hidden="false" customHeight="false" outlineLevel="0" collapsed="false">
      <c r="A2227" s="1" t="s">
        <v>1220</v>
      </c>
      <c r="B2227" s="0" t="s">
        <v>98</v>
      </c>
      <c r="F2227" s="6" t="n">
        <f aca="false">Sens!F2226*Sens!F2224</f>
        <v>-30.7699484745841</v>
      </c>
      <c r="G2227" s="6" t="n">
        <f aca="false">Sens!G2226*Sens!G2224</f>
        <v>4.13589721853722</v>
      </c>
      <c r="H2227" s="6" t="n">
        <f aca="false">Sens!H2226*Sens!H2224</f>
        <v>49.2621678998255</v>
      </c>
      <c r="I2227" s="6" t="n">
        <f aca="false">Sens!I2226*Sens!I2224</f>
        <v>110.791244883267</v>
      </c>
      <c r="J2227" s="6" t="n">
        <f aca="false">Sens!J2226*Sens!J2224</f>
        <v>160.77583421544</v>
      </c>
      <c r="K2227" s="6" t="n">
        <f aca="false">Sens!K2226*Sens!K2224</f>
        <v>171.857752374964</v>
      </c>
    </row>
    <row r="2228" customFormat="false" ht="17.15" hidden="false" customHeight="false" outlineLevel="0" collapsed="false">
      <c r="A2228" s="1" t="s">
        <v>1221</v>
      </c>
      <c r="B2228" s="0" t="s">
        <v>98</v>
      </c>
      <c r="C2228" s="6" t="n">
        <f aca="false">SUM(Sens!F2227:K2227)</f>
        <v>466.052948117449</v>
      </c>
    </row>
    <row r="2229" customFormat="false" ht="17.15" hidden="false" customHeight="false" outlineLevel="0" collapsed="false">
      <c r="A2229" s="1" t="s">
        <v>1222</v>
      </c>
      <c r="B2229" s="0" t="s">
        <v>98</v>
      </c>
      <c r="C2229" s="6" t="n">
        <f aca="false">Sens!K2165*(1+g_tv)*(1-tax_f)</f>
        <v>295.906093865771</v>
      </c>
    </row>
    <row r="2230" customFormat="false" ht="17.15" hidden="false" customHeight="false" outlineLevel="0" collapsed="false">
      <c r="A2230" s="1" t="s">
        <v>1223</v>
      </c>
      <c r="B2230" s="0" t="s">
        <v>98</v>
      </c>
      <c r="C2230" s="6" t="n">
        <f aca="false">Sens!$C$2229*(1-g_tv/(wacc+ronic_prem))</f>
        <v>209.666762113811</v>
      </c>
    </row>
    <row r="2231" customFormat="false" ht="17.15" hidden="false" customHeight="false" outlineLevel="0" collapsed="false">
      <c r="A2231" s="1" t="s">
        <v>1224</v>
      </c>
      <c r="B2231" s="0" t="s">
        <v>98</v>
      </c>
      <c r="C2231" s="6" t="n">
        <f aca="false">Sens!$C$2230/(wacc-g_tv)</f>
        <v>2874.64439173199</v>
      </c>
    </row>
    <row r="2232" customFormat="false" ht="15" hidden="false" customHeight="false" outlineLevel="0" collapsed="false">
      <c r="A2232" s="1" t="s">
        <v>1225</v>
      </c>
      <c r="B2232" s="0" t="s">
        <v>98</v>
      </c>
      <c r="C2232" s="6" t="n">
        <f aca="false">Sens!$C$2231/(1+wacc)^Sens!K2223</f>
        <v>1636.8388572153</v>
      </c>
    </row>
    <row r="2233" customFormat="false" ht="17.15" hidden="false" customHeight="false" outlineLevel="0" collapsed="false">
      <c r="A2233" s="0" t="s">
        <v>1226</v>
      </c>
      <c r="B2233" s="0" t="s">
        <v>98</v>
      </c>
      <c r="C2233" s="6" t="n">
        <f aca="false">Sens!$C$2228+Sens!$C$2232</f>
        <v>2102.89180533275</v>
      </c>
    </row>
    <row r="2234" customFormat="false" ht="15" hidden="false" customHeight="false" outlineLevel="0" collapsed="false">
      <c r="A2234" s="1" t="s">
        <v>1141</v>
      </c>
      <c r="B2234" s="0" t="s">
        <v>168</v>
      </c>
      <c r="C2234" s="7" t="n">
        <f aca="false">Sens!$C$2232/Sens!$C$2233</f>
        <v>0.77837521315382</v>
      </c>
    </row>
    <row r="2235" customFormat="false" ht="17.15" hidden="false" customHeight="false" outlineLevel="0" collapsed="false">
      <c r="A2235" s="1" t="s">
        <v>1227</v>
      </c>
      <c r="B2235" s="0" t="s">
        <v>98</v>
      </c>
      <c r="C2235" s="6" t="n">
        <f aca="false">Sens!$C$2233+cash_val-debt_val-fl_val+oai_v</f>
        <v>2218.74280533275</v>
      </c>
    </row>
    <row r="2236" customFormat="false" ht="17.15" hidden="false" customHeight="false" outlineLevel="0" collapsed="false">
      <c r="A2236" s="0" t="s">
        <v>1149</v>
      </c>
      <c r="B2236" s="0" t="s">
        <v>75</v>
      </c>
      <c r="C2236" s="5" t="n">
        <f aca="false">Sens!$C$2235/shd_val</f>
        <v>297.977814307379</v>
      </c>
    </row>
    <row r="2237" customFormat="false" ht="15" hidden="false" customHeight="false" outlineLevel="0" collapsed="false">
      <c r="A2237" s="1" t="s">
        <v>1228</v>
      </c>
      <c r="B2237" s="0" t="s">
        <v>75</v>
      </c>
      <c r="C2237" s="8" t="n">
        <f aca="false">div_rem27+Sens!G2205*roll_div_q/q_per_yr</f>
        <v>3.9795</v>
      </c>
    </row>
    <row r="2238" customFormat="false" ht="17.15" hidden="false" customHeight="false" outlineLevel="0" collapsed="false">
      <c r="A2238" s="0" t="s">
        <v>1229</v>
      </c>
      <c r="B2238" s="0" t="s">
        <v>75</v>
      </c>
      <c r="C2238" s="5" t="n">
        <f aca="false">Sens!$C$2236*(1+wacc)^t_roll-Sens!$C$2237</f>
        <v>327.239470966111</v>
      </c>
    </row>
    <row r="2239" customFormat="false" ht="17.15" hidden="false" customHeight="false" outlineLevel="0" collapsed="false">
      <c r="A2239" s="1" t="s">
        <v>1230</v>
      </c>
      <c r="B2239" s="0" t="s">
        <v>168</v>
      </c>
      <c r="F2239" s="7" t="n">
        <f aca="false">Sens!F2191/(Sens!F2136-Sens!F2091)</f>
        <v>0.060078694332758</v>
      </c>
      <c r="G2239" s="7" t="n">
        <f aca="false">Sens!G2191/(Sens!G2136-Sens!G2091)</f>
        <v>0.058975760556097</v>
      </c>
      <c r="H2239" s="7" t="n">
        <f aca="false">Sens!H2191/(Sens!H2136-Sens!H2091)</f>
        <v>0.0588289676998213</v>
      </c>
      <c r="I2239" s="7" t="n">
        <f aca="false">Sens!I2191/(Sens!I2136-Sens!I2091)</f>
        <v>0.0595949581513307</v>
      </c>
      <c r="J2239" s="7" t="n">
        <f aca="false">Sens!J2191/(Sens!J2136-Sens!J2091)</f>
        <v>0.0610721614106357</v>
      </c>
      <c r="K2239" s="7" t="n">
        <f aca="false">Sens!K2191/(Sens!K2136-Sens!K2091)</f>
        <v>0.0629801224774327</v>
      </c>
    </row>
    <row r="2240" customFormat="false" ht="17.15" hidden="false" customHeight="false" outlineLevel="0" collapsed="false">
      <c r="A2240" s="0" t="s">
        <v>1231</v>
      </c>
      <c r="B2240" s="0" t="s">
        <v>98</v>
      </c>
      <c r="F2240" s="6" t="n">
        <f aca="false">Sens!F2121*(al_m365+Sens!F2239+sbc_r)</f>
        <v>82.7077510618622</v>
      </c>
      <c r="G2240" s="6" t="n">
        <f aca="false">Sens!G2121*(al_m365+Sens!G2239+sbc_r)</f>
        <v>95.192691928641</v>
      </c>
      <c r="H2240" s="6" t="n">
        <f aca="false">Sens!H2121*(al_m365+Sens!H2239+sbc_r)</f>
        <v>107.842212247302</v>
      </c>
      <c r="I2240" s="6" t="n">
        <f aca="false">Sens!I2121*(al_m365+Sens!I2239+sbc_r)</f>
        <v>119.476246121244</v>
      </c>
      <c r="J2240" s="6" t="n">
        <f aca="false">Sens!J2121*(al_m365+Sens!J2239+sbc_r)</f>
        <v>129.902610938394</v>
      </c>
      <c r="K2240" s="6" t="n">
        <f aca="false">Sens!K2121*(al_m365+Sens!K2239+sbc_r)</f>
        <v>139.932275321405</v>
      </c>
      <c r="L2240" s="12" t="s">
        <v>1232</v>
      </c>
    </row>
    <row r="2241" customFormat="false" ht="17.15" hidden="false" customHeight="false" outlineLevel="0" collapsed="false">
      <c r="A2241" s="0" t="s">
        <v>1233</v>
      </c>
      <c r="B2241" s="0" t="s">
        <v>98</v>
      </c>
      <c r="F2241" s="6" t="n">
        <f aca="false">Sens!F2122*(al_lic+Sens!F2239+sbc_r)</f>
        <v>32.5299230972173</v>
      </c>
      <c r="G2241" s="6" t="n">
        <f aca="false">Sens!G2122*(al_lic+Sens!G2239+sbc_r)</f>
        <v>33.8632505311064</v>
      </c>
      <c r="H2241" s="6" t="n">
        <f aca="false">Sens!H2122*(al_lic+Sens!H2239+sbc_r)</f>
        <v>35.1019140357583</v>
      </c>
      <c r="I2241" s="6" t="n">
        <f aca="false">Sens!I2122*(al_lic+Sens!I2239+sbc_r)</f>
        <v>36.2288806534908</v>
      </c>
      <c r="J2241" s="6" t="n">
        <f aca="false">Sens!J2122*(al_lic+Sens!J2239+sbc_r)</f>
        <v>37.2206384364386</v>
      </c>
      <c r="K2241" s="6" t="n">
        <f aca="false">Sens!K2122*(al_lic+Sens!K2239+sbc_r)</f>
        <v>38.0504250448543</v>
      </c>
    </row>
    <row r="2242" customFormat="false" ht="17.15" hidden="false" customHeight="false" outlineLevel="0" collapsed="false">
      <c r="A2242" s="0" t="s">
        <v>1234</v>
      </c>
      <c r="B2242" s="0" t="s">
        <v>98</v>
      </c>
      <c r="F2242" s="6" t="n">
        <f aca="false">Sens!F2124*(al_ind+Sens!F2239+sbc_r)</f>
        <v>8.8698173640057</v>
      </c>
      <c r="G2242" s="6" t="n">
        <f aca="false">Sens!G2124*(al_ind+Sens!G2239+sbc_r)</f>
        <v>9.66890422161905</v>
      </c>
      <c r="H2242" s="6" t="n">
        <f aca="false">Sens!H2124*(al_ind+Sens!H2239+sbc_r)</f>
        <v>10.5095210976927</v>
      </c>
      <c r="I2242" s="6" t="n">
        <f aca="false">Sens!I2124*(al_ind+Sens!I2239+sbc_r)</f>
        <v>11.3886733496427</v>
      </c>
      <c r="J2242" s="6" t="n">
        <f aca="false">Sens!J2124*(al_ind+Sens!J2239+sbc_r)</f>
        <v>12.2973083731069</v>
      </c>
      <c r="K2242" s="6" t="n">
        <f aca="false">Sens!K2124*(al_ind+Sens!K2239+sbc_r)</f>
        <v>13.2211263125159</v>
      </c>
    </row>
    <row r="2243" customFormat="false" ht="17.15" hidden="false" customHeight="false" outlineLevel="0" collapsed="false">
      <c r="A2243" s="0" t="s">
        <v>1235</v>
      </c>
      <c r="B2243" s="0" t="s">
        <v>98</v>
      </c>
      <c r="F2243" s="6" t="n">
        <f aca="false">Sens!F2126*(al_fro+Sens!F2239+sbc_r)</f>
        <v>3.47926508784741</v>
      </c>
      <c r="G2243" s="6" t="n">
        <f aca="false">Sens!G2126*(al_fro+Sens!G2239+sbc_r)</f>
        <v>3.69960613116562</v>
      </c>
      <c r="H2243" s="6" t="n">
        <f aca="false">Sens!H2126*(al_fro+Sens!H2239+sbc_r)</f>
        <v>3.94681842649208</v>
      </c>
      <c r="I2243" s="6" t="n">
        <f aca="false">Sens!I2126*(al_fro+Sens!I2239+sbc_r)</f>
        <v>4.22392201798559</v>
      </c>
      <c r="J2243" s="6" t="n">
        <f aca="false">Sens!J2126*(al_fro+Sens!J2239+sbc_r)</f>
        <v>4.53248085883222</v>
      </c>
      <c r="K2243" s="6" t="n">
        <f aca="false">Sens!K2126*(al_fro+Sens!K2239+sbc_r)</f>
        <v>4.87297708779351</v>
      </c>
    </row>
    <row r="2244" customFormat="false" ht="17.15" hidden="false" customHeight="false" outlineLevel="0" collapsed="false">
      <c r="A2244" s="0" t="s">
        <v>1236</v>
      </c>
      <c r="B2244" s="0" t="s">
        <v>98</v>
      </c>
      <c r="F2244" s="6" t="n">
        <f aca="false">Sens!F2129*(al_srch+Sens!F2239+sbc_r)</f>
        <v>10.9537107735283</v>
      </c>
      <c r="G2244" s="6" t="n">
        <f aca="false">Sens!G2129*(al_srch+Sens!G2239+sbc_r)</f>
        <v>12.0532003718711</v>
      </c>
      <c r="H2244" s="6" t="n">
        <f aca="false">Sens!H2129*(al_srch+Sens!H2239+sbc_r)</f>
        <v>13.1943119779729</v>
      </c>
      <c r="I2244" s="6" t="n">
        <f aca="false">Sens!I2129*(al_srch+Sens!I2239+sbc_r)</f>
        <v>14.3662297970478</v>
      </c>
      <c r="J2244" s="6" t="n">
        <f aca="false">Sens!J2129*(al_srch+Sens!J2239+sbc_r)</f>
        <v>15.5496078176921</v>
      </c>
      <c r="K2244" s="6" t="n">
        <f aca="false">Sens!K2129*(al_srch+Sens!K2239+sbc_r)</f>
        <v>16.7177501637174</v>
      </c>
    </row>
    <row r="2245" customFormat="false" ht="17.15" hidden="false" customHeight="false" outlineLevel="0" collapsed="false">
      <c r="A2245" s="0" t="s">
        <v>1237</v>
      </c>
      <c r="B2245" s="0" t="s">
        <v>98</v>
      </c>
      <c r="F2245" s="6" t="n">
        <f aca="false">Sens!F2097-Sens!F2098+Sens!F2179</f>
        <v>45.8420795116063</v>
      </c>
      <c r="G2245" s="6" t="n">
        <f aca="false">Sens!G2097-Sens!G2098+Sens!G2179</f>
        <v>91.8404525223617</v>
      </c>
      <c r="H2245" s="6" t="n">
        <f aca="false">Sens!H2097-Sens!H2098+Sens!H2179</f>
        <v>141.295707434017</v>
      </c>
      <c r="I2245" s="6" t="n">
        <f aca="false">Sens!I2097-Sens!I2098+Sens!I2179</f>
        <v>185.427144144605</v>
      </c>
      <c r="J2245" s="6" t="n">
        <f aca="false">Sens!J2097-Sens!J2098+Sens!J2179</f>
        <v>216.395023794036</v>
      </c>
      <c r="K2245" s="6" t="n">
        <f aca="false">Sens!K2097-Sens!K2098+Sens!K2179</f>
        <v>235.275289513248</v>
      </c>
    </row>
    <row r="2246" customFormat="false" ht="17.15" hidden="false" customHeight="false" outlineLevel="0" collapsed="false">
      <c r="A2246" s="0" t="s">
        <v>1238</v>
      </c>
      <c r="B2246" s="0" t="s">
        <v>98</v>
      </c>
      <c r="F2246" s="6" t="n">
        <f aca="false">Sens!F2158+Sens!F2179+Sens!F2109+Sens!F2239*(Sens!F2128-Sens!F2091)+sbc_r*Sens!F2128</f>
        <v>245.73839007759</v>
      </c>
      <c r="G2246" s="6" t="n">
        <f aca="false">Sens!G2158+Sens!G2179+Sens!G2109+Sens!G2239*(Sens!G2128-Sens!G2091)+sbc_r*Sens!G2128</f>
        <v>314.554301938492</v>
      </c>
      <c r="H2246" s="6" t="n">
        <f aca="false">Sens!H2158+Sens!H2179+Sens!H2109+Sens!H2239*(Sens!H2128-Sens!H2091)+sbc_r*Sens!H2128</f>
        <v>392.776025104324</v>
      </c>
      <c r="I2246" s="6" t="n">
        <f aca="false">Sens!I2158+Sens!I2179+Sens!I2109+Sens!I2239*(Sens!I2128-Sens!I2091)+sbc_r*Sens!I2128</f>
        <v>464.234134818995</v>
      </c>
      <c r="J2246" s="6" t="n">
        <f aca="false">Sens!J2158+Sens!J2179+Sens!J2109+Sens!J2239*(Sens!J2128-Sens!J2091)+sbc_r*Sens!J2128</f>
        <v>519.984836735714</v>
      </c>
      <c r="K2246" s="6" t="n">
        <f aca="false">Sens!K2158+Sens!K2179+Sens!K2109+Sens!K2239*(Sens!K2128-Sens!K2091)+sbc_r*Sens!K2128</f>
        <v>561.170292086142</v>
      </c>
    </row>
    <row r="2247" customFormat="false" ht="17.15" hidden="false" customHeight="false" outlineLevel="0" collapsed="false">
      <c r="A2247" s="0" t="s">
        <v>1239</v>
      </c>
      <c r="B2247" s="0" t="s">
        <v>98</v>
      </c>
      <c r="F2247" s="6" t="n">
        <f aca="false">Sens!F2246-Sens!F2240-Sens!F2241-Sens!F2242-Sens!F2243-Sens!F2245</f>
        <v>72.3095539550516</v>
      </c>
      <c r="G2247" s="6" t="n">
        <f aca="false">Sens!G2246-Sens!G2240-Sens!G2241-Sens!G2242-Sens!G2243-Sens!G2245</f>
        <v>80.2893966035985</v>
      </c>
      <c r="H2247" s="6" t="n">
        <f aca="false">Sens!H2246-Sens!H2240-Sens!H2241-Sens!H2242-Sens!H2243-Sens!H2245</f>
        <v>94.079851863062</v>
      </c>
      <c r="I2247" s="6" t="n">
        <f aca="false">Sens!I2246-Sens!I2240-Sens!I2241-Sens!I2242-Sens!I2243-Sens!I2245</f>
        <v>107.489268532026</v>
      </c>
      <c r="J2247" s="6" t="n">
        <f aca="false">Sens!J2246-Sens!J2240-Sens!J2241-Sens!J2242-Sens!J2243-Sens!J2245</f>
        <v>119.636774334907</v>
      </c>
      <c r="K2247" s="6" t="n">
        <f aca="false">Sens!K2246-Sens!K2240-Sens!K2241-Sens!K2242-Sens!K2243-Sens!K2245</f>
        <v>129.818198806326</v>
      </c>
    </row>
    <row r="2248" customFormat="false" ht="17.15" hidden="false" customHeight="false" outlineLevel="0" collapsed="false">
      <c r="A2248" s="0" t="s">
        <v>1240</v>
      </c>
      <c r="B2248" s="0" t="s">
        <v>98</v>
      </c>
      <c r="F2248" s="6" t="n">
        <f aca="false">Sens!F2160+Sens!F2239*Sens!F2135+sbc_r*Sens!F2135</f>
        <v>26.0844369998519</v>
      </c>
      <c r="G2248" s="6" t="n">
        <f aca="false">Sens!G2160+Sens!G2239*Sens!G2135+sbc_r*Sens!G2135</f>
        <v>26.0175941433585</v>
      </c>
      <c r="H2248" s="6" t="n">
        <f aca="false">Sens!H2160+Sens!H2239*Sens!H2135+sbc_r*Sens!H2135</f>
        <v>26.9647024553288</v>
      </c>
      <c r="I2248" s="6" t="n">
        <f aca="false">Sens!I2160+Sens!I2239*Sens!I2135+sbc_r*Sens!I2135</f>
        <v>28.1303133519264</v>
      </c>
      <c r="J2248" s="6" t="n">
        <f aca="false">Sens!J2160+Sens!J2239*Sens!J2135+sbc_r*Sens!J2135</f>
        <v>29.4840788915063</v>
      </c>
      <c r="K2248" s="6" t="n">
        <f aca="false">Sens!K2160+Sens!K2239*Sens!K2135+sbc_r*Sens!K2135</f>
        <v>30.992953401262</v>
      </c>
    </row>
    <row r="2249" customFormat="false" ht="17.15" hidden="false" customHeight="false" outlineLevel="0" collapsed="false">
      <c r="A2249" s="0" t="s">
        <v>1241</v>
      </c>
      <c r="B2249" s="0" t="s">
        <v>98</v>
      </c>
      <c r="F2249" s="6" t="n">
        <f aca="false">(Sens!F2248-Sens!F2244)*Sens!F2131/(Sens!F2131+Sens!F2133)</f>
        <v>8.54561505710268</v>
      </c>
      <c r="G2249" s="6" t="n">
        <f aca="false">(Sens!G2248-Sens!G2244)*Sens!G2131/(Sens!G2131+Sens!G2133)</f>
        <v>7.75134106185928</v>
      </c>
      <c r="H2249" s="6" t="n">
        <f aca="false">(Sens!H2248-Sens!H2244)*Sens!H2131/(Sens!H2131+Sens!H2133)</f>
        <v>7.54407973767365</v>
      </c>
      <c r="I2249" s="6" t="n">
        <f aca="false">(Sens!I2248-Sens!I2244)*Sens!I2131/(Sens!I2131+Sens!I2133)</f>
        <v>7.47480650946807</v>
      </c>
      <c r="J2249" s="6" t="n">
        <f aca="false">(Sens!J2248-Sens!J2244)*Sens!J2131/(Sens!J2131+Sens!J2133)</f>
        <v>7.53432224819113</v>
      </c>
      <c r="K2249" s="6" t="n">
        <f aca="false">(Sens!K2248-Sens!K2244)*Sens!K2131/(Sens!K2131+Sens!K2133)</f>
        <v>7.7185549979144</v>
      </c>
    </row>
    <row r="2250" customFormat="false" ht="17.15" hidden="false" customHeight="false" outlineLevel="0" collapsed="false">
      <c r="A2250" s="0" t="s">
        <v>1242</v>
      </c>
      <c r="B2250" s="0" t="s">
        <v>98</v>
      </c>
      <c r="F2250" s="6" t="n">
        <f aca="false">Sens!F2248-Sens!F2244-Sens!F2249</f>
        <v>6.58511116922089</v>
      </c>
      <c r="G2250" s="6" t="n">
        <f aca="false">Sens!G2248-Sens!G2244-Sens!G2249</f>
        <v>6.21305270962818</v>
      </c>
      <c r="H2250" s="6" t="n">
        <f aca="false">Sens!H2248-Sens!H2244-Sens!H2249</f>
        <v>6.22631073968217</v>
      </c>
      <c r="I2250" s="6" t="n">
        <f aca="false">Sens!I2248-Sens!I2244-Sens!I2249</f>
        <v>6.28927704541059</v>
      </c>
      <c r="J2250" s="6" t="n">
        <f aca="false">Sens!J2248-Sens!J2244-Sens!J2249</f>
        <v>6.40014882562307</v>
      </c>
      <c r="K2250" s="6" t="n">
        <f aca="false">Sens!K2248-Sens!K2244-Sens!K2249</f>
        <v>6.55664823963019</v>
      </c>
    </row>
    <row r="2251" customFormat="false" ht="17.15" hidden="false" customHeight="false" outlineLevel="0" collapsed="false">
      <c r="A2251" s="0" t="s">
        <v>1243</v>
      </c>
      <c r="B2251" s="0" t="s">
        <v>98</v>
      </c>
      <c r="F2251" s="6" t="n">
        <f aca="false">Sens!F2245-tax_f*(Sens!F2245-Sens!F2109)-Sens!F2106</f>
        <v>-157.171985766454</v>
      </c>
      <c r="G2251" s="6" t="n">
        <f aca="false">Sens!G2245-tax_f*(Sens!G2245-Sens!G2109)-Sens!G2106</f>
        <v>-142.284731004417</v>
      </c>
      <c r="H2251" s="6" t="n">
        <f aca="false">Sens!H2245-tax_f*(Sens!H2245-Sens!H2109)-Sens!H2106</f>
        <v>-101.746617171454</v>
      </c>
      <c r="I2251" s="6" t="n">
        <f aca="false">Sens!I2245-tax_f*(Sens!I2245-Sens!I2109)-Sens!I2106</f>
        <v>-26.5806427035565</v>
      </c>
      <c r="J2251" s="6" t="n">
        <f aca="false">Sens!J2245-tax_f*(Sens!J2245-Sens!J2109)-Sens!J2106</f>
        <v>50.0838631320033</v>
      </c>
      <c r="K2251" s="6" t="n">
        <f aca="false">Sens!K2245-tax_f*(Sens!K2245-Sens!K2109)-Sens!K2106</f>
        <v>79.7878486251433</v>
      </c>
    </row>
    <row r="2252" customFormat="false" ht="17.15" hidden="false" customHeight="false" outlineLevel="0" collapsed="false">
      <c r="A2252" s="0" t="s">
        <v>1244</v>
      </c>
      <c r="B2252" s="0" t="s">
        <v>98</v>
      </c>
      <c r="G2252" s="6" t="n">
        <f aca="false">Sens!G2251/(1+wacc)^(Sens!G2222-Sens!F2223)</f>
        <v>-135.482444696316</v>
      </c>
      <c r="H2252" s="6" t="n">
        <f aca="false">Sens!H2251/(1+wacc)^(Sens!H2222-Sens!F2223)</f>
        <v>-87.8403709774983</v>
      </c>
      <c r="I2252" s="6" t="n">
        <f aca="false">Sens!I2251/(1+wacc)^(Sens!I2222-Sens!F2223)</f>
        <v>-20.8060249524442</v>
      </c>
      <c r="J2252" s="6" t="n">
        <f aca="false">Sens!J2251/(1+wacc)^(Sens!J2222-Sens!F2223)</f>
        <v>35.5443774639761</v>
      </c>
      <c r="K2252" s="6" t="n">
        <f aca="false">Sens!K2251/(1+wacc)^(Sens!K2222-Sens!F2223)</f>
        <v>51.340406404435</v>
      </c>
      <c r="L2252" s="1" t="s">
        <v>1245</v>
      </c>
    </row>
    <row r="2253" customFormat="false" ht="17.15" hidden="false" customHeight="false" outlineLevel="0" collapsed="false">
      <c r="A2253" s="0" t="s">
        <v>1246</v>
      </c>
      <c r="B2253" s="0" t="s">
        <v>98</v>
      </c>
      <c r="C2253" s="6" t="n">
        <f aca="false">(Sens!K2245-Sens!K2109)*(1-tax_f)*(1+g_tv)*(1-g_tv/(wacc+ronic_prem))/(wacc-g_tv)/(1+wacc)^(Sens!K2223-Sens!F2223)</f>
        <v>312.228056992831</v>
      </c>
    </row>
    <row r="2254" customFormat="false" ht="17.15" hidden="false" customHeight="false" outlineLevel="0" collapsed="false">
      <c r="A2254" s="1" t="s">
        <v>1247</v>
      </c>
      <c r="B2254" s="0" t="s">
        <v>98</v>
      </c>
      <c r="C2254" s="6" t="n">
        <f aca="false">(SUM(Sens!G2252:K2252)+Sens!$C$2253)*(1+wacc)^(t_roll-Sens!F2223)</f>
        <v>160.100490789147</v>
      </c>
      <c r="L2254" s="12" t="s">
        <v>1248</v>
      </c>
    </row>
    <row r="2255" customFormat="false" ht="17.15" hidden="false" customHeight="false" outlineLevel="0" collapsed="false">
      <c r="A2255" s="1" t="s">
        <v>1249</v>
      </c>
      <c r="B2255" s="0" t="s">
        <v>98</v>
      </c>
      <c r="C2255" s="6" t="n">
        <f aca="false">(w_ntm28*Sens!G2097+(1-w_ntm28)*Sens!H2097)*m_ai</f>
        <v>463.789109510335</v>
      </c>
    </row>
    <row r="2256" customFormat="false" ht="17.15" hidden="false" customHeight="false" outlineLevel="0" collapsed="false">
      <c r="A2256" s="1" t="s">
        <v>1250</v>
      </c>
      <c r="B2256" s="0" t="s">
        <v>98</v>
      </c>
      <c r="C2256" s="6" t="n">
        <f aca="false">(w_ntm28*Sens!G2247+(1-w_ntm28)*Sens!H2247)*m_cloud</f>
        <v>1172.25724462966</v>
      </c>
    </row>
    <row r="2257" customFormat="false" ht="17.15" hidden="false" customHeight="false" outlineLevel="0" collapsed="false">
      <c r="A2257" s="1" t="s">
        <v>1251</v>
      </c>
      <c r="B2257" s="0" t="s">
        <v>98</v>
      </c>
      <c r="C2257" s="6" t="n">
        <f aca="false">(w_ntm28*Sens!G2240+(1-w_ntm28)*Sens!H2240)*m_sw</f>
        <v>1072.99553401558</v>
      </c>
    </row>
    <row r="2258" customFormat="false" ht="17.15" hidden="false" customHeight="false" outlineLevel="0" collapsed="false">
      <c r="A2258" s="1" t="s">
        <v>1252</v>
      </c>
      <c r="B2258" s="0" t="s">
        <v>98</v>
      </c>
      <c r="C2258" s="6" t="n">
        <f aca="false">(w_ntm28*Sens!G2241+(1-w_ntm28)*Sens!H2241)*m_sw</f>
        <v>370.121209577124</v>
      </c>
    </row>
    <row r="2259" customFormat="false" ht="17.15" hidden="false" customHeight="false" outlineLevel="0" collapsed="false">
      <c r="A2259" s="1" t="s">
        <v>1253</v>
      </c>
      <c r="B2259" s="0" t="s">
        <v>98</v>
      </c>
      <c r="C2259" s="6" t="n">
        <f aca="false">(w_ntm28*Sens!G2242+(1-w_ntm28)*Sens!H2242)*m_sw</f>
        <v>107.408931268531</v>
      </c>
    </row>
    <row r="2260" customFormat="false" ht="17.15" hidden="false" customHeight="false" outlineLevel="0" collapsed="false">
      <c r="A2260" s="1" t="s">
        <v>1254</v>
      </c>
      <c r="B2260" s="0" t="s">
        <v>98</v>
      </c>
      <c r="C2260" s="6" t="n">
        <f aca="false">(w_ntm28*Sens!G2243+(1-w_ntm28)*Sens!H2243)*m_sw</f>
        <v>40.8335191884876</v>
      </c>
    </row>
    <row r="2261" customFormat="false" ht="17.15" hidden="false" customHeight="false" outlineLevel="0" collapsed="false">
      <c r="A2261" s="1" t="s">
        <v>1255</v>
      </c>
      <c r="B2261" s="0" t="s">
        <v>98</v>
      </c>
      <c r="C2261" s="6" t="n">
        <f aca="false">(w_ntm28*Sens!G2244+(1-w_ntm28)*Sens!H2244)*m_ads</f>
        <v>113.22236280635</v>
      </c>
    </row>
    <row r="2262" customFormat="false" ht="17.15" hidden="false" customHeight="false" outlineLevel="0" collapsed="false">
      <c r="A2262" s="1" t="s">
        <v>1256</v>
      </c>
      <c r="B2262" s="0" t="s">
        <v>98</v>
      </c>
      <c r="C2262" s="6" t="n">
        <f aca="false">(w_ntm28*Sens!G2249+(1-w_ntm28)*Sens!H2249)*m_game</f>
        <v>97.0388204525547</v>
      </c>
    </row>
    <row r="2263" customFormat="false" ht="17.15" hidden="false" customHeight="false" outlineLevel="0" collapsed="false">
      <c r="A2263" s="1" t="s">
        <v>1257</v>
      </c>
      <c r="B2263" s="0" t="s">
        <v>98</v>
      </c>
      <c r="C2263" s="6" t="n">
        <f aca="false">(w_ntm28*Sens!G2250+(1-w_ntm28)*Sens!H2250)*m_pc</f>
        <v>89.9659446080067</v>
      </c>
    </row>
    <row r="2264" customFormat="false" ht="17.15" hidden="false" customHeight="false" outlineLevel="0" collapsed="false">
      <c r="A2264" s="1" t="s">
        <v>1258</v>
      </c>
      <c r="B2264" s="0" t="s">
        <v>98</v>
      </c>
      <c r="C2264" s="6" t="n">
        <f aca="false">Sens!$C$2254+Sens!$C$2256+Sens!$C$2257+Sens!$C$2258+Sens!$C$2259+Sens!$C$2260+Sens!$C$2261+Sens!$C$2262+Sens!$C$2263</f>
        <v>3223.94405733544</v>
      </c>
    </row>
    <row r="2265" customFormat="false" ht="17.15" hidden="false" customHeight="false" outlineLevel="0" collapsed="false">
      <c r="A2265" s="1" t="s">
        <v>1259</v>
      </c>
      <c r="B2265" s="0" t="s">
        <v>98</v>
      </c>
      <c r="C2265" s="6" t="n">
        <f aca="false">(Sens!G2226-Sens!G2251)*t_stub</f>
        <v>48.7177608848152</v>
      </c>
      <c r="L2265" s="1" t="s">
        <v>1260</v>
      </c>
    </row>
    <row r="2266" customFormat="false" ht="17.15" hidden="false" customHeight="false" outlineLevel="0" collapsed="false">
      <c r="A2266" s="1" t="s">
        <v>1169</v>
      </c>
      <c r="B2266" s="0" t="s">
        <v>98</v>
      </c>
      <c r="C2266" s="6" t="n">
        <f aca="false">Sens!F2213+oai_v-Sens!F2202+Sens!$C$2265</f>
        <v>130.673335430343</v>
      </c>
      <c r="L2266" s="1" t="s">
        <v>1261</v>
      </c>
    </row>
    <row r="2267" customFormat="false" ht="17.15" hidden="false" customHeight="false" outlineLevel="0" collapsed="false">
      <c r="A2267" s="1" t="s">
        <v>1262</v>
      </c>
      <c r="B2267" s="0" t="s">
        <v>75</v>
      </c>
      <c r="C2267" s="5" t="n">
        <f aca="false">(Sens!$C$2264+Sens!$C$2266)/(Sens!F2215+dil_gap)-Sens!G2205*roll_div_q/q_per_yr</f>
        <v>446.481496900452</v>
      </c>
      <c r="L2267" s="1" t="s">
        <v>1263</v>
      </c>
    </row>
    <row r="2268" customFormat="false" ht="17.15" hidden="false" customHeight="false" outlineLevel="0" collapsed="false">
      <c r="A2268" s="1" t="s">
        <v>1264</v>
      </c>
      <c r="B2268" s="0" t="s">
        <v>75</v>
      </c>
      <c r="C2268" s="5" t="n">
        <f aca="false">w_dcf*Sens!$C$2238+(1-w_dcf)*Sens!$C$2267</f>
        <v>386.860483933281</v>
      </c>
    </row>
    <row r="2269" customFormat="false" ht="17.15" hidden="false" customHeight="false" outlineLevel="0" collapsed="false">
      <c r="A2269" s="3" t="s">
        <v>1535</v>
      </c>
    </row>
    <row r="2270" customFormat="false" ht="15" hidden="false" customHeight="false" outlineLevel="0" collapsed="false">
      <c r="A2270" s="4" t="s">
        <v>43</v>
      </c>
      <c r="B2270" s="4" t="s">
        <v>65</v>
      </c>
      <c r="C2270" s="23" t="s">
        <v>938</v>
      </c>
      <c r="D2270" s="23" t="s">
        <v>939</v>
      </c>
      <c r="E2270" s="23" t="s">
        <v>940</v>
      </c>
      <c r="F2270" s="23" t="s">
        <v>941</v>
      </c>
      <c r="G2270" s="23" t="s">
        <v>942</v>
      </c>
      <c r="H2270" s="23" t="s">
        <v>943</v>
      </c>
      <c r="I2270" s="23" t="s">
        <v>944</v>
      </c>
      <c r="J2270" s="23" t="s">
        <v>945</v>
      </c>
      <c r="K2270" s="23" t="s">
        <v>946</v>
      </c>
      <c r="L2270" s="4" t="s">
        <v>47</v>
      </c>
    </row>
    <row r="2271" customFormat="false" ht="17.15" hidden="false" customHeight="false" outlineLevel="0" collapsed="false">
      <c r="A2271" s="1" t="s">
        <v>947</v>
      </c>
      <c r="B2271" s="1" t="s">
        <v>279</v>
      </c>
      <c r="C2271" s="21" t="n">
        <v>2024</v>
      </c>
      <c r="D2271" s="21" t="n">
        <v>2025</v>
      </c>
      <c r="E2271" s="21" t="n">
        <v>2026</v>
      </c>
      <c r="F2271" s="21" t="n">
        <v>2027</v>
      </c>
      <c r="G2271" s="21" t="n">
        <v>2028</v>
      </c>
      <c r="H2271" s="21" t="n">
        <v>2029</v>
      </c>
      <c r="I2271" s="21" t="n">
        <v>2030</v>
      </c>
      <c r="J2271" s="21" t="n">
        <v>2031</v>
      </c>
      <c r="K2271" s="21" t="n">
        <v>2032</v>
      </c>
    </row>
    <row r="2272" customFormat="false" ht="17.15" hidden="false" customHeight="false" outlineLevel="0" collapsed="false">
      <c r="A2272" s="1" t="s">
        <v>948</v>
      </c>
      <c r="B2272" s="0" t="s">
        <v>456</v>
      </c>
      <c r="F2272" s="30" t="n">
        <f aca="false">pace</f>
        <v>2726.5351</v>
      </c>
      <c r="G2272" s="30" t="n">
        <f aca="false">pace</f>
        <v>2726.5351</v>
      </c>
      <c r="H2272" s="30" t="n">
        <f aca="false">pace</f>
        <v>2726.5351</v>
      </c>
      <c r="I2272" s="30" t="n">
        <f aca="false">pace+(g_tv*Sens!H2273-pace)*MIN(1,(Sens!I2271-pace_y0)/(pace_y1-pace_y0))</f>
        <v>1931.98611966667</v>
      </c>
      <c r="J2272" s="30" t="n">
        <f aca="false">pace+(g_tv*Sens!I2273-pace)*MIN(1,(Sens!J2271-pace_y0)/(pace_y1-pace_y0))</f>
        <v>1176.07686172667</v>
      </c>
      <c r="K2272" s="30" t="n">
        <f aca="false">pace+(g_tv*Sens!J2273-pace)*MIN(1,(Sens!K2271-pace_y0)/(pace_y1-pace_y0))</f>
        <v>436.1300484418</v>
      </c>
      <c r="L2272" s="12" t="s">
        <v>949</v>
      </c>
    </row>
    <row r="2273" customFormat="false" ht="17.15" hidden="false" customHeight="false" outlineLevel="0" collapsed="false">
      <c r="A2273" s="1" t="s">
        <v>950</v>
      </c>
      <c r="B2273" s="0" t="s">
        <v>456</v>
      </c>
      <c r="C2273" s="30" t="n">
        <f aca="false">mw_ext_24</f>
        <v>640</v>
      </c>
      <c r="D2273" s="30" t="n">
        <f aca="false">mw_ext_25</f>
        <v>1630</v>
      </c>
      <c r="E2273" s="30" t="n">
        <f aca="false">mw_ext_26</f>
        <v>3250</v>
      </c>
      <c r="F2273" s="30" t="n">
        <f aca="false">Sens!E2273+Sens!F2272</f>
        <v>5976.5351</v>
      </c>
      <c r="G2273" s="30" t="n">
        <f aca="false">Sens!F2273+Sens!G2272</f>
        <v>8703.0702</v>
      </c>
      <c r="H2273" s="30" t="n">
        <f aca="false">Sens!G2273+Sens!H2272</f>
        <v>11429.6053</v>
      </c>
      <c r="I2273" s="30" t="n">
        <f aca="false">Sens!H2273+Sens!I2272</f>
        <v>13361.5914196667</v>
      </c>
      <c r="J2273" s="30" t="n">
        <f aca="false">Sens!I2273+Sens!J2272</f>
        <v>14537.6682813933</v>
      </c>
      <c r="K2273" s="30" t="n">
        <f aca="false">Sens!J2273+Sens!K2272</f>
        <v>14973.7983298351</v>
      </c>
      <c r="L2273" s="1" t="s">
        <v>951</v>
      </c>
    </row>
    <row r="2274" customFormat="false" ht="17.15" hidden="false" customHeight="false" outlineLevel="0" collapsed="false">
      <c r="A2274" s="1" t="s">
        <v>952</v>
      </c>
      <c r="B2274" s="0" t="s">
        <v>456</v>
      </c>
      <c r="C2274" s="30" t="n">
        <f aca="false">rent_ext_24</f>
        <v>150</v>
      </c>
      <c r="D2274" s="30" t="n">
        <f aca="false">rent_ext_25</f>
        <v>400</v>
      </c>
      <c r="E2274" s="30" t="n">
        <f aca="false">rent_ext_26</f>
        <v>550</v>
      </c>
      <c r="F2274" s="30" t="n">
        <f aca="false">rent_ext_f</f>
        <v>756</v>
      </c>
      <c r="G2274" s="30" t="n">
        <f aca="false">rent_ext_f</f>
        <v>756</v>
      </c>
      <c r="H2274" s="30" t="n">
        <f aca="false">rent_ext_f</f>
        <v>756</v>
      </c>
      <c r="I2274" s="30" t="n">
        <f aca="false">rent_ext_f</f>
        <v>756</v>
      </c>
      <c r="J2274" s="30" t="n">
        <f aca="false">rent_ext_f</f>
        <v>756</v>
      </c>
      <c r="K2274" s="30" t="n">
        <f aca="false">rent_ext_f</f>
        <v>756</v>
      </c>
      <c r="L2274" s="1" t="s">
        <v>953</v>
      </c>
    </row>
    <row r="2275" customFormat="false" ht="17.15" hidden="false" customHeight="false" outlineLevel="0" collapsed="false">
      <c r="A2275" s="1" t="s">
        <v>954</v>
      </c>
      <c r="B2275" s="0" t="s">
        <v>456</v>
      </c>
      <c r="C2275" s="30" t="n">
        <f aca="false">Sens!C2273-Sens!C2274</f>
        <v>490</v>
      </c>
      <c r="D2275" s="30" t="n">
        <f aca="false">Sens!D2273-Sens!D2274</f>
        <v>1230</v>
      </c>
      <c r="E2275" s="30" t="n">
        <f aca="false">Sens!E2273-Sens!E2274</f>
        <v>2700</v>
      </c>
      <c r="F2275" s="30" t="n">
        <f aca="false">Sens!F2273-Sens!F2274</f>
        <v>5220.5351</v>
      </c>
      <c r="G2275" s="30" t="n">
        <f aca="false">Sens!G2273-Sens!G2274</f>
        <v>7947.0702</v>
      </c>
      <c r="H2275" s="30" t="n">
        <f aca="false">Sens!H2273-Sens!H2274</f>
        <v>10673.6053</v>
      </c>
      <c r="I2275" s="30" t="n">
        <f aca="false">Sens!I2273-Sens!I2274</f>
        <v>12605.5914196667</v>
      </c>
      <c r="J2275" s="30" t="n">
        <f aca="false">Sens!J2273-Sens!J2274</f>
        <v>13781.6682813933</v>
      </c>
      <c r="K2275" s="30" t="n">
        <f aca="false">Sens!K2273-Sens!K2274</f>
        <v>14217.7983298351</v>
      </c>
    </row>
    <row r="2276" customFormat="false" ht="17.15" hidden="false" customHeight="false" outlineLevel="0" collapsed="false">
      <c r="A2276" s="1" t="s">
        <v>955</v>
      </c>
      <c r="B2276" s="0" t="s">
        <v>456</v>
      </c>
      <c r="C2276" s="30" t="n">
        <f aca="false">Sens!C2275/ext_sh_lo</f>
        <v>980</v>
      </c>
      <c r="D2276" s="30" t="n">
        <f aca="false">Sens!D2275/ext_sh_lo</f>
        <v>2460</v>
      </c>
      <c r="E2276" s="30" t="n">
        <f aca="false">Sens!E2275/ext_sh_lo</f>
        <v>5400</v>
      </c>
      <c r="F2276" s="30" t="n">
        <f aca="false">Sens!F2275/ext_sh_lo</f>
        <v>10441.0702</v>
      </c>
      <c r="G2276" s="30" t="n">
        <f aca="false">Sens!G2275/ext_sh_lo</f>
        <v>15894.1404</v>
      </c>
      <c r="H2276" s="30" t="n">
        <f aca="false">Sens!H2275/ext_sh_lo</f>
        <v>21347.2106</v>
      </c>
      <c r="I2276" s="30" t="n">
        <f aca="false">Sens!I2275/ext_sh_lo</f>
        <v>25211.1828393333</v>
      </c>
      <c r="J2276" s="30" t="n">
        <f aca="false">Sens!J2275/ext_sh_lo</f>
        <v>27563.3365627867</v>
      </c>
      <c r="K2276" s="30" t="n">
        <f aca="false">Sens!K2275/ext_sh_lo</f>
        <v>28435.5966596703</v>
      </c>
      <c r="L2276" s="1" t="s">
        <v>956</v>
      </c>
    </row>
    <row r="2277" customFormat="false" ht="17.15" hidden="false" customHeight="false" outlineLevel="0" collapsed="false">
      <c r="A2277" s="1" t="s">
        <v>957</v>
      </c>
      <c r="B2277" s="0" t="s">
        <v>456</v>
      </c>
      <c r="C2277" s="30" t="n">
        <f aca="false">Sens!C2276-Sens!C2275</f>
        <v>490</v>
      </c>
      <c r="D2277" s="30" t="n">
        <f aca="false">Sens!D2276-Sens!D2275</f>
        <v>1230</v>
      </c>
      <c r="E2277" s="30" t="n">
        <f aca="false">Sens!E2276-Sens!E2275</f>
        <v>2700</v>
      </c>
      <c r="F2277" s="30" t="n">
        <f aca="false">Sens!F2276-Sens!F2275</f>
        <v>5220.5351</v>
      </c>
      <c r="G2277" s="30" t="n">
        <f aca="false">Sens!G2276-Sens!G2275</f>
        <v>7947.0702</v>
      </c>
      <c r="H2277" s="30" t="n">
        <f aca="false">Sens!H2276-Sens!H2275</f>
        <v>10673.6053</v>
      </c>
      <c r="I2277" s="30" t="n">
        <f aca="false">Sens!I2276-Sens!I2275</f>
        <v>12605.5914196667</v>
      </c>
      <c r="J2277" s="30" t="n">
        <f aca="false">Sens!J2276-Sens!J2275</f>
        <v>13781.6682813933</v>
      </c>
      <c r="K2277" s="30" t="n">
        <f aca="false">Sens!K2276-Sens!K2275</f>
        <v>14217.7983298351</v>
      </c>
    </row>
    <row r="2278" customFormat="false" ht="17.15" hidden="false" customHeight="false" outlineLevel="0" collapsed="false">
      <c r="A2278" s="1" t="s">
        <v>958</v>
      </c>
      <c r="B2278" s="0" t="s">
        <v>456</v>
      </c>
      <c r="C2278" s="30" t="n">
        <f aca="false">Sens!C2276</f>
        <v>980</v>
      </c>
      <c r="D2278" s="30" t="n">
        <f aca="false">Sens!D2276-Sens!C2276</f>
        <v>1480</v>
      </c>
      <c r="E2278" s="30" t="n">
        <f aca="false">Sens!E2276-Sens!D2276</f>
        <v>2940</v>
      </c>
      <c r="F2278" s="30" t="n">
        <f aca="false">Sens!F2276-Sens!E2276</f>
        <v>5041.0702</v>
      </c>
      <c r="G2278" s="30" t="n">
        <f aca="false">Sens!G2276-Sens!F2276</f>
        <v>5453.0702</v>
      </c>
      <c r="H2278" s="30" t="n">
        <f aca="false">Sens!H2276-Sens!G2276</f>
        <v>5453.0702</v>
      </c>
      <c r="I2278" s="30" t="n">
        <f aca="false">Sens!I2276-Sens!H2276</f>
        <v>3863.97223933333</v>
      </c>
      <c r="J2278" s="30" t="n">
        <f aca="false">Sens!J2276-Sens!I2276</f>
        <v>2352.15372345334</v>
      </c>
      <c r="K2278" s="30" t="n">
        <f aca="false">Sens!K2276-Sens!J2276</f>
        <v>872.260096883598</v>
      </c>
    </row>
    <row r="2279" customFormat="false" ht="17.15" hidden="false" customHeight="false" outlineLevel="0" collapsed="false">
      <c r="A2279" s="1" t="s">
        <v>959</v>
      </c>
      <c r="B2279" s="0" t="s">
        <v>456</v>
      </c>
      <c r="D2279" s="30" t="n">
        <f aca="false">Sens!D2273-Sens!C2273</f>
        <v>990</v>
      </c>
      <c r="E2279" s="30" t="n">
        <f aca="false">Sens!E2273-Sens!D2273</f>
        <v>1620</v>
      </c>
      <c r="F2279" s="30" t="n">
        <f aca="false">Sens!F2273-Sens!E2273</f>
        <v>2726.5351</v>
      </c>
      <c r="G2279" s="30" t="n">
        <f aca="false">Sens!G2273-Sens!F2273</f>
        <v>2726.5351</v>
      </c>
      <c r="H2279" s="30" t="n">
        <f aca="false">Sens!H2273-Sens!G2273</f>
        <v>2726.5351</v>
      </c>
      <c r="I2279" s="30" t="n">
        <f aca="false">Sens!I2273-Sens!H2273</f>
        <v>1931.98611966667</v>
      </c>
      <c r="J2279" s="30" t="n">
        <f aca="false">Sens!J2273-Sens!I2273</f>
        <v>1176.07686172667</v>
      </c>
      <c r="K2279" s="30" t="n">
        <f aca="false">Sens!K2273-Sens!J2273</f>
        <v>436.130048441799</v>
      </c>
    </row>
    <row r="2280" customFormat="false" ht="17.15" hidden="false" customHeight="false" outlineLevel="0" collapsed="false">
      <c r="A2280" s="1" t="s">
        <v>960</v>
      </c>
      <c r="B2280" s="0" t="s">
        <v>456</v>
      </c>
      <c r="F2280" s="30" t="n">
        <f aca="false">Sens!F2299*ext_sh_lo</f>
        <v>0</v>
      </c>
      <c r="G2280" s="30" t="n">
        <f aca="false">Sens!G2299*ext_sh_lo</f>
        <v>0</v>
      </c>
      <c r="H2280" s="30" t="n">
        <f aca="false">Sens!H2299*ext_sh_lo</f>
        <v>0</v>
      </c>
      <c r="I2280" s="30" t="n">
        <f aca="false">Sens!I2299*ext_sh_lo</f>
        <v>490</v>
      </c>
      <c r="J2280" s="30" t="n">
        <f aca="false">Sens!J2299*ext_sh_lo</f>
        <v>740</v>
      </c>
      <c r="K2280" s="30" t="n">
        <f aca="false">Sens!K2299*ext_sh_lo</f>
        <v>1470</v>
      </c>
      <c r="L2280" s="1" t="s">
        <v>961</v>
      </c>
    </row>
    <row r="2281" customFormat="false" ht="17.15" hidden="false" customHeight="false" outlineLevel="0" collapsed="false">
      <c r="A2281" s="1" t="s">
        <v>962</v>
      </c>
      <c r="B2281" s="0" t="s">
        <v>456</v>
      </c>
      <c r="C2281" s="30" t="n">
        <f aca="false">mix_h*Sens!C2273</f>
        <v>128</v>
      </c>
      <c r="D2281" s="30" t="n">
        <f aca="false">mix_h*Sens!D2273</f>
        <v>326</v>
      </c>
      <c r="E2281" s="30" t="n">
        <f aca="false">mix_h*Sens!E2273</f>
        <v>650</v>
      </c>
      <c r="F2281" s="30" t="n">
        <f aca="false">Sens!E2281-Sens!F2280*mix_h</f>
        <v>650</v>
      </c>
      <c r="G2281" s="30" t="n">
        <f aca="false">Sens!F2281-Sens!G2280*mix_h</f>
        <v>650</v>
      </c>
      <c r="H2281" s="30" t="n">
        <f aca="false">Sens!G2281-Sens!H2280*mix_h</f>
        <v>650</v>
      </c>
      <c r="I2281" s="30" t="n">
        <f aca="false">Sens!H2281-Sens!I2280*mix_h</f>
        <v>552</v>
      </c>
      <c r="J2281" s="30" t="n">
        <f aca="false">Sens!I2281-Sens!J2280*mix_h</f>
        <v>404</v>
      </c>
      <c r="K2281" s="30" t="n">
        <f aca="false">Sens!J2281-Sens!K2280*mix_h</f>
        <v>110</v>
      </c>
    </row>
    <row r="2282" customFormat="false" ht="17.15" hidden="false" customHeight="false" outlineLevel="0" collapsed="false">
      <c r="A2282" s="1" t="s">
        <v>963</v>
      </c>
      <c r="B2282" s="0" t="s">
        <v>456</v>
      </c>
      <c r="C2282" s="30" t="n">
        <f aca="false">mix_g2*Sens!C2273</f>
        <v>288</v>
      </c>
      <c r="D2282" s="30" t="n">
        <f aca="false">mix_g2*Sens!D2273</f>
        <v>733.5</v>
      </c>
      <c r="E2282" s="30" t="n">
        <f aca="false">mix_g2*Sens!E2273</f>
        <v>1462.5</v>
      </c>
      <c r="F2282" s="30" t="n">
        <f aca="false">Sens!E2282-Sens!F2280*mix_g2</f>
        <v>1462.5</v>
      </c>
      <c r="G2282" s="30" t="n">
        <f aca="false">Sens!F2282-Sens!G2280*mix_g2</f>
        <v>1462.5</v>
      </c>
      <c r="H2282" s="30" t="n">
        <f aca="false">Sens!G2282-Sens!H2280*mix_g2</f>
        <v>1462.5</v>
      </c>
      <c r="I2282" s="30" t="n">
        <f aca="false">Sens!H2282-Sens!I2280*mix_g2</f>
        <v>1242</v>
      </c>
      <c r="J2282" s="30" t="n">
        <f aca="false">Sens!I2282-Sens!J2280*mix_g2</f>
        <v>909</v>
      </c>
      <c r="K2282" s="30" t="n">
        <f aca="false">Sens!J2282-Sens!K2280*mix_g2</f>
        <v>247.5</v>
      </c>
    </row>
    <row r="2283" customFormat="false" ht="17.15" hidden="false" customHeight="false" outlineLevel="0" collapsed="false">
      <c r="A2283" s="1" t="s">
        <v>964</v>
      </c>
      <c r="B2283" s="0" t="s">
        <v>456</v>
      </c>
      <c r="C2283" s="30" t="n">
        <f aca="false">mix_g3*Sens!C2273</f>
        <v>224</v>
      </c>
      <c r="D2283" s="30" t="n">
        <f aca="false">mix_g3*Sens!D2273</f>
        <v>570.5</v>
      </c>
      <c r="E2283" s="30" t="n">
        <f aca="false">mix_g3*Sens!E2273</f>
        <v>1137.5</v>
      </c>
      <c r="F2283" s="30" t="n">
        <f aca="false">Sens!E2283+(Sens!F2279+Sens!F2280)*(a_g3_27-nonnv*a_mai)-Sens!F2280*mix_g3</f>
        <v>2773.42106</v>
      </c>
      <c r="G2283" s="30" t="n">
        <f aca="false">Sens!F2283+(Sens!G2279+Sens!G2280)*(a_g3_28-nonnv*a_mai)-Sens!G2280*mix_g3</f>
        <v>3318.72808</v>
      </c>
      <c r="H2283" s="30" t="n">
        <f aca="false">Sens!G2283+(Sens!H2279+Sens!H2280)*(a_g3_29-nonnv*a_mai)-Sens!H2280*mix_g3</f>
        <v>3318.72808</v>
      </c>
      <c r="I2283" s="30" t="n">
        <f aca="false">Sens!H2283+(Sens!I2279+Sens!I2280)*(a_g3_29-nonnv*a_mai)-Sens!I2280*mix_g3</f>
        <v>3147.22808</v>
      </c>
      <c r="J2283" s="30" t="n">
        <f aca="false">Sens!I2283+(Sens!J2279+Sens!J2280)*(a_g3_29-nonnv*a_mai)-Sens!J2280*mix_g3</f>
        <v>2888.22808</v>
      </c>
      <c r="K2283" s="30" t="n">
        <f aca="false">Sens!J2283+(Sens!K2279+Sens!K2280)*(a_g3_29-nonnv*a_mai)-Sens!K2280*mix_g3</f>
        <v>2373.72808</v>
      </c>
    </row>
    <row r="2284" customFormat="false" ht="17.15" hidden="false" customHeight="false" outlineLevel="0" collapsed="false">
      <c r="A2284" s="1" t="s">
        <v>965</v>
      </c>
      <c r="B2284" s="0" t="s">
        <v>456</v>
      </c>
      <c r="C2284" s="30" t="n">
        <v>0</v>
      </c>
      <c r="D2284" s="30" t="n">
        <v>0</v>
      </c>
      <c r="E2284" s="30" t="n">
        <v>0</v>
      </c>
      <c r="F2284" s="30" t="n">
        <f aca="false">Sens!E2284+(Sens!F2279+Sens!F2280)*nonnv*a_mai</f>
        <v>272.65351</v>
      </c>
      <c r="G2284" s="30" t="n">
        <f aca="false">Sens!F2284+(Sens!G2279+Sens!G2280)*nonnv*a_mai</f>
        <v>545.30702</v>
      </c>
      <c r="H2284" s="30" t="n">
        <f aca="false">Sens!G2284+(Sens!H2279+Sens!H2280)*nonnv*a_mai</f>
        <v>817.96053</v>
      </c>
      <c r="I2284" s="30" t="n">
        <f aca="false">Sens!H2284+(Sens!I2279+Sens!I2280)*nonnv*a_mai</f>
        <v>1060.15914196667</v>
      </c>
      <c r="J2284" s="30" t="n">
        <f aca="false">Sens!I2284+(Sens!J2279+Sens!J2280)*nonnv*a_mai</f>
        <v>1251.76682813933</v>
      </c>
      <c r="K2284" s="30" t="n">
        <f aca="false">Sens!J2284+(Sens!K2279+Sens!K2280)*nonnv*a_mai</f>
        <v>1442.37983298351</v>
      </c>
      <c r="L2284" s="12" t="s">
        <v>966</v>
      </c>
    </row>
    <row r="2285" customFormat="false" ht="17.15" hidden="false" customHeight="false" outlineLevel="0" collapsed="false">
      <c r="A2285" s="1" t="s">
        <v>967</v>
      </c>
      <c r="B2285" s="0" t="s">
        <v>456</v>
      </c>
      <c r="C2285" s="30" t="n">
        <v>0</v>
      </c>
      <c r="D2285" s="30" t="n">
        <v>0</v>
      </c>
      <c r="E2285" s="30" t="n">
        <v>0</v>
      </c>
      <c r="F2285" s="30" t="n">
        <f aca="false">Sens!E2285+(Sens!F2279+Sens!F2280)*(1-a_g3_27)</f>
        <v>817.96053</v>
      </c>
      <c r="G2285" s="30" t="n">
        <f aca="false">Sens!F2285+(Sens!G2279+Sens!G2280)*(1-a_g3_28)</f>
        <v>2726.5351</v>
      </c>
      <c r="H2285" s="30" t="n">
        <f aca="false">Sens!G2285+(Sens!H2279+Sens!H2280)*(1-a_g3_29)</f>
        <v>5180.41669</v>
      </c>
      <c r="I2285" s="30" t="n">
        <f aca="false">Sens!H2285+(Sens!I2279+Sens!I2280)*(1-a_g3_29)</f>
        <v>7360.2041977</v>
      </c>
      <c r="J2285" s="30" t="n">
        <f aca="false">Sens!I2285+(Sens!J2279+Sens!J2280)*(1-a_g3_29)</f>
        <v>9084.673373254</v>
      </c>
      <c r="K2285" s="30" t="n">
        <f aca="false">Sens!J2285+(Sens!K2279+Sens!K2280)*(1-a_g3_29)</f>
        <v>10800.1904168516</v>
      </c>
    </row>
    <row r="2286" customFormat="false" ht="17.15" hidden="false" customHeight="false" outlineLevel="0" collapsed="false">
      <c r="A2286" s="1" t="s">
        <v>968</v>
      </c>
      <c r="B2286" s="0" t="s">
        <v>403</v>
      </c>
      <c r="C2286" s="15" t="n">
        <f aca="false">(Sens!C2281*tk_hold_h100+Sens!C2282*tk_hold_gb200+Sens!C2283*tk_hold_gb300+Sens!C2285*tk_hold_vr200+Sens!C2284*nv_hold_mai*tk_hold_vr200)/Sens!C2273</f>
        <v>9.7235358126469</v>
      </c>
      <c r="D2286" s="15" t="n">
        <f aca="false">(Sens!D2281*tk_hold_h100+Sens!D2282*tk_hold_gb200+Sens!D2283*tk_hold_gb300+Sens!D2285*tk_hold_vr200+Sens!D2284*nv_hold_mai*tk_hold_vr200)/Sens!D2273</f>
        <v>9.7235358126469</v>
      </c>
      <c r="E2286" s="15" t="n">
        <f aca="false">(Sens!E2281*tk_hold_h100+Sens!E2282*tk_hold_gb200+Sens!E2283*tk_hold_gb300+Sens!E2285*tk_hold_vr200+Sens!E2284*nv_hold_mai*tk_hold_vr200)/Sens!E2273</f>
        <v>9.7235358126469</v>
      </c>
      <c r="F2286" s="15" t="n">
        <f aca="false">(Sens!F2281*tk_hold_h100+Sens!F2282*tk_hold_gb200+Sens!F2283*tk_hold_gb300+Sens!F2285*tk_hold_vr200+Sens!F2284*nv_hold_mai*tk_hold_vr200)/Sens!F2273</f>
        <v>10.2195353876665</v>
      </c>
      <c r="G2286" s="15" t="n">
        <f aca="false">(Sens!G2281*tk_hold_h100+Sens!G2282*tk_hold_gb200+Sens!G2283*tk_hold_gb300+Sens!G2285*tk_hold_vr200+Sens!G2284*nv_hold_mai*tk_hold_vr200)/Sens!G2273</f>
        <v>10.5725598017306</v>
      </c>
      <c r="H2286" s="15" t="n">
        <f aca="false">(Sens!H2281*tk_hold_h100+Sens!H2282*tk_hold_gb200+Sens!H2283*tk_hold_gb300+Sens!H2285*tk_hold_vr200+Sens!H2284*nv_hold_mai*tk_hold_vr200)/Sens!H2273</f>
        <v>10.8210427149036</v>
      </c>
      <c r="I2286" s="15" t="n">
        <f aca="false">(Sens!I2281*tk_hold_h100+Sens!I2282*tk_hold_gb200+Sens!I2283*tk_hold_gb300+Sens!I2285*tk_hold_vr200+Sens!I2284*nv_hold_mai*tk_hold_vr200)/Sens!I2273</f>
        <v>11.0050618241982</v>
      </c>
      <c r="J2286" s="15" t="n">
        <f aca="false">(Sens!J2281*tk_hold_h100+Sens!J2282*tk_hold_gb200+Sens!J2283*tk_hold_gb300+Sens!J2285*tk_hold_vr200+Sens!J2284*nv_hold_mai*tk_hold_vr200)/Sens!J2273</f>
        <v>11.1505789658881</v>
      </c>
      <c r="K2286" s="15" t="n">
        <f aca="false">(Sens!K2281*tk_hold_h100+Sens!K2282*tk_hold_gb200+Sens!K2283*tk_hold_gb300+Sens!K2285*tk_hold_vr200+Sens!K2284*nv_hold_mai*tk_hold_vr200)/Sens!K2273</f>
        <v>11.3496914757183</v>
      </c>
      <c r="L2286" s="1" t="s">
        <v>969</v>
      </c>
    </row>
    <row r="2287" customFormat="false" ht="17.15" hidden="false" customHeight="false" outlineLevel="0" collapsed="false">
      <c r="A2287" s="1" t="s">
        <v>970</v>
      </c>
      <c r="B2287" s="0" t="s">
        <v>403</v>
      </c>
      <c r="C2287" s="15" t="n">
        <f aca="false">(Sens!C2281*tk_hold_h100+Sens!C2282*tk_hold_gb200+Sens!C2283*tk_hold_gb300+Sens!C2285*tk_hold_vr200+Sens!C2284*nv_out_mai*tk_hold_vr200)/Sens!C2273</f>
        <v>9.7235358126469</v>
      </c>
      <c r="D2287" s="15" t="n">
        <f aca="false">(Sens!D2281*tk_hold_h100+Sens!D2282*tk_hold_gb200+Sens!D2283*tk_hold_gb300+Sens!D2285*tk_hold_vr200+Sens!D2284*nv_out_mai*tk_hold_vr200)/Sens!D2273</f>
        <v>9.7235358126469</v>
      </c>
      <c r="E2287" s="15" t="n">
        <f aca="false">(Sens!E2281*tk_hold_h100+Sens!E2282*tk_hold_gb200+Sens!E2283*tk_hold_gb300+Sens!E2285*tk_hold_vr200+Sens!E2284*nv_out_mai*tk_hold_vr200)/Sens!E2273</f>
        <v>9.7235358126469</v>
      </c>
      <c r="F2287" s="15" t="n">
        <f aca="false">(Sens!F2281*tk_hold_h100+Sens!F2282*tk_hold_gb200+Sens!F2283*tk_hold_gb300+Sens!F2285*tk_hold_vr200+Sens!F2284*nv_out_mai*tk_hold_vr200)/Sens!F2273</f>
        <v>10.247422093969</v>
      </c>
      <c r="G2287" s="15" t="n">
        <f aca="false">(Sens!G2281*tk_hold_h100+Sens!G2282*tk_hold_gb200+Sens!G2283*tk_hold_gb300+Sens!G2285*tk_hold_vr200+Sens!G2284*nv_out_mai*tk_hold_vr200)/Sens!G2273</f>
        <v>10.6108602808053</v>
      </c>
      <c r="H2287" s="15" t="n">
        <f aca="false">(Sens!H2281*tk_hold_h100+Sens!H2282*tk_hold_gb200+Sens!H2283*tk_hold_gb300+Sens!H2285*tk_hold_vr200+Sens!H2284*nv_out_mai*tk_hold_vr200)/Sens!H2273</f>
        <v>10.8647885507393</v>
      </c>
      <c r="I2287" s="15" t="n">
        <f aca="false">(Sens!I2281*tk_hold_h100+Sens!I2282*tk_hold_gb200+Sens!I2283*tk_hold_gb300+Sens!I2285*tk_hold_vr200+Sens!I2284*nv_out_mai*tk_hold_vr200)/Sens!I2273</f>
        <v>11.0535625770025</v>
      </c>
      <c r="J2287" s="15" t="n">
        <f aca="false">(Sens!J2281*tk_hold_h100+Sens!J2282*tk_hold_gb200+Sens!J2283*tk_hold_gb300+Sens!J2285*tk_hold_vr200+Sens!J2284*nv_out_mai*tk_hold_vr200)/Sens!J2273</f>
        <v>11.2032127128058</v>
      </c>
      <c r="K2287" s="15" t="n">
        <f aca="false">(Sens!K2281*tk_hold_h100+Sens!K2282*tk_hold_gb200+Sens!K2283*tk_hold_gb300+Sens!K2285*tk_hold_vr200+Sens!K2284*nv_out_mai*tk_hold_vr200)/Sens!K2273</f>
        <v>11.4085735724225</v>
      </c>
      <c r="L2287" s="12" t="s">
        <v>971</v>
      </c>
    </row>
    <row r="2288" customFormat="false" ht="17.15" hidden="false" customHeight="false" outlineLevel="0" collapsed="false">
      <c r="A2288" s="0" t="s">
        <v>972</v>
      </c>
      <c r="B2288" s="0" t="s">
        <v>229</v>
      </c>
      <c r="C2288" s="15" t="n">
        <f aca="false">k_B</f>
        <v>1.17213932619116</v>
      </c>
      <c r="D2288" s="15" t="n">
        <f aca="false">k_B</f>
        <v>1.17213932619116</v>
      </c>
      <c r="E2288" s="15" t="n">
        <f aca="false">k_B</f>
        <v>1.17213932619116</v>
      </c>
      <c r="F2288" s="15" t="n">
        <f aca="false">(k_B+((ls_C*k_long+(1-ls_C)*k_spot)-k_B)*MIN(1,(Sens!F2271-base_fy)/k_ramp))</f>
        <v>1.07843258004497</v>
      </c>
      <c r="G2288" s="15" t="n">
        <f aca="false">(k_B+((ls_C*k_long+(1-ls_C)*k_spot)-k_B)*MIN(1,(Sens!G2271-base_fy)/k_ramp))</f>
        <v>0.984725833898784</v>
      </c>
      <c r="H2288" s="15" t="n">
        <f aca="false">(k_B+((ls_C*k_long+(1-ls_C)*k_spot)-k_B)*MIN(1,(Sens!H2271-base_fy)/k_ramp))</f>
        <v>0.891019087752599</v>
      </c>
      <c r="I2288" s="15" t="n">
        <f aca="false">(k_B+((ls_C*k_long+(1-ls_C)*k_spot)-k_B)*MIN(1,(Sens!I2271-base_fy)/k_ramp))</f>
        <v>0.891019087752599</v>
      </c>
      <c r="J2288" s="15" t="n">
        <f aca="false">(k_B+((ls_C*k_long+(1-ls_C)*k_spot)-k_B)*MIN(1,(Sens!J2271-base_fy)/k_ramp))</f>
        <v>0.891019087752599</v>
      </c>
      <c r="K2288" s="15" t="n">
        <f aca="false">(k_B+((ls_C*k_long+(1-ls_C)*k_spot)-k_B)*MIN(1,(Sens!K2271-base_fy)/k_ramp))</f>
        <v>0.891019087752599</v>
      </c>
      <c r="L2288" s="1" t="s">
        <v>973</v>
      </c>
    </row>
    <row r="2289" customFormat="false" ht="17.15" hidden="false" customHeight="false" outlineLevel="0" collapsed="false">
      <c r="A2289" s="1" t="s">
        <v>974</v>
      </c>
      <c r="B2289" s="0" t="s">
        <v>403</v>
      </c>
      <c r="C2289" s="15" t="n">
        <f aca="false">Sens!C2287*Sens!C2288*chip_f</f>
        <v>11.3973387156315</v>
      </c>
      <c r="D2289" s="15" t="n">
        <f aca="false">Sens!D2287*Sens!D2288*chip_f</f>
        <v>11.3973387156315</v>
      </c>
      <c r="E2289" s="15" t="n">
        <f aca="false">Sens!E2287*Sens!E2288*chip_f</f>
        <v>11.3973387156315</v>
      </c>
      <c r="F2289" s="15" t="n">
        <f aca="false">Sens!F2287*Sens!F2288*chip_f</f>
        <v>11.0511538476088</v>
      </c>
      <c r="G2289" s="15" t="n">
        <f aca="false">Sens!G2287*Sens!G2288*chip_f</f>
        <v>10.4487882383995</v>
      </c>
      <c r="H2289" s="15" t="n">
        <f aca="false">Sens!H2287*Sens!H2288*chip_f</f>
        <v>9.68073398310464</v>
      </c>
      <c r="I2289" s="15" t="n">
        <f aca="false">Sens!I2287*Sens!I2288*chip_f</f>
        <v>9.84893524377706</v>
      </c>
      <c r="J2289" s="15" t="n">
        <f aca="false">Sens!J2287*Sens!J2288*chip_f</f>
        <v>9.98227637126252</v>
      </c>
      <c r="K2289" s="15" t="n">
        <f aca="false">Sens!K2287*Sens!K2288*chip_f</f>
        <v>10.1652568170583</v>
      </c>
      <c r="L2289" s="1" t="s">
        <v>975</v>
      </c>
    </row>
    <row r="2290" customFormat="false" ht="17.15" hidden="false" customHeight="false" outlineLevel="0" collapsed="false">
      <c r="A2290" s="0" t="s">
        <v>976</v>
      </c>
      <c r="B2290" s="0" t="s">
        <v>98</v>
      </c>
      <c r="D2290" s="6" t="n">
        <f aca="false">(Sens!C2273+Sens!D2273)/2*Sens!D2289/1000</f>
        <v>12.9359794422418</v>
      </c>
      <c r="E2290" s="6" t="n">
        <f aca="false">(Sens!D2273+Sens!E2273)/2*Sens!E2289/1000</f>
        <v>27.8095064661409</v>
      </c>
      <c r="F2290" s="6" t="n">
        <f aca="false">(Sens!E2273+Sens!F2273)/2*Sens!F2289/1000</f>
        <v>50.9819294352312</v>
      </c>
      <c r="G2290" s="6" t="n">
        <f aca="false">(Sens!F2273+Sens!G2273)/2*Sens!G2289/1000</f>
        <v>76.6920436014933</v>
      </c>
      <c r="H2290" s="6" t="n">
        <f aca="false">(Sens!G2273+Sens!H2273)/2*Sens!H2289/1000</f>
        <v>97.4495379418341</v>
      </c>
      <c r="I2290" s="6" t="n">
        <f aca="false">(Sens!H2273+Sens!I2273)/2*Sens!I2289/1000</f>
        <v>122.083445553868</v>
      </c>
      <c r="J2290" s="6" t="n">
        <f aca="false">(Sens!I2273+Sens!J2273)/2*Sens!J2289/1000</f>
        <v>139.249060444804</v>
      </c>
      <c r="K2290" s="6" t="n">
        <f aca="false">(Sens!J2273+Sens!K2273)/2*Sens!K2289/1000</f>
        <v>149.995818575589</v>
      </c>
      <c r="L2290" s="12" t="s">
        <v>977</v>
      </c>
    </row>
    <row r="2291" customFormat="false" ht="17.15" hidden="false" customHeight="false" outlineLevel="0" collapsed="false">
      <c r="A2291" s="1" t="s">
        <v>978</v>
      </c>
      <c r="B2291" s="0" t="s">
        <v>403</v>
      </c>
      <c r="C2291" s="15" t="n">
        <f aca="false">(Sens!C2281*tk_opex_h100+Sens!C2282*tk_opex_gb200+Sens!C2283*tk_opex_gb300+(Sens!C2285+Sens!C2284)*tk_opex_vr200)/Sens!C2273</f>
        <v>1.88636041306092</v>
      </c>
      <c r="D2291" s="15" t="n">
        <f aca="false">(Sens!D2281*tk_opex_h100+Sens!D2282*tk_opex_gb200+Sens!D2283*tk_opex_gb300+(Sens!D2285+Sens!D2284)*tk_opex_vr200)/Sens!D2273</f>
        <v>1.88636041306092</v>
      </c>
      <c r="E2291" s="15" t="n">
        <f aca="false">(Sens!E2281*tk_opex_h100+Sens!E2282*tk_opex_gb200+Sens!E2283*tk_opex_gb300+(Sens!E2285+Sens!E2284)*tk_opex_vr200)/Sens!E2273</f>
        <v>1.88636041306092</v>
      </c>
      <c r="F2291" s="15" t="n">
        <f aca="false">(Sens!F2281*tk_opex_h100+Sens!F2282*tk_opex_gb200+Sens!F2283*tk_opex_gb300+(Sens!F2285+Sens!F2284)*tk_opex_vr200)/Sens!F2273</f>
        <v>1.95051159746876</v>
      </c>
      <c r="G2291" s="15" t="n">
        <f aca="false">(Sens!G2281*tk_opex_h100+Sens!G2282*tk_opex_gb200+Sens!G2283*tk_opex_gb300+(Sens!G2285+Sens!G2284)*tk_opex_vr200)/Sens!G2273</f>
        <v>1.98836003669956</v>
      </c>
      <c r="H2291" s="15" t="n">
        <f aca="false">(Sens!H2281*tk_opex_h100+Sens!H2282*tk_opex_gb200+Sens!H2283*tk_opex_gb300+(Sens!H2285+Sens!H2284)*tk_opex_vr200)/Sens!H2273</f>
        <v>2.01344013834343</v>
      </c>
      <c r="I2291" s="15" t="n">
        <f aca="false">(Sens!I2281*tk_opex_h100+Sens!I2282*tk_opex_gb200+Sens!I2283*tk_opex_gb300+(Sens!I2285+Sens!I2284)*tk_opex_vr200)/Sens!I2273</f>
        <v>2.03261166882178</v>
      </c>
      <c r="J2291" s="15" t="n">
        <f aca="false">(Sens!J2281*tk_opex_h100+Sens!J2282*tk_opex_gb200+Sens!J2283*tk_opex_gb300+(Sens!J2285+Sens!J2284)*tk_opex_vr200)/Sens!J2273</f>
        <v>2.04808073288745</v>
      </c>
      <c r="K2291" s="15" t="n">
        <f aca="false">(Sens!K2281*tk_opex_h100+Sens!K2282*tk_opex_gb200+Sens!K2283*tk_opex_gb300+(Sens!K2285+Sens!K2284)*tk_opex_vr200)/Sens!K2273</f>
        <v>2.06973825807449</v>
      </c>
      <c r="L2291" s="12" t="s">
        <v>979</v>
      </c>
    </row>
    <row r="2292" customFormat="false" ht="17.15" hidden="false" customHeight="false" outlineLevel="0" collapsed="false">
      <c r="A2292" s="0" t="s">
        <v>980</v>
      </c>
      <c r="B2292" s="0" t="s">
        <v>98</v>
      </c>
      <c r="D2292" s="6" t="n">
        <f aca="false">(Sens!C2276+Sens!D2276)/2*Sens!D2291/1000</f>
        <v>3.24453991046478</v>
      </c>
      <c r="E2292" s="6" t="n">
        <f aca="false">(Sens!D2276+Sens!E2276)/2*Sens!E2291/1000</f>
        <v>7.41339642332941</v>
      </c>
      <c r="F2292" s="6" t="n">
        <f aca="false">(Sens!E2276+Sens!F2276)/2*Sens!F2291/1000</f>
        <v>15.4490955707084</v>
      </c>
      <c r="G2292" s="6" t="n">
        <f aca="false">(Sens!F2276+Sens!G2276)/2*Sens!G2291/1000</f>
        <v>26.1819401575533</v>
      </c>
      <c r="H2292" s="6" t="n">
        <f aca="false">(Sens!G2276+Sens!H2276)/2*Sens!H2291/1000</f>
        <v>37.4916154547681</v>
      </c>
      <c r="I2292" s="6" t="n">
        <f aca="false">(Sens!H2276+Sens!I2276)/2*Sens!I2291/1000</f>
        <v>47.3175668931922</v>
      </c>
      <c r="J2292" s="6" t="n">
        <f aca="false">(Sens!I2276+Sens!J2276)/2*Sens!J2291/1000</f>
        <v>54.0432381874384</v>
      </c>
      <c r="K2292" s="6" t="n">
        <f aca="false">(Sens!J2276+Sens!K2276)/2*Sens!K2291/1000</f>
        <v>57.9515672509388</v>
      </c>
    </row>
    <row r="2293" customFormat="false" ht="17.15" hidden="false" customHeight="false" outlineLevel="0" collapsed="false">
      <c r="A2293" s="0" t="s">
        <v>981</v>
      </c>
      <c r="B2293" s="0" t="s">
        <v>98</v>
      </c>
      <c r="D2293" s="6" t="n">
        <f aca="false">(Sens!C2274+Sens!D2274)/2*rent_mw/1000</f>
        <v>2.44475</v>
      </c>
      <c r="E2293" s="6" t="n">
        <f aca="false">(Sens!D2274+Sens!E2274)/2*rent_mw/1000</f>
        <v>4.22275</v>
      </c>
      <c r="F2293" s="6" t="n">
        <f aca="false">(Sens!E2274+Sens!F2274)/2*rent_mw/1000</f>
        <v>5.80517</v>
      </c>
      <c r="G2293" s="6" t="n">
        <f aca="false">(Sens!F2274+Sens!G2274)/2*rent_mw/1000</f>
        <v>6.72084</v>
      </c>
      <c r="H2293" s="6" t="n">
        <f aca="false">(Sens!G2274+Sens!H2274)/2*rent_mw/1000</f>
        <v>6.72084</v>
      </c>
      <c r="I2293" s="6" t="n">
        <f aca="false">(Sens!H2274+Sens!I2274)/2*rent_mw/1000</f>
        <v>6.72084</v>
      </c>
      <c r="J2293" s="6" t="n">
        <f aca="false">(Sens!I2274+Sens!J2274)/2*rent_mw/1000</f>
        <v>6.72084</v>
      </c>
      <c r="K2293" s="6" t="n">
        <f aca="false">(Sens!J2274+Sens!K2274)/2*rent_mw/1000</f>
        <v>6.72084</v>
      </c>
    </row>
    <row r="2294" customFormat="false" ht="17.15" hidden="false" customHeight="false" outlineLevel="0" collapsed="false">
      <c r="A2294" s="0" t="s">
        <v>982</v>
      </c>
      <c r="B2294" s="0" t="s">
        <v>98</v>
      </c>
      <c r="D2294" s="6" t="n">
        <f aca="false">(Sens!C2276+Sens!D2276)/2*(1-self_build)*fac_rent/1000</f>
        <v>1.02389085075729</v>
      </c>
      <c r="E2294" s="6" t="n">
        <f aca="false">(Sens!D2276+Sens!E2276)/2*(1-self_build)*fac_rent/1000</f>
        <v>2.33947153690474</v>
      </c>
      <c r="F2294" s="6" t="n">
        <f aca="false">(Sens!E2276+Sens!F2276)/2*(1-self_build)*fac_rent/1000</f>
        <v>4.71497873371627</v>
      </c>
      <c r="G2294" s="6" t="n">
        <f aca="false">(Sens!F2276+Sens!G2276)/2*(1-self_build)*fac_rent/1000</f>
        <v>7.83848290293791</v>
      </c>
      <c r="H2294" s="6" t="n">
        <f aca="false">(Sens!G2276+Sens!H2276)/2*(1-self_build)*fac_rent/1000</f>
        <v>11.0846158600991</v>
      </c>
      <c r="I2294" s="6" t="n">
        <f aca="false">(Sens!H2276+Sens!I2276)/2*(1-self_build)*fac_rent/1000</f>
        <v>13.8577654268871</v>
      </c>
      <c r="J2294" s="6" t="n">
        <f aca="false">(Sens!I2276+Sens!J2276)/2*(1-self_build)*fac_rent/1000</f>
        <v>15.707949874693</v>
      </c>
      <c r="K2294" s="6" t="n">
        <f aca="false">(Sens!J2276+Sens!K2276)/2*(1-self_build)*fac_rent/1000</f>
        <v>16.6676730751867</v>
      </c>
      <c r="L2294" s="12" t="s">
        <v>983</v>
      </c>
    </row>
    <row r="2295" customFormat="false" ht="17.15" hidden="false" customHeight="false" outlineLevel="0" collapsed="false">
      <c r="A2295" s="1" t="s">
        <v>984</v>
      </c>
      <c r="B2295" s="0" t="s">
        <v>168</v>
      </c>
      <c r="D2295" s="7" t="n">
        <f aca="false">(Sens!C2275+Sens!D2275)/(Sens!C2276+Sens!D2276)</f>
        <v>0.5</v>
      </c>
      <c r="E2295" s="7" t="n">
        <f aca="false">(Sens!D2275+Sens!E2275)/(Sens!D2276+Sens!E2276)</f>
        <v>0.5</v>
      </c>
      <c r="F2295" s="7" t="n">
        <f aca="false">(Sens!E2275+Sens!F2275)/(Sens!E2276+Sens!F2276)</f>
        <v>0.5</v>
      </c>
      <c r="G2295" s="7" t="n">
        <f aca="false">(Sens!F2275+Sens!G2275)/(Sens!F2276+Sens!G2276)</f>
        <v>0.5</v>
      </c>
      <c r="H2295" s="7" t="n">
        <f aca="false">(Sens!G2275+Sens!H2275)/(Sens!G2276+Sens!H2276)</f>
        <v>0.5</v>
      </c>
      <c r="I2295" s="7" t="n">
        <f aca="false">(Sens!H2275+Sens!I2275)/(Sens!H2276+Sens!I2276)</f>
        <v>0.5</v>
      </c>
      <c r="J2295" s="7" t="n">
        <f aca="false">(Sens!I2275+Sens!J2275)/(Sens!I2276+Sens!J2276)</f>
        <v>0.5</v>
      </c>
      <c r="K2295" s="7" t="n">
        <f aca="false">(Sens!J2275+Sens!K2275)/(Sens!J2276+Sens!K2276)</f>
        <v>0.5</v>
      </c>
    </row>
    <row r="2296" customFormat="false" ht="17.15" hidden="false" customHeight="false" outlineLevel="0" collapsed="false">
      <c r="A2296" s="0" t="s">
        <v>985</v>
      </c>
      <c r="B2296" s="0" t="s">
        <v>98</v>
      </c>
      <c r="D2296" s="6" t="n">
        <f aca="false">Sens!D2290-Sens!D2295*(Sens!D2292+Sens!D2294)-Sens!D2293</f>
        <v>8.35701406163072</v>
      </c>
      <c r="E2296" s="6" t="n">
        <f aca="false">Sens!E2290-Sens!E2295*(Sens!E2292+Sens!E2294)-Sens!E2293</f>
        <v>18.7103224860238</v>
      </c>
      <c r="F2296" s="6" t="n">
        <f aca="false">Sens!F2290-Sens!F2295*(Sens!F2292+Sens!F2294)-Sens!F2293</f>
        <v>35.0947222830189</v>
      </c>
      <c r="G2296" s="6" t="n">
        <f aca="false">Sens!G2290-Sens!G2295*(Sens!G2292+Sens!G2294)-Sens!G2293</f>
        <v>52.9609920712477</v>
      </c>
      <c r="H2296" s="6" t="n">
        <f aca="false">Sens!H2290-Sens!H2295*(Sens!H2292+Sens!H2294)-Sens!H2293</f>
        <v>66.4405822844005</v>
      </c>
      <c r="I2296" s="6" t="n">
        <f aca="false">Sens!I2290-Sens!I2295*(Sens!I2292+Sens!I2294)-Sens!I2293</f>
        <v>84.774939393828</v>
      </c>
      <c r="J2296" s="6" t="n">
        <f aca="false">Sens!J2290-Sens!J2295*(Sens!J2292+Sens!J2294)-Sens!J2293</f>
        <v>97.6526264137382</v>
      </c>
      <c r="K2296" s="6" t="n">
        <f aca="false">Sens!K2290-Sens!K2295*(Sens!K2292+Sens!K2294)-Sens!K2293</f>
        <v>105.965358412527</v>
      </c>
    </row>
    <row r="2297" customFormat="false" ht="17.15" hidden="false" customHeight="false" outlineLevel="0" collapsed="false">
      <c r="A2297" s="1" t="s">
        <v>986</v>
      </c>
      <c r="B2297" s="0" t="s">
        <v>98</v>
      </c>
      <c r="D2297" s="6" t="n">
        <f aca="false">(1-Sens!D2295)*(Sens!D2292+Sens!D2294)</f>
        <v>2.13421538061103</v>
      </c>
      <c r="E2297" s="6" t="n">
        <f aca="false">(1-Sens!E2295)*(Sens!E2292+Sens!E2294)</f>
        <v>4.87643398011707</v>
      </c>
      <c r="F2297" s="6" t="n">
        <f aca="false">(1-Sens!F2295)*(Sens!F2292+Sens!F2294)</f>
        <v>10.0820371522123</v>
      </c>
      <c r="G2297" s="6" t="n">
        <f aca="false">(1-Sens!G2295)*(Sens!G2292+Sens!G2294)</f>
        <v>17.0102115302456</v>
      </c>
      <c r="H2297" s="6" t="n">
        <f aca="false">(1-Sens!H2295)*(Sens!H2292+Sens!H2294)</f>
        <v>24.2881156574336</v>
      </c>
      <c r="I2297" s="6" t="n">
        <f aca="false">(1-Sens!I2295)*(Sens!I2292+Sens!I2294)</f>
        <v>30.5876661600396</v>
      </c>
      <c r="J2297" s="6" t="n">
        <f aca="false">(1-Sens!J2295)*(Sens!J2292+Sens!J2294)</f>
        <v>34.8755940310657</v>
      </c>
      <c r="K2297" s="6" t="n">
        <f aca="false">(1-Sens!K2295)*(Sens!K2292+Sens!K2294)</f>
        <v>37.3096201630627</v>
      </c>
    </row>
    <row r="2298" customFormat="false" ht="17.15" hidden="false" customHeight="false" outlineLevel="0" collapsed="false">
      <c r="A2298" s="1" t="s">
        <v>987</v>
      </c>
      <c r="B2298" s="0" t="s">
        <v>414</v>
      </c>
      <c r="C2298" s="8" t="n">
        <f aca="false">cxit_open</f>
        <v>27.5918995</v>
      </c>
      <c r="D2298" s="8" t="n">
        <f aca="false">cxit_open</f>
        <v>27.5918995</v>
      </c>
      <c r="E2298" s="8" t="n">
        <f aca="false">cxit_open</f>
        <v>27.5918995</v>
      </c>
      <c r="F2298" s="8" t="n">
        <f aca="false">((a_g3_27-nonnv*a_mai)*tk_cxit_gb300+nonnv*a_mai*nv_hold_mai*tk_cxit_vr200+(1-a_g3_27)*tk_cxit_vr200)</f>
        <v>32.4975576</v>
      </c>
      <c r="G2298" s="8" t="n">
        <f aca="false">((a_g3_28-nonnv*a_mai)*tk_cxit_gb300+nonnv*a_mai*nv_hold_mai*tk_cxit_vr200+(1-a_g3_28)*tk_cxit_vr200)</f>
        <v>34.6372088</v>
      </c>
      <c r="H2298" s="8" t="n">
        <f aca="false">((a_g3_29-nonnv*a_mai)*tk_cxit_gb300+nonnv*a_mai*nv_hold_mai*tk_cxit_vr200+(1-a_g3_29)*tk_cxit_vr200)</f>
        <v>35.7070344</v>
      </c>
      <c r="I2298" s="8" t="n">
        <f aca="false">((a_g3_29-nonnv*a_mai)*tk_cxit_gb300+nonnv*a_mai*nv_hold_mai*tk_cxit_vr200+(1-a_g3_29)*tk_cxit_vr200)</f>
        <v>35.7070344</v>
      </c>
      <c r="J2298" s="8" t="n">
        <f aca="false">((a_g3_29-nonnv*a_mai)*tk_cxit_gb300+nonnv*a_mai*nv_hold_mai*tk_cxit_vr200+(1-a_g3_29)*tk_cxit_vr200)</f>
        <v>35.7070344</v>
      </c>
      <c r="K2298" s="8" t="n">
        <f aca="false">((a_g3_29-nonnv*a_mai)*tk_cxit_gb300+nonnv*a_mai*nv_hold_mai*tk_cxit_vr200+(1-a_g3_29)*tk_cxit_vr200)</f>
        <v>35.7070344</v>
      </c>
      <c r="L2298" s="12" t="s">
        <v>988</v>
      </c>
    </row>
    <row r="2299" customFormat="false" ht="17.15" hidden="false" customHeight="false" outlineLevel="0" collapsed="false">
      <c r="A2299" s="0" t="s">
        <v>989</v>
      </c>
      <c r="B2299" s="0" t="s">
        <v>456</v>
      </c>
      <c r="F2299" s="30" t="n">
        <f aca="false">Sens!C2278*IF(Sens!F2271-Sens!C2271=life_it,1,0)+Sens!D2278*IF(Sens!F2271-Sens!D2271=life_it,1,0)+Sens!E2278*IF(Sens!F2271-Sens!E2271=life_it,1,0)</f>
        <v>0</v>
      </c>
      <c r="G2299" s="30" t="n">
        <f aca="false">Sens!C2278*IF(Sens!G2271-Sens!C2271=life_it,1,0)+Sens!D2278*IF(Sens!G2271-Sens!D2271=life_it,1,0)+Sens!E2278*IF(Sens!G2271-Sens!E2271=life_it,1,0)+Sens!F2278*IF(Sens!G2271-Sens!F2271=life_it,1,0)</f>
        <v>0</v>
      </c>
      <c r="H2299" s="30" t="n">
        <f aca="false">Sens!C2278*IF(Sens!H2271-Sens!C2271=life_it,1,0)+Sens!D2278*IF(Sens!H2271-Sens!D2271=life_it,1,0)+Sens!E2278*IF(Sens!H2271-Sens!E2271=life_it,1,0)+Sens!F2278*IF(Sens!H2271-Sens!F2271=life_it,1,0)+Sens!G2278*IF(Sens!H2271-Sens!G2271=life_it,1,0)</f>
        <v>0</v>
      </c>
      <c r="I2299" s="30" t="n">
        <f aca="false">Sens!C2278*IF(Sens!I2271-Sens!C2271=life_it,1,0)+Sens!D2278*IF(Sens!I2271-Sens!D2271=life_it,1,0)+Sens!E2278*IF(Sens!I2271-Sens!E2271=life_it,1,0)+Sens!F2278*IF(Sens!I2271-Sens!F2271=life_it,1,0)+Sens!G2278*IF(Sens!I2271-Sens!G2271=life_it,1,0)+Sens!H2278*IF(Sens!I2271-Sens!H2271=life_it,1,0)</f>
        <v>980</v>
      </c>
      <c r="J2299" s="30" t="n">
        <f aca="false">Sens!C2278*IF(Sens!J2271-Sens!C2271=life_it,1,0)+Sens!D2278*IF(Sens!J2271-Sens!D2271=life_it,1,0)+Sens!E2278*IF(Sens!J2271-Sens!E2271=life_it,1,0)+Sens!F2278*IF(Sens!J2271-Sens!F2271=life_it,1,0)+Sens!G2278*IF(Sens!J2271-Sens!G2271=life_it,1,0)+Sens!H2278*IF(Sens!J2271-Sens!H2271=life_it,1,0)+Sens!I2278*IF(Sens!J2271-Sens!I2271=life_it,1,0)</f>
        <v>1480</v>
      </c>
      <c r="K2299" s="30" t="n">
        <f aca="false">Sens!C2278*IF(Sens!K2271-Sens!C2271=life_it,1,0)+Sens!D2278*IF(Sens!K2271-Sens!D2271=life_it,1,0)+Sens!E2278*IF(Sens!K2271-Sens!E2271=life_it,1,0)+Sens!F2278*IF(Sens!K2271-Sens!F2271=life_it,1,0)+Sens!G2278*IF(Sens!K2271-Sens!G2271=life_it,1,0)+Sens!H2278*IF(Sens!K2271-Sens!H2271=life_it,1,0)+Sens!I2278*IF(Sens!K2271-Sens!I2271=life_it,1,0)+Sens!J2278*IF(Sens!K2271-Sens!J2271=life_it,1,0)</f>
        <v>2940</v>
      </c>
      <c r="L2299" s="1" t="s">
        <v>990</v>
      </c>
    </row>
    <row r="2300" customFormat="false" ht="17.15" hidden="false" customHeight="false" outlineLevel="0" collapsed="false">
      <c r="A2300" s="0" t="s">
        <v>991</v>
      </c>
      <c r="B2300" s="0" t="s">
        <v>98</v>
      </c>
      <c r="C2300" s="6" t="n">
        <f aca="false">Sens!C2278*Sens!C2298/1000</f>
        <v>27.04006151</v>
      </c>
      <c r="D2300" s="6" t="n">
        <f aca="false">Sens!D2278*Sens!D2298/1000</f>
        <v>40.83601126</v>
      </c>
      <c r="E2300" s="6" t="n">
        <f aca="false">Sens!E2278*Sens!E2298/1000</f>
        <v>81.12018453</v>
      </c>
      <c r="F2300" s="6" t="n">
        <f aca="false">(Sens!F2278+Sens!F2299)*Sens!F2298/1000</f>
        <v>163.822469190144</v>
      </c>
      <c r="G2300" s="6" t="n">
        <f aca="false">(Sens!G2278+Sens!G2299)*Sens!G2298/1000</f>
        <v>188.879131118458</v>
      </c>
      <c r="H2300" s="6" t="n">
        <f aca="false">(Sens!H2278+Sens!H2299)*Sens!H2298/1000</f>
        <v>194.712965217015</v>
      </c>
      <c r="I2300" s="6" t="n">
        <f aca="false">(Sens!I2278+Sens!I2299)*Sens!I2298/1000</f>
        <v>172.96388338252</v>
      </c>
      <c r="J2300" s="6" t="n">
        <f aca="false">(Sens!J2278+Sens!J2299)*Sens!J2298/1000</f>
        <v>136.834844829436</v>
      </c>
      <c r="K2300" s="6" t="n">
        <f aca="false">(Sens!K2278+Sens!K2299)*Sens!K2298/1000</f>
        <v>136.12450242117</v>
      </c>
    </row>
    <row r="2301" customFormat="false" ht="17.15" hidden="false" customHeight="false" outlineLevel="0" collapsed="false">
      <c r="A2301" s="0" t="s">
        <v>992</v>
      </c>
      <c r="B2301" s="0" t="s">
        <v>98</v>
      </c>
      <c r="C2301" s="6" t="n">
        <f aca="false">Sens!C2278*self_build*tk_cxfac/1000</f>
        <v>7.44996</v>
      </c>
      <c r="D2301" s="6" t="n">
        <f aca="false">Sens!D2278*self_build*tk_cxfac/1000</f>
        <v>11.25096</v>
      </c>
      <c r="E2301" s="6" t="n">
        <f aca="false">Sens!E2278*self_build*tk_cxfac/1000</f>
        <v>22.34988</v>
      </c>
      <c r="F2301" s="6" t="n">
        <f aca="false">Sens!F2278*self_build*tk_cxfac/1000</f>
        <v>38.3222156604</v>
      </c>
      <c r="G2301" s="6" t="n">
        <f aca="false">Sens!G2278*self_build*tk_cxfac/1000</f>
        <v>41.4542396604</v>
      </c>
      <c r="H2301" s="6" t="n">
        <f aca="false">Sens!H2278*self_build*tk_cxfac/1000</f>
        <v>41.4542396604</v>
      </c>
      <c r="I2301" s="6" t="n">
        <f aca="false">Sens!I2278*self_build*tk_cxfac/1000</f>
        <v>29.373916963412</v>
      </c>
      <c r="J2301" s="6" t="n">
        <f aca="false">Sens!J2278*self_build*tk_cxfac/1000</f>
        <v>17.8810726056923</v>
      </c>
      <c r="K2301" s="6" t="n">
        <f aca="false">Sens!K2278*self_build*tk_cxfac/1000</f>
        <v>6.63092125650911</v>
      </c>
    </row>
    <row r="2302" customFormat="false" ht="17.15" hidden="false" customHeight="false" outlineLevel="0" collapsed="false">
      <c r="A2302" s="0" t="s">
        <v>993</v>
      </c>
      <c r="B2302" s="0" t="s">
        <v>98</v>
      </c>
      <c r="F2302" s="15" t="n">
        <f aca="false">capex_floor27-Sens!F2300-Sens!F2301-Sens!F2398</f>
        <v>-33.7707439238455</v>
      </c>
      <c r="L2302" s="12" t="s">
        <v>994</v>
      </c>
    </row>
    <row r="2303" customFormat="false" ht="17.15" hidden="false" customHeight="false" outlineLevel="0" collapsed="false">
      <c r="A2303" s="0" t="s">
        <v>995</v>
      </c>
      <c r="B2303" s="0" t="s">
        <v>98</v>
      </c>
      <c r="F2303" s="6" t="n">
        <f aca="false">MAX(0,Sens!F2302)</f>
        <v>0</v>
      </c>
    </row>
    <row r="2304" customFormat="false" ht="17.15" hidden="false" customHeight="false" outlineLevel="0" collapsed="false">
      <c r="A2304" s="0" t="s">
        <v>996</v>
      </c>
      <c r="B2304" s="0" t="s">
        <v>98</v>
      </c>
      <c r="C2304" s="6" t="n">
        <f aca="false">Sens!C2300</f>
        <v>27.04006151</v>
      </c>
      <c r="D2304" s="6" t="n">
        <f aca="false">Sens!D2300</f>
        <v>40.83601126</v>
      </c>
      <c r="E2304" s="6" t="n">
        <f aca="false">Sens!E2300</f>
        <v>81.12018453</v>
      </c>
      <c r="F2304" s="6" t="n">
        <f aca="false">Sens!F2300</f>
        <v>163.822469190144</v>
      </c>
      <c r="G2304" s="6" t="n">
        <f aca="false">Sens!G2300</f>
        <v>188.879131118458</v>
      </c>
      <c r="H2304" s="6" t="n">
        <f aca="false">Sens!H2300</f>
        <v>194.712965217015</v>
      </c>
      <c r="I2304" s="6" t="n">
        <f aca="false">Sens!I2300</f>
        <v>172.96388338252</v>
      </c>
      <c r="J2304" s="6" t="n">
        <f aca="false">Sens!J2300</f>
        <v>136.834844829436</v>
      </c>
      <c r="K2304" s="6" t="n">
        <f aca="false">Sens!K2300</f>
        <v>136.12450242117</v>
      </c>
    </row>
    <row r="2305" customFormat="false" ht="17.15" hidden="false" customHeight="false" outlineLevel="0" collapsed="false">
      <c r="A2305" s="0" t="s">
        <v>997</v>
      </c>
      <c r="B2305" s="0" t="s">
        <v>98</v>
      </c>
      <c r="C2305" s="6" t="n">
        <f aca="false">Sens!C2304+Sens!C2301</f>
        <v>34.49002151</v>
      </c>
      <c r="D2305" s="6" t="n">
        <f aca="false">Sens!D2304+Sens!D2301</f>
        <v>52.08697126</v>
      </c>
      <c r="E2305" s="6" t="n">
        <f aca="false">Sens!E2304+Sens!E2301</f>
        <v>103.47006453</v>
      </c>
      <c r="F2305" s="6" t="n">
        <f aca="false">Sens!F2304+Sens!F2301</f>
        <v>202.144684850544</v>
      </c>
      <c r="G2305" s="6" t="n">
        <f aca="false">Sens!G2304+Sens!G2301</f>
        <v>230.333370778858</v>
      </c>
      <c r="H2305" s="6" t="n">
        <f aca="false">Sens!H2304+Sens!H2301</f>
        <v>236.167204877415</v>
      </c>
      <c r="I2305" s="6" t="n">
        <f aca="false">Sens!I2304+Sens!I2301</f>
        <v>202.337800345932</v>
      </c>
      <c r="J2305" s="6" t="n">
        <f aca="false">Sens!J2304+Sens!J2301</f>
        <v>154.715917435129</v>
      </c>
      <c r="K2305" s="6" t="n">
        <f aca="false">Sens!K2304+Sens!K2301</f>
        <v>142.755423677679</v>
      </c>
      <c r="L2305" s="12" t="s">
        <v>998</v>
      </c>
    </row>
    <row r="2306" customFormat="false" ht="17.15" hidden="false" customHeight="false" outlineLevel="0" collapsed="false">
      <c r="A2306" s="0" t="s">
        <v>999</v>
      </c>
      <c r="B2306" s="0" t="s">
        <v>98</v>
      </c>
      <c r="E2306" s="6" t="n">
        <f aca="false">(Sens!C2304*IF(2&lt;life_it,1,IF(2=life_it,0.5,0))+Sens!D2304*IF(1&lt;life_it,1,IF(1=life_it,0.5,0))+Sens!E2304*0.5)/life_it</f>
        <v>18.0726941725</v>
      </c>
      <c r="F2306" s="6" t="n">
        <f aca="false">(Sens!C2304*IF(3&lt;life_it,1,IF(3=life_it,0.5,0))+Sens!D2304*IF(2&lt;life_it,1,IF(2=life_it,0.5,0))+Sens!E2304*IF(1&lt;life_it,1,IF(1=life_it,0.5,0))+Sens!F2304*0.5)/life_it</f>
        <v>38.484581982512</v>
      </c>
      <c r="G2306" s="6" t="n">
        <f aca="false">(Sens!C2304*IF(4&lt;life_it,1,IF(4=life_it,0.5,0))+Sens!D2304*IF(3&lt;life_it,1,IF(3=life_it,0.5,0))+Sens!E2304*IF(2&lt;life_it,1,IF(2=life_it,0.5,0))+Sens!F2304*IF(1&lt;life_it,1,IF(1=life_it,0.5,0))+Sens!G2304*0.5)/life_it</f>
        <v>67.8763820082287</v>
      </c>
      <c r="H2306" s="6" t="n">
        <f aca="false">(Sens!C2304*IF(5&lt;life_it,1,IF(5=life_it,0.5,0))+Sens!D2304*IF(4&lt;life_it,1,IF(4=life_it,0.5,0))+Sens!E2304*IF(3&lt;life_it,1,IF(3=life_it,0.5,0))+Sens!F2304*IF(2&lt;life_it,1,IF(2=life_it,0.5,0))+Sens!G2304*IF(1&lt;life_it,1,IF(1=life_it,0.5,0))+Sens!H2304*0.5)/life_it</f>
        <v>99.8423900361848</v>
      </c>
      <c r="I2306" s="6" t="n">
        <f aca="false">(Sens!C2304*IF(6&lt;life_it,1,IF(6=life_it,0.5,0))+Sens!D2304*IF(5&lt;life_it,1,IF(5=life_it,0.5,0))+Sens!E2304*IF(4&lt;life_it,1,IF(4=life_it,0.5,0))+Sens!F2304*IF(3&lt;life_it,1,IF(3=life_it,0.5,0))+Sens!G2304*IF(2&lt;life_it,1,IF(2=life_it,0.5,0))+Sens!H2304*IF(1&lt;life_it,1,IF(1=life_it,0.5,0))+Sens!I2304*0.5)/life_it</f>
        <v>128.228788960313</v>
      </c>
      <c r="J2306" s="6" t="n">
        <f aca="false">(Sens!C2304*IF(7&lt;life_it,1,IF(7=life_it,0.5,0))+Sens!D2304*IF(6&lt;life_it,1,IF(6=life_it,0.5,0))+Sens!E2304*IF(5&lt;life_it,1,IF(5=life_it,0.5,0))+Sens!F2304*IF(4&lt;life_it,1,IF(4=life_it,0.5,0))+Sens!G2304*IF(3&lt;life_it,1,IF(3=life_it,0.5,0))+Sens!H2304*IF(2&lt;life_it,1,IF(2=life_it,0.5,0))+Sens!I2304*IF(1&lt;life_it,1,IF(1=life_it,0.5,0))+Sens!J2304*0.5)/life_it</f>
        <v>148.389010247142</v>
      </c>
      <c r="K2306" s="6" t="n">
        <f aca="false">(Sens!C2304*IF(8&lt;life_it,1,IF(8=life_it,0.5,0))+Sens!D2304*IF(7&lt;life_it,1,IF(7=life_it,0.5,0))+Sens!E2304*IF(6&lt;life_it,1,IF(6=life_it,0.5,0))+Sens!F2304*IF(5&lt;life_it,1,IF(5=life_it,0.5,0))+Sens!G2304*IF(4&lt;life_it,1,IF(4=life_it,0.5,0))+Sens!H2304*IF(3&lt;life_it,1,IF(3=life_it,0.5,0))+Sens!I2304*IF(2&lt;life_it,1,IF(2=life_it,0.5,0))+Sens!J2304*IF(1&lt;life_it,1,IF(1=life_it,0.5,0))+Sens!K2304*0.5)/life_it</f>
        <v>160.972606202193</v>
      </c>
    </row>
    <row r="2307" customFormat="false" ht="17.15" hidden="false" customHeight="false" outlineLevel="0" collapsed="false">
      <c r="A2307" s="0" t="s">
        <v>1000</v>
      </c>
      <c r="B2307" s="0" t="s">
        <v>98</v>
      </c>
      <c r="E2307" s="6" t="n">
        <f aca="false">(Sens!C2301*IF(2&lt;life_fac,1,IF(2=life_fac,0.5,0))+Sens!D2301*IF(1&lt;life_fac,1,IF(1=life_fac,0.5,0))+Sens!E2301*0.5)/life_fac</f>
        <v>1.493793</v>
      </c>
      <c r="F2307" s="6" t="n">
        <f aca="false">(Sens!C2301*IF(3&lt;life_fac,1,IF(3=life_fac,0.5,0))+Sens!D2301*IF(2&lt;life_fac,1,IF(2=life_fac,0.5,0))+Sens!E2301*IF(1&lt;life_fac,1,IF(1=life_fac,0.5,0))+Sens!F2301*0.5)/life_fac</f>
        <v>3.01059539151</v>
      </c>
      <c r="G2307" s="6" t="n">
        <f aca="false">(Sens!C2301*IF(4&lt;life_fac,1,IF(4=life_fac,0.5,0))+Sens!D2301*IF(3&lt;life_fac,1,IF(3=life_fac,0.5,0))+Sens!E2301*IF(2&lt;life_fac,1,IF(2=life_fac,0.5,0))+Sens!F2301*IF(1&lt;life_fac,1,IF(1=life_fac,0.5,0))+Sens!G2301*0.5)/life_fac</f>
        <v>5.00500677453</v>
      </c>
      <c r="H2307" s="6" t="n">
        <f aca="false">(Sens!C2301*IF(5&lt;life_fac,1,IF(5=life_fac,0.5,0))+Sens!D2301*IF(4&lt;life_fac,1,IF(4=life_fac,0.5,0))+Sens!E2301*IF(3&lt;life_fac,1,IF(3=life_fac,0.5,0))+Sens!F2301*IF(2&lt;life_fac,1,IF(2=life_fac,0.5,0))+Sens!G2301*IF(1&lt;life_fac,1,IF(1=life_fac,0.5,0))+Sens!H2301*0.5)/life_fac</f>
        <v>7.07771875755</v>
      </c>
      <c r="I2307" s="6" t="n">
        <f aca="false">(Sens!C2301*IF(6&lt;life_fac,1,IF(6=life_fac,0.5,0))+Sens!D2301*IF(5&lt;life_fac,1,IF(5=life_fac,0.5,0))+Sens!E2301*IF(4&lt;life_fac,1,IF(4=life_fac,0.5,0))+Sens!F2301*IF(3&lt;life_fac,1,IF(3=life_fac,0.5,0))+Sens!G2301*IF(2&lt;life_fac,1,IF(2=life_fac,0.5,0))+Sens!H2301*IF(1&lt;life_fac,1,IF(1=life_fac,0.5,0))+Sens!I2301*0.5)/life_fac</f>
        <v>8.8484226731453</v>
      </c>
      <c r="J2307" s="6" t="n">
        <f aca="false">(Sens!C2301*IF(7&lt;life_fac,1,IF(7=life_fac,0.5,0))+Sens!D2301*IF(6&lt;life_fac,1,IF(6=life_fac,0.5,0))+Sens!E2301*IF(5&lt;life_fac,1,IF(5=life_fac,0.5,0))+Sens!F2301*IF(4&lt;life_fac,1,IF(4=life_fac,0.5,0))+Sens!G2301*IF(3&lt;life_fac,1,IF(3=life_fac,0.5,0))+Sens!H2301*IF(2&lt;life_fac,1,IF(2=life_fac,0.5,0))+Sens!I2301*IF(1&lt;life_fac,1,IF(1=life_fac,0.5,0))+Sens!J2301*0.5)/life_fac</f>
        <v>10.0297974123729</v>
      </c>
      <c r="K2307" s="6" t="n">
        <f aca="false">(Sens!C2301*IF(8&lt;life_fac,1,IF(8=life_fac,0.5,0))+Sens!D2301*IF(7&lt;life_fac,1,IF(7=life_fac,0.5,0))+Sens!E2301*IF(6&lt;life_fac,1,IF(6=life_fac,0.5,0))+Sens!F2301*IF(5&lt;life_fac,1,IF(5=life_fac,0.5,0))+Sens!G2301*IF(4&lt;life_fac,1,IF(4=life_fac,0.5,0))+Sens!H2301*IF(3&lt;life_fac,1,IF(3=life_fac,0.5,0))+Sens!I2301*IF(2&lt;life_fac,1,IF(2=life_fac,0.5,0))+Sens!J2301*IF(1&lt;life_fac,1,IF(1=life_fac,0.5,0))+Sens!K2301*0.5)/life_fac</f>
        <v>10.6425972589279</v>
      </c>
    </row>
    <row r="2308" customFormat="false" ht="17.15" hidden="false" customHeight="false" outlineLevel="0" collapsed="false">
      <c r="A2308" s="0" t="s">
        <v>1001</v>
      </c>
      <c r="B2308" s="0" t="s">
        <v>98</v>
      </c>
      <c r="E2308" s="6" t="n">
        <f aca="false">Sens!E2306+Sens!E2307</f>
        <v>19.5664871725</v>
      </c>
      <c r="F2308" s="6" t="n">
        <f aca="false">Sens!F2306+Sens!F2307</f>
        <v>41.495177374022</v>
      </c>
      <c r="G2308" s="6" t="n">
        <f aca="false">Sens!G2306+Sens!G2307</f>
        <v>72.8813887827587</v>
      </c>
      <c r="H2308" s="6" t="n">
        <f aca="false">Sens!H2306+Sens!H2307</f>
        <v>106.920108793735</v>
      </c>
      <c r="I2308" s="6" t="n">
        <f aca="false">Sens!I2306+Sens!I2307</f>
        <v>137.077211633458</v>
      </c>
      <c r="J2308" s="6" t="n">
        <f aca="false">Sens!J2306+Sens!J2307</f>
        <v>158.418807659515</v>
      </c>
      <c r="K2308" s="6" t="n">
        <f aca="false">Sens!K2306+Sens!K2307</f>
        <v>171.615203461121</v>
      </c>
    </row>
    <row r="2309" customFormat="false" ht="17.15" hidden="false" customHeight="false" outlineLevel="0" collapsed="false">
      <c r="A2309" s="0" t="s">
        <v>1002</v>
      </c>
      <c r="B2309" s="0" t="s">
        <v>98</v>
      </c>
      <c r="E2309" s="6" t="n">
        <f aca="false">Sens!E2296-Sens!E2295*Sens!E2308</f>
        <v>8.92707889977379</v>
      </c>
      <c r="F2309" s="6" t="n">
        <f aca="false">Sens!F2296-Sens!F2295*Sens!F2308</f>
        <v>14.3471335960079</v>
      </c>
      <c r="G2309" s="6" t="n">
        <f aca="false">Sens!G2296-Sens!G2295*Sens!G2308</f>
        <v>16.5202976798683</v>
      </c>
      <c r="H2309" s="6" t="n">
        <f aca="false">Sens!H2296-Sens!H2295*Sens!H2308</f>
        <v>12.9805278875331</v>
      </c>
      <c r="I2309" s="6" t="n">
        <f aca="false">Sens!I2296-Sens!I2295*Sens!I2308</f>
        <v>16.2363335770989</v>
      </c>
      <c r="J2309" s="6" t="n">
        <f aca="false">Sens!J2296-Sens!J2295*Sens!J2308</f>
        <v>18.4432225839805</v>
      </c>
      <c r="K2309" s="6" t="n">
        <f aca="false">Sens!K2296-Sens!K2295*Sens!K2308</f>
        <v>20.1577566819661</v>
      </c>
    </row>
    <row r="2310" customFormat="false" ht="17.15" hidden="false" customHeight="false" outlineLevel="0" collapsed="false">
      <c r="A2310" s="3" t="s">
        <v>1536</v>
      </c>
    </row>
    <row r="2311" customFormat="false" ht="15" hidden="false" customHeight="false" outlineLevel="0" collapsed="false">
      <c r="A2311" s="4" t="s">
        <v>43</v>
      </c>
      <c r="B2311" s="4" t="s">
        <v>65</v>
      </c>
      <c r="C2311" s="23" t="s">
        <v>938</v>
      </c>
      <c r="D2311" s="23" t="s">
        <v>939</v>
      </c>
      <c r="E2311" s="23" t="s">
        <v>940</v>
      </c>
      <c r="F2311" s="23" t="s">
        <v>941</v>
      </c>
      <c r="G2311" s="23" t="s">
        <v>942</v>
      </c>
      <c r="H2311" s="23" t="s">
        <v>943</v>
      </c>
      <c r="I2311" s="23" t="s">
        <v>944</v>
      </c>
      <c r="J2311" s="23" t="s">
        <v>945</v>
      </c>
      <c r="K2311" s="23" t="s">
        <v>946</v>
      </c>
      <c r="L2311" s="4" t="s">
        <v>47</v>
      </c>
    </row>
    <row r="2312" customFormat="false" ht="17.15" hidden="false" customHeight="false" outlineLevel="0" collapsed="false">
      <c r="A2312" s="0" t="s">
        <v>1021</v>
      </c>
      <c r="B2312" s="0" t="s">
        <v>98</v>
      </c>
      <c r="D2312" s="6" t="n">
        <f aca="false">Sens!D2290</f>
        <v>12.9359794422418</v>
      </c>
      <c r="E2312" s="6" t="n">
        <f aca="false">Sens!E2290</f>
        <v>27.8095064661409</v>
      </c>
      <c r="F2312" s="6" t="n">
        <f aca="false">Sens!F2290</f>
        <v>50.9819294352312</v>
      </c>
      <c r="G2312" s="6" t="n">
        <f aca="false">Sens!G2290</f>
        <v>76.6920436014933</v>
      </c>
      <c r="H2312" s="6" t="n">
        <f aca="false">Sens!H2290</f>
        <v>97.4495379418341</v>
      </c>
      <c r="I2312" s="6" t="n">
        <f aca="false">Sens!I2290</f>
        <v>122.083445553868</v>
      </c>
      <c r="J2312" s="6" t="n">
        <f aca="false">Sens!J2290</f>
        <v>139.249060444804</v>
      </c>
      <c r="K2312" s="6" t="n">
        <f aca="false">Sens!K2290</f>
        <v>149.995818575589</v>
      </c>
    </row>
    <row r="2313" customFormat="false" ht="17.15" hidden="false" customHeight="false" outlineLevel="0" collapsed="false">
      <c r="A2313" s="0" t="s">
        <v>1022</v>
      </c>
      <c r="B2313" s="0" t="s">
        <v>98</v>
      </c>
      <c r="D2313" s="6" t="n">
        <f aca="false">Q!L6-Sens!D2312</f>
        <v>59.6740205577583</v>
      </c>
      <c r="E2313" s="6" t="n">
        <f aca="false">Q!M6-Sens!E2312</f>
        <v>74.1284935338591</v>
      </c>
      <c r="F2313" s="6" t="n">
        <f aca="false">Q!$I$6+(Sens!F2312+Sens!E2313*(1+Sens!F2314))*(1-Q!$E$6/Q!M6)-Sens!F2312</f>
        <v>92.2699541184664</v>
      </c>
      <c r="G2313" s="6" t="n">
        <f aca="false">Sens!F2313*(1+Sens!G2314)</f>
        <v>109.630477277949</v>
      </c>
      <c r="H2313" s="6" t="n">
        <f aca="false">Sens!G2313*(1+Sens!H2314)</f>
        <v>127.293256321956</v>
      </c>
      <c r="I2313" s="6" t="n">
        <f aca="false">Sens!H2313*(1+Sens!I2314)</f>
        <v>144.360052269491</v>
      </c>
      <c r="J2313" s="6" t="n">
        <f aca="false">Sens!I2313*(1+Sens!J2314)</f>
        <v>159.811964490216</v>
      </c>
      <c r="K2313" s="6" t="n">
        <f aca="false">Sens!J2313*(1+Sens!K2314)</f>
        <v>172.596921649434</v>
      </c>
      <c r="L2313" s="12" t="s">
        <v>1023</v>
      </c>
    </row>
    <row r="2314" customFormat="false" ht="15" hidden="false" customHeight="false" outlineLevel="0" collapsed="false">
      <c r="A2314" s="1" t="s">
        <v>1024</v>
      </c>
      <c r="B2314" s="0" t="s">
        <v>168</v>
      </c>
      <c r="E2314" s="7" t="n">
        <f aca="false">Sens!E2313/Sens!D2313-1</f>
        <v>0.242223883039864</v>
      </c>
      <c r="F2314" s="7" t="n">
        <f aca="false">Sens!$E$2314+(glt_azo-Sens!$E$2314)*MIN(1,(Sens!F2271-base_fy)/n_conv)</f>
        <v>0.215186569199887</v>
      </c>
      <c r="G2314" s="7" t="n">
        <f aca="false">Sens!$E$2314+(glt_azo-Sens!$E$2314)*MIN(1,(Sens!G2271-base_fy)/n_conv)</f>
        <v>0.18814925535991</v>
      </c>
      <c r="H2314" s="7" t="n">
        <f aca="false">Sens!$E$2314+(glt_azo-Sens!$E$2314)*MIN(1,(Sens!H2271-base_fy)/n_conv)</f>
        <v>0.161111941519932</v>
      </c>
      <c r="I2314" s="7" t="n">
        <f aca="false">Sens!$E$2314+(glt_azo-Sens!$E$2314)*MIN(1,(Sens!I2271-base_fy)/n_conv)</f>
        <v>0.134074627679955</v>
      </c>
      <c r="J2314" s="7" t="n">
        <f aca="false">Sens!$E$2314+(glt_azo-Sens!$E$2314)*MIN(1,(Sens!J2271-base_fy)/n_conv)</f>
        <v>0.107037313839977</v>
      </c>
      <c r="K2314" s="7" t="n">
        <f aca="false">Sens!$E$2314+(glt_azo-Sens!$E$2314)*MIN(1,(Sens!K2271-base_fy)/n_conv)</f>
        <v>0.08</v>
      </c>
    </row>
    <row r="2315" customFormat="false" ht="15" hidden="false" customHeight="false" outlineLevel="0" collapsed="false">
      <c r="A2315" s="0" t="s">
        <v>1025</v>
      </c>
      <c r="B2315" s="0" t="s">
        <v>98</v>
      </c>
      <c r="D2315" s="6" t="n">
        <f aca="false">Sens!D2312+Sens!D2313</f>
        <v>72.61</v>
      </c>
      <c r="E2315" s="6" t="n">
        <f aca="false">Sens!E2312+Sens!E2313</f>
        <v>101.938</v>
      </c>
      <c r="F2315" s="6" t="n">
        <f aca="false">Sens!F2312+Sens!F2313</f>
        <v>143.251883553698</v>
      </c>
      <c r="G2315" s="6" t="n">
        <f aca="false">Sens!G2312+Sens!G2313</f>
        <v>186.322520879442</v>
      </c>
      <c r="H2315" s="6" t="n">
        <f aca="false">Sens!H2312+Sens!H2313</f>
        <v>224.74279426379</v>
      </c>
      <c r="I2315" s="6" t="n">
        <f aca="false">Sens!I2312+Sens!I2313</f>
        <v>266.443497823359</v>
      </c>
      <c r="J2315" s="6" t="n">
        <f aca="false">Sens!J2312+Sens!J2313</f>
        <v>299.06102493502</v>
      </c>
      <c r="K2315" s="6" t="n">
        <f aca="false">Sens!K2312+Sens!K2313</f>
        <v>322.592740225023</v>
      </c>
    </row>
    <row r="2316" customFormat="false" ht="17.15" hidden="false" customHeight="false" outlineLevel="0" collapsed="false">
      <c r="A2316" s="0" t="s">
        <v>1026</v>
      </c>
      <c r="B2316" s="1" t="s">
        <v>610</v>
      </c>
      <c r="C2316" s="30" t="n">
        <f aca="false">cop_s24</f>
        <v>1</v>
      </c>
      <c r="D2316" s="30" t="n">
        <f aca="false">cop_s25</f>
        <v>5</v>
      </c>
      <c r="E2316" s="30" t="n">
        <f aca="false">cop_s26</f>
        <v>30</v>
      </c>
      <c r="F2316" s="30" t="n">
        <f aca="false">Sens!E2316+cop_add_C</f>
        <v>40</v>
      </c>
      <c r="G2316" s="30" t="n">
        <f aca="false">Sens!F2316+cop_add_C</f>
        <v>50</v>
      </c>
      <c r="H2316" s="30" t="n">
        <f aca="false">Sens!G2316+cop_add_C</f>
        <v>60</v>
      </c>
      <c r="I2316" s="30" t="n">
        <f aca="false">Sens!H2316+cop_add_C*cop_tail</f>
        <v>65</v>
      </c>
      <c r="J2316" s="30" t="n">
        <f aca="false">Sens!I2316+cop_add_C*cop_tail</f>
        <v>70</v>
      </c>
      <c r="K2316" s="30" t="n">
        <f aca="false">Sens!J2316+cop_add_C*cop_tail</f>
        <v>75</v>
      </c>
      <c r="L2316" s="12" t="s">
        <v>1027</v>
      </c>
    </row>
    <row r="2317" customFormat="false" ht="17.15" hidden="false" customHeight="false" outlineLevel="0" collapsed="false">
      <c r="A2317" s="0" t="s">
        <v>1028</v>
      </c>
      <c r="B2317" s="0" t="s">
        <v>98</v>
      </c>
      <c r="D2317" s="6" t="n">
        <f aca="false">(Sens!C2316+Sens!D2316)/2*cop_px*12/1000</f>
        <v>0.9</v>
      </c>
      <c r="E2317" s="6" t="n">
        <f aca="false">(Sens!D2316+Sens!E2316)/2*cop_px*12/1000</f>
        <v>5.25</v>
      </c>
      <c r="F2317" s="6" t="n">
        <f aca="false">(Sens!E2316+Sens!F2316)/2*cop_px*12/1000</f>
        <v>10.5</v>
      </c>
      <c r="G2317" s="6" t="n">
        <f aca="false">(Sens!F2316+Sens!G2316)/2*cop_px*12/1000</f>
        <v>13.5</v>
      </c>
      <c r="H2317" s="6" t="n">
        <f aca="false">(Sens!G2316+Sens!H2316)/2*cop_px*12/1000</f>
        <v>16.5</v>
      </c>
      <c r="I2317" s="6" t="n">
        <f aca="false">(Sens!H2316+Sens!I2316)/2*cop_px*12/1000</f>
        <v>18.75</v>
      </c>
      <c r="J2317" s="6" t="n">
        <f aca="false">(Sens!I2316+Sens!J2316)/2*cop_px*12/1000</f>
        <v>20.25</v>
      </c>
      <c r="K2317" s="6" t="n">
        <f aca="false">(Sens!J2316+Sens!K2316)/2*cop_px*12/1000</f>
        <v>21.75</v>
      </c>
      <c r="L2317" s="1" t="s">
        <v>1029</v>
      </c>
    </row>
    <row r="2318" customFormat="false" ht="17.15" hidden="false" customHeight="false" outlineLevel="0" collapsed="false">
      <c r="A2318" s="0" t="s">
        <v>1030</v>
      </c>
      <c r="B2318" s="0" t="s">
        <v>98</v>
      </c>
      <c r="D2318" s="6" t="n">
        <f aca="false">Q!L7-Sens!D2317</f>
        <v>83.705</v>
      </c>
      <c r="E2318" s="6" t="n">
        <f aca="false">Q!M7-Sens!E2317</f>
        <v>95.049</v>
      </c>
      <c r="F2318" s="6" t="n">
        <f aca="false">Q!$I$7+(Sens!E2318*(1+Sens!F2319)+Sens!F2317)*(1-Q!$E$7/Q!M7)-Sens!F2317</f>
        <v>106.938354189776</v>
      </c>
      <c r="G2318" s="6" t="n">
        <f aca="false">Sens!F2318*(1+Sens!G2319)</f>
        <v>119.095360443801</v>
      </c>
      <c r="H2318" s="6" t="n">
        <f aca="false">Sens!G2318*(1+Sens!H2319)</f>
        <v>131.333811964563</v>
      </c>
      <c r="I2318" s="6" t="n">
        <f aca="false">Sens!H2318*(1+Sens!I2319)</f>
        <v>143.395665319381</v>
      </c>
      <c r="J2318" s="6" t="n">
        <f aca="false">Sens!I2318*(1+Sens!J2319)</f>
        <v>154.999327755573</v>
      </c>
      <c r="K2318" s="6" t="n">
        <f aca="false">Sens!J2318*(1+Sens!K2319)</f>
        <v>165.849280698463</v>
      </c>
      <c r="L2318" s="12" t="s">
        <v>1031</v>
      </c>
    </row>
    <row r="2319" customFormat="false" ht="15" hidden="false" customHeight="false" outlineLevel="0" collapsed="false">
      <c r="A2319" s="1" t="s">
        <v>1024</v>
      </c>
      <c r="B2319" s="0" t="s">
        <v>168</v>
      </c>
      <c r="E2319" s="7" t="n">
        <f aca="false">Sens!E2318/Sens!D2318-1</f>
        <v>0.135523564900544</v>
      </c>
      <c r="F2319" s="7" t="n">
        <f aca="false">Sens!$E$2319+(glt_m365b-Sens!$E$2319)*MIN(1,(Sens!F2271-base_fy)/n_conv)</f>
        <v>0.124602970750453</v>
      </c>
      <c r="G2319" s="7" t="n">
        <f aca="false">Sens!$E$2319+(glt_m365b-Sens!$E$2319)*MIN(1,(Sens!G2271-base_fy)/n_conv)</f>
        <v>0.113682376600363</v>
      </c>
      <c r="H2319" s="7" t="n">
        <f aca="false">Sens!$E$2319+(glt_m365b-Sens!$E$2319)*MIN(1,(Sens!H2271-base_fy)/n_conv)</f>
        <v>0.102761782450272</v>
      </c>
      <c r="I2319" s="7" t="n">
        <f aca="false">Sens!$E$2319+(glt_m365b-Sens!$E$2319)*MIN(1,(Sens!I2271-base_fy)/n_conv)</f>
        <v>0.0918411883001813</v>
      </c>
      <c r="J2319" s="7" t="n">
        <f aca="false">Sens!$E$2319+(glt_m365b-Sens!$E$2319)*MIN(1,(Sens!J2271-base_fy)/n_conv)</f>
        <v>0.0809205941500906</v>
      </c>
      <c r="K2319" s="7" t="n">
        <f aca="false">Sens!$E$2319+(glt_m365b-Sens!$E$2319)*MIN(1,(Sens!K2271-base_fy)/n_conv)</f>
        <v>0.07</v>
      </c>
    </row>
    <row r="2320" customFormat="false" ht="15" hidden="false" customHeight="false" outlineLevel="0" collapsed="false">
      <c r="A2320" s="0" t="s">
        <v>1032</v>
      </c>
      <c r="B2320" s="0" t="s">
        <v>98</v>
      </c>
      <c r="D2320" s="6" t="n">
        <f aca="false">Sens!D2318+Sens!D2317</f>
        <v>84.605</v>
      </c>
      <c r="E2320" s="6" t="n">
        <f aca="false">Sens!E2318+Sens!E2317</f>
        <v>100.299</v>
      </c>
      <c r="F2320" s="6" t="n">
        <f aca="false">Sens!F2318+Sens!F2317</f>
        <v>117.438354189776</v>
      </c>
      <c r="G2320" s="6" t="n">
        <f aca="false">Sens!G2318+Sens!G2317</f>
        <v>132.595360443801</v>
      </c>
      <c r="H2320" s="6" t="n">
        <f aca="false">Sens!H2318+Sens!H2317</f>
        <v>147.833811964563</v>
      </c>
      <c r="I2320" s="6" t="n">
        <f aca="false">Sens!I2318+Sens!I2317</f>
        <v>162.145665319381</v>
      </c>
      <c r="J2320" s="6" t="n">
        <f aca="false">Sens!J2318+Sens!J2317</f>
        <v>175.249327755573</v>
      </c>
      <c r="K2320" s="6" t="n">
        <f aca="false">Sens!K2318+Sens!K2317</f>
        <v>187.599280698463</v>
      </c>
    </row>
    <row r="2321" customFormat="false" ht="17.15" hidden="false" customHeight="false" outlineLevel="0" collapsed="false">
      <c r="A2321" s="0" t="s">
        <v>1033</v>
      </c>
      <c r="B2321" s="0" t="s">
        <v>98</v>
      </c>
      <c r="D2321" s="6" t="n">
        <f aca="false">Q!L8</f>
        <v>35.391</v>
      </c>
      <c r="E2321" s="6" t="n">
        <f aca="false">Q!M8</f>
        <v>37.285</v>
      </c>
      <c r="F2321" s="6" t="n">
        <f aca="false">Q!$I$8+(Q!M8-Q!$E$8)*(1+Sens!F2322)</f>
        <v>38.3851437782675</v>
      </c>
      <c r="G2321" s="6" t="n">
        <f aca="false">Sens!F2321*(1+Sens!G2322)</f>
        <v>40.0105353288615</v>
      </c>
      <c r="H2321" s="6" t="n">
        <f aca="false">Sens!G2321*(1+Sens!H2322)</f>
        <v>41.4812512033683</v>
      </c>
      <c r="I2321" s="6" t="n">
        <f aca="false">Sens!H2321*(1+Sens!I2322)</f>
        <v>42.7743107216329</v>
      </c>
      <c r="J2321" s="6" t="n">
        <f aca="false">Sens!I2321*(1+Sens!J2322)</f>
        <v>43.8687373064601</v>
      </c>
      <c r="K2321" s="6" t="n">
        <f aca="false">Sens!J2321*(1+Sens!K2322)</f>
        <v>44.7461120525893</v>
      </c>
      <c r="L2321" s="12" t="s">
        <v>1034</v>
      </c>
    </row>
    <row r="2322" customFormat="false" ht="15" hidden="false" customHeight="false" outlineLevel="0" collapsed="false">
      <c r="A2322" s="1" t="s">
        <v>1024</v>
      </c>
      <c r="B2322" s="0" t="s">
        <v>168</v>
      </c>
      <c r="E2322" s="7" t="n">
        <f aca="false">Sens!E2321/Sens!D2321-1</f>
        <v>0.0535164307309768</v>
      </c>
      <c r="F2322" s="7" t="n">
        <f aca="false">Sens!$E$2322+(glt_lic-Sens!$E$2322)*MIN(1,(Sens!F2271-base_fy)/n_conv)</f>
        <v>0.0479303589424807</v>
      </c>
      <c r="G2322" s="7" t="n">
        <f aca="false">Sens!$E$2322+(glt_lic-Sens!$E$2322)*MIN(1,(Sens!G2271-base_fy)/n_conv)</f>
        <v>0.0423442871539845</v>
      </c>
      <c r="H2322" s="7" t="n">
        <f aca="false">Sens!$E$2322+(glt_lic-Sens!$E$2322)*MIN(1,(Sens!H2271-base_fy)/n_conv)</f>
        <v>0.0367582153654884</v>
      </c>
      <c r="I2322" s="7" t="n">
        <f aca="false">Sens!$E$2322+(glt_lic-Sens!$E$2322)*MIN(1,(Sens!I2271-base_fy)/n_conv)</f>
        <v>0.0311721435769923</v>
      </c>
      <c r="J2322" s="7" t="n">
        <f aca="false">Sens!$E$2322+(glt_lic-Sens!$E$2322)*MIN(1,(Sens!J2271-base_fy)/n_conv)</f>
        <v>0.0255860717884961</v>
      </c>
      <c r="K2322" s="7" t="n">
        <f aca="false">Sens!$E$2322+(glt_lic-Sens!$E$2322)*MIN(1,(Sens!K2271-base_fy)/n_conv)</f>
        <v>0.02</v>
      </c>
    </row>
    <row r="2323" customFormat="false" ht="17.15" hidden="false" customHeight="false" outlineLevel="0" collapsed="false">
      <c r="A2323" s="0" t="s">
        <v>1035</v>
      </c>
      <c r="B2323" s="0" t="s">
        <v>98</v>
      </c>
      <c r="D2323" s="6" t="n">
        <f aca="false">Q!L9</f>
        <v>18.417</v>
      </c>
      <c r="E2323" s="6" t="n">
        <f aca="false">Q!M9</f>
        <v>20.345</v>
      </c>
      <c r="F2323" s="6" t="n">
        <f aca="false">Q!$I$9+(Q!M9-Q!$E$9)*(1+Sens!F2324)</f>
        <v>22.3161797133988</v>
      </c>
      <c r="G2323" s="6" t="n">
        <f aca="false">Sens!F2323*(1+Sens!G2324)</f>
        <v>24.3943499673233</v>
      </c>
      <c r="H2323" s="6" t="n">
        <f aca="false">Sens!G2323*(1+Sens!H2324)</f>
        <v>26.5250243109019</v>
      </c>
      <c r="I2323" s="6" t="n">
        <f aca="false">Sens!H2323*(1+Sens!I2324)</f>
        <v>28.6884573538181</v>
      </c>
      <c r="J2323" s="6" t="n">
        <f aca="false">Sens!I2323*(1+Sens!J2324)</f>
        <v>30.8624968052127</v>
      </c>
      <c r="K2323" s="6" t="n">
        <f aca="false">Sens!J2323*(1+Sens!K2324)</f>
        <v>33.0228715815776</v>
      </c>
      <c r="L2323" s="12" t="s">
        <v>1034</v>
      </c>
    </row>
    <row r="2324" customFormat="false" ht="15" hidden="false" customHeight="false" outlineLevel="0" collapsed="false">
      <c r="A2324" s="1" t="s">
        <v>1024</v>
      </c>
      <c r="B2324" s="0" t="s">
        <v>168</v>
      </c>
      <c r="E2324" s="7" t="n">
        <f aca="false">Sens!E2323/Sens!D2323-1</f>
        <v>0.104685888038225</v>
      </c>
      <c r="F2324" s="7" t="n">
        <f aca="false">Sens!$E$2324+(glt_ind-Sens!$E$2324)*MIN(1,(Sens!F2271-base_fy)/n_conv)</f>
        <v>0.0989049066985211</v>
      </c>
      <c r="G2324" s="7" t="n">
        <f aca="false">Sens!$E$2324+(glt_ind-Sens!$E$2324)*MIN(1,(Sens!G2271-base_fy)/n_conv)</f>
        <v>0.0931239253588169</v>
      </c>
      <c r="H2324" s="7" t="n">
        <f aca="false">Sens!$E$2324+(glt_ind-Sens!$E$2324)*MIN(1,(Sens!H2271-base_fy)/n_conv)</f>
        <v>0.0873429440191127</v>
      </c>
      <c r="I2324" s="7" t="n">
        <f aca="false">Sens!$E$2324+(glt_ind-Sens!$E$2324)*MIN(1,(Sens!I2271-base_fy)/n_conv)</f>
        <v>0.0815619626794085</v>
      </c>
      <c r="J2324" s="7" t="n">
        <f aca="false">Sens!$E$2324+(glt_ind-Sens!$E$2324)*MIN(1,(Sens!J2271-base_fy)/n_conv)</f>
        <v>0.0757809813397042</v>
      </c>
      <c r="K2324" s="7" t="n">
        <f aca="false">Sens!$E$2324+(glt_ind-Sens!$E$2324)*MIN(1,(Sens!K2271-base_fy)/n_conv)</f>
        <v>0.07</v>
      </c>
    </row>
    <row r="2325" customFormat="false" ht="17.15" hidden="false" customHeight="false" outlineLevel="0" collapsed="false">
      <c r="A2325" s="0" t="s">
        <v>1036</v>
      </c>
      <c r="B2325" s="0" t="s">
        <v>98</v>
      </c>
      <c r="D2325" s="6" t="n">
        <f aca="false">Q!L10</f>
        <v>7.76</v>
      </c>
      <c r="E2325" s="6" t="n">
        <f aca="false">Q!M10</f>
        <v>8.26</v>
      </c>
      <c r="F2325" s="6" t="n">
        <f aca="false">Q!$I$10+(Q!M10-Q!$E$10)*(1+Sens!F2326)</f>
        <v>8.75372082474227</v>
      </c>
      <c r="G2325" s="6" t="n">
        <f aca="false">Sens!F2325*(1+Sens!G2326)</f>
        <v>9.33399324642364</v>
      </c>
      <c r="H2325" s="6" t="n">
        <f aca="false">Sens!G2325*(1+Sens!H2326)</f>
        <v>9.96139155535851</v>
      </c>
      <c r="I2325" s="6" t="n">
        <f aca="false">Sens!H2325*(1+Sens!I2326)</f>
        <v>10.6402039077391</v>
      </c>
      <c r="J2325" s="6" t="n">
        <f aca="false">Sens!I2325*(1+Sens!J2326)</f>
        <v>11.3751458271397</v>
      </c>
      <c r="K2325" s="6" t="n">
        <f aca="false">Sens!J2325*(1+Sens!K2326)</f>
        <v>12.1714060350394</v>
      </c>
      <c r="L2325" s="12" t="s">
        <v>1034</v>
      </c>
    </row>
    <row r="2326" customFormat="false" ht="15" hidden="false" customHeight="false" outlineLevel="0" collapsed="false">
      <c r="A2326" s="1" t="s">
        <v>1024</v>
      </c>
      <c r="B2326" s="0" t="s">
        <v>168</v>
      </c>
      <c r="E2326" s="7" t="n">
        <f aca="false">Sens!E2325/Sens!D2325-1</f>
        <v>0.0644329896907216</v>
      </c>
      <c r="F2326" s="7" t="n">
        <f aca="false">Sens!$E$2326+(glt_fro-Sens!$E$2326)*MIN(1,(Sens!F2271-base_fy)/n_conv)</f>
        <v>0.065360824742268</v>
      </c>
      <c r="G2326" s="7" t="n">
        <f aca="false">Sens!$E$2326+(glt_fro-Sens!$E$2326)*MIN(1,(Sens!G2271-base_fy)/n_conv)</f>
        <v>0.0662886597938144</v>
      </c>
      <c r="H2326" s="7" t="n">
        <f aca="false">Sens!$E$2326+(glt_fro-Sens!$E$2326)*MIN(1,(Sens!H2271-base_fy)/n_conv)</f>
        <v>0.0672164948453608</v>
      </c>
      <c r="I2326" s="7" t="n">
        <f aca="false">Sens!$E$2326+(glt_fro-Sens!$E$2326)*MIN(1,(Sens!I2271-base_fy)/n_conv)</f>
        <v>0.0681443298969072</v>
      </c>
      <c r="J2326" s="7" t="n">
        <f aca="false">Sens!$E$2326+(glt_fro-Sens!$E$2326)*MIN(1,(Sens!J2271-base_fy)/n_conv)</f>
        <v>0.0690721649484536</v>
      </c>
      <c r="K2326" s="7" t="n">
        <f aca="false">Sens!$E$2326+(glt_fro-Sens!$E$2326)*MIN(1,(Sens!K2271-base_fy)/n_conv)</f>
        <v>0.07</v>
      </c>
    </row>
    <row r="2327" customFormat="false" ht="15" hidden="false" customHeight="false" outlineLevel="0" collapsed="false">
      <c r="A2327" s="0" t="s">
        <v>852</v>
      </c>
      <c r="B2327" s="0" t="s">
        <v>98</v>
      </c>
      <c r="D2327" s="6" t="n">
        <f aca="false">Sens!D2315+Sens!D2320+Sens!D2321+Sens!D2323+Sens!D2325</f>
        <v>218.783</v>
      </c>
      <c r="E2327" s="6" t="n">
        <f aca="false">Sens!E2315+Sens!E2320+Sens!E2321+Sens!E2323+Sens!E2325</f>
        <v>268.127</v>
      </c>
      <c r="F2327" s="6" t="n">
        <f aca="false">Sens!F2315+Sens!F2320+Sens!F2321+Sens!F2323+Sens!F2325</f>
        <v>330.145282059882</v>
      </c>
      <c r="G2327" s="6" t="n">
        <f aca="false">Sens!G2315+Sens!G2320+Sens!G2321+Sens!G2323+Sens!G2325</f>
        <v>392.656759865851</v>
      </c>
      <c r="H2327" s="6" t="n">
        <f aca="false">Sens!H2315+Sens!H2320+Sens!H2321+Sens!H2323+Sens!H2325</f>
        <v>450.544273297982</v>
      </c>
      <c r="I2327" s="6" t="n">
        <f aca="false">Sens!I2315+Sens!I2320+Sens!I2321+Sens!I2323+Sens!I2325</f>
        <v>510.69213512593</v>
      </c>
      <c r="J2327" s="6" t="n">
        <f aca="false">Sens!J2315+Sens!J2320+Sens!J2321+Sens!J2323+Sens!J2325</f>
        <v>560.416732629406</v>
      </c>
      <c r="K2327" s="6" t="n">
        <f aca="false">Sens!K2315+Sens!K2320+Sens!K2321+Sens!K2323+Sens!K2325</f>
        <v>600.132410592692</v>
      </c>
    </row>
    <row r="2328" customFormat="false" ht="17.15" hidden="false" customHeight="false" outlineLevel="0" collapsed="false">
      <c r="A2328" s="0" t="s">
        <v>1037</v>
      </c>
      <c r="B2328" s="0" t="s">
        <v>98</v>
      </c>
      <c r="D2328" s="6" t="n">
        <f aca="false">Q!L13</f>
        <v>22.171</v>
      </c>
      <c r="E2328" s="6" t="n">
        <f aca="false">Q!M13</f>
        <v>24.835</v>
      </c>
      <c r="F2328" s="6" t="n">
        <f aca="false">Q!$I$13+(Q!M13-Q!$E$13)*(1+Sens!F2329)</f>
        <v>27.5591895660247</v>
      </c>
      <c r="G2328" s="6" t="n">
        <f aca="false">Sens!F2328*(1+Sens!G2329)</f>
        <v>30.4098563144583</v>
      </c>
      <c r="H2328" s="6" t="n">
        <f aca="false">Sens!G2328*(1+Sens!H2329)</f>
        <v>33.3011792571777</v>
      </c>
      <c r="I2328" s="6" t="n">
        <f aca="false">Sens!H2328*(1+Sens!I2329)</f>
        <v>36.189023797112</v>
      </c>
      <c r="J2328" s="6" t="n">
        <f aca="false">Sens!I2328*(1+Sens!J2329)</f>
        <v>39.0247773769199</v>
      </c>
      <c r="K2328" s="6" t="n">
        <f aca="false">Sens!J2328*(1+Sens!K2329)</f>
        <v>41.7565117933043</v>
      </c>
      <c r="L2328" s="12" t="s">
        <v>1034</v>
      </c>
    </row>
    <row r="2329" customFormat="false" ht="15" hidden="false" customHeight="false" outlineLevel="0" collapsed="false">
      <c r="A2329" s="1" t="s">
        <v>1024</v>
      </c>
      <c r="B2329" s="0" t="s">
        <v>168</v>
      </c>
      <c r="E2329" s="7" t="n">
        <f aca="false">Sens!E2328/Sens!D2328-1</f>
        <v>0.120156961796942</v>
      </c>
      <c r="F2329" s="7" t="n">
        <f aca="false">Sens!$E$2329+(glt_srch-Sens!$E$2329)*MIN(1,(Sens!F2271-base_fy)/n_conv)</f>
        <v>0.111797468164118</v>
      </c>
      <c r="G2329" s="7" t="n">
        <f aca="false">Sens!$E$2329+(glt_srch-Sens!$E$2329)*MIN(1,(Sens!G2271-base_fy)/n_conv)</f>
        <v>0.103437974531295</v>
      </c>
      <c r="H2329" s="7" t="n">
        <f aca="false">Sens!$E$2329+(glt_srch-Sens!$E$2329)*MIN(1,(Sens!H2271-base_fy)/n_conv)</f>
        <v>0.095078480898471</v>
      </c>
      <c r="I2329" s="7" t="n">
        <f aca="false">Sens!$E$2329+(glt_srch-Sens!$E$2329)*MIN(1,(Sens!I2271-base_fy)/n_conv)</f>
        <v>0.0867189872656474</v>
      </c>
      <c r="J2329" s="7" t="n">
        <f aca="false">Sens!$E$2329+(glt_srch-Sens!$E$2329)*MIN(1,(Sens!J2271-base_fy)/n_conv)</f>
        <v>0.0783594936328237</v>
      </c>
      <c r="K2329" s="7" t="n">
        <f aca="false">Sens!$E$2329+(glt_srch-Sens!$E$2329)*MIN(1,(Sens!K2271-base_fy)/n_conv)</f>
        <v>0.07</v>
      </c>
    </row>
    <row r="2330" customFormat="false" ht="17.15" hidden="false" customHeight="false" outlineLevel="0" collapsed="false">
      <c r="A2330" s="0" t="s">
        <v>1038</v>
      </c>
      <c r="B2330" s="0" t="s">
        <v>98</v>
      </c>
      <c r="D2330" s="6" t="n">
        <f aca="false">Q!L14</f>
        <v>23.455</v>
      </c>
      <c r="E2330" s="6" t="n">
        <f aca="false">Q!M14</f>
        <v>21.79</v>
      </c>
      <c r="F2330" s="6" t="n">
        <f aca="false">Q!$I$14+(Q!M14-Q!$E$14)*(1+Sens!F2331)</f>
        <v>20.7520981041711</v>
      </c>
      <c r="G2330" s="6" t="n">
        <f aca="false">Sens!F2330*(1+Sens!G2331)</f>
        <v>19.9083593495882</v>
      </c>
      <c r="H2330" s="6" t="n">
        <f aca="false">Sens!G2330*(1+Sens!H2331)</f>
        <v>19.4008256265831</v>
      </c>
      <c r="I2330" s="6" t="n">
        <f aca="false">Sens!H2330*(1+Sens!I2331)</f>
        <v>19.200434522122</v>
      </c>
      <c r="J2330" s="6" t="n">
        <f aca="false">Sens!I2330*(1+Sens!J2331)</f>
        <v>19.2932782348507</v>
      </c>
      <c r="K2330" s="6" t="n">
        <f aca="false">Sens!J2330*(1+Sens!K2331)</f>
        <v>19.6791437995477</v>
      </c>
      <c r="L2330" s="12" t="s">
        <v>1034</v>
      </c>
    </row>
    <row r="2331" customFormat="false" ht="15" hidden="false" customHeight="false" outlineLevel="0" collapsed="false">
      <c r="A2331" s="1" t="s">
        <v>1024</v>
      </c>
      <c r="B2331" s="0" t="s">
        <v>168</v>
      </c>
      <c r="E2331" s="7" t="n">
        <f aca="false">Sens!E2330/Sens!D2330-1</f>
        <v>-0.0709869963760392</v>
      </c>
      <c r="F2331" s="7" t="n">
        <f aca="false">Sens!$E$2331+(glt_xbox-Sens!$E$2331)*MIN(1,(Sens!F2271-base_fy)/n_conv)</f>
        <v>-0.0558224969800327</v>
      </c>
      <c r="G2331" s="7" t="n">
        <f aca="false">Sens!$E$2331+(glt_xbox-Sens!$E$2331)*MIN(1,(Sens!G2271-base_fy)/n_conv)</f>
        <v>-0.0406579975840262</v>
      </c>
      <c r="H2331" s="7" t="n">
        <f aca="false">Sens!$E$2331+(glt_xbox-Sens!$E$2331)*MIN(1,(Sens!H2271-base_fy)/n_conv)</f>
        <v>-0.0254934981880196</v>
      </c>
      <c r="I2331" s="7" t="n">
        <f aca="false">Sens!$E$2331+(glt_xbox-Sens!$E$2331)*MIN(1,(Sens!I2271-base_fy)/n_conv)</f>
        <v>-0.0103289987920131</v>
      </c>
      <c r="J2331" s="7" t="n">
        <f aca="false">Sens!$E$2331+(glt_xbox-Sens!$E$2331)*MIN(1,(Sens!J2271-base_fy)/n_conv)</f>
        <v>0.00483550060399347</v>
      </c>
      <c r="K2331" s="7" t="n">
        <f aca="false">Sens!$E$2331+(glt_xbox-Sens!$E$2331)*MIN(1,(Sens!K2271-base_fy)/n_conv)</f>
        <v>0.02</v>
      </c>
    </row>
    <row r="2332" customFormat="false" ht="17.15" hidden="false" customHeight="false" outlineLevel="0" collapsed="false">
      <c r="A2332" s="0" t="s">
        <v>1039</v>
      </c>
      <c r="B2332" s="0" t="s">
        <v>98</v>
      </c>
      <c r="D2332" s="6" t="n">
        <f aca="false">Q!L15</f>
        <v>17.315</v>
      </c>
      <c r="E2332" s="6" t="n">
        <f aca="false">Q!M15</f>
        <v>17.087</v>
      </c>
      <c r="F2332" s="6" t="n">
        <f aca="false">Q!$I$15+(Q!M15-Q!$E$15)*(1+Sens!F2333)</f>
        <v>15.9912273250553</v>
      </c>
      <c r="G2332" s="6" t="n">
        <f aca="false">Sens!F2332*(1+Sens!G2333)</f>
        <v>15.9574562664827</v>
      </c>
      <c r="H2332" s="6" t="n">
        <f aca="false">Sens!G2332*(1+Sens!H2333)</f>
        <v>16.0119687434196</v>
      </c>
      <c r="I2332" s="6" t="n">
        <f aca="false">Sens!H2332*(1+Sens!I2333)</f>
        <v>16.1551810001948</v>
      </c>
      <c r="J2332" s="6" t="n">
        <f aca="false">Sens!I2332*(1+Sens!J2333)</f>
        <v>16.3889793892005</v>
      </c>
      <c r="K2332" s="6" t="n">
        <f aca="false">Sens!J2332*(1+Sens!K2333)</f>
        <v>16.7167589769845</v>
      </c>
      <c r="L2332" s="12" t="s">
        <v>1034</v>
      </c>
    </row>
    <row r="2333" customFormat="false" ht="15" hidden="false" customHeight="false" outlineLevel="0" collapsed="false">
      <c r="A2333" s="1" t="s">
        <v>1024</v>
      </c>
      <c r="B2333" s="0" t="s">
        <v>168</v>
      </c>
      <c r="E2333" s="7" t="n">
        <f aca="false">Sens!E2332/Sens!D2332-1</f>
        <v>-0.0131677736066995</v>
      </c>
      <c r="F2333" s="7" t="n">
        <f aca="false">Sens!$E$2333+(glt_win-Sens!$E$2333)*MIN(1,(Sens!F2271-base_fy)/n_conv)</f>
        <v>-0.00763981133891627</v>
      </c>
      <c r="G2333" s="7" t="n">
        <f aca="false">Sens!$E$2333+(glt_win-Sens!$E$2333)*MIN(1,(Sens!G2271-base_fy)/n_conv)</f>
        <v>-0.00211184907113301</v>
      </c>
      <c r="H2333" s="7" t="n">
        <f aca="false">Sens!$E$2333+(glt_win-Sens!$E$2333)*MIN(1,(Sens!H2271-base_fy)/n_conv)</f>
        <v>0.00341611319665024</v>
      </c>
      <c r="I2333" s="7" t="n">
        <f aca="false">Sens!$E$2333+(glt_win-Sens!$E$2333)*MIN(1,(Sens!I2271-base_fy)/n_conv)</f>
        <v>0.00894407546443349</v>
      </c>
      <c r="J2333" s="7" t="n">
        <f aca="false">Sens!$E$2333+(glt_win-Sens!$E$2333)*MIN(1,(Sens!J2271-base_fy)/n_conv)</f>
        <v>0.0144720377322168</v>
      </c>
      <c r="K2333" s="7" t="n">
        <f aca="false">Sens!$E$2333+(glt_win-Sens!$E$2333)*MIN(1,(Sens!K2271-base_fy)/n_conv)</f>
        <v>0.02</v>
      </c>
    </row>
    <row r="2334" customFormat="false" ht="15" hidden="false" customHeight="false" outlineLevel="0" collapsed="false">
      <c r="A2334" s="0" t="s">
        <v>866</v>
      </c>
      <c r="B2334" s="0" t="s">
        <v>98</v>
      </c>
      <c r="D2334" s="6" t="n">
        <f aca="false">Sens!D2328+Sens!D2330+Sens!D2332</f>
        <v>62.941</v>
      </c>
      <c r="E2334" s="6" t="n">
        <f aca="false">Sens!E2328+Sens!E2330+Sens!E2332</f>
        <v>63.712</v>
      </c>
      <c r="F2334" s="6" t="n">
        <f aca="false">Sens!F2328+Sens!F2330+Sens!F2332</f>
        <v>64.3025149952511</v>
      </c>
      <c r="G2334" s="6" t="n">
        <f aca="false">Sens!G2328+Sens!G2330+Sens!G2332</f>
        <v>66.2756719305292</v>
      </c>
      <c r="H2334" s="6" t="n">
        <f aca="false">Sens!H2328+Sens!H2330+Sens!H2332</f>
        <v>68.7139736271804</v>
      </c>
      <c r="I2334" s="6" t="n">
        <f aca="false">Sens!I2328+Sens!I2330+Sens!I2332</f>
        <v>71.5446393194289</v>
      </c>
      <c r="J2334" s="6" t="n">
        <f aca="false">Sens!J2328+Sens!J2330+Sens!J2332</f>
        <v>74.707035000971</v>
      </c>
      <c r="K2334" s="6" t="n">
        <f aca="false">Sens!K2328+Sens!K2330+Sens!K2332</f>
        <v>78.1524145698365</v>
      </c>
    </row>
    <row r="2335" customFormat="false" ht="15" hidden="false" customHeight="false" outlineLevel="0" collapsed="false">
      <c r="A2335" s="1" t="s">
        <v>1040</v>
      </c>
      <c r="B2335" s="0" t="s">
        <v>98</v>
      </c>
      <c r="D2335" s="6" t="n">
        <f aca="false">Sens!D2327+Sens!D2334</f>
        <v>281.724</v>
      </c>
      <c r="E2335" s="6" t="n">
        <f aca="false">Sens!E2327+Sens!E2334</f>
        <v>331.839</v>
      </c>
      <c r="F2335" s="6" t="n">
        <f aca="false">Sens!F2327+Sens!F2334</f>
        <v>394.447797055133</v>
      </c>
      <c r="G2335" s="6" t="n">
        <f aca="false">Sens!G2327+Sens!G2334</f>
        <v>458.93243179638</v>
      </c>
      <c r="H2335" s="6" t="n">
        <f aca="false">Sens!H2327+Sens!H2334</f>
        <v>519.258246925162</v>
      </c>
      <c r="I2335" s="6" t="n">
        <f aca="false">Sens!I2327+Sens!I2334</f>
        <v>582.236774445359</v>
      </c>
      <c r="J2335" s="6" t="n">
        <f aca="false">Sens!J2327+Sens!J2334</f>
        <v>635.123767630377</v>
      </c>
      <c r="K2335" s="6" t="n">
        <f aca="false">Sens!K2327+Sens!K2334</f>
        <v>678.284825162529</v>
      </c>
    </row>
    <row r="2336" customFormat="false" ht="15" hidden="false" customHeight="false" outlineLevel="0" collapsed="false">
      <c r="A2336" s="26" t="s">
        <v>1041</v>
      </c>
      <c r="B2336" s="31" t="s">
        <v>98</v>
      </c>
      <c r="C2336" s="31"/>
      <c r="D2336" s="27" t="n">
        <f aca="false">(Sens!D2315+Sens!D2320+Sens!D2321+Sens!D2323+Sens!D2325-Sens!D2327)+(Sens!D2328+Sens!D2330+Sens!D2332-Sens!D2334)+(Sens!D2327-Q!L5)+(Sens!D2334-Q!L12)+(Sens!D2315-Q!L6)+(Sens!D2320-Q!L7)</f>
        <v>0</v>
      </c>
      <c r="E2336" s="27" t="n">
        <f aca="false">(Sens!E2315+Sens!E2320+Sens!E2321+Sens!E2323+Sens!E2325-Sens!E2327)+(Sens!E2328+Sens!E2330+Sens!E2332-Sens!E2334)+(Sens!E2327-Q!M5)+(Sens!E2334-Q!M12)+(Sens!E2315-Q!M6)+(Sens!E2320-Q!M7)</f>
        <v>0</v>
      </c>
      <c r="F2336" s="27" t="n">
        <f aca="false">(Sens!F2315+Sens!F2320+Sens!F2321+Sens!F2323+Sens!F2325-Sens!F2327)+(Sens!F2328+Sens!F2330+Sens!F2332-Sens!F2334)</f>
        <v>0</v>
      </c>
      <c r="G2336" s="27" t="n">
        <f aca="false">(Sens!G2315+Sens!G2320+Sens!G2321+Sens!G2323+Sens!G2325-Sens!G2327)+(Sens!G2328+Sens!G2330+Sens!G2332-Sens!G2334)</f>
        <v>0</v>
      </c>
      <c r="H2336" s="27" t="n">
        <f aca="false">(Sens!H2315+Sens!H2320+Sens!H2321+Sens!H2323+Sens!H2325-Sens!H2327)+(Sens!H2328+Sens!H2330+Sens!H2332-Sens!H2334)</f>
        <v>0</v>
      </c>
      <c r="I2336" s="27" t="n">
        <f aca="false">(Sens!I2315+Sens!I2320+Sens!I2321+Sens!I2323+Sens!I2325-Sens!I2327)+(Sens!I2328+Sens!I2330+Sens!I2332-Sens!I2334)</f>
        <v>0</v>
      </c>
      <c r="J2336" s="27" t="n">
        <f aca="false">(Sens!J2315+Sens!J2320+Sens!J2321+Sens!J2323+Sens!J2325-Sens!J2327)+(Sens!J2328+Sens!J2330+Sens!J2332-Sens!J2334)</f>
        <v>0</v>
      </c>
      <c r="K2336" s="27" t="n">
        <f aca="false">(Sens!K2315+Sens!K2320+Sens!K2321+Sens!K2323+Sens!K2325-Sens!K2327)+(Sens!K2328+Sens!K2330+Sens!K2332-Sens!K2334)</f>
        <v>0</v>
      </c>
    </row>
    <row r="2337" customFormat="false" ht="17.15" hidden="false" customHeight="false" outlineLevel="0" collapsed="false">
      <c r="A2337" s="3" t="s">
        <v>1537</v>
      </c>
    </row>
    <row r="2338" customFormat="false" ht="15" hidden="false" customHeight="false" outlineLevel="0" collapsed="false">
      <c r="A2338" s="4" t="s">
        <v>43</v>
      </c>
      <c r="B2338" s="4" t="s">
        <v>65</v>
      </c>
      <c r="C2338" s="23" t="s">
        <v>938</v>
      </c>
      <c r="D2338" s="23" t="s">
        <v>939</v>
      </c>
      <c r="E2338" s="23" t="s">
        <v>940</v>
      </c>
      <c r="F2338" s="23" t="s">
        <v>941</v>
      </c>
      <c r="G2338" s="23" t="s">
        <v>942</v>
      </c>
      <c r="H2338" s="23" t="s">
        <v>943</v>
      </c>
      <c r="I2338" s="23" t="s">
        <v>944</v>
      </c>
      <c r="J2338" s="23" t="s">
        <v>945</v>
      </c>
      <c r="K2338" s="23" t="s">
        <v>946</v>
      </c>
      <c r="L2338" s="4" t="s">
        <v>47</v>
      </c>
    </row>
    <row r="2339" customFormat="false" ht="15" hidden="false" customHeight="false" outlineLevel="0" collapsed="false">
      <c r="A2339" s="0" t="s">
        <v>1025</v>
      </c>
      <c r="B2339" s="0" t="s">
        <v>98</v>
      </c>
      <c r="D2339" s="6" t="n">
        <f aca="false">Sens!D2315</f>
        <v>72.61</v>
      </c>
      <c r="E2339" s="6" t="n">
        <f aca="false">Sens!E2315</f>
        <v>101.938</v>
      </c>
      <c r="F2339" s="6" t="n">
        <f aca="false">Sens!F2315</f>
        <v>143.251883553698</v>
      </c>
      <c r="G2339" s="6" t="n">
        <f aca="false">Sens!G2315</f>
        <v>186.322520879442</v>
      </c>
      <c r="H2339" s="6" t="n">
        <f aca="false">Sens!H2315</f>
        <v>224.74279426379</v>
      </c>
      <c r="I2339" s="6" t="n">
        <f aca="false">Sens!I2315</f>
        <v>266.443497823359</v>
      </c>
      <c r="J2339" s="6" t="n">
        <f aca="false">Sens!J2315</f>
        <v>299.06102493502</v>
      </c>
      <c r="K2339" s="6" t="n">
        <f aca="false">Sens!K2315</f>
        <v>322.592740225023</v>
      </c>
    </row>
    <row r="2340" customFormat="false" ht="17.15" hidden="false" customHeight="false" outlineLevel="0" collapsed="false">
      <c r="A2340" s="0" t="s">
        <v>1021</v>
      </c>
      <c r="B2340" s="0" t="s">
        <v>98</v>
      </c>
      <c r="D2340" s="6" t="n">
        <f aca="false">Sens!D2312</f>
        <v>12.9359794422418</v>
      </c>
      <c r="E2340" s="6" t="n">
        <f aca="false">Sens!E2312</f>
        <v>27.8095064661409</v>
      </c>
      <c r="F2340" s="6" t="n">
        <f aca="false">Sens!F2312</f>
        <v>50.9819294352312</v>
      </c>
      <c r="G2340" s="6" t="n">
        <f aca="false">Sens!G2312</f>
        <v>76.6920436014933</v>
      </c>
      <c r="H2340" s="6" t="n">
        <f aca="false">Sens!H2312</f>
        <v>97.4495379418341</v>
      </c>
      <c r="I2340" s="6" t="n">
        <f aca="false">Sens!I2312</f>
        <v>122.083445553868</v>
      </c>
      <c r="J2340" s="6" t="n">
        <f aca="false">Sens!J2312</f>
        <v>139.249060444804</v>
      </c>
      <c r="K2340" s="6" t="n">
        <f aca="false">Sens!K2312</f>
        <v>149.995818575589</v>
      </c>
    </row>
    <row r="2341" customFormat="false" ht="17.15" hidden="false" customHeight="false" outlineLevel="0" collapsed="false">
      <c r="A2341" s="0" t="s">
        <v>1052</v>
      </c>
      <c r="B2341" s="0" t="s">
        <v>98</v>
      </c>
      <c r="D2341" s="6" t="n">
        <f aca="false">Sens!D2313</f>
        <v>59.6740205577583</v>
      </c>
      <c r="E2341" s="6" t="n">
        <f aca="false">Sens!E2313</f>
        <v>74.1284935338591</v>
      </c>
      <c r="F2341" s="6" t="n">
        <f aca="false">Sens!F2313</f>
        <v>92.2699541184664</v>
      </c>
      <c r="G2341" s="6" t="n">
        <f aca="false">Sens!G2313</f>
        <v>109.630477277949</v>
      </c>
      <c r="H2341" s="6" t="n">
        <f aca="false">Sens!H2313</f>
        <v>127.293256321956</v>
      </c>
      <c r="I2341" s="6" t="n">
        <f aca="false">Sens!I2313</f>
        <v>144.360052269491</v>
      </c>
      <c r="J2341" s="6" t="n">
        <f aca="false">Sens!J2313</f>
        <v>159.811964490216</v>
      </c>
      <c r="K2341" s="6" t="n">
        <f aca="false">Sens!K2313</f>
        <v>172.596921649434</v>
      </c>
    </row>
    <row r="2342" customFormat="false" ht="15" hidden="false" customHeight="false" outlineLevel="0" collapsed="false">
      <c r="A2342" s="0" t="s">
        <v>1032</v>
      </c>
      <c r="B2342" s="0" t="s">
        <v>98</v>
      </c>
      <c r="D2342" s="6" t="n">
        <f aca="false">Sens!D2320</f>
        <v>84.605</v>
      </c>
      <c r="E2342" s="6" t="n">
        <f aca="false">Sens!E2320</f>
        <v>100.299</v>
      </c>
      <c r="F2342" s="6" t="n">
        <f aca="false">Sens!F2320</f>
        <v>117.438354189776</v>
      </c>
      <c r="G2342" s="6" t="n">
        <f aca="false">Sens!G2320</f>
        <v>132.595360443801</v>
      </c>
      <c r="H2342" s="6" t="n">
        <f aca="false">Sens!H2320</f>
        <v>147.833811964563</v>
      </c>
      <c r="I2342" s="6" t="n">
        <f aca="false">Sens!I2320</f>
        <v>162.145665319381</v>
      </c>
      <c r="J2342" s="6" t="n">
        <f aca="false">Sens!J2320</f>
        <v>175.249327755573</v>
      </c>
      <c r="K2342" s="6" t="n">
        <f aca="false">Sens!K2320</f>
        <v>187.599280698463</v>
      </c>
    </row>
    <row r="2343" customFormat="false" ht="17.15" hidden="false" customHeight="false" outlineLevel="0" collapsed="false">
      <c r="A2343" s="0" t="s">
        <v>1053</v>
      </c>
      <c r="B2343" s="0" t="s">
        <v>98</v>
      </c>
      <c r="D2343" s="6" t="n">
        <f aca="false">Sens!D2318</f>
        <v>83.705</v>
      </c>
      <c r="E2343" s="6" t="n">
        <f aca="false">Sens!E2318</f>
        <v>95.049</v>
      </c>
      <c r="F2343" s="6" t="n">
        <f aca="false">Sens!F2318</f>
        <v>106.938354189776</v>
      </c>
      <c r="G2343" s="6" t="n">
        <f aca="false">Sens!G2318</f>
        <v>119.095360443801</v>
      </c>
      <c r="H2343" s="6" t="n">
        <f aca="false">Sens!H2318</f>
        <v>131.333811964563</v>
      </c>
      <c r="I2343" s="6" t="n">
        <f aca="false">Sens!I2318</f>
        <v>143.395665319381</v>
      </c>
      <c r="J2343" s="6" t="n">
        <f aca="false">Sens!J2318</f>
        <v>154.999327755573</v>
      </c>
      <c r="K2343" s="6" t="n">
        <f aca="false">Sens!K2318</f>
        <v>165.849280698463</v>
      </c>
    </row>
    <row r="2344" customFormat="false" ht="17.15" hidden="false" customHeight="false" outlineLevel="0" collapsed="false">
      <c r="A2344" s="0" t="s">
        <v>1054</v>
      </c>
      <c r="B2344" s="0" t="s">
        <v>98</v>
      </c>
      <c r="D2344" s="6" t="n">
        <f aca="false">Sens!D2317</f>
        <v>0.9</v>
      </c>
      <c r="E2344" s="6" t="n">
        <f aca="false">Sens!E2317</f>
        <v>5.25</v>
      </c>
      <c r="F2344" s="6" t="n">
        <f aca="false">Sens!F2317</f>
        <v>10.5</v>
      </c>
      <c r="G2344" s="6" t="n">
        <f aca="false">Sens!G2317</f>
        <v>13.5</v>
      </c>
      <c r="H2344" s="6" t="n">
        <f aca="false">Sens!H2317</f>
        <v>16.5</v>
      </c>
      <c r="I2344" s="6" t="n">
        <f aca="false">Sens!I2317</f>
        <v>18.75</v>
      </c>
      <c r="J2344" s="6" t="n">
        <f aca="false">Sens!J2317</f>
        <v>20.25</v>
      </c>
      <c r="K2344" s="6" t="n">
        <f aca="false">Sens!K2317</f>
        <v>21.75</v>
      </c>
    </row>
    <row r="2345" customFormat="false" ht="15" hidden="false" customHeight="false" outlineLevel="0" collapsed="false">
      <c r="A2345" s="0" t="s">
        <v>1033</v>
      </c>
      <c r="B2345" s="0" t="s">
        <v>98</v>
      </c>
      <c r="D2345" s="6" t="n">
        <f aca="false">Sens!D2321</f>
        <v>35.391</v>
      </c>
      <c r="E2345" s="6" t="n">
        <f aca="false">Sens!E2321</f>
        <v>37.285</v>
      </c>
      <c r="F2345" s="6" t="n">
        <f aca="false">Sens!F2321</f>
        <v>38.3851437782675</v>
      </c>
      <c r="G2345" s="6" t="n">
        <f aca="false">Sens!G2321</f>
        <v>40.0105353288615</v>
      </c>
      <c r="H2345" s="6" t="n">
        <f aca="false">Sens!H2321</f>
        <v>41.4812512033683</v>
      </c>
      <c r="I2345" s="6" t="n">
        <f aca="false">Sens!I2321</f>
        <v>42.7743107216329</v>
      </c>
      <c r="J2345" s="6" t="n">
        <f aca="false">Sens!J2321</f>
        <v>43.8687373064601</v>
      </c>
      <c r="K2345" s="6" t="n">
        <f aca="false">Sens!K2321</f>
        <v>44.7461120525893</v>
      </c>
    </row>
    <row r="2346" customFormat="false" ht="15" hidden="false" customHeight="false" outlineLevel="0" collapsed="false">
      <c r="A2346" s="0" t="s">
        <v>1035</v>
      </c>
      <c r="B2346" s="0" t="s">
        <v>98</v>
      </c>
      <c r="D2346" s="6" t="n">
        <f aca="false">Sens!D2323</f>
        <v>18.417</v>
      </c>
      <c r="E2346" s="6" t="n">
        <f aca="false">Sens!E2323</f>
        <v>20.345</v>
      </c>
      <c r="F2346" s="6" t="n">
        <f aca="false">Sens!F2323</f>
        <v>22.3161797133988</v>
      </c>
      <c r="G2346" s="6" t="n">
        <f aca="false">Sens!G2323</f>
        <v>24.3943499673233</v>
      </c>
      <c r="H2346" s="6" t="n">
        <f aca="false">Sens!H2323</f>
        <v>26.5250243109019</v>
      </c>
      <c r="I2346" s="6" t="n">
        <f aca="false">Sens!I2323</f>
        <v>28.6884573538181</v>
      </c>
      <c r="J2346" s="6" t="n">
        <f aca="false">Sens!J2323</f>
        <v>30.8624968052127</v>
      </c>
      <c r="K2346" s="6" t="n">
        <f aca="false">Sens!K2323</f>
        <v>33.0228715815776</v>
      </c>
    </row>
    <row r="2347" customFormat="false" ht="15" hidden="false" customHeight="false" outlineLevel="0" collapsed="false">
      <c r="A2347" s="0" t="s">
        <v>1036</v>
      </c>
      <c r="B2347" s="0" t="s">
        <v>98</v>
      </c>
      <c r="D2347" s="6" t="n">
        <f aca="false">Sens!D2325</f>
        <v>7.76</v>
      </c>
      <c r="E2347" s="6" t="n">
        <f aca="false">Sens!E2325</f>
        <v>8.26</v>
      </c>
      <c r="F2347" s="6" t="n">
        <f aca="false">Sens!F2325</f>
        <v>8.75372082474227</v>
      </c>
      <c r="G2347" s="6" t="n">
        <f aca="false">Sens!G2325</f>
        <v>9.33399324642364</v>
      </c>
      <c r="H2347" s="6" t="n">
        <f aca="false">Sens!H2325</f>
        <v>9.96139155535851</v>
      </c>
      <c r="I2347" s="6" t="n">
        <f aca="false">Sens!I2325</f>
        <v>10.6402039077391</v>
      </c>
      <c r="J2347" s="6" t="n">
        <f aca="false">Sens!J2325</f>
        <v>11.3751458271397</v>
      </c>
      <c r="K2347" s="6" t="n">
        <f aca="false">Sens!K2325</f>
        <v>12.1714060350394</v>
      </c>
    </row>
    <row r="2348" customFormat="false" ht="15" hidden="false" customHeight="false" outlineLevel="0" collapsed="false">
      <c r="A2348" s="0" t="s">
        <v>852</v>
      </c>
      <c r="B2348" s="0" t="s">
        <v>98</v>
      </c>
      <c r="D2348" s="6" t="n">
        <f aca="false">Sens!D2327</f>
        <v>218.783</v>
      </c>
      <c r="E2348" s="6" t="n">
        <f aca="false">Sens!E2327</f>
        <v>268.127</v>
      </c>
      <c r="F2348" s="6" t="n">
        <f aca="false">Sens!F2327</f>
        <v>330.145282059882</v>
      </c>
      <c r="G2348" s="6" t="n">
        <f aca="false">Sens!G2327</f>
        <v>392.656759865851</v>
      </c>
      <c r="H2348" s="6" t="n">
        <f aca="false">Sens!H2327</f>
        <v>450.544273297982</v>
      </c>
      <c r="I2348" s="6" t="n">
        <f aca="false">Sens!I2327</f>
        <v>510.69213512593</v>
      </c>
      <c r="J2348" s="6" t="n">
        <f aca="false">Sens!J2327</f>
        <v>560.416732629406</v>
      </c>
      <c r="K2348" s="6" t="n">
        <f aca="false">Sens!K2327</f>
        <v>600.132410592692</v>
      </c>
    </row>
    <row r="2349" customFormat="false" ht="15" hidden="false" customHeight="false" outlineLevel="0" collapsed="false">
      <c r="A2349" s="0" t="s">
        <v>1037</v>
      </c>
      <c r="B2349" s="0" t="s">
        <v>98</v>
      </c>
      <c r="D2349" s="6" t="n">
        <f aca="false">Sens!D2328</f>
        <v>22.171</v>
      </c>
      <c r="E2349" s="6" t="n">
        <f aca="false">Sens!E2328</f>
        <v>24.835</v>
      </c>
      <c r="F2349" s="6" t="n">
        <f aca="false">Sens!F2328</f>
        <v>27.5591895660247</v>
      </c>
      <c r="G2349" s="6" t="n">
        <f aca="false">Sens!G2328</f>
        <v>30.4098563144583</v>
      </c>
      <c r="H2349" s="6" t="n">
        <f aca="false">Sens!H2328</f>
        <v>33.3011792571777</v>
      </c>
      <c r="I2349" s="6" t="n">
        <f aca="false">Sens!I2328</f>
        <v>36.189023797112</v>
      </c>
      <c r="J2349" s="6" t="n">
        <f aca="false">Sens!J2328</f>
        <v>39.0247773769199</v>
      </c>
      <c r="K2349" s="6" t="n">
        <f aca="false">Sens!K2328</f>
        <v>41.7565117933043</v>
      </c>
    </row>
    <row r="2350" customFormat="false" ht="15" hidden="false" customHeight="false" outlineLevel="0" collapsed="false">
      <c r="A2350" s="0" t="s">
        <v>1038</v>
      </c>
      <c r="B2350" s="0" t="s">
        <v>98</v>
      </c>
      <c r="D2350" s="6" t="n">
        <f aca="false">Sens!D2330</f>
        <v>23.455</v>
      </c>
      <c r="E2350" s="6" t="n">
        <f aca="false">Sens!E2330</f>
        <v>21.79</v>
      </c>
      <c r="F2350" s="6" t="n">
        <f aca="false">Sens!F2330</f>
        <v>20.7520981041711</v>
      </c>
      <c r="G2350" s="6" t="n">
        <f aca="false">Sens!G2330</f>
        <v>19.9083593495882</v>
      </c>
      <c r="H2350" s="6" t="n">
        <f aca="false">Sens!H2330</f>
        <v>19.4008256265831</v>
      </c>
      <c r="I2350" s="6" t="n">
        <f aca="false">Sens!I2330</f>
        <v>19.200434522122</v>
      </c>
      <c r="J2350" s="6" t="n">
        <f aca="false">Sens!J2330</f>
        <v>19.2932782348507</v>
      </c>
      <c r="K2350" s="6" t="n">
        <f aca="false">Sens!K2330</f>
        <v>19.6791437995477</v>
      </c>
    </row>
    <row r="2351" customFormat="false" ht="15" hidden="false" customHeight="false" outlineLevel="0" collapsed="false">
      <c r="A2351" s="0" t="s">
        <v>1039</v>
      </c>
      <c r="B2351" s="0" t="s">
        <v>98</v>
      </c>
      <c r="D2351" s="6" t="n">
        <f aca="false">Sens!D2332</f>
        <v>17.315</v>
      </c>
      <c r="E2351" s="6" t="n">
        <f aca="false">Sens!E2332</f>
        <v>17.087</v>
      </c>
      <c r="F2351" s="6" t="n">
        <f aca="false">Sens!F2332</f>
        <v>15.9912273250553</v>
      </c>
      <c r="G2351" s="6" t="n">
        <f aca="false">Sens!G2332</f>
        <v>15.9574562664827</v>
      </c>
      <c r="H2351" s="6" t="n">
        <f aca="false">Sens!H2332</f>
        <v>16.0119687434196</v>
      </c>
      <c r="I2351" s="6" t="n">
        <f aca="false">Sens!I2332</f>
        <v>16.1551810001948</v>
      </c>
      <c r="J2351" s="6" t="n">
        <f aca="false">Sens!J2332</f>
        <v>16.3889793892005</v>
      </c>
      <c r="K2351" s="6" t="n">
        <f aca="false">Sens!K2332</f>
        <v>16.7167589769845</v>
      </c>
    </row>
    <row r="2352" customFormat="false" ht="15" hidden="false" customHeight="false" outlineLevel="0" collapsed="false">
      <c r="A2352" s="0" t="s">
        <v>866</v>
      </c>
      <c r="B2352" s="0" t="s">
        <v>98</v>
      </c>
      <c r="D2352" s="6" t="n">
        <f aca="false">Sens!D2334</f>
        <v>62.941</v>
      </c>
      <c r="E2352" s="6" t="n">
        <f aca="false">Sens!E2334</f>
        <v>63.712</v>
      </c>
      <c r="F2352" s="6" t="n">
        <f aca="false">Sens!F2334</f>
        <v>64.3025149952511</v>
      </c>
      <c r="G2352" s="6" t="n">
        <f aca="false">Sens!G2334</f>
        <v>66.2756719305292</v>
      </c>
      <c r="H2352" s="6" t="n">
        <f aca="false">Sens!H2334</f>
        <v>68.7139736271804</v>
      </c>
      <c r="I2352" s="6" t="n">
        <f aca="false">Sens!I2334</f>
        <v>71.5446393194289</v>
      </c>
      <c r="J2352" s="6" t="n">
        <f aca="false">Sens!J2334</f>
        <v>74.707035000971</v>
      </c>
      <c r="K2352" s="6" t="n">
        <f aca="false">Sens!K2334</f>
        <v>78.1524145698365</v>
      </c>
    </row>
    <row r="2353" customFormat="false" ht="15" hidden="false" customHeight="false" outlineLevel="0" collapsed="false">
      <c r="A2353" s="1" t="s">
        <v>1055</v>
      </c>
      <c r="B2353" s="0" t="s">
        <v>98</v>
      </c>
      <c r="D2353" s="6" t="n">
        <f aca="false">Sens!D2335</f>
        <v>281.724</v>
      </c>
      <c r="E2353" s="6" t="n">
        <f aca="false">Sens!E2335</f>
        <v>331.839</v>
      </c>
      <c r="F2353" s="6" t="n">
        <f aca="false">Sens!F2335</f>
        <v>394.447797055133</v>
      </c>
      <c r="G2353" s="6" t="n">
        <f aca="false">Sens!G2335</f>
        <v>458.93243179638</v>
      </c>
      <c r="H2353" s="6" t="n">
        <f aca="false">Sens!H2335</f>
        <v>519.258246925162</v>
      </c>
      <c r="I2353" s="6" t="n">
        <f aca="false">Sens!I2335</f>
        <v>582.236774445359</v>
      </c>
      <c r="J2353" s="6" t="n">
        <f aca="false">Sens!J2335</f>
        <v>635.123767630377</v>
      </c>
      <c r="K2353" s="6" t="n">
        <f aca="false">Sens!K2335</f>
        <v>678.284825162529</v>
      </c>
    </row>
    <row r="2354" customFormat="false" ht="15" hidden="false" customHeight="false" outlineLevel="0" collapsed="false">
      <c r="A2354" s="1" t="s">
        <v>1056</v>
      </c>
      <c r="B2354" s="0" t="s">
        <v>168</v>
      </c>
      <c r="E2354" s="7" t="n">
        <f aca="false">Sens!E2353/Sens!D2353-1</f>
        <v>0.177886867998467</v>
      </c>
      <c r="F2354" s="7" t="n">
        <f aca="false">Sens!F2353/Sens!E2353-1</f>
        <v>0.188672208676897</v>
      </c>
      <c r="G2354" s="7" t="n">
        <f aca="false">Sens!G2353/Sens!F2353-1</f>
        <v>0.16348078306604</v>
      </c>
      <c r="H2354" s="7" t="n">
        <f aca="false">Sens!H2353/Sens!G2353-1</f>
        <v>0.131448141271366</v>
      </c>
      <c r="I2354" s="7" t="n">
        <f aca="false">Sens!I2353/Sens!H2353-1</f>
        <v>0.121285560495438</v>
      </c>
      <c r="J2354" s="7" t="n">
        <f aca="false">Sens!J2353/Sens!I2353-1</f>
        <v>0.0908341683422489</v>
      </c>
      <c r="K2354" s="7" t="n">
        <f aca="false">Sens!K2353/Sens!J2353-1</f>
        <v>0.0679569238814417</v>
      </c>
    </row>
    <row r="2355" customFormat="false" ht="17.15" hidden="false" customHeight="false" outlineLevel="0" collapsed="false">
      <c r="A2355" s="26" t="s">
        <v>1057</v>
      </c>
      <c r="B2355" s="31" t="s">
        <v>98</v>
      </c>
      <c r="C2355" s="31"/>
      <c r="D2355" s="27" t="n">
        <f aca="false">(Sens!D2348+Sens!D2352-Sens!D2353)+(Sens!D2340+Sens!D2341-Sens!D2339)+(Sens!D2343+Sens!D2344-Sens!D2342)+(Sens!D2353-Q!L18)</f>
        <v>0</v>
      </c>
      <c r="E2355" s="27" t="n">
        <f aca="false">(Sens!E2348+Sens!E2352-Sens!E2353)+(Sens!E2340+Sens!E2341-Sens!E2339)+(Sens!E2343+Sens!E2344-Sens!E2342)+(Sens!E2353-Q!M18)</f>
        <v>0</v>
      </c>
      <c r="F2355" s="27" t="n">
        <f aca="false">(Sens!F2348+Sens!F2352-Sens!F2353)+(Sens!F2340+Sens!F2341-Sens!F2339)+(Sens!F2343+Sens!F2344-Sens!F2342)</f>
        <v>0</v>
      </c>
      <c r="G2355" s="27" t="n">
        <f aca="false">(Sens!G2348+Sens!G2352-Sens!G2353)+(Sens!G2340+Sens!G2341-Sens!G2339)+(Sens!G2343+Sens!G2344-Sens!G2342)</f>
        <v>0</v>
      </c>
      <c r="H2355" s="27" t="n">
        <f aca="false">(Sens!H2348+Sens!H2352-Sens!H2353)+(Sens!H2340+Sens!H2341-Sens!H2339)+(Sens!H2343+Sens!H2344-Sens!H2342)</f>
        <v>0</v>
      </c>
      <c r="I2355" s="27" t="n">
        <f aca="false">(Sens!I2348+Sens!I2352-Sens!I2353)+(Sens!I2340+Sens!I2341-Sens!I2339)+(Sens!I2343+Sens!I2344-Sens!I2342)</f>
        <v>0</v>
      </c>
      <c r="J2355" s="27" t="n">
        <f aca="false">(Sens!J2348+Sens!J2352-Sens!J2353)+(Sens!J2340+Sens!J2341-Sens!J2339)+(Sens!J2343+Sens!J2344-Sens!J2342)</f>
        <v>0</v>
      </c>
      <c r="K2355" s="27" t="n">
        <f aca="false">(Sens!K2348+Sens!K2352-Sens!K2353)+(Sens!K2340+Sens!K2341-Sens!K2339)+(Sens!K2343+Sens!K2344-Sens!K2342)</f>
        <v>0</v>
      </c>
    </row>
    <row r="2356" customFormat="false" ht="17.15" hidden="false" customHeight="false" outlineLevel="0" collapsed="false">
      <c r="A2356" s="0" t="s">
        <v>1058</v>
      </c>
      <c r="B2356" s="0" t="s">
        <v>168</v>
      </c>
      <c r="E2356" s="7" t="n">
        <f aca="false">(Q!M21+Sens!E2292+Sens!E2293+Sens!E2294+Sens!E2308-Sens!E2290)/(Q!M5-Sens!E2290)</f>
        <v>0.591291114837517</v>
      </c>
      <c r="F2356" s="7" t="n">
        <f aca="false">Sens!$E$2356+dm_seg</f>
        <v>0.591291114837517</v>
      </c>
      <c r="G2356" s="7" t="n">
        <f aca="false">Sens!$E$2356+dm_seg</f>
        <v>0.591291114837517</v>
      </c>
      <c r="H2356" s="7" t="n">
        <f aca="false">Sens!$E$2356+dm_seg</f>
        <v>0.591291114837517</v>
      </c>
      <c r="I2356" s="7" t="n">
        <f aca="false">Sens!$E$2356+dm_seg</f>
        <v>0.591291114837517</v>
      </c>
      <c r="J2356" s="7" t="n">
        <f aca="false">Sens!$E$2356+dm_seg</f>
        <v>0.591291114837517</v>
      </c>
      <c r="K2356" s="7" t="n">
        <f aca="false">Sens!$E$2356+dm_seg</f>
        <v>0.591291114837517</v>
      </c>
      <c r="L2356" s="12" t="s">
        <v>1059</v>
      </c>
    </row>
    <row r="2357" customFormat="false" ht="17.15" hidden="false" customHeight="false" outlineLevel="0" collapsed="false">
      <c r="A2357" s="0" t="s">
        <v>880</v>
      </c>
      <c r="B2357" s="0" t="s">
        <v>98</v>
      </c>
      <c r="D2357" s="6" t="n">
        <f aca="false">Q!L21</f>
        <v>110.814</v>
      </c>
      <c r="E2357" s="6" t="n">
        <f aca="false">Q!M21</f>
        <v>136.365</v>
      </c>
      <c r="F2357" s="6" t="n">
        <f aca="false">Q!$I$21+(Sens!F2356*(Sens!F2327-Sens!F2290)+Sens!F2290-(Sens!F2292+Sens!F2293+Sens!F2294)-Sens!F2308-Sens!F2391)*(Sens!F2327-Q!$I$5)/Sens!F2327</f>
        <v>154.580161932075</v>
      </c>
      <c r="G2357" s="6" t="n">
        <f aca="false">(Sens!G2356*(Sens!G2327-Sens!G2290)+Sens!G2290-(Sens!G2292+Sens!G2293+Sens!G2294)-Sens!G2308-Sens!G2391)</f>
        <v>149.896521087515</v>
      </c>
      <c r="H2357" s="6" t="n">
        <f aca="false">(Sens!H2356*(Sens!H2327-Sens!H2290)+Sens!H2290-(Sens!H2292+Sens!H2293+Sens!H2294)-Sens!H2308-Sens!H2391)</f>
        <v>144.014137545227</v>
      </c>
      <c r="I2357" s="6" t="n">
        <f aca="false">(Sens!I2356*(Sens!I2327-Sens!I2290)+Sens!I2290-(Sens!I2292+Sens!I2293+Sens!I2294)-Sens!I2308-Sens!I2391)</f>
        <v>146.890926892942</v>
      </c>
      <c r="J2357" s="6" t="n">
        <f aca="false">(Sens!J2356*(Sens!J2327-Sens!J2290)+Sens!J2290-(Sens!J2292+Sens!J2293+Sens!J2294)-Sens!J2308-Sens!J2391)</f>
        <v>153.390927142712</v>
      </c>
      <c r="K2357" s="6" t="n">
        <f aca="false">(Sens!K2356*(Sens!K2327-Sens!K2290)+Sens!K2290-(Sens!K2292+Sens!K2293+Sens!K2294)-Sens!K2308-Sens!K2391)</f>
        <v>163.202302111296</v>
      </c>
      <c r="L2357" s="1" t="s">
        <v>1060</v>
      </c>
    </row>
    <row r="2358" customFormat="false" ht="17.15" hidden="false" customHeight="false" outlineLevel="0" collapsed="false">
      <c r="A2358" s="0" t="s">
        <v>1061</v>
      </c>
      <c r="B2358" s="0" t="s">
        <v>168</v>
      </c>
      <c r="E2358" s="7" t="n">
        <f aca="false">Q!M22/Q!M12</f>
        <v>0.296207935710698</v>
      </c>
      <c r="F2358" s="7" t="n">
        <f aca="false">Sens!$E$2358+dm_seg</f>
        <v>0.296207935710698</v>
      </c>
      <c r="G2358" s="7" t="n">
        <f aca="false">Sens!$E$2358+dm_seg</f>
        <v>0.296207935710698</v>
      </c>
      <c r="H2358" s="7" t="n">
        <f aca="false">Sens!$E$2358+dm_seg</f>
        <v>0.296207935710698</v>
      </c>
      <c r="I2358" s="7" t="n">
        <f aca="false">Sens!$E$2358+dm_seg</f>
        <v>0.296207935710698</v>
      </c>
      <c r="J2358" s="7" t="n">
        <f aca="false">Sens!$E$2358+dm_seg</f>
        <v>0.296207935710698</v>
      </c>
      <c r="K2358" s="7" t="n">
        <f aca="false">Sens!$E$2358+dm_seg</f>
        <v>0.296207935710698</v>
      </c>
      <c r="L2358" s="12" t="s">
        <v>1062</v>
      </c>
    </row>
    <row r="2359" customFormat="false" ht="17.15" hidden="false" customHeight="false" outlineLevel="0" collapsed="false">
      <c r="A2359" s="0" t="s">
        <v>882</v>
      </c>
      <c r="B2359" s="0" t="s">
        <v>98</v>
      </c>
      <c r="D2359" s="6" t="n">
        <f aca="false">Q!L22</f>
        <v>17.714</v>
      </c>
      <c r="E2359" s="6" t="n">
        <f aca="false">Q!M22</f>
        <v>18.872</v>
      </c>
      <c r="F2359" s="6" t="n">
        <f aca="false">Q!$I$22+(Sens!F2334-Q!$I$12)*Sens!F2358</f>
        <v>19.8174315512051</v>
      </c>
      <c r="G2359" s="6" t="n">
        <f aca="false">Sens!G2334*Sens!G2358</f>
        <v>19.6313799703815</v>
      </c>
      <c r="H2359" s="6" t="n">
        <f aca="false">Sens!H2334*Sens!H2358</f>
        <v>20.3536242825865</v>
      </c>
      <c r="I2359" s="6" t="n">
        <f aca="false">Sens!I2334*Sens!I2358</f>
        <v>21.1920899239745</v>
      </c>
      <c r="J2359" s="6" t="n">
        <f aca="false">Sens!J2334*Sens!J2358</f>
        <v>22.1288166207045</v>
      </c>
      <c r="K2359" s="6" t="n">
        <f aca="false">Sens!K2334*Sens!K2358</f>
        <v>23.1493653905379</v>
      </c>
      <c r="L2359" s="12" t="s">
        <v>1063</v>
      </c>
    </row>
    <row r="2360" customFormat="false" ht="15" hidden="false" customHeight="false" outlineLevel="0" collapsed="false">
      <c r="A2360" s="1" t="s">
        <v>1064</v>
      </c>
      <c r="B2360" s="0" t="s">
        <v>98</v>
      </c>
      <c r="D2360" s="6" t="n">
        <f aca="false">Sens!D2357+Sens!D2359</f>
        <v>128.528</v>
      </c>
      <c r="E2360" s="6" t="n">
        <f aca="false">Sens!E2357+Sens!E2359</f>
        <v>155.237</v>
      </c>
      <c r="F2360" s="6" t="n">
        <f aca="false">Sens!F2357+Sens!F2359</f>
        <v>174.39759348328</v>
      </c>
      <c r="G2360" s="6" t="n">
        <f aca="false">Sens!G2357+Sens!G2359</f>
        <v>169.527901057897</v>
      </c>
      <c r="H2360" s="6" t="n">
        <f aca="false">Sens!H2357+Sens!H2359</f>
        <v>164.367761827813</v>
      </c>
      <c r="I2360" s="6" t="n">
        <f aca="false">Sens!I2357+Sens!I2359</f>
        <v>168.083016816916</v>
      </c>
      <c r="J2360" s="6" t="n">
        <f aca="false">Sens!J2357+Sens!J2359</f>
        <v>175.519743763417</v>
      </c>
      <c r="K2360" s="6" t="n">
        <f aca="false">Sens!K2357+Sens!K2359</f>
        <v>186.351667501834</v>
      </c>
    </row>
    <row r="2361" customFormat="false" ht="15" hidden="false" customHeight="false" outlineLevel="0" collapsed="false">
      <c r="A2361" s="26" t="s">
        <v>1065</v>
      </c>
      <c r="B2361" s="31" t="s">
        <v>98</v>
      </c>
      <c r="C2361" s="31"/>
      <c r="D2361" s="27" t="n">
        <f aca="false">Sens!D2360-Q!L23</f>
        <v>0</v>
      </c>
      <c r="E2361" s="27" t="n">
        <f aca="false">Sens!E2360-Q!M23</f>
        <v>0</v>
      </c>
      <c r="F2361" s="31"/>
      <c r="G2361" s="31"/>
      <c r="H2361" s="31"/>
      <c r="I2361" s="31"/>
      <c r="J2361" s="31"/>
      <c r="K2361" s="31"/>
    </row>
    <row r="2362" customFormat="false" ht="15" hidden="false" customHeight="false" outlineLevel="0" collapsed="false">
      <c r="A2362" s="1" t="s">
        <v>1066</v>
      </c>
      <c r="B2362" s="0" t="s">
        <v>168</v>
      </c>
      <c r="D2362" s="7" t="n">
        <f aca="false">Sens!D2360/Sens!D2353</f>
        <v>0.456219562408598</v>
      </c>
      <c r="E2362" s="7" t="n">
        <f aca="false">Sens!E2360/Sens!E2353</f>
        <v>0.467808184089272</v>
      </c>
      <c r="F2362" s="7" t="n">
        <f aca="false">Sens!F2360/Sens!F2353</f>
        <v>0.442130986116027</v>
      </c>
      <c r="G2362" s="7" t="n">
        <f aca="false">Sens!G2360/Sens!G2353</f>
        <v>0.369396210231473</v>
      </c>
      <c r="H2362" s="7" t="n">
        <f aca="false">Sens!H2360/Sens!H2353</f>
        <v>0.316543382413535</v>
      </c>
      <c r="I2362" s="7" t="n">
        <f aca="false">Sens!I2360/Sens!I2353</f>
        <v>0.288684988984134</v>
      </c>
      <c r="J2362" s="7" t="n">
        <f aca="false">Sens!J2360/Sens!J2353</f>
        <v>0.276355181003971</v>
      </c>
      <c r="K2362" s="7" t="n">
        <f aca="false">Sens!K2360/Sens!K2353</f>
        <v>0.274739549800751</v>
      </c>
    </row>
    <row r="2363" customFormat="false" ht="17.15" hidden="false" customHeight="false" outlineLevel="0" collapsed="false">
      <c r="A2363" s="1" t="s">
        <v>1067</v>
      </c>
      <c r="B2363" s="0" t="s">
        <v>98</v>
      </c>
      <c r="F2363" s="6" t="n">
        <f aca="false">Sens!F2378</f>
        <v>17.2864289821906</v>
      </c>
      <c r="G2363" s="6" t="n">
        <f aca="false">Sens!G2378</f>
        <v>43.9544155321074</v>
      </c>
      <c r="H2363" s="6" t="n">
        <f aca="false">Sens!H2378</f>
        <v>72.8321885062222</v>
      </c>
      <c r="I2363" s="6" t="n">
        <f aca="false">Sens!I2378</f>
        <v>98.4871230239457</v>
      </c>
      <c r="J2363" s="6" t="n">
        <f aca="false">Sens!J2378</f>
        <v>116.3363571045</v>
      </c>
      <c r="K2363" s="6" t="n">
        <f aca="false">Sens!K2378</f>
        <v>126.834206616454</v>
      </c>
      <c r="L2363" s="1" t="s">
        <v>1068</v>
      </c>
    </row>
    <row r="2364" customFormat="false" ht="17.15" hidden="false" customHeight="false" outlineLevel="0" collapsed="false">
      <c r="A2364" s="1" t="s">
        <v>1069</v>
      </c>
      <c r="B2364" s="0" t="s">
        <v>98</v>
      </c>
      <c r="D2364" s="6" t="n">
        <f aca="false">Sens!D2360</f>
        <v>128.528</v>
      </c>
      <c r="E2364" s="6" t="n">
        <f aca="false">Sens!E2360</f>
        <v>155.237</v>
      </c>
      <c r="F2364" s="6" t="n">
        <f aca="false">Sens!F2360+Sens!F2363</f>
        <v>191.684022465471</v>
      </c>
      <c r="G2364" s="6" t="n">
        <f aca="false">Sens!G2360+Sens!G2363</f>
        <v>213.482316590004</v>
      </c>
      <c r="H2364" s="6" t="n">
        <f aca="false">Sens!H2360+Sens!H2363</f>
        <v>237.199950334035</v>
      </c>
      <c r="I2364" s="6" t="n">
        <f aca="false">Sens!I2360+Sens!I2363</f>
        <v>266.570139840862</v>
      </c>
      <c r="J2364" s="6" t="n">
        <f aca="false">Sens!J2360+Sens!J2363</f>
        <v>291.856100867917</v>
      </c>
      <c r="K2364" s="6" t="n">
        <f aca="false">Sens!K2360+Sens!K2363</f>
        <v>313.185874118288</v>
      </c>
    </row>
    <row r="2365" customFormat="false" ht="17.15" hidden="false" customHeight="false" outlineLevel="0" collapsed="false">
      <c r="A2365" s="1" t="s">
        <v>1070</v>
      </c>
      <c r="B2365" s="0" t="s">
        <v>98</v>
      </c>
      <c r="E2365" s="6" t="n">
        <f aca="false">Sens!E2308</f>
        <v>19.5664871725</v>
      </c>
      <c r="F2365" s="6" t="n">
        <f aca="false">Sens!F2308</f>
        <v>41.495177374022</v>
      </c>
      <c r="G2365" s="6" t="n">
        <f aca="false">Sens!G2308</f>
        <v>72.8813887827587</v>
      </c>
      <c r="H2365" s="6" t="n">
        <f aca="false">Sens!H2308</f>
        <v>106.920108793735</v>
      </c>
      <c r="I2365" s="6" t="n">
        <f aca="false">Sens!I2308</f>
        <v>137.077211633458</v>
      </c>
      <c r="J2365" s="6" t="n">
        <f aca="false">Sens!J2308</f>
        <v>158.418807659515</v>
      </c>
      <c r="K2365" s="6" t="n">
        <f aca="false">Sens!K2308</f>
        <v>171.615203461121</v>
      </c>
    </row>
    <row r="2366" customFormat="false" ht="17.15" hidden="false" customHeight="false" outlineLevel="0" collapsed="false">
      <c r="A2366" s="1" t="s">
        <v>1071</v>
      </c>
      <c r="B2366" s="0" t="s">
        <v>98</v>
      </c>
      <c r="E2366" s="6" t="n">
        <f aca="false">Sens!E2390</f>
        <v>18.9675128275</v>
      </c>
      <c r="F2366" s="6" t="n">
        <f aca="false">Sens!F2390</f>
        <v>20.6533674520802</v>
      </c>
      <c r="G2366" s="6" t="n">
        <f aca="false">Sens!G2390</f>
        <v>22.7061329409595</v>
      </c>
      <c r="H2366" s="6" t="n">
        <f aca="false">Sens!H2390</f>
        <v>25.0977652918538</v>
      </c>
      <c r="I2366" s="6" t="n">
        <f aca="false">Sens!I2390</f>
        <v>27.7744174259469</v>
      </c>
      <c r="J2366" s="6" t="n">
        <f aca="false">Sens!J2390</f>
        <v>30.6638789303745</v>
      </c>
      <c r="K2366" s="6" t="n">
        <f aca="false">Sens!K2390</f>
        <v>33.6841256921746</v>
      </c>
    </row>
    <row r="2367" customFormat="false" ht="17.15" hidden="false" customHeight="false" outlineLevel="0" collapsed="false">
      <c r="A2367" s="1" t="s">
        <v>1072</v>
      </c>
      <c r="B2367" s="0" t="s">
        <v>98</v>
      </c>
      <c r="D2367" s="6" t="n">
        <f aca="false">Q!L27</f>
        <v>-4.901</v>
      </c>
      <c r="E2367" s="6" t="n">
        <f aca="false">Q!M27</f>
        <v>10.697</v>
      </c>
      <c r="F2367" s="6" t="n">
        <f aca="false">Q!$I$27+oie_f*(q_per_yr-1)/q_per_yr</f>
        <v>-0.862</v>
      </c>
      <c r="G2367" s="6" t="n">
        <f aca="false">oie_f</f>
        <v>-1.2</v>
      </c>
      <c r="H2367" s="6" t="n">
        <f aca="false">oie_f</f>
        <v>-1.2</v>
      </c>
      <c r="I2367" s="6" t="n">
        <f aca="false">oie_f</f>
        <v>-1.2</v>
      </c>
      <c r="J2367" s="6" t="n">
        <f aca="false">oie_f</f>
        <v>-1.2</v>
      </c>
      <c r="K2367" s="6" t="n">
        <f aca="false">oie_f</f>
        <v>-1.2</v>
      </c>
      <c r="L2367" s="12" t="s">
        <v>1073</v>
      </c>
    </row>
    <row r="2368" customFormat="false" ht="15" hidden="false" customHeight="false" outlineLevel="0" collapsed="false">
      <c r="A2368" s="1" t="s">
        <v>1074</v>
      </c>
      <c r="B2368" s="0" t="s">
        <v>98</v>
      </c>
      <c r="D2368" s="6" t="n">
        <f aca="false">Sens!D2360+Sens!D2367</f>
        <v>123.627</v>
      </c>
      <c r="E2368" s="6" t="n">
        <f aca="false">Sens!E2360+Sens!E2367</f>
        <v>165.934</v>
      </c>
      <c r="F2368" s="6" t="n">
        <f aca="false">Sens!F2360+Sens!F2367</f>
        <v>173.53559348328</v>
      </c>
      <c r="G2368" s="6" t="n">
        <f aca="false">Sens!G2360+Sens!G2367</f>
        <v>168.327901057897</v>
      </c>
      <c r="H2368" s="6" t="n">
        <f aca="false">Sens!H2360+Sens!H2367</f>
        <v>163.167761827813</v>
      </c>
      <c r="I2368" s="6" t="n">
        <f aca="false">Sens!I2360+Sens!I2367</f>
        <v>166.883016816916</v>
      </c>
      <c r="J2368" s="6" t="n">
        <f aca="false">Sens!J2360+Sens!J2367</f>
        <v>174.319743763417</v>
      </c>
      <c r="K2368" s="6" t="n">
        <f aca="false">Sens!K2360+Sens!K2367</f>
        <v>185.151667501834</v>
      </c>
    </row>
    <row r="2369" customFormat="false" ht="15" hidden="false" customHeight="false" outlineLevel="0" collapsed="false">
      <c r="A2369" s="1" t="s">
        <v>1075</v>
      </c>
      <c r="B2369" s="0" t="s">
        <v>98</v>
      </c>
      <c r="D2369" s="6" t="n">
        <f aca="false">Q!L29</f>
        <v>21.795</v>
      </c>
      <c r="E2369" s="6" t="n">
        <f aca="false">Q!M29</f>
        <v>32.185</v>
      </c>
      <c r="F2369" s="6" t="n">
        <f aca="false">Q!$I$29+(Sens!F2368-Q!$I$28)*tax_f</f>
        <v>34.8405186966561</v>
      </c>
      <c r="G2369" s="6" t="n">
        <f aca="false">Sens!G2368*tax_f</f>
        <v>33.6655802115793</v>
      </c>
      <c r="H2369" s="6" t="n">
        <f aca="false">Sens!H2368*tax_f</f>
        <v>32.6335523655626</v>
      </c>
      <c r="I2369" s="6" t="n">
        <f aca="false">Sens!I2368*tax_f</f>
        <v>33.3766033633832</v>
      </c>
      <c r="J2369" s="6" t="n">
        <f aca="false">Sens!J2368*tax_f</f>
        <v>34.8639487526834</v>
      </c>
      <c r="K2369" s="6" t="n">
        <f aca="false">Sens!K2368*tax_f</f>
        <v>37.0303335003668</v>
      </c>
    </row>
    <row r="2370" customFormat="false" ht="15" hidden="false" customHeight="false" outlineLevel="0" collapsed="false">
      <c r="A2370" s="1" t="s">
        <v>1076</v>
      </c>
      <c r="B2370" s="0" t="s">
        <v>98</v>
      </c>
      <c r="D2370" s="6" t="n">
        <f aca="false">Sens!D2368-Sens!D2369</f>
        <v>101.832</v>
      </c>
      <c r="E2370" s="6" t="n">
        <f aca="false">Sens!E2368-Sens!E2369</f>
        <v>133.749</v>
      </c>
      <c r="F2370" s="6" t="n">
        <f aca="false">Sens!F2368-Sens!F2369</f>
        <v>138.695074786624</v>
      </c>
      <c r="G2370" s="6" t="n">
        <f aca="false">Sens!G2368-Sens!G2369</f>
        <v>134.662320846317</v>
      </c>
      <c r="H2370" s="6" t="n">
        <f aca="false">Sens!H2368-Sens!H2369</f>
        <v>130.534209462251</v>
      </c>
      <c r="I2370" s="6" t="n">
        <f aca="false">Sens!I2368-Sens!I2369</f>
        <v>133.506413453533</v>
      </c>
      <c r="J2370" s="6" t="n">
        <f aca="false">Sens!J2368-Sens!J2369</f>
        <v>139.455795010733</v>
      </c>
      <c r="K2370" s="6" t="n">
        <f aca="false">Sens!K2368-Sens!K2369</f>
        <v>148.121334001467</v>
      </c>
    </row>
    <row r="2371" customFormat="false" ht="17.15" hidden="false" customHeight="false" outlineLevel="0" collapsed="false">
      <c r="A2371" s="1" t="s">
        <v>1077</v>
      </c>
      <c r="B2371" s="1" t="s">
        <v>81</v>
      </c>
      <c r="D2371" s="15" t="n">
        <f aca="false">Q!L31</f>
        <v>7.465</v>
      </c>
      <c r="E2371" s="15" t="n">
        <f aca="false">Q!M31</f>
        <v>7.453</v>
      </c>
      <c r="F2371" s="15" t="n">
        <f aca="false">Sens!F2415</f>
        <v>7.4735</v>
      </c>
      <c r="G2371" s="15" t="n">
        <f aca="false">Sens!G2415</f>
        <v>7.5185</v>
      </c>
      <c r="H2371" s="15" t="n">
        <f aca="false">Sens!H2415</f>
        <v>7.5635</v>
      </c>
      <c r="I2371" s="15" t="n">
        <f aca="false">Sens!I2415</f>
        <v>7.59248142502667</v>
      </c>
      <c r="J2371" s="15" t="n">
        <f aca="false">Sens!J2415</f>
        <v>7.60663083618914</v>
      </c>
      <c r="K2371" s="15" t="n">
        <f aca="false">Sens!K2415</f>
        <v>7.62306547615439</v>
      </c>
    </row>
    <row r="2372" customFormat="false" ht="17.15" hidden="false" customHeight="false" outlineLevel="0" collapsed="false">
      <c r="A2372" s="0" t="s">
        <v>1078</v>
      </c>
      <c r="B2372" s="0" t="s">
        <v>75</v>
      </c>
      <c r="D2372" s="8" t="n">
        <f aca="false">Sens!D2370/Sens!D2371</f>
        <v>13.641259209645</v>
      </c>
      <c r="E2372" s="8" t="n">
        <f aca="false">Sens!E2370/Sens!E2371</f>
        <v>17.9456594659869</v>
      </c>
      <c r="F2372" s="8" t="n">
        <f aca="false">Sens!F2370/Sens!F2371</f>
        <v>18.5582491184351</v>
      </c>
      <c r="G2372" s="8" t="n">
        <f aca="false">Sens!G2370/Sens!G2371</f>
        <v>17.9107961490081</v>
      </c>
      <c r="H2372" s="8" t="n">
        <f aca="false">Sens!H2370/Sens!H2371</f>
        <v>17.258439804621</v>
      </c>
      <c r="I2372" s="8" t="n">
        <f aca="false">Sens!I2370/Sens!I2371</f>
        <v>17.584028986026</v>
      </c>
      <c r="J2372" s="8" t="n">
        <f aca="false">Sens!J2370/Sens!J2371</f>
        <v>18.3334511709523</v>
      </c>
      <c r="K2372" s="8" t="n">
        <f aca="false">Sens!K2370/Sens!K2371</f>
        <v>19.4306784409505</v>
      </c>
      <c r="L2372" s="1" t="s">
        <v>1079</v>
      </c>
    </row>
    <row r="2373" customFormat="false" ht="17.15" hidden="false" customHeight="false" outlineLevel="0" collapsed="false">
      <c r="A2373" s="1" t="s">
        <v>1080</v>
      </c>
      <c r="B2373" s="0" t="s">
        <v>98</v>
      </c>
      <c r="D2373" s="6" t="n">
        <f aca="false">Sens!D2370</f>
        <v>101.832</v>
      </c>
      <c r="E2373" s="6" t="n">
        <f aca="false">Sens!E2370</f>
        <v>133.749</v>
      </c>
      <c r="F2373" s="6" t="n">
        <f aca="false">Sens!F2370+Sens!F2363*(1-tax_f)</f>
        <v>152.524217972377</v>
      </c>
      <c r="G2373" s="6" t="n">
        <f aca="false">Sens!G2370+Sens!G2363*(1-tax_f)</f>
        <v>169.825853272003</v>
      </c>
      <c r="H2373" s="6" t="n">
        <f aca="false">Sens!H2370+Sens!H2363*(1-tax_f)</f>
        <v>188.799960267228</v>
      </c>
      <c r="I2373" s="6" t="n">
        <f aca="false">Sens!I2370+Sens!I2363*(1-tax_f)</f>
        <v>212.296111872689</v>
      </c>
      <c r="J2373" s="6" t="n">
        <f aca="false">Sens!J2370+Sens!J2363*(1-tax_f)</f>
        <v>232.524880694334</v>
      </c>
      <c r="K2373" s="6" t="n">
        <f aca="false">Sens!K2370+Sens!K2363*(1-tax_f)</f>
        <v>249.58869929463</v>
      </c>
    </row>
    <row r="2374" customFormat="false" ht="17.15" hidden="false" customHeight="false" outlineLevel="0" collapsed="false">
      <c r="A2374" s="0" t="s">
        <v>1081</v>
      </c>
      <c r="B2374" s="0" t="s">
        <v>75</v>
      </c>
      <c r="D2374" s="8" t="n">
        <f aca="false">Sens!D2373/Sens!D2371</f>
        <v>13.641259209645</v>
      </c>
      <c r="E2374" s="8" t="n">
        <f aca="false">Sens!E2373/Sens!E2371</f>
        <v>17.9456594659869</v>
      </c>
      <c r="F2374" s="8" t="n">
        <f aca="false">Sens!F2373/Sens!F2371</f>
        <v>20.408673041062</v>
      </c>
      <c r="G2374" s="8" t="n">
        <f aca="false">Sens!G2373/Sens!G2371</f>
        <v>22.5877307005391</v>
      </c>
      <c r="H2374" s="8" t="n">
        <f aca="false">Sens!H2373/Sens!H2371</f>
        <v>24.9619832441632</v>
      </c>
      <c r="I2374" s="8" t="n">
        <f aca="false">Sens!I2373/Sens!I2371</f>
        <v>27.9613607183693</v>
      </c>
      <c r="J2374" s="8" t="n">
        <f aca="false">Sens!J2373/Sens!J2371</f>
        <v>30.5687084994421</v>
      </c>
      <c r="K2374" s="8" t="n">
        <f aca="false">Sens!K2373/Sens!K2371</f>
        <v>32.741250888552</v>
      </c>
      <c r="L2374" s="1" t="s">
        <v>1082</v>
      </c>
    </row>
    <row r="2375" customFormat="false" ht="17.15" hidden="false" customHeight="false" outlineLevel="0" collapsed="false">
      <c r="A2375" s="0" t="s">
        <v>1083</v>
      </c>
      <c r="B2375" s="0" t="s">
        <v>168</v>
      </c>
      <c r="E2375" s="7" t="n">
        <f aca="false">Sens!E2374/Sens!D2374-1</f>
        <v>0.315542736208578</v>
      </c>
      <c r="F2375" s="7" t="n">
        <f aca="false">Sens!F2374/Sens!E2374-1</f>
        <v>0.137248429334313</v>
      </c>
      <c r="G2375" s="7" t="n">
        <f aca="false">Sens!G2374/Sens!F2374-1</f>
        <v>0.10677115827633</v>
      </c>
      <c r="H2375" s="7" t="n">
        <f aca="false">Sens!H2374/Sens!G2374-1</f>
        <v>0.105112486734553</v>
      </c>
      <c r="I2375" s="7" t="n">
        <f aca="false">Sens!I2374/Sens!H2374-1</f>
        <v>0.120157819387507</v>
      </c>
      <c r="J2375" s="7" t="n">
        <f aca="false">Sens!J2374/Sens!I2374-1</f>
        <v>0.0932482437937978</v>
      </c>
      <c r="K2375" s="7" t="n">
        <f aca="false">Sens!K2374/Sens!J2374-1</f>
        <v>0.0710707941472084</v>
      </c>
    </row>
    <row r="2376" customFormat="false" ht="17.15" hidden="false" customHeight="false" outlineLevel="0" collapsed="false">
      <c r="A2376" s="0" t="s">
        <v>1003</v>
      </c>
      <c r="B2376" s="0" t="s">
        <v>98</v>
      </c>
      <c r="E2376" s="6" t="n">
        <f aca="false">Sens!E2317</f>
        <v>5.25</v>
      </c>
      <c r="F2376" s="6" t="n">
        <f aca="false">Sens!F2317</f>
        <v>10.5</v>
      </c>
      <c r="G2376" s="6" t="n">
        <f aca="false">Sens!G2317</f>
        <v>13.5</v>
      </c>
      <c r="H2376" s="6" t="n">
        <f aca="false">Sens!H2317</f>
        <v>16.5</v>
      </c>
      <c r="I2376" s="6" t="n">
        <f aca="false">Sens!I2317</f>
        <v>18.75</v>
      </c>
      <c r="J2376" s="6" t="n">
        <f aca="false">Sens!J2317</f>
        <v>20.25</v>
      </c>
      <c r="K2376" s="6" t="n">
        <f aca="false">Sens!K2317</f>
        <v>21.75</v>
      </c>
    </row>
    <row r="2377" customFormat="false" ht="17.15" hidden="false" customHeight="false" outlineLevel="0" collapsed="false">
      <c r="A2377" s="1" t="s">
        <v>1004</v>
      </c>
      <c r="B2377" s="0" t="s">
        <v>98</v>
      </c>
      <c r="F2377" s="6" t="n">
        <f aca="false">MAX(0,((Sens!E2277+Sens!F2277)/2-(shadow_base*(Sens!$D$2277+Sens!$E$2277)/2+(1-shadow_base)*Sens!$E$2277))*Sens!F2286/1000-(Sens!F2376-Sens!$E$2376)*Sens!F2356)</f>
        <v>17.2864289821906</v>
      </c>
      <c r="G2377" s="6" t="n">
        <f aca="false">MAX(0,((Sens!F2277+Sens!G2277)/2-(shadow_base*(Sens!$D$2277+Sens!$E$2277)/2+(1-shadow_base)*Sens!$E$2277))*Sens!G2286/1000-(Sens!G2376-Sens!$E$2376)*Sens!G2356)</f>
        <v>43.9544155321074</v>
      </c>
      <c r="H2377" s="6" t="n">
        <f aca="false">MAX(0,((Sens!G2277+Sens!H2277)/2-(shadow_base*(Sens!$D$2277+Sens!$E$2277)/2+(1-shadow_base)*Sens!$E$2277))*Sens!H2286/1000-(Sens!H2376-Sens!$E$2376)*Sens!H2356)</f>
        <v>72.8321885062222</v>
      </c>
      <c r="I2377" s="6" t="n">
        <f aca="false">MAX(0,((Sens!H2277+Sens!I2277)/2-(shadow_base*(Sens!$D$2277+Sens!$E$2277)/2+(1-shadow_base)*Sens!$E$2277))*Sens!I2286/1000-(Sens!I2376-Sens!$E$2376)*Sens!I2356)</f>
        <v>98.4871230239457</v>
      </c>
      <c r="J2377" s="6" t="n">
        <f aca="false">MAX(0,((Sens!I2277+Sens!J2277)/2-(shadow_base*(Sens!$D$2277+Sens!$E$2277)/2+(1-shadow_base)*Sens!$E$2277))*Sens!J2286/1000-(Sens!J2376-Sens!$E$2376)*Sens!J2356)</f>
        <v>116.3363571045</v>
      </c>
      <c r="K2377" s="6" t="n">
        <f aca="false">MAX(0,((Sens!J2277+Sens!K2277)/2-(shadow_base*(Sens!$D$2277+Sens!$E$2277)/2+(1-shadow_base)*Sens!$E$2277))*Sens!K2286/1000-(Sens!K2376-Sens!$E$2376)*Sens!K2356)</f>
        <v>126.834206616454</v>
      </c>
      <c r="L2377" s="1" t="s">
        <v>1005</v>
      </c>
    </row>
    <row r="2378" customFormat="false" ht="17.15" hidden="false" customHeight="false" outlineLevel="0" collapsed="false">
      <c r="A2378" s="1" t="s">
        <v>1006</v>
      </c>
      <c r="B2378" s="0" t="s">
        <v>98</v>
      </c>
      <c r="F2378" s="6" t="n">
        <f aca="false">IF(internal_ai_reading=2,1,0)*Sens!F2377</f>
        <v>17.2864289821906</v>
      </c>
      <c r="G2378" s="6" t="n">
        <f aca="false">IF(internal_ai_reading=2,1,0)*Sens!G2377</f>
        <v>43.9544155321074</v>
      </c>
      <c r="H2378" s="6" t="n">
        <f aca="false">IF(internal_ai_reading=2,1,0)*Sens!H2377</f>
        <v>72.8321885062222</v>
      </c>
      <c r="I2378" s="6" t="n">
        <f aca="false">IF(internal_ai_reading=2,1,0)*Sens!I2377</f>
        <v>98.4871230239457</v>
      </c>
      <c r="J2378" s="6" t="n">
        <f aca="false">IF(internal_ai_reading=2,1,0)*Sens!J2377</f>
        <v>116.3363571045</v>
      </c>
      <c r="K2378" s="6" t="n">
        <f aca="false">IF(internal_ai_reading=2,1,0)*Sens!K2377</f>
        <v>126.834206616454</v>
      </c>
    </row>
    <row r="2379" customFormat="false" ht="17.15" hidden="false" customHeight="false" outlineLevel="0" collapsed="false">
      <c r="A2379" s="0" t="s">
        <v>1007</v>
      </c>
      <c r="B2379" s="0" t="s">
        <v>98</v>
      </c>
      <c r="F2379" s="6" t="n">
        <f aca="false">Sens!F2296+Sens!F2376*Sens!F2356+Sens!F2378-Sens!F2297-Sens!F2308</f>
        <v>7.01249344476911</v>
      </c>
      <c r="G2379" s="6" t="n">
        <f aca="false">Sens!G2296+Sens!G2376*Sens!G2356+Sens!G2378-Sens!G2297-Sens!G2308</f>
        <v>15.0062373406573</v>
      </c>
      <c r="H2379" s="6" t="n">
        <f aca="false">Sens!H2296+Sens!H2376*Sens!H2356+Sens!H2378-Sens!H2297-Sens!H2308</f>
        <v>17.8208497342733</v>
      </c>
      <c r="I2379" s="6" t="n">
        <f aca="false">Sens!I2296+Sens!I2376*Sens!I2356+Sens!I2378-Sens!I2297-Sens!I2308</f>
        <v>26.6838930274794</v>
      </c>
      <c r="J2379" s="6" t="n">
        <f aca="false">Sens!J2296+Sens!J2376*Sens!J2356+Sens!J2378-Sens!J2297-Sens!J2308</f>
        <v>32.6682269031172</v>
      </c>
      <c r="K2379" s="6" t="n">
        <f aca="false">Sens!K2296+Sens!K2376*Sens!K2356+Sens!K2378-Sens!K2297-Sens!K2308</f>
        <v>36.7353231525124</v>
      </c>
    </row>
    <row r="2380" customFormat="false" ht="17.15" hidden="false" customHeight="false" outlineLevel="0" collapsed="false">
      <c r="A2380" s="0" t="s">
        <v>1008</v>
      </c>
      <c r="B2380" s="0" t="s">
        <v>98</v>
      </c>
      <c r="E2380" s="6" t="n">
        <f aca="false">Sens!E2276*(cxit_open+self_build*tk_cxfac)/1000*ai_net_open</f>
        <v>152.03764584</v>
      </c>
      <c r="F2380" s="6" t="n">
        <f aca="false">Sens!E2380+Sens!F2305-Sens!F2308</f>
        <v>312.687153316522</v>
      </c>
      <c r="G2380" s="6" t="n">
        <f aca="false">Sens!F2380+Sens!G2305-Sens!G2308</f>
        <v>470.13913531262</v>
      </c>
      <c r="H2380" s="6" t="n">
        <f aca="false">Sens!G2380+Sens!H2305-Sens!H2308</f>
        <v>599.3862313963</v>
      </c>
      <c r="I2380" s="6" t="n">
        <f aca="false">Sens!H2380+Sens!I2305-Sens!I2308</f>
        <v>664.646820108775</v>
      </c>
      <c r="J2380" s="6" t="n">
        <f aca="false">Sens!I2380+Sens!J2305-Sens!J2308</f>
        <v>660.943929884388</v>
      </c>
      <c r="K2380" s="6" t="n">
        <f aca="false">Sens!J2380+Sens!K2305-Sens!K2308</f>
        <v>632.084150100946</v>
      </c>
      <c r="L2380" s="1" t="s">
        <v>1009</v>
      </c>
    </row>
    <row r="2381" customFormat="false" ht="17.15" hidden="false" customHeight="false" outlineLevel="0" collapsed="false">
      <c r="A2381" s="0" t="s">
        <v>1010</v>
      </c>
      <c r="B2381" s="0" t="s">
        <v>168</v>
      </c>
      <c r="F2381" s="7" t="n">
        <f aca="false">Sens!F2379*(1-tax_f)/((Sens!E2380+Sens!F2380)/2)</f>
        <v>0.0241432984252076</v>
      </c>
      <c r="G2381" s="7" t="n">
        <f aca="false">Sens!G2379*(1-tax_f)/((Sens!F2380+Sens!G2380)/2)</f>
        <v>0.0306708909675186</v>
      </c>
      <c r="H2381" s="7" t="n">
        <f aca="false">Sens!H2379*(1-tax_f)/((Sens!G2380+Sens!H2380)/2)</f>
        <v>0.0266598254350684</v>
      </c>
      <c r="I2381" s="7" t="n">
        <f aca="false">Sens!I2379*(1-tax_f)/((Sens!H2380+Sens!I2380)/2)</f>
        <v>0.0337761965900586</v>
      </c>
      <c r="J2381" s="7" t="n">
        <f aca="false">Sens!J2379*(1-tax_f)/((Sens!I2380+Sens!J2380)/2)</f>
        <v>0.0394308447348905</v>
      </c>
      <c r="K2381" s="7" t="n">
        <f aca="false">Sens!K2379*(1-tax_f)/((Sens!J2380+Sens!K2380)/2)</f>
        <v>0.0454564892702767</v>
      </c>
    </row>
    <row r="2382" customFormat="false" ht="17.15" hidden="false" customHeight="false" outlineLevel="0" collapsed="false">
      <c r="A2382" s="1" t="s">
        <v>1011</v>
      </c>
      <c r="B2382" s="0" t="s">
        <v>168</v>
      </c>
      <c r="F2382" s="7" t="n">
        <f aca="false">(Sens!F2379-Sens!F2378)*(1-tax_f)/((Sens!E2380+Sens!F2380)/2)</f>
        <v>-0.0353721103106829</v>
      </c>
      <c r="G2382" s="7" t="n">
        <f aca="false">(Sens!G2379-Sens!G2378)*(1-tax_f)/((Sens!F2380+Sens!G2380)/2)</f>
        <v>-0.0591664916969371</v>
      </c>
      <c r="H2382" s="7" t="n">
        <f aca="false">(Sens!H2379-Sens!H2378)*(1-tax_f)/((Sens!G2380+Sens!H2380)/2)</f>
        <v>-0.0822964510939673</v>
      </c>
      <c r="I2382" s="7" t="n">
        <f aca="false">(Sens!I2379-Sens!I2378)*(1-tax_f)/((Sens!H2380+Sens!I2380)/2)</f>
        <v>-0.0908877879874684</v>
      </c>
      <c r="J2382" s="7" t="n">
        <f aca="false">(Sens!J2379-Sens!J2378)*(1-tax_f)/((Sens!I2380+Sens!J2380)/2)</f>
        <v>-0.100988188340107</v>
      </c>
      <c r="K2382" s="7" t="n">
        <f aca="false">(Sens!K2379-Sens!K2378)*(1-tax_f)/((Sens!J2380+Sens!K2380)/2)</f>
        <v>-0.111488849912634</v>
      </c>
    </row>
    <row r="2383" customFormat="false" ht="17.15" hidden="false" customHeight="false" outlineLevel="0" collapsed="false">
      <c r="A2383" s="1" t="s">
        <v>1012</v>
      </c>
      <c r="B2383" s="0" t="s">
        <v>168</v>
      </c>
      <c r="F2383" s="7" t="n">
        <f aca="false">(Sens!F2379-Sens!F2378+Sens!F2377)*(1-tax_f)/((Sens!E2380+Sens!F2380)/2)</f>
        <v>0.0241432984252076</v>
      </c>
      <c r="G2383" s="7" t="n">
        <f aca="false">(Sens!G2379-Sens!G2378+Sens!G2377)*(1-tax_f)/((Sens!F2380+Sens!G2380)/2)</f>
        <v>0.0306708909675186</v>
      </c>
      <c r="H2383" s="7" t="n">
        <f aca="false">(Sens!H2379-Sens!H2378+Sens!H2377)*(1-tax_f)/((Sens!G2380+Sens!H2380)/2)</f>
        <v>0.0266598254350684</v>
      </c>
      <c r="I2383" s="7" t="n">
        <f aca="false">(Sens!I2379-Sens!I2378+Sens!I2377)*(1-tax_f)/((Sens!H2380+Sens!I2380)/2)</f>
        <v>0.0337761965900586</v>
      </c>
      <c r="J2383" s="7" t="n">
        <f aca="false">(Sens!J2379-Sens!J2378+Sens!J2377)*(1-tax_f)/((Sens!I2380+Sens!J2380)/2)</f>
        <v>0.0394308447348905</v>
      </c>
      <c r="K2383" s="7" t="n">
        <f aca="false">(Sens!K2379-Sens!K2378+Sens!K2377)*(1-tax_f)/((Sens!J2380+Sens!K2380)/2)</f>
        <v>0.0454564892702767</v>
      </c>
    </row>
    <row r="2384" customFormat="false" ht="17.15" hidden="false" customHeight="false" outlineLevel="0" collapsed="false">
      <c r="A2384" s="1" t="s">
        <v>1013</v>
      </c>
      <c r="B2384" s="0" t="s">
        <v>168</v>
      </c>
      <c r="F2384" s="7" t="n">
        <f aca="false">Sens!F2309*(1-tax_f)/(Sens!F2295*(Sens!E2380+Sens!F2380)/2)</f>
        <v>0.098791430090569</v>
      </c>
      <c r="G2384" s="7" t="n">
        <f aca="false">Sens!G2309*(1-tax_f)/(Sens!G2295*(Sens!F2380+Sens!G2380)/2)</f>
        <v>0.0675308856427828</v>
      </c>
      <c r="H2384" s="7" t="n">
        <f aca="false">Sens!H2309*(1-tax_f)/(Sens!H2295*(Sens!G2380+Sens!H2380)/2)</f>
        <v>0.0388374979528753</v>
      </c>
      <c r="I2384" s="7" t="n">
        <f aca="false">Sens!I2309*(1-tax_f)/(Sens!I2295*(Sens!H2380+Sens!I2380)/2)</f>
        <v>0.0411035671771815</v>
      </c>
      <c r="J2384" s="7" t="n">
        <f aca="false">Sens!J2309*(1-tax_f)/(Sens!J2295*(Sens!I2380+Sens!J2380)/2)</f>
        <v>0.0445222722541192</v>
      </c>
      <c r="K2384" s="7" t="n">
        <f aca="false">Sens!K2309*(1-tax_f)/(Sens!K2295*(Sens!J2380+Sens!K2380)/2)</f>
        <v>0.0498866361688162</v>
      </c>
    </row>
    <row r="2385" customFormat="false" ht="17.15" hidden="false" customHeight="false" outlineLevel="0" collapsed="false">
      <c r="A2385" s="0" t="s">
        <v>1014</v>
      </c>
      <c r="B2385" s="0" t="s">
        <v>253</v>
      </c>
      <c r="F2385" s="7" t="n">
        <f aca="false">Sens!F2381-wacc</f>
        <v>-0.0787932925203897</v>
      </c>
      <c r="G2385" s="7" t="n">
        <f aca="false">Sens!G2381-wacc</f>
        <v>-0.0722656999780787</v>
      </c>
      <c r="H2385" s="7" t="n">
        <f aca="false">Sens!H2381-wacc</f>
        <v>-0.0762767655105289</v>
      </c>
      <c r="I2385" s="7" t="n">
        <f aca="false">Sens!I2381-wacc</f>
        <v>-0.0691603943555387</v>
      </c>
      <c r="J2385" s="7" t="n">
        <f aca="false">Sens!J2381-wacc</f>
        <v>-0.0635057462107068</v>
      </c>
      <c r="K2385" s="7" t="n">
        <f aca="false">Sens!K2381-wacc</f>
        <v>-0.0574801016753206</v>
      </c>
    </row>
    <row r="2386" customFormat="false" ht="17.15" hidden="false" customHeight="false" outlineLevel="0" collapsed="false">
      <c r="A2386" s="0" t="s">
        <v>1015</v>
      </c>
      <c r="B2386" s="0" t="s">
        <v>98</v>
      </c>
      <c r="F2386" s="6" t="n">
        <f aca="false">Sens!F2379*(1-tax_f)-wacc*(Sens!E2380+Sens!F2380)/2</f>
        <v>-18.3085985207096</v>
      </c>
      <c r="G2386" s="6" t="n">
        <f aca="false">Sens!G2379*(1-tax_f)-wacc*(Sens!F2380+Sens!G2380)/2</f>
        <v>-28.2857448545132</v>
      </c>
      <c r="H2386" s="6" t="n">
        <f aca="false">Sens!H2379*(1-tax_f)-wacc*(Sens!G2380+Sens!H2380)/2</f>
        <v>-40.7899678020094</v>
      </c>
      <c r="I2386" s="6" t="n">
        <f aca="false">Sens!I2379*(1-tax_f)-wacc*(Sens!H2380+Sens!I2380)/2</f>
        <v>-43.710512160263</v>
      </c>
      <c r="J2386" s="6" t="n">
        <f aca="false">Sens!J2379*(1-tax_f)-wacc*(Sens!I2380+Sens!J2380)/2</f>
        <v>-42.0913148741631</v>
      </c>
      <c r="K2386" s="6" t="n">
        <f aca="false">Sens!K2379*(1-tax_f)-wacc*(Sens!J2380+Sens!K2380)/2</f>
        <v>-37.1616927533008</v>
      </c>
    </row>
    <row r="2387" customFormat="false" ht="17.15" hidden="false" customHeight="false" outlineLevel="0" collapsed="false">
      <c r="A2387" s="3" t="s">
        <v>1538</v>
      </c>
    </row>
    <row r="2388" customFormat="false" ht="15" hidden="false" customHeight="false" outlineLevel="0" collapsed="false">
      <c r="A2388" s="4" t="s">
        <v>43</v>
      </c>
      <c r="B2388" s="4" t="s">
        <v>65</v>
      </c>
      <c r="C2388" s="23" t="s">
        <v>938</v>
      </c>
      <c r="D2388" s="23" t="s">
        <v>939</v>
      </c>
      <c r="E2388" s="23" t="s">
        <v>940</v>
      </c>
      <c r="F2388" s="23" t="s">
        <v>941</v>
      </c>
      <c r="G2388" s="23" t="s">
        <v>942</v>
      </c>
      <c r="H2388" s="23" t="s">
        <v>943</v>
      </c>
      <c r="I2388" s="23" t="s">
        <v>944</v>
      </c>
      <c r="J2388" s="23" t="s">
        <v>945</v>
      </c>
      <c r="K2388" s="23" t="s">
        <v>946</v>
      </c>
      <c r="L2388" s="4" t="s">
        <v>47</v>
      </c>
    </row>
    <row r="2389" customFormat="false" ht="15" hidden="false" customHeight="false" outlineLevel="0" collapsed="false">
      <c r="A2389" s="1" t="s">
        <v>1076</v>
      </c>
      <c r="B2389" s="0" t="s">
        <v>98</v>
      </c>
      <c r="F2389" s="6" t="n">
        <f aca="false">Sens!F2370</f>
        <v>138.695074786624</v>
      </c>
      <c r="G2389" s="6" t="n">
        <f aca="false">Sens!G2370</f>
        <v>134.662320846317</v>
      </c>
      <c r="H2389" s="6" t="n">
        <f aca="false">Sens!H2370</f>
        <v>130.534209462251</v>
      </c>
      <c r="I2389" s="6" t="n">
        <f aca="false">Sens!I2370</f>
        <v>133.506413453533</v>
      </c>
      <c r="J2389" s="6" t="n">
        <f aca="false">Sens!J2370</f>
        <v>139.455795010733</v>
      </c>
      <c r="K2389" s="6" t="n">
        <f aca="false">Sens!K2370</f>
        <v>148.121334001467</v>
      </c>
    </row>
    <row r="2390" customFormat="false" ht="17.15" hidden="false" customHeight="false" outlineLevel="0" collapsed="false">
      <c r="A2390" s="1" t="s">
        <v>1098</v>
      </c>
      <c r="B2390" s="0" t="s">
        <v>98</v>
      </c>
      <c r="E2390" s="6" t="n">
        <f aca="false">Q!M38-Sens!E2308</f>
        <v>18.9675128275</v>
      </c>
      <c r="F2390" s="6" t="n">
        <f aca="false">Sens!E2390*(1-1/life_nonai)+(Sens!F2398+Sens!F2399)/life_nonai</f>
        <v>20.6533674520802</v>
      </c>
      <c r="G2390" s="6" t="n">
        <f aca="false">Sens!F2390*(1-1/life_nonai)+(Sens!G2398)/life_nonai</f>
        <v>22.7061329409595</v>
      </c>
      <c r="H2390" s="6" t="n">
        <f aca="false">Sens!G2390*(1-1/life_nonai)+(Sens!H2398)/life_nonai</f>
        <v>25.0977652918538</v>
      </c>
      <c r="I2390" s="6" t="n">
        <f aca="false">Sens!H2390*(1-1/life_nonai)+(Sens!I2398)/life_nonai</f>
        <v>27.7744174259469</v>
      </c>
      <c r="J2390" s="6" t="n">
        <f aca="false">Sens!I2390*(1-1/life_nonai)+(Sens!J2398)/life_nonai</f>
        <v>30.6638789303745</v>
      </c>
      <c r="K2390" s="6" t="n">
        <f aca="false">Sens!J2390*(1-1/life_nonai)+(Sens!K2398)/life_nonai</f>
        <v>33.6841256921746</v>
      </c>
      <c r="L2390" s="12" t="s">
        <v>1099</v>
      </c>
    </row>
    <row r="2391" customFormat="false" ht="17.15" hidden="false" customHeight="false" outlineLevel="0" collapsed="false">
      <c r="A2391" s="1" t="s">
        <v>1100</v>
      </c>
      <c r="B2391" s="0" t="s">
        <v>98</v>
      </c>
      <c r="F2391" s="6" t="n">
        <f aca="false">Sens!$F$2399/life_nonai*(1-1/life_nonai)^(Sens!F2271-2027)</f>
        <v>0</v>
      </c>
      <c r="G2391" s="6" t="n">
        <f aca="false">Sens!$F$2399/life_nonai*(1-1/life_nonai)^(Sens!G2271-2027)</f>
        <v>0</v>
      </c>
      <c r="H2391" s="6" t="n">
        <f aca="false">Sens!$F$2399/life_nonai*(1-1/life_nonai)^(Sens!H2271-2027)</f>
        <v>0</v>
      </c>
      <c r="I2391" s="6" t="n">
        <f aca="false">Sens!$F$2399/life_nonai*(1-1/life_nonai)^(Sens!I2271-2027)</f>
        <v>0</v>
      </c>
      <c r="J2391" s="6" t="n">
        <f aca="false">Sens!$F$2399/life_nonai*(1-1/life_nonai)^(Sens!J2271-2027)</f>
        <v>0</v>
      </c>
      <c r="K2391" s="6" t="n">
        <f aca="false">Sens!$F$2399/life_nonai*(1-1/life_nonai)^(Sens!K2271-2027)</f>
        <v>0</v>
      </c>
      <c r="L2391" s="1" t="s">
        <v>1101</v>
      </c>
    </row>
    <row r="2392" customFormat="false" ht="17.15" hidden="false" customHeight="false" outlineLevel="0" collapsed="false">
      <c r="A2392" s="1" t="s">
        <v>1102</v>
      </c>
      <c r="B2392" s="0" t="s">
        <v>98</v>
      </c>
      <c r="E2392" s="6" t="n">
        <f aca="false">Sens!E2308+Sens!E2390</f>
        <v>38.534</v>
      </c>
      <c r="F2392" s="6" t="n">
        <f aca="false">Sens!F2308+Sens!F2390</f>
        <v>62.1485448261022</v>
      </c>
      <c r="G2392" s="6" t="n">
        <f aca="false">Sens!G2308+Sens!G2390</f>
        <v>95.5875217237182</v>
      </c>
      <c r="H2392" s="6" t="n">
        <f aca="false">Sens!H2308+Sens!H2390</f>
        <v>132.017874085589</v>
      </c>
      <c r="I2392" s="6" t="n">
        <f aca="false">Sens!I2308+Sens!I2390</f>
        <v>164.851629059405</v>
      </c>
      <c r="J2392" s="6" t="n">
        <f aca="false">Sens!J2308+Sens!J2390</f>
        <v>189.08268658989</v>
      </c>
      <c r="K2392" s="6" t="n">
        <f aca="false">Sens!K2308+Sens!K2390</f>
        <v>205.299329153296</v>
      </c>
    </row>
    <row r="2393" customFormat="false" ht="17.15" hidden="false" customHeight="false" outlineLevel="0" collapsed="false">
      <c r="A2393" s="1" t="s">
        <v>1103</v>
      </c>
      <c r="B2393" s="0" t="s">
        <v>98</v>
      </c>
      <c r="F2393" s="6" t="n">
        <f aca="false">Sens!F2335*sbc_r</f>
        <v>14.7454787486369</v>
      </c>
      <c r="G2393" s="6" t="n">
        <f aca="false">Sens!G2335*sbc_r</f>
        <v>17.1560811611477</v>
      </c>
      <c r="H2393" s="6" t="n">
        <f aca="false">Sens!H2335*sbc_r</f>
        <v>19.4112161412813</v>
      </c>
      <c r="I2393" s="6" t="n">
        <f aca="false">Sens!I2335*sbc_r</f>
        <v>21.7655163708747</v>
      </c>
      <c r="J2393" s="6" t="n">
        <f aca="false">Sens!J2335*sbc_r</f>
        <v>23.7425689489627</v>
      </c>
      <c r="K2393" s="6" t="n">
        <f aca="false">Sens!K2335*sbc_r</f>
        <v>25.3560408997772</v>
      </c>
    </row>
    <row r="2394" customFormat="false" ht="17.15" hidden="false" customHeight="false" outlineLevel="0" collapsed="false">
      <c r="A2394" s="1" t="s">
        <v>1104</v>
      </c>
      <c r="B2394" s="0" t="s">
        <v>98</v>
      </c>
      <c r="F2394" s="6" t="n">
        <f aca="false">wc27-wc26q1</f>
        <v>-4.677</v>
      </c>
      <c r="G2394" s="6" t="n">
        <f aca="false">wc_f</f>
        <v>0</v>
      </c>
      <c r="H2394" s="6" t="n">
        <f aca="false">wc_f</f>
        <v>0</v>
      </c>
      <c r="I2394" s="6" t="n">
        <f aca="false">wc_f</f>
        <v>0</v>
      </c>
      <c r="J2394" s="6" t="n">
        <f aca="false">wc_f</f>
        <v>0</v>
      </c>
      <c r="K2394" s="6" t="n">
        <f aca="false">wc_f</f>
        <v>0</v>
      </c>
      <c r="L2394" s="12" t="s">
        <v>1105</v>
      </c>
    </row>
    <row r="2395" customFormat="false" ht="17.15" hidden="false" customHeight="false" outlineLevel="0" collapsed="false">
      <c r="A2395" s="0" t="s">
        <v>1106</v>
      </c>
      <c r="B2395" s="0" t="s">
        <v>98</v>
      </c>
      <c r="F2395" s="6" t="n">
        <f aca="false">Q!$I$35-Q!$I$26-Q!$I$38-Q!$I$39</f>
        <v>6.493</v>
      </c>
      <c r="L2395" s="1" t="s">
        <v>1107</v>
      </c>
    </row>
    <row r="2396" customFormat="false" ht="15" hidden="false" customHeight="false" outlineLevel="0" collapsed="false">
      <c r="A2396" s="1" t="s">
        <v>904</v>
      </c>
      <c r="B2396" s="0" t="s">
        <v>98</v>
      </c>
      <c r="E2396" s="6" t="n">
        <f aca="false">Q!M35</f>
        <v>182.935</v>
      </c>
      <c r="F2396" s="6" t="n">
        <f aca="false">Sens!F2389+Sens!F2392+Sens!F2393+Sens!F2394+Sens!F2395</f>
        <v>217.405098361363</v>
      </c>
      <c r="G2396" s="6" t="n">
        <f aca="false">Sens!G2389+Sens!G2392+Sens!G2393+Sens!G2394</f>
        <v>247.405923731183</v>
      </c>
      <c r="H2396" s="6" t="n">
        <f aca="false">Sens!H2389+Sens!H2392+Sens!H2393+Sens!H2394</f>
        <v>281.96329968912</v>
      </c>
      <c r="I2396" s="6" t="n">
        <f aca="false">Sens!I2389+Sens!I2392+Sens!I2393+Sens!I2394</f>
        <v>320.123558883812</v>
      </c>
      <c r="J2396" s="6" t="n">
        <f aca="false">Sens!J2389+Sens!J2392+Sens!J2393+Sens!J2394</f>
        <v>352.281050549586</v>
      </c>
      <c r="K2396" s="6" t="n">
        <f aca="false">Sens!K2389+Sens!K2392+Sens!K2393+Sens!K2394</f>
        <v>378.77670405454</v>
      </c>
    </row>
    <row r="2397" customFormat="false" ht="17.15" hidden="false" customHeight="false" outlineLevel="0" collapsed="false">
      <c r="A2397" s="0" t="s">
        <v>1108</v>
      </c>
      <c r="B2397" s="0" t="s">
        <v>98</v>
      </c>
      <c r="F2397" s="6" t="n">
        <f aca="false">Sens!F2305</f>
        <v>202.144684850544</v>
      </c>
      <c r="G2397" s="6" t="n">
        <f aca="false">Sens!G2305</f>
        <v>230.333370778858</v>
      </c>
      <c r="H2397" s="6" t="n">
        <f aca="false">Sens!H2305</f>
        <v>236.167204877415</v>
      </c>
      <c r="I2397" s="6" t="n">
        <f aca="false">Sens!I2305</f>
        <v>202.337800345932</v>
      </c>
      <c r="J2397" s="6" t="n">
        <f aca="false">Sens!J2305</f>
        <v>154.715917435129</v>
      </c>
      <c r="K2397" s="6" t="n">
        <f aca="false">Sens!K2305</f>
        <v>142.755423677679</v>
      </c>
    </row>
    <row r="2398" customFormat="false" ht="17.15" hidden="false" customHeight="false" outlineLevel="0" collapsed="false">
      <c r="A2398" s="1" t="s">
        <v>1109</v>
      </c>
      <c r="B2398" s="0" t="s">
        <v>98</v>
      </c>
      <c r="E2398" s="6" t="n">
        <f aca="false">Sens!E2313*cx_azo+Sens!E2320*cx_m365+Sens!E2321*cx_lic+(Sens!E2323+Sens!E2325)*cx_ind+Sens!E2328*cx_srch+(Sens!E2330+Sens!E2332)*cx_dev</f>
        <v>30.1846587067718</v>
      </c>
      <c r="F2398" s="6" t="n">
        <f aca="false">Sens!F2313*cx_azo+Sens!F2320*cx_m365+Sens!F2321*cx_lic+(Sens!F2323+Sens!F2325)*cx_ind+Sens!F2328*cx_srch+(Sens!F2330+Sens!F2332)*cx_dev</f>
        <v>35.826059073302</v>
      </c>
      <c r="G2398" s="6" t="n">
        <f aca="false">Sens!G2313*cx_azo+Sens!G2320*cx_m365+Sens!G2321*cx_lic+(Sens!G2323+Sens!G2325)*cx_ind+Sens!G2328*cx_srch+(Sens!G2330+Sens!G2332)*cx_dev</f>
        <v>41.1810223408732</v>
      </c>
      <c r="H2398" s="6" t="n">
        <f aca="false">Sens!H2313*cx_azo+Sens!H2320*cx_m365+Sens!H2321*cx_lic+(Sens!H2323+Sens!H2325)*cx_ind+Sens!H2328*cx_srch+(Sens!H2330+Sens!H2332)*cx_dev</f>
        <v>46.6224564499022</v>
      </c>
      <c r="I2398" s="6" t="n">
        <f aca="false">Sens!I2313*cx_azo+Sens!I2320*cx_m365+Sens!I2321*cx_lic+(Sens!I2323+Sens!I2325)*cx_ind+Sens!I2328*cx_srch+(Sens!I2330+Sens!I2332)*cx_dev</f>
        <v>51.8642866327854</v>
      </c>
      <c r="J2398" s="6" t="n">
        <f aca="false">Sens!J2313*cx_azo+Sens!J2320*cx_m365+Sens!J2321*cx_lic+(Sens!J2323+Sens!J2325)*cx_ind+Sens!J2328*cx_srch+(Sens!J2330+Sens!J2332)*cx_dev</f>
        <v>56.6690324702225</v>
      </c>
      <c r="K2398" s="6" t="n">
        <f aca="false">Sens!K2313*cx_azo+Sens!K2320*cx_m365+Sens!K2321*cx_lic+(Sens!K2323+Sens!K2325)*cx_ind+Sens!K2328*cx_srch+(Sens!K2330+Sens!K2332)*cx_dev</f>
        <v>60.866346548376</v>
      </c>
    </row>
    <row r="2399" customFormat="false" ht="17.15" hidden="false" customHeight="false" outlineLevel="0" collapsed="false">
      <c r="A2399" s="0" t="s">
        <v>1110</v>
      </c>
      <c r="B2399" s="0" t="s">
        <v>98</v>
      </c>
      <c r="F2399" s="6" t="n">
        <f aca="false">Sens!F2303</f>
        <v>0</v>
      </c>
      <c r="L2399" s="1" t="s">
        <v>1111</v>
      </c>
    </row>
    <row r="2400" customFormat="false" ht="17.15" hidden="false" customHeight="false" outlineLevel="0" collapsed="false">
      <c r="A2400" s="1" t="s">
        <v>1112</v>
      </c>
      <c r="B2400" s="0" t="s">
        <v>98</v>
      </c>
      <c r="E2400" s="6" t="n">
        <f aca="false">Q!M43</f>
        <v>145.3</v>
      </c>
      <c r="F2400" s="6" t="n">
        <f aca="false">Sens!F2397+Sens!F2398+Sens!F2399</f>
        <v>237.970743923846</v>
      </c>
      <c r="G2400" s="6" t="n">
        <f aca="false">Sens!G2397+Sens!G2398</f>
        <v>271.514393119731</v>
      </c>
      <c r="H2400" s="6" t="n">
        <f aca="false">Sens!H2397+Sens!H2398</f>
        <v>282.789661327317</v>
      </c>
      <c r="I2400" s="6" t="n">
        <f aca="false">Sens!I2397+Sens!I2398</f>
        <v>254.202086978718</v>
      </c>
      <c r="J2400" s="6" t="n">
        <f aca="false">Sens!J2397+Sens!J2398</f>
        <v>211.384949905351</v>
      </c>
      <c r="K2400" s="6" t="n">
        <f aca="false">Sens!K2397+Sens!K2398</f>
        <v>203.621770226055</v>
      </c>
      <c r="L2400" s="1" t="s">
        <v>1113</v>
      </c>
    </row>
    <row r="2401" customFormat="false" ht="15" hidden="false" customHeight="false" outlineLevel="0" collapsed="false">
      <c r="A2401" s="1" t="s">
        <v>1114</v>
      </c>
      <c r="B2401" s="0" t="s">
        <v>98</v>
      </c>
      <c r="E2401" s="6" t="n">
        <f aca="false">fl_liab</f>
        <v>66.594</v>
      </c>
      <c r="F2401" s="6" t="n">
        <f aca="false">Sens!E2401-Sens!F2402</f>
        <v>62.46973</v>
      </c>
      <c r="G2401" s="6" t="n">
        <f aca="false">Sens!F2401-Sens!G2402</f>
        <v>57.98686785</v>
      </c>
      <c r="H2401" s="6" t="n">
        <f aca="false">Sens!G2401-Sens!H2402</f>
        <v>53.92827690325</v>
      </c>
      <c r="I2401" s="6" t="n">
        <f aca="false">Sens!H2401-Sens!I2402</f>
        <v>49.7850493638962</v>
      </c>
      <c r="J2401" s="6" t="n">
        <f aca="false">Sens!I2401-Sens!J2402</f>
        <v>45.4823765852716</v>
      </c>
      <c r="K2401" s="6" t="n">
        <f aca="false">Sens!J2401-Sens!K2402</f>
        <v>40.9860835316088</v>
      </c>
    </row>
    <row r="2402" customFormat="false" ht="15" hidden="false" customHeight="false" outlineLevel="0" collapsed="false">
      <c r="A2402" s="1" t="s">
        <v>1115</v>
      </c>
      <c r="B2402" s="0" t="s">
        <v>98</v>
      </c>
      <c r="F2402" s="6" t="n">
        <f aca="false">fl_pay_27-Sens!E2401*fl_rate</f>
        <v>4.12427</v>
      </c>
      <c r="G2402" s="6" t="n">
        <f aca="false">fl_pay_28-Sens!F2401*fl_rate</f>
        <v>4.48286215</v>
      </c>
      <c r="H2402" s="6" t="n">
        <f aca="false">fl_pay_29-Sens!G2401*fl_rate</f>
        <v>4.05859094675</v>
      </c>
      <c r="I2402" s="6" t="n">
        <f aca="false">fl_pay_30-Sens!H2401*fl_rate</f>
        <v>4.14322753935375</v>
      </c>
      <c r="J2402" s="6" t="n">
        <f aca="false">fl_pay_31-Sens!I2401*fl_rate</f>
        <v>4.30267277862467</v>
      </c>
      <c r="K2402" s="6" t="n">
        <f aca="false">fl_pay_32-Sens!J2401*fl_rate</f>
        <v>4.49629305366278</v>
      </c>
    </row>
    <row r="2403" customFormat="false" ht="17.15" hidden="false" customHeight="false" outlineLevel="0" collapsed="false">
      <c r="A2403" s="1" t="s">
        <v>1116</v>
      </c>
      <c r="B2403" s="0" t="s">
        <v>98</v>
      </c>
      <c r="E2403" s="6" t="n">
        <f aca="false">Q!M35-Q!M36-Q!M44</f>
        <v>63.886</v>
      </c>
      <c r="F2403" s="6" t="n">
        <f aca="false">Sens!F2396-Sens!F2400-Sens!F2402</f>
        <v>-24.6899155624821</v>
      </c>
      <c r="G2403" s="6" t="n">
        <f aca="false">Sens!G2396-Sens!G2400-Sens!G2402</f>
        <v>-28.5913315385476</v>
      </c>
      <c r="H2403" s="6" t="n">
        <f aca="false">Sens!H2396-Sens!H2400-Sens!H2402</f>
        <v>-4.88495258494666</v>
      </c>
      <c r="I2403" s="6" t="n">
        <f aca="false">Sens!I2396-Sens!I2400-Sens!I2402</f>
        <v>61.778244365741</v>
      </c>
      <c r="J2403" s="6" t="n">
        <f aca="false">Sens!J2396-Sens!J2400-Sens!J2402</f>
        <v>136.59342786561</v>
      </c>
      <c r="K2403" s="6" t="n">
        <f aca="false">Sens!K2396-Sens!K2400-Sens!K2402</f>
        <v>170.658640774822</v>
      </c>
      <c r="L2403" s="12" t="s">
        <v>1117</v>
      </c>
    </row>
    <row r="2404" customFormat="false" ht="15" hidden="false" customHeight="false" outlineLevel="0" collapsed="false">
      <c r="A2404" s="1" t="s">
        <v>1118</v>
      </c>
      <c r="B2404" s="0" t="s">
        <v>75</v>
      </c>
      <c r="F2404" s="8" t="n">
        <f aca="false">dps_27</f>
        <v>3.85</v>
      </c>
      <c r="G2404" s="8" t="n">
        <f aca="false">Sens!F2404*(1+dps_g)</f>
        <v>4.158</v>
      </c>
      <c r="H2404" s="8" t="n">
        <f aca="false">Sens!G2404*(1+dps_g)</f>
        <v>4.49064</v>
      </c>
      <c r="I2404" s="8" t="n">
        <f aca="false">Sens!H2404*(1+dps_g)</f>
        <v>4.8498912</v>
      </c>
      <c r="J2404" s="8" t="n">
        <f aca="false">Sens!I2404*(1+dps_g)</f>
        <v>5.237882496</v>
      </c>
      <c r="K2404" s="8" t="n">
        <f aca="false">Sens!J2404*(1+dps_g)</f>
        <v>5.65691309568</v>
      </c>
    </row>
    <row r="2405" customFormat="false" ht="17.15" hidden="false" customHeight="false" outlineLevel="0" collapsed="false">
      <c r="A2405" s="1" t="s">
        <v>1119</v>
      </c>
      <c r="B2405" s="0" t="s">
        <v>98</v>
      </c>
      <c r="E2405" s="6" t="n">
        <f aca="false">Q!M41</f>
        <v>26.445</v>
      </c>
      <c r="F2405" s="6" t="n">
        <f aca="false">Sens!F2404*Sens!E2414</f>
        <v>28.59395</v>
      </c>
      <c r="G2405" s="6" t="n">
        <f aca="false">Sens!G2404*Sens!F2414</f>
        <v>31.068576</v>
      </c>
      <c r="H2405" s="6" t="n">
        <f aca="false">Sens!H2404*Sens!G2414</f>
        <v>33.75614088</v>
      </c>
      <c r="I2405" s="6" t="n">
        <f aca="false">Sens!I2404*Sens!H2414</f>
        <v>36.6748772544</v>
      </c>
      <c r="J2405" s="6" t="n">
        <f aca="false">Sens!J2404*Sens!I2414</f>
        <v>39.6767653201446</v>
      </c>
      <c r="K2405" s="6" t="n">
        <f aca="false">Sens!K2404*Sens!J2414</f>
        <v>42.9376608081345</v>
      </c>
      <c r="L2405" s="1" t="s">
        <v>1120</v>
      </c>
    </row>
    <row r="2406" customFormat="false" ht="15" hidden="false" customHeight="false" outlineLevel="0" collapsed="false">
      <c r="A2406" s="1" t="s">
        <v>1121</v>
      </c>
      <c r="B2406" s="0" t="s">
        <v>98</v>
      </c>
      <c r="E2406" s="6" t="n">
        <f aca="false">Sens!E2403-Sens!E2405</f>
        <v>37.441</v>
      </c>
      <c r="F2406" s="6" t="n">
        <f aca="false">Sens!F2403-Sens!F2405</f>
        <v>-53.2838655624821</v>
      </c>
      <c r="G2406" s="6" t="n">
        <f aca="false">Sens!G2403-Sens!G2405</f>
        <v>-59.6599075385476</v>
      </c>
      <c r="H2406" s="6" t="n">
        <f aca="false">Sens!H2403-Sens!H2405</f>
        <v>-38.6410934649467</v>
      </c>
      <c r="I2406" s="6" t="n">
        <f aca="false">Sens!I2403-Sens!I2405</f>
        <v>25.103367111341</v>
      </c>
      <c r="J2406" s="6" t="n">
        <f aca="false">Sens!J2403-Sens!J2405</f>
        <v>96.9166625454655</v>
      </c>
      <c r="K2406" s="6" t="n">
        <f aca="false">Sens!K2403-Sens!K2405</f>
        <v>127.720979966688</v>
      </c>
    </row>
    <row r="2407" customFormat="false" ht="15" hidden="false" customHeight="false" outlineLevel="0" collapsed="false">
      <c r="A2407" s="1" t="s">
        <v>1122</v>
      </c>
      <c r="B2407" s="0" t="s">
        <v>98</v>
      </c>
      <c r="F2407" s="6" t="n">
        <f aca="false">debt_mat_27</f>
        <v>9.25</v>
      </c>
      <c r="G2407" s="6" t="n">
        <f aca="false">debt_mat_28</f>
        <v>0</v>
      </c>
      <c r="H2407" s="6" t="n">
        <f aca="false">debt_mat_29</f>
        <v>2.001</v>
      </c>
      <c r="I2407" s="6" t="n">
        <f aca="false">debt_mat_30</f>
        <v>0</v>
      </c>
      <c r="J2407" s="6" t="n">
        <f aca="false">debt_mat_31</f>
        <v>0.5</v>
      </c>
      <c r="K2407" s="6" t="n">
        <f aca="false">debt_mat_32</f>
        <v>0</v>
      </c>
    </row>
    <row r="2408" customFormat="false" ht="15" hidden="false" customHeight="false" outlineLevel="0" collapsed="false">
      <c r="A2408" s="1" t="s">
        <v>1123</v>
      </c>
      <c r="B2408" s="0" t="s">
        <v>98</v>
      </c>
      <c r="E2408" s="6" t="n">
        <f aca="false">Q!M40</f>
        <v>22.271</v>
      </c>
      <c r="F2408" s="6" t="n">
        <f aca="false">MAX(0,MIN(bb_target,Sens!E2410+Sens!F2406-Sens!F2407-min_cash))</f>
        <v>0</v>
      </c>
      <c r="G2408" s="6" t="n">
        <f aca="false">MAX(0,MIN(bb_target,Sens!F2410+Sens!G2406-Sens!G2407-min_cash))</f>
        <v>0</v>
      </c>
      <c r="H2408" s="6" t="n">
        <f aca="false">MAX(0,MIN(bb_target,Sens!G2410+Sens!H2406-Sens!H2407-min_cash))</f>
        <v>0</v>
      </c>
      <c r="I2408" s="6" t="n">
        <f aca="false">MAX(0,MIN(bb_target,Sens!H2410+Sens!I2406-Sens!I2407-min_cash))</f>
        <v>22.271</v>
      </c>
      <c r="J2408" s="6" t="n">
        <f aca="false">MAX(0,MIN(bb_target,Sens!I2410+Sens!J2406-Sens!J2407-min_cash))</f>
        <v>22.271</v>
      </c>
      <c r="K2408" s="6" t="n">
        <f aca="false">MAX(0,MIN(bb_target,Sens!J2410+Sens!K2406-Sens!K2407-min_cash))</f>
        <v>22.271</v>
      </c>
    </row>
    <row r="2409" customFormat="false" ht="15" hidden="false" customHeight="false" outlineLevel="0" collapsed="false">
      <c r="A2409" s="1" t="s">
        <v>1124</v>
      </c>
      <c r="B2409" s="0" t="s">
        <v>98</v>
      </c>
      <c r="F2409" s="6" t="n">
        <f aca="false">MAX(0,min_cash-(Sens!E2410+Sens!F2406-Sens!F2407-Sens!F2408))</f>
        <v>35.6908655624821</v>
      </c>
      <c r="G2409" s="6" t="n">
        <f aca="false">MAX(0,min_cash-(Sens!F2410+Sens!G2406-Sens!G2407-Sens!G2408))</f>
        <v>59.6599075385476</v>
      </c>
      <c r="H2409" s="6" t="n">
        <f aca="false">MAX(0,min_cash-(Sens!G2410+Sens!H2406-Sens!H2407-Sens!H2408))</f>
        <v>40.6420934649467</v>
      </c>
      <c r="I2409" s="6" t="n">
        <f aca="false">MAX(0,min_cash-(Sens!H2410+Sens!I2406-Sens!I2407-Sens!I2408))</f>
        <v>0</v>
      </c>
      <c r="J2409" s="6" t="n">
        <f aca="false">MAX(0,min_cash-(Sens!I2410+Sens!J2406-Sens!J2407-Sens!J2408))</f>
        <v>0</v>
      </c>
      <c r="K2409" s="6" t="n">
        <f aca="false">MAX(0,min_cash-(Sens!J2410+Sens!K2406-Sens!K2407-Sens!K2408))</f>
        <v>0</v>
      </c>
    </row>
    <row r="2410" customFormat="false" ht="15" hidden="false" customHeight="false" outlineLevel="0" collapsed="false">
      <c r="A2410" s="1" t="s">
        <v>1125</v>
      </c>
      <c r="B2410" s="0" t="s">
        <v>98</v>
      </c>
      <c r="E2410" s="6" t="n">
        <f aca="false">cash_open</f>
        <v>76.843</v>
      </c>
      <c r="F2410" s="6" t="n">
        <f aca="false">Sens!E2410+Sens!F2406-Sens!F2407-Sens!F2408+Sens!F2409</f>
        <v>50</v>
      </c>
      <c r="G2410" s="6" t="n">
        <f aca="false">Sens!F2410+Sens!G2406-Sens!G2407-Sens!G2408+Sens!G2409</f>
        <v>50</v>
      </c>
      <c r="H2410" s="6" t="n">
        <f aca="false">Sens!G2410+Sens!H2406-Sens!H2407-Sens!H2408+Sens!H2409</f>
        <v>50</v>
      </c>
      <c r="I2410" s="6" t="n">
        <f aca="false">Sens!H2410+Sens!I2406-Sens!I2407-Sens!I2408+Sens!I2409</f>
        <v>52.832367111341</v>
      </c>
      <c r="J2410" s="6" t="n">
        <f aca="false">Sens!I2410+Sens!J2406-Sens!J2407-Sens!J2408+Sens!J2409</f>
        <v>126.978029656807</v>
      </c>
      <c r="K2410" s="6" t="n">
        <f aca="false">Sens!J2410+Sens!K2406-Sens!K2407-Sens!K2408+Sens!K2409</f>
        <v>232.428009623494</v>
      </c>
    </row>
    <row r="2411" customFormat="false" ht="15" hidden="false" customHeight="false" outlineLevel="0" collapsed="false">
      <c r="A2411" s="1" t="s">
        <v>1126</v>
      </c>
      <c r="B2411" s="0" t="s">
        <v>98</v>
      </c>
      <c r="E2411" s="6" t="n">
        <f aca="false">debt_face</f>
        <v>46.136</v>
      </c>
      <c r="F2411" s="6" t="n">
        <f aca="false">Sens!E2411-Sens!F2407+Sens!F2409</f>
        <v>72.5768655624821</v>
      </c>
      <c r="G2411" s="6" t="n">
        <f aca="false">Sens!F2411-Sens!G2407+Sens!G2409</f>
        <v>132.23677310103</v>
      </c>
      <c r="H2411" s="6" t="n">
        <f aca="false">Sens!G2411-Sens!H2407+Sens!H2409</f>
        <v>170.877866565976</v>
      </c>
      <c r="I2411" s="6" t="n">
        <f aca="false">Sens!H2411-Sens!I2407+Sens!I2409</f>
        <v>170.877866565976</v>
      </c>
      <c r="J2411" s="6" t="n">
        <f aca="false">Sens!I2411-Sens!J2407+Sens!J2409</f>
        <v>170.377866565976</v>
      </c>
      <c r="K2411" s="6" t="n">
        <f aca="false">Sens!J2411-Sens!K2407+Sens!K2409</f>
        <v>170.377866565976</v>
      </c>
    </row>
    <row r="2412" customFormat="false" ht="15" hidden="false" customHeight="false" outlineLevel="0" collapsed="false">
      <c r="A2412" s="1" t="s">
        <v>1127</v>
      </c>
      <c r="B2412" s="0" t="s">
        <v>98</v>
      </c>
      <c r="E2412" s="6" t="n">
        <f aca="false">Sens!E2410-Sens!E2411</f>
        <v>30.707</v>
      </c>
      <c r="F2412" s="6" t="n">
        <f aca="false">Sens!F2410-Sens!F2411</f>
        <v>-22.5768655624821</v>
      </c>
      <c r="G2412" s="6" t="n">
        <f aca="false">Sens!G2410-Sens!G2411</f>
        <v>-82.2367731010297</v>
      </c>
      <c r="H2412" s="6" t="n">
        <f aca="false">Sens!H2410-Sens!H2411</f>
        <v>-120.877866565976</v>
      </c>
      <c r="I2412" s="6" t="n">
        <f aca="false">Sens!I2410-Sens!I2411</f>
        <v>-118.045499454635</v>
      </c>
      <c r="J2412" s="6" t="n">
        <f aca="false">Sens!J2410-Sens!J2411</f>
        <v>-43.3998369091699</v>
      </c>
      <c r="K2412" s="6" t="n">
        <f aca="false">Sens!K2410-Sens!K2411</f>
        <v>62.0501430575179</v>
      </c>
    </row>
    <row r="2413" customFormat="false" ht="15" hidden="false" customHeight="false" outlineLevel="0" collapsed="false">
      <c r="A2413" s="1" t="s">
        <v>1128</v>
      </c>
      <c r="B2413" s="0" t="s">
        <v>75</v>
      </c>
      <c r="F2413" s="30" t="n">
        <f aca="false">px*(1+bb_g)^(Sens!F2271-base_fy-mid_yr)</f>
        <v>551.84177959629</v>
      </c>
      <c r="G2413" s="30" t="n">
        <f aca="false">px*(1+bb_g)^(Sens!G2271-base_fy-mid_yr)</f>
        <v>595.989121963993</v>
      </c>
      <c r="H2413" s="30" t="n">
        <f aca="false">px*(1+bb_g)^(Sens!H2271-base_fy-mid_yr)</f>
        <v>643.668251721112</v>
      </c>
      <c r="I2413" s="30" t="n">
        <f aca="false">px*(1+bb_g)^(Sens!I2271-base_fy-mid_yr)</f>
        <v>695.161711858801</v>
      </c>
      <c r="J2413" s="30" t="n">
        <f aca="false">px*(1+bb_g)^(Sens!J2271-base_fy-mid_yr)</f>
        <v>750.774648807506</v>
      </c>
      <c r="K2413" s="30" t="n">
        <f aca="false">px*(1+bb_g)^(Sens!K2271-base_fy-mid_yr)</f>
        <v>810.836620712106</v>
      </c>
    </row>
    <row r="2414" customFormat="false" ht="15" hidden="false" customHeight="false" outlineLevel="0" collapsed="false">
      <c r="A2414" s="1" t="s">
        <v>1129</v>
      </c>
      <c r="B2414" s="1" t="s">
        <v>81</v>
      </c>
      <c r="E2414" s="15" t="n">
        <f aca="false">sh_out26</f>
        <v>7.427</v>
      </c>
      <c r="F2414" s="15" t="n">
        <f aca="false">Sens!E2414+sh_iss-Sens!F2408/Sens!F2413</f>
        <v>7.472</v>
      </c>
      <c r="G2414" s="15" t="n">
        <f aca="false">Sens!F2414+sh_iss-Sens!G2408/Sens!G2413</f>
        <v>7.517</v>
      </c>
      <c r="H2414" s="15" t="n">
        <f aca="false">Sens!G2414+sh_iss-Sens!H2408/Sens!H2413</f>
        <v>7.562</v>
      </c>
      <c r="I2414" s="15" t="n">
        <f aca="false">Sens!H2414+sh_iss-Sens!I2408/Sens!I2413</f>
        <v>7.57496285005334</v>
      </c>
      <c r="J2414" s="15" t="n">
        <f aca="false">Sens!I2414+sh_iss-Sens!J2408/Sens!J2413</f>
        <v>7.59029882232494</v>
      </c>
      <c r="K2414" s="15" t="n">
        <f aca="false">Sens!J2414+sh_iss-Sens!K2408/Sens!K2413</f>
        <v>7.60783212998384</v>
      </c>
    </row>
    <row r="2415" customFormat="false" ht="15" hidden="false" customHeight="false" outlineLevel="0" collapsed="false">
      <c r="A2415" s="1" t="s">
        <v>1130</v>
      </c>
      <c r="B2415" s="1" t="s">
        <v>81</v>
      </c>
      <c r="E2415" s="15" t="n">
        <f aca="false">sh_dil26</f>
        <v>7.453</v>
      </c>
      <c r="F2415" s="15" t="n">
        <f aca="false">(Sens!E2414+Sens!F2414)/2+dil_gap</f>
        <v>7.4735</v>
      </c>
      <c r="G2415" s="15" t="n">
        <f aca="false">(Sens!F2414+Sens!G2414)/2+dil_gap</f>
        <v>7.5185</v>
      </c>
      <c r="H2415" s="15" t="n">
        <f aca="false">(Sens!G2414+Sens!H2414)/2+dil_gap</f>
        <v>7.5635</v>
      </c>
      <c r="I2415" s="15" t="n">
        <f aca="false">(Sens!H2414+Sens!I2414)/2+dil_gap</f>
        <v>7.59248142502667</v>
      </c>
      <c r="J2415" s="15" t="n">
        <f aca="false">(Sens!I2414+Sens!J2414)/2+dil_gap</f>
        <v>7.60663083618914</v>
      </c>
      <c r="K2415" s="15" t="n">
        <f aca="false">(Sens!J2414+Sens!K2414)/2+dil_gap</f>
        <v>7.62306547615439</v>
      </c>
    </row>
    <row r="2416" customFormat="false" ht="17.15" hidden="false" customHeight="false" outlineLevel="0" collapsed="false">
      <c r="A2416" s="1" t="s">
        <v>1131</v>
      </c>
      <c r="B2416" s="0" t="s">
        <v>98</v>
      </c>
      <c r="C2416" s="6" t="n">
        <f aca="false">SUM(Sens!F2406:J2406)</f>
        <v>-29.5648369091699</v>
      </c>
    </row>
    <row r="2417" customFormat="false" ht="15" hidden="false" customHeight="false" outlineLevel="0" collapsed="false">
      <c r="A2417" s="26" t="s">
        <v>1096</v>
      </c>
      <c r="B2417" s="31" t="s">
        <v>98</v>
      </c>
      <c r="C2417" s="27" t="n">
        <f aca="false">Sens!$C$2416-(Sens!F2406+Sens!G2406+Sens!H2406+Sens!I2406+Sens!J2406)</f>
        <v>0</v>
      </c>
      <c r="D2417" s="31"/>
      <c r="E2417" s="31"/>
      <c r="F2417" s="31"/>
      <c r="G2417" s="31"/>
      <c r="H2417" s="31"/>
      <c r="I2417" s="31"/>
      <c r="J2417" s="31"/>
      <c r="K2417" s="31"/>
    </row>
    <row r="2418" customFormat="false" ht="17.15" hidden="false" customHeight="false" outlineLevel="0" collapsed="false">
      <c r="A2418" s="1" t="s">
        <v>1090</v>
      </c>
      <c r="B2418" s="1" t="s">
        <v>1132</v>
      </c>
      <c r="C2418" s="33" t="str">
        <f aca="false">IF(SUM(Sens!F2409:J2409)&gt;0.05,"需要舉債 "&amp;TEXT(SUM(Sens!F2409:J2409),"0.0")&amp;" 十億美元","不需舉債")&amp;"；"&amp;IF(SUM(Sens!F2408:J2408)&lt;COUNT(Sens!F2408:J2408)*bb_target-0.05,"回購較每年 "&amp;TEXT(bb_target,"0.0")&amp;" 的目標少 "&amp;TEXT(COUNT(Sens!F2408:J2408)*bb_target-SUM(Sens!F2408:J2408),"0.0")&amp;" 十億美元（"&amp;TEXT(COUNTIF(Sens!F2408:J2408,"&lt;"&amp;(bb_target-0.05)),"0")&amp;" 年減少）","回購不減")</f>
        <v>需要舉債 136.0 十億美元；回購較每年 22.3 的目標少 66.8 十億美元（3 年減少）</v>
      </c>
    </row>
    <row r="2419" customFormat="false" ht="17.15" hidden="false" customHeight="false" outlineLevel="0" collapsed="false">
      <c r="A2419" s="3" t="s">
        <v>1539</v>
      </c>
    </row>
    <row r="2420" customFormat="false" ht="15" hidden="false" customHeight="false" outlineLevel="0" collapsed="false">
      <c r="A2420" s="4" t="s">
        <v>43</v>
      </c>
      <c r="B2420" s="4" t="s">
        <v>65</v>
      </c>
      <c r="C2420" s="23" t="s">
        <v>938</v>
      </c>
      <c r="D2420" s="23" t="s">
        <v>939</v>
      </c>
      <c r="E2420" s="23" t="s">
        <v>940</v>
      </c>
      <c r="F2420" s="23" t="s">
        <v>941</v>
      </c>
      <c r="G2420" s="23" t="s">
        <v>942</v>
      </c>
      <c r="H2420" s="23" t="s">
        <v>943</v>
      </c>
      <c r="I2420" s="23" t="s">
        <v>944</v>
      </c>
      <c r="J2420" s="23" t="s">
        <v>945</v>
      </c>
      <c r="K2420" s="23" t="s">
        <v>946</v>
      </c>
      <c r="L2420" s="4" t="s">
        <v>47</v>
      </c>
    </row>
    <row r="2421" customFormat="false" ht="17.15" hidden="false" customHeight="false" outlineLevel="0" collapsed="false">
      <c r="A2421" s="1" t="s">
        <v>1212</v>
      </c>
      <c r="B2421" s="1" t="s">
        <v>279</v>
      </c>
      <c r="F2421" s="8" t="n">
        <f aca="false">(1-v_off)*mid_yr</f>
        <v>0.373972602739726</v>
      </c>
      <c r="G2421" s="8" t="n">
        <f aca="false">Sens!G2271-base_fy-mid_yr-v_off</f>
        <v>1.24794520547945</v>
      </c>
      <c r="H2421" s="8" t="n">
        <f aca="false">Sens!H2271-base_fy-mid_yr-v_off</f>
        <v>2.24794520547945</v>
      </c>
      <c r="I2421" s="8" t="n">
        <f aca="false">Sens!I2271-base_fy-mid_yr-v_off</f>
        <v>3.24794520547945</v>
      </c>
      <c r="J2421" s="8" t="n">
        <f aca="false">Sens!J2271-base_fy-mid_yr-v_off</f>
        <v>4.24794520547945</v>
      </c>
      <c r="K2421" s="8" t="n">
        <f aca="false">Sens!K2271-base_fy-mid_yr-v_off</f>
        <v>5.24794520547945</v>
      </c>
      <c r="L2421" s="12" t="s">
        <v>1213</v>
      </c>
    </row>
    <row r="2422" customFormat="false" ht="15" hidden="false" customHeight="false" outlineLevel="0" collapsed="false">
      <c r="A2422" s="1" t="s">
        <v>1214</v>
      </c>
      <c r="B2422" s="1" t="s">
        <v>279</v>
      </c>
      <c r="F2422" s="8" t="n">
        <f aca="false">Sens!F2271-base_fy-v_off</f>
        <v>0.747945205479452</v>
      </c>
      <c r="G2422" s="8" t="n">
        <f aca="false">Sens!G2271-base_fy-v_off</f>
        <v>1.74794520547945</v>
      </c>
      <c r="H2422" s="8" t="n">
        <f aca="false">Sens!H2271-base_fy-v_off</f>
        <v>2.74794520547945</v>
      </c>
      <c r="I2422" s="8" t="n">
        <f aca="false">Sens!I2271-base_fy-v_off</f>
        <v>3.74794520547945</v>
      </c>
      <c r="J2422" s="8" t="n">
        <f aca="false">Sens!J2271-base_fy-v_off</f>
        <v>4.74794520547945</v>
      </c>
      <c r="K2422" s="8" t="n">
        <f aca="false">Sens!K2271-base_fy-v_off</f>
        <v>5.74794520547945</v>
      </c>
    </row>
    <row r="2423" customFormat="false" ht="15" hidden="false" customHeight="false" outlineLevel="0" collapsed="false">
      <c r="A2423" s="1" t="s">
        <v>1215</v>
      </c>
      <c r="B2423" s="0" t="s">
        <v>229</v>
      </c>
      <c r="F2423" s="15" t="n">
        <f aca="false">1/(1+wacc)^Sens!F2421</f>
        <v>0.964022703286649</v>
      </c>
      <c r="G2423" s="15" t="n">
        <f aca="false">1/(1+wacc)^Sens!G2421</f>
        <v>0.884910302296739</v>
      </c>
      <c r="H2423" s="15" t="n">
        <f aca="false">1/(1+wacc)^Sens!H2421</f>
        <v>0.802322009770358</v>
      </c>
      <c r="I2423" s="15" t="n">
        <f aca="false">1/(1+wacc)^Sens!I2421</f>
        <v>0.727441646561469</v>
      </c>
      <c r="J2423" s="15" t="n">
        <f aca="false">1/(1+wacc)^Sens!J2421</f>
        <v>0.659549834988973</v>
      </c>
      <c r="K2423" s="15" t="n">
        <f aca="false">1/(1+wacc)^Sens!K2421</f>
        <v>0.597994336576966</v>
      </c>
    </row>
    <row r="2424" customFormat="false" ht="17.15" hidden="false" customHeight="false" outlineLevel="0" collapsed="false">
      <c r="A2424" s="1" t="s">
        <v>1216</v>
      </c>
      <c r="B2424" s="0" t="s">
        <v>98</v>
      </c>
      <c r="F2424" s="6" t="n">
        <f aca="false">Q!$I$35-Q!$I$39-Q!$I$43</f>
        <v>9.666</v>
      </c>
      <c r="L2424" s="12" t="s">
        <v>1217</v>
      </c>
    </row>
    <row r="2425" customFormat="false" ht="17.15" hidden="false" customHeight="false" outlineLevel="0" collapsed="false">
      <c r="A2425" s="1" t="s">
        <v>1218</v>
      </c>
      <c r="B2425" s="0" t="s">
        <v>98</v>
      </c>
      <c r="F2425" s="6" t="n">
        <f aca="false">Sens!F2396-Sens!F2393-Sens!F2400+Sens!F2378*(1-tax_f)*(1-v_off)-Sens!F2424</f>
        <v>-34.6336829694466</v>
      </c>
      <c r="G2425" s="6" t="n">
        <f aca="false">Sens!G2396-Sens!G2393-Sens!G2400+Sens!G2378*(1-tax_f)</f>
        <v>-6.10101812400942</v>
      </c>
      <c r="H2425" s="6" t="n">
        <f aca="false">Sens!H2396-Sens!H2393-Sens!H2400+Sens!H2378*(1-tax_f)</f>
        <v>38.0281730254998</v>
      </c>
      <c r="I2425" s="6" t="n">
        <f aca="false">Sens!I2396-Sens!I2393-Sens!I2400+Sens!I2378*(1-tax_f)</f>
        <v>122.945653953377</v>
      </c>
      <c r="J2425" s="6" t="n">
        <f aca="false">Sens!J2396-Sens!J2393-Sens!J2400+Sens!J2378*(1-tax_f)</f>
        <v>210.222617378872</v>
      </c>
      <c r="K2425" s="6" t="n">
        <f aca="false">Sens!K2396-Sens!K2393-Sens!K2400+Sens!K2378*(1-tax_f)</f>
        <v>251.266258221871</v>
      </c>
      <c r="L2425" s="1" t="s">
        <v>1219</v>
      </c>
    </row>
    <row r="2426" customFormat="false" ht="15" hidden="false" customHeight="false" outlineLevel="0" collapsed="false">
      <c r="A2426" s="1" t="s">
        <v>1220</v>
      </c>
      <c r="B2426" s="0" t="s">
        <v>98</v>
      </c>
      <c r="F2426" s="6" t="n">
        <f aca="false">Sens!F2425*Sens!F2423</f>
        <v>-33.3876566809787</v>
      </c>
      <c r="G2426" s="6" t="n">
        <f aca="false">Sens!G2425*Sens!G2423</f>
        <v>-5.39885379243506</v>
      </c>
      <c r="H2426" s="6" t="n">
        <f aca="false">Sens!H2425*Sens!H2423</f>
        <v>30.5108402097139</v>
      </c>
      <c r="I2426" s="6" t="n">
        <f aca="false">Sens!I2425*Sens!I2423</f>
        <v>89.4357889494208</v>
      </c>
      <c r="J2426" s="6" t="n">
        <f aca="false">Sens!J2425*Sens!J2423</f>
        <v>138.652292603185</v>
      </c>
      <c r="K2426" s="6" t="n">
        <f aca="false">Sens!K2425*Sens!K2423</f>
        <v>150.255799389564</v>
      </c>
    </row>
    <row r="2427" customFormat="false" ht="17.15" hidden="false" customHeight="false" outlineLevel="0" collapsed="false">
      <c r="A2427" s="1" t="s">
        <v>1221</v>
      </c>
      <c r="B2427" s="0" t="s">
        <v>98</v>
      </c>
      <c r="C2427" s="6" t="n">
        <f aca="false">SUM(Sens!F2426:K2426)</f>
        <v>370.06821067847</v>
      </c>
    </row>
    <row r="2428" customFormat="false" ht="17.15" hidden="false" customHeight="false" outlineLevel="0" collapsed="false">
      <c r="A2428" s="1" t="s">
        <v>1222</v>
      </c>
      <c r="B2428" s="0" t="s">
        <v>98</v>
      </c>
      <c r="C2428" s="6" t="n">
        <f aca="false">Sens!K2364*(1+g_tv)*(1-tax_f)</f>
        <v>258.065160273469</v>
      </c>
    </row>
    <row r="2429" customFormat="false" ht="17.15" hidden="false" customHeight="false" outlineLevel="0" collapsed="false">
      <c r="A2429" s="1" t="s">
        <v>1223</v>
      </c>
      <c r="B2429" s="0" t="s">
        <v>98</v>
      </c>
      <c r="C2429" s="6" t="n">
        <f aca="false">Sens!$C$2428*(1-g_tv/(wacc+ronic_prem))</f>
        <v>182.85424900193</v>
      </c>
    </row>
    <row r="2430" customFormat="false" ht="17.15" hidden="false" customHeight="false" outlineLevel="0" collapsed="false">
      <c r="A2430" s="1" t="s">
        <v>1224</v>
      </c>
      <c r="B2430" s="0" t="s">
        <v>98</v>
      </c>
      <c r="C2430" s="6" t="n">
        <f aca="false">Sens!$C$2429/(wacc-g_tv)</f>
        <v>2507.03037571798</v>
      </c>
    </row>
    <row r="2431" customFormat="false" ht="15" hidden="false" customHeight="false" outlineLevel="0" collapsed="false">
      <c r="A2431" s="1" t="s">
        <v>1225</v>
      </c>
      <c r="B2431" s="0" t="s">
        <v>98</v>
      </c>
      <c r="C2431" s="6" t="n">
        <f aca="false">Sens!$C$2430/(1+wacc)^Sens!K2422</f>
        <v>1427.51734684019</v>
      </c>
    </row>
    <row r="2432" customFormat="false" ht="17.15" hidden="false" customHeight="false" outlineLevel="0" collapsed="false">
      <c r="A2432" s="0" t="s">
        <v>1226</v>
      </c>
      <c r="B2432" s="0" t="s">
        <v>98</v>
      </c>
      <c r="C2432" s="6" t="n">
        <f aca="false">Sens!$C$2427+Sens!$C$2431</f>
        <v>1797.58555751866</v>
      </c>
    </row>
    <row r="2433" customFormat="false" ht="15" hidden="false" customHeight="false" outlineLevel="0" collapsed="false">
      <c r="A2433" s="1" t="s">
        <v>1141</v>
      </c>
      <c r="B2433" s="0" t="s">
        <v>168</v>
      </c>
      <c r="C2433" s="7" t="n">
        <f aca="false">Sens!$C$2431/Sens!$C$2432</f>
        <v>0.794130405014322</v>
      </c>
    </row>
    <row r="2434" customFormat="false" ht="17.15" hidden="false" customHeight="false" outlineLevel="0" collapsed="false">
      <c r="A2434" s="1" t="s">
        <v>1227</v>
      </c>
      <c r="B2434" s="0" t="s">
        <v>98</v>
      </c>
      <c r="C2434" s="6" t="n">
        <f aca="false">Sens!$C$2432+cash_val-debt_val-fl_val+oai_v</f>
        <v>1913.43655751866</v>
      </c>
    </row>
    <row r="2435" customFormat="false" ht="17.15" hidden="false" customHeight="false" outlineLevel="0" collapsed="false">
      <c r="A2435" s="0" t="s">
        <v>1149</v>
      </c>
      <c r="B2435" s="0" t="s">
        <v>75</v>
      </c>
      <c r="C2435" s="5" t="n">
        <f aca="false">Sens!$C$2434/shd_val</f>
        <v>256.975095019964</v>
      </c>
    </row>
    <row r="2436" customFormat="false" ht="15" hidden="false" customHeight="false" outlineLevel="0" collapsed="false">
      <c r="A2436" s="1" t="s">
        <v>1228</v>
      </c>
      <c r="B2436" s="0" t="s">
        <v>75</v>
      </c>
      <c r="C2436" s="8" t="n">
        <f aca="false">div_rem27+Sens!G2404*roll_div_q/q_per_yr</f>
        <v>3.9795</v>
      </c>
    </row>
    <row r="2437" customFormat="false" ht="17.15" hidden="false" customHeight="false" outlineLevel="0" collapsed="false">
      <c r="A2437" s="0" t="s">
        <v>1229</v>
      </c>
      <c r="B2437" s="0" t="s">
        <v>75</v>
      </c>
      <c r="C2437" s="5" t="n">
        <f aca="false">Sens!$C$2435*(1+wacc)^t_roll-Sens!$C$2436</f>
        <v>281.662660085887</v>
      </c>
    </row>
    <row r="2438" customFormat="false" ht="17.15" hidden="false" customHeight="false" outlineLevel="0" collapsed="false">
      <c r="A2438" s="1" t="s">
        <v>1230</v>
      </c>
      <c r="B2438" s="0" t="s">
        <v>168</v>
      </c>
      <c r="F2438" s="7" t="n">
        <f aca="false">Sens!F2390/(Sens!F2335-Sens!F2290)</f>
        <v>0.0601322268067008</v>
      </c>
      <c r="G2438" s="7" t="n">
        <f aca="false">Sens!G2390/(Sens!G2335-Sens!G2290)</f>
        <v>0.0594027571188596</v>
      </c>
      <c r="H2438" s="7" t="n">
        <f aca="false">Sens!H2390/(Sens!H2335-Sens!H2290)</f>
        <v>0.0595003487536948</v>
      </c>
      <c r="I2438" s="7" t="n">
        <f aca="false">Sens!I2390/(Sens!I2335-Sens!I2290)</f>
        <v>0.0603590492170413</v>
      </c>
      <c r="J2438" s="7" t="n">
        <f aca="false">Sens!J2390/(Sens!J2335-Sens!J2290)</f>
        <v>0.0618379572219219</v>
      </c>
      <c r="K2438" s="7" t="n">
        <f aca="false">Sens!K2390/(Sens!K2335-Sens!K2290)</f>
        <v>0.0637607924302534</v>
      </c>
    </row>
    <row r="2439" customFormat="false" ht="17.15" hidden="false" customHeight="false" outlineLevel="0" collapsed="false">
      <c r="A2439" s="0" t="s">
        <v>1231</v>
      </c>
      <c r="B2439" s="0" t="s">
        <v>98</v>
      </c>
      <c r="F2439" s="6" t="n">
        <f aca="false">Sens!F2320*(al_m365+Sens!F2438+sbc_r)</f>
        <v>81.9149916547024</v>
      </c>
      <c r="G2439" s="6" t="n">
        <f aca="false">Sens!G2320*(al_m365+Sens!G2438+sbc_r)</f>
        <v>92.3905037405221</v>
      </c>
      <c r="H2439" s="6" t="n">
        <f aca="false">Sens!H2320*(al_m365+Sens!H2438+sbc_r)</f>
        <v>103.022860757447</v>
      </c>
      <c r="I2439" s="6" t="n">
        <f aca="false">Sens!I2320*(al_m365+Sens!I2438+sbc_r)</f>
        <v>113.135781684969</v>
      </c>
      <c r="J2439" s="6" t="n">
        <f aca="false">Sens!J2320*(al_m365+Sens!J2438+sbc_r)</f>
        <v>122.537930175948</v>
      </c>
      <c r="K2439" s="6" t="n">
        <f aca="false">Sens!K2320*(al_m365+Sens!K2438+sbc_r)</f>
        <v>131.533993485076</v>
      </c>
      <c r="L2439" s="12" t="s">
        <v>1232</v>
      </c>
    </row>
    <row r="2440" customFormat="false" ht="17.15" hidden="false" customHeight="false" outlineLevel="0" collapsed="false">
      <c r="A2440" s="0" t="s">
        <v>1233</v>
      </c>
      <c r="B2440" s="0" t="s">
        <v>98</v>
      </c>
      <c r="F2440" s="6" t="n">
        <f aca="false">Sens!F2321*(al_lic+Sens!F2438+sbc_r)</f>
        <v>32.5319779489264</v>
      </c>
      <c r="G2440" s="6" t="n">
        <f aca="false">Sens!G2321*(al_lic+Sens!G2438+sbc_r)</f>
        <v>33.8803348921661</v>
      </c>
      <c r="H2440" s="6" t="n">
        <f aca="false">Sens!H2321*(al_lic+Sens!H2438+sbc_r)</f>
        <v>35.1297637619072</v>
      </c>
      <c r="I2440" s="6" t="n">
        <f aca="false">Sens!I2321*(al_lic+Sens!I2438+sbc_r)</f>
        <v>36.2615641221552</v>
      </c>
      <c r="J2440" s="6" t="n">
        <f aca="false">Sens!J2321*(al_lic+Sens!J2438+sbc_r)</f>
        <v>37.2542329317143</v>
      </c>
      <c r="K2440" s="6" t="n">
        <f aca="false">Sens!K2321*(al_lic+Sens!K2438+sbc_r)</f>
        <v>38.0853569900393</v>
      </c>
    </row>
    <row r="2441" customFormat="false" ht="17.15" hidden="false" customHeight="false" outlineLevel="0" collapsed="false">
      <c r="A2441" s="0" t="s">
        <v>1234</v>
      </c>
      <c r="B2441" s="0" t="s">
        <v>98</v>
      </c>
      <c r="F2441" s="6" t="n">
        <f aca="false">Sens!F2323*(al_ind+Sens!F2438+sbc_r)</f>
        <v>8.87101200431471</v>
      </c>
      <c r="G2441" s="6" t="n">
        <f aca="false">Sens!G2323*(al_ind+Sens!G2438+sbc_r)</f>
        <v>9.67932052520593</v>
      </c>
      <c r="H2441" s="6" t="n">
        <f aca="false">Sens!H2323*(al_ind+Sens!H2438+sbc_r)</f>
        <v>10.5273294964686</v>
      </c>
      <c r="I2441" s="6" t="n">
        <f aca="false">Sens!I2323*(al_ind+Sens!I2438+sbc_r)</f>
        <v>11.4105939435958</v>
      </c>
      <c r="J2441" s="6" t="n">
        <f aca="false">Sens!J2323*(al_ind+Sens!J2438+sbc_r)</f>
        <v>12.3209427438862</v>
      </c>
      <c r="K2441" s="6" t="n">
        <f aca="false">Sens!K2323*(al_ind+Sens!K2438+sbc_r)</f>
        <v>13.2469062761155</v>
      </c>
    </row>
    <row r="2442" customFormat="false" ht="17.15" hidden="false" customHeight="false" outlineLevel="0" collapsed="false">
      <c r="A2442" s="0" t="s">
        <v>1235</v>
      </c>
      <c r="B2442" s="0" t="s">
        <v>98</v>
      </c>
      <c r="F2442" s="6" t="n">
        <f aca="false">Sens!F2325*(al_fro+Sens!F2438+sbc_r)</f>
        <v>3.47973369617936</v>
      </c>
      <c r="G2442" s="6" t="n">
        <f aca="false">Sens!G2325*(al_fro+Sens!G2438+sbc_r)</f>
        <v>3.70359171419869</v>
      </c>
      <c r="H2442" s="6" t="n">
        <f aca="false">Sens!H2325*(al_fro+Sens!H2438+sbc_r)</f>
        <v>3.95350631605257</v>
      </c>
      <c r="I2442" s="6" t="n">
        <f aca="false">Sens!I2325*(al_fro+Sens!I2438+sbc_r)</f>
        <v>4.23205210272884</v>
      </c>
      <c r="J2442" s="6" t="n">
        <f aca="false">Sens!J2325*(al_fro+Sens!J2438+sbc_r)</f>
        <v>4.54119189785941</v>
      </c>
      <c r="K2442" s="6" t="n">
        <f aca="false">Sens!K2325*(al_fro+Sens!K2438+sbc_r)</f>
        <v>4.88247893876865</v>
      </c>
    </row>
    <row r="2443" customFormat="false" ht="17.15" hidden="false" customHeight="false" outlineLevel="0" collapsed="false">
      <c r="A2443" s="0" t="s">
        <v>1236</v>
      </c>
      <c r="B2443" s="0" t="s">
        <v>98</v>
      </c>
      <c r="F2443" s="6" t="n">
        <f aca="false">Sens!F2328*(al_srch+Sens!F2438+sbc_r)</f>
        <v>10.9551860851256</v>
      </c>
      <c r="G2443" s="6" t="n">
        <f aca="false">Sens!G2328*(al_srch+Sens!G2438+sbc_r)</f>
        <v>12.0661852759914</v>
      </c>
      <c r="H2443" s="6" t="n">
        <f aca="false">Sens!H2328*(al_srch+Sens!H2438+sbc_r)</f>
        <v>13.2166697587978</v>
      </c>
      <c r="I2443" s="6" t="n">
        <f aca="false">Sens!I2328*(al_srch+Sens!I2438+sbc_r)</f>
        <v>14.3938815068079</v>
      </c>
      <c r="J2443" s="6" t="n">
        <f aca="false">Sens!J2328*(al_srch+Sens!J2438+sbc_r)</f>
        <v>15.5794928287437</v>
      </c>
      <c r="K2443" s="6" t="n">
        <f aca="false">Sens!K2328*(al_srch+Sens!K2438+sbc_r)</f>
        <v>16.750348217809</v>
      </c>
    </row>
    <row r="2444" customFormat="false" ht="17.15" hidden="false" customHeight="false" outlineLevel="0" collapsed="false">
      <c r="A2444" s="0" t="s">
        <v>1237</v>
      </c>
      <c r="B2444" s="0" t="s">
        <v>98</v>
      </c>
      <c r="F2444" s="6" t="n">
        <f aca="false">Sens!F2296-Sens!F2297+Sens!F2378</f>
        <v>42.2991141129971</v>
      </c>
      <c r="G2444" s="6" t="n">
        <f aca="false">Sens!G2296-Sens!G2297+Sens!G2378</f>
        <v>79.9051960731095</v>
      </c>
      <c r="H2444" s="6" t="n">
        <f aca="false">Sens!H2296-Sens!H2297+Sens!H2378</f>
        <v>114.984655133189</v>
      </c>
      <c r="I2444" s="6" t="n">
        <f aca="false">Sens!I2296-Sens!I2297+Sens!I2378</f>
        <v>152.674396257734</v>
      </c>
      <c r="J2444" s="6" t="n">
        <f aca="false">Sens!J2296-Sens!J2297+Sens!J2378</f>
        <v>179.113389487173</v>
      </c>
      <c r="K2444" s="6" t="n">
        <f aca="false">Sens!K2296-Sens!K2297+Sens!K2378</f>
        <v>195.489944865917</v>
      </c>
    </row>
    <row r="2445" customFormat="false" ht="17.15" hidden="false" customHeight="false" outlineLevel="0" collapsed="false">
      <c r="A2445" s="0" t="s">
        <v>1238</v>
      </c>
      <c r="B2445" s="0" t="s">
        <v>98</v>
      </c>
      <c r="F2445" s="6" t="n">
        <f aca="false">Sens!F2357+Sens!F2378+Sens!F2308+Sens!F2438*(Sens!F2327-Sens!F2290)+sbc_r*Sens!F2327</f>
        <v>242.49016676765</v>
      </c>
      <c r="G2445" s="6" t="n">
        <f aca="false">Sens!G2357+Sens!G2378+Sens!G2308+Sens!G2438*(Sens!G2327-Sens!G2290)+sbc_r*Sens!G2327</f>
        <v>300.180025847402</v>
      </c>
      <c r="H2445" s="6" t="n">
        <f aca="false">Sens!H2357+Sens!H2378+Sens!H2308+Sens!H2438*(Sens!H2327-Sens!H2290)+sbc_r*Sens!H2327</f>
        <v>361.618204845547</v>
      </c>
      <c r="I2445" s="6" t="n">
        <f aca="false">Sens!I2357+Sens!I2378+Sens!I2308+Sens!I2438*(Sens!I2327-Sens!I2290)+sbc_r*Sens!I2327</f>
        <v>425.002305299511</v>
      </c>
      <c r="J2445" s="6" t="n">
        <f aca="false">Sens!J2357+Sens!J2378+Sens!J2308+Sens!J2438*(Sens!J2327-Sens!J2290)+sbc_r*Sens!J2327</f>
        <v>475.140067180786</v>
      </c>
      <c r="K2445" s="6" t="n">
        <f aca="false">Sens!K2357+Sens!K2378+Sens!K2308+Sens!K2438*(Sens!K2327-Sens!K2290)+sbc_r*Sens!K2327</f>
        <v>512.787279528303</v>
      </c>
    </row>
    <row r="2446" customFormat="false" ht="17.15" hidden="false" customHeight="false" outlineLevel="0" collapsed="false">
      <c r="A2446" s="0" t="s">
        <v>1239</v>
      </c>
      <c r="B2446" s="0" t="s">
        <v>98</v>
      </c>
      <c r="F2446" s="6" t="n">
        <f aca="false">Sens!F2445-Sens!F2439-Sens!F2440-Sens!F2441-Sens!F2442-Sens!F2444</f>
        <v>73.3933373505298</v>
      </c>
      <c r="G2446" s="6" t="n">
        <f aca="false">Sens!G2445-Sens!G2439-Sens!G2440-Sens!G2441-Sens!G2442-Sens!G2444</f>
        <v>80.6210789022001</v>
      </c>
      <c r="H2446" s="6" t="n">
        <f aca="false">Sens!H2445-Sens!H2439-Sens!H2440-Sens!H2441-Sens!H2442-Sens!H2444</f>
        <v>94.0000893804826</v>
      </c>
      <c r="I2446" s="6" t="n">
        <f aca="false">Sens!I2445-Sens!I2439-Sens!I2440-Sens!I2441-Sens!I2442-Sens!I2444</f>
        <v>107.287917188329</v>
      </c>
      <c r="J2446" s="6" t="n">
        <f aca="false">Sens!J2445-Sens!J2439-Sens!J2440-Sens!J2441-Sens!J2442-Sens!J2444</f>
        <v>119.372379944205</v>
      </c>
      <c r="K2446" s="6" t="n">
        <f aca="false">Sens!K2445-Sens!K2439-Sens!K2440-Sens!K2441-Sens!K2442-Sens!K2444</f>
        <v>129.548598972387</v>
      </c>
    </row>
    <row r="2447" customFormat="false" ht="17.15" hidden="false" customHeight="false" outlineLevel="0" collapsed="false">
      <c r="A2447" s="0" t="s">
        <v>1240</v>
      </c>
      <c r="B2447" s="0" t="s">
        <v>98</v>
      </c>
      <c r="F2447" s="6" t="n">
        <f aca="false">Sens!F2359+Sens!F2438*Sens!F2334+sbc_r*Sens!F2334</f>
        <v>26.0878792725603</v>
      </c>
      <c r="G2447" s="6" t="n">
        <f aca="false">Sens!G2359+Sens!G2438*Sens!G2334+sbc_r*Sens!G2334</f>
        <v>26.0458936274676</v>
      </c>
      <c r="H2447" s="6" t="n">
        <f aca="false">Sens!H2359+Sens!H2438*Sens!H2334+sbc_r*Sens!H2334</f>
        <v>27.0108357153584</v>
      </c>
      <c r="I2447" s="6" t="n">
        <f aca="false">Sens!I2359+Sens!I2438*Sens!I2334+sbc_r*Sens!I2334</f>
        <v>28.1849799716299</v>
      </c>
      <c r="J2447" s="6" t="n">
        <f aca="false">Sens!J2359+Sens!J2438*Sens!J2334+sbc_r*Sens!J2334</f>
        <v>29.5412892259836</v>
      </c>
      <c r="K2447" s="6" t="n">
        <f aca="false">Sens!K2359+Sens!K2438*Sens!K2334+sbc_r*Sens!K2334</f>
        <v>31.053964643057</v>
      </c>
    </row>
    <row r="2448" customFormat="false" ht="17.15" hidden="false" customHeight="false" outlineLevel="0" collapsed="false">
      <c r="A2448" s="0" t="s">
        <v>1241</v>
      </c>
      <c r="B2448" s="0" t="s">
        <v>98</v>
      </c>
      <c r="F2448" s="6" t="n">
        <f aca="false">(Sens!F2447-Sens!F2443)*Sens!F2330/(Sens!F2330+Sens!F2332)</f>
        <v>8.5467259682537</v>
      </c>
      <c r="G2448" s="6" t="n">
        <f aca="false">(Sens!G2447-Sens!G2443)*Sens!G2330/(Sens!G2330+Sens!G2332)</f>
        <v>7.7598418628718</v>
      </c>
      <c r="H2448" s="6" t="n">
        <f aca="false">(Sens!H2447-Sens!H2443)*Sens!H2330/(Sens!H2330+Sens!H2332)</f>
        <v>7.55710508442884</v>
      </c>
      <c r="I2448" s="6" t="n">
        <f aca="false">(Sens!I2447-Sens!I2443)*Sens!I2330/(Sens!I2330+Sens!I2332)</f>
        <v>7.48947738994418</v>
      </c>
      <c r="J2448" s="6" t="n">
        <f aca="false">(Sens!J2447-Sens!J2443)*Sens!J2330/(Sens!J2330+Sens!J2332)</f>
        <v>7.54909695984936</v>
      </c>
      <c r="K2448" s="6" t="n">
        <f aca="false">(Sens!K2447-Sens!K2443)*Sens!K2330/(Sens!K2330+Sens!K2332)</f>
        <v>7.73391791417595</v>
      </c>
    </row>
    <row r="2449" customFormat="false" ht="17.15" hidden="false" customHeight="false" outlineLevel="0" collapsed="false">
      <c r="A2449" s="0" t="s">
        <v>1242</v>
      </c>
      <c r="B2449" s="0" t="s">
        <v>98</v>
      </c>
      <c r="F2449" s="6" t="n">
        <f aca="false">Sens!F2447-Sens!F2443-Sens!F2448</f>
        <v>6.58596721918098</v>
      </c>
      <c r="G2449" s="6" t="n">
        <f aca="false">Sens!G2447-Sens!G2443-Sens!G2448</f>
        <v>6.2198664886044</v>
      </c>
      <c r="H2449" s="6" t="n">
        <f aca="false">Sens!H2447-Sens!H2443-Sens!H2448</f>
        <v>6.23706087213172</v>
      </c>
      <c r="I2449" s="6" t="n">
        <f aca="false">Sens!I2447-Sens!I2443-Sens!I2448</f>
        <v>6.30162107487778</v>
      </c>
      <c r="J2449" s="6" t="n">
        <f aca="false">Sens!J2447-Sens!J2443-Sens!J2448</f>
        <v>6.41269943739058</v>
      </c>
      <c r="K2449" s="6" t="n">
        <f aca="false">Sens!K2447-Sens!K2443-Sens!K2448</f>
        <v>6.56969851107207</v>
      </c>
    </row>
    <row r="2450" customFormat="false" ht="17.15" hidden="false" customHeight="false" outlineLevel="0" collapsed="false">
      <c r="A2450" s="0" t="s">
        <v>1243</v>
      </c>
      <c r="B2450" s="0" t="s">
        <v>98</v>
      </c>
      <c r="F2450" s="6" t="n">
        <f aca="false">Sens!F2444-tax_f*(Sens!F2444-Sens!F2308)-Sens!F2305</f>
        <v>-160.006358085341</v>
      </c>
      <c r="G2450" s="6" t="n">
        <f aca="false">Sens!G2444-tax_f*(Sens!G2444-Sens!G2308)-Sens!G2305</f>
        <v>-151.832936163818</v>
      </c>
      <c r="H2450" s="6" t="n">
        <f aca="false">Sens!H2444-tax_f*(Sens!H2444-Sens!H2308)-Sens!H2305</f>
        <v>-122.795459012117</v>
      </c>
      <c r="I2450" s="6" t="n">
        <f aca="false">Sens!I2444-tax_f*(Sens!I2444-Sens!I2308)-Sens!I2305</f>
        <v>-52.7828410130535</v>
      </c>
      <c r="J2450" s="6" t="n">
        <f aca="false">Sens!J2444-tax_f*(Sens!J2444-Sens!J2308)-Sens!J2305</f>
        <v>20.2585556865128</v>
      </c>
      <c r="K2450" s="6" t="n">
        <f aca="false">Sens!K2444-tax_f*(Sens!K2444-Sens!K2308)-Sens!K2305</f>
        <v>47.959572907279</v>
      </c>
    </row>
    <row r="2451" customFormat="false" ht="17.15" hidden="false" customHeight="false" outlineLevel="0" collapsed="false">
      <c r="A2451" s="0" t="s">
        <v>1244</v>
      </c>
      <c r="B2451" s="0" t="s">
        <v>98</v>
      </c>
      <c r="G2451" s="6" t="n">
        <f aca="false">Sens!G2450/(1+wacc)^(Sens!G2421-Sens!F2422)</f>
        <v>-144.574173431549</v>
      </c>
      <c r="H2451" s="6" t="n">
        <f aca="false">Sens!H2450/(1+wacc)^(Sens!H2421-Sens!F2422)</f>
        <v>-106.012356713543</v>
      </c>
      <c r="I2451" s="6" t="n">
        <f aca="false">Sens!I2450/(1+wacc)^(Sens!I2421-Sens!F2422)</f>
        <v>-41.3158221727855</v>
      </c>
      <c r="J2451" s="6" t="n">
        <f aca="false">Sens!J2450/(1+wacc)^(Sens!J2421-Sens!F2422)</f>
        <v>14.377440260519</v>
      </c>
      <c r="K2451" s="6" t="n">
        <f aca="false">Sens!K2450/(1+wacc)^(Sens!K2421-Sens!F2422)</f>
        <v>30.8601373075111</v>
      </c>
      <c r="L2451" s="1" t="s">
        <v>1245</v>
      </c>
    </row>
    <row r="2452" customFormat="false" ht="17.15" hidden="false" customHeight="false" outlineLevel="0" collapsed="false">
      <c r="A2452" s="0" t="s">
        <v>1246</v>
      </c>
      <c r="B2452" s="0" t="s">
        <v>98</v>
      </c>
      <c r="C2452" s="6" t="n">
        <f aca="false">(Sens!K2444-Sens!K2308)*(1-tax_f)*(1+g_tv)*(1-g_tv/(wacc+ronic_prem))/(wacc-g_tv)/(1+wacc)^(Sens!K2422-Sens!F2422)</f>
        <v>117.096356324778</v>
      </c>
    </row>
    <row r="2453" customFormat="false" ht="17.15" hidden="false" customHeight="false" outlineLevel="0" collapsed="false">
      <c r="A2453" s="1" t="s">
        <v>1247</v>
      </c>
      <c r="B2453" s="0" t="s">
        <v>98</v>
      </c>
      <c r="C2453" s="6" t="n">
        <f aca="false">(SUM(Sens!G2451:K2451)+Sens!$C$2452)*(1+wacc)^(t_roll-Sens!F2422)</f>
        <v>-133.845863761262</v>
      </c>
      <c r="L2453" s="12" t="s">
        <v>1248</v>
      </c>
    </row>
    <row r="2454" customFormat="false" ht="17.15" hidden="false" customHeight="false" outlineLevel="0" collapsed="false">
      <c r="A2454" s="1" t="s">
        <v>1249</v>
      </c>
      <c r="B2454" s="0" t="s">
        <v>98</v>
      </c>
      <c r="C2454" s="6" t="n">
        <f aca="false">(w_ntm28*Sens!G2296+(1-w_ntm28)*Sens!H2296)*m_ai</f>
        <v>344.355829012336</v>
      </c>
    </row>
    <row r="2455" customFormat="false" ht="17.15" hidden="false" customHeight="false" outlineLevel="0" collapsed="false">
      <c r="A2455" s="1" t="s">
        <v>1250</v>
      </c>
      <c r="B2455" s="0" t="s">
        <v>98</v>
      </c>
      <c r="C2455" s="6" t="n">
        <f aca="false">(w_ntm28*Sens!G2446+(1-w_ntm28)*Sens!H2446)*m_cloud</f>
        <v>1174.97166927</v>
      </c>
    </row>
    <row r="2456" customFormat="false" ht="17.15" hidden="false" customHeight="false" outlineLevel="0" collapsed="false">
      <c r="A2456" s="1" t="s">
        <v>1251</v>
      </c>
      <c r="B2456" s="0" t="s">
        <v>98</v>
      </c>
      <c r="C2456" s="6" t="n">
        <f aca="false">(w_ntm28*Sens!G2439+(1-w_ntm28)*Sens!H2439)*m_sw</f>
        <v>1035.56959024403</v>
      </c>
    </row>
    <row r="2457" customFormat="false" ht="17.15" hidden="false" customHeight="false" outlineLevel="0" collapsed="false">
      <c r="A2457" s="1" t="s">
        <v>1252</v>
      </c>
      <c r="B2457" s="0" t="s">
        <v>98</v>
      </c>
      <c r="C2457" s="6" t="n">
        <f aca="false">(w_ntm28*Sens!G2440+(1-w_ntm28)*Sens!H2440)*m_sw</f>
        <v>370.343945096173</v>
      </c>
    </row>
    <row r="2458" customFormat="false" ht="17.15" hidden="false" customHeight="false" outlineLevel="0" collapsed="false">
      <c r="A2458" s="1" t="s">
        <v>1253</v>
      </c>
      <c r="B2458" s="0" t="s">
        <v>98</v>
      </c>
      <c r="C2458" s="6" t="n">
        <f aca="false">(w_ntm28*Sens!G2441+(1-w_ntm28)*Sens!H2441)*m_sw</f>
        <v>107.547674348269</v>
      </c>
    </row>
    <row r="2459" customFormat="false" ht="17.15" hidden="false" customHeight="false" outlineLevel="0" collapsed="false">
      <c r="A2459" s="1" t="s">
        <v>1254</v>
      </c>
      <c r="B2459" s="0" t="s">
        <v>98</v>
      </c>
      <c r="C2459" s="6" t="n">
        <f aca="false">(w_ntm28*Sens!G2442+(1-w_ntm28)*Sens!H2442)*m_sw</f>
        <v>40.8861585243119</v>
      </c>
    </row>
    <row r="2460" customFormat="false" ht="17.15" hidden="false" customHeight="false" outlineLevel="0" collapsed="false">
      <c r="A2460" s="1" t="s">
        <v>1255</v>
      </c>
      <c r="B2460" s="0" t="s">
        <v>98</v>
      </c>
      <c r="C2460" s="6" t="n">
        <f aca="false">(w_ntm28*Sens!G2443+(1-w_ntm28)*Sens!H2443)*m_ads</f>
        <v>113.368727690594</v>
      </c>
    </row>
    <row r="2461" customFormat="false" ht="17.15" hidden="false" customHeight="false" outlineLevel="0" collapsed="false">
      <c r="A2461" s="1" t="s">
        <v>1256</v>
      </c>
      <c r="B2461" s="0" t="s">
        <v>98</v>
      </c>
      <c r="C2461" s="6" t="n">
        <f aca="false">(w_ntm28*Sens!G2448+(1-w_ntm28)*Sens!H2448)*m_game</f>
        <v>97.1649729707883</v>
      </c>
    </row>
    <row r="2462" customFormat="false" ht="17.15" hidden="false" customHeight="false" outlineLevel="0" collapsed="false">
      <c r="A2462" s="1" t="s">
        <v>1257</v>
      </c>
      <c r="B2462" s="0" t="s">
        <v>98</v>
      </c>
      <c r="C2462" s="6" t="n">
        <f aca="false">(w_ntm28*Sens!G2449+(1-w_ntm28)*Sens!H2449)*m_pc</f>
        <v>90.0832662477957</v>
      </c>
    </row>
    <row r="2463" customFormat="false" ht="17.15" hidden="false" customHeight="false" outlineLevel="0" collapsed="false">
      <c r="A2463" s="1" t="s">
        <v>1258</v>
      </c>
      <c r="B2463" s="0" t="s">
        <v>98</v>
      </c>
      <c r="C2463" s="6" t="n">
        <f aca="false">Sens!$C$2453+Sens!$C$2455+Sens!$C$2456+Sens!$C$2457+Sens!$C$2458+Sens!$C$2459+Sens!$C$2460+Sens!$C$2461+Sens!$C$2462</f>
        <v>2896.09014063071</v>
      </c>
    </row>
    <row r="2464" customFormat="false" ht="17.15" hidden="false" customHeight="false" outlineLevel="0" collapsed="false">
      <c r="A2464" s="1" t="s">
        <v>1259</v>
      </c>
      <c r="B2464" s="0" t="s">
        <v>98</v>
      </c>
      <c r="C2464" s="6" t="n">
        <f aca="false">(Sens!G2425-Sens!G2450)*t_stub</f>
        <v>48.3111289940189</v>
      </c>
      <c r="L2464" s="1" t="s">
        <v>1260</v>
      </c>
    </row>
    <row r="2465" customFormat="false" ht="17.15" hidden="false" customHeight="false" outlineLevel="0" collapsed="false">
      <c r="A2465" s="1" t="s">
        <v>1169</v>
      </c>
      <c r="B2465" s="0" t="s">
        <v>98</v>
      </c>
      <c r="C2465" s="6" t="n">
        <f aca="false">Sens!F2412+oai_v-Sens!F2401+Sens!$C$2464</f>
        <v>126.848533431537</v>
      </c>
      <c r="L2465" s="1" t="s">
        <v>1261</v>
      </c>
    </row>
    <row r="2466" customFormat="false" ht="17.15" hidden="false" customHeight="false" outlineLevel="0" collapsed="false">
      <c r="A2466" s="1" t="s">
        <v>1262</v>
      </c>
      <c r="B2466" s="0" t="s">
        <v>75</v>
      </c>
      <c r="C2466" s="5" t="n">
        <f aca="false">(Sens!$C$2463+Sens!$C$2465)/(Sens!F2414+dil_gap)-Sens!G2404*roll_div_q/q_per_yr</f>
        <v>402.234069111826</v>
      </c>
      <c r="L2466" s="1" t="s">
        <v>1263</v>
      </c>
    </row>
    <row r="2467" customFormat="false" ht="17.15" hidden="false" customHeight="false" outlineLevel="0" collapsed="false">
      <c r="A2467" s="1" t="s">
        <v>1264</v>
      </c>
      <c r="B2467" s="0" t="s">
        <v>75</v>
      </c>
      <c r="C2467" s="5" t="n">
        <f aca="false">w_dcf*Sens!$C$2437+(1-w_dcf)*Sens!$C$2466</f>
        <v>341.948364598856</v>
      </c>
    </row>
    <row r="2468" customFormat="false" ht="17.15" hidden="false" customHeight="false" outlineLevel="0" collapsed="false">
      <c r="A2468" s="3" t="s">
        <v>1540</v>
      </c>
    </row>
    <row r="2469" customFormat="false" ht="15" hidden="false" customHeight="false" outlineLevel="0" collapsed="false">
      <c r="A2469" s="4" t="s">
        <v>43</v>
      </c>
      <c r="B2469" s="4" t="s">
        <v>65</v>
      </c>
      <c r="C2469" s="23" t="s">
        <v>938</v>
      </c>
      <c r="D2469" s="23" t="s">
        <v>939</v>
      </c>
      <c r="E2469" s="23" t="s">
        <v>940</v>
      </c>
      <c r="F2469" s="23" t="s">
        <v>941</v>
      </c>
      <c r="G2469" s="23" t="s">
        <v>942</v>
      </c>
      <c r="H2469" s="23" t="s">
        <v>943</v>
      </c>
      <c r="I2469" s="23" t="s">
        <v>944</v>
      </c>
      <c r="J2469" s="23" t="s">
        <v>945</v>
      </c>
      <c r="K2469" s="23" t="s">
        <v>946</v>
      </c>
      <c r="L2469" s="4" t="s">
        <v>47</v>
      </c>
    </row>
    <row r="2470" customFormat="false" ht="17.15" hidden="false" customHeight="false" outlineLevel="0" collapsed="false">
      <c r="A2470" s="1" t="s">
        <v>947</v>
      </c>
      <c r="B2470" s="1" t="s">
        <v>279</v>
      </c>
      <c r="C2470" s="21" t="n">
        <v>2024</v>
      </c>
      <c r="D2470" s="21" t="n">
        <v>2025</v>
      </c>
      <c r="E2470" s="21" t="n">
        <v>2026</v>
      </c>
      <c r="F2470" s="21" t="n">
        <v>2027</v>
      </c>
      <c r="G2470" s="21" t="n">
        <v>2028</v>
      </c>
      <c r="H2470" s="21" t="n">
        <v>2029</v>
      </c>
      <c r="I2470" s="21" t="n">
        <v>2030</v>
      </c>
      <c r="J2470" s="21" t="n">
        <v>2031</v>
      </c>
      <c r="K2470" s="21" t="n">
        <v>2032</v>
      </c>
    </row>
    <row r="2471" customFormat="false" ht="17.15" hidden="false" customHeight="false" outlineLevel="0" collapsed="false">
      <c r="A2471" s="1" t="s">
        <v>948</v>
      </c>
      <c r="B2471" s="0" t="s">
        <v>456</v>
      </c>
      <c r="F2471" s="30" t="n">
        <f aca="false">pace</f>
        <v>2726.5351</v>
      </c>
      <c r="G2471" s="30" t="n">
        <f aca="false">pace</f>
        <v>2726.5351</v>
      </c>
      <c r="H2471" s="30" t="n">
        <f aca="false">pace</f>
        <v>2726.5351</v>
      </c>
      <c r="I2471" s="30" t="n">
        <f aca="false">pace+(g_tv*Sens!H2472-pace)*MIN(1,(Sens!I2470-pace_y0)/(pace_y1-pace_y0))</f>
        <v>1931.98611966667</v>
      </c>
      <c r="J2471" s="30" t="n">
        <f aca="false">pace+(g_tv*Sens!I2472-pace)*MIN(1,(Sens!J2470-pace_y0)/(pace_y1-pace_y0))</f>
        <v>1176.07686172667</v>
      </c>
      <c r="K2471" s="30" t="n">
        <f aca="false">pace+(g_tv*Sens!J2472-pace)*MIN(1,(Sens!K2470-pace_y0)/(pace_y1-pace_y0))</f>
        <v>436.1300484418</v>
      </c>
      <c r="L2471" s="12" t="s">
        <v>949</v>
      </c>
    </row>
    <row r="2472" customFormat="false" ht="17.15" hidden="false" customHeight="false" outlineLevel="0" collapsed="false">
      <c r="A2472" s="1" t="s">
        <v>950</v>
      </c>
      <c r="B2472" s="0" t="s">
        <v>456</v>
      </c>
      <c r="C2472" s="30" t="n">
        <f aca="false">mw_ext_24</f>
        <v>640</v>
      </c>
      <c r="D2472" s="30" t="n">
        <f aca="false">mw_ext_25</f>
        <v>1630</v>
      </c>
      <c r="E2472" s="30" t="n">
        <f aca="false">mw_ext_26</f>
        <v>3250</v>
      </c>
      <c r="F2472" s="30" t="n">
        <f aca="false">Sens!E2472+Sens!F2471</f>
        <v>5976.5351</v>
      </c>
      <c r="G2472" s="30" t="n">
        <f aca="false">Sens!F2472+Sens!G2471</f>
        <v>8703.0702</v>
      </c>
      <c r="H2472" s="30" t="n">
        <f aca="false">Sens!G2472+Sens!H2471</f>
        <v>11429.6053</v>
      </c>
      <c r="I2472" s="30" t="n">
        <f aca="false">Sens!H2472+Sens!I2471</f>
        <v>13361.5914196667</v>
      </c>
      <c r="J2472" s="30" t="n">
        <f aca="false">Sens!I2472+Sens!J2471</f>
        <v>14537.6682813933</v>
      </c>
      <c r="K2472" s="30" t="n">
        <f aca="false">Sens!J2472+Sens!K2471</f>
        <v>14973.7983298351</v>
      </c>
      <c r="L2472" s="1" t="s">
        <v>951</v>
      </c>
    </row>
    <row r="2473" customFormat="false" ht="17.15" hidden="false" customHeight="false" outlineLevel="0" collapsed="false">
      <c r="A2473" s="1" t="s">
        <v>952</v>
      </c>
      <c r="B2473" s="0" t="s">
        <v>456</v>
      </c>
      <c r="C2473" s="30" t="n">
        <f aca="false">rent_ext_24</f>
        <v>150</v>
      </c>
      <c r="D2473" s="30" t="n">
        <f aca="false">rent_ext_25</f>
        <v>400</v>
      </c>
      <c r="E2473" s="30" t="n">
        <f aca="false">rent_ext_26</f>
        <v>550</v>
      </c>
      <c r="F2473" s="30" t="n">
        <f aca="false">rent_ext_f</f>
        <v>756</v>
      </c>
      <c r="G2473" s="30" t="n">
        <f aca="false">rent_ext_f</f>
        <v>756</v>
      </c>
      <c r="H2473" s="30" t="n">
        <f aca="false">rent_ext_f</f>
        <v>756</v>
      </c>
      <c r="I2473" s="30" t="n">
        <f aca="false">rent_ext_f</f>
        <v>756</v>
      </c>
      <c r="J2473" s="30" t="n">
        <f aca="false">rent_ext_f</f>
        <v>756</v>
      </c>
      <c r="K2473" s="30" t="n">
        <f aca="false">rent_ext_f</f>
        <v>756</v>
      </c>
      <c r="L2473" s="1" t="s">
        <v>953</v>
      </c>
    </row>
    <row r="2474" customFormat="false" ht="17.15" hidden="false" customHeight="false" outlineLevel="0" collapsed="false">
      <c r="A2474" s="1" t="s">
        <v>954</v>
      </c>
      <c r="B2474" s="0" t="s">
        <v>456</v>
      </c>
      <c r="C2474" s="30" t="n">
        <f aca="false">Sens!C2472-Sens!C2473</f>
        <v>490</v>
      </c>
      <c r="D2474" s="30" t="n">
        <f aca="false">Sens!D2472-Sens!D2473</f>
        <v>1230</v>
      </c>
      <c r="E2474" s="30" t="n">
        <f aca="false">Sens!E2472-Sens!E2473</f>
        <v>2700</v>
      </c>
      <c r="F2474" s="30" t="n">
        <f aca="false">Sens!F2472-Sens!F2473</f>
        <v>5220.5351</v>
      </c>
      <c r="G2474" s="30" t="n">
        <f aca="false">Sens!G2472-Sens!G2473</f>
        <v>7947.0702</v>
      </c>
      <c r="H2474" s="30" t="n">
        <f aca="false">Sens!H2472-Sens!H2473</f>
        <v>10673.6053</v>
      </c>
      <c r="I2474" s="30" t="n">
        <f aca="false">Sens!I2472-Sens!I2473</f>
        <v>12605.5914196667</v>
      </c>
      <c r="J2474" s="30" t="n">
        <f aca="false">Sens!J2472-Sens!J2473</f>
        <v>13781.6682813933</v>
      </c>
      <c r="K2474" s="30" t="n">
        <f aca="false">Sens!K2472-Sens!K2473</f>
        <v>14217.7983298351</v>
      </c>
    </row>
    <row r="2475" customFormat="false" ht="17.15" hidden="false" customHeight="false" outlineLevel="0" collapsed="false">
      <c r="A2475" s="1" t="s">
        <v>955</v>
      </c>
      <c r="B2475" s="0" t="s">
        <v>456</v>
      </c>
      <c r="C2475" s="30" t="n">
        <f aca="false">Sens!C2474/ext_sh_hi</f>
        <v>653.333333333333</v>
      </c>
      <c r="D2475" s="30" t="n">
        <f aca="false">Sens!D2474/ext_sh_hi</f>
        <v>1640</v>
      </c>
      <c r="E2475" s="30" t="n">
        <f aca="false">Sens!E2474/ext_sh_hi</f>
        <v>3600</v>
      </c>
      <c r="F2475" s="30" t="n">
        <f aca="false">Sens!F2474/ext_sh_hi</f>
        <v>6960.71346666667</v>
      </c>
      <c r="G2475" s="30" t="n">
        <f aca="false">Sens!G2474/ext_sh_hi</f>
        <v>10596.0936</v>
      </c>
      <c r="H2475" s="30" t="n">
        <f aca="false">Sens!H2474/ext_sh_hi</f>
        <v>14231.4737333333</v>
      </c>
      <c r="I2475" s="30" t="n">
        <f aca="false">Sens!I2474/ext_sh_hi</f>
        <v>16807.4552262222</v>
      </c>
      <c r="J2475" s="30" t="n">
        <f aca="false">Sens!J2474/ext_sh_hi</f>
        <v>18375.5577085244</v>
      </c>
      <c r="K2475" s="30" t="n">
        <f aca="false">Sens!K2474/ext_sh_hi</f>
        <v>18957.0644397802</v>
      </c>
      <c r="L2475" s="1" t="s">
        <v>956</v>
      </c>
    </row>
    <row r="2476" customFormat="false" ht="17.15" hidden="false" customHeight="false" outlineLevel="0" collapsed="false">
      <c r="A2476" s="1" t="s">
        <v>957</v>
      </c>
      <c r="B2476" s="0" t="s">
        <v>456</v>
      </c>
      <c r="C2476" s="30" t="n">
        <f aca="false">Sens!C2475-Sens!C2474</f>
        <v>163.333333333333</v>
      </c>
      <c r="D2476" s="30" t="n">
        <f aca="false">Sens!D2475-Sens!D2474</f>
        <v>410</v>
      </c>
      <c r="E2476" s="30" t="n">
        <f aca="false">Sens!E2475-Sens!E2474</f>
        <v>900</v>
      </c>
      <c r="F2476" s="30" t="n">
        <f aca="false">Sens!F2475-Sens!F2474</f>
        <v>1740.17836666667</v>
      </c>
      <c r="G2476" s="30" t="n">
        <f aca="false">Sens!G2475-Sens!G2474</f>
        <v>2649.0234</v>
      </c>
      <c r="H2476" s="30" t="n">
        <f aca="false">Sens!H2475-Sens!H2474</f>
        <v>3557.86843333333</v>
      </c>
      <c r="I2476" s="30" t="n">
        <f aca="false">Sens!I2475-Sens!I2474</f>
        <v>4201.86380655556</v>
      </c>
      <c r="J2476" s="30" t="n">
        <f aca="false">Sens!J2475-Sens!J2474</f>
        <v>4593.88942713111</v>
      </c>
      <c r="K2476" s="30" t="n">
        <f aca="false">Sens!K2475-Sens!K2474</f>
        <v>4739.26610994505</v>
      </c>
    </row>
    <row r="2477" customFormat="false" ht="17.15" hidden="false" customHeight="false" outlineLevel="0" collapsed="false">
      <c r="A2477" s="1" t="s">
        <v>958</v>
      </c>
      <c r="B2477" s="0" t="s">
        <v>456</v>
      </c>
      <c r="C2477" s="30" t="n">
        <f aca="false">Sens!C2475</f>
        <v>653.333333333333</v>
      </c>
      <c r="D2477" s="30" t="n">
        <f aca="false">Sens!D2475-Sens!C2475</f>
        <v>986.666666666667</v>
      </c>
      <c r="E2477" s="30" t="n">
        <f aca="false">Sens!E2475-Sens!D2475</f>
        <v>1960</v>
      </c>
      <c r="F2477" s="30" t="n">
        <f aca="false">Sens!F2475-Sens!E2475</f>
        <v>3360.71346666667</v>
      </c>
      <c r="G2477" s="30" t="n">
        <f aca="false">Sens!G2475-Sens!F2475</f>
        <v>3635.38013333333</v>
      </c>
      <c r="H2477" s="30" t="n">
        <f aca="false">Sens!H2475-Sens!G2475</f>
        <v>3635.38013333333</v>
      </c>
      <c r="I2477" s="30" t="n">
        <f aca="false">Sens!I2475-Sens!H2475</f>
        <v>2575.98149288889</v>
      </c>
      <c r="J2477" s="30" t="n">
        <f aca="false">Sens!J2475-Sens!I2475</f>
        <v>1568.10248230222</v>
      </c>
      <c r="K2477" s="30" t="n">
        <f aca="false">Sens!K2475-Sens!J2475</f>
        <v>581.506731255733</v>
      </c>
    </row>
    <row r="2478" customFormat="false" ht="17.15" hidden="false" customHeight="false" outlineLevel="0" collapsed="false">
      <c r="A2478" s="1" t="s">
        <v>959</v>
      </c>
      <c r="B2478" s="0" t="s">
        <v>456</v>
      </c>
      <c r="D2478" s="30" t="n">
        <f aca="false">Sens!D2472-Sens!C2472</f>
        <v>990</v>
      </c>
      <c r="E2478" s="30" t="n">
        <f aca="false">Sens!E2472-Sens!D2472</f>
        <v>1620</v>
      </c>
      <c r="F2478" s="30" t="n">
        <f aca="false">Sens!F2472-Sens!E2472</f>
        <v>2726.5351</v>
      </c>
      <c r="G2478" s="30" t="n">
        <f aca="false">Sens!G2472-Sens!F2472</f>
        <v>2726.5351</v>
      </c>
      <c r="H2478" s="30" t="n">
        <f aca="false">Sens!H2472-Sens!G2472</f>
        <v>2726.5351</v>
      </c>
      <c r="I2478" s="30" t="n">
        <f aca="false">Sens!I2472-Sens!H2472</f>
        <v>1931.98611966667</v>
      </c>
      <c r="J2478" s="30" t="n">
        <f aca="false">Sens!J2472-Sens!I2472</f>
        <v>1176.07686172667</v>
      </c>
      <c r="K2478" s="30" t="n">
        <f aca="false">Sens!K2472-Sens!J2472</f>
        <v>436.130048441799</v>
      </c>
    </row>
    <row r="2479" customFormat="false" ht="17.15" hidden="false" customHeight="false" outlineLevel="0" collapsed="false">
      <c r="A2479" s="1" t="s">
        <v>960</v>
      </c>
      <c r="B2479" s="0" t="s">
        <v>456</v>
      </c>
      <c r="F2479" s="30" t="n">
        <f aca="false">Sens!F2498*ext_sh_hi</f>
        <v>0</v>
      </c>
      <c r="G2479" s="30" t="n">
        <f aca="false">Sens!G2498*ext_sh_hi</f>
        <v>0</v>
      </c>
      <c r="H2479" s="30" t="n">
        <f aca="false">Sens!H2498*ext_sh_hi</f>
        <v>0</v>
      </c>
      <c r="I2479" s="30" t="n">
        <f aca="false">Sens!I2498*ext_sh_hi</f>
        <v>490</v>
      </c>
      <c r="J2479" s="30" t="n">
        <f aca="false">Sens!J2498*ext_sh_hi</f>
        <v>740</v>
      </c>
      <c r="K2479" s="30" t="n">
        <f aca="false">Sens!K2498*ext_sh_hi</f>
        <v>1470</v>
      </c>
      <c r="L2479" s="1" t="s">
        <v>961</v>
      </c>
    </row>
    <row r="2480" customFormat="false" ht="17.15" hidden="false" customHeight="false" outlineLevel="0" collapsed="false">
      <c r="A2480" s="1" t="s">
        <v>962</v>
      </c>
      <c r="B2480" s="0" t="s">
        <v>456</v>
      </c>
      <c r="C2480" s="30" t="n">
        <f aca="false">mix_h*Sens!C2472</f>
        <v>128</v>
      </c>
      <c r="D2480" s="30" t="n">
        <f aca="false">mix_h*Sens!D2472</f>
        <v>326</v>
      </c>
      <c r="E2480" s="30" t="n">
        <f aca="false">mix_h*Sens!E2472</f>
        <v>650</v>
      </c>
      <c r="F2480" s="30" t="n">
        <f aca="false">Sens!E2480-Sens!F2479*mix_h</f>
        <v>650</v>
      </c>
      <c r="G2480" s="30" t="n">
        <f aca="false">Sens!F2480-Sens!G2479*mix_h</f>
        <v>650</v>
      </c>
      <c r="H2480" s="30" t="n">
        <f aca="false">Sens!G2480-Sens!H2479*mix_h</f>
        <v>650</v>
      </c>
      <c r="I2480" s="30" t="n">
        <f aca="false">Sens!H2480-Sens!I2479*mix_h</f>
        <v>552</v>
      </c>
      <c r="J2480" s="30" t="n">
        <f aca="false">Sens!I2480-Sens!J2479*mix_h</f>
        <v>404</v>
      </c>
      <c r="K2480" s="30" t="n">
        <f aca="false">Sens!J2480-Sens!K2479*mix_h</f>
        <v>110</v>
      </c>
    </row>
    <row r="2481" customFormat="false" ht="17.15" hidden="false" customHeight="false" outlineLevel="0" collapsed="false">
      <c r="A2481" s="1" t="s">
        <v>963</v>
      </c>
      <c r="B2481" s="0" t="s">
        <v>456</v>
      </c>
      <c r="C2481" s="30" t="n">
        <f aca="false">mix_g2*Sens!C2472</f>
        <v>288</v>
      </c>
      <c r="D2481" s="30" t="n">
        <f aca="false">mix_g2*Sens!D2472</f>
        <v>733.5</v>
      </c>
      <c r="E2481" s="30" t="n">
        <f aca="false">mix_g2*Sens!E2472</f>
        <v>1462.5</v>
      </c>
      <c r="F2481" s="30" t="n">
        <f aca="false">Sens!E2481-Sens!F2479*mix_g2</f>
        <v>1462.5</v>
      </c>
      <c r="G2481" s="30" t="n">
        <f aca="false">Sens!F2481-Sens!G2479*mix_g2</f>
        <v>1462.5</v>
      </c>
      <c r="H2481" s="30" t="n">
        <f aca="false">Sens!G2481-Sens!H2479*mix_g2</f>
        <v>1462.5</v>
      </c>
      <c r="I2481" s="30" t="n">
        <f aca="false">Sens!H2481-Sens!I2479*mix_g2</f>
        <v>1242</v>
      </c>
      <c r="J2481" s="30" t="n">
        <f aca="false">Sens!I2481-Sens!J2479*mix_g2</f>
        <v>909</v>
      </c>
      <c r="K2481" s="30" t="n">
        <f aca="false">Sens!J2481-Sens!K2479*mix_g2</f>
        <v>247.5</v>
      </c>
    </row>
    <row r="2482" customFormat="false" ht="17.15" hidden="false" customHeight="false" outlineLevel="0" collapsed="false">
      <c r="A2482" s="1" t="s">
        <v>964</v>
      </c>
      <c r="B2482" s="0" t="s">
        <v>456</v>
      </c>
      <c r="C2482" s="30" t="n">
        <f aca="false">mix_g3*Sens!C2472</f>
        <v>224</v>
      </c>
      <c r="D2482" s="30" t="n">
        <f aca="false">mix_g3*Sens!D2472</f>
        <v>570.5</v>
      </c>
      <c r="E2482" s="30" t="n">
        <f aca="false">mix_g3*Sens!E2472</f>
        <v>1137.5</v>
      </c>
      <c r="F2482" s="30" t="n">
        <f aca="false">Sens!E2482+(Sens!F2478+Sens!F2479)*(a_g3_27-nonnv*a_mai)-Sens!F2479*mix_g3</f>
        <v>2773.42106</v>
      </c>
      <c r="G2482" s="30" t="n">
        <f aca="false">Sens!F2482+(Sens!G2478+Sens!G2479)*(a_g3_28-nonnv*a_mai)-Sens!G2479*mix_g3</f>
        <v>3318.72808</v>
      </c>
      <c r="H2482" s="30" t="n">
        <f aca="false">Sens!G2482+(Sens!H2478+Sens!H2479)*(a_g3_29-nonnv*a_mai)-Sens!H2479*mix_g3</f>
        <v>3318.72808</v>
      </c>
      <c r="I2482" s="30" t="n">
        <f aca="false">Sens!H2482+(Sens!I2478+Sens!I2479)*(a_g3_29-nonnv*a_mai)-Sens!I2479*mix_g3</f>
        <v>3147.22808</v>
      </c>
      <c r="J2482" s="30" t="n">
        <f aca="false">Sens!I2482+(Sens!J2478+Sens!J2479)*(a_g3_29-nonnv*a_mai)-Sens!J2479*mix_g3</f>
        <v>2888.22808</v>
      </c>
      <c r="K2482" s="30" t="n">
        <f aca="false">Sens!J2482+(Sens!K2478+Sens!K2479)*(a_g3_29-nonnv*a_mai)-Sens!K2479*mix_g3</f>
        <v>2373.72808</v>
      </c>
    </row>
    <row r="2483" customFormat="false" ht="17.15" hidden="false" customHeight="false" outlineLevel="0" collapsed="false">
      <c r="A2483" s="1" t="s">
        <v>965</v>
      </c>
      <c r="B2483" s="0" t="s">
        <v>456</v>
      </c>
      <c r="C2483" s="30" t="n">
        <v>0</v>
      </c>
      <c r="D2483" s="30" t="n">
        <v>0</v>
      </c>
      <c r="E2483" s="30" t="n">
        <v>0</v>
      </c>
      <c r="F2483" s="30" t="n">
        <f aca="false">Sens!E2483+(Sens!F2478+Sens!F2479)*nonnv*a_mai</f>
        <v>272.65351</v>
      </c>
      <c r="G2483" s="30" t="n">
        <f aca="false">Sens!F2483+(Sens!G2478+Sens!G2479)*nonnv*a_mai</f>
        <v>545.30702</v>
      </c>
      <c r="H2483" s="30" t="n">
        <f aca="false">Sens!G2483+(Sens!H2478+Sens!H2479)*nonnv*a_mai</f>
        <v>817.96053</v>
      </c>
      <c r="I2483" s="30" t="n">
        <f aca="false">Sens!H2483+(Sens!I2478+Sens!I2479)*nonnv*a_mai</f>
        <v>1060.15914196667</v>
      </c>
      <c r="J2483" s="30" t="n">
        <f aca="false">Sens!I2483+(Sens!J2478+Sens!J2479)*nonnv*a_mai</f>
        <v>1251.76682813933</v>
      </c>
      <c r="K2483" s="30" t="n">
        <f aca="false">Sens!J2483+(Sens!K2478+Sens!K2479)*nonnv*a_mai</f>
        <v>1442.37983298351</v>
      </c>
      <c r="L2483" s="12" t="s">
        <v>966</v>
      </c>
    </row>
    <row r="2484" customFormat="false" ht="17.15" hidden="false" customHeight="false" outlineLevel="0" collapsed="false">
      <c r="A2484" s="1" t="s">
        <v>967</v>
      </c>
      <c r="B2484" s="0" t="s">
        <v>456</v>
      </c>
      <c r="C2484" s="30" t="n">
        <v>0</v>
      </c>
      <c r="D2484" s="30" t="n">
        <v>0</v>
      </c>
      <c r="E2484" s="30" t="n">
        <v>0</v>
      </c>
      <c r="F2484" s="30" t="n">
        <f aca="false">Sens!E2484+(Sens!F2478+Sens!F2479)*(1-a_g3_27)</f>
        <v>817.96053</v>
      </c>
      <c r="G2484" s="30" t="n">
        <f aca="false">Sens!F2484+(Sens!G2478+Sens!G2479)*(1-a_g3_28)</f>
        <v>2726.5351</v>
      </c>
      <c r="H2484" s="30" t="n">
        <f aca="false">Sens!G2484+(Sens!H2478+Sens!H2479)*(1-a_g3_29)</f>
        <v>5180.41669</v>
      </c>
      <c r="I2484" s="30" t="n">
        <f aca="false">Sens!H2484+(Sens!I2478+Sens!I2479)*(1-a_g3_29)</f>
        <v>7360.2041977</v>
      </c>
      <c r="J2484" s="30" t="n">
        <f aca="false">Sens!I2484+(Sens!J2478+Sens!J2479)*(1-a_g3_29)</f>
        <v>9084.673373254</v>
      </c>
      <c r="K2484" s="30" t="n">
        <f aca="false">Sens!J2484+(Sens!K2478+Sens!K2479)*(1-a_g3_29)</f>
        <v>10800.1904168516</v>
      </c>
    </row>
    <row r="2485" customFormat="false" ht="17.15" hidden="false" customHeight="false" outlineLevel="0" collapsed="false">
      <c r="A2485" s="1" t="s">
        <v>968</v>
      </c>
      <c r="B2485" s="0" t="s">
        <v>403</v>
      </c>
      <c r="C2485" s="15" t="n">
        <f aca="false">(Sens!C2480*tk_hold_h100+Sens!C2481*tk_hold_gb200+Sens!C2482*tk_hold_gb300+Sens!C2484*tk_hold_vr200+Sens!C2483*nv_hold_mai*tk_hold_vr200)/Sens!C2472</f>
        <v>9.7235358126469</v>
      </c>
      <c r="D2485" s="15" t="n">
        <f aca="false">(Sens!D2480*tk_hold_h100+Sens!D2481*tk_hold_gb200+Sens!D2482*tk_hold_gb300+Sens!D2484*tk_hold_vr200+Sens!D2483*nv_hold_mai*tk_hold_vr200)/Sens!D2472</f>
        <v>9.7235358126469</v>
      </c>
      <c r="E2485" s="15" t="n">
        <f aca="false">(Sens!E2480*tk_hold_h100+Sens!E2481*tk_hold_gb200+Sens!E2482*tk_hold_gb300+Sens!E2484*tk_hold_vr200+Sens!E2483*nv_hold_mai*tk_hold_vr200)/Sens!E2472</f>
        <v>9.7235358126469</v>
      </c>
      <c r="F2485" s="15" t="n">
        <f aca="false">(Sens!F2480*tk_hold_h100+Sens!F2481*tk_hold_gb200+Sens!F2482*tk_hold_gb300+Sens!F2484*tk_hold_vr200+Sens!F2483*nv_hold_mai*tk_hold_vr200)/Sens!F2472</f>
        <v>10.2195353876665</v>
      </c>
      <c r="G2485" s="15" t="n">
        <f aca="false">(Sens!G2480*tk_hold_h100+Sens!G2481*tk_hold_gb200+Sens!G2482*tk_hold_gb300+Sens!G2484*tk_hold_vr200+Sens!G2483*nv_hold_mai*tk_hold_vr200)/Sens!G2472</f>
        <v>10.5725598017306</v>
      </c>
      <c r="H2485" s="15" t="n">
        <f aca="false">(Sens!H2480*tk_hold_h100+Sens!H2481*tk_hold_gb200+Sens!H2482*tk_hold_gb300+Sens!H2484*tk_hold_vr200+Sens!H2483*nv_hold_mai*tk_hold_vr200)/Sens!H2472</f>
        <v>10.8210427149036</v>
      </c>
      <c r="I2485" s="15" t="n">
        <f aca="false">(Sens!I2480*tk_hold_h100+Sens!I2481*tk_hold_gb200+Sens!I2482*tk_hold_gb300+Sens!I2484*tk_hold_vr200+Sens!I2483*nv_hold_mai*tk_hold_vr200)/Sens!I2472</f>
        <v>11.0050618241982</v>
      </c>
      <c r="J2485" s="15" t="n">
        <f aca="false">(Sens!J2480*tk_hold_h100+Sens!J2481*tk_hold_gb200+Sens!J2482*tk_hold_gb300+Sens!J2484*tk_hold_vr200+Sens!J2483*nv_hold_mai*tk_hold_vr200)/Sens!J2472</f>
        <v>11.1505789658881</v>
      </c>
      <c r="K2485" s="15" t="n">
        <f aca="false">(Sens!K2480*tk_hold_h100+Sens!K2481*tk_hold_gb200+Sens!K2482*tk_hold_gb300+Sens!K2484*tk_hold_vr200+Sens!K2483*nv_hold_mai*tk_hold_vr200)/Sens!K2472</f>
        <v>11.3496914757183</v>
      </c>
      <c r="L2485" s="1" t="s">
        <v>969</v>
      </c>
    </row>
    <row r="2486" customFormat="false" ht="17.15" hidden="false" customHeight="false" outlineLevel="0" collapsed="false">
      <c r="A2486" s="1" t="s">
        <v>970</v>
      </c>
      <c r="B2486" s="0" t="s">
        <v>403</v>
      </c>
      <c r="C2486" s="15" t="n">
        <f aca="false">(Sens!C2480*tk_hold_h100+Sens!C2481*tk_hold_gb200+Sens!C2482*tk_hold_gb300+Sens!C2484*tk_hold_vr200+Sens!C2483*nv_out_mai*tk_hold_vr200)/Sens!C2472</f>
        <v>9.7235358126469</v>
      </c>
      <c r="D2486" s="15" t="n">
        <f aca="false">(Sens!D2480*tk_hold_h100+Sens!D2481*tk_hold_gb200+Sens!D2482*tk_hold_gb300+Sens!D2484*tk_hold_vr200+Sens!D2483*nv_out_mai*tk_hold_vr200)/Sens!D2472</f>
        <v>9.7235358126469</v>
      </c>
      <c r="E2486" s="15" t="n">
        <f aca="false">(Sens!E2480*tk_hold_h100+Sens!E2481*tk_hold_gb200+Sens!E2482*tk_hold_gb300+Sens!E2484*tk_hold_vr200+Sens!E2483*nv_out_mai*tk_hold_vr200)/Sens!E2472</f>
        <v>9.7235358126469</v>
      </c>
      <c r="F2486" s="15" t="n">
        <f aca="false">(Sens!F2480*tk_hold_h100+Sens!F2481*tk_hold_gb200+Sens!F2482*tk_hold_gb300+Sens!F2484*tk_hold_vr200+Sens!F2483*nv_out_mai*tk_hold_vr200)/Sens!F2472</f>
        <v>10.247422093969</v>
      </c>
      <c r="G2486" s="15" t="n">
        <f aca="false">(Sens!G2480*tk_hold_h100+Sens!G2481*tk_hold_gb200+Sens!G2482*tk_hold_gb300+Sens!G2484*tk_hold_vr200+Sens!G2483*nv_out_mai*tk_hold_vr200)/Sens!G2472</f>
        <v>10.6108602808053</v>
      </c>
      <c r="H2486" s="15" t="n">
        <f aca="false">(Sens!H2480*tk_hold_h100+Sens!H2481*tk_hold_gb200+Sens!H2482*tk_hold_gb300+Sens!H2484*tk_hold_vr200+Sens!H2483*nv_out_mai*tk_hold_vr200)/Sens!H2472</f>
        <v>10.8647885507393</v>
      </c>
      <c r="I2486" s="15" t="n">
        <f aca="false">(Sens!I2480*tk_hold_h100+Sens!I2481*tk_hold_gb200+Sens!I2482*tk_hold_gb300+Sens!I2484*tk_hold_vr200+Sens!I2483*nv_out_mai*tk_hold_vr200)/Sens!I2472</f>
        <v>11.0535625770025</v>
      </c>
      <c r="J2486" s="15" t="n">
        <f aca="false">(Sens!J2480*tk_hold_h100+Sens!J2481*tk_hold_gb200+Sens!J2482*tk_hold_gb300+Sens!J2484*tk_hold_vr200+Sens!J2483*nv_out_mai*tk_hold_vr200)/Sens!J2472</f>
        <v>11.2032127128058</v>
      </c>
      <c r="K2486" s="15" t="n">
        <f aca="false">(Sens!K2480*tk_hold_h100+Sens!K2481*tk_hold_gb200+Sens!K2482*tk_hold_gb300+Sens!K2484*tk_hold_vr200+Sens!K2483*nv_out_mai*tk_hold_vr200)/Sens!K2472</f>
        <v>11.4085735724225</v>
      </c>
      <c r="L2486" s="12" t="s">
        <v>971</v>
      </c>
    </row>
    <row r="2487" customFormat="false" ht="17.15" hidden="false" customHeight="false" outlineLevel="0" collapsed="false">
      <c r="A2487" s="0" t="s">
        <v>972</v>
      </c>
      <c r="B2487" s="0" t="s">
        <v>229</v>
      </c>
      <c r="C2487" s="15" t="n">
        <f aca="false">k_B</f>
        <v>1.17213932619116</v>
      </c>
      <c r="D2487" s="15" t="n">
        <f aca="false">k_B</f>
        <v>1.17213932619116</v>
      </c>
      <c r="E2487" s="15" t="n">
        <f aca="false">k_B</f>
        <v>1.17213932619116</v>
      </c>
      <c r="F2487" s="15" t="n">
        <f aca="false">(k_B+((ls_A*k_long+(1-ls_A)*k_spot)-k_B)*MIN(1,(Sens!F2470-base_fy)/k_ramp))</f>
        <v>1.25022828131298</v>
      </c>
      <c r="G2487" s="15" t="n">
        <f aca="false">(k_B+((ls_A*k_long+(1-ls_A)*k_spot)-k_B)*MIN(1,(Sens!G2470-base_fy)/k_ramp))</f>
        <v>1.3283172364348</v>
      </c>
      <c r="H2487" s="15" t="n">
        <f aca="false">(k_B+((ls_A*k_long+(1-ls_A)*k_spot)-k_B)*MIN(1,(Sens!H2470-base_fy)/k_ramp))</f>
        <v>1.40640619155662</v>
      </c>
      <c r="I2487" s="15" t="n">
        <f aca="false">(k_B+((ls_A*k_long+(1-ls_A)*k_spot)-k_B)*MIN(1,(Sens!I2470-base_fy)/k_ramp))</f>
        <v>1.40640619155662</v>
      </c>
      <c r="J2487" s="15" t="n">
        <f aca="false">(k_B+((ls_A*k_long+(1-ls_A)*k_spot)-k_B)*MIN(1,(Sens!J2470-base_fy)/k_ramp))</f>
        <v>1.40640619155662</v>
      </c>
      <c r="K2487" s="15" t="n">
        <f aca="false">(k_B+((ls_A*k_long+(1-ls_A)*k_spot)-k_B)*MIN(1,(Sens!K2470-base_fy)/k_ramp))</f>
        <v>1.40640619155662</v>
      </c>
      <c r="L2487" s="1" t="s">
        <v>973</v>
      </c>
    </row>
    <row r="2488" customFormat="false" ht="17.15" hidden="false" customHeight="false" outlineLevel="0" collapsed="false">
      <c r="A2488" s="1" t="s">
        <v>974</v>
      </c>
      <c r="B2488" s="0" t="s">
        <v>403</v>
      </c>
      <c r="C2488" s="15" t="n">
        <f aca="false">Sens!C2486*Sens!C2487*chip_f</f>
        <v>11.3973387156315</v>
      </c>
      <c r="D2488" s="15" t="n">
        <f aca="false">Sens!D2486*Sens!D2487*chip_f</f>
        <v>11.3973387156315</v>
      </c>
      <c r="E2488" s="15" t="n">
        <f aca="false">Sens!E2486*Sens!E2487*chip_f</f>
        <v>11.3973387156315</v>
      </c>
      <c r="F2488" s="15" t="n">
        <f aca="false">Sens!F2486*Sens!F2487*chip_f</f>
        <v>12.8116169124314</v>
      </c>
      <c r="G2488" s="15" t="n">
        <f aca="false">Sens!G2486*Sens!G2487*chip_f</f>
        <v>14.094588604395</v>
      </c>
      <c r="H2488" s="15" t="n">
        <f aca="false">Sens!H2486*Sens!H2487*chip_f</f>
        <v>15.2803058877132</v>
      </c>
      <c r="I2488" s="15" t="n">
        <f aca="false">Sens!I2486*Sens!I2487*chip_f</f>
        <v>15.5457988470549</v>
      </c>
      <c r="J2488" s="15" t="n">
        <f aca="false">Sens!J2486*Sens!J2487*chip_f</f>
        <v>15.7562677246158</v>
      </c>
      <c r="K2488" s="15" t="n">
        <f aca="false">Sens!K2486*Sens!K2487*chip_f</f>
        <v>16.0450885090842</v>
      </c>
      <c r="L2488" s="1" t="s">
        <v>975</v>
      </c>
    </row>
    <row r="2489" customFormat="false" ht="17.15" hidden="false" customHeight="false" outlineLevel="0" collapsed="false">
      <c r="A2489" s="0" t="s">
        <v>976</v>
      </c>
      <c r="B2489" s="0" t="s">
        <v>98</v>
      </c>
      <c r="D2489" s="6" t="n">
        <f aca="false">(Sens!C2472+Sens!D2472)/2*Sens!D2488/1000</f>
        <v>12.9359794422418</v>
      </c>
      <c r="E2489" s="6" t="n">
        <f aca="false">(Sens!D2472+Sens!E2472)/2*Sens!E2488/1000</f>
        <v>27.8095064661409</v>
      </c>
      <c r="F2489" s="6" t="n">
        <f aca="false">(Sens!E2472+Sens!F2472)/2*Sens!F2488/1000</f>
        <v>59.1034165651511</v>
      </c>
      <c r="G2489" s="6" t="n">
        <f aca="false">(Sens!F2472+Sens!G2472)/2*Sens!G2488/1000</f>
        <v>103.451498789198</v>
      </c>
      <c r="H2489" s="6" t="n">
        <f aca="false">(Sens!G2472+Sens!H2472)/2*Sens!H2488/1000</f>
        <v>153.816719989035</v>
      </c>
      <c r="I2489" s="6" t="n">
        <f aca="false">(Sens!H2472+Sens!I2472)/2*Sens!I2488/1000</f>
        <v>192.699478690852</v>
      </c>
      <c r="J2489" s="6" t="n">
        <f aca="false">(Sens!I2472+Sens!J2472)/2*Sens!J2488/1000</f>
        <v>219.794102584244</v>
      </c>
      <c r="K2489" s="6" t="n">
        <f aca="false">(Sens!J2472+Sens!K2472)/2*Sens!K2488/1000</f>
        <v>236.757046905022</v>
      </c>
      <c r="L2489" s="12" t="s">
        <v>977</v>
      </c>
    </row>
    <row r="2490" customFormat="false" ht="17.15" hidden="false" customHeight="false" outlineLevel="0" collapsed="false">
      <c r="A2490" s="1" t="s">
        <v>978</v>
      </c>
      <c r="B2490" s="0" t="s">
        <v>403</v>
      </c>
      <c r="C2490" s="15" t="n">
        <f aca="false">(Sens!C2480*tk_opex_h100+Sens!C2481*tk_opex_gb200+Sens!C2482*tk_opex_gb300+(Sens!C2484+Sens!C2483)*tk_opex_vr200)/Sens!C2472</f>
        <v>1.88636041306092</v>
      </c>
      <c r="D2490" s="15" t="n">
        <f aca="false">(Sens!D2480*tk_opex_h100+Sens!D2481*tk_opex_gb200+Sens!D2482*tk_opex_gb300+(Sens!D2484+Sens!D2483)*tk_opex_vr200)/Sens!D2472</f>
        <v>1.88636041306092</v>
      </c>
      <c r="E2490" s="15" t="n">
        <f aca="false">(Sens!E2480*tk_opex_h100+Sens!E2481*tk_opex_gb200+Sens!E2482*tk_opex_gb300+(Sens!E2484+Sens!E2483)*tk_opex_vr200)/Sens!E2472</f>
        <v>1.88636041306092</v>
      </c>
      <c r="F2490" s="15" t="n">
        <f aca="false">(Sens!F2480*tk_opex_h100+Sens!F2481*tk_opex_gb200+Sens!F2482*tk_opex_gb300+(Sens!F2484+Sens!F2483)*tk_opex_vr200)/Sens!F2472</f>
        <v>1.95051159746876</v>
      </c>
      <c r="G2490" s="15" t="n">
        <f aca="false">(Sens!G2480*tk_opex_h100+Sens!G2481*tk_opex_gb200+Sens!G2482*tk_opex_gb300+(Sens!G2484+Sens!G2483)*tk_opex_vr200)/Sens!G2472</f>
        <v>1.98836003669956</v>
      </c>
      <c r="H2490" s="15" t="n">
        <f aca="false">(Sens!H2480*tk_opex_h100+Sens!H2481*tk_opex_gb200+Sens!H2482*tk_opex_gb300+(Sens!H2484+Sens!H2483)*tk_opex_vr200)/Sens!H2472</f>
        <v>2.01344013834343</v>
      </c>
      <c r="I2490" s="15" t="n">
        <f aca="false">(Sens!I2480*tk_opex_h100+Sens!I2481*tk_opex_gb200+Sens!I2482*tk_opex_gb300+(Sens!I2484+Sens!I2483)*tk_opex_vr200)/Sens!I2472</f>
        <v>2.03261166882178</v>
      </c>
      <c r="J2490" s="15" t="n">
        <f aca="false">(Sens!J2480*tk_opex_h100+Sens!J2481*tk_opex_gb200+Sens!J2482*tk_opex_gb300+(Sens!J2484+Sens!J2483)*tk_opex_vr200)/Sens!J2472</f>
        <v>2.04808073288745</v>
      </c>
      <c r="K2490" s="15" t="n">
        <f aca="false">(Sens!K2480*tk_opex_h100+Sens!K2481*tk_opex_gb200+Sens!K2482*tk_opex_gb300+(Sens!K2484+Sens!K2483)*tk_opex_vr200)/Sens!K2472</f>
        <v>2.06973825807449</v>
      </c>
      <c r="L2490" s="12" t="s">
        <v>979</v>
      </c>
    </row>
    <row r="2491" customFormat="false" ht="17.15" hidden="false" customHeight="false" outlineLevel="0" collapsed="false">
      <c r="A2491" s="0" t="s">
        <v>980</v>
      </c>
      <c r="B2491" s="0" t="s">
        <v>98</v>
      </c>
      <c r="D2491" s="6" t="n">
        <f aca="false">(Sens!C2475+Sens!D2475)/2*Sens!D2490/1000</f>
        <v>2.16302660697652</v>
      </c>
      <c r="E2491" s="6" t="n">
        <f aca="false">(Sens!D2475+Sens!E2475)/2*Sens!E2490/1000</f>
        <v>4.9422642822196</v>
      </c>
      <c r="F2491" s="6" t="n">
        <f aca="false">(Sens!E2475+Sens!F2475)/2*Sens!F2490/1000</f>
        <v>10.2993970471389</v>
      </c>
      <c r="G2491" s="6" t="n">
        <f aca="false">(Sens!F2475+Sens!G2475)/2*Sens!G2490/1000</f>
        <v>17.4546267717022</v>
      </c>
      <c r="H2491" s="6" t="n">
        <f aca="false">(Sens!G2475+Sens!H2475)/2*Sens!H2490/1000</f>
        <v>24.9944103031787</v>
      </c>
      <c r="I2491" s="6" t="n">
        <f aca="false">(Sens!H2475+Sens!I2475)/2*Sens!I2490/1000</f>
        <v>31.5450445954614</v>
      </c>
      <c r="J2491" s="6" t="n">
        <f aca="false">(Sens!I2475+Sens!J2475)/2*Sens!J2490/1000</f>
        <v>36.0288254582922</v>
      </c>
      <c r="K2491" s="6" t="n">
        <f aca="false">(Sens!J2475+Sens!K2475)/2*Sens!K2490/1000</f>
        <v>38.6343781672925</v>
      </c>
    </row>
    <row r="2492" customFormat="false" ht="17.15" hidden="false" customHeight="false" outlineLevel="0" collapsed="false">
      <c r="A2492" s="0" t="s">
        <v>981</v>
      </c>
      <c r="B2492" s="0" t="s">
        <v>98</v>
      </c>
      <c r="D2492" s="6" t="n">
        <f aca="false">(Sens!C2473+Sens!D2473)/2*rent_mw/1000</f>
        <v>2.44475</v>
      </c>
      <c r="E2492" s="6" t="n">
        <f aca="false">(Sens!D2473+Sens!E2473)/2*rent_mw/1000</f>
        <v>4.22275</v>
      </c>
      <c r="F2492" s="6" t="n">
        <f aca="false">(Sens!E2473+Sens!F2473)/2*rent_mw/1000</f>
        <v>5.80517</v>
      </c>
      <c r="G2492" s="6" t="n">
        <f aca="false">(Sens!F2473+Sens!G2473)/2*rent_mw/1000</f>
        <v>6.72084</v>
      </c>
      <c r="H2492" s="6" t="n">
        <f aca="false">(Sens!G2473+Sens!H2473)/2*rent_mw/1000</f>
        <v>6.72084</v>
      </c>
      <c r="I2492" s="6" t="n">
        <f aca="false">(Sens!H2473+Sens!I2473)/2*rent_mw/1000</f>
        <v>6.72084</v>
      </c>
      <c r="J2492" s="6" t="n">
        <f aca="false">(Sens!I2473+Sens!J2473)/2*rent_mw/1000</f>
        <v>6.72084</v>
      </c>
      <c r="K2492" s="6" t="n">
        <f aca="false">(Sens!J2473+Sens!K2473)/2*rent_mw/1000</f>
        <v>6.72084</v>
      </c>
    </row>
    <row r="2493" customFormat="false" ht="17.15" hidden="false" customHeight="false" outlineLevel="0" collapsed="false">
      <c r="A2493" s="0" t="s">
        <v>982</v>
      </c>
      <c r="B2493" s="0" t="s">
        <v>98</v>
      </c>
      <c r="D2493" s="6" t="n">
        <f aca="false">(Sens!C2475+Sens!D2475)/2*(1-self_build)*fac_rent/1000</f>
        <v>0.682593900504861</v>
      </c>
      <c r="E2493" s="6" t="n">
        <f aca="false">(Sens!D2475+Sens!E2475)/2*(1-self_build)*fac_rent/1000</f>
        <v>1.55964769126983</v>
      </c>
      <c r="F2493" s="6" t="n">
        <f aca="false">(Sens!E2475+Sens!F2475)/2*(1-self_build)*fac_rent/1000</f>
        <v>3.14331915581085</v>
      </c>
      <c r="G2493" s="6" t="n">
        <f aca="false">(Sens!F2475+Sens!G2475)/2*(1-self_build)*fac_rent/1000</f>
        <v>5.22565526862528</v>
      </c>
      <c r="H2493" s="6" t="n">
        <f aca="false">(Sens!G2475+Sens!H2475)/2*(1-self_build)*fac_rent/1000</f>
        <v>7.38974390673273</v>
      </c>
      <c r="I2493" s="6" t="n">
        <f aca="false">(Sens!H2475+Sens!I2475)/2*(1-self_build)*fac_rent/1000</f>
        <v>9.23851028459141</v>
      </c>
      <c r="J2493" s="6" t="n">
        <f aca="false">(Sens!I2475+Sens!J2475)/2*(1-self_build)*fac_rent/1000</f>
        <v>10.4719665831286</v>
      </c>
      <c r="K2493" s="6" t="n">
        <f aca="false">(Sens!J2475+Sens!K2475)/2*(1-self_build)*fac_rent/1000</f>
        <v>11.1117820501244</v>
      </c>
      <c r="L2493" s="12" t="s">
        <v>983</v>
      </c>
    </row>
    <row r="2494" customFormat="false" ht="17.15" hidden="false" customHeight="false" outlineLevel="0" collapsed="false">
      <c r="A2494" s="1" t="s">
        <v>984</v>
      </c>
      <c r="B2494" s="0" t="s">
        <v>168</v>
      </c>
      <c r="D2494" s="7" t="n">
        <f aca="false">(Sens!C2474+Sens!D2474)/(Sens!C2475+Sens!D2475)</f>
        <v>0.75</v>
      </c>
      <c r="E2494" s="7" t="n">
        <f aca="false">(Sens!D2474+Sens!E2474)/(Sens!D2475+Sens!E2475)</f>
        <v>0.75</v>
      </c>
      <c r="F2494" s="7" t="n">
        <f aca="false">(Sens!E2474+Sens!F2474)/(Sens!E2475+Sens!F2475)</f>
        <v>0.75</v>
      </c>
      <c r="G2494" s="7" t="n">
        <f aca="false">(Sens!F2474+Sens!G2474)/(Sens!F2475+Sens!G2475)</f>
        <v>0.75</v>
      </c>
      <c r="H2494" s="7" t="n">
        <f aca="false">(Sens!G2474+Sens!H2474)/(Sens!G2475+Sens!H2475)</f>
        <v>0.75</v>
      </c>
      <c r="I2494" s="7" t="n">
        <f aca="false">(Sens!H2474+Sens!I2474)/(Sens!H2475+Sens!I2475)</f>
        <v>0.75</v>
      </c>
      <c r="J2494" s="7" t="n">
        <f aca="false">(Sens!I2474+Sens!J2474)/(Sens!I2475+Sens!J2475)</f>
        <v>0.75</v>
      </c>
      <c r="K2494" s="7" t="n">
        <f aca="false">(Sens!J2474+Sens!K2474)/(Sens!J2475+Sens!K2475)</f>
        <v>0.75</v>
      </c>
    </row>
    <row r="2495" customFormat="false" ht="17.15" hidden="false" customHeight="false" outlineLevel="0" collapsed="false">
      <c r="A2495" s="0" t="s">
        <v>985</v>
      </c>
      <c r="B2495" s="0" t="s">
        <v>98</v>
      </c>
      <c r="D2495" s="6" t="n">
        <f aca="false">Sens!D2489-Sens!D2494*(Sens!D2491+Sens!D2493)-Sens!D2492</f>
        <v>8.35701406163072</v>
      </c>
      <c r="E2495" s="6" t="n">
        <f aca="false">Sens!E2489-Sens!E2494*(Sens!E2491+Sens!E2493)-Sens!E2492</f>
        <v>18.7103224860238</v>
      </c>
      <c r="F2495" s="6" t="n">
        <f aca="false">Sens!F2489-Sens!F2494*(Sens!F2491+Sens!F2493)-Sens!F2492</f>
        <v>43.2162094129388</v>
      </c>
      <c r="G2495" s="6" t="n">
        <f aca="false">Sens!G2489-Sens!G2494*(Sens!G2491+Sens!G2493)-Sens!G2492</f>
        <v>79.7204472589529</v>
      </c>
      <c r="H2495" s="6" t="n">
        <f aca="false">Sens!H2489-Sens!H2494*(Sens!H2491+Sens!H2493)-Sens!H2492</f>
        <v>122.807764331602</v>
      </c>
      <c r="I2495" s="6" t="n">
        <f aca="false">Sens!I2489-Sens!I2494*(Sens!I2491+Sens!I2493)-Sens!I2492</f>
        <v>155.390972530813</v>
      </c>
      <c r="J2495" s="6" t="n">
        <f aca="false">Sens!J2489-Sens!J2494*(Sens!J2491+Sens!J2493)-Sens!J2492</f>
        <v>178.197668553178</v>
      </c>
      <c r="K2495" s="6" t="n">
        <f aca="false">Sens!K2489-Sens!K2494*(Sens!K2491+Sens!K2493)-Sens!K2492</f>
        <v>192.726586741959</v>
      </c>
    </row>
    <row r="2496" customFormat="false" ht="17.15" hidden="false" customHeight="false" outlineLevel="0" collapsed="false">
      <c r="A2496" s="1" t="s">
        <v>986</v>
      </c>
      <c r="B2496" s="0" t="s">
        <v>98</v>
      </c>
      <c r="D2496" s="6" t="n">
        <f aca="false">(1-Sens!D2494)*(Sens!D2491+Sens!D2493)</f>
        <v>0.711405126870345</v>
      </c>
      <c r="E2496" s="6" t="n">
        <f aca="false">(1-Sens!E2494)*(Sens!E2491+Sens!E2493)</f>
        <v>1.62547799337236</v>
      </c>
      <c r="F2496" s="6" t="n">
        <f aca="false">(1-Sens!F2494)*(Sens!F2491+Sens!F2493)</f>
        <v>3.36067905073745</v>
      </c>
      <c r="G2496" s="6" t="n">
        <f aca="false">(1-Sens!G2494)*(Sens!G2491+Sens!G2493)</f>
        <v>5.67007051008187</v>
      </c>
      <c r="H2496" s="6" t="n">
        <f aca="false">(1-Sens!H2494)*(Sens!H2491+Sens!H2493)</f>
        <v>8.09603855247786</v>
      </c>
      <c r="I2496" s="6" t="n">
        <f aca="false">(1-Sens!I2494)*(Sens!I2491+Sens!I2493)</f>
        <v>10.1958887200132</v>
      </c>
      <c r="J2496" s="6" t="n">
        <f aca="false">(1-Sens!J2494)*(Sens!J2491+Sens!J2493)</f>
        <v>11.6251980103552</v>
      </c>
      <c r="K2496" s="6" t="n">
        <f aca="false">(1-Sens!K2494)*(Sens!K2491+Sens!K2493)</f>
        <v>12.4365400543542</v>
      </c>
    </row>
    <row r="2497" customFormat="false" ht="17.15" hidden="false" customHeight="false" outlineLevel="0" collapsed="false">
      <c r="A2497" s="1" t="s">
        <v>987</v>
      </c>
      <c r="B2497" s="0" t="s">
        <v>414</v>
      </c>
      <c r="C2497" s="8" t="n">
        <f aca="false">cxit_open</f>
        <v>27.5918995</v>
      </c>
      <c r="D2497" s="8" t="n">
        <f aca="false">cxit_open</f>
        <v>27.5918995</v>
      </c>
      <c r="E2497" s="8" t="n">
        <f aca="false">cxit_open</f>
        <v>27.5918995</v>
      </c>
      <c r="F2497" s="8" t="n">
        <f aca="false">((a_g3_27-nonnv*a_mai)*tk_cxit_gb300+nonnv*a_mai*nv_hold_mai*tk_cxit_vr200+(1-a_g3_27)*tk_cxit_vr200)</f>
        <v>32.4975576</v>
      </c>
      <c r="G2497" s="8" t="n">
        <f aca="false">((a_g3_28-nonnv*a_mai)*tk_cxit_gb300+nonnv*a_mai*nv_hold_mai*tk_cxit_vr200+(1-a_g3_28)*tk_cxit_vr200)</f>
        <v>34.6372088</v>
      </c>
      <c r="H2497" s="8" t="n">
        <f aca="false">((a_g3_29-nonnv*a_mai)*tk_cxit_gb300+nonnv*a_mai*nv_hold_mai*tk_cxit_vr200+(1-a_g3_29)*tk_cxit_vr200)</f>
        <v>35.7070344</v>
      </c>
      <c r="I2497" s="8" t="n">
        <f aca="false">((a_g3_29-nonnv*a_mai)*tk_cxit_gb300+nonnv*a_mai*nv_hold_mai*tk_cxit_vr200+(1-a_g3_29)*tk_cxit_vr200)</f>
        <v>35.7070344</v>
      </c>
      <c r="J2497" s="8" t="n">
        <f aca="false">((a_g3_29-nonnv*a_mai)*tk_cxit_gb300+nonnv*a_mai*nv_hold_mai*tk_cxit_vr200+(1-a_g3_29)*tk_cxit_vr200)</f>
        <v>35.7070344</v>
      </c>
      <c r="K2497" s="8" t="n">
        <f aca="false">((a_g3_29-nonnv*a_mai)*tk_cxit_gb300+nonnv*a_mai*nv_hold_mai*tk_cxit_vr200+(1-a_g3_29)*tk_cxit_vr200)</f>
        <v>35.7070344</v>
      </c>
      <c r="L2497" s="12" t="s">
        <v>988</v>
      </c>
    </row>
    <row r="2498" customFormat="false" ht="17.15" hidden="false" customHeight="false" outlineLevel="0" collapsed="false">
      <c r="A2498" s="0" t="s">
        <v>989</v>
      </c>
      <c r="B2498" s="0" t="s">
        <v>456</v>
      </c>
      <c r="F2498" s="30" t="n">
        <f aca="false">Sens!C2477*IF(Sens!F2470-Sens!C2470=life_it,1,0)+Sens!D2477*IF(Sens!F2470-Sens!D2470=life_it,1,0)+Sens!E2477*IF(Sens!F2470-Sens!E2470=life_it,1,0)</f>
        <v>0</v>
      </c>
      <c r="G2498" s="30" t="n">
        <f aca="false">Sens!C2477*IF(Sens!G2470-Sens!C2470=life_it,1,0)+Sens!D2477*IF(Sens!G2470-Sens!D2470=life_it,1,0)+Sens!E2477*IF(Sens!G2470-Sens!E2470=life_it,1,0)+Sens!F2477*IF(Sens!G2470-Sens!F2470=life_it,1,0)</f>
        <v>0</v>
      </c>
      <c r="H2498" s="30" t="n">
        <f aca="false">Sens!C2477*IF(Sens!H2470-Sens!C2470=life_it,1,0)+Sens!D2477*IF(Sens!H2470-Sens!D2470=life_it,1,0)+Sens!E2477*IF(Sens!H2470-Sens!E2470=life_it,1,0)+Sens!F2477*IF(Sens!H2470-Sens!F2470=life_it,1,0)+Sens!G2477*IF(Sens!H2470-Sens!G2470=life_it,1,0)</f>
        <v>0</v>
      </c>
      <c r="I2498" s="30" t="n">
        <f aca="false">Sens!C2477*IF(Sens!I2470-Sens!C2470=life_it,1,0)+Sens!D2477*IF(Sens!I2470-Sens!D2470=life_it,1,0)+Sens!E2477*IF(Sens!I2470-Sens!E2470=life_it,1,0)+Sens!F2477*IF(Sens!I2470-Sens!F2470=life_it,1,0)+Sens!G2477*IF(Sens!I2470-Sens!G2470=life_it,1,0)+Sens!H2477*IF(Sens!I2470-Sens!H2470=life_it,1,0)</f>
        <v>653.333333333333</v>
      </c>
      <c r="J2498" s="30" t="n">
        <f aca="false">Sens!C2477*IF(Sens!J2470-Sens!C2470=life_it,1,0)+Sens!D2477*IF(Sens!J2470-Sens!D2470=life_it,1,0)+Sens!E2477*IF(Sens!J2470-Sens!E2470=life_it,1,0)+Sens!F2477*IF(Sens!J2470-Sens!F2470=life_it,1,0)+Sens!G2477*IF(Sens!J2470-Sens!G2470=life_it,1,0)+Sens!H2477*IF(Sens!J2470-Sens!H2470=life_it,1,0)+Sens!I2477*IF(Sens!J2470-Sens!I2470=life_it,1,0)</f>
        <v>986.666666666667</v>
      </c>
      <c r="K2498" s="30" t="n">
        <f aca="false">Sens!C2477*IF(Sens!K2470-Sens!C2470=life_it,1,0)+Sens!D2477*IF(Sens!K2470-Sens!D2470=life_it,1,0)+Sens!E2477*IF(Sens!K2470-Sens!E2470=life_it,1,0)+Sens!F2477*IF(Sens!K2470-Sens!F2470=life_it,1,0)+Sens!G2477*IF(Sens!K2470-Sens!G2470=life_it,1,0)+Sens!H2477*IF(Sens!K2470-Sens!H2470=life_it,1,0)+Sens!I2477*IF(Sens!K2470-Sens!I2470=life_it,1,0)+Sens!J2477*IF(Sens!K2470-Sens!J2470=life_it,1,0)</f>
        <v>1960</v>
      </c>
      <c r="L2498" s="1" t="s">
        <v>990</v>
      </c>
    </row>
    <row r="2499" customFormat="false" ht="17.15" hidden="false" customHeight="false" outlineLevel="0" collapsed="false">
      <c r="A2499" s="0" t="s">
        <v>991</v>
      </c>
      <c r="B2499" s="0" t="s">
        <v>98</v>
      </c>
      <c r="C2499" s="6" t="n">
        <f aca="false">Sens!C2477*Sens!C2497/1000</f>
        <v>18.0267076733333</v>
      </c>
      <c r="D2499" s="6" t="n">
        <f aca="false">Sens!D2477*Sens!D2497/1000</f>
        <v>27.2240075066667</v>
      </c>
      <c r="E2499" s="6" t="n">
        <f aca="false">Sens!E2477*Sens!E2497/1000</f>
        <v>54.08012302</v>
      </c>
      <c r="F2499" s="6" t="n">
        <f aca="false">(Sens!F2477+Sens!F2498)*Sens!F2497/1000</f>
        <v>109.214979460096</v>
      </c>
      <c r="G2499" s="6" t="n">
        <f aca="false">(Sens!G2477+Sens!G2498)*Sens!G2497/1000</f>
        <v>125.919420745638</v>
      </c>
      <c r="H2499" s="6" t="n">
        <f aca="false">(Sens!H2477+Sens!H2498)*Sens!H2497/1000</f>
        <v>129.80864347801</v>
      </c>
      <c r="I2499" s="6" t="n">
        <f aca="false">(Sens!I2477+Sens!I2498)*Sens!I2497/1000</f>
        <v>115.309255588347</v>
      </c>
      <c r="J2499" s="6" t="n">
        <f aca="false">(Sens!J2477+Sens!J2498)*Sens!J2497/1000</f>
        <v>91.2232298862909</v>
      </c>
      <c r="K2499" s="6" t="n">
        <f aca="false">(Sens!K2477+Sens!K2498)*Sens!K2497/1000</f>
        <v>90.74966828078</v>
      </c>
    </row>
    <row r="2500" customFormat="false" ht="17.15" hidden="false" customHeight="false" outlineLevel="0" collapsed="false">
      <c r="A2500" s="0" t="s">
        <v>992</v>
      </c>
      <c r="B2500" s="0" t="s">
        <v>98</v>
      </c>
      <c r="C2500" s="6" t="n">
        <f aca="false">Sens!C2477*self_build*tk_cxfac/1000</f>
        <v>4.96664</v>
      </c>
      <c r="D2500" s="6" t="n">
        <f aca="false">Sens!D2477*self_build*tk_cxfac/1000</f>
        <v>7.50064</v>
      </c>
      <c r="E2500" s="6" t="n">
        <f aca="false">Sens!E2477*self_build*tk_cxfac/1000</f>
        <v>14.89992</v>
      </c>
      <c r="F2500" s="6" t="n">
        <f aca="false">Sens!F2477*self_build*tk_cxfac/1000</f>
        <v>25.5481437736</v>
      </c>
      <c r="G2500" s="6" t="n">
        <f aca="false">Sens!G2477*self_build*tk_cxfac/1000</f>
        <v>27.6361597736</v>
      </c>
      <c r="H2500" s="6" t="n">
        <f aca="false">Sens!H2477*self_build*tk_cxfac/1000</f>
        <v>27.6361597736</v>
      </c>
      <c r="I2500" s="6" t="n">
        <f aca="false">Sens!I2477*self_build*tk_cxfac/1000</f>
        <v>19.5826113089413</v>
      </c>
      <c r="J2500" s="6" t="n">
        <f aca="false">Sens!J2477*self_build*tk_cxfac/1000</f>
        <v>11.9207150704615</v>
      </c>
      <c r="K2500" s="6" t="n">
        <f aca="false">Sens!K2477*self_build*tk_cxfac/1000</f>
        <v>4.42061417100608</v>
      </c>
    </row>
    <row r="2501" customFormat="false" ht="17.15" hidden="false" customHeight="false" outlineLevel="0" collapsed="false">
      <c r="A2501" s="0" t="s">
        <v>993</v>
      </c>
      <c r="B2501" s="0" t="s">
        <v>98</v>
      </c>
      <c r="F2501" s="15" t="n">
        <f aca="false">capex_floor27-Sens!F2499-Sens!F2500-Sens!F2597</f>
        <v>33.7383582536815</v>
      </c>
      <c r="L2501" s="12" t="s">
        <v>994</v>
      </c>
    </row>
    <row r="2502" customFormat="false" ht="17.15" hidden="false" customHeight="false" outlineLevel="0" collapsed="false">
      <c r="A2502" s="0" t="s">
        <v>995</v>
      </c>
      <c r="B2502" s="0" t="s">
        <v>98</v>
      </c>
      <c r="F2502" s="6" t="n">
        <f aca="false">MAX(0,Sens!F2501)</f>
        <v>33.7383582536815</v>
      </c>
    </row>
    <row r="2503" customFormat="false" ht="17.15" hidden="false" customHeight="false" outlineLevel="0" collapsed="false">
      <c r="A2503" s="0" t="s">
        <v>996</v>
      </c>
      <c r="B2503" s="0" t="s">
        <v>98</v>
      </c>
      <c r="C2503" s="6" t="n">
        <f aca="false">Sens!C2499</f>
        <v>18.0267076733333</v>
      </c>
      <c r="D2503" s="6" t="n">
        <f aca="false">Sens!D2499</f>
        <v>27.2240075066667</v>
      </c>
      <c r="E2503" s="6" t="n">
        <f aca="false">Sens!E2499</f>
        <v>54.08012302</v>
      </c>
      <c r="F2503" s="6" t="n">
        <f aca="false">Sens!F2499</f>
        <v>109.214979460096</v>
      </c>
      <c r="G2503" s="6" t="n">
        <f aca="false">Sens!G2499</f>
        <v>125.919420745638</v>
      </c>
      <c r="H2503" s="6" t="n">
        <f aca="false">Sens!H2499</f>
        <v>129.80864347801</v>
      </c>
      <c r="I2503" s="6" t="n">
        <f aca="false">Sens!I2499</f>
        <v>115.309255588347</v>
      </c>
      <c r="J2503" s="6" t="n">
        <f aca="false">Sens!J2499</f>
        <v>91.2232298862909</v>
      </c>
      <c r="K2503" s="6" t="n">
        <f aca="false">Sens!K2499</f>
        <v>90.74966828078</v>
      </c>
    </row>
    <row r="2504" customFormat="false" ht="17.15" hidden="false" customHeight="false" outlineLevel="0" collapsed="false">
      <c r="A2504" s="0" t="s">
        <v>997</v>
      </c>
      <c r="B2504" s="0" t="s">
        <v>98</v>
      </c>
      <c r="C2504" s="6" t="n">
        <f aca="false">Sens!C2503+Sens!C2500</f>
        <v>22.9933476733333</v>
      </c>
      <c r="D2504" s="6" t="n">
        <f aca="false">Sens!D2503+Sens!D2500</f>
        <v>34.7246475066667</v>
      </c>
      <c r="E2504" s="6" t="n">
        <f aca="false">Sens!E2503+Sens!E2500</f>
        <v>68.98004302</v>
      </c>
      <c r="F2504" s="6" t="n">
        <f aca="false">Sens!F2503+Sens!F2500</f>
        <v>134.763123233696</v>
      </c>
      <c r="G2504" s="6" t="n">
        <f aca="false">Sens!G2503+Sens!G2500</f>
        <v>153.555580519238</v>
      </c>
      <c r="H2504" s="6" t="n">
        <f aca="false">Sens!H2503+Sens!H2500</f>
        <v>157.44480325161</v>
      </c>
      <c r="I2504" s="6" t="n">
        <f aca="false">Sens!I2503+Sens!I2500</f>
        <v>134.891866897288</v>
      </c>
      <c r="J2504" s="6" t="n">
        <f aca="false">Sens!J2503+Sens!J2500</f>
        <v>103.143944956752</v>
      </c>
      <c r="K2504" s="6" t="n">
        <f aca="false">Sens!K2503+Sens!K2500</f>
        <v>95.1702824517861</v>
      </c>
      <c r="L2504" s="12" t="s">
        <v>998</v>
      </c>
    </row>
    <row r="2505" customFormat="false" ht="17.15" hidden="false" customHeight="false" outlineLevel="0" collapsed="false">
      <c r="A2505" s="0" t="s">
        <v>999</v>
      </c>
      <c r="B2505" s="0" t="s">
        <v>98</v>
      </c>
      <c r="E2505" s="6" t="n">
        <f aca="false">(Sens!C2503*IF(2&lt;life_it,1,IF(2=life_it,0.5,0))+Sens!D2503*IF(1&lt;life_it,1,IF(1=life_it,0.5,0))+Sens!E2503*0.5)/life_it</f>
        <v>12.0484627816667</v>
      </c>
      <c r="F2505" s="6" t="n">
        <f aca="false">(Sens!C2503*IF(3&lt;life_it,1,IF(3=life_it,0.5,0))+Sens!D2503*IF(2&lt;life_it,1,IF(2=life_it,0.5,0))+Sens!E2503*IF(1&lt;life_it,1,IF(1=life_it,0.5,0))+Sens!F2503*0.5)/life_it</f>
        <v>25.6563879883413</v>
      </c>
      <c r="G2505" s="6" t="n">
        <f aca="false">(Sens!C2503*IF(4&lt;life_it,1,IF(4=life_it,0.5,0))+Sens!D2503*IF(3&lt;life_it,1,IF(3=life_it,0.5,0))+Sens!E2503*IF(2&lt;life_it,1,IF(2=life_it,0.5,0))+Sens!F2503*IF(1&lt;life_it,1,IF(1=life_it,0.5,0))+Sens!G2503*0.5)/life_it</f>
        <v>45.2509213388192</v>
      </c>
      <c r="H2505" s="6" t="n">
        <f aca="false">(Sens!C2503*IF(5&lt;life_it,1,IF(5=life_it,0.5,0))+Sens!D2503*IF(4&lt;life_it,1,IF(4=life_it,0.5,0))+Sens!E2503*IF(3&lt;life_it,1,IF(3=life_it,0.5,0))+Sens!F2503*IF(2&lt;life_it,1,IF(2=life_it,0.5,0))+Sens!G2503*IF(1&lt;life_it,1,IF(1=life_it,0.5,0))+Sens!H2503*0.5)/life_it</f>
        <v>66.5615933574565</v>
      </c>
      <c r="I2505" s="6" t="n">
        <f aca="false">(Sens!C2503*IF(6&lt;life_it,1,IF(6=life_it,0.5,0))+Sens!D2503*IF(5&lt;life_it,1,IF(5=life_it,0.5,0))+Sens!E2503*IF(4&lt;life_it,1,IF(4=life_it,0.5,0))+Sens!F2503*IF(3&lt;life_it,1,IF(3=life_it,0.5,0))+Sens!G2503*IF(2&lt;life_it,1,IF(2=life_it,0.5,0))+Sens!H2503*IF(1&lt;life_it,1,IF(1=life_it,0.5,0))+Sens!I2503*0.5)/life_it</f>
        <v>85.4858593068751</v>
      </c>
      <c r="J2505" s="6" t="n">
        <f aca="false">(Sens!C2503*IF(7&lt;life_it,1,IF(7=life_it,0.5,0))+Sens!D2503*IF(6&lt;life_it,1,IF(6=life_it,0.5,0))+Sens!E2503*IF(5&lt;life_it,1,IF(5=life_it,0.5,0))+Sens!F2503*IF(4&lt;life_it,1,IF(4=life_it,0.5,0))+Sens!G2503*IF(3&lt;life_it,1,IF(3=life_it,0.5,0))+Sens!H2503*IF(2&lt;life_it,1,IF(2=life_it,0.5,0))+Sens!I2503*IF(1&lt;life_it,1,IF(1=life_it,0.5,0))+Sens!J2503*0.5)/life_it</f>
        <v>98.9260068314283</v>
      </c>
      <c r="K2505" s="6" t="n">
        <f aca="false">(Sens!C2503*IF(8&lt;life_it,1,IF(8=life_it,0.5,0))+Sens!D2503*IF(7&lt;life_it,1,IF(7=life_it,0.5,0))+Sens!E2503*IF(6&lt;life_it,1,IF(6=life_it,0.5,0))+Sens!F2503*IF(5&lt;life_it,1,IF(5=life_it,0.5,0))+Sens!G2503*IF(4&lt;life_it,1,IF(4=life_it,0.5,0))+Sens!H2503*IF(3&lt;life_it,1,IF(3=life_it,0.5,0))+Sens!I2503*IF(2&lt;life_it,1,IF(2=life_it,0.5,0))+Sens!J2503*IF(1&lt;life_it,1,IF(1=life_it,0.5,0))+Sens!K2503*0.5)/life_it</f>
        <v>107.315070801462</v>
      </c>
    </row>
    <row r="2506" customFormat="false" ht="17.15" hidden="false" customHeight="false" outlineLevel="0" collapsed="false">
      <c r="A2506" s="0" t="s">
        <v>1000</v>
      </c>
      <c r="B2506" s="0" t="s">
        <v>98</v>
      </c>
      <c r="E2506" s="6" t="n">
        <f aca="false">(Sens!C2500*IF(2&lt;life_fac,1,IF(2=life_fac,0.5,0))+Sens!D2500*IF(1&lt;life_fac,1,IF(1=life_fac,0.5,0))+Sens!E2500*0.5)/life_fac</f>
        <v>0.995862</v>
      </c>
      <c r="F2506" s="6" t="n">
        <f aca="false">(Sens!C2500*IF(3&lt;life_fac,1,IF(3=life_fac,0.5,0))+Sens!D2500*IF(2&lt;life_fac,1,IF(2=life_fac,0.5,0))+Sens!E2500*IF(1&lt;life_fac,1,IF(1=life_fac,0.5,0))+Sens!F2500*0.5)/life_fac</f>
        <v>2.00706359434</v>
      </c>
      <c r="G2506" s="6" t="n">
        <f aca="false">(Sens!C2500*IF(4&lt;life_fac,1,IF(4=life_fac,0.5,0))+Sens!D2500*IF(3&lt;life_fac,1,IF(3=life_fac,0.5,0))+Sens!E2500*IF(2&lt;life_fac,1,IF(2=life_fac,0.5,0))+Sens!F2500*IF(1&lt;life_fac,1,IF(1=life_fac,0.5,0))+Sens!G2500*0.5)/life_fac</f>
        <v>3.33667118302</v>
      </c>
      <c r="H2506" s="6" t="n">
        <f aca="false">(Sens!C2500*IF(5&lt;life_fac,1,IF(5=life_fac,0.5,0))+Sens!D2500*IF(4&lt;life_fac,1,IF(4=life_fac,0.5,0))+Sens!E2500*IF(3&lt;life_fac,1,IF(3=life_fac,0.5,0))+Sens!F2500*IF(2&lt;life_fac,1,IF(2=life_fac,0.5,0))+Sens!G2500*IF(1&lt;life_fac,1,IF(1=life_fac,0.5,0))+Sens!H2500*0.5)/life_fac</f>
        <v>4.7184791717</v>
      </c>
      <c r="I2506" s="6" t="n">
        <f aca="false">(Sens!C2500*IF(6&lt;life_fac,1,IF(6=life_fac,0.5,0))+Sens!D2500*IF(5&lt;life_fac,1,IF(5=life_fac,0.5,0))+Sens!E2500*IF(4&lt;life_fac,1,IF(4=life_fac,0.5,0))+Sens!F2500*IF(3&lt;life_fac,1,IF(3=life_fac,0.5,0))+Sens!G2500*IF(2&lt;life_fac,1,IF(2=life_fac,0.5,0))+Sens!H2500*IF(1&lt;life_fac,1,IF(1=life_fac,0.5,0))+Sens!I2500*0.5)/life_fac</f>
        <v>5.89894844876353</v>
      </c>
      <c r="J2506" s="6" t="n">
        <f aca="false">(Sens!C2500*IF(7&lt;life_fac,1,IF(7=life_fac,0.5,0))+Sens!D2500*IF(6&lt;life_fac,1,IF(6=life_fac,0.5,0))+Sens!E2500*IF(5&lt;life_fac,1,IF(5=life_fac,0.5,0))+Sens!F2500*IF(4&lt;life_fac,1,IF(4=life_fac,0.5,0))+Sens!G2500*IF(3&lt;life_fac,1,IF(3=life_fac,0.5,0))+Sens!H2500*IF(2&lt;life_fac,1,IF(2=life_fac,0.5,0))+Sens!I2500*IF(1&lt;life_fac,1,IF(1=life_fac,0.5,0))+Sens!J2500*0.5)/life_fac</f>
        <v>6.6865316082486</v>
      </c>
      <c r="K2506" s="6" t="n">
        <f aca="false">(Sens!C2500*IF(8&lt;life_fac,1,IF(8=life_fac,0.5,0))+Sens!D2500*IF(7&lt;life_fac,1,IF(7=life_fac,0.5,0))+Sens!E2500*IF(6&lt;life_fac,1,IF(6=life_fac,0.5,0))+Sens!F2500*IF(5&lt;life_fac,1,IF(5=life_fac,0.5,0))+Sens!G2500*IF(4&lt;life_fac,1,IF(4=life_fac,0.5,0))+Sens!H2500*IF(3&lt;life_fac,1,IF(3=life_fac,0.5,0))+Sens!I2500*IF(2&lt;life_fac,1,IF(2=life_fac,0.5,0))+Sens!J2500*IF(1&lt;life_fac,1,IF(1=life_fac,0.5,0))+Sens!K2500*0.5)/life_fac</f>
        <v>7.09506483928529</v>
      </c>
    </row>
    <row r="2507" customFormat="false" ht="17.15" hidden="false" customHeight="false" outlineLevel="0" collapsed="false">
      <c r="A2507" s="0" t="s">
        <v>1001</v>
      </c>
      <c r="B2507" s="0" t="s">
        <v>98</v>
      </c>
      <c r="E2507" s="6" t="n">
        <f aca="false">Sens!E2505+Sens!E2506</f>
        <v>13.0443247816667</v>
      </c>
      <c r="F2507" s="6" t="n">
        <f aca="false">Sens!F2505+Sens!F2506</f>
        <v>27.6634515826813</v>
      </c>
      <c r="G2507" s="6" t="n">
        <f aca="false">Sens!G2505+Sens!G2506</f>
        <v>48.5875925218392</v>
      </c>
      <c r="H2507" s="6" t="n">
        <f aca="false">Sens!H2505+Sens!H2506</f>
        <v>71.2800725291565</v>
      </c>
      <c r="I2507" s="6" t="n">
        <f aca="false">Sens!I2505+Sens!I2506</f>
        <v>91.3848077556387</v>
      </c>
      <c r="J2507" s="6" t="n">
        <f aca="false">Sens!J2505+Sens!J2506</f>
        <v>105.612538439677</v>
      </c>
      <c r="K2507" s="6" t="n">
        <f aca="false">Sens!K2505+Sens!K2506</f>
        <v>114.410135640747</v>
      </c>
    </row>
    <row r="2508" customFormat="false" ht="17.15" hidden="false" customHeight="false" outlineLevel="0" collapsed="false">
      <c r="A2508" s="0" t="s">
        <v>1002</v>
      </c>
      <c r="B2508" s="0" t="s">
        <v>98</v>
      </c>
      <c r="E2508" s="6" t="n">
        <f aca="false">Sens!E2495-Sens!E2494*Sens!E2507</f>
        <v>8.92707889977379</v>
      </c>
      <c r="F2508" s="6" t="n">
        <f aca="false">Sens!F2495-Sens!F2494*Sens!F2507</f>
        <v>22.4686207259278</v>
      </c>
      <c r="G2508" s="6" t="n">
        <f aca="false">Sens!G2495-Sens!G2494*Sens!G2507</f>
        <v>43.2797528675735</v>
      </c>
      <c r="H2508" s="6" t="n">
        <f aca="false">Sens!H2495-Sens!H2494*Sens!H2507</f>
        <v>69.3477099347341</v>
      </c>
      <c r="I2508" s="6" t="n">
        <f aca="false">Sens!I2495-Sens!I2494*Sens!I2507</f>
        <v>86.8523667140837</v>
      </c>
      <c r="J2508" s="6" t="n">
        <f aca="false">Sens!J2495-Sens!J2494*Sens!J2507</f>
        <v>98.9882647234202</v>
      </c>
      <c r="K2508" s="6" t="n">
        <f aca="false">Sens!K2495-Sens!K2494*Sens!K2507</f>
        <v>106.918985011399</v>
      </c>
    </row>
    <row r="2509" customFormat="false" ht="17.15" hidden="false" customHeight="false" outlineLevel="0" collapsed="false">
      <c r="A2509" s="3" t="s">
        <v>1541</v>
      </c>
    </row>
    <row r="2510" customFormat="false" ht="15" hidden="false" customHeight="false" outlineLevel="0" collapsed="false">
      <c r="A2510" s="4" t="s">
        <v>43</v>
      </c>
      <c r="B2510" s="4" t="s">
        <v>65</v>
      </c>
      <c r="C2510" s="23" t="s">
        <v>938</v>
      </c>
      <c r="D2510" s="23" t="s">
        <v>939</v>
      </c>
      <c r="E2510" s="23" t="s">
        <v>940</v>
      </c>
      <c r="F2510" s="23" t="s">
        <v>941</v>
      </c>
      <c r="G2510" s="23" t="s">
        <v>942</v>
      </c>
      <c r="H2510" s="23" t="s">
        <v>943</v>
      </c>
      <c r="I2510" s="23" t="s">
        <v>944</v>
      </c>
      <c r="J2510" s="23" t="s">
        <v>945</v>
      </c>
      <c r="K2510" s="23" t="s">
        <v>946</v>
      </c>
      <c r="L2510" s="4" t="s">
        <v>47</v>
      </c>
    </row>
    <row r="2511" customFormat="false" ht="17.15" hidden="false" customHeight="false" outlineLevel="0" collapsed="false">
      <c r="A2511" s="0" t="s">
        <v>1021</v>
      </c>
      <c r="B2511" s="0" t="s">
        <v>98</v>
      </c>
      <c r="D2511" s="6" t="n">
        <f aca="false">Sens!D2489</f>
        <v>12.9359794422418</v>
      </c>
      <c r="E2511" s="6" t="n">
        <f aca="false">Sens!E2489</f>
        <v>27.8095064661409</v>
      </c>
      <c r="F2511" s="6" t="n">
        <f aca="false">Sens!F2489</f>
        <v>59.1034165651511</v>
      </c>
      <c r="G2511" s="6" t="n">
        <f aca="false">Sens!G2489</f>
        <v>103.451498789198</v>
      </c>
      <c r="H2511" s="6" t="n">
        <f aca="false">Sens!H2489</f>
        <v>153.816719989035</v>
      </c>
      <c r="I2511" s="6" t="n">
        <f aca="false">Sens!I2489</f>
        <v>192.699478690852</v>
      </c>
      <c r="J2511" s="6" t="n">
        <f aca="false">Sens!J2489</f>
        <v>219.794102584244</v>
      </c>
      <c r="K2511" s="6" t="n">
        <f aca="false">Sens!K2489</f>
        <v>236.757046905022</v>
      </c>
    </row>
    <row r="2512" customFormat="false" ht="17.15" hidden="false" customHeight="false" outlineLevel="0" collapsed="false">
      <c r="A2512" s="0" t="s">
        <v>1022</v>
      </c>
      <c r="B2512" s="0" t="s">
        <v>98</v>
      </c>
      <c r="D2512" s="6" t="n">
        <f aca="false">Q!L6-Sens!D2511</f>
        <v>59.6740205577583</v>
      </c>
      <c r="E2512" s="6" t="n">
        <f aca="false">Q!M6-Sens!E2511</f>
        <v>74.1284935338591</v>
      </c>
      <c r="F2512" s="6" t="n">
        <f aca="false">Q!$I$6+(Sens!F2511+Sens!E2512*(1+Sens!F2513))*(1-Q!$E$6/Q!M6)-Sens!F2511</f>
        <v>90.4866018070994</v>
      </c>
      <c r="G2512" s="6" t="n">
        <f aca="false">Sens!F2512*(1+Sens!G2513)</f>
        <v>107.511588557154</v>
      </c>
      <c r="H2512" s="6" t="n">
        <f aca="false">Sens!G2512*(1+Sens!H2513)</f>
        <v>124.832989325489</v>
      </c>
      <c r="I2512" s="6" t="n">
        <f aca="false">Sens!H2512*(1+Sens!I2513)</f>
        <v>141.56992589148</v>
      </c>
      <c r="J2512" s="6" t="n">
        <f aca="false">Sens!I2512*(1+Sens!J2513)</f>
        <v>156.723190479428</v>
      </c>
      <c r="K2512" s="6" t="n">
        <f aca="false">Sens!J2512*(1+Sens!K2513)</f>
        <v>169.261045717783</v>
      </c>
      <c r="L2512" s="12" t="s">
        <v>1023</v>
      </c>
    </row>
    <row r="2513" customFormat="false" ht="15" hidden="false" customHeight="false" outlineLevel="0" collapsed="false">
      <c r="A2513" s="1" t="s">
        <v>1024</v>
      </c>
      <c r="B2513" s="0" t="s">
        <v>168</v>
      </c>
      <c r="E2513" s="7" t="n">
        <f aca="false">Sens!E2512/Sens!D2512-1</f>
        <v>0.242223883039864</v>
      </c>
      <c r="F2513" s="7" t="n">
        <f aca="false">Sens!$E$2513+(glt_azo-Sens!$E$2513)*MIN(1,(Sens!F2470-base_fy)/n_conv)</f>
        <v>0.215186569199887</v>
      </c>
      <c r="G2513" s="7" t="n">
        <f aca="false">Sens!$E$2513+(glt_azo-Sens!$E$2513)*MIN(1,(Sens!G2470-base_fy)/n_conv)</f>
        <v>0.18814925535991</v>
      </c>
      <c r="H2513" s="7" t="n">
        <f aca="false">Sens!$E$2513+(glt_azo-Sens!$E$2513)*MIN(1,(Sens!H2470-base_fy)/n_conv)</f>
        <v>0.161111941519932</v>
      </c>
      <c r="I2513" s="7" t="n">
        <f aca="false">Sens!$E$2513+(glt_azo-Sens!$E$2513)*MIN(1,(Sens!I2470-base_fy)/n_conv)</f>
        <v>0.134074627679955</v>
      </c>
      <c r="J2513" s="7" t="n">
        <f aca="false">Sens!$E$2513+(glt_azo-Sens!$E$2513)*MIN(1,(Sens!J2470-base_fy)/n_conv)</f>
        <v>0.107037313839977</v>
      </c>
      <c r="K2513" s="7" t="n">
        <f aca="false">Sens!$E$2513+(glt_azo-Sens!$E$2513)*MIN(1,(Sens!K2470-base_fy)/n_conv)</f>
        <v>0.08</v>
      </c>
    </row>
    <row r="2514" customFormat="false" ht="15" hidden="false" customHeight="false" outlineLevel="0" collapsed="false">
      <c r="A2514" s="0" t="s">
        <v>1025</v>
      </c>
      <c r="B2514" s="0" t="s">
        <v>98</v>
      </c>
      <c r="D2514" s="6" t="n">
        <f aca="false">Sens!D2511+Sens!D2512</f>
        <v>72.61</v>
      </c>
      <c r="E2514" s="6" t="n">
        <f aca="false">Sens!E2511+Sens!E2512</f>
        <v>101.938</v>
      </c>
      <c r="F2514" s="6" t="n">
        <f aca="false">Sens!F2511+Sens!F2512</f>
        <v>149.59001837225</v>
      </c>
      <c r="G2514" s="6" t="n">
        <f aca="false">Sens!G2511+Sens!G2512</f>
        <v>210.963087346352</v>
      </c>
      <c r="H2514" s="6" t="n">
        <f aca="false">Sens!H2511+Sens!H2512</f>
        <v>278.649709314524</v>
      </c>
      <c r="I2514" s="6" t="n">
        <f aca="false">Sens!I2511+Sens!I2512</f>
        <v>334.269404582332</v>
      </c>
      <c r="J2514" s="6" t="n">
        <f aca="false">Sens!J2511+Sens!J2512</f>
        <v>376.517293063672</v>
      </c>
      <c r="K2514" s="6" t="n">
        <f aca="false">Sens!K2511+Sens!K2512</f>
        <v>406.018092622804</v>
      </c>
    </row>
    <row r="2515" customFormat="false" ht="17.15" hidden="false" customHeight="false" outlineLevel="0" collapsed="false">
      <c r="A2515" s="0" t="s">
        <v>1026</v>
      </c>
      <c r="B2515" s="1" t="s">
        <v>610</v>
      </c>
      <c r="C2515" s="30" t="n">
        <f aca="false">cop_s24</f>
        <v>1</v>
      </c>
      <c r="D2515" s="30" t="n">
        <f aca="false">cop_s25</f>
        <v>5</v>
      </c>
      <c r="E2515" s="30" t="n">
        <f aca="false">cop_s26</f>
        <v>30</v>
      </c>
      <c r="F2515" s="30" t="n">
        <f aca="false">Sens!E2515+cop_add_A</f>
        <v>60</v>
      </c>
      <c r="G2515" s="30" t="n">
        <f aca="false">Sens!F2515+cop_add_A</f>
        <v>90</v>
      </c>
      <c r="H2515" s="30" t="n">
        <f aca="false">Sens!G2515+cop_add_A</f>
        <v>120</v>
      </c>
      <c r="I2515" s="30" t="n">
        <f aca="false">Sens!H2515+cop_add_A*cop_tail</f>
        <v>135</v>
      </c>
      <c r="J2515" s="30" t="n">
        <f aca="false">Sens!I2515+cop_add_A*cop_tail</f>
        <v>150</v>
      </c>
      <c r="K2515" s="30" t="n">
        <f aca="false">Sens!J2515+cop_add_A*cop_tail</f>
        <v>165</v>
      </c>
      <c r="L2515" s="12" t="s">
        <v>1027</v>
      </c>
    </row>
    <row r="2516" customFormat="false" ht="17.15" hidden="false" customHeight="false" outlineLevel="0" collapsed="false">
      <c r="A2516" s="0" t="s">
        <v>1028</v>
      </c>
      <c r="B2516" s="0" t="s">
        <v>98</v>
      </c>
      <c r="D2516" s="6" t="n">
        <f aca="false">(Sens!C2515+Sens!D2515)/2*cop_px*12/1000</f>
        <v>0.9</v>
      </c>
      <c r="E2516" s="6" t="n">
        <f aca="false">(Sens!D2515+Sens!E2515)/2*cop_px*12/1000</f>
        <v>5.25</v>
      </c>
      <c r="F2516" s="6" t="n">
        <f aca="false">(Sens!E2515+Sens!F2515)/2*cop_px*12/1000</f>
        <v>13.5</v>
      </c>
      <c r="G2516" s="6" t="n">
        <f aca="false">(Sens!F2515+Sens!G2515)/2*cop_px*12/1000</f>
        <v>22.5</v>
      </c>
      <c r="H2516" s="6" t="n">
        <f aca="false">(Sens!G2515+Sens!H2515)/2*cop_px*12/1000</f>
        <v>31.5</v>
      </c>
      <c r="I2516" s="6" t="n">
        <f aca="false">(Sens!H2515+Sens!I2515)/2*cop_px*12/1000</f>
        <v>38.25</v>
      </c>
      <c r="J2516" s="6" t="n">
        <f aca="false">(Sens!I2515+Sens!J2515)/2*cop_px*12/1000</f>
        <v>42.75</v>
      </c>
      <c r="K2516" s="6" t="n">
        <f aca="false">(Sens!J2515+Sens!K2515)/2*cop_px*12/1000</f>
        <v>47.25</v>
      </c>
      <c r="L2516" s="1" t="s">
        <v>1029</v>
      </c>
    </row>
    <row r="2517" customFormat="false" ht="17.15" hidden="false" customHeight="false" outlineLevel="0" collapsed="false">
      <c r="A2517" s="0" t="s">
        <v>1030</v>
      </c>
      <c r="B2517" s="0" t="s">
        <v>98</v>
      </c>
      <c r="D2517" s="6" t="n">
        <f aca="false">Q!L7-Sens!D2516</f>
        <v>83.705</v>
      </c>
      <c r="E2517" s="6" t="n">
        <f aca="false">Q!M7-Sens!E2516</f>
        <v>95.049</v>
      </c>
      <c r="F2517" s="6" t="n">
        <f aca="false">Q!$I$7+(Sens!E2517*(1+Sens!F2518)+Sens!F2516)*(1-Q!$E$7/Q!M7)-Sens!F2516</f>
        <v>106.229653205718</v>
      </c>
      <c r="G2517" s="6" t="n">
        <f aca="false">Sens!F2517*(1+Sens!G2518)</f>
        <v>118.306092647576</v>
      </c>
      <c r="H2517" s="6" t="n">
        <f aca="false">Sens!G2517*(1+Sens!H2518)</f>
        <v>130.463437602768</v>
      </c>
      <c r="I2517" s="6" t="n">
        <f aca="false">Sens!H2517*(1+Sens!I2518)</f>
        <v>142.445354741933</v>
      </c>
      <c r="J2517" s="6" t="n">
        <f aca="false">Sens!I2517*(1+Sens!J2518)</f>
        <v>153.972117481571</v>
      </c>
      <c r="K2517" s="6" t="n">
        <f aca="false">Sens!J2517*(1+Sens!K2518)</f>
        <v>164.75016570528</v>
      </c>
      <c r="L2517" s="12" t="s">
        <v>1031</v>
      </c>
    </row>
    <row r="2518" customFormat="false" ht="15" hidden="false" customHeight="false" outlineLevel="0" collapsed="false">
      <c r="A2518" s="1" t="s">
        <v>1024</v>
      </c>
      <c r="B2518" s="0" t="s">
        <v>168</v>
      </c>
      <c r="E2518" s="7" t="n">
        <f aca="false">Sens!E2517/Sens!D2517-1</f>
        <v>0.135523564900544</v>
      </c>
      <c r="F2518" s="7" t="n">
        <f aca="false">Sens!$E$2518+(glt_m365b-Sens!$E$2518)*MIN(1,(Sens!F2470-base_fy)/n_conv)</f>
        <v>0.124602970750453</v>
      </c>
      <c r="G2518" s="7" t="n">
        <f aca="false">Sens!$E$2518+(glt_m365b-Sens!$E$2518)*MIN(1,(Sens!G2470-base_fy)/n_conv)</f>
        <v>0.113682376600363</v>
      </c>
      <c r="H2518" s="7" t="n">
        <f aca="false">Sens!$E$2518+(glt_m365b-Sens!$E$2518)*MIN(1,(Sens!H2470-base_fy)/n_conv)</f>
        <v>0.102761782450272</v>
      </c>
      <c r="I2518" s="7" t="n">
        <f aca="false">Sens!$E$2518+(glt_m365b-Sens!$E$2518)*MIN(1,(Sens!I2470-base_fy)/n_conv)</f>
        <v>0.0918411883001813</v>
      </c>
      <c r="J2518" s="7" t="n">
        <f aca="false">Sens!$E$2518+(glt_m365b-Sens!$E$2518)*MIN(1,(Sens!J2470-base_fy)/n_conv)</f>
        <v>0.0809205941500906</v>
      </c>
      <c r="K2518" s="7" t="n">
        <f aca="false">Sens!$E$2518+(glt_m365b-Sens!$E$2518)*MIN(1,(Sens!K2470-base_fy)/n_conv)</f>
        <v>0.07</v>
      </c>
    </row>
    <row r="2519" customFormat="false" ht="15" hidden="false" customHeight="false" outlineLevel="0" collapsed="false">
      <c r="A2519" s="0" t="s">
        <v>1032</v>
      </c>
      <c r="B2519" s="0" t="s">
        <v>98</v>
      </c>
      <c r="D2519" s="6" t="n">
        <f aca="false">Sens!D2517+Sens!D2516</f>
        <v>84.605</v>
      </c>
      <c r="E2519" s="6" t="n">
        <f aca="false">Sens!E2517+Sens!E2516</f>
        <v>100.299</v>
      </c>
      <c r="F2519" s="6" t="n">
        <f aca="false">Sens!F2517+Sens!F2516</f>
        <v>119.729653205718</v>
      </c>
      <c r="G2519" s="6" t="n">
        <f aca="false">Sens!G2517+Sens!G2516</f>
        <v>140.806092647576</v>
      </c>
      <c r="H2519" s="6" t="n">
        <f aca="false">Sens!H2517+Sens!H2516</f>
        <v>161.963437602768</v>
      </c>
      <c r="I2519" s="6" t="n">
        <f aca="false">Sens!I2517+Sens!I2516</f>
        <v>180.695354741933</v>
      </c>
      <c r="J2519" s="6" t="n">
        <f aca="false">Sens!J2517+Sens!J2516</f>
        <v>196.722117481571</v>
      </c>
      <c r="K2519" s="6" t="n">
        <f aca="false">Sens!K2517+Sens!K2516</f>
        <v>212.00016570528</v>
      </c>
    </row>
    <row r="2520" customFormat="false" ht="17.15" hidden="false" customHeight="false" outlineLevel="0" collapsed="false">
      <c r="A2520" s="0" t="s">
        <v>1033</v>
      </c>
      <c r="B2520" s="0" t="s">
        <v>98</v>
      </c>
      <c r="D2520" s="6" t="n">
        <f aca="false">Q!L8</f>
        <v>35.391</v>
      </c>
      <c r="E2520" s="6" t="n">
        <f aca="false">Q!M8</f>
        <v>37.285</v>
      </c>
      <c r="F2520" s="6" t="n">
        <f aca="false">Q!$I$8+(Q!M8-Q!$E$8)*(1+Sens!F2521)</f>
        <v>38.3851437782675</v>
      </c>
      <c r="G2520" s="6" t="n">
        <f aca="false">Sens!F2520*(1+Sens!G2521)</f>
        <v>40.0105353288615</v>
      </c>
      <c r="H2520" s="6" t="n">
        <f aca="false">Sens!G2520*(1+Sens!H2521)</f>
        <v>41.4812512033683</v>
      </c>
      <c r="I2520" s="6" t="n">
        <f aca="false">Sens!H2520*(1+Sens!I2521)</f>
        <v>42.7743107216329</v>
      </c>
      <c r="J2520" s="6" t="n">
        <f aca="false">Sens!I2520*(1+Sens!J2521)</f>
        <v>43.8687373064601</v>
      </c>
      <c r="K2520" s="6" t="n">
        <f aca="false">Sens!J2520*(1+Sens!K2521)</f>
        <v>44.7461120525893</v>
      </c>
      <c r="L2520" s="12" t="s">
        <v>1034</v>
      </c>
    </row>
    <row r="2521" customFormat="false" ht="15" hidden="false" customHeight="false" outlineLevel="0" collapsed="false">
      <c r="A2521" s="1" t="s">
        <v>1024</v>
      </c>
      <c r="B2521" s="0" t="s">
        <v>168</v>
      </c>
      <c r="E2521" s="7" t="n">
        <f aca="false">Sens!E2520/Sens!D2520-1</f>
        <v>0.0535164307309768</v>
      </c>
      <c r="F2521" s="7" t="n">
        <f aca="false">Sens!$E$2521+(glt_lic-Sens!$E$2521)*MIN(1,(Sens!F2470-base_fy)/n_conv)</f>
        <v>0.0479303589424807</v>
      </c>
      <c r="G2521" s="7" t="n">
        <f aca="false">Sens!$E$2521+(glt_lic-Sens!$E$2521)*MIN(1,(Sens!G2470-base_fy)/n_conv)</f>
        <v>0.0423442871539845</v>
      </c>
      <c r="H2521" s="7" t="n">
        <f aca="false">Sens!$E$2521+(glt_lic-Sens!$E$2521)*MIN(1,(Sens!H2470-base_fy)/n_conv)</f>
        <v>0.0367582153654884</v>
      </c>
      <c r="I2521" s="7" t="n">
        <f aca="false">Sens!$E$2521+(glt_lic-Sens!$E$2521)*MIN(1,(Sens!I2470-base_fy)/n_conv)</f>
        <v>0.0311721435769923</v>
      </c>
      <c r="J2521" s="7" t="n">
        <f aca="false">Sens!$E$2521+(glt_lic-Sens!$E$2521)*MIN(1,(Sens!J2470-base_fy)/n_conv)</f>
        <v>0.0255860717884961</v>
      </c>
      <c r="K2521" s="7" t="n">
        <f aca="false">Sens!$E$2521+(glt_lic-Sens!$E$2521)*MIN(1,(Sens!K2470-base_fy)/n_conv)</f>
        <v>0.02</v>
      </c>
    </row>
    <row r="2522" customFormat="false" ht="17.15" hidden="false" customHeight="false" outlineLevel="0" collapsed="false">
      <c r="A2522" s="0" t="s">
        <v>1035</v>
      </c>
      <c r="B2522" s="0" t="s">
        <v>98</v>
      </c>
      <c r="D2522" s="6" t="n">
        <f aca="false">Q!L9</f>
        <v>18.417</v>
      </c>
      <c r="E2522" s="6" t="n">
        <f aca="false">Q!M9</f>
        <v>20.345</v>
      </c>
      <c r="F2522" s="6" t="n">
        <f aca="false">Q!$I$9+(Q!M9-Q!$E$9)*(1+Sens!F2523)</f>
        <v>22.3161797133988</v>
      </c>
      <c r="G2522" s="6" t="n">
        <f aca="false">Sens!F2522*(1+Sens!G2523)</f>
        <v>24.3943499673233</v>
      </c>
      <c r="H2522" s="6" t="n">
        <f aca="false">Sens!G2522*(1+Sens!H2523)</f>
        <v>26.5250243109019</v>
      </c>
      <c r="I2522" s="6" t="n">
        <f aca="false">Sens!H2522*(1+Sens!I2523)</f>
        <v>28.6884573538181</v>
      </c>
      <c r="J2522" s="6" t="n">
        <f aca="false">Sens!I2522*(1+Sens!J2523)</f>
        <v>30.8624968052127</v>
      </c>
      <c r="K2522" s="6" t="n">
        <f aca="false">Sens!J2522*(1+Sens!K2523)</f>
        <v>33.0228715815776</v>
      </c>
      <c r="L2522" s="12" t="s">
        <v>1034</v>
      </c>
    </row>
    <row r="2523" customFormat="false" ht="15" hidden="false" customHeight="false" outlineLevel="0" collapsed="false">
      <c r="A2523" s="1" t="s">
        <v>1024</v>
      </c>
      <c r="B2523" s="0" t="s">
        <v>168</v>
      </c>
      <c r="E2523" s="7" t="n">
        <f aca="false">Sens!E2522/Sens!D2522-1</f>
        <v>0.104685888038225</v>
      </c>
      <c r="F2523" s="7" t="n">
        <f aca="false">Sens!$E$2523+(glt_ind-Sens!$E$2523)*MIN(1,(Sens!F2470-base_fy)/n_conv)</f>
        <v>0.0989049066985211</v>
      </c>
      <c r="G2523" s="7" t="n">
        <f aca="false">Sens!$E$2523+(glt_ind-Sens!$E$2523)*MIN(1,(Sens!G2470-base_fy)/n_conv)</f>
        <v>0.0931239253588169</v>
      </c>
      <c r="H2523" s="7" t="n">
        <f aca="false">Sens!$E$2523+(glt_ind-Sens!$E$2523)*MIN(1,(Sens!H2470-base_fy)/n_conv)</f>
        <v>0.0873429440191127</v>
      </c>
      <c r="I2523" s="7" t="n">
        <f aca="false">Sens!$E$2523+(glt_ind-Sens!$E$2523)*MIN(1,(Sens!I2470-base_fy)/n_conv)</f>
        <v>0.0815619626794085</v>
      </c>
      <c r="J2523" s="7" t="n">
        <f aca="false">Sens!$E$2523+(glt_ind-Sens!$E$2523)*MIN(1,(Sens!J2470-base_fy)/n_conv)</f>
        <v>0.0757809813397042</v>
      </c>
      <c r="K2523" s="7" t="n">
        <f aca="false">Sens!$E$2523+(glt_ind-Sens!$E$2523)*MIN(1,(Sens!K2470-base_fy)/n_conv)</f>
        <v>0.07</v>
      </c>
    </row>
    <row r="2524" customFormat="false" ht="17.15" hidden="false" customHeight="false" outlineLevel="0" collapsed="false">
      <c r="A2524" s="0" t="s">
        <v>1036</v>
      </c>
      <c r="B2524" s="0" t="s">
        <v>98</v>
      </c>
      <c r="D2524" s="6" t="n">
        <f aca="false">Q!L10</f>
        <v>7.76</v>
      </c>
      <c r="E2524" s="6" t="n">
        <f aca="false">Q!M10</f>
        <v>8.26</v>
      </c>
      <c r="F2524" s="6" t="n">
        <f aca="false">Q!$I$10+(Q!M10-Q!$E$10)*(1+Sens!F2525)</f>
        <v>8.75372082474227</v>
      </c>
      <c r="G2524" s="6" t="n">
        <f aca="false">Sens!F2524*(1+Sens!G2525)</f>
        <v>9.33399324642364</v>
      </c>
      <c r="H2524" s="6" t="n">
        <f aca="false">Sens!G2524*(1+Sens!H2525)</f>
        <v>9.96139155535851</v>
      </c>
      <c r="I2524" s="6" t="n">
        <f aca="false">Sens!H2524*(1+Sens!I2525)</f>
        <v>10.6402039077391</v>
      </c>
      <c r="J2524" s="6" t="n">
        <f aca="false">Sens!I2524*(1+Sens!J2525)</f>
        <v>11.3751458271397</v>
      </c>
      <c r="K2524" s="6" t="n">
        <f aca="false">Sens!J2524*(1+Sens!K2525)</f>
        <v>12.1714060350394</v>
      </c>
      <c r="L2524" s="12" t="s">
        <v>1034</v>
      </c>
    </row>
    <row r="2525" customFormat="false" ht="15" hidden="false" customHeight="false" outlineLevel="0" collapsed="false">
      <c r="A2525" s="1" t="s">
        <v>1024</v>
      </c>
      <c r="B2525" s="0" t="s">
        <v>168</v>
      </c>
      <c r="E2525" s="7" t="n">
        <f aca="false">Sens!E2524/Sens!D2524-1</f>
        <v>0.0644329896907216</v>
      </c>
      <c r="F2525" s="7" t="n">
        <f aca="false">Sens!$E$2525+(glt_fro-Sens!$E$2525)*MIN(1,(Sens!F2470-base_fy)/n_conv)</f>
        <v>0.065360824742268</v>
      </c>
      <c r="G2525" s="7" t="n">
        <f aca="false">Sens!$E$2525+(glt_fro-Sens!$E$2525)*MIN(1,(Sens!G2470-base_fy)/n_conv)</f>
        <v>0.0662886597938144</v>
      </c>
      <c r="H2525" s="7" t="n">
        <f aca="false">Sens!$E$2525+(glt_fro-Sens!$E$2525)*MIN(1,(Sens!H2470-base_fy)/n_conv)</f>
        <v>0.0672164948453608</v>
      </c>
      <c r="I2525" s="7" t="n">
        <f aca="false">Sens!$E$2525+(glt_fro-Sens!$E$2525)*MIN(1,(Sens!I2470-base_fy)/n_conv)</f>
        <v>0.0681443298969072</v>
      </c>
      <c r="J2525" s="7" t="n">
        <f aca="false">Sens!$E$2525+(glt_fro-Sens!$E$2525)*MIN(1,(Sens!J2470-base_fy)/n_conv)</f>
        <v>0.0690721649484536</v>
      </c>
      <c r="K2525" s="7" t="n">
        <f aca="false">Sens!$E$2525+(glt_fro-Sens!$E$2525)*MIN(1,(Sens!K2470-base_fy)/n_conv)</f>
        <v>0.07</v>
      </c>
    </row>
    <row r="2526" customFormat="false" ht="15" hidden="false" customHeight="false" outlineLevel="0" collapsed="false">
      <c r="A2526" s="0" t="s">
        <v>852</v>
      </c>
      <c r="B2526" s="0" t="s">
        <v>98</v>
      </c>
      <c r="D2526" s="6" t="n">
        <f aca="false">Sens!D2514+Sens!D2519+Sens!D2520+Sens!D2522+Sens!D2524</f>
        <v>218.783</v>
      </c>
      <c r="E2526" s="6" t="n">
        <f aca="false">Sens!E2514+Sens!E2519+Sens!E2520+Sens!E2522+Sens!E2524</f>
        <v>268.127</v>
      </c>
      <c r="F2526" s="6" t="n">
        <f aca="false">Sens!F2514+Sens!F2519+Sens!F2520+Sens!F2522+Sens!F2524</f>
        <v>338.774715894377</v>
      </c>
      <c r="G2526" s="6" t="n">
        <f aca="false">Sens!G2514+Sens!G2519+Sens!G2520+Sens!G2522+Sens!G2524</f>
        <v>425.508058536537</v>
      </c>
      <c r="H2526" s="6" t="n">
        <f aca="false">Sens!H2514+Sens!H2519+Sens!H2520+Sens!H2522+Sens!H2524</f>
        <v>518.580813986921</v>
      </c>
      <c r="I2526" s="6" t="n">
        <f aca="false">Sens!I2514+Sens!I2519+Sens!I2520+Sens!I2522+Sens!I2524</f>
        <v>597.067731307455</v>
      </c>
      <c r="J2526" s="6" t="n">
        <f aca="false">Sens!J2514+Sens!J2519+Sens!J2520+Sens!J2522+Sens!J2524</f>
        <v>659.345790484055</v>
      </c>
      <c r="K2526" s="6" t="n">
        <f aca="false">Sens!K2514+Sens!K2519+Sens!K2520+Sens!K2522+Sens!K2524</f>
        <v>707.958647997291</v>
      </c>
    </row>
    <row r="2527" customFormat="false" ht="17.15" hidden="false" customHeight="false" outlineLevel="0" collapsed="false">
      <c r="A2527" s="0" t="s">
        <v>1037</v>
      </c>
      <c r="B2527" s="0" t="s">
        <v>98</v>
      </c>
      <c r="D2527" s="6" t="n">
        <f aca="false">Q!L13</f>
        <v>22.171</v>
      </c>
      <c r="E2527" s="6" t="n">
        <f aca="false">Q!M13</f>
        <v>24.835</v>
      </c>
      <c r="F2527" s="6" t="n">
        <f aca="false">Q!$I$13+(Q!M13-Q!$E$13)*(1+Sens!F2528)</f>
        <v>27.5591895660247</v>
      </c>
      <c r="G2527" s="6" t="n">
        <f aca="false">Sens!F2527*(1+Sens!G2528)</f>
        <v>30.4098563144583</v>
      </c>
      <c r="H2527" s="6" t="n">
        <f aca="false">Sens!G2527*(1+Sens!H2528)</f>
        <v>33.3011792571777</v>
      </c>
      <c r="I2527" s="6" t="n">
        <f aca="false">Sens!H2527*(1+Sens!I2528)</f>
        <v>36.189023797112</v>
      </c>
      <c r="J2527" s="6" t="n">
        <f aca="false">Sens!I2527*(1+Sens!J2528)</f>
        <v>39.0247773769199</v>
      </c>
      <c r="K2527" s="6" t="n">
        <f aca="false">Sens!J2527*(1+Sens!K2528)</f>
        <v>41.7565117933043</v>
      </c>
      <c r="L2527" s="12" t="s">
        <v>1034</v>
      </c>
    </row>
    <row r="2528" customFormat="false" ht="15" hidden="false" customHeight="false" outlineLevel="0" collapsed="false">
      <c r="A2528" s="1" t="s">
        <v>1024</v>
      </c>
      <c r="B2528" s="0" t="s">
        <v>168</v>
      </c>
      <c r="E2528" s="7" t="n">
        <f aca="false">Sens!E2527/Sens!D2527-1</f>
        <v>0.120156961796942</v>
      </c>
      <c r="F2528" s="7" t="n">
        <f aca="false">Sens!$E$2528+(glt_srch-Sens!$E$2528)*MIN(1,(Sens!F2470-base_fy)/n_conv)</f>
        <v>0.111797468164118</v>
      </c>
      <c r="G2528" s="7" t="n">
        <f aca="false">Sens!$E$2528+(glt_srch-Sens!$E$2528)*MIN(1,(Sens!G2470-base_fy)/n_conv)</f>
        <v>0.103437974531295</v>
      </c>
      <c r="H2528" s="7" t="n">
        <f aca="false">Sens!$E$2528+(glt_srch-Sens!$E$2528)*MIN(1,(Sens!H2470-base_fy)/n_conv)</f>
        <v>0.095078480898471</v>
      </c>
      <c r="I2528" s="7" t="n">
        <f aca="false">Sens!$E$2528+(glt_srch-Sens!$E$2528)*MIN(1,(Sens!I2470-base_fy)/n_conv)</f>
        <v>0.0867189872656474</v>
      </c>
      <c r="J2528" s="7" t="n">
        <f aca="false">Sens!$E$2528+(glt_srch-Sens!$E$2528)*MIN(1,(Sens!J2470-base_fy)/n_conv)</f>
        <v>0.0783594936328237</v>
      </c>
      <c r="K2528" s="7" t="n">
        <f aca="false">Sens!$E$2528+(glt_srch-Sens!$E$2528)*MIN(1,(Sens!K2470-base_fy)/n_conv)</f>
        <v>0.07</v>
      </c>
    </row>
    <row r="2529" customFormat="false" ht="17.15" hidden="false" customHeight="false" outlineLevel="0" collapsed="false">
      <c r="A2529" s="0" t="s">
        <v>1038</v>
      </c>
      <c r="B2529" s="0" t="s">
        <v>98</v>
      </c>
      <c r="D2529" s="6" t="n">
        <f aca="false">Q!L14</f>
        <v>23.455</v>
      </c>
      <c r="E2529" s="6" t="n">
        <f aca="false">Q!M14</f>
        <v>21.79</v>
      </c>
      <c r="F2529" s="6" t="n">
        <f aca="false">Q!$I$14+(Q!M14-Q!$E$14)*(1+Sens!F2530)</f>
        <v>20.7520981041711</v>
      </c>
      <c r="G2529" s="6" t="n">
        <f aca="false">Sens!F2529*(1+Sens!G2530)</f>
        <v>19.9083593495882</v>
      </c>
      <c r="H2529" s="6" t="n">
        <f aca="false">Sens!G2529*(1+Sens!H2530)</f>
        <v>19.4008256265831</v>
      </c>
      <c r="I2529" s="6" t="n">
        <f aca="false">Sens!H2529*(1+Sens!I2530)</f>
        <v>19.200434522122</v>
      </c>
      <c r="J2529" s="6" t="n">
        <f aca="false">Sens!I2529*(1+Sens!J2530)</f>
        <v>19.2932782348507</v>
      </c>
      <c r="K2529" s="6" t="n">
        <f aca="false">Sens!J2529*(1+Sens!K2530)</f>
        <v>19.6791437995477</v>
      </c>
      <c r="L2529" s="12" t="s">
        <v>1034</v>
      </c>
    </row>
    <row r="2530" customFormat="false" ht="15" hidden="false" customHeight="false" outlineLevel="0" collapsed="false">
      <c r="A2530" s="1" t="s">
        <v>1024</v>
      </c>
      <c r="B2530" s="0" t="s">
        <v>168</v>
      </c>
      <c r="E2530" s="7" t="n">
        <f aca="false">Sens!E2529/Sens!D2529-1</f>
        <v>-0.0709869963760392</v>
      </c>
      <c r="F2530" s="7" t="n">
        <f aca="false">Sens!$E$2530+(glt_xbox-Sens!$E$2530)*MIN(1,(Sens!F2470-base_fy)/n_conv)</f>
        <v>-0.0558224969800327</v>
      </c>
      <c r="G2530" s="7" t="n">
        <f aca="false">Sens!$E$2530+(glt_xbox-Sens!$E$2530)*MIN(1,(Sens!G2470-base_fy)/n_conv)</f>
        <v>-0.0406579975840262</v>
      </c>
      <c r="H2530" s="7" t="n">
        <f aca="false">Sens!$E$2530+(glt_xbox-Sens!$E$2530)*MIN(1,(Sens!H2470-base_fy)/n_conv)</f>
        <v>-0.0254934981880196</v>
      </c>
      <c r="I2530" s="7" t="n">
        <f aca="false">Sens!$E$2530+(glt_xbox-Sens!$E$2530)*MIN(1,(Sens!I2470-base_fy)/n_conv)</f>
        <v>-0.0103289987920131</v>
      </c>
      <c r="J2530" s="7" t="n">
        <f aca="false">Sens!$E$2530+(glt_xbox-Sens!$E$2530)*MIN(1,(Sens!J2470-base_fy)/n_conv)</f>
        <v>0.00483550060399347</v>
      </c>
      <c r="K2530" s="7" t="n">
        <f aca="false">Sens!$E$2530+(glt_xbox-Sens!$E$2530)*MIN(1,(Sens!K2470-base_fy)/n_conv)</f>
        <v>0.02</v>
      </c>
    </row>
    <row r="2531" customFormat="false" ht="17.15" hidden="false" customHeight="false" outlineLevel="0" collapsed="false">
      <c r="A2531" s="0" t="s">
        <v>1039</v>
      </c>
      <c r="B2531" s="0" t="s">
        <v>98</v>
      </c>
      <c r="D2531" s="6" t="n">
        <f aca="false">Q!L15</f>
        <v>17.315</v>
      </c>
      <c r="E2531" s="6" t="n">
        <f aca="false">Q!M15</f>
        <v>17.087</v>
      </c>
      <c r="F2531" s="6" t="n">
        <f aca="false">Q!$I$15+(Q!M15-Q!$E$15)*(1+Sens!F2532)</f>
        <v>15.9912273250553</v>
      </c>
      <c r="G2531" s="6" t="n">
        <f aca="false">Sens!F2531*(1+Sens!G2532)</f>
        <v>15.9574562664827</v>
      </c>
      <c r="H2531" s="6" t="n">
        <f aca="false">Sens!G2531*(1+Sens!H2532)</f>
        <v>16.0119687434196</v>
      </c>
      <c r="I2531" s="6" t="n">
        <f aca="false">Sens!H2531*(1+Sens!I2532)</f>
        <v>16.1551810001948</v>
      </c>
      <c r="J2531" s="6" t="n">
        <f aca="false">Sens!I2531*(1+Sens!J2532)</f>
        <v>16.3889793892005</v>
      </c>
      <c r="K2531" s="6" t="n">
        <f aca="false">Sens!J2531*(1+Sens!K2532)</f>
        <v>16.7167589769845</v>
      </c>
      <c r="L2531" s="12" t="s">
        <v>1034</v>
      </c>
    </row>
    <row r="2532" customFormat="false" ht="15" hidden="false" customHeight="false" outlineLevel="0" collapsed="false">
      <c r="A2532" s="1" t="s">
        <v>1024</v>
      </c>
      <c r="B2532" s="0" t="s">
        <v>168</v>
      </c>
      <c r="E2532" s="7" t="n">
        <f aca="false">Sens!E2531/Sens!D2531-1</f>
        <v>-0.0131677736066995</v>
      </c>
      <c r="F2532" s="7" t="n">
        <f aca="false">Sens!$E$2532+(glt_win-Sens!$E$2532)*MIN(1,(Sens!F2470-base_fy)/n_conv)</f>
        <v>-0.00763981133891627</v>
      </c>
      <c r="G2532" s="7" t="n">
        <f aca="false">Sens!$E$2532+(glt_win-Sens!$E$2532)*MIN(1,(Sens!G2470-base_fy)/n_conv)</f>
        <v>-0.00211184907113301</v>
      </c>
      <c r="H2532" s="7" t="n">
        <f aca="false">Sens!$E$2532+(glt_win-Sens!$E$2532)*MIN(1,(Sens!H2470-base_fy)/n_conv)</f>
        <v>0.00341611319665024</v>
      </c>
      <c r="I2532" s="7" t="n">
        <f aca="false">Sens!$E$2532+(glt_win-Sens!$E$2532)*MIN(1,(Sens!I2470-base_fy)/n_conv)</f>
        <v>0.00894407546443349</v>
      </c>
      <c r="J2532" s="7" t="n">
        <f aca="false">Sens!$E$2532+(glt_win-Sens!$E$2532)*MIN(1,(Sens!J2470-base_fy)/n_conv)</f>
        <v>0.0144720377322168</v>
      </c>
      <c r="K2532" s="7" t="n">
        <f aca="false">Sens!$E$2532+(glt_win-Sens!$E$2532)*MIN(1,(Sens!K2470-base_fy)/n_conv)</f>
        <v>0.02</v>
      </c>
    </row>
    <row r="2533" customFormat="false" ht="15" hidden="false" customHeight="false" outlineLevel="0" collapsed="false">
      <c r="A2533" s="0" t="s">
        <v>866</v>
      </c>
      <c r="B2533" s="0" t="s">
        <v>98</v>
      </c>
      <c r="D2533" s="6" t="n">
        <f aca="false">Sens!D2527+Sens!D2529+Sens!D2531</f>
        <v>62.941</v>
      </c>
      <c r="E2533" s="6" t="n">
        <f aca="false">Sens!E2527+Sens!E2529+Sens!E2531</f>
        <v>63.712</v>
      </c>
      <c r="F2533" s="6" t="n">
        <f aca="false">Sens!F2527+Sens!F2529+Sens!F2531</f>
        <v>64.3025149952511</v>
      </c>
      <c r="G2533" s="6" t="n">
        <f aca="false">Sens!G2527+Sens!G2529+Sens!G2531</f>
        <v>66.2756719305292</v>
      </c>
      <c r="H2533" s="6" t="n">
        <f aca="false">Sens!H2527+Sens!H2529+Sens!H2531</f>
        <v>68.7139736271804</v>
      </c>
      <c r="I2533" s="6" t="n">
        <f aca="false">Sens!I2527+Sens!I2529+Sens!I2531</f>
        <v>71.5446393194289</v>
      </c>
      <c r="J2533" s="6" t="n">
        <f aca="false">Sens!J2527+Sens!J2529+Sens!J2531</f>
        <v>74.707035000971</v>
      </c>
      <c r="K2533" s="6" t="n">
        <f aca="false">Sens!K2527+Sens!K2529+Sens!K2531</f>
        <v>78.1524145698365</v>
      </c>
    </row>
    <row r="2534" customFormat="false" ht="15" hidden="false" customHeight="false" outlineLevel="0" collapsed="false">
      <c r="A2534" s="1" t="s">
        <v>1040</v>
      </c>
      <c r="B2534" s="0" t="s">
        <v>98</v>
      </c>
      <c r="D2534" s="6" t="n">
        <f aca="false">Sens!D2526+Sens!D2533</f>
        <v>281.724</v>
      </c>
      <c r="E2534" s="6" t="n">
        <f aca="false">Sens!E2526+Sens!E2533</f>
        <v>331.839</v>
      </c>
      <c r="F2534" s="6" t="n">
        <f aca="false">Sens!F2526+Sens!F2533</f>
        <v>403.077230889628</v>
      </c>
      <c r="G2534" s="6" t="n">
        <f aca="false">Sens!G2526+Sens!G2533</f>
        <v>491.783730467066</v>
      </c>
      <c r="H2534" s="6" t="n">
        <f aca="false">Sens!H2526+Sens!H2533</f>
        <v>587.294787614101</v>
      </c>
      <c r="I2534" s="6" t="n">
        <f aca="false">Sens!I2526+Sens!I2533</f>
        <v>668.612370626884</v>
      </c>
      <c r="J2534" s="6" t="n">
        <f aca="false">Sens!J2526+Sens!J2533</f>
        <v>734.052825485026</v>
      </c>
      <c r="K2534" s="6" t="n">
        <f aca="false">Sens!K2526+Sens!K2533</f>
        <v>786.111062567128</v>
      </c>
    </row>
    <row r="2535" customFormat="false" ht="15" hidden="false" customHeight="false" outlineLevel="0" collapsed="false">
      <c r="A2535" s="26" t="s">
        <v>1041</v>
      </c>
      <c r="B2535" s="31" t="s">
        <v>98</v>
      </c>
      <c r="C2535" s="31"/>
      <c r="D2535" s="27" t="n">
        <f aca="false">(Sens!D2514+Sens!D2519+Sens!D2520+Sens!D2522+Sens!D2524-Sens!D2526)+(Sens!D2527+Sens!D2529+Sens!D2531-Sens!D2533)+(Sens!D2526-Q!L5)+(Sens!D2533-Q!L12)+(Sens!D2514-Q!L6)+(Sens!D2519-Q!L7)</f>
        <v>0</v>
      </c>
      <c r="E2535" s="27" t="n">
        <f aca="false">(Sens!E2514+Sens!E2519+Sens!E2520+Sens!E2522+Sens!E2524-Sens!E2526)+(Sens!E2527+Sens!E2529+Sens!E2531-Sens!E2533)+(Sens!E2526-Q!M5)+(Sens!E2533-Q!M12)+(Sens!E2514-Q!M6)+(Sens!E2519-Q!M7)</f>
        <v>0</v>
      </c>
      <c r="F2535" s="27" t="n">
        <f aca="false">(Sens!F2514+Sens!F2519+Sens!F2520+Sens!F2522+Sens!F2524-Sens!F2526)+(Sens!F2527+Sens!F2529+Sens!F2531-Sens!F2533)</f>
        <v>0</v>
      </c>
      <c r="G2535" s="27" t="n">
        <f aca="false">(Sens!G2514+Sens!G2519+Sens!G2520+Sens!G2522+Sens!G2524-Sens!G2526)+(Sens!G2527+Sens!G2529+Sens!G2531-Sens!G2533)</f>
        <v>0</v>
      </c>
      <c r="H2535" s="27" t="n">
        <f aca="false">(Sens!H2514+Sens!H2519+Sens!H2520+Sens!H2522+Sens!H2524-Sens!H2526)+(Sens!H2527+Sens!H2529+Sens!H2531-Sens!H2533)</f>
        <v>0</v>
      </c>
      <c r="I2535" s="27" t="n">
        <f aca="false">(Sens!I2514+Sens!I2519+Sens!I2520+Sens!I2522+Sens!I2524-Sens!I2526)+(Sens!I2527+Sens!I2529+Sens!I2531-Sens!I2533)</f>
        <v>0</v>
      </c>
      <c r="J2535" s="27" t="n">
        <f aca="false">(Sens!J2514+Sens!J2519+Sens!J2520+Sens!J2522+Sens!J2524-Sens!J2526)+(Sens!J2527+Sens!J2529+Sens!J2531-Sens!J2533)</f>
        <v>0</v>
      </c>
      <c r="K2535" s="27" t="n">
        <f aca="false">(Sens!K2514+Sens!K2519+Sens!K2520+Sens!K2522+Sens!K2524-Sens!K2526)+(Sens!K2527+Sens!K2529+Sens!K2531-Sens!K2533)</f>
        <v>0</v>
      </c>
    </row>
    <row r="2536" customFormat="false" ht="17.15" hidden="false" customHeight="false" outlineLevel="0" collapsed="false">
      <c r="A2536" s="3" t="s">
        <v>1542</v>
      </c>
    </row>
    <row r="2537" customFormat="false" ht="15" hidden="false" customHeight="false" outlineLevel="0" collapsed="false">
      <c r="A2537" s="4" t="s">
        <v>43</v>
      </c>
      <c r="B2537" s="4" t="s">
        <v>65</v>
      </c>
      <c r="C2537" s="23" t="s">
        <v>938</v>
      </c>
      <c r="D2537" s="23" t="s">
        <v>939</v>
      </c>
      <c r="E2537" s="23" t="s">
        <v>940</v>
      </c>
      <c r="F2537" s="23" t="s">
        <v>941</v>
      </c>
      <c r="G2537" s="23" t="s">
        <v>942</v>
      </c>
      <c r="H2537" s="23" t="s">
        <v>943</v>
      </c>
      <c r="I2537" s="23" t="s">
        <v>944</v>
      </c>
      <c r="J2537" s="23" t="s">
        <v>945</v>
      </c>
      <c r="K2537" s="23" t="s">
        <v>946</v>
      </c>
      <c r="L2537" s="4" t="s">
        <v>47</v>
      </c>
    </row>
    <row r="2538" customFormat="false" ht="15" hidden="false" customHeight="false" outlineLevel="0" collapsed="false">
      <c r="A2538" s="0" t="s">
        <v>1025</v>
      </c>
      <c r="B2538" s="0" t="s">
        <v>98</v>
      </c>
      <c r="D2538" s="6" t="n">
        <f aca="false">Sens!D2514</f>
        <v>72.61</v>
      </c>
      <c r="E2538" s="6" t="n">
        <f aca="false">Sens!E2514</f>
        <v>101.938</v>
      </c>
      <c r="F2538" s="6" t="n">
        <f aca="false">Sens!F2514</f>
        <v>149.59001837225</v>
      </c>
      <c r="G2538" s="6" t="n">
        <f aca="false">Sens!G2514</f>
        <v>210.963087346352</v>
      </c>
      <c r="H2538" s="6" t="n">
        <f aca="false">Sens!H2514</f>
        <v>278.649709314524</v>
      </c>
      <c r="I2538" s="6" t="n">
        <f aca="false">Sens!I2514</f>
        <v>334.269404582332</v>
      </c>
      <c r="J2538" s="6" t="n">
        <f aca="false">Sens!J2514</f>
        <v>376.517293063672</v>
      </c>
      <c r="K2538" s="6" t="n">
        <f aca="false">Sens!K2514</f>
        <v>406.018092622804</v>
      </c>
    </row>
    <row r="2539" customFormat="false" ht="17.15" hidden="false" customHeight="false" outlineLevel="0" collapsed="false">
      <c r="A2539" s="0" t="s">
        <v>1021</v>
      </c>
      <c r="B2539" s="0" t="s">
        <v>98</v>
      </c>
      <c r="D2539" s="6" t="n">
        <f aca="false">Sens!D2511</f>
        <v>12.9359794422418</v>
      </c>
      <c r="E2539" s="6" t="n">
        <f aca="false">Sens!E2511</f>
        <v>27.8095064661409</v>
      </c>
      <c r="F2539" s="6" t="n">
        <f aca="false">Sens!F2511</f>
        <v>59.1034165651511</v>
      </c>
      <c r="G2539" s="6" t="n">
        <f aca="false">Sens!G2511</f>
        <v>103.451498789198</v>
      </c>
      <c r="H2539" s="6" t="n">
        <f aca="false">Sens!H2511</f>
        <v>153.816719989035</v>
      </c>
      <c r="I2539" s="6" t="n">
        <f aca="false">Sens!I2511</f>
        <v>192.699478690852</v>
      </c>
      <c r="J2539" s="6" t="n">
        <f aca="false">Sens!J2511</f>
        <v>219.794102584244</v>
      </c>
      <c r="K2539" s="6" t="n">
        <f aca="false">Sens!K2511</f>
        <v>236.757046905022</v>
      </c>
    </row>
    <row r="2540" customFormat="false" ht="17.15" hidden="false" customHeight="false" outlineLevel="0" collapsed="false">
      <c r="A2540" s="0" t="s">
        <v>1052</v>
      </c>
      <c r="B2540" s="0" t="s">
        <v>98</v>
      </c>
      <c r="D2540" s="6" t="n">
        <f aca="false">Sens!D2512</f>
        <v>59.6740205577583</v>
      </c>
      <c r="E2540" s="6" t="n">
        <f aca="false">Sens!E2512</f>
        <v>74.1284935338591</v>
      </c>
      <c r="F2540" s="6" t="n">
        <f aca="false">Sens!F2512</f>
        <v>90.4866018070994</v>
      </c>
      <c r="G2540" s="6" t="n">
        <f aca="false">Sens!G2512</f>
        <v>107.511588557154</v>
      </c>
      <c r="H2540" s="6" t="n">
        <f aca="false">Sens!H2512</f>
        <v>124.832989325489</v>
      </c>
      <c r="I2540" s="6" t="n">
        <f aca="false">Sens!I2512</f>
        <v>141.56992589148</v>
      </c>
      <c r="J2540" s="6" t="n">
        <f aca="false">Sens!J2512</f>
        <v>156.723190479428</v>
      </c>
      <c r="K2540" s="6" t="n">
        <f aca="false">Sens!K2512</f>
        <v>169.261045717783</v>
      </c>
    </row>
    <row r="2541" customFormat="false" ht="15" hidden="false" customHeight="false" outlineLevel="0" collapsed="false">
      <c r="A2541" s="0" t="s">
        <v>1032</v>
      </c>
      <c r="B2541" s="0" t="s">
        <v>98</v>
      </c>
      <c r="D2541" s="6" t="n">
        <f aca="false">Sens!D2519</f>
        <v>84.605</v>
      </c>
      <c r="E2541" s="6" t="n">
        <f aca="false">Sens!E2519</f>
        <v>100.299</v>
      </c>
      <c r="F2541" s="6" t="n">
        <f aca="false">Sens!F2519</f>
        <v>119.729653205718</v>
      </c>
      <c r="G2541" s="6" t="n">
        <f aca="false">Sens!G2519</f>
        <v>140.806092647576</v>
      </c>
      <c r="H2541" s="6" t="n">
        <f aca="false">Sens!H2519</f>
        <v>161.963437602768</v>
      </c>
      <c r="I2541" s="6" t="n">
        <f aca="false">Sens!I2519</f>
        <v>180.695354741933</v>
      </c>
      <c r="J2541" s="6" t="n">
        <f aca="false">Sens!J2519</f>
        <v>196.722117481571</v>
      </c>
      <c r="K2541" s="6" t="n">
        <f aca="false">Sens!K2519</f>
        <v>212.00016570528</v>
      </c>
    </row>
    <row r="2542" customFormat="false" ht="17.15" hidden="false" customHeight="false" outlineLevel="0" collapsed="false">
      <c r="A2542" s="0" t="s">
        <v>1053</v>
      </c>
      <c r="B2542" s="0" t="s">
        <v>98</v>
      </c>
      <c r="D2542" s="6" t="n">
        <f aca="false">Sens!D2517</f>
        <v>83.705</v>
      </c>
      <c r="E2542" s="6" t="n">
        <f aca="false">Sens!E2517</f>
        <v>95.049</v>
      </c>
      <c r="F2542" s="6" t="n">
        <f aca="false">Sens!F2517</f>
        <v>106.229653205718</v>
      </c>
      <c r="G2542" s="6" t="n">
        <f aca="false">Sens!G2517</f>
        <v>118.306092647576</v>
      </c>
      <c r="H2542" s="6" t="n">
        <f aca="false">Sens!H2517</f>
        <v>130.463437602768</v>
      </c>
      <c r="I2542" s="6" t="n">
        <f aca="false">Sens!I2517</f>
        <v>142.445354741933</v>
      </c>
      <c r="J2542" s="6" t="n">
        <f aca="false">Sens!J2517</f>
        <v>153.972117481571</v>
      </c>
      <c r="K2542" s="6" t="n">
        <f aca="false">Sens!K2517</f>
        <v>164.75016570528</v>
      </c>
    </row>
    <row r="2543" customFormat="false" ht="17.15" hidden="false" customHeight="false" outlineLevel="0" collapsed="false">
      <c r="A2543" s="0" t="s">
        <v>1054</v>
      </c>
      <c r="B2543" s="0" t="s">
        <v>98</v>
      </c>
      <c r="D2543" s="6" t="n">
        <f aca="false">Sens!D2516</f>
        <v>0.9</v>
      </c>
      <c r="E2543" s="6" t="n">
        <f aca="false">Sens!E2516</f>
        <v>5.25</v>
      </c>
      <c r="F2543" s="6" t="n">
        <f aca="false">Sens!F2516</f>
        <v>13.5</v>
      </c>
      <c r="G2543" s="6" t="n">
        <f aca="false">Sens!G2516</f>
        <v>22.5</v>
      </c>
      <c r="H2543" s="6" t="n">
        <f aca="false">Sens!H2516</f>
        <v>31.5</v>
      </c>
      <c r="I2543" s="6" t="n">
        <f aca="false">Sens!I2516</f>
        <v>38.25</v>
      </c>
      <c r="J2543" s="6" t="n">
        <f aca="false">Sens!J2516</f>
        <v>42.75</v>
      </c>
      <c r="K2543" s="6" t="n">
        <f aca="false">Sens!K2516</f>
        <v>47.25</v>
      </c>
    </row>
    <row r="2544" customFormat="false" ht="15" hidden="false" customHeight="false" outlineLevel="0" collapsed="false">
      <c r="A2544" s="0" t="s">
        <v>1033</v>
      </c>
      <c r="B2544" s="0" t="s">
        <v>98</v>
      </c>
      <c r="D2544" s="6" t="n">
        <f aca="false">Sens!D2520</f>
        <v>35.391</v>
      </c>
      <c r="E2544" s="6" t="n">
        <f aca="false">Sens!E2520</f>
        <v>37.285</v>
      </c>
      <c r="F2544" s="6" t="n">
        <f aca="false">Sens!F2520</f>
        <v>38.3851437782675</v>
      </c>
      <c r="G2544" s="6" t="n">
        <f aca="false">Sens!G2520</f>
        <v>40.0105353288615</v>
      </c>
      <c r="H2544" s="6" t="n">
        <f aca="false">Sens!H2520</f>
        <v>41.4812512033683</v>
      </c>
      <c r="I2544" s="6" t="n">
        <f aca="false">Sens!I2520</f>
        <v>42.7743107216329</v>
      </c>
      <c r="J2544" s="6" t="n">
        <f aca="false">Sens!J2520</f>
        <v>43.8687373064601</v>
      </c>
      <c r="K2544" s="6" t="n">
        <f aca="false">Sens!K2520</f>
        <v>44.7461120525893</v>
      </c>
    </row>
    <row r="2545" customFormat="false" ht="15" hidden="false" customHeight="false" outlineLevel="0" collapsed="false">
      <c r="A2545" s="0" t="s">
        <v>1035</v>
      </c>
      <c r="B2545" s="0" t="s">
        <v>98</v>
      </c>
      <c r="D2545" s="6" t="n">
        <f aca="false">Sens!D2522</f>
        <v>18.417</v>
      </c>
      <c r="E2545" s="6" t="n">
        <f aca="false">Sens!E2522</f>
        <v>20.345</v>
      </c>
      <c r="F2545" s="6" t="n">
        <f aca="false">Sens!F2522</f>
        <v>22.3161797133988</v>
      </c>
      <c r="G2545" s="6" t="n">
        <f aca="false">Sens!G2522</f>
        <v>24.3943499673233</v>
      </c>
      <c r="H2545" s="6" t="n">
        <f aca="false">Sens!H2522</f>
        <v>26.5250243109019</v>
      </c>
      <c r="I2545" s="6" t="n">
        <f aca="false">Sens!I2522</f>
        <v>28.6884573538181</v>
      </c>
      <c r="J2545" s="6" t="n">
        <f aca="false">Sens!J2522</f>
        <v>30.8624968052127</v>
      </c>
      <c r="K2545" s="6" t="n">
        <f aca="false">Sens!K2522</f>
        <v>33.0228715815776</v>
      </c>
    </row>
    <row r="2546" customFormat="false" ht="15" hidden="false" customHeight="false" outlineLevel="0" collapsed="false">
      <c r="A2546" s="0" t="s">
        <v>1036</v>
      </c>
      <c r="B2546" s="0" t="s">
        <v>98</v>
      </c>
      <c r="D2546" s="6" t="n">
        <f aca="false">Sens!D2524</f>
        <v>7.76</v>
      </c>
      <c r="E2546" s="6" t="n">
        <f aca="false">Sens!E2524</f>
        <v>8.26</v>
      </c>
      <c r="F2546" s="6" t="n">
        <f aca="false">Sens!F2524</f>
        <v>8.75372082474227</v>
      </c>
      <c r="G2546" s="6" t="n">
        <f aca="false">Sens!G2524</f>
        <v>9.33399324642364</v>
      </c>
      <c r="H2546" s="6" t="n">
        <f aca="false">Sens!H2524</f>
        <v>9.96139155535851</v>
      </c>
      <c r="I2546" s="6" t="n">
        <f aca="false">Sens!I2524</f>
        <v>10.6402039077391</v>
      </c>
      <c r="J2546" s="6" t="n">
        <f aca="false">Sens!J2524</f>
        <v>11.3751458271397</v>
      </c>
      <c r="K2546" s="6" t="n">
        <f aca="false">Sens!K2524</f>
        <v>12.1714060350394</v>
      </c>
    </row>
    <row r="2547" customFormat="false" ht="15" hidden="false" customHeight="false" outlineLevel="0" collapsed="false">
      <c r="A2547" s="0" t="s">
        <v>852</v>
      </c>
      <c r="B2547" s="0" t="s">
        <v>98</v>
      </c>
      <c r="D2547" s="6" t="n">
        <f aca="false">Sens!D2526</f>
        <v>218.783</v>
      </c>
      <c r="E2547" s="6" t="n">
        <f aca="false">Sens!E2526</f>
        <v>268.127</v>
      </c>
      <c r="F2547" s="6" t="n">
        <f aca="false">Sens!F2526</f>
        <v>338.774715894377</v>
      </c>
      <c r="G2547" s="6" t="n">
        <f aca="false">Sens!G2526</f>
        <v>425.508058536537</v>
      </c>
      <c r="H2547" s="6" t="n">
        <f aca="false">Sens!H2526</f>
        <v>518.580813986921</v>
      </c>
      <c r="I2547" s="6" t="n">
        <f aca="false">Sens!I2526</f>
        <v>597.067731307455</v>
      </c>
      <c r="J2547" s="6" t="n">
        <f aca="false">Sens!J2526</f>
        <v>659.345790484055</v>
      </c>
      <c r="K2547" s="6" t="n">
        <f aca="false">Sens!K2526</f>
        <v>707.958647997291</v>
      </c>
    </row>
    <row r="2548" customFormat="false" ht="15" hidden="false" customHeight="false" outlineLevel="0" collapsed="false">
      <c r="A2548" s="0" t="s">
        <v>1037</v>
      </c>
      <c r="B2548" s="0" t="s">
        <v>98</v>
      </c>
      <c r="D2548" s="6" t="n">
        <f aca="false">Sens!D2527</f>
        <v>22.171</v>
      </c>
      <c r="E2548" s="6" t="n">
        <f aca="false">Sens!E2527</f>
        <v>24.835</v>
      </c>
      <c r="F2548" s="6" t="n">
        <f aca="false">Sens!F2527</f>
        <v>27.5591895660247</v>
      </c>
      <c r="G2548" s="6" t="n">
        <f aca="false">Sens!G2527</f>
        <v>30.4098563144583</v>
      </c>
      <c r="H2548" s="6" t="n">
        <f aca="false">Sens!H2527</f>
        <v>33.3011792571777</v>
      </c>
      <c r="I2548" s="6" t="n">
        <f aca="false">Sens!I2527</f>
        <v>36.189023797112</v>
      </c>
      <c r="J2548" s="6" t="n">
        <f aca="false">Sens!J2527</f>
        <v>39.0247773769199</v>
      </c>
      <c r="K2548" s="6" t="n">
        <f aca="false">Sens!K2527</f>
        <v>41.7565117933043</v>
      </c>
    </row>
    <row r="2549" customFormat="false" ht="15" hidden="false" customHeight="false" outlineLevel="0" collapsed="false">
      <c r="A2549" s="0" t="s">
        <v>1038</v>
      </c>
      <c r="B2549" s="0" t="s">
        <v>98</v>
      </c>
      <c r="D2549" s="6" t="n">
        <f aca="false">Sens!D2529</f>
        <v>23.455</v>
      </c>
      <c r="E2549" s="6" t="n">
        <f aca="false">Sens!E2529</f>
        <v>21.79</v>
      </c>
      <c r="F2549" s="6" t="n">
        <f aca="false">Sens!F2529</f>
        <v>20.7520981041711</v>
      </c>
      <c r="G2549" s="6" t="n">
        <f aca="false">Sens!G2529</f>
        <v>19.9083593495882</v>
      </c>
      <c r="H2549" s="6" t="n">
        <f aca="false">Sens!H2529</f>
        <v>19.4008256265831</v>
      </c>
      <c r="I2549" s="6" t="n">
        <f aca="false">Sens!I2529</f>
        <v>19.200434522122</v>
      </c>
      <c r="J2549" s="6" t="n">
        <f aca="false">Sens!J2529</f>
        <v>19.2932782348507</v>
      </c>
      <c r="K2549" s="6" t="n">
        <f aca="false">Sens!K2529</f>
        <v>19.6791437995477</v>
      </c>
    </row>
    <row r="2550" customFormat="false" ht="15" hidden="false" customHeight="false" outlineLevel="0" collapsed="false">
      <c r="A2550" s="0" t="s">
        <v>1039</v>
      </c>
      <c r="B2550" s="0" t="s">
        <v>98</v>
      </c>
      <c r="D2550" s="6" t="n">
        <f aca="false">Sens!D2531</f>
        <v>17.315</v>
      </c>
      <c r="E2550" s="6" t="n">
        <f aca="false">Sens!E2531</f>
        <v>17.087</v>
      </c>
      <c r="F2550" s="6" t="n">
        <f aca="false">Sens!F2531</f>
        <v>15.9912273250553</v>
      </c>
      <c r="G2550" s="6" t="n">
        <f aca="false">Sens!G2531</f>
        <v>15.9574562664827</v>
      </c>
      <c r="H2550" s="6" t="n">
        <f aca="false">Sens!H2531</f>
        <v>16.0119687434196</v>
      </c>
      <c r="I2550" s="6" t="n">
        <f aca="false">Sens!I2531</f>
        <v>16.1551810001948</v>
      </c>
      <c r="J2550" s="6" t="n">
        <f aca="false">Sens!J2531</f>
        <v>16.3889793892005</v>
      </c>
      <c r="K2550" s="6" t="n">
        <f aca="false">Sens!K2531</f>
        <v>16.7167589769845</v>
      </c>
    </row>
    <row r="2551" customFormat="false" ht="15" hidden="false" customHeight="false" outlineLevel="0" collapsed="false">
      <c r="A2551" s="0" t="s">
        <v>866</v>
      </c>
      <c r="B2551" s="0" t="s">
        <v>98</v>
      </c>
      <c r="D2551" s="6" t="n">
        <f aca="false">Sens!D2533</f>
        <v>62.941</v>
      </c>
      <c r="E2551" s="6" t="n">
        <f aca="false">Sens!E2533</f>
        <v>63.712</v>
      </c>
      <c r="F2551" s="6" t="n">
        <f aca="false">Sens!F2533</f>
        <v>64.3025149952511</v>
      </c>
      <c r="G2551" s="6" t="n">
        <f aca="false">Sens!G2533</f>
        <v>66.2756719305292</v>
      </c>
      <c r="H2551" s="6" t="n">
        <f aca="false">Sens!H2533</f>
        <v>68.7139736271804</v>
      </c>
      <c r="I2551" s="6" t="n">
        <f aca="false">Sens!I2533</f>
        <v>71.5446393194289</v>
      </c>
      <c r="J2551" s="6" t="n">
        <f aca="false">Sens!J2533</f>
        <v>74.707035000971</v>
      </c>
      <c r="K2551" s="6" t="n">
        <f aca="false">Sens!K2533</f>
        <v>78.1524145698365</v>
      </c>
    </row>
    <row r="2552" customFormat="false" ht="15" hidden="false" customHeight="false" outlineLevel="0" collapsed="false">
      <c r="A2552" s="1" t="s">
        <v>1055</v>
      </c>
      <c r="B2552" s="0" t="s">
        <v>98</v>
      </c>
      <c r="D2552" s="6" t="n">
        <f aca="false">Sens!D2534</f>
        <v>281.724</v>
      </c>
      <c r="E2552" s="6" t="n">
        <f aca="false">Sens!E2534</f>
        <v>331.839</v>
      </c>
      <c r="F2552" s="6" t="n">
        <f aca="false">Sens!F2534</f>
        <v>403.077230889628</v>
      </c>
      <c r="G2552" s="6" t="n">
        <f aca="false">Sens!G2534</f>
        <v>491.783730467066</v>
      </c>
      <c r="H2552" s="6" t="n">
        <f aca="false">Sens!H2534</f>
        <v>587.294787614101</v>
      </c>
      <c r="I2552" s="6" t="n">
        <f aca="false">Sens!I2534</f>
        <v>668.612370626884</v>
      </c>
      <c r="J2552" s="6" t="n">
        <f aca="false">Sens!J2534</f>
        <v>734.052825485026</v>
      </c>
      <c r="K2552" s="6" t="n">
        <f aca="false">Sens!K2534</f>
        <v>786.111062567128</v>
      </c>
    </row>
    <row r="2553" customFormat="false" ht="15" hidden="false" customHeight="false" outlineLevel="0" collapsed="false">
      <c r="A2553" s="1" t="s">
        <v>1056</v>
      </c>
      <c r="B2553" s="0" t="s">
        <v>168</v>
      </c>
      <c r="E2553" s="7" t="n">
        <f aca="false">Sens!E2552/Sens!D2552-1</f>
        <v>0.177886867998467</v>
      </c>
      <c r="F2553" s="7" t="n">
        <f aca="false">Sens!F2552/Sens!E2552-1</f>
        <v>0.21467709006364</v>
      </c>
      <c r="G2553" s="7" t="n">
        <f aca="false">Sens!G2552/Sens!F2552-1</f>
        <v>0.220073208753704</v>
      </c>
      <c r="H2553" s="7" t="n">
        <f aca="false">Sens!H2552/Sens!G2552-1</f>
        <v>0.194213535808362</v>
      </c>
      <c r="I2553" s="7" t="n">
        <f aca="false">Sens!I2552/Sens!H2552-1</f>
        <v>0.13846127145643</v>
      </c>
      <c r="J2553" s="7" t="n">
        <f aca="false">Sens!J2552/Sens!I2552-1</f>
        <v>0.0978750285412546</v>
      </c>
      <c r="K2553" s="7" t="n">
        <f aca="false">Sens!K2552/Sens!J2552-1</f>
        <v>0.0709189247350204</v>
      </c>
    </row>
    <row r="2554" customFormat="false" ht="17.15" hidden="false" customHeight="false" outlineLevel="0" collapsed="false">
      <c r="A2554" s="26" t="s">
        <v>1057</v>
      </c>
      <c r="B2554" s="31" t="s">
        <v>98</v>
      </c>
      <c r="C2554" s="31"/>
      <c r="D2554" s="27" t="n">
        <f aca="false">(Sens!D2547+Sens!D2551-Sens!D2552)+(Sens!D2539+Sens!D2540-Sens!D2538)+(Sens!D2542+Sens!D2543-Sens!D2541)+(Sens!D2552-Q!L18)</f>
        <v>0</v>
      </c>
      <c r="E2554" s="27" t="n">
        <f aca="false">(Sens!E2547+Sens!E2551-Sens!E2552)+(Sens!E2539+Sens!E2540-Sens!E2538)+(Sens!E2542+Sens!E2543-Sens!E2541)+(Sens!E2552-Q!M18)</f>
        <v>0</v>
      </c>
      <c r="F2554" s="27" t="n">
        <f aca="false">(Sens!F2547+Sens!F2551-Sens!F2552)+(Sens!F2539+Sens!F2540-Sens!F2538)+(Sens!F2542+Sens!F2543-Sens!F2541)</f>
        <v>0</v>
      </c>
      <c r="G2554" s="27" t="n">
        <f aca="false">(Sens!G2547+Sens!G2551-Sens!G2552)+(Sens!G2539+Sens!G2540-Sens!G2538)+(Sens!G2542+Sens!G2543-Sens!G2541)</f>
        <v>0</v>
      </c>
      <c r="H2554" s="27" t="n">
        <f aca="false">(Sens!H2547+Sens!H2551-Sens!H2552)+(Sens!H2539+Sens!H2540-Sens!H2538)+(Sens!H2542+Sens!H2543-Sens!H2541)</f>
        <v>0</v>
      </c>
      <c r="I2554" s="27" t="n">
        <f aca="false">(Sens!I2547+Sens!I2551-Sens!I2552)+(Sens!I2539+Sens!I2540-Sens!I2538)+(Sens!I2542+Sens!I2543-Sens!I2541)</f>
        <v>0</v>
      </c>
      <c r="J2554" s="27" t="n">
        <f aca="false">(Sens!J2547+Sens!J2551-Sens!J2552)+(Sens!J2539+Sens!J2540-Sens!J2538)+(Sens!J2542+Sens!J2543-Sens!J2541)</f>
        <v>0</v>
      </c>
      <c r="K2554" s="27" t="n">
        <f aca="false">(Sens!K2547+Sens!K2551-Sens!K2552)+(Sens!K2539+Sens!K2540-Sens!K2538)+(Sens!K2542+Sens!K2543-Sens!K2541)</f>
        <v>0</v>
      </c>
    </row>
    <row r="2555" customFormat="false" ht="17.15" hidden="false" customHeight="false" outlineLevel="0" collapsed="false">
      <c r="A2555" s="0" t="s">
        <v>1058</v>
      </c>
      <c r="B2555" s="0" t="s">
        <v>168</v>
      </c>
      <c r="E2555" s="7" t="n">
        <f aca="false">(Q!M21+Sens!E2491+Sens!E2492+Sens!E2493+Sens!E2507-Sens!E2489)/(Q!M5-Sens!E2489)</f>
        <v>0.550623586919075</v>
      </c>
      <c r="F2555" s="7" t="n">
        <f aca="false">Sens!$E$2555+dm_seg</f>
        <v>0.550623586919075</v>
      </c>
      <c r="G2555" s="7" t="n">
        <f aca="false">Sens!$E$2555+dm_seg</f>
        <v>0.550623586919075</v>
      </c>
      <c r="H2555" s="7" t="n">
        <f aca="false">Sens!$E$2555+dm_seg</f>
        <v>0.550623586919075</v>
      </c>
      <c r="I2555" s="7" t="n">
        <f aca="false">Sens!$E$2555+dm_seg</f>
        <v>0.550623586919075</v>
      </c>
      <c r="J2555" s="7" t="n">
        <f aca="false">Sens!$E$2555+dm_seg</f>
        <v>0.550623586919075</v>
      </c>
      <c r="K2555" s="7" t="n">
        <f aca="false">Sens!$E$2555+dm_seg</f>
        <v>0.550623586919075</v>
      </c>
      <c r="L2555" s="12" t="s">
        <v>1059</v>
      </c>
    </row>
    <row r="2556" customFormat="false" ht="17.15" hidden="false" customHeight="false" outlineLevel="0" collapsed="false">
      <c r="A2556" s="0" t="s">
        <v>880</v>
      </c>
      <c r="B2556" s="0" t="s">
        <v>98</v>
      </c>
      <c r="D2556" s="6" t="n">
        <f aca="false">Q!L21</f>
        <v>110.814</v>
      </c>
      <c r="E2556" s="6" t="n">
        <f aca="false">Q!M21</f>
        <v>136.365</v>
      </c>
      <c r="F2556" s="6" t="n">
        <f aca="false">Q!$I$21+(Sens!F2555*(Sens!F2526-Sens!F2489)+Sens!F2489-(Sens!F2491+Sens!F2492+Sens!F2493)-Sens!F2507-Sens!F2590)*(Sens!F2526-Q!$I$5)/Sens!F2526</f>
        <v>166.462921549893</v>
      </c>
      <c r="G2556" s="6" t="n">
        <f aca="false">(Sens!G2555*(Sens!G2526-Sens!G2489)+Sens!G2489-(Sens!G2491+Sens!G2492+Sens!G2493)-Sens!G2507-Sens!G2590)</f>
        <v>199.758270103098</v>
      </c>
      <c r="H2556" s="6" t="n">
        <f aca="false">(Sens!H2555*(Sens!H2526-Sens!H2489)+Sens!H2489-(Sens!H2491+Sens!H2492+Sens!H2493)-Sens!H2507-Sens!H2590)</f>
        <v>241.546560047822</v>
      </c>
      <c r="I2556" s="6" t="n">
        <f aca="false">(Sens!I2555*(Sens!I2526-Sens!I2489)+Sens!I2489-(Sens!I2491+Sens!I2492+Sens!I2493)-Sens!I2507-Sens!I2590)</f>
        <v>274.00544743042</v>
      </c>
      <c r="J2556" s="6" t="n">
        <f aca="false">(Sens!J2555*(Sens!J2526-Sens!J2489)+Sens!J2489-(Sens!J2491+Sens!J2492+Sens!J2493)-Sens!J2507-Sens!J2590)</f>
        <v>300.77388544585</v>
      </c>
      <c r="K2556" s="6" t="n">
        <f aca="false">(Sens!K2555*(Sens!K2526-Sens!K2489)+Sens!K2489-(Sens!K2491+Sens!K2492+Sens!K2493)-Sens!K2507-Sens!K2590)</f>
        <v>323.342410485772</v>
      </c>
      <c r="L2556" s="1" t="s">
        <v>1060</v>
      </c>
    </row>
    <row r="2557" customFormat="false" ht="17.15" hidden="false" customHeight="false" outlineLevel="0" collapsed="false">
      <c r="A2557" s="0" t="s">
        <v>1061</v>
      </c>
      <c r="B2557" s="0" t="s">
        <v>168</v>
      </c>
      <c r="E2557" s="7" t="n">
        <f aca="false">Q!M22/Q!M12</f>
        <v>0.296207935710698</v>
      </c>
      <c r="F2557" s="7" t="n">
        <f aca="false">Sens!$E$2557+dm_seg</f>
        <v>0.296207935710698</v>
      </c>
      <c r="G2557" s="7" t="n">
        <f aca="false">Sens!$E$2557+dm_seg</f>
        <v>0.296207935710698</v>
      </c>
      <c r="H2557" s="7" t="n">
        <f aca="false">Sens!$E$2557+dm_seg</f>
        <v>0.296207935710698</v>
      </c>
      <c r="I2557" s="7" t="n">
        <f aca="false">Sens!$E$2557+dm_seg</f>
        <v>0.296207935710698</v>
      </c>
      <c r="J2557" s="7" t="n">
        <f aca="false">Sens!$E$2557+dm_seg</f>
        <v>0.296207935710698</v>
      </c>
      <c r="K2557" s="7" t="n">
        <f aca="false">Sens!$E$2557+dm_seg</f>
        <v>0.296207935710698</v>
      </c>
      <c r="L2557" s="12" t="s">
        <v>1062</v>
      </c>
    </row>
    <row r="2558" customFormat="false" ht="17.15" hidden="false" customHeight="false" outlineLevel="0" collapsed="false">
      <c r="A2558" s="0" t="s">
        <v>882</v>
      </c>
      <c r="B2558" s="0" t="s">
        <v>98</v>
      </c>
      <c r="D2558" s="6" t="n">
        <f aca="false">Q!L22</f>
        <v>17.714</v>
      </c>
      <c r="E2558" s="6" t="n">
        <f aca="false">Q!M22</f>
        <v>18.872</v>
      </c>
      <c r="F2558" s="6" t="n">
        <f aca="false">Q!$I$22+(Sens!F2533-Q!$I$12)*Sens!F2557</f>
        <v>19.8174315512051</v>
      </c>
      <c r="G2558" s="6" t="n">
        <f aca="false">Sens!G2533*Sens!G2557</f>
        <v>19.6313799703815</v>
      </c>
      <c r="H2558" s="6" t="n">
        <f aca="false">Sens!H2533*Sens!H2557</f>
        <v>20.3536242825865</v>
      </c>
      <c r="I2558" s="6" t="n">
        <f aca="false">Sens!I2533*Sens!I2557</f>
        <v>21.1920899239745</v>
      </c>
      <c r="J2558" s="6" t="n">
        <f aca="false">Sens!J2533*Sens!J2557</f>
        <v>22.1288166207045</v>
      </c>
      <c r="K2558" s="6" t="n">
        <f aca="false">Sens!K2533*Sens!K2557</f>
        <v>23.1493653905379</v>
      </c>
      <c r="L2558" s="12" t="s">
        <v>1063</v>
      </c>
    </row>
    <row r="2559" customFormat="false" ht="15" hidden="false" customHeight="false" outlineLevel="0" collapsed="false">
      <c r="A2559" s="1" t="s">
        <v>1064</v>
      </c>
      <c r="B2559" s="0" t="s">
        <v>98</v>
      </c>
      <c r="D2559" s="6" t="n">
        <f aca="false">Sens!D2556+Sens!D2558</f>
        <v>128.528</v>
      </c>
      <c r="E2559" s="6" t="n">
        <f aca="false">Sens!E2556+Sens!E2558</f>
        <v>155.237</v>
      </c>
      <c r="F2559" s="6" t="n">
        <f aca="false">Sens!F2556+Sens!F2558</f>
        <v>186.280353101098</v>
      </c>
      <c r="G2559" s="6" t="n">
        <f aca="false">Sens!G2556+Sens!G2558</f>
        <v>219.389650073479</v>
      </c>
      <c r="H2559" s="6" t="n">
        <f aca="false">Sens!H2556+Sens!H2558</f>
        <v>261.900184330408</v>
      </c>
      <c r="I2559" s="6" t="n">
        <f aca="false">Sens!I2556+Sens!I2558</f>
        <v>295.197537354394</v>
      </c>
      <c r="J2559" s="6" t="n">
        <f aca="false">Sens!J2556+Sens!J2558</f>
        <v>322.902702066554</v>
      </c>
      <c r="K2559" s="6" t="n">
        <f aca="false">Sens!K2556+Sens!K2558</f>
        <v>346.49177587631</v>
      </c>
    </row>
    <row r="2560" customFormat="false" ht="15" hidden="false" customHeight="false" outlineLevel="0" collapsed="false">
      <c r="A2560" s="26" t="s">
        <v>1065</v>
      </c>
      <c r="B2560" s="31" t="s">
        <v>98</v>
      </c>
      <c r="C2560" s="31"/>
      <c r="D2560" s="27" t="n">
        <f aca="false">Sens!D2559-Q!L23</f>
        <v>0</v>
      </c>
      <c r="E2560" s="27" t="n">
        <f aca="false">Sens!E2559-Q!M23</f>
        <v>0</v>
      </c>
      <c r="F2560" s="31"/>
      <c r="G2560" s="31"/>
      <c r="H2560" s="31"/>
      <c r="I2560" s="31"/>
      <c r="J2560" s="31"/>
      <c r="K2560" s="31"/>
    </row>
    <row r="2561" customFormat="false" ht="15" hidden="false" customHeight="false" outlineLevel="0" collapsed="false">
      <c r="A2561" s="1" t="s">
        <v>1066</v>
      </c>
      <c r="B2561" s="0" t="s">
        <v>168</v>
      </c>
      <c r="D2561" s="7" t="n">
        <f aca="false">Sens!D2559/Sens!D2552</f>
        <v>0.456219562408598</v>
      </c>
      <c r="E2561" s="7" t="n">
        <f aca="false">Sens!E2559/Sens!E2552</f>
        <v>0.467808184089272</v>
      </c>
      <c r="F2561" s="7" t="n">
        <f aca="false">Sens!F2559/Sens!F2552</f>
        <v>0.4621455612612</v>
      </c>
      <c r="G2561" s="7" t="n">
        <f aca="false">Sens!G2559/Sens!G2552</f>
        <v>0.446110020486274</v>
      </c>
      <c r="H2561" s="7" t="n">
        <f aca="false">Sens!H2559/Sens!H2552</f>
        <v>0.445943314760861</v>
      </c>
      <c r="I2561" s="7" t="n">
        <f aca="false">Sens!I2559/Sens!I2552</f>
        <v>0.441507740991421</v>
      </c>
      <c r="J2561" s="7" t="n">
        <f aca="false">Sens!J2559/Sens!J2552</f>
        <v>0.439890278813648</v>
      </c>
      <c r="K2561" s="7" t="n">
        <f aca="false">Sens!K2559/Sens!K2552</f>
        <v>0.440766950594494</v>
      </c>
    </row>
    <row r="2562" customFormat="false" ht="17.15" hidden="false" customHeight="false" outlineLevel="0" collapsed="false">
      <c r="A2562" s="1" t="s">
        <v>1067</v>
      </c>
      <c r="B2562" s="0" t="s">
        <v>98</v>
      </c>
      <c r="F2562" s="6" t="n">
        <f aca="false">Sens!F2577</f>
        <v>2.25425785294683</v>
      </c>
      <c r="G2562" s="6" t="n">
        <f aca="false">Sens!G2577</f>
        <v>6.77926553548493</v>
      </c>
      <c r="H2562" s="6" t="n">
        <f aca="false">Sens!H2577</f>
        <v>12.0408686927557</v>
      </c>
      <c r="I2562" s="6" t="n">
        <f aca="false">Sens!I2577</f>
        <v>17.3192726564212</v>
      </c>
      <c r="J2562" s="6" t="n">
        <f aca="false">Sens!J2577</f>
        <v>21.0868567662223</v>
      </c>
      <c r="K2562" s="6" t="n">
        <f aca="false">Sens!K2577</f>
        <v>22.4039793531564</v>
      </c>
      <c r="L2562" s="1" t="s">
        <v>1068</v>
      </c>
    </row>
    <row r="2563" customFormat="false" ht="17.15" hidden="false" customHeight="false" outlineLevel="0" collapsed="false">
      <c r="A2563" s="1" t="s">
        <v>1069</v>
      </c>
      <c r="B2563" s="0" t="s">
        <v>98</v>
      </c>
      <c r="D2563" s="6" t="n">
        <f aca="false">Sens!D2559</f>
        <v>128.528</v>
      </c>
      <c r="E2563" s="6" t="n">
        <f aca="false">Sens!E2559</f>
        <v>155.237</v>
      </c>
      <c r="F2563" s="6" t="n">
        <f aca="false">Sens!F2559+Sens!F2562</f>
        <v>188.534610954044</v>
      </c>
      <c r="G2563" s="6" t="n">
        <f aca="false">Sens!G2559+Sens!G2562</f>
        <v>226.168915608964</v>
      </c>
      <c r="H2563" s="6" t="n">
        <f aca="false">Sens!H2559+Sens!H2562</f>
        <v>273.941053023164</v>
      </c>
      <c r="I2563" s="6" t="n">
        <f aca="false">Sens!I2559+Sens!I2562</f>
        <v>312.516810010816</v>
      </c>
      <c r="J2563" s="6" t="n">
        <f aca="false">Sens!J2559+Sens!J2562</f>
        <v>343.989558832777</v>
      </c>
      <c r="K2563" s="6" t="n">
        <f aca="false">Sens!K2559+Sens!K2562</f>
        <v>368.895755229467</v>
      </c>
    </row>
    <row r="2564" customFormat="false" ht="17.15" hidden="false" customHeight="false" outlineLevel="0" collapsed="false">
      <c r="A2564" s="1" t="s">
        <v>1070</v>
      </c>
      <c r="B2564" s="0" t="s">
        <v>98</v>
      </c>
      <c r="E2564" s="6" t="n">
        <f aca="false">Sens!E2507</f>
        <v>13.0443247816667</v>
      </c>
      <c r="F2564" s="6" t="n">
        <f aca="false">Sens!F2507</f>
        <v>27.6634515826813</v>
      </c>
      <c r="G2564" s="6" t="n">
        <f aca="false">Sens!G2507</f>
        <v>48.5875925218392</v>
      </c>
      <c r="H2564" s="6" t="n">
        <f aca="false">Sens!H2507</f>
        <v>71.2800725291565</v>
      </c>
      <c r="I2564" s="6" t="n">
        <f aca="false">Sens!I2507</f>
        <v>91.3848077556387</v>
      </c>
      <c r="J2564" s="6" t="n">
        <f aca="false">Sens!J2507</f>
        <v>105.612538439677</v>
      </c>
      <c r="K2564" s="6" t="n">
        <f aca="false">Sens!K2507</f>
        <v>114.410135640747</v>
      </c>
    </row>
    <row r="2565" customFormat="false" ht="17.15" hidden="false" customHeight="false" outlineLevel="0" collapsed="false">
      <c r="A2565" s="1" t="s">
        <v>1071</v>
      </c>
      <c r="B2565" s="0" t="s">
        <v>98</v>
      </c>
      <c r="E2565" s="6" t="n">
        <f aca="false">Sens!E2589</f>
        <v>25.4896752183333</v>
      </c>
      <c r="F2565" s="6" t="n">
        <f aca="false">Sens!F2589</f>
        <v>29.8843953731304</v>
      </c>
      <c r="G2565" s="6" t="n">
        <f aca="false">Sens!G2589</f>
        <v>31.0537876175266</v>
      </c>
      <c r="H2565" s="6" t="n">
        <f aca="false">Sens!H2589</f>
        <v>32.7027454172168</v>
      </c>
      <c r="I2565" s="6" t="n">
        <f aca="false">Sens!I2589</f>
        <v>34.748593905439</v>
      </c>
      <c r="J2565" s="6" t="n">
        <f aca="false">Sens!J2589</f>
        <v>37.0935901789615</v>
      </c>
      <c r="K2565" s="6" t="n">
        <f aca="false">Sens!K2589</f>
        <v>39.6481571473381</v>
      </c>
    </row>
    <row r="2566" customFormat="false" ht="17.15" hidden="false" customHeight="false" outlineLevel="0" collapsed="false">
      <c r="A2566" s="1" t="s">
        <v>1072</v>
      </c>
      <c r="B2566" s="0" t="s">
        <v>98</v>
      </c>
      <c r="D2566" s="6" t="n">
        <f aca="false">Q!L27</f>
        <v>-4.901</v>
      </c>
      <c r="E2566" s="6" t="n">
        <f aca="false">Q!M27</f>
        <v>10.697</v>
      </c>
      <c r="F2566" s="6" t="n">
        <f aca="false">Q!$I$27+oie_f*(q_per_yr-1)/q_per_yr</f>
        <v>-0.862</v>
      </c>
      <c r="G2566" s="6" t="n">
        <f aca="false">oie_f</f>
        <v>-1.2</v>
      </c>
      <c r="H2566" s="6" t="n">
        <f aca="false">oie_f</f>
        <v>-1.2</v>
      </c>
      <c r="I2566" s="6" t="n">
        <f aca="false">oie_f</f>
        <v>-1.2</v>
      </c>
      <c r="J2566" s="6" t="n">
        <f aca="false">oie_f</f>
        <v>-1.2</v>
      </c>
      <c r="K2566" s="6" t="n">
        <f aca="false">oie_f</f>
        <v>-1.2</v>
      </c>
      <c r="L2566" s="12" t="s">
        <v>1073</v>
      </c>
    </row>
    <row r="2567" customFormat="false" ht="15" hidden="false" customHeight="false" outlineLevel="0" collapsed="false">
      <c r="A2567" s="1" t="s">
        <v>1074</v>
      </c>
      <c r="B2567" s="0" t="s">
        <v>98</v>
      </c>
      <c r="D2567" s="6" t="n">
        <f aca="false">Sens!D2559+Sens!D2566</f>
        <v>123.627</v>
      </c>
      <c r="E2567" s="6" t="n">
        <f aca="false">Sens!E2559+Sens!E2566</f>
        <v>165.934</v>
      </c>
      <c r="F2567" s="6" t="n">
        <f aca="false">Sens!F2559+Sens!F2566</f>
        <v>185.418353101098</v>
      </c>
      <c r="G2567" s="6" t="n">
        <f aca="false">Sens!G2559+Sens!G2566</f>
        <v>218.189650073479</v>
      </c>
      <c r="H2567" s="6" t="n">
        <f aca="false">Sens!H2559+Sens!H2566</f>
        <v>260.700184330408</v>
      </c>
      <c r="I2567" s="6" t="n">
        <f aca="false">Sens!I2559+Sens!I2566</f>
        <v>293.997537354394</v>
      </c>
      <c r="J2567" s="6" t="n">
        <f aca="false">Sens!J2559+Sens!J2566</f>
        <v>321.702702066554</v>
      </c>
      <c r="K2567" s="6" t="n">
        <f aca="false">Sens!K2559+Sens!K2566</f>
        <v>345.29177587631</v>
      </c>
    </row>
    <row r="2568" customFormat="false" ht="15" hidden="false" customHeight="false" outlineLevel="0" collapsed="false">
      <c r="A2568" s="1" t="s">
        <v>1075</v>
      </c>
      <c r="B2568" s="0" t="s">
        <v>98</v>
      </c>
      <c r="D2568" s="6" t="n">
        <f aca="false">Q!L29</f>
        <v>21.795</v>
      </c>
      <c r="E2568" s="6" t="n">
        <f aca="false">Q!M29</f>
        <v>32.185</v>
      </c>
      <c r="F2568" s="6" t="n">
        <f aca="false">Q!$I$29+(Sens!F2567-Q!$I$28)*tax_f</f>
        <v>37.2170706202195</v>
      </c>
      <c r="G2568" s="6" t="n">
        <f aca="false">Sens!G2567*tax_f</f>
        <v>43.6379300146958</v>
      </c>
      <c r="H2568" s="6" t="n">
        <f aca="false">Sens!H2567*tax_f</f>
        <v>52.1400368660816</v>
      </c>
      <c r="I2568" s="6" t="n">
        <f aca="false">Sens!I2567*tax_f</f>
        <v>58.7995074708789</v>
      </c>
      <c r="J2568" s="6" t="n">
        <f aca="false">Sens!J2567*tax_f</f>
        <v>64.3405404133109</v>
      </c>
      <c r="K2568" s="6" t="n">
        <f aca="false">Sens!K2567*tax_f</f>
        <v>69.0583551752621</v>
      </c>
    </row>
    <row r="2569" customFormat="false" ht="15" hidden="false" customHeight="false" outlineLevel="0" collapsed="false">
      <c r="A2569" s="1" t="s">
        <v>1076</v>
      </c>
      <c r="B2569" s="0" t="s">
        <v>98</v>
      </c>
      <c r="D2569" s="6" t="n">
        <f aca="false">Sens!D2567-Sens!D2568</f>
        <v>101.832</v>
      </c>
      <c r="E2569" s="6" t="n">
        <f aca="false">Sens!E2567-Sens!E2568</f>
        <v>133.749</v>
      </c>
      <c r="F2569" s="6" t="n">
        <f aca="false">Sens!F2567-Sens!F2568</f>
        <v>148.201282480878</v>
      </c>
      <c r="G2569" s="6" t="n">
        <f aca="false">Sens!G2567-Sens!G2568</f>
        <v>174.551720058783</v>
      </c>
      <c r="H2569" s="6" t="n">
        <f aca="false">Sens!H2567-Sens!H2568</f>
        <v>208.560147464326</v>
      </c>
      <c r="I2569" s="6" t="n">
        <f aca="false">Sens!I2567-Sens!I2568</f>
        <v>235.198029883516</v>
      </c>
      <c r="J2569" s="6" t="n">
        <f aca="false">Sens!J2567-Sens!J2568</f>
        <v>257.362161653244</v>
      </c>
      <c r="K2569" s="6" t="n">
        <f aca="false">Sens!K2567-Sens!K2568</f>
        <v>276.233420701048</v>
      </c>
    </row>
    <row r="2570" customFormat="false" ht="17.15" hidden="false" customHeight="false" outlineLevel="0" collapsed="false">
      <c r="A2570" s="1" t="s">
        <v>1077</v>
      </c>
      <c r="B2570" s="1" t="s">
        <v>81</v>
      </c>
      <c r="D2570" s="15" t="n">
        <f aca="false">Q!L31</f>
        <v>7.465</v>
      </c>
      <c r="E2570" s="15" t="n">
        <f aca="false">Q!M31</f>
        <v>7.453</v>
      </c>
      <c r="F2570" s="15" t="n">
        <f aca="false">Sens!F2614</f>
        <v>7.47050278335092</v>
      </c>
      <c r="G2570" s="15" t="n">
        <f aca="false">Sens!G2614</f>
        <v>7.49382150085294</v>
      </c>
      <c r="H2570" s="15" t="n">
        <f aca="false">Sens!H2614</f>
        <v>7.50283737403285</v>
      </c>
      <c r="I2570" s="15" t="n">
        <f aca="false">Sens!I2614</f>
        <v>7.51451873808832</v>
      </c>
      <c r="J2570" s="15" t="n">
        <f aca="false">Sens!J2614</f>
        <v>7.52866814925079</v>
      </c>
      <c r="K2570" s="15" t="n">
        <f aca="false">Sens!K2614</f>
        <v>7.54510278921604</v>
      </c>
    </row>
    <row r="2571" customFormat="false" ht="17.15" hidden="false" customHeight="false" outlineLevel="0" collapsed="false">
      <c r="A2571" s="0" t="s">
        <v>1078</v>
      </c>
      <c r="B2571" s="0" t="s">
        <v>75</v>
      </c>
      <c r="D2571" s="8" t="n">
        <f aca="false">Sens!D2569/Sens!D2570</f>
        <v>13.641259209645</v>
      </c>
      <c r="E2571" s="8" t="n">
        <f aca="false">Sens!E2569/Sens!E2570</f>
        <v>17.9456594659869</v>
      </c>
      <c r="F2571" s="8" t="n">
        <f aca="false">Sens!F2569/Sens!F2570</f>
        <v>19.8381938644298</v>
      </c>
      <c r="G2571" s="8" t="n">
        <f aca="false">Sens!G2569/Sens!G2570</f>
        <v>23.2927512403272</v>
      </c>
      <c r="H2571" s="8" t="n">
        <f aca="false">Sens!H2569/Sens!H2570</f>
        <v>27.7975034066643</v>
      </c>
      <c r="I2571" s="8" t="n">
        <f aca="false">Sens!I2569/Sens!I2570</f>
        <v>31.2991474346033</v>
      </c>
      <c r="J2571" s="8" t="n">
        <f aca="false">Sens!J2569/Sens!J2570</f>
        <v>34.1842881836749</v>
      </c>
      <c r="K2571" s="8" t="n">
        <f aca="false">Sens!K2569/Sens!K2570</f>
        <v>36.6109552670189</v>
      </c>
      <c r="L2571" s="1" t="s">
        <v>1079</v>
      </c>
    </row>
    <row r="2572" customFormat="false" ht="17.15" hidden="false" customHeight="false" outlineLevel="0" collapsed="false">
      <c r="A2572" s="1" t="s">
        <v>1080</v>
      </c>
      <c r="B2572" s="0" t="s">
        <v>98</v>
      </c>
      <c r="D2572" s="6" t="n">
        <f aca="false">Sens!D2569</f>
        <v>101.832</v>
      </c>
      <c r="E2572" s="6" t="n">
        <f aca="false">Sens!E2569</f>
        <v>133.749</v>
      </c>
      <c r="F2572" s="6" t="n">
        <f aca="false">Sens!F2569+Sens!F2562*(1-tax_f)</f>
        <v>150.004688763236</v>
      </c>
      <c r="G2572" s="6" t="n">
        <f aca="false">Sens!G2569+Sens!G2562*(1-tax_f)</f>
        <v>179.975132487171</v>
      </c>
      <c r="H2572" s="6" t="n">
        <f aca="false">Sens!H2569+Sens!H2562*(1-tax_f)</f>
        <v>218.192842418531</v>
      </c>
      <c r="I2572" s="6" t="n">
        <f aca="false">Sens!I2569+Sens!I2562*(1-tax_f)</f>
        <v>249.053448008652</v>
      </c>
      <c r="J2572" s="6" t="n">
        <f aca="false">Sens!J2569+Sens!J2562*(1-tax_f)</f>
        <v>274.231647066221</v>
      </c>
      <c r="K2572" s="6" t="n">
        <f aca="false">Sens!K2569+Sens!K2562*(1-tax_f)</f>
        <v>294.156604183573</v>
      </c>
    </row>
    <row r="2573" customFormat="false" ht="17.15" hidden="false" customHeight="false" outlineLevel="0" collapsed="false">
      <c r="A2573" s="0" t="s">
        <v>1081</v>
      </c>
      <c r="B2573" s="0" t="s">
        <v>75</v>
      </c>
      <c r="D2573" s="8" t="n">
        <f aca="false">Sens!D2572/Sens!D2570</f>
        <v>13.641259209645</v>
      </c>
      <c r="E2573" s="8" t="n">
        <f aca="false">Sens!E2572/Sens!E2570</f>
        <v>17.9456594659869</v>
      </c>
      <c r="F2573" s="8" t="n">
        <f aca="false">Sens!F2572/Sens!F2570</f>
        <v>20.0795974666581</v>
      </c>
      <c r="G2573" s="8" t="n">
        <f aca="false">Sens!G2572/Sens!G2570</f>
        <v>24.0164690961329</v>
      </c>
      <c r="H2573" s="8" t="n">
        <f aca="false">Sens!H2572/Sens!H2570</f>
        <v>29.0813770232701</v>
      </c>
      <c r="I2573" s="8" t="n">
        <f aca="false">Sens!I2572/Sens!I2570</f>
        <v>33.1429671931341</v>
      </c>
      <c r="J2573" s="8" t="n">
        <f aca="false">Sens!J2572/Sens!J2570</f>
        <v>36.4249880097998</v>
      </c>
      <c r="K2573" s="8" t="n">
        <f aca="false">Sens!K2572/Sens!K2570</f>
        <v>38.9864276738551</v>
      </c>
      <c r="L2573" s="1" t="s">
        <v>1082</v>
      </c>
    </row>
    <row r="2574" customFormat="false" ht="17.15" hidden="false" customHeight="false" outlineLevel="0" collapsed="false">
      <c r="A2574" s="0" t="s">
        <v>1083</v>
      </c>
      <c r="B2574" s="0" t="s">
        <v>168</v>
      </c>
      <c r="E2574" s="7" t="n">
        <f aca="false">Sens!E2573/Sens!D2573-1</f>
        <v>0.315542736208578</v>
      </c>
      <c r="F2574" s="7" t="n">
        <f aca="false">Sens!F2573/Sens!E2573-1</f>
        <v>0.1189110940568</v>
      </c>
      <c r="G2574" s="7" t="n">
        <f aca="false">Sens!G2573/Sens!F2573-1</f>
        <v>0.196063274476091</v>
      </c>
      <c r="H2574" s="7" t="n">
        <f aca="false">Sens!H2573/Sens!G2573-1</f>
        <v>0.210893112841167</v>
      </c>
      <c r="I2574" s="7" t="n">
        <f aca="false">Sens!I2573/Sens!H2573-1</f>
        <v>0.139662924716874</v>
      </c>
      <c r="J2574" s="7" t="n">
        <f aca="false">Sens!J2573/Sens!I2573-1</f>
        <v>0.0990261613433809</v>
      </c>
      <c r="K2574" s="7" t="n">
        <f aca="false">Sens!K2573/Sens!J2573-1</f>
        <v>0.0703209473498296</v>
      </c>
    </row>
    <row r="2575" customFormat="false" ht="17.15" hidden="false" customHeight="false" outlineLevel="0" collapsed="false">
      <c r="A2575" s="0" t="s">
        <v>1003</v>
      </c>
      <c r="B2575" s="0" t="s">
        <v>98</v>
      </c>
      <c r="E2575" s="6" t="n">
        <f aca="false">Sens!E2516</f>
        <v>5.25</v>
      </c>
      <c r="F2575" s="6" t="n">
        <f aca="false">Sens!F2516</f>
        <v>13.5</v>
      </c>
      <c r="G2575" s="6" t="n">
        <f aca="false">Sens!G2516</f>
        <v>22.5</v>
      </c>
      <c r="H2575" s="6" t="n">
        <f aca="false">Sens!H2516</f>
        <v>31.5</v>
      </c>
      <c r="I2575" s="6" t="n">
        <f aca="false">Sens!I2516</f>
        <v>38.25</v>
      </c>
      <c r="J2575" s="6" t="n">
        <f aca="false">Sens!J2516</f>
        <v>42.75</v>
      </c>
      <c r="K2575" s="6" t="n">
        <f aca="false">Sens!K2516</f>
        <v>47.25</v>
      </c>
    </row>
    <row r="2576" customFormat="false" ht="17.15" hidden="false" customHeight="false" outlineLevel="0" collapsed="false">
      <c r="A2576" s="1" t="s">
        <v>1004</v>
      </c>
      <c r="B2576" s="0" t="s">
        <v>98</v>
      </c>
      <c r="F2576" s="6" t="n">
        <f aca="false">MAX(0,((Sens!E2476+Sens!F2476)/2-(shadow_base*(Sens!$D$2476+Sens!$E$2476)/2+(1-shadow_base)*Sens!$E$2476))*Sens!F2485/1000-(Sens!F2575-Sens!$E$2575)*Sens!F2555)</f>
        <v>2.25425785294683</v>
      </c>
      <c r="G2576" s="6" t="n">
        <f aca="false">MAX(0,((Sens!F2476+Sens!G2476)/2-(shadow_base*(Sens!$D$2476+Sens!$E$2476)/2+(1-shadow_base)*Sens!$E$2476))*Sens!G2485/1000-(Sens!G2575-Sens!$E$2575)*Sens!G2555)</f>
        <v>6.77926553548493</v>
      </c>
      <c r="H2576" s="6" t="n">
        <f aca="false">MAX(0,((Sens!G2476+Sens!H2476)/2-(shadow_base*(Sens!$D$2476+Sens!$E$2476)/2+(1-shadow_base)*Sens!$E$2476))*Sens!H2485/1000-(Sens!H2575-Sens!$E$2575)*Sens!H2555)</f>
        <v>12.0408686927557</v>
      </c>
      <c r="I2576" s="6" t="n">
        <f aca="false">MAX(0,((Sens!H2476+Sens!I2476)/2-(shadow_base*(Sens!$D$2476+Sens!$E$2476)/2+(1-shadow_base)*Sens!$E$2476))*Sens!I2485/1000-(Sens!I2575-Sens!$E$2575)*Sens!I2555)</f>
        <v>17.3192726564212</v>
      </c>
      <c r="J2576" s="6" t="n">
        <f aca="false">MAX(0,((Sens!I2476+Sens!J2476)/2-(shadow_base*(Sens!$D$2476+Sens!$E$2476)/2+(1-shadow_base)*Sens!$E$2476))*Sens!J2485/1000-(Sens!J2575-Sens!$E$2575)*Sens!J2555)</f>
        <v>21.0868567662223</v>
      </c>
      <c r="K2576" s="6" t="n">
        <f aca="false">MAX(0,((Sens!J2476+Sens!K2476)/2-(shadow_base*(Sens!$D$2476+Sens!$E$2476)/2+(1-shadow_base)*Sens!$E$2476))*Sens!K2485/1000-(Sens!K2575-Sens!$E$2575)*Sens!K2555)</f>
        <v>22.4039793531564</v>
      </c>
      <c r="L2576" s="1" t="s">
        <v>1005</v>
      </c>
    </row>
    <row r="2577" customFormat="false" ht="17.15" hidden="false" customHeight="false" outlineLevel="0" collapsed="false">
      <c r="A2577" s="1" t="s">
        <v>1006</v>
      </c>
      <c r="B2577" s="0" t="s">
        <v>98</v>
      </c>
      <c r="F2577" s="6" t="n">
        <f aca="false">IF(internal_ai_reading=2,1,0)*Sens!F2576</f>
        <v>2.25425785294683</v>
      </c>
      <c r="G2577" s="6" t="n">
        <f aca="false">IF(internal_ai_reading=2,1,0)*Sens!G2576</f>
        <v>6.77926553548493</v>
      </c>
      <c r="H2577" s="6" t="n">
        <f aca="false">IF(internal_ai_reading=2,1,0)*Sens!H2576</f>
        <v>12.0408686927557</v>
      </c>
      <c r="I2577" s="6" t="n">
        <f aca="false">IF(internal_ai_reading=2,1,0)*Sens!I2576</f>
        <v>17.3192726564212</v>
      </c>
      <c r="J2577" s="6" t="n">
        <f aca="false">IF(internal_ai_reading=2,1,0)*Sens!J2576</f>
        <v>21.0868567662223</v>
      </c>
      <c r="K2577" s="6" t="n">
        <f aca="false">IF(internal_ai_reading=2,1,0)*Sens!K2576</f>
        <v>22.4039793531564</v>
      </c>
    </row>
    <row r="2578" customFormat="false" ht="17.15" hidden="false" customHeight="false" outlineLevel="0" collapsed="false">
      <c r="A2578" s="0" t="s">
        <v>1007</v>
      </c>
      <c r="B2578" s="0" t="s">
        <v>98</v>
      </c>
      <c r="F2578" s="6" t="n">
        <f aca="false">Sens!F2495+Sens!F2575*Sens!F2555+Sens!F2577-Sens!F2496-Sens!F2507</f>
        <v>21.8797550558744</v>
      </c>
      <c r="G2578" s="6" t="n">
        <f aca="false">Sens!G2495+Sens!G2575*Sens!G2555+Sens!G2577-Sens!G2496-Sens!G2507</f>
        <v>44.631080468196</v>
      </c>
      <c r="H2578" s="6" t="n">
        <f aca="false">Sens!H2495+Sens!H2575*Sens!H2555+Sens!H2577-Sens!H2496-Sens!H2507</f>
        <v>72.8171649306737</v>
      </c>
      <c r="I2578" s="6" t="n">
        <f aca="false">Sens!I2495+Sens!I2575*Sens!I2555+Sens!I2577-Sens!I2496-Sens!I2507</f>
        <v>92.1909009112366</v>
      </c>
      <c r="J2578" s="6" t="n">
        <f aca="false">Sens!J2495+Sens!J2575*Sens!J2555+Sens!J2577-Sens!J2496-Sens!J2507</f>
        <v>105.585947210159</v>
      </c>
      <c r="K2578" s="6" t="n">
        <f aca="false">Sens!K2495+Sens!K2575*Sens!K2555+Sens!K2577-Sens!K2496-Sens!K2507</f>
        <v>114.30085488194</v>
      </c>
    </row>
    <row r="2579" customFormat="false" ht="17.15" hidden="false" customHeight="false" outlineLevel="0" collapsed="false">
      <c r="A2579" s="0" t="s">
        <v>1008</v>
      </c>
      <c r="B2579" s="0" t="s">
        <v>98</v>
      </c>
      <c r="E2579" s="6" t="n">
        <f aca="false">Sens!E2475*(cxit_open+self_build*tk_cxfac)/1000*ai_net_open</f>
        <v>101.35843056</v>
      </c>
      <c r="F2579" s="6" t="n">
        <f aca="false">Sens!E2579+Sens!F2504-Sens!F2507</f>
        <v>208.458102211014</v>
      </c>
      <c r="G2579" s="6" t="n">
        <f aca="false">Sens!F2579+Sens!G2504-Sens!G2507</f>
        <v>313.426090208414</v>
      </c>
      <c r="H2579" s="6" t="n">
        <f aca="false">Sens!G2579+Sens!H2504-Sens!H2507</f>
        <v>399.590820930867</v>
      </c>
      <c r="I2579" s="6" t="n">
        <f aca="false">Sens!H2579+Sens!I2504-Sens!I2507</f>
        <v>443.097880072517</v>
      </c>
      <c r="J2579" s="6" t="n">
        <f aca="false">Sens!I2579+Sens!J2504-Sens!J2507</f>
        <v>440.629286589592</v>
      </c>
      <c r="K2579" s="6" t="n">
        <f aca="false">Sens!J2579+Sens!K2504-Sens!K2507</f>
        <v>421.389433400631</v>
      </c>
      <c r="L2579" s="1" t="s">
        <v>1009</v>
      </c>
    </row>
    <row r="2580" customFormat="false" ht="17.15" hidden="false" customHeight="false" outlineLevel="0" collapsed="false">
      <c r="A2580" s="0" t="s">
        <v>1010</v>
      </c>
      <c r="B2580" s="0" t="s">
        <v>168</v>
      </c>
      <c r="F2580" s="7" t="n">
        <f aca="false">Sens!F2578*(1-tax_f)/((Sens!E2579+Sens!F2579)/2)</f>
        <v>0.112994641623186</v>
      </c>
      <c r="G2580" s="7" t="n">
        <f aca="false">Sens!G2578*(1-tax_f)/((Sens!F2579+Sens!G2579)/2)</f>
        <v>0.136830603008039</v>
      </c>
      <c r="H2580" s="7" t="n">
        <f aca="false">Sens!H2578*(1-tax_f)/((Sens!G2579+Sens!H2579)/2)</f>
        <v>0.163400702099644</v>
      </c>
      <c r="I2580" s="7" t="n">
        <f aca="false">Sens!I2578*(1-tax_f)/((Sens!H2579+Sens!I2579)/2)</f>
        <v>0.175041437344947</v>
      </c>
      <c r="J2580" s="7" t="n">
        <f aca="false">Sens!J2578*(1-tax_f)/((Sens!I2579+Sens!J2579)/2)</f>
        <v>0.191164786949281</v>
      </c>
      <c r="K2580" s="7" t="n">
        <f aca="false">Sens!K2578*(1-tax_f)/((Sens!J2579+Sens!K2579)/2)</f>
        <v>0.21215475206058</v>
      </c>
    </row>
    <row r="2581" customFormat="false" ht="17.15" hidden="false" customHeight="false" outlineLevel="0" collapsed="false">
      <c r="A2581" s="1" t="s">
        <v>1011</v>
      </c>
      <c r="B2581" s="0" t="s">
        <v>168</v>
      </c>
      <c r="F2581" s="7" t="n">
        <f aca="false">(Sens!F2578-Sens!F2577)*(1-tax_f)/((Sens!E2579+Sens!F2579)/2)</f>
        <v>0.10135287243658</v>
      </c>
      <c r="G2581" s="7" t="n">
        <f aca="false">(Sens!G2578-Sens!G2577)*(1-tax_f)/((Sens!F2579+Sens!G2579)/2)</f>
        <v>0.116046634046475</v>
      </c>
      <c r="H2581" s="7" t="n">
        <f aca="false">(Sens!H2578-Sens!H2577)*(1-tax_f)/((Sens!G2579+Sens!H2579)/2)</f>
        <v>0.136381160757173</v>
      </c>
      <c r="I2581" s="7" t="n">
        <f aca="false">(Sens!I2578-Sens!I2577)*(1-tax_f)/((Sens!H2579+Sens!I2579)/2)</f>
        <v>0.142157602285478</v>
      </c>
      <c r="J2581" s="7" t="n">
        <f aca="false">(Sens!J2578-Sens!J2577)*(1-tax_f)/((Sens!I2579+Sens!J2579)/2)</f>
        <v>0.152986747279651</v>
      </c>
      <c r="K2581" s="7" t="n">
        <f aca="false">(Sens!K2578-Sens!K2577)*(1-tax_f)/((Sens!J2579+Sens!K2579)/2)</f>
        <v>0.170570542653322</v>
      </c>
    </row>
    <row r="2582" customFormat="false" ht="17.15" hidden="false" customHeight="false" outlineLevel="0" collapsed="false">
      <c r="A2582" s="1" t="s">
        <v>1012</v>
      </c>
      <c r="B2582" s="0" t="s">
        <v>168</v>
      </c>
      <c r="F2582" s="7" t="n">
        <f aca="false">(Sens!F2578-Sens!F2577+Sens!F2576)*(1-tax_f)/((Sens!E2579+Sens!F2579)/2)</f>
        <v>0.112994641623186</v>
      </c>
      <c r="G2582" s="7" t="n">
        <f aca="false">(Sens!G2578-Sens!G2577+Sens!G2576)*(1-tax_f)/((Sens!F2579+Sens!G2579)/2)</f>
        <v>0.136830603008039</v>
      </c>
      <c r="H2582" s="7" t="n">
        <f aca="false">(Sens!H2578-Sens!H2577+Sens!H2576)*(1-tax_f)/((Sens!G2579+Sens!H2579)/2)</f>
        <v>0.163400702099644</v>
      </c>
      <c r="I2582" s="7" t="n">
        <f aca="false">(Sens!I2578-Sens!I2577+Sens!I2576)*(1-tax_f)/((Sens!H2579+Sens!I2579)/2)</f>
        <v>0.175041437344947</v>
      </c>
      <c r="J2582" s="7" t="n">
        <f aca="false">(Sens!J2578-Sens!J2577+Sens!J2576)*(1-tax_f)/((Sens!I2579+Sens!J2579)/2)</f>
        <v>0.191164786949281</v>
      </c>
      <c r="K2582" s="7" t="n">
        <f aca="false">(Sens!K2578-Sens!K2577+Sens!K2576)*(1-tax_f)/((Sens!J2579+Sens!K2579)/2)</f>
        <v>0.21215475206058</v>
      </c>
    </row>
    <row r="2583" customFormat="false" ht="17.15" hidden="false" customHeight="false" outlineLevel="0" collapsed="false">
      <c r="A2583" s="1" t="s">
        <v>1013</v>
      </c>
      <c r="B2583" s="0" t="s">
        <v>168</v>
      </c>
      <c r="F2583" s="7" t="n">
        <f aca="false">Sens!F2508*(1-tax_f)/(Sens!F2494*(Sens!E2579+Sens!F2579)/2)</f>
        <v>0.15471433083293</v>
      </c>
      <c r="G2583" s="7" t="n">
        <f aca="false">Sens!G2508*(1-tax_f)/(Sens!G2494*(Sens!F2579+Sens!G2579)/2)</f>
        <v>0.176916911437355</v>
      </c>
      <c r="H2583" s="7" t="n">
        <f aca="false">Sens!H2508*(1-tax_f)/(Sens!H2494*(Sens!G2579+Sens!H2579)/2)</f>
        <v>0.207487057996582</v>
      </c>
      <c r="I2583" s="7" t="n">
        <f aca="false">Sens!I2508*(1-tax_f)/(Sens!I2494*(Sens!H2579+Sens!I2579)/2)</f>
        <v>0.219873660070946</v>
      </c>
      <c r="J2583" s="7" t="n">
        <f aca="false">Sens!J2508*(1-tax_f)/(Sens!J2494*(Sens!I2579+Sens!J2579)/2)</f>
        <v>0.238959457974928</v>
      </c>
      <c r="K2583" s="7" t="n">
        <f aca="false">Sens!K2508*(1-tax_f)/(Sens!K2494*(Sens!J2579+Sens!K2579)/2)</f>
        <v>0.264604270651536</v>
      </c>
    </row>
    <row r="2584" customFormat="false" ht="17.15" hidden="false" customHeight="false" outlineLevel="0" collapsed="false">
      <c r="A2584" s="0" t="s">
        <v>1014</v>
      </c>
      <c r="B2584" s="0" t="s">
        <v>253</v>
      </c>
      <c r="F2584" s="7" t="n">
        <f aca="false">Sens!F2580-wacc</f>
        <v>0.0100580506775892</v>
      </c>
      <c r="G2584" s="7" t="n">
        <f aca="false">Sens!G2580-wacc</f>
        <v>0.0338940120624412</v>
      </c>
      <c r="H2584" s="7" t="n">
        <f aca="false">Sens!H2580-wacc</f>
        <v>0.0604641111540467</v>
      </c>
      <c r="I2584" s="7" t="n">
        <f aca="false">Sens!I2580-wacc</f>
        <v>0.0721048463993498</v>
      </c>
      <c r="J2584" s="7" t="n">
        <f aca="false">Sens!J2580-wacc</f>
        <v>0.0882281960036838</v>
      </c>
      <c r="K2584" s="7" t="n">
        <f aca="false">Sens!K2580-wacc</f>
        <v>0.109218161114983</v>
      </c>
    </row>
    <row r="2585" customFormat="false" ht="17.15" hidden="false" customHeight="false" outlineLevel="0" collapsed="false">
      <c r="A2585" s="0" t="s">
        <v>1015</v>
      </c>
      <c r="B2585" s="0" t="s">
        <v>98</v>
      </c>
      <c r="F2585" s="6" t="n">
        <f aca="false">Sens!F2578*(1-tax_f)-wacc*(Sens!E2579+Sens!F2579)/2</f>
        <v>1.55807519368292</v>
      </c>
      <c r="G2585" s="6" t="n">
        <f aca="false">Sens!G2578*(1-tax_f)-wacc*(Sens!F2579+Sens!G2579)/2</f>
        <v>8.84437455653075</v>
      </c>
      <c r="H2585" s="6" t="n">
        <f aca="false">Sens!H2578*(1-tax_f)-wacc*(Sens!G2579+Sens!H2579)/2</f>
        <v>21.5559668849202</v>
      </c>
      <c r="I2585" s="6" t="n">
        <f aca="false">Sens!I2578*(1-tax_f)-wacc*(Sens!H2579+Sens!I2579)/2</f>
        <v>30.3809696741583</v>
      </c>
      <c r="J2585" s="6" t="n">
        <f aca="false">Sens!J2578*(1-tax_f)-wacc*(Sens!I2579+Sens!J2579)/2</f>
        <v>38.9848268370223</v>
      </c>
      <c r="K2585" s="6" t="n">
        <f aca="false">Sens!K2578*(1-tax_f)-wacc*(Sens!J2579+Sens!K2579)/2</f>
        <v>47.0740497220117</v>
      </c>
    </row>
    <row r="2586" customFormat="false" ht="17.15" hidden="false" customHeight="false" outlineLevel="0" collapsed="false">
      <c r="A2586" s="3" t="s">
        <v>1543</v>
      </c>
    </row>
    <row r="2587" customFormat="false" ht="15" hidden="false" customHeight="false" outlineLevel="0" collapsed="false">
      <c r="A2587" s="4" t="s">
        <v>43</v>
      </c>
      <c r="B2587" s="4" t="s">
        <v>65</v>
      </c>
      <c r="C2587" s="23" t="s">
        <v>938</v>
      </c>
      <c r="D2587" s="23" t="s">
        <v>939</v>
      </c>
      <c r="E2587" s="23" t="s">
        <v>940</v>
      </c>
      <c r="F2587" s="23" t="s">
        <v>941</v>
      </c>
      <c r="G2587" s="23" t="s">
        <v>942</v>
      </c>
      <c r="H2587" s="23" t="s">
        <v>943</v>
      </c>
      <c r="I2587" s="23" t="s">
        <v>944</v>
      </c>
      <c r="J2587" s="23" t="s">
        <v>945</v>
      </c>
      <c r="K2587" s="23" t="s">
        <v>946</v>
      </c>
      <c r="L2587" s="4" t="s">
        <v>47</v>
      </c>
    </row>
    <row r="2588" customFormat="false" ht="15" hidden="false" customHeight="false" outlineLevel="0" collapsed="false">
      <c r="A2588" s="1" t="s">
        <v>1076</v>
      </c>
      <c r="B2588" s="0" t="s">
        <v>98</v>
      </c>
      <c r="F2588" s="6" t="n">
        <f aca="false">Sens!F2569</f>
        <v>148.201282480878</v>
      </c>
      <c r="G2588" s="6" t="n">
        <f aca="false">Sens!G2569</f>
        <v>174.551720058783</v>
      </c>
      <c r="H2588" s="6" t="n">
        <f aca="false">Sens!H2569</f>
        <v>208.560147464326</v>
      </c>
      <c r="I2588" s="6" t="n">
        <f aca="false">Sens!I2569</f>
        <v>235.198029883516</v>
      </c>
      <c r="J2588" s="6" t="n">
        <f aca="false">Sens!J2569</f>
        <v>257.362161653244</v>
      </c>
      <c r="K2588" s="6" t="n">
        <f aca="false">Sens!K2569</f>
        <v>276.233420701048</v>
      </c>
    </row>
    <row r="2589" customFormat="false" ht="17.15" hidden="false" customHeight="false" outlineLevel="0" collapsed="false">
      <c r="A2589" s="1" t="s">
        <v>1098</v>
      </c>
      <c r="B2589" s="0" t="s">
        <v>98</v>
      </c>
      <c r="E2589" s="6" t="n">
        <f aca="false">Q!M38-Sens!E2507</f>
        <v>25.4896752183333</v>
      </c>
      <c r="F2589" s="6" t="n">
        <f aca="false">Sens!E2589*(1-1/life_nonai)+(Sens!F2597+Sens!F2598)/life_nonai</f>
        <v>29.8843953731304</v>
      </c>
      <c r="G2589" s="6" t="n">
        <f aca="false">Sens!F2589*(1-1/life_nonai)+(Sens!G2597)/life_nonai</f>
        <v>31.0537876175266</v>
      </c>
      <c r="H2589" s="6" t="n">
        <f aca="false">Sens!G2589*(1-1/life_nonai)+(Sens!H2597)/life_nonai</f>
        <v>32.7027454172168</v>
      </c>
      <c r="I2589" s="6" t="n">
        <f aca="false">Sens!H2589*(1-1/life_nonai)+(Sens!I2597)/life_nonai</f>
        <v>34.748593905439</v>
      </c>
      <c r="J2589" s="6" t="n">
        <f aca="false">Sens!I2589*(1-1/life_nonai)+(Sens!J2597)/life_nonai</f>
        <v>37.0935901789615</v>
      </c>
      <c r="K2589" s="6" t="n">
        <f aca="false">Sens!J2589*(1-1/life_nonai)+(Sens!K2597)/life_nonai</f>
        <v>39.6481571473381</v>
      </c>
      <c r="L2589" s="12" t="s">
        <v>1099</v>
      </c>
    </row>
    <row r="2590" customFormat="false" ht="17.15" hidden="false" customHeight="false" outlineLevel="0" collapsed="false">
      <c r="A2590" s="1" t="s">
        <v>1100</v>
      </c>
      <c r="B2590" s="0" t="s">
        <v>98</v>
      </c>
      <c r="F2590" s="6" t="n">
        <f aca="false">Sens!$F$2598/life_nonai*(1-1/life_nonai)^(Sens!F2470-2027)</f>
        <v>3.37383582536815</v>
      </c>
      <c r="G2590" s="6" t="n">
        <f aca="false">Sens!$F$2598/life_nonai*(1-1/life_nonai)^(Sens!G2470-2027)</f>
        <v>3.03645224283133</v>
      </c>
      <c r="H2590" s="6" t="n">
        <f aca="false">Sens!$F$2598/life_nonai*(1-1/life_nonai)^(Sens!H2470-2027)</f>
        <v>2.7328070185482</v>
      </c>
      <c r="I2590" s="6" t="n">
        <f aca="false">Sens!$F$2598/life_nonai*(1-1/life_nonai)^(Sens!I2470-2027)</f>
        <v>2.45952631669338</v>
      </c>
      <c r="J2590" s="6" t="n">
        <f aca="false">Sens!$F$2598/life_nonai*(1-1/life_nonai)^(Sens!J2470-2027)</f>
        <v>2.21357368502404</v>
      </c>
      <c r="K2590" s="6" t="n">
        <f aca="false">Sens!$F$2598/life_nonai*(1-1/life_nonai)^(Sens!K2470-2027)</f>
        <v>1.99221631652164</v>
      </c>
      <c r="L2590" s="1" t="s">
        <v>1101</v>
      </c>
    </row>
    <row r="2591" customFormat="false" ht="17.15" hidden="false" customHeight="false" outlineLevel="0" collapsed="false">
      <c r="A2591" s="1" t="s">
        <v>1102</v>
      </c>
      <c r="B2591" s="0" t="s">
        <v>98</v>
      </c>
      <c r="E2591" s="6" t="n">
        <f aca="false">Sens!E2507+Sens!E2589</f>
        <v>38.534</v>
      </c>
      <c r="F2591" s="6" t="n">
        <f aca="false">Sens!F2507+Sens!F2589</f>
        <v>57.5478469558117</v>
      </c>
      <c r="G2591" s="6" t="n">
        <f aca="false">Sens!G2507+Sens!G2589</f>
        <v>79.6413801393657</v>
      </c>
      <c r="H2591" s="6" t="n">
        <f aca="false">Sens!H2507+Sens!H2589</f>
        <v>103.982817946373</v>
      </c>
      <c r="I2591" s="6" t="n">
        <f aca="false">Sens!I2507+Sens!I2589</f>
        <v>126.133401661078</v>
      </c>
      <c r="J2591" s="6" t="n">
        <f aca="false">Sens!J2507+Sens!J2589</f>
        <v>142.706128618638</v>
      </c>
      <c r="K2591" s="6" t="n">
        <f aca="false">Sens!K2507+Sens!K2589</f>
        <v>154.058292788085</v>
      </c>
    </row>
    <row r="2592" customFormat="false" ht="17.15" hidden="false" customHeight="false" outlineLevel="0" collapsed="false">
      <c r="A2592" s="1" t="s">
        <v>1103</v>
      </c>
      <c r="B2592" s="0" t="s">
        <v>98</v>
      </c>
      <c r="F2592" s="6" t="n">
        <f aca="false">Sens!F2534*sbc_r</f>
        <v>15.0680693022395</v>
      </c>
      <c r="G2592" s="6" t="n">
        <f aca="false">Sens!G2534*sbc_r</f>
        <v>18.3841476633065</v>
      </c>
      <c r="H2592" s="6" t="n">
        <f aca="false">Sens!H2534*sbc_r</f>
        <v>21.9545979838202</v>
      </c>
      <c r="I2592" s="6" t="n">
        <f aca="false">Sens!I2534*sbc_r</f>
        <v>24.9944595349748</v>
      </c>
      <c r="J2592" s="6" t="n">
        <f aca="false">Sens!J2534*sbc_r</f>
        <v>27.4407929753337</v>
      </c>
      <c r="K2592" s="6" t="n">
        <f aca="false">Sens!K2534*sbc_r</f>
        <v>29.3868645070206</v>
      </c>
    </row>
    <row r="2593" customFormat="false" ht="17.15" hidden="false" customHeight="false" outlineLevel="0" collapsed="false">
      <c r="A2593" s="1" t="s">
        <v>1104</v>
      </c>
      <c r="B2593" s="0" t="s">
        <v>98</v>
      </c>
      <c r="F2593" s="6" t="n">
        <f aca="false">wc27-wc26q1</f>
        <v>-4.677</v>
      </c>
      <c r="G2593" s="6" t="n">
        <f aca="false">wc_f</f>
        <v>0</v>
      </c>
      <c r="H2593" s="6" t="n">
        <f aca="false">wc_f</f>
        <v>0</v>
      </c>
      <c r="I2593" s="6" t="n">
        <f aca="false">wc_f</f>
        <v>0</v>
      </c>
      <c r="J2593" s="6" t="n">
        <f aca="false">wc_f</f>
        <v>0</v>
      </c>
      <c r="K2593" s="6" t="n">
        <f aca="false">wc_f</f>
        <v>0</v>
      </c>
      <c r="L2593" s="12" t="s">
        <v>1105</v>
      </c>
    </row>
    <row r="2594" customFormat="false" ht="17.15" hidden="false" customHeight="false" outlineLevel="0" collapsed="false">
      <c r="A2594" s="0" t="s">
        <v>1106</v>
      </c>
      <c r="B2594" s="0" t="s">
        <v>98</v>
      </c>
      <c r="F2594" s="6" t="n">
        <f aca="false">Q!$I$35-Q!$I$26-Q!$I$38-Q!$I$39</f>
        <v>6.493</v>
      </c>
      <c r="L2594" s="1" t="s">
        <v>1107</v>
      </c>
    </row>
    <row r="2595" customFormat="false" ht="15" hidden="false" customHeight="false" outlineLevel="0" collapsed="false">
      <c r="A2595" s="1" t="s">
        <v>904</v>
      </c>
      <c r="B2595" s="0" t="s">
        <v>98</v>
      </c>
      <c r="E2595" s="6" t="n">
        <f aca="false">Q!M35</f>
        <v>182.935</v>
      </c>
      <c r="F2595" s="6" t="n">
        <f aca="false">Sens!F2588+Sens!F2591+Sens!F2592+Sens!F2593+Sens!F2594</f>
        <v>222.633198738929</v>
      </c>
      <c r="G2595" s="6" t="n">
        <f aca="false">Sens!G2588+Sens!G2591+Sens!G2592+Sens!G2593</f>
        <v>272.577247861455</v>
      </c>
      <c r="H2595" s="6" t="n">
        <f aca="false">Sens!H2588+Sens!H2591+Sens!H2592+Sens!H2593</f>
        <v>334.49756339452</v>
      </c>
      <c r="I2595" s="6" t="n">
        <f aca="false">Sens!I2588+Sens!I2591+Sens!I2592+Sens!I2593</f>
        <v>386.325891079568</v>
      </c>
      <c r="J2595" s="6" t="n">
        <f aca="false">Sens!J2588+Sens!J2591+Sens!J2592+Sens!J2593</f>
        <v>427.509083247216</v>
      </c>
      <c r="K2595" s="6" t="n">
        <f aca="false">Sens!K2588+Sens!K2591+Sens!K2592+Sens!K2593</f>
        <v>459.678577996154</v>
      </c>
    </row>
    <row r="2596" customFormat="false" ht="17.15" hidden="false" customHeight="false" outlineLevel="0" collapsed="false">
      <c r="A2596" s="0" t="s">
        <v>1108</v>
      </c>
      <c r="B2596" s="0" t="s">
        <v>98</v>
      </c>
      <c r="F2596" s="6" t="n">
        <f aca="false">Sens!F2504</f>
        <v>134.763123233696</v>
      </c>
      <c r="G2596" s="6" t="n">
        <f aca="false">Sens!G2504</f>
        <v>153.555580519238</v>
      </c>
      <c r="H2596" s="6" t="n">
        <f aca="false">Sens!H2504</f>
        <v>157.44480325161</v>
      </c>
      <c r="I2596" s="6" t="n">
        <f aca="false">Sens!I2504</f>
        <v>134.891866897288</v>
      </c>
      <c r="J2596" s="6" t="n">
        <f aca="false">Sens!J2504</f>
        <v>103.143944956752</v>
      </c>
      <c r="K2596" s="6" t="n">
        <f aca="false">Sens!K2504</f>
        <v>95.1702824517861</v>
      </c>
    </row>
    <row r="2597" customFormat="false" ht="17.15" hidden="false" customHeight="false" outlineLevel="0" collapsed="false">
      <c r="A2597" s="1" t="s">
        <v>1109</v>
      </c>
      <c r="B2597" s="0" t="s">
        <v>98</v>
      </c>
      <c r="E2597" s="6" t="n">
        <f aca="false">Sens!E2512*cx_azo+Sens!E2519*cx_m365+Sens!E2520*cx_lic+(Sens!E2522+Sens!E2524)*cx_ind+Sens!E2527*cx_srch+(Sens!E2529+Sens!E2531)*cx_dev</f>
        <v>30.1846587067718</v>
      </c>
      <c r="F2597" s="6" t="n">
        <f aca="false">Sens!F2512*cx_azo+Sens!F2519*cx_m365+Sens!F2520*cx_lic+(Sens!F2522+Sens!F2524)*cx_ind+Sens!F2527*cx_srch+(Sens!F2529+Sens!F2531)*cx_dev</f>
        <v>35.6985185126228</v>
      </c>
      <c r="G2597" s="6" t="n">
        <f aca="false">Sens!G2512*cx_azo+Sens!G2519*cx_m365+Sens!G2520*cx_lic+(Sens!G2522+Sens!G2524)*cx_ind+Sens!G2527*cx_srch+(Sens!G2529+Sens!G2531)*cx_dev</f>
        <v>41.5783178170917</v>
      </c>
      <c r="H2597" s="6" t="n">
        <f aca="false">Sens!H2512*cx_azo+Sens!H2519*cx_m365+Sens!H2520*cx_lic+(Sens!H2522+Sens!H2524)*cx_ind+Sens!H2527*cx_srch+(Sens!H2529+Sens!H2531)*cx_dev</f>
        <v>47.5433656144293</v>
      </c>
      <c r="I2597" s="6" t="n">
        <f aca="false">Sens!I2512*cx_azo+Sens!I2519*cx_m365+Sens!I2520*cx_lic+(Sens!I2522+Sens!I2524)*cx_ind+Sens!I2527*cx_srch+(Sens!I2529+Sens!I2531)*cx_dev</f>
        <v>53.1612302994382</v>
      </c>
      <c r="J2597" s="6" t="n">
        <f aca="false">Sens!J2512*cx_azo+Sens!J2519*cx_m365+Sens!J2520*cx_lic+(Sens!J2522+Sens!J2524)*cx_ind+Sens!J2527*cx_srch+(Sens!J2529+Sens!J2531)*cx_dev</f>
        <v>58.1985566406647</v>
      </c>
      <c r="K2597" s="6" t="n">
        <f aca="false">Sens!K2512*cx_azo+Sens!K2519*cx_m365+Sens!K2520*cx_lic+(Sens!K2522+Sens!K2524)*cx_ind+Sens!K2527*cx_srch+(Sens!K2529+Sens!K2531)*cx_dev</f>
        <v>62.6392598627275</v>
      </c>
    </row>
    <row r="2598" customFormat="false" ht="17.15" hidden="false" customHeight="false" outlineLevel="0" collapsed="false">
      <c r="A2598" s="0" t="s">
        <v>1110</v>
      </c>
      <c r="B2598" s="0" t="s">
        <v>98</v>
      </c>
      <c r="F2598" s="6" t="n">
        <f aca="false">Sens!F2502</f>
        <v>33.7383582536815</v>
      </c>
      <c r="L2598" s="1" t="s">
        <v>1111</v>
      </c>
    </row>
    <row r="2599" customFormat="false" ht="17.15" hidden="false" customHeight="false" outlineLevel="0" collapsed="false">
      <c r="A2599" s="1" t="s">
        <v>1112</v>
      </c>
      <c r="B2599" s="0" t="s">
        <v>98</v>
      </c>
      <c r="E2599" s="6" t="n">
        <f aca="false">Q!M43</f>
        <v>145.3</v>
      </c>
      <c r="F2599" s="6" t="n">
        <f aca="false">Sens!F2596+Sens!F2597+Sens!F2598</f>
        <v>204.2</v>
      </c>
      <c r="G2599" s="6" t="n">
        <f aca="false">Sens!G2596+Sens!G2597</f>
        <v>195.13389833633</v>
      </c>
      <c r="H2599" s="6" t="n">
        <f aca="false">Sens!H2596+Sens!H2597</f>
        <v>204.988168866039</v>
      </c>
      <c r="I2599" s="6" t="n">
        <f aca="false">Sens!I2596+Sens!I2597</f>
        <v>188.053097196726</v>
      </c>
      <c r="J2599" s="6" t="n">
        <f aca="false">Sens!J2596+Sens!J2597</f>
        <v>161.342501597417</v>
      </c>
      <c r="K2599" s="6" t="n">
        <f aca="false">Sens!K2596+Sens!K2597</f>
        <v>157.809542314514</v>
      </c>
      <c r="L2599" s="1" t="s">
        <v>1113</v>
      </c>
    </row>
    <row r="2600" customFormat="false" ht="15" hidden="false" customHeight="false" outlineLevel="0" collapsed="false">
      <c r="A2600" s="1" t="s">
        <v>1114</v>
      </c>
      <c r="B2600" s="0" t="s">
        <v>98</v>
      </c>
      <c r="E2600" s="6" t="n">
        <f aca="false">fl_liab</f>
        <v>66.594</v>
      </c>
      <c r="F2600" s="6" t="n">
        <f aca="false">Sens!E2600-Sens!F2601</f>
        <v>62.46973</v>
      </c>
      <c r="G2600" s="6" t="n">
        <f aca="false">Sens!F2600-Sens!G2601</f>
        <v>57.98686785</v>
      </c>
      <c r="H2600" s="6" t="n">
        <f aca="false">Sens!G2600-Sens!H2601</f>
        <v>53.92827690325</v>
      </c>
      <c r="I2600" s="6" t="n">
        <f aca="false">Sens!H2600-Sens!I2601</f>
        <v>49.7850493638962</v>
      </c>
      <c r="J2600" s="6" t="n">
        <f aca="false">Sens!I2600-Sens!J2601</f>
        <v>45.4823765852716</v>
      </c>
      <c r="K2600" s="6" t="n">
        <f aca="false">Sens!J2600-Sens!K2601</f>
        <v>40.9860835316088</v>
      </c>
    </row>
    <row r="2601" customFormat="false" ht="15" hidden="false" customHeight="false" outlineLevel="0" collapsed="false">
      <c r="A2601" s="1" t="s">
        <v>1115</v>
      </c>
      <c r="B2601" s="0" t="s">
        <v>98</v>
      </c>
      <c r="F2601" s="6" t="n">
        <f aca="false">fl_pay_27-Sens!E2600*fl_rate</f>
        <v>4.12427</v>
      </c>
      <c r="G2601" s="6" t="n">
        <f aca="false">fl_pay_28-Sens!F2600*fl_rate</f>
        <v>4.48286215</v>
      </c>
      <c r="H2601" s="6" t="n">
        <f aca="false">fl_pay_29-Sens!G2600*fl_rate</f>
        <v>4.05859094675</v>
      </c>
      <c r="I2601" s="6" t="n">
        <f aca="false">fl_pay_30-Sens!H2600*fl_rate</f>
        <v>4.14322753935375</v>
      </c>
      <c r="J2601" s="6" t="n">
        <f aca="false">fl_pay_31-Sens!I2600*fl_rate</f>
        <v>4.30267277862467</v>
      </c>
      <c r="K2601" s="6" t="n">
        <f aca="false">fl_pay_32-Sens!J2600*fl_rate</f>
        <v>4.49629305366278</v>
      </c>
    </row>
    <row r="2602" customFormat="false" ht="17.15" hidden="false" customHeight="false" outlineLevel="0" collapsed="false">
      <c r="A2602" s="1" t="s">
        <v>1116</v>
      </c>
      <c r="B2602" s="0" t="s">
        <v>98</v>
      </c>
      <c r="E2602" s="6" t="n">
        <f aca="false">Q!M35-Q!M36-Q!M44</f>
        <v>63.886</v>
      </c>
      <c r="F2602" s="6" t="n">
        <f aca="false">Sens!F2595-Sens!F2599-Sens!F2601</f>
        <v>14.3089287389293</v>
      </c>
      <c r="G2602" s="6" t="n">
        <f aca="false">Sens!G2595-Sens!G2599-Sens!G2601</f>
        <v>72.9604873751251</v>
      </c>
      <c r="H2602" s="6" t="n">
        <f aca="false">Sens!H2595-Sens!H2599-Sens!H2601</f>
        <v>125.450803581731</v>
      </c>
      <c r="I2602" s="6" t="n">
        <f aca="false">Sens!I2595-Sens!I2599-Sens!I2601</f>
        <v>194.129566343488</v>
      </c>
      <c r="J2602" s="6" t="n">
        <f aca="false">Sens!J2595-Sens!J2599-Sens!J2601</f>
        <v>261.863908871174</v>
      </c>
      <c r="K2602" s="6" t="n">
        <f aca="false">Sens!K2595-Sens!K2599-Sens!K2601</f>
        <v>297.372742627978</v>
      </c>
      <c r="L2602" s="12" t="s">
        <v>1117</v>
      </c>
    </row>
    <row r="2603" customFormat="false" ht="15" hidden="false" customHeight="false" outlineLevel="0" collapsed="false">
      <c r="A2603" s="1" t="s">
        <v>1118</v>
      </c>
      <c r="B2603" s="0" t="s">
        <v>75</v>
      </c>
      <c r="F2603" s="8" t="n">
        <f aca="false">dps_27</f>
        <v>3.85</v>
      </c>
      <c r="G2603" s="8" t="n">
        <f aca="false">Sens!F2603*(1+dps_g)</f>
        <v>4.158</v>
      </c>
      <c r="H2603" s="8" t="n">
        <f aca="false">Sens!G2603*(1+dps_g)</f>
        <v>4.49064</v>
      </c>
      <c r="I2603" s="8" t="n">
        <f aca="false">Sens!H2603*(1+dps_g)</f>
        <v>4.8498912</v>
      </c>
      <c r="J2603" s="8" t="n">
        <f aca="false">Sens!I2603*(1+dps_g)</f>
        <v>5.237882496</v>
      </c>
      <c r="K2603" s="8" t="n">
        <f aca="false">Sens!J2603*(1+dps_g)</f>
        <v>5.65691309568</v>
      </c>
    </row>
    <row r="2604" customFormat="false" ht="17.15" hidden="false" customHeight="false" outlineLevel="0" collapsed="false">
      <c r="A2604" s="1" t="s">
        <v>1119</v>
      </c>
      <c r="B2604" s="0" t="s">
        <v>98</v>
      </c>
      <c r="E2604" s="6" t="n">
        <f aca="false">Q!M41</f>
        <v>26.445</v>
      </c>
      <c r="F2604" s="6" t="n">
        <f aca="false">Sens!F2603*Sens!E2613</f>
        <v>28.59395</v>
      </c>
      <c r="G2604" s="6" t="n">
        <f aca="false">Sens!G2603*Sens!F2613</f>
        <v>31.0436511463462</v>
      </c>
      <c r="H2604" s="6" t="n">
        <f aca="false">Sens!H2603*Sens!G2613</f>
        <v>33.5614152111266</v>
      </c>
      <c r="I2604" s="6" t="n">
        <f aca="false">Sens!I2603*Sens!H2613</f>
        <v>36.2967667050894</v>
      </c>
      <c r="J2604" s="6" t="n">
        <f aca="false">Sens!J2603*Sens!I2613</f>
        <v>39.2684059268891</v>
      </c>
      <c r="K2604" s="6" t="n">
        <f aca="false">Sens!K2603*Sens!J2613</f>
        <v>42.4966326634185</v>
      </c>
      <c r="L2604" s="1" t="s">
        <v>1120</v>
      </c>
    </row>
    <row r="2605" customFormat="false" ht="15" hidden="false" customHeight="false" outlineLevel="0" collapsed="false">
      <c r="A2605" s="1" t="s">
        <v>1121</v>
      </c>
      <c r="B2605" s="0" t="s">
        <v>98</v>
      </c>
      <c r="E2605" s="6" t="n">
        <f aca="false">Sens!E2602-Sens!E2604</f>
        <v>37.441</v>
      </c>
      <c r="F2605" s="6" t="n">
        <f aca="false">Sens!F2602-Sens!F2604</f>
        <v>-14.2850212610707</v>
      </c>
      <c r="G2605" s="6" t="n">
        <f aca="false">Sens!G2602-Sens!G2604</f>
        <v>41.9168362287789</v>
      </c>
      <c r="H2605" s="6" t="n">
        <f aca="false">Sens!H2602-Sens!H2604</f>
        <v>91.8893883706043</v>
      </c>
      <c r="I2605" s="6" t="n">
        <f aca="false">Sens!I2602-Sens!I2604</f>
        <v>157.832799638398</v>
      </c>
      <c r="J2605" s="6" t="n">
        <f aca="false">Sens!J2602-Sens!J2604</f>
        <v>222.595502944285</v>
      </c>
      <c r="K2605" s="6" t="n">
        <f aca="false">Sens!K2602-Sens!K2604</f>
        <v>254.876109964559</v>
      </c>
    </row>
    <row r="2606" customFormat="false" ht="15" hidden="false" customHeight="false" outlineLevel="0" collapsed="false">
      <c r="A2606" s="1" t="s">
        <v>1122</v>
      </c>
      <c r="B2606" s="0" t="s">
        <v>98</v>
      </c>
      <c r="F2606" s="6" t="n">
        <f aca="false">debt_mat_27</f>
        <v>9.25</v>
      </c>
      <c r="G2606" s="6" t="n">
        <f aca="false">debt_mat_28</f>
        <v>0</v>
      </c>
      <c r="H2606" s="6" t="n">
        <f aca="false">debt_mat_29</f>
        <v>2.001</v>
      </c>
      <c r="I2606" s="6" t="n">
        <f aca="false">debt_mat_30</f>
        <v>0</v>
      </c>
      <c r="J2606" s="6" t="n">
        <f aca="false">debt_mat_31</f>
        <v>0.5</v>
      </c>
      <c r="K2606" s="6" t="n">
        <f aca="false">debt_mat_32</f>
        <v>0</v>
      </c>
    </row>
    <row r="2607" customFormat="false" ht="15" hidden="false" customHeight="false" outlineLevel="0" collapsed="false">
      <c r="A2607" s="1" t="s">
        <v>1123</v>
      </c>
      <c r="B2607" s="0" t="s">
        <v>98</v>
      </c>
      <c r="E2607" s="6" t="n">
        <f aca="false">Q!M40</f>
        <v>22.271</v>
      </c>
      <c r="F2607" s="6" t="n">
        <f aca="false">MAX(0,MIN(bb_target,Sens!E2609+Sens!F2605-Sens!F2606-min_cash))</f>
        <v>3.30797873892929</v>
      </c>
      <c r="G2607" s="6" t="n">
        <f aca="false">MAX(0,MIN(bb_target,Sens!F2609+Sens!G2605-Sens!G2606-min_cash))</f>
        <v>22.271</v>
      </c>
      <c r="H2607" s="6" t="n">
        <f aca="false">MAX(0,MIN(bb_target,Sens!G2609+Sens!H2605-Sens!H2606-min_cash))</f>
        <v>22.271</v>
      </c>
      <c r="I2607" s="6" t="n">
        <f aca="false">MAX(0,MIN(bb_target,Sens!H2609+Sens!I2605-Sens!I2606-min_cash))</f>
        <v>22.271</v>
      </c>
      <c r="J2607" s="6" t="n">
        <f aca="false">MAX(0,MIN(bb_target,Sens!I2609+Sens!J2605-Sens!J2606-min_cash))</f>
        <v>22.271</v>
      </c>
      <c r="K2607" s="6" t="n">
        <f aca="false">MAX(0,MIN(bb_target,Sens!J2609+Sens!K2605-Sens!K2606-min_cash))</f>
        <v>22.271</v>
      </c>
    </row>
    <row r="2608" customFormat="false" ht="15" hidden="false" customHeight="false" outlineLevel="0" collapsed="false">
      <c r="A2608" s="1" t="s">
        <v>1124</v>
      </c>
      <c r="B2608" s="0" t="s">
        <v>98</v>
      </c>
      <c r="F2608" s="6" t="n">
        <f aca="false">MAX(0,min_cash-(Sens!E2609+Sens!F2605-Sens!F2606-Sens!F2607))</f>
        <v>0</v>
      </c>
      <c r="G2608" s="6" t="n">
        <f aca="false">MAX(0,min_cash-(Sens!F2609+Sens!G2605-Sens!G2606-Sens!G2607))</f>
        <v>0</v>
      </c>
      <c r="H2608" s="6" t="n">
        <f aca="false">MAX(0,min_cash-(Sens!G2609+Sens!H2605-Sens!H2606-Sens!H2607))</f>
        <v>0</v>
      </c>
      <c r="I2608" s="6" t="n">
        <f aca="false">MAX(0,min_cash-(Sens!H2609+Sens!I2605-Sens!I2606-Sens!I2607))</f>
        <v>0</v>
      </c>
      <c r="J2608" s="6" t="n">
        <f aca="false">MAX(0,min_cash-(Sens!I2609+Sens!J2605-Sens!J2606-Sens!J2607))</f>
        <v>0</v>
      </c>
      <c r="K2608" s="6" t="n">
        <f aca="false">MAX(0,min_cash-(Sens!J2609+Sens!K2605-Sens!K2606-Sens!K2607))</f>
        <v>0</v>
      </c>
    </row>
    <row r="2609" customFormat="false" ht="15" hidden="false" customHeight="false" outlineLevel="0" collapsed="false">
      <c r="A2609" s="1" t="s">
        <v>1125</v>
      </c>
      <c r="B2609" s="0" t="s">
        <v>98</v>
      </c>
      <c r="E2609" s="6" t="n">
        <f aca="false">cash_open</f>
        <v>76.843</v>
      </c>
      <c r="F2609" s="6" t="n">
        <f aca="false">Sens!E2609+Sens!F2605-Sens!F2606-Sens!F2607+Sens!F2608</f>
        <v>50</v>
      </c>
      <c r="G2609" s="6" t="n">
        <f aca="false">Sens!F2609+Sens!G2605-Sens!G2606-Sens!G2607+Sens!G2608</f>
        <v>69.6458362287789</v>
      </c>
      <c r="H2609" s="6" t="n">
        <f aca="false">Sens!G2609+Sens!H2605-Sens!H2606-Sens!H2607+Sens!H2608</f>
        <v>137.263224599383</v>
      </c>
      <c r="I2609" s="6" t="n">
        <f aca="false">Sens!H2609+Sens!I2605-Sens!I2606-Sens!I2607+Sens!I2608</f>
        <v>272.825024237782</v>
      </c>
      <c r="J2609" s="6" t="n">
        <f aca="false">Sens!I2609+Sens!J2605-Sens!J2606-Sens!J2607+Sens!J2608</f>
        <v>472.649527182066</v>
      </c>
      <c r="K2609" s="6" t="n">
        <f aca="false">Sens!J2609+Sens!K2605-Sens!K2606-Sens!K2607+Sens!K2608</f>
        <v>705.254637146626</v>
      </c>
    </row>
    <row r="2610" customFormat="false" ht="15" hidden="false" customHeight="false" outlineLevel="0" collapsed="false">
      <c r="A2610" s="1" t="s">
        <v>1126</v>
      </c>
      <c r="B2610" s="0" t="s">
        <v>98</v>
      </c>
      <c r="E2610" s="6" t="n">
        <f aca="false">debt_face</f>
        <v>46.136</v>
      </c>
      <c r="F2610" s="6" t="n">
        <f aca="false">Sens!E2610-Sens!F2606+Sens!F2608</f>
        <v>36.886</v>
      </c>
      <c r="G2610" s="6" t="n">
        <f aca="false">Sens!F2610-Sens!G2606+Sens!G2608</f>
        <v>36.886</v>
      </c>
      <c r="H2610" s="6" t="n">
        <f aca="false">Sens!G2610-Sens!H2606+Sens!H2608</f>
        <v>34.885</v>
      </c>
      <c r="I2610" s="6" t="n">
        <f aca="false">Sens!H2610-Sens!I2606+Sens!I2608</f>
        <v>34.885</v>
      </c>
      <c r="J2610" s="6" t="n">
        <f aca="false">Sens!I2610-Sens!J2606+Sens!J2608</f>
        <v>34.385</v>
      </c>
      <c r="K2610" s="6" t="n">
        <f aca="false">Sens!J2610-Sens!K2606+Sens!K2608</f>
        <v>34.385</v>
      </c>
    </row>
    <row r="2611" customFormat="false" ht="15" hidden="false" customHeight="false" outlineLevel="0" collapsed="false">
      <c r="A2611" s="1" t="s">
        <v>1127</v>
      </c>
      <c r="B2611" s="0" t="s">
        <v>98</v>
      </c>
      <c r="E2611" s="6" t="n">
        <f aca="false">Sens!E2609-Sens!E2610</f>
        <v>30.707</v>
      </c>
      <c r="F2611" s="6" t="n">
        <f aca="false">Sens!F2609-Sens!F2610</f>
        <v>13.114</v>
      </c>
      <c r="G2611" s="6" t="n">
        <f aca="false">Sens!G2609-Sens!G2610</f>
        <v>32.7598362287789</v>
      </c>
      <c r="H2611" s="6" t="n">
        <f aca="false">Sens!H2609-Sens!H2610</f>
        <v>102.378224599383</v>
      </c>
      <c r="I2611" s="6" t="n">
        <f aca="false">Sens!I2609-Sens!I2610</f>
        <v>237.940024237782</v>
      </c>
      <c r="J2611" s="6" t="n">
        <f aca="false">Sens!J2609-Sens!J2610</f>
        <v>438.264527182066</v>
      </c>
      <c r="K2611" s="6" t="n">
        <f aca="false">Sens!K2609-Sens!K2610</f>
        <v>670.869637146626</v>
      </c>
    </row>
    <row r="2612" customFormat="false" ht="15" hidden="false" customHeight="false" outlineLevel="0" collapsed="false">
      <c r="A2612" s="1" t="s">
        <v>1128</v>
      </c>
      <c r="B2612" s="0" t="s">
        <v>75</v>
      </c>
      <c r="F2612" s="30" t="n">
        <f aca="false">px*(1+bb_g)^(Sens!F2470-base_fy-mid_yr)</f>
        <v>551.84177959629</v>
      </c>
      <c r="G2612" s="30" t="n">
        <f aca="false">px*(1+bb_g)^(Sens!G2470-base_fy-mid_yr)</f>
        <v>595.989121963993</v>
      </c>
      <c r="H2612" s="30" t="n">
        <f aca="false">px*(1+bb_g)^(Sens!H2470-base_fy-mid_yr)</f>
        <v>643.668251721112</v>
      </c>
      <c r="I2612" s="30" t="n">
        <f aca="false">px*(1+bb_g)^(Sens!I2470-base_fy-mid_yr)</f>
        <v>695.161711858801</v>
      </c>
      <c r="J2612" s="30" t="n">
        <f aca="false">px*(1+bb_g)^(Sens!J2470-base_fy-mid_yr)</f>
        <v>750.774648807506</v>
      </c>
      <c r="K2612" s="30" t="n">
        <f aca="false">px*(1+bb_g)^(Sens!K2470-base_fy-mid_yr)</f>
        <v>810.836620712106</v>
      </c>
    </row>
    <row r="2613" customFormat="false" ht="15" hidden="false" customHeight="false" outlineLevel="0" collapsed="false">
      <c r="A2613" s="1" t="s">
        <v>1129</v>
      </c>
      <c r="B2613" s="1" t="s">
        <v>81</v>
      </c>
      <c r="E2613" s="15" t="n">
        <f aca="false">sh_out26</f>
        <v>7.427</v>
      </c>
      <c r="F2613" s="15" t="n">
        <f aca="false">Sens!E2613+sh_iss-Sens!F2607/Sens!F2612</f>
        <v>7.46600556670184</v>
      </c>
      <c r="G2613" s="15" t="n">
        <f aca="false">Sens!F2613+sh_iss-Sens!G2607/Sens!G2612</f>
        <v>7.47363743500405</v>
      </c>
      <c r="H2613" s="15" t="n">
        <f aca="false">Sens!G2613+sh_iss-Sens!H2607/Sens!H2612</f>
        <v>7.48403731306165</v>
      </c>
      <c r="I2613" s="15" t="n">
        <f aca="false">Sens!H2613+sh_iss-Sens!I2607/Sens!I2612</f>
        <v>7.49700016311499</v>
      </c>
      <c r="J2613" s="15" t="n">
        <f aca="false">Sens!I2613+sh_iss-Sens!J2607/Sens!J2612</f>
        <v>7.5123361353866</v>
      </c>
      <c r="K2613" s="15" t="n">
        <f aca="false">Sens!J2613+sh_iss-Sens!K2607/Sens!K2612</f>
        <v>7.52986944304549</v>
      </c>
    </row>
    <row r="2614" customFormat="false" ht="15" hidden="false" customHeight="false" outlineLevel="0" collapsed="false">
      <c r="A2614" s="1" t="s">
        <v>1130</v>
      </c>
      <c r="B2614" s="1" t="s">
        <v>81</v>
      </c>
      <c r="E2614" s="15" t="n">
        <f aca="false">sh_dil26</f>
        <v>7.453</v>
      </c>
      <c r="F2614" s="15" t="n">
        <f aca="false">(Sens!E2613+Sens!F2613)/2+dil_gap</f>
        <v>7.47050278335092</v>
      </c>
      <c r="G2614" s="15" t="n">
        <f aca="false">(Sens!F2613+Sens!G2613)/2+dil_gap</f>
        <v>7.49382150085294</v>
      </c>
      <c r="H2614" s="15" t="n">
        <f aca="false">(Sens!G2613+Sens!H2613)/2+dil_gap</f>
        <v>7.50283737403285</v>
      </c>
      <c r="I2614" s="15" t="n">
        <f aca="false">(Sens!H2613+Sens!I2613)/2+dil_gap</f>
        <v>7.51451873808832</v>
      </c>
      <c r="J2614" s="15" t="n">
        <f aca="false">(Sens!I2613+Sens!J2613)/2+dil_gap</f>
        <v>7.52866814925079</v>
      </c>
      <c r="K2614" s="15" t="n">
        <f aca="false">(Sens!J2613+Sens!K2613)/2+dil_gap</f>
        <v>7.54510278921604</v>
      </c>
    </row>
    <row r="2615" customFormat="false" ht="17.15" hidden="false" customHeight="false" outlineLevel="0" collapsed="false">
      <c r="A2615" s="1" t="s">
        <v>1131</v>
      </c>
      <c r="B2615" s="0" t="s">
        <v>98</v>
      </c>
      <c r="C2615" s="6" t="n">
        <f aca="false">SUM(Sens!F2605:J2605)</f>
        <v>499.949505920996</v>
      </c>
    </row>
    <row r="2616" customFormat="false" ht="15" hidden="false" customHeight="false" outlineLevel="0" collapsed="false">
      <c r="A2616" s="26" t="s">
        <v>1096</v>
      </c>
      <c r="B2616" s="31" t="s">
        <v>98</v>
      </c>
      <c r="C2616" s="27" t="n">
        <f aca="false">Sens!$C$2615-(Sens!F2605+Sens!G2605+Sens!H2605+Sens!I2605+Sens!J2605)</f>
        <v>0</v>
      </c>
      <c r="D2616" s="31"/>
      <c r="E2616" s="31"/>
      <c r="F2616" s="31"/>
      <c r="G2616" s="31"/>
      <c r="H2616" s="31"/>
      <c r="I2616" s="31"/>
      <c r="J2616" s="31"/>
      <c r="K2616" s="31"/>
    </row>
    <row r="2617" customFormat="false" ht="17.15" hidden="false" customHeight="false" outlineLevel="0" collapsed="false">
      <c r="A2617" s="1" t="s">
        <v>1090</v>
      </c>
      <c r="B2617" s="1" t="s">
        <v>1132</v>
      </c>
      <c r="C2617" s="33" t="str">
        <f aca="false">IF(SUM(Sens!F2608:J2608)&gt;0.05,"需要舉債 "&amp;TEXT(SUM(Sens!F2608:J2608),"0.0")&amp;" 十億美元","不需舉債")&amp;"；"&amp;IF(SUM(Sens!F2607:J2607)&lt;COUNT(Sens!F2607:J2607)*bb_target-0.05,"回購較每年 "&amp;TEXT(bb_target,"0.0")&amp;" 的目標少 "&amp;TEXT(COUNT(Sens!F2607:J2607)*bb_target-SUM(Sens!F2607:J2607),"0.0")&amp;" 十億美元（"&amp;TEXT(COUNTIF(Sens!F2607:J2607,"&lt;"&amp;(bb_target-0.05)),"0")&amp;" 年減少）","回購不減")</f>
        <v>不需舉債；回購較每年 22.3 的目標少 19.0 十億美元（1 年減少）</v>
      </c>
    </row>
    <row r="2618" customFormat="false" ht="17.15" hidden="false" customHeight="false" outlineLevel="0" collapsed="false">
      <c r="A2618" s="3" t="s">
        <v>1544</v>
      </c>
    </row>
    <row r="2619" customFormat="false" ht="15" hidden="false" customHeight="false" outlineLevel="0" collapsed="false">
      <c r="A2619" s="4" t="s">
        <v>43</v>
      </c>
      <c r="B2619" s="4" t="s">
        <v>65</v>
      </c>
      <c r="C2619" s="23" t="s">
        <v>938</v>
      </c>
      <c r="D2619" s="23" t="s">
        <v>939</v>
      </c>
      <c r="E2619" s="23" t="s">
        <v>940</v>
      </c>
      <c r="F2619" s="23" t="s">
        <v>941</v>
      </c>
      <c r="G2619" s="23" t="s">
        <v>942</v>
      </c>
      <c r="H2619" s="23" t="s">
        <v>943</v>
      </c>
      <c r="I2619" s="23" t="s">
        <v>944</v>
      </c>
      <c r="J2619" s="23" t="s">
        <v>945</v>
      </c>
      <c r="K2619" s="23" t="s">
        <v>946</v>
      </c>
      <c r="L2619" s="4" t="s">
        <v>47</v>
      </c>
    </row>
    <row r="2620" customFormat="false" ht="17.15" hidden="false" customHeight="false" outlineLevel="0" collapsed="false">
      <c r="A2620" s="1" t="s">
        <v>1212</v>
      </c>
      <c r="B2620" s="1" t="s">
        <v>279</v>
      </c>
      <c r="F2620" s="8" t="n">
        <f aca="false">(1-v_off)*mid_yr</f>
        <v>0.373972602739726</v>
      </c>
      <c r="G2620" s="8" t="n">
        <f aca="false">Sens!G2470-base_fy-mid_yr-v_off</f>
        <v>1.24794520547945</v>
      </c>
      <c r="H2620" s="8" t="n">
        <f aca="false">Sens!H2470-base_fy-mid_yr-v_off</f>
        <v>2.24794520547945</v>
      </c>
      <c r="I2620" s="8" t="n">
        <f aca="false">Sens!I2470-base_fy-mid_yr-v_off</f>
        <v>3.24794520547945</v>
      </c>
      <c r="J2620" s="8" t="n">
        <f aca="false">Sens!J2470-base_fy-mid_yr-v_off</f>
        <v>4.24794520547945</v>
      </c>
      <c r="K2620" s="8" t="n">
        <f aca="false">Sens!K2470-base_fy-mid_yr-v_off</f>
        <v>5.24794520547945</v>
      </c>
      <c r="L2620" s="12" t="s">
        <v>1213</v>
      </c>
    </row>
    <row r="2621" customFormat="false" ht="15" hidden="false" customHeight="false" outlineLevel="0" collapsed="false">
      <c r="A2621" s="1" t="s">
        <v>1214</v>
      </c>
      <c r="B2621" s="1" t="s">
        <v>279</v>
      </c>
      <c r="F2621" s="8" t="n">
        <f aca="false">Sens!F2470-base_fy-v_off</f>
        <v>0.747945205479452</v>
      </c>
      <c r="G2621" s="8" t="n">
        <f aca="false">Sens!G2470-base_fy-v_off</f>
        <v>1.74794520547945</v>
      </c>
      <c r="H2621" s="8" t="n">
        <f aca="false">Sens!H2470-base_fy-v_off</f>
        <v>2.74794520547945</v>
      </c>
      <c r="I2621" s="8" t="n">
        <f aca="false">Sens!I2470-base_fy-v_off</f>
        <v>3.74794520547945</v>
      </c>
      <c r="J2621" s="8" t="n">
        <f aca="false">Sens!J2470-base_fy-v_off</f>
        <v>4.74794520547945</v>
      </c>
      <c r="K2621" s="8" t="n">
        <f aca="false">Sens!K2470-base_fy-v_off</f>
        <v>5.74794520547945</v>
      </c>
    </row>
    <row r="2622" customFormat="false" ht="15" hidden="false" customHeight="false" outlineLevel="0" collapsed="false">
      <c r="A2622" s="1" t="s">
        <v>1215</v>
      </c>
      <c r="B2622" s="0" t="s">
        <v>229</v>
      </c>
      <c r="F2622" s="15" t="n">
        <f aca="false">1/(1+wacc)^Sens!F2620</f>
        <v>0.964022703286649</v>
      </c>
      <c r="G2622" s="15" t="n">
        <f aca="false">1/(1+wacc)^Sens!G2620</f>
        <v>0.884910302296739</v>
      </c>
      <c r="H2622" s="15" t="n">
        <f aca="false">1/(1+wacc)^Sens!H2620</f>
        <v>0.802322009770358</v>
      </c>
      <c r="I2622" s="15" t="n">
        <f aca="false">1/(1+wacc)^Sens!I2620</f>
        <v>0.727441646561469</v>
      </c>
      <c r="J2622" s="15" t="n">
        <f aca="false">1/(1+wacc)^Sens!J2620</f>
        <v>0.659549834988973</v>
      </c>
      <c r="K2622" s="15" t="n">
        <f aca="false">1/(1+wacc)^Sens!K2620</f>
        <v>0.597994336576966</v>
      </c>
    </row>
    <row r="2623" customFormat="false" ht="17.15" hidden="false" customHeight="false" outlineLevel="0" collapsed="false">
      <c r="A2623" s="1" t="s">
        <v>1216</v>
      </c>
      <c r="B2623" s="0" t="s">
        <v>98</v>
      </c>
      <c r="F2623" s="6" t="n">
        <f aca="false">Q!$I$35-Q!$I$39-Q!$I$43</f>
        <v>9.666</v>
      </c>
      <c r="L2623" s="12" t="s">
        <v>1217</v>
      </c>
    </row>
    <row r="2624" customFormat="false" ht="17.15" hidden="false" customHeight="false" outlineLevel="0" collapsed="false">
      <c r="A2624" s="1" t="s">
        <v>1218</v>
      </c>
      <c r="B2624" s="0" t="s">
        <v>98</v>
      </c>
      <c r="F2624" s="6" t="n">
        <f aca="false">Sens!F2595-Sens!F2592-Sens!F2599+Sens!F2577*(1-tax_f)*(1-v_off)-Sens!F2623</f>
        <v>-4.95202148088937</v>
      </c>
      <c r="G2624" s="6" t="n">
        <f aca="false">Sens!G2595-Sens!G2592-Sens!G2599+Sens!G2577*(1-tax_f)</f>
        <v>64.4826142902066</v>
      </c>
      <c r="H2624" s="6" t="n">
        <f aca="false">Sens!H2595-Sens!H2592-Sens!H2599+Sens!H2577*(1-tax_f)</f>
        <v>117.187491498865</v>
      </c>
      <c r="I2624" s="6" t="n">
        <f aca="false">Sens!I2595-Sens!I2592-Sens!I2599+Sens!I2577*(1-tax_f)</f>
        <v>187.133752473004</v>
      </c>
      <c r="J2624" s="6" t="n">
        <f aca="false">Sens!J2595-Sens!J2592-Sens!J2599+Sens!J2577*(1-tax_f)</f>
        <v>255.595274087443</v>
      </c>
      <c r="K2624" s="6" t="n">
        <f aca="false">Sens!K2595-Sens!K2592-Sens!K2599+Sens!K2577*(1-tax_f)</f>
        <v>290.405354657145</v>
      </c>
      <c r="L2624" s="1" t="s">
        <v>1219</v>
      </c>
    </row>
    <row r="2625" customFormat="false" ht="15" hidden="false" customHeight="false" outlineLevel="0" collapsed="false">
      <c r="A2625" s="1" t="s">
        <v>1220</v>
      </c>
      <c r="B2625" s="0" t="s">
        <v>98</v>
      </c>
      <c r="F2625" s="6" t="n">
        <f aca="false">Sens!F2624*Sens!F2622</f>
        <v>-4.77386113474053</v>
      </c>
      <c r="G2625" s="6" t="n">
        <f aca="false">Sens!G2624*Sens!G2622</f>
        <v>57.0613297044308</v>
      </c>
      <c r="H2625" s="6" t="n">
        <f aca="false">Sens!H2624*Sens!H2622</f>
        <v>94.0221036993163</v>
      </c>
      <c r="I2625" s="6" t="n">
        <f aca="false">Sens!I2624*Sens!I2622</f>
        <v>136.128885026188</v>
      </c>
      <c r="J2625" s="6" t="n">
        <f aca="false">Sens!J2624*Sens!J2622</f>
        <v>168.577820848334</v>
      </c>
      <c r="K2625" s="6" t="n">
        <f aca="false">Sens!K2624*Sens!K2622</f>
        <v>173.660757396598</v>
      </c>
    </row>
    <row r="2626" customFormat="false" ht="17.15" hidden="false" customHeight="false" outlineLevel="0" collapsed="false">
      <c r="A2626" s="1" t="s">
        <v>1221</v>
      </c>
      <c r="B2626" s="0" t="s">
        <v>98</v>
      </c>
      <c r="C2626" s="6" t="n">
        <f aca="false">SUM(Sens!F2625:K2625)</f>
        <v>624.677035540127</v>
      </c>
    </row>
    <row r="2627" customFormat="false" ht="17.15" hidden="false" customHeight="false" outlineLevel="0" collapsed="false">
      <c r="A2627" s="1" t="s">
        <v>1222</v>
      </c>
      <c r="B2627" s="0" t="s">
        <v>98</v>
      </c>
      <c r="C2627" s="6" t="n">
        <f aca="false">Sens!K2563*(1+g_tv)*(1-tax_f)</f>
        <v>303.970102309081</v>
      </c>
    </row>
    <row r="2628" customFormat="false" ht="17.15" hidden="false" customHeight="false" outlineLevel="0" collapsed="false">
      <c r="A2628" s="1" t="s">
        <v>1223</v>
      </c>
      <c r="B2628" s="0" t="s">
        <v>98</v>
      </c>
      <c r="C2628" s="6" t="n">
        <f aca="false">Sens!$C$2627*(1-g_tv/(wacc+ronic_prem))</f>
        <v>215.380583407178</v>
      </c>
    </row>
    <row r="2629" customFormat="false" ht="17.15" hidden="false" customHeight="false" outlineLevel="0" collapsed="false">
      <c r="A2629" s="1" t="s">
        <v>1224</v>
      </c>
      <c r="B2629" s="0" t="s">
        <v>98</v>
      </c>
      <c r="C2629" s="6" t="n">
        <f aca="false">Sens!$C$2628/(wacc-g_tv)</f>
        <v>2952.98396339676</v>
      </c>
    </row>
    <row r="2630" customFormat="false" ht="15" hidden="false" customHeight="false" outlineLevel="0" collapsed="false">
      <c r="A2630" s="1" t="s">
        <v>1225</v>
      </c>
      <c r="B2630" s="0" t="s">
        <v>98</v>
      </c>
      <c r="C2630" s="6" t="n">
        <f aca="false">Sens!$C$2629/(1+wacc)^Sens!K2621</f>
        <v>1681.4458546329</v>
      </c>
    </row>
    <row r="2631" customFormat="false" ht="17.15" hidden="false" customHeight="false" outlineLevel="0" collapsed="false">
      <c r="A2631" s="0" t="s">
        <v>1226</v>
      </c>
      <c r="B2631" s="0" t="s">
        <v>98</v>
      </c>
      <c r="C2631" s="6" t="n">
        <f aca="false">Sens!$C$2626+Sens!$C$2630</f>
        <v>2306.12289017302</v>
      </c>
    </row>
    <row r="2632" customFormat="false" ht="15" hidden="false" customHeight="false" outlineLevel="0" collapsed="false">
      <c r="A2632" s="1" t="s">
        <v>1141</v>
      </c>
      <c r="B2632" s="0" t="s">
        <v>168</v>
      </c>
      <c r="C2632" s="7" t="n">
        <f aca="false">Sens!$C$2630/Sens!$C$2631</f>
        <v>0.729122399243321</v>
      </c>
    </row>
    <row r="2633" customFormat="false" ht="17.15" hidden="false" customHeight="false" outlineLevel="0" collapsed="false">
      <c r="A2633" s="1" t="s">
        <v>1227</v>
      </c>
      <c r="B2633" s="0" t="s">
        <v>98</v>
      </c>
      <c r="C2633" s="6" t="n">
        <f aca="false">Sens!$C$2631+cash_val-debt_val-fl_val+oai_v</f>
        <v>2421.97389017302</v>
      </c>
    </row>
    <row r="2634" customFormat="false" ht="17.15" hidden="false" customHeight="false" outlineLevel="0" collapsed="false">
      <c r="A2634" s="0" t="s">
        <v>1149</v>
      </c>
      <c r="B2634" s="0" t="s">
        <v>75</v>
      </c>
      <c r="C2634" s="5" t="n">
        <f aca="false">Sens!$C$2633/shd_val</f>
        <v>325.271809048217</v>
      </c>
    </row>
    <row r="2635" customFormat="false" ht="15" hidden="false" customHeight="false" outlineLevel="0" collapsed="false">
      <c r="A2635" s="1" t="s">
        <v>1228</v>
      </c>
      <c r="B2635" s="0" t="s">
        <v>75</v>
      </c>
      <c r="C2635" s="8" t="n">
        <f aca="false">div_rem27+Sens!G2603*roll_div_q/q_per_yr</f>
        <v>3.9795</v>
      </c>
    </row>
    <row r="2636" customFormat="false" ht="17.15" hidden="false" customHeight="false" outlineLevel="0" collapsed="false">
      <c r="A2636" s="0" t="s">
        <v>1229</v>
      </c>
      <c r="B2636" s="0" t="s">
        <v>75</v>
      </c>
      <c r="C2636" s="5" t="n">
        <f aca="false">Sens!$C$2634*(1+wacc)^t_roll-Sens!$C$2635</f>
        <v>357.5782694187</v>
      </c>
    </row>
    <row r="2637" customFormat="false" ht="17.15" hidden="false" customHeight="false" outlineLevel="0" collapsed="false">
      <c r="A2637" s="1" t="s">
        <v>1230</v>
      </c>
      <c r="B2637" s="0" t="s">
        <v>168</v>
      </c>
      <c r="F2637" s="7" t="n">
        <f aca="false">Sens!F2589/(Sens!F2534-Sens!F2489)</f>
        <v>0.0868798557582639</v>
      </c>
      <c r="G2637" s="7" t="n">
        <f aca="false">Sens!G2589/(Sens!G2534-Sens!G2489)</f>
        <v>0.0799670619236328</v>
      </c>
      <c r="H2637" s="7" t="n">
        <f aca="false">Sens!H2589/(Sens!H2534-Sens!H2489)</f>
        <v>0.0754426760190849</v>
      </c>
      <c r="I2637" s="7" t="n">
        <f aca="false">Sens!I2589/(Sens!I2534-Sens!I2489)</f>
        <v>0.0730146093838315</v>
      </c>
      <c r="J2637" s="7" t="n">
        <f aca="false">Sens!J2589/(Sens!J2534-Sens!J2489)</f>
        <v>0.0721302109757663</v>
      </c>
      <c r="K2637" s="7" t="n">
        <f aca="false">Sens!K2589/(Sens!K2534-Sens!K2489)</f>
        <v>0.0721723260720183</v>
      </c>
    </row>
    <row r="2638" customFormat="false" ht="17.15" hidden="false" customHeight="false" outlineLevel="0" collapsed="false">
      <c r="A2638" s="0" t="s">
        <v>1231</v>
      </c>
      <c r="B2638" s="0" t="s">
        <v>98</v>
      </c>
      <c r="F2638" s="6" t="n">
        <f aca="false">Sens!F2519*(al_m365+Sens!F2637+sbc_r)</f>
        <v>86.7156909976437</v>
      </c>
      <c r="G2638" s="6" t="n">
        <f aca="false">Sens!G2519*(al_m365+Sens!G2637+sbc_r)</f>
        <v>101.007201005058</v>
      </c>
      <c r="H2638" s="6" t="n">
        <f aca="false">Sens!H2519*(al_m365+Sens!H2637+sbc_r)</f>
        <v>115.451629868349</v>
      </c>
      <c r="I2638" s="6" t="n">
        <f aca="false">Sens!I2519*(al_m365+Sens!I2637+sbc_r)</f>
        <v>128.365473251703</v>
      </c>
      <c r="J2638" s="6" t="n">
        <f aca="false">Sens!J2519*(al_m365+Sens!J2637+sbc_r)</f>
        <v>139.576859827634</v>
      </c>
      <c r="K2638" s="6" t="n">
        <f aca="false">Sens!K2519*(al_m365+Sens!K2637+sbc_r)</f>
        <v>150.425758964595</v>
      </c>
      <c r="L2638" s="12" t="s">
        <v>1232</v>
      </c>
    </row>
    <row r="2639" customFormat="false" ht="17.15" hidden="false" customHeight="false" outlineLevel="0" collapsed="false">
      <c r="A2639" s="0" t="s">
        <v>1233</v>
      </c>
      <c r="B2639" s="0" t="s">
        <v>98</v>
      </c>
      <c r="F2639" s="6" t="n">
        <f aca="false">Sens!F2520*(al_lic+Sens!F2637+sbc_r)</f>
        <v>33.5586895319599</v>
      </c>
      <c r="G2639" s="6" t="n">
        <f aca="false">Sens!G2520*(al_lic+Sens!G2637+sbc_r)</f>
        <v>34.703123736071</v>
      </c>
      <c r="H2639" s="6" t="n">
        <f aca="false">Sens!H2520*(al_lic+Sens!H2637+sbc_r)</f>
        <v>35.7910714439691</v>
      </c>
      <c r="I2639" s="6" t="n">
        <f aca="false">Sens!I2520*(al_lic+Sens!I2637+sbc_r)</f>
        <v>36.8028969850858</v>
      </c>
      <c r="J2639" s="6" t="n">
        <f aca="false">Sens!J2520*(al_lic+Sens!J2637+sbc_r)</f>
        <v>37.7057411079331</v>
      </c>
      <c r="K2639" s="6" t="n">
        <f aca="false">Sens!K2520*(al_lic+Sens!K2637+sbc_r)</f>
        <v>38.4617404169078</v>
      </c>
    </row>
    <row r="2640" customFormat="false" ht="17.15" hidden="false" customHeight="false" outlineLevel="0" collapsed="false">
      <c r="A2640" s="0" t="s">
        <v>1234</v>
      </c>
      <c r="B2640" s="0" t="s">
        <v>98</v>
      </c>
      <c r="F2640" s="6" t="n">
        <f aca="false">Sens!F2522*(al_ind+Sens!F2637+sbc_r)</f>
        <v>9.4679168989051</v>
      </c>
      <c r="G2640" s="6" t="n">
        <f aca="false">Sens!G2522*(al_ind+Sens!G2637+sbc_r)</f>
        <v>10.1809733734483</v>
      </c>
      <c r="H2640" s="6" t="n">
        <f aca="false">Sens!H2522*(al_ind+Sens!H2637+sbc_r)</f>
        <v>10.9502001147554</v>
      </c>
      <c r="I2640" s="6" t="n">
        <f aca="false">Sens!I2522*(al_ind+Sens!I2637+sbc_r)</f>
        <v>11.7736624417294</v>
      </c>
      <c r="J2640" s="6" t="n">
        <f aca="false">Sens!J2522*(al_ind+Sens!J2637+sbc_r)</f>
        <v>12.6385873924827</v>
      </c>
      <c r="K2640" s="6" t="n">
        <f aca="false">Sens!K2522*(al_ind+Sens!K2637+sbc_r)</f>
        <v>13.5246792713716</v>
      </c>
    </row>
    <row r="2641" customFormat="false" ht="17.15" hidden="false" customHeight="false" outlineLevel="0" collapsed="false">
      <c r="A2641" s="0" t="s">
        <v>1235</v>
      </c>
      <c r="B2641" s="0" t="s">
        <v>98</v>
      </c>
      <c r="F2641" s="6" t="n">
        <f aca="false">Sens!F2524*(al_fro+Sens!F2637+sbc_r)</f>
        <v>3.71387497274514</v>
      </c>
      <c r="G2641" s="6" t="n">
        <f aca="false">Sens!G2524*(al_fro+Sens!G2637+sbc_r)</f>
        <v>3.89553879636384</v>
      </c>
      <c r="H2641" s="6" t="n">
        <f aca="false">Sens!H2524*(al_fro+Sens!H2637+sbc_r)</f>
        <v>4.11231408024679</v>
      </c>
      <c r="I2641" s="6" t="n">
        <f aca="false">Sens!I2524*(al_fro+Sens!I2637+sbc_r)</f>
        <v>4.36670984347015</v>
      </c>
      <c r="J2641" s="6" t="n">
        <f aca="false">Sens!J2524*(al_fro+Sens!J2637+sbc_r)</f>
        <v>4.65826778519932</v>
      </c>
      <c r="K2641" s="6" t="n">
        <f aca="false">Sens!K2524*(al_fro+Sens!K2637+sbc_r)</f>
        <v>4.98485913009996</v>
      </c>
    </row>
    <row r="2642" customFormat="false" ht="17.15" hidden="false" customHeight="false" outlineLevel="0" collapsed="false">
      <c r="A2642" s="0" t="s">
        <v>1236</v>
      </c>
      <c r="B2642" s="0" t="s">
        <v>98</v>
      </c>
      <c r="F2642" s="6" t="n">
        <f aca="false">Sens!F2527*(al_srch+Sens!F2637+sbc_r)</f>
        <v>11.6923290618434</v>
      </c>
      <c r="G2642" s="6" t="n">
        <f aca="false">Sens!G2527*(al_srch+Sens!G2637+sbc_r)</f>
        <v>12.6915428303113</v>
      </c>
      <c r="H2642" s="6" t="n">
        <f aca="false">Sens!H2527*(al_srch+Sens!H2637+sbc_r)</f>
        <v>13.7475680568392</v>
      </c>
      <c r="I2642" s="6" t="n">
        <f aca="false">Sens!I2527*(al_srch+Sens!I2637+sbc_r)</f>
        <v>14.8518738748497</v>
      </c>
      <c r="J2642" s="6" t="n">
        <f aca="false">Sens!J2527*(al_srch+Sens!J2637+sbc_r)</f>
        <v>15.9811457401942</v>
      </c>
      <c r="K2642" s="6" t="n">
        <f aca="false">Sens!K2527*(al_srch+Sens!K2637+sbc_r)</f>
        <v>17.1015845215211</v>
      </c>
    </row>
    <row r="2643" customFormat="false" ht="17.15" hidden="false" customHeight="false" outlineLevel="0" collapsed="false">
      <c r="A2643" s="0" t="s">
        <v>1237</v>
      </c>
      <c r="B2643" s="0" t="s">
        <v>98</v>
      </c>
      <c r="F2643" s="6" t="n">
        <f aca="false">Sens!F2495-Sens!F2496+Sens!F2577</f>
        <v>42.1097882151482</v>
      </c>
      <c r="G2643" s="6" t="n">
        <f aca="false">Sens!G2495-Sens!G2496+Sens!G2577</f>
        <v>80.8296422843559</v>
      </c>
      <c r="H2643" s="6" t="n">
        <f aca="false">Sens!H2495-Sens!H2496+Sens!H2577</f>
        <v>126.752594471879</v>
      </c>
      <c r="I2643" s="6" t="n">
        <f aca="false">Sens!I2495-Sens!I2496+Sens!I2577</f>
        <v>162.514356467221</v>
      </c>
      <c r="J2643" s="6" t="n">
        <f aca="false">Sens!J2495-Sens!J2496+Sens!J2577</f>
        <v>187.659327309045</v>
      </c>
      <c r="K2643" s="6" t="n">
        <f aca="false">Sens!K2495-Sens!K2496+Sens!K2577</f>
        <v>202.694026040761</v>
      </c>
    </row>
    <row r="2644" customFormat="false" ht="17.15" hidden="false" customHeight="false" outlineLevel="0" collapsed="false">
      <c r="A2644" s="0" t="s">
        <v>1238</v>
      </c>
      <c r="B2644" s="0" t="s">
        <v>98</v>
      </c>
      <c r="F2644" s="6" t="n">
        <f aca="false">Sens!F2556+Sens!F2577+Sens!F2507+Sens!F2637*(Sens!F2526-Sens!F2489)+sbc_r*Sens!F2526</f>
        <v>233.34270812779</v>
      </c>
      <c r="G2644" s="6" t="n">
        <f aca="false">Sens!G2556+Sens!G2577+Sens!G2507+Sens!G2637*(Sens!G2526-Sens!G2489)+sbc_r*Sens!G2526</f>
        <v>296.785636665448</v>
      </c>
      <c r="H2644" s="6" t="n">
        <f aca="false">Sens!H2556+Sens!H2577+Sens!H2507+Sens!H2637*(Sens!H2526-Sens!H2489)+sbc_r*Sens!H2526</f>
        <v>371.772172582729</v>
      </c>
      <c r="I2644" s="6" t="n">
        <f aca="false">Sens!I2556+Sens!I2577+Sens!I2507+Sens!I2637*(Sens!I2526-Sens!I2489)+sbc_r*Sens!I2526</f>
        <v>434.55425374772</v>
      </c>
      <c r="J2644" s="6" t="n">
        <f aca="false">Sens!J2556+Sens!J2577+Sens!J2507+Sens!J2637*(Sens!J2526-Sens!J2489)+sbc_r*Sens!J2526</f>
        <v>483.826287439338</v>
      </c>
      <c r="K2644" s="6" t="n">
        <f aca="false">Sens!K2556+Sens!K2577+Sens!K2507+Sens!K2637*(Sens!K2526-Sens!K2489)+sbc_r*Sens!K2526</f>
        <v>520.629566217177</v>
      </c>
    </row>
    <row r="2645" customFormat="false" ht="17.15" hidden="false" customHeight="false" outlineLevel="0" collapsed="false">
      <c r="A2645" s="0" t="s">
        <v>1239</v>
      </c>
      <c r="B2645" s="0" t="s">
        <v>98</v>
      </c>
      <c r="F2645" s="6" t="n">
        <f aca="false">Sens!F2644-Sens!F2638-Sens!F2639-Sens!F2640-Sens!F2641-Sens!F2643</f>
        <v>57.7767475113881</v>
      </c>
      <c r="G2645" s="6" t="n">
        <f aca="false">Sens!G2644-Sens!G2638-Sens!G2639-Sens!G2640-Sens!G2641-Sens!G2643</f>
        <v>66.1691574701508</v>
      </c>
      <c r="H2645" s="6" t="n">
        <f aca="false">Sens!H2644-Sens!H2638-Sens!H2639-Sens!H2640-Sens!H2641-Sens!H2643</f>
        <v>78.7143626035292</v>
      </c>
      <c r="I2645" s="6" t="n">
        <f aca="false">Sens!I2644-Sens!I2638-Sens!I2639-Sens!I2640-Sens!I2641-Sens!I2643</f>
        <v>90.7311547585105</v>
      </c>
      <c r="J2645" s="6" t="n">
        <f aca="false">Sens!J2644-Sens!J2638-Sens!J2639-Sens!J2640-Sens!J2641-Sens!J2643</f>
        <v>101.587504017044</v>
      </c>
      <c r="K2645" s="6" t="n">
        <f aca="false">Sens!K2644-Sens!K2638-Sens!K2639-Sens!K2640-Sens!K2641-Sens!K2643</f>
        <v>110.538502393441</v>
      </c>
    </row>
    <row r="2646" customFormat="false" ht="17.15" hidden="false" customHeight="false" outlineLevel="0" collapsed="false">
      <c r="A2646" s="0" t="s">
        <v>1240</v>
      </c>
      <c r="B2646" s="0" t="s">
        <v>98</v>
      </c>
      <c r="F2646" s="6" t="n">
        <f aca="false">Sens!F2558+Sens!F2637*Sens!F2533+sbc_r*Sens!F2533</f>
        <v>27.8078190843056</v>
      </c>
      <c r="G2646" s="6" t="n">
        <f aca="false">Sens!G2558+Sens!G2637*Sens!G2533+sbc_r*Sens!G2533</f>
        <v>27.4088067461882</v>
      </c>
      <c r="H2646" s="6" t="n">
        <f aca="false">Sens!H2558+Sens!H2637*Sens!H2533+sbc_r*Sens!H2533</f>
        <v>28.1062963706283</v>
      </c>
      <c r="I2646" s="6" t="n">
        <f aca="false">Sens!I2558+Sens!I2637*Sens!I2533+sbc_r*Sens!I2533</f>
        <v>29.0904174591482</v>
      </c>
      <c r="J2646" s="6" t="n">
        <f aca="false">Sens!J2558+Sens!J2637*Sens!J2533+sbc_r*Sens!J2533</f>
        <v>30.3101929874109</v>
      </c>
      <c r="K2646" s="6" t="n">
        <f aca="false">Sens!K2558+Sens!K2637*Sens!K2533+sbc_r*Sens!K2533</f>
        <v>31.7113463073964</v>
      </c>
    </row>
    <row r="2647" customFormat="false" ht="17.15" hidden="false" customHeight="false" outlineLevel="0" collapsed="false">
      <c r="A2647" s="0" t="s">
        <v>1241</v>
      </c>
      <c r="B2647" s="0" t="s">
        <v>98</v>
      </c>
      <c r="F2647" s="6" t="n">
        <f aca="false">(Sens!F2646-Sens!F2642)*Sens!F2529/(Sens!F2529+Sens!F2531)</f>
        <v>9.10179538831051</v>
      </c>
      <c r="G2647" s="6" t="n">
        <f aca="false">(Sens!G2646-Sens!G2642)*Sens!G2529/(Sens!G2529+Sens!G2531)</f>
        <v>8.16924343269969</v>
      </c>
      <c r="H2647" s="6" t="n">
        <f aca="false">(Sens!H2646-Sens!H2642)*Sens!H2529/(Sens!H2529+Sens!H2531)</f>
        <v>7.8663993957866</v>
      </c>
      <c r="I2647" s="6" t="n">
        <f aca="false">(Sens!I2646-Sens!I2642)*Sens!I2529/(Sens!I2529+Sens!I2531)</f>
        <v>7.73246964426742</v>
      </c>
      <c r="J2647" s="6" t="n">
        <f aca="false">(Sens!J2646-Sens!J2642)*Sens!J2529/(Sens!J2529+Sens!J2531)</f>
        <v>7.74766827518596</v>
      </c>
      <c r="K2647" s="6" t="n">
        <f aca="false">(Sens!K2646-Sens!K2642)*Sens!K2529/(Sens!K2529+Sens!K2531)</f>
        <v>7.89944969428697</v>
      </c>
    </row>
    <row r="2648" customFormat="false" ht="17.15" hidden="false" customHeight="false" outlineLevel="0" collapsed="false">
      <c r="A2648" s="0" t="s">
        <v>1242</v>
      </c>
      <c r="B2648" s="0" t="s">
        <v>98</v>
      </c>
      <c r="F2648" s="6" t="n">
        <f aca="false">Sens!F2646-Sens!F2642-Sens!F2647</f>
        <v>7.01369463415166</v>
      </c>
      <c r="G2648" s="6" t="n">
        <f aca="false">Sens!G2646-Sens!G2642-Sens!G2647</f>
        <v>6.54802048317719</v>
      </c>
      <c r="H2648" s="6" t="n">
        <f aca="false">Sens!H2646-Sens!H2642-Sens!H2647</f>
        <v>6.49232891800251</v>
      </c>
      <c r="I2648" s="6" t="n">
        <f aca="false">Sens!I2646-Sens!I2642-Sens!I2647</f>
        <v>6.50607394003113</v>
      </c>
      <c r="J2648" s="6" t="n">
        <f aca="false">Sens!J2646-Sens!J2642-Sens!J2647</f>
        <v>6.58137897203075</v>
      </c>
      <c r="K2648" s="6" t="n">
        <f aca="false">Sens!K2646-Sens!K2642-Sens!K2647</f>
        <v>6.71031209158825</v>
      </c>
    </row>
    <row r="2649" customFormat="false" ht="17.15" hidden="false" customHeight="false" outlineLevel="0" collapsed="false">
      <c r="A2649" s="0" t="s">
        <v>1243</v>
      </c>
      <c r="B2649" s="0" t="s">
        <v>98</v>
      </c>
      <c r="F2649" s="6" t="n">
        <f aca="false">Sens!F2643-tax_f*(Sens!F2643-Sens!F2507)-Sens!F2504</f>
        <v>-95.5426023450409</v>
      </c>
      <c r="G2649" s="6" t="n">
        <f aca="false">Sens!G2643-tax_f*(Sens!G2643-Sens!G2507)-Sens!G2504</f>
        <v>-79.1743481873859</v>
      </c>
      <c r="H2649" s="6" t="n">
        <f aca="false">Sens!H2643-tax_f*(Sens!H2643-Sens!H2507)-Sens!H2504</f>
        <v>-41.7867131682751</v>
      </c>
      <c r="I2649" s="6" t="n">
        <f aca="false">Sens!I2643-tax_f*(Sens!I2643-Sens!I2507)-Sens!I2504</f>
        <v>13.3965798276161</v>
      </c>
      <c r="J2649" s="6" t="n">
        <f aca="false">Sens!J2643-tax_f*(Sens!J2643-Sens!J2507)-Sens!J2504</f>
        <v>68.106024578419</v>
      </c>
      <c r="K2649" s="6" t="n">
        <f aca="false">Sens!K2643-tax_f*(Sens!K2643-Sens!K2507)-Sens!K2504</f>
        <v>89.8669655089723</v>
      </c>
    </row>
    <row r="2650" customFormat="false" ht="17.15" hidden="false" customHeight="false" outlineLevel="0" collapsed="false">
      <c r="A2650" s="0" t="s">
        <v>1244</v>
      </c>
      <c r="B2650" s="0" t="s">
        <v>98</v>
      </c>
      <c r="G2650" s="6" t="n">
        <f aca="false">Sens!G2649/(1+wacc)^(Sens!G2620-Sens!F2621)</f>
        <v>-75.3892155113357</v>
      </c>
      <c r="H2650" s="6" t="n">
        <f aca="false">Sens!H2649/(1+wacc)^(Sens!H2620-Sens!F2621)</f>
        <v>-36.0755029373243</v>
      </c>
      <c r="I2650" s="6" t="n">
        <f aca="false">Sens!I2649/(1+wacc)^(Sens!I2620-Sens!F2621)</f>
        <v>10.4861864056243</v>
      </c>
      <c r="J2650" s="6" t="n">
        <f aca="false">Sens!J2649/(1+wacc)^(Sens!J2620-Sens!F2621)</f>
        <v>48.3346549926835</v>
      </c>
      <c r="K2650" s="6" t="n">
        <f aca="false">Sens!K2649/(1+wacc)^(Sens!K2620-Sens!F2621)</f>
        <v>57.8259297758537</v>
      </c>
      <c r="L2650" s="1" t="s">
        <v>1245</v>
      </c>
    </row>
    <row r="2651" customFormat="false" ht="17.15" hidden="false" customHeight="false" outlineLevel="0" collapsed="false">
      <c r="A2651" s="0" t="s">
        <v>1246</v>
      </c>
      <c r="B2651" s="0" t="s">
        <v>98</v>
      </c>
      <c r="C2651" s="6" t="n">
        <f aca="false">(Sens!K2643-Sens!K2507)*(1-tax_f)*(1+g_tv)*(1-g_tv/(wacc+ronic_prem))/(wacc-g_tv)/(1+wacc)^(Sens!K2621-Sens!F2621)</f>
        <v>432.99827682912</v>
      </c>
    </row>
    <row r="2652" customFormat="false" ht="17.15" hidden="false" customHeight="false" outlineLevel="0" collapsed="false">
      <c r="A2652" s="1" t="s">
        <v>1247</v>
      </c>
      <c r="B2652" s="0" t="s">
        <v>98</v>
      </c>
      <c r="C2652" s="6" t="n">
        <f aca="false">(SUM(Sens!G2650:K2650)+Sens!$C$2651)*(1+wacc)^(t_roll-Sens!F2621)</f>
        <v>452.645987388895</v>
      </c>
      <c r="L2652" s="12" t="s">
        <v>1248</v>
      </c>
    </row>
    <row r="2653" customFormat="false" ht="17.15" hidden="false" customHeight="false" outlineLevel="0" collapsed="false">
      <c r="A2653" s="1" t="s">
        <v>1249</v>
      </c>
      <c r="B2653" s="0" t="s">
        <v>98</v>
      </c>
      <c r="C2653" s="6" t="n">
        <f aca="false">(w_ntm28*Sens!G2495+(1-w_ntm28)*Sens!H2495)*m_ai</f>
        <v>563.316843258668</v>
      </c>
    </row>
    <row r="2654" customFormat="false" ht="17.15" hidden="false" customHeight="false" outlineLevel="0" collapsed="false">
      <c r="A2654" s="1" t="s">
        <v>1250</v>
      </c>
      <c r="B2654" s="0" t="s">
        <v>98</v>
      </c>
      <c r="C2654" s="6" t="n">
        <f aca="false">(w_ntm28*Sens!G2645+(1-w_ntm28)*Sens!H2645)*m_cloud</f>
        <v>971.457669095551</v>
      </c>
    </row>
    <row r="2655" customFormat="false" ht="17.15" hidden="false" customHeight="false" outlineLevel="0" collapsed="false">
      <c r="A2655" s="1" t="s">
        <v>1251</v>
      </c>
      <c r="B2655" s="0" t="s">
        <v>98</v>
      </c>
      <c r="C2655" s="6" t="n">
        <f aca="false">(w_ntm28*Sens!G2638+(1-w_ntm28)*Sens!H2638)*m_sw</f>
        <v>1142.16538676374</v>
      </c>
    </row>
    <row r="2656" customFormat="false" ht="17.15" hidden="false" customHeight="false" outlineLevel="0" collapsed="false">
      <c r="A2656" s="1" t="s">
        <v>1252</v>
      </c>
      <c r="B2656" s="0" t="s">
        <v>98</v>
      </c>
      <c r="C2656" s="6" t="n">
        <f aca="false">(w_ntm28*Sens!G2639+(1-w_ntm28)*Sens!H2639)*m_sw</f>
        <v>378.656695882268</v>
      </c>
    </row>
    <row r="2657" customFormat="false" ht="17.15" hidden="false" customHeight="false" outlineLevel="0" collapsed="false">
      <c r="A2657" s="1" t="s">
        <v>1253</v>
      </c>
      <c r="B2657" s="0" t="s">
        <v>98</v>
      </c>
      <c r="C2657" s="6" t="n">
        <f aca="false">(w_ntm28*Sens!G2640+(1-w_ntm28)*Sens!H2640)*m_sw</f>
        <v>112.685794232513</v>
      </c>
    </row>
    <row r="2658" customFormat="false" ht="17.15" hidden="false" customHeight="false" outlineLevel="0" collapsed="false">
      <c r="A2658" s="1" t="s">
        <v>1254</v>
      </c>
      <c r="B2658" s="0" t="s">
        <v>98</v>
      </c>
      <c r="C2658" s="6" t="n">
        <f aca="false">(w_ntm28*Sens!G2641+(1-w_ntm28)*Sens!H2641)*m_sw</f>
        <v>42.8415197347358</v>
      </c>
    </row>
    <row r="2659" customFormat="false" ht="17.15" hidden="false" customHeight="false" outlineLevel="0" collapsed="false">
      <c r="A2659" s="1" t="s">
        <v>1255</v>
      </c>
      <c r="B2659" s="0" t="s">
        <v>98</v>
      </c>
      <c r="C2659" s="6" t="n">
        <f aca="false">(w_ntm28*Sens!G2642+(1-w_ntm28)*Sens!H2642)*m_ads</f>
        <v>118.782823068082</v>
      </c>
    </row>
    <row r="2660" customFormat="false" ht="17.15" hidden="false" customHeight="false" outlineLevel="0" collapsed="false">
      <c r="A2660" s="1" t="s">
        <v>1256</v>
      </c>
      <c r="B2660" s="0" t="s">
        <v>98</v>
      </c>
      <c r="C2660" s="6" t="n">
        <f aca="false">(w_ntm28*Sens!G2647+(1-w_ntm28)*Sens!H2647)*m_game</f>
        <v>101.920036548571</v>
      </c>
    </row>
    <row r="2661" customFormat="false" ht="17.15" hidden="false" customHeight="false" outlineLevel="0" collapsed="false">
      <c r="A2661" s="1" t="s">
        <v>1257</v>
      </c>
      <c r="B2661" s="0" t="s">
        <v>98</v>
      </c>
      <c r="C2661" s="6" t="n">
        <f aca="false">(w_ntm28*Sens!G2648+(1-w_ntm28)*Sens!H2648)*m_pc</f>
        <v>94.4849171209731</v>
      </c>
    </row>
    <row r="2662" customFormat="false" ht="17.15" hidden="false" customHeight="false" outlineLevel="0" collapsed="false">
      <c r="A2662" s="1" t="s">
        <v>1258</v>
      </c>
      <c r="B2662" s="0" t="s">
        <v>98</v>
      </c>
      <c r="C2662" s="6" t="n">
        <f aca="false">Sens!$C$2652+Sens!$C$2654+Sens!$C$2655+Sens!$C$2656+Sens!$C$2657+Sens!$C$2658+Sens!$C$2659+Sens!$C$2660+Sens!$C$2661</f>
        <v>3415.64082983533</v>
      </c>
    </row>
    <row r="2663" customFormat="false" ht="17.15" hidden="false" customHeight="false" outlineLevel="0" collapsed="false">
      <c r="A2663" s="1" t="s">
        <v>1259</v>
      </c>
      <c r="B2663" s="0" t="s">
        <v>98</v>
      </c>
      <c r="C2663" s="6" t="n">
        <f aca="false">(Sens!G2624-Sens!G2649)*t_stub</f>
        <v>47.6232670131197</v>
      </c>
      <c r="L2663" s="1" t="s">
        <v>1260</v>
      </c>
    </row>
    <row r="2664" customFormat="false" ht="17.15" hidden="false" customHeight="false" outlineLevel="0" collapsed="false">
      <c r="A2664" s="1" t="s">
        <v>1169</v>
      </c>
      <c r="B2664" s="0" t="s">
        <v>98</v>
      </c>
      <c r="C2664" s="6" t="n">
        <f aca="false">Sens!F2611+oai_v-Sens!F2600+Sens!$C$2663</f>
        <v>161.85153701312</v>
      </c>
      <c r="L2664" s="1" t="s">
        <v>1261</v>
      </c>
    </row>
    <row r="2665" customFormat="false" ht="17.15" hidden="false" customHeight="false" outlineLevel="0" collapsed="false">
      <c r="A2665" s="1" t="s">
        <v>1262</v>
      </c>
      <c r="B2665" s="0" t="s">
        <v>75</v>
      </c>
      <c r="C2665" s="5" t="n">
        <f aca="false">(Sens!$C$2662+Sens!$C$2664)/(Sens!F2613+dil_gap)-Sens!G2603*roll_div_q/q_per_yr</f>
        <v>476.5959750326</v>
      </c>
      <c r="L2665" s="1" t="s">
        <v>1263</v>
      </c>
    </row>
    <row r="2666" customFormat="false" ht="17.15" hidden="false" customHeight="false" outlineLevel="0" collapsed="false">
      <c r="A2666" s="1" t="s">
        <v>1264</v>
      </c>
      <c r="B2666" s="0" t="s">
        <v>75</v>
      </c>
      <c r="C2666" s="5" t="n">
        <f aca="false">w_dcf*Sens!$C$2636+(1-w_dcf)*Sens!$C$2665</f>
        <v>417.08712222565</v>
      </c>
    </row>
    <row r="2667" customFormat="false" ht="17.15" hidden="false" customHeight="false" outlineLevel="0" collapsed="false">
      <c r="A2667" s="3" t="s">
        <v>1545</v>
      </c>
    </row>
    <row r="2668" customFormat="false" ht="15" hidden="false" customHeight="false" outlineLevel="0" collapsed="false">
      <c r="A2668" s="4" t="s">
        <v>43</v>
      </c>
      <c r="B2668" s="4" t="s">
        <v>65</v>
      </c>
      <c r="C2668" s="23" t="s">
        <v>938</v>
      </c>
      <c r="D2668" s="23" t="s">
        <v>939</v>
      </c>
      <c r="E2668" s="23" t="s">
        <v>940</v>
      </c>
      <c r="F2668" s="23" t="s">
        <v>941</v>
      </c>
      <c r="G2668" s="23" t="s">
        <v>942</v>
      </c>
      <c r="H2668" s="23" t="s">
        <v>943</v>
      </c>
      <c r="I2668" s="23" t="s">
        <v>944</v>
      </c>
      <c r="J2668" s="23" t="s">
        <v>945</v>
      </c>
      <c r="K2668" s="23" t="s">
        <v>946</v>
      </c>
      <c r="L2668" s="4" t="s">
        <v>47</v>
      </c>
    </row>
    <row r="2669" customFormat="false" ht="17.15" hidden="false" customHeight="false" outlineLevel="0" collapsed="false">
      <c r="A2669" s="1" t="s">
        <v>947</v>
      </c>
      <c r="B2669" s="1" t="s">
        <v>279</v>
      </c>
      <c r="C2669" s="21" t="n">
        <v>2024</v>
      </c>
      <c r="D2669" s="21" t="n">
        <v>2025</v>
      </c>
      <c r="E2669" s="21" t="n">
        <v>2026</v>
      </c>
      <c r="F2669" s="21" t="n">
        <v>2027</v>
      </c>
      <c r="G2669" s="21" t="n">
        <v>2028</v>
      </c>
      <c r="H2669" s="21" t="n">
        <v>2029</v>
      </c>
      <c r="I2669" s="21" t="n">
        <v>2030</v>
      </c>
      <c r="J2669" s="21" t="n">
        <v>2031</v>
      </c>
      <c r="K2669" s="21" t="n">
        <v>2032</v>
      </c>
    </row>
    <row r="2670" customFormat="false" ht="17.15" hidden="false" customHeight="false" outlineLevel="0" collapsed="false">
      <c r="A2670" s="1" t="s">
        <v>948</v>
      </c>
      <c r="B2670" s="0" t="s">
        <v>456</v>
      </c>
      <c r="F2670" s="30" t="n">
        <f aca="false">pace</f>
        <v>2726.5351</v>
      </c>
      <c r="G2670" s="30" t="n">
        <f aca="false">pace</f>
        <v>2726.5351</v>
      </c>
      <c r="H2670" s="30" t="n">
        <f aca="false">pace</f>
        <v>2726.5351</v>
      </c>
      <c r="I2670" s="30" t="n">
        <f aca="false">pace+(g_tv*Sens!H2671-pace)*MIN(1,(Sens!I2669-pace_y0)/(pace_y1-pace_y0))</f>
        <v>1931.98611966667</v>
      </c>
      <c r="J2670" s="30" t="n">
        <f aca="false">pace+(g_tv*Sens!I2671-pace)*MIN(1,(Sens!J2669-pace_y0)/(pace_y1-pace_y0))</f>
        <v>1176.07686172667</v>
      </c>
      <c r="K2670" s="30" t="n">
        <f aca="false">pace+(g_tv*Sens!J2671-pace)*MIN(1,(Sens!K2669-pace_y0)/(pace_y1-pace_y0))</f>
        <v>436.1300484418</v>
      </c>
      <c r="L2670" s="12" t="s">
        <v>949</v>
      </c>
    </row>
    <row r="2671" customFormat="false" ht="17.15" hidden="false" customHeight="false" outlineLevel="0" collapsed="false">
      <c r="A2671" s="1" t="s">
        <v>950</v>
      </c>
      <c r="B2671" s="0" t="s">
        <v>456</v>
      </c>
      <c r="C2671" s="30" t="n">
        <f aca="false">mw_ext_24</f>
        <v>640</v>
      </c>
      <c r="D2671" s="30" t="n">
        <f aca="false">mw_ext_25</f>
        <v>1630</v>
      </c>
      <c r="E2671" s="30" t="n">
        <f aca="false">mw_ext_26</f>
        <v>3250</v>
      </c>
      <c r="F2671" s="30" t="n">
        <f aca="false">Sens!E2671+Sens!F2670</f>
        <v>5976.5351</v>
      </c>
      <c r="G2671" s="30" t="n">
        <f aca="false">Sens!F2671+Sens!G2670</f>
        <v>8703.0702</v>
      </c>
      <c r="H2671" s="30" t="n">
        <f aca="false">Sens!G2671+Sens!H2670</f>
        <v>11429.6053</v>
      </c>
      <c r="I2671" s="30" t="n">
        <f aca="false">Sens!H2671+Sens!I2670</f>
        <v>13361.5914196667</v>
      </c>
      <c r="J2671" s="30" t="n">
        <f aca="false">Sens!I2671+Sens!J2670</f>
        <v>14537.6682813933</v>
      </c>
      <c r="K2671" s="30" t="n">
        <f aca="false">Sens!J2671+Sens!K2670</f>
        <v>14973.7983298351</v>
      </c>
      <c r="L2671" s="1" t="s">
        <v>951</v>
      </c>
    </row>
    <row r="2672" customFormat="false" ht="17.15" hidden="false" customHeight="false" outlineLevel="0" collapsed="false">
      <c r="A2672" s="1" t="s">
        <v>952</v>
      </c>
      <c r="B2672" s="0" t="s">
        <v>456</v>
      </c>
      <c r="C2672" s="30" t="n">
        <f aca="false">rent_ext_24</f>
        <v>150</v>
      </c>
      <c r="D2672" s="30" t="n">
        <f aca="false">rent_ext_25</f>
        <v>400</v>
      </c>
      <c r="E2672" s="30" t="n">
        <f aca="false">rent_ext_26</f>
        <v>550</v>
      </c>
      <c r="F2672" s="30" t="n">
        <f aca="false">rent_ext_f</f>
        <v>756</v>
      </c>
      <c r="G2672" s="30" t="n">
        <f aca="false">rent_ext_f</f>
        <v>756</v>
      </c>
      <c r="H2672" s="30" t="n">
        <f aca="false">rent_ext_f</f>
        <v>756</v>
      </c>
      <c r="I2672" s="30" t="n">
        <f aca="false">rent_ext_f</f>
        <v>756</v>
      </c>
      <c r="J2672" s="30" t="n">
        <f aca="false">rent_ext_f</f>
        <v>756</v>
      </c>
      <c r="K2672" s="30" t="n">
        <f aca="false">rent_ext_f</f>
        <v>756</v>
      </c>
      <c r="L2672" s="1" t="s">
        <v>953</v>
      </c>
    </row>
    <row r="2673" customFormat="false" ht="17.15" hidden="false" customHeight="false" outlineLevel="0" collapsed="false">
      <c r="A2673" s="1" t="s">
        <v>954</v>
      </c>
      <c r="B2673" s="0" t="s">
        <v>456</v>
      </c>
      <c r="C2673" s="30" t="n">
        <f aca="false">Sens!C2671-Sens!C2672</f>
        <v>490</v>
      </c>
      <c r="D2673" s="30" t="n">
        <f aca="false">Sens!D2671-Sens!D2672</f>
        <v>1230</v>
      </c>
      <c r="E2673" s="30" t="n">
        <f aca="false">Sens!E2671-Sens!E2672</f>
        <v>2700</v>
      </c>
      <c r="F2673" s="30" t="n">
        <f aca="false">Sens!F2671-Sens!F2672</f>
        <v>5220.5351</v>
      </c>
      <c r="G2673" s="30" t="n">
        <f aca="false">Sens!G2671-Sens!G2672</f>
        <v>7947.0702</v>
      </c>
      <c r="H2673" s="30" t="n">
        <f aca="false">Sens!H2671-Sens!H2672</f>
        <v>10673.6053</v>
      </c>
      <c r="I2673" s="30" t="n">
        <f aca="false">Sens!I2671-Sens!I2672</f>
        <v>12605.5914196667</v>
      </c>
      <c r="J2673" s="30" t="n">
        <f aca="false">Sens!J2671-Sens!J2672</f>
        <v>13781.6682813933</v>
      </c>
      <c r="K2673" s="30" t="n">
        <f aca="false">Sens!K2671-Sens!K2672</f>
        <v>14217.7983298351</v>
      </c>
    </row>
    <row r="2674" customFormat="false" ht="17.15" hidden="false" customHeight="false" outlineLevel="0" collapsed="false">
      <c r="A2674" s="1" t="s">
        <v>955</v>
      </c>
      <c r="B2674" s="0" t="s">
        <v>456</v>
      </c>
      <c r="C2674" s="30" t="n">
        <f aca="false">Sens!C2673/ext_sh_hi</f>
        <v>653.333333333333</v>
      </c>
      <c r="D2674" s="30" t="n">
        <f aca="false">Sens!D2673/ext_sh_hi</f>
        <v>1640</v>
      </c>
      <c r="E2674" s="30" t="n">
        <f aca="false">Sens!E2673/ext_sh_hi</f>
        <v>3600</v>
      </c>
      <c r="F2674" s="30" t="n">
        <f aca="false">Sens!F2673/ext_sh_hi</f>
        <v>6960.71346666667</v>
      </c>
      <c r="G2674" s="30" t="n">
        <f aca="false">Sens!G2673/ext_sh_hi</f>
        <v>10596.0936</v>
      </c>
      <c r="H2674" s="30" t="n">
        <f aca="false">Sens!H2673/ext_sh_hi</f>
        <v>14231.4737333333</v>
      </c>
      <c r="I2674" s="30" t="n">
        <f aca="false">Sens!I2673/ext_sh_hi</f>
        <v>16807.4552262222</v>
      </c>
      <c r="J2674" s="30" t="n">
        <f aca="false">Sens!J2673/ext_sh_hi</f>
        <v>18375.5577085244</v>
      </c>
      <c r="K2674" s="30" t="n">
        <f aca="false">Sens!K2673/ext_sh_hi</f>
        <v>18957.0644397802</v>
      </c>
      <c r="L2674" s="1" t="s">
        <v>956</v>
      </c>
    </row>
    <row r="2675" customFormat="false" ht="17.15" hidden="false" customHeight="false" outlineLevel="0" collapsed="false">
      <c r="A2675" s="1" t="s">
        <v>957</v>
      </c>
      <c r="B2675" s="0" t="s">
        <v>456</v>
      </c>
      <c r="C2675" s="30" t="n">
        <f aca="false">Sens!C2674-Sens!C2673</f>
        <v>163.333333333333</v>
      </c>
      <c r="D2675" s="30" t="n">
        <f aca="false">Sens!D2674-Sens!D2673</f>
        <v>410</v>
      </c>
      <c r="E2675" s="30" t="n">
        <f aca="false">Sens!E2674-Sens!E2673</f>
        <v>900</v>
      </c>
      <c r="F2675" s="30" t="n">
        <f aca="false">Sens!F2674-Sens!F2673</f>
        <v>1740.17836666667</v>
      </c>
      <c r="G2675" s="30" t="n">
        <f aca="false">Sens!G2674-Sens!G2673</f>
        <v>2649.0234</v>
      </c>
      <c r="H2675" s="30" t="n">
        <f aca="false">Sens!H2674-Sens!H2673</f>
        <v>3557.86843333333</v>
      </c>
      <c r="I2675" s="30" t="n">
        <f aca="false">Sens!I2674-Sens!I2673</f>
        <v>4201.86380655556</v>
      </c>
      <c r="J2675" s="30" t="n">
        <f aca="false">Sens!J2674-Sens!J2673</f>
        <v>4593.88942713111</v>
      </c>
      <c r="K2675" s="30" t="n">
        <f aca="false">Sens!K2674-Sens!K2673</f>
        <v>4739.26610994505</v>
      </c>
    </row>
    <row r="2676" customFormat="false" ht="17.15" hidden="false" customHeight="false" outlineLevel="0" collapsed="false">
      <c r="A2676" s="1" t="s">
        <v>958</v>
      </c>
      <c r="B2676" s="0" t="s">
        <v>456</v>
      </c>
      <c r="C2676" s="30" t="n">
        <f aca="false">Sens!C2674</f>
        <v>653.333333333333</v>
      </c>
      <c r="D2676" s="30" t="n">
        <f aca="false">Sens!D2674-Sens!C2674</f>
        <v>986.666666666667</v>
      </c>
      <c r="E2676" s="30" t="n">
        <f aca="false">Sens!E2674-Sens!D2674</f>
        <v>1960</v>
      </c>
      <c r="F2676" s="30" t="n">
        <f aca="false">Sens!F2674-Sens!E2674</f>
        <v>3360.71346666667</v>
      </c>
      <c r="G2676" s="30" t="n">
        <f aca="false">Sens!G2674-Sens!F2674</f>
        <v>3635.38013333333</v>
      </c>
      <c r="H2676" s="30" t="n">
        <f aca="false">Sens!H2674-Sens!G2674</f>
        <v>3635.38013333333</v>
      </c>
      <c r="I2676" s="30" t="n">
        <f aca="false">Sens!I2674-Sens!H2674</f>
        <v>2575.98149288889</v>
      </c>
      <c r="J2676" s="30" t="n">
        <f aca="false">Sens!J2674-Sens!I2674</f>
        <v>1568.10248230222</v>
      </c>
      <c r="K2676" s="30" t="n">
        <f aca="false">Sens!K2674-Sens!J2674</f>
        <v>581.506731255733</v>
      </c>
    </row>
    <row r="2677" customFormat="false" ht="17.15" hidden="false" customHeight="false" outlineLevel="0" collapsed="false">
      <c r="A2677" s="1" t="s">
        <v>959</v>
      </c>
      <c r="B2677" s="0" t="s">
        <v>456</v>
      </c>
      <c r="D2677" s="30" t="n">
        <f aca="false">Sens!D2671-Sens!C2671</f>
        <v>990</v>
      </c>
      <c r="E2677" s="30" t="n">
        <f aca="false">Sens!E2671-Sens!D2671</f>
        <v>1620</v>
      </c>
      <c r="F2677" s="30" t="n">
        <f aca="false">Sens!F2671-Sens!E2671</f>
        <v>2726.5351</v>
      </c>
      <c r="G2677" s="30" t="n">
        <f aca="false">Sens!G2671-Sens!F2671</f>
        <v>2726.5351</v>
      </c>
      <c r="H2677" s="30" t="n">
        <f aca="false">Sens!H2671-Sens!G2671</f>
        <v>2726.5351</v>
      </c>
      <c r="I2677" s="30" t="n">
        <f aca="false">Sens!I2671-Sens!H2671</f>
        <v>1931.98611966667</v>
      </c>
      <c r="J2677" s="30" t="n">
        <f aca="false">Sens!J2671-Sens!I2671</f>
        <v>1176.07686172667</v>
      </c>
      <c r="K2677" s="30" t="n">
        <f aca="false">Sens!K2671-Sens!J2671</f>
        <v>436.130048441799</v>
      </c>
    </row>
    <row r="2678" customFormat="false" ht="17.15" hidden="false" customHeight="false" outlineLevel="0" collapsed="false">
      <c r="A2678" s="1" t="s">
        <v>960</v>
      </c>
      <c r="B2678" s="0" t="s">
        <v>456</v>
      </c>
      <c r="F2678" s="30" t="n">
        <f aca="false">Sens!F2697*ext_sh_hi</f>
        <v>0</v>
      </c>
      <c r="G2678" s="30" t="n">
        <f aca="false">Sens!G2697*ext_sh_hi</f>
        <v>0</v>
      </c>
      <c r="H2678" s="30" t="n">
        <f aca="false">Sens!H2697*ext_sh_hi</f>
        <v>0</v>
      </c>
      <c r="I2678" s="30" t="n">
        <f aca="false">Sens!I2697*ext_sh_hi</f>
        <v>490</v>
      </c>
      <c r="J2678" s="30" t="n">
        <f aca="false">Sens!J2697*ext_sh_hi</f>
        <v>740</v>
      </c>
      <c r="K2678" s="30" t="n">
        <f aca="false">Sens!K2697*ext_sh_hi</f>
        <v>1470</v>
      </c>
      <c r="L2678" s="1" t="s">
        <v>961</v>
      </c>
    </row>
    <row r="2679" customFormat="false" ht="17.15" hidden="false" customHeight="false" outlineLevel="0" collapsed="false">
      <c r="A2679" s="1" t="s">
        <v>962</v>
      </c>
      <c r="B2679" s="0" t="s">
        <v>456</v>
      </c>
      <c r="C2679" s="30" t="n">
        <f aca="false">mix_h*Sens!C2671</f>
        <v>128</v>
      </c>
      <c r="D2679" s="30" t="n">
        <f aca="false">mix_h*Sens!D2671</f>
        <v>326</v>
      </c>
      <c r="E2679" s="30" t="n">
        <f aca="false">mix_h*Sens!E2671</f>
        <v>650</v>
      </c>
      <c r="F2679" s="30" t="n">
        <f aca="false">Sens!E2679-Sens!F2678*mix_h</f>
        <v>650</v>
      </c>
      <c r="G2679" s="30" t="n">
        <f aca="false">Sens!F2679-Sens!G2678*mix_h</f>
        <v>650</v>
      </c>
      <c r="H2679" s="30" t="n">
        <f aca="false">Sens!G2679-Sens!H2678*mix_h</f>
        <v>650</v>
      </c>
      <c r="I2679" s="30" t="n">
        <f aca="false">Sens!H2679-Sens!I2678*mix_h</f>
        <v>552</v>
      </c>
      <c r="J2679" s="30" t="n">
        <f aca="false">Sens!I2679-Sens!J2678*mix_h</f>
        <v>404</v>
      </c>
      <c r="K2679" s="30" t="n">
        <f aca="false">Sens!J2679-Sens!K2678*mix_h</f>
        <v>110</v>
      </c>
    </row>
    <row r="2680" customFormat="false" ht="17.15" hidden="false" customHeight="false" outlineLevel="0" collapsed="false">
      <c r="A2680" s="1" t="s">
        <v>963</v>
      </c>
      <c r="B2680" s="0" t="s">
        <v>456</v>
      </c>
      <c r="C2680" s="30" t="n">
        <f aca="false">mix_g2*Sens!C2671</f>
        <v>288</v>
      </c>
      <c r="D2680" s="30" t="n">
        <f aca="false">mix_g2*Sens!D2671</f>
        <v>733.5</v>
      </c>
      <c r="E2680" s="30" t="n">
        <f aca="false">mix_g2*Sens!E2671</f>
        <v>1462.5</v>
      </c>
      <c r="F2680" s="30" t="n">
        <f aca="false">Sens!E2680-Sens!F2678*mix_g2</f>
        <v>1462.5</v>
      </c>
      <c r="G2680" s="30" t="n">
        <f aca="false">Sens!F2680-Sens!G2678*mix_g2</f>
        <v>1462.5</v>
      </c>
      <c r="H2680" s="30" t="n">
        <f aca="false">Sens!G2680-Sens!H2678*mix_g2</f>
        <v>1462.5</v>
      </c>
      <c r="I2680" s="30" t="n">
        <f aca="false">Sens!H2680-Sens!I2678*mix_g2</f>
        <v>1242</v>
      </c>
      <c r="J2680" s="30" t="n">
        <f aca="false">Sens!I2680-Sens!J2678*mix_g2</f>
        <v>909</v>
      </c>
      <c r="K2680" s="30" t="n">
        <f aca="false">Sens!J2680-Sens!K2678*mix_g2</f>
        <v>247.5</v>
      </c>
    </row>
    <row r="2681" customFormat="false" ht="17.15" hidden="false" customHeight="false" outlineLevel="0" collapsed="false">
      <c r="A2681" s="1" t="s">
        <v>964</v>
      </c>
      <c r="B2681" s="0" t="s">
        <v>456</v>
      </c>
      <c r="C2681" s="30" t="n">
        <f aca="false">mix_g3*Sens!C2671</f>
        <v>224</v>
      </c>
      <c r="D2681" s="30" t="n">
        <f aca="false">mix_g3*Sens!D2671</f>
        <v>570.5</v>
      </c>
      <c r="E2681" s="30" t="n">
        <f aca="false">mix_g3*Sens!E2671</f>
        <v>1137.5</v>
      </c>
      <c r="F2681" s="30" t="n">
        <f aca="false">Sens!E2681+(Sens!F2677+Sens!F2678)*(a_g3_27-nonnv*a_mai)-Sens!F2678*mix_g3</f>
        <v>2773.42106</v>
      </c>
      <c r="G2681" s="30" t="n">
        <f aca="false">Sens!F2681+(Sens!G2677+Sens!G2678)*(a_g3_28-nonnv*a_mai)-Sens!G2678*mix_g3</f>
        <v>3318.72808</v>
      </c>
      <c r="H2681" s="30" t="n">
        <f aca="false">Sens!G2681+(Sens!H2677+Sens!H2678)*(a_g3_29-nonnv*a_mai)-Sens!H2678*mix_g3</f>
        <v>3318.72808</v>
      </c>
      <c r="I2681" s="30" t="n">
        <f aca="false">Sens!H2681+(Sens!I2677+Sens!I2678)*(a_g3_29-nonnv*a_mai)-Sens!I2678*mix_g3</f>
        <v>3147.22808</v>
      </c>
      <c r="J2681" s="30" t="n">
        <f aca="false">Sens!I2681+(Sens!J2677+Sens!J2678)*(a_g3_29-nonnv*a_mai)-Sens!J2678*mix_g3</f>
        <v>2888.22808</v>
      </c>
      <c r="K2681" s="30" t="n">
        <f aca="false">Sens!J2681+(Sens!K2677+Sens!K2678)*(a_g3_29-nonnv*a_mai)-Sens!K2678*mix_g3</f>
        <v>2373.72808</v>
      </c>
    </row>
    <row r="2682" customFormat="false" ht="17.15" hidden="false" customHeight="false" outlineLevel="0" collapsed="false">
      <c r="A2682" s="1" t="s">
        <v>965</v>
      </c>
      <c r="B2682" s="0" t="s">
        <v>456</v>
      </c>
      <c r="C2682" s="30" t="n">
        <v>0</v>
      </c>
      <c r="D2682" s="30" t="n">
        <v>0</v>
      </c>
      <c r="E2682" s="30" t="n">
        <v>0</v>
      </c>
      <c r="F2682" s="30" t="n">
        <f aca="false">Sens!E2682+(Sens!F2677+Sens!F2678)*nonnv*a_mai</f>
        <v>272.65351</v>
      </c>
      <c r="G2682" s="30" t="n">
        <f aca="false">Sens!F2682+(Sens!G2677+Sens!G2678)*nonnv*a_mai</f>
        <v>545.30702</v>
      </c>
      <c r="H2682" s="30" t="n">
        <f aca="false">Sens!G2682+(Sens!H2677+Sens!H2678)*nonnv*a_mai</f>
        <v>817.96053</v>
      </c>
      <c r="I2682" s="30" t="n">
        <f aca="false">Sens!H2682+(Sens!I2677+Sens!I2678)*nonnv*a_mai</f>
        <v>1060.15914196667</v>
      </c>
      <c r="J2682" s="30" t="n">
        <f aca="false">Sens!I2682+(Sens!J2677+Sens!J2678)*nonnv*a_mai</f>
        <v>1251.76682813933</v>
      </c>
      <c r="K2682" s="30" t="n">
        <f aca="false">Sens!J2682+(Sens!K2677+Sens!K2678)*nonnv*a_mai</f>
        <v>1442.37983298351</v>
      </c>
      <c r="L2682" s="12" t="s">
        <v>966</v>
      </c>
    </row>
    <row r="2683" customFormat="false" ht="17.15" hidden="false" customHeight="false" outlineLevel="0" collapsed="false">
      <c r="A2683" s="1" t="s">
        <v>967</v>
      </c>
      <c r="B2683" s="0" t="s">
        <v>456</v>
      </c>
      <c r="C2683" s="30" t="n">
        <v>0</v>
      </c>
      <c r="D2683" s="30" t="n">
        <v>0</v>
      </c>
      <c r="E2683" s="30" t="n">
        <v>0</v>
      </c>
      <c r="F2683" s="30" t="n">
        <f aca="false">Sens!E2683+(Sens!F2677+Sens!F2678)*(1-a_g3_27)</f>
        <v>817.96053</v>
      </c>
      <c r="G2683" s="30" t="n">
        <f aca="false">Sens!F2683+(Sens!G2677+Sens!G2678)*(1-a_g3_28)</f>
        <v>2726.5351</v>
      </c>
      <c r="H2683" s="30" t="n">
        <f aca="false">Sens!G2683+(Sens!H2677+Sens!H2678)*(1-a_g3_29)</f>
        <v>5180.41669</v>
      </c>
      <c r="I2683" s="30" t="n">
        <f aca="false">Sens!H2683+(Sens!I2677+Sens!I2678)*(1-a_g3_29)</f>
        <v>7360.2041977</v>
      </c>
      <c r="J2683" s="30" t="n">
        <f aca="false">Sens!I2683+(Sens!J2677+Sens!J2678)*(1-a_g3_29)</f>
        <v>9084.673373254</v>
      </c>
      <c r="K2683" s="30" t="n">
        <f aca="false">Sens!J2683+(Sens!K2677+Sens!K2678)*(1-a_g3_29)</f>
        <v>10800.1904168516</v>
      </c>
    </row>
    <row r="2684" customFormat="false" ht="17.15" hidden="false" customHeight="false" outlineLevel="0" collapsed="false">
      <c r="A2684" s="1" t="s">
        <v>968</v>
      </c>
      <c r="B2684" s="0" t="s">
        <v>403</v>
      </c>
      <c r="C2684" s="15" t="n">
        <f aca="false">(Sens!C2679*tk_hold_h100+Sens!C2680*tk_hold_gb200+Sens!C2681*tk_hold_gb300+Sens!C2683*tk_hold_vr200+Sens!C2682*nv_hold_mai*tk_hold_vr200)/Sens!C2671</f>
        <v>9.7235358126469</v>
      </c>
      <c r="D2684" s="15" t="n">
        <f aca="false">(Sens!D2679*tk_hold_h100+Sens!D2680*tk_hold_gb200+Sens!D2681*tk_hold_gb300+Sens!D2683*tk_hold_vr200+Sens!D2682*nv_hold_mai*tk_hold_vr200)/Sens!D2671</f>
        <v>9.7235358126469</v>
      </c>
      <c r="E2684" s="15" t="n">
        <f aca="false">(Sens!E2679*tk_hold_h100+Sens!E2680*tk_hold_gb200+Sens!E2681*tk_hold_gb300+Sens!E2683*tk_hold_vr200+Sens!E2682*nv_hold_mai*tk_hold_vr200)/Sens!E2671</f>
        <v>9.7235358126469</v>
      </c>
      <c r="F2684" s="15" t="n">
        <f aca="false">(Sens!F2679*tk_hold_h100+Sens!F2680*tk_hold_gb200+Sens!F2681*tk_hold_gb300+Sens!F2683*tk_hold_vr200+Sens!F2682*nv_hold_mai*tk_hold_vr200)/Sens!F2671</f>
        <v>10.2195353876665</v>
      </c>
      <c r="G2684" s="15" t="n">
        <f aca="false">(Sens!G2679*tk_hold_h100+Sens!G2680*tk_hold_gb200+Sens!G2681*tk_hold_gb300+Sens!G2683*tk_hold_vr200+Sens!G2682*nv_hold_mai*tk_hold_vr200)/Sens!G2671</f>
        <v>10.5725598017306</v>
      </c>
      <c r="H2684" s="15" t="n">
        <f aca="false">(Sens!H2679*tk_hold_h100+Sens!H2680*tk_hold_gb200+Sens!H2681*tk_hold_gb300+Sens!H2683*tk_hold_vr200+Sens!H2682*nv_hold_mai*tk_hold_vr200)/Sens!H2671</f>
        <v>10.8210427149036</v>
      </c>
      <c r="I2684" s="15" t="n">
        <f aca="false">(Sens!I2679*tk_hold_h100+Sens!I2680*tk_hold_gb200+Sens!I2681*tk_hold_gb300+Sens!I2683*tk_hold_vr200+Sens!I2682*nv_hold_mai*tk_hold_vr200)/Sens!I2671</f>
        <v>11.0050618241982</v>
      </c>
      <c r="J2684" s="15" t="n">
        <f aca="false">(Sens!J2679*tk_hold_h100+Sens!J2680*tk_hold_gb200+Sens!J2681*tk_hold_gb300+Sens!J2683*tk_hold_vr200+Sens!J2682*nv_hold_mai*tk_hold_vr200)/Sens!J2671</f>
        <v>11.1505789658881</v>
      </c>
      <c r="K2684" s="15" t="n">
        <f aca="false">(Sens!K2679*tk_hold_h100+Sens!K2680*tk_hold_gb200+Sens!K2681*tk_hold_gb300+Sens!K2683*tk_hold_vr200+Sens!K2682*nv_hold_mai*tk_hold_vr200)/Sens!K2671</f>
        <v>11.3496914757183</v>
      </c>
      <c r="L2684" s="1" t="s">
        <v>969</v>
      </c>
    </row>
    <row r="2685" customFormat="false" ht="17.15" hidden="false" customHeight="false" outlineLevel="0" collapsed="false">
      <c r="A2685" s="1" t="s">
        <v>970</v>
      </c>
      <c r="B2685" s="0" t="s">
        <v>403</v>
      </c>
      <c r="C2685" s="15" t="n">
        <f aca="false">(Sens!C2679*tk_hold_h100+Sens!C2680*tk_hold_gb200+Sens!C2681*tk_hold_gb300+Sens!C2683*tk_hold_vr200+Sens!C2682*nv_out_mai*tk_hold_vr200)/Sens!C2671</f>
        <v>9.7235358126469</v>
      </c>
      <c r="D2685" s="15" t="n">
        <f aca="false">(Sens!D2679*tk_hold_h100+Sens!D2680*tk_hold_gb200+Sens!D2681*tk_hold_gb300+Sens!D2683*tk_hold_vr200+Sens!D2682*nv_out_mai*tk_hold_vr200)/Sens!D2671</f>
        <v>9.7235358126469</v>
      </c>
      <c r="E2685" s="15" t="n">
        <f aca="false">(Sens!E2679*tk_hold_h100+Sens!E2680*tk_hold_gb200+Sens!E2681*tk_hold_gb300+Sens!E2683*tk_hold_vr200+Sens!E2682*nv_out_mai*tk_hold_vr200)/Sens!E2671</f>
        <v>9.7235358126469</v>
      </c>
      <c r="F2685" s="15" t="n">
        <f aca="false">(Sens!F2679*tk_hold_h100+Sens!F2680*tk_hold_gb200+Sens!F2681*tk_hold_gb300+Sens!F2683*tk_hold_vr200+Sens!F2682*nv_out_mai*tk_hold_vr200)/Sens!F2671</f>
        <v>10.247422093969</v>
      </c>
      <c r="G2685" s="15" t="n">
        <f aca="false">(Sens!G2679*tk_hold_h100+Sens!G2680*tk_hold_gb200+Sens!G2681*tk_hold_gb300+Sens!G2683*tk_hold_vr200+Sens!G2682*nv_out_mai*tk_hold_vr200)/Sens!G2671</f>
        <v>10.6108602808053</v>
      </c>
      <c r="H2685" s="15" t="n">
        <f aca="false">(Sens!H2679*tk_hold_h100+Sens!H2680*tk_hold_gb200+Sens!H2681*tk_hold_gb300+Sens!H2683*tk_hold_vr200+Sens!H2682*nv_out_mai*tk_hold_vr200)/Sens!H2671</f>
        <v>10.8647885507393</v>
      </c>
      <c r="I2685" s="15" t="n">
        <f aca="false">(Sens!I2679*tk_hold_h100+Sens!I2680*tk_hold_gb200+Sens!I2681*tk_hold_gb300+Sens!I2683*tk_hold_vr200+Sens!I2682*nv_out_mai*tk_hold_vr200)/Sens!I2671</f>
        <v>11.0535625770025</v>
      </c>
      <c r="J2685" s="15" t="n">
        <f aca="false">(Sens!J2679*tk_hold_h100+Sens!J2680*tk_hold_gb200+Sens!J2681*tk_hold_gb300+Sens!J2683*tk_hold_vr200+Sens!J2682*nv_out_mai*tk_hold_vr200)/Sens!J2671</f>
        <v>11.2032127128058</v>
      </c>
      <c r="K2685" s="15" t="n">
        <f aca="false">(Sens!K2679*tk_hold_h100+Sens!K2680*tk_hold_gb200+Sens!K2681*tk_hold_gb300+Sens!K2683*tk_hold_vr200+Sens!K2682*nv_out_mai*tk_hold_vr200)/Sens!K2671</f>
        <v>11.4085735724225</v>
      </c>
      <c r="L2685" s="12" t="s">
        <v>971</v>
      </c>
    </row>
    <row r="2686" customFormat="false" ht="17.15" hidden="false" customHeight="false" outlineLevel="0" collapsed="false">
      <c r="A2686" s="0" t="s">
        <v>972</v>
      </c>
      <c r="B2686" s="0" t="s">
        <v>229</v>
      </c>
      <c r="C2686" s="15" t="n">
        <f aca="false">k_B</f>
        <v>1.17213932619116</v>
      </c>
      <c r="D2686" s="15" t="n">
        <f aca="false">k_B</f>
        <v>1.17213932619116</v>
      </c>
      <c r="E2686" s="15" t="n">
        <f aca="false">k_B</f>
        <v>1.17213932619116</v>
      </c>
      <c r="F2686" s="15" t="n">
        <f aca="false">(k_B+((ls_B*k_long+(1-ls_B)*k_spot)-k_B)*MIN(1,(Sens!F2669-base_fy)/k_ramp))</f>
        <v>1.17213932619116</v>
      </c>
      <c r="G2686" s="15" t="n">
        <f aca="false">(k_B+((ls_B*k_long+(1-ls_B)*k_spot)-k_B)*MIN(1,(Sens!G2669-base_fy)/k_ramp))</f>
        <v>1.17213932619116</v>
      </c>
      <c r="H2686" s="15" t="n">
        <f aca="false">(k_B+((ls_B*k_long+(1-ls_B)*k_spot)-k_B)*MIN(1,(Sens!H2669-base_fy)/k_ramp))</f>
        <v>1.17213932619116</v>
      </c>
      <c r="I2686" s="15" t="n">
        <f aca="false">(k_B+((ls_B*k_long+(1-ls_B)*k_spot)-k_B)*MIN(1,(Sens!I2669-base_fy)/k_ramp))</f>
        <v>1.17213932619116</v>
      </c>
      <c r="J2686" s="15" t="n">
        <f aca="false">(k_B+((ls_B*k_long+(1-ls_B)*k_spot)-k_B)*MIN(1,(Sens!J2669-base_fy)/k_ramp))</f>
        <v>1.17213932619116</v>
      </c>
      <c r="K2686" s="15" t="n">
        <f aca="false">(k_B+((ls_B*k_long+(1-ls_B)*k_spot)-k_B)*MIN(1,(Sens!K2669-base_fy)/k_ramp))</f>
        <v>1.17213932619116</v>
      </c>
      <c r="L2686" s="1" t="s">
        <v>973</v>
      </c>
    </row>
    <row r="2687" customFormat="false" ht="17.15" hidden="false" customHeight="false" outlineLevel="0" collapsed="false">
      <c r="A2687" s="1" t="s">
        <v>974</v>
      </c>
      <c r="B2687" s="0" t="s">
        <v>403</v>
      </c>
      <c r="C2687" s="15" t="n">
        <f aca="false">Sens!C2685*Sens!C2686*chip_f</f>
        <v>11.3973387156315</v>
      </c>
      <c r="D2687" s="15" t="n">
        <f aca="false">Sens!D2685*Sens!D2686*chip_f</f>
        <v>11.3973387156315</v>
      </c>
      <c r="E2687" s="15" t="n">
        <f aca="false">Sens!E2685*Sens!E2686*chip_f</f>
        <v>11.3973387156315</v>
      </c>
      <c r="F2687" s="15" t="n">
        <f aca="false">Sens!F2685*Sens!F2686*chip_f</f>
        <v>12.0114064284211</v>
      </c>
      <c r="G2687" s="15" t="n">
        <f aca="false">Sens!G2685*Sens!G2686*chip_f</f>
        <v>12.4374066198516</v>
      </c>
      <c r="H2687" s="15" t="n">
        <f aca="false">Sens!H2685*Sens!H2686*chip_f</f>
        <v>12.735045931073</v>
      </c>
      <c r="I2687" s="15" t="n">
        <f aca="false">Sens!I2685*Sens!I2686*chip_f</f>
        <v>12.9563153910195</v>
      </c>
      <c r="J2687" s="15" t="n">
        <f aca="false">Sens!J2685*Sens!J2686*chip_f</f>
        <v>13.1317262003643</v>
      </c>
      <c r="K2687" s="15" t="n">
        <f aca="false">Sens!K2685*Sens!K2686*chip_f</f>
        <v>13.3724377399815</v>
      </c>
      <c r="L2687" s="1" t="s">
        <v>975</v>
      </c>
    </row>
    <row r="2688" customFormat="false" ht="17.15" hidden="false" customHeight="false" outlineLevel="0" collapsed="false">
      <c r="A2688" s="0" t="s">
        <v>976</v>
      </c>
      <c r="B2688" s="0" t="s">
        <v>98</v>
      </c>
      <c r="D2688" s="6" t="n">
        <f aca="false">(Sens!C2671+Sens!D2671)/2*Sens!D2687/1000</f>
        <v>12.9359794422418</v>
      </c>
      <c r="E2688" s="6" t="n">
        <f aca="false">(Sens!D2671+Sens!E2671)/2*Sens!E2687/1000</f>
        <v>27.8095064661409</v>
      </c>
      <c r="F2688" s="6" t="n">
        <f aca="false">(Sens!E2671+Sens!F2671)/2*Sens!F2687/1000</f>
        <v>55.4118315060966</v>
      </c>
      <c r="G2688" s="6" t="n">
        <f aca="false">(Sens!F2671+Sens!G2671)/2*Sens!G2687/1000</f>
        <v>91.2881100675143</v>
      </c>
      <c r="H2688" s="6" t="n">
        <f aca="false">(Sens!G2671+Sens!H2671)/2*Sens!H2687/1000</f>
        <v>128.195273603944</v>
      </c>
      <c r="I2688" s="6" t="n">
        <f aca="false">(Sens!H2671+Sens!I2671)/2*Sens!I2687/1000</f>
        <v>160.601281810405</v>
      </c>
      <c r="J2688" s="6" t="n">
        <f aca="false">(Sens!I2671+Sens!J2671)/2*Sens!J2687/1000</f>
        <v>183.182719793589</v>
      </c>
      <c r="K2688" s="6" t="n">
        <f aca="false">(Sens!J2671+Sens!K2671)/2*Sens!K2687/1000</f>
        <v>197.320124937098</v>
      </c>
      <c r="L2688" s="12" t="s">
        <v>977</v>
      </c>
    </row>
    <row r="2689" customFormat="false" ht="17.15" hidden="false" customHeight="false" outlineLevel="0" collapsed="false">
      <c r="A2689" s="1" t="s">
        <v>978</v>
      </c>
      <c r="B2689" s="0" t="s">
        <v>403</v>
      </c>
      <c r="C2689" s="15" t="n">
        <f aca="false">(Sens!C2679*tk_opex_h100+Sens!C2680*tk_opex_gb200+Sens!C2681*tk_opex_gb300+(Sens!C2683+Sens!C2682)*tk_opex_vr200)/Sens!C2671</f>
        <v>1.88636041306092</v>
      </c>
      <c r="D2689" s="15" t="n">
        <f aca="false">(Sens!D2679*tk_opex_h100+Sens!D2680*tk_opex_gb200+Sens!D2681*tk_opex_gb300+(Sens!D2683+Sens!D2682)*tk_opex_vr200)/Sens!D2671</f>
        <v>1.88636041306092</v>
      </c>
      <c r="E2689" s="15" t="n">
        <f aca="false">(Sens!E2679*tk_opex_h100+Sens!E2680*tk_opex_gb200+Sens!E2681*tk_opex_gb300+(Sens!E2683+Sens!E2682)*tk_opex_vr200)/Sens!E2671</f>
        <v>1.88636041306092</v>
      </c>
      <c r="F2689" s="15" t="n">
        <f aca="false">(Sens!F2679*tk_opex_h100+Sens!F2680*tk_opex_gb200+Sens!F2681*tk_opex_gb300+(Sens!F2683+Sens!F2682)*tk_opex_vr200)/Sens!F2671</f>
        <v>1.95051159746876</v>
      </c>
      <c r="G2689" s="15" t="n">
        <f aca="false">(Sens!G2679*tk_opex_h100+Sens!G2680*tk_opex_gb200+Sens!G2681*tk_opex_gb300+(Sens!G2683+Sens!G2682)*tk_opex_vr200)/Sens!G2671</f>
        <v>1.98836003669956</v>
      </c>
      <c r="H2689" s="15" t="n">
        <f aca="false">(Sens!H2679*tk_opex_h100+Sens!H2680*tk_opex_gb200+Sens!H2681*tk_opex_gb300+(Sens!H2683+Sens!H2682)*tk_opex_vr200)/Sens!H2671</f>
        <v>2.01344013834343</v>
      </c>
      <c r="I2689" s="15" t="n">
        <f aca="false">(Sens!I2679*tk_opex_h100+Sens!I2680*tk_opex_gb200+Sens!I2681*tk_opex_gb300+(Sens!I2683+Sens!I2682)*tk_opex_vr200)/Sens!I2671</f>
        <v>2.03261166882178</v>
      </c>
      <c r="J2689" s="15" t="n">
        <f aca="false">(Sens!J2679*tk_opex_h100+Sens!J2680*tk_opex_gb200+Sens!J2681*tk_opex_gb300+(Sens!J2683+Sens!J2682)*tk_opex_vr200)/Sens!J2671</f>
        <v>2.04808073288745</v>
      </c>
      <c r="K2689" s="15" t="n">
        <f aca="false">(Sens!K2679*tk_opex_h100+Sens!K2680*tk_opex_gb200+Sens!K2681*tk_opex_gb300+(Sens!K2683+Sens!K2682)*tk_opex_vr200)/Sens!K2671</f>
        <v>2.06973825807449</v>
      </c>
      <c r="L2689" s="12" t="s">
        <v>979</v>
      </c>
    </row>
    <row r="2690" customFormat="false" ht="17.15" hidden="false" customHeight="false" outlineLevel="0" collapsed="false">
      <c r="A2690" s="0" t="s">
        <v>980</v>
      </c>
      <c r="B2690" s="0" t="s">
        <v>98</v>
      </c>
      <c r="D2690" s="6" t="n">
        <f aca="false">(Sens!C2674+Sens!D2674)/2*Sens!D2689/1000</f>
        <v>2.16302660697652</v>
      </c>
      <c r="E2690" s="6" t="n">
        <f aca="false">(Sens!D2674+Sens!E2674)/2*Sens!E2689/1000</f>
        <v>4.9422642822196</v>
      </c>
      <c r="F2690" s="6" t="n">
        <f aca="false">(Sens!E2674+Sens!F2674)/2*Sens!F2689/1000</f>
        <v>10.2993970471389</v>
      </c>
      <c r="G2690" s="6" t="n">
        <f aca="false">(Sens!F2674+Sens!G2674)/2*Sens!G2689/1000</f>
        <v>17.4546267717022</v>
      </c>
      <c r="H2690" s="6" t="n">
        <f aca="false">(Sens!G2674+Sens!H2674)/2*Sens!H2689/1000</f>
        <v>24.9944103031787</v>
      </c>
      <c r="I2690" s="6" t="n">
        <f aca="false">(Sens!H2674+Sens!I2674)/2*Sens!I2689/1000</f>
        <v>31.5450445954614</v>
      </c>
      <c r="J2690" s="6" t="n">
        <f aca="false">(Sens!I2674+Sens!J2674)/2*Sens!J2689/1000</f>
        <v>36.0288254582922</v>
      </c>
      <c r="K2690" s="6" t="n">
        <f aca="false">(Sens!J2674+Sens!K2674)/2*Sens!K2689/1000</f>
        <v>38.6343781672925</v>
      </c>
    </row>
    <row r="2691" customFormat="false" ht="17.15" hidden="false" customHeight="false" outlineLevel="0" collapsed="false">
      <c r="A2691" s="0" t="s">
        <v>981</v>
      </c>
      <c r="B2691" s="0" t="s">
        <v>98</v>
      </c>
      <c r="D2691" s="6" t="n">
        <f aca="false">(Sens!C2672+Sens!D2672)/2*rent_mw/1000</f>
        <v>2.44475</v>
      </c>
      <c r="E2691" s="6" t="n">
        <f aca="false">(Sens!D2672+Sens!E2672)/2*rent_mw/1000</f>
        <v>4.22275</v>
      </c>
      <c r="F2691" s="6" t="n">
        <f aca="false">(Sens!E2672+Sens!F2672)/2*rent_mw/1000</f>
        <v>5.80517</v>
      </c>
      <c r="G2691" s="6" t="n">
        <f aca="false">(Sens!F2672+Sens!G2672)/2*rent_mw/1000</f>
        <v>6.72084</v>
      </c>
      <c r="H2691" s="6" t="n">
        <f aca="false">(Sens!G2672+Sens!H2672)/2*rent_mw/1000</f>
        <v>6.72084</v>
      </c>
      <c r="I2691" s="6" t="n">
        <f aca="false">(Sens!H2672+Sens!I2672)/2*rent_mw/1000</f>
        <v>6.72084</v>
      </c>
      <c r="J2691" s="6" t="n">
        <f aca="false">(Sens!I2672+Sens!J2672)/2*rent_mw/1000</f>
        <v>6.72084</v>
      </c>
      <c r="K2691" s="6" t="n">
        <f aca="false">(Sens!J2672+Sens!K2672)/2*rent_mw/1000</f>
        <v>6.72084</v>
      </c>
    </row>
    <row r="2692" customFormat="false" ht="17.15" hidden="false" customHeight="false" outlineLevel="0" collapsed="false">
      <c r="A2692" s="0" t="s">
        <v>982</v>
      </c>
      <c r="B2692" s="0" t="s">
        <v>98</v>
      </c>
      <c r="D2692" s="6" t="n">
        <f aca="false">(Sens!C2674+Sens!D2674)/2*(1-self_build)*fac_rent/1000</f>
        <v>0.682593900504861</v>
      </c>
      <c r="E2692" s="6" t="n">
        <f aca="false">(Sens!D2674+Sens!E2674)/2*(1-self_build)*fac_rent/1000</f>
        <v>1.55964769126983</v>
      </c>
      <c r="F2692" s="6" t="n">
        <f aca="false">(Sens!E2674+Sens!F2674)/2*(1-self_build)*fac_rent/1000</f>
        <v>3.14331915581085</v>
      </c>
      <c r="G2692" s="6" t="n">
        <f aca="false">(Sens!F2674+Sens!G2674)/2*(1-self_build)*fac_rent/1000</f>
        <v>5.22565526862528</v>
      </c>
      <c r="H2692" s="6" t="n">
        <f aca="false">(Sens!G2674+Sens!H2674)/2*(1-self_build)*fac_rent/1000</f>
        <v>7.38974390673273</v>
      </c>
      <c r="I2692" s="6" t="n">
        <f aca="false">(Sens!H2674+Sens!I2674)/2*(1-self_build)*fac_rent/1000</f>
        <v>9.23851028459141</v>
      </c>
      <c r="J2692" s="6" t="n">
        <f aca="false">(Sens!I2674+Sens!J2674)/2*(1-self_build)*fac_rent/1000</f>
        <v>10.4719665831286</v>
      </c>
      <c r="K2692" s="6" t="n">
        <f aca="false">(Sens!J2674+Sens!K2674)/2*(1-self_build)*fac_rent/1000</f>
        <v>11.1117820501244</v>
      </c>
      <c r="L2692" s="12" t="s">
        <v>983</v>
      </c>
    </row>
    <row r="2693" customFormat="false" ht="17.15" hidden="false" customHeight="false" outlineLevel="0" collapsed="false">
      <c r="A2693" s="1" t="s">
        <v>984</v>
      </c>
      <c r="B2693" s="0" t="s">
        <v>168</v>
      </c>
      <c r="D2693" s="7" t="n">
        <f aca="false">(Sens!C2673+Sens!D2673)/(Sens!C2674+Sens!D2674)</f>
        <v>0.75</v>
      </c>
      <c r="E2693" s="7" t="n">
        <f aca="false">(Sens!D2673+Sens!E2673)/(Sens!D2674+Sens!E2674)</f>
        <v>0.75</v>
      </c>
      <c r="F2693" s="7" t="n">
        <f aca="false">(Sens!E2673+Sens!F2673)/(Sens!E2674+Sens!F2674)</f>
        <v>0.75</v>
      </c>
      <c r="G2693" s="7" t="n">
        <f aca="false">(Sens!F2673+Sens!G2673)/(Sens!F2674+Sens!G2674)</f>
        <v>0.75</v>
      </c>
      <c r="H2693" s="7" t="n">
        <f aca="false">(Sens!G2673+Sens!H2673)/(Sens!G2674+Sens!H2674)</f>
        <v>0.75</v>
      </c>
      <c r="I2693" s="7" t="n">
        <f aca="false">(Sens!H2673+Sens!I2673)/(Sens!H2674+Sens!I2674)</f>
        <v>0.75</v>
      </c>
      <c r="J2693" s="7" t="n">
        <f aca="false">(Sens!I2673+Sens!J2673)/(Sens!I2674+Sens!J2674)</f>
        <v>0.75</v>
      </c>
      <c r="K2693" s="7" t="n">
        <f aca="false">(Sens!J2673+Sens!K2673)/(Sens!J2674+Sens!K2674)</f>
        <v>0.75</v>
      </c>
    </row>
    <row r="2694" customFormat="false" ht="17.15" hidden="false" customHeight="false" outlineLevel="0" collapsed="false">
      <c r="A2694" s="0" t="s">
        <v>985</v>
      </c>
      <c r="B2694" s="0" t="s">
        <v>98</v>
      </c>
      <c r="D2694" s="6" t="n">
        <f aca="false">Sens!D2688-Sens!D2693*(Sens!D2690+Sens!D2692)-Sens!D2691</f>
        <v>8.35701406163072</v>
      </c>
      <c r="E2694" s="6" t="n">
        <f aca="false">Sens!E2688-Sens!E2693*(Sens!E2690+Sens!E2692)-Sens!E2691</f>
        <v>18.7103224860238</v>
      </c>
      <c r="F2694" s="6" t="n">
        <f aca="false">Sens!F2688-Sens!F2693*(Sens!F2690+Sens!F2692)-Sens!F2691</f>
        <v>39.5246243538843</v>
      </c>
      <c r="G2694" s="6" t="n">
        <f aca="false">Sens!G2688-Sens!G2693*(Sens!G2690+Sens!G2692)-Sens!G2691</f>
        <v>67.5570585372687</v>
      </c>
      <c r="H2694" s="6" t="n">
        <f aca="false">Sens!H2688-Sens!H2693*(Sens!H2690+Sens!H2692)-Sens!H2691</f>
        <v>97.1863179465102</v>
      </c>
      <c r="I2694" s="6" t="n">
        <f aca="false">Sens!I2688-Sens!I2693*(Sens!I2690+Sens!I2692)-Sens!I2691</f>
        <v>123.292775650365</v>
      </c>
      <c r="J2694" s="6" t="n">
        <f aca="false">Sens!J2688-Sens!J2693*(Sens!J2690+Sens!J2692)-Sens!J2691</f>
        <v>141.586285762524</v>
      </c>
      <c r="K2694" s="6" t="n">
        <f aca="false">Sens!K2688-Sens!K2693*(Sens!K2690+Sens!K2692)-Sens!K2691</f>
        <v>153.289664774035</v>
      </c>
    </row>
    <row r="2695" customFormat="false" ht="17.15" hidden="false" customHeight="false" outlineLevel="0" collapsed="false">
      <c r="A2695" s="1" t="s">
        <v>986</v>
      </c>
      <c r="B2695" s="0" t="s">
        <v>98</v>
      </c>
      <c r="D2695" s="6" t="n">
        <f aca="false">(1-Sens!D2693)*(Sens!D2690+Sens!D2692)</f>
        <v>0.711405126870345</v>
      </c>
      <c r="E2695" s="6" t="n">
        <f aca="false">(1-Sens!E2693)*(Sens!E2690+Sens!E2692)</f>
        <v>1.62547799337236</v>
      </c>
      <c r="F2695" s="6" t="n">
        <f aca="false">(1-Sens!F2693)*(Sens!F2690+Sens!F2692)</f>
        <v>3.36067905073745</v>
      </c>
      <c r="G2695" s="6" t="n">
        <f aca="false">(1-Sens!G2693)*(Sens!G2690+Sens!G2692)</f>
        <v>5.67007051008187</v>
      </c>
      <c r="H2695" s="6" t="n">
        <f aca="false">(1-Sens!H2693)*(Sens!H2690+Sens!H2692)</f>
        <v>8.09603855247786</v>
      </c>
      <c r="I2695" s="6" t="n">
        <f aca="false">(1-Sens!I2693)*(Sens!I2690+Sens!I2692)</f>
        <v>10.1958887200132</v>
      </c>
      <c r="J2695" s="6" t="n">
        <f aca="false">(1-Sens!J2693)*(Sens!J2690+Sens!J2692)</f>
        <v>11.6251980103552</v>
      </c>
      <c r="K2695" s="6" t="n">
        <f aca="false">(1-Sens!K2693)*(Sens!K2690+Sens!K2692)</f>
        <v>12.4365400543542</v>
      </c>
    </row>
    <row r="2696" customFormat="false" ht="17.15" hidden="false" customHeight="false" outlineLevel="0" collapsed="false">
      <c r="A2696" s="1" t="s">
        <v>987</v>
      </c>
      <c r="B2696" s="0" t="s">
        <v>414</v>
      </c>
      <c r="C2696" s="8" t="n">
        <f aca="false">cxit_open</f>
        <v>27.5918995</v>
      </c>
      <c r="D2696" s="8" t="n">
        <f aca="false">cxit_open</f>
        <v>27.5918995</v>
      </c>
      <c r="E2696" s="8" t="n">
        <f aca="false">cxit_open</f>
        <v>27.5918995</v>
      </c>
      <c r="F2696" s="8" t="n">
        <f aca="false">((a_g3_27-nonnv*a_mai)*tk_cxit_gb300+nonnv*a_mai*nv_hold_mai*tk_cxit_vr200+(1-a_g3_27)*tk_cxit_vr200)</f>
        <v>32.4975576</v>
      </c>
      <c r="G2696" s="8" t="n">
        <f aca="false">((a_g3_28-nonnv*a_mai)*tk_cxit_gb300+nonnv*a_mai*nv_hold_mai*tk_cxit_vr200+(1-a_g3_28)*tk_cxit_vr200)</f>
        <v>34.6372088</v>
      </c>
      <c r="H2696" s="8" t="n">
        <f aca="false">((a_g3_29-nonnv*a_mai)*tk_cxit_gb300+nonnv*a_mai*nv_hold_mai*tk_cxit_vr200+(1-a_g3_29)*tk_cxit_vr200)</f>
        <v>35.7070344</v>
      </c>
      <c r="I2696" s="8" t="n">
        <f aca="false">((a_g3_29-nonnv*a_mai)*tk_cxit_gb300+nonnv*a_mai*nv_hold_mai*tk_cxit_vr200+(1-a_g3_29)*tk_cxit_vr200)</f>
        <v>35.7070344</v>
      </c>
      <c r="J2696" s="8" t="n">
        <f aca="false">((a_g3_29-nonnv*a_mai)*tk_cxit_gb300+nonnv*a_mai*nv_hold_mai*tk_cxit_vr200+(1-a_g3_29)*tk_cxit_vr200)</f>
        <v>35.7070344</v>
      </c>
      <c r="K2696" s="8" t="n">
        <f aca="false">((a_g3_29-nonnv*a_mai)*tk_cxit_gb300+nonnv*a_mai*nv_hold_mai*tk_cxit_vr200+(1-a_g3_29)*tk_cxit_vr200)</f>
        <v>35.7070344</v>
      </c>
      <c r="L2696" s="12" t="s">
        <v>988</v>
      </c>
    </row>
    <row r="2697" customFormat="false" ht="17.15" hidden="false" customHeight="false" outlineLevel="0" collapsed="false">
      <c r="A2697" s="0" t="s">
        <v>989</v>
      </c>
      <c r="B2697" s="0" t="s">
        <v>456</v>
      </c>
      <c r="F2697" s="30" t="n">
        <f aca="false">Sens!C2676*IF(Sens!F2669-Sens!C2669=life_it,1,0)+Sens!D2676*IF(Sens!F2669-Sens!D2669=life_it,1,0)+Sens!E2676*IF(Sens!F2669-Sens!E2669=life_it,1,0)</f>
        <v>0</v>
      </c>
      <c r="G2697" s="30" t="n">
        <f aca="false">Sens!C2676*IF(Sens!G2669-Sens!C2669=life_it,1,0)+Sens!D2676*IF(Sens!G2669-Sens!D2669=life_it,1,0)+Sens!E2676*IF(Sens!G2669-Sens!E2669=life_it,1,0)+Sens!F2676*IF(Sens!G2669-Sens!F2669=life_it,1,0)</f>
        <v>0</v>
      </c>
      <c r="H2697" s="30" t="n">
        <f aca="false">Sens!C2676*IF(Sens!H2669-Sens!C2669=life_it,1,0)+Sens!D2676*IF(Sens!H2669-Sens!D2669=life_it,1,0)+Sens!E2676*IF(Sens!H2669-Sens!E2669=life_it,1,0)+Sens!F2676*IF(Sens!H2669-Sens!F2669=life_it,1,0)+Sens!G2676*IF(Sens!H2669-Sens!G2669=life_it,1,0)</f>
        <v>0</v>
      </c>
      <c r="I2697" s="30" t="n">
        <f aca="false">Sens!C2676*IF(Sens!I2669-Sens!C2669=life_it,1,0)+Sens!D2676*IF(Sens!I2669-Sens!D2669=life_it,1,0)+Sens!E2676*IF(Sens!I2669-Sens!E2669=life_it,1,0)+Sens!F2676*IF(Sens!I2669-Sens!F2669=life_it,1,0)+Sens!G2676*IF(Sens!I2669-Sens!G2669=life_it,1,0)+Sens!H2676*IF(Sens!I2669-Sens!H2669=life_it,1,0)</f>
        <v>653.333333333333</v>
      </c>
      <c r="J2697" s="30" t="n">
        <f aca="false">Sens!C2676*IF(Sens!J2669-Sens!C2669=life_it,1,0)+Sens!D2676*IF(Sens!J2669-Sens!D2669=life_it,1,0)+Sens!E2676*IF(Sens!J2669-Sens!E2669=life_it,1,0)+Sens!F2676*IF(Sens!J2669-Sens!F2669=life_it,1,0)+Sens!G2676*IF(Sens!J2669-Sens!G2669=life_it,1,0)+Sens!H2676*IF(Sens!J2669-Sens!H2669=life_it,1,0)+Sens!I2676*IF(Sens!J2669-Sens!I2669=life_it,1,0)</f>
        <v>986.666666666667</v>
      </c>
      <c r="K2697" s="30" t="n">
        <f aca="false">Sens!C2676*IF(Sens!K2669-Sens!C2669=life_it,1,0)+Sens!D2676*IF(Sens!K2669-Sens!D2669=life_it,1,0)+Sens!E2676*IF(Sens!K2669-Sens!E2669=life_it,1,0)+Sens!F2676*IF(Sens!K2669-Sens!F2669=life_it,1,0)+Sens!G2676*IF(Sens!K2669-Sens!G2669=life_it,1,0)+Sens!H2676*IF(Sens!K2669-Sens!H2669=life_it,1,0)+Sens!I2676*IF(Sens!K2669-Sens!I2669=life_it,1,0)+Sens!J2676*IF(Sens!K2669-Sens!J2669=life_it,1,0)</f>
        <v>1960</v>
      </c>
      <c r="L2697" s="1" t="s">
        <v>990</v>
      </c>
    </row>
    <row r="2698" customFormat="false" ht="17.15" hidden="false" customHeight="false" outlineLevel="0" collapsed="false">
      <c r="A2698" s="0" t="s">
        <v>991</v>
      </c>
      <c r="B2698" s="0" t="s">
        <v>98</v>
      </c>
      <c r="C2698" s="6" t="n">
        <f aca="false">Sens!C2676*Sens!C2696/1000</f>
        <v>18.0267076733333</v>
      </c>
      <c r="D2698" s="6" t="n">
        <f aca="false">Sens!D2676*Sens!D2696/1000</f>
        <v>27.2240075066667</v>
      </c>
      <c r="E2698" s="6" t="n">
        <f aca="false">Sens!E2676*Sens!E2696/1000</f>
        <v>54.08012302</v>
      </c>
      <c r="F2698" s="6" t="n">
        <f aca="false">(Sens!F2676+Sens!F2697)*Sens!F2696/1000</f>
        <v>109.214979460096</v>
      </c>
      <c r="G2698" s="6" t="n">
        <f aca="false">(Sens!G2676+Sens!G2697)*Sens!G2696/1000</f>
        <v>125.919420745638</v>
      </c>
      <c r="H2698" s="6" t="n">
        <f aca="false">(Sens!H2676+Sens!H2697)*Sens!H2696/1000</f>
        <v>129.80864347801</v>
      </c>
      <c r="I2698" s="6" t="n">
        <f aca="false">(Sens!I2676+Sens!I2697)*Sens!I2696/1000</f>
        <v>115.309255588347</v>
      </c>
      <c r="J2698" s="6" t="n">
        <f aca="false">(Sens!J2676+Sens!J2697)*Sens!J2696/1000</f>
        <v>91.2232298862909</v>
      </c>
      <c r="K2698" s="6" t="n">
        <f aca="false">(Sens!K2676+Sens!K2697)*Sens!K2696/1000</f>
        <v>90.74966828078</v>
      </c>
    </row>
    <row r="2699" customFormat="false" ht="17.15" hidden="false" customHeight="false" outlineLevel="0" collapsed="false">
      <c r="A2699" s="0" t="s">
        <v>992</v>
      </c>
      <c r="B2699" s="0" t="s">
        <v>98</v>
      </c>
      <c r="C2699" s="6" t="n">
        <f aca="false">Sens!C2676*self_build*tk_cxfac/1000</f>
        <v>4.96664</v>
      </c>
      <c r="D2699" s="6" t="n">
        <f aca="false">Sens!D2676*self_build*tk_cxfac/1000</f>
        <v>7.50064</v>
      </c>
      <c r="E2699" s="6" t="n">
        <f aca="false">Sens!E2676*self_build*tk_cxfac/1000</f>
        <v>14.89992</v>
      </c>
      <c r="F2699" s="6" t="n">
        <f aca="false">Sens!F2676*self_build*tk_cxfac/1000</f>
        <v>25.5481437736</v>
      </c>
      <c r="G2699" s="6" t="n">
        <f aca="false">Sens!G2676*self_build*tk_cxfac/1000</f>
        <v>27.6361597736</v>
      </c>
      <c r="H2699" s="6" t="n">
        <f aca="false">Sens!H2676*self_build*tk_cxfac/1000</f>
        <v>27.6361597736</v>
      </c>
      <c r="I2699" s="6" t="n">
        <f aca="false">Sens!I2676*self_build*tk_cxfac/1000</f>
        <v>19.5826113089413</v>
      </c>
      <c r="J2699" s="6" t="n">
        <f aca="false">Sens!J2676*self_build*tk_cxfac/1000</f>
        <v>11.9207150704615</v>
      </c>
      <c r="K2699" s="6" t="n">
        <f aca="false">Sens!K2676*self_build*tk_cxfac/1000</f>
        <v>4.42061417100608</v>
      </c>
    </row>
    <row r="2700" customFormat="false" ht="17.15" hidden="false" customHeight="false" outlineLevel="0" collapsed="false">
      <c r="A2700" s="0" t="s">
        <v>993</v>
      </c>
      <c r="B2700" s="0" t="s">
        <v>98</v>
      </c>
      <c r="F2700" s="15" t="n">
        <f aca="false">capex_floor27-Sens!F2698-Sens!F2699-Sens!F2796</f>
        <v>33.6908002670816</v>
      </c>
      <c r="L2700" s="12" t="s">
        <v>994</v>
      </c>
    </row>
    <row r="2701" customFormat="false" ht="17.15" hidden="false" customHeight="false" outlineLevel="0" collapsed="false">
      <c r="A2701" s="0" t="s">
        <v>995</v>
      </c>
      <c r="B2701" s="0" t="s">
        <v>98</v>
      </c>
      <c r="F2701" s="6" t="n">
        <f aca="false">MAX(0,Sens!F2700)</f>
        <v>33.6908002670816</v>
      </c>
    </row>
    <row r="2702" customFormat="false" ht="17.15" hidden="false" customHeight="false" outlineLevel="0" collapsed="false">
      <c r="A2702" s="0" t="s">
        <v>996</v>
      </c>
      <c r="B2702" s="0" t="s">
        <v>98</v>
      </c>
      <c r="C2702" s="6" t="n">
        <f aca="false">Sens!C2698</f>
        <v>18.0267076733333</v>
      </c>
      <c r="D2702" s="6" t="n">
        <f aca="false">Sens!D2698</f>
        <v>27.2240075066667</v>
      </c>
      <c r="E2702" s="6" t="n">
        <f aca="false">Sens!E2698</f>
        <v>54.08012302</v>
      </c>
      <c r="F2702" s="6" t="n">
        <f aca="false">Sens!F2698</f>
        <v>109.214979460096</v>
      </c>
      <c r="G2702" s="6" t="n">
        <f aca="false">Sens!G2698</f>
        <v>125.919420745638</v>
      </c>
      <c r="H2702" s="6" t="n">
        <f aca="false">Sens!H2698</f>
        <v>129.80864347801</v>
      </c>
      <c r="I2702" s="6" t="n">
        <f aca="false">Sens!I2698</f>
        <v>115.309255588347</v>
      </c>
      <c r="J2702" s="6" t="n">
        <f aca="false">Sens!J2698</f>
        <v>91.2232298862909</v>
      </c>
      <c r="K2702" s="6" t="n">
        <f aca="false">Sens!K2698</f>
        <v>90.74966828078</v>
      </c>
    </row>
    <row r="2703" customFormat="false" ht="17.15" hidden="false" customHeight="false" outlineLevel="0" collapsed="false">
      <c r="A2703" s="0" t="s">
        <v>997</v>
      </c>
      <c r="B2703" s="0" t="s">
        <v>98</v>
      </c>
      <c r="C2703" s="6" t="n">
        <f aca="false">Sens!C2702+Sens!C2699</f>
        <v>22.9933476733333</v>
      </c>
      <c r="D2703" s="6" t="n">
        <f aca="false">Sens!D2702+Sens!D2699</f>
        <v>34.7246475066667</v>
      </c>
      <c r="E2703" s="6" t="n">
        <f aca="false">Sens!E2702+Sens!E2699</f>
        <v>68.98004302</v>
      </c>
      <c r="F2703" s="6" t="n">
        <f aca="false">Sens!F2702+Sens!F2699</f>
        <v>134.763123233696</v>
      </c>
      <c r="G2703" s="6" t="n">
        <f aca="false">Sens!G2702+Sens!G2699</f>
        <v>153.555580519238</v>
      </c>
      <c r="H2703" s="6" t="n">
        <f aca="false">Sens!H2702+Sens!H2699</f>
        <v>157.44480325161</v>
      </c>
      <c r="I2703" s="6" t="n">
        <f aca="false">Sens!I2702+Sens!I2699</f>
        <v>134.891866897288</v>
      </c>
      <c r="J2703" s="6" t="n">
        <f aca="false">Sens!J2702+Sens!J2699</f>
        <v>103.143944956752</v>
      </c>
      <c r="K2703" s="6" t="n">
        <f aca="false">Sens!K2702+Sens!K2699</f>
        <v>95.1702824517861</v>
      </c>
      <c r="L2703" s="12" t="s">
        <v>998</v>
      </c>
    </row>
    <row r="2704" customFormat="false" ht="17.15" hidden="false" customHeight="false" outlineLevel="0" collapsed="false">
      <c r="A2704" s="0" t="s">
        <v>999</v>
      </c>
      <c r="B2704" s="0" t="s">
        <v>98</v>
      </c>
      <c r="E2704" s="6" t="n">
        <f aca="false">(Sens!C2702*IF(2&lt;life_it,1,IF(2=life_it,0.5,0))+Sens!D2702*IF(1&lt;life_it,1,IF(1=life_it,0.5,0))+Sens!E2702*0.5)/life_it</f>
        <v>12.0484627816667</v>
      </c>
      <c r="F2704" s="6" t="n">
        <f aca="false">(Sens!C2702*IF(3&lt;life_it,1,IF(3=life_it,0.5,0))+Sens!D2702*IF(2&lt;life_it,1,IF(2=life_it,0.5,0))+Sens!E2702*IF(1&lt;life_it,1,IF(1=life_it,0.5,0))+Sens!F2702*0.5)/life_it</f>
        <v>25.6563879883413</v>
      </c>
      <c r="G2704" s="6" t="n">
        <f aca="false">(Sens!C2702*IF(4&lt;life_it,1,IF(4=life_it,0.5,0))+Sens!D2702*IF(3&lt;life_it,1,IF(3=life_it,0.5,0))+Sens!E2702*IF(2&lt;life_it,1,IF(2=life_it,0.5,0))+Sens!F2702*IF(1&lt;life_it,1,IF(1=life_it,0.5,0))+Sens!G2702*0.5)/life_it</f>
        <v>45.2509213388192</v>
      </c>
      <c r="H2704" s="6" t="n">
        <f aca="false">(Sens!C2702*IF(5&lt;life_it,1,IF(5=life_it,0.5,0))+Sens!D2702*IF(4&lt;life_it,1,IF(4=life_it,0.5,0))+Sens!E2702*IF(3&lt;life_it,1,IF(3=life_it,0.5,0))+Sens!F2702*IF(2&lt;life_it,1,IF(2=life_it,0.5,0))+Sens!G2702*IF(1&lt;life_it,1,IF(1=life_it,0.5,0))+Sens!H2702*0.5)/life_it</f>
        <v>66.5615933574565</v>
      </c>
      <c r="I2704" s="6" t="n">
        <f aca="false">(Sens!C2702*IF(6&lt;life_it,1,IF(6=life_it,0.5,0))+Sens!D2702*IF(5&lt;life_it,1,IF(5=life_it,0.5,0))+Sens!E2702*IF(4&lt;life_it,1,IF(4=life_it,0.5,0))+Sens!F2702*IF(3&lt;life_it,1,IF(3=life_it,0.5,0))+Sens!G2702*IF(2&lt;life_it,1,IF(2=life_it,0.5,0))+Sens!H2702*IF(1&lt;life_it,1,IF(1=life_it,0.5,0))+Sens!I2702*0.5)/life_it</f>
        <v>85.4858593068751</v>
      </c>
      <c r="J2704" s="6" t="n">
        <f aca="false">(Sens!C2702*IF(7&lt;life_it,1,IF(7=life_it,0.5,0))+Sens!D2702*IF(6&lt;life_it,1,IF(6=life_it,0.5,0))+Sens!E2702*IF(5&lt;life_it,1,IF(5=life_it,0.5,0))+Sens!F2702*IF(4&lt;life_it,1,IF(4=life_it,0.5,0))+Sens!G2702*IF(3&lt;life_it,1,IF(3=life_it,0.5,0))+Sens!H2702*IF(2&lt;life_it,1,IF(2=life_it,0.5,0))+Sens!I2702*IF(1&lt;life_it,1,IF(1=life_it,0.5,0))+Sens!J2702*0.5)/life_it</f>
        <v>98.9260068314283</v>
      </c>
      <c r="K2704" s="6" t="n">
        <f aca="false">(Sens!C2702*IF(8&lt;life_it,1,IF(8=life_it,0.5,0))+Sens!D2702*IF(7&lt;life_it,1,IF(7=life_it,0.5,0))+Sens!E2702*IF(6&lt;life_it,1,IF(6=life_it,0.5,0))+Sens!F2702*IF(5&lt;life_it,1,IF(5=life_it,0.5,0))+Sens!G2702*IF(4&lt;life_it,1,IF(4=life_it,0.5,0))+Sens!H2702*IF(3&lt;life_it,1,IF(3=life_it,0.5,0))+Sens!I2702*IF(2&lt;life_it,1,IF(2=life_it,0.5,0))+Sens!J2702*IF(1&lt;life_it,1,IF(1=life_it,0.5,0))+Sens!K2702*0.5)/life_it</f>
        <v>107.315070801462</v>
      </c>
    </row>
    <row r="2705" customFormat="false" ht="17.15" hidden="false" customHeight="false" outlineLevel="0" collapsed="false">
      <c r="A2705" s="0" t="s">
        <v>1000</v>
      </c>
      <c r="B2705" s="0" t="s">
        <v>98</v>
      </c>
      <c r="E2705" s="6" t="n">
        <f aca="false">(Sens!C2699*IF(2&lt;life_fac,1,IF(2=life_fac,0.5,0))+Sens!D2699*IF(1&lt;life_fac,1,IF(1=life_fac,0.5,0))+Sens!E2699*0.5)/life_fac</f>
        <v>0.995862</v>
      </c>
      <c r="F2705" s="6" t="n">
        <f aca="false">(Sens!C2699*IF(3&lt;life_fac,1,IF(3=life_fac,0.5,0))+Sens!D2699*IF(2&lt;life_fac,1,IF(2=life_fac,0.5,0))+Sens!E2699*IF(1&lt;life_fac,1,IF(1=life_fac,0.5,0))+Sens!F2699*0.5)/life_fac</f>
        <v>2.00706359434</v>
      </c>
      <c r="G2705" s="6" t="n">
        <f aca="false">(Sens!C2699*IF(4&lt;life_fac,1,IF(4=life_fac,0.5,0))+Sens!D2699*IF(3&lt;life_fac,1,IF(3=life_fac,0.5,0))+Sens!E2699*IF(2&lt;life_fac,1,IF(2=life_fac,0.5,0))+Sens!F2699*IF(1&lt;life_fac,1,IF(1=life_fac,0.5,0))+Sens!G2699*0.5)/life_fac</f>
        <v>3.33667118302</v>
      </c>
      <c r="H2705" s="6" t="n">
        <f aca="false">(Sens!C2699*IF(5&lt;life_fac,1,IF(5=life_fac,0.5,0))+Sens!D2699*IF(4&lt;life_fac,1,IF(4=life_fac,0.5,0))+Sens!E2699*IF(3&lt;life_fac,1,IF(3=life_fac,0.5,0))+Sens!F2699*IF(2&lt;life_fac,1,IF(2=life_fac,0.5,0))+Sens!G2699*IF(1&lt;life_fac,1,IF(1=life_fac,0.5,0))+Sens!H2699*0.5)/life_fac</f>
        <v>4.7184791717</v>
      </c>
      <c r="I2705" s="6" t="n">
        <f aca="false">(Sens!C2699*IF(6&lt;life_fac,1,IF(6=life_fac,0.5,0))+Sens!D2699*IF(5&lt;life_fac,1,IF(5=life_fac,0.5,0))+Sens!E2699*IF(4&lt;life_fac,1,IF(4=life_fac,0.5,0))+Sens!F2699*IF(3&lt;life_fac,1,IF(3=life_fac,0.5,0))+Sens!G2699*IF(2&lt;life_fac,1,IF(2=life_fac,0.5,0))+Sens!H2699*IF(1&lt;life_fac,1,IF(1=life_fac,0.5,0))+Sens!I2699*0.5)/life_fac</f>
        <v>5.89894844876353</v>
      </c>
      <c r="J2705" s="6" t="n">
        <f aca="false">(Sens!C2699*IF(7&lt;life_fac,1,IF(7=life_fac,0.5,0))+Sens!D2699*IF(6&lt;life_fac,1,IF(6=life_fac,0.5,0))+Sens!E2699*IF(5&lt;life_fac,1,IF(5=life_fac,0.5,0))+Sens!F2699*IF(4&lt;life_fac,1,IF(4=life_fac,0.5,0))+Sens!G2699*IF(3&lt;life_fac,1,IF(3=life_fac,0.5,0))+Sens!H2699*IF(2&lt;life_fac,1,IF(2=life_fac,0.5,0))+Sens!I2699*IF(1&lt;life_fac,1,IF(1=life_fac,0.5,0))+Sens!J2699*0.5)/life_fac</f>
        <v>6.6865316082486</v>
      </c>
      <c r="K2705" s="6" t="n">
        <f aca="false">(Sens!C2699*IF(8&lt;life_fac,1,IF(8=life_fac,0.5,0))+Sens!D2699*IF(7&lt;life_fac,1,IF(7=life_fac,0.5,0))+Sens!E2699*IF(6&lt;life_fac,1,IF(6=life_fac,0.5,0))+Sens!F2699*IF(5&lt;life_fac,1,IF(5=life_fac,0.5,0))+Sens!G2699*IF(4&lt;life_fac,1,IF(4=life_fac,0.5,0))+Sens!H2699*IF(3&lt;life_fac,1,IF(3=life_fac,0.5,0))+Sens!I2699*IF(2&lt;life_fac,1,IF(2=life_fac,0.5,0))+Sens!J2699*IF(1&lt;life_fac,1,IF(1=life_fac,0.5,0))+Sens!K2699*0.5)/life_fac</f>
        <v>7.09506483928529</v>
      </c>
    </row>
    <row r="2706" customFormat="false" ht="17.15" hidden="false" customHeight="false" outlineLevel="0" collapsed="false">
      <c r="A2706" s="0" t="s">
        <v>1001</v>
      </c>
      <c r="B2706" s="0" t="s">
        <v>98</v>
      </c>
      <c r="E2706" s="6" t="n">
        <f aca="false">Sens!E2704+Sens!E2705</f>
        <v>13.0443247816667</v>
      </c>
      <c r="F2706" s="6" t="n">
        <f aca="false">Sens!F2704+Sens!F2705</f>
        <v>27.6634515826813</v>
      </c>
      <c r="G2706" s="6" t="n">
        <f aca="false">Sens!G2704+Sens!G2705</f>
        <v>48.5875925218392</v>
      </c>
      <c r="H2706" s="6" t="n">
        <f aca="false">Sens!H2704+Sens!H2705</f>
        <v>71.2800725291565</v>
      </c>
      <c r="I2706" s="6" t="n">
        <f aca="false">Sens!I2704+Sens!I2705</f>
        <v>91.3848077556387</v>
      </c>
      <c r="J2706" s="6" t="n">
        <f aca="false">Sens!J2704+Sens!J2705</f>
        <v>105.612538439677</v>
      </c>
      <c r="K2706" s="6" t="n">
        <f aca="false">Sens!K2704+Sens!K2705</f>
        <v>114.410135640747</v>
      </c>
    </row>
    <row r="2707" customFormat="false" ht="17.15" hidden="false" customHeight="false" outlineLevel="0" collapsed="false">
      <c r="A2707" s="0" t="s">
        <v>1002</v>
      </c>
      <c r="B2707" s="0" t="s">
        <v>98</v>
      </c>
      <c r="E2707" s="6" t="n">
        <f aca="false">Sens!E2694-Sens!E2693*Sens!E2706</f>
        <v>8.92707889977379</v>
      </c>
      <c r="F2707" s="6" t="n">
        <f aca="false">Sens!F2694-Sens!F2693*Sens!F2706</f>
        <v>18.7770356668733</v>
      </c>
      <c r="G2707" s="6" t="n">
        <f aca="false">Sens!G2694-Sens!G2693*Sens!G2706</f>
        <v>31.1163641458894</v>
      </c>
      <c r="H2707" s="6" t="n">
        <f aca="false">Sens!H2694-Sens!H2693*Sens!H2706</f>
        <v>43.7262635496428</v>
      </c>
      <c r="I2707" s="6" t="n">
        <f aca="false">Sens!I2694-Sens!I2693*Sens!I2706</f>
        <v>54.7541698336361</v>
      </c>
      <c r="J2707" s="6" t="n">
        <f aca="false">Sens!J2694-Sens!J2693*Sens!J2706</f>
        <v>62.3768819327658</v>
      </c>
      <c r="K2707" s="6" t="n">
        <f aca="false">Sens!K2694-Sens!K2693*Sens!K2706</f>
        <v>67.4820630434748</v>
      </c>
    </row>
    <row r="2708" customFormat="false" ht="17.15" hidden="false" customHeight="false" outlineLevel="0" collapsed="false">
      <c r="A2708" s="3" t="s">
        <v>1546</v>
      </c>
    </row>
    <row r="2709" customFormat="false" ht="15" hidden="false" customHeight="false" outlineLevel="0" collapsed="false">
      <c r="A2709" s="4" t="s">
        <v>43</v>
      </c>
      <c r="B2709" s="4" t="s">
        <v>65</v>
      </c>
      <c r="C2709" s="23" t="s">
        <v>938</v>
      </c>
      <c r="D2709" s="23" t="s">
        <v>939</v>
      </c>
      <c r="E2709" s="23" t="s">
        <v>940</v>
      </c>
      <c r="F2709" s="23" t="s">
        <v>941</v>
      </c>
      <c r="G2709" s="23" t="s">
        <v>942</v>
      </c>
      <c r="H2709" s="23" t="s">
        <v>943</v>
      </c>
      <c r="I2709" s="23" t="s">
        <v>944</v>
      </c>
      <c r="J2709" s="23" t="s">
        <v>945</v>
      </c>
      <c r="K2709" s="23" t="s">
        <v>946</v>
      </c>
      <c r="L2709" s="4" t="s">
        <v>47</v>
      </c>
    </row>
    <row r="2710" customFormat="false" ht="17.15" hidden="false" customHeight="false" outlineLevel="0" collapsed="false">
      <c r="A2710" s="0" t="s">
        <v>1021</v>
      </c>
      <c r="B2710" s="0" t="s">
        <v>98</v>
      </c>
      <c r="D2710" s="6" t="n">
        <f aca="false">Sens!D2688</f>
        <v>12.9359794422418</v>
      </c>
      <c r="E2710" s="6" t="n">
        <f aca="false">Sens!E2688</f>
        <v>27.8095064661409</v>
      </c>
      <c r="F2710" s="6" t="n">
        <f aca="false">Sens!F2688</f>
        <v>55.4118315060966</v>
      </c>
      <c r="G2710" s="6" t="n">
        <f aca="false">Sens!G2688</f>
        <v>91.2881100675143</v>
      </c>
      <c r="H2710" s="6" t="n">
        <f aca="false">Sens!H2688</f>
        <v>128.195273603944</v>
      </c>
      <c r="I2710" s="6" t="n">
        <f aca="false">Sens!I2688</f>
        <v>160.601281810405</v>
      </c>
      <c r="J2710" s="6" t="n">
        <f aca="false">Sens!J2688</f>
        <v>183.182719793589</v>
      </c>
      <c r="K2710" s="6" t="n">
        <f aca="false">Sens!K2688</f>
        <v>197.320124937098</v>
      </c>
    </row>
    <row r="2711" customFormat="false" ht="17.15" hidden="false" customHeight="false" outlineLevel="0" collapsed="false">
      <c r="A2711" s="0" t="s">
        <v>1022</v>
      </c>
      <c r="B2711" s="0" t="s">
        <v>98</v>
      </c>
      <c r="D2711" s="6" t="n">
        <f aca="false">Q!L6-Sens!D2710</f>
        <v>59.6740205577583</v>
      </c>
      <c r="E2711" s="6" t="n">
        <f aca="false">Q!M6-Sens!E2710</f>
        <v>74.1284935338591</v>
      </c>
      <c r="F2711" s="6" t="n">
        <f aca="false">Q!$I$6+(Sens!F2710+Sens!E2711*(1+Sens!F2712))*(1-Q!$E$6/Q!M6)-Sens!F2710</f>
        <v>91.2972164940844</v>
      </c>
      <c r="G2711" s="6" t="n">
        <f aca="false">Sens!F2711*(1+Sens!G2712)</f>
        <v>108.474719793879</v>
      </c>
      <c r="H2711" s="6" t="n">
        <f aca="false">Sens!G2711*(1+Sens!H2712)</f>
        <v>125.951292505701</v>
      </c>
      <c r="I2711" s="6" t="n">
        <f aca="false">Sens!H2711*(1+Sens!I2712)</f>
        <v>142.838165154212</v>
      </c>
      <c r="J2711" s="6" t="n">
        <f aca="false">Sens!I2711*(1+Sens!J2712)</f>
        <v>158.12717866615</v>
      </c>
      <c r="K2711" s="6" t="n">
        <f aca="false">Sens!J2711*(1+Sens!K2712)</f>
        <v>170.777352959442</v>
      </c>
      <c r="L2711" s="12" t="s">
        <v>1023</v>
      </c>
    </row>
    <row r="2712" customFormat="false" ht="15" hidden="false" customHeight="false" outlineLevel="0" collapsed="false">
      <c r="A2712" s="1" t="s">
        <v>1024</v>
      </c>
      <c r="B2712" s="0" t="s">
        <v>168</v>
      </c>
      <c r="E2712" s="7" t="n">
        <f aca="false">Sens!E2711/Sens!D2711-1</f>
        <v>0.242223883039864</v>
      </c>
      <c r="F2712" s="7" t="n">
        <f aca="false">Sens!$E$2712+(glt_azo-Sens!$E$2712)*MIN(1,(Sens!F2669-base_fy)/n_conv)</f>
        <v>0.215186569199887</v>
      </c>
      <c r="G2712" s="7" t="n">
        <f aca="false">Sens!$E$2712+(glt_azo-Sens!$E$2712)*MIN(1,(Sens!G2669-base_fy)/n_conv)</f>
        <v>0.18814925535991</v>
      </c>
      <c r="H2712" s="7" t="n">
        <f aca="false">Sens!$E$2712+(glt_azo-Sens!$E$2712)*MIN(1,(Sens!H2669-base_fy)/n_conv)</f>
        <v>0.161111941519932</v>
      </c>
      <c r="I2712" s="7" t="n">
        <f aca="false">Sens!$E$2712+(glt_azo-Sens!$E$2712)*MIN(1,(Sens!I2669-base_fy)/n_conv)</f>
        <v>0.134074627679955</v>
      </c>
      <c r="J2712" s="7" t="n">
        <f aca="false">Sens!$E$2712+(glt_azo-Sens!$E$2712)*MIN(1,(Sens!J2669-base_fy)/n_conv)</f>
        <v>0.107037313839977</v>
      </c>
      <c r="K2712" s="7" t="n">
        <f aca="false">Sens!$E$2712+(glt_azo-Sens!$E$2712)*MIN(1,(Sens!K2669-base_fy)/n_conv)</f>
        <v>0.08</v>
      </c>
    </row>
    <row r="2713" customFormat="false" ht="15" hidden="false" customHeight="false" outlineLevel="0" collapsed="false">
      <c r="A2713" s="0" t="s">
        <v>1025</v>
      </c>
      <c r="B2713" s="0" t="s">
        <v>98</v>
      </c>
      <c r="D2713" s="6" t="n">
        <f aca="false">Sens!D2710+Sens!D2711</f>
        <v>72.61</v>
      </c>
      <c r="E2713" s="6" t="n">
        <f aca="false">Sens!E2710+Sens!E2711</f>
        <v>101.938</v>
      </c>
      <c r="F2713" s="6" t="n">
        <f aca="false">Sens!F2710+Sens!F2711</f>
        <v>146.709048000181</v>
      </c>
      <c r="G2713" s="6" t="n">
        <f aca="false">Sens!G2710+Sens!G2711</f>
        <v>199.762829861393</v>
      </c>
      <c r="H2713" s="6" t="n">
        <f aca="false">Sens!H2710+Sens!H2711</f>
        <v>254.146566109645</v>
      </c>
      <c r="I2713" s="6" t="n">
        <f aca="false">Sens!I2710+Sens!I2711</f>
        <v>303.439446964617</v>
      </c>
      <c r="J2713" s="6" t="n">
        <f aca="false">Sens!J2710+Sens!J2711</f>
        <v>341.309898459739</v>
      </c>
      <c r="K2713" s="6" t="n">
        <f aca="false">Sens!K2710+Sens!K2711</f>
        <v>368.09747789654</v>
      </c>
    </row>
    <row r="2714" customFormat="false" ht="17.15" hidden="false" customHeight="false" outlineLevel="0" collapsed="false">
      <c r="A2714" s="0" t="s">
        <v>1026</v>
      </c>
      <c r="B2714" s="1" t="s">
        <v>610</v>
      </c>
      <c r="C2714" s="30" t="n">
        <f aca="false">cop_s24</f>
        <v>1</v>
      </c>
      <c r="D2714" s="30" t="n">
        <f aca="false">cop_s25</f>
        <v>5</v>
      </c>
      <c r="E2714" s="30" t="n">
        <f aca="false">cop_s26</f>
        <v>30</v>
      </c>
      <c r="F2714" s="30" t="n">
        <f aca="false">Sens!E2714+cop_add_B</f>
        <v>50</v>
      </c>
      <c r="G2714" s="30" t="n">
        <f aca="false">Sens!F2714+cop_add_B</f>
        <v>70</v>
      </c>
      <c r="H2714" s="30" t="n">
        <f aca="false">Sens!G2714+cop_add_B</f>
        <v>90</v>
      </c>
      <c r="I2714" s="30" t="n">
        <f aca="false">Sens!H2714+cop_add_B*cop_tail</f>
        <v>100</v>
      </c>
      <c r="J2714" s="30" t="n">
        <f aca="false">Sens!I2714+cop_add_B*cop_tail</f>
        <v>110</v>
      </c>
      <c r="K2714" s="30" t="n">
        <f aca="false">Sens!J2714+cop_add_B*cop_tail</f>
        <v>120</v>
      </c>
      <c r="L2714" s="12" t="s">
        <v>1027</v>
      </c>
    </row>
    <row r="2715" customFormat="false" ht="17.15" hidden="false" customHeight="false" outlineLevel="0" collapsed="false">
      <c r="A2715" s="0" t="s">
        <v>1028</v>
      </c>
      <c r="B2715" s="0" t="s">
        <v>98</v>
      </c>
      <c r="D2715" s="6" t="n">
        <f aca="false">(Sens!C2714+Sens!D2714)/2*cop_px*12/1000</f>
        <v>0.9</v>
      </c>
      <c r="E2715" s="6" t="n">
        <f aca="false">(Sens!D2714+Sens!E2714)/2*cop_px*12/1000</f>
        <v>5.25</v>
      </c>
      <c r="F2715" s="6" t="n">
        <f aca="false">(Sens!E2714+Sens!F2714)/2*cop_px*12/1000</f>
        <v>12</v>
      </c>
      <c r="G2715" s="6" t="n">
        <f aca="false">(Sens!F2714+Sens!G2714)/2*cop_px*12/1000</f>
        <v>18</v>
      </c>
      <c r="H2715" s="6" t="n">
        <f aca="false">(Sens!G2714+Sens!H2714)/2*cop_px*12/1000</f>
        <v>24</v>
      </c>
      <c r="I2715" s="6" t="n">
        <f aca="false">(Sens!H2714+Sens!I2714)/2*cop_px*12/1000</f>
        <v>28.5</v>
      </c>
      <c r="J2715" s="6" t="n">
        <f aca="false">(Sens!I2714+Sens!J2714)/2*cop_px*12/1000</f>
        <v>31.5</v>
      </c>
      <c r="K2715" s="6" t="n">
        <f aca="false">(Sens!J2714+Sens!K2714)/2*cop_px*12/1000</f>
        <v>34.5</v>
      </c>
      <c r="L2715" s="1" t="s">
        <v>1029</v>
      </c>
    </row>
    <row r="2716" customFormat="false" ht="17.15" hidden="false" customHeight="false" outlineLevel="0" collapsed="false">
      <c r="A2716" s="0" t="s">
        <v>1030</v>
      </c>
      <c r="B2716" s="0" t="s">
        <v>98</v>
      </c>
      <c r="D2716" s="6" t="n">
        <f aca="false">Q!L7-Sens!D2715</f>
        <v>83.705</v>
      </c>
      <c r="E2716" s="6" t="n">
        <f aca="false">Q!M7-Sens!E2715</f>
        <v>95.049</v>
      </c>
      <c r="F2716" s="6" t="n">
        <f aca="false">Q!$I$7+(Sens!E2716*(1+Sens!F2717)+Sens!F2715)*(1-Q!$E$7/Q!M7)-Sens!F2715</f>
        <v>106.584003697747</v>
      </c>
      <c r="G2716" s="6" t="n">
        <f aca="false">Sens!F2716*(1+Sens!G2717)</f>
        <v>118.700726545688</v>
      </c>
      <c r="H2716" s="6" t="n">
        <f aca="false">Sens!G2716*(1+Sens!H2717)</f>
        <v>130.898624783666</v>
      </c>
      <c r="I2716" s="6" t="n">
        <f aca="false">Sens!H2716*(1+Sens!I2717)</f>
        <v>142.920510030657</v>
      </c>
      <c r="J2716" s="6" t="n">
        <f aca="false">Sens!I2716*(1+Sens!J2717)</f>
        <v>154.485722618572</v>
      </c>
      <c r="K2716" s="6" t="n">
        <f aca="false">Sens!J2716*(1+Sens!K2717)</f>
        <v>165.299723201872</v>
      </c>
      <c r="L2716" s="12" t="s">
        <v>1031</v>
      </c>
    </row>
    <row r="2717" customFormat="false" ht="15" hidden="false" customHeight="false" outlineLevel="0" collapsed="false">
      <c r="A2717" s="1" t="s">
        <v>1024</v>
      </c>
      <c r="B2717" s="0" t="s">
        <v>168</v>
      </c>
      <c r="E2717" s="7" t="n">
        <f aca="false">Sens!E2716/Sens!D2716-1</f>
        <v>0.135523564900544</v>
      </c>
      <c r="F2717" s="7" t="n">
        <f aca="false">Sens!$E$2717+(glt_m365b-Sens!$E$2717)*MIN(1,(Sens!F2669-base_fy)/n_conv)</f>
        <v>0.124602970750453</v>
      </c>
      <c r="G2717" s="7" t="n">
        <f aca="false">Sens!$E$2717+(glt_m365b-Sens!$E$2717)*MIN(1,(Sens!G2669-base_fy)/n_conv)</f>
        <v>0.113682376600363</v>
      </c>
      <c r="H2717" s="7" t="n">
        <f aca="false">Sens!$E$2717+(glt_m365b-Sens!$E$2717)*MIN(1,(Sens!H2669-base_fy)/n_conv)</f>
        <v>0.102761782450272</v>
      </c>
      <c r="I2717" s="7" t="n">
        <f aca="false">Sens!$E$2717+(glt_m365b-Sens!$E$2717)*MIN(1,(Sens!I2669-base_fy)/n_conv)</f>
        <v>0.0918411883001813</v>
      </c>
      <c r="J2717" s="7" t="n">
        <f aca="false">Sens!$E$2717+(glt_m365b-Sens!$E$2717)*MIN(1,(Sens!J2669-base_fy)/n_conv)</f>
        <v>0.0809205941500906</v>
      </c>
      <c r="K2717" s="7" t="n">
        <f aca="false">Sens!$E$2717+(glt_m365b-Sens!$E$2717)*MIN(1,(Sens!K2669-base_fy)/n_conv)</f>
        <v>0.07</v>
      </c>
    </row>
    <row r="2718" customFormat="false" ht="15" hidden="false" customHeight="false" outlineLevel="0" collapsed="false">
      <c r="A2718" s="0" t="s">
        <v>1032</v>
      </c>
      <c r="B2718" s="0" t="s">
        <v>98</v>
      </c>
      <c r="D2718" s="6" t="n">
        <f aca="false">Sens!D2716+Sens!D2715</f>
        <v>84.605</v>
      </c>
      <c r="E2718" s="6" t="n">
        <f aca="false">Sens!E2716+Sens!E2715</f>
        <v>100.299</v>
      </c>
      <c r="F2718" s="6" t="n">
        <f aca="false">Sens!F2716+Sens!F2715</f>
        <v>118.584003697747</v>
      </c>
      <c r="G2718" s="6" t="n">
        <f aca="false">Sens!G2716+Sens!G2715</f>
        <v>136.700726545688</v>
      </c>
      <c r="H2718" s="6" t="n">
        <f aca="false">Sens!H2716+Sens!H2715</f>
        <v>154.898624783666</v>
      </c>
      <c r="I2718" s="6" t="n">
        <f aca="false">Sens!I2716+Sens!I2715</f>
        <v>171.420510030657</v>
      </c>
      <c r="J2718" s="6" t="n">
        <f aca="false">Sens!J2716+Sens!J2715</f>
        <v>185.985722618572</v>
      </c>
      <c r="K2718" s="6" t="n">
        <f aca="false">Sens!K2716+Sens!K2715</f>
        <v>199.799723201872</v>
      </c>
    </row>
    <row r="2719" customFormat="false" ht="17.15" hidden="false" customHeight="false" outlineLevel="0" collapsed="false">
      <c r="A2719" s="0" t="s">
        <v>1033</v>
      </c>
      <c r="B2719" s="0" t="s">
        <v>98</v>
      </c>
      <c r="D2719" s="6" t="n">
        <f aca="false">Q!L8</f>
        <v>35.391</v>
      </c>
      <c r="E2719" s="6" t="n">
        <f aca="false">Q!M8</f>
        <v>37.285</v>
      </c>
      <c r="F2719" s="6" t="n">
        <f aca="false">Q!$I$8+(Q!M8-Q!$E$8)*(1+Sens!F2720)</f>
        <v>38.3851437782675</v>
      </c>
      <c r="G2719" s="6" t="n">
        <f aca="false">Sens!F2719*(1+Sens!G2720)</f>
        <v>40.0105353288615</v>
      </c>
      <c r="H2719" s="6" t="n">
        <f aca="false">Sens!G2719*(1+Sens!H2720)</f>
        <v>41.4812512033683</v>
      </c>
      <c r="I2719" s="6" t="n">
        <f aca="false">Sens!H2719*(1+Sens!I2720)</f>
        <v>42.7743107216329</v>
      </c>
      <c r="J2719" s="6" t="n">
        <f aca="false">Sens!I2719*(1+Sens!J2720)</f>
        <v>43.8687373064601</v>
      </c>
      <c r="K2719" s="6" t="n">
        <f aca="false">Sens!J2719*(1+Sens!K2720)</f>
        <v>44.7461120525893</v>
      </c>
      <c r="L2719" s="12" t="s">
        <v>1034</v>
      </c>
    </row>
    <row r="2720" customFormat="false" ht="15" hidden="false" customHeight="false" outlineLevel="0" collapsed="false">
      <c r="A2720" s="1" t="s">
        <v>1024</v>
      </c>
      <c r="B2720" s="0" t="s">
        <v>168</v>
      </c>
      <c r="E2720" s="7" t="n">
        <f aca="false">Sens!E2719/Sens!D2719-1</f>
        <v>0.0535164307309768</v>
      </c>
      <c r="F2720" s="7" t="n">
        <f aca="false">Sens!$E$2720+(glt_lic-Sens!$E$2720)*MIN(1,(Sens!F2669-base_fy)/n_conv)</f>
        <v>0.0479303589424807</v>
      </c>
      <c r="G2720" s="7" t="n">
        <f aca="false">Sens!$E$2720+(glt_lic-Sens!$E$2720)*MIN(1,(Sens!G2669-base_fy)/n_conv)</f>
        <v>0.0423442871539845</v>
      </c>
      <c r="H2720" s="7" t="n">
        <f aca="false">Sens!$E$2720+(glt_lic-Sens!$E$2720)*MIN(1,(Sens!H2669-base_fy)/n_conv)</f>
        <v>0.0367582153654884</v>
      </c>
      <c r="I2720" s="7" t="n">
        <f aca="false">Sens!$E$2720+(glt_lic-Sens!$E$2720)*MIN(1,(Sens!I2669-base_fy)/n_conv)</f>
        <v>0.0311721435769923</v>
      </c>
      <c r="J2720" s="7" t="n">
        <f aca="false">Sens!$E$2720+(glt_lic-Sens!$E$2720)*MIN(1,(Sens!J2669-base_fy)/n_conv)</f>
        <v>0.0255860717884961</v>
      </c>
      <c r="K2720" s="7" t="n">
        <f aca="false">Sens!$E$2720+(glt_lic-Sens!$E$2720)*MIN(1,(Sens!K2669-base_fy)/n_conv)</f>
        <v>0.02</v>
      </c>
    </row>
    <row r="2721" customFormat="false" ht="17.15" hidden="false" customHeight="false" outlineLevel="0" collapsed="false">
      <c r="A2721" s="0" t="s">
        <v>1035</v>
      </c>
      <c r="B2721" s="0" t="s">
        <v>98</v>
      </c>
      <c r="D2721" s="6" t="n">
        <f aca="false">Q!L9</f>
        <v>18.417</v>
      </c>
      <c r="E2721" s="6" t="n">
        <f aca="false">Q!M9</f>
        <v>20.345</v>
      </c>
      <c r="F2721" s="6" t="n">
        <f aca="false">Q!$I$9+(Q!M9-Q!$E$9)*(1+Sens!F2722)</f>
        <v>22.3161797133988</v>
      </c>
      <c r="G2721" s="6" t="n">
        <f aca="false">Sens!F2721*(1+Sens!G2722)</f>
        <v>24.3943499673233</v>
      </c>
      <c r="H2721" s="6" t="n">
        <f aca="false">Sens!G2721*(1+Sens!H2722)</f>
        <v>26.5250243109019</v>
      </c>
      <c r="I2721" s="6" t="n">
        <f aca="false">Sens!H2721*(1+Sens!I2722)</f>
        <v>28.6884573538181</v>
      </c>
      <c r="J2721" s="6" t="n">
        <f aca="false">Sens!I2721*(1+Sens!J2722)</f>
        <v>30.8624968052127</v>
      </c>
      <c r="K2721" s="6" t="n">
        <f aca="false">Sens!J2721*(1+Sens!K2722)</f>
        <v>33.0228715815776</v>
      </c>
      <c r="L2721" s="12" t="s">
        <v>1034</v>
      </c>
    </row>
    <row r="2722" customFormat="false" ht="15" hidden="false" customHeight="false" outlineLevel="0" collapsed="false">
      <c r="A2722" s="1" t="s">
        <v>1024</v>
      </c>
      <c r="B2722" s="0" t="s">
        <v>168</v>
      </c>
      <c r="E2722" s="7" t="n">
        <f aca="false">Sens!E2721/Sens!D2721-1</f>
        <v>0.104685888038225</v>
      </c>
      <c r="F2722" s="7" t="n">
        <f aca="false">Sens!$E$2722+(glt_ind-Sens!$E$2722)*MIN(1,(Sens!F2669-base_fy)/n_conv)</f>
        <v>0.0989049066985211</v>
      </c>
      <c r="G2722" s="7" t="n">
        <f aca="false">Sens!$E$2722+(glt_ind-Sens!$E$2722)*MIN(1,(Sens!G2669-base_fy)/n_conv)</f>
        <v>0.0931239253588169</v>
      </c>
      <c r="H2722" s="7" t="n">
        <f aca="false">Sens!$E$2722+(glt_ind-Sens!$E$2722)*MIN(1,(Sens!H2669-base_fy)/n_conv)</f>
        <v>0.0873429440191127</v>
      </c>
      <c r="I2722" s="7" t="n">
        <f aca="false">Sens!$E$2722+(glt_ind-Sens!$E$2722)*MIN(1,(Sens!I2669-base_fy)/n_conv)</f>
        <v>0.0815619626794085</v>
      </c>
      <c r="J2722" s="7" t="n">
        <f aca="false">Sens!$E$2722+(glt_ind-Sens!$E$2722)*MIN(1,(Sens!J2669-base_fy)/n_conv)</f>
        <v>0.0757809813397042</v>
      </c>
      <c r="K2722" s="7" t="n">
        <f aca="false">Sens!$E$2722+(glt_ind-Sens!$E$2722)*MIN(1,(Sens!K2669-base_fy)/n_conv)</f>
        <v>0.07</v>
      </c>
    </row>
    <row r="2723" customFormat="false" ht="17.15" hidden="false" customHeight="false" outlineLevel="0" collapsed="false">
      <c r="A2723" s="0" t="s">
        <v>1036</v>
      </c>
      <c r="B2723" s="0" t="s">
        <v>98</v>
      </c>
      <c r="D2723" s="6" t="n">
        <f aca="false">Q!L10</f>
        <v>7.76</v>
      </c>
      <c r="E2723" s="6" t="n">
        <f aca="false">Q!M10</f>
        <v>8.26</v>
      </c>
      <c r="F2723" s="6" t="n">
        <f aca="false">Q!$I$10+(Q!M10-Q!$E$10)*(1+Sens!F2724)</f>
        <v>8.75372082474227</v>
      </c>
      <c r="G2723" s="6" t="n">
        <f aca="false">Sens!F2723*(1+Sens!G2724)</f>
        <v>9.33399324642364</v>
      </c>
      <c r="H2723" s="6" t="n">
        <f aca="false">Sens!G2723*(1+Sens!H2724)</f>
        <v>9.96139155535851</v>
      </c>
      <c r="I2723" s="6" t="n">
        <f aca="false">Sens!H2723*(1+Sens!I2724)</f>
        <v>10.6402039077391</v>
      </c>
      <c r="J2723" s="6" t="n">
        <f aca="false">Sens!I2723*(1+Sens!J2724)</f>
        <v>11.3751458271397</v>
      </c>
      <c r="K2723" s="6" t="n">
        <f aca="false">Sens!J2723*(1+Sens!K2724)</f>
        <v>12.1714060350394</v>
      </c>
      <c r="L2723" s="12" t="s">
        <v>1034</v>
      </c>
    </row>
    <row r="2724" customFormat="false" ht="15" hidden="false" customHeight="false" outlineLevel="0" collapsed="false">
      <c r="A2724" s="1" t="s">
        <v>1024</v>
      </c>
      <c r="B2724" s="0" t="s">
        <v>168</v>
      </c>
      <c r="E2724" s="7" t="n">
        <f aca="false">Sens!E2723/Sens!D2723-1</f>
        <v>0.0644329896907216</v>
      </c>
      <c r="F2724" s="7" t="n">
        <f aca="false">Sens!$E$2724+(glt_fro-Sens!$E$2724)*MIN(1,(Sens!F2669-base_fy)/n_conv)</f>
        <v>0.065360824742268</v>
      </c>
      <c r="G2724" s="7" t="n">
        <f aca="false">Sens!$E$2724+(glt_fro-Sens!$E$2724)*MIN(1,(Sens!G2669-base_fy)/n_conv)</f>
        <v>0.0662886597938144</v>
      </c>
      <c r="H2724" s="7" t="n">
        <f aca="false">Sens!$E$2724+(glt_fro-Sens!$E$2724)*MIN(1,(Sens!H2669-base_fy)/n_conv)</f>
        <v>0.0672164948453608</v>
      </c>
      <c r="I2724" s="7" t="n">
        <f aca="false">Sens!$E$2724+(glt_fro-Sens!$E$2724)*MIN(1,(Sens!I2669-base_fy)/n_conv)</f>
        <v>0.0681443298969072</v>
      </c>
      <c r="J2724" s="7" t="n">
        <f aca="false">Sens!$E$2724+(glt_fro-Sens!$E$2724)*MIN(1,(Sens!J2669-base_fy)/n_conv)</f>
        <v>0.0690721649484536</v>
      </c>
      <c r="K2724" s="7" t="n">
        <f aca="false">Sens!$E$2724+(glt_fro-Sens!$E$2724)*MIN(1,(Sens!K2669-base_fy)/n_conv)</f>
        <v>0.07</v>
      </c>
    </row>
    <row r="2725" customFormat="false" ht="15" hidden="false" customHeight="false" outlineLevel="0" collapsed="false">
      <c r="A2725" s="0" t="s">
        <v>852</v>
      </c>
      <c r="B2725" s="0" t="s">
        <v>98</v>
      </c>
      <c r="D2725" s="6" t="n">
        <f aca="false">Sens!D2713+Sens!D2718+Sens!D2719+Sens!D2721+Sens!D2723</f>
        <v>218.783</v>
      </c>
      <c r="E2725" s="6" t="n">
        <f aca="false">Sens!E2713+Sens!E2718+Sens!E2719+Sens!E2721+Sens!E2723</f>
        <v>268.127</v>
      </c>
      <c r="F2725" s="6" t="n">
        <f aca="false">Sens!F2713+Sens!F2718+Sens!F2719+Sens!F2721+Sens!F2723</f>
        <v>334.748096014336</v>
      </c>
      <c r="G2725" s="6" t="n">
        <f aca="false">Sens!G2713+Sens!G2718+Sens!G2719+Sens!G2721+Sens!G2723</f>
        <v>410.20243494969</v>
      </c>
      <c r="H2725" s="6" t="n">
        <f aca="false">Sens!H2713+Sens!H2718+Sens!H2719+Sens!H2721+Sens!H2723</f>
        <v>487.012857962939</v>
      </c>
      <c r="I2725" s="6" t="n">
        <f aca="false">Sens!I2713+Sens!I2718+Sens!I2719+Sens!I2721+Sens!I2723</f>
        <v>556.962928978464</v>
      </c>
      <c r="J2725" s="6" t="n">
        <f aca="false">Sens!J2713+Sens!J2718+Sens!J2719+Sens!J2721+Sens!J2723</f>
        <v>613.402001017124</v>
      </c>
      <c r="K2725" s="6" t="n">
        <f aca="false">Sens!K2713+Sens!K2718+Sens!K2719+Sens!K2721+Sens!K2723</f>
        <v>657.837590767618</v>
      </c>
    </row>
    <row r="2726" customFormat="false" ht="17.15" hidden="false" customHeight="false" outlineLevel="0" collapsed="false">
      <c r="A2726" s="0" t="s">
        <v>1037</v>
      </c>
      <c r="B2726" s="0" t="s">
        <v>98</v>
      </c>
      <c r="D2726" s="6" t="n">
        <f aca="false">Q!L13</f>
        <v>22.171</v>
      </c>
      <c r="E2726" s="6" t="n">
        <f aca="false">Q!M13</f>
        <v>24.835</v>
      </c>
      <c r="F2726" s="6" t="n">
        <f aca="false">Q!$I$13+(Q!M13-Q!$E$13)*(1+Sens!F2727)</f>
        <v>27.5591895660247</v>
      </c>
      <c r="G2726" s="6" t="n">
        <f aca="false">Sens!F2726*(1+Sens!G2727)</f>
        <v>30.4098563144583</v>
      </c>
      <c r="H2726" s="6" t="n">
        <f aca="false">Sens!G2726*(1+Sens!H2727)</f>
        <v>33.3011792571777</v>
      </c>
      <c r="I2726" s="6" t="n">
        <f aca="false">Sens!H2726*(1+Sens!I2727)</f>
        <v>36.189023797112</v>
      </c>
      <c r="J2726" s="6" t="n">
        <f aca="false">Sens!I2726*(1+Sens!J2727)</f>
        <v>39.0247773769199</v>
      </c>
      <c r="K2726" s="6" t="n">
        <f aca="false">Sens!J2726*(1+Sens!K2727)</f>
        <v>41.7565117933043</v>
      </c>
      <c r="L2726" s="12" t="s">
        <v>1034</v>
      </c>
    </row>
    <row r="2727" customFormat="false" ht="15" hidden="false" customHeight="false" outlineLevel="0" collapsed="false">
      <c r="A2727" s="1" t="s">
        <v>1024</v>
      </c>
      <c r="B2727" s="0" t="s">
        <v>168</v>
      </c>
      <c r="E2727" s="7" t="n">
        <f aca="false">Sens!E2726/Sens!D2726-1</f>
        <v>0.120156961796942</v>
      </c>
      <c r="F2727" s="7" t="n">
        <f aca="false">Sens!$E$2727+(glt_srch-Sens!$E$2727)*MIN(1,(Sens!F2669-base_fy)/n_conv)</f>
        <v>0.111797468164118</v>
      </c>
      <c r="G2727" s="7" t="n">
        <f aca="false">Sens!$E$2727+(glt_srch-Sens!$E$2727)*MIN(1,(Sens!G2669-base_fy)/n_conv)</f>
        <v>0.103437974531295</v>
      </c>
      <c r="H2727" s="7" t="n">
        <f aca="false">Sens!$E$2727+(glt_srch-Sens!$E$2727)*MIN(1,(Sens!H2669-base_fy)/n_conv)</f>
        <v>0.095078480898471</v>
      </c>
      <c r="I2727" s="7" t="n">
        <f aca="false">Sens!$E$2727+(glt_srch-Sens!$E$2727)*MIN(1,(Sens!I2669-base_fy)/n_conv)</f>
        <v>0.0867189872656474</v>
      </c>
      <c r="J2727" s="7" t="n">
        <f aca="false">Sens!$E$2727+(glt_srch-Sens!$E$2727)*MIN(1,(Sens!J2669-base_fy)/n_conv)</f>
        <v>0.0783594936328237</v>
      </c>
      <c r="K2727" s="7" t="n">
        <f aca="false">Sens!$E$2727+(glt_srch-Sens!$E$2727)*MIN(1,(Sens!K2669-base_fy)/n_conv)</f>
        <v>0.07</v>
      </c>
    </row>
    <row r="2728" customFormat="false" ht="17.15" hidden="false" customHeight="false" outlineLevel="0" collapsed="false">
      <c r="A2728" s="0" t="s">
        <v>1038</v>
      </c>
      <c r="B2728" s="0" t="s">
        <v>98</v>
      </c>
      <c r="D2728" s="6" t="n">
        <f aca="false">Q!L14</f>
        <v>23.455</v>
      </c>
      <c r="E2728" s="6" t="n">
        <f aca="false">Q!M14</f>
        <v>21.79</v>
      </c>
      <c r="F2728" s="6" t="n">
        <f aca="false">Q!$I$14+(Q!M14-Q!$E$14)*(1+Sens!F2729)</f>
        <v>20.7520981041711</v>
      </c>
      <c r="G2728" s="6" t="n">
        <f aca="false">Sens!F2728*(1+Sens!G2729)</f>
        <v>19.9083593495882</v>
      </c>
      <c r="H2728" s="6" t="n">
        <f aca="false">Sens!G2728*(1+Sens!H2729)</f>
        <v>19.4008256265831</v>
      </c>
      <c r="I2728" s="6" t="n">
        <f aca="false">Sens!H2728*(1+Sens!I2729)</f>
        <v>19.200434522122</v>
      </c>
      <c r="J2728" s="6" t="n">
        <f aca="false">Sens!I2728*(1+Sens!J2729)</f>
        <v>19.2932782348507</v>
      </c>
      <c r="K2728" s="6" t="n">
        <f aca="false">Sens!J2728*(1+Sens!K2729)</f>
        <v>19.6791437995477</v>
      </c>
      <c r="L2728" s="12" t="s">
        <v>1034</v>
      </c>
    </row>
    <row r="2729" customFormat="false" ht="15" hidden="false" customHeight="false" outlineLevel="0" collapsed="false">
      <c r="A2729" s="1" t="s">
        <v>1024</v>
      </c>
      <c r="B2729" s="0" t="s">
        <v>168</v>
      </c>
      <c r="E2729" s="7" t="n">
        <f aca="false">Sens!E2728/Sens!D2728-1</f>
        <v>-0.0709869963760392</v>
      </c>
      <c r="F2729" s="7" t="n">
        <f aca="false">Sens!$E$2729+(glt_xbox-Sens!$E$2729)*MIN(1,(Sens!F2669-base_fy)/n_conv)</f>
        <v>-0.0558224969800327</v>
      </c>
      <c r="G2729" s="7" t="n">
        <f aca="false">Sens!$E$2729+(glt_xbox-Sens!$E$2729)*MIN(1,(Sens!G2669-base_fy)/n_conv)</f>
        <v>-0.0406579975840262</v>
      </c>
      <c r="H2729" s="7" t="n">
        <f aca="false">Sens!$E$2729+(glt_xbox-Sens!$E$2729)*MIN(1,(Sens!H2669-base_fy)/n_conv)</f>
        <v>-0.0254934981880196</v>
      </c>
      <c r="I2729" s="7" t="n">
        <f aca="false">Sens!$E$2729+(glt_xbox-Sens!$E$2729)*MIN(1,(Sens!I2669-base_fy)/n_conv)</f>
        <v>-0.0103289987920131</v>
      </c>
      <c r="J2729" s="7" t="n">
        <f aca="false">Sens!$E$2729+(glt_xbox-Sens!$E$2729)*MIN(1,(Sens!J2669-base_fy)/n_conv)</f>
        <v>0.00483550060399347</v>
      </c>
      <c r="K2729" s="7" t="n">
        <f aca="false">Sens!$E$2729+(glt_xbox-Sens!$E$2729)*MIN(1,(Sens!K2669-base_fy)/n_conv)</f>
        <v>0.02</v>
      </c>
    </row>
    <row r="2730" customFormat="false" ht="17.15" hidden="false" customHeight="false" outlineLevel="0" collapsed="false">
      <c r="A2730" s="0" t="s">
        <v>1039</v>
      </c>
      <c r="B2730" s="0" t="s">
        <v>98</v>
      </c>
      <c r="D2730" s="6" t="n">
        <f aca="false">Q!L15</f>
        <v>17.315</v>
      </c>
      <c r="E2730" s="6" t="n">
        <f aca="false">Q!M15</f>
        <v>17.087</v>
      </c>
      <c r="F2730" s="6" t="n">
        <f aca="false">Q!$I$15+(Q!M15-Q!$E$15)*(1+Sens!F2731)</f>
        <v>15.9912273250553</v>
      </c>
      <c r="G2730" s="6" t="n">
        <f aca="false">Sens!F2730*(1+Sens!G2731)</f>
        <v>15.9574562664827</v>
      </c>
      <c r="H2730" s="6" t="n">
        <f aca="false">Sens!G2730*(1+Sens!H2731)</f>
        <v>16.0119687434196</v>
      </c>
      <c r="I2730" s="6" t="n">
        <f aca="false">Sens!H2730*(1+Sens!I2731)</f>
        <v>16.1551810001948</v>
      </c>
      <c r="J2730" s="6" t="n">
        <f aca="false">Sens!I2730*(1+Sens!J2731)</f>
        <v>16.3889793892005</v>
      </c>
      <c r="K2730" s="6" t="n">
        <f aca="false">Sens!J2730*(1+Sens!K2731)</f>
        <v>16.7167589769845</v>
      </c>
      <c r="L2730" s="12" t="s">
        <v>1034</v>
      </c>
    </row>
    <row r="2731" customFormat="false" ht="15" hidden="false" customHeight="false" outlineLevel="0" collapsed="false">
      <c r="A2731" s="1" t="s">
        <v>1024</v>
      </c>
      <c r="B2731" s="0" t="s">
        <v>168</v>
      </c>
      <c r="E2731" s="7" t="n">
        <f aca="false">Sens!E2730/Sens!D2730-1</f>
        <v>-0.0131677736066995</v>
      </c>
      <c r="F2731" s="7" t="n">
        <f aca="false">Sens!$E$2731+(glt_win-Sens!$E$2731)*MIN(1,(Sens!F2669-base_fy)/n_conv)</f>
        <v>-0.00763981133891627</v>
      </c>
      <c r="G2731" s="7" t="n">
        <f aca="false">Sens!$E$2731+(glt_win-Sens!$E$2731)*MIN(1,(Sens!G2669-base_fy)/n_conv)</f>
        <v>-0.00211184907113301</v>
      </c>
      <c r="H2731" s="7" t="n">
        <f aca="false">Sens!$E$2731+(glt_win-Sens!$E$2731)*MIN(1,(Sens!H2669-base_fy)/n_conv)</f>
        <v>0.00341611319665024</v>
      </c>
      <c r="I2731" s="7" t="n">
        <f aca="false">Sens!$E$2731+(glt_win-Sens!$E$2731)*MIN(1,(Sens!I2669-base_fy)/n_conv)</f>
        <v>0.00894407546443349</v>
      </c>
      <c r="J2731" s="7" t="n">
        <f aca="false">Sens!$E$2731+(glt_win-Sens!$E$2731)*MIN(1,(Sens!J2669-base_fy)/n_conv)</f>
        <v>0.0144720377322168</v>
      </c>
      <c r="K2731" s="7" t="n">
        <f aca="false">Sens!$E$2731+(glt_win-Sens!$E$2731)*MIN(1,(Sens!K2669-base_fy)/n_conv)</f>
        <v>0.02</v>
      </c>
    </row>
    <row r="2732" customFormat="false" ht="15" hidden="false" customHeight="false" outlineLevel="0" collapsed="false">
      <c r="A2732" s="0" t="s">
        <v>866</v>
      </c>
      <c r="B2732" s="0" t="s">
        <v>98</v>
      </c>
      <c r="D2732" s="6" t="n">
        <f aca="false">Sens!D2726+Sens!D2728+Sens!D2730</f>
        <v>62.941</v>
      </c>
      <c r="E2732" s="6" t="n">
        <f aca="false">Sens!E2726+Sens!E2728+Sens!E2730</f>
        <v>63.712</v>
      </c>
      <c r="F2732" s="6" t="n">
        <f aca="false">Sens!F2726+Sens!F2728+Sens!F2730</f>
        <v>64.3025149952511</v>
      </c>
      <c r="G2732" s="6" t="n">
        <f aca="false">Sens!G2726+Sens!G2728+Sens!G2730</f>
        <v>66.2756719305292</v>
      </c>
      <c r="H2732" s="6" t="n">
        <f aca="false">Sens!H2726+Sens!H2728+Sens!H2730</f>
        <v>68.7139736271804</v>
      </c>
      <c r="I2732" s="6" t="n">
        <f aca="false">Sens!I2726+Sens!I2728+Sens!I2730</f>
        <v>71.5446393194289</v>
      </c>
      <c r="J2732" s="6" t="n">
        <f aca="false">Sens!J2726+Sens!J2728+Sens!J2730</f>
        <v>74.707035000971</v>
      </c>
      <c r="K2732" s="6" t="n">
        <f aca="false">Sens!K2726+Sens!K2728+Sens!K2730</f>
        <v>78.1524145698365</v>
      </c>
    </row>
    <row r="2733" customFormat="false" ht="15" hidden="false" customHeight="false" outlineLevel="0" collapsed="false">
      <c r="A2733" s="1" t="s">
        <v>1040</v>
      </c>
      <c r="B2733" s="0" t="s">
        <v>98</v>
      </c>
      <c r="D2733" s="6" t="n">
        <f aca="false">Sens!D2725+Sens!D2732</f>
        <v>281.724</v>
      </c>
      <c r="E2733" s="6" t="n">
        <f aca="false">Sens!E2725+Sens!E2732</f>
        <v>331.839</v>
      </c>
      <c r="F2733" s="6" t="n">
        <f aca="false">Sens!F2725+Sens!F2732</f>
        <v>399.050611009588</v>
      </c>
      <c r="G2733" s="6" t="n">
        <f aca="false">Sens!G2725+Sens!G2732</f>
        <v>476.478106880219</v>
      </c>
      <c r="H2733" s="6" t="n">
        <f aca="false">Sens!H2725+Sens!H2732</f>
        <v>555.72683159012</v>
      </c>
      <c r="I2733" s="6" t="n">
        <f aca="false">Sens!I2725+Sens!I2732</f>
        <v>628.507568297893</v>
      </c>
      <c r="J2733" s="6" t="n">
        <f aca="false">Sens!J2725+Sens!J2732</f>
        <v>688.109036018095</v>
      </c>
      <c r="K2733" s="6" t="n">
        <f aca="false">Sens!K2725+Sens!K2732</f>
        <v>735.990005337455</v>
      </c>
    </row>
    <row r="2734" customFormat="false" ht="15" hidden="false" customHeight="false" outlineLevel="0" collapsed="false">
      <c r="A2734" s="26" t="s">
        <v>1041</v>
      </c>
      <c r="B2734" s="31" t="s">
        <v>98</v>
      </c>
      <c r="C2734" s="31"/>
      <c r="D2734" s="27" t="n">
        <f aca="false">(Sens!D2713+Sens!D2718+Sens!D2719+Sens!D2721+Sens!D2723-Sens!D2725)+(Sens!D2726+Sens!D2728+Sens!D2730-Sens!D2732)+(Sens!D2725-Q!L5)+(Sens!D2732-Q!L12)+(Sens!D2713-Q!L6)+(Sens!D2718-Q!L7)</f>
        <v>0</v>
      </c>
      <c r="E2734" s="27" t="n">
        <f aca="false">(Sens!E2713+Sens!E2718+Sens!E2719+Sens!E2721+Sens!E2723-Sens!E2725)+(Sens!E2726+Sens!E2728+Sens!E2730-Sens!E2732)+(Sens!E2725-Q!M5)+(Sens!E2732-Q!M12)+(Sens!E2713-Q!M6)+(Sens!E2718-Q!M7)</f>
        <v>0</v>
      </c>
      <c r="F2734" s="27" t="n">
        <f aca="false">(Sens!F2713+Sens!F2718+Sens!F2719+Sens!F2721+Sens!F2723-Sens!F2725)+(Sens!F2726+Sens!F2728+Sens!F2730-Sens!F2732)</f>
        <v>0</v>
      </c>
      <c r="G2734" s="27" t="n">
        <f aca="false">(Sens!G2713+Sens!G2718+Sens!G2719+Sens!G2721+Sens!G2723-Sens!G2725)+(Sens!G2726+Sens!G2728+Sens!G2730-Sens!G2732)</f>
        <v>0</v>
      </c>
      <c r="H2734" s="27" t="n">
        <f aca="false">(Sens!H2713+Sens!H2718+Sens!H2719+Sens!H2721+Sens!H2723-Sens!H2725)+(Sens!H2726+Sens!H2728+Sens!H2730-Sens!H2732)</f>
        <v>0</v>
      </c>
      <c r="I2734" s="27" t="n">
        <f aca="false">(Sens!I2713+Sens!I2718+Sens!I2719+Sens!I2721+Sens!I2723-Sens!I2725)+(Sens!I2726+Sens!I2728+Sens!I2730-Sens!I2732)</f>
        <v>0</v>
      </c>
      <c r="J2734" s="27" t="n">
        <f aca="false">(Sens!J2713+Sens!J2718+Sens!J2719+Sens!J2721+Sens!J2723-Sens!J2725)+(Sens!J2726+Sens!J2728+Sens!J2730-Sens!J2732)</f>
        <v>0</v>
      </c>
      <c r="K2734" s="27" t="n">
        <f aca="false">(Sens!K2713+Sens!K2718+Sens!K2719+Sens!K2721+Sens!K2723-Sens!K2725)+(Sens!K2726+Sens!K2728+Sens!K2730-Sens!K2732)</f>
        <v>0</v>
      </c>
    </row>
    <row r="2735" customFormat="false" ht="17.15" hidden="false" customHeight="false" outlineLevel="0" collapsed="false">
      <c r="A2735" s="3" t="s">
        <v>1547</v>
      </c>
    </row>
    <row r="2736" customFormat="false" ht="15" hidden="false" customHeight="false" outlineLevel="0" collapsed="false">
      <c r="A2736" s="4" t="s">
        <v>43</v>
      </c>
      <c r="B2736" s="4" t="s">
        <v>65</v>
      </c>
      <c r="C2736" s="23" t="s">
        <v>938</v>
      </c>
      <c r="D2736" s="23" t="s">
        <v>939</v>
      </c>
      <c r="E2736" s="23" t="s">
        <v>940</v>
      </c>
      <c r="F2736" s="23" t="s">
        <v>941</v>
      </c>
      <c r="G2736" s="23" t="s">
        <v>942</v>
      </c>
      <c r="H2736" s="23" t="s">
        <v>943</v>
      </c>
      <c r="I2736" s="23" t="s">
        <v>944</v>
      </c>
      <c r="J2736" s="23" t="s">
        <v>945</v>
      </c>
      <c r="K2736" s="23" t="s">
        <v>946</v>
      </c>
      <c r="L2736" s="4" t="s">
        <v>47</v>
      </c>
    </row>
    <row r="2737" customFormat="false" ht="15" hidden="false" customHeight="false" outlineLevel="0" collapsed="false">
      <c r="A2737" s="0" t="s">
        <v>1025</v>
      </c>
      <c r="B2737" s="0" t="s">
        <v>98</v>
      </c>
      <c r="D2737" s="6" t="n">
        <f aca="false">Sens!D2713</f>
        <v>72.61</v>
      </c>
      <c r="E2737" s="6" t="n">
        <f aca="false">Sens!E2713</f>
        <v>101.938</v>
      </c>
      <c r="F2737" s="6" t="n">
        <f aca="false">Sens!F2713</f>
        <v>146.709048000181</v>
      </c>
      <c r="G2737" s="6" t="n">
        <f aca="false">Sens!G2713</f>
        <v>199.762829861393</v>
      </c>
      <c r="H2737" s="6" t="n">
        <f aca="false">Sens!H2713</f>
        <v>254.146566109645</v>
      </c>
      <c r="I2737" s="6" t="n">
        <f aca="false">Sens!I2713</f>
        <v>303.439446964617</v>
      </c>
      <c r="J2737" s="6" t="n">
        <f aca="false">Sens!J2713</f>
        <v>341.309898459739</v>
      </c>
      <c r="K2737" s="6" t="n">
        <f aca="false">Sens!K2713</f>
        <v>368.09747789654</v>
      </c>
    </row>
    <row r="2738" customFormat="false" ht="17.15" hidden="false" customHeight="false" outlineLevel="0" collapsed="false">
      <c r="A2738" s="0" t="s">
        <v>1021</v>
      </c>
      <c r="B2738" s="0" t="s">
        <v>98</v>
      </c>
      <c r="D2738" s="6" t="n">
        <f aca="false">Sens!D2710</f>
        <v>12.9359794422418</v>
      </c>
      <c r="E2738" s="6" t="n">
        <f aca="false">Sens!E2710</f>
        <v>27.8095064661409</v>
      </c>
      <c r="F2738" s="6" t="n">
        <f aca="false">Sens!F2710</f>
        <v>55.4118315060966</v>
      </c>
      <c r="G2738" s="6" t="n">
        <f aca="false">Sens!G2710</f>
        <v>91.2881100675143</v>
      </c>
      <c r="H2738" s="6" t="n">
        <f aca="false">Sens!H2710</f>
        <v>128.195273603944</v>
      </c>
      <c r="I2738" s="6" t="n">
        <f aca="false">Sens!I2710</f>
        <v>160.601281810405</v>
      </c>
      <c r="J2738" s="6" t="n">
        <f aca="false">Sens!J2710</f>
        <v>183.182719793589</v>
      </c>
      <c r="K2738" s="6" t="n">
        <f aca="false">Sens!K2710</f>
        <v>197.320124937098</v>
      </c>
    </row>
    <row r="2739" customFormat="false" ht="17.15" hidden="false" customHeight="false" outlineLevel="0" collapsed="false">
      <c r="A2739" s="0" t="s">
        <v>1052</v>
      </c>
      <c r="B2739" s="0" t="s">
        <v>98</v>
      </c>
      <c r="D2739" s="6" t="n">
        <f aca="false">Sens!D2711</f>
        <v>59.6740205577583</v>
      </c>
      <c r="E2739" s="6" t="n">
        <f aca="false">Sens!E2711</f>
        <v>74.1284935338591</v>
      </c>
      <c r="F2739" s="6" t="n">
        <f aca="false">Sens!F2711</f>
        <v>91.2972164940844</v>
      </c>
      <c r="G2739" s="6" t="n">
        <f aca="false">Sens!G2711</f>
        <v>108.474719793879</v>
      </c>
      <c r="H2739" s="6" t="n">
        <f aca="false">Sens!H2711</f>
        <v>125.951292505701</v>
      </c>
      <c r="I2739" s="6" t="n">
        <f aca="false">Sens!I2711</f>
        <v>142.838165154212</v>
      </c>
      <c r="J2739" s="6" t="n">
        <f aca="false">Sens!J2711</f>
        <v>158.12717866615</v>
      </c>
      <c r="K2739" s="6" t="n">
        <f aca="false">Sens!K2711</f>
        <v>170.777352959442</v>
      </c>
    </row>
    <row r="2740" customFormat="false" ht="15" hidden="false" customHeight="false" outlineLevel="0" collapsed="false">
      <c r="A2740" s="0" t="s">
        <v>1032</v>
      </c>
      <c r="B2740" s="0" t="s">
        <v>98</v>
      </c>
      <c r="D2740" s="6" t="n">
        <f aca="false">Sens!D2718</f>
        <v>84.605</v>
      </c>
      <c r="E2740" s="6" t="n">
        <f aca="false">Sens!E2718</f>
        <v>100.299</v>
      </c>
      <c r="F2740" s="6" t="n">
        <f aca="false">Sens!F2718</f>
        <v>118.584003697747</v>
      </c>
      <c r="G2740" s="6" t="n">
        <f aca="false">Sens!G2718</f>
        <v>136.700726545688</v>
      </c>
      <c r="H2740" s="6" t="n">
        <f aca="false">Sens!H2718</f>
        <v>154.898624783666</v>
      </c>
      <c r="I2740" s="6" t="n">
        <f aca="false">Sens!I2718</f>
        <v>171.420510030657</v>
      </c>
      <c r="J2740" s="6" t="n">
        <f aca="false">Sens!J2718</f>
        <v>185.985722618572</v>
      </c>
      <c r="K2740" s="6" t="n">
        <f aca="false">Sens!K2718</f>
        <v>199.799723201872</v>
      </c>
    </row>
    <row r="2741" customFormat="false" ht="17.15" hidden="false" customHeight="false" outlineLevel="0" collapsed="false">
      <c r="A2741" s="0" t="s">
        <v>1053</v>
      </c>
      <c r="B2741" s="0" t="s">
        <v>98</v>
      </c>
      <c r="D2741" s="6" t="n">
        <f aca="false">Sens!D2716</f>
        <v>83.705</v>
      </c>
      <c r="E2741" s="6" t="n">
        <f aca="false">Sens!E2716</f>
        <v>95.049</v>
      </c>
      <c r="F2741" s="6" t="n">
        <f aca="false">Sens!F2716</f>
        <v>106.584003697747</v>
      </c>
      <c r="G2741" s="6" t="n">
        <f aca="false">Sens!G2716</f>
        <v>118.700726545688</v>
      </c>
      <c r="H2741" s="6" t="n">
        <f aca="false">Sens!H2716</f>
        <v>130.898624783666</v>
      </c>
      <c r="I2741" s="6" t="n">
        <f aca="false">Sens!I2716</f>
        <v>142.920510030657</v>
      </c>
      <c r="J2741" s="6" t="n">
        <f aca="false">Sens!J2716</f>
        <v>154.485722618572</v>
      </c>
      <c r="K2741" s="6" t="n">
        <f aca="false">Sens!K2716</f>
        <v>165.299723201872</v>
      </c>
    </row>
    <row r="2742" customFormat="false" ht="17.15" hidden="false" customHeight="false" outlineLevel="0" collapsed="false">
      <c r="A2742" s="0" t="s">
        <v>1054</v>
      </c>
      <c r="B2742" s="0" t="s">
        <v>98</v>
      </c>
      <c r="D2742" s="6" t="n">
        <f aca="false">Sens!D2715</f>
        <v>0.9</v>
      </c>
      <c r="E2742" s="6" t="n">
        <f aca="false">Sens!E2715</f>
        <v>5.25</v>
      </c>
      <c r="F2742" s="6" t="n">
        <f aca="false">Sens!F2715</f>
        <v>12</v>
      </c>
      <c r="G2742" s="6" t="n">
        <f aca="false">Sens!G2715</f>
        <v>18</v>
      </c>
      <c r="H2742" s="6" t="n">
        <f aca="false">Sens!H2715</f>
        <v>24</v>
      </c>
      <c r="I2742" s="6" t="n">
        <f aca="false">Sens!I2715</f>
        <v>28.5</v>
      </c>
      <c r="J2742" s="6" t="n">
        <f aca="false">Sens!J2715</f>
        <v>31.5</v>
      </c>
      <c r="K2742" s="6" t="n">
        <f aca="false">Sens!K2715</f>
        <v>34.5</v>
      </c>
    </row>
    <row r="2743" customFormat="false" ht="15" hidden="false" customHeight="false" outlineLevel="0" collapsed="false">
      <c r="A2743" s="0" t="s">
        <v>1033</v>
      </c>
      <c r="B2743" s="0" t="s">
        <v>98</v>
      </c>
      <c r="D2743" s="6" t="n">
        <f aca="false">Sens!D2719</f>
        <v>35.391</v>
      </c>
      <c r="E2743" s="6" t="n">
        <f aca="false">Sens!E2719</f>
        <v>37.285</v>
      </c>
      <c r="F2743" s="6" t="n">
        <f aca="false">Sens!F2719</f>
        <v>38.3851437782675</v>
      </c>
      <c r="G2743" s="6" t="n">
        <f aca="false">Sens!G2719</f>
        <v>40.0105353288615</v>
      </c>
      <c r="H2743" s="6" t="n">
        <f aca="false">Sens!H2719</f>
        <v>41.4812512033683</v>
      </c>
      <c r="I2743" s="6" t="n">
        <f aca="false">Sens!I2719</f>
        <v>42.7743107216329</v>
      </c>
      <c r="J2743" s="6" t="n">
        <f aca="false">Sens!J2719</f>
        <v>43.8687373064601</v>
      </c>
      <c r="K2743" s="6" t="n">
        <f aca="false">Sens!K2719</f>
        <v>44.7461120525893</v>
      </c>
    </row>
    <row r="2744" customFormat="false" ht="15" hidden="false" customHeight="false" outlineLevel="0" collapsed="false">
      <c r="A2744" s="0" t="s">
        <v>1035</v>
      </c>
      <c r="B2744" s="0" t="s">
        <v>98</v>
      </c>
      <c r="D2744" s="6" t="n">
        <f aca="false">Sens!D2721</f>
        <v>18.417</v>
      </c>
      <c r="E2744" s="6" t="n">
        <f aca="false">Sens!E2721</f>
        <v>20.345</v>
      </c>
      <c r="F2744" s="6" t="n">
        <f aca="false">Sens!F2721</f>
        <v>22.3161797133988</v>
      </c>
      <c r="G2744" s="6" t="n">
        <f aca="false">Sens!G2721</f>
        <v>24.3943499673233</v>
      </c>
      <c r="H2744" s="6" t="n">
        <f aca="false">Sens!H2721</f>
        <v>26.5250243109019</v>
      </c>
      <c r="I2744" s="6" t="n">
        <f aca="false">Sens!I2721</f>
        <v>28.6884573538181</v>
      </c>
      <c r="J2744" s="6" t="n">
        <f aca="false">Sens!J2721</f>
        <v>30.8624968052127</v>
      </c>
      <c r="K2744" s="6" t="n">
        <f aca="false">Sens!K2721</f>
        <v>33.0228715815776</v>
      </c>
    </row>
    <row r="2745" customFormat="false" ht="15" hidden="false" customHeight="false" outlineLevel="0" collapsed="false">
      <c r="A2745" s="0" t="s">
        <v>1036</v>
      </c>
      <c r="B2745" s="0" t="s">
        <v>98</v>
      </c>
      <c r="D2745" s="6" t="n">
        <f aca="false">Sens!D2723</f>
        <v>7.76</v>
      </c>
      <c r="E2745" s="6" t="n">
        <f aca="false">Sens!E2723</f>
        <v>8.26</v>
      </c>
      <c r="F2745" s="6" t="n">
        <f aca="false">Sens!F2723</f>
        <v>8.75372082474227</v>
      </c>
      <c r="G2745" s="6" t="n">
        <f aca="false">Sens!G2723</f>
        <v>9.33399324642364</v>
      </c>
      <c r="H2745" s="6" t="n">
        <f aca="false">Sens!H2723</f>
        <v>9.96139155535851</v>
      </c>
      <c r="I2745" s="6" t="n">
        <f aca="false">Sens!I2723</f>
        <v>10.6402039077391</v>
      </c>
      <c r="J2745" s="6" t="n">
        <f aca="false">Sens!J2723</f>
        <v>11.3751458271397</v>
      </c>
      <c r="K2745" s="6" t="n">
        <f aca="false">Sens!K2723</f>
        <v>12.1714060350394</v>
      </c>
    </row>
    <row r="2746" customFormat="false" ht="15" hidden="false" customHeight="false" outlineLevel="0" collapsed="false">
      <c r="A2746" s="0" t="s">
        <v>852</v>
      </c>
      <c r="B2746" s="0" t="s">
        <v>98</v>
      </c>
      <c r="D2746" s="6" t="n">
        <f aca="false">Sens!D2725</f>
        <v>218.783</v>
      </c>
      <c r="E2746" s="6" t="n">
        <f aca="false">Sens!E2725</f>
        <v>268.127</v>
      </c>
      <c r="F2746" s="6" t="n">
        <f aca="false">Sens!F2725</f>
        <v>334.748096014336</v>
      </c>
      <c r="G2746" s="6" t="n">
        <f aca="false">Sens!G2725</f>
        <v>410.20243494969</v>
      </c>
      <c r="H2746" s="6" t="n">
        <f aca="false">Sens!H2725</f>
        <v>487.012857962939</v>
      </c>
      <c r="I2746" s="6" t="n">
        <f aca="false">Sens!I2725</f>
        <v>556.962928978464</v>
      </c>
      <c r="J2746" s="6" t="n">
        <f aca="false">Sens!J2725</f>
        <v>613.402001017124</v>
      </c>
      <c r="K2746" s="6" t="n">
        <f aca="false">Sens!K2725</f>
        <v>657.837590767618</v>
      </c>
    </row>
    <row r="2747" customFormat="false" ht="15" hidden="false" customHeight="false" outlineLevel="0" collapsed="false">
      <c r="A2747" s="0" t="s">
        <v>1037</v>
      </c>
      <c r="B2747" s="0" t="s">
        <v>98</v>
      </c>
      <c r="D2747" s="6" t="n">
        <f aca="false">Sens!D2726</f>
        <v>22.171</v>
      </c>
      <c r="E2747" s="6" t="n">
        <f aca="false">Sens!E2726</f>
        <v>24.835</v>
      </c>
      <c r="F2747" s="6" t="n">
        <f aca="false">Sens!F2726</f>
        <v>27.5591895660247</v>
      </c>
      <c r="G2747" s="6" t="n">
        <f aca="false">Sens!G2726</f>
        <v>30.4098563144583</v>
      </c>
      <c r="H2747" s="6" t="n">
        <f aca="false">Sens!H2726</f>
        <v>33.3011792571777</v>
      </c>
      <c r="I2747" s="6" t="n">
        <f aca="false">Sens!I2726</f>
        <v>36.189023797112</v>
      </c>
      <c r="J2747" s="6" t="n">
        <f aca="false">Sens!J2726</f>
        <v>39.0247773769199</v>
      </c>
      <c r="K2747" s="6" t="n">
        <f aca="false">Sens!K2726</f>
        <v>41.7565117933043</v>
      </c>
    </row>
    <row r="2748" customFormat="false" ht="15" hidden="false" customHeight="false" outlineLevel="0" collapsed="false">
      <c r="A2748" s="0" t="s">
        <v>1038</v>
      </c>
      <c r="B2748" s="0" t="s">
        <v>98</v>
      </c>
      <c r="D2748" s="6" t="n">
        <f aca="false">Sens!D2728</f>
        <v>23.455</v>
      </c>
      <c r="E2748" s="6" t="n">
        <f aca="false">Sens!E2728</f>
        <v>21.79</v>
      </c>
      <c r="F2748" s="6" t="n">
        <f aca="false">Sens!F2728</f>
        <v>20.7520981041711</v>
      </c>
      <c r="G2748" s="6" t="n">
        <f aca="false">Sens!G2728</f>
        <v>19.9083593495882</v>
      </c>
      <c r="H2748" s="6" t="n">
        <f aca="false">Sens!H2728</f>
        <v>19.4008256265831</v>
      </c>
      <c r="I2748" s="6" t="n">
        <f aca="false">Sens!I2728</f>
        <v>19.200434522122</v>
      </c>
      <c r="J2748" s="6" t="n">
        <f aca="false">Sens!J2728</f>
        <v>19.2932782348507</v>
      </c>
      <c r="K2748" s="6" t="n">
        <f aca="false">Sens!K2728</f>
        <v>19.6791437995477</v>
      </c>
    </row>
    <row r="2749" customFormat="false" ht="15" hidden="false" customHeight="false" outlineLevel="0" collapsed="false">
      <c r="A2749" s="0" t="s">
        <v>1039</v>
      </c>
      <c r="B2749" s="0" t="s">
        <v>98</v>
      </c>
      <c r="D2749" s="6" t="n">
        <f aca="false">Sens!D2730</f>
        <v>17.315</v>
      </c>
      <c r="E2749" s="6" t="n">
        <f aca="false">Sens!E2730</f>
        <v>17.087</v>
      </c>
      <c r="F2749" s="6" t="n">
        <f aca="false">Sens!F2730</f>
        <v>15.9912273250553</v>
      </c>
      <c r="G2749" s="6" t="n">
        <f aca="false">Sens!G2730</f>
        <v>15.9574562664827</v>
      </c>
      <c r="H2749" s="6" t="n">
        <f aca="false">Sens!H2730</f>
        <v>16.0119687434196</v>
      </c>
      <c r="I2749" s="6" t="n">
        <f aca="false">Sens!I2730</f>
        <v>16.1551810001948</v>
      </c>
      <c r="J2749" s="6" t="n">
        <f aca="false">Sens!J2730</f>
        <v>16.3889793892005</v>
      </c>
      <c r="K2749" s="6" t="n">
        <f aca="false">Sens!K2730</f>
        <v>16.7167589769845</v>
      </c>
    </row>
    <row r="2750" customFormat="false" ht="15" hidden="false" customHeight="false" outlineLevel="0" collapsed="false">
      <c r="A2750" s="0" t="s">
        <v>866</v>
      </c>
      <c r="B2750" s="0" t="s">
        <v>98</v>
      </c>
      <c r="D2750" s="6" t="n">
        <f aca="false">Sens!D2732</f>
        <v>62.941</v>
      </c>
      <c r="E2750" s="6" t="n">
        <f aca="false">Sens!E2732</f>
        <v>63.712</v>
      </c>
      <c r="F2750" s="6" t="n">
        <f aca="false">Sens!F2732</f>
        <v>64.3025149952511</v>
      </c>
      <c r="G2750" s="6" t="n">
        <f aca="false">Sens!G2732</f>
        <v>66.2756719305292</v>
      </c>
      <c r="H2750" s="6" t="n">
        <f aca="false">Sens!H2732</f>
        <v>68.7139736271804</v>
      </c>
      <c r="I2750" s="6" t="n">
        <f aca="false">Sens!I2732</f>
        <v>71.5446393194289</v>
      </c>
      <c r="J2750" s="6" t="n">
        <f aca="false">Sens!J2732</f>
        <v>74.707035000971</v>
      </c>
      <c r="K2750" s="6" t="n">
        <f aca="false">Sens!K2732</f>
        <v>78.1524145698365</v>
      </c>
    </row>
    <row r="2751" customFormat="false" ht="15" hidden="false" customHeight="false" outlineLevel="0" collapsed="false">
      <c r="A2751" s="1" t="s">
        <v>1055</v>
      </c>
      <c r="B2751" s="0" t="s">
        <v>98</v>
      </c>
      <c r="D2751" s="6" t="n">
        <f aca="false">Sens!D2733</f>
        <v>281.724</v>
      </c>
      <c r="E2751" s="6" t="n">
        <f aca="false">Sens!E2733</f>
        <v>331.839</v>
      </c>
      <c r="F2751" s="6" t="n">
        <f aca="false">Sens!F2733</f>
        <v>399.050611009588</v>
      </c>
      <c r="G2751" s="6" t="n">
        <f aca="false">Sens!G2733</f>
        <v>476.478106880219</v>
      </c>
      <c r="H2751" s="6" t="n">
        <f aca="false">Sens!H2733</f>
        <v>555.72683159012</v>
      </c>
      <c r="I2751" s="6" t="n">
        <f aca="false">Sens!I2733</f>
        <v>628.507568297893</v>
      </c>
      <c r="J2751" s="6" t="n">
        <f aca="false">Sens!J2733</f>
        <v>688.109036018095</v>
      </c>
      <c r="K2751" s="6" t="n">
        <f aca="false">Sens!K2733</f>
        <v>735.990005337455</v>
      </c>
    </row>
    <row r="2752" customFormat="false" ht="15" hidden="false" customHeight="false" outlineLevel="0" collapsed="false">
      <c r="A2752" s="1" t="s">
        <v>1056</v>
      </c>
      <c r="B2752" s="0" t="s">
        <v>168</v>
      </c>
      <c r="E2752" s="7" t="n">
        <f aca="false">Sens!E2751/Sens!D2751-1</f>
        <v>0.177886867998467</v>
      </c>
      <c r="F2752" s="7" t="n">
        <f aca="false">Sens!F2751/Sens!E2751-1</f>
        <v>0.202542832547071</v>
      </c>
      <c r="G2752" s="7" t="n">
        <f aca="false">Sens!G2751/Sens!F2751-1</f>
        <v>0.194029262791359</v>
      </c>
      <c r="H2752" s="7" t="n">
        <f aca="false">Sens!H2751/Sens!G2751-1</f>
        <v>0.166321859421387</v>
      </c>
      <c r="I2752" s="7" t="n">
        <f aca="false">Sens!I2751/Sens!H2751-1</f>
        <v>0.13096494999085</v>
      </c>
      <c r="J2752" s="7" t="n">
        <f aca="false">Sens!J2751/Sens!I2751-1</f>
        <v>0.0948301511811749</v>
      </c>
      <c r="K2752" s="7" t="n">
        <f aca="false">Sens!K2751/Sens!J2751-1</f>
        <v>0.0695834043924704</v>
      </c>
    </row>
    <row r="2753" customFormat="false" ht="17.15" hidden="false" customHeight="false" outlineLevel="0" collapsed="false">
      <c r="A2753" s="26" t="s">
        <v>1057</v>
      </c>
      <c r="B2753" s="31" t="s">
        <v>98</v>
      </c>
      <c r="C2753" s="31"/>
      <c r="D2753" s="27" t="n">
        <f aca="false">(Sens!D2746+Sens!D2750-Sens!D2751)+(Sens!D2738+Sens!D2739-Sens!D2737)+(Sens!D2741+Sens!D2742-Sens!D2740)+(Sens!D2751-Q!L18)</f>
        <v>0</v>
      </c>
      <c r="E2753" s="27" t="n">
        <f aca="false">(Sens!E2746+Sens!E2750-Sens!E2751)+(Sens!E2738+Sens!E2739-Sens!E2737)+(Sens!E2741+Sens!E2742-Sens!E2740)+(Sens!E2751-Q!M18)</f>
        <v>0</v>
      </c>
      <c r="F2753" s="27" t="n">
        <f aca="false">(Sens!F2746+Sens!F2750-Sens!F2751)+(Sens!F2738+Sens!F2739-Sens!F2737)+(Sens!F2741+Sens!F2742-Sens!F2740)</f>
        <v>0</v>
      </c>
      <c r="G2753" s="27" t="n">
        <f aca="false">(Sens!G2746+Sens!G2750-Sens!G2751)+(Sens!G2738+Sens!G2739-Sens!G2737)+(Sens!G2741+Sens!G2742-Sens!G2740)</f>
        <v>0</v>
      </c>
      <c r="H2753" s="27" t="n">
        <f aca="false">(Sens!H2746+Sens!H2750-Sens!H2751)+(Sens!H2738+Sens!H2739-Sens!H2737)+(Sens!H2741+Sens!H2742-Sens!H2740)</f>
        <v>0</v>
      </c>
      <c r="I2753" s="27" t="n">
        <f aca="false">(Sens!I2746+Sens!I2750-Sens!I2751)+(Sens!I2738+Sens!I2739-Sens!I2737)+(Sens!I2741+Sens!I2742-Sens!I2740)</f>
        <v>0</v>
      </c>
      <c r="J2753" s="27" t="n">
        <f aca="false">(Sens!J2746+Sens!J2750-Sens!J2751)+(Sens!J2738+Sens!J2739-Sens!J2737)+(Sens!J2741+Sens!J2742-Sens!J2740)</f>
        <v>0</v>
      </c>
      <c r="K2753" s="27" t="n">
        <f aca="false">(Sens!K2746+Sens!K2750-Sens!K2751)+(Sens!K2738+Sens!K2739-Sens!K2737)+(Sens!K2741+Sens!K2742-Sens!K2740)</f>
        <v>0</v>
      </c>
    </row>
    <row r="2754" customFormat="false" ht="17.15" hidden="false" customHeight="false" outlineLevel="0" collapsed="false">
      <c r="A2754" s="0" t="s">
        <v>1058</v>
      </c>
      <c r="B2754" s="0" t="s">
        <v>168</v>
      </c>
      <c r="E2754" s="7" t="n">
        <f aca="false">(Q!M21+Sens!E2690+Sens!E2691+Sens!E2692+Sens!E2706-Sens!E2688)/(Q!M5-Sens!E2688)</f>
        <v>0.550623586919075</v>
      </c>
      <c r="F2754" s="7" t="n">
        <f aca="false">Sens!$E$2754+dm_seg</f>
        <v>0.550623586919075</v>
      </c>
      <c r="G2754" s="7" t="n">
        <f aca="false">Sens!$E$2754+dm_seg</f>
        <v>0.550623586919075</v>
      </c>
      <c r="H2754" s="7" t="n">
        <f aca="false">Sens!$E$2754+dm_seg</f>
        <v>0.550623586919075</v>
      </c>
      <c r="I2754" s="7" t="n">
        <f aca="false">Sens!$E$2754+dm_seg</f>
        <v>0.550623586919075</v>
      </c>
      <c r="J2754" s="7" t="n">
        <f aca="false">Sens!$E$2754+dm_seg</f>
        <v>0.550623586919075</v>
      </c>
      <c r="K2754" s="7" t="n">
        <f aca="false">Sens!$E$2754+dm_seg</f>
        <v>0.550623586919075</v>
      </c>
      <c r="L2754" s="12" t="s">
        <v>1059</v>
      </c>
    </row>
    <row r="2755" customFormat="false" ht="17.15" hidden="false" customHeight="false" outlineLevel="0" collapsed="false">
      <c r="A2755" s="0" t="s">
        <v>880</v>
      </c>
      <c r="B2755" s="0" t="s">
        <v>98</v>
      </c>
      <c r="D2755" s="6" t="n">
        <f aca="false">Q!L21</f>
        <v>110.814</v>
      </c>
      <c r="E2755" s="6" t="n">
        <f aca="false">Q!M21</f>
        <v>136.365</v>
      </c>
      <c r="F2755" s="6" t="n">
        <f aca="false">Q!$I$21+(Sens!F2754*(Sens!F2725-Sens!F2688)+Sens!F2688-(Sens!F2690+Sens!F2691+Sens!F2692)-Sens!F2706-Sens!F2789)*(Sens!F2725-Q!$I$5)/Sens!F2725</f>
        <v>163.035789547635</v>
      </c>
      <c r="G2755" s="6" t="n">
        <f aca="false">(Sens!G2754*(Sens!G2725-Sens!G2688)+Sens!G2688-(Sens!G2690+Sens!G2691+Sens!G2692)-Sens!G2706-Sens!G2789)</f>
        <v>185.868972967809</v>
      </c>
      <c r="H2755" s="6" t="n">
        <f aca="false">(Sens!H2754*(Sens!H2725-Sens!H2688)+Sens!H2688-(Sens!H2690+Sens!H2691+Sens!H2692)-Sens!H2706-Sens!H2789)</f>
        <v>212.65467739263</v>
      </c>
      <c r="I2755" s="6" t="n">
        <f aca="false">(Sens!I2754*(Sens!I2725-Sens!I2688)+Sens!I2688-(Sens!I2690+Sens!I2691+Sens!I2692)-Sens!I2706-Sens!I2789)</f>
        <v>237.502091716073</v>
      </c>
      <c r="J2755" s="6" t="n">
        <f aca="false">(Sens!J2754*(Sens!J2725-Sens!J2688)+Sens!J2688-(Sens!J2690+Sens!J2691+Sens!J2692)-Sens!J2706-Sens!J2789)</f>
        <v>259.026979696017</v>
      </c>
      <c r="K2755" s="6" t="n">
        <f aca="false">(Sens!K2754*(Sens!K2725-Sens!K2688)+Sens!K2688-(Sens!K2690+Sens!K2691+Sens!K2692)-Sens!K2706-Sens!K2789)</f>
        <v>278.025359888447</v>
      </c>
      <c r="L2755" s="1" t="s">
        <v>1060</v>
      </c>
    </row>
    <row r="2756" customFormat="false" ht="17.15" hidden="false" customHeight="false" outlineLevel="0" collapsed="false">
      <c r="A2756" s="0" t="s">
        <v>1061</v>
      </c>
      <c r="B2756" s="0" t="s">
        <v>168</v>
      </c>
      <c r="E2756" s="7" t="n">
        <f aca="false">Q!M22/Q!M12</f>
        <v>0.296207935710698</v>
      </c>
      <c r="F2756" s="7" t="n">
        <f aca="false">Sens!$E$2756+dm_seg</f>
        <v>0.296207935710698</v>
      </c>
      <c r="G2756" s="7" t="n">
        <f aca="false">Sens!$E$2756+dm_seg</f>
        <v>0.296207935710698</v>
      </c>
      <c r="H2756" s="7" t="n">
        <f aca="false">Sens!$E$2756+dm_seg</f>
        <v>0.296207935710698</v>
      </c>
      <c r="I2756" s="7" t="n">
        <f aca="false">Sens!$E$2756+dm_seg</f>
        <v>0.296207935710698</v>
      </c>
      <c r="J2756" s="7" t="n">
        <f aca="false">Sens!$E$2756+dm_seg</f>
        <v>0.296207935710698</v>
      </c>
      <c r="K2756" s="7" t="n">
        <f aca="false">Sens!$E$2756+dm_seg</f>
        <v>0.296207935710698</v>
      </c>
      <c r="L2756" s="12" t="s">
        <v>1062</v>
      </c>
    </row>
    <row r="2757" customFormat="false" ht="17.15" hidden="false" customHeight="false" outlineLevel="0" collapsed="false">
      <c r="A2757" s="0" t="s">
        <v>882</v>
      </c>
      <c r="B2757" s="0" t="s">
        <v>98</v>
      </c>
      <c r="D2757" s="6" t="n">
        <f aca="false">Q!L22</f>
        <v>17.714</v>
      </c>
      <c r="E2757" s="6" t="n">
        <f aca="false">Q!M22</f>
        <v>18.872</v>
      </c>
      <c r="F2757" s="6" t="n">
        <f aca="false">Q!$I$22+(Sens!F2732-Q!$I$12)*Sens!F2756</f>
        <v>19.8174315512051</v>
      </c>
      <c r="G2757" s="6" t="n">
        <f aca="false">Sens!G2732*Sens!G2756</f>
        <v>19.6313799703815</v>
      </c>
      <c r="H2757" s="6" t="n">
        <f aca="false">Sens!H2732*Sens!H2756</f>
        <v>20.3536242825865</v>
      </c>
      <c r="I2757" s="6" t="n">
        <f aca="false">Sens!I2732*Sens!I2756</f>
        <v>21.1920899239745</v>
      </c>
      <c r="J2757" s="6" t="n">
        <f aca="false">Sens!J2732*Sens!J2756</f>
        <v>22.1288166207045</v>
      </c>
      <c r="K2757" s="6" t="n">
        <f aca="false">Sens!K2732*Sens!K2756</f>
        <v>23.1493653905379</v>
      </c>
      <c r="L2757" s="12" t="s">
        <v>1063</v>
      </c>
    </row>
    <row r="2758" customFormat="false" ht="15" hidden="false" customHeight="false" outlineLevel="0" collapsed="false">
      <c r="A2758" s="1" t="s">
        <v>1064</v>
      </c>
      <c r="B2758" s="0" t="s">
        <v>98</v>
      </c>
      <c r="D2758" s="6" t="n">
        <f aca="false">Sens!D2755+Sens!D2757</f>
        <v>128.528</v>
      </c>
      <c r="E2758" s="6" t="n">
        <f aca="false">Sens!E2755+Sens!E2757</f>
        <v>155.237</v>
      </c>
      <c r="F2758" s="6" t="n">
        <f aca="false">Sens!F2755+Sens!F2757</f>
        <v>182.85322109884</v>
      </c>
      <c r="G2758" s="6" t="n">
        <f aca="false">Sens!G2755+Sens!G2757</f>
        <v>205.500352938191</v>
      </c>
      <c r="H2758" s="6" t="n">
        <f aca="false">Sens!H2755+Sens!H2757</f>
        <v>233.008301675217</v>
      </c>
      <c r="I2758" s="6" t="n">
        <f aca="false">Sens!I2755+Sens!I2757</f>
        <v>258.694181640047</v>
      </c>
      <c r="J2758" s="6" t="n">
        <f aca="false">Sens!J2755+Sens!J2757</f>
        <v>281.155796316722</v>
      </c>
      <c r="K2758" s="6" t="n">
        <f aca="false">Sens!K2755+Sens!K2757</f>
        <v>301.174725278984</v>
      </c>
    </row>
    <row r="2759" customFormat="false" ht="15" hidden="false" customHeight="false" outlineLevel="0" collapsed="false">
      <c r="A2759" s="26" t="s">
        <v>1065</v>
      </c>
      <c r="B2759" s="31" t="s">
        <v>98</v>
      </c>
      <c r="C2759" s="31"/>
      <c r="D2759" s="27" t="n">
        <f aca="false">Sens!D2758-Q!L23</f>
        <v>0</v>
      </c>
      <c r="E2759" s="27" t="n">
        <f aca="false">Sens!E2758-Q!M23</f>
        <v>0</v>
      </c>
      <c r="F2759" s="31"/>
      <c r="G2759" s="31"/>
      <c r="H2759" s="31"/>
      <c r="I2759" s="31"/>
      <c r="J2759" s="31"/>
      <c r="K2759" s="31"/>
    </row>
    <row r="2760" customFormat="false" ht="15" hidden="false" customHeight="false" outlineLevel="0" collapsed="false">
      <c r="A2760" s="1" t="s">
        <v>1066</v>
      </c>
      <c r="B2760" s="0" t="s">
        <v>168</v>
      </c>
      <c r="D2760" s="7" t="n">
        <f aca="false">Sens!D2758/Sens!D2751</f>
        <v>0.456219562408598</v>
      </c>
      <c r="E2760" s="7" t="n">
        <f aca="false">Sens!E2758/Sens!E2751</f>
        <v>0.467808184089272</v>
      </c>
      <c r="F2760" s="7" t="n">
        <f aca="false">Sens!F2758/Sens!F2751</f>
        <v>0.458220626792743</v>
      </c>
      <c r="G2760" s="7" t="n">
        <f aca="false">Sens!G2758/Sens!G2751</f>
        <v>0.431290231326097</v>
      </c>
      <c r="H2760" s="7" t="n">
        <f aca="false">Sens!H2758/Sens!H2751</f>
        <v>0.419285678556319</v>
      </c>
      <c r="I2760" s="7" t="n">
        <f aca="false">Sens!I2758/Sens!I2751</f>
        <v>0.411600742280058</v>
      </c>
      <c r="J2760" s="7" t="n">
        <f aca="false">Sens!J2758/Sens!J2751</f>
        <v>0.408591925988498</v>
      </c>
      <c r="K2760" s="7" t="n">
        <f aca="false">Sens!K2758/Sens!K2751</f>
        <v>0.409210346736834</v>
      </c>
    </row>
    <row r="2761" customFormat="false" ht="17.15" hidden="false" customHeight="false" outlineLevel="0" collapsed="false">
      <c r="A2761" s="1" t="s">
        <v>1067</v>
      </c>
      <c r="B2761" s="0" t="s">
        <v>98</v>
      </c>
      <c r="F2761" s="6" t="n">
        <f aca="false">Sens!F2776</f>
        <v>3.08019323332544</v>
      </c>
      <c r="G2761" s="6" t="n">
        <f aca="false">Sens!G2776</f>
        <v>9.25707167662077</v>
      </c>
      <c r="H2761" s="6" t="n">
        <f aca="false">Sens!H2776</f>
        <v>16.1705455946487</v>
      </c>
      <c r="I2761" s="6" t="n">
        <f aca="false">Sens!I2776</f>
        <v>22.6878526288822</v>
      </c>
      <c r="J2761" s="6" t="n">
        <f aca="false">Sens!J2776</f>
        <v>27.2813721190619</v>
      </c>
      <c r="K2761" s="6" t="n">
        <f aca="false">Sens!K2776</f>
        <v>29.4244300863746</v>
      </c>
      <c r="L2761" s="1" t="s">
        <v>1068</v>
      </c>
    </row>
    <row r="2762" customFormat="false" ht="17.15" hidden="false" customHeight="false" outlineLevel="0" collapsed="false">
      <c r="A2762" s="1" t="s">
        <v>1069</v>
      </c>
      <c r="B2762" s="0" t="s">
        <v>98</v>
      </c>
      <c r="D2762" s="6" t="n">
        <f aca="false">Sens!D2758</f>
        <v>128.528</v>
      </c>
      <c r="E2762" s="6" t="n">
        <f aca="false">Sens!E2758</f>
        <v>155.237</v>
      </c>
      <c r="F2762" s="6" t="n">
        <f aca="false">Sens!F2758+Sens!F2761</f>
        <v>185.933414332166</v>
      </c>
      <c r="G2762" s="6" t="n">
        <f aca="false">Sens!G2758+Sens!G2761</f>
        <v>214.757424614811</v>
      </c>
      <c r="H2762" s="6" t="n">
        <f aca="false">Sens!H2758+Sens!H2761</f>
        <v>249.178847269865</v>
      </c>
      <c r="I2762" s="6" t="n">
        <f aca="false">Sens!I2758+Sens!I2761</f>
        <v>281.382034268929</v>
      </c>
      <c r="J2762" s="6" t="n">
        <f aca="false">Sens!J2758+Sens!J2761</f>
        <v>308.437168435784</v>
      </c>
      <c r="K2762" s="6" t="n">
        <f aca="false">Sens!K2758+Sens!K2761</f>
        <v>330.599155365359</v>
      </c>
    </row>
    <row r="2763" customFormat="false" ht="17.15" hidden="false" customHeight="false" outlineLevel="0" collapsed="false">
      <c r="A2763" s="1" t="s">
        <v>1070</v>
      </c>
      <c r="B2763" s="0" t="s">
        <v>98</v>
      </c>
      <c r="E2763" s="6" t="n">
        <f aca="false">Sens!E2706</f>
        <v>13.0443247816667</v>
      </c>
      <c r="F2763" s="6" t="n">
        <f aca="false">Sens!F2706</f>
        <v>27.6634515826813</v>
      </c>
      <c r="G2763" s="6" t="n">
        <f aca="false">Sens!G2706</f>
        <v>48.5875925218392</v>
      </c>
      <c r="H2763" s="6" t="n">
        <f aca="false">Sens!H2706</f>
        <v>71.2800725291565</v>
      </c>
      <c r="I2763" s="6" t="n">
        <f aca="false">Sens!I2706</f>
        <v>91.3848077556387</v>
      </c>
      <c r="J2763" s="6" t="n">
        <f aca="false">Sens!J2706</f>
        <v>105.612538439677</v>
      </c>
      <c r="K2763" s="6" t="n">
        <f aca="false">Sens!K2706</f>
        <v>114.410135640747</v>
      </c>
    </row>
    <row r="2764" customFormat="false" ht="17.15" hidden="false" customHeight="false" outlineLevel="0" collapsed="false">
      <c r="A2764" s="1" t="s">
        <v>1071</v>
      </c>
      <c r="B2764" s="0" t="s">
        <v>98</v>
      </c>
      <c r="E2764" s="6" t="n">
        <f aca="false">Sens!E2788</f>
        <v>25.4896752183333</v>
      </c>
      <c r="F2764" s="6" t="n">
        <f aca="false">Sens!F2788</f>
        <v>29.8843953731304</v>
      </c>
      <c r="G2764" s="6" t="n">
        <f aca="false">Sens!G2788</f>
        <v>31.0319965812422</v>
      </c>
      <c r="H2764" s="6" t="n">
        <f aca="false">Sens!H2788</f>
        <v>32.6348514199741</v>
      </c>
      <c r="I2764" s="6" t="n">
        <f aca="false">Sens!I2788</f>
        <v>34.6201056460624</v>
      </c>
      <c r="J2764" s="6" t="n">
        <f aca="false">Sens!J2788</f>
        <v>36.8986665606271</v>
      </c>
      <c r="K2764" s="6" t="n">
        <f aca="false">Sens!K2788</f>
        <v>39.3810476106362</v>
      </c>
    </row>
    <row r="2765" customFormat="false" ht="17.15" hidden="false" customHeight="false" outlineLevel="0" collapsed="false">
      <c r="A2765" s="1" t="s">
        <v>1072</v>
      </c>
      <c r="B2765" s="0" t="s">
        <v>98</v>
      </c>
      <c r="D2765" s="6" t="n">
        <f aca="false">Q!L27</f>
        <v>-4.901</v>
      </c>
      <c r="E2765" s="6" t="n">
        <f aca="false">Q!M27</f>
        <v>10.697</v>
      </c>
      <c r="F2765" s="6" t="n">
        <f aca="false">Q!$I$27+oie_f*(q_per_yr-1)/q_per_yr</f>
        <v>-0.862</v>
      </c>
      <c r="G2765" s="6" t="n">
        <f aca="false">oie_f</f>
        <v>-1.2</v>
      </c>
      <c r="H2765" s="6" t="n">
        <f aca="false">oie_f</f>
        <v>-1.2</v>
      </c>
      <c r="I2765" s="6" t="n">
        <f aca="false">oie_f</f>
        <v>-1.2</v>
      </c>
      <c r="J2765" s="6" t="n">
        <f aca="false">oie_f</f>
        <v>-1.2</v>
      </c>
      <c r="K2765" s="6" t="n">
        <f aca="false">oie_f</f>
        <v>-1.2</v>
      </c>
      <c r="L2765" s="12" t="s">
        <v>1073</v>
      </c>
    </row>
    <row r="2766" customFormat="false" ht="15" hidden="false" customHeight="false" outlineLevel="0" collapsed="false">
      <c r="A2766" s="1" t="s">
        <v>1074</v>
      </c>
      <c r="B2766" s="0" t="s">
        <v>98</v>
      </c>
      <c r="D2766" s="6" t="n">
        <f aca="false">Sens!D2758+Sens!D2765</f>
        <v>123.627</v>
      </c>
      <c r="E2766" s="6" t="n">
        <f aca="false">Sens!E2758+Sens!E2765</f>
        <v>165.934</v>
      </c>
      <c r="F2766" s="6" t="n">
        <f aca="false">Sens!F2758+Sens!F2765</f>
        <v>181.99122109884</v>
      </c>
      <c r="G2766" s="6" t="n">
        <f aca="false">Sens!G2758+Sens!G2765</f>
        <v>204.300352938191</v>
      </c>
      <c r="H2766" s="6" t="n">
        <f aca="false">Sens!H2758+Sens!H2765</f>
        <v>231.808301675217</v>
      </c>
      <c r="I2766" s="6" t="n">
        <f aca="false">Sens!I2758+Sens!I2765</f>
        <v>257.494181640047</v>
      </c>
      <c r="J2766" s="6" t="n">
        <f aca="false">Sens!J2758+Sens!J2765</f>
        <v>279.955796316722</v>
      </c>
      <c r="K2766" s="6" t="n">
        <f aca="false">Sens!K2758+Sens!K2765</f>
        <v>299.974725278984</v>
      </c>
    </row>
    <row r="2767" customFormat="false" ht="15" hidden="false" customHeight="false" outlineLevel="0" collapsed="false">
      <c r="A2767" s="1" t="s">
        <v>1075</v>
      </c>
      <c r="B2767" s="0" t="s">
        <v>98</v>
      </c>
      <c r="D2767" s="6" t="n">
        <f aca="false">Q!L29</f>
        <v>21.795</v>
      </c>
      <c r="E2767" s="6" t="n">
        <f aca="false">Q!M29</f>
        <v>32.185</v>
      </c>
      <c r="F2767" s="6" t="n">
        <f aca="false">Q!$I$29+(Sens!F2766-Q!$I$28)*tax_f</f>
        <v>36.531644219768</v>
      </c>
      <c r="G2767" s="6" t="n">
        <f aca="false">Sens!G2766*tax_f</f>
        <v>40.8600705876381</v>
      </c>
      <c r="H2767" s="6" t="n">
        <f aca="false">Sens!H2766*tax_f</f>
        <v>46.3616603350433</v>
      </c>
      <c r="I2767" s="6" t="n">
        <f aca="false">Sens!I2766*tax_f</f>
        <v>51.4988363280094</v>
      </c>
      <c r="J2767" s="6" t="n">
        <f aca="false">Sens!J2766*tax_f</f>
        <v>55.9911592633443</v>
      </c>
      <c r="K2767" s="6" t="n">
        <f aca="false">Sens!K2766*tax_f</f>
        <v>59.9949450557969</v>
      </c>
    </row>
    <row r="2768" customFormat="false" ht="15" hidden="false" customHeight="false" outlineLevel="0" collapsed="false">
      <c r="A2768" s="1" t="s">
        <v>1076</v>
      </c>
      <c r="B2768" s="0" t="s">
        <v>98</v>
      </c>
      <c r="D2768" s="6" t="n">
        <f aca="false">Sens!D2766-Sens!D2767</f>
        <v>101.832</v>
      </c>
      <c r="E2768" s="6" t="n">
        <f aca="false">Sens!E2766-Sens!E2767</f>
        <v>133.749</v>
      </c>
      <c r="F2768" s="6" t="n">
        <f aca="false">Sens!F2766-Sens!F2767</f>
        <v>145.459576879072</v>
      </c>
      <c r="G2768" s="6" t="n">
        <f aca="false">Sens!G2766-Sens!G2767</f>
        <v>163.440282350553</v>
      </c>
      <c r="H2768" s="6" t="n">
        <f aca="false">Sens!H2766-Sens!H2767</f>
        <v>185.446641340173</v>
      </c>
      <c r="I2768" s="6" t="n">
        <f aca="false">Sens!I2766-Sens!I2767</f>
        <v>205.995345312038</v>
      </c>
      <c r="J2768" s="6" t="n">
        <f aca="false">Sens!J2766-Sens!J2767</f>
        <v>223.964637053377</v>
      </c>
      <c r="K2768" s="6" t="n">
        <f aca="false">Sens!K2766-Sens!K2767</f>
        <v>239.979780223188</v>
      </c>
    </row>
    <row r="2769" customFormat="false" ht="17.15" hidden="false" customHeight="false" outlineLevel="0" collapsed="false">
      <c r="A2769" s="1" t="s">
        <v>1077</v>
      </c>
      <c r="B2769" s="1" t="s">
        <v>81</v>
      </c>
      <c r="D2769" s="15" t="n">
        <f aca="false">Q!L31</f>
        <v>7.465</v>
      </c>
      <c r="E2769" s="15" t="n">
        <f aca="false">Q!M31</f>
        <v>7.453</v>
      </c>
      <c r="F2769" s="15" t="n">
        <f aca="false">Sens!F2813</f>
        <v>7.47312330899181</v>
      </c>
      <c r="G2769" s="15" t="n">
        <f aca="false">Sens!G2813</f>
        <v>7.49906255213473</v>
      </c>
      <c r="H2769" s="15" t="n">
        <f aca="false">Sens!H2813</f>
        <v>7.50807842531464</v>
      </c>
      <c r="I2769" s="15" t="n">
        <f aca="false">Sens!I2813</f>
        <v>7.51975978937011</v>
      </c>
      <c r="J2769" s="15" t="n">
        <f aca="false">Sens!J2813</f>
        <v>7.53390920053258</v>
      </c>
      <c r="K2769" s="15" t="n">
        <f aca="false">Sens!K2813</f>
        <v>7.55034384049784</v>
      </c>
    </row>
    <row r="2770" customFormat="false" ht="17.15" hidden="false" customHeight="false" outlineLevel="0" collapsed="false">
      <c r="A2770" s="0" t="s">
        <v>1078</v>
      </c>
      <c r="B2770" s="0" t="s">
        <v>75</v>
      </c>
      <c r="D2770" s="8" t="n">
        <f aca="false">Sens!D2768/Sens!D2769</f>
        <v>13.641259209645</v>
      </c>
      <c r="E2770" s="8" t="n">
        <f aca="false">Sens!E2768/Sens!E2769</f>
        <v>17.9456594659869</v>
      </c>
      <c r="F2770" s="8" t="n">
        <f aca="false">Sens!F2768/Sens!F2769</f>
        <v>19.4643619360666</v>
      </c>
      <c r="G2770" s="8" t="n">
        <f aca="false">Sens!G2768/Sens!G2769</f>
        <v>21.7947618404685</v>
      </c>
      <c r="H2770" s="8" t="n">
        <f aca="false">Sens!H2768/Sens!H2769</f>
        <v>24.6996143134189</v>
      </c>
      <c r="I2770" s="8" t="n">
        <f aca="false">Sens!I2768/Sens!I2769</f>
        <v>27.3938730866419</v>
      </c>
      <c r="J2770" s="8" t="n">
        <f aca="false">Sens!J2768/Sens!J2769</f>
        <v>29.7275466284548</v>
      </c>
      <c r="K2770" s="8" t="n">
        <f aca="false">Sens!K2768/Sens!K2769</f>
        <v>31.7839538559829</v>
      </c>
      <c r="L2770" s="1" t="s">
        <v>1079</v>
      </c>
    </row>
    <row r="2771" customFormat="false" ht="17.15" hidden="false" customHeight="false" outlineLevel="0" collapsed="false">
      <c r="A2771" s="1" t="s">
        <v>1080</v>
      </c>
      <c r="B2771" s="0" t="s">
        <v>98</v>
      </c>
      <c r="D2771" s="6" t="n">
        <f aca="false">Sens!D2768</f>
        <v>101.832</v>
      </c>
      <c r="E2771" s="6" t="n">
        <f aca="false">Sens!E2768</f>
        <v>133.749</v>
      </c>
      <c r="F2771" s="6" t="n">
        <f aca="false">Sens!F2768+Sens!F2761*(1-tax_f)</f>
        <v>147.923731465732</v>
      </c>
      <c r="G2771" s="6" t="n">
        <f aca="false">Sens!G2768+Sens!G2761*(1-tax_f)</f>
        <v>170.845939691849</v>
      </c>
      <c r="H2771" s="6" t="n">
        <f aca="false">Sens!H2768+Sens!H2761*(1-tax_f)</f>
        <v>198.383077815892</v>
      </c>
      <c r="I2771" s="6" t="n">
        <f aca="false">Sens!I2768+Sens!I2761*(1-tax_f)</f>
        <v>224.145627415144</v>
      </c>
      <c r="J2771" s="6" t="n">
        <f aca="false">Sens!J2768+Sens!J2761*(1-tax_f)</f>
        <v>245.789734748627</v>
      </c>
      <c r="K2771" s="6" t="n">
        <f aca="false">Sens!K2768+Sens!K2761*(1-tax_f)</f>
        <v>263.519324292287</v>
      </c>
    </row>
    <row r="2772" customFormat="false" ht="17.15" hidden="false" customHeight="false" outlineLevel="0" collapsed="false">
      <c r="A2772" s="0" t="s">
        <v>1081</v>
      </c>
      <c r="B2772" s="0" t="s">
        <v>75</v>
      </c>
      <c r="D2772" s="8" t="n">
        <f aca="false">Sens!D2771/Sens!D2769</f>
        <v>13.641259209645</v>
      </c>
      <c r="E2772" s="8" t="n">
        <f aca="false">Sens!E2771/Sens!E2769</f>
        <v>17.9456594659869</v>
      </c>
      <c r="F2772" s="8" t="n">
        <f aca="false">Sens!F2771/Sens!F2769</f>
        <v>19.7940975077646</v>
      </c>
      <c r="G2772" s="8" t="n">
        <f aca="false">Sens!G2771/Sens!G2769</f>
        <v>22.7823062554952</v>
      </c>
      <c r="H2772" s="8" t="n">
        <f aca="false">Sens!H2771/Sens!H2769</f>
        <v>26.4226166241169</v>
      </c>
      <c r="I2772" s="8" t="n">
        <f aca="false">Sens!I2771/Sens!I2769</f>
        <v>29.8075515300362</v>
      </c>
      <c r="J2772" s="8" t="n">
        <f aca="false">Sens!J2771/Sens!J2769</f>
        <v>32.6244620430588</v>
      </c>
      <c r="K2772" s="8" t="n">
        <f aca="false">Sens!K2771/Sens!K2769</f>
        <v>34.901632277837</v>
      </c>
      <c r="L2772" s="1" t="s">
        <v>1082</v>
      </c>
    </row>
    <row r="2773" customFormat="false" ht="17.15" hidden="false" customHeight="false" outlineLevel="0" collapsed="false">
      <c r="A2773" s="0" t="s">
        <v>1083</v>
      </c>
      <c r="B2773" s="0" t="s">
        <v>168</v>
      </c>
      <c r="E2773" s="7" t="n">
        <f aca="false">Sens!E2772/Sens!D2772-1</f>
        <v>0.315542736208578</v>
      </c>
      <c r="F2773" s="7" t="n">
        <f aca="false">Sens!F2772/Sens!E2772-1</f>
        <v>0.103001956839824</v>
      </c>
      <c r="G2773" s="7" t="n">
        <f aca="false">Sens!G2772/Sens!F2772-1</f>
        <v>0.150964637137836</v>
      </c>
      <c r="H2773" s="7" t="n">
        <f aca="false">Sens!H2772/Sens!G2772-1</f>
        <v>0.15978673659273</v>
      </c>
      <c r="I2773" s="7" t="n">
        <f aca="false">Sens!I2772/Sens!H2772-1</f>
        <v>0.128107482845952</v>
      </c>
      <c r="J2773" s="7" t="n">
        <f aca="false">Sens!J2772/Sens!I2772-1</f>
        <v>0.0945032506337911</v>
      </c>
      <c r="K2773" s="7" t="n">
        <f aca="false">Sens!K2772/Sens!J2772-1</f>
        <v>0.0697994723031057</v>
      </c>
    </row>
    <row r="2774" customFormat="false" ht="17.15" hidden="false" customHeight="false" outlineLevel="0" collapsed="false">
      <c r="A2774" s="0" t="s">
        <v>1003</v>
      </c>
      <c r="B2774" s="0" t="s">
        <v>98</v>
      </c>
      <c r="E2774" s="6" t="n">
        <f aca="false">Sens!E2715</f>
        <v>5.25</v>
      </c>
      <c r="F2774" s="6" t="n">
        <f aca="false">Sens!F2715</f>
        <v>12</v>
      </c>
      <c r="G2774" s="6" t="n">
        <f aca="false">Sens!G2715</f>
        <v>18</v>
      </c>
      <c r="H2774" s="6" t="n">
        <f aca="false">Sens!H2715</f>
        <v>24</v>
      </c>
      <c r="I2774" s="6" t="n">
        <f aca="false">Sens!I2715</f>
        <v>28.5</v>
      </c>
      <c r="J2774" s="6" t="n">
        <f aca="false">Sens!J2715</f>
        <v>31.5</v>
      </c>
      <c r="K2774" s="6" t="n">
        <f aca="false">Sens!K2715</f>
        <v>34.5</v>
      </c>
    </row>
    <row r="2775" customFormat="false" ht="17.15" hidden="false" customHeight="false" outlineLevel="0" collapsed="false">
      <c r="A2775" s="1" t="s">
        <v>1004</v>
      </c>
      <c r="B2775" s="0" t="s">
        <v>98</v>
      </c>
      <c r="F2775" s="6" t="n">
        <f aca="false">MAX(0,((Sens!E2675+Sens!F2675)/2-(shadow_base*(Sens!$D$2675+Sens!$E$2675)/2+(1-shadow_base)*Sens!$E$2675))*Sens!F2684/1000-(Sens!F2774-Sens!$E$2774)*Sens!F2754)</f>
        <v>3.08019323332544</v>
      </c>
      <c r="G2775" s="6" t="n">
        <f aca="false">MAX(0,((Sens!F2675+Sens!G2675)/2-(shadow_base*(Sens!$D$2675+Sens!$E$2675)/2+(1-shadow_base)*Sens!$E$2675))*Sens!G2684/1000-(Sens!G2774-Sens!$E$2774)*Sens!G2754)</f>
        <v>9.25707167662077</v>
      </c>
      <c r="H2775" s="6" t="n">
        <f aca="false">MAX(0,((Sens!G2675+Sens!H2675)/2-(shadow_base*(Sens!$D$2675+Sens!$E$2675)/2+(1-shadow_base)*Sens!$E$2675))*Sens!H2684/1000-(Sens!H2774-Sens!$E$2774)*Sens!H2754)</f>
        <v>16.1705455946487</v>
      </c>
      <c r="I2775" s="6" t="n">
        <f aca="false">MAX(0,((Sens!H2675+Sens!I2675)/2-(shadow_base*(Sens!$D$2675+Sens!$E$2675)/2+(1-shadow_base)*Sens!$E$2675))*Sens!I2684/1000-(Sens!I2774-Sens!$E$2774)*Sens!I2754)</f>
        <v>22.6878526288822</v>
      </c>
      <c r="J2775" s="6" t="n">
        <f aca="false">MAX(0,((Sens!I2675+Sens!J2675)/2-(shadow_base*(Sens!$D$2675+Sens!$E$2675)/2+(1-shadow_base)*Sens!$E$2675))*Sens!J2684/1000-(Sens!J2774-Sens!$E$2774)*Sens!J2754)</f>
        <v>27.2813721190619</v>
      </c>
      <c r="K2775" s="6" t="n">
        <f aca="false">MAX(0,((Sens!J2675+Sens!K2675)/2-(shadow_base*(Sens!$D$2675+Sens!$E$2675)/2+(1-shadow_base)*Sens!$E$2675))*Sens!K2684/1000-(Sens!K2774-Sens!$E$2774)*Sens!K2754)</f>
        <v>29.4244300863746</v>
      </c>
      <c r="L2775" s="1" t="s">
        <v>1005</v>
      </c>
    </row>
    <row r="2776" customFormat="false" ht="17.15" hidden="false" customHeight="false" outlineLevel="0" collapsed="false">
      <c r="A2776" s="1" t="s">
        <v>1006</v>
      </c>
      <c r="B2776" s="0" t="s">
        <v>98</v>
      </c>
      <c r="F2776" s="6" t="n">
        <f aca="false">IF(internal_ai_reading=2,1,0)*Sens!F2775</f>
        <v>3.08019323332544</v>
      </c>
      <c r="G2776" s="6" t="n">
        <f aca="false">IF(internal_ai_reading=2,1,0)*Sens!G2775</f>
        <v>9.25707167662077</v>
      </c>
      <c r="H2776" s="6" t="n">
        <f aca="false">IF(internal_ai_reading=2,1,0)*Sens!H2775</f>
        <v>16.1705455946487</v>
      </c>
      <c r="I2776" s="6" t="n">
        <f aca="false">IF(internal_ai_reading=2,1,0)*Sens!I2775</f>
        <v>22.6878526288822</v>
      </c>
      <c r="J2776" s="6" t="n">
        <f aca="false">IF(internal_ai_reading=2,1,0)*Sens!J2775</f>
        <v>27.2813721190619</v>
      </c>
      <c r="K2776" s="6" t="n">
        <f aca="false">IF(internal_ai_reading=2,1,0)*Sens!K2775</f>
        <v>29.4244300863746</v>
      </c>
    </row>
    <row r="2777" customFormat="false" ht="17.15" hidden="false" customHeight="false" outlineLevel="0" collapsed="false">
      <c r="A2777" s="0" t="s">
        <v>1007</v>
      </c>
      <c r="B2777" s="0" t="s">
        <v>98</v>
      </c>
      <c r="F2777" s="6" t="n">
        <f aca="false">Sens!F2694+Sens!F2774*Sens!F2754+Sens!F2776-Sens!F2695-Sens!F2706</f>
        <v>18.1881699968199</v>
      </c>
      <c r="G2777" s="6" t="n">
        <f aca="false">Sens!G2694+Sens!G2774*Sens!G2754+Sens!G2776-Sens!G2695-Sens!G2706</f>
        <v>32.4676917465118</v>
      </c>
      <c r="H2777" s="6" t="n">
        <f aca="false">Sens!H2694+Sens!H2774*Sens!H2754+Sens!H2776-Sens!H2695-Sens!H2706</f>
        <v>47.1957185455823</v>
      </c>
      <c r="I2777" s="6" t="n">
        <f aca="false">Sens!I2694+Sens!I2774*Sens!I2754+Sens!I2776-Sens!I2695-Sens!I2706</f>
        <v>60.0927040307891</v>
      </c>
      <c r="J2777" s="6" t="n">
        <f aca="false">Sens!J2694+Sens!J2774*Sens!J2754+Sens!J2776-Sens!J2695-Sens!J2706</f>
        <v>68.9745644195042</v>
      </c>
      <c r="K2777" s="6" t="n">
        <f aca="false">Sens!K2694+Sens!K2774*Sens!K2754+Sens!K2776-Sens!K2695-Sens!K2706</f>
        <v>74.8639329140163</v>
      </c>
    </row>
    <row r="2778" customFormat="false" ht="17.15" hidden="false" customHeight="false" outlineLevel="0" collapsed="false">
      <c r="A2778" s="0" t="s">
        <v>1008</v>
      </c>
      <c r="B2778" s="0" t="s">
        <v>98</v>
      </c>
      <c r="E2778" s="6" t="n">
        <f aca="false">Sens!E2674*(cxit_open+self_build*tk_cxfac)/1000*ai_net_open</f>
        <v>101.35843056</v>
      </c>
      <c r="F2778" s="6" t="n">
        <f aca="false">Sens!E2778+Sens!F2703-Sens!F2706</f>
        <v>208.458102211014</v>
      </c>
      <c r="G2778" s="6" t="n">
        <f aca="false">Sens!F2778+Sens!G2703-Sens!G2706</f>
        <v>313.426090208414</v>
      </c>
      <c r="H2778" s="6" t="n">
        <f aca="false">Sens!G2778+Sens!H2703-Sens!H2706</f>
        <v>399.590820930867</v>
      </c>
      <c r="I2778" s="6" t="n">
        <f aca="false">Sens!H2778+Sens!I2703-Sens!I2706</f>
        <v>443.097880072517</v>
      </c>
      <c r="J2778" s="6" t="n">
        <f aca="false">Sens!I2778+Sens!J2703-Sens!J2706</f>
        <v>440.629286589592</v>
      </c>
      <c r="K2778" s="6" t="n">
        <f aca="false">Sens!J2778+Sens!K2703-Sens!K2706</f>
        <v>421.389433400631</v>
      </c>
      <c r="L2778" s="1" t="s">
        <v>1009</v>
      </c>
    </row>
    <row r="2779" customFormat="false" ht="17.15" hidden="false" customHeight="false" outlineLevel="0" collapsed="false">
      <c r="A2779" s="0" t="s">
        <v>1010</v>
      </c>
      <c r="B2779" s="0" t="s">
        <v>168</v>
      </c>
      <c r="F2779" s="7" t="n">
        <f aca="false">Sens!F2777*(1-tax_f)/((Sens!E2778+Sens!F2778)/2)</f>
        <v>0.093930016370109</v>
      </c>
      <c r="G2779" s="7" t="n">
        <f aca="false">Sens!G2777*(1-tax_f)/((Sens!F2778+Sens!G2778)/2)</f>
        <v>0.0995399123962526</v>
      </c>
      <c r="H2779" s="7" t="n">
        <f aca="false">Sens!H2777*(1-tax_f)/((Sens!G2778+Sens!H2778)/2)</f>
        <v>0.105906533902926</v>
      </c>
      <c r="I2779" s="7" t="n">
        <f aca="false">Sens!I2777*(1-tax_f)/((Sens!H2778+Sens!I2778)/2)</f>
        <v>0.1140970874948</v>
      </c>
      <c r="J2779" s="7" t="n">
        <f aca="false">Sens!J2777*(1-tax_f)/((Sens!I2778+Sens!J2778)/2)</f>
        <v>0.124879382726278</v>
      </c>
      <c r="K2779" s="7" t="n">
        <f aca="false">Sens!K2777*(1-tax_f)/((Sens!J2778+Sens!K2778)/2)</f>
        <v>0.138955558486926</v>
      </c>
    </row>
    <row r="2780" customFormat="false" ht="17.15" hidden="false" customHeight="false" outlineLevel="0" collapsed="false">
      <c r="A2780" s="1" t="s">
        <v>1011</v>
      </c>
      <c r="B2780" s="0" t="s">
        <v>168</v>
      </c>
      <c r="F2780" s="7" t="n">
        <f aca="false">(Sens!F2777-Sens!F2776)*(1-tax_f)/((Sens!E2778+Sens!F2778)/2)</f>
        <v>0.0780228304970968</v>
      </c>
      <c r="G2780" s="7" t="n">
        <f aca="false">(Sens!G2777-Sens!G2776)*(1-tax_f)/((Sens!F2778+Sens!G2778)/2)</f>
        <v>0.0711594500298247</v>
      </c>
      <c r="H2780" s="7" t="n">
        <f aca="false">(Sens!H2777-Sens!H2776)*(1-tax_f)/((Sens!G2778+Sens!H2778)/2)</f>
        <v>0.0696200552132445</v>
      </c>
      <c r="I2780" s="7" t="n">
        <f aca="false">(Sens!I2777-Sens!I2776)*(1-tax_f)/((Sens!H2778+Sens!I2778)/2)</f>
        <v>0.0710200126948311</v>
      </c>
      <c r="J2780" s="7" t="n">
        <f aca="false">(Sens!J2777-Sens!J2776)*(1-tax_f)/((Sens!I2778+Sens!J2778)/2)</f>
        <v>0.0754860891429557</v>
      </c>
      <c r="K2780" s="7" t="n">
        <f aca="false">(Sens!K2777-Sens!K2776)*(1-tax_f)/((Sens!J2778+Sens!K2778)/2)</f>
        <v>0.0843406330259875</v>
      </c>
    </row>
    <row r="2781" customFormat="false" ht="17.15" hidden="false" customHeight="false" outlineLevel="0" collapsed="false">
      <c r="A2781" s="1" t="s">
        <v>1012</v>
      </c>
      <c r="B2781" s="0" t="s">
        <v>168</v>
      </c>
      <c r="F2781" s="7" t="n">
        <f aca="false">(Sens!F2777-Sens!F2776+Sens!F2775)*(1-tax_f)/((Sens!E2778+Sens!F2778)/2)</f>
        <v>0.093930016370109</v>
      </c>
      <c r="G2781" s="7" t="n">
        <f aca="false">(Sens!G2777-Sens!G2776+Sens!G2775)*(1-tax_f)/((Sens!F2778+Sens!G2778)/2)</f>
        <v>0.0995399123962526</v>
      </c>
      <c r="H2781" s="7" t="n">
        <f aca="false">(Sens!H2777-Sens!H2776+Sens!H2775)*(1-tax_f)/((Sens!G2778+Sens!H2778)/2)</f>
        <v>0.105906533902926</v>
      </c>
      <c r="I2781" s="7" t="n">
        <f aca="false">(Sens!I2777-Sens!I2776+Sens!I2775)*(1-tax_f)/((Sens!H2778+Sens!I2778)/2)</f>
        <v>0.1140970874948</v>
      </c>
      <c r="J2781" s="7" t="n">
        <f aca="false">(Sens!J2777-Sens!J2776+Sens!J2775)*(1-tax_f)/((Sens!I2778+Sens!J2778)/2)</f>
        <v>0.124879382726278</v>
      </c>
      <c r="K2781" s="7" t="n">
        <f aca="false">(Sens!K2777-Sens!K2776+Sens!K2775)*(1-tax_f)/((Sens!J2778+Sens!K2778)/2)</f>
        <v>0.138955558486926</v>
      </c>
    </row>
    <row r="2782" customFormat="false" ht="17.15" hidden="false" customHeight="false" outlineLevel="0" collapsed="false">
      <c r="A2782" s="1" t="s">
        <v>1013</v>
      </c>
      <c r="B2782" s="0" t="s">
        <v>168</v>
      </c>
      <c r="F2782" s="7" t="n">
        <f aca="false">Sens!F2707*(1-tax_f)/(Sens!F2693*(Sens!E2778+Sens!F2778)/2)</f>
        <v>0.129294830495493</v>
      </c>
      <c r="G2782" s="7" t="n">
        <f aca="false">Sens!G2707*(1-tax_f)/(Sens!G2693*(Sens!F2778+Sens!G2778)/2)</f>
        <v>0.12719599062164</v>
      </c>
      <c r="H2782" s="7" t="n">
        <f aca="false">Sens!H2707*(1-tax_f)/(Sens!H2693*(Sens!G2778+Sens!H2778)/2)</f>
        <v>0.130828167067624</v>
      </c>
      <c r="I2782" s="7" t="n">
        <f aca="false">Sens!I2707*(1-tax_f)/(Sens!I2693*(Sens!H2778+Sens!I2778)/2)</f>
        <v>0.138614526937417</v>
      </c>
      <c r="J2782" s="7" t="n">
        <f aca="false">Sens!J2707*(1-tax_f)/(Sens!J2693*(Sens!I2778+Sens!J2778)/2)</f>
        <v>0.150578919010924</v>
      </c>
      <c r="K2782" s="7" t="n">
        <f aca="false">Sens!K2707*(1-tax_f)/(Sens!K2693*(Sens!J2778+Sens!K2778)/2)</f>
        <v>0.167005345886664</v>
      </c>
    </row>
    <row r="2783" customFormat="false" ht="17.15" hidden="false" customHeight="false" outlineLevel="0" collapsed="false">
      <c r="A2783" s="0" t="s">
        <v>1014</v>
      </c>
      <c r="B2783" s="0" t="s">
        <v>253</v>
      </c>
      <c r="F2783" s="7" t="n">
        <f aca="false">Sens!F2779-wacc</f>
        <v>-0.00900657457548831</v>
      </c>
      <c r="G2783" s="7" t="n">
        <f aca="false">Sens!G2779-wacc</f>
        <v>-0.00339667854934467</v>
      </c>
      <c r="H2783" s="7" t="n">
        <f aca="false">Sens!H2779-wacc</f>
        <v>0.00296994295732858</v>
      </c>
      <c r="I2783" s="7" t="n">
        <f aca="false">Sens!I2779-wacc</f>
        <v>0.0111604965492029</v>
      </c>
      <c r="J2783" s="7" t="n">
        <f aca="false">Sens!J2779-wacc</f>
        <v>0.0219427917806807</v>
      </c>
      <c r="K2783" s="7" t="n">
        <f aca="false">Sens!K2779-wacc</f>
        <v>0.0360189675413283</v>
      </c>
    </row>
    <row r="2784" customFormat="false" ht="17.15" hidden="false" customHeight="false" outlineLevel="0" collapsed="false">
      <c r="A2784" s="0" t="s">
        <v>1015</v>
      </c>
      <c r="B2784" s="0" t="s">
        <v>98</v>
      </c>
      <c r="F2784" s="6" t="n">
        <f aca="false">Sens!F2777*(1-tax_f)-wacc*(Sens!E2778+Sens!F2778)/2</f>
        <v>-1.39519285356068</v>
      </c>
      <c r="G2784" s="6" t="n">
        <f aca="false">Sens!G2777*(1-tax_f)-wacc*(Sens!F2778+Sens!G2778)/2</f>
        <v>-0.886336420816569</v>
      </c>
      <c r="H2784" s="6" t="n">
        <f aca="false">Sens!H2777*(1-tax_f)-wacc*(Sens!G2778+Sens!H2778)/2</f>
        <v>1.05880977684714</v>
      </c>
      <c r="I2784" s="6" t="n">
        <f aca="false">Sens!I2777*(1-tax_f)-wacc*(Sens!H2778+Sens!I2778)/2</f>
        <v>4.70241216980026</v>
      </c>
      <c r="J2784" s="6" t="n">
        <f aca="false">Sens!J2777*(1-tax_f)-wacc*(Sens!I2778+Sens!J2778)/2</f>
        <v>9.69572060449876</v>
      </c>
      <c r="K2784" s="6" t="n">
        <f aca="false">Sens!K2777*(1-tax_f)-wacc*(Sens!J2778+Sens!K2778)/2</f>
        <v>15.5245121476726</v>
      </c>
    </row>
    <row r="2785" customFormat="false" ht="17.15" hidden="false" customHeight="false" outlineLevel="0" collapsed="false">
      <c r="A2785" s="3" t="s">
        <v>1548</v>
      </c>
    </row>
    <row r="2786" customFormat="false" ht="15" hidden="false" customHeight="false" outlineLevel="0" collapsed="false">
      <c r="A2786" s="4" t="s">
        <v>43</v>
      </c>
      <c r="B2786" s="4" t="s">
        <v>65</v>
      </c>
      <c r="C2786" s="23" t="s">
        <v>938</v>
      </c>
      <c r="D2786" s="23" t="s">
        <v>939</v>
      </c>
      <c r="E2786" s="23" t="s">
        <v>940</v>
      </c>
      <c r="F2786" s="23" t="s">
        <v>941</v>
      </c>
      <c r="G2786" s="23" t="s">
        <v>942</v>
      </c>
      <c r="H2786" s="23" t="s">
        <v>943</v>
      </c>
      <c r="I2786" s="23" t="s">
        <v>944</v>
      </c>
      <c r="J2786" s="23" t="s">
        <v>945</v>
      </c>
      <c r="K2786" s="23" t="s">
        <v>946</v>
      </c>
      <c r="L2786" s="4" t="s">
        <v>47</v>
      </c>
    </row>
    <row r="2787" customFormat="false" ht="15" hidden="false" customHeight="false" outlineLevel="0" collapsed="false">
      <c r="A2787" s="1" t="s">
        <v>1076</v>
      </c>
      <c r="B2787" s="0" t="s">
        <v>98</v>
      </c>
      <c r="F2787" s="6" t="n">
        <f aca="false">Sens!F2768</f>
        <v>145.459576879072</v>
      </c>
      <c r="G2787" s="6" t="n">
        <f aca="false">Sens!G2768</f>
        <v>163.440282350553</v>
      </c>
      <c r="H2787" s="6" t="n">
        <f aca="false">Sens!H2768</f>
        <v>185.446641340173</v>
      </c>
      <c r="I2787" s="6" t="n">
        <f aca="false">Sens!I2768</f>
        <v>205.995345312038</v>
      </c>
      <c r="J2787" s="6" t="n">
        <f aca="false">Sens!J2768</f>
        <v>223.964637053377</v>
      </c>
      <c r="K2787" s="6" t="n">
        <f aca="false">Sens!K2768</f>
        <v>239.979780223188</v>
      </c>
    </row>
    <row r="2788" customFormat="false" ht="17.15" hidden="false" customHeight="false" outlineLevel="0" collapsed="false">
      <c r="A2788" s="1" t="s">
        <v>1098</v>
      </c>
      <c r="B2788" s="0" t="s">
        <v>98</v>
      </c>
      <c r="E2788" s="6" t="n">
        <f aca="false">Q!M38-Sens!E2706</f>
        <v>25.4896752183333</v>
      </c>
      <c r="F2788" s="6" t="n">
        <f aca="false">Sens!E2788*(1-1/life_nonai)+(Sens!F2796+Sens!F2797)/life_nonai</f>
        <v>29.8843953731304</v>
      </c>
      <c r="G2788" s="6" t="n">
        <f aca="false">Sens!F2788*(1-1/life_nonai)+(Sens!G2796)/life_nonai</f>
        <v>31.0319965812422</v>
      </c>
      <c r="H2788" s="6" t="n">
        <f aca="false">Sens!G2788*(1-1/life_nonai)+(Sens!H2796)/life_nonai</f>
        <v>32.6348514199741</v>
      </c>
      <c r="I2788" s="6" t="n">
        <f aca="false">Sens!H2788*(1-1/life_nonai)+(Sens!I2796)/life_nonai</f>
        <v>34.6201056460624</v>
      </c>
      <c r="J2788" s="6" t="n">
        <f aca="false">Sens!I2788*(1-1/life_nonai)+(Sens!J2796)/life_nonai</f>
        <v>36.8986665606271</v>
      </c>
      <c r="K2788" s="6" t="n">
        <f aca="false">Sens!J2788*(1-1/life_nonai)+(Sens!K2796)/life_nonai</f>
        <v>39.3810476106362</v>
      </c>
      <c r="L2788" s="12" t="s">
        <v>1099</v>
      </c>
    </row>
    <row r="2789" customFormat="false" ht="17.15" hidden="false" customHeight="false" outlineLevel="0" collapsed="false">
      <c r="A2789" s="1" t="s">
        <v>1100</v>
      </c>
      <c r="B2789" s="0" t="s">
        <v>98</v>
      </c>
      <c r="F2789" s="6" t="n">
        <f aca="false">Sens!$F$2797/life_nonai*(1-1/life_nonai)^(Sens!F2669-2027)</f>
        <v>3.36908002670816</v>
      </c>
      <c r="G2789" s="6" t="n">
        <f aca="false">Sens!$F$2797/life_nonai*(1-1/life_nonai)^(Sens!G2669-2027)</f>
        <v>3.03217202403734</v>
      </c>
      <c r="H2789" s="6" t="n">
        <f aca="false">Sens!$F$2797/life_nonai*(1-1/life_nonai)^(Sens!H2669-2027)</f>
        <v>2.72895482163361</v>
      </c>
      <c r="I2789" s="6" t="n">
        <f aca="false">Sens!$F$2797/life_nonai*(1-1/life_nonai)^(Sens!I2669-2027)</f>
        <v>2.45605933947025</v>
      </c>
      <c r="J2789" s="6" t="n">
        <f aca="false">Sens!$F$2797/life_nonai*(1-1/life_nonai)^(Sens!J2669-2027)</f>
        <v>2.21045340552322</v>
      </c>
      <c r="K2789" s="6" t="n">
        <f aca="false">Sens!$F$2797/life_nonai*(1-1/life_nonai)^(Sens!K2669-2027)</f>
        <v>1.9894080649709</v>
      </c>
      <c r="L2789" s="1" t="s">
        <v>1101</v>
      </c>
    </row>
    <row r="2790" customFormat="false" ht="17.15" hidden="false" customHeight="false" outlineLevel="0" collapsed="false">
      <c r="A2790" s="1" t="s">
        <v>1102</v>
      </c>
      <c r="B2790" s="0" t="s">
        <v>98</v>
      </c>
      <c r="E2790" s="6" t="n">
        <f aca="false">Sens!E2706+Sens!E2788</f>
        <v>38.534</v>
      </c>
      <c r="F2790" s="6" t="n">
        <f aca="false">Sens!F2706+Sens!F2788</f>
        <v>57.5478469558117</v>
      </c>
      <c r="G2790" s="6" t="n">
        <f aca="false">Sens!G2706+Sens!G2788</f>
        <v>79.6195891030813</v>
      </c>
      <c r="H2790" s="6" t="n">
        <f aca="false">Sens!H2706+Sens!H2788</f>
        <v>103.914923949131</v>
      </c>
      <c r="I2790" s="6" t="n">
        <f aca="false">Sens!I2706+Sens!I2788</f>
        <v>126.004913401701</v>
      </c>
      <c r="J2790" s="6" t="n">
        <f aca="false">Sens!J2706+Sens!J2788</f>
        <v>142.511205000304</v>
      </c>
      <c r="K2790" s="6" t="n">
        <f aca="false">Sens!K2706+Sens!K2788</f>
        <v>153.791183251384</v>
      </c>
    </row>
    <row r="2791" customFormat="false" ht="17.15" hidden="false" customHeight="false" outlineLevel="0" collapsed="false">
      <c r="A2791" s="1" t="s">
        <v>1103</v>
      </c>
      <c r="B2791" s="0" t="s">
        <v>98</v>
      </c>
      <c r="F2791" s="6" t="n">
        <f aca="false">Sens!F2733*sbc_r</f>
        <v>14.9175438377464</v>
      </c>
      <c r="G2791" s="6" t="n">
        <f aca="false">Sens!G2733*sbc_r</f>
        <v>17.8119838712421</v>
      </c>
      <c r="H2791" s="6" t="n">
        <f aca="false">Sens!H2733*sbc_r</f>
        <v>20.7745061486909</v>
      </c>
      <c r="I2791" s="6" t="n">
        <f aca="false">Sens!I2733*sbc_r</f>
        <v>23.4952383075388</v>
      </c>
      <c r="J2791" s="6" t="n">
        <f aca="false">Sens!J2733*sbc_r</f>
        <v>25.7232953082804</v>
      </c>
      <c r="K2791" s="6" t="n">
        <f aca="false">Sens!K2733*sbc_r</f>
        <v>27.5132097680234</v>
      </c>
    </row>
    <row r="2792" customFormat="false" ht="17.15" hidden="false" customHeight="false" outlineLevel="0" collapsed="false">
      <c r="A2792" s="1" t="s">
        <v>1104</v>
      </c>
      <c r="B2792" s="0" t="s">
        <v>98</v>
      </c>
      <c r="F2792" s="6" t="n">
        <f aca="false">wc27-wc26q1</f>
        <v>-4.677</v>
      </c>
      <c r="G2792" s="6" t="n">
        <f aca="false">wc_f</f>
        <v>0</v>
      </c>
      <c r="H2792" s="6" t="n">
        <f aca="false">wc_f</f>
        <v>0</v>
      </c>
      <c r="I2792" s="6" t="n">
        <f aca="false">wc_f</f>
        <v>0</v>
      </c>
      <c r="J2792" s="6" t="n">
        <f aca="false">wc_f</f>
        <v>0</v>
      </c>
      <c r="K2792" s="6" t="n">
        <f aca="false">wc_f</f>
        <v>0</v>
      </c>
      <c r="L2792" s="12" t="s">
        <v>1105</v>
      </c>
    </row>
    <row r="2793" customFormat="false" ht="17.15" hidden="false" customHeight="false" outlineLevel="0" collapsed="false">
      <c r="A2793" s="0" t="s">
        <v>1106</v>
      </c>
      <c r="B2793" s="0" t="s">
        <v>98</v>
      </c>
      <c r="F2793" s="6" t="n">
        <f aca="false">Q!$I$35-Q!$I$26-Q!$I$38-Q!$I$39</f>
        <v>6.493</v>
      </c>
      <c r="L2793" s="1" t="s">
        <v>1107</v>
      </c>
    </row>
    <row r="2794" customFormat="false" ht="15" hidden="false" customHeight="false" outlineLevel="0" collapsed="false">
      <c r="A2794" s="1" t="s">
        <v>904</v>
      </c>
      <c r="B2794" s="0" t="s">
        <v>98</v>
      </c>
      <c r="E2794" s="6" t="n">
        <f aca="false">Q!M35</f>
        <v>182.935</v>
      </c>
      <c r="F2794" s="6" t="n">
        <f aca="false">Sens!F2787+Sens!F2790+Sens!F2791+Sens!F2792+Sens!F2793</f>
        <v>219.74096767263</v>
      </c>
      <c r="G2794" s="6" t="n">
        <f aca="false">Sens!G2787+Sens!G2790+Sens!G2791+Sens!G2792</f>
        <v>260.871855324876</v>
      </c>
      <c r="H2794" s="6" t="n">
        <f aca="false">Sens!H2787+Sens!H2790+Sens!H2791+Sens!H2792</f>
        <v>310.136071437995</v>
      </c>
      <c r="I2794" s="6" t="n">
        <f aca="false">Sens!I2787+Sens!I2790+Sens!I2791+Sens!I2792</f>
        <v>355.495497021278</v>
      </c>
      <c r="J2794" s="6" t="n">
        <f aca="false">Sens!J2787+Sens!J2790+Sens!J2791+Sens!J2792</f>
        <v>392.199137361962</v>
      </c>
      <c r="K2794" s="6" t="n">
        <f aca="false">Sens!K2787+Sens!K2790+Sens!K2791+Sens!K2792</f>
        <v>421.284173242595</v>
      </c>
    </row>
    <row r="2795" customFormat="false" ht="17.15" hidden="false" customHeight="false" outlineLevel="0" collapsed="false">
      <c r="A2795" s="0" t="s">
        <v>1108</v>
      </c>
      <c r="B2795" s="0" t="s">
        <v>98</v>
      </c>
      <c r="F2795" s="6" t="n">
        <f aca="false">Sens!F2703</f>
        <v>134.763123233696</v>
      </c>
      <c r="G2795" s="6" t="n">
        <f aca="false">Sens!G2703</f>
        <v>153.555580519238</v>
      </c>
      <c r="H2795" s="6" t="n">
        <f aca="false">Sens!H2703</f>
        <v>157.44480325161</v>
      </c>
      <c r="I2795" s="6" t="n">
        <f aca="false">Sens!I2703</f>
        <v>134.891866897288</v>
      </c>
      <c r="J2795" s="6" t="n">
        <f aca="false">Sens!J2703</f>
        <v>103.143944956752</v>
      </c>
      <c r="K2795" s="6" t="n">
        <f aca="false">Sens!K2703</f>
        <v>95.1702824517861</v>
      </c>
    </row>
    <row r="2796" customFormat="false" ht="17.15" hidden="false" customHeight="false" outlineLevel="0" collapsed="false">
      <c r="A2796" s="1" t="s">
        <v>1109</v>
      </c>
      <c r="B2796" s="0" t="s">
        <v>98</v>
      </c>
      <c r="E2796" s="6" t="n">
        <f aca="false">Sens!E2711*cx_azo+Sens!E2718*cx_m365+Sens!E2719*cx_lic+(Sens!E2721+Sens!E2723)*cx_ind+Sens!E2726*cx_srch+(Sens!E2728+Sens!E2730)*cx_dev</f>
        <v>30.1846587067718</v>
      </c>
      <c r="F2796" s="6" t="n">
        <f aca="false">Sens!F2711*cx_azo+Sens!F2718*cx_m365+Sens!F2719*cx_lic+(Sens!F2721+Sens!F2723)*cx_ind+Sens!F2726*cx_srch+(Sens!F2728+Sens!F2730)*cx_dev</f>
        <v>35.7460764992227</v>
      </c>
      <c r="G2796" s="6" t="n">
        <f aca="false">Sens!G2711*cx_azo+Sens!G2718*cx_m365+Sens!G2719*cx_lic+(Sens!G2721+Sens!G2723)*cx_ind+Sens!G2726*cx_srch+(Sens!G2728+Sens!G2730)*cx_dev</f>
        <v>41.360407454248</v>
      </c>
      <c r="H2796" s="6" t="n">
        <f aca="false">Sens!H2711*cx_azo+Sens!H2718*cx_m365+Sens!H2719*cx_lic+(Sens!H2721+Sens!H2723)*cx_ind+Sens!H2726*cx_srch+(Sens!H2728+Sens!H2730)*cx_dev</f>
        <v>47.0605449685615</v>
      </c>
      <c r="I2796" s="6" t="n">
        <f aca="false">Sens!I2711*cx_azo+Sens!I2718*cx_m365+Sens!I2719*cx_lic+(Sens!I2721+Sens!I2723)*cx_ind+Sens!I2726*cx_srch+(Sens!I2728+Sens!I2730)*cx_dev</f>
        <v>52.4873936808571</v>
      </c>
      <c r="J2796" s="6" t="n">
        <f aca="false">Sens!J2711*cx_azo+Sens!J2718*cx_m365+Sens!J2719*cx_lic+(Sens!J2721+Sens!J2723)*cx_ind+Sens!J2726*cx_srch+(Sens!J2728+Sens!J2730)*cx_dev</f>
        <v>57.4057147917091</v>
      </c>
      <c r="K2796" s="6" t="n">
        <f aca="false">Sens!K2711*cx_azo+Sens!K2718*cx_m365+Sens!K2719*cx_lic+(Sens!K2721+Sens!K2723)*cx_ind+Sens!K2726*cx_srch+(Sens!K2728+Sens!K2730)*cx_dev</f>
        <v>61.7224770607185</v>
      </c>
    </row>
    <row r="2797" customFormat="false" ht="17.15" hidden="false" customHeight="false" outlineLevel="0" collapsed="false">
      <c r="A2797" s="0" t="s">
        <v>1110</v>
      </c>
      <c r="B2797" s="0" t="s">
        <v>98</v>
      </c>
      <c r="F2797" s="6" t="n">
        <f aca="false">Sens!F2701</f>
        <v>33.6908002670816</v>
      </c>
      <c r="L2797" s="1" t="s">
        <v>1111</v>
      </c>
    </row>
    <row r="2798" customFormat="false" ht="17.15" hidden="false" customHeight="false" outlineLevel="0" collapsed="false">
      <c r="A2798" s="1" t="s">
        <v>1112</v>
      </c>
      <c r="B2798" s="0" t="s">
        <v>98</v>
      </c>
      <c r="E2798" s="6" t="n">
        <f aca="false">Q!M43</f>
        <v>145.3</v>
      </c>
      <c r="F2798" s="6" t="n">
        <f aca="false">Sens!F2795+Sens!F2796+Sens!F2797</f>
        <v>204.2</v>
      </c>
      <c r="G2798" s="6" t="n">
        <f aca="false">Sens!G2795+Sens!G2796</f>
        <v>194.915987973486</v>
      </c>
      <c r="H2798" s="6" t="n">
        <f aca="false">Sens!H2795+Sens!H2796</f>
        <v>204.505348220171</v>
      </c>
      <c r="I2798" s="6" t="n">
        <f aca="false">Sens!I2795+Sens!I2796</f>
        <v>187.379260578145</v>
      </c>
      <c r="J2798" s="6" t="n">
        <f aca="false">Sens!J2795+Sens!J2796</f>
        <v>160.549659748462</v>
      </c>
      <c r="K2798" s="6" t="n">
        <f aca="false">Sens!K2795+Sens!K2796</f>
        <v>156.892759512505</v>
      </c>
      <c r="L2798" s="1" t="s">
        <v>1113</v>
      </c>
    </row>
    <row r="2799" customFormat="false" ht="15" hidden="false" customHeight="false" outlineLevel="0" collapsed="false">
      <c r="A2799" s="1" t="s">
        <v>1114</v>
      </c>
      <c r="B2799" s="0" t="s">
        <v>98</v>
      </c>
      <c r="E2799" s="6" t="n">
        <f aca="false">fl_liab</f>
        <v>66.594</v>
      </c>
      <c r="F2799" s="6" t="n">
        <f aca="false">Sens!E2799-Sens!F2800</f>
        <v>62.46973</v>
      </c>
      <c r="G2799" s="6" t="n">
        <f aca="false">Sens!F2799-Sens!G2800</f>
        <v>57.98686785</v>
      </c>
      <c r="H2799" s="6" t="n">
        <f aca="false">Sens!G2799-Sens!H2800</f>
        <v>53.92827690325</v>
      </c>
      <c r="I2799" s="6" t="n">
        <f aca="false">Sens!H2799-Sens!I2800</f>
        <v>49.7850493638962</v>
      </c>
      <c r="J2799" s="6" t="n">
        <f aca="false">Sens!I2799-Sens!J2800</f>
        <v>45.4823765852716</v>
      </c>
      <c r="K2799" s="6" t="n">
        <f aca="false">Sens!J2799-Sens!K2800</f>
        <v>40.9860835316088</v>
      </c>
    </row>
    <row r="2800" customFormat="false" ht="15" hidden="false" customHeight="false" outlineLevel="0" collapsed="false">
      <c r="A2800" s="1" t="s">
        <v>1115</v>
      </c>
      <c r="B2800" s="0" t="s">
        <v>98</v>
      </c>
      <c r="F2800" s="6" t="n">
        <f aca="false">fl_pay_27-Sens!E2799*fl_rate</f>
        <v>4.12427</v>
      </c>
      <c r="G2800" s="6" t="n">
        <f aca="false">fl_pay_28-Sens!F2799*fl_rate</f>
        <v>4.48286215</v>
      </c>
      <c r="H2800" s="6" t="n">
        <f aca="false">fl_pay_29-Sens!G2799*fl_rate</f>
        <v>4.05859094675</v>
      </c>
      <c r="I2800" s="6" t="n">
        <f aca="false">fl_pay_30-Sens!H2799*fl_rate</f>
        <v>4.14322753935375</v>
      </c>
      <c r="J2800" s="6" t="n">
        <f aca="false">fl_pay_31-Sens!I2799*fl_rate</f>
        <v>4.30267277862467</v>
      </c>
      <c r="K2800" s="6" t="n">
        <f aca="false">fl_pay_32-Sens!J2799*fl_rate</f>
        <v>4.49629305366278</v>
      </c>
    </row>
    <row r="2801" customFormat="false" ht="17.15" hidden="false" customHeight="false" outlineLevel="0" collapsed="false">
      <c r="A2801" s="1" t="s">
        <v>1116</v>
      </c>
      <c r="B2801" s="0" t="s">
        <v>98</v>
      </c>
      <c r="E2801" s="6" t="n">
        <f aca="false">Q!M35-Q!M36-Q!M44</f>
        <v>63.886</v>
      </c>
      <c r="F2801" s="6" t="n">
        <f aca="false">Sens!F2794-Sens!F2798-Sens!F2800</f>
        <v>11.4166976726302</v>
      </c>
      <c r="G2801" s="6" t="n">
        <f aca="false">Sens!G2794-Sens!G2798-Sens!G2800</f>
        <v>61.4730052013896</v>
      </c>
      <c r="H2801" s="6" t="n">
        <f aca="false">Sens!H2794-Sens!H2798-Sens!H2800</f>
        <v>101.572132271074</v>
      </c>
      <c r="I2801" s="6" t="n">
        <f aca="false">Sens!I2794-Sens!I2798-Sens!I2800</f>
        <v>163.973008903779</v>
      </c>
      <c r="J2801" s="6" t="n">
        <f aca="false">Sens!J2794-Sens!J2798-Sens!J2800</f>
        <v>227.346804834875</v>
      </c>
      <c r="K2801" s="6" t="n">
        <f aca="false">Sens!K2794-Sens!K2798-Sens!K2800</f>
        <v>259.895120676427</v>
      </c>
      <c r="L2801" s="12" t="s">
        <v>1117</v>
      </c>
    </row>
    <row r="2802" customFormat="false" ht="15" hidden="false" customHeight="false" outlineLevel="0" collapsed="false">
      <c r="A2802" s="1" t="s">
        <v>1118</v>
      </c>
      <c r="B2802" s="0" t="s">
        <v>75</v>
      </c>
      <c r="F2802" s="8" t="n">
        <f aca="false">dps_27</f>
        <v>3.85</v>
      </c>
      <c r="G2802" s="8" t="n">
        <f aca="false">Sens!F2802*(1+dps_g)</f>
        <v>4.158</v>
      </c>
      <c r="H2802" s="8" t="n">
        <f aca="false">Sens!G2802*(1+dps_g)</f>
        <v>4.49064</v>
      </c>
      <c r="I2802" s="8" t="n">
        <f aca="false">Sens!H2802*(1+dps_g)</f>
        <v>4.8498912</v>
      </c>
      <c r="J2802" s="8" t="n">
        <f aca="false">Sens!I2802*(1+dps_g)</f>
        <v>5.237882496</v>
      </c>
      <c r="K2802" s="8" t="n">
        <f aca="false">Sens!J2802*(1+dps_g)</f>
        <v>5.65691309568</v>
      </c>
    </row>
    <row r="2803" customFormat="false" ht="17.15" hidden="false" customHeight="false" outlineLevel="0" collapsed="false">
      <c r="A2803" s="1" t="s">
        <v>1119</v>
      </c>
      <c r="B2803" s="0" t="s">
        <v>98</v>
      </c>
      <c r="E2803" s="6" t="n">
        <f aca="false">Q!M41</f>
        <v>26.445</v>
      </c>
      <c r="F2803" s="6" t="n">
        <f aca="false">Sens!F2802*Sens!E2812</f>
        <v>28.59395</v>
      </c>
      <c r="G2803" s="6" t="n">
        <f aca="false">Sens!G2802*Sens!F2812</f>
        <v>31.0654434375759</v>
      </c>
      <c r="H2803" s="6" t="n">
        <f aca="false">Sens!H2802*Sens!G2812</f>
        <v>33.5849508856547</v>
      </c>
      <c r="I2803" s="6" t="n">
        <f aca="false">Sens!I2802*Sens!H2812</f>
        <v>36.3221852335797</v>
      </c>
      <c r="J2803" s="6" t="n">
        <f aca="false">Sens!J2802*Sens!I2812</f>
        <v>39.2958579376587</v>
      </c>
      <c r="K2803" s="6" t="n">
        <f aca="false">Sens!K2802*Sens!J2812</f>
        <v>42.5262808350496</v>
      </c>
      <c r="L2803" s="1" t="s">
        <v>1120</v>
      </c>
    </row>
    <row r="2804" customFormat="false" ht="15" hidden="false" customHeight="false" outlineLevel="0" collapsed="false">
      <c r="A2804" s="1" t="s">
        <v>1121</v>
      </c>
      <c r="B2804" s="0" t="s">
        <v>98</v>
      </c>
      <c r="E2804" s="6" t="n">
        <f aca="false">Sens!E2801-Sens!E2803</f>
        <v>37.441</v>
      </c>
      <c r="F2804" s="6" t="n">
        <f aca="false">Sens!F2801-Sens!F2803</f>
        <v>-17.1772523273698</v>
      </c>
      <c r="G2804" s="6" t="n">
        <f aca="false">Sens!G2801-Sens!G2803</f>
        <v>30.4075617638137</v>
      </c>
      <c r="H2804" s="6" t="n">
        <f aca="false">Sens!H2801-Sens!H2803</f>
        <v>67.9871813854189</v>
      </c>
      <c r="I2804" s="6" t="n">
        <f aca="false">Sens!I2801-Sens!I2803</f>
        <v>127.650823670199</v>
      </c>
      <c r="J2804" s="6" t="n">
        <f aca="false">Sens!J2801-Sens!J2803</f>
        <v>188.050946897217</v>
      </c>
      <c r="K2804" s="6" t="n">
        <f aca="false">Sens!K2801-Sens!K2803</f>
        <v>217.368839841377</v>
      </c>
    </row>
    <row r="2805" customFormat="false" ht="15" hidden="false" customHeight="false" outlineLevel="0" collapsed="false">
      <c r="A2805" s="1" t="s">
        <v>1122</v>
      </c>
      <c r="B2805" s="0" t="s">
        <v>98</v>
      </c>
      <c r="F2805" s="6" t="n">
        <f aca="false">debt_mat_27</f>
        <v>9.25</v>
      </c>
      <c r="G2805" s="6" t="n">
        <f aca="false">debt_mat_28</f>
        <v>0</v>
      </c>
      <c r="H2805" s="6" t="n">
        <f aca="false">debt_mat_29</f>
        <v>2.001</v>
      </c>
      <c r="I2805" s="6" t="n">
        <f aca="false">debt_mat_30</f>
        <v>0</v>
      </c>
      <c r="J2805" s="6" t="n">
        <f aca="false">debt_mat_31</f>
        <v>0.5</v>
      </c>
      <c r="K2805" s="6" t="n">
        <f aca="false">debt_mat_32</f>
        <v>0</v>
      </c>
    </row>
    <row r="2806" customFormat="false" ht="15" hidden="false" customHeight="false" outlineLevel="0" collapsed="false">
      <c r="A2806" s="1" t="s">
        <v>1123</v>
      </c>
      <c r="B2806" s="0" t="s">
        <v>98</v>
      </c>
      <c r="E2806" s="6" t="n">
        <f aca="false">Q!M40</f>
        <v>22.271</v>
      </c>
      <c r="F2806" s="6" t="n">
        <f aca="false">MAX(0,MIN(bb_target,Sens!E2808+Sens!F2804-Sens!F2805-min_cash))</f>
        <v>0.415747672630246</v>
      </c>
      <c r="G2806" s="6" t="n">
        <f aca="false">MAX(0,MIN(bb_target,Sens!F2808+Sens!G2804-Sens!G2805-min_cash))</f>
        <v>22.271</v>
      </c>
      <c r="H2806" s="6" t="n">
        <f aca="false">MAX(0,MIN(bb_target,Sens!G2808+Sens!H2804-Sens!H2805-min_cash))</f>
        <v>22.271</v>
      </c>
      <c r="I2806" s="6" t="n">
        <f aca="false">MAX(0,MIN(bb_target,Sens!H2808+Sens!I2804-Sens!I2805-min_cash))</f>
        <v>22.271</v>
      </c>
      <c r="J2806" s="6" t="n">
        <f aca="false">MAX(0,MIN(bb_target,Sens!I2808+Sens!J2804-Sens!J2805-min_cash))</f>
        <v>22.271</v>
      </c>
      <c r="K2806" s="6" t="n">
        <f aca="false">MAX(0,MIN(bb_target,Sens!J2808+Sens!K2804-Sens!K2805-min_cash))</f>
        <v>22.271</v>
      </c>
    </row>
    <row r="2807" customFormat="false" ht="15" hidden="false" customHeight="false" outlineLevel="0" collapsed="false">
      <c r="A2807" s="1" t="s">
        <v>1124</v>
      </c>
      <c r="B2807" s="0" t="s">
        <v>98</v>
      </c>
      <c r="F2807" s="6" t="n">
        <f aca="false">MAX(0,min_cash-(Sens!E2808+Sens!F2804-Sens!F2805-Sens!F2806))</f>
        <v>0</v>
      </c>
      <c r="G2807" s="6" t="n">
        <f aca="false">MAX(0,min_cash-(Sens!F2808+Sens!G2804-Sens!G2805-Sens!G2806))</f>
        <v>0</v>
      </c>
      <c r="H2807" s="6" t="n">
        <f aca="false">MAX(0,min_cash-(Sens!G2808+Sens!H2804-Sens!H2805-Sens!H2806))</f>
        <v>0</v>
      </c>
      <c r="I2807" s="6" t="n">
        <f aca="false">MAX(0,min_cash-(Sens!H2808+Sens!I2804-Sens!I2805-Sens!I2806))</f>
        <v>0</v>
      </c>
      <c r="J2807" s="6" t="n">
        <f aca="false">MAX(0,min_cash-(Sens!I2808+Sens!J2804-Sens!J2805-Sens!J2806))</f>
        <v>0</v>
      </c>
      <c r="K2807" s="6" t="n">
        <f aca="false">MAX(0,min_cash-(Sens!J2808+Sens!K2804-Sens!K2805-Sens!K2806))</f>
        <v>0</v>
      </c>
    </row>
    <row r="2808" customFormat="false" ht="15" hidden="false" customHeight="false" outlineLevel="0" collapsed="false">
      <c r="A2808" s="1" t="s">
        <v>1125</v>
      </c>
      <c r="B2808" s="0" t="s">
        <v>98</v>
      </c>
      <c r="E2808" s="6" t="n">
        <f aca="false">cash_open</f>
        <v>76.843</v>
      </c>
      <c r="F2808" s="6" t="n">
        <f aca="false">Sens!E2808+Sens!F2804-Sens!F2805-Sens!F2806+Sens!F2807</f>
        <v>50</v>
      </c>
      <c r="G2808" s="6" t="n">
        <f aca="false">Sens!F2808+Sens!G2804-Sens!G2805-Sens!G2806+Sens!G2807</f>
        <v>58.1365617638137</v>
      </c>
      <c r="H2808" s="6" t="n">
        <f aca="false">Sens!G2808+Sens!H2804-Sens!H2805-Sens!H2806+Sens!H2807</f>
        <v>101.851743149233</v>
      </c>
      <c r="I2808" s="6" t="n">
        <f aca="false">Sens!H2808+Sens!I2804-Sens!I2805-Sens!I2806+Sens!I2807</f>
        <v>207.231566819431</v>
      </c>
      <c r="J2808" s="6" t="n">
        <f aca="false">Sens!I2808+Sens!J2804-Sens!J2805-Sens!J2806+Sens!J2807</f>
        <v>372.511513716648</v>
      </c>
      <c r="K2808" s="6" t="n">
        <f aca="false">Sens!J2808+Sens!K2804-Sens!K2805-Sens!K2806+Sens!K2807</f>
        <v>567.609353558026</v>
      </c>
    </row>
    <row r="2809" customFormat="false" ht="15" hidden="false" customHeight="false" outlineLevel="0" collapsed="false">
      <c r="A2809" s="1" t="s">
        <v>1126</v>
      </c>
      <c r="B2809" s="0" t="s">
        <v>98</v>
      </c>
      <c r="E2809" s="6" t="n">
        <f aca="false">debt_face</f>
        <v>46.136</v>
      </c>
      <c r="F2809" s="6" t="n">
        <f aca="false">Sens!E2809-Sens!F2805+Sens!F2807</f>
        <v>36.886</v>
      </c>
      <c r="G2809" s="6" t="n">
        <f aca="false">Sens!F2809-Sens!G2805+Sens!G2807</f>
        <v>36.886</v>
      </c>
      <c r="H2809" s="6" t="n">
        <f aca="false">Sens!G2809-Sens!H2805+Sens!H2807</f>
        <v>34.885</v>
      </c>
      <c r="I2809" s="6" t="n">
        <f aca="false">Sens!H2809-Sens!I2805+Sens!I2807</f>
        <v>34.885</v>
      </c>
      <c r="J2809" s="6" t="n">
        <f aca="false">Sens!I2809-Sens!J2805+Sens!J2807</f>
        <v>34.385</v>
      </c>
      <c r="K2809" s="6" t="n">
        <f aca="false">Sens!J2809-Sens!K2805+Sens!K2807</f>
        <v>34.385</v>
      </c>
    </row>
    <row r="2810" customFormat="false" ht="15" hidden="false" customHeight="false" outlineLevel="0" collapsed="false">
      <c r="A2810" s="1" t="s">
        <v>1127</v>
      </c>
      <c r="B2810" s="0" t="s">
        <v>98</v>
      </c>
      <c r="E2810" s="6" t="n">
        <f aca="false">Sens!E2808-Sens!E2809</f>
        <v>30.707</v>
      </c>
      <c r="F2810" s="6" t="n">
        <f aca="false">Sens!F2808-Sens!F2809</f>
        <v>13.114</v>
      </c>
      <c r="G2810" s="6" t="n">
        <f aca="false">Sens!G2808-Sens!G2809</f>
        <v>21.2505617638137</v>
      </c>
      <c r="H2810" s="6" t="n">
        <f aca="false">Sens!H2808-Sens!H2809</f>
        <v>66.9667431492326</v>
      </c>
      <c r="I2810" s="6" t="n">
        <f aca="false">Sens!I2808-Sens!I2809</f>
        <v>172.346566819431</v>
      </c>
      <c r="J2810" s="6" t="n">
        <f aca="false">Sens!J2808-Sens!J2809</f>
        <v>338.126513716648</v>
      </c>
      <c r="K2810" s="6" t="n">
        <f aca="false">Sens!K2808-Sens!K2809</f>
        <v>533.224353558026</v>
      </c>
    </row>
    <row r="2811" customFormat="false" ht="15" hidden="false" customHeight="false" outlineLevel="0" collapsed="false">
      <c r="A2811" s="1" t="s">
        <v>1128</v>
      </c>
      <c r="B2811" s="0" t="s">
        <v>75</v>
      </c>
      <c r="F2811" s="30" t="n">
        <f aca="false">px*(1+bb_g)^(Sens!F2669-base_fy-mid_yr)</f>
        <v>551.84177959629</v>
      </c>
      <c r="G2811" s="30" t="n">
        <f aca="false">px*(1+bb_g)^(Sens!G2669-base_fy-mid_yr)</f>
        <v>595.989121963993</v>
      </c>
      <c r="H2811" s="30" t="n">
        <f aca="false">px*(1+bb_g)^(Sens!H2669-base_fy-mid_yr)</f>
        <v>643.668251721112</v>
      </c>
      <c r="I2811" s="30" t="n">
        <f aca="false">px*(1+bb_g)^(Sens!I2669-base_fy-mid_yr)</f>
        <v>695.161711858801</v>
      </c>
      <c r="J2811" s="30" t="n">
        <f aca="false">px*(1+bb_g)^(Sens!J2669-base_fy-mid_yr)</f>
        <v>750.774648807506</v>
      </c>
      <c r="K2811" s="30" t="n">
        <f aca="false">px*(1+bb_g)^(Sens!K2669-base_fy-mid_yr)</f>
        <v>810.836620712106</v>
      </c>
    </row>
    <row r="2812" customFormat="false" ht="15" hidden="false" customHeight="false" outlineLevel="0" collapsed="false">
      <c r="A2812" s="1" t="s">
        <v>1129</v>
      </c>
      <c r="B2812" s="1" t="s">
        <v>81</v>
      </c>
      <c r="E2812" s="15" t="n">
        <f aca="false">sh_out26</f>
        <v>7.427</v>
      </c>
      <c r="F2812" s="15" t="n">
        <f aca="false">Sens!E2812+sh_iss-Sens!F2806/Sens!F2811</f>
        <v>7.47124661798363</v>
      </c>
      <c r="G2812" s="15" t="n">
        <f aca="false">Sens!F2812+sh_iss-Sens!G2806/Sens!G2811</f>
        <v>7.47887848628584</v>
      </c>
      <c r="H2812" s="15" t="n">
        <f aca="false">Sens!G2812+sh_iss-Sens!H2806/Sens!H2811</f>
        <v>7.48927836434344</v>
      </c>
      <c r="I2812" s="15" t="n">
        <f aca="false">Sens!H2812+sh_iss-Sens!I2806/Sens!I2811</f>
        <v>7.50224121439678</v>
      </c>
      <c r="J2812" s="15" t="n">
        <f aca="false">Sens!I2812+sh_iss-Sens!J2806/Sens!J2811</f>
        <v>7.51757718666839</v>
      </c>
      <c r="K2812" s="15" t="n">
        <f aca="false">Sens!J2812+sh_iss-Sens!K2806/Sens!K2811</f>
        <v>7.53511049432728</v>
      </c>
    </row>
    <row r="2813" customFormat="false" ht="15" hidden="false" customHeight="false" outlineLevel="0" collapsed="false">
      <c r="A2813" s="1" t="s">
        <v>1130</v>
      </c>
      <c r="B2813" s="1" t="s">
        <v>81</v>
      </c>
      <c r="E2813" s="15" t="n">
        <f aca="false">sh_dil26</f>
        <v>7.453</v>
      </c>
      <c r="F2813" s="15" t="n">
        <f aca="false">(Sens!E2812+Sens!F2812)/2+dil_gap</f>
        <v>7.47312330899181</v>
      </c>
      <c r="G2813" s="15" t="n">
        <f aca="false">(Sens!F2812+Sens!G2812)/2+dil_gap</f>
        <v>7.49906255213473</v>
      </c>
      <c r="H2813" s="15" t="n">
        <f aca="false">(Sens!G2812+Sens!H2812)/2+dil_gap</f>
        <v>7.50807842531464</v>
      </c>
      <c r="I2813" s="15" t="n">
        <f aca="false">(Sens!H2812+Sens!I2812)/2+dil_gap</f>
        <v>7.51975978937011</v>
      </c>
      <c r="J2813" s="15" t="n">
        <f aca="false">(Sens!I2812+Sens!J2812)/2+dil_gap</f>
        <v>7.53390920053258</v>
      </c>
      <c r="K2813" s="15" t="n">
        <f aca="false">(Sens!J2812+Sens!K2812)/2+dil_gap</f>
        <v>7.55034384049784</v>
      </c>
    </row>
    <row r="2814" customFormat="false" ht="17.15" hidden="false" customHeight="false" outlineLevel="0" collapsed="false">
      <c r="A2814" s="1" t="s">
        <v>1131</v>
      </c>
      <c r="B2814" s="0" t="s">
        <v>98</v>
      </c>
      <c r="C2814" s="6" t="n">
        <f aca="false">SUM(Sens!F2804:J2804)</f>
        <v>396.919261389279</v>
      </c>
    </row>
    <row r="2815" customFormat="false" ht="15" hidden="false" customHeight="false" outlineLevel="0" collapsed="false">
      <c r="A2815" s="26" t="s">
        <v>1096</v>
      </c>
      <c r="B2815" s="31" t="s">
        <v>98</v>
      </c>
      <c r="C2815" s="27" t="n">
        <f aca="false">Sens!$C$2814-(Sens!F2804+Sens!G2804+Sens!H2804+Sens!I2804+Sens!J2804)</f>
        <v>0</v>
      </c>
      <c r="D2815" s="31"/>
      <c r="E2815" s="31"/>
      <c r="F2815" s="31"/>
      <c r="G2815" s="31"/>
      <c r="H2815" s="31"/>
      <c r="I2815" s="31"/>
      <c r="J2815" s="31"/>
      <c r="K2815" s="31"/>
    </row>
    <row r="2816" customFormat="false" ht="17.15" hidden="false" customHeight="false" outlineLevel="0" collapsed="false">
      <c r="A2816" s="1" t="s">
        <v>1090</v>
      </c>
      <c r="B2816" s="1" t="s">
        <v>1132</v>
      </c>
      <c r="C2816" s="33" t="str">
        <f aca="false">IF(SUM(Sens!F2807:J2807)&gt;0.05,"需要舉債 "&amp;TEXT(SUM(Sens!F2807:J2807),"0.0")&amp;" 十億美元","不需舉債")&amp;"；"&amp;IF(SUM(Sens!F2806:J2806)&lt;COUNT(Sens!F2806:J2806)*bb_target-0.05,"回購較每年 "&amp;TEXT(bb_target,"0.0")&amp;" 的目標少 "&amp;TEXT(COUNT(Sens!F2806:J2806)*bb_target-SUM(Sens!F2806:J2806),"0.0")&amp;" 十億美元（"&amp;TEXT(COUNTIF(Sens!F2806:J2806,"&lt;"&amp;(bb_target-0.05)),"0")&amp;" 年減少）","回購不減")</f>
        <v>不需舉債；回購較每年 22.3 的目標少 21.9 十億美元（1 年減少）</v>
      </c>
    </row>
    <row r="2817" customFormat="false" ht="17.15" hidden="false" customHeight="false" outlineLevel="0" collapsed="false">
      <c r="A2817" s="3" t="s">
        <v>1549</v>
      </c>
    </row>
    <row r="2818" customFormat="false" ht="15" hidden="false" customHeight="false" outlineLevel="0" collapsed="false">
      <c r="A2818" s="4" t="s">
        <v>43</v>
      </c>
      <c r="B2818" s="4" t="s">
        <v>65</v>
      </c>
      <c r="C2818" s="23" t="s">
        <v>938</v>
      </c>
      <c r="D2818" s="23" t="s">
        <v>939</v>
      </c>
      <c r="E2818" s="23" t="s">
        <v>940</v>
      </c>
      <c r="F2818" s="23" t="s">
        <v>941</v>
      </c>
      <c r="G2818" s="23" t="s">
        <v>942</v>
      </c>
      <c r="H2818" s="23" t="s">
        <v>943</v>
      </c>
      <c r="I2818" s="23" t="s">
        <v>944</v>
      </c>
      <c r="J2818" s="23" t="s">
        <v>945</v>
      </c>
      <c r="K2818" s="23" t="s">
        <v>946</v>
      </c>
      <c r="L2818" s="4" t="s">
        <v>47</v>
      </c>
    </row>
    <row r="2819" customFormat="false" ht="17.15" hidden="false" customHeight="false" outlineLevel="0" collapsed="false">
      <c r="A2819" s="1" t="s">
        <v>1212</v>
      </c>
      <c r="B2819" s="1" t="s">
        <v>279</v>
      </c>
      <c r="F2819" s="8" t="n">
        <f aca="false">(1-v_off)*mid_yr</f>
        <v>0.373972602739726</v>
      </c>
      <c r="G2819" s="8" t="n">
        <f aca="false">Sens!G2669-base_fy-mid_yr-v_off</f>
        <v>1.24794520547945</v>
      </c>
      <c r="H2819" s="8" t="n">
        <f aca="false">Sens!H2669-base_fy-mid_yr-v_off</f>
        <v>2.24794520547945</v>
      </c>
      <c r="I2819" s="8" t="n">
        <f aca="false">Sens!I2669-base_fy-mid_yr-v_off</f>
        <v>3.24794520547945</v>
      </c>
      <c r="J2819" s="8" t="n">
        <f aca="false">Sens!J2669-base_fy-mid_yr-v_off</f>
        <v>4.24794520547945</v>
      </c>
      <c r="K2819" s="8" t="n">
        <f aca="false">Sens!K2669-base_fy-mid_yr-v_off</f>
        <v>5.24794520547945</v>
      </c>
      <c r="L2819" s="12" t="s">
        <v>1213</v>
      </c>
    </row>
    <row r="2820" customFormat="false" ht="15" hidden="false" customHeight="false" outlineLevel="0" collapsed="false">
      <c r="A2820" s="1" t="s">
        <v>1214</v>
      </c>
      <c r="B2820" s="1" t="s">
        <v>279</v>
      </c>
      <c r="F2820" s="8" t="n">
        <f aca="false">Sens!F2669-base_fy-v_off</f>
        <v>0.747945205479452</v>
      </c>
      <c r="G2820" s="8" t="n">
        <f aca="false">Sens!G2669-base_fy-v_off</f>
        <v>1.74794520547945</v>
      </c>
      <c r="H2820" s="8" t="n">
        <f aca="false">Sens!H2669-base_fy-v_off</f>
        <v>2.74794520547945</v>
      </c>
      <c r="I2820" s="8" t="n">
        <f aca="false">Sens!I2669-base_fy-v_off</f>
        <v>3.74794520547945</v>
      </c>
      <c r="J2820" s="8" t="n">
        <f aca="false">Sens!J2669-base_fy-v_off</f>
        <v>4.74794520547945</v>
      </c>
      <c r="K2820" s="8" t="n">
        <f aca="false">Sens!K2669-base_fy-v_off</f>
        <v>5.74794520547945</v>
      </c>
    </row>
    <row r="2821" customFormat="false" ht="15" hidden="false" customHeight="false" outlineLevel="0" collapsed="false">
      <c r="A2821" s="1" t="s">
        <v>1215</v>
      </c>
      <c r="B2821" s="0" t="s">
        <v>229</v>
      </c>
      <c r="F2821" s="15" t="n">
        <f aca="false">1/(1+wacc)^Sens!F2819</f>
        <v>0.964022703286649</v>
      </c>
      <c r="G2821" s="15" t="n">
        <f aca="false">1/(1+wacc)^Sens!G2819</f>
        <v>0.884910302296739</v>
      </c>
      <c r="H2821" s="15" t="n">
        <f aca="false">1/(1+wacc)^Sens!H2819</f>
        <v>0.802322009770358</v>
      </c>
      <c r="I2821" s="15" t="n">
        <f aca="false">1/(1+wacc)^Sens!I2819</f>
        <v>0.727441646561469</v>
      </c>
      <c r="J2821" s="15" t="n">
        <f aca="false">1/(1+wacc)^Sens!J2819</f>
        <v>0.659549834988973</v>
      </c>
      <c r="K2821" s="15" t="n">
        <f aca="false">1/(1+wacc)^Sens!K2819</f>
        <v>0.597994336576966</v>
      </c>
    </row>
    <row r="2822" customFormat="false" ht="17.15" hidden="false" customHeight="false" outlineLevel="0" collapsed="false">
      <c r="A2822" s="1" t="s">
        <v>1216</v>
      </c>
      <c r="B2822" s="0" t="s">
        <v>98</v>
      </c>
      <c r="F2822" s="6" t="n">
        <f aca="false">Q!$I$35-Q!$I$39-Q!$I$43</f>
        <v>9.666</v>
      </c>
      <c r="L2822" s="12" t="s">
        <v>1217</v>
      </c>
    </row>
    <row r="2823" customFormat="false" ht="17.15" hidden="false" customHeight="false" outlineLevel="0" collapsed="false">
      <c r="A2823" s="1" t="s">
        <v>1218</v>
      </c>
      <c r="B2823" s="0" t="s">
        <v>98</v>
      </c>
      <c r="F2823" s="6" t="n">
        <f aca="false">Sens!F2794-Sens!F2791-Sens!F2798+Sens!F2776*(1-tax_f)*(1-v_off)-Sens!F2822</f>
        <v>-7.19952355646336</v>
      </c>
      <c r="G2823" s="6" t="n">
        <f aca="false">Sens!G2794-Sens!G2791-Sens!G2798+Sens!G2776*(1-tax_f)</f>
        <v>55.5495408214441</v>
      </c>
      <c r="H2823" s="6" t="n">
        <f aca="false">Sens!H2794-Sens!H2791-Sens!H2798+Sens!H2776*(1-tax_f)</f>
        <v>97.7926535448517</v>
      </c>
      <c r="I2823" s="6" t="n">
        <f aca="false">Sens!I2794-Sens!I2791-Sens!I2798+Sens!I2776*(1-tax_f)</f>
        <v>162.771280238699</v>
      </c>
      <c r="J2823" s="6" t="n">
        <f aca="false">Sens!J2794-Sens!J2791-Sens!J2798+Sens!J2776*(1-tax_f)</f>
        <v>227.751280000469</v>
      </c>
      <c r="K2823" s="6" t="n">
        <f aca="false">Sens!K2794-Sens!K2791-Sens!K2798+Sens!K2776*(1-tax_f)</f>
        <v>260.417748031166</v>
      </c>
      <c r="L2823" s="1" t="s">
        <v>1219</v>
      </c>
    </row>
    <row r="2824" customFormat="false" ht="15" hidden="false" customHeight="false" outlineLevel="0" collapsed="false">
      <c r="A2824" s="1" t="s">
        <v>1220</v>
      </c>
      <c r="B2824" s="0" t="s">
        <v>98</v>
      </c>
      <c r="F2824" s="6" t="n">
        <f aca="false">Sens!F2823*Sens!F2821</f>
        <v>-6.94050416127772</v>
      </c>
      <c r="G2824" s="6" t="n">
        <f aca="false">Sens!G2823*Sens!G2821</f>
        <v>49.1563609607491</v>
      </c>
      <c r="H2824" s="6" t="n">
        <f aca="false">Sens!H2823*Sens!H2821</f>
        <v>78.4611983328817</v>
      </c>
      <c r="I2824" s="6" t="n">
        <f aca="false">Sens!I2823*Sens!I2821</f>
        <v>118.406608109758</v>
      </c>
      <c r="J2824" s="6" t="n">
        <f aca="false">Sens!J2823*Sens!J2821</f>
        <v>150.213319142837</v>
      </c>
      <c r="K2824" s="6" t="n">
        <f aca="false">Sens!K2823*Sens!K2821</f>
        <v>155.728338466765</v>
      </c>
    </row>
    <row r="2825" customFormat="false" ht="17.15" hidden="false" customHeight="false" outlineLevel="0" collapsed="false">
      <c r="A2825" s="1" t="s">
        <v>1221</v>
      </c>
      <c r="B2825" s="0" t="s">
        <v>98</v>
      </c>
      <c r="C2825" s="6" t="n">
        <f aca="false">SUM(Sens!F2824:K2824)</f>
        <v>545.025320851712</v>
      </c>
    </row>
    <row r="2826" customFormat="false" ht="17.15" hidden="false" customHeight="false" outlineLevel="0" collapsed="false">
      <c r="A2826" s="1" t="s">
        <v>1222</v>
      </c>
      <c r="B2826" s="0" t="s">
        <v>98</v>
      </c>
      <c r="C2826" s="6" t="n">
        <f aca="false">Sens!K2762*(1+g_tv)*(1-tax_f)</f>
        <v>272.413704021056</v>
      </c>
    </row>
    <row r="2827" customFormat="false" ht="17.15" hidden="false" customHeight="false" outlineLevel="0" collapsed="false">
      <c r="A2827" s="1" t="s">
        <v>1223</v>
      </c>
      <c r="B2827" s="0" t="s">
        <v>98</v>
      </c>
      <c r="C2827" s="6" t="n">
        <f aca="false">Sens!$C$2826*(1-g_tv/(wacc+ronic_prem))</f>
        <v>193.021030866076</v>
      </c>
    </row>
    <row r="2828" customFormat="false" ht="17.15" hidden="false" customHeight="false" outlineLevel="0" collapsed="false">
      <c r="A2828" s="1" t="s">
        <v>1224</v>
      </c>
      <c r="B2828" s="0" t="s">
        <v>98</v>
      </c>
      <c r="C2828" s="6" t="n">
        <f aca="false">Sens!$C$2827/(wacc-g_tv)</f>
        <v>2646.42243849933</v>
      </c>
    </row>
    <row r="2829" customFormat="false" ht="15" hidden="false" customHeight="false" outlineLevel="0" collapsed="false">
      <c r="A2829" s="1" t="s">
        <v>1225</v>
      </c>
      <c r="B2829" s="0" t="s">
        <v>98</v>
      </c>
      <c r="C2829" s="6" t="n">
        <f aca="false">Sens!$C$2828/(1+wacc)^Sens!K2820</f>
        <v>1506.88797974495</v>
      </c>
    </row>
    <row r="2830" customFormat="false" ht="17.15" hidden="false" customHeight="false" outlineLevel="0" collapsed="false">
      <c r="A2830" s="0" t="s">
        <v>1226</v>
      </c>
      <c r="B2830" s="0" t="s">
        <v>98</v>
      </c>
      <c r="C2830" s="6" t="n">
        <f aca="false">Sens!$C$2825+Sens!$C$2829</f>
        <v>2051.91330059666</v>
      </c>
    </row>
    <row r="2831" customFormat="false" ht="15" hidden="false" customHeight="false" outlineLevel="0" collapsed="false">
      <c r="A2831" s="1" t="s">
        <v>1141</v>
      </c>
      <c r="B2831" s="0" t="s">
        <v>168</v>
      </c>
      <c r="C2831" s="7" t="n">
        <f aca="false">Sens!$C$2829/Sens!$C$2830</f>
        <v>0.73438189581732</v>
      </c>
    </row>
    <row r="2832" customFormat="false" ht="17.15" hidden="false" customHeight="false" outlineLevel="0" collapsed="false">
      <c r="A2832" s="1" t="s">
        <v>1227</v>
      </c>
      <c r="B2832" s="0" t="s">
        <v>98</v>
      </c>
      <c r="C2832" s="6" t="n">
        <f aca="false">Sens!$C$2830+cash_val-debt_val-fl_val+oai_v</f>
        <v>2167.76430059666</v>
      </c>
    </row>
    <row r="2833" customFormat="false" ht="17.15" hidden="false" customHeight="false" outlineLevel="0" collapsed="false">
      <c r="A2833" s="0" t="s">
        <v>1149</v>
      </c>
      <c r="B2833" s="0" t="s">
        <v>75</v>
      </c>
      <c r="C2833" s="5" t="n">
        <f aca="false">Sens!$C$2832/shd_val</f>
        <v>291.131386059181</v>
      </c>
    </row>
    <row r="2834" customFormat="false" ht="15" hidden="false" customHeight="false" outlineLevel="0" collapsed="false">
      <c r="A2834" s="1" t="s">
        <v>1228</v>
      </c>
      <c r="B2834" s="0" t="s">
        <v>75</v>
      </c>
      <c r="C2834" s="8" t="n">
        <f aca="false">div_rem27+Sens!G2802*roll_div_q/q_per_yr</f>
        <v>3.9795</v>
      </c>
    </row>
    <row r="2835" customFormat="false" ht="17.15" hidden="false" customHeight="false" outlineLevel="0" collapsed="false">
      <c r="A2835" s="0" t="s">
        <v>1229</v>
      </c>
      <c r="B2835" s="0" t="s">
        <v>75</v>
      </c>
      <c r="C2835" s="5" t="n">
        <f aca="false">Sens!$C$2833*(1+wacc)^t_roll-Sens!$C$2834</f>
        <v>319.629283863985</v>
      </c>
    </row>
    <row r="2836" customFormat="false" ht="17.15" hidden="false" customHeight="false" outlineLevel="0" collapsed="false">
      <c r="A2836" s="1" t="s">
        <v>1230</v>
      </c>
      <c r="B2836" s="0" t="s">
        <v>168</v>
      </c>
      <c r="F2836" s="7" t="n">
        <f aca="false">Sens!F2788/(Sens!F2733-Sens!F2688)</f>
        <v>0.0869645603337002</v>
      </c>
      <c r="G2836" s="7" t="n">
        <f aca="false">Sens!G2788/(Sens!G2733-Sens!G2688)</f>
        <v>0.0805628309094725</v>
      </c>
      <c r="H2836" s="7" t="n">
        <f aca="false">Sens!H2788/(Sens!H2733-Sens!H2688)</f>
        <v>0.0763331988255926</v>
      </c>
      <c r="I2836" s="7" t="n">
        <f aca="false">Sens!I2788/(Sens!I2733-Sens!I2688)</f>
        <v>0.0739894005399053</v>
      </c>
      <c r="J2836" s="7" t="n">
        <f aca="false">Sens!J2788/(Sens!J2733-Sens!J2688)</f>
        <v>0.0730773290576933</v>
      </c>
      <c r="K2836" s="7" t="n">
        <f aca="false">Sens!K2788/(Sens!K2733-Sens!K2688)</f>
        <v>0.0731079442967314</v>
      </c>
    </row>
    <row r="2837" customFormat="false" ht="17.15" hidden="false" customHeight="false" outlineLevel="0" collapsed="false">
      <c r="A2837" s="0" t="s">
        <v>1231</v>
      </c>
      <c r="B2837" s="0" t="s">
        <v>98</v>
      </c>
      <c r="F2837" s="6" t="n">
        <f aca="false">Sens!F2718*(al_m365+Sens!F2836+sbc_r)</f>
        <v>85.895984695135</v>
      </c>
      <c r="G2837" s="6" t="n">
        <f aca="false">Sens!G2718*(al_m365+Sens!G2836+sbc_r)</f>
        <v>98.1436601299403</v>
      </c>
      <c r="H2837" s="6" t="n">
        <f aca="false">Sens!H2718*(al_m365+Sens!H2836+sbc_r)</f>
        <v>110.553593576579</v>
      </c>
      <c r="I2837" s="6" t="n">
        <f aca="false">Sens!I2718*(al_m365+Sens!I2836+sbc_r)</f>
        <v>121.9437487771</v>
      </c>
      <c r="J2837" s="6" t="n">
        <f aca="false">Sens!J2718*(al_m365+Sens!J2836+sbc_r)</f>
        <v>132.135400718389</v>
      </c>
      <c r="K2837" s="6" t="n">
        <f aca="false">Sens!K2718*(al_m365+Sens!K2836+sbc_r)</f>
        <v>141.955811317539</v>
      </c>
      <c r="L2837" s="12" t="s">
        <v>1232</v>
      </c>
    </row>
    <row r="2838" customFormat="false" ht="17.15" hidden="false" customHeight="false" outlineLevel="0" collapsed="false">
      <c r="A2838" s="0" t="s">
        <v>1233</v>
      </c>
      <c r="B2838" s="0" t="s">
        <v>98</v>
      </c>
      <c r="F2838" s="6" t="n">
        <f aca="false">Sens!F2719*(al_lic+Sens!F2836+sbc_r)</f>
        <v>33.5619409292667</v>
      </c>
      <c r="G2838" s="6" t="n">
        <f aca="false">Sens!G2719*(al_lic+Sens!G2836+sbc_r)</f>
        <v>34.7269607721268</v>
      </c>
      <c r="H2838" s="6" t="n">
        <f aca="false">Sens!H2719*(al_lic+Sens!H2836+sbc_r)</f>
        <v>35.8280114442082</v>
      </c>
      <c r="I2838" s="6" t="n">
        <f aca="false">Sens!I2719*(al_lic+Sens!I2836+sbc_r)</f>
        <v>36.8445930048844</v>
      </c>
      <c r="J2838" s="6" t="n">
        <f aca="false">Sens!J2719*(al_lic+Sens!J2836+sbc_r)</f>
        <v>37.7472899822674</v>
      </c>
      <c r="K2838" s="6" t="n">
        <f aca="false">Sens!K2719*(al_lic+Sens!K2836+sbc_r)</f>
        <v>38.5036056948293</v>
      </c>
    </row>
    <row r="2839" customFormat="false" ht="17.15" hidden="false" customHeight="false" outlineLevel="0" collapsed="false">
      <c r="A2839" s="0" t="s">
        <v>1234</v>
      </c>
      <c r="B2839" s="0" t="s">
        <v>98</v>
      </c>
      <c r="F2839" s="6" t="n">
        <f aca="false">Sens!F2721*(al_ind+Sens!F2836+sbc_r)</f>
        <v>9.46980718143308</v>
      </c>
      <c r="G2839" s="6" t="n">
        <f aca="false">Sens!G2721*(al_ind+Sens!G2836+sbc_r)</f>
        <v>10.1955067705885</v>
      </c>
      <c r="H2839" s="6" t="n">
        <f aca="false">Sens!H2721*(al_ind+Sens!H2836+sbc_r)</f>
        <v>10.9738212538474</v>
      </c>
      <c r="I2839" s="6" t="n">
        <f aca="false">Sens!I2721*(al_ind+Sens!I2836+sbc_r)</f>
        <v>11.8016276962393</v>
      </c>
      <c r="J2839" s="6" t="n">
        <f aca="false">Sens!J2721*(al_ind+Sens!J2836+sbc_r)</f>
        <v>12.6678178212603</v>
      </c>
      <c r="K2839" s="6" t="n">
        <f aca="false">Sens!K2721*(al_ind+Sens!K2836+sbc_r)</f>
        <v>13.5555760718557</v>
      </c>
    </row>
    <row r="2840" customFormat="false" ht="17.15" hidden="false" customHeight="false" outlineLevel="0" collapsed="false">
      <c r="A2840" s="0" t="s">
        <v>1235</v>
      </c>
      <c r="B2840" s="0" t="s">
        <v>98</v>
      </c>
      <c r="F2840" s="6" t="n">
        <f aca="false">Sens!F2723*(al_fro+Sens!F2836+sbc_r)</f>
        <v>3.71461645295109</v>
      </c>
      <c r="G2840" s="6" t="n">
        <f aca="false">Sens!G2723*(al_fro+Sens!G2836+sbc_r)</f>
        <v>3.9010997000541</v>
      </c>
      <c r="H2840" s="6" t="n">
        <f aca="false">Sens!H2723*(al_fro+Sens!H2836+sbc_r)</f>
        <v>4.12118492661139</v>
      </c>
      <c r="I2840" s="6" t="n">
        <f aca="false">Sens!I2723*(al_fro+Sens!I2836+sbc_r)</f>
        <v>4.37708182013823</v>
      </c>
      <c r="J2840" s="6" t="n">
        <f aca="false">Sens!J2723*(al_fro+Sens!J2836+sbc_r)</f>
        <v>4.66904139149676</v>
      </c>
      <c r="K2840" s="6" t="n">
        <f aca="false">Sens!K2723*(al_fro+Sens!K2836+sbc_r)</f>
        <v>4.99624691940673</v>
      </c>
    </row>
    <row r="2841" customFormat="false" ht="17.15" hidden="false" customHeight="false" outlineLevel="0" collapsed="false">
      <c r="A2841" s="0" t="s">
        <v>1236</v>
      </c>
      <c r="B2841" s="0" t="s">
        <v>98</v>
      </c>
      <c r="F2841" s="6" t="n">
        <f aca="false">Sens!F2726*(al_srch+Sens!F2836+sbc_r)</f>
        <v>11.694663451295</v>
      </c>
      <c r="G2841" s="6" t="n">
        <f aca="false">Sens!G2726*(al_srch+Sens!G2836+sbc_r)</f>
        <v>12.7096600795673</v>
      </c>
      <c r="H2841" s="6" t="n">
        <f aca="false">Sens!H2726*(al_srch+Sens!H2836+sbc_r)</f>
        <v>13.7772235164513</v>
      </c>
      <c r="I2841" s="6" t="n">
        <f aca="false">Sens!I2726*(al_srch+Sens!I2836+sbc_r)</f>
        <v>14.8871506151941</v>
      </c>
      <c r="J2841" s="6" t="n">
        <f aca="false">Sens!J2726*(al_srch+Sens!J2836+sbc_r)</f>
        <v>16.0181068124911</v>
      </c>
      <c r="K2841" s="6" t="n">
        <f aca="false">Sens!K2726*(al_srch+Sens!K2836+sbc_r)</f>
        <v>17.1406526749554</v>
      </c>
    </row>
    <row r="2842" customFormat="false" ht="17.15" hidden="false" customHeight="false" outlineLevel="0" collapsed="false">
      <c r="A2842" s="0" t="s">
        <v>1237</v>
      </c>
      <c r="B2842" s="0" t="s">
        <v>98</v>
      </c>
      <c r="F2842" s="6" t="n">
        <f aca="false">Sens!F2694-Sens!F2695+Sens!F2776</f>
        <v>39.2441385364723</v>
      </c>
      <c r="G2842" s="6" t="n">
        <f aca="false">Sens!G2694-Sens!G2695+Sens!G2776</f>
        <v>71.1440597038076</v>
      </c>
      <c r="H2842" s="6" t="n">
        <f aca="false">Sens!H2694-Sens!H2695+Sens!H2776</f>
        <v>105.260824988681</v>
      </c>
      <c r="I2842" s="6" t="n">
        <f aca="false">Sens!I2694-Sens!I2695+Sens!I2776</f>
        <v>135.784739559234</v>
      </c>
      <c r="J2842" s="6" t="n">
        <f aca="false">Sens!J2694-Sens!J2695+Sens!J2776</f>
        <v>157.24245987123</v>
      </c>
      <c r="K2842" s="6" t="n">
        <f aca="false">Sens!K2694-Sens!K2695+Sens!K2776</f>
        <v>170.277554806056</v>
      </c>
    </row>
    <row r="2843" customFormat="false" ht="17.15" hidden="false" customHeight="false" outlineLevel="0" collapsed="false">
      <c r="A2843" s="0" t="s">
        <v>1238</v>
      </c>
      <c r="B2843" s="0" t="s">
        <v>98</v>
      </c>
      <c r="F2843" s="6" t="n">
        <f aca="false">Sens!F2755+Sens!F2776+Sens!F2706+Sens!F2836*(Sens!F2725-Sens!F2688)+sbc_r*Sens!F2725</f>
        <v>230.585539324186</v>
      </c>
      <c r="G2843" s="6" t="n">
        <f aca="false">Sens!G2755+Sens!G2776+Sens!G2706+Sens!G2836*(Sens!G2725-Sens!G2688)+sbc_r*Sens!G2725</f>
        <v>284.740705853095</v>
      </c>
      <c r="H2843" s="6" t="n">
        <f aca="false">Sens!H2755+Sens!H2776+Sens!H2706+Sens!H2836*(Sens!H2725-Sens!H2688)+sbc_r*Sens!H2725</f>
        <v>345.700789636418</v>
      </c>
      <c r="I2843" s="6" t="n">
        <f aca="false">Sens!I2755+Sens!I2776+Sens!I2706+Sens!I2836*(Sens!I2725-Sens!I2688)+sbc_r*Sens!I2725</f>
        <v>401.722027437348</v>
      </c>
      <c r="J2843" s="6" t="n">
        <f aca="false">Sens!J2755+Sens!J2776+Sens!J2706+Sens!J2836*(Sens!J2725-Sens!J2688)+sbc_r*Sens!J2725</f>
        <v>446.29071937326</v>
      </c>
      <c r="K2843" s="6" t="n">
        <f aca="false">Sens!K2755+Sens!K2776+Sens!K2706+Sens!K2836*(Sens!K2725-Sens!K2688)+sbc_r*Sens!K2725</f>
        <v>480.119081253993</v>
      </c>
    </row>
    <row r="2844" customFormat="false" ht="17.15" hidden="false" customHeight="false" outlineLevel="0" collapsed="false">
      <c r="A2844" s="0" t="s">
        <v>1239</v>
      </c>
      <c r="B2844" s="0" t="s">
        <v>98</v>
      </c>
      <c r="F2844" s="6" t="n">
        <f aca="false">Sens!F2843-Sens!F2837-Sens!F2838-Sens!F2839-Sens!F2840-Sens!F2842</f>
        <v>58.6990515289279</v>
      </c>
      <c r="G2844" s="6" t="n">
        <f aca="false">Sens!G2843-Sens!G2837-Sens!G2838-Sens!G2839-Sens!G2840-Sens!G2842</f>
        <v>66.6294187765776</v>
      </c>
      <c r="H2844" s="6" t="n">
        <f aca="false">Sens!H2843-Sens!H2837-Sens!H2838-Sens!H2839-Sens!H2840-Sens!H2842</f>
        <v>78.9633534464907</v>
      </c>
      <c r="I2844" s="6" t="n">
        <f aca="false">Sens!I2843-Sens!I2837-Sens!I2838-Sens!I2839-Sens!I2840-Sens!I2842</f>
        <v>90.9702365797515</v>
      </c>
      <c r="J2844" s="6" t="n">
        <f aca="false">Sens!J2843-Sens!J2837-Sens!J2838-Sens!J2839-Sens!J2840-Sens!J2842</f>
        <v>101.828709588617</v>
      </c>
      <c r="K2844" s="6" t="n">
        <f aca="false">Sens!K2843-Sens!K2837-Sens!K2838-Sens!K2839-Sens!K2840-Sens!K2842</f>
        <v>110.830286444307</v>
      </c>
    </row>
    <row r="2845" customFormat="false" ht="17.15" hidden="false" customHeight="false" outlineLevel="0" collapsed="false">
      <c r="A2845" s="0" t="s">
        <v>1240</v>
      </c>
      <c r="B2845" s="0" t="s">
        <v>98</v>
      </c>
      <c r="F2845" s="6" t="n">
        <f aca="false">Sens!F2757+Sens!F2836*Sens!F2732+sbc_r*Sens!F2732</f>
        <v>27.8132658015378</v>
      </c>
      <c r="G2845" s="6" t="n">
        <f aca="false">Sens!G2757+Sens!G2836*Sens!G2732+sbc_r*Sens!G2732</f>
        <v>27.4482917360401</v>
      </c>
      <c r="H2845" s="6" t="n">
        <f aca="false">Sens!H2757+Sens!H2836*Sens!H2732+sbc_r*Sens!H2732</f>
        <v>28.1674877312691</v>
      </c>
      <c r="I2845" s="6" t="n">
        <f aca="false">Sens!I2757+Sens!I2836*Sens!I2732+sbc_r*Sens!I2732</f>
        <v>29.1601585408213</v>
      </c>
      <c r="J2845" s="6" t="n">
        <f aca="false">Sens!J2757+Sens!J2836*Sens!J2732+sbc_r*Sens!J2732</f>
        <v>30.3809493711075</v>
      </c>
      <c r="K2845" s="6" t="n">
        <f aca="false">Sens!K2757+Sens!K2836*Sens!K2732+sbc_r*Sens!K2732</f>
        <v>31.7844671307732</v>
      </c>
    </row>
    <row r="2846" customFormat="false" ht="17.15" hidden="false" customHeight="false" outlineLevel="0" collapsed="false">
      <c r="A2846" s="0" t="s">
        <v>1241</v>
      </c>
      <c r="B2846" s="0" t="s">
        <v>98</v>
      </c>
      <c r="F2846" s="6" t="n">
        <f aca="false">(Sens!F2845-Sens!F2841)*Sens!F2728/(Sens!F2728+Sens!F2730)</f>
        <v>9.10355318596983</v>
      </c>
      <c r="G2846" s="6" t="n">
        <f aca="false">(Sens!G2845-Sens!G2841)*Sens!G2728/(Sens!G2728+Sens!G2730)</f>
        <v>8.18110421575913</v>
      </c>
      <c r="H2846" s="6" t="n">
        <f aca="false">(Sens!H2845-Sens!H2841)*Sens!H2728/(Sens!H2728+Sens!H2730)</f>
        <v>7.88367627347215</v>
      </c>
      <c r="I2846" s="6" t="n">
        <f aca="false">(Sens!I2845-Sens!I2841)*Sens!I2728/(Sens!I2728+Sens!I2730)</f>
        <v>7.75118605803235</v>
      </c>
      <c r="J2846" s="6" t="n">
        <f aca="false">(Sens!J2845-Sens!J2841)*Sens!J2728/(Sens!J2728+Sens!J2730)</f>
        <v>7.76594128786184</v>
      </c>
      <c r="K2846" s="6" t="n">
        <f aca="false">(Sens!K2845-Sens!K2841)*Sens!K2728/(Sens!K2728+Sens!K2730)</f>
        <v>7.91786185987258</v>
      </c>
    </row>
    <row r="2847" customFormat="false" ht="17.15" hidden="false" customHeight="false" outlineLevel="0" collapsed="false">
      <c r="A2847" s="0" t="s">
        <v>1242</v>
      </c>
      <c r="B2847" s="0" t="s">
        <v>98</v>
      </c>
      <c r="F2847" s="6" t="n">
        <f aca="false">Sens!F2845-Sens!F2841-Sens!F2846</f>
        <v>7.01504916427293</v>
      </c>
      <c r="G2847" s="6" t="n">
        <f aca="false">Sens!G2845-Sens!G2841-Sens!G2846</f>
        <v>6.55752744071365</v>
      </c>
      <c r="H2847" s="6" t="n">
        <f aca="false">Sens!H2845-Sens!H2841-Sens!H2846</f>
        <v>6.50658794134561</v>
      </c>
      <c r="I2847" s="6" t="n">
        <f aca="false">Sens!I2845-Sens!I2841-Sens!I2846</f>
        <v>6.52182186759489</v>
      </c>
      <c r="J2847" s="6" t="n">
        <f aca="false">Sens!J2845-Sens!J2841-Sens!J2846</f>
        <v>6.59690127075459</v>
      </c>
      <c r="K2847" s="6" t="n">
        <f aca="false">Sens!K2845-Sens!K2841-Sens!K2846</f>
        <v>6.72595259594525</v>
      </c>
    </row>
    <row r="2848" customFormat="false" ht="17.15" hidden="false" customHeight="false" outlineLevel="0" collapsed="false">
      <c r="A2848" s="0" t="s">
        <v>1243</v>
      </c>
      <c r="B2848" s="0" t="s">
        <v>98</v>
      </c>
      <c r="F2848" s="6" t="n">
        <f aca="false">Sens!F2842-tax_f*(Sens!F2842-Sens!F2706)-Sens!F2703</f>
        <v>-97.8351220879816</v>
      </c>
      <c r="G2848" s="6" t="n">
        <f aca="false">Sens!G2842-tax_f*(Sens!G2842-Sens!G2706)-Sens!G2703</f>
        <v>-86.9228142518246</v>
      </c>
      <c r="H2848" s="6" t="n">
        <f aca="false">Sens!H2842-tax_f*(Sens!H2842-Sens!H2706)-Sens!H2703</f>
        <v>-58.9801287548337</v>
      </c>
      <c r="I2848" s="6" t="n">
        <f aca="false">Sens!I2842-tax_f*(Sens!I2842-Sens!I2706)-Sens!I2703</f>
        <v>-7.9871136987732</v>
      </c>
      <c r="J2848" s="6" t="n">
        <f aca="false">Sens!J2842-tax_f*(Sens!J2842-Sens!J2706)-Sens!J2703</f>
        <v>43.7725306281672</v>
      </c>
      <c r="K2848" s="6" t="n">
        <f aca="false">Sens!K2842-tax_f*(Sens!K2842-Sens!K2706)-Sens!K2703</f>
        <v>63.9337885212078</v>
      </c>
    </row>
    <row r="2849" customFormat="false" ht="17.15" hidden="false" customHeight="false" outlineLevel="0" collapsed="false">
      <c r="A2849" s="0" t="s">
        <v>1244</v>
      </c>
      <c r="B2849" s="0" t="s">
        <v>98</v>
      </c>
      <c r="G2849" s="6" t="n">
        <f aca="false">Sens!G2848/(1+wacc)^(Sens!G2819-Sens!F2820)</f>
        <v>-82.7672462926147</v>
      </c>
      <c r="H2849" s="6" t="n">
        <f aca="false">Sens!H2848/(1+wacc)^(Sens!H2819-Sens!F2820)</f>
        <v>-50.9190038367068</v>
      </c>
      <c r="I2849" s="6" t="n">
        <f aca="false">Sens!I2848/(1+wacc)^(Sens!I2819-Sens!F2820)</f>
        <v>-6.25192132364992</v>
      </c>
      <c r="J2849" s="6" t="n">
        <f aca="false">Sens!J2848/(1+wacc)^(Sens!J2819-Sens!F2820)</f>
        <v>31.0652424534488</v>
      </c>
      <c r="K2849" s="6" t="n">
        <f aca="false">Sens!K2848/(1+wacc)^(Sens!K2819-Sens!F2820)</f>
        <v>41.1389295765476</v>
      </c>
      <c r="L2849" s="1" t="s">
        <v>1245</v>
      </c>
    </row>
    <row r="2850" customFormat="false" ht="17.15" hidden="false" customHeight="false" outlineLevel="0" collapsed="false">
      <c r="A2850" s="0" t="s">
        <v>1246</v>
      </c>
      <c r="B2850" s="0" t="s">
        <v>98</v>
      </c>
      <c r="C2850" s="6" t="n">
        <f aca="false">(Sens!K2842-Sens!K2706)*(1-tax_f)*(1+g_tv)*(1-g_tv/(wacc+ronic_prem))/(wacc-g_tv)/(1+wacc)^(Sens!K2820-Sens!F2820)</f>
        <v>274.008045180855</v>
      </c>
    </row>
    <row r="2851" customFormat="false" ht="17.15" hidden="false" customHeight="false" outlineLevel="0" collapsed="false">
      <c r="A2851" s="1" t="s">
        <v>1247</v>
      </c>
      <c r="B2851" s="0" t="s">
        <v>98</v>
      </c>
      <c r="C2851" s="6" t="n">
        <f aca="false">(SUM(Sens!G2849:K2849)+Sens!$C$2850)*(1+wacc)^(t_roll-Sens!F2820)</f>
        <v>213.083775827364</v>
      </c>
      <c r="L2851" s="12" t="s">
        <v>1248</v>
      </c>
    </row>
    <row r="2852" customFormat="false" ht="17.15" hidden="false" customHeight="false" outlineLevel="0" collapsed="false">
      <c r="A2852" s="1" t="s">
        <v>1249</v>
      </c>
      <c r="B2852" s="0" t="s">
        <v>98</v>
      </c>
      <c r="C2852" s="6" t="n">
        <f aca="false">(w_ntm28*Sens!G2694+(1-w_ntm28)*Sens!H2694)*m_ai</f>
        <v>463.789109510335</v>
      </c>
    </row>
    <row r="2853" customFormat="false" ht="17.15" hidden="false" customHeight="false" outlineLevel="0" collapsed="false">
      <c r="A2853" s="1" t="s">
        <v>1250</v>
      </c>
      <c r="B2853" s="0" t="s">
        <v>98</v>
      </c>
      <c r="C2853" s="6" t="n">
        <f aca="false">(w_ntm28*Sens!G2844+(1-w_ntm28)*Sens!H2844)*m_cloud</f>
        <v>976.858559976093</v>
      </c>
    </row>
    <row r="2854" customFormat="false" ht="17.15" hidden="false" customHeight="false" outlineLevel="0" collapsed="false">
      <c r="A2854" s="1" t="s">
        <v>1251</v>
      </c>
      <c r="B2854" s="0" t="s">
        <v>98</v>
      </c>
      <c r="C2854" s="6" t="n">
        <f aca="false">(w_ntm28*Sens!G2837+(1-w_ntm28)*Sens!H2837)*m_sw</f>
        <v>1104.01529309334</v>
      </c>
    </row>
    <row r="2855" customFormat="false" ht="17.15" hidden="false" customHeight="false" outlineLevel="0" collapsed="false">
      <c r="A2855" s="1" t="s">
        <v>1252</v>
      </c>
      <c r="B2855" s="0" t="s">
        <v>98</v>
      </c>
      <c r="C2855" s="6" t="n">
        <f aca="false">(w_ntm28*Sens!G2838+(1-w_ntm28)*Sens!H2838)*m_sw</f>
        <v>378.960660369154</v>
      </c>
    </row>
    <row r="2856" customFormat="false" ht="17.15" hidden="false" customHeight="false" outlineLevel="0" collapsed="false">
      <c r="A2856" s="1" t="s">
        <v>1253</v>
      </c>
      <c r="B2856" s="0" t="s">
        <v>98</v>
      </c>
      <c r="C2856" s="6" t="n">
        <f aca="false">(w_ntm28*Sens!G2839+(1-w_ntm28)*Sens!H2839)*m_sw</f>
        <v>112.875022630037</v>
      </c>
    </row>
    <row r="2857" customFormat="false" ht="17.15" hidden="false" customHeight="false" outlineLevel="0" collapsed="false">
      <c r="A2857" s="1" t="s">
        <v>1254</v>
      </c>
      <c r="B2857" s="0" t="s">
        <v>98</v>
      </c>
      <c r="C2857" s="6" t="n">
        <f aca="false">(w_ntm28*Sens!G2840+(1-w_ntm28)*Sens!H2840)*m_sw</f>
        <v>42.9133300581685</v>
      </c>
    </row>
    <row r="2858" customFormat="false" ht="17.15" hidden="false" customHeight="false" outlineLevel="0" collapsed="false">
      <c r="A2858" s="1" t="s">
        <v>1255</v>
      </c>
      <c r="B2858" s="0" t="s">
        <v>98</v>
      </c>
      <c r="C2858" s="6" t="n">
        <f aca="false">(w_ntm28*Sens!G2841+(1-w_ntm28)*Sens!H2841)*m_ads</f>
        <v>118.982428939109</v>
      </c>
    </row>
    <row r="2859" customFormat="false" ht="17.15" hidden="false" customHeight="false" outlineLevel="0" collapsed="false">
      <c r="A2859" s="1" t="s">
        <v>1256</v>
      </c>
      <c r="B2859" s="0" t="s">
        <v>98</v>
      </c>
      <c r="C2859" s="6" t="n">
        <f aca="false">(w_ntm28*Sens!G2846+(1-w_ntm28)*Sens!H2846)*m_game</f>
        <v>102.092327644133</v>
      </c>
    </row>
    <row r="2860" customFormat="false" ht="17.15" hidden="false" customHeight="false" outlineLevel="0" collapsed="false">
      <c r="A2860" s="1" t="s">
        <v>1257</v>
      </c>
      <c r="B2860" s="0" t="s">
        <v>98</v>
      </c>
      <c r="C2860" s="6" t="n">
        <f aca="false">(w_ntm28*Sens!G2847+(1-w_ntm28)*Sens!H2847)*m_pc</f>
        <v>94.6450896104069</v>
      </c>
    </row>
    <row r="2861" customFormat="false" ht="17.15" hidden="false" customHeight="false" outlineLevel="0" collapsed="false">
      <c r="A2861" s="1" t="s">
        <v>1258</v>
      </c>
      <c r="B2861" s="0" t="s">
        <v>98</v>
      </c>
      <c r="C2861" s="6" t="n">
        <f aca="false">Sens!$C$2851+Sens!$C$2853+Sens!$C$2854+Sens!$C$2855+Sens!$C$2856+Sens!$C$2857+Sens!$C$2858+Sens!$C$2859+Sens!$C$2860</f>
        <v>3144.42648814781</v>
      </c>
    </row>
    <row r="2862" customFormat="false" ht="17.15" hidden="false" customHeight="false" outlineLevel="0" collapsed="false">
      <c r="A2862" s="1" t="s">
        <v>1259</v>
      </c>
      <c r="B2862" s="0" t="s">
        <v>98</v>
      </c>
      <c r="C2862" s="6" t="n">
        <f aca="false">(Sens!G2823-Sens!G2848)*t_stub</f>
        <v>47.230561544837</v>
      </c>
      <c r="L2862" s="1" t="s">
        <v>1260</v>
      </c>
    </row>
    <row r="2863" customFormat="false" ht="17.15" hidden="false" customHeight="false" outlineLevel="0" collapsed="false">
      <c r="A2863" s="1" t="s">
        <v>1169</v>
      </c>
      <c r="B2863" s="0" t="s">
        <v>98</v>
      </c>
      <c r="C2863" s="6" t="n">
        <f aca="false">Sens!F2810+oai_v-Sens!F2799+Sens!$C$2862</f>
        <v>161.458831544837</v>
      </c>
      <c r="L2863" s="1" t="s">
        <v>1261</v>
      </c>
    </row>
    <row r="2864" customFormat="false" ht="17.15" hidden="false" customHeight="false" outlineLevel="0" collapsed="false">
      <c r="A2864" s="1" t="s">
        <v>1262</v>
      </c>
      <c r="B2864" s="0" t="s">
        <v>75</v>
      </c>
      <c r="C2864" s="5" t="n">
        <f aca="false">(Sens!$C$2861+Sens!$C$2863)/(Sens!F2812+dil_gap)-Sens!G2802*roll_div_q/q_per_yr</f>
        <v>440.024748874841</v>
      </c>
      <c r="L2864" s="1" t="s">
        <v>1263</v>
      </c>
    </row>
    <row r="2865" customFormat="false" ht="17.15" hidden="false" customHeight="false" outlineLevel="0" collapsed="false">
      <c r="A2865" s="1" t="s">
        <v>1264</v>
      </c>
      <c r="B2865" s="0" t="s">
        <v>75</v>
      </c>
      <c r="C2865" s="5" t="n">
        <f aca="false">w_dcf*Sens!$C$2835+(1-w_dcf)*Sens!$C$2864</f>
        <v>379.827016369413</v>
      </c>
    </row>
    <row r="2866" customFormat="false" ht="17.15" hidden="false" customHeight="false" outlineLevel="0" collapsed="false">
      <c r="A2866" s="3" t="s">
        <v>1550</v>
      </c>
    </row>
    <row r="2867" customFormat="false" ht="15" hidden="false" customHeight="false" outlineLevel="0" collapsed="false">
      <c r="A2867" s="4" t="s">
        <v>43</v>
      </c>
      <c r="B2867" s="4" t="s">
        <v>65</v>
      </c>
      <c r="C2867" s="23" t="s">
        <v>938</v>
      </c>
      <c r="D2867" s="23" t="s">
        <v>939</v>
      </c>
      <c r="E2867" s="23" t="s">
        <v>940</v>
      </c>
      <c r="F2867" s="23" t="s">
        <v>941</v>
      </c>
      <c r="G2867" s="23" t="s">
        <v>942</v>
      </c>
      <c r="H2867" s="23" t="s">
        <v>943</v>
      </c>
      <c r="I2867" s="23" t="s">
        <v>944</v>
      </c>
      <c r="J2867" s="23" t="s">
        <v>945</v>
      </c>
      <c r="K2867" s="23" t="s">
        <v>946</v>
      </c>
      <c r="L2867" s="4" t="s">
        <v>47</v>
      </c>
    </row>
    <row r="2868" customFormat="false" ht="17.15" hidden="false" customHeight="false" outlineLevel="0" collapsed="false">
      <c r="A2868" s="1" t="s">
        <v>947</v>
      </c>
      <c r="B2868" s="1" t="s">
        <v>279</v>
      </c>
      <c r="C2868" s="21" t="n">
        <v>2024</v>
      </c>
      <c r="D2868" s="21" t="n">
        <v>2025</v>
      </c>
      <c r="E2868" s="21" t="n">
        <v>2026</v>
      </c>
      <c r="F2868" s="21" t="n">
        <v>2027</v>
      </c>
      <c r="G2868" s="21" t="n">
        <v>2028</v>
      </c>
      <c r="H2868" s="21" t="n">
        <v>2029</v>
      </c>
      <c r="I2868" s="21" t="n">
        <v>2030</v>
      </c>
      <c r="J2868" s="21" t="n">
        <v>2031</v>
      </c>
      <c r="K2868" s="21" t="n">
        <v>2032</v>
      </c>
    </row>
    <row r="2869" customFormat="false" ht="17.15" hidden="false" customHeight="false" outlineLevel="0" collapsed="false">
      <c r="A2869" s="1" t="s">
        <v>948</v>
      </c>
      <c r="B2869" s="0" t="s">
        <v>456</v>
      </c>
      <c r="F2869" s="30" t="n">
        <f aca="false">pace</f>
        <v>2726.5351</v>
      </c>
      <c r="G2869" s="30" t="n">
        <f aca="false">pace</f>
        <v>2726.5351</v>
      </c>
      <c r="H2869" s="30" t="n">
        <f aca="false">pace</f>
        <v>2726.5351</v>
      </c>
      <c r="I2869" s="30" t="n">
        <f aca="false">pace+(g_tv*Sens!H2870-pace)*MIN(1,(Sens!I2868-pace_y0)/(pace_y1-pace_y0))</f>
        <v>1931.98611966667</v>
      </c>
      <c r="J2869" s="30" t="n">
        <f aca="false">pace+(g_tv*Sens!I2870-pace)*MIN(1,(Sens!J2868-pace_y0)/(pace_y1-pace_y0))</f>
        <v>1176.07686172667</v>
      </c>
      <c r="K2869" s="30" t="n">
        <f aca="false">pace+(g_tv*Sens!J2870-pace)*MIN(1,(Sens!K2868-pace_y0)/(pace_y1-pace_y0))</f>
        <v>436.1300484418</v>
      </c>
      <c r="L2869" s="12" t="s">
        <v>949</v>
      </c>
    </row>
    <row r="2870" customFormat="false" ht="17.15" hidden="false" customHeight="false" outlineLevel="0" collapsed="false">
      <c r="A2870" s="1" t="s">
        <v>950</v>
      </c>
      <c r="B2870" s="0" t="s">
        <v>456</v>
      </c>
      <c r="C2870" s="30" t="n">
        <f aca="false">mw_ext_24</f>
        <v>640</v>
      </c>
      <c r="D2870" s="30" t="n">
        <f aca="false">mw_ext_25</f>
        <v>1630</v>
      </c>
      <c r="E2870" s="30" t="n">
        <f aca="false">mw_ext_26</f>
        <v>3250</v>
      </c>
      <c r="F2870" s="30" t="n">
        <f aca="false">Sens!E2870+Sens!F2869</f>
        <v>5976.5351</v>
      </c>
      <c r="G2870" s="30" t="n">
        <f aca="false">Sens!F2870+Sens!G2869</f>
        <v>8703.0702</v>
      </c>
      <c r="H2870" s="30" t="n">
        <f aca="false">Sens!G2870+Sens!H2869</f>
        <v>11429.6053</v>
      </c>
      <c r="I2870" s="30" t="n">
        <f aca="false">Sens!H2870+Sens!I2869</f>
        <v>13361.5914196667</v>
      </c>
      <c r="J2870" s="30" t="n">
        <f aca="false">Sens!I2870+Sens!J2869</f>
        <v>14537.6682813933</v>
      </c>
      <c r="K2870" s="30" t="n">
        <f aca="false">Sens!J2870+Sens!K2869</f>
        <v>14973.7983298351</v>
      </c>
      <c r="L2870" s="1" t="s">
        <v>951</v>
      </c>
    </row>
    <row r="2871" customFormat="false" ht="17.15" hidden="false" customHeight="false" outlineLevel="0" collapsed="false">
      <c r="A2871" s="1" t="s">
        <v>952</v>
      </c>
      <c r="B2871" s="0" t="s">
        <v>456</v>
      </c>
      <c r="C2871" s="30" t="n">
        <f aca="false">rent_ext_24</f>
        <v>150</v>
      </c>
      <c r="D2871" s="30" t="n">
        <f aca="false">rent_ext_25</f>
        <v>400</v>
      </c>
      <c r="E2871" s="30" t="n">
        <f aca="false">rent_ext_26</f>
        <v>550</v>
      </c>
      <c r="F2871" s="30" t="n">
        <f aca="false">rent_ext_f</f>
        <v>756</v>
      </c>
      <c r="G2871" s="30" t="n">
        <f aca="false">rent_ext_f</f>
        <v>756</v>
      </c>
      <c r="H2871" s="30" t="n">
        <f aca="false">rent_ext_f</f>
        <v>756</v>
      </c>
      <c r="I2871" s="30" t="n">
        <f aca="false">rent_ext_f</f>
        <v>756</v>
      </c>
      <c r="J2871" s="30" t="n">
        <f aca="false">rent_ext_f</f>
        <v>756</v>
      </c>
      <c r="K2871" s="30" t="n">
        <f aca="false">rent_ext_f</f>
        <v>756</v>
      </c>
      <c r="L2871" s="1" t="s">
        <v>953</v>
      </c>
    </row>
    <row r="2872" customFormat="false" ht="17.15" hidden="false" customHeight="false" outlineLevel="0" collapsed="false">
      <c r="A2872" s="1" t="s">
        <v>954</v>
      </c>
      <c r="B2872" s="0" t="s">
        <v>456</v>
      </c>
      <c r="C2872" s="30" t="n">
        <f aca="false">Sens!C2870-Sens!C2871</f>
        <v>490</v>
      </c>
      <c r="D2872" s="30" t="n">
        <f aca="false">Sens!D2870-Sens!D2871</f>
        <v>1230</v>
      </c>
      <c r="E2872" s="30" t="n">
        <f aca="false">Sens!E2870-Sens!E2871</f>
        <v>2700</v>
      </c>
      <c r="F2872" s="30" t="n">
        <f aca="false">Sens!F2870-Sens!F2871</f>
        <v>5220.5351</v>
      </c>
      <c r="G2872" s="30" t="n">
        <f aca="false">Sens!G2870-Sens!G2871</f>
        <v>7947.0702</v>
      </c>
      <c r="H2872" s="30" t="n">
        <f aca="false">Sens!H2870-Sens!H2871</f>
        <v>10673.6053</v>
      </c>
      <c r="I2872" s="30" t="n">
        <f aca="false">Sens!I2870-Sens!I2871</f>
        <v>12605.5914196667</v>
      </c>
      <c r="J2872" s="30" t="n">
        <f aca="false">Sens!J2870-Sens!J2871</f>
        <v>13781.6682813933</v>
      </c>
      <c r="K2872" s="30" t="n">
        <f aca="false">Sens!K2870-Sens!K2871</f>
        <v>14217.7983298351</v>
      </c>
    </row>
    <row r="2873" customFormat="false" ht="17.15" hidden="false" customHeight="false" outlineLevel="0" collapsed="false">
      <c r="A2873" s="1" t="s">
        <v>955</v>
      </c>
      <c r="B2873" s="0" t="s">
        <v>456</v>
      </c>
      <c r="C2873" s="30" t="n">
        <f aca="false">Sens!C2872/ext_sh_hi</f>
        <v>653.333333333333</v>
      </c>
      <c r="D2873" s="30" t="n">
        <f aca="false">Sens!D2872/ext_sh_hi</f>
        <v>1640</v>
      </c>
      <c r="E2873" s="30" t="n">
        <f aca="false">Sens!E2872/ext_sh_hi</f>
        <v>3600</v>
      </c>
      <c r="F2873" s="30" t="n">
        <f aca="false">Sens!F2872/ext_sh_hi</f>
        <v>6960.71346666667</v>
      </c>
      <c r="G2873" s="30" t="n">
        <f aca="false">Sens!G2872/ext_sh_hi</f>
        <v>10596.0936</v>
      </c>
      <c r="H2873" s="30" t="n">
        <f aca="false">Sens!H2872/ext_sh_hi</f>
        <v>14231.4737333333</v>
      </c>
      <c r="I2873" s="30" t="n">
        <f aca="false">Sens!I2872/ext_sh_hi</f>
        <v>16807.4552262222</v>
      </c>
      <c r="J2873" s="30" t="n">
        <f aca="false">Sens!J2872/ext_sh_hi</f>
        <v>18375.5577085244</v>
      </c>
      <c r="K2873" s="30" t="n">
        <f aca="false">Sens!K2872/ext_sh_hi</f>
        <v>18957.0644397802</v>
      </c>
      <c r="L2873" s="1" t="s">
        <v>956</v>
      </c>
    </row>
    <row r="2874" customFormat="false" ht="17.15" hidden="false" customHeight="false" outlineLevel="0" collapsed="false">
      <c r="A2874" s="1" t="s">
        <v>957</v>
      </c>
      <c r="B2874" s="0" t="s">
        <v>456</v>
      </c>
      <c r="C2874" s="30" t="n">
        <f aca="false">Sens!C2873-Sens!C2872</f>
        <v>163.333333333333</v>
      </c>
      <c r="D2874" s="30" t="n">
        <f aca="false">Sens!D2873-Sens!D2872</f>
        <v>410</v>
      </c>
      <c r="E2874" s="30" t="n">
        <f aca="false">Sens!E2873-Sens!E2872</f>
        <v>900</v>
      </c>
      <c r="F2874" s="30" t="n">
        <f aca="false">Sens!F2873-Sens!F2872</f>
        <v>1740.17836666667</v>
      </c>
      <c r="G2874" s="30" t="n">
        <f aca="false">Sens!G2873-Sens!G2872</f>
        <v>2649.0234</v>
      </c>
      <c r="H2874" s="30" t="n">
        <f aca="false">Sens!H2873-Sens!H2872</f>
        <v>3557.86843333333</v>
      </c>
      <c r="I2874" s="30" t="n">
        <f aca="false">Sens!I2873-Sens!I2872</f>
        <v>4201.86380655556</v>
      </c>
      <c r="J2874" s="30" t="n">
        <f aca="false">Sens!J2873-Sens!J2872</f>
        <v>4593.88942713111</v>
      </c>
      <c r="K2874" s="30" t="n">
        <f aca="false">Sens!K2873-Sens!K2872</f>
        <v>4739.26610994505</v>
      </c>
    </row>
    <row r="2875" customFormat="false" ht="17.15" hidden="false" customHeight="false" outlineLevel="0" collapsed="false">
      <c r="A2875" s="1" t="s">
        <v>958</v>
      </c>
      <c r="B2875" s="0" t="s">
        <v>456</v>
      </c>
      <c r="C2875" s="30" t="n">
        <f aca="false">Sens!C2873</f>
        <v>653.333333333333</v>
      </c>
      <c r="D2875" s="30" t="n">
        <f aca="false">Sens!D2873-Sens!C2873</f>
        <v>986.666666666667</v>
      </c>
      <c r="E2875" s="30" t="n">
        <f aca="false">Sens!E2873-Sens!D2873</f>
        <v>1960</v>
      </c>
      <c r="F2875" s="30" t="n">
        <f aca="false">Sens!F2873-Sens!E2873</f>
        <v>3360.71346666667</v>
      </c>
      <c r="G2875" s="30" t="n">
        <f aca="false">Sens!G2873-Sens!F2873</f>
        <v>3635.38013333333</v>
      </c>
      <c r="H2875" s="30" t="n">
        <f aca="false">Sens!H2873-Sens!G2873</f>
        <v>3635.38013333333</v>
      </c>
      <c r="I2875" s="30" t="n">
        <f aca="false">Sens!I2873-Sens!H2873</f>
        <v>2575.98149288889</v>
      </c>
      <c r="J2875" s="30" t="n">
        <f aca="false">Sens!J2873-Sens!I2873</f>
        <v>1568.10248230222</v>
      </c>
      <c r="K2875" s="30" t="n">
        <f aca="false">Sens!K2873-Sens!J2873</f>
        <v>581.506731255733</v>
      </c>
    </row>
    <row r="2876" customFormat="false" ht="17.15" hidden="false" customHeight="false" outlineLevel="0" collapsed="false">
      <c r="A2876" s="1" t="s">
        <v>959</v>
      </c>
      <c r="B2876" s="0" t="s">
        <v>456</v>
      </c>
      <c r="D2876" s="30" t="n">
        <f aca="false">Sens!D2870-Sens!C2870</f>
        <v>990</v>
      </c>
      <c r="E2876" s="30" t="n">
        <f aca="false">Sens!E2870-Sens!D2870</f>
        <v>1620</v>
      </c>
      <c r="F2876" s="30" t="n">
        <f aca="false">Sens!F2870-Sens!E2870</f>
        <v>2726.5351</v>
      </c>
      <c r="G2876" s="30" t="n">
        <f aca="false">Sens!G2870-Sens!F2870</f>
        <v>2726.5351</v>
      </c>
      <c r="H2876" s="30" t="n">
        <f aca="false">Sens!H2870-Sens!G2870</f>
        <v>2726.5351</v>
      </c>
      <c r="I2876" s="30" t="n">
        <f aca="false">Sens!I2870-Sens!H2870</f>
        <v>1931.98611966667</v>
      </c>
      <c r="J2876" s="30" t="n">
        <f aca="false">Sens!J2870-Sens!I2870</f>
        <v>1176.07686172667</v>
      </c>
      <c r="K2876" s="30" t="n">
        <f aca="false">Sens!K2870-Sens!J2870</f>
        <v>436.130048441799</v>
      </c>
    </row>
    <row r="2877" customFormat="false" ht="17.15" hidden="false" customHeight="false" outlineLevel="0" collapsed="false">
      <c r="A2877" s="1" t="s">
        <v>960</v>
      </c>
      <c r="B2877" s="0" t="s">
        <v>456</v>
      </c>
      <c r="F2877" s="30" t="n">
        <f aca="false">Sens!F2896*ext_sh_hi</f>
        <v>0</v>
      </c>
      <c r="G2877" s="30" t="n">
        <f aca="false">Sens!G2896*ext_sh_hi</f>
        <v>0</v>
      </c>
      <c r="H2877" s="30" t="n">
        <f aca="false">Sens!H2896*ext_sh_hi</f>
        <v>0</v>
      </c>
      <c r="I2877" s="30" t="n">
        <f aca="false">Sens!I2896*ext_sh_hi</f>
        <v>490</v>
      </c>
      <c r="J2877" s="30" t="n">
        <f aca="false">Sens!J2896*ext_sh_hi</f>
        <v>740</v>
      </c>
      <c r="K2877" s="30" t="n">
        <f aca="false">Sens!K2896*ext_sh_hi</f>
        <v>1470</v>
      </c>
      <c r="L2877" s="1" t="s">
        <v>961</v>
      </c>
    </row>
    <row r="2878" customFormat="false" ht="17.15" hidden="false" customHeight="false" outlineLevel="0" collapsed="false">
      <c r="A2878" s="1" t="s">
        <v>962</v>
      </c>
      <c r="B2878" s="0" t="s">
        <v>456</v>
      </c>
      <c r="C2878" s="30" t="n">
        <f aca="false">mix_h*Sens!C2870</f>
        <v>128</v>
      </c>
      <c r="D2878" s="30" t="n">
        <f aca="false">mix_h*Sens!D2870</f>
        <v>326</v>
      </c>
      <c r="E2878" s="30" t="n">
        <f aca="false">mix_h*Sens!E2870</f>
        <v>650</v>
      </c>
      <c r="F2878" s="30" t="n">
        <f aca="false">Sens!E2878-Sens!F2877*mix_h</f>
        <v>650</v>
      </c>
      <c r="G2878" s="30" t="n">
        <f aca="false">Sens!F2878-Sens!G2877*mix_h</f>
        <v>650</v>
      </c>
      <c r="H2878" s="30" t="n">
        <f aca="false">Sens!G2878-Sens!H2877*mix_h</f>
        <v>650</v>
      </c>
      <c r="I2878" s="30" t="n">
        <f aca="false">Sens!H2878-Sens!I2877*mix_h</f>
        <v>552</v>
      </c>
      <c r="J2878" s="30" t="n">
        <f aca="false">Sens!I2878-Sens!J2877*mix_h</f>
        <v>404</v>
      </c>
      <c r="K2878" s="30" t="n">
        <f aca="false">Sens!J2878-Sens!K2877*mix_h</f>
        <v>110</v>
      </c>
    </row>
    <row r="2879" customFormat="false" ht="17.15" hidden="false" customHeight="false" outlineLevel="0" collapsed="false">
      <c r="A2879" s="1" t="s">
        <v>963</v>
      </c>
      <c r="B2879" s="0" t="s">
        <v>456</v>
      </c>
      <c r="C2879" s="30" t="n">
        <f aca="false">mix_g2*Sens!C2870</f>
        <v>288</v>
      </c>
      <c r="D2879" s="30" t="n">
        <f aca="false">mix_g2*Sens!D2870</f>
        <v>733.5</v>
      </c>
      <c r="E2879" s="30" t="n">
        <f aca="false">mix_g2*Sens!E2870</f>
        <v>1462.5</v>
      </c>
      <c r="F2879" s="30" t="n">
        <f aca="false">Sens!E2879-Sens!F2877*mix_g2</f>
        <v>1462.5</v>
      </c>
      <c r="G2879" s="30" t="n">
        <f aca="false">Sens!F2879-Sens!G2877*mix_g2</f>
        <v>1462.5</v>
      </c>
      <c r="H2879" s="30" t="n">
        <f aca="false">Sens!G2879-Sens!H2877*mix_g2</f>
        <v>1462.5</v>
      </c>
      <c r="I2879" s="30" t="n">
        <f aca="false">Sens!H2879-Sens!I2877*mix_g2</f>
        <v>1242</v>
      </c>
      <c r="J2879" s="30" t="n">
        <f aca="false">Sens!I2879-Sens!J2877*mix_g2</f>
        <v>909</v>
      </c>
      <c r="K2879" s="30" t="n">
        <f aca="false">Sens!J2879-Sens!K2877*mix_g2</f>
        <v>247.5</v>
      </c>
    </row>
    <row r="2880" customFormat="false" ht="17.15" hidden="false" customHeight="false" outlineLevel="0" collapsed="false">
      <c r="A2880" s="1" t="s">
        <v>964</v>
      </c>
      <c r="B2880" s="0" t="s">
        <v>456</v>
      </c>
      <c r="C2880" s="30" t="n">
        <f aca="false">mix_g3*Sens!C2870</f>
        <v>224</v>
      </c>
      <c r="D2880" s="30" t="n">
        <f aca="false">mix_g3*Sens!D2870</f>
        <v>570.5</v>
      </c>
      <c r="E2880" s="30" t="n">
        <f aca="false">mix_g3*Sens!E2870</f>
        <v>1137.5</v>
      </c>
      <c r="F2880" s="30" t="n">
        <f aca="false">Sens!E2880+(Sens!F2876+Sens!F2877)*(a_g3_27-nonnv*a_mai)-Sens!F2877*mix_g3</f>
        <v>2773.42106</v>
      </c>
      <c r="G2880" s="30" t="n">
        <f aca="false">Sens!F2880+(Sens!G2876+Sens!G2877)*(a_g3_28-nonnv*a_mai)-Sens!G2877*mix_g3</f>
        <v>3318.72808</v>
      </c>
      <c r="H2880" s="30" t="n">
        <f aca="false">Sens!G2880+(Sens!H2876+Sens!H2877)*(a_g3_29-nonnv*a_mai)-Sens!H2877*mix_g3</f>
        <v>3318.72808</v>
      </c>
      <c r="I2880" s="30" t="n">
        <f aca="false">Sens!H2880+(Sens!I2876+Sens!I2877)*(a_g3_29-nonnv*a_mai)-Sens!I2877*mix_g3</f>
        <v>3147.22808</v>
      </c>
      <c r="J2880" s="30" t="n">
        <f aca="false">Sens!I2880+(Sens!J2876+Sens!J2877)*(a_g3_29-nonnv*a_mai)-Sens!J2877*mix_g3</f>
        <v>2888.22808</v>
      </c>
      <c r="K2880" s="30" t="n">
        <f aca="false">Sens!J2880+(Sens!K2876+Sens!K2877)*(a_g3_29-nonnv*a_mai)-Sens!K2877*mix_g3</f>
        <v>2373.72808</v>
      </c>
    </row>
    <row r="2881" customFormat="false" ht="17.15" hidden="false" customHeight="false" outlineLevel="0" collapsed="false">
      <c r="A2881" s="1" t="s">
        <v>965</v>
      </c>
      <c r="B2881" s="0" t="s">
        <v>456</v>
      </c>
      <c r="C2881" s="30" t="n">
        <v>0</v>
      </c>
      <c r="D2881" s="30" t="n">
        <v>0</v>
      </c>
      <c r="E2881" s="30" t="n">
        <v>0</v>
      </c>
      <c r="F2881" s="30" t="n">
        <f aca="false">Sens!E2881+(Sens!F2876+Sens!F2877)*nonnv*a_mai</f>
        <v>272.65351</v>
      </c>
      <c r="G2881" s="30" t="n">
        <f aca="false">Sens!F2881+(Sens!G2876+Sens!G2877)*nonnv*a_mai</f>
        <v>545.30702</v>
      </c>
      <c r="H2881" s="30" t="n">
        <f aca="false">Sens!G2881+(Sens!H2876+Sens!H2877)*nonnv*a_mai</f>
        <v>817.96053</v>
      </c>
      <c r="I2881" s="30" t="n">
        <f aca="false">Sens!H2881+(Sens!I2876+Sens!I2877)*nonnv*a_mai</f>
        <v>1060.15914196667</v>
      </c>
      <c r="J2881" s="30" t="n">
        <f aca="false">Sens!I2881+(Sens!J2876+Sens!J2877)*nonnv*a_mai</f>
        <v>1251.76682813933</v>
      </c>
      <c r="K2881" s="30" t="n">
        <f aca="false">Sens!J2881+(Sens!K2876+Sens!K2877)*nonnv*a_mai</f>
        <v>1442.37983298351</v>
      </c>
      <c r="L2881" s="12" t="s">
        <v>966</v>
      </c>
    </row>
    <row r="2882" customFormat="false" ht="17.15" hidden="false" customHeight="false" outlineLevel="0" collapsed="false">
      <c r="A2882" s="1" t="s">
        <v>967</v>
      </c>
      <c r="B2882" s="0" t="s">
        <v>456</v>
      </c>
      <c r="C2882" s="30" t="n">
        <v>0</v>
      </c>
      <c r="D2882" s="30" t="n">
        <v>0</v>
      </c>
      <c r="E2882" s="30" t="n">
        <v>0</v>
      </c>
      <c r="F2882" s="30" t="n">
        <f aca="false">Sens!E2882+(Sens!F2876+Sens!F2877)*(1-a_g3_27)</f>
        <v>817.96053</v>
      </c>
      <c r="G2882" s="30" t="n">
        <f aca="false">Sens!F2882+(Sens!G2876+Sens!G2877)*(1-a_g3_28)</f>
        <v>2726.5351</v>
      </c>
      <c r="H2882" s="30" t="n">
        <f aca="false">Sens!G2882+(Sens!H2876+Sens!H2877)*(1-a_g3_29)</f>
        <v>5180.41669</v>
      </c>
      <c r="I2882" s="30" t="n">
        <f aca="false">Sens!H2882+(Sens!I2876+Sens!I2877)*(1-a_g3_29)</f>
        <v>7360.2041977</v>
      </c>
      <c r="J2882" s="30" t="n">
        <f aca="false">Sens!I2882+(Sens!J2876+Sens!J2877)*(1-a_g3_29)</f>
        <v>9084.673373254</v>
      </c>
      <c r="K2882" s="30" t="n">
        <f aca="false">Sens!J2882+(Sens!K2876+Sens!K2877)*(1-a_g3_29)</f>
        <v>10800.1904168516</v>
      </c>
    </row>
    <row r="2883" customFormat="false" ht="17.15" hidden="false" customHeight="false" outlineLevel="0" collapsed="false">
      <c r="A2883" s="1" t="s">
        <v>968</v>
      </c>
      <c r="B2883" s="0" t="s">
        <v>403</v>
      </c>
      <c r="C2883" s="15" t="n">
        <f aca="false">(Sens!C2878*tk_hold_h100+Sens!C2879*tk_hold_gb200+Sens!C2880*tk_hold_gb300+Sens!C2882*tk_hold_vr200+Sens!C2881*nv_hold_mai*tk_hold_vr200)/Sens!C2870</f>
        <v>9.7235358126469</v>
      </c>
      <c r="D2883" s="15" t="n">
        <f aca="false">(Sens!D2878*tk_hold_h100+Sens!D2879*tk_hold_gb200+Sens!D2880*tk_hold_gb300+Sens!D2882*tk_hold_vr200+Sens!D2881*nv_hold_mai*tk_hold_vr200)/Sens!D2870</f>
        <v>9.7235358126469</v>
      </c>
      <c r="E2883" s="15" t="n">
        <f aca="false">(Sens!E2878*tk_hold_h100+Sens!E2879*tk_hold_gb200+Sens!E2880*tk_hold_gb300+Sens!E2882*tk_hold_vr200+Sens!E2881*nv_hold_mai*tk_hold_vr200)/Sens!E2870</f>
        <v>9.7235358126469</v>
      </c>
      <c r="F2883" s="15" t="n">
        <f aca="false">(Sens!F2878*tk_hold_h100+Sens!F2879*tk_hold_gb200+Sens!F2880*tk_hold_gb300+Sens!F2882*tk_hold_vr200+Sens!F2881*nv_hold_mai*tk_hold_vr200)/Sens!F2870</f>
        <v>10.2195353876665</v>
      </c>
      <c r="G2883" s="15" t="n">
        <f aca="false">(Sens!G2878*tk_hold_h100+Sens!G2879*tk_hold_gb200+Sens!G2880*tk_hold_gb300+Sens!G2882*tk_hold_vr200+Sens!G2881*nv_hold_mai*tk_hold_vr200)/Sens!G2870</f>
        <v>10.5725598017306</v>
      </c>
      <c r="H2883" s="15" t="n">
        <f aca="false">(Sens!H2878*tk_hold_h100+Sens!H2879*tk_hold_gb200+Sens!H2880*tk_hold_gb300+Sens!H2882*tk_hold_vr200+Sens!H2881*nv_hold_mai*tk_hold_vr200)/Sens!H2870</f>
        <v>10.8210427149036</v>
      </c>
      <c r="I2883" s="15" t="n">
        <f aca="false">(Sens!I2878*tk_hold_h100+Sens!I2879*tk_hold_gb200+Sens!I2880*tk_hold_gb300+Sens!I2882*tk_hold_vr200+Sens!I2881*nv_hold_mai*tk_hold_vr200)/Sens!I2870</f>
        <v>11.0050618241982</v>
      </c>
      <c r="J2883" s="15" t="n">
        <f aca="false">(Sens!J2878*tk_hold_h100+Sens!J2879*tk_hold_gb200+Sens!J2880*tk_hold_gb300+Sens!J2882*tk_hold_vr200+Sens!J2881*nv_hold_mai*tk_hold_vr200)/Sens!J2870</f>
        <v>11.1505789658881</v>
      </c>
      <c r="K2883" s="15" t="n">
        <f aca="false">(Sens!K2878*tk_hold_h100+Sens!K2879*tk_hold_gb200+Sens!K2880*tk_hold_gb300+Sens!K2882*tk_hold_vr200+Sens!K2881*nv_hold_mai*tk_hold_vr200)/Sens!K2870</f>
        <v>11.3496914757183</v>
      </c>
      <c r="L2883" s="1" t="s">
        <v>969</v>
      </c>
    </row>
    <row r="2884" customFormat="false" ht="17.15" hidden="false" customHeight="false" outlineLevel="0" collapsed="false">
      <c r="A2884" s="1" t="s">
        <v>970</v>
      </c>
      <c r="B2884" s="0" t="s">
        <v>403</v>
      </c>
      <c r="C2884" s="15" t="n">
        <f aca="false">(Sens!C2878*tk_hold_h100+Sens!C2879*tk_hold_gb200+Sens!C2880*tk_hold_gb300+Sens!C2882*tk_hold_vr200+Sens!C2881*nv_out_mai*tk_hold_vr200)/Sens!C2870</f>
        <v>9.7235358126469</v>
      </c>
      <c r="D2884" s="15" t="n">
        <f aca="false">(Sens!D2878*tk_hold_h100+Sens!D2879*tk_hold_gb200+Sens!D2880*tk_hold_gb300+Sens!D2882*tk_hold_vr200+Sens!D2881*nv_out_mai*tk_hold_vr200)/Sens!D2870</f>
        <v>9.7235358126469</v>
      </c>
      <c r="E2884" s="15" t="n">
        <f aca="false">(Sens!E2878*tk_hold_h100+Sens!E2879*tk_hold_gb200+Sens!E2880*tk_hold_gb300+Sens!E2882*tk_hold_vr200+Sens!E2881*nv_out_mai*tk_hold_vr200)/Sens!E2870</f>
        <v>9.7235358126469</v>
      </c>
      <c r="F2884" s="15" t="n">
        <f aca="false">(Sens!F2878*tk_hold_h100+Sens!F2879*tk_hold_gb200+Sens!F2880*tk_hold_gb300+Sens!F2882*tk_hold_vr200+Sens!F2881*nv_out_mai*tk_hold_vr200)/Sens!F2870</f>
        <v>10.247422093969</v>
      </c>
      <c r="G2884" s="15" t="n">
        <f aca="false">(Sens!G2878*tk_hold_h100+Sens!G2879*tk_hold_gb200+Sens!G2880*tk_hold_gb300+Sens!G2882*tk_hold_vr200+Sens!G2881*nv_out_mai*tk_hold_vr200)/Sens!G2870</f>
        <v>10.6108602808053</v>
      </c>
      <c r="H2884" s="15" t="n">
        <f aca="false">(Sens!H2878*tk_hold_h100+Sens!H2879*tk_hold_gb200+Sens!H2880*tk_hold_gb300+Sens!H2882*tk_hold_vr200+Sens!H2881*nv_out_mai*tk_hold_vr200)/Sens!H2870</f>
        <v>10.8647885507393</v>
      </c>
      <c r="I2884" s="15" t="n">
        <f aca="false">(Sens!I2878*tk_hold_h100+Sens!I2879*tk_hold_gb200+Sens!I2880*tk_hold_gb300+Sens!I2882*tk_hold_vr200+Sens!I2881*nv_out_mai*tk_hold_vr200)/Sens!I2870</f>
        <v>11.0535625770025</v>
      </c>
      <c r="J2884" s="15" t="n">
        <f aca="false">(Sens!J2878*tk_hold_h100+Sens!J2879*tk_hold_gb200+Sens!J2880*tk_hold_gb300+Sens!J2882*tk_hold_vr200+Sens!J2881*nv_out_mai*tk_hold_vr200)/Sens!J2870</f>
        <v>11.2032127128058</v>
      </c>
      <c r="K2884" s="15" t="n">
        <f aca="false">(Sens!K2878*tk_hold_h100+Sens!K2879*tk_hold_gb200+Sens!K2880*tk_hold_gb300+Sens!K2882*tk_hold_vr200+Sens!K2881*nv_out_mai*tk_hold_vr200)/Sens!K2870</f>
        <v>11.4085735724225</v>
      </c>
      <c r="L2884" s="12" t="s">
        <v>971</v>
      </c>
    </row>
    <row r="2885" customFormat="false" ht="17.15" hidden="false" customHeight="false" outlineLevel="0" collapsed="false">
      <c r="A2885" s="0" t="s">
        <v>972</v>
      </c>
      <c r="B2885" s="0" t="s">
        <v>229</v>
      </c>
      <c r="C2885" s="15" t="n">
        <f aca="false">k_B</f>
        <v>1.17213932619116</v>
      </c>
      <c r="D2885" s="15" t="n">
        <f aca="false">k_B</f>
        <v>1.17213932619116</v>
      </c>
      <c r="E2885" s="15" t="n">
        <f aca="false">k_B</f>
        <v>1.17213932619116</v>
      </c>
      <c r="F2885" s="15" t="n">
        <f aca="false">(k_B+((ls_C*k_long+(1-ls_C)*k_spot)-k_B)*MIN(1,(Sens!F2868-base_fy)/k_ramp))</f>
        <v>1.07843258004497</v>
      </c>
      <c r="G2885" s="15" t="n">
        <f aca="false">(k_B+((ls_C*k_long+(1-ls_C)*k_spot)-k_B)*MIN(1,(Sens!G2868-base_fy)/k_ramp))</f>
        <v>0.984725833898784</v>
      </c>
      <c r="H2885" s="15" t="n">
        <f aca="false">(k_B+((ls_C*k_long+(1-ls_C)*k_spot)-k_B)*MIN(1,(Sens!H2868-base_fy)/k_ramp))</f>
        <v>0.891019087752599</v>
      </c>
      <c r="I2885" s="15" t="n">
        <f aca="false">(k_B+((ls_C*k_long+(1-ls_C)*k_spot)-k_B)*MIN(1,(Sens!I2868-base_fy)/k_ramp))</f>
        <v>0.891019087752599</v>
      </c>
      <c r="J2885" s="15" t="n">
        <f aca="false">(k_B+((ls_C*k_long+(1-ls_C)*k_spot)-k_B)*MIN(1,(Sens!J2868-base_fy)/k_ramp))</f>
        <v>0.891019087752599</v>
      </c>
      <c r="K2885" s="15" t="n">
        <f aca="false">(k_B+((ls_C*k_long+(1-ls_C)*k_spot)-k_B)*MIN(1,(Sens!K2868-base_fy)/k_ramp))</f>
        <v>0.891019087752599</v>
      </c>
      <c r="L2885" s="1" t="s">
        <v>973</v>
      </c>
    </row>
    <row r="2886" customFormat="false" ht="17.15" hidden="false" customHeight="false" outlineLevel="0" collapsed="false">
      <c r="A2886" s="1" t="s">
        <v>974</v>
      </c>
      <c r="B2886" s="0" t="s">
        <v>403</v>
      </c>
      <c r="C2886" s="15" t="n">
        <f aca="false">Sens!C2884*Sens!C2885*chip_f</f>
        <v>11.3973387156315</v>
      </c>
      <c r="D2886" s="15" t="n">
        <f aca="false">Sens!D2884*Sens!D2885*chip_f</f>
        <v>11.3973387156315</v>
      </c>
      <c r="E2886" s="15" t="n">
        <f aca="false">Sens!E2884*Sens!E2885*chip_f</f>
        <v>11.3973387156315</v>
      </c>
      <c r="F2886" s="15" t="n">
        <f aca="false">Sens!F2884*Sens!F2885*chip_f</f>
        <v>11.0511538476088</v>
      </c>
      <c r="G2886" s="15" t="n">
        <f aca="false">Sens!G2884*Sens!G2885*chip_f</f>
        <v>10.4487882383995</v>
      </c>
      <c r="H2886" s="15" t="n">
        <f aca="false">Sens!H2884*Sens!H2885*chip_f</f>
        <v>9.68073398310464</v>
      </c>
      <c r="I2886" s="15" t="n">
        <f aca="false">Sens!I2884*Sens!I2885*chip_f</f>
        <v>9.84893524377706</v>
      </c>
      <c r="J2886" s="15" t="n">
        <f aca="false">Sens!J2884*Sens!J2885*chip_f</f>
        <v>9.98227637126252</v>
      </c>
      <c r="K2886" s="15" t="n">
        <f aca="false">Sens!K2884*Sens!K2885*chip_f</f>
        <v>10.1652568170583</v>
      </c>
      <c r="L2886" s="1" t="s">
        <v>975</v>
      </c>
    </row>
    <row r="2887" customFormat="false" ht="17.15" hidden="false" customHeight="false" outlineLevel="0" collapsed="false">
      <c r="A2887" s="0" t="s">
        <v>976</v>
      </c>
      <c r="B2887" s="0" t="s">
        <v>98</v>
      </c>
      <c r="D2887" s="6" t="n">
        <f aca="false">(Sens!C2870+Sens!D2870)/2*Sens!D2886/1000</f>
        <v>12.9359794422418</v>
      </c>
      <c r="E2887" s="6" t="n">
        <f aca="false">(Sens!D2870+Sens!E2870)/2*Sens!E2886/1000</f>
        <v>27.8095064661409</v>
      </c>
      <c r="F2887" s="6" t="n">
        <f aca="false">(Sens!E2870+Sens!F2870)/2*Sens!F2886/1000</f>
        <v>50.9819294352312</v>
      </c>
      <c r="G2887" s="6" t="n">
        <f aca="false">(Sens!F2870+Sens!G2870)/2*Sens!G2886/1000</f>
        <v>76.6920436014933</v>
      </c>
      <c r="H2887" s="6" t="n">
        <f aca="false">(Sens!G2870+Sens!H2870)/2*Sens!H2886/1000</f>
        <v>97.4495379418341</v>
      </c>
      <c r="I2887" s="6" t="n">
        <f aca="false">(Sens!H2870+Sens!I2870)/2*Sens!I2886/1000</f>
        <v>122.083445553868</v>
      </c>
      <c r="J2887" s="6" t="n">
        <f aca="false">(Sens!I2870+Sens!J2870)/2*Sens!J2886/1000</f>
        <v>139.249060444804</v>
      </c>
      <c r="K2887" s="6" t="n">
        <f aca="false">(Sens!J2870+Sens!K2870)/2*Sens!K2886/1000</f>
        <v>149.995818575589</v>
      </c>
      <c r="L2887" s="12" t="s">
        <v>977</v>
      </c>
    </row>
    <row r="2888" customFormat="false" ht="17.15" hidden="false" customHeight="false" outlineLevel="0" collapsed="false">
      <c r="A2888" s="1" t="s">
        <v>978</v>
      </c>
      <c r="B2888" s="0" t="s">
        <v>403</v>
      </c>
      <c r="C2888" s="15" t="n">
        <f aca="false">(Sens!C2878*tk_opex_h100+Sens!C2879*tk_opex_gb200+Sens!C2880*tk_opex_gb300+(Sens!C2882+Sens!C2881)*tk_opex_vr200)/Sens!C2870</f>
        <v>1.88636041306092</v>
      </c>
      <c r="D2888" s="15" t="n">
        <f aca="false">(Sens!D2878*tk_opex_h100+Sens!D2879*tk_opex_gb200+Sens!D2880*tk_opex_gb300+(Sens!D2882+Sens!D2881)*tk_opex_vr200)/Sens!D2870</f>
        <v>1.88636041306092</v>
      </c>
      <c r="E2888" s="15" t="n">
        <f aca="false">(Sens!E2878*tk_opex_h100+Sens!E2879*tk_opex_gb200+Sens!E2880*tk_opex_gb300+(Sens!E2882+Sens!E2881)*tk_opex_vr200)/Sens!E2870</f>
        <v>1.88636041306092</v>
      </c>
      <c r="F2888" s="15" t="n">
        <f aca="false">(Sens!F2878*tk_opex_h100+Sens!F2879*tk_opex_gb200+Sens!F2880*tk_opex_gb300+(Sens!F2882+Sens!F2881)*tk_opex_vr200)/Sens!F2870</f>
        <v>1.95051159746876</v>
      </c>
      <c r="G2888" s="15" t="n">
        <f aca="false">(Sens!G2878*tk_opex_h100+Sens!G2879*tk_opex_gb200+Sens!G2880*tk_opex_gb300+(Sens!G2882+Sens!G2881)*tk_opex_vr200)/Sens!G2870</f>
        <v>1.98836003669956</v>
      </c>
      <c r="H2888" s="15" t="n">
        <f aca="false">(Sens!H2878*tk_opex_h100+Sens!H2879*tk_opex_gb200+Sens!H2880*tk_opex_gb300+(Sens!H2882+Sens!H2881)*tk_opex_vr200)/Sens!H2870</f>
        <v>2.01344013834343</v>
      </c>
      <c r="I2888" s="15" t="n">
        <f aca="false">(Sens!I2878*tk_opex_h100+Sens!I2879*tk_opex_gb200+Sens!I2880*tk_opex_gb300+(Sens!I2882+Sens!I2881)*tk_opex_vr200)/Sens!I2870</f>
        <v>2.03261166882178</v>
      </c>
      <c r="J2888" s="15" t="n">
        <f aca="false">(Sens!J2878*tk_opex_h100+Sens!J2879*tk_opex_gb200+Sens!J2880*tk_opex_gb300+(Sens!J2882+Sens!J2881)*tk_opex_vr200)/Sens!J2870</f>
        <v>2.04808073288745</v>
      </c>
      <c r="K2888" s="15" t="n">
        <f aca="false">(Sens!K2878*tk_opex_h100+Sens!K2879*tk_opex_gb200+Sens!K2880*tk_opex_gb300+(Sens!K2882+Sens!K2881)*tk_opex_vr200)/Sens!K2870</f>
        <v>2.06973825807449</v>
      </c>
      <c r="L2888" s="12" t="s">
        <v>979</v>
      </c>
    </row>
    <row r="2889" customFormat="false" ht="17.15" hidden="false" customHeight="false" outlineLevel="0" collapsed="false">
      <c r="A2889" s="0" t="s">
        <v>980</v>
      </c>
      <c r="B2889" s="0" t="s">
        <v>98</v>
      </c>
      <c r="D2889" s="6" t="n">
        <f aca="false">(Sens!C2873+Sens!D2873)/2*Sens!D2888/1000</f>
        <v>2.16302660697652</v>
      </c>
      <c r="E2889" s="6" t="n">
        <f aca="false">(Sens!D2873+Sens!E2873)/2*Sens!E2888/1000</f>
        <v>4.9422642822196</v>
      </c>
      <c r="F2889" s="6" t="n">
        <f aca="false">(Sens!E2873+Sens!F2873)/2*Sens!F2888/1000</f>
        <v>10.2993970471389</v>
      </c>
      <c r="G2889" s="6" t="n">
        <f aca="false">(Sens!F2873+Sens!G2873)/2*Sens!G2888/1000</f>
        <v>17.4546267717022</v>
      </c>
      <c r="H2889" s="6" t="n">
        <f aca="false">(Sens!G2873+Sens!H2873)/2*Sens!H2888/1000</f>
        <v>24.9944103031787</v>
      </c>
      <c r="I2889" s="6" t="n">
        <f aca="false">(Sens!H2873+Sens!I2873)/2*Sens!I2888/1000</f>
        <v>31.5450445954614</v>
      </c>
      <c r="J2889" s="6" t="n">
        <f aca="false">(Sens!I2873+Sens!J2873)/2*Sens!J2888/1000</f>
        <v>36.0288254582922</v>
      </c>
      <c r="K2889" s="6" t="n">
        <f aca="false">(Sens!J2873+Sens!K2873)/2*Sens!K2888/1000</f>
        <v>38.6343781672925</v>
      </c>
    </row>
    <row r="2890" customFormat="false" ht="17.15" hidden="false" customHeight="false" outlineLevel="0" collapsed="false">
      <c r="A2890" s="0" t="s">
        <v>981</v>
      </c>
      <c r="B2890" s="0" t="s">
        <v>98</v>
      </c>
      <c r="D2890" s="6" t="n">
        <f aca="false">(Sens!C2871+Sens!D2871)/2*rent_mw/1000</f>
        <v>2.44475</v>
      </c>
      <c r="E2890" s="6" t="n">
        <f aca="false">(Sens!D2871+Sens!E2871)/2*rent_mw/1000</f>
        <v>4.22275</v>
      </c>
      <c r="F2890" s="6" t="n">
        <f aca="false">(Sens!E2871+Sens!F2871)/2*rent_mw/1000</f>
        <v>5.80517</v>
      </c>
      <c r="G2890" s="6" t="n">
        <f aca="false">(Sens!F2871+Sens!G2871)/2*rent_mw/1000</f>
        <v>6.72084</v>
      </c>
      <c r="H2890" s="6" t="n">
        <f aca="false">(Sens!G2871+Sens!H2871)/2*rent_mw/1000</f>
        <v>6.72084</v>
      </c>
      <c r="I2890" s="6" t="n">
        <f aca="false">(Sens!H2871+Sens!I2871)/2*rent_mw/1000</f>
        <v>6.72084</v>
      </c>
      <c r="J2890" s="6" t="n">
        <f aca="false">(Sens!I2871+Sens!J2871)/2*rent_mw/1000</f>
        <v>6.72084</v>
      </c>
      <c r="K2890" s="6" t="n">
        <f aca="false">(Sens!J2871+Sens!K2871)/2*rent_mw/1000</f>
        <v>6.72084</v>
      </c>
    </row>
    <row r="2891" customFormat="false" ht="17.15" hidden="false" customHeight="false" outlineLevel="0" collapsed="false">
      <c r="A2891" s="0" t="s">
        <v>982</v>
      </c>
      <c r="B2891" s="0" t="s">
        <v>98</v>
      </c>
      <c r="D2891" s="6" t="n">
        <f aca="false">(Sens!C2873+Sens!D2873)/2*(1-self_build)*fac_rent/1000</f>
        <v>0.682593900504861</v>
      </c>
      <c r="E2891" s="6" t="n">
        <f aca="false">(Sens!D2873+Sens!E2873)/2*(1-self_build)*fac_rent/1000</f>
        <v>1.55964769126983</v>
      </c>
      <c r="F2891" s="6" t="n">
        <f aca="false">(Sens!E2873+Sens!F2873)/2*(1-self_build)*fac_rent/1000</f>
        <v>3.14331915581085</v>
      </c>
      <c r="G2891" s="6" t="n">
        <f aca="false">(Sens!F2873+Sens!G2873)/2*(1-self_build)*fac_rent/1000</f>
        <v>5.22565526862528</v>
      </c>
      <c r="H2891" s="6" t="n">
        <f aca="false">(Sens!G2873+Sens!H2873)/2*(1-self_build)*fac_rent/1000</f>
        <v>7.38974390673273</v>
      </c>
      <c r="I2891" s="6" t="n">
        <f aca="false">(Sens!H2873+Sens!I2873)/2*(1-self_build)*fac_rent/1000</f>
        <v>9.23851028459141</v>
      </c>
      <c r="J2891" s="6" t="n">
        <f aca="false">(Sens!I2873+Sens!J2873)/2*(1-self_build)*fac_rent/1000</f>
        <v>10.4719665831286</v>
      </c>
      <c r="K2891" s="6" t="n">
        <f aca="false">(Sens!J2873+Sens!K2873)/2*(1-self_build)*fac_rent/1000</f>
        <v>11.1117820501244</v>
      </c>
      <c r="L2891" s="12" t="s">
        <v>983</v>
      </c>
    </row>
    <row r="2892" customFormat="false" ht="17.15" hidden="false" customHeight="false" outlineLevel="0" collapsed="false">
      <c r="A2892" s="1" t="s">
        <v>984</v>
      </c>
      <c r="B2892" s="0" t="s">
        <v>168</v>
      </c>
      <c r="D2892" s="7" t="n">
        <f aca="false">(Sens!C2872+Sens!D2872)/(Sens!C2873+Sens!D2873)</f>
        <v>0.75</v>
      </c>
      <c r="E2892" s="7" t="n">
        <f aca="false">(Sens!D2872+Sens!E2872)/(Sens!D2873+Sens!E2873)</f>
        <v>0.75</v>
      </c>
      <c r="F2892" s="7" t="n">
        <f aca="false">(Sens!E2872+Sens!F2872)/(Sens!E2873+Sens!F2873)</f>
        <v>0.75</v>
      </c>
      <c r="G2892" s="7" t="n">
        <f aca="false">(Sens!F2872+Sens!G2872)/(Sens!F2873+Sens!G2873)</f>
        <v>0.75</v>
      </c>
      <c r="H2892" s="7" t="n">
        <f aca="false">(Sens!G2872+Sens!H2872)/(Sens!G2873+Sens!H2873)</f>
        <v>0.75</v>
      </c>
      <c r="I2892" s="7" t="n">
        <f aca="false">(Sens!H2872+Sens!I2872)/(Sens!H2873+Sens!I2873)</f>
        <v>0.75</v>
      </c>
      <c r="J2892" s="7" t="n">
        <f aca="false">(Sens!I2872+Sens!J2872)/(Sens!I2873+Sens!J2873)</f>
        <v>0.75</v>
      </c>
      <c r="K2892" s="7" t="n">
        <f aca="false">(Sens!J2872+Sens!K2872)/(Sens!J2873+Sens!K2873)</f>
        <v>0.75</v>
      </c>
    </row>
    <row r="2893" customFormat="false" ht="17.15" hidden="false" customHeight="false" outlineLevel="0" collapsed="false">
      <c r="A2893" s="0" t="s">
        <v>985</v>
      </c>
      <c r="B2893" s="0" t="s">
        <v>98</v>
      </c>
      <c r="D2893" s="6" t="n">
        <f aca="false">Sens!D2887-Sens!D2892*(Sens!D2889+Sens!D2891)-Sens!D2890</f>
        <v>8.35701406163072</v>
      </c>
      <c r="E2893" s="6" t="n">
        <f aca="false">Sens!E2887-Sens!E2892*(Sens!E2889+Sens!E2891)-Sens!E2890</f>
        <v>18.7103224860238</v>
      </c>
      <c r="F2893" s="6" t="n">
        <f aca="false">Sens!F2887-Sens!F2892*(Sens!F2889+Sens!F2891)-Sens!F2890</f>
        <v>35.0947222830189</v>
      </c>
      <c r="G2893" s="6" t="n">
        <f aca="false">Sens!G2887-Sens!G2892*(Sens!G2889+Sens!G2891)-Sens!G2890</f>
        <v>52.9609920712477</v>
      </c>
      <c r="H2893" s="6" t="n">
        <f aca="false">Sens!H2887-Sens!H2892*(Sens!H2889+Sens!H2891)-Sens!H2890</f>
        <v>66.4405822844005</v>
      </c>
      <c r="I2893" s="6" t="n">
        <f aca="false">Sens!I2887-Sens!I2892*(Sens!I2889+Sens!I2891)-Sens!I2890</f>
        <v>84.7749393938279</v>
      </c>
      <c r="J2893" s="6" t="n">
        <f aca="false">Sens!J2887-Sens!J2892*(Sens!J2889+Sens!J2891)-Sens!J2890</f>
        <v>97.6526264137382</v>
      </c>
      <c r="K2893" s="6" t="n">
        <f aca="false">Sens!K2887-Sens!K2892*(Sens!K2889+Sens!K2891)-Sens!K2890</f>
        <v>105.965358412527</v>
      </c>
    </row>
    <row r="2894" customFormat="false" ht="17.15" hidden="false" customHeight="false" outlineLevel="0" collapsed="false">
      <c r="A2894" s="1" t="s">
        <v>986</v>
      </c>
      <c r="B2894" s="0" t="s">
        <v>98</v>
      </c>
      <c r="D2894" s="6" t="n">
        <f aca="false">(1-Sens!D2892)*(Sens!D2889+Sens!D2891)</f>
        <v>0.711405126870345</v>
      </c>
      <c r="E2894" s="6" t="n">
        <f aca="false">(1-Sens!E2892)*(Sens!E2889+Sens!E2891)</f>
        <v>1.62547799337236</v>
      </c>
      <c r="F2894" s="6" t="n">
        <f aca="false">(1-Sens!F2892)*(Sens!F2889+Sens!F2891)</f>
        <v>3.36067905073745</v>
      </c>
      <c r="G2894" s="6" t="n">
        <f aca="false">(1-Sens!G2892)*(Sens!G2889+Sens!G2891)</f>
        <v>5.67007051008187</v>
      </c>
      <c r="H2894" s="6" t="n">
        <f aca="false">(1-Sens!H2892)*(Sens!H2889+Sens!H2891)</f>
        <v>8.09603855247786</v>
      </c>
      <c r="I2894" s="6" t="n">
        <f aca="false">(1-Sens!I2892)*(Sens!I2889+Sens!I2891)</f>
        <v>10.1958887200132</v>
      </c>
      <c r="J2894" s="6" t="n">
        <f aca="false">(1-Sens!J2892)*(Sens!J2889+Sens!J2891)</f>
        <v>11.6251980103552</v>
      </c>
      <c r="K2894" s="6" t="n">
        <f aca="false">(1-Sens!K2892)*(Sens!K2889+Sens!K2891)</f>
        <v>12.4365400543542</v>
      </c>
    </row>
    <row r="2895" customFormat="false" ht="17.15" hidden="false" customHeight="false" outlineLevel="0" collapsed="false">
      <c r="A2895" s="1" t="s">
        <v>987</v>
      </c>
      <c r="B2895" s="0" t="s">
        <v>414</v>
      </c>
      <c r="C2895" s="8" t="n">
        <f aca="false">cxit_open</f>
        <v>27.5918995</v>
      </c>
      <c r="D2895" s="8" t="n">
        <f aca="false">cxit_open</f>
        <v>27.5918995</v>
      </c>
      <c r="E2895" s="8" t="n">
        <f aca="false">cxit_open</f>
        <v>27.5918995</v>
      </c>
      <c r="F2895" s="8" t="n">
        <f aca="false">((a_g3_27-nonnv*a_mai)*tk_cxit_gb300+nonnv*a_mai*nv_hold_mai*tk_cxit_vr200+(1-a_g3_27)*tk_cxit_vr200)</f>
        <v>32.4975576</v>
      </c>
      <c r="G2895" s="8" t="n">
        <f aca="false">((a_g3_28-nonnv*a_mai)*tk_cxit_gb300+nonnv*a_mai*nv_hold_mai*tk_cxit_vr200+(1-a_g3_28)*tk_cxit_vr200)</f>
        <v>34.6372088</v>
      </c>
      <c r="H2895" s="8" t="n">
        <f aca="false">((a_g3_29-nonnv*a_mai)*tk_cxit_gb300+nonnv*a_mai*nv_hold_mai*tk_cxit_vr200+(1-a_g3_29)*tk_cxit_vr200)</f>
        <v>35.7070344</v>
      </c>
      <c r="I2895" s="8" t="n">
        <f aca="false">((a_g3_29-nonnv*a_mai)*tk_cxit_gb300+nonnv*a_mai*nv_hold_mai*tk_cxit_vr200+(1-a_g3_29)*tk_cxit_vr200)</f>
        <v>35.7070344</v>
      </c>
      <c r="J2895" s="8" t="n">
        <f aca="false">((a_g3_29-nonnv*a_mai)*tk_cxit_gb300+nonnv*a_mai*nv_hold_mai*tk_cxit_vr200+(1-a_g3_29)*tk_cxit_vr200)</f>
        <v>35.7070344</v>
      </c>
      <c r="K2895" s="8" t="n">
        <f aca="false">((a_g3_29-nonnv*a_mai)*tk_cxit_gb300+nonnv*a_mai*nv_hold_mai*tk_cxit_vr200+(1-a_g3_29)*tk_cxit_vr200)</f>
        <v>35.7070344</v>
      </c>
      <c r="L2895" s="12" t="s">
        <v>988</v>
      </c>
    </row>
    <row r="2896" customFormat="false" ht="17.15" hidden="false" customHeight="false" outlineLevel="0" collapsed="false">
      <c r="A2896" s="0" t="s">
        <v>989</v>
      </c>
      <c r="B2896" s="0" t="s">
        <v>456</v>
      </c>
      <c r="F2896" s="30" t="n">
        <f aca="false">Sens!C2875*IF(Sens!F2868-Sens!C2868=life_it,1,0)+Sens!D2875*IF(Sens!F2868-Sens!D2868=life_it,1,0)+Sens!E2875*IF(Sens!F2868-Sens!E2868=life_it,1,0)</f>
        <v>0</v>
      </c>
      <c r="G2896" s="30" t="n">
        <f aca="false">Sens!C2875*IF(Sens!G2868-Sens!C2868=life_it,1,0)+Sens!D2875*IF(Sens!G2868-Sens!D2868=life_it,1,0)+Sens!E2875*IF(Sens!G2868-Sens!E2868=life_it,1,0)+Sens!F2875*IF(Sens!G2868-Sens!F2868=life_it,1,0)</f>
        <v>0</v>
      </c>
      <c r="H2896" s="30" t="n">
        <f aca="false">Sens!C2875*IF(Sens!H2868-Sens!C2868=life_it,1,0)+Sens!D2875*IF(Sens!H2868-Sens!D2868=life_it,1,0)+Sens!E2875*IF(Sens!H2868-Sens!E2868=life_it,1,0)+Sens!F2875*IF(Sens!H2868-Sens!F2868=life_it,1,0)+Sens!G2875*IF(Sens!H2868-Sens!G2868=life_it,1,0)</f>
        <v>0</v>
      </c>
      <c r="I2896" s="30" t="n">
        <f aca="false">Sens!C2875*IF(Sens!I2868-Sens!C2868=life_it,1,0)+Sens!D2875*IF(Sens!I2868-Sens!D2868=life_it,1,0)+Sens!E2875*IF(Sens!I2868-Sens!E2868=life_it,1,0)+Sens!F2875*IF(Sens!I2868-Sens!F2868=life_it,1,0)+Sens!G2875*IF(Sens!I2868-Sens!G2868=life_it,1,0)+Sens!H2875*IF(Sens!I2868-Sens!H2868=life_it,1,0)</f>
        <v>653.333333333333</v>
      </c>
      <c r="J2896" s="30" t="n">
        <f aca="false">Sens!C2875*IF(Sens!J2868-Sens!C2868=life_it,1,0)+Sens!D2875*IF(Sens!J2868-Sens!D2868=life_it,1,0)+Sens!E2875*IF(Sens!J2868-Sens!E2868=life_it,1,0)+Sens!F2875*IF(Sens!J2868-Sens!F2868=life_it,1,0)+Sens!G2875*IF(Sens!J2868-Sens!G2868=life_it,1,0)+Sens!H2875*IF(Sens!J2868-Sens!H2868=life_it,1,0)+Sens!I2875*IF(Sens!J2868-Sens!I2868=life_it,1,0)</f>
        <v>986.666666666667</v>
      </c>
      <c r="K2896" s="30" t="n">
        <f aca="false">Sens!C2875*IF(Sens!K2868-Sens!C2868=life_it,1,0)+Sens!D2875*IF(Sens!K2868-Sens!D2868=life_it,1,0)+Sens!E2875*IF(Sens!K2868-Sens!E2868=life_it,1,0)+Sens!F2875*IF(Sens!K2868-Sens!F2868=life_it,1,0)+Sens!G2875*IF(Sens!K2868-Sens!G2868=life_it,1,0)+Sens!H2875*IF(Sens!K2868-Sens!H2868=life_it,1,0)+Sens!I2875*IF(Sens!K2868-Sens!I2868=life_it,1,0)+Sens!J2875*IF(Sens!K2868-Sens!J2868=life_it,1,0)</f>
        <v>1960</v>
      </c>
      <c r="L2896" s="1" t="s">
        <v>990</v>
      </c>
    </row>
    <row r="2897" customFormat="false" ht="17.15" hidden="false" customHeight="false" outlineLevel="0" collapsed="false">
      <c r="A2897" s="0" t="s">
        <v>991</v>
      </c>
      <c r="B2897" s="0" t="s">
        <v>98</v>
      </c>
      <c r="C2897" s="6" t="n">
        <f aca="false">Sens!C2875*Sens!C2895/1000</f>
        <v>18.0267076733333</v>
      </c>
      <c r="D2897" s="6" t="n">
        <f aca="false">Sens!D2875*Sens!D2895/1000</f>
        <v>27.2240075066667</v>
      </c>
      <c r="E2897" s="6" t="n">
        <f aca="false">Sens!E2875*Sens!E2895/1000</f>
        <v>54.08012302</v>
      </c>
      <c r="F2897" s="6" t="n">
        <f aca="false">(Sens!F2875+Sens!F2896)*Sens!F2895/1000</f>
        <v>109.214979460096</v>
      </c>
      <c r="G2897" s="6" t="n">
        <f aca="false">(Sens!G2875+Sens!G2896)*Sens!G2895/1000</f>
        <v>125.919420745638</v>
      </c>
      <c r="H2897" s="6" t="n">
        <f aca="false">(Sens!H2875+Sens!H2896)*Sens!H2895/1000</f>
        <v>129.80864347801</v>
      </c>
      <c r="I2897" s="6" t="n">
        <f aca="false">(Sens!I2875+Sens!I2896)*Sens!I2895/1000</f>
        <v>115.309255588347</v>
      </c>
      <c r="J2897" s="6" t="n">
        <f aca="false">(Sens!J2875+Sens!J2896)*Sens!J2895/1000</f>
        <v>91.2232298862909</v>
      </c>
      <c r="K2897" s="6" t="n">
        <f aca="false">(Sens!K2875+Sens!K2896)*Sens!K2895/1000</f>
        <v>90.74966828078</v>
      </c>
    </row>
    <row r="2898" customFormat="false" ht="17.15" hidden="false" customHeight="false" outlineLevel="0" collapsed="false">
      <c r="A2898" s="0" t="s">
        <v>992</v>
      </c>
      <c r="B2898" s="0" t="s">
        <v>98</v>
      </c>
      <c r="C2898" s="6" t="n">
        <f aca="false">Sens!C2875*self_build*tk_cxfac/1000</f>
        <v>4.96664</v>
      </c>
      <c r="D2898" s="6" t="n">
        <f aca="false">Sens!D2875*self_build*tk_cxfac/1000</f>
        <v>7.50064</v>
      </c>
      <c r="E2898" s="6" t="n">
        <f aca="false">Sens!E2875*self_build*tk_cxfac/1000</f>
        <v>14.89992</v>
      </c>
      <c r="F2898" s="6" t="n">
        <f aca="false">Sens!F2875*self_build*tk_cxfac/1000</f>
        <v>25.5481437736</v>
      </c>
      <c r="G2898" s="6" t="n">
        <f aca="false">Sens!G2875*self_build*tk_cxfac/1000</f>
        <v>27.6361597736</v>
      </c>
      <c r="H2898" s="6" t="n">
        <f aca="false">Sens!H2875*self_build*tk_cxfac/1000</f>
        <v>27.6361597736</v>
      </c>
      <c r="I2898" s="6" t="n">
        <f aca="false">Sens!I2875*self_build*tk_cxfac/1000</f>
        <v>19.5826113089413</v>
      </c>
      <c r="J2898" s="6" t="n">
        <f aca="false">Sens!J2875*self_build*tk_cxfac/1000</f>
        <v>11.9207150704615</v>
      </c>
      <c r="K2898" s="6" t="n">
        <f aca="false">Sens!K2875*self_build*tk_cxfac/1000</f>
        <v>4.42061417100608</v>
      </c>
    </row>
    <row r="2899" customFormat="false" ht="17.15" hidden="false" customHeight="false" outlineLevel="0" collapsed="false">
      <c r="A2899" s="0" t="s">
        <v>993</v>
      </c>
      <c r="B2899" s="0" t="s">
        <v>98</v>
      </c>
      <c r="F2899" s="15" t="n">
        <f aca="false">capex_floor27-Sens!F2897-Sens!F2898-Sens!F2995</f>
        <v>33.6108176930023</v>
      </c>
      <c r="L2899" s="12" t="s">
        <v>994</v>
      </c>
    </row>
    <row r="2900" customFormat="false" ht="17.15" hidden="false" customHeight="false" outlineLevel="0" collapsed="false">
      <c r="A2900" s="0" t="s">
        <v>995</v>
      </c>
      <c r="B2900" s="0" t="s">
        <v>98</v>
      </c>
      <c r="F2900" s="6" t="n">
        <f aca="false">MAX(0,Sens!F2899)</f>
        <v>33.6108176930023</v>
      </c>
    </row>
    <row r="2901" customFormat="false" ht="17.15" hidden="false" customHeight="false" outlineLevel="0" collapsed="false">
      <c r="A2901" s="0" t="s">
        <v>996</v>
      </c>
      <c r="B2901" s="0" t="s">
        <v>98</v>
      </c>
      <c r="C2901" s="6" t="n">
        <f aca="false">Sens!C2897</f>
        <v>18.0267076733333</v>
      </c>
      <c r="D2901" s="6" t="n">
        <f aca="false">Sens!D2897</f>
        <v>27.2240075066667</v>
      </c>
      <c r="E2901" s="6" t="n">
        <f aca="false">Sens!E2897</f>
        <v>54.08012302</v>
      </c>
      <c r="F2901" s="6" t="n">
        <f aca="false">Sens!F2897</f>
        <v>109.214979460096</v>
      </c>
      <c r="G2901" s="6" t="n">
        <f aca="false">Sens!G2897</f>
        <v>125.919420745638</v>
      </c>
      <c r="H2901" s="6" t="n">
        <f aca="false">Sens!H2897</f>
        <v>129.80864347801</v>
      </c>
      <c r="I2901" s="6" t="n">
        <f aca="false">Sens!I2897</f>
        <v>115.309255588347</v>
      </c>
      <c r="J2901" s="6" t="n">
        <f aca="false">Sens!J2897</f>
        <v>91.2232298862909</v>
      </c>
      <c r="K2901" s="6" t="n">
        <f aca="false">Sens!K2897</f>
        <v>90.74966828078</v>
      </c>
    </row>
    <row r="2902" customFormat="false" ht="17.15" hidden="false" customHeight="false" outlineLevel="0" collapsed="false">
      <c r="A2902" s="0" t="s">
        <v>997</v>
      </c>
      <c r="B2902" s="0" t="s">
        <v>98</v>
      </c>
      <c r="C2902" s="6" t="n">
        <f aca="false">Sens!C2901+Sens!C2898</f>
        <v>22.9933476733333</v>
      </c>
      <c r="D2902" s="6" t="n">
        <f aca="false">Sens!D2901+Sens!D2898</f>
        <v>34.7246475066667</v>
      </c>
      <c r="E2902" s="6" t="n">
        <f aca="false">Sens!E2901+Sens!E2898</f>
        <v>68.98004302</v>
      </c>
      <c r="F2902" s="6" t="n">
        <f aca="false">Sens!F2901+Sens!F2898</f>
        <v>134.763123233696</v>
      </c>
      <c r="G2902" s="6" t="n">
        <f aca="false">Sens!G2901+Sens!G2898</f>
        <v>153.555580519238</v>
      </c>
      <c r="H2902" s="6" t="n">
        <f aca="false">Sens!H2901+Sens!H2898</f>
        <v>157.44480325161</v>
      </c>
      <c r="I2902" s="6" t="n">
        <f aca="false">Sens!I2901+Sens!I2898</f>
        <v>134.891866897288</v>
      </c>
      <c r="J2902" s="6" t="n">
        <f aca="false">Sens!J2901+Sens!J2898</f>
        <v>103.143944956752</v>
      </c>
      <c r="K2902" s="6" t="n">
        <f aca="false">Sens!K2901+Sens!K2898</f>
        <v>95.1702824517861</v>
      </c>
      <c r="L2902" s="12" t="s">
        <v>998</v>
      </c>
    </row>
    <row r="2903" customFormat="false" ht="17.15" hidden="false" customHeight="false" outlineLevel="0" collapsed="false">
      <c r="A2903" s="0" t="s">
        <v>999</v>
      </c>
      <c r="B2903" s="0" t="s">
        <v>98</v>
      </c>
      <c r="E2903" s="6" t="n">
        <f aca="false">(Sens!C2901*IF(2&lt;life_it,1,IF(2=life_it,0.5,0))+Sens!D2901*IF(1&lt;life_it,1,IF(1=life_it,0.5,0))+Sens!E2901*0.5)/life_it</f>
        <v>12.0484627816667</v>
      </c>
      <c r="F2903" s="6" t="n">
        <f aca="false">(Sens!C2901*IF(3&lt;life_it,1,IF(3=life_it,0.5,0))+Sens!D2901*IF(2&lt;life_it,1,IF(2=life_it,0.5,0))+Sens!E2901*IF(1&lt;life_it,1,IF(1=life_it,0.5,0))+Sens!F2901*0.5)/life_it</f>
        <v>25.6563879883413</v>
      </c>
      <c r="G2903" s="6" t="n">
        <f aca="false">(Sens!C2901*IF(4&lt;life_it,1,IF(4=life_it,0.5,0))+Sens!D2901*IF(3&lt;life_it,1,IF(3=life_it,0.5,0))+Sens!E2901*IF(2&lt;life_it,1,IF(2=life_it,0.5,0))+Sens!F2901*IF(1&lt;life_it,1,IF(1=life_it,0.5,0))+Sens!G2901*0.5)/life_it</f>
        <v>45.2509213388192</v>
      </c>
      <c r="H2903" s="6" t="n">
        <f aca="false">(Sens!C2901*IF(5&lt;life_it,1,IF(5=life_it,0.5,0))+Sens!D2901*IF(4&lt;life_it,1,IF(4=life_it,0.5,0))+Sens!E2901*IF(3&lt;life_it,1,IF(3=life_it,0.5,0))+Sens!F2901*IF(2&lt;life_it,1,IF(2=life_it,0.5,0))+Sens!G2901*IF(1&lt;life_it,1,IF(1=life_it,0.5,0))+Sens!H2901*0.5)/life_it</f>
        <v>66.5615933574565</v>
      </c>
      <c r="I2903" s="6" t="n">
        <f aca="false">(Sens!C2901*IF(6&lt;life_it,1,IF(6=life_it,0.5,0))+Sens!D2901*IF(5&lt;life_it,1,IF(5=life_it,0.5,0))+Sens!E2901*IF(4&lt;life_it,1,IF(4=life_it,0.5,0))+Sens!F2901*IF(3&lt;life_it,1,IF(3=life_it,0.5,0))+Sens!G2901*IF(2&lt;life_it,1,IF(2=life_it,0.5,0))+Sens!H2901*IF(1&lt;life_it,1,IF(1=life_it,0.5,0))+Sens!I2901*0.5)/life_it</f>
        <v>85.4858593068751</v>
      </c>
      <c r="J2903" s="6" t="n">
        <f aca="false">(Sens!C2901*IF(7&lt;life_it,1,IF(7=life_it,0.5,0))+Sens!D2901*IF(6&lt;life_it,1,IF(6=life_it,0.5,0))+Sens!E2901*IF(5&lt;life_it,1,IF(5=life_it,0.5,0))+Sens!F2901*IF(4&lt;life_it,1,IF(4=life_it,0.5,0))+Sens!G2901*IF(3&lt;life_it,1,IF(3=life_it,0.5,0))+Sens!H2901*IF(2&lt;life_it,1,IF(2=life_it,0.5,0))+Sens!I2901*IF(1&lt;life_it,1,IF(1=life_it,0.5,0))+Sens!J2901*0.5)/life_it</f>
        <v>98.9260068314283</v>
      </c>
      <c r="K2903" s="6" t="n">
        <f aca="false">(Sens!C2901*IF(8&lt;life_it,1,IF(8=life_it,0.5,0))+Sens!D2901*IF(7&lt;life_it,1,IF(7=life_it,0.5,0))+Sens!E2901*IF(6&lt;life_it,1,IF(6=life_it,0.5,0))+Sens!F2901*IF(5&lt;life_it,1,IF(5=life_it,0.5,0))+Sens!G2901*IF(4&lt;life_it,1,IF(4=life_it,0.5,0))+Sens!H2901*IF(3&lt;life_it,1,IF(3=life_it,0.5,0))+Sens!I2901*IF(2&lt;life_it,1,IF(2=life_it,0.5,0))+Sens!J2901*IF(1&lt;life_it,1,IF(1=life_it,0.5,0))+Sens!K2901*0.5)/life_it</f>
        <v>107.315070801462</v>
      </c>
    </row>
    <row r="2904" customFormat="false" ht="17.15" hidden="false" customHeight="false" outlineLevel="0" collapsed="false">
      <c r="A2904" s="0" t="s">
        <v>1000</v>
      </c>
      <c r="B2904" s="0" t="s">
        <v>98</v>
      </c>
      <c r="E2904" s="6" t="n">
        <f aca="false">(Sens!C2898*IF(2&lt;life_fac,1,IF(2=life_fac,0.5,0))+Sens!D2898*IF(1&lt;life_fac,1,IF(1=life_fac,0.5,0))+Sens!E2898*0.5)/life_fac</f>
        <v>0.995862</v>
      </c>
      <c r="F2904" s="6" t="n">
        <f aca="false">(Sens!C2898*IF(3&lt;life_fac,1,IF(3=life_fac,0.5,0))+Sens!D2898*IF(2&lt;life_fac,1,IF(2=life_fac,0.5,0))+Sens!E2898*IF(1&lt;life_fac,1,IF(1=life_fac,0.5,0))+Sens!F2898*0.5)/life_fac</f>
        <v>2.00706359434</v>
      </c>
      <c r="G2904" s="6" t="n">
        <f aca="false">(Sens!C2898*IF(4&lt;life_fac,1,IF(4=life_fac,0.5,0))+Sens!D2898*IF(3&lt;life_fac,1,IF(3=life_fac,0.5,0))+Sens!E2898*IF(2&lt;life_fac,1,IF(2=life_fac,0.5,0))+Sens!F2898*IF(1&lt;life_fac,1,IF(1=life_fac,0.5,0))+Sens!G2898*0.5)/life_fac</f>
        <v>3.33667118302</v>
      </c>
      <c r="H2904" s="6" t="n">
        <f aca="false">(Sens!C2898*IF(5&lt;life_fac,1,IF(5=life_fac,0.5,0))+Sens!D2898*IF(4&lt;life_fac,1,IF(4=life_fac,0.5,0))+Sens!E2898*IF(3&lt;life_fac,1,IF(3=life_fac,0.5,0))+Sens!F2898*IF(2&lt;life_fac,1,IF(2=life_fac,0.5,0))+Sens!G2898*IF(1&lt;life_fac,1,IF(1=life_fac,0.5,0))+Sens!H2898*0.5)/life_fac</f>
        <v>4.7184791717</v>
      </c>
      <c r="I2904" s="6" t="n">
        <f aca="false">(Sens!C2898*IF(6&lt;life_fac,1,IF(6=life_fac,0.5,0))+Sens!D2898*IF(5&lt;life_fac,1,IF(5=life_fac,0.5,0))+Sens!E2898*IF(4&lt;life_fac,1,IF(4=life_fac,0.5,0))+Sens!F2898*IF(3&lt;life_fac,1,IF(3=life_fac,0.5,0))+Sens!G2898*IF(2&lt;life_fac,1,IF(2=life_fac,0.5,0))+Sens!H2898*IF(1&lt;life_fac,1,IF(1=life_fac,0.5,0))+Sens!I2898*0.5)/life_fac</f>
        <v>5.89894844876353</v>
      </c>
      <c r="J2904" s="6" t="n">
        <f aca="false">(Sens!C2898*IF(7&lt;life_fac,1,IF(7=life_fac,0.5,0))+Sens!D2898*IF(6&lt;life_fac,1,IF(6=life_fac,0.5,0))+Sens!E2898*IF(5&lt;life_fac,1,IF(5=life_fac,0.5,0))+Sens!F2898*IF(4&lt;life_fac,1,IF(4=life_fac,0.5,0))+Sens!G2898*IF(3&lt;life_fac,1,IF(3=life_fac,0.5,0))+Sens!H2898*IF(2&lt;life_fac,1,IF(2=life_fac,0.5,0))+Sens!I2898*IF(1&lt;life_fac,1,IF(1=life_fac,0.5,0))+Sens!J2898*0.5)/life_fac</f>
        <v>6.6865316082486</v>
      </c>
      <c r="K2904" s="6" t="n">
        <f aca="false">(Sens!C2898*IF(8&lt;life_fac,1,IF(8=life_fac,0.5,0))+Sens!D2898*IF(7&lt;life_fac,1,IF(7=life_fac,0.5,0))+Sens!E2898*IF(6&lt;life_fac,1,IF(6=life_fac,0.5,0))+Sens!F2898*IF(5&lt;life_fac,1,IF(5=life_fac,0.5,0))+Sens!G2898*IF(4&lt;life_fac,1,IF(4=life_fac,0.5,0))+Sens!H2898*IF(3&lt;life_fac,1,IF(3=life_fac,0.5,0))+Sens!I2898*IF(2&lt;life_fac,1,IF(2=life_fac,0.5,0))+Sens!J2898*IF(1&lt;life_fac,1,IF(1=life_fac,0.5,0))+Sens!K2898*0.5)/life_fac</f>
        <v>7.09506483928529</v>
      </c>
    </row>
    <row r="2905" customFormat="false" ht="17.15" hidden="false" customHeight="false" outlineLevel="0" collapsed="false">
      <c r="A2905" s="0" t="s">
        <v>1001</v>
      </c>
      <c r="B2905" s="0" t="s">
        <v>98</v>
      </c>
      <c r="E2905" s="6" t="n">
        <f aca="false">Sens!E2903+Sens!E2904</f>
        <v>13.0443247816667</v>
      </c>
      <c r="F2905" s="6" t="n">
        <f aca="false">Sens!F2903+Sens!F2904</f>
        <v>27.6634515826813</v>
      </c>
      <c r="G2905" s="6" t="n">
        <f aca="false">Sens!G2903+Sens!G2904</f>
        <v>48.5875925218392</v>
      </c>
      <c r="H2905" s="6" t="n">
        <f aca="false">Sens!H2903+Sens!H2904</f>
        <v>71.2800725291565</v>
      </c>
      <c r="I2905" s="6" t="n">
        <f aca="false">Sens!I2903+Sens!I2904</f>
        <v>91.3848077556387</v>
      </c>
      <c r="J2905" s="6" t="n">
        <f aca="false">Sens!J2903+Sens!J2904</f>
        <v>105.612538439677</v>
      </c>
      <c r="K2905" s="6" t="n">
        <f aca="false">Sens!K2903+Sens!K2904</f>
        <v>114.410135640747</v>
      </c>
    </row>
    <row r="2906" customFormat="false" ht="17.15" hidden="false" customHeight="false" outlineLevel="0" collapsed="false">
      <c r="A2906" s="0" t="s">
        <v>1002</v>
      </c>
      <c r="B2906" s="0" t="s">
        <v>98</v>
      </c>
      <c r="E2906" s="6" t="n">
        <f aca="false">Sens!E2893-Sens!E2892*Sens!E2905</f>
        <v>8.92707889977379</v>
      </c>
      <c r="F2906" s="6" t="n">
        <f aca="false">Sens!F2893-Sens!F2892*Sens!F2905</f>
        <v>14.3471335960079</v>
      </c>
      <c r="G2906" s="6" t="n">
        <f aca="false">Sens!G2893-Sens!G2892*Sens!G2905</f>
        <v>16.5202976798684</v>
      </c>
      <c r="H2906" s="6" t="n">
        <f aca="false">Sens!H2893-Sens!H2892*Sens!H2905</f>
        <v>12.9805278875331</v>
      </c>
      <c r="I2906" s="6" t="n">
        <f aca="false">Sens!I2893-Sens!I2892*Sens!I2905</f>
        <v>16.2363335770989</v>
      </c>
      <c r="J2906" s="6" t="n">
        <f aca="false">Sens!J2893-Sens!J2892*Sens!J2905</f>
        <v>18.4432225839805</v>
      </c>
      <c r="K2906" s="6" t="n">
        <f aca="false">Sens!K2893-Sens!K2892*Sens!K2905</f>
        <v>20.1577566819661</v>
      </c>
    </row>
    <row r="2907" customFormat="false" ht="17.15" hidden="false" customHeight="false" outlineLevel="0" collapsed="false">
      <c r="A2907" s="3" t="s">
        <v>1551</v>
      </c>
    </row>
    <row r="2908" customFormat="false" ht="15" hidden="false" customHeight="false" outlineLevel="0" collapsed="false">
      <c r="A2908" s="4" t="s">
        <v>43</v>
      </c>
      <c r="B2908" s="4" t="s">
        <v>65</v>
      </c>
      <c r="C2908" s="23" t="s">
        <v>938</v>
      </c>
      <c r="D2908" s="23" t="s">
        <v>939</v>
      </c>
      <c r="E2908" s="23" t="s">
        <v>940</v>
      </c>
      <c r="F2908" s="23" t="s">
        <v>941</v>
      </c>
      <c r="G2908" s="23" t="s">
        <v>942</v>
      </c>
      <c r="H2908" s="23" t="s">
        <v>943</v>
      </c>
      <c r="I2908" s="23" t="s">
        <v>944</v>
      </c>
      <c r="J2908" s="23" t="s">
        <v>945</v>
      </c>
      <c r="K2908" s="23" t="s">
        <v>946</v>
      </c>
      <c r="L2908" s="4" t="s">
        <v>47</v>
      </c>
    </row>
    <row r="2909" customFormat="false" ht="17.15" hidden="false" customHeight="false" outlineLevel="0" collapsed="false">
      <c r="A2909" s="0" t="s">
        <v>1021</v>
      </c>
      <c r="B2909" s="0" t="s">
        <v>98</v>
      </c>
      <c r="D2909" s="6" t="n">
        <f aca="false">Sens!D2887</f>
        <v>12.9359794422418</v>
      </c>
      <c r="E2909" s="6" t="n">
        <f aca="false">Sens!E2887</f>
        <v>27.8095064661409</v>
      </c>
      <c r="F2909" s="6" t="n">
        <f aca="false">Sens!F2887</f>
        <v>50.9819294352312</v>
      </c>
      <c r="G2909" s="6" t="n">
        <f aca="false">Sens!G2887</f>
        <v>76.6920436014933</v>
      </c>
      <c r="H2909" s="6" t="n">
        <f aca="false">Sens!H2887</f>
        <v>97.4495379418341</v>
      </c>
      <c r="I2909" s="6" t="n">
        <f aca="false">Sens!I2887</f>
        <v>122.083445553868</v>
      </c>
      <c r="J2909" s="6" t="n">
        <f aca="false">Sens!J2887</f>
        <v>139.249060444804</v>
      </c>
      <c r="K2909" s="6" t="n">
        <f aca="false">Sens!K2887</f>
        <v>149.995818575589</v>
      </c>
    </row>
    <row r="2910" customFormat="false" ht="17.15" hidden="false" customHeight="false" outlineLevel="0" collapsed="false">
      <c r="A2910" s="0" t="s">
        <v>1022</v>
      </c>
      <c r="B2910" s="0" t="s">
        <v>98</v>
      </c>
      <c r="D2910" s="6" t="n">
        <f aca="false">Q!L6-Sens!D2909</f>
        <v>59.6740205577583</v>
      </c>
      <c r="E2910" s="6" t="n">
        <f aca="false">Q!M6-Sens!E2909</f>
        <v>74.1284935338591</v>
      </c>
      <c r="F2910" s="6" t="n">
        <f aca="false">Q!$I$6+(Sens!F2909+Sens!E2910*(1+Sens!F2911))*(1-Q!$E$6/Q!M6)-Sens!F2909</f>
        <v>92.2699541184664</v>
      </c>
      <c r="G2910" s="6" t="n">
        <f aca="false">Sens!F2910*(1+Sens!G2911)</f>
        <v>109.630477277949</v>
      </c>
      <c r="H2910" s="6" t="n">
        <f aca="false">Sens!G2910*(1+Sens!H2911)</f>
        <v>127.293256321956</v>
      </c>
      <c r="I2910" s="6" t="n">
        <f aca="false">Sens!H2910*(1+Sens!I2911)</f>
        <v>144.360052269491</v>
      </c>
      <c r="J2910" s="6" t="n">
        <f aca="false">Sens!I2910*(1+Sens!J2911)</f>
        <v>159.811964490216</v>
      </c>
      <c r="K2910" s="6" t="n">
        <f aca="false">Sens!J2910*(1+Sens!K2911)</f>
        <v>172.596921649434</v>
      </c>
      <c r="L2910" s="12" t="s">
        <v>1023</v>
      </c>
    </row>
    <row r="2911" customFormat="false" ht="15" hidden="false" customHeight="false" outlineLevel="0" collapsed="false">
      <c r="A2911" s="1" t="s">
        <v>1024</v>
      </c>
      <c r="B2911" s="0" t="s">
        <v>168</v>
      </c>
      <c r="E2911" s="7" t="n">
        <f aca="false">Sens!E2910/Sens!D2910-1</f>
        <v>0.242223883039864</v>
      </c>
      <c r="F2911" s="7" t="n">
        <f aca="false">Sens!$E$2911+(glt_azo-Sens!$E$2911)*MIN(1,(Sens!F2868-base_fy)/n_conv)</f>
        <v>0.215186569199887</v>
      </c>
      <c r="G2911" s="7" t="n">
        <f aca="false">Sens!$E$2911+(glt_azo-Sens!$E$2911)*MIN(1,(Sens!G2868-base_fy)/n_conv)</f>
        <v>0.18814925535991</v>
      </c>
      <c r="H2911" s="7" t="n">
        <f aca="false">Sens!$E$2911+(glt_azo-Sens!$E$2911)*MIN(1,(Sens!H2868-base_fy)/n_conv)</f>
        <v>0.161111941519932</v>
      </c>
      <c r="I2911" s="7" t="n">
        <f aca="false">Sens!$E$2911+(glt_azo-Sens!$E$2911)*MIN(1,(Sens!I2868-base_fy)/n_conv)</f>
        <v>0.134074627679955</v>
      </c>
      <c r="J2911" s="7" t="n">
        <f aca="false">Sens!$E$2911+(glt_azo-Sens!$E$2911)*MIN(1,(Sens!J2868-base_fy)/n_conv)</f>
        <v>0.107037313839977</v>
      </c>
      <c r="K2911" s="7" t="n">
        <f aca="false">Sens!$E$2911+(glt_azo-Sens!$E$2911)*MIN(1,(Sens!K2868-base_fy)/n_conv)</f>
        <v>0.08</v>
      </c>
    </row>
    <row r="2912" customFormat="false" ht="15" hidden="false" customHeight="false" outlineLevel="0" collapsed="false">
      <c r="A2912" s="0" t="s">
        <v>1025</v>
      </c>
      <c r="B2912" s="0" t="s">
        <v>98</v>
      </c>
      <c r="D2912" s="6" t="n">
        <f aca="false">Sens!D2909+Sens!D2910</f>
        <v>72.61</v>
      </c>
      <c r="E2912" s="6" t="n">
        <f aca="false">Sens!E2909+Sens!E2910</f>
        <v>101.938</v>
      </c>
      <c r="F2912" s="6" t="n">
        <f aca="false">Sens!F2909+Sens!F2910</f>
        <v>143.251883553698</v>
      </c>
      <c r="G2912" s="6" t="n">
        <f aca="false">Sens!G2909+Sens!G2910</f>
        <v>186.322520879442</v>
      </c>
      <c r="H2912" s="6" t="n">
        <f aca="false">Sens!H2909+Sens!H2910</f>
        <v>224.74279426379</v>
      </c>
      <c r="I2912" s="6" t="n">
        <f aca="false">Sens!I2909+Sens!I2910</f>
        <v>266.443497823359</v>
      </c>
      <c r="J2912" s="6" t="n">
        <f aca="false">Sens!J2909+Sens!J2910</f>
        <v>299.06102493502</v>
      </c>
      <c r="K2912" s="6" t="n">
        <f aca="false">Sens!K2909+Sens!K2910</f>
        <v>322.592740225023</v>
      </c>
    </row>
    <row r="2913" customFormat="false" ht="17.15" hidden="false" customHeight="false" outlineLevel="0" collapsed="false">
      <c r="A2913" s="0" t="s">
        <v>1026</v>
      </c>
      <c r="B2913" s="1" t="s">
        <v>610</v>
      </c>
      <c r="C2913" s="30" t="n">
        <f aca="false">cop_s24</f>
        <v>1</v>
      </c>
      <c r="D2913" s="30" t="n">
        <f aca="false">cop_s25</f>
        <v>5</v>
      </c>
      <c r="E2913" s="30" t="n">
        <f aca="false">cop_s26</f>
        <v>30</v>
      </c>
      <c r="F2913" s="30" t="n">
        <f aca="false">Sens!E2913+cop_add_C</f>
        <v>40</v>
      </c>
      <c r="G2913" s="30" t="n">
        <f aca="false">Sens!F2913+cop_add_C</f>
        <v>50</v>
      </c>
      <c r="H2913" s="30" t="n">
        <f aca="false">Sens!G2913+cop_add_C</f>
        <v>60</v>
      </c>
      <c r="I2913" s="30" t="n">
        <f aca="false">Sens!H2913+cop_add_C*cop_tail</f>
        <v>65</v>
      </c>
      <c r="J2913" s="30" t="n">
        <f aca="false">Sens!I2913+cop_add_C*cop_tail</f>
        <v>70</v>
      </c>
      <c r="K2913" s="30" t="n">
        <f aca="false">Sens!J2913+cop_add_C*cop_tail</f>
        <v>75</v>
      </c>
      <c r="L2913" s="12" t="s">
        <v>1027</v>
      </c>
    </row>
    <row r="2914" customFormat="false" ht="17.15" hidden="false" customHeight="false" outlineLevel="0" collapsed="false">
      <c r="A2914" s="0" t="s">
        <v>1028</v>
      </c>
      <c r="B2914" s="0" t="s">
        <v>98</v>
      </c>
      <c r="D2914" s="6" t="n">
        <f aca="false">(Sens!C2913+Sens!D2913)/2*cop_px*12/1000</f>
        <v>0.9</v>
      </c>
      <c r="E2914" s="6" t="n">
        <f aca="false">(Sens!D2913+Sens!E2913)/2*cop_px*12/1000</f>
        <v>5.25</v>
      </c>
      <c r="F2914" s="6" t="n">
        <f aca="false">(Sens!E2913+Sens!F2913)/2*cop_px*12/1000</f>
        <v>10.5</v>
      </c>
      <c r="G2914" s="6" t="n">
        <f aca="false">(Sens!F2913+Sens!G2913)/2*cop_px*12/1000</f>
        <v>13.5</v>
      </c>
      <c r="H2914" s="6" t="n">
        <f aca="false">(Sens!G2913+Sens!H2913)/2*cop_px*12/1000</f>
        <v>16.5</v>
      </c>
      <c r="I2914" s="6" t="n">
        <f aca="false">(Sens!H2913+Sens!I2913)/2*cop_px*12/1000</f>
        <v>18.75</v>
      </c>
      <c r="J2914" s="6" t="n">
        <f aca="false">(Sens!I2913+Sens!J2913)/2*cop_px*12/1000</f>
        <v>20.25</v>
      </c>
      <c r="K2914" s="6" t="n">
        <f aca="false">(Sens!J2913+Sens!K2913)/2*cop_px*12/1000</f>
        <v>21.75</v>
      </c>
      <c r="L2914" s="1" t="s">
        <v>1029</v>
      </c>
    </row>
    <row r="2915" customFormat="false" ht="17.15" hidden="false" customHeight="false" outlineLevel="0" collapsed="false">
      <c r="A2915" s="0" t="s">
        <v>1030</v>
      </c>
      <c r="B2915" s="0" t="s">
        <v>98</v>
      </c>
      <c r="D2915" s="6" t="n">
        <f aca="false">Q!L7-Sens!D2914</f>
        <v>83.705</v>
      </c>
      <c r="E2915" s="6" t="n">
        <f aca="false">Q!M7-Sens!E2914</f>
        <v>95.049</v>
      </c>
      <c r="F2915" s="6" t="n">
        <f aca="false">Q!$I$7+(Sens!E2915*(1+Sens!F2916)+Sens!F2914)*(1-Q!$E$7/Q!M7)-Sens!F2914</f>
        <v>106.938354189776</v>
      </c>
      <c r="G2915" s="6" t="n">
        <f aca="false">Sens!F2915*(1+Sens!G2916)</f>
        <v>119.095360443801</v>
      </c>
      <c r="H2915" s="6" t="n">
        <f aca="false">Sens!G2915*(1+Sens!H2916)</f>
        <v>131.333811964563</v>
      </c>
      <c r="I2915" s="6" t="n">
        <f aca="false">Sens!H2915*(1+Sens!I2916)</f>
        <v>143.395665319381</v>
      </c>
      <c r="J2915" s="6" t="n">
        <f aca="false">Sens!I2915*(1+Sens!J2916)</f>
        <v>154.999327755573</v>
      </c>
      <c r="K2915" s="6" t="n">
        <f aca="false">Sens!J2915*(1+Sens!K2916)</f>
        <v>165.849280698463</v>
      </c>
      <c r="L2915" s="12" t="s">
        <v>1031</v>
      </c>
    </row>
    <row r="2916" customFormat="false" ht="15" hidden="false" customHeight="false" outlineLevel="0" collapsed="false">
      <c r="A2916" s="1" t="s">
        <v>1024</v>
      </c>
      <c r="B2916" s="0" t="s">
        <v>168</v>
      </c>
      <c r="E2916" s="7" t="n">
        <f aca="false">Sens!E2915/Sens!D2915-1</f>
        <v>0.135523564900544</v>
      </c>
      <c r="F2916" s="7" t="n">
        <f aca="false">Sens!$E$2916+(glt_m365b-Sens!$E$2916)*MIN(1,(Sens!F2868-base_fy)/n_conv)</f>
        <v>0.124602970750453</v>
      </c>
      <c r="G2916" s="7" t="n">
        <f aca="false">Sens!$E$2916+(glt_m365b-Sens!$E$2916)*MIN(1,(Sens!G2868-base_fy)/n_conv)</f>
        <v>0.113682376600363</v>
      </c>
      <c r="H2916" s="7" t="n">
        <f aca="false">Sens!$E$2916+(glt_m365b-Sens!$E$2916)*MIN(1,(Sens!H2868-base_fy)/n_conv)</f>
        <v>0.102761782450272</v>
      </c>
      <c r="I2916" s="7" t="n">
        <f aca="false">Sens!$E$2916+(glt_m365b-Sens!$E$2916)*MIN(1,(Sens!I2868-base_fy)/n_conv)</f>
        <v>0.0918411883001813</v>
      </c>
      <c r="J2916" s="7" t="n">
        <f aca="false">Sens!$E$2916+(glt_m365b-Sens!$E$2916)*MIN(1,(Sens!J2868-base_fy)/n_conv)</f>
        <v>0.0809205941500906</v>
      </c>
      <c r="K2916" s="7" t="n">
        <f aca="false">Sens!$E$2916+(glt_m365b-Sens!$E$2916)*MIN(1,(Sens!K2868-base_fy)/n_conv)</f>
        <v>0.07</v>
      </c>
    </row>
    <row r="2917" customFormat="false" ht="15" hidden="false" customHeight="false" outlineLevel="0" collapsed="false">
      <c r="A2917" s="0" t="s">
        <v>1032</v>
      </c>
      <c r="B2917" s="0" t="s">
        <v>98</v>
      </c>
      <c r="D2917" s="6" t="n">
        <f aca="false">Sens!D2915+Sens!D2914</f>
        <v>84.605</v>
      </c>
      <c r="E2917" s="6" t="n">
        <f aca="false">Sens!E2915+Sens!E2914</f>
        <v>100.299</v>
      </c>
      <c r="F2917" s="6" t="n">
        <f aca="false">Sens!F2915+Sens!F2914</f>
        <v>117.438354189776</v>
      </c>
      <c r="G2917" s="6" t="n">
        <f aca="false">Sens!G2915+Sens!G2914</f>
        <v>132.595360443801</v>
      </c>
      <c r="H2917" s="6" t="n">
        <f aca="false">Sens!H2915+Sens!H2914</f>
        <v>147.833811964563</v>
      </c>
      <c r="I2917" s="6" t="n">
        <f aca="false">Sens!I2915+Sens!I2914</f>
        <v>162.145665319381</v>
      </c>
      <c r="J2917" s="6" t="n">
        <f aca="false">Sens!J2915+Sens!J2914</f>
        <v>175.249327755573</v>
      </c>
      <c r="K2917" s="6" t="n">
        <f aca="false">Sens!K2915+Sens!K2914</f>
        <v>187.599280698463</v>
      </c>
    </row>
    <row r="2918" customFormat="false" ht="17.15" hidden="false" customHeight="false" outlineLevel="0" collapsed="false">
      <c r="A2918" s="0" t="s">
        <v>1033</v>
      </c>
      <c r="B2918" s="0" t="s">
        <v>98</v>
      </c>
      <c r="D2918" s="6" t="n">
        <f aca="false">Q!L8</f>
        <v>35.391</v>
      </c>
      <c r="E2918" s="6" t="n">
        <f aca="false">Q!M8</f>
        <v>37.285</v>
      </c>
      <c r="F2918" s="6" t="n">
        <f aca="false">Q!$I$8+(Q!M8-Q!$E$8)*(1+Sens!F2919)</f>
        <v>38.3851437782675</v>
      </c>
      <c r="G2918" s="6" t="n">
        <f aca="false">Sens!F2918*(1+Sens!G2919)</f>
        <v>40.0105353288615</v>
      </c>
      <c r="H2918" s="6" t="n">
        <f aca="false">Sens!G2918*(1+Sens!H2919)</f>
        <v>41.4812512033683</v>
      </c>
      <c r="I2918" s="6" t="n">
        <f aca="false">Sens!H2918*(1+Sens!I2919)</f>
        <v>42.7743107216329</v>
      </c>
      <c r="J2918" s="6" t="n">
        <f aca="false">Sens!I2918*(1+Sens!J2919)</f>
        <v>43.8687373064601</v>
      </c>
      <c r="K2918" s="6" t="n">
        <f aca="false">Sens!J2918*(1+Sens!K2919)</f>
        <v>44.7461120525893</v>
      </c>
      <c r="L2918" s="12" t="s">
        <v>1034</v>
      </c>
    </row>
    <row r="2919" customFormat="false" ht="15" hidden="false" customHeight="false" outlineLevel="0" collapsed="false">
      <c r="A2919" s="1" t="s">
        <v>1024</v>
      </c>
      <c r="B2919" s="0" t="s">
        <v>168</v>
      </c>
      <c r="E2919" s="7" t="n">
        <f aca="false">Sens!E2918/Sens!D2918-1</f>
        <v>0.0535164307309768</v>
      </c>
      <c r="F2919" s="7" t="n">
        <f aca="false">Sens!$E$2919+(glt_lic-Sens!$E$2919)*MIN(1,(Sens!F2868-base_fy)/n_conv)</f>
        <v>0.0479303589424807</v>
      </c>
      <c r="G2919" s="7" t="n">
        <f aca="false">Sens!$E$2919+(glt_lic-Sens!$E$2919)*MIN(1,(Sens!G2868-base_fy)/n_conv)</f>
        <v>0.0423442871539845</v>
      </c>
      <c r="H2919" s="7" t="n">
        <f aca="false">Sens!$E$2919+(glt_lic-Sens!$E$2919)*MIN(1,(Sens!H2868-base_fy)/n_conv)</f>
        <v>0.0367582153654884</v>
      </c>
      <c r="I2919" s="7" t="n">
        <f aca="false">Sens!$E$2919+(glt_lic-Sens!$E$2919)*MIN(1,(Sens!I2868-base_fy)/n_conv)</f>
        <v>0.0311721435769923</v>
      </c>
      <c r="J2919" s="7" t="n">
        <f aca="false">Sens!$E$2919+(glt_lic-Sens!$E$2919)*MIN(1,(Sens!J2868-base_fy)/n_conv)</f>
        <v>0.0255860717884961</v>
      </c>
      <c r="K2919" s="7" t="n">
        <f aca="false">Sens!$E$2919+(glt_lic-Sens!$E$2919)*MIN(1,(Sens!K2868-base_fy)/n_conv)</f>
        <v>0.02</v>
      </c>
    </row>
    <row r="2920" customFormat="false" ht="17.15" hidden="false" customHeight="false" outlineLevel="0" collapsed="false">
      <c r="A2920" s="0" t="s">
        <v>1035</v>
      </c>
      <c r="B2920" s="0" t="s">
        <v>98</v>
      </c>
      <c r="D2920" s="6" t="n">
        <f aca="false">Q!L9</f>
        <v>18.417</v>
      </c>
      <c r="E2920" s="6" t="n">
        <f aca="false">Q!M9</f>
        <v>20.345</v>
      </c>
      <c r="F2920" s="6" t="n">
        <f aca="false">Q!$I$9+(Q!M9-Q!$E$9)*(1+Sens!F2921)</f>
        <v>22.3161797133988</v>
      </c>
      <c r="G2920" s="6" t="n">
        <f aca="false">Sens!F2920*(1+Sens!G2921)</f>
        <v>24.3943499673233</v>
      </c>
      <c r="H2920" s="6" t="n">
        <f aca="false">Sens!G2920*(1+Sens!H2921)</f>
        <v>26.5250243109019</v>
      </c>
      <c r="I2920" s="6" t="n">
        <f aca="false">Sens!H2920*(1+Sens!I2921)</f>
        <v>28.6884573538181</v>
      </c>
      <c r="J2920" s="6" t="n">
        <f aca="false">Sens!I2920*(1+Sens!J2921)</f>
        <v>30.8624968052127</v>
      </c>
      <c r="K2920" s="6" t="n">
        <f aca="false">Sens!J2920*(1+Sens!K2921)</f>
        <v>33.0228715815776</v>
      </c>
      <c r="L2920" s="12" t="s">
        <v>1034</v>
      </c>
    </row>
    <row r="2921" customFormat="false" ht="15" hidden="false" customHeight="false" outlineLevel="0" collapsed="false">
      <c r="A2921" s="1" t="s">
        <v>1024</v>
      </c>
      <c r="B2921" s="0" t="s">
        <v>168</v>
      </c>
      <c r="E2921" s="7" t="n">
        <f aca="false">Sens!E2920/Sens!D2920-1</f>
        <v>0.104685888038225</v>
      </c>
      <c r="F2921" s="7" t="n">
        <f aca="false">Sens!$E$2921+(glt_ind-Sens!$E$2921)*MIN(1,(Sens!F2868-base_fy)/n_conv)</f>
        <v>0.0989049066985211</v>
      </c>
      <c r="G2921" s="7" t="n">
        <f aca="false">Sens!$E$2921+(glt_ind-Sens!$E$2921)*MIN(1,(Sens!G2868-base_fy)/n_conv)</f>
        <v>0.0931239253588169</v>
      </c>
      <c r="H2921" s="7" t="n">
        <f aca="false">Sens!$E$2921+(glt_ind-Sens!$E$2921)*MIN(1,(Sens!H2868-base_fy)/n_conv)</f>
        <v>0.0873429440191127</v>
      </c>
      <c r="I2921" s="7" t="n">
        <f aca="false">Sens!$E$2921+(glt_ind-Sens!$E$2921)*MIN(1,(Sens!I2868-base_fy)/n_conv)</f>
        <v>0.0815619626794085</v>
      </c>
      <c r="J2921" s="7" t="n">
        <f aca="false">Sens!$E$2921+(glt_ind-Sens!$E$2921)*MIN(1,(Sens!J2868-base_fy)/n_conv)</f>
        <v>0.0757809813397042</v>
      </c>
      <c r="K2921" s="7" t="n">
        <f aca="false">Sens!$E$2921+(glt_ind-Sens!$E$2921)*MIN(1,(Sens!K2868-base_fy)/n_conv)</f>
        <v>0.07</v>
      </c>
    </row>
    <row r="2922" customFormat="false" ht="17.15" hidden="false" customHeight="false" outlineLevel="0" collapsed="false">
      <c r="A2922" s="0" t="s">
        <v>1036</v>
      </c>
      <c r="B2922" s="0" t="s">
        <v>98</v>
      </c>
      <c r="D2922" s="6" t="n">
        <f aca="false">Q!L10</f>
        <v>7.76</v>
      </c>
      <c r="E2922" s="6" t="n">
        <f aca="false">Q!M10</f>
        <v>8.26</v>
      </c>
      <c r="F2922" s="6" t="n">
        <f aca="false">Q!$I$10+(Q!M10-Q!$E$10)*(1+Sens!F2923)</f>
        <v>8.75372082474227</v>
      </c>
      <c r="G2922" s="6" t="n">
        <f aca="false">Sens!F2922*(1+Sens!G2923)</f>
        <v>9.33399324642364</v>
      </c>
      <c r="H2922" s="6" t="n">
        <f aca="false">Sens!G2922*(1+Sens!H2923)</f>
        <v>9.96139155535851</v>
      </c>
      <c r="I2922" s="6" t="n">
        <f aca="false">Sens!H2922*(1+Sens!I2923)</f>
        <v>10.6402039077391</v>
      </c>
      <c r="J2922" s="6" t="n">
        <f aca="false">Sens!I2922*(1+Sens!J2923)</f>
        <v>11.3751458271397</v>
      </c>
      <c r="K2922" s="6" t="n">
        <f aca="false">Sens!J2922*(1+Sens!K2923)</f>
        <v>12.1714060350394</v>
      </c>
      <c r="L2922" s="12" t="s">
        <v>1034</v>
      </c>
    </row>
    <row r="2923" customFormat="false" ht="15" hidden="false" customHeight="false" outlineLevel="0" collapsed="false">
      <c r="A2923" s="1" t="s">
        <v>1024</v>
      </c>
      <c r="B2923" s="0" t="s">
        <v>168</v>
      </c>
      <c r="E2923" s="7" t="n">
        <f aca="false">Sens!E2922/Sens!D2922-1</f>
        <v>0.0644329896907216</v>
      </c>
      <c r="F2923" s="7" t="n">
        <f aca="false">Sens!$E$2923+(glt_fro-Sens!$E$2923)*MIN(1,(Sens!F2868-base_fy)/n_conv)</f>
        <v>0.065360824742268</v>
      </c>
      <c r="G2923" s="7" t="n">
        <f aca="false">Sens!$E$2923+(glt_fro-Sens!$E$2923)*MIN(1,(Sens!G2868-base_fy)/n_conv)</f>
        <v>0.0662886597938144</v>
      </c>
      <c r="H2923" s="7" t="n">
        <f aca="false">Sens!$E$2923+(glt_fro-Sens!$E$2923)*MIN(1,(Sens!H2868-base_fy)/n_conv)</f>
        <v>0.0672164948453608</v>
      </c>
      <c r="I2923" s="7" t="n">
        <f aca="false">Sens!$E$2923+(glt_fro-Sens!$E$2923)*MIN(1,(Sens!I2868-base_fy)/n_conv)</f>
        <v>0.0681443298969072</v>
      </c>
      <c r="J2923" s="7" t="n">
        <f aca="false">Sens!$E$2923+(glt_fro-Sens!$E$2923)*MIN(1,(Sens!J2868-base_fy)/n_conv)</f>
        <v>0.0690721649484536</v>
      </c>
      <c r="K2923" s="7" t="n">
        <f aca="false">Sens!$E$2923+(glt_fro-Sens!$E$2923)*MIN(1,(Sens!K2868-base_fy)/n_conv)</f>
        <v>0.07</v>
      </c>
    </row>
    <row r="2924" customFormat="false" ht="15" hidden="false" customHeight="false" outlineLevel="0" collapsed="false">
      <c r="A2924" s="0" t="s">
        <v>852</v>
      </c>
      <c r="B2924" s="0" t="s">
        <v>98</v>
      </c>
      <c r="D2924" s="6" t="n">
        <f aca="false">Sens!D2912+Sens!D2917+Sens!D2918+Sens!D2920+Sens!D2922</f>
        <v>218.783</v>
      </c>
      <c r="E2924" s="6" t="n">
        <f aca="false">Sens!E2912+Sens!E2917+Sens!E2918+Sens!E2920+Sens!E2922</f>
        <v>268.127</v>
      </c>
      <c r="F2924" s="6" t="n">
        <f aca="false">Sens!F2912+Sens!F2917+Sens!F2918+Sens!F2920+Sens!F2922</f>
        <v>330.145282059882</v>
      </c>
      <c r="G2924" s="6" t="n">
        <f aca="false">Sens!G2912+Sens!G2917+Sens!G2918+Sens!G2920+Sens!G2922</f>
        <v>392.656759865851</v>
      </c>
      <c r="H2924" s="6" t="n">
        <f aca="false">Sens!H2912+Sens!H2917+Sens!H2918+Sens!H2920+Sens!H2922</f>
        <v>450.544273297982</v>
      </c>
      <c r="I2924" s="6" t="n">
        <f aca="false">Sens!I2912+Sens!I2917+Sens!I2918+Sens!I2920+Sens!I2922</f>
        <v>510.69213512593</v>
      </c>
      <c r="J2924" s="6" t="n">
        <f aca="false">Sens!J2912+Sens!J2917+Sens!J2918+Sens!J2920+Sens!J2922</f>
        <v>560.416732629406</v>
      </c>
      <c r="K2924" s="6" t="n">
        <f aca="false">Sens!K2912+Sens!K2917+Sens!K2918+Sens!K2920+Sens!K2922</f>
        <v>600.132410592692</v>
      </c>
    </row>
    <row r="2925" customFormat="false" ht="17.15" hidden="false" customHeight="false" outlineLevel="0" collapsed="false">
      <c r="A2925" s="0" t="s">
        <v>1037</v>
      </c>
      <c r="B2925" s="0" t="s">
        <v>98</v>
      </c>
      <c r="D2925" s="6" t="n">
        <f aca="false">Q!L13</f>
        <v>22.171</v>
      </c>
      <c r="E2925" s="6" t="n">
        <f aca="false">Q!M13</f>
        <v>24.835</v>
      </c>
      <c r="F2925" s="6" t="n">
        <f aca="false">Q!$I$13+(Q!M13-Q!$E$13)*(1+Sens!F2926)</f>
        <v>27.5591895660247</v>
      </c>
      <c r="G2925" s="6" t="n">
        <f aca="false">Sens!F2925*(1+Sens!G2926)</f>
        <v>30.4098563144583</v>
      </c>
      <c r="H2925" s="6" t="n">
        <f aca="false">Sens!G2925*(1+Sens!H2926)</f>
        <v>33.3011792571777</v>
      </c>
      <c r="I2925" s="6" t="n">
        <f aca="false">Sens!H2925*(1+Sens!I2926)</f>
        <v>36.189023797112</v>
      </c>
      <c r="J2925" s="6" t="n">
        <f aca="false">Sens!I2925*(1+Sens!J2926)</f>
        <v>39.0247773769199</v>
      </c>
      <c r="K2925" s="6" t="n">
        <f aca="false">Sens!J2925*(1+Sens!K2926)</f>
        <v>41.7565117933043</v>
      </c>
      <c r="L2925" s="12" t="s">
        <v>1034</v>
      </c>
    </row>
    <row r="2926" customFormat="false" ht="15" hidden="false" customHeight="false" outlineLevel="0" collapsed="false">
      <c r="A2926" s="1" t="s">
        <v>1024</v>
      </c>
      <c r="B2926" s="0" t="s">
        <v>168</v>
      </c>
      <c r="E2926" s="7" t="n">
        <f aca="false">Sens!E2925/Sens!D2925-1</f>
        <v>0.120156961796942</v>
      </c>
      <c r="F2926" s="7" t="n">
        <f aca="false">Sens!$E$2926+(glt_srch-Sens!$E$2926)*MIN(1,(Sens!F2868-base_fy)/n_conv)</f>
        <v>0.111797468164118</v>
      </c>
      <c r="G2926" s="7" t="n">
        <f aca="false">Sens!$E$2926+(glt_srch-Sens!$E$2926)*MIN(1,(Sens!G2868-base_fy)/n_conv)</f>
        <v>0.103437974531295</v>
      </c>
      <c r="H2926" s="7" t="n">
        <f aca="false">Sens!$E$2926+(glt_srch-Sens!$E$2926)*MIN(1,(Sens!H2868-base_fy)/n_conv)</f>
        <v>0.095078480898471</v>
      </c>
      <c r="I2926" s="7" t="n">
        <f aca="false">Sens!$E$2926+(glt_srch-Sens!$E$2926)*MIN(1,(Sens!I2868-base_fy)/n_conv)</f>
        <v>0.0867189872656474</v>
      </c>
      <c r="J2926" s="7" t="n">
        <f aca="false">Sens!$E$2926+(glt_srch-Sens!$E$2926)*MIN(1,(Sens!J2868-base_fy)/n_conv)</f>
        <v>0.0783594936328237</v>
      </c>
      <c r="K2926" s="7" t="n">
        <f aca="false">Sens!$E$2926+(glt_srch-Sens!$E$2926)*MIN(1,(Sens!K2868-base_fy)/n_conv)</f>
        <v>0.07</v>
      </c>
    </row>
    <row r="2927" customFormat="false" ht="17.15" hidden="false" customHeight="false" outlineLevel="0" collapsed="false">
      <c r="A2927" s="0" t="s">
        <v>1038</v>
      </c>
      <c r="B2927" s="0" t="s">
        <v>98</v>
      </c>
      <c r="D2927" s="6" t="n">
        <f aca="false">Q!L14</f>
        <v>23.455</v>
      </c>
      <c r="E2927" s="6" t="n">
        <f aca="false">Q!M14</f>
        <v>21.79</v>
      </c>
      <c r="F2927" s="6" t="n">
        <f aca="false">Q!$I$14+(Q!M14-Q!$E$14)*(1+Sens!F2928)</f>
        <v>20.7520981041711</v>
      </c>
      <c r="G2927" s="6" t="n">
        <f aca="false">Sens!F2927*(1+Sens!G2928)</f>
        <v>19.9083593495882</v>
      </c>
      <c r="H2927" s="6" t="n">
        <f aca="false">Sens!G2927*(1+Sens!H2928)</f>
        <v>19.4008256265831</v>
      </c>
      <c r="I2927" s="6" t="n">
        <f aca="false">Sens!H2927*(1+Sens!I2928)</f>
        <v>19.200434522122</v>
      </c>
      <c r="J2927" s="6" t="n">
        <f aca="false">Sens!I2927*(1+Sens!J2928)</f>
        <v>19.2932782348507</v>
      </c>
      <c r="K2927" s="6" t="n">
        <f aca="false">Sens!J2927*(1+Sens!K2928)</f>
        <v>19.6791437995477</v>
      </c>
      <c r="L2927" s="12" t="s">
        <v>1034</v>
      </c>
    </row>
    <row r="2928" customFormat="false" ht="15" hidden="false" customHeight="false" outlineLevel="0" collapsed="false">
      <c r="A2928" s="1" t="s">
        <v>1024</v>
      </c>
      <c r="B2928" s="0" t="s">
        <v>168</v>
      </c>
      <c r="E2928" s="7" t="n">
        <f aca="false">Sens!E2927/Sens!D2927-1</f>
        <v>-0.0709869963760392</v>
      </c>
      <c r="F2928" s="7" t="n">
        <f aca="false">Sens!$E$2928+(glt_xbox-Sens!$E$2928)*MIN(1,(Sens!F2868-base_fy)/n_conv)</f>
        <v>-0.0558224969800327</v>
      </c>
      <c r="G2928" s="7" t="n">
        <f aca="false">Sens!$E$2928+(glt_xbox-Sens!$E$2928)*MIN(1,(Sens!G2868-base_fy)/n_conv)</f>
        <v>-0.0406579975840262</v>
      </c>
      <c r="H2928" s="7" t="n">
        <f aca="false">Sens!$E$2928+(glt_xbox-Sens!$E$2928)*MIN(1,(Sens!H2868-base_fy)/n_conv)</f>
        <v>-0.0254934981880196</v>
      </c>
      <c r="I2928" s="7" t="n">
        <f aca="false">Sens!$E$2928+(glt_xbox-Sens!$E$2928)*MIN(1,(Sens!I2868-base_fy)/n_conv)</f>
        <v>-0.0103289987920131</v>
      </c>
      <c r="J2928" s="7" t="n">
        <f aca="false">Sens!$E$2928+(glt_xbox-Sens!$E$2928)*MIN(1,(Sens!J2868-base_fy)/n_conv)</f>
        <v>0.00483550060399347</v>
      </c>
      <c r="K2928" s="7" t="n">
        <f aca="false">Sens!$E$2928+(glt_xbox-Sens!$E$2928)*MIN(1,(Sens!K2868-base_fy)/n_conv)</f>
        <v>0.02</v>
      </c>
    </row>
    <row r="2929" customFormat="false" ht="17.15" hidden="false" customHeight="false" outlineLevel="0" collapsed="false">
      <c r="A2929" s="0" t="s">
        <v>1039</v>
      </c>
      <c r="B2929" s="0" t="s">
        <v>98</v>
      </c>
      <c r="D2929" s="6" t="n">
        <f aca="false">Q!L15</f>
        <v>17.315</v>
      </c>
      <c r="E2929" s="6" t="n">
        <f aca="false">Q!M15</f>
        <v>17.087</v>
      </c>
      <c r="F2929" s="6" t="n">
        <f aca="false">Q!$I$15+(Q!M15-Q!$E$15)*(1+Sens!F2930)</f>
        <v>15.9912273250553</v>
      </c>
      <c r="G2929" s="6" t="n">
        <f aca="false">Sens!F2929*(1+Sens!G2930)</f>
        <v>15.9574562664827</v>
      </c>
      <c r="H2929" s="6" t="n">
        <f aca="false">Sens!G2929*(1+Sens!H2930)</f>
        <v>16.0119687434196</v>
      </c>
      <c r="I2929" s="6" t="n">
        <f aca="false">Sens!H2929*(1+Sens!I2930)</f>
        <v>16.1551810001948</v>
      </c>
      <c r="J2929" s="6" t="n">
        <f aca="false">Sens!I2929*(1+Sens!J2930)</f>
        <v>16.3889793892005</v>
      </c>
      <c r="K2929" s="6" t="n">
        <f aca="false">Sens!J2929*(1+Sens!K2930)</f>
        <v>16.7167589769845</v>
      </c>
      <c r="L2929" s="12" t="s">
        <v>1034</v>
      </c>
    </row>
    <row r="2930" customFormat="false" ht="15" hidden="false" customHeight="false" outlineLevel="0" collapsed="false">
      <c r="A2930" s="1" t="s">
        <v>1024</v>
      </c>
      <c r="B2930" s="0" t="s">
        <v>168</v>
      </c>
      <c r="E2930" s="7" t="n">
        <f aca="false">Sens!E2929/Sens!D2929-1</f>
        <v>-0.0131677736066995</v>
      </c>
      <c r="F2930" s="7" t="n">
        <f aca="false">Sens!$E$2930+(glt_win-Sens!$E$2930)*MIN(1,(Sens!F2868-base_fy)/n_conv)</f>
        <v>-0.00763981133891627</v>
      </c>
      <c r="G2930" s="7" t="n">
        <f aca="false">Sens!$E$2930+(glt_win-Sens!$E$2930)*MIN(1,(Sens!G2868-base_fy)/n_conv)</f>
        <v>-0.00211184907113301</v>
      </c>
      <c r="H2930" s="7" t="n">
        <f aca="false">Sens!$E$2930+(glt_win-Sens!$E$2930)*MIN(1,(Sens!H2868-base_fy)/n_conv)</f>
        <v>0.00341611319665024</v>
      </c>
      <c r="I2930" s="7" t="n">
        <f aca="false">Sens!$E$2930+(glt_win-Sens!$E$2930)*MIN(1,(Sens!I2868-base_fy)/n_conv)</f>
        <v>0.00894407546443349</v>
      </c>
      <c r="J2930" s="7" t="n">
        <f aca="false">Sens!$E$2930+(glt_win-Sens!$E$2930)*MIN(1,(Sens!J2868-base_fy)/n_conv)</f>
        <v>0.0144720377322168</v>
      </c>
      <c r="K2930" s="7" t="n">
        <f aca="false">Sens!$E$2930+(glt_win-Sens!$E$2930)*MIN(1,(Sens!K2868-base_fy)/n_conv)</f>
        <v>0.02</v>
      </c>
    </row>
    <row r="2931" customFormat="false" ht="15" hidden="false" customHeight="false" outlineLevel="0" collapsed="false">
      <c r="A2931" s="0" t="s">
        <v>866</v>
      </c>
      <c r="B2931" s="0" t="s">
        <v>98</v>
      </c>
      <c r="D2931" s="6" t="n">
        <f aca="false">Sens!D2925+Sens!D2927+Sens!D2929</f>
        <v>62.941</v>
      </c>
      <c r="E2931" s="6" t="n">
        <f aca="false">Sens!E2925+Sens!E2927+Sens!E2929</f>
        <v>63.712</v>
      </c>
      <c r="F2931" s="6" t="n">
        <f aca="false">Sens!F2925+Sens!F2927+Sens!F2929</f>
        <v>64.3025149952511</v>
      </c>
      <c r="G2931" s="6" t="n">
        <f aca="false">Sens!G2925+Sens!G2927+Sens!G2929</f>
        <v>66.2756719305292</v>
      </c>
      <c r="H2931" s="6" t="n">
        <f aca="false">Sens!H2925+Sens!H2927+Sens!H2929</f>
        <v>68.7139736271804</v>
      </c>
      <c r="I2931" s="6" t="n">
        <f aca="false">Sens!I2925+Sens!I2927+Sens!I2929</f>
        <v>71.5446393194289</v>
      </c>
      <c r="J2931" s="6" t="n">
        <f aca="false">Sens!J2925+Sens!J2927+Sens!J2929</f>
        <v>74.707035000971</v>
      </c>
      <c r="K2931" s="6" t="n">
        <f aca="false">Sens!K2925+Sens!K2927+Sens!K2929</f>
        <v>78.1524145698365</v>
      </c>
    </row>
    <row r="2932" customFormat="false" ht="15" hidden="false" customHeight="false" outlineLevel="0" collapsed="false">
      <c r="A2932" s="1" t="s">
        <v>1040</v>
      </c>
      <c r="B2932" s="0" t="s">
        <v>98</v>
      </c>
      <c r="D2932" s="6" t="n">
        <f aca="false">Sens!D2924+Sens!D2931</f>
        <v>281.724</v>
      </c>
      <c r="E2932" s="6" t="n">
        <f aca="false">Sens!E2924+Sens!E2931</f>
        <v>331.839</v>
      </c>
      <c r="F2932" s="6" t="n">
        <f aca="false">Sens!F2924+Sens!F2931</f>
        <v>394.447797055133</v>
      </c>
      <c r="G2932" s="6" t="n">
        <f aca="false">Sens!G2924+Sens!G2931</f>
        <v>458.93243179638</v>
      </c>
      <c r="H2932" s="6" t="n">
        <f aca="false">Sens!H2924+Sens!H2931</f>
        <v>519.258246925162</v>
      </c>
      <c r="I2932" s="6" t="n">
        <f aca="false">Sens!I2924+Sens!I2931</f>
        <v>582.236774445359</v>
      </c>
      <c r="J2932" s="6" t="n">
        <f aca="false">Sens!J2924+Sens!J2931</f>
        <v>635.123767630377</v>
      </c>
      <c r="K2932" s="6" t="n">
        <f aca="false">Sens!K2924+Sens!K2931</f>
        <v>678.284825162529</v>
      </c>
    </row>
    <row r="2933" customFormat="false" ht="15" hidden="false" customHeight="false" outlineLevel="0" collapsed="false">
      <c r="A2933" s="26" t="s">
        <v>1041</v>
      </c>
      <c r="B2933" s="31" t="s">
        <v>98</v>
      </c>
      <c r="C2933" s="31"/>
      <c r="D2933" s="27" t="n">
        <f aca="false">(Sens!D2912+Sens!D2917+Sens!D2918+Sens!D2920+Sens!D2922-Sens!D2924)+(Sens!D2925+Sens!D2927+Sens!D2929-Sens!D2931)+(Sens!D2924-Q!L5)+(Sens!D2931-Q!L12)+(Sens!D2912-Q!L6)+(Sens!D2917-Q!L7)</f>
        <v>0</v>
      </c>
      <c r="E2933" s="27" t="n">
        <f aca="false">(Sens!E2912+Sens!E2917+Sens!E2918+Sens!E2920+Sens!E2922-Sens!E2924)+(Sens!E2925+Sens!E2927+Sens!E2929-Sens!E2931)+(Sens!E2924-Q!M5)+(Sens!E2931-Q!M12)+(Sens!E2912-Q!M6)+(Sens!E2917-Q!M7)</f>
        <v>0</v>
      </c>
      <c r="F2933" s="27" t="n">
        <f aca="false">(Sens!F2912+Sens!F2917+Sens!F2918+Sens!F2920+Sens!F2922-Sens!F2924)+(Sens!F2925+Sens!F2927+Sens!F2929-Sens!F2931)</f>
        <v>0</v>
      </c>
      <c r="G2933" s="27" t="n">
        <f aca="false">(Sens!G2912+Sens!G2917+Sens!G2918+Sens!G2920+Sens!G2922-Sens!G2924)+(Sens!G2925+Sens!G2927+Sens!G2929-Sens!G2931)</f>
        <v>0</v>
      </c>
      <c r="H2933" s="27" t="n">
        <f aca="false">(Sens!H2912+Sens!H2917+Sens!H2918+Sens!H2920+Sens!H2922-Sens!H2924)+(Sens!H2925+Sens!H2927+Sens!H2929-Sens!H2931)</f>
        <v>0</v>
      </c>
      <c r="I2933" s="27" t="n">
        <f aca="false">(Sens!I2912+Sens!I2917+Sens!I2918+Sens!I2920+Sens!I2922-Sens!I2924)+(Sens!I2925+Sens!I2927+Sens!I2929-Sens!I2931)</f>
        <v>0</v>
      </c>
      <c r="J2933" s="27" t="n">
        <f aca="false">(Sens!J2912+Sens!J2917+Sens!J2918+Sens!J2920+Sens!J2922-Sens!J2924)+(Sens!J2925+Sens!J2927+Sens!J2929-Sens!J2931)</f>
        <v>0</v>
      </c>
      <c r="K2933" s="27" t="n">
        <f aca="false">(Sens!K2912+Sens!K2917+Sens!K2918+Sens!K2920+Sens!K2922-Sens!K2924)+(Sens!K2925+Sens!K2927+Sens!K2929-Sens!K2931)</f>
        <v>0</v>
      </c>
    </row>
    <row r="2934" customFormat="false" ht="17.15" hidden="false" customHeight="false" outlineLevel="0" collapsed="false">
      <c r="A2934" s="3" t="s">
        <v>1552</v>
      </c>
    </row>
    <row r="2935" customFormat="false" ht="15" hidden="false" customHeight="false" outlineLevel="0" collapsed="false">
      <c r="A2935" s="4" t="s">
        <v>43</v>
      </c>
      <c r="B2935" s="4" t="s">
        <v>65</v>
      </c>
      <c r="C2935" s="23" t="s">
        <v>938</v>
      </c>
      <c r="D2935" s="23" t="s">
        <v>939</v>
      </c>
      <c r="E2935" s="23" t="s">
        <v>940</v>
      </c>
      <c r="F2935" s="23" t="s">
        <v>941</v>
      </c>
      <c r="G2935" s="23" t="s">
        <v>942</v>
      </c>
      <c r="H2935" s="23" t="s">
        <v>943</v>
      </c>
      <c r="I2935" s="23" t="s">
        <v>944</v>
      </c>
      <c r="J2935" s="23" t="s">
        <v>945</v>
      </c>
      <c r="K2935" s="23" t="s">
        <v>946</v>
      </c>
      <c r="L2935" s="4" t="s">
        <v>47</v>
      </c>
    </row>
    <row r="2936" customFormat="false" ht="15" hidden="false" customHeight="false" outlineLevel="0" collapsed="false">
      <c r="A2936" s="0" t="s">
        <v>1025</v>
      </c>
      <c r="B2936" s="0" t="s">
        <v>98</v>
      </c>
      <c r="D2936" s="6" t="n">
        <f aca="false">Sens!D2912</f>
        <v>72.61</v>
      </c>
      <c r="E2936" s="6" t="n">
        <f aca="false">Sens!E2912</f>
        <v>101.938</v>
      </c>
      <c r="F2936" s="6" t="n">
        <f aca="false">Sens!F2912</f>
        <v>143.251883553698</v>
      </c>
      <c r="G2936" s="6" t="n">
        <f aca="false">Sens!G2912</f>
        <v>186.322520879442</v>
      </c>
      <c r="H2936" s="6" t="n">
        <f aca="false">Sens!H2912</f>
        <v>224.74279426379</v>
      </c>
      <c r="I2936" s="6" t="n">
        <f aca="false">Sens!I2912</f>
        <v>266.443497823359</v>
      </c>
      <c r="J2936" s="6" t="n">
        <f aca="false">Sens!J2912</f>
        <v>299.06102493502</v>
      </c>
      <c r="K2936" s="6" t="n">
        <f aca="false">Sens!K2912</f>
        <v>322.592740225023</v>
      </c>
    </row>
    <row r="2937" customFormat="false" ht="17.15" hidden="false" customHeight="false" outlineLevel="0" collapsed="false">
      <c r="A2937" s="0" t="s">
        <v>1021</v>
      </c>
      <c r="B2937" s="0" t="s">
        <v>98</v>
      </c>
      <c r="D2937" s="6" t="n">
        <f aca="false">Sens!D2909</f>
        <v>12.9359794422418</v>
      </c>
      <c r="E2937" s="6" t="n">
        <f aca="false">Sens!E2909</f>
        <v>27.8095064661409</v>
      </c>
      <c r="F2937" s="6" t="n">
        <f aca="false">Sens!F2909</f>
        <v>50.9819294352312</v>
      </c>
      <c r="G2937" s="6" t="n">
        <f aca="false">Sens!G2909</f>
        <v>76.6920436014933</v>
      </c>
      <c r="H2937" s="6" t="n">
        <f aca="false">Sens!H2909</f>
        <v>97.4495379418341</v>
      </c>
      <c r="I2937" s="6" t="n">
        <f aca="false">Sens!I2909</f>
        <v>122.083445553868</v>
      </c>
      <c r="J2937" s="6" t="n">
        <f aca="false">Sens!J2909</f>
        <v>139.249060444804</v>
      </c>
      <c r="K2937" s="6" t="n">
        <f aca="false">Sens!K2909</f>
        <v>149.995818575589</v>
      </c>
    </row>
    <row r="2938" customFormat="false" ht="17.15" hidden="false" customHeight="false" outlineLevel="0" collapsed="false">
      <c r="A2938" s="0" t="s">
        <v>1052</v>
      </c>
      <c r="B2938" s="0" t="s">
        <v>98</v>
      </c>
      <c r="D2938" s="6" t="n">
        <f aca="false">Sens!D2910</f>
        <v>59.6740205577583</v>
      </c>
      <c r="E2938" s="6" t="n">
        <f aca="false">Sens!E2910</f>
        <v>74.1284935338591</v>
      </c>
      <c r="F2938" s="6" t="n">
        <f aca="false">Sens!F2910</f>
        <v>92.2699541184664</v>
      </c>
      <c r="G2938" s="6" t="n">
        <f aca="false">Sens!G2910</f>
        <v>109.630477277949</v>
      </c>
      <c r="H2938" s="6" t="n">
        <f aca="false">Sens!H2910</f>
        <v>127.293256321956</v>
      </c>
      <c r="I2938" s="6" t="n">
        <f aca="false">Sens!I2910</f>
        <v>144.360052269491</v>
      </c>
      <c r="J2938" s="6" t="n">
        <f aca="false">Sens!J2910</f>
        <v>159.811964490216</v>
      </c>
      <c r="K2938" s="6" t="n">
        <f aca="false">Sens!K2910</f>
        <v>172.596921649434</v>
      </c>
    </row>
    <row r="2939" customFormat="false" ht="15" hidden="false" customHeight="false" outlineLevel="0" collapsed="false">
      <c r="A2939" s="0" t="s">
        <v>1032</v>
      </c>
      <c r="B2939" s="0" t="s">
        <v>98</v>
      </c>
      <c r="D2939" s="6" t="n">
        <f aca="false">Sens!D2917</f>
        <v>84.605</v>
      </c>
      <c r="E2939" s="6" t="n">
        <f aca="false">Sens!E2917</f>
        <v>100.299</v>
      </c>
      <c r="F2939" s="6" t="n">
        <f aca="false">Sens!F2917</f>
        <v>117.438354189776</v>
      </c>
      <c r="G2939" s="6" t="n">
        <f aca="false">Sens!G2917</f>
        <v>132.595360443801</v>
      </c>
      <c r="H2939" s="6" t="n">
        <f aca="false">Sens!H2917</f>
        <v>147.833811964563</v>
      </c>
      <c r="I2939" s="6" t="n">
        <f aca="false">Sens!I2917</f>
        <v>162.145665319381</v>
      </c>
      <c r="J2939" s="6" t="n">
        <f aca="false">Sens!J2917</f>
        <v>175.249327755573</v>
      </c>
      <c r="K2939" s="6" t="n">
        <f aca="false">Sens!K2917</f>
        <v>187.599280698463</v>
      </c>
    </row>
    <row r="2940" customFormat="false" ht="17.15" hidden="false" customHeight="false" outlineLevel="0" collapsed="false">
      <c r="A2940" s="0" t="s">
        <v>1053</v>
      </c>
      <c r="B2940" s="0" t="s">
        <v>98</v>
      </c>
      <c r="D2940" s="6" t="n">
        <f aca="false">Sens!D2915</f>
        <v>83.705</v>
      </c>
      <c r="E2940" s="6" t="n">
        <f aca="false">Sens!E2915</f>
        <v>95.049</v>
      </c>
      <c r="F2940" s="6" t="n">
        <f aca="false">Sens!F2915</f>
        <v>106.938354189776</v>
      </c>
      <c r="G2940" s="6" t="n">
        <f aca="false">Sens!G2915</f>
        <v>119.095360443801</v>
      </c>
      <c r="H2940" s="6" t="n">
        <f aca="false">Sens!H2915</f>
        <v>131.333811964563</v>
      </c>
      <c r="I2940" s="6" t="n">
        <f aca="false">Sens!I2915</f>
        <v>143.395665319381</v>
      </c>
      <c r="J2940" s="6" t="n">
        <f aca="false">Sens!J2915</f>
        <v>154.999327755573</v>
      </c>
      <c r="K2940" s="6" t="n">
        <f aca="false">Sens!K2915</f>
        <v>165.849280698463</v>
      </c>
    </row>
    <row r="2941" customFormat="false" ht="17.15" hidden="false" customHeight="false" outlineLevel="0" collapsed="false">
      <c r="A2941" s="0" t="s">
        <v>1054</v>
      </c>
      <c r="B2941" s="0" t="s">
        <v>98</v>
      </c>
      <c r="D2941" s="6" t="n">
        <f aca="false">Sens!D2914</f>
        <v>0.9</v>
      </c>
      <c r="E2941" s="6" t="n">
        <f aca="false">Sens!E2914</f>
        <v>5.25</v>
      </c>
      <c r="F2941" s="6" t="n">
        <f aca="false">Sens!F2914</f>
        <v>10.5</v>
      </c>
      <c r="G2941" s="6" t="n">
        <f aca="false">Sens!G2914</f>
        <v>13.5</v>
      </c>
      <c r="H2941" s="6" t="n">
        <f aca="false">Sens!H2914</f>
        <v>16.5</v>
      </c>
      <c r="I2941" s="6" t="n">
        <f aca="false">Sens!I2914</f>
        <v>18.75</v>
      </c>
      <c r="J2941" s="6" t="n">
        <f aca="false">Sens!J2914</f>
        <v>20.25</v>
      </c>
      <c r="K2941" s="6" t="n">
        <f aca="false">Sens!K2914</f>
        <v>21.75</v>
      </c>
    </row>
    <row r="2942" customFormat="false" ht="15" hidden="false" customHeight="false" outlineLevel="0" collapsed="false">
      <c r="A2942" s="0" t="s">
        <v>1033</v>
      </c>
      <c r="B2942" s="0" t="s">
        <v>98</v>
      </c>
      <c r="D2942" s="6" t="n">
        <f aca="false">Sens!D2918</f>
        <v>35.391</v>
      </c>
      <c r="E2942" s="6" t="n">
        <f aca="false">Sens!E2918</f>
        <v>37.285</v>
      </c>
      <c r="F2942" s="6" t="n">
        <f aca="false">Sens!F2918</f>
        <v>38.3851437782675</v>
      </c>
      <c r="G2942" s="6" t="n">
        <f aca="false">Sens!G2918</f>
        <v>40.0105353288615</v>
      </c>
      <c r="H2942" s="6" t="n">
        <f aca="false">Sens!H2918</f>
        <v>41.4812512033683</v>
      </c>
      <c r="I2942" s="6" t="n">
        <f aca="false">Sens!I2918</f>
        <v>42.7743107216329</v>
      </c>
      <c r="J2942" s="6" t="n">
        <f aca="false">Sens!J2918</f>
        <v>43.8687373064601</v>
      </c>
      <c r="K2942" s="6" t="n">
        <f aca="false">Sens!K2918</f>
        <v>44.7461120525893</v>
      </c>
    </row>
    <row r="2943" customFormat="false" ht="15" hidden="false" customHeight="false" outlineLevel="0" collapsed="false">
      <c r="A2943" s="0" t="s">
        <v>1035</v>
      </c>
      <c r="B2943" s="0" t="s">
        <v>98</v>
      </c>
      <c r="D2943" s="6" t="n">
        <f aca="false">Sens!D2920</f>
        <v>18.417</v>
      </c>
      <c r="E2943" s="6" t="n">
        <f aca="false">Sens!E2920</f>
        <v>20.345</v>
      </c>
      <c r="F2943" s="6" t="n">
        <f aca="false">Sens!F2920</f>
        <v>22.3161797133988</v>
      </c>
      <c r="G2943" s="6" t="n">
        <f aca="false">Sens!G2920</f>
        <v>24.3943499673233</v>
      </c>
      <c r="H2943" s="6" t="n">
        <f aca="false">Sens!H2920</f>
        <v>26.5250243109019</v>
      </c>
      <c r="I2943" s="6" t="n">
        <f aca="false">Sens!I2920</f>
        <v>28.6884573538181</v>
      </c>
      <c r="J2943" s="6" t="n">
        <f aca="false">Sens!J2920</f>
        <v>30.8624968052127</v>
      </c>
      <c r="K2943" s="6" t="n">
        <f aca="false">Sens!K2920</f>
        <v>33.0228715815776</v>
      </c>
    </row>
    <row r="2944" customFormat="false" ht="15" hidden="false" customHeight="false" outlineLevel="0" collapsed="false">
      <c r="A2944" s="0" t="s">
        <v>1036</v>
      </c>
      <c r="B2944" s="0" t="s">
        <v>98</v>
      </c>
      <c r="D2944" s="6" t="n">
        <f aca="false">Sens!D2922</f>
        <v>7.76</v>
      </c>
      <c r="E2944" s="6" t="n">
        <f aca="false">Sens!E2922</f>
        <v>8.26</v>
      </c>
      <c r="F2944" s="6" t="n">
        <f aca="false">Sens!F2922</f>
        <v>8.75372082474227</v>
      </c>
      <c r="G2944" s="6" t="n">
        <f aca="false">Sens!G2922</f>
        <v>9.33399324642364</v>
      </c>
      <c r="H2944" s="6" t="n">
        <f aca="false">Sens!H2922</f>
        <v>9.96139155535851</v>
      </c>
      <c r="I2944" s="6" t="n">
        <f aca="false">Sens!I2922</f>
        <v>10.6402039077391</v>
      </c>
      <c r="J2944" s="6" t="n">
        <f aca="false">Sens!J2922</f>
        <v>11.3751458271397</v>
      </c>
      <c r="K2944" s="6" t="n">
        <f aca="false">Sens!K2922</f>
        <v>12.1714060350394</v>
      </c>
    </row>
    <row r="2945" customFormat="false" ht="15" hidden="false" customHeight="false" outlineLevel="0" collapsed="false">
      <c r="A2945" s="0" t="s">
        <v>852</v>
      </c>
      <c r="B2945" s="0" t="s">
        <v>98</v>
      </c>
      <c r="D2945" s="6" t="n">
        <f aca="false">Sens!D2924</f>
        <v>218.783</v>
      </c>
      <c r="E2945" s="6" t="n">
        <f aca="false">Sens!E2924</f>
        <v>268.127</v>
      </c>
      <c r="F2945" s="6" t="n">
        <f aca="false">Sens!F2924</f>
        <v>330.145282059882</v>
      </c>
      <c r="G2945" s="6" t="n">
        <f aca="false">Sens!G2924</f>
        <v>392.656759865851</v>
      </c>
      <c r="H2945" s="6" t="n">
        <f aca="false">Sens!H2924</f>
        <v>450.544273297982</v>
      </c>
      <c r="I2945" s="6" t="n">
        <f aca="false">Sens!I2924</f>
        <v>510.69213512593</v>
      </c>
      <c r="J2945" s="6" t="n">
        <f aca="false">Sens!J2924</f>
        <v>560.416732629406</v>
      </c>
      <c r="K2945" s="6" t="n">
        <f aca="false">Sens!K2924</f>
        <v>600.132410592692</v>
      </c>
    </row>
    <row r="2946" customFormat="false" ht="15" hidden="false" customHeight="false" outlineLevel="0" collapsed="false">
      <c r="A2946" s="0" t="s">
        <v>1037</v>
      </c>
      <c r="B2946" s="0" t="s">
        <v>98</v>
      </c>
      <c r="D2946" s="6" t="n">
        <f aca="false">Sens!D2925</f>
        <v>22.171</v>
      </c>
      <c r="E2946" s="6" t="n">
        <f aca="false">Sens!E2925</f>
        <v>24.835</v>
      </c>
      <c r="F2946" s="6" t="n">
        <f aca="false">Sens!F2925</f>
        <v>27.5591895660247</v>
      </c>
      <c r="G2946" s="6" t="n">
        <f aca="false">Sens!G2925</f>
        <v>30.4098563144583</v>
      </c>
      <c r="H2946" s="6" t="n">
        <f aca="false">Sens!H2925</f>
        <v>33.3011792571777</v>
      </c>
      <c r="I2946" s="6" t="n">
        <f aca="false">Sens!I2925</f>
        <v>36.189023797112</v>
      </c>
      <c r="J2946" s="6" t="n">
        <f aca="false">Sens!J2925</f>
        <v>39.0247773769199</v>
      </c>
      <c r="K2946" s="6" t="n">
        <f aca="false">Sens!K2925</f>
        <v>41.7565117933043</v>
      </c>
    </row>
    <row r="2947" customFormat="false" ht="15" hidden="false" customHeight="false" outlineLevel="0" collapsed="false">
      <c r="A2947" s="0" t="s">
        <v>1038</v>
      </c>
      <c r="B2947" s="0" t="s">
        <v>98</v>
      </c>
      <c r="D2947" s="6" t="n">
        <f aca="false">Sens!D2927</f>
        <v>23.455</v>
      </c>
      <c r="E2947" s="6" t="n">
        <f aca="false">Sens!E2927</f>
        <v>21.79</v>
      </c>
      <c r="F2947" s="6" t="n">
        <f aca="false">Sens!F2927</f>
        <v>20.7520981041711</v>
      </c>
      <c r="G2947" s="6" t="n">
        <f aca="false">Sens!G2927</f>
        <v>19.9083593495882</v>
      </c>
      <c r="H2947" s="6" t="n">
        <f aca="false">Sens!H2927</f>
        <v>19.4008256265831</v>
      </c>
      <c r="I2947" s="6" t="n">
        <f aca="false">Sens!I2927</f>
        <v>19.200434522122</v>
      </c>
      <c r="J2947" s="6" t="n">
        <f aca="false">Sens!J2927</f>
        <v>19.2932782348507</v>
      </c>
      <c r="K2947" s="6" t="n">
        <f aca="false">Sens!K2927</f>
        <v>19.6791437995477</v>
      </c>
    </row>
    <row r="2948" customFormat="false" ht="15" hidden="false" customHeight="false" outlineLevel="0" collapsed="false">
      <c r="A2948" s="0" t="s">
        <v>1039</v>
      </c>
      <c r="B2948" s="0" t="s">
        <v>98</v>
      </c>
      <c r="D2948" s="6" t="n">
        <f aca="false">Sens!D2929</f>
        <v>17.315</v>
      </c>
      <c r="E2948" s="6" t="n">
        <f aca="false">Sens!E2929</f>
        <v>17.087</v>
      </c>
      <c r="F2948" s="6" t="n">
        <f aca="false">Sens!F2929</f>
        <v>15.9912273250553</v>
      </c>
      <c r="G2948" s="6" t="n">
        <f aca="false">Sens!G2929</f>
        <v>15.9574562664827</v>
      </c>
      <c r="H2948" s="6" t="n">
        <f aca="false">Sens!H2929</f>
        <v>16.0119687434196</v>
      </c>
      <c r="I2948" s="6" t="n">
        <f aca="false">Sens!I2929</f>
        <v>16.1551810001948</v>
      </c>
      <c r="J2948" s="6" t="n">
        <f aca="false">Sens!J2929</f>
        <v>16.3889793892005</v>
      </c>
      <c r="K2948" s="6" t="n">
        <f aca="false">Sens!K2929</f>
        <v>16.7167589769845</v>
      </c>
    </row>
    <row r="2949" customFormat="false" ht="15" hidden="false" customHeight="false" outlineLevel="0" collapsed="false">
      <c r="A2949" s="0" t="s">
        <v>866</v>
      </c>
      <c r="B2949" s="0" t="s">
        <v>98</v>
      </c>
      <c r="D2949" s="6" t="n">
        <f aca="false">Sens!D2931</f>
        <v>62.941</v>
      </c>
      <c r="E2949" s="6" t="n">
        <f aca="false">Sens!E2931</f>
        <v>63.712</v>
      </c>
      <c r="F2949" s="6" t="n">
        <f aca="false">Sens!F2931</f>
        <v>64.3025149952511</v>
      </c>
      <c r="G2949" s="6" t="n">
        <f aca="false">Sens!G2931</f>
        <v>66.2756719305292</v>
      </c>
      <c r="H2949" s="6" t="n">
        <f aca="false">Sens!H2931</f>
        <v>68.7139736271804</v>
      </c>
      <c r="I2949" s="6" t="n">
        <f aca="false">Sens!I2931</f>
        <v>71.5446393194289</v>
      </c>
      <c r="J2949" s="6" t="n">
        <f aca="false">Sens!J2931</f>
        <v>74.707035000971</v>
      </c>
      <c r="K2949" s="6" t="n">
        <f aca="false">Sens!K2931</f>
        <v>78.1524145698365</v>
      </c>
    </row>
    <row r="2950" customFormat="false" ht="15" hidden="false" customHeight="false" outlineLevel="0" collapsed="false">
      <c r="A2950" s="1" t="s">
        <v>1055</v>
      </c>
      <c r="B2950" s="0" t="s">
        <v>98</v>
      </c>
      <c r="D2950" s="6" t="n">
        <f aca="false">Sens!D2932</f>
        <v>281.724</v>
      </c>
      <c r="E2950" s="6" t="n">
        <f aca="false">Sens!E2932</f>
        <v>331.839</v>
      </c>
      <c r="F2950" s="6" t="n">
        <f aca="false">Sens!F2932</f>
        <v>394.447797055133</v>
      </c>
      <c r="G2950" s="6" t="n">
        <f aca="false">Sens!G2932</f>
        <v>458.93243179638</v>
      </c>
      <c r="H2950" s="6" t="n">
        <f aca="false">Sens!H2932</f>
        <v>519.258246925162</v>
      </c>
      <c r="I2950" s="6" t="n">
        <f aca="false">Sens!I2932</f>
        <v>582.236774445359</v>
      </c>
      <c r="J2950" s="6" t="n">
        <f aca="false">Sens!J2932</f>
        <v>635.123767630377</v>
      </c>
      <c r="K2950" s="6" t="n">
        <f aca="false">Sens!K2932</f>
        <v>678.284825162529</v>
      </c>
    </row>
    <row r="2951" customFormat="false" ht="15" hidden="false" customHeight="false" outlineLevel="0" collapsed="false">
      <c r="A2951" s="1" t="s">
        <v>1056</v>
      </c>
      <c r="B2951" s="0" t="s">
        <v>168</v>
      </c>
      <c r="E2951" s="7" t="n">
        <f aca="false">Sens!E2950/Sens!D2950-1</f>
        <v>0.177886867998467</v>
      </c>
      <c r="F2951" s="7" t="n">
        <f aca="false">Sens!F2950/Sens!E2950-1</f>
        <v>0.188672208676897</v>
      </c>
      <c r="G2951" s="7" t="n">
        <f aca="false">Sens!G2950/Sens!F2950-1</f>
        <v>0.16348078306604</v>
      </c>
      <c r="H2951" s="7" t="n">
        <f aca="false">Sens!H2950/Sens!G2950-1</f>
        <v>0.131448141271366</v>
      </c>
      <c r="I2951" s="7" t="n">
        <f aca="false">Sens!I2950/Sens!H2950-1</f>
        <v>0.121285560495438</v>
      </c>
      <c r="J2951" s="7" t="n">
        <f aca="false">Sens!J2950/Sens!I2950-1</f>
        <v>0.0908341683422489</v>
      </c>
      <c r="K2951" s="7" t="n">
        <f aca="false">Sens!K2950/Sens!J2950-1</f>
        <v>0.0679569238814417</v>
      </c>
    </row>
    <row r="2952" customFormat="false" ht="17.15" hidden="false" customHeight="false" outlineLevel="0" collapsed="false">
      <c r="A2952" s="26" t="s">
        <v>1057</v>
      </c>
      <c r="B2952" s="31" t="s">
        <v>98</v>
      </c>
      <c r="C2952" s="31"/>
      <c r="D2952" s="27" t="n">
        <f aca="false">(Sens!D2945+Sens!D2949-Sens!D2950)+(Sens!D2937+Sens!D2938-Sens!D2936)+(Sens!D2940+Sens!D2941-Sens!D2939)+(Sens!D2950-Q!L18)</f>
        <v>0</v>
      </c>
      <c r="E2952" s="27" t="n">
        <f aca="false">(Sens!E2945+Sens!E2949-Sens!E2950)+(Sens!E2937+Sens!E2938-Sens!E2936)+(Sens!E2940+Sens!E2941-Sens!E2939)+(Sens!E2950-Q!M18)</f>
        <v>0</v>
      </c>
      <c r="F2952" s="27" t="n">
        <f aca="false">(Sens!F2945+Sens!F2949-Sens!F2950)+(Sens!F2937+Sens!F2938-Sens!F2936)+(Sens!F2940+Sens!F2941-Sens!F2939)</f>
        <v>0</v>
      </c>
      <c r="G2952" s="27" t="n">
        <f aca="false">(Sens!G2945+Sens!G2949-Sens!G2950)+(Sens!G2937+Sens!G2938-Sens!G2936)+(Sens!G2940+Sens!G2941-Sens!G2939)</f>
        <v>0</v>
      </c>
      <c r="H2952" s="27" t="n">
        <f aca="false">(Sens!H2945+Sens!H2949-Sens!H2950)+(Sens!H2937+Sens!H2938-Sens!H2936)+(Sens!H2940+Sens!H2941-Sens!H2939)</f>
        <v>0</v>
      </c>
      <c r="I2952" s="27" t="n">
        <f aca="false">(Sens!I2945+Sens!I2949-Sens!I2950)+(Sens!I2937+Sens!I2938-Sens!I2936)+(Sens!I2940+Sens!I2941-Sens!I2939)</f>
        <v>0</v>
      </c>
      <c r="J2952" s="27" t="n">
        <f aca="false">(Sens!J2945+Sens!J2949-Sens!J2950)+(Sens!J2937+Sens!J2938-Sens!J2936)+(Sens!J2940+Sens!J2941-Sens!J2939)</f>
        <v>0</v>
      </c>
      <c r="K2952" s="27" t="n">
        <f aca="false">(Sens!K2945+Sens!K2949-Sens!K2950)+(Sens!K2937+Sens!K2938-Sens!K2936)+(Sens!K2940+Sens!K2941-Sens!K2939)</f>
        <v>0</v>
      </c>
    </row>
    <row r="2953" customFormat="false" ht="17.15" hidden="false" customHeight="false" outlineLevel="0" collapsed="false">
      <c r="A2953" s="0" t="s">
        <v>1058</v>
      </c>
      <c r="B2953" s="0" t="s">
        <v>168</v>
      </c>
      <c r="E2953" s="7" t="n">
        <f aca="false">(Q!M21+Sens!E2889+Sens!E2890+Sens!E2891+Sens!E2905-Sens!E2887)/(Q!M5-Sens!E2887)</f>
        <v>0.550623586919075</v>
      </c>
      <c r="F2953" s="7" t="n">
        <f aca="false">Sens!$E$2953+dm_seg</f>
        <v>0.550623586919075</v>
      </c>
      <c r="G2953" s="7" t="n">
        <f aca="false">Sens!$E$2953+dm_seg</f>
        <v>0.550623586919075</v>
      </c>
      <c r="H2953" s="7" t="n">
        <f aca="false">Sens!$E$2953+dm_seg</f>
        <v>0.550623586919075</v>
      </c>
      <c r="I2953" s="7" t="n">
        <f aca="false">Sens!$E$2953+dm_seg</f>
        <v>0.550623586919075</v>
      </c>
      <c r="J2953" s="7" t="n">
        <f aca="false">Sens!$E$2953+dm_seg</f>
        <v>0.550623586919075</v>
      </c>
      <c r="K2953" s="7" t="n">
        <f aca="false">Sens!$E$2953+dm_seg</f>
        <v>0.550623586919075</v>
      </c>
      <c r="L2953" s="12" t="s">
        <v>1059</v>
      </c>
    </row>
    <row r="2954" customFormat="false" ht="17.15" hidden="false" customHeight="false" outlineLevel="0" collapsed="false">
      <c r="A2954" s="0" t="s">
        <v>880</v>
      </c>
      <c r="B2954" s="0" t="s">
        <v>98</v>
      </c>
      <c r="D2954" s="6" t="n">
        <f aca="false">Q!L21</f>
        <v>110.814</v>
      </c>
      <c r="E2954" s="6" t="n">
        <f aca="false">Q!M21</f>
        <v>136.365</v>
      </c>
      <c r="F2954" s="6" t="n">
        <f aca="false">Q!$I$21+(Sens!F2953*(Sens!F2924-Sens!F2887)+Sens!F2887-(Sens!F2889+Sens!F2890+Sens!F2891)-Sens!F2905-Sens!F2988)*(Sens!F2924-Q!$I$5)/Sens!F2924</f>
        <v>159.061044884767</v>
      </c>
      <c r="G2954" s="6" t="n">
        <f aca="false">(Sens!G2953*(Sens!G2924-Sens!G2887)+Sens!G2887-(Sens!G2889+Sens!G2890+Sens!G2891)-Sens!G2905-Sens!G2988)</f>
        <v>169.655980856305</v>
      </c>
      <c r="H2954" s="6" t="n">
        <f aca="false">(Sens!H2953*(Sens!H2924-Sens!H2887)+Sens!H2887-(Sens!H2889+Sens!H2890+Sens!H2891)-Sens!H2905-Sens!H2988)</f>
        <v>178.764284673677</v>
      </c>
      <c r="I2954" s="6" t="n">
        <f aca="false">(Sens!I2953*(Sens!I2924-Sens!I2887)+Sens!I2887-(Sens!I2889+Sens!I2890+Sens!I2891)-Sens!I2905-Sens!I2988)</f>
        <v>194.721124868447</v>
      </c>
      <c r="J2954" s="6" t="n">
        <f aca="false">(Sens!J2953*(Sens!J2924-Sens!J2887)+Sens!J2887-(Sens!J2889+Sens!J2890+Sens!J2891)-Sens!J2905-Sens!J2988)</f>
        <v>210.114538567511</v>
      </c>
      <c r="K2954" s="6" t="n">
        <f aca="false">(Sens!K2953*(Sens!K2924-Sens!K2887)+Sens!K2887-(Sens!K2889+Sens!K2890+Sens!K2891)-Sens!K2905-Sens!K2988)</f>
        <v>224.989822443457</v>
      </c>
      <c r="L2954" s="1" t="s">
        <v>1060</v>
      </c>
    </row>
    <row r="2955" customFormat="false" ht="17.15" hidden="false" customHeight="false" outlineLevel="0" collapsed="false">
      <c r="A2955" s="0" t="s">
        <v>1061</v>
      </c>
      <c r="B2955" s="0" t="s">
        <v>168</v>
      </c>
      <c r="E2955" s="7" t="n">
        <f aca="false">Q!M22/Q!M12</f>
        <v>0.296207935710698</v>
      </c>
      <c r="F2955" s="7" t="n">
        <f aca="false">Sens!$E$2955+dm_seg</f>
        <v>0.296207935710698</v>
      </c>
      <c r="G2955" s="7" t="n">
        <f aca="false">Sens!$E$2955+dm_seg</f>
        <v>0.296207935710698</v>
      </c>
      <c r="H2955" s="7" t="n">
        <f aca="false">Sens!$E$2955+dm_seg</f>
        <v>0.296207935710698</v>
      </c>
      <c r="I2955" s="7" t="n">
        <f aca="false">Sens!$E$2955+dm_seg</f>
        <v>0.296207935710698</v>
      </c>
      <c r="J2955" s="7" t="n">
        <f aca="false">Sens!$E$2955+dm_seg</f>
        <v>0.296207935710698</v>
      </c>
      <c r="K2955" s="7" t="n">
        <f aca="false">Sens!$E$2955+dm_seg</f>
        <v>0.296207935710698</v>
      </c>
      <c r="L2955" s="12" t="s">
        <v>1062</v>
      </c>
    </row>
    <row r="2956" customFormat="false" ht="17.15" hidden="false" customHeight="false" outlineLevel="0" collapsed="false">
      <c r="A2956" s="0" t="s">
        <v>882</v>
      </c>
      <c r="B2956" s="0" t="s">
        <v>98</v>
      </c>
      <c r="D2956" s="6" t="n">
        <f aca="false">Q!L22</f>
        <v>17.714</v>
      </c>
      <c r="E2956" s="6" t="n">
        <f aca="false">Q!M22</f>
        <v>18.872</v>
      </c>
      <c r="F2956" s="6" t="n">
        <f aca="false">Q!$I$22+(Sens!F2931-Q!$I$12)*Sens!F2955</f>
        <v>19.8174315512051</v>
      </c>
      <c r="G2956" s="6" t="n">
        <f aca="false">Sens!G2931*Sens!G2955</f>
        <v>19.6313799703815</v>
      </c>
      <c r="H2956" s="6" t="n">
        <f aca="false">Sens!H2931*Sens!H2955</f>
        <v>20.3536242825865</v>
      </c>
      <c r="I2956" s="6" t="n">
        <f aca="false">Sens!I2931*Sens!I2955</f>
        <v>21.1920899239745</v>
      </c>
      <c r="J2956" s="6" t="n">
        <f aca="false">Sens!J2931*Sens!J2955</f>
        <v>22.1288166207045</v>
      </c>
      <c r="K2956" s="6" t="n">
        <f aca="false">Sens!K2931*Sens!K2955</f>
        <v>23.1493653905379</v>
      </c>
      <c r="L2956" s="12" t="s">
        <v>1063</v>
      </c>
    </row>
    <row r="2957" customFormat="false" ht="15" hidden="false" customHeight="false" outlineLevel="0" collapsed="false">
      <c r="A2957" s="1" t="s">
        <v>1064</v>
      </c>
      <c r="B2957" s="0" t="s">
        <v>98</v>
      </c>
      <c r="D2957" s="6" t="n">
        <f aca="false">Sens!D2954+Sens!D2956</f>
        <v>128.528</v>
      </c>
      <c r="E2957" s="6" t="n">
        <f aca="false">Sens!E2954+Sens!E2956</f>
        <v>155.237</v>
      </c>
      <c r="F2957" s="6" t="n">
        <f aca="false">Sens!F2954+Sens!F2956</f>
        <v>178.878476435972</v>
      </c>
      <c r="G2957" s="6" t="n">
        <f aca="false">Sens!G2954+Sens!G2956</f>
        <v>189.287360826687</v>
      </c>
      <c r="H2957" s="6" t="n">
        <f aca="false">Sens!H2954+Sens!H2956</f>
        <v>199.117908956263</v>
      </c>
      <c r="I2957" s="6" t="n">
        <f aca="false">Sens!I2954+Sens!I2956</f>
        <v>215.913214792421</v>
      </c>
      <c r="J2957" s="6" t="n">
        <f aca="false">Sens!J2954+Sens!J2956</f>
        <v>232.243355188216</v>
      </c>
      <c r="K2957" s="6" t="n">
        <f aca="false">Sens!K2954+Sens!K2956</f>
        <v>248.139187833995</v>
      </c>
    </row>
    <row r="2958" customFormat="false" ht="15" hidden="false" customHeight="false" outlineLevel="0" collapsed="false">
      <c r="A2958" s="26" t="s">
        <v>1065</v>
      </c>
      <c r="B2958" s="31" t="s">
        <v>98</v>
      </c>
      <c r="C2958" s="31"/>
      <c r="D2958" s="27" t="n">
        <f aca="false">Sens!D2957-Q!L23</f>
        <v>0</v>
      </c>
      <c r="E2958" s="27" t="n">
        <f aca="false">Sens!E2957-Q!M23</f>
        <v>0</v>
      </c>
      <c r="F2958" s="31"/>
      <c r="G2958" s="31"/>
      <c r="H2958" s="31"/>
      <c r="I2958" s="31"/>
      <c r="J2958" s="31"/>
      <c r="K2958" s="31"/>
    </row>
    <row r="2959" customFormat="false" ht="15" hidden="false" customHeight="false" outlineLevel="0" collapsed="false">
      <c r="A2959" s="1" t="s">
        <v>1066</v>
      </c>
      <c r="B2959" s="0" t="s">
        <v>168</v>
      </c>
      <c r="D2959" s="7" t="n">
        <f aca="false">Sens!D2957/Sens!D2950</f>
        <v>0.456219562408598</v>
      </c>
      <c r="E2959" s="7" t="n">
        <f aca="false">Sens!E2957/Sens!E2950</f>
        <v>0.467808184089272</v>
      </c>
      <c r="F2959" s="7" t="n">
        <f aca="false">Sens!F2957/Sens!F2950</f>
        <v>0.453490874512274</v>
      </c>
      <c r="G2959" s="7" t="n">
        <f aca="false">Sens!G2957/Sens!G2950</f>
        <v>0.412451480244634</v>
      </c>
      <c r="H2959" s="7" t="n">
        <f aca="false">Sens!H2957/Sens!H2950</f>
        <v>0.383466050150111</v>
      </c>
      <c r="I2959" s="7" t="n">
        <f aca="false">Sens!I2957/Sens!I2950</f>
        <v>0.370834039121114</v>
      </c>
      <c r="J2959" s="7" t="n">
        <f aca="false">Sens!J2957/Sens!J2950</f>
        <v>0.365666295334383</v>
      </c>
      <c r="K2959" s="7" t="n">
        <f aca="false">Sens!K2957/Sens!K2950</f>
        <v>0.365833317551423</v>
      </c>
    </row>
    <row r="2960" customFormat="false" ht="17.15" hidden="false" customHeight="false" outlineLevel="0" collapsed="false">
      <c r="A2960" s="1" t="s">
        <v>1067</v>
      </c>
      <c r="B2960" s="0" t="s">
        <v>98</v>
      </c>
      <c r="F2960" s="6" t="n">
        <f aca="false">Sens!F2975</f>
        <v>3.90612861370406</v>
      </c>
      <c r="G2960" s="6" t="n">
        <f aca="false">Sens!G2975</f>
        <v>11.7348778177566</v>
      </c>
      <c r="H2960" s="6" t="n">
        <f aca="false">Sens!H2975</f>
        <v>20.3002224965418</v>
      </c>
      <c r="I2960" s="6" t="n">
        <f aca="false">Sens!I2975</f>
        <v>28.0564326013432</v>
      </c>
      <c r="J2960" s="6" t="n">
        <f aca="false">Sens!J2975</f>
        <v>33.4758874719015</v>
      </c>
      <c r="K2960" s="6" t="n">
        <f aca="false">Sens!K2975</f>
        <v>36.4448808195928</v>
      </c>
      <c r="L2960" s="1" t="s">
        <v>1068</v>
      </c>
    </row>
    <row r="2961" customFormat="false" ht="17.15" hidden="false" customHeight="false" outlineLevel="0" collapsed="false">
      <c r="A2961" s="1" t="s">
        <v>1069</v>
      </c>
      <c r="B2961" s="0" t="s">
        <v>98</v>
      </c>
      <c r="D2961" s="6" t="n">
        <f aca="false">Sens!D2957</f>
        <v>128.528</v>
      </c>
      <c r="E2961" s="6" t="n">
        <f aca="false">Sens!E2957</f>
        <v>155.237</v>
      </c>
      <c r="F2961" s="6" t="n">
        <f aca="false">Sens!F2957+Sens!F2960</f>
        <v>182.784605049676</v>
      </c>
      <c r="G2961" s="6" t="n">
        <f aca="false">Sens!G2957+Sens!G2960</f>
        <v>201.022238644443</v>
      </c>
      <c r="H2961" s="6" t="n">
        <f aca="false">Sens!H2957+Sens!H2960</f>
        <v>219.418131452805</v>
      </c>
      <c r="I2961" s="6" t="n">
        <f aca="false">Sens!I2957+Sens!I2960</f>
        <v>243.969647393764</v>
      </c>
      <c r="J2961" s="6" t="n">
        <f aca="false">Sens!J2957+Sens!J2960</f>
        <v>265.719242660117</v>
      </c>
      <c r="K2961" s="6" t="n">
        <f aca="false">Sens!K2957+Sens!K2960</f>
        <v>284.584068653587</v>
      </c>
    </row>
    <row r="2962" customFormat="false" ht="17.15" hidden="false" customHeight="false" outlineLevel="0" collapsed="false">
      <c r="A2962" s="1" t="s">
        <v>1070</v>
      </c>
      <c r="B2962" s="0" t="s">
        <v>98</v>
      </c>
      <c r="E2962" s="6" t="n">
        <f aca="false">Sens!E2905</f>
        <v>13.0443247816667</v>
      </c>
      <c r="F2962" s="6" t="n">
        <f aca="false">Sens!F2905</f>
        <v>27.6634515826813</v>
      </c>
      <c r="G2962" s="6" t="n">
        <f aca="false">Sens!G2905</f>
        <v>48.5875925218392</v>
      </c>
      <c r="H2962" s="6" t="n">
        <f aca="false">Sens!H2905</f>
        <v>71.2800725291565</v>
      </c>
      <c r="I2962" s="6" t="n">
        <f aca="false">Sens!I2905</f>
        <v>91.3848077556387</v>
      </c>
      <c r="J2962" s="6" t="n">
        <f aca="false">Sens!J2905</f>
        <v>105.612538439677</v>
      </c>
      <c r="K2962" s="6" t="n">
        <f aca="false">Sens!K2905</f>
        <v>114.410135640747</v>
      </c>
    </row>
    <row r="2963" customFormat="false" ht="17.15" hidden="false" customHeight="false" outlineLevel="0" collapsed="false">
      <c r="A2963" s="1" t="s">
        <v>1071</v>
      </c>
      <c r="B2963" s="0" t="s">
        <v>98</v>
      </c>
      <c r="E2963" s="6" t="n">
        <f aca="false">Sens!E2987</f>
        <v>25.4896752183333</v>
      </c>
      <c r="F2963" s="6" t="n">
        <f aca="false">Sens!F2987</f>
        <v>29.8843953731304</v>
      </c>
      <c r="G2963" s="6" t="n">
        <f aca="false">Sens!G2987</f>
        <v>31.0140580699047</v>
      </c>
      <c r="H2963" s="6" t="n">
        <f aca="false">Sens!H2987</f>
        <v>32.5748979079045</v>
      </c>
      <c r="I2963" s="6" t="n">
        <f aca="false">Sens!I2987</f>
        <v>34.5038367803926</v>
      </c>
      <c r="J2963" s="6" t="n">
        <f aca="false">Sens!J2987</f>
        <v>36.7203563493755</v>
      </c>
      <c r="K2963" s="6" t="n">
        <f aca="false">Sens!K2987</f>
        <v>39.1349553692756</v>
      </c>
    </row>
    <row r="2964" customFormat="false" ht="17.15" hidden="false" customHeight="false" outlineLevel="0" collapsed="false">
      <c r="A2964" s="1" t="s">
        <v>1072</v>
      </c>
      <c r="B2964" s="0" t="s">
        <v>98</v>
      </c>
      <c r="D2964" s="6" t="n">
        <f aca="false">Q!L27</f>
        <v>-4.901</v>
      </c>
      <c r="E2964" s="6" t="n">
        <f aca="false">Q!M27</f>
        <v>10.697</v>
      </c>
      <c r="F2964" s="6" t="n">
        <f aca="false">Q!$I$27+oie_f*(q_per_yr-1)/q_per_yr</f>
        <v>-0.862</v>
      </c>
      <c r="G2964" s="6" t="n">
        <f aca="false">oie_f</f>
        <v>-1.2</v>
      </c>
      <c r="H2964" s="6" t="n">
        <f aca="false">oie_f</f>
        <v>-1.2</v>
      </c>
      <c r="I2964" s="6" t="n">
        <f aca="false">oie_f</f>
        <v>-1.2</v>
      </c>
      <c r="J2964" s="6" t="n">
        <f aca="false">oie_f</f>
        <v>-1.2</v>
      </c>
      <c r="K2964" s="6" t="n">
        <f aca="false">oie_f</f>
        <v>-1.2</v>
      </c>
      <c r="L2964" s="12" t="s">
        <v>1073</v>
      </c>
    </row>
    <row r="2965" customFormat="false" ht="15" hidden="false" customHeight="false" outlineLevel="0" collapsed="false">
      <c r="A2965" s="1" t="s">
        <v>1074</v>
      </c>
      <c r="B2965" s="0" t="s">
        <v>98</v>
      </c>
      <c r="D2965" s="6" t="n">
        <f aca="false">Sens!D2957+Sens!D2964</f>
        <v>123.627</v>
      </c>
      <c r="E2965" s="6" t="n">
        <f aca="false">Sens!E2957+Sens!E2964</f>
        <v>165.934</v>
      </c>
      <c r="F2965" s="6" t="n">
        <f aca="false">Sens!F2957+Sens!F2964</f>
        <v>178.016476435972</v>
      </c>
      <c r="G2965" s="6" t="n">
        <f aca="false">Sens!G2957+Sens!G2964</f>
        <v>188.087360826687</v>
      </c>
      <c r="H2965" s="6" t="n">
        <f aca="false">Sens!H2957+Sens!H2964</f>
        <v>197.917908956263</v>
      </c>
      <c r="I2965" s="6" t="n">
        <f aca="false">Sens!I2957+Sens!I2964</f>
        <v>214.713214792421</v>
      </c>
      <c r="J2965" s="6" t="n">
        <f aca="false">Sens!J2957+Sens!J2964</f>
        <v>231.043355188216</v>
      </c>
      <c r="K2965" s="6" t="n">
        <f aca="false">Sens!K2957+Sens!K2964</f>
        <v>246.939187833995</v>
      </c>
    </row>
    <row r="2966" customFormat="false" ht="15" hidden="false" customHeight="false" outlineLevel="0" collapsed="false">
      <c r="A2966" s="1" t="s">
        <v>1075</v>
      </c>
      <c r="B2966" s="0" t="s">
        <v>98</v>
      </c>
      <c r="D2966" s="6" t="n">
        <f aca="false">Q!L29</f>
        <v>21.795</v>
      </c>
      <c r="E2966" s="6" t="n">
        <f aca="false">Q!M29</f>
        <v>32.185</v>
      </c>
      <c r="F2966" s="6" t="n">
        <f aca="false">Q!$I$29+(Sens!F2965-Q!$I$28)*tax_f</f>
        <v>35.7366952871944</v>
      </c>
      <c r="G2966" s="6" t="n">
        <f aca="false">Sens!G2965*tax_f</f>
        <v>37.6174721653373</v>
      </c>
      <c r="H2966" s="6" t="n">
        <f aca="false">Sens!H2965*tax_f</f>
        <v>39.5835817912526</v>
      </c>
      <c r="I2966" s="6" t="n">
        <f aca="false">Sens!I2965*tax_f</f>
        <v>42.9426429584842</v>
      </c>
      <c r="J2966" s="6" t="n">
        <f aca="false">Sens!J2965*tax_f</f>
        <v>46.2086710376431</v>
      </c>
      <c r="K2966" s="6" t="n">
        <f aca="false">Sens!K2965*tax_f</f>
        <v>49.3878375667989</v>
      </c>
    </row>
    <row r="2967" customFormat="false" ht="15" hidden="false" customHeight="false" outlineLevel="0" collapsed="false">
      <c r="A2967" s="1" t="s">
        <v>1076</v>
      </c>
      <c r="B2967" s="0" t="s">
        <v>98</v>
      </c>
      <c r="D2967" s="6" t="n">
        <f aca="false">Sens!D2965-Sens!D2966</f>
        <v>101.832</v>
      </c>
      <c r="E2967" s="6" t="n">
        <f aca="false">Sens!E2965-Sens!E2966</f>
        <v>133.749</v>
      </c>
      <c r="F2967" s="6" t="n">
        <f aca="false">Sens!F2965-Sens!F2966</f>
        <v>142.279781148778</v>
      </c>
      <c r="G2967" s="6" t="n">
        <f aca="false">Sens!G2965-Sens!G2966</f>
        <v>150.469888661349</v>
      </c>
      <c r="H2967" s="6" t="n">
        <f aca="false">Sens!H2965-Sens!H2966</f>
        <v>158.334327165011</v>
      </c>
      <c r="I2967" s="6" t="n">
        <f aca="false">Sens!I2965-Sens!I2966</f>
        <v>171.770571833937</v>
      </c>
      <c r="J2967" s="6" t="n">
        <f aca="false">Sens!J2965-Sens!J2966</f>
        <v>184.834684150572</v>
      </c>
      <c r="K2967" s="6" t="n">
        <f aca="false">Sens!K2965-Sens!K2966</f>
        <v>197.551350267196</v>
      </c>
    </row>
    <row r="2968" customFormat="false" ht="17.15" hidden="false" customHeight="false" outlineLevel="0" collapsed="false">
      <c r="A2968" s="1" t="s">
        <v>1077</v>
      </c>
      <c r="B2968" s="1" t="s">
        <v>81</v>
      </c>
      <c r="D2968" s="15" t="n">
        <f aca="false">Q!L31</f>
        <v>7.465</v>
      </c>
      <c r="E2968" s="15" t="n">
        <f aca="false">Q!M31</f>
        <v>7.453</v>
      </c>
      <c r="F2968" s="15" t="n">
        <f aca="false">Sens!F3012</f>
        <v>7.4735</v>
      </c>
      <c r="G2968" s="15" t="n">
        <f aca="false">Sens!G3012</f>
        <v>7.50428868407169</v>
      </c>
      <c r="H2968" s="15" t="n">
        <f aca="false">Sens!H3012</f>
        <v>7.51777730717219</v>
      </c>
      <c r="I2968" s="15" t="n">
        <f aca="false">Sens!I3012</f>
        <v>7.52945867122766</v>
      </c>
      <c r="J2968" s="15" t="n">
        <f aca="false">Sens!J3012</f>
        <v>7.54360808239013</v>
      </c>
      <c r="K2968" s="15" t="n">
        <f aca="false">Sens!K3012</f>
        <v>7.56004272235538</v>
      </c>
    </row>
    <row r="2969" customFormat="false" ht="17.15" hidden="false" customHeight="false" outlineLevel="0" collapsed="false">
      <c r="A2969" s="0" t="s">
        <v>1078</v>
      </c>
      <c r="B2969" s="0" t="s">
        <v>75</v>
      </c>
      <c r="D2969" s="8" t="n">
        <f aca="false">Sens!D2967/Sens!D2968</f>
        <v>13.641259209645</v>
      </c>
      <c r="E2969" s="8" t="n">
        <f aca="false">Sens!E2967/Sens!E2968</f>
        <v>17.9456594659869</v>
      </c>
      <c r="F2969" s="8" t="n">
        <f aca="false">Sens!F2967/Sens!F2968</f>
        <v>19.0379047499535</v>
      </c>
      <c r="G2969" s="8" t="n">
        <f aca="false">Sens!G2967/Sens!G2968</f>
        <v>20.0511860612093</v>
      </c>
      <c r="H2969" s="8" t="n">
        <f aca="false">Sens!H2967/Sens!H2968</f>
        <v>21.0613218103647</v>
      </c>
      <c r="I2969" s="8" t="n">
        <f aca="false">Sens!I2967/Sens!I2968</f>
        <v>22.8131369510433</v>
      </c>
      <c r="J2969" s="8" t="n">
        <f aca="false">Sens!J2967/Sens!J2968</f>
        <v>24.5021589313544</v>
      </c>
      <c r="K2969" s="8" t="n">
        <f aca="false">Sens!K2967/Sens!K2968</f>
        <v>26.1309833187883</v>
      </c>
      <c r="L2969" s="1" t="s">
        <v>1079</v>
      </c>
    </row>
    <row r="2970" customFormat="false" ht="17.15" hidden="false" customHeight="false" outlineLevel="0" collapsed="false">
      <c r="A2970" s="1" t="s">
        <v>1080</v>
      </c>
      <c r="B2970" s="0" t="s">
        <v>98</v>
      </c>
      <c r="D2970" s="6" t="n">
        <f aca="false">Sens!D2967</f>
        <v>101.832</v>
      </c>
      <c r="E2970" s="6" t="n">
        <f aca="false">Sens!E2967</f>
        <v>133.749</v>
      </c>
      <c r="F2970" s="6" t="n">
        <f aca="false">Sens!F2967+Sens!F2960*(1-tax_f)</f>
        <v>145.404684039741</v>
      </c>
      <c r="G2970" s="6" t="n">
        <f aca="false">Sens!G2967+Sens!G2960*(1-tax_f)</f>
        <v>159.857790915555</v>
      </c>
      <c r="H2970" s="6" t="n">
        <f aca="false">Sens!H2967+Sens!H2960*(1-tax_f)</f>
        <v>174.574505162244</v>
      </c>
      <c r="I2970" s="6" t="n">
        <f aca="false">Sens!I2967+Sens!I2960*(1-tax_f)</f>
        <v>194.215717915012</v>
      </c>
      <c r="J2970" s="6" t="n">
        <f aca="false">Sens!J2967+Sens!J2960*(1-tax_f)</f>
        <v>211.615394128094</v>
      </c>
      <c r="K2970" s="6" t="n">
        <f aca="false">Sens!K2967+Sens!K2960*(1-tax_f)</f>
        <v>226.70725492287</v>
      </c>
    </row>
    <row r="2971" customFormat="false" ht="17.15" hidden="false" customHeight="false" outlineLevel="0" collapsed="false">
      <c r="A2971" s="0" t="s">
        <v>1081</v>
      </c>
      <c r="B2971" s="0" t="s">
        <v>75</v>
      </c>
      <c r="D2971" s="8" t="n">
        <f aca="false">Sens!D2970/Sens!D2968</f>
        <v>13.641259209645</v>
      </c>
      <c r="E2971" s="8" t="n">
        <f aca="false">Sens!E2970/Sens!E2968</f>
        <v>17.9456594659869</v>
      </c>
      <c r="F2971" s="8" t="n">
        <f aca="false">Sens!F2970/Sens!F2968</f>
        <v>19.4560358653564</v>
      </c>
      <c r="G2971" s="8" t="n">
        <f aca="false">Sens!G2970/Sens!G2968</f>
        <v>21.3021910064391</v>
      </c>
      <c r="H2971" s="8" t="n">
        <f aca="false">Sens!H2970/Sens!H2968</f>
        <v>23.2215584512851</v>
      </c>
      <c r="I2971" s="8" t="n">
        <f aca="false">Sens!I2970/Sens!I2968</f>
        <v>25.7941143441252</v>
      </c>
      <c r="J2971" s="8" t="n">
        <f aca="false">Sens!J2970/Sens!J2968</f>
        <v>28.0522784080062</v>
      </c>
      <c r="K2971" s="8" t="n">
        <f aca="false">Sens!K2970/Sens!K2968</f>
        <v>29.9875626697831</v>
      </c>
      <c r="L2971" s="1" t="s">
        <v>1082</v>
      </c>
    </row>
    <row r="2972" customFormat="false" ht="17.15" hidden="false" customHeight="false" outlineLevel="0" collapsed="false">
      <c r="A2972" s="0" t="s">
        <v>1083</v>
      </c>
      <c r="B2972" s="0" t="s">
        <v>168</v>
      </c>
      <c r="E2972" s="7" t="n">
        <f aca="false">Sens!E2971/Sens!D2971-1</f>
        <v>0.315542736208578</v>
      </c>
      <c r="F2972" s="7" t="n">
        <f aca="false">Sens!F2971/Sens!E2971-1</f>
        <v>0.0841638838757761</v>
      </c>
      <c r="G2972" s="7" t="n">
        <f aca="false">Sens!G2971/Sens!F2971-1</f>
        <v>0.0948885556060251</v>
      </c>
      <c r="H2972" s="7" t="n">
        <f aca="false">Sens!H2971/Sens!G2971-1</f>
        <v>0.0901018793919315</v>
      </c>
      <c r="I2972" s="7" t="n">
        <f aca="false">Sens!I2971/Sens!H2971-1</f>
        <v>0.11078308539183</v>
      </c>
      <c r="J2972" s="7" t="n">
        <f aca="false">Sens!J2971/Sens!I2971-1</f>
        <v>0.0875457103800605</v>
      </c>
      <c r="K2972" s="7" t="n">
        <f aca="false">Sens!K2971/Sens!J2971-1</f>
        <v>0.0689884876240428</v>
      </c>
    </row>
    <row r="2973" customFormat="false" ht="17.15" hidden="false" customHeight="false" outlineLevel="0" collapsed="false">
      <c r="A2973" s="0" t="s">
        <v>1003</v>
      </c>
      <c r="B2973" s="0" t="s">
        <v>98</v>
      </c>
      <c r="E2973" s="6" t="n">
        <f aca="false">Sens!E2914</f>
        <v>5.25</v>
      </c>
      <c r="F2973" s="6" t="n">
        <f aca="false">Sens!F2914</f>
        <v>10.5</v>
      </c>
      <c r="G2973" s="6" t="n">
        <f aca="false">Sens!G2914</f>
        <v>13.5</v>
      </c>
      <c r="H2973" s="6" t="n">
        <f aca="false">Sens!H2914</f>
        <v>16.5</v>
      </c>
      <c r="I2973" s="6" t="n">
        <f aca="false">Sens!I2914</f>
        <v>18.75</v>
      </c>
      <c r="J2973" s="6" t="n">
        <f aca="false">Sens!J2914</f>
        <v>20.25</v>
      </c>
      <c r="K2973" s="6" t="n">
        <f aca="false">Sens!K2914</f>
        <v>21.75</v>
      </c>
    </row>
    <row r="2974" customFormat="false" ht="17.15" hidden="false" customHeight="false" outlineLevel="0" collapsed="false">
      <c r="A2974" s="1" t="s">
        <v>1004</v>
      </c>
      <c r="B2974" s="0" t="s">
        <v>98</v>
      </c>
      <c r="F2974" s="6" t="n">
        <f aca="false">MAX(0,((Sens!E2874+Sens!F2874)/2-(shadow_base*(Sens!$D$2874+Sens!$E$2874)/2+(1-shadow_base)*Sens!$E$2874))*Sens!F2883/1000-(Sens!F2973-Sens!$E$2973)*Sens!F2953)</f>
        <v>3.90612861370406</v>
      </c>
      <c r="G2974" s="6" t="n">
        <f aca="false">MAX(0,((Sens!F2874+Sens!G2874)/2-(shadow_base*(Sens!$D$2874+Sens!$E$2874)/2+(1-shadow_base)*Sens!$E$2874))*Sens!G2883/1000-(Sens!G2973-Sens!$E$2973)*Sens!G2953)</f>
        <v>11.7348778177566</v>
      </c>
      <c r="H2974" s="6" t="n">
        <f aca="false">MAX(0,((Sens!G2874+Sens!H2874)/2-(shadow_base*(Sens!$D$2874+Sens!$E$2874)/2+(1-shadow_base)*Sens!$E$2874))*Sens!H2883/1000-(Sens!H2973-Sens!$E$2973)*Sens!H2953)</f>
        <v>20.3002224965418</v>
      </c>
      <c r="I2974" s="6" t="n">
        <f aca="false">MAX(0,((Sens!H2874+Sens!I2874)/2-(shadow_base*(Sens!$D$2874+Sens!$E$2874)/2+(1-shadow_base)*Sens!$E$2874))*Sens!I2883/1000-(Sens!I2973-Sens!$E$2973)*Sens!I2953)</f>
        <v>28.0564326013432</v>
      </c>
      <c r="J2974" s="6" t="n">
        <f aca="false">MAX(0,((Sens!I2874+Sens!J2874)/2-(shadow_base*(Sens!$D$2874+Sens!$E$2874)/2+(1-shadow_base)*Sens!$E$2874))*Sens!J2883/1000-(Sens!J2973-Sens!$E$2973)*Sens!J2953)</f>
        <v>33.4758874719015</v>
      </c>
      <c r="K2974" s="6" t="n">
        <f aca="false">MAX(0,((Sens!J2874+Sens!K2874)/2-(shadow_base*(Sens!$D$2874+Sens!$E$2874)/2+(1-shadow_base)*Sens!$E$2874))*Sens!K2883/1000-(Sens!K2973-Sens!$E$2973)*Sens!K2953)</f>
        <v>36.4448808195928</v>
      </c>
      <c r="L2974" s="1" t="s">
        <v>1005</v>
      </c>
    </row>
    <row r="2975" customFormat="false" ht="17.15" hidden="false" customHeight="false" outlineLevel="0" collapsed="false">
      <c r="A2975" s="1" t="s">
        <v>1006</v>
      </c>
      <c r="B2975" s="0" t="s">
        <v>98</v>
      </c>
      <c r="F2975" s="6" t="n">
        <f aca="false">IF(internal_ai_reading=2,1,0)*Sens!F2974</f>
        <v>3.90612861370406</v>
      </c>
      <c r="G2975" s="6" t="n">
        <f aca="false">IF(internal_ai_reading=2,1,0)*Sens!G2974</f>
        <v>11.7348778177566</v>
      </c>
      <c r="H2975" s="6" t="n">
        <f aca="false">IF(internal_ai_reading=2,1,0)*Sens!H2974</f>
        <v>20.3002224965418</v>
      </c>
      <c r="I2975" s="6" t="n">
        <f aca="false">IF(internal_ai_reading=2,1,0)*Sens!I2974</f>
        <v>28.0564326013432</v>
      </c>
      <c r="J2975" s="6" t="n">
        <f aca="false">IF(internal_ai_reading=2,1,0)*Sens!J2974</f>
        <v>33.4758874719015</v>
      </c>
      <c r="K2975" s="6" t="n">
        <f aca="false">IF(internal_ai_reading=2,1,0)*Sens!K2974</f>
        <v>36.4448808195928</v>
      </c>
    </row>
    <row r="2976" customFormat="false" ht="17.15" hidden="false" customHeight="false" outlineLevel="0" collapsed="false">
      <c r="A2976" s="0" t="s">
        <v>1007</v>
      </c>
      <c r="B2976" s="0" t="s">
        <v>98</v>
      </c>
      <c r="F2976" s="6" t="n">
        <f aca="false">Sens!F2893+Sens!F2973*Sens!F2953+Sens!F2975-Sens!F2894-Sens!F2905</f>
        <v>13.7582679259544</v>
      </c>
      <c r="G2976" s="6" t="n">
        <f aca="false">Sens!G2893+Sens!G2973*Sens!G2953+Sens!G2975-Sens!G2894-Sens!G2905</f>
        <v>17.8716252804908</v>
      </c>
      <c r="H2976" s="6" t="n">
        <f aca="false">Sens!H2893+Sens!H2973*Sens!H2953+Sens!H2975-Sens!H2894-Sens!H2905</f>
        <v>16.4499828834727</v>
      </c>
      <c r="I2976" s="6" t="n">
        <f aca="false">Sens!I2893+Sens!I2973*Sens!I2953+Sens!I2975-Sens!I2894-Sens!I2905</f>
        <v>21.5748677742519</v>
      </c>
      <c r="J2976" s="6" t="n">
        <f aca="false">Sens!J2893+Sens!J2973*Sens!J2953+Sens!J2975-Sens!J2894-Sens!J2905</f>
        <v>25.0409050707189</v>
      </c>
      <c r="K2976" s="6" t="n">
        <f aca="false">Sens!K2893+Sens!K2973*Sens!K2953+Sens!K2975-Sens!K2894-Sens!K2905</f>
        <v>27.5396265525076</v>
      </c>
    </row>
    <row r="2977" customFormat="false" ht="17.15" hidden="false" customHeight="false" outlineLevel="0" collapsed="false">
      <c r="A2977" s="0" t="s">
        <v>1008</v>
      </c>
      <c r="B2977" s="0" t="s">
        <v>98</v>
      </c>
      <c r="E2977" s="6" t="n">
        <f aca="false">Sens!E2873*(cxit_open+self_build*tk_cxfac)/1000*ai_net_open</f>
        <v>101.35843056</v>
      </c>
      <c r="F2977" s="6" t="n">
        <f aca="false">Sens!E2977+Sens!F2902-Sens!F2905</f>
        <v>208.458102211014</v>
      </c>
      <c r="G2977" s="6" t="n">
        <f aca="false">Sens!F2977+Sens!G2902-Sens!G2905</f>
        <v>313.426090208414</v>
      </c>
      <c r="H2977" s="6" t="n">
        <f aca="false">Sens!G2977+Sens!H2902-Sens!H2905</f>
        <v>399.590820930867</v>
      </c>
      <c r="I2977" s="6" t="n">
        <f aca="false">Sens!H2977+Sens!I2902-Sens!I2905</f>
        <v>443.097880072517</v>
      </c>
      <c r="J2977" s="6" t="n">
        <f aca="false">Sens!I2977+Sens!J2902-Sens!J2905</f>
        <v>440.629286589592</v>
      </c>
      <c r="K2977" s="6" t="n">
        <f aca="false">Sens!J2977+Sens!K2902-Sens!K2905</f>
        <v>421.389433400631</v>
      </c>
      <c r="L2977" s="1" t="s">
        <v>1009</v>
      </c>
    </row>
    <row r="2978" customFormat="false" ht="17.15" hidden="false" customHeight="false" outlineLevel="0" collapsed="false">
      <c r="A2978" s="0" t="s">
        <v>1010</v>
      </c>
      <c r="B2978" s="0" t="s">
        <v>168</v>
      </c>
      <c r="F2978" s="7" t="n">
        <f aca="false">Sens!F2976*(1-tax_f)/((Sens!E2977+Sens!F2977)/2)</f>
        <v>0.0710524660664159</v>
      </c>
      <c r="G2978" s="7" t="n">
        <f aca="false">Sens!G2976*(1-tax_f)/((Sens!F2977+Sens!G2977)/2)</f>
        <v>0.0547910836621094</v>
      </c>
      <c r="H2978" s="7" t="n">
        <f aca="false">Sens!H2976*(1-tax_f)/((Sens!G2977+Sens!H2977)/2)</f>
        <v>0.0369135320668642</v>
      </c>
      <c r="I2978" s="7" t="n">
        <f aca="false">Sens!I2976*(1-tax_f)/((Sens!H2977+Sens!I2977)/2)</f>
        <v>0.0409638676746236</v>
      </c>
      <c r="J2978" s="7" t="n">
        <f aca="false">Sens!J2976*(1-tax_f)/((Sens!I2977+Sens!J2977)/2)</f>
        <v>0.0453368976586743</v>
      </c>
      <c r="K2978" s="7" t="n">
        <f aca="false">Sens!K2976*(1-tax_f)/((Sens!J2977+Sens!K2977)/2)</f>
        <v>0.0511165261985401</v>
      </c>
    </row>
    <row r="2979" customFormat="false" ht="17.15" hidden="false" customHeight="false" outlineLevel="0" collapsed="false">
      <c r="A2979" s="1" t="s">
        <v>1011</v>
      </c>
      <c r="B2979" s="0" t="s">
        <v>168</v>
      </c>
      <c r="F2979" s="7" t="n">
        <f aca="false">(Sens!F2976-Sens!F2975)*(1-tax_f)/((Sens!E2977+Sens!F2977)/2)</f>
        <v>0.0508798635069981</v>
      </c>
      <c r="G2979" s="7" t="n">
        <f aca="false">(Sens!G2976-Sens!G2975)*(1-tax_f)/((Sens!F2977+Sens!G2977)/2)</f>
        <v>0.0188141278908167</v>
      </c>
      <c r="H2979" s="7" t="n">
        <f aca="false">(Sens!H2976-Sens!H2975)*(1-tax_f)/((Sens!G2977+Sens!H2977)/2)</f>
        <v>-0.00863988397002725</v>
      </c>
      <c r="I2979" s="7" t="n">
        <f aca="false">(Sens!I2976-Sens!I2975)*(1-tax_f)/((Sens!H2977+Sens!I2977)/2)</f>
        <v>-0.012306446865845</v>
      </c>
      <c r="J2979" s="7" t="n">
        <f aca="false">(Sens!J2976-Sens!J2975)*(1-tax_f)/((Sens!I2977+Sens!J2977)/2)</f>
        <v>-0.0152716498383402</v>
      </c>
      <c r="K2979" s="7" t="n">
        <f aca="false">(Sens!K2976-Sens!K2975)*(1-tax_f)/((Sens!J2977+Sens!K2977)/2)</f>
        <v>-0.0165291153160779</v>
      </c>
    </row>
    <row r="2980" customFormat="false" ht="17.15" hidden="false" customHeight="false" outlineLevel="0" collapsed="false">
      <c r="A2980" s="1" t="s">
        <v>1012</v>
      </c>
      <c r="B2980" s="0" t="s">
        <v>168</v>
      </c>
      <c r="F2980" s="7" t="n">
        <f aca="false">(Sens!F2976-Sens!F2975+Sens!F2974)*(1-tax_f)/((Sens!E2977+Sens!F2977)/2)</f>
        <v>0.0710524660664159</v>
      </c>
      <c r="G2980" s="7" t="n">
        <f aca="false">(Sens!G2976-Sens!G2975+Sens!G2974)*(1-tax_f)/((Sens!F2977+Sens!G2977)/2)</f>
        <v>0.0547910836621094</v>
      </c>
      <c r="H2980" s="7" t="n">
        <f aca="false">(Sens!H2976-Sens!H2975+Sens!H2974)*(1-tax_f)/((Sens!G2977+Sens!H2977)/2)</f>
        <v>0.0369135320668642</v>
      </c>
      <c r="I2980" s="7" t="n">
        <f aca="false">(Sens!I2976-Sens!I2975+Sens!I2974)*(1-tax_f)/((Sens!H2977+Sens!I2977)/2)</f>
        <v>0.0409638676746236</v>
      </c>
      <c r="J2980" s="7" t="n">
        <f aca="false">(Sens!J2976-Sens!J2975+Sens!J2974)*(1-tax_f)/((Sens!I2977+Sens!J2977)/2)</f>
        <v>0.0453368976586743</v>
      </c>
      <c r="K2980" s="7" t="n">
        <f aca="false">(Sens!K2976-Sens!K2975+Sens!K2974)*(1-tax_f)/((Sens!J2977+Sens!K2977)/2)</f>
        <v>0.0511165261985401</v>
      </c>
    </row>
    <row r="2981" customFormat="false" ht="17.15" hidden="false" customHeight="false" outlineLevel="0" collapsed="false">
      <c r="A2981" s="1" t="s">
        <v>1013</v>
      </c>
      <c r="B2981" s="0" t="s">
        <v>168</v>
      </c>
      <c r="F2981" s="7" t="n">
        <f aca="false">Sens!F2906*(1-tax_f)/(Sens!F2892*(Sens!E2977+Sens!F2977)/2)</f>
        <v>0.098791430090569</v>
      </c>
      <c r="G2981" s="7" t="n">
        <f aca="false">Sens!G2906*(1-tax_f)/(Sens!G2892*(Sens!F2977+Sens!G2977)/2)</f>
        <v>0.0675308856427829</v>
      </c>
      <c r="H2981" s="7" t="n">
        <f aca="false">Sens!H2906*(1-tax_f)/(Sens!H2892*(Sens!G2977+Sens!H2977)/2)</f>
        <v>0.0388374979528754</v>
      </c>
      <c r="I2981" s="7" t="n">
        <f aca="false">Sens!I2906*(1-tax_f)/(Sens!I2892*(Sens!H2977+Sens!I2977)/2)</f>
        <v>0.0411035671771815</v>
      </c>
      <c r="J2981" s="7" t="n">
        <f aca="false">Sens!J2906*(1-tax_f)/(Sens!J2892*(Sens!I2977+Sens!J2977)/2)</f>
        <v>0.0445222722541192</v>
      </c>
      <c r="K2981" s="7" t="n">
        <f aca="false">Sens!K2906*(1-tax_f)/(Sens!K2892*(Sens!J2977+Sens!K2977)/2)</f>
        <v>0.0498866361688163</v>
      </c>
    </row>
    <row r="2982" customFormat="false" ht="17.15" hidden="false" customHeight="false" outlineLevel="0" collapsed="false">
      <c r="A2982" s="0" t="s">
        <v>1014</v>
      </c>
      <c r="B2982" s="0" t="s">
        <v>253</v>
      </c>
      <c r="F2982" s="7" t="n">
        <f aca="false">Sens!F2978-wacc</f>
        <v>-0.0318841248791814</v>
      </c>
      <c r="G2982" s="7" t="n">
        <f aca="false">Sens!G2978-wacc</f>
        <v>-0.0481455072834879</v>
      </c>
      <c r="H2982" s="7" t="n">
        <f aca="false">Sens!H2978-wacc</f>
        <v>-0.0660230588787331</v>
      </c>
      <c r="I2982" s="7" t="n">
        <f aca="false">Sens!I2978-wacc</f>
        <v>-0.0619727232709737</v>
      </c>
      <c r="J2982" s="7" t="n">
        <f aca="false">Sens!J2978-wacc</f>
        <v>-0.057599693286923</v>
      </c>
      <c r="K2982" s="7" t="n">
        <f aca="false">Sens!K2978-wacc</f>
        <v>-0.0518200647470572</v>
      </c>
    </row>
    <row r="2983" customFormat="false" ht="17.15" hidden="false" customHeight="false" outlineLevel="0" collapsed="false">
      <c r="A2983" s="0" t="s">
        <v>1015</v>
      </c>
      <c r="B2983" s="0" t="s">
        <v>98</v>
      </c>
      <c r="F2983" s="6" t="n">
        <f aca="false">Sens!F2976*(1-tax_f)-wacc*(Sens!E2977+Sens!F2977)/2</f>
        <v>-4.93911451025301</v>
      </c>
      <c r="G2983" s="6" t="n">
        <f aca="false">Sens!G2976*(1-tax_f)-wacc*(Sens!F2977+Sens!G2977)/2</f>
        <v>-12.5631895936334</v>
      </c>
      <c r="H2983" s="6" t="n">
        <f aca="false">Sens!H2976*(1-tax_f)-wacc*(Sens!G2977+Sens!H2977)/2</f>
        <v>-23.5377787528406</v>
      </c>
      <c r="I2983" s="6" t="n">
        <f aca="false">Sens!I2976*(1-tax_f)-wacc*(Sens!H2977+Sens!I2977)/2</f>
        <v>-26.1118568354295</v>
      </c>
      <c r="J2983" s="6" t="n">
        <f aca="false">Sens!J2976*(1-tax_f)-wacc*(Sens!I2977+Sens!J2977)/2</f>
        <v>-25.4512068745295</v>
      </c>
      <c r="K2983" s="6" t="n">
        <f aca="false">Sens!K2976*(1-tax_f)-wacc*(Sens!J2977+Sens!K2977)/2</f>
        <v>-22.3349329415344</v>
      </c>
    </row>
    <row r="2984" customFormat="false" ht="17.15" hidden="false" customHeight="false" outlineLevel="0" collapsed="false">
      <c r="A2984" s="3" t="s">
        <v>1553</v>
      </c>
    </row>
    <row r="2985" customFormat="false" ht="15" hidden="false" customHeight="false" outlineLevel="0" collapsed="false">
      <c r="A2985" s="4" t="s">
        <v>43</v>
      </c>
      <c r="B2985" s="4" t="s">
        <v>65</v>
      </c>
      <c r="C2985" s="23" t="s">
        <v>938</v>
      </c>
      <c r="D2985" s="23" t="s">
        <v>939</v>
      </c>
      <c r="E2985" s="23" t="s">
        <v>940</v>
      </c>
      <c r="F2985" s="23" t="s">
        <v>941</v>
      </c>
      <c r="G2985" s="23" t="s">
        <v>942</v>
      </c>
      <c r="H2985" s="23" t="s">
        <v>943</v>
      </c>
      <c r="I2985" s="23" t="s">
        <v>944</v>
      </c>
      <c r="J2985" s="23" t="s">
        <v>945</v>
      </c>
      <c r="K2985" s="23" t="s">
        <v>946</v>
      </c>
      <c r="L2985" s="4" t="s">
        <v>47</v>
      </c>
    </row>
    <row r="2986" customFormat="false" ht="15" hidden="false" customHeight="false" outlineLevel="0" collapsed="false">
      <c r="A2986" s="1" t="s">
        <v>1076</v>
      </c>
      <c r="B2986" s="0" t="s">
        <v>98</v>
      </c>
      <c r="F2986" s="6" t="n">
        <f aca="false">Sens!F2967</f>
        <v>142.279781148778</v>
      </c>
      <c r="G2986" s="6" t="n">
        <f aca="false">Sens!G2967</f>
        <v>150.469888661349</v>
      </c>
      <c r="H2986" s="6" t="n">
        <f aca="false">Sens!H2967</f>
        <v>158.334327165011</v>
      </c>
      <c r="I2986" s="6" t="n">
        <f aca="false">Sens!I2967</f>
        <v>171.770571833937</v>
      </c>
      <c r="J2986" s="6" t="n">
        <f aca="false">Sens!J2967</f>
        <v>184.834684150572</v>
      </c>
      <c r="K2986" s="6" t="n">
        <f aca="false">Sens!K2967</f>
        <v>197.551350267196</v>
      </c>
    </row>
    <row r="2987" customFormat="false" ht="17.15" hidden="false" customHeight="false" outlineLevel="0" collapsed="false">
      <c r="A2987" s="1" t="s">
        <v>1098</v>
      </c>
      <c r="B2987" s="0" t="s">
        <v>98</v>
      </c>
      <c r="E2987" s="6" t="n">
        <f aca="false">Q!M38-Sens!E2905</f>
        <v>25.4896752183333</v>
      </c>
      <c r="F2987" s="6" t="n">
        <f aca="false">Sens!E2987*(1-1/life_nonai)+(Sens!F2995+Sens!F2996)/life_nonai</f>
        <v>29.8843953731304</v>
      </c>
      <c r="G2987" s="6" t="n">
        <f aca="false">Sens!F2987*(1-1/life_nonai)+(Sens!G2995)/life_nonai</f>
        <v>31.0140580699047</v>
      </c>
      <c r="H2987" s="6" t="n">
        <f aca="false">Sens!G2987*(1-1/life_nonai)+(Sens!H2995)/life_nonai</f>
        <v>32.5748979079045</v>
      </c>
      <c r="I2987" s="6" t="n">
        <f aca="false">Sens!H2987*(1-1/life_nonai)+(Sens!I2995)/life_nonai</f>
        <v>34.5038367803926</v>
      </c>
      <c r="J2987" s="6" t="n">
        <f aca="false">Sens!I2987*(1-1/life_nonai)+(Sens!J2995)/life_nonai</f>
        <v>36.7203563493755</v>
      </c>
      <c r="K2987" s="6" t="n">
        <f aca="false">Sens!J2987*(1-1/life_nonai)+(Sens!K2995)/life_nonai</f>
        <v>39.1349553692756</v>
      </c>
      <c r="L2987" s="12" t="s">
        <v>1099</v>
      </c>
    </row>
    <row r="2988" customFormat="false" ht="17.15" hidden="false" customHeight="false" outlineLevel="0" collapsed="false">
      <c r="A2988" s="1" t="s">
        <v>1100</v>
      </c>
      <c r="B2988" s="0" t="s">
        <v>98</v>
      </c>
      <c r="F2988" s="6" t="n">
        <f aca="false">Sens!$F$2996/life_nonai*(1-1/life_nonai)^(Sens!F2868-2027)</f>
        <v>3.36108176930023</v>
      </c>
      <c r="G2988" s="6" t="n">
        <f aca="false">Sens!$F$2996/life_nonai*(1-1/life_nonai)^(Sens!G2868-2027)</f>
        <v>3.02497359237021</v>
      </c>
      <c r="H2988" s="6" t="n">
        <f aca="false">Sens!$F$2996/life_nonai*(1-1/life_nonai)^(Sens!H2868-2027)</f>
        <v>2.72247623313319</v>
      </c>
      <c r="I2988" s="6" t="n">
        <f aca="false">Sens!$F$2996/life_nonai*(1-1/life_nonai)^(Sens!I2868-2027)</f>
        <v>2.45022860981987</v>
      </c>
      <c r="J2988" s="6" t="n">
        <f aca="false">Sens!$F$2996/life_nonai*(1-1/life_nonai)^(Sens!J2868-2027)</f>
        <v>2.20520574883788</v>
      </c>
      <c r="K2988" s="6" t="n">
        <f aca="false">Sens!$F$2996/life_nonai*(1-1/life_nonai)^(Sens!K2868-2027)</f>
        <v>1.98468517395409</v>
      </c>
      <c r="L2988" s="1" t="s">
        <v>1101</v>
      </c>
    </row>
    <row r="2989" customFormat="false" ht="17.15" hidden="false" customHeight="false" outlineLevel="0" collapsed="false">
      <c r="A2989" s="1" t="s">
        <v>1102</v>
      </c>
      <c r="B2989" s="0" t="s">
        <v>98</v>
      </c>
      <c r="E2989" s="6" t="n">
        <f aca="false">Sens!E2905+Sens!E2987</f>
        <v>38.534</v>
      </c>
      <c r="F2989" s="6" t="n">
        <f aca="false">Sens!F2905+Sens!F2987</f>
        <v>57.5478469558117</v>
      </c>
      <c r="G2989" s="6" t="n">
        <f aca="false">Sens!G2905+Sens!G2987</f>
        <v>79.6016505917439</v>
      </c>
      <c r="H2989" s="6" t="n">
        <f aca="false">Sens!H2905+Sens!H2987</f>
        <v>103.854970437061</v>
      </c>
      <c r="I2989" s="6" t="n">
        <f aca="false">Sens!I2905+Sens!I2987</f>
        <v>125.888644536031</v>
      </c>
      <c r="J2989" s="6" t="n">
        <f aca="false">Sens!J2905+Sens!J2987</f>
        <v>142.332894789052</v>
      </c>
      <c r="K2989" s="6" t="n">
        <f aca="false">Sens!K2905+Sens!K2987</f>
        <v>153.545091010023</v>
      </c>
    </row>
    <row r="2990" customFormat="false" ht="17.15" hidden="false" customHeight="false" outlineLevel="0" collapsed="false">
      <c r="A2990" s="1" t="s">
        <v>1103</v>
      </c>
      <c r="B2990" s="0" t="s">
        <v>98</v>
      </c>
      <c r="F2990" s="6" t="n">
        <f aca="false">Sens!F2932*sbc_r</f>
        <v>14.7454787486369</v>
      </c>
      <c r="G2990" s="6" t="n">
        <f aca="false">Sens!G2932*sbc_r</f>
        <v>17.1560811611477</v>
      </c>
      <c r="H2990" s="6" t="n">
        <f aca="false">Sens!H2932*sbc_r</f>
        <v>19.4112161412813</v>
      </c>
      <c r="I2990" s="6" t="n">
        <f aca="false">Sens!I2932*sbc_r</f>
        <v>21.7655163708747</v>
      </c>
      <c r="J2990" s="6" t="n">
        <f aca="false">Sens!J2932*sbc_r</f>
        <v>23.7425689489627</v>
      </c>
      <c r="K2990" s="6" t="n">
        <f aca="false">Sens!K2932*sbc_r</f>
        <v>25.3560408997772</v>
      </c>
    </row>
    <row r="2991" customFormat="false" ht="17.15" hidden="false" customHeight="false" outlineLevel="0" collapsed="false">
      <c r="A2991" s="1" t="s">
        <v>1104</v>
      </c>
      <c r="B2991" s="0" t="s">
        <v>98</v>
      </c>
      <c r="F2991" s="6" t="n">
        <f aca="false">wc27-wc26q1</f>
        <v>-4.677</v>
      </c>
      <c r="G2991" s="6" t="n">
        <f aca="false">wc_f</f>
        <v>0</v>
      </c>
      <c r="H2991" s="6" t="n">
        <f aca="false">wc_f</f>
        <v>0</v>
      </c>
      <c r="I2991" s="6" t="n">
        <f aca="false">wc_f</f>
        <v>0</v>
      </c>
      <c r="J2991" s="6" t="n">
        <f aca="false">wc_f</f>
        <v>0</v>
      </c>
      <c r="K2991" s="6" t="n">
        <f aca="false">wc_f</f>
        <v>0</v>
      </c>
      <c r="L2991" s="12" t="s">
        <v>1105</v>
      </c>
    </row>
    <row r="2992" customFormat="false" ht="17.15" hidden="false" customHeight="false" outlineLevel="0" collapsed="false">
      <c r="A2992" s="0" t="s">
        <v>1106</v>
      </c>
      <c r="B2992" s="0" t="s">
        <v>98</v>
      </c>
      <c r="F2992" s="6" t="n">
        <f aca="false">Q!$I$35-Q!$I$26-Q!$I$38-Q!$I$39</f>
        <v>6.493</v>
      </c>
      <c r="L2992" s="1" t="s">
        <v>1107</v>
      </c>
    </row>
    <row r="2993" customFormat="false" ht="15" hidden="false" customHeight="false" outlineLevel="0" collapsed="false">
      <c r="A2993" s="1" t="s">
        <v>904</v>
      </c>
      <c r="B2993" s="0" t="s">
        <v>98</v>
      </c>
      <c r="E2993" s="6" t="n">
        <f aca="false">Q!M35</f>
        <v>182.935</v>
      </c>
      <c r="F2993" s="6" t="n">
        <f aca="false">Sens!F2986+Sens!F2989+Sens!F2990+Sens!F2991+Sens!F2992</f>
        <v>216.389106853226</v>
      </c>
      <c r="G2993" s="6" t="n">
        <f aca="false">Sens!G2986+Sens!G2989+Sens!G2990+Sens!G2991</f>
        <v>247.227620414241</v>
      </c>
      <c r="H2993" s="6" t="n">
        <f aca="false">Sens!H2986+Sens!H2989+Sens!H2990+Sens!H2991</f>
        <v>281.600513743353</v>
      </c>
      <c r="I2993" s="6" t="n">
        <f aca="false">Sens!I2986+Sens!I2989+Sens!I2990+Sens!I2991</f>
        <v>319.424732740843</v>
      </c>
      <c r="J2993" s="6" t="n">
        <f aca="false">Sens!J2986+Sens!J2989+Sens!J2990+Sens!J2991</f>
        <v>350.910147888588</v>
      </c>
      <c r="K2993" s="6" t="n">
        <f aca="false">Sens!K2986+Sens!K2989+Sens!K2990+Sens!K2991</f>
        <v>376.452482176996</v>
      </c>
    </row>
    <row r="2994" customFormat="false" ht="17.15" hidden="false" customHeight="false" outlineLevel="0" collapsed="false">
      <c r="A2994" s="0" t="s">
        <v>1108</v>
      </c>
      <c r="B2994" s="0" t="s">
        <v>98</v>
      </c>
      <c r="F2994" s="6" t="n">
        <f aca="false">Sens!F2902</f>
        <v>134.763123233696</v>
      </c>
      <c r="G2994" s="6" t="n">
        <f aca="false">Sens!G2902</f>
        <v>153.555580519238</v>
      </c>
      <c r="H2994" s="6" t="n">
        <f aca="false">Sens!H2902</f>
        <v>157.44480325161</v>
      </c>
      <c r="I2994" s="6" t="n">
        <f aca="false">Sens!I2902</f>
        <v>134.891866897288</v>
      </c>
      <c r="J2994" s="6" t="n">
        <f aca="false">Sens!J2902</f>
        <v>103.143944956752</v>
      </c>
      <c r="K2994" s="6" t="n">
        <f aca="false">Sens!K2902</f>
        <v>95.1702824517861</v>
      </c>
    </row>
    <row r="2995" customFormat="false" ht="17.15" hidden="false" customHeight="false" outlineLevel="0" collapsed="false">
      <c r="A2995" s="1" t="s">
        <v>1109</v>
      </c>
      <c r="B2995" s="0" t="s">
        <v>98</v>
      </c>
      <c r="E2995" s="6" t="n">
        <f aca="false">Sens!E2910*cx_azo+Sens!E2917*cx_m365+Sens!E2918*cx_lic+(Sens!E2920+Sens!E2922)*cx_ind+Sens!E2925*cx_srch+(Sens!E2927+Sens!E2929)*cx_dev</f>
        <v>30.1846587067718</v>
      </c>
      <c r="F2995" s="6" t="n">
        <f aca="false">Sens!F2910*cx_azo+Sens!F2917*cx_m365+Sens!F2918*cx_lic+(Sens!F2920+Sens!F2922)*cx_ind+Sens!F2925*cx_srch+(Sens!F2927+Sens!F2929)*cx_dev</f>
        <v>35.826059073302</v>
      </c>
      <c r="G2995" s="6" t="n">
        <f aca="false">Sens!G2910*cx_azo+Sens!G2917*cx_m365+Sens!G2918*cx_lic+(Sens!G2920+Sens!G2922)*cx_ind+Sens!G2925*cx_srch+(Sens!G2927+Sens!G2929)*cx_dev</f>
        <v>41.1810223408732</v>
      </c>
      <c r="H2995" s="6" t="n">
        <f aca="false">Sens!H2910*cx_azo+Sens!H2917*cx_m365+Sens!H2918*cx_lic+(Sens!H2920+Sens!H2922)*cx_ind+Sens!H2925*cx_srch+(Sens!H2927+Sens!H2929)*cx_dev</f>
        <v>46.6224564499022</v>
      </c>
      <c r="I2995" s="6" t="n">
        <f aca="false">Sens!I2910*cx_azo+Sens!I2917*cx_m365+Sens!I2918*cx_lic+(Sens!I2920+Sens!I2922)*cx_ind+Sens!I2925*cx_srch+(Sens!I2927+Sens!I2929)*cx_dev</f>
        <v>51.8642866327854</v>
      </c>
      <c r="J2995" s="6" t="n">
        <f aca="false">Sens!J2910*cx_azo+Sens!J2917*cx_m365+Sens!J2918*cx_lic+(Sens!J2920+Sens!J2922)*cx_ind+Sens!J2925*cx_srch+(Sens!J2927+Sens!J2929)*cx_dev</f>
        <v>56.6690324702225</v>
      </c>
      <c r="K2995" s="6" t="n">
        <f aca="false">Sens!K2910*cx_azo+Sens!K2917*cx_m365+Sens!K2918*cx_lic+(Sens!K2920+Sens!K2922)*cx_ind+Sens!K2925*cx_srch+(Sens!K2927+Sens!K2929)*cx_dev</f>
        <v>60.866346548376</v>
      </c>
    </row>
    <row r="2996" customFormat="false" ht="17.15" hidden="false" customHeight="false" outlineLevel="0" collapsed="false">
      <c r="A2996" s="0" t="s">
        <v>1110</v>
      </c>
      <c r="B2996" s="0" t="s">
        <v>98</v>
      </c>
      <c r="F2996" s="6" t="n">
        <f aca="false">Sens!F2900</f>
        <v>33.6108176930023</v>
      </c>
      <c r="L2996" s="1" t="s">
        <v>1111</v>
      </c>
    </row>
    <row r="2997" customFormat="false" ht="17.15" hidden="false" customHeight="false" outlineLevel="0" collapsed="false">
      <c r="A2997" s="1" t="s">
        <v>1112</v>
      </c>
      <c r="B2997" s="0" t="s">
        <v>98</v>
      </c>
      <c r="E2997" s="6" t="n">
        <f aca="false">Q!M43</f>
        <v>145.3</v>
      </c>
      <c r="F2997" s="6" t="n">
        <f aca="false">Sens!F2994+Sens!F2995+Sens!F2996</f>
        <v>204.2</v>
      </c>
      <c r="G2997" s="6" t="n">
        <f aca="false">Sens!G2994+Sens!G2995</f>
        <v>194.736602860112</v>
      </c>
      <c r="H2997" s="6" t="n">
        <f aca="false">Sens!H2994+Sens!H2995</f>
        <v>204.067259701512</v>
      </c>
      <c r="I2997" s="6" t="n">
        <f aca="false">Sens!I2994+Sens!I2995</f>
        <v>186.756153530074</v>
      </c>
      <c r="J2997" s="6" t="n">
        <f aca="false">Sens!J2994+Sens!J2995</f>
        <v>159.812977426975</v>
      </c>
      <c r="K2997" s="6" t="n">
        <f aca="false">Sens!K2994+Sens!K2995</f>
        <v>156.036629000162</v>
      </c>
      <c r="L2997" s="1" t="s">
        <v>1113</v>
      </c>
    </row>
    <row r="2998" customFormat="false" ht="15" hidden="false" customHeight="false" outlineLevel="0" collapsed="false">
      <c r="A2998" s="1" t="s">
        <v>1114</v>
      </c>
      <c r="B2998" s="0" t="s">
        <v>98</v>
      </c>
      <c r="E2998" s="6" t="n">
        <f aca="false">fl_liab</f>
        <v>66.594</v>
      </c>
      <c r="F2998" s="6" t="n">
        <f aca="false">Sens!E2998-Sens!F2999</f>
        <v>62.46973</v>
      </c>
      <c r="G2998" s="6" t="n">
        <f aca="false">Sens!F2998-Sens!G2999</f>
        <v>57.98686785</v>
      </c>
      <c r="H2998" s="6" t="n">
        <f aca="false">Sens!G2998-Sens!H2999</f>
        <v>53.92827690325</v>
      </c>
      <c r="I2998" s="6" t="n">
        <f aca="false">Sens!H2998-Sens!I2999</f>
        <v>49.7850493638962</v>
      </c>
      <c r="J2998" s="6" t="n">
        <f aca="false">Sens!I2998-Sens!J2999</f>
        <v>45.4823765852716</v>
      </c>
      <c r="K2998" s="6" t="n">
        <f aca="false">Sens!J2998-Sens!K2999</f>
        <v>40.9860835316088</v>
      </c>
    </row>
    <row r="2999" customFormat="false" ht="15" hidden="false" customHeight="false" outlineLevel="0" collapsed="false">
      <c r="A2999" s="1" t="s">
        <v>1115</v>
      </c>
      <c r="B2999" s="0" t="s">
        <v>98</v>
      </c>
      <c r="F2999" s="6" t="n">
        <f aca="false">fl_pay_27-Sens!E2998*fl_rate</f>
        <v>4.12427</v>
      </c>
      <c r="G2999" s="6" t="n">
        <f aca="false">fl_pay_28-Sens!F2998*fl_rate</f>
        <v>4.48286215</v>
      </c>
      <c r="H2999" s="6" t="n">
        <f aca="false">fl_pay_29-Sens!G2998*fl_rate</f>
        <v>4.05859094675</v>
      </c>
      <c r="I2999" s="6" t="n">
        <f aca="false">fl_pay_30-Sens!H2998*fl_rate</f>
        <v>4.14322753935375</v>
      </c>
      <c r="J2999" s="6" t="n">
        <f aca="false">fl_pay_31-Sens!I2998*fl_rate</f>
        <v>4.30267277862467</v>
      </c>
      <c r="K2999" s="6" t="n">
        <f aca="false">fl_pay_32-Sens!J2998*fl_rate</f>
        <v>4.49629305366278</v>
      </c>
    </row>
    <row r="3000" customFormat="false" ht="17.15" hidden="false" customHeight="false" outlineLevel="0" collapsed="false">
      <c r="A3000" s="1" t="s">
        <v>1116</v>
      </c>
      <c r="B3000" s="0" t="s">
        <v>98</v>
      </c>
      <c r="E3000" s="6" t="n">
        <f aca="false">Q!M35-Q!M36-Q!M44</f>
        <v>63.886</v>
      </c>
      <c r="F3000" s="6" t="n">
        <f aca="false">Sens!F2993-Sens!F2997-Sens!F2999</f>
        <v>8.06483685322641</v>
      </c>
      <c r="G3000" s="6" t="n">
        <f aca="false">Sens!G2993-Sens!G2997-Sens!G2999</f>
        <v>48.0081554041292</v>
      </c>
      <c r="H3000" s="6" t="n">
        <f aca="false">Sens!H2993-Sens!H2997-Sens!H2999</f>
        <v>73.4746630950908</v>
      </c>
      <c r="I3000" s="6" t="n">
        <f aca="false">Sens!I2993-Sens!I2997-Sens!I2999</f>
        <v>128.525351671415</v>
      </c>
      <c r="J3000" s="6" t="n">
        <f aca="false">Sens!J2993-Sens!J2997-Sens!J2999</f>
        <v>186.794497682988</v>
      </c>
      <c r="K3000" s="6" t="n">
        <f aca="false">Sens!K2993-Sens!K2997-Sens!K2999</f>
        <v>215.919560123171</v>
      </c>
      <c r="L3000" s="12" t="s">
        <v>1117</v>
      </c>
    </row>
    <row r="3001" customFormat="false" ht="15" hidden="false" customHeight="false" outlineLevel="0" collapsed="false">
      <c r="A3001" s="1" t="s">
        <v>1118</v>
      </c>
      <c r="B3001" s="0" t="s">
        <v>75</v>
      </c>
      <c r="F3001" s="8" t="n">
        <f aca="false">dps_27</f>
        <v>3.85</v>
      </c>
      <c r="G3001" s="8" t="n">
        <f aca="false">Sens!F3001*(1+dps_g)</f>
        <v>4.158</v>
      </c>
      <c r="H3001" s="8" t="n">
        <f aca="false">Sens!G3001*(1+dps_g)</f>
        <v>4.49064</v>
      </c>
      <c r="I3001" s="8" t="n">
        <f aca="false">Sens!H3001*(1+dps_g)</f>
        <v>4.8498912</v>
      </c>
      <c r="J3001" s="8" t="n">
        <f aca="false">Sens!I3001*(1+dps_g)</f>
        <v>5.237882496</v>
      </c>
      <c r="K3001" s="8" t="n">
        <f aca="false">Sens!J3001*(1+dps_g)</f>
        <v>5.65691309568</v>
      </c>
    </row>
    <row r="3002" customFormat="false" ht="17.15" hidden="false" customHeight="false" outlineLevel="0" collapsed="false">
      <c r="A3002" s="1" t="s">
        <v>1119</v>
      </c>
      <c r="B3002" s="0" t="s">
        <v>98</v>
      </c>
      <c r="E3002" s="6" t="n">
        <f aca="false">Q!M41</f>
        <v>26.445</v>
      </c>
      <c r="F3002" s="6" t="n">
        <f aca="false">Sens!F3001*Sens!E3011</f>
        <v>28.59395</v>
      </c>
      <c r="G3002" s="6" t="n">
        <f aca="false">Sens!G3001*Sens!F3011</f>
        <v>31.068576</v>
      </c>
      <c r="H3002" s="6" t="n">
        <f aca="false">Sens!H3001*Sens!G3011</f>
        <v>33.6285050724794</v>
      </c>
      <c r="I3002" s="6" t="n">
        <f aca="false">Sens!I3001*Sens!H3011</f>
        <v>36.3692237553504</v>
      </c>
      <c r="J3002" s="6" t="n">
        <f aca="false">Sens!J3001*Sens!I3011</f>
        <v>39.3466595411711</v>
      </c>
      <c r="K3002" s="6" t="n">
        <f aca="false">Sens!K3001*Sens!J3011</f>
        <v>42.581146566843</v>
      </c>
      <c r="L3002" s="1" t="s">
        <v>1120</v>
      </c>
    </row>
    <row r="3003" customFormat="false" ht="15" hidden="false" customHeight="false" outlineLevel="0" collapsed="false">
      <c r="A3003" s="1" t="s">
        <v>1121</v>
      </c>
      <c r="B3003" s="0" t="s">
        <v>98</v>
      </c>
      <c r="E3003" s="6" t="n">
        <f aca="false">Sens!E3000-Sens!E3002</f>
        <v>37.441</v>
      </c>
      <c r="F3003" s="6" t="n">
        <f aca="false">Sens!F3000-Sens!F3002</f>
        <v>-20.5291131467736</v>
      </c>
      <c r="G3003" s="6" t="n">
        <f aca="false">Sens!G3000-Sens!G3002</f>
        <v>16.9395794041292</v>
      </c>
      <c r="H3003" s="6" t="n">
        <f aca="false">Sens!H3000-Sens!H3002</f>
        <v>39.8461580226113</v>
      </c>
      <c r="I3003" s="6" t="n">
        <f aca="false">Sens!I3000-Sens!I3002</f>
        <v>92.156127916065</v>
      </c>
      <c r="J3003" s="6" t="n">
        <f aca="false">Sens!J3000-Sens!J3002</f>
        <v>147.447838141817</v>
      </c>
      <c r="K3003" s="6" t="n">
        <f aca="false">Sens!K3000-Sens!K3002</f>
        <v>173.338413556328</v>
      </c>
    </row>
    <row r="3004" customFormat="false" ht="15" hidden="false" customHeight="false" outlineLevel="0" collapsed="false">
      <c r="A3004" s="1" t="s">
        <v>1122</v>
      </c>
      <c r="B3004" s="0" t="s">
        <v>98</v>
      </c>
      <c r="F3004" s="6" t="n">
        <f aca="false">debt_mat_27</f>
        <v>9.25</v>
      </c>
      <c r="G3004" s="6" t="n">
        <f aca="false">debt_mat_28</f>
        <v>0</v>
      </c>
      <c r="H3004" s="6" t="n">
        <f aca="false">debt_mat_29</f>
        <v>2.001</v>
      </c>
      <c r="I3004" s="6" t="n">
        <f aca="false">debt_mat_30</f>
        <v>0</v>
      </c>
      <c r="J3004" s="6" t="n">
        <f aca="false">debt_mat_31</f>
        <v>0.5</v>
      </c>
      <c r="K3004" s="6" t="n">
        <f aca="false">debt_mat_32</f>
        <v>0</v>
      </c>
    </row>
    <row r="3005" customFormat="false" ht="15" hidden="false" customHeight="false" outlineLevel="0" collapsed="false">
      <c r="A3005" s="1" t="s">
        <v>1123</v>
      </c>
      <c r="B3005" s="0" t="s">
        <v>98</v>
      </c>
      <c r="E3005" s="6" t="n">
        <f aca="false">Q!M40</f>
        <v>22.271</v>
      </c>
      <c r="F3005" s="6" t="n">
        <f aca="false">MAX(0,MIN(bb_target,Sens!E3007+Sens!F3003-Sens!F3004-min_cash))</f>
        <v>0</v>
      </c>
      <c r="G3005" s="6" t="n">
        <f aca="false">MAX(0,MIN(bb_target,Sens!F3007+Sens!G3003-Sens!G3004-min_cash))</f>
        <v>16.9395794041292</v>
      </c>
      <c r="H3005" s="6" t="n">
        <f aca="false">MAX(0,MIN(bb_target,Sens!G3007+Sens!H3003-Sens!H3004-min_cash))</f>
        <v>22.271</v>
      </c>
      <c r="I3005" s="6" t="n">
        <f aca="false">MAX(0,MIN(bb_target,Sens!H3007+Sens!I3003-Sens!I3004-min_cash))</f>
        <v>22.271</v>
      </c>
      <c r="J3005" s="6" t="n">
        <f aca="false">MAX(0,MIN(bb_target,Sens!I3007+Sens!J3003-Sens!J3004-min_cash))</f>
        <v>22.271</v>
      </c>
      <c r="K3005" s="6" t="n">
        <f aca="false">MAX(0,MIN(bb_target,Sens!J3007+Sens!K3003-Sens!K3004-min_cash))</f>
        <v>22.271</v>
      </c>
    </row>
    <row r="3006" customFormat="false" ht="15" hidden="false" customHeight="false" outlineLevel="0" collapsed="false">
      <c r="A3006" s="1" t="s">
        <v>1124</v>
      </c>
      <c r="B3006" s="0" t="s">
        <v>98</v>
      </c>
      <c r="F3006" s="6" t="n">
        <f aca="false">MAX(0,min_cash-(Sens!E3007+Sens!F3003-Sens!F3004-Sens!F3005))</f>
        <v>2.93611314677359</v>
      </c>
      <c r="G3006" s="6" t="n">
        <f aca="false">MAX(0,min_cash-(Sens!F3007+Sens!G3003-Sens!G3004-Sens!G3005))</f>
        <v>0</v>
      </c>
      <c r="H3006" s="6" t="n">
        <f aca="false">MAX(0,min_cash-(Sens!G3007+Sens!H3003-Sens!H3004-Sens!H3005))</f>
        <v>0</v>
      </c>
      <c r="I3006" s="6" t="n">
        <f aca="false">MAX(0,min_cash-(Sens!H3007+Sens!I3003-Sens!I3004-Sens!I3005))</f>
        <v>0</v>
      </c>
      <c r="J3006" s="6" t="n">
        <f aca="false">MAX(0,min_cash-(Sens!I3007+Sens!J3003-Sens!J3004-Sens!J3005))</f>
        <v>0</v>
      </c>
      <c r="K3006" s="6" t="n">
        <f aca="false">MAX(0,min_cash-(Sens!J3007+Sens!K3003-Sens!K3004-Sens!K3005))</f>
        <v>0</v>
      </c>
    </row>
    <row r="3007" customFormat="false" ht="15" hidden="false" customHeight="false" outlineLevel="0" collapsed="false">
      <c r="A3007" s="1" t="s">
        <v>1125</v>
      </c>
      <c r="B3007" s="0" t="s">
        <v>98</v>
      </c>
      <c r="E3007" s="6" t="n">
        <f aca="false">cash_open</f>
        <v>76.843</v>
      </c>
      <c r="F3007" s="6" t="n">
        <f aca="false">Sens!E3007+Sens!F3003-Sens!F3004-Sens!F3005+Sens!F3006</f>
        <v>50</v>
      </c>
      <c r="G3007" s="6" t="n">
        <f aca="false">Sens!F3007+Sens!G3003-Sens!G3004-Sens!G3005+Sens!G3006</f>
        <v>50</v>
      </c>
      <c r="H3007" s="6" t="n">
        <f aca="false">Sens!G3007+Sens!H3003-Sens!H3004-Sens!H3005+Sens!H3006</f>
        <v>65.5741580226113</v>
      </c>
      <c r="I3007" s="6" t="n">
        <f aca="false">Sens!H3007+Sens!I3003-Sens!I3004-Sens!I3005+Sens!I3006</f>
        <v>135.459285938676</v>
      </c>
      <c r="J3007" s="6" t="n">
        <f aca="false">Sens!I3007+Sens!J3003-Sens!J3004-Sens!J3005+Sens!J3006</f>
        <v>260.136124080493</v>
      </c>
      <c r="K3007" s="6" t="n">
        <f aca="false">Sens!J3007+Sens!K3003-Sens!K3004-Sens!K3005+Sens!K3006</f>
        <v>411.203537636821</v>
      </c>
    </row>
    <row r="3008" customFormat="false" ht="15" hidden="false" customHeight="false" outlineLevel="0" collapsed="false">
      <c r="A3008" s="1" t="s">
        <v>1126</v>
      </c>
      <c r="B3008" s="0" t="s">
        <v>98</v>
      </c>
      <c r="E3008" s="6" t="n">
        <f aca="false">debt_face</f>
        <v>46.136</v>
      </c>
      <c r="F3008" s="6" t="n">
        <f aca="false">Sens!E3008-Sens!F3004+Sens!F3006</f>
        <v>39.8221131467736</v>
      </c>
      <c r="G3008" s="6" t="n">
        <f aca="false">Sens!F3008-Sens!G3004+Sens!G3006</f>
        <v>39.8221131467736</v>
      </c>
      <c r="H3008" s="6" t="n">
        <f aca="false">Sens!G3008-Sens!H3004+Sens!H3006</f>
        <v>37.8211131467736</v>
      </c>
      <c r="I3008" s="6" t="n">
        <f aca="false">Sens!H3008-Sens!I3004+Sens!I3006</f>
        <v>37.8211131467736</v>
      </c>
      <c r="J3008" s="6" t="n">
        <f aca="false">Sens!I3008-Sens!J3004+Sens!J3006</f>
        <v>37.3211131467736</v>
      </c>
      <c r="K3008" s="6" t="n">
        <f aca="false">Sens!J3008-Sens!K3004+Sens!K3006</f>
        <v>37.3211131467736</v>
      </c>
    </row>
    <row r="3009" customFormat="false" ht="15" hidden="false" customHeight="false" outlineLevel="0" collapsed="false">
      <c r="A3009" s="1" t="s">
        <v>1127</v>
      </c>
      <c r="B3009" s="0" t="s">
        <v>98</v>
      </c>
      <c r="E3009" s="6" t="n">
        <f aca="false">Sens!E3007-Sens!E3008</f>
        <v>30.707</v>
      </c>
      <c r="F3009" s="6" t="n">
        <f aca="false">Sens!F3007-Sens!F3008</f>
        <v>10.1778868532264</v>
      </c>
      <c r="G3009" s="6" t="n">
        <f aca="false">Sens!G3007-Sens!G3008</f>
        <v>10.1778868532264</v>
      </c>
      <c r="H3009" s="6" t="n">
        <f aca="false">Sens!H3007-Sens!H3008</f>
        <v>27.7530448758377</v>
      </c>
      <c r="I3009" s="6" t="n">
        <f aca="false">Sens!I3007-Sens!I3008</f>
        <v>97.6381727919028</v>
      </c>
      <c r="J3009" s="6" t="n">
        <f aca="false">Sens!J3007-Sens!J3008</f>
        <v>222.81501093372</v>
      </c>
      <c r="K3009" s="6" t="n">
        <f aca="false">Sens!K3007-Sens!K3008</f>
        <v>373.882424490047</v>
      </c>
    </row>
    <row r="3010" customFormat="false" ht="15" hidden="false" customHeight="false" outlineLevel="0" collapsed="false">
      <c r="A3010" s="1" t="s">
        <v>1128</v>
      </c>
      <c r="B3010" s="0" t="s">
        <v>75</v>
      </c>
      <c r="F3010" s="30" t="n">
        <f aca="false">px*(1+bb_g)^(Sens!F2868-base_fy-mid_yr)</f>
        <v>551.84177959629</v>
      </c>
      <c r="G3010" s="30" t="n">
        <f aca="false">px*(1+bb_g)^(Sens!G2868-base_fy-mid_yr)</f>
        <v>595.989121963993</v>
      </c>
      <c r="H3010" s="30" t="n">
        <f aca="false">px*(1+bb_g)^(Sens!H2868-base_fy-mid_yr)</f>
        <v>643.668251721112</v>
      </c>
      <c r="I3010" s="30" t="n">
        <f aca="false">px*(1+bb_g)^(Sens!I2868-base_fy-mid_yr)</f>
        <v>695.161711858801</v>
      </c>
      <c r="J3010" s="30" t="n">
        <f aca="false">px*(1+bb_g)^(Sens!J2868-base_fy-mid_yr)</f>
        <v>750.774648807506</v>
      </c>
      <c r="K3010" s="30" t="n">
        <f aca="false">px*(1+bb_g)^(Sens!K2868-base_fy-mid_yr)</f>
        <v>810.836620712106</v>
      </c>
    </row>
    <row r="3011" customFormat="false" ht="15" hidden="false" customHeight="false" outlineLevel="0" collapsed="false">
      <c r="A3011" s="1" t="s">
        <v>1129</v>
      </c>
      <c r="B3011" s="1" t="s">
        <v>81</v>
      </c>
      <c r="E3011" s="15" t="n">
        <f aca="false">sh_out26</f>
        <v>7.427</v>
      </c>
      <c r="F3011" s="15" t="n">
        <f aca="false">Sens!E3011+sh_iss-Sens!F3005/Sens!F3010</f>
        <v>7.472</v>
      </c>
      <c r="G3011" s="15" t="n">
        <f aca="false">Sens!F3011+sh_iss-Sens!G3005/Sens!G3010</f>
        <v>7.48857736814339</v>
      </c>
      <c r="H3011" s="15" t="n">
        <f aca="false">Sens!G3011+sh_iss-Sens!H3005/Sens!H3010</f>
        <v>7.49897724620099</v>
      </c>
      <c r="I3011" s="15" t="n">
        <f aca="false">Sens!H3011+sh_iss-Sens!I3005/Sens!I3010</f>
        <v>7.51194009625433</v>
      </c>
      <c r="J3011" s="15" t="n">
        <f aca="false">Sens!I3011+sh_iss-Sens!J3005/Sens!J3010</f>
        <v>7.52727606852593</v>
      </c>
      <c r="K3011" s="15" t="n">
        <f aca="false">Sens!J3011+sh_iss-Sens!K3005/Sens!K3010</f>
        <v>7.54480937618483</v>
      </c>
    </row>
    <row r="3012" customFormat="false" ht="15" hidden="false" customHeight="false" outlineLevel="0" collapsed="false">
      <c r="A3012" s="1" t="s">
        <v>1130</v>
      </c>
      <c r="B3012" s="1" t="s">
        <v>81</v>
      </c>
      <c r="E3012" s="15" t="n">
        <f aca="false">sh_dil26</f>
        <v>7.453</v>
      </c>
      <c r="F3012" s="15" t="n">
        <f aca="false">(Sens!E3011+Sens!F3011)/2+dil_gap</f>
        <v>7.4735</v>
      </c>
      <c r="G3012" s="15" t="n">
        <f aca="false">(Sens!F3011+Sens!G3011)/2+dil_gap</f>
        <v>7.50428868407169</v>
      </c>
      <c r="H3012" s="15" t="n">
        <f aca="false">(Sens!G3011+Sens!H3011)/2+dil_gap</f>
        <v>7.51777730717219</v>
      </c>
      <c r="I3012" s="15" t="n">
        <f aca="false">(Sens!H3011+Sens!I3011)/2+dil_gap</f>
        <v>7.52945867122766</v>
      </c>
      <c r="J3012" s="15" t="n">
        <f aca="false">(Sens!I3011+Sens!J3011)/2+dil_gap</f>
        <v>7.54360808239013</v>
      </c>
      <c r="K3012" s="15" t="n">
        <f aca="false">(Sens!J3011+Sens!K3011)/2+dil_gap</f>
        <v>7.56004272235538</v>
      </c>
    </row>
    <row r="3013" customFormat="false" ht="17.15" hidden="false" customHeight="false" outlineLevel="0" collapsed="false">
      <c r="A3013" s="1" t="s">
        <v>1131</v>
      </c>
      <c r="B3013" s="0" t="s">
        <v>98</v>
      </c>
      <c r="C3013" s="6" t="n">
        <f aca="false">SUM(Sens!F3003:J3003)</f>
        <v>275.860590337849</v>
      </c>
    </row>
    <row r="3014" customFormat="false" ht="15" hidden="false" customHeight="false" outlineLevel="0" collapsed="false">
      <c r="A3014" s="26" t="s">
        <v>1096</v>
      </c>
      <c r="B3014" s="31" t="s">
        <v>98</v>
      </c>
      <c r="C3014" s="27" t="n">
        <f aca="false">Sens!$C$3013-(Sens!F3003+Sens!G3003+Sens!H3003+Sens!I3003+Sens!J3003)</f>
        <v>0</v>
      </c>
      <c r="D3014" s="31"/>
      <c r="E3014" s="31"/>
      <c r="F3014" s="31"/>
      <c r="G3014" s="31"/>
      <c r="H3014" s="31"/>
      <c r="I3014" s="31"/>
      <c r="J3014" s="31"/>
      <c r="K3014" s="31"/>
    </row>
    <row r="3015" customFormat="false" ht="17.15" hidden="false" customHeight="false" outlineLevel="0" collapsed="false">
      <c r="A3015" s="1" t="s">
        <v>1090</v>
      </c>
      <c r="B3015" s="1" t="s">
        <v>1132</v>
      </c>
      <c r="C3015" s="33" t="str">
        <f aca="false">IF(SUM(Sens!F3006:J3006)&gt;0.05,"需要舉債 "&amp;TEXT(SUM(Sens!F3006:J3006),"0.0")&amp;" 十億美元","不需舉債")&amp;"；"&amp;IF(SUM(Sens!F3005:J3005)&lt;COUNT(Sens!F3005:J3005)*bb_target-0.05,"回購較每年 "&amp;TEXT(bb_target,"0.0")&amp;" 的目標少 "&amp;TEXT(COUNT(Sens!F3005:J3005)*bb_target-SUM(Sens!F3005:J3005),"0.0")&amp;" 十億美元（"&amp;TEXT(COUNTIF(Sens!F3005:J3005,"&lt;"&amp;(bb_target-0.05)),"0")&amp;" 年減少）","回購不減")</f>
        <v>需要舉債 2.9 十億美元；回購較每年 22.3 的目標少 27.6 十億美元（2 年減少）</v>
      </c>
    </row>
    <row r="3016" customFormat="false" ht="17.15" hidden="false" customHeight="false" outlineLevel="0" collapsed="false">
      <c r="A3016" s="3" t="s">
        <v>1554</v>
      </c>
    </row>
    <row r="3017" customFormat="false" ht="15" hidden="false" customHeight="false" outlineLevel="0" collapsed="false">
      <c r="A3017" s="4" t="s">
        <v>43</v>
      </c>
      <c r="B3017" s="4" t="s">
        <v>65</v>
      </c>
      <c r="C3017" s="23" t="s">
        <v>938</v>
      </c>
      <c r="D3017" s="23" t="s">
        <v>939</v>
      </c>
      <c r="E3017" s="23" t="s">
        <v>940</v>
      </c>
      <c r="F3017" s="23" t="s">
        <v>941</v>
      </c>
      <c r="G3017" s="23" t="s">
        <v>942</v>
      </c>
      <c r="H3017" s="23" t="s">
        <v>943</v>
      </c>
      <c r="I3017" s="23" t="s">
        <v>944</v>
      </c>
      <c r="J3017" s="23" t="s">
        <v>945</v>
      </c>
      <c r="K3017" s="23" t="s">
        <v>946</v>
      </c>
      <c r="L3017" s="4" t="s">
        <v>47</v>
      </c>
    </row>
    <row r="3018" customFormat="false" ht="17.15" hidden="false" customHeight="false" outlineLevel="0" collapsed="false">
      <c r="A3018" s="1" t="s">
        <v>1212</v>
      </c>
      <c r="B3018" s="1" t="s">
        <v>279</v>
      </c>
      <c r="F3018" s="8" t="n">
        <f aca="false">(1-v_off)*mid_yr</f>
        <v>0.373972602739726</v>
      </c>
      <c r="G3018" s="8" t="n">
        <f aca="false">Sens!G2868-base_fy-mid_yr-v_off</f>
        <v>1.24794520547945</v>
      </c>
      <c r="H3018" s="8" t="n">
        <f aca="false">Sens!H2868-base_fy-mid_yr-v_off</f>
        <v>2.24794520547945</v>
      </c>
      <c r="I3018" s="8" t="n">
        <f aca="false">Sens!I2868-base_fy-mid_yr-v_off</f>
        <v>3.24794520547945</v>
      </c>
      <c r="J3018" s="8" t="n">
        <f aca="false">Sens!J2868-base_fy-mid_yr-v_off</f>
        <v>4.24794520547945</v>
      </c>
      <c r="K3018" s="8" t="n">
        <f aca="false">Sens!K2868-base_fy-mid_yr-v_off</f>
        <v>5.24794520547945</v>
      </c>
      <c r="L3018" s="12" t="s">
        <v>1213</v>
      </c>
    </row>
    <row r="3019" customFormat="false" ht="15" hidden="false" customHeight="false" outlineLevel="0" collapsed="false">
      <c r="A3019" s="1" t="s">
        <v>1214</v>
      </c>
      <c r="B3019" s="1" t="s">
        <v>279</v>
      </c>
      <c r="F3019" s="8" t="n">
        <f aca="false">Sens!F2868-base_fy-v_off</f>
        <v>0.747945205479452</v>
      </c>
      <c r="G3019" s="8" t="n">
        <f aca="false">Sens!G2868-base_fy-v_off</f>
        <v>1.74794520547945</v>
      </c>
      <c r="H3019" s="8" t="n">
        <f aca="false">Sens!H2868-base_fy-v_off</f>
        <v>2.74794520547945</v>
      </c>
      <c r="I3019" s="8" t="n">
        <f aca="false">Sens!I2868-base_fy-v_off</f>
        <v>3.74794520547945</v>
      </c>
      <c r="J3019" s="8" t="n">
        <f aca="false">Sens!J2868-base_fy-v_off</f>
        <v>4.74794520547945</v>
      </c>
      <c r="K3019" s="8" t="n">
        <f aca="false">Sens!K2868-base_fy-v_off</f>
        <v>5.74794520547945</v>
      </c>
    </row>
    <row r="3020" customFormat="false" ht="15" hidden="false" customHeight="false" outlineLevel="0" collapsed="false">
      <c r="A3020" s="1" t="s">
        <v>1215</v>
      </c>
      <c r="B3020" s="0" t="s">
        <v>229</v>
      </c>
      <c r="F3020" s="15" t="n">
        <f aca="false">1/(1+wacc)^Sens!F3018</f>
        <v>0.964022703286649</v>
      </c>
      <c r="G3020" s="15" t="n">
        <f aca="false">1/(1+wacc)^Sens!G3018</f>
        <v>0.884910302296739</v>
      </c>
      <c r="H3020" s="15" t="n">
        <f aca="false">1/(1+wacc)^Sens!H3018</f>
        <v>0.802322009770358</v>
      </c>
      <c r="I3020" s="15" t="n">
        <f aca="false">1/(1+wacc)^Sens!I3018</f>
        <v>0.727441646561469</v>
      </c>
      <c r="J3020" s="15" t="n">
        <f aca="false">1/(1+wacc)^Sens!J3018</f>
        <v>0.659549834988973</v>
      </c>
      <c r="K3020" s="15" t="n">
        <f aca="false">1/(1+wacc)^Sens!K3018</f>
        <v>0.597994336576966</v>
      </c>
    </row>
    <row r="3021" customFormat="false" ht="17.15" hidden="false" customHeight="false" outlineLevel="0" collapsed="false">
      <c r="A3021" s="1" t="s">
        <v>1216</v>
      </c>
      <c r="B3021" s="0" t="s">
        <v>98</v>
      </c>
      <c r="F3021" s="6" t="n">
        <f aca="false">Q!$I$35-Q!$I$39-Q!$I$43</f>
        <v>9.666</v>
      </c>
      <c r="L3021" s="12" t="s">
        <v>1217</v>
      </c>
    </row>
    <row r="3022" customFormat="false" ht="17.15" hidden="false" customHeight="false" outlineLevel="0" collapsed="false">
      <c r="A3022" s="1" t="s">
        <v>1218</v>
      </c>
      <c r="B3022" s="0" t="s">
        <v>98</v>
      </c>
      <c r="F3022" s="6" t="n">
        <f aca="false">Sens!F2993-Sens!F2990-Sens!F2997+Sens!F2975*(1-tax_f)*(1-v_off)-Sens!F3021</f>
        <v>-9.88511576052567</v>
      </c>
      <c r="G3022" s="6" t="n">
        <f aca="false">Sens!G2993-Sens!G2990-Sens!G2997+Sens!G2975*(1-tax_f)</f>
        <v>44.7228386471868</v>
      </c>
      <c r="H3022" s="6" t="n">
        <f aca="false">Sens!H2993-Sens!H2990-Sens!H2997+Sens!H2975*(1-tax_f)</f>
        <v>74.3622158977929</v>
      </c>
      <c r="I3022" s="6" t="n">
        <f aca="false">Sens!I2993-Sens!I2990-Sens!I2997+Sens!I2975*(1-tax_f)</f>
        <v>133.348208920969</v>
      </c>
      <c r="J3022" s="6" t="n">
        <f aca="false">Sens!J2993-Sens!J2990-Sens!J2997+Sens!J2975*(1-tax_f)</f>
        <v>194.135311490171</v>
      </c>
      <c r="K3022" s="6" t="n">
        <f aca="false">Sens!K2993-Sens!K2990-Sens!K2997+Sens!K2975*(1-tax_f)</f>
        <v>224.215716932731</v>
      </c>
      <c r="L3022" s="1" t="s">
        <v>1219</v>
      </c>
    </row>
    <row r="3023" customFormat="false" ht="15" hidden="false" customHeight="false" outlineLevel="0" collapsed="false">
      <c r="A3023" s="1" t="s">
        <v>1220</v>
      </c>
      <c r="B3023" s="0" t="s">
        <v>98</v>
      </c>
      <c r="F3023" s="6" t="n">
        <f aca="false">Sens!F3022*Sens!F3020</f>
        <v>-9.52947601776341</v>
      </c>
      <c r="G3023" s="6" t="n">
        <f aca="false">Sens!G3022*Sens!G3020</f>
        <v>39.5757006668503</v>
      </c>
      <c r="H3023" s="6" t="n">
        <f aca="false">Sens!H3022*Sens!H3020</f>
        <v>59.6624425100945</v>
      </c>
      <c r="I3023" s="6" t="n">
        <f aca="false">Sens!I3022*Sens!I3020</f>
        <v>97.0030406634925</v>
      </c>
      <c r="J3023" s="6" t="n">
        <f aca="false">Sens!J3022*Sens!J3020</f>
        <v>128.041912658875</v>
      </c>
      <c r="K3023" s="6" t="n">
        <f aca="false">Sens!K3022*Sens!K3020</f>
        <v>134.079728897317</v>
      </c>
    </row>
    <row r="3024" customFormat="false" ht="17.15" hidden="false" customHeight="false" outlineLevel="0" collapsed="false">
      <c r="A3024" s="1" t="s">
        <v>1221</v>
      </c>
      <c r="B3024" s="0" t="s">
        <v>98</v>
      </c>
      <c r="C3024" s="6" t="n">
        <f aca="false">SUM(Sens!F3023:K3023)</f>
        <v>448.833349378866</v>
      </c>
    </row>
    <row r="3025" customFormat="false" ht="17.15" hidden="false" customHeight="false" outlineLevel="0" collapsed="false">
      <c r="A3025" s="1" t="s">
        <v>1222</v>
      </c>
      <c r="B3025" s="0" t="s">
        <v>98</v>
      </c>
      <c r="C3025" s="6" t="n">
        <f aca="false">Sens!K2961*(1+g_tv)*(1-tax_f)</f>
        <v>234.497272570556</v>
      </c>
    </row>
    <row r="3026" customFormat="false" ht="17.15" hidden="false" customHeight="false" outlineLevel="0" collapsed="false">
      <c r="A3026" s="1" t="s">
        <v>1223</v>
      </c>
      <c r="B3026" s="0" t="s">
        <v>98</v>
      </c>
      <c r="C3026" s="6" t="n">
        <f aca="false">Sens!$C$3025*(1-g_tv/(wacc+ronic_prem))</f>
        <v>166.155023109092</v>
      </c>
    </row>
    <row r="3027" customFormat="false" ht="17.15" hidden="false" customHeight="false" outlineLevel="0" collapsed="false">
      <c r="A3027" s="1" t="s">
        <v>1224</v>
      </c>
      <c r="B3027" s="0" t="s">
        <v>98</v>
      </c>
      <c r="C3027" s="6" t="n">
        <f aca="false">Sens!$C$3026/(wacc-g_tv)</f>
        <v>2278.0749820488</v>
      </c>
    </row>
    <row r="3028" customFormat="false" ht="15" hidden="false" customHeight="false" outlineLevel="0" collapsed="false">
      <c r="A3028" s="1" t="s">
        <v>1225</v>
      </c>
      <c r="B3028" s="0" t="s">
        <v>98</v>
      </c>
      <c r="C3028" s="6" t="n">
        <f aca="false">Sens!$C$3027/(1+wacc)^Sens!K3019</f>
        <v>1297.14884421613</v>
      </c>
    </row>
    <row r="3029" customFormat="false" ht="17.15" hidden="false" customHeight="false" outlineLevel="0" collapsed="false">
      <c r="A3029" s="0" t="s">
        <v>1226</v>
      </c>
      <c r="B3029" s="0" t="s">
        <v>98</v>
      </c>
      <c r="C3029" s="6" t="n">
        <f aca="false">Sens!$C$3024+Sens!$C$3028</f>
        <v>1745.98219359499</v>
      </c>
    </row>
    <row r="3030" customFormat="false" ht="15" hidden="false" customHeight="false" outlineLevel="0" collapsed="false">
      <c r="A3030" s="1" t="s">
        <v>1141</v>
      </c>
      <c r="B3030" s="0" t="s">
        <v>168</v>
      </c>
      <c r="C3030" s="7" t="n">
        <f aca="false">Sens!$C$3028/Sens!$C$3029</f>
        <v>0.742933604348671</v>
      </c>
    </row>
    <row r="3031" customFormat="false" ht="17.15" hidden="false" customHeight="false" outlineLevel="0" collapsed="false">
      <c r="A3031" s="1" t="s">
        <v>1227</v>
      </c>
      <c r="B3031" s="0" t="s">
        <v>98</v>
      </c>
      <c r="C3031" s="6" t="n">
        <f aca="false">Sens!$C$3029+cash_val-debt_val-fl_val+oai_v</f>
        <v>1861.83319359499</v>
      </c>
    </row>
    <row r="3032" customFormat="false" ht="17.15" hidden="false" customHeight="false" outlineLevel="0" collapsed="false">
      <c r="A3032" s="0" t="s">
        <v>1149</v>
      </c>
      <c r="B3032" s="0" t="s">
        <v>75</v>
      </c>
      <c r="C3032" s="5" t="n">
        <f aca="false">Sens!$C$3031/shd_val</f>
        <v>250.044747998253</v>
      </c>
    </row>
    <row r="3033" customFormat="false" ht="15" hidden="false" customHeight="false" outlineLevel="0" collapsed="false">
      <c r="A3033" s="1" t="s">
        <v>1228</v>
      </c>
      <c r="B3033" s="0" t="s">
        <v>75</v>
      </c>
      <c r="C3033" s="8" t="n">
        <f aca="false">div_rem27+Sens!G3001*roll_div_q/q_per_yr</f>
        <v>3.9795</v>
      </c>
    </row>
    <row r="3034" customFormat="false" ht="17.15" hidden="false" customHeight="false" outlineLevel="0" collapsed="false">
      <c r="A3034" s="0" t="s">
        <v>1229</v>
      </c>
      <c r="B3034" s="0" t="s">
        <v>75</v>
      </c>
      <c r="C3034" s="5" t="n">
        <f aca="false">Sens!$C$3032*(1+wacc)^t_roll-Sens!$C$3033</f>
        <v>273.959192583432</v>
      </c>
    </row>
    <row r="3035" customFormat="false" ht="17.15" hidden="false" customHeight="false" outlineLevel="0" collapsed="false">
      <c r="A3035" s="1" t="s">
        <v>1230</v>
      </c>
      <c r="B3035" s="0" t="s">
        <v>168</v>
      </c>
      <c r="F3035" s="7" t="n">
        <f aca="false">Sens!F2987/(Sens!F2932-Sens!F2887)</f>
        <v>0.0870083411205277</v>
      </c>
      <c r="G3035" s="7" t="n">
        <f aca="false">Sens!G2987/(Sens!G2932-Sens!G2887)</f>
        <v>0.0811375747507143</v>
      </c>
      <c r="H3035" s="7" t="n">
        <f aca="false">Sens!H2987/(Sens!H2932-Sens!H2887)</f>
        <v>0.0772267077804502</v>
      </c>
      <c r="I3035" s="7" t="n">
        <f aca="false">Sens!I2987/(Sens!I2932-Sens!I2887)</f>
        <v>0.0749833471019589</v>
      </c>
      <c r="J3035" s="7" t="n">
        <f aca="false">Sens!J2987/(Sens!J2932-Sens!J2887)</f>
        <v>0.0740516824457303</v>
      </c>
      <c r="K3035" s="7" t="n">
        <f aca="false">Sens!K2987/(Sens!K2932-Sens!K2887)</f>
        <v>0.0740786858733075</v>
      </c>
    </row>
    <row r="3036" customFormat="false" ht="17.15" hidden="false" customHeight="false" outlineLevel="0" collapsed="false">
      <c r="A3036" s="0" t="s">
        <v>1231</v>
      </c>
      <c r="B3036" s="0" t="s">
        <v>98</v>
      </c>
      <c r="F3036" s="6" t="n">
        <f aca="false">Sens!F2917*(al_m365+Sens!F3035+sbc_r)</f>
        <v>85.0712782867345</v>
      </c>
      <c r="G3036" s="6" t="n">
        <f aca="false">Sens!G2917*(al_m365+Sens!G3035+sbc_r)</f>
        <v>95.2724397185981</v>
      </c>
      <c r="H3036" s="6" t="n">
        <f aca="false">Sens!H2917*(al_m365+Sens!H3035+sbc_r)</f>
        <v>105.643415984624</v>
      </c>
      <c r="I3036" s="6" t="n">
        <f aca="false">Sens!I2917*(al_m365+Sens!I3035+sbc_r)</f>
        <v>115.507048195348</v>
      </c>
      <c r="J3036" s="6" t="n">
        <f aca="false">Sens!J2917*(al_m365+Sens!J3035+sbc_r)</f>
        <v>124.678377310812</v>
      </c>
      <c r="K3036" s="6" t="n">
        <f aca="false">Sens!K2917*(al_m365+Sens!K3035+sbc_r)</f>
        <v>133.469622873316</v>
      </c>
      <c r="L3036" s="12" t="s">
        <v>1232</v>
      </c>
    </row>
    <row r="3037" customFormat="false" ht="17.15" hidden="false" customHeight="false" outlineLevel="0" collapsed="false">
      <c r="A3037" s="0" t="s">
        <v>1233</v>
      </c>
      <c r="B3037" s="0" t="s">
        <v>98</v>
      </c>
      <c r="F3037" s="6" t="n">
        <f aca="false">Sens!F2918*(al_lic+Sens!F3035+sbc_r)</f>
        <v>33.5636214610638</v>
      </c>
      <c r="G3037" s="6" t="n">
        <f aca="false">Sens!G2918*(al_lic+Sens!G3035+sbc_r)</f>
        <v>34.7499565808918</v>
      </c>
      <c r="H3037" s="6" t="n">
        <f aca="false">Sens!H2918*(al_lic+Sens!H3035+sbc_r)</f>
        <v>35.8650753136171</v>
      </c>
      <c r="I3037" s="6" t="n">
        <f aca="false">Sens!I2918*(al_lic+Sens!I3035+sbc_r)</f>
        <v>36.8871083839703</v>
      </c>
      <c r="J3037" s="6" t="n">
        <f aca="false">Sens!J2918*(al_lic+Sens!J3035+sbc_r)</f>
        <v>37.7900336350908</v>
      </c>
      <c r="K3037" s="6" t="n">
        <f aca="false">Sens!K2918*(al_lic+Sens!K3035+sbc_r)</f>
        <v>38.5470426061888</v>
      </c>
    </row>
    <row r="3038" customFormat="false" ht="17.15" hidden="false" customHeight="false" outlineLevel="0" collapsed="false">
      <c r="A3038" s="0" t="s">
        <v>1234</v>
      </c>
      <c r="B3038" s="0" t="s">
        <v>98</v>
      </c>
      <c r="F3038" s="6" t="n">
        <f aca="false">Sens!F2920*(al_ind+Sens!F3035+sbc_r)</f>
        <v>9.47078420133992</v>
      </c>
      <c r="G3038" s="6" t="n">
        <f aca="false">Sens!G2920*(al_ind+Sens!G3035+sbc_r)</f>
        <v>10.2095272729933</v>
      </c>
      <c r="H3038" s="6" t="n">
        <f aca="false">Sens!H2920*(al_ind+Sens!H3035+sbc_r)</f>
        <v>10.997521600597</v>
      </c>
      <c r="I3038" s="6" t="n">
        <f aca="false">Sens!I2920*(al_ind+Sens!I3035+sbc_r)</f>
        <v>11.8301424897968</v>
      </c>
      <c r="J3038" s="6" t="n">
        <f aca="false">Sens!J2920*(al_ind+Sens!J3035+sbc_r)</f>
        <v>12.6978887995857</v>
      </c>
      <c r="K3038" s="6" t="n">
        <f aca="false">Sens!K2920*(al_ind+Sens!K3035+sbc_r)</f>
        <v>13.5876327462779</v>
      </c>
    </row>
    <row r="3039" customFormat="false" ht="17.15" hidden="false" customHeight="false" outlineLevel="0" collapsed="false">
      <c r="A3039" s="0" t="s">
        <v>1235</v>
      </c>
      <c r="B3039" s="0" t="s">
        <v>98</v>
      </c>
      <c r="F3039" s="6" t="n">
        <f aca="false">Sens!F2922*(al_fro+Sens!F3035+sbc_r)</f>
        <v>3.71499969773646</v>
      </c>
      <c r="G3039" s="6" t="n">
        <f aca="false">Sens!G2922*(al_fro+Sens!G3035+sbc_r)</f>
        <v>3.90646435518667</v>
      </c>
      <c r="H3039" s="6" t="n">
        <f aca="false">Sens!H2922*(al_fro+Sens!H3035+sbc_r)</f>
        <v>4.13008551916894</v>
      </c>
      <c r="I3039" s="6" t="n">
        <f aca="false">Sens!I2922*(al_fro+Sens!I3035+sbc_r)</f>
        <v>4.38765761423188</v>
      </c>
      <c r="J3039" s="6" t="n">
        <f aca="false">Sens!J2922*(al_fro+Sens!J3035+sbc_r)</f>
        <v>4.68012480337285</v>
      </c>
      <c r="K3039" s="6" t="n">
        <f aca="false">Sens!K2922*(al_fro+Sens!K3035+sbc_r)</f>
        <v>5.00806220929033</v>
      </c>
    </row>
    <row r="3040" customFormat="false" ht="17.15" hidden="false" customHeight="false" outlineLevel="0" collapsed="false">
      <c r="A3040" s="0" t="s">
        <v>1236</v>
      </c>
      <c r="B3040" s="0" t="s">
        <v>98</v>
      </c>
      <c r="F3040" s="6" t="n">
        <f aca="false">Sens!F2925*(al_srch+Sens!F3035+sbc_r)</f>
        <v>11.6958700142985</v>
      </c>
      <c r="G3040" s="6" t="n">
        <f aca="false">Sens!G2925*(al_srch+Sens!G3035+sbc_r)</f>
        <v>12.7271379571971</v>
      </c>
      <c r="H3040" s="6" t="n">
        <f aca="false">Sens!H2925*(al_srch+Sens!H3035+sbc_r)</f>
        <v>13.8069784183249</v>
      </c>
      <c r="I3040" s="6" t="n">
        <f aca="false">Sens!I2925*(al_srch+Sens!I3035+sbc_r)</f>
        <v>14.9231205709813</v>
      </c>
      <c r="J3040" s="6" t="n">
        <f aca="false">Sens!J2925*(al_srch+Sens!J3035+sbc_r)</f>
        <v>16.0561307365457</v>
      </c>
      <c r="K3040" s="6" t="n">
        <f aca="false">Sens!K2925*(al_srch+Sens!K3035+sbc_r)</f>
        <v>17.181187457046</v>
      </c>
    </row>
    <row r="3041" customFormat="false" ht="17.15" hidden="false" customHeight="false" outlineLevel="0" collapsed="false">
      <c r="A3041" s="0" t="s">
        <v>1237</v>
      </c>
      <c r="B3041" s="0" t="s">
        <v>98</v>
      </c>
      <c r="F3041" s="6" t="n">
        <f aca="false">Sens!F2893-Sens!F2894+Sens!F2975</f>
        <v>35.6401718459855</v>
      </c>
      <c r="G3041" s="6" t="n">
        <f aca="false">Sens!G2893-Sens!G2894+Sens!G2975</f>
        <v>59.0257993789225</v>
      </c>
      <c r="H3041" s="6" t="n">
        <f aca="false">Sens!H2893-Sens!H2894+Sens!H2975</f>
        <v>78.6447662284645</v>
      </c>
      <c r="I3041" s="6" t="n">
        <f aca="false">Sens!I2893-Sens!I2894+Sens!I2975</f>
        <v>102.635483275158</v>
      </c>
      <c r="J3041" s="6" t="n">
        <f aca="false">Sens!J2893-Sens!J2894+Sens!J2975</f>
        <v>119.503315875285</v>
      </c>
      <c r="K3041" s="6" t="n">
        <f aca="false">Sens!K2893-Sens!K2894+Sens!K2975</f>
        <v>129.973699177765</v>
      </c>
    </row>
    <row r="3042" customFormat="false" ht="17.15" hidden="false" customHeight="false" outlineLevel="0" collapsed="false">
      <c r="A3042" s="0" t="s">
        <v>1238</v>
      </c>
      <c r="B3042" s="0" t="s">
        <v>98</v>
      </c>
      <c r="F3042" s="6" t="n">
        <f aca="false">Sens!F2954+Sens!F2975+Sens!F2905+Sens!F3035*(Sens!F2924-Sens!F2887)+sbc_r*Sens!F2924</f>
        <v>227.261849737886</v>
      </c>
      <c r="G3042" s="6" t="n">
        <f aca="false">Sens!G2954+Sens!G2975+Sens!G2905+Sens!G3035*(Sens!G2924-Sens!G2887)+sbc_r*Sens!G2924</f>
        <v>270.293587127028</v>
      </c>
      <c r="H3042" s="6" t="n">
        <f aca="false">Sens!H2954+Sens!H2975+Sens!H2905+Sens!H3035*(Sens!H2924-Sens!H2887)+sbc_r*Sens!H2924</f>
        <v>314.455433749118</v>
      </c>
      <c r="I3042" s="6" t="n">
        <f aca="false">Sens!I2954+Sens!I2975+Sens!I2905+Sens!I3035*(Sens!I2924-Sens!I2887)+sbc_r*Sens!I2924</f>
        <v>362.392538211564</v>
      </c>
      <c r="J3042" s="6" t="n">
        <f aca="false">Sens!J2954+Sens!J2975+Sens!J2905+Sens!J3035*(Sens!J2924-Sens!J2887)+sbc_r*Sens!J2924</f>
        <v>401.340965974361</v>
      </c>
      <c r="K3042" s="6" t="n">
        <f aca="false">Sens!K2954+Sens!K2975+Sens!K2905+Sens!K3035*(Sens!K2924-Sens!K2887)+sbc_r*Sens!K2924</f>
        <v>431.624867634481</v>
      </c>
    </row>
    <row r="3043" customFormat="false" ht="17.15" hidden="false" customHeight="false" outlineLevel="0" collapsed="false">
      <c r="A3043" s="0" t="s">
        <v>1239</v>
      </c>
      <c r="B3043" s="0" t="s">
        <v>98</v>
      </c>
      <c r="F3043" s="6" t="n">
        <f aca="false">Sens!F3042-Sens!F3036-Sens!F3037-Sens!F3038-Sens!F3039-Sens!F3041</f>
        <v>59.8009942450255</v>
      </c>
      <c r="G3043" s="6" t="n">
        <f aca="false">Sens!G3042-Sens!G3036-Sens!G3037-Sens!G3038-Sens!G3039-Sens!G3041</f>
        <v>67.129399820436</v>
      </c>
      <c r="H3043" s="6" t="n">
        <f aca="false">Sens!H3042-Sens!H3036-Sens!H3037-Sens!H3038-Sens!H3039-Sens!H3041</f>
        <v>79.1745691026464</v>
      </c>
      <c r="I3043" s="6" t="n">
        <f aca="false">Sens!I3042-Sens!I3036-Sens!I3037-Sens!I3038-Sens!I3039-Sens!I3041</f>
        <v>91.1450982530595</v>
      </c>
      <c r="J3043" s="6" t="n">
        <f aca="false">Sens!J3042-Sens!J3036-Sens!J3037-Sens!J3038-Sens!J3039-Sens!J3041</f>
        <v>101.991225550215</v>
      </c>
      <c r="K3043" s="6" t="n">
        <f aca="false">Sens!K3042-Sens!K3036-Sens!K3037-Sens!K3038-Sens!K3039-Sens!K3041</f>
        <v>111.038808021643</v>
      </c>
    </row>
    <row r="3044" customFormat="false" ht="17.15" hidden="false" customHeight="false" outlineLevel="0" collapsed="false">
      <c r="A3044" s="0" t="s">
        <v>1240</v>
      </c>
      <c r="B3044" s="0" t="s">
        <v>98</v>
      </c>
      <c r="F3044" s="6" t="n">
        <f aca="false">Sens!F2956+Sens!F3035*Sens!F2931+sbc_r*Sens!F2931</f>
        <v>27.8160810162392</v>
      </c>
      <c r="G3044" s="6" t="n">
        <f aca="false">Sens!G2956+Sens!G3035*Sens!G2931+sbc_r*Sens!G2931</f>
        <v>27.4863832703063</v>
      </c>
      <c r="H3044" s="6" t="n">
        <f aca="false">Sens!H2956+Sens!H3035*Sens!H2931+sbc_r*Sens!H2931</f>
        <v>28.2288842820288</v>
      </c>
      <c r="I3044" s="6" t="n">
        <f aca="false">Sens!I2956+Sens!I3035*Sens!I2931+sbc_r*Sens!I2931</f>
        <v>29.2312700891062</v>
      </c>
      <c r="J3044" s="6" t="n">
        <f aca="false">Sens!J2956+Sens!J3035*Sens!J2931+sbc_r*Sens!J2931</f>
        <v>30.4537404237709</v>
      </c>
      <c r="K3044" s="6" t="n">
        <f aca="false">Sens!K2956+Sens!K3035*Sens!K2931+sbc_r*Sens!K2931</f>
        <v>31.860332928906</v>
      </c>
    </row>
    <row r="3045" customFormat="false" ht="17.15" hidden="false" customHeight="false" outlineLevel="0" collapsed="false">
      <c r="A3045" s="0" t="s">
        <v>1241</v>
      </c>
      <c r="B3045" s="0" t="s">
        <v>98</v>
      </c>
      <c r="F3045" s="6" t="n">
        <f aca="false">(Sens!F3044-Sens!F3040)*Sens!F2927/(Sens!F2927+Sens!F2929)</f>
        <v>9.10446172915315</v>
      </c>
      <c r="G3045" s="6" t="n">
        <f aca="false">(Sens!G3044-Sens!G3040)*Sens!G2927/(Sens!G2927+Sens!G2929)</f>
        <v>8.19254642268453</v>
      </c>
      <c r="H3045" s="6" t="n">
        <f aca="false">(Sens!H3044-Sens!H3040)*Sens!H2927/(Sens!H2927+Sens!H2929)</f>
        <v>7.90101108490113</v>
      </c>
      <c r="I3045" s="6" t="n">
        <f aca="false">(Sens!I3044-Sens!I3040)*Sens!I2927/(Sens!I2927+Sens!I2929)</f>
        <v>7.77027026391555</v>
      </c>
      <c r="J3045" s="6" t="n">
        <f aca="false">(Sens!J3044-Sens!J3040)*Sens!J2927/(Sens!J2927+Sens!J2929)</f>
        <v>7.78473975887631</v>
      </c>
      <c r="K3045" s="6" t="n">
        <f aca="false">(Sens!K3044-Sens!K3040)*Sens!K2927/(Sens!K2927+Sens!K2929)</f>
        <v>7.93696522295022</v>
      </c>
    </row>
    <row r="3046" customFormat="false" ht="17.15" hidden="false" customHeight="false" outlineLevel="0" collapsed="false">
      <c r="A3046" s="0" t="s">
        <v>1242</v>
      </c>
      <c r="B3046" s="0" t="s">
        <v>98</v>
      </c>
      <c r="F3046" s="6" t="n">
        <f aca="false">Sens!F3044-Sens!F3040-Sens!F3045</f>
        <v>7.01574927278756</v>
      </c>
      <c r="G3046" s="6" t="n">
        <f aca="false">Sens!G3044-Sens!G3040-Sens!G3045</f>
        <v>6.5666988904247</v>
      </c>
      <c r="H3046" s="6" t="n">
        <f aca="false">Sens!H3044-Sens!H3040-Sens!H3045</f>
        <v>6.52089477880276</v>
      </c>
      <c r="I3046" s="6" t="n">
        <f aca="false">Sens!I3044-Sens!I3040-Sens!I3045</f>
        <v>6.53787925420939</v>
      </c>
      <c r="J3046" s="6" t="n">
        <f aca="false">Sens!J3044-Sens!J3040-Sens!J3045</f>
        <v>6.61286992834893</v>
      </c>
      <c r="K3046" s="6" t="n">
        <f aca="false">Sens!K3044-Sens!K3040-Sens!K3045</f>
        <v>6.74218024890981</v>
      </c>
    </row>
    <row r="3047" customFormat="false" ht="17.15" hidden="false" customHeight="false" outlineLevel="0" collapsed="false">
      <c r="A3047" s="0" t="s">
        <v>1243</v>
      </c>
      <c r="B3047" s="0" t="s">
        <v>98</v>
      </c>
      <c r="F3047" s="6" t="n">
        <f aca="false">Sens!F3041-tax_f*(Sens!F3041-Sens!F2905)-Sens!F2902</f>
        <v>-100.718295440371</v>
      </c>
      <c r="G3047" s="6" t="n">
        <f aca="false">Sens!G3041-tax_f*(Sens!G3041-Sens!G2905)-Sens!G2902</f>
        <v>-96.6174225117327</v>
      </c>
      <c r="H3047" s="6" t="n">
        <f aca="false">Sens!H3041-tax_f*(Sens!H3041-Sens!H2905)-Sens!H2902</f>
        <v>-80.272975763007</v>
      </c>
      <c r="I3047" s="6" t="n">
        <f aca="false">Sens!I3041-tax_f*(Sens!I3041-Sens!I2905)-Sens!I2902</f>
        <v>-34.5065187260342</v>
      </c>
      <c r="J3047" s="6" t="n">
        <f aca="false">Sens!J3041-tax_f*(Sens!J3041-Sens!J2905)-Sens!J2902</f>
        <v>13.5812154314106</v>
      </c>
      <c r="K3047" s="6" t="n">
        <f aca="false">Sens!K3041-tax_f*(Sens!K3041-Sens!K2905)-Sens!K2902</f>
        <v>31.6907040185754</v>
      </c>
    </row>
    <row r="3048" customFormat="false" ht="17.15" hidden="false" customHeight="false" outlineLevel="0" collapsed="false">
      <c r="A3048" s="0" t="s">
        <v>1244</v>
      </c>
      <c r="B3048" s="0" t="s">
        <v>98</v>
      </c>
      <c r="G3048" s="6" t="n">
        <f aca="false">Sens!G3047/(1+wacc)^(Sens!G3018-Sens!F3019)</f>
        <v>-91.9983789528344</v>
      </c>
      <c r="H3048" s="6" t="n">
        <f aca="false">Sens!H3047/(1+wacc)^(Sens!H3018-Sens!F3019)</f>
        <v>-69.3016452685421</v>
      </c>
      <c r="I3048" s="6" t="n">
        <f aca="false">Sens!I3047/(1+wacc)^(Sens!I3018-Sens!F3019)</f>
        <v>-27.0100124230551</v>
      </c>
      <c r="J3048" s="6" t="n">
        <f aca="false">Sens!J3047/(1+wacc)^(Sens!J3018-Sens!F3019)</f>
        <v>9.63855057349141</v>
      </c>
      <c r="K3048" s="6" t="n">
        <f aca="false">Sens!K3047/(1+wacc)^(Sens!K3018-Sens!F3019)</f>
        <v>20.3917470090002</v>
      </c>
      <c r="L3048" s="1" t="s">
        <v>1245</v>
      </c>
    </row>
    <row r="3049" customFormat="false" ht="17.15" hidden="false" customHeight="false" outlineLevel="0" collapsed="false">
      <c r="A3049" s="0" t="s">
        <v>1246</v>
      </c>
      <c r="B3049" s="0" t="s">
        <v>98</v>
      </c>
      <c r="C3049" s="6" t="n">
        <f aca="false">(Sens!K3041-Sens!K2905)*(1-tax_f)*(1+g_tv)*(1-g_tv/(wacc+ronic_prem))/(wacc-g_tv)/(1+wacc)^(Sens!K3019-Sens!F3019)</f>
        <v>76.333249048211</v>
      </c>
    </row>
    <row r="3050" customFormat="false" ht="17.15" hidden="false" customHeight="false" outlineLevel="0" collapsed="false">
      <c r="A3050" s="1" t="s">
        <v>1247</v>
      </c>
      <c r="B3050" s="0" t="s">
        <v>98</v>
      </c>
      <c r="C3050" s="6" t="n">
        <f aca="false">(SUM(Sens!G3048:K3048)+Sens!$C$3049)*(1+wacc)^(t_roll-Sens!F3019)</f>
        <v>-84.6517914736626</v>
      </c>
      <c r="L3050" s="12" t="s">
        <v>1248</v>
      </c>
    </row>
    <row r="3051" customFormat="false" ht="17.15" hidden="false" customHeight="false" outlineLevel="0" collapsed="false">
      <c r="A3051" s="1" t="s">
        <v>1249</v>
      </c>
      <c r="B3051" s="0" t="s">
        <v>98</v>
      </c>
      <c r="C3051" s="6" t="n">
        <f aca="false">(w_ntm28*Sens!G2893+(1-w_ntm28)*Sens!H2893)*m_ai</f>
        <v>344.355829012336</v>
      </c>
    </row>
    <row r="3052" customFormat="false" ht="17.15" hidden="false" customHeight="false" outlineLevel="0" collapsed="false">
      <c r="A3052" s="1" t="s">
        <v>1250</v>
      </c>
      <c r="B3052" s="0" t="s">
        <v>98</v>
      </c>
      <c r="C3052" s="6" t="n">
        <f aca="false">(w_ntm28*Sens!G3043+(1-w_ntm28)*Sens!H3043)*m_cloud</f>
        <v>982.456274662584</v>
      </c>
    </row>
    <row r="3053" customFormat="false" ht="17.15" hidden="false" customHeight="false" outlineLevel="0" collapsed="false">
      <c r="A3053" s="1" t="s">
        <v>1251</v>
      </c>
      <c r="B3053" s="0" t="s">
        <v>98</v>
      </c>
      <c r="C3053" s="6" t="n">
        <f aca="false">(w_ntm28*Sens!G3036+(1-w_ntm28)*Sens!H3036)*m_sw</f>
        <v>1065.76641811365</v>
      </c>
    </row>
    <row r="3054" customFormat="false" ht="17.15" hidden="false" customHeight="false" outlineLevel="0" collapsed="false">
      <c r="A3054" s="1" t="s">
        <v>1252</v>
      </c>
      <c r="B3054" s="0" t="s">
        <v>98</v>
      </c>
      <c r="C3054" s="6" t="n">
        <f aca="false">(w_ntm28*Sens!G3037+(1-w_ntm28)*Sens!H3037)*m_sw</f>
        <v>379.25896635476</v>
      </c>
    </row>
    <row r="3055" customFormat="false" ht="17.15" hidden="false" customHeight="false" outlineLevel="0" collapsed="false">
      <c r="A3055" s="1" t="s">
        <v>1253</v>
      </c>
      <c r="B3055" s="0" t="s">
        <v>98</v>
      </c>
      <c r="C3055" s="6" t="n">
        <f aca="false">(w_ntm28*Sens!G3038+(1-w_ntm28)*Sens!H3038)*m_sw</f>
        <v>113.060814133463</v>
      </c>
    </row>
    <row r="3056" customFormat="false" ht="17.15" hidden="false" customHeight="false" outlineLevel="0" collapsed="false">
      <c r="A3056" s="1" t="s">
        <v>1254</v>
      </c>
      <c r="B3056" s="0" t="s">
        <v>98</v>
      </c>
      <c r="C3056" s="6" t="n">
        <f aca="false">(w_ntm28*Sens!G3039+(1-w_ntm28)*Sens!H3039)*m_sw</f>
        <v>42.9838233333339</v>
      </c>
    </row>
    <row r="3057" customFormat="false" ht="17.15" hidden="false" customHeight="false" outlineLevel="0" collapsed="false">
      <c r="A3057" s="1" t="s">
        <v>1255</v>
      </c>
      <c r="B3057" s="0" t="s">
        <v>98</v>
      </c>
      <c r="C3057" s="6" t="n">
        <f aca="false">(w_ntm28*Sens!G3040+(1-w_ntm28)*Sens!H3040)*m_ads</f>
        <v>119.178422932819</v>
      </c>
    </row>
    <row r="3058" customFormat="false" ht="17.15" hidden="false" customHeight="false" outlineLevel="0" collapsed="false">
      <c r="A3058" s="1" t="s">
        <v>1256</v>
      </c>
      <c r="B3058" s="0" t="s">
        <v>98</v>
      </c>
      <c r="C3058" s="6" t="n">
        <f aca="false">(w_ntm28*Sens!G3045+(1-w_ntm28)*Sens!H3045)*m_game</f>
        <v>102.261310748795</v>
      </c>
    </row>
    <row r="3059" customFormat="false" ht="17.15" hidden="false" customHeight="false" outlineLevel="0" collapsed="false">
      <c r="A3059" s="1" t="s">
        <v>1257</v>
      </c>
      <c r="B3059" s="0" t="s">
        <v>98</v>
      </c>
      <c r="C3059" s="6" t="n">
        <f aca="false">(w_ntm28*Sens!G3046+(1-w_ntm28)*Sens!H3046)*m_pc</f>
        <v>94.8022308638417</v>
      </c>
    </row>
    <row r="3060" customFormat="false" ht="17.15" hidden="false" customHeight="false" outlineLevel="0" collapsed="false">
      <c r="A3060" s="1" t="s">
        <v>1258</v>
      </c>
      <c r="B3060" s="0" t="s">
        <v>98</v>
      </c>
      <c r="C3060" s="6" t="n">
        <f aca="false">Sens!$C$3050+Sens!$C$3052+Sens!$C$3053+Sens!$C$3054+Sens!$C$3055+Sens!$C$3056+Sens!$C$3057+Sens!$C$3058+Sens!$C$3059</f>
        <v>2815.11646966959</v>
      </c>
    </row>
    <row r="3061" customFormat="false" ht="17.15" hidden="false" customHeight="false" outlineLevel="0" collapsed="false">
      <c r="A3061" s="1" t="s">
        <v>1259</v>
      </c>
      <c r="B3061" s="0" t="s">
        <v>98</v>
      </c>
      <c r="C3061" s="6" t="n">
        <f aca="false">(Sens!G3022-Sens!G3047)*t_stub</f>
        <v>46.8552646581624</v>
      </c>
      <c r="L3061" s="1" t="s">
        <v>1260</v>
      </c>
    </row>
    <row r="3062" customFormat="false" ht="17.15" hidden="false" customHeight="false" outlineLevel="0" collapsed="false">
      <c r="A3062" s="1" t="s">
        <v>1169</v>
      </c>
      <c r="B3062" s="0" t="s">
        <v>98</v>
      </c>
      <c r="C3062" s="6" t="n">
        <f aca="false">Sens!F3009+oai_v-Sens!F2998+Sens!$C$3061</f>
        <v>158.147421511389</v>
      </c>
      <c r="L3062" s="1" t="s">
        <v>1261</v>
      </c>
    </row>
    <row r="3063" customFormat="false" ht="17.15" hidden="false" customHeight="false" outlineLevel="0" collapsed="false">
      <c r="A3063" s="1" t="s">
        <v>1262</v>
      </c>
      <c r="B3063" s="0" t="s">
        <v>75</v>
      </c>
      <c r="C3063" s="5" t="n">
        <f aca="false">(Sens!$C$3060+Sens!$C$3062)/(Sens!F3011+dil_gap)-Sens!G3001*roll_div_q/q_per_yr</f>
        <v>395.607230413684</v>
      </c>
      <c r="L3063" s="1" t="s">
        <v>1263</v>
      </c>
    </row>
    <row r="3064" customFormat="false" ht="17.15" hidden="false" customHeight="false" outlineLevel="0" collapsed="false">
      <c r="A3064" s="1" t="s">
        <v>1264</v>
      </c>
      <c r="B3064" s="0" t="s">
        <v>75</v>
      </c>
      <c r="C3064" s="5" t="n">
        <f aca="false">w_dcf*Sens!$C$3034+(1-w_dcf)*Sens!$C$3063</f>
        <v>334.783211498558</v>
      </c>
    </row>
    <row r="3065" customFormat="false" ht="17.15" hidden="false" customHeight="false" outlineLevel="0" collapsed="false">
      <c r="A3065" s="3" t="s">
        <v>1555</v>
      </c>
    </row>
    <row r="3066" customFormat="false" ht="15" hidden="false" customHeight="false" outlineLevel="0" collapsed="false">
      <c r="A3066" s="4" t="s">
        <v>43</v>
      </c>
      <c r="B3066" s="4" t="s">
        <v>65</v>
      </c>
      <c r="C3066" s="23" t="s">
        <v>938</v>
      </c>
      <c r="D3066" s="23" t="s">
        <v>939</v>
      </c>
      <c r="E3066" s="23" t="s">
        <v>940</v>
      </c>
      <c r="F3066" s="23" t="s">
        <v>941</v>
      </c>
      <c r="G3066" s="23" t="s">
        <v>942</v>
      </c>
      <c r="H3066" s="23" t="s">
        <v>943</v>
      </c>
      <c r="I3066" s="23" t="s">
        <v>944</v>
      </c>
      <c r="J3066" s="23" t="s">
        <v>945</v>
      </c>
      <c r="K3066" s="23" t="s">
        <v>946</v>
      </c>
      <c r="L3066" s="4" t="s">
        <v>47</v>
      </c>
    </row>
    <row r="3067" customFormat="false" ht="17.15" hidden="false" customHeight="false" outlineLevel="0" collapsed="false">
      <c r="A3067" s="1" t="s">
        <v>947</v>
      </c>
      <c r="B3067" s="1" t="s">
        <v>279</v>
      </c>
      <c r="C3067" s="21" t="n">
        <v>2024</v>
      </c>
      <c r="D3067" s="21" t="n">
        <v>2025</v>
      </c>
      <c r="E3067" s="21" t="n">
        <v>2026</v>
      </c>
      <c r="F3067" s="21" t="n">
        <v>2027</v>
      </c>
      <c r="G3067" s="21" t="n">
        <v>2028</v>
      </c>
      <c r="H3067" s="21" t="n">
        <v>2029</v>
      </c>
      <c r="I3067" s="21" t="n">
        <v>2030</v>
      </c>
      <c r="J3067" s="21" t="n">
        <v>2031</v>
      </c>
      <c r="K3067" s="21" t="n">
        <v>2032</v>
      </c>
    </row>
    <row r="3068" customFormat="false" ht="17.15" hidden="false" customHeight="false" outlineLevel="0" collapsed="false">
      <c r="A3068" s="1" t="s">
        <v>948</v>
      </c>
      <c r="B3068" s="0" t="s">
        <v>456</v>
      </c>
      <c r="F3068" s="30" t="n">
        <f aca="false">pace_epoch</f>
        <v>650</v>
      </c>
      <c r="G3068" s="30" t="n">
        <f aca="false">pace_epoch</f>
        <v>650</v>
      </c>
      <c r="H3068" s="30" t="n">
        <f aca="false">pace_epoch</f>
        <v>650</v>
      </c>
      <c r="I3068" s="30" t="n">
        <f aca="false">pace_epoch+(g_tv*Sens!H3069-pace_epoch)*MIN(1,(Sens!I3067-pace_y0)/(pace_y1-pace_y0))</f>
        <v>477.193333333333</v>
      </c>
      <c r="J3068" s="30" t="n">
        <f aca="false">pace_epoch+(g_tv*Sens!I3069-pace_epoch)*MIN(1,(Sens!J3067-pace_y0)/(pace_y1-pace_y0))</f>
        <v>304.386666666667</v>
      </c>
      <c r="K3068" s="30" t="n">
        <f aca="false">pace_epoch+(g_tv*Sens!J3069-pace_epoch)*MIN(1,(Sens!K3067-pace_y0)/(pace_y1-pace_y0))</f>
        <v>131.58</v>
      </c>
      <c r="L3068" s="12" t="s">
        <v>949</v>
      </c>
    </row>
    <row r="3069" customFormat="false" ht="17.15" hidden="false" customHeight="false" outlineLevel="0" collapsed="false">
      <c r="A3069" s="1" t="s">
        <v>950</v>
      </c>
      <c r="B3069" s="0" t="s">
        <v>456</v>
      </c>
      <c r="C3069" s="30" t="n">
        <f aca="false">mw_ext_24</f>
        <v>640</v>
      </c>
      <c r="D3069" s="30" t="n">
        <f aca="false">mw_ext_25</f>
        <v>1630</v>
      </c>
      <c r="E3069" s="30" t="n">
        <f aca="false">mw_ext_26</f>
        <v>3250</v>
      </c>
      <c r="F3069" s="30" t="n">
        <f aca="false">MIN(cap_epoch,Sens!E3069+Sens!F3068)</f>
        <v>3900</v>
      </c>
      <c r="G3069" s="30" t="n">
        <f aca="false">MIN(cap_epoch,Sens!F3069+Sens!G3068)</f>
        <v>4386</v>
      </c>
      <c r="H3069" s="30" t="n">
        <f aca="false">MIN(cap_epoch,Sens!G3069+Sens!H3068)</f>
        <v>4386</v>
      </c>
      <c r="I3069" s="30" t="n">
        <f aca="false">MIN(cap_epoch,Sens!H3069+Sens!I3068)</f>
        <v>4386</v>
      </c>
      <c r="J3069" s="30" t="n">
        <f aca="false">MIN(cap_epoch,Sens!I3069+Sens!J3068)</f>
        <v>4386</v>
      </c>
      <c r="K3069" s="30" t="n">
        <f aca="false">MIN(cap_epoch,Sens!J3069+Sens!K3068)</f>
        <v>4386</v>
      </c>
      <c r="L3069" s="1" t="s">
        <v>951</v>
      </c>
    </row>
    <row r="3070" customFormat="false" ht="17.15" hidden="false" customHeight="false" outlineLevel="0" collapsed="false">
      <c r="A3070" s="1" t="s">
        <v>952</v>
      </c>
      <c r="B3070" s="0" t="s">
        <v>456</v>
      </c>
      <c r="C3070" s="30" t="n">
        <f aca="false">rent_ext_24</f>
        <v>150</v>
      </c>
      <c r="D3070" s="30" t="n">
        <f aca="false">rent_ext_25</f>
        <v>400</v>
      </c>
      <c r="E3070" s="30" t="n">
        <f aca="false">rent_ext_26</f>
        <v>550</v>
      </c>
      <c r="F3070" s="30" t="n">
        <f aca="false">rent_ext_f</f>
        <v>756</v>
      </c>
      <c r="G3070" s="30" t="n">
        <f aca="false">rent_ext_f</f>
        <v>756</v>
      </c>
      <c r="H3070" s="30" t="n">
        <f aca="false">rent_ext_f</f>
        <v>756</v>
      </c>
      <c r="I3070" s="30" t="n">
        <f aca="false">rent_ext_f</f>
        <v>756</v>
      </c>
      <c r="J3070" s="30" t="n">
        <f aca="false">rent_ext_f</f>
        <v>756</v>
      </c>
      <c r="K3070" s="30" t="n">
        <f aca="false">rent_ext_f</f>
        <v>756</v>
      </c>
      <c r="L3070" s="1" t="s">
        <v>953</v>
      </c>
    </row>
    <row r="3071" customFormat="false" ht="17.15" hidden="false" customHeight="false" outlineLevel="0" collapsed="false">
      <c r="A3071" s="1" t="s">
        <v>954</v>
      </c>
      <c r="B3071" s="0" t="s">
        <v>456</v>
      </c>
      <c r="C3071" s="30" t="n">
        <f aca="false">Sens!C3069-Sens!C3070</f>
        <v>490</v>
      </c>
      <c r="D3071" s="30" t="n">
        <f aca="false">Sens!D3069-Sens!D3070</f>
        <v>1230</v>
      </c>
      <c r="E3071" s="30" t="n">
        <f aca="false">Sens!E3069-Sens!E3070</f>
        <v>2700</v>
      </c>
      <c r="F3071" s="30" t="n">
        <f aca="false">Sens!F3069-Sens!F3070</f>
        <v>3144</v>
      </c>
      <c r="G3071" s="30" t="n">
        <f aca="false">Sens!G3069-Sens!G3070</f>
        <v>3630</v>
      </c>
      <c r="H3071" s="30" t="n">
        <f aca="false">Sens!H3069-Sens!H3070</f>
        <v>3630</v>
      </c>
      <c r="I3071" s="30" t="n">
        <f aca="false">Sens!I3069-Sens!I3070</f>
        <v>3630</v>
      </c>
      <c r="J3071" s="30" t="n">
        <f aca="false">Sens!J3069-Sens!J3070</f>
        <v>3630</v>
      </c>
      <c r="K3071" s="30" t="n">
        <f aca="false">Sens!K3069-Sens!K3070</f>
        <v>3630</v>
      </c>
    </row>
    <row r="3072" customFormat="false" ht="17.15" hidden="false" customHeight="false" outlineLevel="0" collapsed="false">
      <c r="A3072" s="1" t="s">
        <v>955</v>
      </c>
      <c r="B3072" s="0" t="s">
        <v>456</v>
      </c>
      <c r="C3072" s="30" t="n">
        <f aca="false">Sens!C3071/ext_sh</f>
        <v>816.666666666667</v>
      </c>
      <c r="D3072" s="30" t="n">
        <f aca="false">Sens!D3071/ext_sh</f>
        <v>2050</v>
      </c>
      <c r="E3072" s="30" t="n">
        <f aca="false">Sens!E3071/ext_sh</f>
        <v>4500</v>
      </c>
      <c r="F3072" s="30" t="n">
        <f aca="false">Sens!F3071/ext_sh</f>
        <v>5240</v>
      </c>
      <c r="G3072" s="30" t="n">
        <f aca="false">Sens!G3071/ext_sh</f>
        <v>6050</v>
      </c>
      <c r="H3072" s="30" t="n">
        <f aca="false">Sens!H3071/ext_sh</f>
        <v>6050</v>
      </c>
      <c r="I3072" s="30" t="n">
        <f aca="false">Sens!I3071/ext_sh</f>
        <v>6050</v>
      </c>
      <c r="J3072" s="30" t="n">
        <f aca="false">Sens!J3071/ext_sh</f>
        <v>6050</v>
      </c>
      <c r="K3072" s="30" t="n">
        <f aca="false">Sens!K3071/ext_sh</f>
        <v>6050</v>
      </c>
      <c r="L3072" s="1" t="s">
        <v>956</v>
      </c>
    </row>
    <row r="3073" customFormat="false" ht="17.15" hidden="false" customHeight="false" outlineLevel="0" collapsed="false">
      <c r="A3073" s="1" t="s">
        <v>957</v>
      </c>
      <c r="B3073" s="0" t="s">
        <v>456</v>
      </c>
      <c r="C3073" s="30" t="n">
        <f aca="false">Sens!C3072-Sens!C3071</f>
        <v>326.666666666667</v>
      </c>
      <c r="D3073" s="30" t="n">
        <f aca="false">Sens!D3072-Sens!D3071</f>
        <v>820</v>
      </c>
      <c r="E3073" s="30" t="n">
        <f aca="false">Sens!E3072-Sens!E3071</f>
        <v>1800</v>
      </c>
      <c r="F3073" s="30" t="n">
        <f aca="false">Sens!F3072-Sens!F3071</f>
        <v>2096</v>
      </c>
      <c r="G3073" s="30" t="n">
        <f aca="false">Sens!G3072-Sens!G3071</f>
        <v>2420</v>
      </c>
      <c r="H3073" s="30" t="n">
        <f aca="false">Sens!H3072-Sens!H3071</f>
        <v>2420</v>
      </c>
      <c r="I3073" s="30" t="n">
        <f aca="false">Sens!I3072-Sens!I3071</f>
        <v>2420</v>
      </c>
      <c r="J3073" s="30" t="n">
        <f aca="false">Sens!J3072-Sens!J3071</f>
        <v>2420</v>
      </c>
      <c r="K3073" s="30" t="n">
        <f aca="false">Sens!K3072-Sens!K3071</f>
        <v>2420</v>
      </c>
    </row>
    <row r="3074" customFormat="false" ht="17.15" hidden="false" customHeight="false" outlineLevel="0" collapsed="false">
      <c r="A3074" s="1" t="s">
        <v>958</v>
      </c>
      <c r="B3074" s="0" t="s">
        <v>456</v>
      </c>
      <c r="C3074" s="30" t="n">
        <f aca="false">Sens!C3072</f>
        <v>816.666666666667</v>
      </c>
      <c r="D3074" s="30" t="n">
        <f aca="false">Sens!D3072-Sens!C3072</f>
        <v>1233.33333333333</v>
      </c>
      <c r="E3074" s="30" t="n">
        <f aca="false">Sens!E3072-Sens!D3072</f>
        <v>2450</v>
      </c>
      <c r="F3074" s="30" t="n">
        <f aca="false">Sens!F3072-Sens!E3072</f>
        <v>740</v>
      </c>
      <c r="G3074" s="30" t="n">
        <f aca="false">Sens!G3072-Sens!F3072</f>
        <v>810</v>
      </c>
      <c r="H3074" s="30" t="n">
        <f aca="false">Sens!H3072-Sens!G3072</f>
        <v>0</v>
      </c>
      <c r="I3074" s="30" t="n">
        <f aca="false">Sens!I3072-Sens!H3072</f>
        <v>0</v>
      </c>
      <c r="J3074" s="30" t="n">
        <f aca="false">Sens!J3072-Sens!I3072</f>
        <v>0</v>
      </c>
      <c r="K3074" s="30" t="n">
        <f aca="false">Sens!K3072-Sens!J3072</f>
        <v>0</v>
      </c>
    </row>
    <row r="3075" customFormat="false" ht="17.15" hidden="false" customHeight="false" outlineLevel="0" collapsed="false">
      <c r="A3075" s="1" t="s">
        <v>959</v>
      </c>
      <c r="B3075" s="0" t="s">
        <v>456</v>
      </c>
      <c r="D3075" s="30" t="n">
        <f aca="false">Sens!D3069-Sens!C3069</f>
        <v>990</v>
      </c>
      <c r="E3075" s="30" t="n">
        <f aca="false">Sens!E3069-Sens!D3069</f>
        <v>1620</v>
      </c>
      <c r="F3075" s="30" t="n">
        <f aca="false">Sens!F3069-Sens!E3069</f>
        <v>650</v>
      </c>
      <c r="G3075" s="30" t="n">
        <f aca="false">Sens!G3069-Sens!F3069</f>
        <v>486</v>
      </c>
      <c r="H3075" s="30" t="n">
        <f aca="false">Sens!H3069-Sens!G3069</f>
        <v>0</v>
      </c>
      <c r="I3075" s="30" t="n">
        <f aca="false">Sens!I3069-Sens!H3069</f>
        <v>0</v>
      </c>
      <c r="J3075" s="30" t="n">
        <f aca="false">Sens!J3069-Sens!I3069</f>
        <v>0</v>
      </c>
      <c r="K3075" s="30" t="n">
        <f aca="false">Sens!K3069-Sens!J3069</f>
        <v>0</v>
      </c>
    </row>
    <row r="3076" customFormat="false" ht="17.15" hidden="false" customHeight="false" outlineLevel="0" collapsed="false">
      <c r="A3076" s="1" t="s">
        <v>960</v>
      </c>
      <c r="B3076" s="0" t="s">
        <v>456</v>
      </c>
      <c r="F3076" s="30" t="n">
        <f aca="false">Sens!F3095*ext_sh</f>
        <v>0</v>
      </c>
      <c r="G3076" s="30" t="n">
        <f aca="false">Sens!G3095*ext_sh</f>
        <v>0</v>
      </c>
      <c r="H3076" s="30" t="n">
        <f aca="false">Sens!H3095*ext_sh</f>
        <v>0</v>
      </c>
      <c r="I3076" s="30" t="n">
        <f aca="false">Sens!I3095*ext_sh</f>
        <v>490</v>
      </c>
      <c r="J3076" s="30" t="n">
        <f aca="false">Sens!J3095*ext_sh</f>
        <v>740</v>
      </c>
      <c r="K3076" s="30" t="n">
        <f aca="false">Sens!K3095*ext_sh</f>
        <v>1470</v>
      </c>
      <c r="L3076" s="1" t="s">
        <v>961</v>
      </c>
    </row>
    <row r="3077" customFormat="false" ht="17.15" hidden="false" customHeight="false" outlineLevel="0" collapsed="false">
      <c r="A3077" s="1" t="s">
        <v>962</v>
      </c>
      <c r="B3077" s="0" t="s">
        <v>456</v>
      </c>
      <c r="C3077" s="30" t="n">
        <f aca="false">mix_h*Sens!C3069</f>
        <v>128</v>
      </c>
      <c r="D3077" s="30" t="n">
        <f aca="false">mix_h*Sens!D3069</f>
        <v>326</v>
      </c>
      <c r="E3077" s="30" t="n">
        <f aca="false">mix_h*Sens!E3069</f>
        <v>650</v>
      </c>
      <c r="F3077" s="30" t="n">
        <f aca="false">Sens!E3077-Sens!F3076*mix_h</f>
        <v>650</v>
      </c>
      <c r="G3077" s="30" t="n">
        <f aca="false">Sens!F3077-Sens!G3076*mix_h</f>
        <v>650</v>
      </c>
      <c r="H3077" s="30" t="n">
        <f aca="false">Sens!G3077-Sens!H3076*mix_h</f>
        <v>650</v>
      </c>
      <c r="I3077" s="30" t="n">
        <f aca="false">Sens!H3077-Sens!I3076*mix_h</f>
        <v>552</v>
      </c>
      <c r="J3077" s="30" t="n">
        <f aca="false">Sens!I3077-Sens!J3076*mix_h</f>
        <v>404</v>
      </c>
      <c r="K3077" s="30" t="n">
        <f aca="false">Sens!J3077-Sens!K3076*mix_h</f>
        <v>110</v>
      </c>
    </row>
    <row r="3078" customFormat="false" ht="17.15" hidden="false" customHeight="false" outlineLevel="0" collapsed="false">
      <c r="A3078" s="1" t="s">
        <v>963</v>
      </c>
      <c r="B3078" s="0" t="s">
        <v>456</v>
      </c>
      <c r="C3078" s="30" t="n">
        <f aca="false">mix_g2*Sens!C3069</f>
        <v>288</v>
      </c>
      <c r="D3078" s="30" t="n">
        <f aca="false">mix_g2*Sens!D3069</f>
        <v>733.5</v>
      </c>
      <c r="E3078" s="30" t="n">
        <f aca="false">mix_g2*Sens!E3069</f>
        <v>1462.5</v>
      </c>
      <c r="F3078" s="30" t="n">
        <f aca="false">Sens!E3078-Sens!F3076*mix_g2</f>
        <v>1462.5</v>
      </c>
      <c r="G3078" s="30" t="n">
        <f aca="false">Sens!F3078-Sens!G3076*mix_g2</f>
        <v>1462.5</v>
      </c>
      <c r="H3078" s="30" t="n">
        <f aca="false">Sens!G3078-Sens!H3076*mix_g2</f>
        <v>1462.5</v>
      </c>
      <c r="I3078" s="30" t="n">
        <f aca="false">Sens!H3078-Sens!I3076*mix_g2</f>
        <v>1242</v>
      </c>
      <c r="J3078" s="30" t="n">
        <f aca="false">Sens!I3078-Sens!J3076*mix_g2</f>
        <v>909</v>
      </c>
      <c r="K3078" s="30" t="n">
        <f aca="false">Sens!J3078-Sens!K3076*mix_g2</f>
        <v>247.5</v>
      </c>
    </row>
    <row r="3079" customFormat="false" ht="17.15" hidden="false" customHeight="false" outlineLevel="0" collapsed="false">
      <c r="A3079" s="1" t="s">
        <v>964</v>
      </c>
      <c r="B3079" s="0" t="s">
        <v>456</v>
      </c>
      <c r="C3079" s="30" t="n">
        <f aca="false">mix_g3*Sens!C3069</f>
        <v>224</v>
      </c>
      <c r="D3079" s="30" t="n">
        <f aca="false">mix_g3*Sens!D3069</f>
        <v>570.5</v>
      </c>
      <c r="E3079" s="30" t="n">
        <f aca="false">mix_g3*Sens!E3069</f>
        <v>1137.5</v>
      </c>
      <c r="F3079" s="30" t="n">
        <f aca="false">Sens!E3079+(Sens!F3075+Sens!F3076)*(a_g3_27-nonnv*a_mai)-Sens!F3076*mix_g3</f>
        <v>1527.5</v>
      </c>
      <c r="G3079" s="30" t="n">
        <f aca="false">Sens!F3079+(Sens!G3075+Sens!G3076)*(a_g3_28-nonnv*a_mai)-Sens!G3076*mix_g3</f>
        <v>1624.7</v>
      </c>
      <c r="H3079" s="30" t="n">
        <f aca="false">Sens!G3079+(Sens!H3075+Sens!H3076)*(a_g3_29-nonnv*a_mai)-Sens!H3076*mix_g3</f>
        <v>1624.7</v>
      </c>
      <c r="I3079" s="30" t="n">
        <f aca="false">Sens!H3079+(Sens!I3075+Sens!I3076)*(a_g3_29-nonnv*a_mai)-Sens!I3076*mix_g3</f>
        <v>1453.2</v>
      </c>
      <c r="J3079" s="30" t="n">
        <f aca="false">Sens!I3079+(Sens!J3075+Sens!J3076)*(a_g3_29-nonnv*a_mai)-Sens!J3076*mix_g3</f>
        <v>1194.2</v>
      </c>
      <c r="K3079" s="30" t="n">
        <f aca="false">Sens!J3079+(Sens!K3075+Sens!K3076)*(a_g3_29-nonnv*a_mai)-Sens!K3076*mix_g3</f>
        <v>679.7</v>
      </c>
    </row>
    <row r="3080" customFormat="false" ht="17.15" hidden="false" customHeight="false" outlineLevel="0" collapsed="false">
      <c r="A3080" s="1" t="s">
        <v>965</v>
      </c>
      <c r="B3080" s="0" t="s">
        <v>456</v>
      </c>
      <c r="C3080" s="30" t="n">
        <v>0</v>
      </c>
      <c r="D3080" s="30" t="n">
        <v>0</v>
      </c>
      <c r="E3080" s="30" t="n">
        <v>0</v>
      </c>
      <c r="F3080" s="30" t="n">
        <f aca="false">Sens!E3080+(Sens!F3075+Sens!F3076)*nonnv*a_mai</f>
        <v>65</v>
      </c>
      <c r="G3080" s="30" t="n">
        <f aca="false">Sens!F3080+(Sens!G3075+Sens!G3076)*nonnv*a_mai</f>
        <v>113.6</v>
      </c>
      <c r="H3080" s="30" t="n">
        <f aca="false">Sens!G3080+(Sens!H3075+Sens!H3076)*nonnv*a_mai</f>
        <v>113.6</v>
      </c>
      <c r="I3080" s="30" t="n">
        <f aca="false">Sens!H3080+(Sens!I3075+Sens!I3076)*nonnv*a_mai</f>
        <v>162.6</v>
      </c>
      <c r="J3080" s="30" t="n">
        <f aca="false">Sens!I3080+(Sens!J3075+Sens!J3076)*nonnv*a_mai</f>
        <v>236.6</v>
      </c>
      <c r="K3080" s="30" t="n">
        <f aca="false">Sens!J3080+(Sens!K3075+Sens!K3076)*nonnv*a_mai</f>
        <v>383.6</v>
      </c>
      <c r="L3080" s="12" t="s">
        <v>966</v>
      </c>
    </row>
    <row r="3081" customFormat="false" ht="17.15" hidden="false" customHeight="false" outlineLevel="0" collapsed="false">
      <c r="A3081" s="1" t="s">
        <v>967</v>
      </c>
      <c r="B3081" s="0" t="s">
        <v>456</v>
      </c>
      <c r="C3081" s="30" t="n">
        <v>0</v>
      </c>
      <c r="D3081" s="30" t="n">
        <v>0</v>
      </c>
      <c r="E3081" s="30" t="n">
        <v>0</v>
      </c>
      <c r="F3081" s="30" t="n">
        <f aca="false">Sens!E3081+(Sens!F3075+Sens!F3076)*(1-a_g3_27)</f>
        <v>195</v>
      </c>
      <c r="G3081" s="30" t="n">
        <f aca="false">Sens!F3081+(Sens!G3075+Sens!G3076)*(1-a_g3_28)</f>
        <v>535.2</v>
      </c>
      <c r="H3081" s="30" t="n">
        <f aca="false">Sens!G3081+(Sens!H3075+Sens!H3076)*(1-a_g3_29)</f>
        <v>535.2</v>
      </c>
      <c r="I3081" s="30" t="n">
        <f aca="false">Sens!H3081+(Sens!I3075+Sens!I3076)*(1-a_g3_29)</f>
        <v>976.2</v>
      </c>
      <c r="J3081" s="30" t="n">
        <f aca="false">Sens!I3081+(Sens!J3075+Sens!J3076)*(1-a_g3_29)</f>
        <v>1642.2</v>
      </c>
      <c r="K3081" s="30" t="n">
        <f aca="false">Sens!J3081+(Sens!K3075+Sens!K3076)*(1-a_g3_29)</f>
        <v>2965.2</v>
      </c>
    </row>
    <row r="3082" customFormat="false" ht="17.15" hidden="false" customHeight="false" outlineLevel="0" collapsed="false">
      <c r="A3082" s="1" t="s">
        <v>968</v>
      </c>
      <c r="B3082" s="0" t="s">
        <v>403</v>
      </c>
      <c r="C3082" s="15" t="n">
        <f aca="false">(Sens!C3077*tk_hold_h100+Sens!C3078*tk_hold_gb200+Sens!C3079*tk_hold_gb300+Sens!C3081*tk_hold_vr200+Sens!C3080*nv_hold_mai*tk_hold_vr200)/Sens!C3069</f>
        <v>9.7235358126469</v>
      </c>
      <c r="D3082" s="15" t="n">
        <f aca="false">(Sens!D3077*tk_hold_h100+Sens!D3078*tk_hold_gb200+Sens!D3079*tk_hold_gb300+Sens!D3081*tk_hold_vr200+Sens!D3080*nv_hold_mai*tk_hold_vr200)/Sens!D3069</f>
        <v>9.7235358126469</v>
      </c>
      <c r="E3082" s="15" t="n">
        <f aca="false">(Sens!E3077*tk_hold_h100+Sens!E3078*tk_hold_gb200+Sens!E3079*tk_hold_gb300+Sens!E3081*tk_hold_vr200+Sens!E3080*nv_hold_mai*tk_hold_vr200)/Sens!E3069</f>
        <v>9.7235358126469</v>
      </c>
      <c r="F3082" s="15" t="n">
        <f aca="false">(Sens!F3077*tk_hold_h100+Sens!F3078*tk_hold_gb200+Sens!F3079*tk_hold_gb300+Sens!F3081*tk_hold_vr200+Sens!F3080*nv_hold_mai*tk_hold_vr200)/Sens!F3069</f>
        <v>9.9047400860175</v>
      </c>
      <c r="G3082" s="15" t="n">
        <f aca="false">(Sens!G3077*tk_hold_h100+Sens!G3078*tk_hold_gb200+Sens!G3079*tk_hold_gb300+Sens!G3081*tk_hold_vr200+Sens!G3080*nv_hold_mai*tk_hold_vr200)/Sens!G3069</f>
        <v>10.0644846479809</v>
      </c>
      <c r="H3082" s="15" t="n">
        <f aca="false">(Sens!H3077*tk_hold_h100+Sens!H3078*tk_hold_gb200+Sens!H3079*tk_hold_gb300+Sens!H3081*tk_hold_vr200+Sens!H3080*nv_hold_mai*tk_hold_vr200)/Sens!H3069</f>
        <v>10.0644846479809</v>
      </c>
      <c r="I3082" s="15" t="n">
        <f aca="false">(Sens!I3077*tk_hold_h100+Sens!I3078*tk_hold_gb200+Sens!I3079*tk_hold_gb300+Sens!I3081*tk_hold_vr200+Sens!I3080*nv_hold_mai*tk_hold_vr200)/Sens!I3069</f>
        <v>10.2757076768083</v>
      </c>
      <c r="J3082" s="15" t="n">
        <f aca="false">(Sens!J3077*tk_hold_h100+Sens!J3078*tk_hold_gb200+Sens!J3079*tk_hold_gb300+Sens!J3081*tk_hold_vr200+Sens!J3080*nv_hold_mai*tk_hold_vr200)/Sens!J3069</f>
        <v>10.5946975570782</v>
      </c>
      <c r="K3082" s="15" t="n">
        <f aca="false">(Sens!K3077*tk_hold_h100+Sens!K3078*tk_hold_gb200+Sens!K3079*tk_hold_gb300+Sens!K3081*tk_hold_vr200+Sens!K3080*nv_hold_mai*tk_hold_vr200)/Sens!K3069</f>
        <v>11.2283666435604</v>
      </c>
      <c r="L3082" s="1" t="s">
        <v>969</v>
      </c>
    </row>
    <row r="3083" customFormat="false" ht="17.15" hidden="false" customHeight="false" outlineLevel="0" collapsed="false">
      <c r="A3083" s="1" t="s">
        <v>970</v>
      </c>
      <c r="B3083" s="0" t="s">
        <v>403</v>
      </c>
      <c r="C3083" s="15" t="n">
        <f aca="false">(Sens!C3077*tk_hold_h100+Sens!C3078*tk_hold_gb200+Sens!C3079*tk_hold_gb300+Sens!C3081*tk_hold_vr200+Sens!C3080*nv_out_mai*tk_hold_vr200)/Sens!C3069</f>
        <v>9.7235358126469</v>
      </c>
      <c r="D3083" s="15" t="n">
        <f aca="false">(Sens!D3077*tk_hold_h100+Sens!D3078*tk_hold_gb200+Sens!D3079*tk_hold_gb300+Sens!D3081*tk_hold_vr200+Sens!D3080*nv_out_mai*tk_hold_vr200)/Sens!D3069</f>
        <v>9.7235358126469</v>
      </c>
      <c r="E3083" s="15" t="n">
        <f aca="false">(Sens!E3077*tk_hold_h100+Sens!E3078*tk_hold_gb200+Sens!E3079*tk_hold_gb300+Sens!E3081*tk_hold_vr200+Sens!E3080*nv_out_mai*tk_hold_vr200)/Sens!E3069</f>
        <v>9.7235358126469</v>
      </c>
      <c r="F3083" s="15" t="n">
        <f aca="false">(Sens!F3077*tk_hold_h100+Sens!F3078*tk_hold_gb200+Sens!F3079*tk_hold_gb300+Sens!F3081*tk_hold_vr200+Sens!F3080*nv_out_mai*tk_hold_vr200)/Sens!F3069</f>
        <v>9.91492797852132</v>
      </c>
      <c r="G3083" s="15" t="n">
        <f aca="false">(Sens!G3077*tk_hold_h100+Sens!G3078*tk_hold_gb200+Sens!G3079*tk_hold_gb300+Sens!G3081*tk_hold_vr200+Sens!G3080*nv_out_mai*tk_hold_vr200)/Sens!G3069</f>
        <v>10.0803169952919</v>
      </c>
      <c r="H3083" s="15" t="n">
        <f aca="false">(Sens!H3077*tk_hold_h100+Sens!H3078*tk_hold_gb200+Sens!H3079*tk_hold_gb300+Sens!H3081*tk_hold_vr200+Sens!H3080*nv_out_mai*tk_hold_vr200)/Sens!H3069</f>
        <v>10.0803169952919</v>
      </c>
      <c r="I3083" s="15" t="n">
        <f aca="false">(Sens!I3077*tk_hold_h100+Sens!I3078*tk_hold_gb200+Sens!I3079*tk_hold_gb300+Sens!I3081*tk_hold_vr200+Sens!I3080*nv_out_mai*tk_hold_vr200)/Sens!I3069</f>
        <v>10.2983691175897</v>
      </c>
      <c r="J3083" s="15" t="n">
        <f aca="false">(Sens!J3077*tk_hold_h100+Sens!J3078*tk_hold_gb200+Sens!J3079*tk_hold_gb300+Sens!J3081*tk_hold_vr200+Sens!J3080*nv_out_mai*tk_hold_vr200)/Sens!J3069</f>
        <v>10.6276723226925</v>
      </c>
      <c r="K3083" s="15" t="n">
        <f aca="false">(Sens!K3077*tk_hold_h100+Sens!K3078*tk_hold_gb200+Sens!K3079*tk_hold_gb300+Sens!K3081*tk_hold_vr200+Sens!K3080*nv_out_mai*tk_hold_vr200)/Sens!K3069</f>
        <v>11.2818286895859</v>
      </c>
      <c r="L3083" s="12" t="s">
        <v>971</v>
      </c>
    </row>
    <row r="3084" customFormat="false" ht="17.15" hidden="false" customHeight="false" outlineLevel="0" collapsed="false">
      <c r="A3084" s="0" t="s">
        <v>972</v>
      </c>
      <c r="B3084" s="0" t="s">
        <v>229</v>
      </c>
      <c r="C3084" s="15" t="n">
        <f aca="false">k_B</f>
        <v>1.17213932619116</v>
      </c>
      <c r="D3084" s="15" t="n">
        <f aca="false">k_B</f>
        <v>1.17213932619116</v>
      </c>
      <c r="E3084" s="15" t="n">
        <f aca="false">k_B</f>
        <v>1.17213932619116</v>
      </c>
      <c r="F3084" s="15" t="n">
        <f aca="false">(k_B+((ls_A*k_long+(1-ls_A)*k_spot)-k_B)*MIN(1,(Sens!F3067-base_fy)/k_ramp))</f>
        <v>1.25022828131298</v>
      </c>
      <c r="G3084" s="15" t="n">
        <f aca="false">(k_B+((ls_A*k_long+(1-ls_A)*k_spot)-k_B)*MIN(1,(Sens!G3067-base_fy)/k_ramp))</f>
        <v>1.3283172364348</v>
      </c>
      <c r="H3084" s="15" t="n">
        <f aca="false">(k_B+((ls_A*k_long+(1-ls_A)*k_spot)-k_B)*MIN(1,(Sens!H3067-base_fy)/k_ramp))</f>
        <v>1.40640619155662</v>
      </c>
      <c r="I3084" s="15" t="n">
        <f aca="false">(k_B+((ls_A*k_long+(1-ls_A)*k_spot)-k_B)*MIN(1,(Sens!I3067-base_fy)/k_ramp))</f>
        <v>1.40640619155662</v>
      </c>
      <c r="J3084" s="15" t="n">
        <f aca="false">(k_B+((ls_A*k_long+(1-ls_A)*k_spot)-k_B)*MIN(1,(Sens!J3067-base_fy)/k_ramp))</f>
        <v>1.40640619155662</v>
      </c>
      <c r="K3084" s="15" t="n">
        <f aca="false">(k_B+((ls_A*k_long+(1-ls_A)*k_spot)-k_B)*MIN(1,(Sens!K3067-base_fy)/k_ramp))</f>
        <v>1.40640619155662</v>
      </c>
      <c r="L3084" s="1" t="s">
        <v>973</v>
      </c>
    </row>
    <row r="3085" customFormat="false" ht="17.15" hidden="false" customHeight="false" outlineLevel="0" collapsed="false">
      <c r="A3085" s="1" t="s">
        <v>974</v>
      </c>
      <c r="B3085" s="0" t="s">
        <v>403</v>
      </c>
      <c r="C3085" s="15" t="n">
        <f aca="false">Sens!C3083*Sens!C3084*chip_f</f>
        <v>11.3973387156315</v>
      </c>
      <c r="D3085" s="15" t="n">
        <f aca="false">Sens!D3083*Sens!D3084*chip_f</f>
        <v>11.3973387156315</v>
      </c>
      <c r="E3085" s="15" t="n">
        <f aca="false">Sens!E3083*Sens!E3084*chip_f</f>
        <v>11.3973387156315</v>
      </c>
      <c r="F3085" s="15" t="n">
        <f aca="false">Sens!F3083*Sens!F3084*chip_f</f>
        <v>12.3959233659286</v>
      </c>
      <c r="G3085" s="15" t="n">
        <f aca="false">Sens!G3083*Sens!G3084*chip_f</f>
        <v>13.3898588135729</v>
      </c>
      <c r="H3085" s="15" t="n">
        <f aca="false">Sens!H3083*Sens!H3084*chip_f</f>
        <v>14.1770202350319</v>
      </c>
      <c r="I3085" s="15" t="n">
        <f aca="false">Sens!I3083*Sens!I3084*chip_f</f>
        <v>14.4836900899136</v>
      </c>
      <c r="J3085" s="15" t="n">
        <f aca="false">Sens!J3083*Sens!J3084*chip_f</f>
        <v>14.9468241564696</v>
      </c>
      <c r="K3085" s="15" t="n">
        <f aca="false">Sens!K3083*Sens!K3084*chip_f</f>
        <v>15.8668337211147</v>
      </c>
      <c r="L3085" s="1" t="s">
        <v>975</v>
      </c>
    </row>
    <row r="3086" customFormat="false" ht="17.15" hidden="false" customHeight="false" outlineLevel="0" collapsed="false">
      <c r="A3086" s="0" t="s">
        <v>976</v>
      </c>
      <c r="B3086" s="0" t="s">
        <v>98</v>
      </c>
      <c r="D3086" s="6" t="n">
        <f aca="false">(Sens!C3069+Sens!D3069)/2*Sens!D3085/1000</f>
        <v>12.9359794422418</v>
      </c>
      <c r="E3086" s="6" t="n">
        <f aca="false">(Sens!D3069+Sens!E3069)/2*Sens!E3085/1000</f>
        <v>27.8095064661409</v>
      </c>
      <c r="F3086" s="6" t="n">
        <f aca="false">(Sens!E3069+Sens!F3069)/2*Sens!F3085/1000</f>
        <v>44.3154260331949</v>
      </c>
      <c r="G3086" s="6" t="n">
        <f aca="false">(Sens!F3069+Sens!G3069)/2*Sens!G3085/1000</f>
        <v>55.4741850646324</v>
      </c>
      <c r="H3086" s="6" t="n">
        <f aca="false">(Sens!G3069+Sens!H3069)/2*Sens!H3085/1000</f>
        <v>62.1804107508501</v>
      </c>
      <c r="I3086" s="6" t="n">
        <f aca="false">(Sens!H3069+Sens!I3069)/2*Sens!I3085/1000</f>
        <v>63.5254647343612</v>
      </c>
      <c r="J3086" s="6" t="n">
        <f aca="false">(Sens!I3069+Sens!J3069)/2*Sens!J3085/1000</f>
        <v>65.5567707502758</v>
      </c>
      <c r="K3086" s="6" t="n">
        <f aca="false">(Sens!J3069+Sens!K3069)/2*Sens!K3085/1000</f>
        <v>69.5919327008091</v>
      </c>
      <c r="L3086" s="12" t="s">
        <v>977</v>
      </c>
    </row>
    <row r="3087" customFormat="false" ht="17.15" hidden="false" customHeight="false" outlineLevel="0" collapsed="false">
      <c r="A3087" s="1" t="s">
        <v>978</v>
      </c>
      <c r="B3087" s="0" t="s">
        <v>403</v>
      </c>
      <c r="C3087" s="15" t="n">
        <f aca="false">(Sens!C3077*tk_opex_h100+Sens!C3078*tk_opex_gb200+Sens!C3079*tk_opex_gb300+(Sens!C3081+Sens!C3080)*tk_opex_vr200)/Sens!C3069</f>
        <v>1.88636041306092</v>
      </c>
      <c r="D3087" s="15" t="n">
        <f aca="false">(Sens!D3077*tk_opex_h100+Sens!D3078*tk_opex_gb200+Sens!D3079*tk_opex_gb300+(Sens!D3081+Sens!D3080)*tk_opex_vr200)/Sens!D3069</f>
        <v>1.88636041306092</v>
      </c>
      <c r="E3087" s="15" t="n">
        <f aca="false">(Sens!E3077*tk_opex_h100+Sens!E3078*tk_opex_gb200+Sens!E3079*tk_opex_gb300+(Sens!E3081+Sens!E3080)*tk_opex_vr200)/Sens!E3069</f>
        <v>1.88636041306092</v>
      </c>
      <c r="F3087" s="15" t="n">
        <f aca="false">(Sens!F3077*tk_opex_h100+Sens!F3078*tk_opex_gb200+Sens!F3079*tk_opex_gb300+(Sens!F3081+Sens!F3080)*tk_opex_vr200)/Sens!F3069</f>
        <v>1.90979686208616</v>
      </c>
      <c r="G3087" s="15" t="n">
        <f aca="false">(Sens!G3077*tk_opex_h100+Sens!G3078*tk_opex_gb200+Sens!G3079*tk_opex_gb300+(Sens!G3081+Sens!G3080)*tk_opex_vr200)/Sens!G3069</f>
        <v>1.92769515165485</v>
      </c>
      <c r="H3087" s="15" t="n">
        <f aca="false">(Sens!H3077*tk_opex_h100+Sens!H3078*tk_opex_gb200+Sens!H3079*tk_opex_gb300+(Sens!H3081+Sens!H3080)*tk_opex_vr200)/Sens!H3069</f>
        <v>1.92769515165485</v>
      </c>
      <c r="I3087" s="15" t="n">
        <f aca="false">(Sens!I3077*tk_opex_h100+Sens!I3078*tk_opex_gb200+Sens!I3079*tk_opex_gb300+(Sens!I3081+Sens!I3080)*tk_opex_vr200)/Sens!I3069</f>
        <v>1.95083610383771</v>
      </c>
      <c r="J3087" s="15" t="n">
        <f aca="false">(Sens!J3077*tk_opex_h100+Sens!J3078*tk_opex_gb200+Sens!J3079*tk_opex_gb300+(Sens!J3081+Sens!J3080)*tk_opex_vr200)/Sens!J3069</f>
        <v>1.98578366427713</v>
      </c>
      <c r="K3087" s="15" t="n">
        <f aca="false">(Sens!K3077*tk_opex_h100+Sens!K3078*tk_opex_gb200+Sens!K3079*tk_opex_gb300+(Sens!K3081+Sens!K3080)*tk_opex_vr200)/Sens!K3069</f>
        <v>2.05520652082571</v>
      </c>
      <c r="L3087" s="12" t="s">
        <v>979</v>
      </c>
    </row>
    <row r="3088" customFormat="false" ht="17.15" hidden="false" customHeight="false" outlineLevel="0" collapsed="false">
      <c r="A3088" s="0" t="s">
        <v>980</v>
      </c>
      <c r="B3088" s="0" t="s">
        <v>98</v>
      </c>
      <c r="D3088" s="6" t="n">
        <f aca="false">(Sens!C3072+Sens!D3072)/2*Sens!D3087/1000</f>
        <v>2.70378325872065</v>
      </c>
      <c r="E3088" s="6" t="n">
        <f aca="false">(Sens!D3072+Sens!E3072)/2*Sens!E3087/1000</f>
        <v>6.17783035277451</v>
      </c>
      <c r="F3088" s="6" t="n">
        <f aca="false">(Sens!E3072+Sens!F3072)/2*Sens!F3087/1000</f>
        <v>9.30071071835958</v>
      </c>
      <c r="G3088" s="6" t="n">
        <f aca="false">(Sens!F3072+Sens!G3072)/2*Sens!G3087/1000</f>
        <v>10.8818391310916</v>
      </c>
      <c r="H3088" s="6" t="n">
        <f aca="false">(Sens!G3072+Sens!H3072)/2*Sens!H3087/1000</f>
        <v>11.6625556675118</v>
      </c>
      <c r="I3088" s="6" t="n">
        <f aca="false">(Sens!H3072+Sens!I3072)/2*Sens!I3087/1000</f>
        <v>11.8025584282181</v>
      </c>
      <c r="J3088" s="6" t="n">
        <f aca="false">(Sens!I3072+Sens!J3072)/2*Sens!J3087/1000</f>
        <v>12.0139911688766</v>
      </c>
      <c r="K3088" s="6" t="n">
        <f aca="false">(Sens!J3072+Sens!K3072)/2*Sens!K3087/1000</f>
        <v>12.4339994509955</v>
      </c>
    </row>
    <row r="3089" customFormat="false" ht="17.15" hidden="false" customHeight="false" outlineLevel="0" collapsed="false">
      <c r="A3089" s="0" t="s">
        <v>981</v>
      </c>
      <c r="B3089" s="0" t="s">
        <v>98</v>
      </c>
      <c r="D3089" s="6" t="n">
        <f aca="false">(Sens!C3070+Sens!D3070)/2*rent_mw/1000</f>
        <v>2.44475</v>
      </c>
      <c r="E3089" s="6" t="n">
        <f aca="false">(Sens!D3070+Sens!E3070)/2*rent_mw/1000</f>
        <v>4.22275</v>
      </c>
      <c r="F3089" s="6" t="n">
        <f aca="false">(Sens!E3070+Sens!F3070)/2*rent_mw/1000</f>
        <v>5.80517</v>
      </c>
      <c r="G3089" s="6" t="n">
        <f aca="false">(Sens!F3070+Sens!G3070)/2*rent_mw/1000</f>
        <v>6.72084</v>
      </c>
      <c r="H3089" s="6" t="n">
        <f aca="false">(Sens!G3070+Sens!H3070)/2*rent_mw/1000</f>
        <v>6.72084</v>
      </c>
      <c r="I3089" s="6" t="n">
        <f aca="false">(Sens!H3070+Sens!I3070)/2*rent_mw/1000</f>
        <v>6.72084</v>
      </c>
      <c r="J3089" s="6" t="n">
        <f aca="false">(Sens!I3070+Sens!J3070)/2*rent_mw/1000</f>
        <v>6.72084</v>
      </c>
      <c r="K3089" s="6" t="n">
        <f aca="false">(Sens!J3070+Sens!K3070)/2*rent_mw/1000</f>
        <v>6.72084</v>
      </c>
    </row>
    <row r="3090" customFormat="false" ht="17.15" hidden="false" customHeight="false" outlineLevel="0" collapsed="false">
      <c r="A3090" s="0" t="s">
        <v>982</v>
      </c>
      <c r="B3090" s="0" t="s">
        <v>98</v>
      </c>
      <c r="D3090" s="6" t="n">
        <f aca="false">(Sens!C3072+Sens!D3072)/2*(1-self_build)*fac_rent/1000</f>
        <v>0.853242375631075</v>
      </c>
      <c r="E3090" s="6" t="n">
        <f aca="false">(Sens!D3072+Sens!E3072)/2*(1-self_build)*fac_rent/1000</f>
        <v>1.94955961408728</v>
      </c>
      <c r="F3090" s="6" t="n">
        <f aca="false">(Sens!E3072+Sens!F3072)/2*(1-self_build)*fac_rent/1000</f>
        <v>2.89903979255117</v>
      </c>
      <c r="G3090" s="6" t="n">
        <f aca="false">(Sens!F3072+Sens!G3072)/2*(1-self_build)*fac_rent/1000</f>
        <v>3.36038596077029</v>
      </c>
      <c r="H3090" s="6" t="n">
        <f aca="false">(Sens!G3072+Sens!H3072)/2*(1-self_build)*fac_rent/1000</f>
        <v>3.60147653900094</v>
      </c>
      <c r="I3090" s="6" t="n">
        <f aca="false">(Sens!H3072+Sens!I3072)/2*(1-self_build)*fac_rent/1000</f>
        <v>3.60147653900094</v>
      </c>
      <c r="J3090" s="6" t="n">
        <f aca="false">(Sens!I3072+Sens!J3072)/2*(1-self_build)*fac_rent/1000</f>
        <v>3.60147653900094</v>
      </c>
      <c r="K3090" s="6" t="n">
        <f aca="false">(Sens!J3072+Sens!K3072)/2*(1-self_build)*fac_rent/1000</f>
        <v>3.60147653900094</v>
      </c>
      <c r="L3090" s="12" t="s">
        <v>983</v>
      </c>
    </row>
    <row r="3091" customFormat="false" ht="17.15" hidden="false" customHeight="false" outlineLevel="0" collapsed="false">
      <c r="A3091" s="1" t="s">
        <v>984</v>
      </c>
      <c r="B3091" s="0" t="s">
        <v>168</v>
      </c>
      <c r="D3091" s="7" t="n">
        <f aca="false">(Sens!C3071+Sens!D3071)/(Sens!C3072+Sens!D3072)</f>
        <v>0.6</v>
      </c>
      <c r="E3091" s="7" t="n">
        <f aca="false">(Sens!D3071+Sens!E3071)/(Sens!D3072+Sens!E3072)</f>
        <v>0.6</v>
      </c>
      <c r="F3091" s="7" t="n">
        <f aca="false">(Sens!E3071+Sens!F3071)/(Sens!E3072+Sens!F3072)</f>
        <v>0.6</v>
      </c>
      <c r="G3091" s="7" t="n">
        <f aca="false">(Sens!F3071+Sens!G3071)/(Sens!F3072+Sens!G3072)</f>
        <v>0.6</v>
      </c>
      <c r="H3091" s="7" t="n">
        <f aca="false">(Sens!G3071+Sens!H3071)/(Sens!G3072+Sens!H3072)</f>
        <v>0.6</v>
      </c>
      <c r="I3091" s="7" t="n">
        <f aca="false">(Sens!H3071+Sens!I3071)/(Sens!H3072+Sens!I3072)</f>
        <v>0.6</v>
      </c>
      <c r="J3091" s="7" t="n">
        <f aca="false">(Sens!I3071+Sens!J3071)/(Sens!I3072+Sens!J3072)</f>
        <v>0.6</v>
      </c>
      <c r="K3091" s="7" t="n">
        <f aca="false">(Sens!J3071+Sens!K3071)/(Sens!J3072+Sens!K3072)</f>
        <v>0.6</v>
      </c>
    </row>
    <row r="3092" customFormat="false" ht="17.15" hidden="false" customHeight="false" outlineLevel="0" collapsed="false">
      <c r="A3092" s="0" t="s">
        <v>985</v>
      </c>
      <c r="B3092" s="0" t="s">
        <v>98</v>
      </c>
      <c r="D3092" s="6" t="n">
        <f aca="false">Sens!D3086-Sens!D3091*(Sens!D3088+Sens!D3090)-Sens!D3089</f>
        <v>8.35701406163072</v>
      </c>
      <c r="E3092" s="6" t="n">
        <f aca="false">Sens!E3086-Sens!E3091*(Sens!E3088+Sens!E3090)-Sens!E3089</f>
        <v>18.7103224860238</v>
      </c>
      <c r="F3092" s="6" t="n">
        <f aca="false">Sens!F3086-Sens!F3091*(Sens!F3088+Sens!F3090)-Sens!F3089</f>
        <v>31.1904057266485</v>
      </c>
      <c r="G3092" s="6" t="n">
        <f aca="false">Sens!G3086-Sens!G3091*(Sens!G3088+Sens!G3090)-Sens!G3089</f>
        <v>40.2080100095152</v>
      </c>
      <c r="H3092" s="6" t="n">
        <f aca="false">Sens!H3086-Sens!H3091*(Sens!H3088+Sens!H3090)-Sens!H3089</f>
        <v>46.3011514269424</v>
      </c>
      <c r="I3092" s="6" t="n">
        <f aca="false">Sens!I3086-Sens!I3091*(Sens!I3088+Sens!I3090)-Sens!I3089</f>
        <v>47.5622037540297</v>
      </c>
      <c r="J3092" s="6" t="n">
        <f aca="false">Sens!J3086-Sens!J3091*(Sens!J3088+Sens!J3090)-Sens!J3089</f>
        <v>49.4666501255493</v>
      </c>
      <c r="K3092" s="6" t="n">
        <f aca="false">Sens!K3086-Sens!K3091*(Sens!K3088+Sens!K3090)-Sens!K3089</f>
        <v>53.2498071068112</v>
      </c>
    </row>
    <row r="3093" customFormat="false" ht="17.15" hidden="false" customHeight="false" outlineLevel="0" collapsed="false">
      <c r="A3093" s="1" t="s">
        <v>986</v>
      </c>
      <c r="B3093" s="0" t="s">
        <v>98</v>
      </c>
      <c r="D3093" s="6" t="n">
        <f aca="false">(1-Sens!D3091)*(Sens!D3088+Sens!D3090)</f>
        <v>1.42281025374069</v>
      </c>
      <c r="E3093" s="6" t="n">
        <f aca="false">(1-Sens!E3091)*(Sens!E3088+Sens!E3090)</f>
        <v>3.25095598674472</v>
      </c>
      <c r="F3093" s="6" t="n">
        <f aca="false">(1-Sens!F3091)*(Sens!F3088+Sens!F3090)</f>
        <v>4.8799002043643</v>
      </c>
      <c r="G3093" s="6" t="n">
        <f aca="false">(1-Sens!G3091)*(Sens!G3088+Sens!G3090)</f>
        <v>5.69689003674476</v>
      </c>
      <c r="H3093" s="6" t="n">
        <f aca="false">(1-Sens!H3091)*(Sens!H3088+Sens!H3090)</f>
        <v>6.1056128826051</v>
      </c>
      <c r="I3093" s="6" t="n">
        <f aca="false">(1-Sens!I3091)*(Sens!I3088+Sens!I3090)</f>
        <v>6.16161398688763</v>
      </c>
      <c r="J3093" s="6" t="n">
        <f aca="false">(1-Sens!J3091)*(Sens!J3088+Sens!J3090)</f>
        <v>6.24618708315103</v>
      </c>
      <c r="K3093" s="6" t="n">
        <f aca="false">(1-Sens!K3091)*(Sens!K3088+Sens!K3090)</f>
        <v>6.41419039599859</v>
      </c>
    </row>
    <row r="3094" customFormat="false" ht="17.15" hidden="false" customHeight="false" outlineLevel="0" collapsed="false">
      <c r="A3094" s="1" t="s">
        <v>987</v>
      </c>
      <c r="B3094" s="0" t="s">
        <v>414</v>
      </c>
      <c r="C3094" s="8" t="n">
        <f aca="false">cxit_open</f>
        <v>27.5918995</v>
      </c>
      <c r="D3094" s="8" t="n">
        <f aca="false">cxit_open</f>
        <v>27.5918995</v>
      </c>
      <c r="E3094" s="8" t="n">
        <f aca="false">cxit_open</f>
        <v>27.5918995</v>
      </c>
      <c r="F3094" s="8" t="n">
        <f aca="false">((a_g3_27-nonnv*a_mai)*tk_cxit_gb300+nonnv*a_mai*nv_hold_mai*tk_cxit_vr200+(1-a_g3_27)*tk_cxit_vr200)</f>
        <v>32.4975576</v>
      </c>
      <c r="G3094" s="8" t="n">
        <f aca="false">((a_g3_28-nonnv*a_mai)*tk_cxit_gb300+nonnv*a_mai*nv_hold_mai*tk_cxit_vr200+(1-a_g3_28)*tk_cxit_vr200)</f>
        <v>34.6372088</v>
      </c>
      <c r="H3094" s="8" t="n">
        <f aca="false">((a_g3_29-nonnv*a_mai)*tk_cxit_gb300+nonnv*a_mai*nv_hold_mai*tk_cxit_vr200+(1-a_g3_29)*tk_cxit_vr200)</f>
        <v>35.7070344</v>
      </c>
      <c r="I3094" s="8" t="n">
        <f aca="false">((a_g3_29-nonnv*a_mai)*tk_cxit_gb300+nonnv*a_mai*nv_hold_mai*tk_cxit_vr200+(1-a_g3_29)*tk_cxit_vr200)</f>
        <v>35.7070344</v>
      </c>
      <c r="J3094" s="8" t="n">
        <f aca="false">((a_g3_29-nonnv*a_mai)*tk_cxit_gb300+nonnv*a_mai*nv_hold_mai*tk_cxit_vr200+(1-a_g3_29)*tk_cxit_vr200)</f>
        <v>35.7070344</v>
      </c>
      <c r="K3094" s="8" t="n">
        <f aca="false">((a_g3_29-nonnv*a_mai)*tk_cxit_gb300+nonnv*a_mai*nv_hold_mai*tk_cxit_vr200+(1-a_g3_29)*tk_cxit_vr200)</f>
        <v>35.7070344</v>
      </c>
      <c r="L3094" s="12" t="s">
        <v>988</v>
      </c>
    </row>
    <row r="3095" customFormat="false" ht="17.15" hidden="false" customHeight="false" outlineLevel="0" collapsed="false">
      <c r="A3095" s="0" t="s">
        <v>989</v>
      </c>
      <c r="B3095" s="0" t="s">
        <v>456</v>
      </c>
      <c r="F3095" s="30" t="n">
        <f aca="false">Sens!C3074*IF(Sens!F3067-Sens!C3067=life_it,1,0)+Sens!D3074*IF(Sens!F3067-Sens!D3067=life_it,1,0)+Sens!E3074*IF(Sens!F3067-Sens!E3067=life_it,1,0)</f>
        <v>0</v>
      </c>
      <c r="G3095" s="30" t="n">
        <f aca="false">Sens!C3074*IF(Sens!G3067-Sens!C3067=life_it,1,0)+Sens!D3074*IF(Sens!G3067-Sens!D3067=life_it,1,0)+Sens!E3074*IF(Sens!G3067-Sens!E3067=life_it,1,0)+Sens!F3074*IF(Sens!G3067-Sens!F3067=life_it,1,0)</f>
        <v>0</v>
      </c>
      <c r="H3095" s="30" t="n">
        <f aca="false">Sens!C3074*IF(Sens!H3067-Sens!C3067=life_it,1,0)+Sens!D3074*IF(Sens!H3067-Sens!D3067=life_it,1,0)+Sens!E3074*IF(Sens!H3067-Sens!E3067=life_it,1,0)+Sens!F3074*IF(Sens!H3067-Sens!F3067=life_it,1,0)+Sens!G3074*IF(Sens!H3067-Sens!G3067=life_it,1,0)</f>
        <v>0</v>
      </c>
      <c r="I3095" s="30" t="n">
        <f aca="false">Sens!C3074*IF(Sens!I3067-Sens!C3067=life_it,1,0)+Sens!D3074*IF(Sens!I3067-Sens!D3067=life_it,1,0)+Sens!E3074*IF(Sens!I3067-Sens!E3067=life_it,1,0)+Sens!F3074*IF(Sens!I3067-Sens!F3067=life_it,1,0)+Sens!G3074*IF(Sens!I3067-Sens!G3067=life_it,1,0)+Sens!H3074*IF(Sens!I3067-Sens!H3067=life_it,1,0)</f>
        <v>816.666666666667</v>
      </c>
      <c r="J3095" s="30" t="n">
        <f aca="false">Sens!C3074*IF(Sens!J3067-Sens!C3067=life_it,1,0)+Sens!D3074*IF(Sens!J3067-Sens!D3067=life_it,1,0)+Sens!E3074*IF(Sens!J3067-Sens!E3067=life_it,1,0)+Sens!F3074*IF(Sens!J3067-Sens!F3067=life_it,1,0)+Sens!G3074*IF(Sens!J3067-Sens!G3067=life_it,1,0)+Sens!H3074*IF(Sens!J3067-Sens!H3067=life_it,1,0)+Sens!I3074*IF(Sens!J3067-Sens!I3067=life_it,1,0)</f>
        <v>1233.33333333333</v>
      </c>
      <c r="K3095" s="30" t="n">
        <f aca="false">Sens!C3074*IF(Sens!K3067-Sens!C3067=life_it,1,0)+Sens!D3074*IF(Sens!K3067-Sens!D3067=life_it,1,0)+Sens!E3074*IF(Sens!K3067-Sens!E3067=life_it,1,0)+Sens!F3074*IF(Sens!K3067-Sens!F3067=life_it,1,0)+Sens!G3074*IF(Sens!K3067-Sens!G3067=life_it,1,0)+Sens!H3074*IF(Sens!K3067-Sens!H3067=life_it,1,0)+Sens!I3074*IF(Sens!K3067-Sens!I3067=life_it,1,0)+Sens!J3074*IF(Sens!K3067-Sens!J3067=life_it,1,0)</f>
        <v>2450</v>
      </c>
      <c r="L3095" s="1" t="s">
        <v>990</v>
      </c>
    </row>
    <row r="3096" customFormat="false" ht="17.15" hidden="false" customHeight="false" outlineLevel="0" collapsed="false">
      <c r="A3096" s="0" t="s">
        <v>991</v>
      </c>
      <c r="B3096" s="0" t="s">
        <v>98</v>
      </c>
      <c r="C3096" s="6" t="n">
        <f aca="false">Sens!C3074*Sens!C3094/1000</f>
        <v>22.5333845916667</v>
      </c>
      <c r="D3096" s="6" t="n">
        <f aca="false">Sens!D3074*Sens!D3094/1000</f>
        <v>34.0300093833333</v>
      </c>
      <c r="E3096" s="6" t="n">
        <f aca="false">Sens!E3074*Sens!E3094/1000</f>
        <v>67.600153775</v>
      </c>
      <c r="F3096" s="6" t="n">
        <f aca="false">(Sens!F3074+Sens!F3095)*Sens!F3094/1000</f>
        <v>24.048192624</v>
      </c>
      <c r="G3096" s="6" t="n">
        <f aca="false">(Sens!G3074+Sens!G3095)*Sens!G3094/1000</f>
        <v>28.056139128</v>
      </c>
      <c r="H3096" s="6" t="n">
        <f aca="false">(Sens!H3074+Sens!H3095)*Sens!H3094/1000</f>
        <v>0</v>
      </c>
      <c r="I3096" s="6" t="n">
        <f aca="false">(Sens!I3074+Sens!I3095)*Sens!I3094/1000</f>
        <v>29.16074476</v>
      </c>
      <c r="J3096" s="6" t="n">
        <f aca="false">(Sens!J3074+Sens!J3095)*Sens!J3094/1000</f>
        <v>44.03867576</v>
      </c>
      <c r="K3096" s="6" t="n">
        <f aca="false">(Sens!K3074+Sens!K3095)*Sens!K3094/1000</f>
        <v>87.48223428</v>
      </c>
    </row>
    <row r="3097" customFormat="false" ht="17.15" hidden="false" customHeight="false" outlineLevel="0" collapsed="false">
      <c r="A3097" s="0" t="s">
        <v>992</v>
      </c>
      <c r="B3097" s="0" t="s">
        <v>98</v>
      </c>
      <c r="C3097" s="6" t="n">
        <f aca="false">Sens!C3074*self_build*tk_cxfac/1000</f>
        <v>6.2083</v>
      </c>
      <c r="D3097" s="6" t="n">
        <f aca="false">Sens!D3074*self_build*tk_cxfac/1000</f>
        <v>9.3758</v>
      </c>
      <c r="E3097" s="6" t="n">
        <f aca="false">Sens!E3074*self_build*tk_cxfac/1000</f>
        <v>18.6249</v>
      </c>
      <c r="F3097" s="6" t="n">
        <f aca="false">Sens!F3074*self_build*tk_cxfac/1000</f>
        <v>5.62548</v>
      </c>
      <c r="G3097" s="6" t="n">
        <f aca="false">Sens!G3074*self_build*tk_cxfac/1000</f>
        <v>6.15762</v>
      </c>
      <c r="H3097" s="6" t="n">
        <f aca="false">Sens!H3074*self_build*tk_cxfac/1000</f>
        <v>0</v>
      </c>
      <c r="I3097" s="6" t="n">
        <f aca="false">Sens!I3074*self_build*tk_cxfac/1000</f>
        <v>0</v>
      </c>
      <c r="J3097" s="6" t="n">
        <f aca="false">Sens!J3074*self_build*tk_cxfac/1000</f>
        <v>0</v>
      </c>
      <c r="K3097" s="6" t="n">
        <f aca="false">Sens!K3074*self_build*tk_cxfac/1000</f>
        <v>0</v>
      </c>
    </row>
    <row r="3098" customFormat="false" ht="17.15" hidden="false" customHeight="false" outlineLevel="0" collapsed="false">
      <c r="A3098" s="0" t="s">
        <v>993</v>
      </c>
      <c r="B3098" s="0" t="s">
        <v>98</v>
      </c>
      <c r="F3098" s="15" t="n">
        <f aca="false">capex_floor27-Sens!F3096-Sens!F3097-Sens!F3194</f>
        <v>138.178366300118</v>
      </c>
      <c r="L3098" s="12" t="s">
        <v>994</v>
      </c>
    </row>
    <row r="3099" customFormat="false" ht="17.15" hidden="false" customHeight="false" outlineLevel="0" collapsed="false">
      <c r="A3099" s="0" t="s">
        <v>995</v>
      </c>
      <c r="B3099" s="0" t="s">
        <v>98</v>
      </c>
      <c r="F3099" s="6" t="n">
        <f aca="false">MAX(0,Sens!F3098)</f>
        <v>138.178366300118</v>
      </c>
    </row>
    <row r="3100" customFormat="false" ht="17.15" hidden="false" customHeight="false" outlineLevel="0" collapsed="false">
      <c r="A3100" s="0" t="s">
        <v>996</v>
      </c>
      <c r="B3100" s="0" t="s">
        <v>98</v>
      </c>
      <c r="C3100" s="6" t="n">
        <f aca="false">Sens!C3096</f>
        <v>22.5333845916667</v>
      </c>
      <c r="D3100" s="6" t="n">
        <f aca="false">Sens!D3096</f>
        <v>34.0300093833333</v>
      </c>
      <c r="E3100" s="6" t="n">
        <f aca="false">Sens!E3096</f>
        <v>67.600153775</v>
      </c>
      <c r="F3100" s="6" t="n">
        <f aca="false">Sens!F3096</f>
        <v>24.048192624</v>
      </c>
      <c r="G3100" s="6" t="n">
        <f aca="false">Sens!G3096</f>
        <v>28.056139128</v>
      </c>
      <c r="H3100" s="6" t="n">
        <f aca="false">Sens!H3096</f>
        <v>0</v>
      </c>
      <c r="I3100" s="6" t="n">
        <f aca="false">Sens!I3096</f>
        <v>29.16074476</v>
      </c>
      <c r="J3100" s="6" t="n">
        <f aca="false">Sens!J3096</f>
        <v>44.03867576</v>
      </c>
      <c r="K3100" s="6" t="n">
        <f aca="false">Sens!K3096</f>
        <v>87.48223428</v>
      </c>
    </row>
    <row r="3101" customFormat="false" ht="17.15" hidden="false" customHeight="false" outlineLevel="0" collapsed="false">
      <c r="A3101" s="0" t="s">
        <v>997</v>
      </c>
      <c r="B3101" s="0" t="s">
        <v>98</v>
      </c>
      <c r="C3101" s="6" t="n">
        <f aca="false">Sens!C3100+Sens!C3097</f>
        <v>28.7416845916667</v>
      </c>
      <c r="D3101" s="6" t="n">
        <f aca="false">Sens!D3100+Sens!D3097</f>
        <v>43.4058093833333</v>
      </c>
      <c r="E3101" s="6" t="n">
        <f aca="false">Sens!E3100+Sens!E3097</f>
        <v>86.225053775</v>
      </c>
      <c r="F3101" s="6" t="n">
        <f aca="false">Sens!F3100+Sens!F3097</f>
        <v>29.673672624</v>
      </c>
      <c r="G3101" s="6" t="n">
        <f aca="false">Sens!G3100+Sens!G3097</f>
        <v>34.213759128</v>
      </c>
      <c r="H3101" s="6" t="n">
        <f aca="false">Sens!H3100+Sens!H3097</f>
        <v>0</v>
      </c>
      <c r="I3101" s="6" t="n">
        <f aca="false">Sens!I3100+Sens!I3097</f>
        <v>29.16074476</v>
      </c>
      <c r="J3101" s="6" t="n">
        <f aca="false">Sens!J3100+Sens!J3097</f>
        <v>44.03867576</v>
      </c>
      <c r="K3101" s="6" t="n">
        <f aca="false">Sens!K3100+Sens!K3097</f>
        <v>87.48223428</v>
      </c>
      <c r="L3101" s="12" t="s">
        <v>998</v>
      </c>
    </row>
    <row r="3102" customFormat="false" ht="17.15" hidden="false" customHeight="false" outlineLevel="0" collapsed="false">
      <c r="A3102" s="0" t="s">
        <v>999</v>
      </c>
      <c r="B3102" s="0" t="s">
        <v>98</v>
      </c>
      <c r="E3102" s="6" t="n">
        <f aca="false">(Sens!C3100*IF(2&lt;life_it,1,IF(2=life_it,0.5,0))+Sens!D3100*IF(1&lt;life_it,1,IF(1=life_it,0.5,0))+Sens!E3100*0.5)/life_it</f>
        <v>15.0605784770833</v>
      </c>
      <c r="F3102" s="6" t="n">
        <f aca="false">(Sens!C3100*IF(3&lt;life_it,1,IF(3=life_it,0.5,0))+Sens!D3100*IF(2&lt;life_it,1,IF(2=life_it,0.5,0))+Sens!E3100*IF(1&lt;life_it,1,IF(1=life_it,0.5,0))+Sens!F3100*0.5)/life_it</f>
        <v>22.697940677</v>
      </c>
      <c r="G3102" s="6" t="n">
        <f aca="false">(Sens!C3100*IF(4&lt;life_it,1,IF(4=life_it,0.5,0))+Sens!D3100*IF(3&lt;life_it,1,IF(3=life_it,0.5,0))+Sens!E3100*IF(2&lt;life_it,1,IF(2=life_it,0.5,0))+Sens!F3100*IF(1&lt;life_it,1,IF(1=life_it,0.5,0))+Sens!G3100*0.5)/life_it</f>
        <v>27.039968323</v>
      </c>
      <c r="H3102" s="6" t="n">
        <f aca="false">(Sens!C3100*IF(5&lt;life_it,1,IF(5=life_it,0.5,0))+Sens!D3100*IF(4&lt;life_it,1,IF(4=life_it,0.5,0))+Sens!E3100*IF(3&lt;life_it,1,IF(3=life_it,0.5,0))+Sens!F3100*IF(2&lt;life_it,1,IF(2=life_it,0.5,0))+Sens!G3100*IF(1&lt;life_it,1,IF(1=life_it,0.5,0))+Sens!H3100*0.5)/life_it</f>
        <v>29.377979917</v>
      </c>
      <c r="I3102" s="6" t="n">
        <f aca="false">(Sens!C3100*IF(6&lt;life_it,1,IF(6=life_it,0.5,0))+Sens!D3100*IF(5&lt;life_it,1,IF(5=life_it,0.5,0))+Sens!E3100*IF(4&lt;life_it,1,IF(4=life_it,0.5,0))+Sens!F3100*IF(3&lt;life_it,1,IF(3=life_it,0.5,0))+Sens!G3100*IF(2&lt;life_it,1,IF(2=life_it,0.5,0))+Sens!H3100*IF(1&lt;life_it,1,IF(1=life_it,0.5,0))+Sens!I3100*0.5)/life_it</f>
        <v>29.9302599310278</v>
      </c>
      <c r="J3102" s="6" t="n">
        <f aca="false">(Sens!C3100*IF(7&lt;life_it,1,IF(7=life_it,0.5,0))+Sens!D3100*IF(6&lt;life_it,1,IF(6=life_it,0.5,0))+Sens!E3100*IF(5&lt;life_it,1,IF(5=life_it,0.5,0))+Sens!F3100*IF(4&lt;life_it,1,IF(4=life_it,0.5,0))+Sens!G3100*IF(3&lt;life_it,1,IF(3=life_it,0.5,0))+Sens!H3100*IF(2&lt;life_it,1,IF(2=life_it,0.5,0))+Sens!I3100*IF(1&lt;life_it,1,IF(1=life_it,0.5,0))+Sens!J3100*0.5)/life_it</f>
        <v>31.3165954764444</v>
      </c>
      <c r="K3102" s="6" t="n">
        <f aca="false">(Sens!C3100*IF(8&lt;life_it,1,IF(8=life_it,0.5,0))+Sens!D3100*IF(7&lt;life_it,1,IF(7=life_it,0.5,0))+Sens!E3100*IF(6&lt;life_it,1,IF(6=life_it,0.5,0))+Sens!F3100*IF(5&lt;life_it,1,IF(5=life_it,0.5,0))+Sens!G3100*IF(4&lt;life_it,1,IF(4=life_it,0.5,0))+Sens!H3100*IF(3&lt;life_it,1,IF(3=life_it,0.5,0))+Sens!I3100*IF(2&lt;life_it,1,IF(2=life_it,0.5,0))+Sens!J3100*IF(1&lt;life_it,1,IF(1=life_it,0.5,0))+Sens!K3100*0.5)/life_it</f>
        <v>33.8074910499167</v>
      </c>
    </row>
    <row r="3103" customFormat="false" ht="17.15" hidden="false" customHeight="false" outlineLevel="0" collapsed="false">
      <c r="A3103" s="0" t="s">
        <v>1000</v>
      </c>
      <c r="B3103" s="0" t="s">
        <v>98</v>
      </c>
      <c r="E3103" s="6" t="n">
        <f aca="false">(Sens!C3097*IF(2&lt;life_fac,1,IF(2=life_fac,0.5,0))+Sens!D3097*IF(1&lt;life_fac,1,IF(1=life_fac,0.5,0))+Sens!E3097*0.5)/life_fac</f>
        <v>1.2448275</v>
      </c>
      <c r="F3103" s="6" t="n">
        <f aca="false">(Sens!C3097*IF(3&lt;life_fac,1,IF(3=life_fac,0.5,0))+Sens!D3097*IF(2&lt;life_fac,1,IF(2=life_fac,0.5,0))+Sens!E3097*IF(1&lt;life_fac,1,IF(1=life_fac,0.5,0))+Sens!F3097*0.5)/life_fac</f>
        <v>1.851087</v>
      </c>
      <c r="G3103" s="6" t="n">
        <f aca="false">(Sens!C3097*IF(4&lt;life_fac,1,IF(4=life_fac,0.5,0))+Sens!D3097*IF(3&lt;life_fac,1,IF(3=life_fac,0.5,0))+Sens!E3097*IF(2&lt;life_fac,1,IF(2=life_fac,0.5,0))+Sens!F3097*IF(1&lt;life_fac,1,IF(1=life_fac,0.5,0))+Sens!G3097*0.5)/life_fac</f>
        <v>2.1456645</v>
      </c>
      <c r="H3103" s="6" t="n">
        <f aca="false">(Sens!C3097*IF(5&lt;life_fac,1,IF(5=life_fac,0.5,0))+Sens!D3097*IF(4&lt;life_fac,1,IF(4=life_fac,0.5,0))+Sens!E3097*IF(3&lt;life_fac,1,IF(3=life_fac,0.5,0))+Sens!F3097*IF(2&lt;life_fac,1,IF(2=life_fac,0.5,0))+Sens!G3097*IF(1&lt;life_fac,1,IF(1=life_fac,0.5,0))+Sens!H3097*0.5)/life_fac</f>
        <v>2.299605</v>
      </c>
      <c r="I3103" s="6" t="n">
        <f aca="false">(Sens!C3097*IF(6&lt;life_fac,1,IF(6=life_fac,0.5,0))+Sens!D3097*IF(5&lt;life_fac,1,IF(5=life_fac,0.5,0))+Sens!E3097*IF(4&lt;life_fac,1,IF(4=life_fac,0.5,0))+Sens!F3097*IF(3&lt;life_fac,1,IF(3=life_fac,0.5,0))+Sens!G3097*IF(2&lt;life_fac,1,IF(2=life_fac,0.5,0))+Sens!H3097*IF(1&lt;life_fac,1,IF(1=life_fac,0.5,0))+Sens!I3097*0.5)/life_fac</f>
        <v>2.299605</v>
      </c>
      <c r="J3103" s="6" t="n">
        <f aca="false">(Sens!C3097*IF(7&lt;life_fac,1,IF(7=life_fac,0.5,0))+Sens!D3097*IF(6&lt;life_fac,1,IF(6=life_fac,0.5,0))+Sens!E3097*IF(5&lt;life_fac,1,IF(5=life_fac,0.5,0))+Sens!F3097*IF(4&lt;life_fac,1,IF(4=life_fac,0.5,0))+Sens!G3097*IF(3&lt;life_fac,1,IF(3=life_fac,0.5,0))+Sens!H3097*IF(2&lt;life_fac,1,IF(2=life_fac,0.5,0))+Sens!I3097*IF(1&lt;life_fac,1,IF(1=life_fac,0.5,0))+Sens!J3097*0.5)/life_fac</f>
        <v>2.299605</v>
      </c>
      <c r="K3103" s="6" t="n">
        <f aca="false">(Sens!C3097*IF(8&lt;life_fac,1,IF(8=life_fac,0.5,0))+Sens!D3097*IF(7&lt;life_fac,1,IF(7=life_fac,0.5,0))+Sens!E3097*IF(6&lt;life_fac,1,IF(6=life_fac,0.5,0))+Sens!F3097*IF(5&lt;life_fac,1,IF(5=life_fac,0.5,0))+Sens!G3097*IF(4&lt;life_fac,1,IF(4=life_fac,0.5,0))+Sens!H3097*IF(3&lt;life_fac,1,IF(3=life_fac,0.5,0))+Sens!I3097*IF(2&lt;life_fac,1,IF(2=life_fac,0.5,0))+Sens!J3097*IF(1&lt;life_fac,1,IF(1=life_fac,0.5,0))+Sens!K3097*0.5)/life_fac</f>
        <v>2.299605</v>
      </c>
    </row>
    <row r="3104" customFormat="false" ht="17.15" hidden="false" customHeight="false" outlineLevel="0" collapsed="false">
      <c r="A3104" s="0" t="s">
        <v>1001</v>
      </c>
      <c r="B3104" s="0" t="s">
        <v>98</v>
      </c>
      <c r="E3104" s="6" t="n">
        <f aca="false">Sens!E3102+Sens!E3103</f>
        <v>16.3054059770833</v>
      </c>
      <c r="F3104" s="6" t="n">
        <f aca="false">Sens!F3102+Sens!F3103</f>
        <v>24.549027677</v>
      </c>
      <c r="G3104" s="6" t="n">
        <f aca="false">Sens!G3102+Sens!G3103</f>
        <v>29.185632823</v>
      </c>
      <c r="H3104" s="6" t="n">
        <f aca="false">Sens!H3102+Sens!H3103</f>
        <v>31.677584917</v>
      </c>
      <c r="I3104" s="6" t="n">
        <f aca="false">Sens!I3102+Sens!I3103</f>
        <v>32.2298649310278</v>
      </c>
      <c r="J3104" s="6" t="n">
        <f aca="false">Sens!J3102+Sens!J3103</f>
        <v>33.6162004764444</v>
      </c>
      <c r="K3104" s="6" t="n">
        <f aca="false">Sens!K3102+Sens!K3103</f>
        <v>36.1070960499167</v>
      </c>
    </row>
    <row r="3105" customFormat="false" ht="17.15" hidden="false" customHeight="false" outlineLevel="0" collapsed="false">
      <c r="A3105" s="0" t="s">
        <v>1002</v>
      </c>
      <c r="B3105" s="0" t="s">
        <v>98</v>
      </c>
      <c r="E3105" s="6" t="n">
        <f aca="false">Sens!E3092-Sens!E3091*Sens!E3104</f>
        <v>8.92707889977379</v>
      </c>
      <c r="F3105" s="6" t="n">
        <f aca="false">Sens!F3092-Sens!F3091*Sens!F3104</f>
        <v>16.4609891204485</v>
      </c>
      <c r="G3105" s="6" t="n">
        <f aca="false">Sens!G3092-Sens!G3091*Sens!G3104</f>
        <v>22.6966303157152</v>
      </c>
      <c r="H3105" s="6" t="n">
        <f aca="false">Sens!H3092-Sens!H3091*Sens!H3104</f>
        <v>27.2946004767424</v>
      </c>
      <c r="I3105" s="6" t="n">
        <f aca="false">Sens!I3092-Sens!I3091*Sens!I3104</f>
        <v>28.224284795413</v>
      </c>
      <c r="J3105" s="6" t="n">
        <f aca="false">Sens!J3092-Sens!J3091*Sens!J3104</f>
        <v>29.2969298396826</v>
      </c>
      <c r="K3105" s="6" t="n">
        <f aca="false">Sens!K3092-Sens!K3091*Sens!K3104</f>
        <v>31.5855494768612</v>
      </c>
    </row>
    <row r="3106" customFormat="false" ht="17.15" hidden="false" customHeight="false" outlineLevel="0" collapsed="false">
      <c r="A3106" s="3" t="s">
        <v>1556</v>
      </c>
    </row>
    <row r="3107" customFormat="false" ht="15" hidden="false" customHeight="false" outlineLevel="0" collapsed="false">
      <c r="A3107" s="4" t="s">
        <v>43</v>
      </c>
      <c r="B3107" s="4" t="s">
        <v>65</v>
      </c>
      <c r="C3107" s="23" t="s">
        <v>938</v>
      </c>
      <c r="D3107" s="23" t="s">
        <v>939</v>
      </c>
      <c r="E3107" s="23" t="s">
        <v>940</v>
      </c>
      <c r="F3107" s="23" t="s">
        <v>941</v>
      </c>
      <c r="G3107" s="23" t="s">
        <v>942</v>
      </c>
      <c r="H3107" s="23" t="s">
        <v>943</v>
      </c>
      <c r="I3107" s="23" t="s">
        <v>944</v>
      </c>
      <c r="J3107" s="23" t="s">
        <v>945</v>
      </c>
      <c r="K3107" s="23" t="s">
        <v>946</v>
      </c>
      <c r="L3107" s="4" t="s">
        <v>47</v>
      </c>
    </row>
    <row r="3108" customFormat="false" ht="17.15" hidden="false" customHeight="false" outlineLevel="0" collapsed="false">
      <c r="A3108" s="0" t="s">
        <v>1021</v>
      </c>
      <c r="B3108" s="0" t="s">
        <v>98</v>
      </c>
      <c r="D3108" s="6" t="n">
        <f aca="false">Sens!D3086</f>
        <v>12.9359794422418</v>
      </c>
      <c r="E3108" s="6" t="n">
        <f aca="false">Sens!E3086</f>
        <v>27.8095064661409</v>
      </c>
      <c r="F3108" s="6" t="n">
        <f aca="false">Sens!F3086</f>
        <v>44.3154260331949</v>
      </c>
      <c r="G3108" s="6" t="n">
        <f aca="false">Sens!G3086</f>
        <v>55.4741850646324</v>
      </c>
      <c r="H3108" s="6" t="n">
        <f aca="false">Sens!H3086</f>
        <v>62.1804107508501</v>
      </c>
      <c r="I3108" s="6" t="n">
        <f aca="false">Sens!I3086</f>
        <v>63.5254647343612</v>
      </c>
      <c r="J3108" s="6" t="n">
        <f aca="false">Sens!J3086</f>
        <v>65.5567707502758</v>
      </c>
      <c r="K3108" s="6" t="n">
        <f aca="false">Sens!K3086</f>
        <v>69.5919327008091</v>
      </c>
    </row>
    <row r="3109" customFormat="false" ht="17.15" hidden="false" customHeight="false" outlineLevel="0" collapsed="false">
      <c r="A3109" s="0" t="s">
        <v>1022</v>
      </c>
      <c r="B3109" s="0" t="s">
        <v>98</v>
      </c>
      <c r="D3109" s="6" t="n">
        <f aca="false">Q!L6-Sens!D3108</f>
        <v>59.6740205577583</v>
      </c>
      <c r="E3109" s="6" t="n">
        <f aca="false">Q!M6-Sens!E3108</f>
        <v>74.1284935338591</v>
      </c>
      <c r="F3109" s="6" t="n">
        <f aca="false">Q!$I$6+(Sens!F3108+Sens!E3109*(1+Sens!F3110))*(1-Q!$E$6/Q!M6)-Sens!F3108</f>
        <v>93.7338146233927</v>
      </c>
      <c r="G3109" s="6" t="n">
        <f aca="false">Sens!F3109*(1+Sens!G3110)</f>
        <v>111.369762046828</v>
      </c>
      <c r="H3109" s="6" t="n">
        <f aca="false">Sens!G3109*(1+Sens!H3110)</f>
        <v>129.312760636805</v>
      </c>
      <c r="I3109" s="6" t="n">
        <f aca="false">Sens!H3109*(1+Sens!I3110)</f>
        <v>146.650320873452</v>
      </c>
      <c r="J3109" s="6" t="n">
        <f aca="false">Sens!I3109*(1+Sens!J3110)</f>
        <v>162.347377293517</v>
      </c>
      <c r="K3109" s="6" t="n">
        <f aca="false">Sens!J3109*(1+Sens!K3110)</f>
        <v>175.335167476998</v>
      </c>
      <c r="L3109" s="12" t="s">
        <v>1023</v>
      </c>
    </row>
    <row r="3110" customFormat="false" ht="15" hidden="false" customHeight="false" outlineLevel="0" collapsed="false">
      <c r="A3110" s="1" t="s">
        <v>1024</v>
      </c>
      <c r="B3110" s="0" t="s">
        <v>168</v>
      </c>
      <c r="E3110" s="7" t="n">
        <f aca="false">Sens!E3109/Sens!D3109-1</f>
        <v>0.242223883039864</v>
      </c>
      <c r="F3110" s="7" t="n">
        <f aca="false">Sens!$E$3110+(glt_azo-Sens!$E$3110)*MIN(1,(Sens!F3067-base_fy)/n_conv)</f>
        <v>0.215186569199887</v>
      </c>
      <c r="G3110" s="7" t="n">
        <f aca="false">Sens!$E$3110+(glt_azo-Sens!$E$3110)*MIN(1,(Sens!G3067-base_fy)/n_conv)</f>
        <v>0.18814925535991</v>
      </c>
      <c r="H3110" s="7" t="n">
        <f aca="false">Sens!$E$3110+(glt_azo-Sens!$E$3110)*MIN(1,(Sens!H3067-base_fy)/n_conv)</f>
        <v>0.161111941519932</v>
      </c>
      <c r="I3110" s="7" t="n">
        <f aca="false">Sens!$E$3110+(glt_azo-Sens!$E$3110)*MIN(1,(Sens!I3067-base_fy)/n_conv)</f>
        <v>0.134074627679955</v>
      </c>
      <c r="J3110" s="7" t="n">
        <f aca="false">Sens!$E$3110+(glt_azo-Sens!$E$3110)*MIN(1,(Sens!J3067-base_fy)/n_conv)</f>
        <v>0.107037313839977</v>
      </c>
      <c r="K3110" s="7" t="n">
        <f aca="false">Sens!$E$3110+(glt_azo-Sens!$E$3110)*MIN(1,(Sens!K3067-base_fy)/n_conv)</f>
        <v>0.08</v>
      </c>
    </row>
    <row r="3111" customFormat="false" ht="15" hidden="false" customHeight="false" outlineLevel="0" collapsed="false">
      <c r="A3111" s="0" t="s">
        <v>1025</v>
      </c>
      <c r="B3111" s="0" t="s">
        <v>98</v>
      </c>
      <c r="D3111" s="6" t="n">
        <f aca="false">Sens!D3108+Sens!D3109</f>
        <v>72.61</v>
      </c>
      <c r="E3111" s="6" t="n">
        <f aca="false">Sens!E3108+Sens!E3109</f>
        <v>101.938</v>
      </c>
      <c r="F3111" s="6" t="n">
        <f aca="false">Sens!F3108+Sens!F3109</f>
        <v>138.049240656588</v>
      </c>
      <c r="G3111" s="6" t="n">
        <f aca="false">Sens!G3108+Sens!G3109</f>
        <v>166.84394711146</v>
      </c>
      <c r="H3111" s="6" t="n">
        <f aca="false">Sens!H3108+Sens!H3109</f>
        <v>191.493171387655</v>
      </c>
      <c r="I3111" s="6" t="n">
        <f aca="false">Sens!I3108+Sens!I3109</f>
        <v>210.175785607813</v>
      </c>
      <c r="J3111" s="6" t="n">
        <f aca="false">Sens!J3108+Sens!J3109</f>
        <v>227.904148043793</v>
      </c>
      <c r="K3111" s="6" t="n">
        <f aca="false">Sens!K3108+Sens!K3109</f>
        <v>244.927100177807</v>
      </c>
    </row>
    <row r="3112" customFormat="false" ht="17.15" hidden="false" customHeight="false" outlineLevel="0" collapsed="false">
      <c r="A3112" s="0" t="s">
        <v>1026</v>
      </c>
      <c r="B3112" s="1" t="s">
        <v>610</v>
      </c>
      <c r="C3112" s="30" t="n">
        <f aca="false">cop_s24</f>
        <v>1</v>
      </c>
      <c r="D3112" s="30" t="n">
        <f aca="false">cop_s25</f>
        <v>5</v>
      </c>
      <c r="E3112" s="30" t="n">
        <f aca="false">cop_s26</f>
        <v>30</v>
      </c>
      <c r="F3112" s="30" t="n">
        <f aca="false">Sens!E3112+cop_add_A</f>
        <v>60</v>
      </c>
      <c r="G3112" s="30" t="n">
        <f aca="false">Sens!F3112+cop_add_A</f>
        <v>90</v>
      </c>
      <c r="H3112" s="30" t="n">
        <f aca="false">Sens!G3112+cop_add_A</f>
        <v>120</v>
      </c>
      <c r="I3112" s="30" t="n">
        <f aca="false">Sens!H3112+cop_add_A*cop_tail</f>
        <v>135</v>
      </c>
      <c r="J3112" s="30" t="n">
        <f aca="false">Sens!I3112+cop_add_A*cop_tail</f>
        <v>150</v>
      </c>
      <c r="K3112" s="30" t="n">
        <f aca="false">Sens!J3112+cop_add_A*cop_tail</f>
        <v>165</v>
      </c>
      <c r="L3112" s="12" t="s">
        <v>1027</v>
      </c>
    </row>
    <row r="3113" customFormat="false" ht="17.15" hidden="false" customHeight="false" outlineLevel="0" collapsed="false">
      <c r="A3113" s="0" t="s">
        <v>1028</v>
      </c>
      <c r="B3113" s="0" t="s">
        <v>98</v>
      </c>
      <c r="D3113" s="6" t="n">
        <f aca="false">(Sens!C3112+Sens!D3112)/2*cop_px*12/1000</f>
        <v>0.9</v>
      </c>
      <c r="E3113" s="6" t="n">
        <f aca="false">(Sens!D3112+Sens!E3112)/2*cop_px*12/1000</f>
        <v>5.25</v>
      </c>
      <c r="F3113" s="6" t="n">
        <f aca="false">(Sens!E3112+Sens!F3112)/2*cop_px*12/1000</f>
        <v>13.5</v>
      </c>
      <c r="G3113" s="6" t="n">
        <f aca="false">(Sens!F3112+Sens!G3112)/2*cop_px*12/1000</f>
        <v>22.5</v>
      </c>
      <c r="H3113" s="6" t="n">
        <f aca="false">(Sens!G3112+Sens!H3112)/2*cop_px*12/1000</f>
        <v>31.5</v>
      </c>
      <c r="I3113" s="6" t="n">
        <f aca="false">(Sens!H3112+Sens!I3112)/2*cop_px*12/1000</f>
        <v>38.25</v>
      </c>
      <c r="J3113" s="6" t="n">
        <f aca="false">(Sens!I3112+Sens!J3112)/2*cop_px*12/1000</f>
        <v>42.75</v>
      </c>
      <c r="K3113" s="6" t="n">
        <f aca="false">(Sens!J3112+Sens!K3112)/2*cop_px*12/1000</f>
        <v>47.25</v>
      </c>
      <c r="L3113" s="1" t="s">
        <v>1029</v>
      </c>
    </row>
    <row r="3114" customFormat="false" ht="17.15" hidden="false" customHeight="false" outlineLevel="0" collapsed="false">
      <c r="A3114" s="0" t="s">
        <v>1030</v>
      </c>
      <c r="B3114" s="0" t="s">
        <v>98</v>
      </c>
      <c r="D3114" s="6" t="n">
        <f aca="false">Q!L7-Sens!D3113</f>
        <v>83.705</v>
      </c>
      <c r="E3114" s="6" t="n">
        <f aca="false">Q!M7-Sens!E3113</f>
        <v>95.049</v>
      </c>
      <c r="F3114" s="6" t="n">
        <f aca="false">Q!$I$7+(Sens!E3114*(1+Sens!F3115)+Sens!F3113)*(1-Q!$E$7/Q!M7)-Sens!F3113</f>
        <v>106.229653205718</v>
      </c>
      <c r="G3114" s="6" t="n">
        <f aca="false">Sens!F3114*(1+Sens!G3115)</f>
        <v>118.306092647576</v>
      </c>
      <c r="H3114" s="6" t="n">
        <f aca="false">Sens!G3114*(1+Sens!H3115)</f>
        <v>130.463437602768</v>
      </c>
      <c r="I3114" s="6" t="n">
        <f aca="false">Sens!H3114*(1+Sens!I3115)</f>
        <v>142.445354741933</v>
      </c>
      <c r="J3114" s="6" t="n">
        <f aca="false">Sens!I3114*(1+Sens!J3115)</f>
        <v>153.972117481571</v>
      </c>
      <c r="K3114" s="6" t="n">
        <f aca="false">Sens!J3114*(1+Sens!K3115)</f>
        <v>164.75016570528</v>
      </c>
      <c r="L3114" s="12" t="s">
        <v>1031</v>
      </c>
    </row>
    <row r="3115" customFormat="false" ht="15" hidden="false" customHeight="false" outlineLevel="0" collapsed="false">
      <c r="A3115" s="1" t="s">
        <v>1024</v>
      </c>
      <c r="B3115" s="0" t="s">
        <v>168</v>
      </c>
      <c r="E3115" s="7" t="n">
        <f aca="false">Sens!E3114/Sens!D3114-1</f>
        <v>0.135523564900544</v>
      </c>
      <c r="F3115" s="7" t="n">
        <f aca="false">Sens!$E$3115+(glt_m365b-Sens!$E$3115)*MIN(1,(Sens!F3067-base_fy)/n_conv)</f>
        <v>0.124602970750453</v>
      </c>
      <c r="G3115" s="7" t="n">
        <f aca="false">Sens!$E$3115+(glt_m365b-Sens!$E$3115)*MIN(1,(Sens!G3067-base_fy)/n_conv)</f>
        <v>0.113682376600363</v>
      </c>
      <c r="H3115" s="7" t="n">
        <f aca="false">Sens!$E$3115+(glt_m365b-Sens!$E$3115)*MIN(1,(Sens!H3067-base_fy)/n_conv)</f>
        <v>0.102761782450272</v>
      </c>
      <c r="I3115" s="7" t="n">
        <f aca="false">Sens!$E$3115+(glt_m365b-Sens!$E$3115)*MIN(1,(Sens!I3067-base_fy)/n_conv)</f>
        <v>0.0918411883001813</v>
      </c>
      <c r="J3115" s="7" t="n">
        <f aca="false">Sens!$E$3115+(glt_m365b-Sens!$E$3115)*MIN(1,(Sens!J3067-base_fy)/n_conv)</f>
        <v>0.0809205941500906</v>
      </c>
      <c r="K3115" s="7" t="n">
        <f aca="false">Sens!$E$3115+(glt_m365b-Sens!$E$3115)*MIN(1,(Sens!K3067-base_fy)/n_conv)</f>
        <v>0.07</v>
      </c>
    </row>
    <row r="3116" customFormat="false" ht="15" hidden="false" customHeight="false" outlineLevel="0" collapsed="false">
      <c r="A3116" s="0" t="s">
        <v>1032</v>
      </c>
      <c r="B3116" s="0" t="s">
        <v>98</v>
      </c>
      <c r="D3116" s="6" t="n">
        <f aca="false">Sens!D3114+Sens!D3113</f>
        <v>84.605</v>
      </c>
      <c r="E3116" s="6" t="n">
        <f aca="false">Sens!E3114+Sens!E3113</f>
        <v>100.299</v>
      </c>
      <c r="F3116" s="6" t="n">
        <f aca="false">Sens!F3114+Sens!F3113</f>
        <v>119.729653205718</v>
      </c>
      <c r="G3116" s="6" t="n">
        <f aca="false">Sens!G3114+Sens!G3113</f>
        <v>140.806092647576</v>
      </c>
      <c r="H3116" s="6" t="n">
        <f aca="false">Sens!H3114+Sens!H3113</f>
        <v>161.963437602768</v>
      </c>
      <c r="I3116" s="6" t="n">
        <f aca="false">Sens!I3114+Sens!I3113</f>
        <v>180.695354741933</v>
      </c>
      <c r="J3116" s="6" t="n">
        <f aca="false">Sens!J3114+Sens!J3113</f>
        <v>196.722117481571</v>
      </c>
      <c r="K3116" s="6" t="n">
        <f aca="false">Sens!K3114+Sens!K3113</f>
        <v>212.00016570528</v>
      </c>
    </row>
    <row r="3117" customFormat="false" ht="17.15" hidden="false" customHeight="false" outlineLevel="0" collapsed="false">
      <c r="A3117" s="0" t="s">
        <v>1033</v>
      </c>
      <c r="B3117" s="0" t="s">
        <v>98</v>
      </c>
      <c r="D3117" s="6" t="n">
        <f aca="false">Q!L8</f>
        <v>35.391</v>
      </c>
      <c r="E3117" s="6" t="n">
        <f aca="false">Q!M8</f>
        <v>37.285</v>
      </c>
      <c r="F3117" s="6" t="n">
        <f aca="false">Q!$I$8+(Q!M8-Q!$E$8)*(1+Sens!F3118)</f>
        <v>38.3851437782675</v>
      </c>
      <c r="G3117" s="6" t="n">
        <f aca="false">Sens!F3117*(1+Sens!G3118)</f>
        <v>40.0105353288615</v>
      </c>
      <c r="H3117" s="6" t="n">
        <f aca="false">Sens!G3117*(1+Sens!H3118)</f>
        <v>41.4812512033683</v>
      </c>
      <c r="I3117" s="6" t="n">
        <f aca="false">Sens!H3117*(1+Sens!I3118)</f>
        <v>42.7743107216329</v>
      </c>
      <c r="J3117" s="6" t="n">
        <f aca="false">Sens!I3117*(1+Sens!J3118)</f>
        <v>43.8687373064601</v>
      </c>
      <c r="K3117" s="6" t="n">
        <f aca="false">Sens!J3117*(1+Sens!K3118)</f>
        <v>44.7461120525893</v>
      </c>
      <c r="L3117" s="12" t="s">
        <v>1034</v>
      </c>
    </row>
    <row r="3118" customFormat="false" ht="15" hidden="false" customHeight="false" outlineLevel="0" collapsed="false">
      <c r="A3118" s="1" t="s">
        <v>1024</v>
      </c>
      <c r="B3118" s="0" t="s">
        <v>168</v>
      </c>
      <c r="E3118" s="7" t="n">
        <f aca="false">Sens!E3117/Sens!D3117-1</f>
        <v>0.0535164307309768</v>
      </c>
      <c r="F3118" s="7" t="n">
        <f aca="false">Sens!$E$3118+(glt_lic-Sens!$E$3118)*MIN(1,(Sens!F3067-base_fy)/n_conv)</f>
        <v>0.0479303589424807</v>
      </c>
      <c r="G3118" s="7" t="n">
        <f aca="false">Sens!$E$3118+(glt_lic-Sens!$E$3118)*MIN(1,(Sens!G3067-base_fy)/n_conv)</f>
        <v>0.0423442871539845</v>
      </c>
      <c r="H3118" s="7" t="n">
        <f aca="false">Sens!$E$3118+(glt_lic-Sens!$E$3118)*MIN(1,(Sens!H3067-base_fy)/n_conv)</f>
        <v>0.0367582153654884</v>
      </c>
      <c r="I3118" s="7" t="n">
        <f aca="false">Sens!$E$3118+(glt_lic-Sens!$E$3118)*MIN(1,(Sens!I3067-base_fy)/n_conv)</f>
        <v>0.0311721435769923</v>
      </c>
      <c r="J3118" s="7" t="n">
        <f aca="false">Sens!$E$3118+(glt_lic-Sens!$E$3118)*MIN(1,(Sens!J3067-base_fy)/n_conv)</f>
        <v>0.0255860717884961</v>
      </c>
      <c r="K3118" s="7" t="n">
        <f aca="false">Sens!$E$3118+(glt_lic-Sens!$E$3118)*MIN(1,(Sens!K3067-base_fy)/n_conv)</f>
        <v>0.02</v>
      </c>
    </row>
    <row r="3119" customFormat="false" ht="17.15" hidden="false" customHeight="false" outlineLevel="0" collapsed="false">
      <c r="A3119" s="0" t="s">
        <v>1035</v>
      </c>
      <c r="B3119" s="0" t="s">
        <v>98</v>
      </c>
      <c r="D3119" s="6" t="n">
        <f aca="false">Q!L9</f>
        <v>18.417</v>
      </c>
      <c r="E3119" s="6" t="n">
        <f aca="false">Q!M9</f>
        <v>20.345</v>
      </c>
      <c r="F3119" s="6" t="n">
        <f aca="false">Q!$I$9+(Q!M9-Q!$E$9)*(1+Sens!F3120)</f>
        <v>22.3161797133988</v>
      </c>
      <c r="G3119" s="6" t="n">
        <f aca="false">Sens!F3119*(1+Sens!G3120)</f>
        <v>24.3943499673233</v>
      </c>
      <c r="H3119" s="6" t="n">
        <f aca="false">Sens!G3119*(1+Sens!H3120)</f>
        <v>26.5250243109019</v>
      </c>
      <c r="I3119" s="6" t="n">
        <f aca="false">Sens!H3119*(1+Sens!I3120)</f>
        <v>28.6884573538181</v>
      </c>
      <c r="J3119" s="6" t="n">
        <f aca="false">Sens!I3119*(1+Sens!J3120)</f>
        <v>30.8624968052127</v>
      </c>
      <c r="K3119" s="6" t="n">
        <f aca="false">Sens!J3119*(1+Sens!K3120)</f>
        <v>33.0228715815776</v>
      </c>
      <c r="L3119" s="12" t="s">
        <v>1034</v>
      </c>
    </row>
    <row r="3120" customFormat="false" ht="15" hidden="false" customHeight="false" outlineLevel="0" collapsed="false">
      <c r="A3120" s="1" t="s">
        <v>1024</v>
      </c>
      <c r="B3120" s="0" t="s">
        <v>168</v>
      </c>
      <c r="E3120" s="7" t="n">
        <f aca="false">Sens!E3119/Sens!D3119-1</f>
        <v>0.104685888038225</v>
      </c>
      <c r="F3120" s="7" t="n">
        <f aca="false">Sens!$E$3120+(glt_ind-Sens!$E$3120)*MIN(1,(Sens!F3067-base_fy)/n_conv)</f>
        <v>0.0989049066985211</v>
      </c>
      <c r="G3120" s="7" t="n">
        <f aca="false">Sens!$E$3120+(glt_ind-Sens!$E$3120)*MIN(1,(Sens!G3067-base_fy)/n_conv)</f>
        <v>0.0931239253588169</v>
      </c>
      <c r="H3120" s="7" t="n">
        <f aca="false">Sens!$E$3120+(glt_ind-Sens!$E$3120)*MIN(1,(Sens!H3067-base_fy)/n_conv)</f>
        <v>0.0873429440191127</v>
      </c>
      <c r="I3120" s="7" t="n">
        <f aca="false">Sens!$E$3120+(glt_ind-Sens!$E$3120)*MIN(1,(Sens!I3067-base_fy)/n_conv)</f>
        <v>0.0815619626794085</v>
      </c>
      <c r="J3120" s="7" t="n">
        <f aca="false">Sens!$E$3120+(glt_ind-Sens!$E$3120)*MIN(1,(Sens!J3067-base_fy)/n_conv)</f>
        <v>0.0757809813397042</v>
      </c>
      <c r="K3120" s="7" t="n">
        <f aca="false">Sens!$E$3120+(glt_ind-Sens!$E$3120)*MIN(1,(Sens!K3067-base_fy)/n_conv)</f>
        <v>0.07</v>
      </c>
    </row>
    <row r="3121" customFormat="false" ht="17.15" hidden="false" customHeight="false" outlineLevel="0" collapsed="false">
      <c r="A3121" s="0" t="s">
        <v>1036</v>
      </c>
      <c r="B3121" s="0" t="s">
        <v>98</v>
      </c>
      <c r="D3121" s="6" t="n">
        <f aca="false">Q!L10</f>
        <v>7.76</v>
      </c>
      <c r="E3121" s="6" t="n">
        <f aca="false">Q!M10</f>
        <v>8.26</v>
      </c>
      <c r="F3121" s="6" t="n">
        <f aca="false">Q!$I$10+(Q!M10-Q!$E$10)*(1+Sens!F3122)</f>
        <v>8.75372082474227</v>
      </c>
      <c r="G3121" s="6" t="n">
        <f aca="false">Sens!F3121*(1+Sens!G3122)</f>
        <v>9.33399324642364</v>
      </c>
      <c r="H3121" s="6" t="n">
        <f aca="false">Sens!G3121*(1+Sens!H3122)</f>
        <v>9.96139155535851</v>
      </c>
      <c r="I3121" s="6" t="n">
        <f aca="false">Sens!H3121*(1+Sens!I3122)</f>
        <v>10.6402039077391</v>
      </c>
      <c r="J3121" s="6" t="n">
        <f aca="false">Sens!I3121*(1+Sens!J3122)</f>
        <v>11.3751458271397</v>
      </c>
      <c r="K3121" s="6" t="n">
        <f aca="false">Sens!J3121*(1+Sens!K3122)</f>
        <v>12.1714060350394</v>
      </c>
      <c r="L3121" s="12" t="s">
        <v>1034</v>
      </c>
    </row>
    <row r="3122" customFormat="false" ht="15" hidden="false" customHeight="false" outlineLevel="0" collapsed="false">
      <c r="A3122" s="1" t="s">
        <v>1024</v>
      </c>
      <c r="B3122" s="0" t="s">
        <v>168</v>
      </c>
      <c r="E3122" s="7" t="n">
        <f aca="false">Sens!E3121/Sens!D3121-1</f>
        <v>0.0644329896907216</v>
      </c>
      <c r="F3122" s="7" t="n">
        <f aca="false">Sens!$E$3122+(glt_fro-Sens!$E$3122)*MIN(1,(Sens!F3067-base_fy)/n_conv)</f>
        <v>0.065360824742268</v>
      </c>
      <c r="G3122" s="7" t="n">
        <f aca="false">Sens!$E$3122+(glt_fro-Sens!$E$3122)*MIN(1,(Sens!G3067-base_fy)/n_conv)</f>
        <v>0.0662886597938144</v>
      </c>
      <c r="H3122" s="7" t="n">
        <f aca="false">Sens!$E$3122+(glt_fro-Sens!$E$3122)*MIN(1,(Sens!H3067-base_fy)/n_conv)</f>
        <v>0.0672164948453608</v>
      </c>
      <c r="I3122" s="7" t="n">
        <f aca="false">Sens!$E$3122+(glt_fro-Sens!$E$3122)*MIN(1,(Sens!I3067-base_fy)/n_conv)</f>
        <v>0.0681443298969072</v>
      </c>
      <c r="J3122" s="7" t="n">
        <f aca="false">Sens!$E$3122+(glt_fro-Sens!$E$3122)*MIN(1,(Sens!J3067-base_fy)/n_conv)</f>
        <v>0.0690721649484536</v>
      </c>
      <c r="K3122" s="7" t="n">
        <f aca="false">Sens!$E$3122+(glt_fro-Sens!$E$3122)*MIN(1,(Sens!K3067-base_fy)/n_conv)</f>
        <v>0.07</v>
      </c>
    </row>
    <row r="3123" customFormat="false" ht="15" hidden="false" customHeight="false" outlineLevel="0" collapsed="false">
      <c r="A3123" s="0" t="s">
        <v>852</v>
      </c>
      <c r="B3123" s="0" t="s">
        <v>98</v>
      </c>
      <c r="D3123" s="6" t="n">
        <f aca="false">Sens!D3111+Sens!D3116+Sens!D3117+Sens!D3119+Sens!D3121</f>
        <v>218.783</v>
      </c>
      <c r="E3123" s="6" t="n">
        <f aca="false">Sens!E3111+Sens!E3116+Sens!E3117+Sens!E3119+Sens!E3121</f>
        <v>268.127</v>
      </c>
      <c r="F3123" s="6" t="n">
        <f aca="false">Sens!F3111+Sens!F3116+Sens!F3117+Sens!F3119+Sens!F3121</f>
        <v>327.233938178714</v>
      </c>
      <c r="G3123" s="6" t="n">
        <f aca="false">Sens!G3111+Sens!G3116+Sens!G3117+Sens!G3119+Sens!G3121</f>
        <v>381.388918301645</v>
      </c>
      <c r="H3123" s="6" t="n">
        <f aca="false">Sens!H3111+Sens!H3116+Sens!H3117+Sens!H3119+Sens!H3121</f>
        <v>431.424276060052</v>
      </c>
      <c r="I3123" s="6" t="n">
        <f aca="false">Sens!I3111+Sens!I3116+Sens!I3117+Sens!I3119+Sens!I3121</f>
        <v>472.974112332936</v>
      </c>
      <c r="J3123" s="6" t="n">
        <f aca="false">Sens!J3111+Sens!J3116+Sens!J3117+Sens!J3119+Sens!J3121</f>
        <v>510.732645464176</v>
      </c>
      <c r="K3123" s="6" t="n">
        <f aca="false">Sens!K3111+Sens!K3116+Sens!K3117+Sens!K3119+Sens!K3121</f>
        <v>546.867655552294</v>
      </c>
    </row>
    <row r="3124" customFormat="false" ht="17.15" hidden="false" customHeight="false" outlineLevel="0" collapsed="false">
      <c r="A3124" s="0" t="s">
        <v>1037</v>
      </c>
      <c r="B3124" s="0" t="s">
        <v>98</v>
      </c>
      <c r="D3124" s="6" t="n">
        <f aca="false">Q!L13</f>
        <v>22.171</v>
      </c>
      <c r="E3124" s="6" t="n">
        <f aca="false">Q!M13</f>
        <v>24.835</v>
      </c>
      <c r="F3124" s="6" t="n">
        <f aca="false">Q!$I$13+(Q!M13-Q!$E$13)*(1+Sens!F3125)</f>
        <v>27.5591895660247</v>
      </c>
      <c r="G3124" s="6" t="n">
        <f aca="false">Sens!F3124*(1+Sens!G3125)</f>
        <v>30.4098563144583</v>
      </c>
      <c r="H3124" s="6" t="n">
        <f aca="false">Sens!G3124*(1+Sens!H3125)</f>
        <v>33.3011792571777</v>
      </c>
      <c r="I3124" s="6" t="n">
        <f aca="false">Sens!H3124*(1+Sens!I3125)</f>
        <v>36.189023797112</v>
      </c>
      <c r="J3124" s="6" t="n">
        <f aca="false">Sens!I3124*(1+Sens!J3125)</f>
        <v>39.0247773769199</v>
      </c>
      <c r="K3124" s="6" t="n">
        <f aca="false">Sens!J3124*(1+Sens!K3125)</f>
        <v>41.7565117933043</v>
      </c>
      <c r="L3124" s="12" t="s">
        <v>1034</v>
      </c>
    </row>
    <row r="3125" customFormat="false" ht="15" hidden="false" customHeight="false" outlineLevel="0" collapsed="false">
      <c r="A3125" s="1" t="s">
        <v>1024</v>
      </c>
      <c r="B3125" s="0" t="s">
        <v>168</v>
      </c>
      <c r="E3125" s="7" t="n">
        <f aca="false">Sens!E3124/Sens!D3124-1</f>
        <v>0.120156961796942</v>
      </c>
      <c r="F3125" s="7" t="n">
        <f aca="false">Sens!$E$3125+(glt_srch-Sens!$E$3125)*MIN(1,(Sens!F3067-base_fy)/n_conv)</f>
        <v>0.111797468164118</v>
      </c>
      <c r="G3125" s="7" t="n">
        <f aca="false">Sens!$E$3125+(glt_srch-Sens!$E$3125)*MIN(1,(Sens!G3067-base_fy)/n_conv)</f>
        <v>0.103437974531295</v>
      </c>
      <c r="H3125" s="7" t="n">
        <f aca="false">Sens!$E$3125+(glt_srch-Sens!$E$3125)*MIN(1,(Sens!H3067-base_fy)/n_conv)</f>
        <v>0.095078480898471</v>
      </c>
      <c r="I3125" s="7" t="n">
        <f aca="false">Sens!$E$3125+(glt_srch-Sens!$E$3125)*MIN(1,(Sens!I3067-base_fy)/n_conv)</f>
        <v>0.0867189872656474</v>
      </c>
      <c r="J3125" s="7" t="n">
        <f aca="false">Sens!$E$3125+(glt_srch-Sens!$E$3125)*MIN(1,(Sens!J3067-base_fy)/n_conv)</f>
        <v>0.0783594936328237</v>
      </c>
      <c r="K3125" s="7" t="n">
        <f aca="false">Sens!$E$3125+(glt_srch-Sens!$E$3125)*MIN(1,(Sens!K3067-base_fy)/n_conv)</f>
        <v>0.07</v>
      </c>
    </row>
    <row r="3126" customFormat="false" ht="17.15" hidden="false" customHeight="false" outlineLevel="0" collapsed="false">
      <c r="A3126" s="0" t="s">
        <v>1038</v>
      </c>
      <c r="B3126" s="0" t="s">
        <v>98</v>
      </c>
      <c r="D3126" s="6" t="n">
        <f aca="false">Q!L14</f>
        <v>23.455</v>
      </c>
      <c r="E3126" s="6" t="n">
        <f aca="false">Q!M14</f>
        <v>21.79</v>
      </c>
      <c r="F3126" s="6" t="n">
        <f aca="false">Q!$I$14+(Q!M14-Q!$E$14)*(1+Sens!F3127)</f>
        <v>20.7520981041711</v>
      </c>
      <c r="G3126" s="6" t="n">
        <f aca="false">Sens!F3126*(1+Sens!G3127)</f>
        <v>19.9083593495882</v>
      </c>
      <c r="H3126" s="6" t="n">
        <f aca="false">Sens!G3126*(1+Sens!H3127)</f>
        <v>19.4008256265831</v>
      </c>
      <c r="I3126" s="6" t="n">
        <f aca="false">Sens!H3126*(1+Sens!I3127)</f>
        <v>19.200434522122</v>
      </c>
      <c r="J3126" s="6" t="n">
        <f aca="false">Sens!I3126*(1+Sens!J3127)</f>
        <v>19.2932782348507</v>
      </c>
      <c r="K3126" s="6" t="n">
        <f aca="false">Sens!J3126*(1+Sens!K3127)</f>
        <v>19.6791437995477</v>
      </c>
      <c r="L3126" s="12" t="s">
        <v>1034</v>
      </c>
    </row>
    <row r="3127" customFormat="false" ht="15" hidden="false" customHeight="false" outlineLevel="0" collapsed="false">
      <c r="A3127" s="1" t="s">
        <v>1024</v>
      </c>
      <c r="B3127" s="0" t="s">
        <v>168</v>
      </c>
      <c r="E3127" s="7" t="n">
        <f aca="false">Sens!E3126/Sens!D3126-1</f>
        <v>-0.0709869963760392</v>
      </c>
      <c r="F3127" s="7" t="n">
        <f aca="false">Sens!$E$3127+(glt_xbox-Sens!$E$3127)*MIN(1,(Sens!F3067-base_fy)/n_conv)</f>
        <v>-0.0558224969800327</v>
      </c>
      <c r="G3127" s="7" t="n">
        <f aca="false">Sens!$E$3127+(glt_xbox-Sens!$E$3127)*MIN(1,(Sens!G3067-base_fy)/n_conv)</f>
        <v>-0.0406579975840262</v>
      </c>
      <c r="H3127" s="7" t="n">
        <f aca="false">Sens!$E$3127+(glt_xbox-Sens!$E$3127)*MIN(1,(Sens!H3067-base_fy)/n_conv)</f>
        <v>-0.0254934981880196</v>
      </c>
      <c r="I3127" s="7" t="n">
        <f aca="false">Sens!$E$3127+(glt_xbox-Sens!$E$3127)*MIN(1,(Sens!I3067-base_fy)/n_conv)</f>
        <v>-0.0103289987920131</v>
      </c>
      <c r="J3127" s="7" t="n">
        <f aca="false">Sens!$E$3127+(glt_xbox-Sens!$E$3127)*MIN(1,(Sens!J3067-base_fy)/n_conv)</f>
        <v>0.00483550060399347</v>
      </c>
      <c r="K3127" s="7" t="n">
        <f aca="false">Sens!$E$3127+(glt_xbox-Sens!$E$3127)*MIN(1,(Sens!K3067-base_fy)/n_conv)</f>
        <v>0.02</v>
      </c>
    </row>
    <row r="3128" customFormat="false" ht="17.15" hidden="false" customHeight="false" outlineLevel="0" collapsed="false">
      <c r="A3128" s="0" t="s">
        <v>1039</v>
      </c>
      <c r="B3128" s="0" t="s">
        <v>98</v>
      </c>
      <c r="D3128" s="6" t="n">
        <f aca="false">Q!L15</f>
        <v>17.315</v>
      </c>
      <c r="E3128" s="6" t="n">
        <f aca="false">Q!M15</f>
        <v>17.087</v>
      </c>
      <c r="F3128" s="6" t="n">
        <f aca="false">Q!$I$15+(Q!M15-Q!$E$15)*(1+Sens!F3129)</f>
        <v>15.9912273250553</v>
      </c>
      <c r="G3128" s="6" t="n">
        <f aca="false">Sens!F3128*(1+Sens!G3129)</f>
        <v>15.9574562664827</v>
      </c>
      <c r="H3128" s="6" t="n">
        <f aca="false">Sens!G3128*(1+Sens!H3129)</f>
        <v>16.0119687434196</v>
      </c>
      <c r="I3128" s="6" t="n">
        <f aca="false">Sens!H3128*(1+Sens!I3129)</f>
        <v>16.1551810001948</v>
      </c>
      <c r="J3128" s="6" t="n">
        <f aca="false">Sens!I3128*(1+Sens!J3129)</f>
        <v>16.3889793892005</v>
      </c>
      <c r="K3128" s="6" t="n">
        <f aca="false">Sens!J3128*(1+Sens!K3129)</f>
        <v>16.7167589769845</v>
      </c>
      <c r="L3128" s="12" t="s">
        <v>1034</v>
      </c>
    </row>
    <row r="3129" customFormat="false" ht="15" hidden="false" customHeight="false" outlineLevel="0" collapsed="false">
      <c r="A3129" s="1" t="s">
        <v>1024</v>
      </c>
      <c r="B3129" s="0" t="s">
        <v>168</v>
      </c>
      <c r="E3129" s="7" t="n">
        <f aca="false">Sens!E3128/Sens!D3128-1</f>
        <v>-0.0131677736066995</v>
      </c>
      <c r="F3129" s="7" t="n">
        <f aca="false">Sens!$E$3129+(glt_win-Sens!$E$3129)*MIN(1,(Sens!F3067-base_fy)/n_conv)</f>
        <v>-0.00763981133891627</v>
      </c>
      <c r="G3129" s="7" t="n">
        <f aca="false">Sens!$E$3129+(glt_win-Sens!$E$3129)*MIN(1,(Sens!G3067-base_fy)/n_conv)</f>
        <v>-0.00211184907113301</v>
      </c>
      <c r="H3129" s="7" t="n">
        <f aca="false">Sens!$E$3129+(glt_win-Sens!$E$3129)*MIN(1,(Sens!H3067-base_fy)/n_conv)</f>
        <v>0.00341611319665024</v>
      </c>
      <c r="I3129" s="7" t="n">
        <f aca="false">Sens!$E$3129+(glt_win-Sens!$E$3129)*MIN(1,(Sens!I3067-base_fy)/n_conv)</f>
        <v>0.00894407546443349</v>
      </c>
      <c r="J3129" s="7" t="n">
        <f aca="false">Sens!$E$3129+(glt_win-Sens!$E$3129)*MIN(1,(Sens!J3067-base_fy)/n_conv)</f>
        <v>0.0144720377322168</v>
      </c>
      <c r="K3129" s="7" t="n">
        <f aca="false">Sens!$E$3129+(glt_win-Sens!$E$3129)*MIN(1,(Sens!K3067-base_fy)/n_conv)</f>
        <v>0.02</v>
      </c>
    </row>
    <row r="3130" customFormat="false" ht="15" hidden="false" customHeight="false" outlineLevel="0" collapsed="false">
      <c r="A3130" s="0" t="s">
        <v>866</v>
      </c>
      <c r="B3130" s="0" t="s">
        <v>98</v>
      </c>
      <c r="D3130" s="6" t="n">
        <f aca="false">Sens!D3124+Sens!D3126+Sens!D3128</f>
        <v>62.941</v>
      </c>
      <c r="E3130" s="6" t="n">
        <f aca="false">Sens!E3124+Sens!E3126+Sens!E3128</f>
        <v>63.712</v>
      </c>
      <c r="F3130" s="6" t="n">
        <f aca="false">Sens!F3124+Sens!F3126+Sens!F3128</f>
        <v>64.3025149952511</v>
      </c>
      <c r="G3130" s="6" t="n">
        <f aca="false">Sens!G3124+Sens!G3126+Sens!G3128</f>
        <v>66.2756719305292</v>
      </c>
      <c r="H3130" s="6" t="n">
        <f aca="false">Sens!H3124+Sens!H3126+Sens!H3128</f>
        <v>68.7139736271804</v>
      </c>
      <c r="I3130" s="6" t="n">
        <f aca="false">Sens!I3124+Sens!I3126+Sens!I3128</f>
        <v>71.5446393194289</v>
      </c>
      <c r="J3130" s="6" t="n">
        <f aca="false">Sens!J3124+Sens!J3126+Sens!J3128</f>
        <v>74.707035000971</v>
      </c>
      <c r="K3130" s="6" t="n">
        <f aca="false">Sens!K3124+Sens!K3126+Sens!K3128</f>
        <v>78.1524145698365</v>
      </c>
    </row>
    <row r="3131" customFormat="false" ht="15" hidden="false" customHeight="false" outlineLevel="0" collapsed="false">
      <c r="A3131" s="1" t="s">
        <v>1040</v>
      </c>
      <c r="B3131" s="0" t="s">
        <v>98</v>
      </c>
      <c r="D3131" s="6" t="n">
        <f aca="false">Sens!D3123+Sens!D3130</f>
        <v>281.724</v>
      </c>
      <c r="E3131" s="6" t="n">
        <f aca="false">Sens!E3123+Sens!E3130</f>
        <v>331.839</v>
      </c>
      <c r="F3131" s="6" t="n">
        <f aca="false">Sens!F3123+Sens!F3130</f>
        <v>391.536453173965</v>
      </c>
      <c r="G3131" s="6" t="n">
        <f aca="false">Sens!G3123+Sens!G3130</f>
        <v>447.664590232174</v>
      </c>
      <c r="H3131" s="6" t="n">
        <f aca="false">Sens!H3123+Sens!H3130</f>
        <v>500.138249687232</v>
      </c>
      <c r="I3131" s="6" t="n">
        <f aca="false">Sens!I3123+Sens!I3130</f>
        <v>544.518751652365</v>
      </c>
      <c r="J3131" s="6" t="n">
        <f aca="false">Sens!J3123+Sens!J3130</f>
        <v>585.439680465147</v>
      </c>
      <c r="K3131" s="6" t="n">
        <f aca="false">Sens!K3123+Sens!K3130</f>
        <v>625.020070122131</v>
      </c>
    </row>
    <row r="3132" customFormat="false" ht="15" hidden="false" customHeight="false" outlineLevel="0" collapsed="false">
      <c r="A3132" s="26" t="s">
        <v>1041</v>
      </c>
      <c r="B3132" s="31" t="s">
        <v>98</v>
      </c>
      <c r="C3132" s="31"/>
      <c r="D3132" s="27" t="n">
        <f aca="false">(Sens!D3111+Sens!D3116+Sens!D3117+Sens!D3119+Sens!D3121-Sens!D3123)+(Sens!D3124+Sens!D3126+Sens!D3128-Sens!D3130)+(Sens!D3123-Q!L5)+(Sens!D3130-Q!L12)+(Sens!D3111-Q!L6)+(Sens!D3116-Q!L7)</f>
        <v>0</v>
      </c>
      <c r="E3132" s="27" t="n">
        <f aca="false">(Sens!E3111+Sens!E3116+Sens!E3117+Sens!E3119+Sens!E3121-Sens!E3123)+(Sens!E3124+Sens!E3126+Sens!E3128-Sens!E3130)+(Sens!E3123-Q!M5)+(Sens!E3130-Q!M12)+(Sens!E3111-Q!M6)+(Sens!E3116-Q!M7)</f>
        <v>0</v>
      </c>
      <c r="F3132" s="27" t="n">
        <f aca="false">(Sens!F3111+Sens!F3116+Sens!F3117+Sens!F3119+Sens!F3121-Sens!F3123)+(Sens!F3124+Sens!F3126+Sens!F3128-Sens!F3130)</f>
        <v>0</v>
      </c>
      <c r="G3132" s="27" t="n">
        <f aca="false">(Sens!G3111+Sens!G3116+Sens!G3117+Sens!G3119+Sens!G3121-Sens!G3123)+(Sens!G3124+Sens!G3126+Sens!G3128-Sens!G3130)</f>
        <v>0</v>
      </c>
      <c r="H3132" s="27" t="n">
        <f aca="false">(Sens!H3111+Sens!H3116+Sens!H3117+Sens!H3119+Sens!H3121-Sens!H3123)+(Sens!H3124+Sens!H3126+Sens!H3128-Sens!H3130)</f>
        <v>0</v>
      </c>
      <c r="I3132" s="27" t="n">
        <f aca="false">(Sens!I3111+Sens!I3116+Sens!I3117+Sens!I3119+Sens!I3121-Sens!I3123)+(Sens!I3124+Sens!I3126+Sens!I3128-Sens!I3130)</f>
        <v>0</v>
      </c>
      <c r="J3132" s="27" t="n">
        <f aca="false">(Sens!J3111+Sens!J3116+Sens!J3117+Sens!J3119+Sens!J3121-Sens!J3123)+(Sens!J3124+Sens!J3126+Sens!J3128-Sens!J3130)</f>
        <v>0</v>
      </c>
      <c r="K3132" s="27" t="n">
        <f aca="false">(Sens!K3111+Sens!K3116+Sens!K3117+Sens!K3119+Sens!K3121-Sens!K3123)+(Sens!K3124+Sens!K3126+Sens!K3128-Sens!K3130)</f>
        <v>0</v>
      </c>
    </row>
    <row r="3133" customFormat="false" ht="17.15" hidden="false" customHeight="false" outlineLevel="0" collapsed="false">
      <c r="A3133" s="3" t="s">
        <v>1557</v>
      </c>
    </row>
    <row r="3134" customFormat="false" ht="15" hidden="false" customHeight="false" outlineLevel="0" collapsed="false">
      <c r="A3134" s="4" t="s">
        <v>43</v>
      </c>
      <c r="B3134" s="4" t="s">
        <v>65</v>
      </c>
      <c r="C3134" s="23" t="s">
        <v>938</v>
      </c>
      <c r="D3134" s="23" t="s">
        <v>939</v>
      </c>
      <c r="E3134" s="23" t="s">
        <v>940</v>
      </c>
      <c r="F3134" s="23" t="s">
        <v>941</v>
      </c>
      <c r="G3134" s="23" t="s">
        <v>942</v>
      </c>
      <c r="H3134" s="23" t="s">
        <v>943</v>
      </c>
      <c r="I3134" s="23" t="s">
        <v>944</v>
      </c>
      <c r="J3134" s="23" t="s">
        <v>945</v>
      </c>
      <c r="K3134" s="23" t="s">
        <v>946</v>
      </c>
      <c r="L3134" s="4" t="s">
        <v>47</v>
      </c>
    </row>
    <row r="3135" customFormat="false" ht="15" hidden="false" customHeight="false" outlineLevel="0" collapsed="false">
      <c r="A3135" s="0" t="s">
        <v>1025</v>
      </c>
      <c r="B3135" s="0" t="s">
        <v>98</v>
      </c>
      <c r="D3135" s="6" t="n">
        <f aca="false">Sens!D3111</f>
        <v>72.61</v>
      </c>
      <c r="E3135" s="6" t="n">
        <f aca="false">Sens!E3111</f>
        <v>101.938</v>
      </c>
      <c r="F3135" s="6" t="n">
        <f aca="false">Sens!F3111</f>
        <v>138.049240656588</v>
      </c>
      <c r="G3135" s="6" t="n">
        <f aca="false">Sens!G3111</f>
        <v>166.84394711146</v>
      </c>
      <c r="H3135" s="6" t="n">
        <f aca="false">Sens!H3111</f>
        <v>191.493171387655</v>
      </c>
      <c r="I3135" s="6" t="n">
        <f aca="false">Sens!I3111</f>
        <v>210.175785607813</v>
      </c>
      <c r="J3135" s="6" t="n">
        <f aca="false">Sens!J3111</f>
        <v>227.904148043793</v>
      </c>
      <c r="K3135" s="6" t="n">
        <f aca="false">Sens!K3111</f>
        <v>244.927100177807</v>
      </c>
    </row>
    <row r="3136" customFormat="false" ht="17.15" hidden="false" customHeight="false" outlineLevel="0" collapsed="false">
      <c r="A3136" s="0" t="s">
        <v>1021</v>
      </c>
      <c r="B3136" s="0" t="s">
        <v>98</v>
      </c>
      <c r="D3136" s="6" t="n">
        <f aca="false">Sens!D3108</f>
        <v>12.9359794422418</v>
      </c>
      <c r="E3136" s="6" t="n">
        <f aca="false">Sens!E3108</f>
        <v>27.8095064661409</v>
      </c>
      <c r="F3136" s="6" t="n">
        <f aca="false">Sens!F3108</f>
        <v>44.3154260331949</v>
      </c>
      <c r="G3136" s="6" t="n">
        <f aca="false">Sens!G3108</f>
        <v>55.4741850646324</v>
      </c>
      <c r="H3136" s="6" t="n">
        <f aca="false">Sens!H3108</f>
        <v>62.1804107508501</v>
      </c>
      <c r="I3136" s="6" t="n">
        <f aca="false">Sens!I3108</f>
        <v>63.5254647343612</v>
      </c>
      <c r="J3136" s="6" t="n">
        <f aca="false">Sens!J3108</f>
        <v>65.5567707502758</v>
      </c>
      <c r="K3136" s="6" t="n">
        <f aca="false">Sens!K3108</f>
        <v>69.5919327008091</v>
      </c>
    </row>
    <row r="3137" customFormat="false" ht="17.15" hidden="false" customHeight="false" outlineLevel="0" collapsed="false">
      <c r="A3137" s="0" t="s">
        <v>1052</v>
      </c>
      <c r="B3137" s="0" t="s">
        <v>98</v>
      </c>
      <c r="D3137" s="6" t="n">
        <f aca="false">Sens!D3109</f>
        <v>59.6740205577583</v>
      </c>
      <c r="E3137" s="6" t="n">
        <f aca="false">Sens!E3109</f>
        <v>74.1284935338591</v>
      </c>
      <c r="F3137" s="6" t="n">
        <f aca="false">Sens!F3109</f>
        <v>93.7338146233927</v>
      </c>
      <c r="G3137" s="6" t="n">
        <f aca="false">Sens!G3109</f>
        <v>111.369762046828</v>
      </c>
      <c r="H3137" s="6" t="n">
        <f aca="false">Sens!H3109</f>
        <v>129.312760636805</v>
      </c>
      <c r="I3137" s="6" t="n">
        <f aca="false">Sens!I3109</f>
        <v>146.650320873452</v>
      </c>
      <c r="J3137" s="6" t="n">
        <f aca="false">Sens!J3109</f>
        <v>162.347377293517</v>
      </c>
      <c r="K3137" s="6" t="n">
        <f aca="false">Sens!K3109</f>
        <v>175.335167476998</v>
      </c>
    </row>
    <row r="3138" customFormat="false" ht="15" hidden="false" customHeight="false" outlineLevel="0" collapsed="false">
      <c r="A3138" s="0" t="s">
        <v>1032</v>
      </c>
      <c r="B3138" s="0" t="s">
        <v>98</v>
      </c>
      <c r="D3138" s="6" t="n">
        <f aca="false">Sens!D3116</f>
        <v>84.605</v>
      </c>
      <c r="E3138" s="6" t="n">
        <f aca="false">Sens!E3116</f>
        <v>100.299</v>
      </c>
      <c r="F3138" s="6" t="n">
        <f aca="false">Sens!F3116</f>
        <v>119.729653205718</v>
      </c>
      <c r="G3138" s="6" t="n">
        <f aca="false">Sens!G3116</f>
        <v>140.806092647576</v>
      </c>
      <c r="H3138" s="6" t="n">
        <f aca="false">Sens!H3116</f>
        <v>161.963437602768</v>
      </c>
      <c r="I3138" s="6" t="n">
        <f aca="false">Sens!I3116</f>
        <v>180.695354741933</v>
      </c>
      <c r="J3138" s="6" t="n">
        <f aca="false">Sens!J3116</f>
        <v>196.722117481571</v>
      </c>
      <c r="K3138" s="6" t="n">
        <f aca="false">Sens!K3116</f>
        <v>212.00016570528</v>
      </c>
    </row>
    <row r="3139" customFormat="false" ht="17.15" hidden="false" customHeight="false" outlineLevel="0" collapsed="false">
      <c r="A3139" s="0" t="s">
        <v>1053</v>
      </c>
      <c r="B3139" s="0" t="s">
        <v>98</v>
      </c>
      <c r="D3139" s="6" t="n">
        <f aca="false">Sens!D3114</f>
        <v>83.705</v>
      </c>
      <c r="E3139" s="6" t="n">
        <f aca="false">Sens!E3114</f>
        <v>95.049</v>
      </c>
      <c r="F3139" s="6" t="n">
        <f aca="false">Sens!F3114</f>
        <v>106.229653205718</v>
      </c>
      <c r="G3139" s="6" t="n">
        <f aca="false">Sens!G3114</f>
        <v>118.306092647576</v>
      </c>
      <c r="H3139" s="6" t="n">
        <f aca="false">Sens!H3114</f>
        <v>130.463437602768</v>
      </c>
      <c r="I3139" s="6" t="n">
        <f aca="false">Sens!I3114</f>
        <v>142.445354741933</v>
      </c>
      <c r="J3139" s="6" t="n">
        <f aca="false">Sens!J3114</f>
        <v>153.972117481571</v>
      </c>
      <c r="K3139" s="6" t="n">
        <f aca="false">Sens!K3114</f>
        <v>164.75016570528</v>
      </c>
    </row>
    <row r="3140" customFormat="false" ht="17.15" hidden="false" customHeight="false" outlineLevel="0" collapsed="false">
      <c r="A3140" s="0" t="s">
        <v>1054</v>
      </c>
      <c r="B3140" s="0" t="s">
        <v>98</v>
      </c>
      <c r="D3140" s="6" t="n">
        <f aca="false">Sens!D3113</f>
        <v>0.9</v>
      </c>
      <c r="E3140" s="6" t="n">
        <f aca="false">Sens!E3113</f>
        <v>5.25</v>
      </c>
      <c r="F3140" s="6" t="n">
        <f aca="false">Sens!F3113</f>
        <v>13.5</v>
      </c>
      <c r="G3140" s="6" t="n">
        <f aca="false">Sens!G3113</f>
        <v>22.5</v>
      </c>
      <c r="H3140" s="6" t="n">
        <f aca="false">Sens!H3113</f>
        <v>31.5</v>
      </c>
      <c r="I3140" s="6" t="n">
        <f aca="false">Sens!I3113</f>
        <v>38.25</v>
      </c>
      <c r="J3140" s="6" t="n">
        <f aca="false">Sens!J3113</f>
        <v>42.75</v>
      </c>
      <c r="K3140" s="6" t="n">
        <f aca="false">Sens!K3113</f>
        <v>47.25</v>
      </c>
    </row>
    <row r="3141" customFormat="false" ht="15" hidden="false" customHeight="false" outlineLevel="0" collapsed="false">
      <c r="A3141" s="0" t="s">
        <v>1033</v>
      </c>
      <c r="B3141" s="0" t="s">
        <v>98</v>
      </c>
      <c r="D3141" s="6" t="n">
        <f aca="false">Sens!D3117</f>
        <v>35.391</v>
      </c>
      <c r="E3141" s="6" t="n">
        <f aca="false">Sens!E3117</f>
        <v>37.285</v>
      </c>
      <c r="F3141" s="6" t="n">
        <f aca="false">Sens!F3117</f>
        <v>38.3851437782675</v>
      </c>
      <c r="G3141" s="6" t="n">
        <f aca="false">Sens!G3117</f>
        <v>40.0105353288615</v>
      </c>
      <c r="H3141" s="6" t="n">
        <f aca="false">Sens!H3117</f>
        <v>41.4812512033683</v>
      </c>
      <c r="I3141" s="6" t="n">
        <f aca="false">Sens!I3117</f>
        <v>42.7743107216329</v>
      </c>
      <c r="J3141" s="6" t="n">
        <f aca="false">Sens!J3117</f>
        <v>43.8687373064601</v>
      </c>
      <c r="K3141" s="6" t="n">
        <f aca="false">Sens!K3117</f>
        <v>44.7461120525893</v>
      </c>
    </row>
    <row r="3142" customFormat="false" ht="15" hidden="false" customHeight="false" outlineLevel="0" collapsed="false">
      <c r="A3142" s="0" t="s">
        <v>1035</v>
      </c>
      <c r="B3142" s="0" t="s">
        <v>98</v>
      </c>
      <c r="D3142" s="6" t="n">
        <f aca="false">Sens!D3119</f>
        <v>18.417</v>
      </c>
      <c r="E3142" s="6" t="n">
        <f aca="false">Sens!E3119</f>
        <v>20.345</v>
      </c>
      <c r="F3142" s="6" t="n">
        <f aca="false">Sens!F3119</f>
        <v>22.3161797133988</v>
      </c>
      <c r="G3142" s="6" t="n">
        <f aca="false">Sens!G3119</f>
        <v>24.3943499673233</v>
      </c>
      <c r="H3142" s="6" t="n">
        <f aca="false">Sens!H3119</f>
        <v>26.5250243109019</v>
      </c>
      <c r="I3142" s="6" t="n">
        <f aca="false">Sens!I3119</f>
        <v>28.6884573538181</v>
      </c>
      <c r="J3142" s="6" t="n">
        <f aca="false">Sens!J3119</f>
        <v>30.8624968052127</v>
      </c>
      <c r="K3142" s="6" t="n">
        <f aca="false">Sens!K3119</f>
        <v>33.0228715815776</v>
      </c>
    </row>
    <row r="3143" customFormat="false" ht="15" hidden="false" customHeight="false" outlineLevel="0" collapsed="false">
      <c r="A3143" s="0" t="s">
        <v>1036</v>
      </c>
      <c r="B3143" s="0" t="s">
        <v>98</v>
      </c>
      <c r="D3143" s="6" t="n">
        <f aca="false">Sens!D3121</f>
        <v>7.76</v>
      </c>
      <c r="E3143" s="6" t="n">
        <f aca="false">Sens!E3121</f>
        <v>8.26</v>
      </c>
      <c r="F3143" s="6" t="n">
        <f aca="false">Sens!F3121</f>
        <v>8.75372082474227</v>
      </c>
      <c r="G3143" s="6" t="n">
        <f aca="false">Sens!G3121</f>
        <v>9.33399324642364</v>
      </c>
      <c r="H3143" s="6" t="n">
        <f aca="false">Sens!H3121</f>
        <v>9.96139155535851</v>
      </c>
      <c r="I3143" s="6" t="n">
        <f aca="false">Sens!I3121</f>
        <v>10.6402039077391</v>
      </c>
      <c r="J3143" s="6" t="n">
        <f aca="false">Sens!J3121</f>
        <v>11.3751458271397</v>
      </c>
      <c r="K3143" s="6" t="n">
        <f aca="false">Sens!K3121</f>
        <v>12.1714060350394</v>
      </c>
    </row>
    <row r="3144" customFormat="false" ht="15" hidden="false" customHeight="false" outlineLevel="0" collapsed="false">
      <c r="A3144" s="0" t="s">
        <v>852</v>
      </c>
      <c r="B3144" s="0" t="s">
        <v>98</v>
      </c>
      <c r="D3144" s="6" t="n">
        <f aca="false">Sens!D3123</f>
        <v>218.783</v>
      </c>
      <c r="E3144" s="6" t="n">
        <f aca="false">Sens!E3123</f>
        <v>268.127</v>
      </c>
      <c r="F3144" s="6" t="n">
        <f aca="false">Sens!F3123</f>
        <v>327.233938178714</v>
      </c>
      <c r="G3144" s="6" t="n">
        <f aca="false">Sens!G3123</f>
        <v>381.388918301645</v>
      </c>
      <c r="H3144" s="6" t="n">
        <f aca="false">Sens!H3123</f>
        <v>431.424276060052</v>
      </c>
      <c r="I3144" s="6" t="n">
        <f aca="false">Sens!I3123</f>
        <v>472.974112332936</v>
      </c>
      <c r="J3144" s="6" t="n">
        <f aca="false">Sens!J3123</f>
        <v>510.732645464176</v>
      </c>
      <c r="K3144" s="6" t="n">
        <f aca="false">Sens!K3123</f>
        <v>546.867655552294</v>
      </c>
    </row>
    <row r="3145" customFormat="false" ht="15" hidden="false" customHeight="false" outlineLevel="0" collapsed="false">
      <c r="A3145" s="0" t="s">
        <v>1037</v>
      </c>
      <c r="B3145" s="0" t="s">
        <v>98</v>
      </c>
      <c r="D3145" s="6" t="n">
        <f aca="false">Sens!D3124</f>
        <v>22.171</v>
      </c>
      <c r="E3145" s="6" t="n">
        <f aca="false">Sens!E3124</f>
        <v>24.835</v>
      </c>
      <c r="F3145" s="6" t="n">
        <f aca="false">Sens!F3124</f>
        <v>27.5591895660247</v>
      </c>
      <c r="G3145" s="6" t="n">
        <f aca="false">Sens!G3124</f>
        <v>30.4098563144583</v>
      </c>
      <c r="H3145" s="6" t="n">
        <f aca="false">Sens!H3124</f>
        <v>33.3011792571777</v>
      </c>
      <c r="I3145" s="6" t="n">
        <f aca="false">Sens!I3124</f>
        <v>36.189023797112</v>
      </c>
      <c r="J3145" s="6" t="n">
        <f aca="false">Sens!J3124</f>
        <v>39.0247773769199</v>
      </c>
      <c r="K3145" s="6" t="n">
        <f aca="false">Sens!K3124</f>
        <v>41.7565117933043</v>
      </c>
    </row>
    <row r="3146" customFormat="false" ht="15" hidden="false" customHeight="false" outlineLevel="0" collapsed="false">
      <c r="A3146" s="0" t="s">
        <v>1038</v>
      </c>
      <c r="B3146" s="0" t="s">
        <v>98</v>
      </c>
      <c r="D3146" s="6" t="n">
        <f aca="false">Sens!D3126</f>
        <v>23.455</v>
      </c>
      <c r="E3146" s="6" t="n">
        <f aca="false">Sens!E3126</f>
        <v>21.79</v>
      </c>
      <c r="F3146" s="6" t="n">
        <f aca="false">Sens!F3126</f>
        <v>20.7520981041711</v>
      </c>
      <c r="G3146" s="6" t="n">
        <f aca="false">Sens!G3126</f>
        <v>19.9083593495882</v>
      </c>
      <c r="H3146" s="6" t="n">
        <f aca="false">Sens!H3126</f>
        <v>19.4008256265831</v>
      </c>
      <c r="I3146" s="6" t="n">
        <f aca="false">Sens!I3126</f>
        <v>19.200434522122</v>
      </c>
      <c r="J3146" s="6" t="n">
        <f aca="false">Sens!J3126</f>
        <v>19.2932782348507</v>
      </c>
      <c r="K3146" s="6" t="n">
        <f aca="false">Sens!K3126</f>
        <v>19.6791437995477</v>
      </c>
    </row>
    <row r="3147" customFormat="false" ht="15" hidden="false" customHeight="false" outlineLevel="0" collapsed="false">
      <c r="A3147" s="0" t="s">
        <v>1039</v>
      </c>
      <c r="B3147" s="0" t="s">
        <v>98</v>
      </c>
      <c r="D3147" s="6" t="n">
        <f aca="false">Sens!D3128</f>
        <v>17.315</v>
      </c>
      <c r="E3147" s="6" t="n">
        <f aca="false">Sens!E3128</f>
        <v>17.087</v>
      </c>
      <c r="F3147" s="6" t="n">
        <f aca="false">Sens!F3128</f>
        <v>15.9912273250553</v>
      </c>
      <c r="G3147" s="6" t="n">
        <f aca="false">Sens!G3128</f>
        <v>15.9574562664827</v>
      </c>
      <c r="H3147" s="6" t="n">
        <f aca="false">Sens!H3128</f>
        <v>16.0119687434196</v>
      </c>
      <c r="I3147" s="6" t="n">
        <f aca="false">Sens!I3128</f>
        <v>16.1551810001948</v>
      </c>
      <c r="J3147" s="6" t="n">
        <f aca="false">Sens!J3128</f>
        <v>16.3889793892005</v>
      </c>
      <c r="K3147" s="6" t="n">
        <f aca="false">Sens!K3128</f>
        <v>16.7167589769845</v>
      </c>
    </row>
    <row r="3148" customFormat="false" ht="15" hidden="false" customHeight="false" outlineLevel="0" collapsed="false">
      <c r="A3148" s="0" t="s">
        <v>866</v>
      </c>
      <c r="B3148" s="0" t="s">
        <v>98</v>
      </c>
      <c r="D3148" s="6" t="n">
        <f aca="false">Sens!D3130</f>
        <v>62.941</v>
      </c>
      <c r="E3148" s="6" t="n">
        <f aca="false">Sens!E3130</f>
        <v>63.712</v>
      </c>
      <c r="F3148" s="6" t="n">
        <f aca="false">Sens!F3130</f>
        <v>64.3025149952511</v>
      </c>
      <c r="G3148" s="6" t="n">
        <f aca="false">Sens!G3130</f>
        <v>66.2756719305292</v>
      </c>
      <c r="H3148" s="6" t="n">
        <f aca="false">Sens!H3130</f>
        <v>68.7139736271804</v>
      </c>
      <c r="I3148" s="6" t="n">
        <f aca="false">Sens!I3130</f>
        <v>71.5446393194289</v>
      </c>
      <c r="J3148" s="6" t="n">
        <f aca="false">Sens!J3130</f>
        <v>74.707035000971</v>
      </c>
      <c r="K3148" s="6" t="n">
        <f aca="false">Sens!K3130</f>
        <v>78.1524145698365</v>
      </c>
    </row>
    <row r="3149" customFormat="false" ht="15" hidden="false" customHeight="false" outlineLevel="0" collapsed="false">
      <c r="A3149" s="1" t="s">
        <v>1055</v>
      </c>
      <c r="B3149" s="0" t="s">
        <v>98</v>
      </c>
      <c r="D3149" s="6" t="n">
        <f aca="false">Sens!D3131</f>
        <v>281.724</v>
      </c>
      <c r="E3149" s="6" t="n">
        <f aca="false">Sens!E3131</f>
        <v>331.839</v>
      </c>
      <c r="F3149" s="6" t="n">
        <f aca="false">Sens!F3131</f>
        <v>391.536453173965</v>
      </c>
      <c r="G3149" s="6" t="n">
        <f aca="false">Sens!G3131</f>
        <v>447.664590232174</v>
      </c>
      <c r="H3149" s="6" t="n">
        <f aca="false">Sens!H3131</f>
        <v>500.138249687232</v>
      </c>
      <c r="I3149" s="6" t="n">
        <f aca="false">Sens!I3131</f>
        <v>544.518751652365</v>
      </c>
      <c r="J3149" s="6" t="n">
        <f aca="false">Sens!J3131</f>
        <v>585.439680465147</v>
      </c>
      <c r="K3149" s="6" t="n">
        <f aca="false">Sens!K3131</f>
        <v>625.020070122131</v>
      </c>
    </row>
    <row r="3150" customFormat="false" ht="15" hidden="false" customHeight="false" outlineLevel="0" collapsed="false">
      <c r="A3150" s="1" t="s">
        <v>1056</v>
      </c>
      <c r="B3150" s="0" t="s">
        <v>168</v>
      </c>
      <c r="E3150" s="7" t="n">
        <f aca="false">Sens!E3149/Sens!D3149-1</f>
        <v>0.177886867998467</v>
      </c>
      <c r="F3150" s="7" t="n">
        <f aca="false">Sens!F3149/Sens!E3149-1</f>
        <v>0.179898846048732</v>
      </c>
      <c r="G3150" s="7" t="n">
        <f aca="false">Sens!G3149/Sens!F3149-1</f>
        <v>0.14335354116637</v>
      </c>
      <c r="H3150" s="7" t="n">
        <f aca="false">Sens!H3149/Sens!G3149-1</f>
        <v>0.117216462056656</v>
      </c>
      <c r="I3150" s="7" t="n">
        <f aca="false">Sens!I3149/Sens!H3149-1</f>
        <v>0.0887364683522736</v>
      </c>
      <c r="J3150" s="7" t="n">
        <f aca="false">Sens!J3149/Sens!I3149-1</f>
        <v>0.0751506329003466</v>
      </c>
      <c r="K3150" s="7" t="n">
        <f aca="false">Sens!K3149/Sens!J3149-1</f>
        <v>0.0676079722261671</v>
      </c>
    </row>
    <row r="3151" customFormat="false" ht="17.15" hidden="false" customHeight="false" outlineLevel="0" collapsed="false">
      <c r="A3151" s="26" t="s">
        <v>1057</v>
      </c>
      <c r="B3151" s="31" t="s">
        <v>98</v>
      </c>
      <c r="C3151" s="31"/>
      <c r="D3151" s="27" t="n">
        <f aca="false">(Sens!D3144+Sens!D3148-Sens!D3149)+(Sens!D3136+Sens!D3137-Sens!D3135)+(Sens!D3139+Sens!D3140-Sens!D3138)+(Sens!D3149-Q!L18)</f>
        <v>0</v>
      </c>
      <c r="E3151" s="27" t="n">
        <f aca="false">(Sens!E3144+Sens!E3148-Sens!E3149)+(Sens!E3136+Sens!E3137-Sens!E3135)+(Sens!E3139+Sens!E3140-Sens!E3138)+(Sens!E3149-Q!M18)</f>
        <v>0</v>
      </c>
      <c r="F3151" s="27" t="n">
        <f aca="false">(Sens!F3144+Sens!F3148-Sens!F3149)+(Sens!F3136+Sens!F3137-Sens!F3135)+(Sens!F3139+Sens!F3140-Sens!F3138)</f>
        <v>0</v>
      </c>
      <c r="G3151" s="27" t="n">
        <f aca="false">(Sens!G3144+Sens!G3148-Sens!G3149)+(Sens!G3136+Sens!G3137-Sens!G3135)+(Sens!G3139+Sens!G3140-Sens!G3138)</f>
        <v>0</v>
      </c>
      <c r="H3151" s="27" t="n">
        <f aca="false">(Sens!H3144+Sens!H3148-Sens!H3149)+(Sens!H3136+Sens!H3137-Sens!H3135)+(Sens!H3139+Sens!H3140-Sens!H3138)</f>
        <v>0</v>
      </c>
      <c r="I3151" s="27" t="n">
        <f aca="false">(Sens!I3144+Sens!I3148-Sens!I3149)+(Sens!I3136+Sens!I3137-Sens!I3135)+(Sens!I3139+Sens!I3140-Sens!I3138)</f>
        <v>0</v>
      </c>
      <c r="J3151" s="27" t="n">
        <f aca="false">(Sens!J3144+Sens!J3148-Sens!J3149)+(Sens!J3136+Sens!J3137-Sens!J3135)+(Sens!J3139+Sens!J3140-Sens!J3138)</f>
        <v>0</v>
      </c>
      <c r="K3151" s="27" t="n">
        <f aca="false">(Sens!K3144+Sens!K3148-Sens!K3149)+(Sens!K3136+Sens!K3137-Sens!K3135)+(Sens!K3139+Sens!K3140-Sens!K3138)</f>
        <v>0</v>
      </c>
    </row>
    <row r="3152" customFormat="false" ht="17.15" hidden="false" customHeight="false" outlineLevel="0" collapsed="false">
      <c r="A3152" s="0" t="s">
        <v>1058</v>
      </c>
      <c r="B3152" s="0" t="s">
        <v>168</v>
      </c>
      <c r="E3152" s="7" t="n">
        <f aca="false">(Q!M21+Sens!E3088+Sens!E3089+Sens!E3090+Sens!E3104-Sens!E3086)/(Q!M5-Sens!E3086)</f>
        <v>0.570957350878296</v>
      </c>
      <c r="F3152" s="7" t="n">
        <f aca="false">Sens!$E$3152+dm_seg</f>
        <v>0.570957350878296</v>
      </c>
      <c r="G3152" s="7" t="n">
        <f aca="false">Sens!$E$3152+dm_seg</f>
        <v>0.570957350878296</v>
      </c>
      <c r="H3152" s="7" t="n">
        <f aca="false">Sens!$E$3152+dm_seg</f>
        <v>0.570957350878296</v>
      </c>
      <c r="I3152" s="7" t="n">
        <f aca="false">Sens!$E$3152+dm_seg</f>
        <v>0.570957350878296</v>
      </c>
      <c r="J3152" s="7" t="n">
        <f aca="false">Sens!$E$3152+dm_seg</f>
        <v>0.570957350878296</v>
      </c>
      <c r="K3152" s="7" t="n">
        <f aca="false">Sens!$E$3152+dm_seg</f>
        <v>0.570957350878296</v>
      </c>
      <c r="L3152" s="12" t="s">
        <v>1059</v>
      </c>
    </row>
    <row r="3153" customFormat="false" ht="17.15" hidden="false" customHeight="false" outlineLevel="0" collapsed="false">
      <c r="A3153" s="0" t="s">
        <v>880</v>
      </c>
      <c r="B3153" s="0" t="s">
        <v>98</v>
      </c>
      <c r="D3153" s="6" t="n">
        <f aca="false">Q!L21</f>
        <v>110.814</v>
      </c>
      <c r="E3153" s="6" t="n">
        <f aca="false">Q!M21</f>
        <v>136.365</v>
      </c>
      <c r="F3153" s="6" t="n">
        <f aca="false">Q!$I$21+(Sens!F3152*(Sens!F3123-Sens!F3086)+Sens!F3086-(Sens!F3088+Sens!F3089+Sens!F3090)-Sens!F3104-Sens!F3187)*(Sens!F3123-Q!$I$5)/Sens!F3123</f>
        <v>154.956656769667</v>
      </c>
      <c r="G3153" s="6" t="n">
        <f aca="false">(Sens!G3152*(Sens!G3123-Sens!G3086)+Sens!G3086-(Sens!G3088+Sens!G3089+Sens!G3090)-Sens!G3104-Sens!G3187)</f>
        <v>178.972846883971</v>
      </c>
      <c r="H3153" s="6" t="n">
        <f aca="false">(Sens!H3152*(Sens!H3123-Sens!H3086)+Sens!H3086-(Sens!H3088+Sens!H3089+Sens!H3090)-Sens!H3104-Sens!H3187)</f>
        <v>208.148005122032</v>
      </c>
      <c r="I3153" s="6" t="n">
        <f aca="false">(Sens!I3152*(Sens!I3123-Sens!I3086)+Sens!I3086-(Sens!I3088+Sens!I3089+Sens!I3090)-Sens!I3104-Sens!I3187)</f>
        <v>232.875237086419</v>
      </c>
      <c r="J3153" s="6" t="n">
        <f aca="false">(Sens!J3152*(Sens!J3123-Sens!J3086)+Sens!J3086-(Sens!J3088+Sens!J3089+Sens!J3090)-Sens!J3104-Sens!J3187)</f>
        <v>254.71481805458</v>
      </c>
      <c r="K3153" s="6" t="n">
        <f aca="false">(Sens!K3152*(Sens!K3123-Sens!K3086)+Sens!K3086-(Sens!K3088+Sens!K3089+Sens!K3090)-Sens!K3104-Sens!K3187)</f>
        <v>275.073308667048</v>
      </c>
      <c r="L3153" s="1" t="s">
        <v>1060</v>
      </c>
    </row>
    <row r="3154" customFormat="false" ht="17.15" hidden="false" customHeight="false" outlineLevel="0" collapsed="false">
      <c r="A3154" s="0" t="s">
        <v>1061</v>
      </c>
      <c r="B3154" s="0" t="s">
        <v>168</v>
      </c>
      <c r="E3154" s="7" t="n">
        <f aca="false">Q!M22/Q!M12</f>
        <v>0.296207935710698</v>
      </c>
      <c r="F3154" s="7" t="n">
        <f aca="false">Sens!$E$3154+dm_seg</f>
        <v>0.296207935710698</v>
      </c>
      <c r="G3154" s="7" t="n">
        <f aca="false">Sens!$E$3154+dm_seg</f>
        <v>0.296207935710698</v>
      </c>
      <c r="H3154" s="7" t="n">
        <f aca="false">Sens!$E$3154+dm_seg</f>
        <v>0.296207935710698</v>
      </c>
      <c r="I3154" s="7" t="n">
        <f aca="false">Sens!$E$3154+dm_seg</f>
        <v>0.296207935710698</v>
      </c>
      <c r="J3154" s="7" t="n">
        <f aca="false">Sens!$E$3154+dm_seg</f>
        <v>0.296207935710698</v>
      </c>
      <c r="K3154" s="7" t="n">
        <f aca="false">Sens!$E$3154+dm_seg</f>
        <v>0.296207935710698</v>
      </c>
      <c r="L3154" s="12" t="s">
        <v>1062</v>
      </c>
    </row>
    <row r="3155" customFormat="false" ht="17.15" hidden="false" customHeight="false" outlineLevel="0" collapsed="false">
      <c r="A3155" s="0" t="s">
        <v>882</v>
      </c>
      <c r="B3155" s="0" t="s">
        <v>98</v>
      </c>
      <c r="D3155" s="6" t="n">
        <f aca="false">Q!L22</f>
        <v>17.714</v>
      </c>
      <c r="E3155" s="6" t="n">
        <f aca="false">Q!M22</f>
        <v>18.872</v>
      </c>
      <c r="F3155" s="6" t="n">
        <f aca="false">Q!$I$22+(Sens!F3130-Q!$I$12)*Sens!F3154</f>
        <v>19.8174315512051</v>
      </c>
      <c r="G3155" s="6" t="n">
        <f aca="false">Sens!G3130*Sens!G3154</f>
        <v>19.6313799703815</v>
      </c>
      <c r="H3155" s="6" t="n">
        <f aca="false">Sens!H3130*Sens!H3154</f>
        <v>20.3536242825865</v>
      </c>
      <c r="I3155" s="6" t="n">
        <f aca="false">Sens!I3130*Sens!I3154</f>
        <v>21.1920899239745</v>
      </c>
      <c r="J3155" s="6" t="n">
        <f aca="false">Sens!J3130*Sens!J3154</f>
        <v>22.1288166207045</v>
      </c>
      <c r="K3155" s="6" t="n">
        <f aca="false">Sens!K3130*Sens!K3154</f>
        <v>23.1493653905379</v>
      </c>
      <c r="L3155" s="12" t="s">
        <v>1063</v>
      </c>
    </row>
    <row r="3156" customFormat="false" ht="15" hidden="false" customHeight="false" outlineLevel="0" collapsed="false">
      <c r="A3156" s="1" t="s">
        <v>1064</v>
      </c>
      <c r="B3156" s="0" t="s">
        <v>98</v>
      </c>
      <c r="D3156" s="6" t="n">
        <f aca="false">Sens!D3153+Sens!D3155</f>
        <v>128.528</v>
      </c>
      <c r="E3156" s="6" t="n">
        <f aca="false">Sens!E3153+Sens!E3155</f>
        <v>155.237</v>
      </c>
      <c r="F3156" s="6" t="n">
        <f aca="false">Sens!F3153+Sens!F3155</f>
        <v>174.774088320872</v>
      </c>
      <c r="G3156" s="6" t="n">
        <f aca="false">Sens!G3153+Sens!G3155</f>
        <v>198.604226854352</v>
      </c>
      <c r="H3156" s="6" t="n">
        <f aca="false">Sens!H3153+Sens!H3155</f>
        <v>228.501629404618</v>
      </c>
      <c r="I3156" s="6" t="n">
        <f aca="false">Sens!I3153+Sens!I3155</f>
        <v>254.067327010393</v>
      </c>
      <c r="J3156" s="6" t="n">
        <f aca="false">Sens!J3153+Sens!J3155</f>
        <v>276.843634675284</v>
      </c>
      <c r="K3156" s="6" t="n">
        <f aca="false">Sens!K3153+Sens!K3155</f>
        <v>298.222674057586</v>
      </c>
    </row>
    <row r="3157" customFormat="false" ht="15" hidden="false" customHeight="false" outlineLevel="0" collapsed="false">
      <c r="A3157" s="26" t="s">
        <v>1065</v>
      </c>
      <c r="B3157" s="31" t="s">
        <v>98</v>
      </c>
      <c r="C3157" s="31"/>
      <c r="D3157" s="27" t="n">
        <f aca="false">Sens!D3156-Q!L23</f>
        <v>0</v>
      </c>
      <c r="E3157" s="27" t="n">
        <f aca="false">Sens!E3156-Q!M23</f>
        <v>0</v>
      </c>
      <c r="F3157" s="31"/>
      <c r="G3157" s="31"/>
      <c r="H3157" s="31"/>
      <c r="I3157" s="31"/>
      <c r="J3157" s="31"/>
      <c r="K3157" s="31"/>
    </row>
    <row r="3158" customFormat="false" ht="15" hidden="false" customHeight="false" outlineLevel="0" collapsed="false">
      <c r="A3158" s="1" t="s">
        <v>1066</v>
      </c>
      <c r="B3158" s="0" t="s">
        <v>168</v>
      </c>
      <c r="D3158" s="7" t="n">
        <f aca="false">Sens!D3156/Sens!D3149</f>
        <v>0.456219562408598</v>
      </c>
      <c r="E3158" s="7" t="n">
        <f aca="false">Sens!E3156/Sens!E3149</f>
        <v>0.467808184089272</v>
      </c>
      <c r="F3158" s="7" t="n">
        <f aca="false">Sens!F3156/Sens!F3149</f>
        <v>0.446380118387641</v>
      </c>
      <c r="G3158" s="7" t="n">
        <f aca="false">Sens!G3156/Sens!G3149</f>
        <v>0.443645155743387</v>
      </c>
      <c r="H3158" s="7" t="n">
        <f aca="false">Sens!H3156/Sens!H3149</f>
        <v>0.456876932623159</v>
      </c>
      <c r="I3158" s="7" t="n">
        <f aca="false">Sens!I3156/Sens!I3149</f>
        <v>0.466590592591009</v>
      </c>
      <c r="J3158" s="7" t="n">
        <f aca="false">Sens!J3156/Sens!J3149</f>
        <v>0.472881569037693</v>
      </c>
      <c r="K3158" s="7" t="n">
        <f aca="false">Sens!K3156/Sens!K3149</f>
        <v>0.477140956448506</v>
      </c>
    </row>
    <row r="3159" customFormat="false" ht="17.15" hidden="false" customHeight="false" outlineLevel="0" collapsed="false">
      <c r="A3159" s="1" t="s">
        <v>1067</v>
      </c>
      <c r="B3159" s="0" t="s">
        <v>98</v>
      </c>
      <c r="F3159" s="6" t="n">
        <f aca="false">Sens!F3174</f>
        <v>1.60882603013322</v>
      </c>
      <c r="G3159" s="6" t="n">
        <f aca="false">Sens!G3174</f>
        <v>0</v>
      </c>
      <c r="H3159" s="6" t="n">
        <f aca="false">Sens!H3174</f>
        <v>0</v>
      </c>
      <c r="I3159" s="6" t="n">
        <f aca="false">Sens!I3174</f>
        <v>0</v>
      </c>
      <c r="J3159" s="6" t="n">
        <f aca="false">Sens!J3174</f>
        <v>0</v>
      </c>
      <c r="K3159" s="6" t="n">
        <f aca="false">Sens!K3174</f>
        <v>0</v>
      </c>
      <c r="L3159" s="1" t="s">
        <v>1068</v>
      </c>
    </row>
    <row r="3160" customFormat="false" ht="17.15" hidden="false" customHeight="false" outlineLevel="0" collapsed="false">
      <c r="A3160" s="1" t="s">
        <v>1069</v>
      </c>
      <c r="B3160" s="0" t="s">
        <v>98</v>
      </c>
      <c r="D3160" s="6" t="n">
        <f aca="false">Sens!D3156</f>
        <v>128.528</v>
      </c>
      <c r="E3160" s="6" t="n">
        <f aca="false">Sens!E3156</f>
        <v>155.237</v>
      </c>
      <c r="F3160" s="6" t="n">
        <f aca="false">Sens!F3156+Sens!F3159</f>
        <v>176.382914351005</v>
      </c>
      <c r="G3160" s="6" t="n">
        <f aca="false">Sens!G3156+Sens!G3159</f>
        <v>198.604226854352</v>
      </c>
      <c r="H3160" s="6" t="n">
        <f aca="false">Sens!H3156+Sens!H3159</f>
        <v>228.501629404618</v>
      </c>
      <c r="I3160" s="6" t="n">
        <f aca="false">Sens!I3156+Sens!I3159</f>
        <v>254.067327010393</v>
      </c>
      <c r="J3160" s="6" t="n">
        <f aca="false">Sens!J3156+Sens!J3159</f>
        <v>276.843634675284</v>
      </c>
      <c r="K3160" s="6" t="n">
        <f aca="false">Sens!K3156+Sens!K3159</f>
        <v>298.222674057586</v>
      </c>
    </row>
    <row r="3161" customFormat="false" ht="17.15" hidden="false" customHeight="false" outlineLevel="0" collapsed="false">
      <c r="A3161" s="1" t="s">
        <v>1070</v>
      </c>
      <c r="B3161" s="0" t="s">
        <v>98</v>
      </c>
      <c r="E3161" s="6" t="n">
        <f aca="false">Sens!E3104</f>
        <v>16.3054059770833</v>
      </c>
      <c r="F3161" s="6" t="n">
        <f aca="false">Sens!F3104</f>
        <v>24.549027677</v>
      </c>
      <c r="G3161" s="6" t="n">
        <f aca="false">Sens!G3104</f>
        <v>29.185632823</v>
      </c>
      <c r="H3161" s="6" t="n">
        <f aca="false">Sens!H3104</f>
        <v>31.677584917</v>
      </c>
      <c r="I3161" s="6" t="n">
        <f aca="false">Sens!I3104</f>
        <v>32.2298649310278</v>
      </c>
      <c r="J3161" s="6" t="n">
        <f aca="false">Sens!J3104</f>
        <v>33.6162004764444</v>
      </c>
      <c r="K3161" s="6" t="n">
        <f aca="false">Sens!K3104</f>
        <v>36.1070960499167</v>
      </c>
    </row>
    <row r="3162" customFormat="false" ht="17.15" hidden="false" customHeight="false" outlineLevel="0" collapsed="false">
      <c r="A3162" s="1" t="s">
        <v>1071</v>
      </c>
      <c r="B3162" s="0" t="s">
        <v>98</v>
      </c>
      <c r="E3162" s="6" t="n">
        <f aca="false">Sens!E3186</f>
        <v>22.2285940229167</v>
      </c>
      <c r="F3162" s="6" t="n">
        <f aca="false">Sens!F3186</f>
        <v>37.458367358225</v>
      </c>
      <c r="G3162" s="6" t="n">
        <f aca="false">Sens!G3186</f>
        <v>37.9475258739052</v>
      </c>
      <c r="H3162" s="6" t="n">
        <f aca="false">Sens!H3186</f>
        <v>38.9967052741839</v>
      </c>
      <c r="I3162" s="6" t="n">
        <f aca="false">Sens!I3186</f>
        <v>40.5147656763488</v>
      </c>
      <c r="J3162" s="6" t="n">
        <f aca="false">Sens!J3186</f>
        <v>42.3956285090621</v>
      </c>
      <c r="K3162" s="6" t="n">
        <f aca="false">Sens!K3186</f>
        <v>44.541474079613</v>
      </c>
    </row>
    <row r="3163" customFormat="false" ht="17.15" hidden="false" customHeight="false" outlineLevel="0" collapsed="false">
      <c r="A3163" s="1" t="s">
        <v>1072</v>
      </c>
      <c r="B3163" s="0" t="s">
        <v>98</v>
      </c>
      <c r="D3163" s="6" t="n">
        <f aca="false">Q!L27</f>
        <v>-4.901</v>
      </c>
      <c r="E3163" s="6" t="n">
        <f aca="false">Q!M27</f>
        <v>10.697</v>
      </c>
      <c r="F3163" s="6" t="n">
        <f aca="false">Q!$I$27+oie_f*(q_per_yr-1)/q_per_yr</f>
        <v>-0.862</v>
      </c>
      <c r="G3163" s="6" t="n">
        <f aca="false">oie_f</f>
        <v>-1.2</v>
      </c>
      <c r="H3163" s="6" t="n">
        <f aca="false">oie_f</f>
        <v>-1.2</v>
      </c>
      <c r="I3163" s="6" t="n">
        <f aca="false">oie_f</f>
        <v>-1.2</v>
      </c>
      <c r="J3163" s="6" t="n">
        <f aca="false">oie_f</f>
        <v>-1.2</v>
      </c>
      <c r="K3163" s="6" t="n">
        <f aca="false">oie_f</f>
        <v>-1.2</v>
      </c>
      <c r="L3163" s="12" t="s">
        <v>1073</v>
      </c>
    </row>
    <row r="3164" customFormat="false" ht="15" hidden="false" customHeight="false" outlineLevel="0" collapsed="false">
      <c r="A3164" s="1" t="s">
        <v>1074</v>
      </c>
      <c r="B3164" s="0" t="s">
        <v>98</v>
      </c>
      <c r="D3164" s="6" t="n">
        <f aca="false">Sens!D3156+Sens!D3163</f>
        <v>123.627</v>
      </c>
      <c r="E3164" s="6" t="n">
        <f aca="false">Sens!E3156+Sens!E3163</f>
        <v>165.934</v>
      </c>
      <c r="F3164" s="6" t="n">
        <f aca="false">Sens!F3156+Sens!F3163</f>
        <v>173.912088320872</v>
      </c>
      <c r="G3164" s="6" t="n">
        <f aca="false">Sens!G3156+Sens!G3163</f>
        <v>197.404226854352</v>
      </c>
      <c r="H3164" s="6" t="n">
        <f aca="false">Sens!H3156+Sens!H3163</f>
        <v>227.301629404618</v>
      </c>
      <c r="I3164" s="6" t="n">
        <f aca="false">Sens!I3156+Sens!I3163</f>
        <v>252.867327010393</v>
      </c>
      <c r="J3164" s="6" t="n">
        <f aca="false">Sens!J3156+Sens!J3163</f>
        <v>275.643634675284</v>
      </c>
      <c r="K3164" s="6" t="n">
        <f aca="false">Sens!K3156+Sens!K3163</f>
        <v>297.022674057586</v>
      </c>
    </row>
    <row r="3165" customFormat="false" ht="15" hidden="false" customHeight="false" outlineLevel="0" collapsed="false">
      <c r="A3165" s="1" t="s">
        <v>1075</v>
      </c>
      <c r="B3165" s="0" t="s">
        <v>98</v>
      </c>
      <c r="D3165" s="6" t="n">
        <f aca="false">Q!L29</f>
        <v>21.795</v>
      </c>
      <c r="E3165" s="6" t="n">
        <f aca="false">Q!M29</f>
        <v>32.185</v>
      </c>
      <c r="F3165" s="6" t="n">
        <f aca="false">Q!$I$29+(Sens!F3164-Q!$I$28)*tax_f</f>
        <v>34.9158176641744</v>
      </c>
      <c r="G3165" s="6" t="n">
        <f aca="false">Sens!G3164*tax_f</f>
        <v>39.4808453708705</v>
      </c>
      <c r="H3165" s="6" t="n">
        <f aca="false">Sens!H3164*tax_f</f>
        <v>45.4603258809237</v>
      </c>
      <c r="I3165" s="6" t="n">
        <f aca="false">Sens!I3164*tax_f</f>
        <v>50.5734654020787</v>
      </c>
      <c r="J3165" s="6" t="n">
        <f aca="false">Sens!J3164*tax_f</f>
        <v>55.1287269350568</v>
      </c>
      <c r="K3165" s="6" t="n">
        <f aca="false">Sens!K3164*tax_f</f>
        <v>59.4045348115172</v>
      </c>
    </row>
    <row r="3166" customFormat="false" ht="15" hidden="false" customHeight="false" outlineLevel="0" collapsed="false">
      <c r="A3166" s="1" t="s">
        <v>1076</v>
      </c>
      <c r="B3166" s="0" t="s">
        <v>98</v>
      </c>
      <c r="D3166" s="6" t="n">
        <f aca="false">Sens!D3164-Sens!D3165</f>
        <v>101.832</v>
      </c>
      <c r="E3166" s="6" t="n">
        <f aca="false">Sens!E3164-Sens!E3165</f>
        <v>133.749</v>
      </c>
      <c r="F3166" s="6" t="n">
        <f aca="false">Sens!F3164-Sens!F3165</f>
        <v>138.996270656697</v>
      </c>
      <c r="G3166" s="6" t="n">
        <f aca="false">Sens!G3164-Sens!G3165</f>
        <v>157.923381483482</v>
      </c>
      <c r="H3166" s="6" t="n">
        <f aca="false">Sens!H3164-Sens!H3165</f>
        <v>181.841303523695</v>
      </c>
      <c r="I3166" s="6" t="n">
        <f aca="false">Sens!I3164-Sens!I3165</f>
        <v>202.293861608315</v>
      </c>
      <c r="J3166" s="6" t="n">
        <f aca="false">Sens!J3164-Sens!J3165</f>
        <v>220.514907740227</v>
      </c>
      <c r="K3166" s="6" t="n">
        <f aca="false">Sens!K3164-Sens!K3165</f>
        <v>237.618139246069</v>
      </c>
    </row>
    <row r="3167" customFormat="false" ht="17.15" hidden="false" customHeight="false" outlineLevel="0" collapsed="false">
      <c r="A3167" s="1" t="s">
        <v>1077</v>
      </c>
      <c r="B3167" s="1" t="s">
        <v>81</v>
      </c>
      <c r="D3167" s="15" t="n">
        <f aca="false">Q!L31</f>
        <v>7.465</v>
      </c>
      <c r="E3167" s="15" t="n">
        <f aca="false">Q!M31</f>
        <v>7.453</v>
      </c>
      <c r="F3167" s="15" t="n">
        <f aca="false">Sens!F3211</f>
        <v>7.4735</v>
      </c>
      <c r="G3167" s="15" t="n">
        <f aca="false">Sens!G3211</f>
        <v>7.49981593415111</v>
      </c>
      <c r="H3167" s="15" t="n">
        <f aca="false">Sens!H3211</f>
        <v>7.50883180733101</v>
      </c>
      <c r="I3167" s="15" t="n">
        <f aca="false">Sens!I3211</f>
        <v>7.52051317138648</v>
      </c>
      <c r="J3167" s="15" t="n">
        <f aca="false">Sens!J3211</f>
        <v>7.53466258254895</v>
      </c>
      <c r="K3167" s="15" t="n">
        <f aca="false">Sens!K3211</f>
        <v>7.55109722251421</v>
      </c>
    </row>
    <row r="3168" customFormat="false" ht="17.15" hidden="false" customHeight="false" outlineLevel="0" collapsed="false">
      <c r="A3168" s="0" t="s">
        <v>1078</v>
      </c>
      <c r="B3168" s="0" t="s">
        <v>75</v>
      </c>
      <c r="D3168" s="8" t="n">
        <f aca="false">Sens!D3166/Sens!D3167</f>
        <v>13.641259209645</v>
      </c>
      <c r="E3168" s="8" t="n">
        <f aca="false">Sens!E3166/Sens!E3167</f>
        <v>17.9456594659869</v>
      </c>
      <c r="F3168" s="8" t="n">
        <f aca="false">Sens!F3166/Sens!F3167</f>
        <v>18.5985509676453</v>
      </c>
      <c r="G3168" s="8" t="n">
        <f aca="false">Sens!G3166/Sens!G3167</f>
        <v>21.0569676469476</v>
      </c>
      <c r="H3168" s="8" t="n">
        <f aca="false">Sens!H3166/Sens!H3167</f>
        <v>24.2169898313823</v>
      </c>
      <c r="I3168" s="8" t="n">
        <f aca="false">Sens!I3166/Sens!I3167</f>
        <v>26.8989438617019</v>
      </c>
      <c r="J3168" s="8" t="n">
        <f aca="false">Sens!J3166/Sens!J3167</f>
        <v>29.2667263230821</v>
      </c>
      <c r="K3168" s="8" t="n">
        <f aca="false">Sens!K3166/Sens!K3167</f>
        <v>31.4680280552594</v>
      </c>
      <c r="L3168" s="1" t="s">
        <v>1079</v>
      </c>
    </row>
    <row r="3169" customFormat="false" ht="17.15" hidden="false" customHeight="false" outlineLevel="0" collapsed="false">
      <c r="A3169" s="1" t="s">
        <v>1080</v>
      </c>
      <c r="B3169" s="0" t="s">
        <v>98</v>
      </c>
      <c r="D3169" s="6" t="n">
        <f aca="false">Sens!D3166</f>
        <v>101.832</v>
      </c>
      <c r="E3169" s="6" t="n">
        <f aca="false">Sens!E3166</f>
        <v>133.749</v>
      </c>
      <c r="F3169" s="6" t="n">
        <f aca="false">Sens!F3166+Sens!F3159*(1-tax_f)</f>
        <v>140.283331480804</v>
      </c>
      <c r="G3169" s="6" t="n">
        <f aca="false">Sens!G3166+Sens!G3159*(1-tax_f)</f>
        <v>157.923381483482</v>
      </c>
      <c r="H3169" s="6" t="n">
        <f aca="false">Sens!H3166+Sens!H3159*(1-tax_f)</f>
        <v>181.841303523695</v>
      </c>
      <c r="I3169" s="6" t="n">
        <f aca="false">Sens!I3166+Sens!I3159*(1-tax_f)</f>
        <v>202.293861608315</v>
      </c>
      <c r="J3169" s="6" t="n">
        <f aca="false">Sens!J3166+Sens!J3159*(1-tax_f)</f>
        <v>220.514907740227</v>
      </c>
      <c r="K3169" s="6" t="n">
        <f aca="false">Sens!K3166+Sens!K3159*(1-tax_f)</f>
        <v>237.618139246069</v>
      </c>
    </row>
    <row r="3170" customFormat="false" ht="17.15" hidden="false" customHeight="false" outlineLevel="0" collapsed="false">
      <c r="A3170" s="0" t="s">
        <v>1081</v>
      </c>
      <c r="B3170" s="0" t="s">
        <v>75</v>
      </c>
      <c r="D3170" s="8" t="n">
        <f aca="false">Sens!D3169/Sens!D3167</f>
        <v>13.641259209645</v>
      </c>
      <c r="E3170" s="8" t="n">
        <f aca="false">Sens!E3169/Sens!E3167</f>
        <v>17.9456594659869</v>
      </c>
      <c r="F3170" s="8" t="n">
        <f aca="false">Sens!F3169/Sens!F3167</f>
        <v>18.7707675762098</v>
      </c>
      <c r="G3170" s="8" t="n">
        <f aca="false">Sens!G3169/Sens!G3167</f>
        <v>21.0569676469476</v>
      </c>
      <c r="H3170" s="8" t="n">
        <f aca="false">Sens!H3169/Sens!H3167</f>
        <v>24.2169898313823</v>
      </c>
      <c r="I3170" s="8" t="n">
        <f aca="false">Sens!I3169/Sens!I3167</f>
        <v>26.8989438617019</v>
      </c>
      <c r="J3170" s="8" t="n">
        <f aca="false">Sens!J3169/Sens!J3167</f>
        <v>29.2667263230821</v>
      </c>
      <c r="K3170" s="8" t="n">
        <f aca="false">Sens!K3169/Sens!K3167</f>
        <v>31.4680280552594</v>
      </c>
      <c r="L3170" s="1" t="s">
        <v>1082</v>
      </c>
    </row>
    <row r="3171" customFormat="false" ht="17.15" hidden="false" customHeight="false" outlineLevel="0" collapsed="false">
      <c r="A3171" s="0" t="s">
        <v>1083</v>
      </c>
      <c r="B3171" s="0" t="s">
        <v>168</v>
      </c>
      <c r="E3171" s="7" t="n">
        <f aca="false">Sens!E3170/Sens!D3170-1</f>
        <v>0.315542736208578</v>
      </c>
      <c r="F3171" s="7" t="n">
        <f aca="false">Sens!F3170/Sens!E3170-1</f>
        <v>0.0459781437281155</v>
      </c>
      <c r="G3171" s="7" t="n">
        <f aca="false">Sens!G3170/Sens!F3170-1</f>
        <v>0.121795768950618</v>
      </c>
      <c r="H3171" s="7" t="n">
        <f aca="false">Sens!H3170/Sens!G3170-1</f>
        <v>0.150070144828889</v>
      </c>
      <c r="I3171" s="7" t="n">
        <f aca="false">Sens!I3170/Sens!H3170-1</f>
        <v>0.110746795906243</v>
      </c>
      <c r="J3171" s="7" t="n">
        <f aca="false">Sens!J3170/Sens!I3170-1</f>
        <v>0.0880251088501427</v>
      </c>
      <c r="K3171" s="7" t="n">
        <f aca="false">Sens!K3170/Sens!J3170-1</f>
        <v>0.0752151678283615</v>
      </c>
    </row>
    <row r="3172" customFormat="false" ht="17.15" hidden="false" customHeight="false" outlineLevel="0" collapsed="false">
      <c r="A3172" s="0" t="s">
        <v>1003</v>
      </c>
      <c r="B3172" s="0" t="s">
        <v>98</v>
      </c>
      <c r="E3172" s="6" t="n">
        <f aca="false">Sens!E3113</f>
        <v>5.25</v>
      </c>
      <c r="F3172" s="6" t="n">
        <f aca="false">Sens!F3113</f>
        <v>13.5</v>
      </c>
      <c r="G3172" s="6" t="n">
        <f aca="false">Sens!G3113</f>
        <v>22.5</v>
      </c>
      <c r="H3172" s="6" t="n">
        <f aca="false">Sens!H3113</f>
        <v>31.5</v>
      </c>
      <c r="I3172" s="6" t="n">
        <f aca="false">Sens!I3113</f>
        <v>38.25</v>
      </c>
      <c r="J3172" s="6" t="n">
        <f aca="false">Sens!J3113</f>
        <v>42.75</v>
      </c>
      <c r="K3172" s="6" t="n">
        <f aca="false">Sens!K3113</f>
        <v>47.25</v>
      </c>
    </row>
    <row r="3173" customFormat="false" ht="17.15" hidden="false" customHeight="false" outlineLevel="0" collapsed="false">
      <c r="A3173" s="1" t="s">
        <v>1004</v>
      </c>
      <c r="B3173" s="0" t="s">
        <v>98</v>
      </c>
      <c r="F3173" s="6" t="n">
        <f aca="false">MAX(0,((Sens!E3073+Sens!F3073)/2-(shadow_base*(Sens!$D$3073+Sens!$E$3073)/2+(1-shadow_base)*Sens!$E$3073))*Sens!F3082/1000-(Sens!F3172-Sens!$E$3172)*Sens!F3152)</f>
        <v>1.60882603013322</v>
      </c>
      <c r="G3173" s="6" t="n">
        <f aca="false">MAX(0,((Sens!F3073+Sens!G3073)/2-(shadow_base*(Sens!$D$3073+Sens!$E$3073)/2+(1-shadow_base)*Sens!$E$3073))*Sens!G3082/1000-(Sens!G3172-Sens!$E$3172)*Sens!G3152)</f>
        <v>0</v>
      </c>
      <c r="H3173" s="6" t="n">
        <f aca="false">MAX(0,((Sens!G3073+Sens!H3073)/2-(shadow_base*(Sens!$D$3073+Sens!$E$3073)/2+(1-shadow_base)*Sens!$E$3073))*Sens!H3082/1000-(Sens!H3172-Sens!$E$3172)*Sens!H3152)</f>
        <v>0</v>
      </c>
      <c r="I3173" s="6" t="n">
        <f aca="false">MAX(0,((Sens!H3073+Sens!I3073)/2-(shadow_base*(Sens!$D$3073+Sens!$E$3073)/2+(1-shadow_base)*Sens!$E$3073))*Sens!I3082/1000-(Sens!I3172-Sens!$E$3172)*Sens!I3152)</f>
        <v>0</v>
      </c>
      <c r="J3173" s="6" t="n">
        <f aca="false">MAX(0,((Sens!I3073+Sens!J3073)/2-(shadow_base*(Sens!$D$3073+Sens!$E$3073)/2+(1-shadow_base)*Sens!$E$3073))*Sens!J3082/1000-(Sens!J3172-Sens!$E$3172)*Sens!J3152)</f>
        <v>0</v>
      </c>
      <c r="K3173" s="6" t="n">
        <f aca="false">MAX(0,((Sens!J3073+Sens!K3073)/2-(shadow_base*(Sens!$D$3073+Sens!$E$3073)/2+(1-shadow_base)*Sens!$E$3073))*Sens!K3082/1000-(Sens!K3172-Sens!$E$3172)*Sens!K3152)</f>
        <v>0</v>
      </c>
      <c r="L3173" s="1" t="s">
        <v>1005</v>
      </c>
    </row>
    <row r="3174" customFormat="false" ht="17.15" hidden="false" customHeight="false" outlineLevel="0" collapsed="false">
      <c r="A3174" s="1" t="s">
        <v>1006</v>
      </c>
      <c r="B3174" s="0" t="s">
        <v>98</v>
      </c>
      <c r="F3174" s="6" t="n">
        <f aca="false">IF(internal_ai_reading=2,1,0)*Sens!F3173</f>
        <v>1.60882603013322</v>
      </c>
      <c r="G3174" s="6" t="n">
        <f aca="false">IF(internal_ai_reading=2,1,0)*Sens!G3173</f>
        <v>0</v>
      </c>
      <c r="H3174" s="6" t="n">
        <f aca="false">IF(internal_ai_reading=2,1,0)*Sens!H3173</f>
        <v>0</v>
      </c>
      <c r="I3174" s="6" t="n">
        <f aca="false">IF(internal_ai_reading=2,1,0)*Sens!I3173</f>
        <v>0</v>
      </c>
      <c r="J3174" s="6" t="n">
        <f aca="false">IF(internal_ai_reading=2,1,0)*Sens!J3173</f>
        <v>0</v>
      </c>
      <c r="K3174" s="6" t="n">
        <f aca="false">IF(internal_ai_reading=2,1,0)*Sens!K3173</f>
        <v>0</v>
      </c>
    </row>
    <row r="3175" customFormat="false" ht="17.15" hidden="false" customHeight="false" outlineLevel="0" collapsed="false">
      <c r="A3175" s="0" t="s">
        <v>1007</v>
      </c>
      <c r="B3175" s="0" t="s">
        <v>98</v>
      </c>
      <c r="F3175" s="6" t="n">
        <f aca="false">Sens!F3092+Sens!F3172*Sens!F3152+Sens!F3174-Sens!F3093-Sens!F3104</f>
        <v>11.0782281122744</v>
      </c>
      <c r="G3175" s="6" t="n">
        <f aca="false">Sens!G3092+Sens!G3172*Sens!G3152+Sens!G3174-Sens!G3093-Sens!G3104</f>
        <v>18.1720275445321</v>
      </c>
      <c r="H3175" s="6" t="n">
        <f aca="false">Sens!H3092+Sens!H3172*Sens!H3152+Sens!H3174-Sens!H3093-Sens!H3104</f>
        <v>26.5031101800036</v>
      </c>
      <c r="I3175" s="6" t="n">
        <f aca="false">Sens!I3092+Sens!I3172*Sens!I3152+Sens!I3174-Sens!I3093-Sens!I3104</f>
        <v>31.0098435072091</v>
      </c>
      <c r="J3175" s="6" t="n">
        <f aca="false">Sens!J3092+Sens!J3172*Sens!J3152+Sens!J3174-Sens!J3093-Sens!J3104</f>
        <v>34.012689316001</v>
      </c>
      <c r="K3175" s="6" t="n">
        <f aca="false">Sens!K3092+Sens!K3172*Sens!K3152+Sens!K3174-Sens!K3093-Sens!K3104</f>
        <v>37.7062554898954</v>
      </c>
    </row>
    <row r="3176" customFormat="false" ht="17.15" hidden="false" customHeight="false" outlineLevel="0" collapsed="false">
      <c r="A3176" s="0" t="s">
        <v>1008</v>
      </c>
      <c r="B3176" s="0" t="s">
        <v>98</v>
      </c>
      <c r="E3176" s="6" t="n">
        <f aca="false">Sens!E3072*(cxit_open+self_build*tk_cxfac)/1000*ai_net_open</f>
        <v>126.6980382</v>
      </c>
      <c r="F3176" s="6" t="n">
        <f aca="false">Sens!E3176+Sens!F3101-Sens!F3104</f>
        <v>131.822683147</v>
      </c>
      <c r="G3176" s="6" t="n">
        <f aca="false">Sens!F3176+Sens!G3101-Sens!G3104</f>
        <v>136.850809452</v>
      </c>
      <c r="H3176" s="6" t="n">
        <f aca="false">Sens!G3176+Sens!H3101-Sens!H3104</f>
        <v>105.173224535</v>
      </c>
      <c r="I3176" s="6" t="n">
        <f aca="false">Sens!H3176+Sens!I3101-Sens!I3104</f>
        <v>102.104104363972</v>
      </c>
      <c r="J3176" s="6" t="n">
        <f aca="false">Sens!I3176+Sens!J3101-Sens!J3104</f>
        <v>112.526579647528</v>
      </c>
      <c r="K3176" s="6" t="n">
        <f aca="false">Sens!J3176+Sens!K3101-Sens!K3104</f>
        <v>163.901717877611</v>
      </c>
      <c r="L3176" s="1" t="s">
        <v>1009</v>
      </c>
    </row>
    <row r="3177" customFormat="false" ht="17.15" hidden="false" customHeight="false" outlineLevel="0" collapsed="false">
      <c r="A3177" s="0" t="s">
        <v>1010</v>
      </c>
      <c r="B3177" s="0" t="s">
        <v>168</v>
      </c>
      <c r="F3177" s="7" t="n">
        <f aca="false">Sens!F3175*(1-tax_f)/((Sens!E3176+Sens!F3176)/2)</f>
        <v>0.0685638075249193</v>
      </c>
      <c r="G3177" s="7" t="n">
        <f aca="false">Sens!G3175*(1-tax_f)/((Sens!F3176+Sens!G3176)/2)</f>
        <v>0.108217761975673</v>
      </c>
      <c r="H3177" s="7" t="n">
        <f aca="false">Sens!H3175*(1-tax_f)/((Sens!G3176+Sens!H3176)/2)</f>
        <v>0.175209773961059</v>
      </c>
      <c r="I3177" s="7" t="n">
        <f aca="false">Sens!I3175*(1-tax_f)/((Sens!H3176+Sens!I3176)/2)</f>
        <v>0.239368916393734</v>
      </c>
      <c r="J3177" s="7" t="n">
        <f aca="false">Sens!J3175*(1-tax_f)/((Sens!I3176+Sens!J3176)/2)</f>
        <v>0.25355322868321</v>
      </c>
      <c r="K3177" s="7" t="n">
        <f aca="false">Sens!K3175*(1-tax_f)/((Sens!J3176+Sens!K3176)/2)</f>
        <v>0.218248310046283</v>
      </c>
    </row>
    <row r="3178" customFormat="false" ht="17.15" hidden="false" customHeight="false" outlineLevel="0" collapsed="false">
      <c r="A3178" s="1" t="s">
        <v>1011</v>
      </c>
      <c r="B3178" s="0" t="s">
        <v>168</v>
      </c>
      <c r="F3178" s="7" t="n">
        <f aca="false">(Sens!F3175-Sens!F3174)*(1-tax_f)/((Sens!E3176+Sens!F3176)/2)</f>
        <v>0.0586066882858853</v>
      </c>
      <c r="G3178" s="7" t="n">
        <f aca="false">(Sens!G3175-Sens!G3174)*(1-tax_f)/((Sens!F3176+Sens!G3176)/2)</f>
        <v>0.108217761975673</v>
      </c>
      <c r="H3178" s="7" t="n">
        <f aca="false">(Sens!H3175-Sens!H3174)*(1-tax_f)/((Sens!G3176+Sens!H3176)/2)</f>
        <v>0.175209773961059</v>
      </c>
      <c r="I3178" s="7" t="n">
        <f aca="false">(Sens!I3175-Sens!I3174)*(1-tax_f)/((Sens!H3176+Sens!I3176)/2)</f>
        <v>0.239368916393734</v>
      </c>
      <c r="J3178" s="7" t="n">
        <f aca="false">(Sens!J3175-Sens!J3174)*(1-tax_f)/((Sens!I3176+Sens!J3176)/2)</f>
        <v>0.25355322868321</v>
      </c>
      <c r="K3178" s="7" t="n">
        <f aca="false">(Sens!K3175-Sens!K3174)*(1-tax_f)/((Sens!J3176+Sens!K3176)/2)</f>
        <v>0.218248310046283</v>
      </c>
    </row>
    <row r="3179" customFormat="false" ht="17.15" hidden="false" customHeight="false" outlineLevel="0" collapsed="false">
      <c r="A3179" s="1" t="s">
        <v>1012</v>
      </c>
      <c r="B3179" s="0" t="s">
        <v>168</v>
      </c>
      <c r="F3179" s="7" t="n">
        <f aca="false">(Sens!F3175-Sens!F3174+Sens!F3173)*(1-tax_f)/((Sens!E3176+Sens!F3176)/2)</f>
        <v>0.0685638075249193</v>
      </c>
      <c r="G3179" s="7" t="n">
        <f aca="false">(Sens!G3175-Sens!G3174+Sens!G3173)*(1-tax_f)/((Sens!F3176+Sens!G3176)/2)</f>
        <v>0.108217761975673</v>
      </c>
      <c r="H3179" s="7" t="n">
        <f aca="false">(Sens!H3175-Sens!H3174+Sens!H3173)*(1-tax_f)/((Sens!G3176+Sens!H3176)/2)</f>
        <v>0.175209773961059</v>
      </c>
      <c r="I3179" s="7" t="n">
        <f aca="false">(Sens!I3175-Sens!I3174+Sens!I3173)*(1-tax_f)/((Sens!H3176+Sens!I3176)/2)</f>
        <v>0.239368916393734</v>
      </c>
      <c r="J3179" s="7" t="n">
        <f aca="false">(Sens!J3175-Sens!J3174+Sens!J3173)*(1-tax_f)/((Sens!I3176+Sens!J3176)/2)</f>
        <v>0.25355322868321</v>
      </c>
      <c r="K3179" s="7" t="n">
        <f aca="false">(Sens!K3175-Sens!K3174+Sens!K3173)*(1-tax_f)/((Sens!J3176+Sens!K3176)/2)</f>
        <v>0.218248310046283</v>
      </c>
    </row>
    <row r="3180" customFormat="false" ht="17.15" hidden="false" customHeight="false" outlineLevel="0" collapsed="false">
      <c r="A3180" s="1" t="s">
        <v>1013</v>
      </c>
      <c r="B3180" s="0" t="s">
        <v>168</v>
      </c>
      <c r="F3180" s="7" t="n">
        <f aca="false">Sens!F3105*(1-tax_f)/(Sens!F3091*(Sens!E3176+Sens!F3176)/2)</f>
        <v>0.169796721744959</v>
      </c>
      <c r="G3180" s="7" t="n">
        <f aca="false">Sens!G3105*(1-tax_f)/(Sens!G3091*(Sens!F3176+Sens!G3176)/2)</f>
        <v>0.225271004307476</v>
      </c>
      <c r="H3180" s="7" t="n">
        <f aca="false">Sens!H3105*(1-tax_f)/(Sens!H3091*(Sens!G3176+Sens!H3176)/2)</f>
        <v>0.300737080001</v>
      </c>
      <c r="I3180" s="7" t="n">
        <f aca="false">Sens!I3105*(1-tax_f)/(Sens!I3091*(Sens!H3176+Sens!I3176)/2)</f>
        <v>0.36311139213454</v>
      </c>
      <c r="J3180" s="7" t="n">
        <f aca="false">Sens!J3105*(1-tax_f)/(Sens!J3091*(Sens!I3176+Sens!J3176)/2)</f>
        <v>0.363998030379327</v>
      </c>
      <c r="K3180" s="7" t="n">
        <f aca="false">Sens!K3105*(1-tax_f)/(Sens!K3091*(Sens!J3176+Sens!K3176)/2)</f>
        <v>0.304701554408107</v>
      </c>
    </row>
    <row r="3181" customFormat="false" ht="17.15" hidden="false" customHeight="false" outlineLevel="0" collapsed="false">
      <c r="A3181" s="0" t="s">
        <v>1014</v>
      </c>
      <c r="B3181" s="0" t="s">
        <v>253</v>
      </c>
      <c r="F3181" s="7" t="n">
        <f aca="false">Sens!F3177-wacc</f>
        <v>-0.034372783420678</v>
      </c>
      <c r="G3181" s="7" t="n">
        <f aca="false">Sens!G3177-wacc</f>
        <v>0.00528117103007597</v>
      </c>
      <c r="H3181" s="7" t="n">
        <f aca="false">Sens!H3177-wacc</f>
        <v>0.0722731830154612</v>
      </c>
      <c r="I3181" s="7" t="n">
        <f aca="false">Sens!I3177-wacc</f>
        <v>0.136432325448137</v>
      </c>
      <c r="J3181" s="7" t="n">
        <f aca="false">Sens!J3177-wacc</f>
        <v>0.150616637737612</v>
      </c>
      <c r="K3181" s="7" t="n">
        <f aca="false">Sens!K3177-wacc</f>
        <v>0.115311719100686</v>
      </c>
    </row>
    <row r="3182" customFormat="false" ht="17.15" hidden="false" customHeight="false" outlineLevel="0" collapsed="false">
      <c r="A3182" s="0" t="s">
        <v>1015</v>
      </c>
      <c r="B3182" s="0" t="s">
        <v>98</v>
      </c>
      <c r="F3182" s="6" t="n">
        <f aca="false">Sens!F3175*(1-tax_f)-wacc*(Sens!E3176+Sens!F3176)/2</f>
        <v>-4.44303838230894</v>
      </c>
      <c r="G3182" s="6" t="n">
        <f aca="false">Sens!G3175*(1-tax_f)-wacc*(Sens!F3176+Sens!G3176)/2</f>
        <v>0.709455332831585</v>
      </c>
      <c r="H3182" s="6" t="n">
        <f aca="false">Sens!H3175*(1-tax_f)-wacc*(Sens!G3176+Sens!H3176)/2</f>
        <v>8.74592365124133</v>
      </c>
      <c r="I3182" s="6" t="n">
        <f aca="false">Sens!I3175*(1-tax_f)-wacc*(Sens!H3176+Sens!I3176)/2</f>
        <v>14.1396639971825</v>
      </c>
      <c r="J3182" s="6" t="n">
        <f aca="false">Sens!J3175*(1-tax_f)-wacc*(Sens!I3176+Sens!J3176)/2</f>
        <v>16.163475990568</v>
      </c>
      <c r="K3182" s="6" t="n">
        <f aca="false">Sens!K3175*(1-tax_f)-wacc*(Sens!J3176+Sens!K3176)/2</f>
        <v>15.9377110978498</v>
      </c>
    </row>
    <row r="3183" customFormat="false" ht="17.15" hidden="false" customHeight="false" outlineLevel="0" collapsed="false">
      <c r="A3183" s="3" t="s">
        <v>1558</v>
      </c>
    </row>
    <row r="3184" customFormat="false" ht="15" hidden="false" customHeight="false" outlineLevel="0" collapsed="false">
      <c r="A3184" s="4" t="s">
        <v>43</v>
      </c>
      <c r="B3184" s="4" t="s">
        <v>65</v>
      </c>
      <c r="C3184" s="23" t="s">
        <v>938</v>
      </c>
      <c r="D3184" s="23" t="s">
        <v>939</v>
      </c>
      <c r="E3184" s="23" t="s">
        <v>940</v>
      </c>
      <c r="F3184" s="23" t="s">
        <v>941</v>
      </c>
      <c r="G3184" s="23" t="s">
        <v>942</v>
      </c>
      <c r="H3184" s="23" t="s">
        <v>943</v>
      </c>
      <c r="I3184" s="23" t="s">
        <v>944</v>
      </c>
      <c r="J3184" s="23" t="s">
        <v>945</v>
      </c>
      <c r="K3184" s="23" t="s">
        <v>946</v>
      </c>
      <c r="L3184" s="4" t="s">
        <v>47</v>
      </c>
    </row>
    <row r="3185" customFormat="false" ht="15" hidden="false" customHeight="false" outlineLevel="0" collapsed="false">
      <c r="A3185" s="1" t="s">
        <v>1076</v>
      </c>
      <c r="B3185" s="0" t="s">
        <v>98</v>
      </c>
      <c r="F3185" s="6" t="n">
        <f aca="false">Sens!F3166</f>
        <v>138.996270656697</v>
      </c>
      <c r="G3185" s="6" t="n">
        <f aca="false">Sens!G3166</f>
        <v>157.923381483482</v>
      </c>
      <c r="H3185" s="6" t="n">
        <f aca="false">Sens!H3166</f>
        <v>181.841303523695</v>
      </c>
      <c r="I3185" s="6" t="n">
        <f aca="false">Sens!I3166</f>
        <v>202.293861608315</v>
      </c>
      <c r="J3185" s="6" t="n">
        <f aca="false">Sens!J3166</f>
        <v>220.514907740227</v>
      </c>
      <c r="K3185" s="6" t="n">
        <f aca="false">Sens!K3166</f>
        <v>237.618139246069</v>
      </c>
    </row>
    <row r="3186" customFormat="false" ht="17.15" hidden="false" customHeight="false" outlineLevel="0" collapsed="false">
      <c r="A3186" s="1" t="s">
        <v>1098</v>
      </c>
      <c r="B3186" s="0" t="s">
        <v>98</v>
      </c>
      <c r="E3186" s="6" t="n">
        <f aca="false">Q!M38-Sens!E3104</f>
        <v>22.2285940229167</v>
      </c>
      <c r="F3186" s="6" t="n">
        <f aca="false">Sens!E3186*(1-1/life_nonai)+(Sens!F3194+Sens!F3195)/life_nonai</f>
        <v>37.458367358225</v>
      </c>
      <c r="G3186" s="6" t="n">
        <f aca="false">Sens!F3186*(1-1/life_nonai)+(Sens!G3194)/life_nonai</f>
        <v>37.9475258739052</v>
      </c>
      <c r="H3186" s="6" t="n">
        <f aca="false">Sens!G3186*(1-1/life_nonai)+(Sens!H3194)/life_nonai</f>
        <v>38.9967052741839</v>
      </c>
      <c r="I3186" s="6" t="n">
        <f aca="false">Sens!H3186*(1-1/life_nonai)+(Sens!I3194)/life_nonai</f>
        <v>40.5147656763488</v>
      </c>
      <c r="J3186" s="6" t="n">
        <f aca="false">Sens!I3186*(1-1/life_nonai)+(Sens!J3194)/life_nonai</f>
        <v>42.3956285090621</v>
      </c>
      <c r="K3186" s="6" t="n">
        <f aca="false">Sens!J3186*(1-1/life_nonai)+(Sens!K3194)/life_nonai</f>
        <v>44.541474079613</v>
      </c>
      <c r="L3186" s="12" t="s">
        <v>1099</v>
      </c>
    </row>
    <row r="3187" customFormat="false" ht="17.15" hidden="false" customHeight="false" outlineLevel="0" collapsed="false">
      <c r="A3187" s="1" t="s">
        <v>1100</v>
      </c>
      <c r="B3187" s="0" t="s">
        <v>98</v>
      </c>
      <c r="F3187" s="6" t="n">
        <f aca="false">Sens!$F$3195/life_nonai*(1-1/life_nonai)^(Sens!F3067-2027)</f>
        <v>13.8178366300118</v>
      </c>
      <c r="G3187" s="6" t="n">
        <f aca="false">Sens!$F$3195/life_nonai*(1-1/life_nonai)^(Sens!G3067-2027)</f>
        <v>12.4360529670107</v>
      </c>
      <c r="H3187" s="6" t="n">
        <f aca="false">Sens!$F$3195/life_nonai*(1-1/life_nonai)^(Sens!H3067-2027)</f>
        <v>11.1924476703096</v>
      </c>
      <c r="I3187" s="6" t="n">
        <f aca="false">Sens!$F$3195/life_nonai*(1-1/life_nonai)^(Sens!I3067-2027)</f>
        <v>10.0732029032786</v>
      </c>
      <c r="J3187" s="6" t="n">
        <f aca="false">Sens!$F$3195/life_nonai*(1-1/life_nonai)^(Sens!J3067-2027)</f>
        <v>9.06588261295078</v>
      </c>
      <c r="K3187" s="6" t="n">
        <f aca="false">Sens!$F$3195/life_nonai*(1-1/life_nonai)^(Sens!K3067-2027)</f>
        <v>8.1592943516557</v>
      </c>
      <c r="L3187" s="1" t="s">
        <v>1101</v>
      </c>
    </row>
    <row r="3188" customFormat="false" ht="17.15" hidden="false" customHeight="false" outlineLevel="0" collapsed="false">
      <c r="A3188" s="1" t="s">
        <v>1102</v>
      </c>
      <c r="B3188" s="0" t="s">
        <v>98</v>
      </c>
      <c r="E3188" s="6" t="n">
        <f aca="false">Sens!E3104+Sens!E3186</f>
        <v>38.534</v>
      </c>
      <c r="F3188" s="6" t="n">
        <f aca="false">Sens!F3104+Sens!F3186</f>
        <v>62.007395035225</v>
      </c>
      <c r="G3188" s="6" t="n">
        <f aca="false">Sens!G3104+Sens!G3186</f>
        <v>67.1331586969052</v>
      </c>
      <c r="H3188" s="6" t="n">
        <f aca="false">Sens!H3104+Sens!H3186</f>
        <v>70.6742901911839</v>
      </c>
      <c r="I3188" s="6" t="n">
        <f aca="false">Sens!I3104+Sens!I3186</f>
        <v>72.7446306073766</v>
      </c>
      <c r="J3188" s="6" t="n">
        <f aca="false">Sens!J3104+Sens!J3186</f>
        <v>76.0118289855066</v>
      </c>
      <c r="K3188" s="6" t="n">
        <f aca="false">Sens!K3104+Sens!K3186</f>
        <v>80.6485701295297</v>
      </c>
    </row>
    <row r="3189" customFormat="false" ht="17.15" hidden="false" customHeight="false" outlineLevel="0" collapsed="false">
      <c r="A3189" s="1" t="s">
        <v>1103</v>
      </c>
      <c r="B3189" s="0" t="s">
        <v>98</v>
      </c>
      <c r="F3189" s="6" t="n">
        <f aca="false">Sens!F3131*sbc_r</f>
        <v>14.6366451852345</v>
      </c>
      <c r="G3189" s="6" t="n">
        <f aca="false">Sens!G3131*sbc_r</f>
        <v>16.7348601033336</v>
      </c>
      <c r="H3189" s="6" t="n">
        <f aca="false">Sens!H3131*sbc_r</f>
        <v>18.6964611976595</v>
      </c>
      <c r="I3189" s="6" t="n">
        <f aca="false">Sens!I3131*sbc_r</f>
        <v>20.3555191350251</v>
      </c>
      <c r="J3189" s="6" t="n">
        <f aca="false">Sens!J3131*sbc_r</f>
        <v>21.8852492810373</v>
      </c>
      <c r="K3189" s="6" t="n">
        <f aca="false">Sens!K3131*sbc_r</f>
        <v>23.3648666065924</v>
      </c>
    </row>
    <row r="3190" customFormat="false" ht="17.15" hidden="false" customHeight="false" outlineLevel="0" collapsed="false">
      <c r="A3190" s="1" t="s">
        <v>1104</v>
      </c>
      <c r="B3190" s="0" t="s">
        <v>98</v>
      </c>
      <c r="F3190" s="6" t="n">
        <f aca="false">wc27-wc26q1</f>
        <v>-4.677</v>
      </c>
      <c r="G3190" s="6" t="n">
        <f aca="false">wc_f</f>
        <v>0</v>
      </c>
      <c r="H3190" s="6" t="n">
        <f aca="false">wc_f</f>
        <v>0</v>
      </c>
      <c r="I3190" s="6" t="n">
        <f aca="false">wc_f</f>
        <v>0</v>
      </c>
      <c r="J3190" s="6" t="n">
        <f aca="false">wc_f</f>
        <v>0</v>
      </c>
      <c r="K3190" s="6" t="n">
        <f aca="false">wc_f</f>
        <v>0</v>
      </c>
      <c r="L3190" s="12" t="s">
        <v>1105</v>
      </c>
    </row>
    <row r="3191" customFormat="false" ht="17.15" hidden="false" customHeight="false" outlineLevel="0" collapsed="false">
      <c r="A3191" s="0" t="s">
        <v>1106</v>
      </c>
      <c r="B3191" s="0" t="s">
        <v>98</v>
      </c>
      <c r="F3191" s="6" t="n">
        <f aca="false">Q!$I$35-Q!$I$26-Q!$I$38-Q!$I$39</f>
        <v>6.493</v>
      </c>
      <c r="L3191" s="1" t="s">
        <v>1107</v>
      </c>
    </row>
    <row r="3192" customFormat="false" ht="15" hidden="false" customHeight="false" outlineLevel="0" collapsed="false">
      <c r="A3192" s="1" t="s">
        <v>904</v>
      </c>
      <c r="B3192" s="0" t="s">
        <v>98</v>
      </c>
      <c r="E3192" s="6" t="n">
        <f aca="false">Q!M35</f>
        <v>182.935</v>
      </c>
      <c r="F3192" s="6" t="n">
        <f aca="false">Sens!F3185+Sens!F3188+Sens!F3189+Sens!F3190+Sens!F3191</f>
        <v>217.456310877157</v>
      </c>
      <c r="G3192" s="6" t="n">
        <f aca="false">Sens!G3185+Sens!G3188+Sens!G3189+Sens!G3190</f>
        <v>241.791400283721</v>
      </c>
      <c r="H3192" s="6" t="n">
        <f aca="false">Sens!H3185+Sens!H3188+Sens!H3189+Sens!H3190</f>
        <v>271.212054912538</v>
      </c>
      <c r="I3192" s="6" t="n">
        <f aca="false">Sens!I3185+Sens!I3188+Sens!I3189+Sens!I3190</f>
        <v>295.394011350716</v>
      </c>
      <c r="J3192" s="6" t="n">
        <f aca="false">Sens!J3185+Sens!J3188+Sens!J3189+Sens!J3190</f>
        <v>318.411986006771</v>
      </c>
      <c r="K3192" s="6" t="n">
        <f aca="false">Sens!K3185+Sens!K3188+Sens!K3189+Sens!K3190</f>
        <v>341.631575982191</v>
      </c>
    </row>
    <row r="3193" customFormat="false" ht="17.15" hidden="false" customHeight="false" outlineLevel="0" collapsed="false">
      <c r="A3193" s="0" t="s">
        <v>1108</v>
      </c>
      <c r="B3193" s="0" t="s">
        <v>98</v>
      </c>
      <c r="F3193" s="6" t="n">
        <f aca="false">Sens!F3101</f>
        <v>29.673672624</v>
      </c>
      <c r="G3193" s="6" t="n">
        <f aca="false">Sens!G3101</f>
        <v>34.213759128</v>
      </c>
      <c r="H3193" s="6" t="n">
        <f aca="false">Sens!H3101</f>
        <v>0</v>
      </c>
      <c r="I3193" s="6" t="n">
        <f aca="false">Sens!I3101</f>
        <v>29.16074476</v>
      </c>
      <c r="J3193" s="6" t="n">
        <f aca="false">Sens!J3101</f>
        <v>44.03867576</v>
      </c>
      <c r="K3193" s="6" t="n">
        <f aca="false">Sens!K3101</f>
        <v>87.48223428</v>
      </c>
    </row>
    <row r="3194" customFormat="false" ht="17.15" hidden="false" customHeight="false" outlineLevel="0" collapsed="false">
      <c r="A3194" s="1" t="s">
        <v>1109</v>
      </c>
      <c r="B3194" s="0" t="s">
        <v>98</v>
      </c>
      <c r="E3194" s="6" t="n">
        <f aca="false">Sens!E3109*cx_azo+Sens!E3116*cx_m365+Sens!E3117*cx_lic+(Sens!E3119+Sens!E3121)*cx_ind+Sens!E3124*cx_srch+(Sens!E3126+Sens!E3128)*cx_dev</f>
        <v>30.1846587067718</v>
      </c>
      <c r="F3194" s="6" t="n">
        <f aca="false">Sens!F3109*cx_azo+Sens!F3116*cx_m365+Sens!F3117*cx_lic+(Sens!F3119+Sens!F3121)*cx_ind+Sens!F3124*cx_srch+(Sens!F3126+Sens!F3128)*cx_dev</f>
        <v>36.3479610758815</v>
      </c>
      <c r="G3194" s="6" t="n">
        <f aca="false">Sens!G3109*cx_azo+Sens!G3116*cx_m365+Sens!G3117*cx_lic+(Sens!G3119+Sens!G3121)*cx_ind+Sens!G3124*cx_srch+(Sens!G3126+Sens!G3128)*cx_dev</f>
        <v>42.3499525150266</v>
      </c>
      <c r="H3194" s="6" t="n">
        <f aca="false">Sens!H3109*cx_azo+Sens!H3116*cx_m365+Sens!H3117*cx_lic+(Sens!H3119+Sens!H3121)*cx_ind+Sens!H3124*cx_srch+(Sens!H3126+Sens!H3128)*cx_dev</f>
        <v>48.4393198766925</v>
      </c>
      <c r="I3194" s="6" t="n">
        <f aca="false">Sens!I3109*cx_azo+Sens!I3116*cx_m365+Sens!I3117*cx_lic+(Sens!I3119+Sens!I3121)*cx_ind+Sens!I3124*cx_srch+(Sens!I3126+Sens!I3128)*cx_dev</f>
        <v>54.1773092958326</v>
      </c>
      <c r="J3194" s="6" t="n">
        <f aca="false">Sens!J3109*cx_azo+Sens!J3116*cx_m365+Sens!J3117*cx_lic+(Sens!J3119+Sens!J3121)*cx_ind+Sens!J3124*cx_srch+(Sens!J3126+Sens!J3128)*cx_dev</f>
        <v>59.3233940034824</v>
      </c>
      <c r="K3194" s="6" t="n">
        <f aca="false">Sens!K3109*cx_azo+Sens!K3116*cx_m365+Sens!K3117*cx_lic+(Sens!K3119+Sens!K3121)*cx_ind+Sens!K3124*cx_srch+(Sens!K3126+Sens!K3128)*cx_dev</f>
        <v>63.8540842145706</v>
      </c>
    </row>
    <row r="3195" customFormat="false" ht="17.15" hidden="false" customHeight="false" outlineLevel="0" collapsed="false">
      <c r="A3195" s="0" t="s">
        <v>1110</v>
      </c>
      <c r="B3195" s="0" t="s">
        <v>98</v>
      </c>
      <c r="F3195" s="6" t="n">
        <f aca="false">Sens!F3099</f>
        <v>138.178366300118</v>
      </c>
      <c r="L3195" s="1" t="s">
        <v>1111</v>
      </c>
    </row>
    <row r="3196" customFormat="false" ht="17.15" hidden="false" customHeight="false" outlineLevel="0" collapsed="false">
      <c r="A3196" s="1" t="s">
        <v>1112</v>
      </c>
      <c r="B3196" s="0" t="s">
        <v>98</v>
      </c>
      <c r="E3196" s="6" t="n">
        <f aca="false">Q!M43</f>
        <v>145.3</v>
      </c>
      <c r="F3196" s="6" t="n">
        <f aca="false">Sens!F3193+Sens!F3194+Sens!F3195</f>
        <v>204.2</v>
      </c>
      <c r="G3196" s="6" t="n">
        <f aca="false">Sens!G3193+Sens!G3194</f>
        <v>76.5637116430266</v>
      </c>
      <c r="H3196" s="6" t="n">
        <f aca="false">Sens!H3193+Sens!H3194</f>
        <v>48.4393198766925</v>
      </c>
      <c r="I3196" s="6" t="n">
        <f aca="false">Sens!I3193+Sens!I3194</f>
        <v>83.3380540558326</v>
      </c>
      <c r="J3196" s="6" t="n">
        <f aca="false">Sens!J3193+Sens!J3194</f>
        <v>103.362069763482</v>
      </c>
      <c r="K3196" s="6" t="n">
        <f aca="false">Sens!K3193+Sens!K3194</f>
        <v>151.336318494571</v>
      </c>
      <c r="L3196" s="1" t="s">
        <v>1113</v>
      </c>
    </row>
    <row r="3197" customFormat="false" ht="15" hidden="false" customHeight="false" outlineLevel="0" collapsed="false">
      <c r="A3197" s="1" t="s">
        <v>1114</v>
      </c>
      <c r="B3197" s="0" t="s">
        <v>98</v>
      </c>
      <c r="E3197" s="6" t="n">
        <f aca="false">fl_liab</f>
        <v>66.594</v>
      </c>
      <c r="F3197" s="6" t="n">
        <f aca="false">Sens!E3197-Sens!F3198</f>
        <v>62.46973</v>
      </c>
      <c r="G3197" s="6" t="n">
        <f aca="false">Sens!F3197-Sens!G3198</f>
        <v>57.98686785</v>
      </c>
      <c r="H3197" s="6" t="n">
        <f aca="false">Sens!G3197-Sens!H3198</f>
        <v>53.92827690325</v>
      </c>
      <c r="I3197" s="6" t="n">
        <f aca="false">Sens!H3197-Sens!I3198</f>
        <v>49.7850493638962</v>
      </c>
      <c r="J3197" s="6" t="n">
        <f aca="false">Sens!I3197-Sens!J3198</f>
        <v>45.4823765852716</v>
      </c>
      <c r="K3197" s="6" t="n">
        <f aca="false">Sens!J3197-Sens!K3198</f>
        <v>40.9860835316088</v>
      </c>
    </row>
    <row r="3198" customFormat="false" ht="15" hidden="false" customHeight="false" outlineLevel="0" collapsed="false">
      <c r="A3198" s="1" t="s">
        <v>1115</v>
      </c>
      <c r="B3198" s="0" t="s">
        <v>98</v>
      </c>
      <c r="F3198" s="6" t="n">
        <f aca="false">fl_pay_27-Sens!E3197*fl_rate</f>
        <v>4.12427</v>
      </c>
      <c r="G3198" s="6" t="n">
        <f aca="false">fl_pay_28-Sens!F3197*fl_rate</f>
        <v>4.48286215</v>
      </c>
      <c r="H3198" s="6" t="n">
        <f aca="false">fl_pay_29-Sens!G3197*fl_rate</f>
        <v>4.05859094675</v>
      </c>
      <c r="I3198" s="6" t="n">
        <f aca="false">fl_pay_30-Sens!H3197*fl_rate</f>
        <v>4.14322753935375</v>
      </c>
      <c r="J3198" s="6" t="n">
        <f aca="false">fl_pay_31-Sens!I3197*fl_rate</f>
        <v>4.30267277862467</v>
      </c>
      <c r="K3198" s="6" t="n">
        <f aca="false">fl_pay_32-Sens!J3197*fl_rate</f>
        <v>4.49629305366278</v>
      </c>
    </row>
    <row r="3199" customFormat="false" ht="17.15" hidden="false" customHeight="false" outlineLevel="0" collapsed="false">
      <c r="A3199" s="1" t="s">
        <v>1116</v>
      </c>
      <c r="B3199" s="0" t="s">
        <v>98</v>
      </c>
      <c r="E3199" s="6" t="n">
        <f aca="false">Q!M35-Q!M36-Q!M44</f>
        <v>63.886</v>
      </c>
      <c r="F3199" s="6" t="n">
        <f aca="false">Sens!F3192-Sens!F3196-Sens!F3198</f>
        <v>9.13204087715698</v>
      </c>
      <c r="G3199" s="6" t="n">
        <f aca="false">Sens!G3192-Sens!G3196-Sens!G3198</f>
        <v>160.744826490694</v>
      </c>
      <c r="H3199" s="6" t="n">
        <f aca="false">Sens!H3192-Sens!H3196-Sens!H3198</f>
        <v>218.714144089096</v>
      </c>
      <c r="I3199" s="6" t="n">
        <f aca="false">Sens!I3192-Sens!I3196-Sens!I3198</f>
        <v>207.91272975553</v>
      </c>
      <c r="J3199" s="6" t="n">
        <f aca="false">Sens!J3192-Sens!J3196-Sens!J3198</f>
        <v>210.747243464664</v>
      </c>
      <c r="K3199" s="6" t="n">
        <f aca="false">Sens!K3192-Sens!K3196-Sens!K3198</f>
        <v>185.798964433957</v>
      </c>
      <c r="L3199" s="12" t="s">
        <v>1117</v>
      </c>
    </row>
    <row r="3200" customFormat="false" ht="15" hidden="false" customHeight="false" outlineLevel="0" collapsed="false">
      <c r="A3200" s="1" t="s">
        <v>1118</v>
      </c>
      <c r="B3200" s="0" t="s">
        <v>75</v>
      </c>
      <c r="F3200" s="8" t="n">
        <f aca="false">dps_27</f>
        <v>3.85</v>
      </c>
      <c r="G3200" s="8" t="n">
        <f aca="false">Sens!F3200*(1+dps_g)</f>
        <v>4.158</v>
      </c>
      <c r="H3200" s="8" t="n">
        <f aca="false">Sens!G3200*(1+dps_g)</f>
        <v>4.49064</v>
      </c>
      <c r="I3200" s="8" t="n">
        <f aca="false">Sens!H3200*(1+dps_g)</f>
        <v>4.8498912</v>
      </c>
      <c r="J3200" s="8" t="n">
        <f aca="false">Sens!I3200*(1+dps_g)</f>
        <v>5.237882496</v>
      </c>
      <c r="K3200" s="8" t="n">
        <f aca="false">Sens!J3200*(1+dps_g)</f>
        <v>5.65691309568</v>
      </c>
    </row>
    <row r="3201" customFormat="false" ht="17.15" hidden="false" customHeight="false" outlineLevel="0" collapsed="false">
      <c r="A3201" s="1" t="s">
        <v>1119</v>
      </c>
      <c r="B3201" s="0" t="s">
        <v>98</v>
      </c>
      <c r="E3201" s="6" t="n">
        <f aca="false">Q!M41</f>
        <v>26.445</v>
      </c>
      <c r="F3201" s="6" t="n">
        <f aca="false">Sens!F3200*Sens!E3210</f>
        <v>28.59395</v>
      </c>
      <c r="G3201" s="6" t="n">
        <f aca="false">Sens!G3200*Sens!F3210</f>
        <v>31.068576</v>
      </c>
      <c r="H3201" s="6" t="n">
        <f aca="false">Sens!H3200*Sens!G3210</f>
        <v>33.5883340530727</v>
      </c>
      <c r="I3201" s="6" t="n">
        <f aca="false">Sens!I3200*Sens!H3210</f>
        <v>36.3258390543911</v>
      </c>
      <c r="J3201" s="6" t="n">
        <f aca="false">Sens!J3200*Sens!I3210</f>
        <v>39.299804064135</v>
      </c>
      <c r="K3201" s="6" t="n">
        <f aca="false">Sens!K3200*Sens!J3210</f>
        <v>42.5305426516441</v>
      </c>
      <c r="L3201" s="1" t="s">
        <v>1120</v>
      </c>
    </row>
    <row r="3202" customFormat="false" ht="15" hidden="false" customHeight="false" outlineLevel="0" collapsed="false">
      <c r="A3202" s="1" t="s">
        <v>1121</v>
      </c>
      <c r="B3202" s="0" t="s">
        <v>98</v>
      </c>
      <c r="E3202" s="6" t="n">
        <f aca="false">Sens!E3199-Sens!E3201</f>
        <v>37.441</v>
      </c>
      <c r="F3202" s="6" t="n">
        <f aca="false">Sens!F3199-Sens!F3201</f>
        <v>-19.461909122843</v>
      </c>
      <c r="G3202" s="6" t="n">
        <f aca="false">Sens!G3199-Sens!G3201</f>
        <v>129.676250490694</v>
      </c>
      <c r="H3202" s="6" t="n">
        <f aca="false">Sens!H3199-Sens!H3201</f>
        <v>185.125810036023</v>
      </c>
      <c r="I3202" s="6" t="n">
        <f aca="false">Sens!I3199-Sens!I3201</f>
        <v>171.586890701139</v>
      </c>
      <c r="J3202" s="6" t="n">
        <f aca="false">Sens!J3199-Sens!J3201</f>
        <v>171.447439400529</v>
      </c>
      <c r="K3202" s="6" t="n">
        <f aca="false">Sens!K3199-Sens!K3201</f>
        <v>143.268421782313</v>
      </c>
    </row>
    <row r="3203" customFormat="false" ht="15" hidden="false" customHeight="false" outlineLevel="0" collapsed="false">
      <c r="A3203" s="1" t="s">
        <v>1122</v>
      </c>
      <c r="B3203" s="0" t="s">
        <v>98</v>
      </c>
      <c r="F3203" s="6" t="n">
        <f aca="false">debt_mat_27</f>
        <v>9.25</v>
      </c>
      <c r="G3203" s="6" t="n">
        <f aca="false">debt_mat_28</f>
        <v>0</v>
      </c>
      <c r="H3203" s="6" t="n">
        <f aca="false">debt_mat_29</f>
        <v>2.001</v>
      </c>
      <c r="I3203" s="6" t="n">
        <f aca="false">debt_mat_30</f>
        <v>0</v>
      </c>
      <c r="J3203" s="6" t="n">
        <f aca="false">debt_mat_31</f>
        <v>0.5</v>
      </c>
      <c r="K3203" s="6" t="n">
        <f aca="false">debt_mat_32</f>
        <v>0</v>
      </c>
    </row>
    <row r="3204" customFormat="false" ht="15" hidden="false" customHeight="false" outlineLevel="0" collapsed="false">
      <c r="A3204" s="1" t="s">
        <v>1123</v>
      </c>
      <c r="B3204" s="0" t="s">
        <v>98</v>
      </c>
      <c r="E3204" s="6" t="n">
        <f aca="false">Q!M40</f>
        <v>22.271</v>
      </c>
      <c r="F3204" s="6" t="n">
        <f aca="false">MAX(0,MIN(bb_target,Sens!E3206+Sens!F3202-Sens!F3203-min_cash))</f>
        <v>0</v>
      </c>
      <c r="G3204" s="6" t="n">
        <f aca="false">MAX(0,MIN(bb_target,Sens!F3206+Sens!G3202-Sens!G3203-min_cash))</f>
        <v>22.271</v>
      </c>
      <c r="H3204" s="6" t="n">
        <f aca="false">MAX(0,MIN(bb_target,Sens!G3206+Sens!H3202-Sens!H3203-min_cash))</f>
        <v>22.271</v>
      </c>
      <c r="I3204" s="6" t="n">
        <f aca="false">MAX(0,MIN(bb_target,Sens!H3206+Sens!I3202-Sens!I3203-min_cash))</f>
        <v>22.271</v>
      </c>
      <c r="J3204" s="6" t="n">
        <f aca="false">MAX(0,MIN(bb_target,Sens!I3206+Sens!J3202-Sens!J3203-min_cash))</f>
        <v>22.271</v>
      </c>
      <c r="K3204" s="6" t="n">
        <f aca="false">MAX(0,MIN(bb_target,Sens!J3206+Sens!K3202-Sens!K3203-min_cash))</f>
        <v>22.271</v>
      </c>
    </row>
    <row r="3205" customFormat="false" ht="15" hidden="false" customHeight="false" outlineLevel="0" collapsed="false">
      <c r="A3205" s="1" t="s">
        <v>1124</v>
      </c>
      <c r="B3205" s="0" t="s">
        <v>98</v>
      </c>
      <c r="F3205" s="6" t="n">
        <f aca="false">MAX(0,min_cash-(Sens!E3206+Sens!F3202-Sens!F3203-Sens!F3204))</f>
        <v>1.86890912284302</v>
      </c>
      <c r="G3205" s="6" t="n">
        <f aca="false">MAX(0,min_cash-(Sens!F3206+Sens!G3202-Sens!G3203-Sens!G3204))</f>
        <v>0</v>
      </c>
      <c r="H3205" s="6" t="n">
        <f aca="false">MAX(0,min_cash-(Sens!G3206+Sens!H3202-Sens!H3203-Sens!H3204))</f>
        <v>0</v>
      </c>
      <c r="I3205" s="6" t="n">
        <f aca="false">MAX(0,min_cash-(Sens!H3206+Sens!I3202-Sens!I3203-Sens!I3204))</f>
        <v>0</v>
      </c>
      <c r="J3205" s="6" t="n">
        <f aca="false">MAX(0,min_cash-(Sens!I3206+Sens!J3202-Sens!J3203-Sens!J3204))</f>
        <v>0</v>
      </c>
      <c r="K3205" s="6" t="n">
        <f aca="false">MAX(0,min_cash-(Sens!J3206+Sens!K3202-Sens!K3203-Sens!K3204))</f>
        <v>0</v>
      </c>
    </row>
    <row r="3206" customFormat="false" ht="15" hidden="false" customHeight="false" outlineLevel="0" collapsed="false">
      <c r="A3206" s="1" t="s">
        <v>1125</v>
      </c>
      <c r="B3206" s="0" t="s">
        <v>98</v>
      </c>
      <c r="E3206" s="6" t="n">
        <f aca="false">cash_open</f>
        <v>76.843</v>
      </c>
      <c r="F3206" s="6" t="n">
        <f aca="false">Sens!E3206+Sens!F3202-Sens!F3203-Sens!F3204+Sens!F3205</f>
        <v>50</v>
      </c>
      <c r="G3206" s="6" t="n">
        <f aca="false">Sens!F3206+Sens!G3202-Sens!G3203-Sens!G3204+Sens!G3205</f>
        <v>157.405250490694</v>
      </c>
      <c r="H3206" s="6" t="n">
        <f aca="false">Sens!G3206+Sens!H3202-Sens!H3203-Sens!H3204+Sens!H3205</f>
        <v>318.259060526717</v>
      </c>
      <c r="I3206" s="6" t="n">
        <f aca="false">Sens!H3206+Sens!I3202-Sens!I3203-Sens!I3204+Sens!I3205</f>
        <v>467.574951227856</v>
      </c>
      <c r="J3206" s="6" t="n">
        <f aca="false">Sens!I3206+Sens!J3202-Sens!J3203-Sens!J3204+Sens!J3205</f>
        <v>616.251390628385</v>
      </c>
      <c r="K3206" s="6" t="n">
        <f aca="false">Sens!J3206+Sens!K3202-Sens!K3203-Sens!K3204+Sens!K3205</f>
        <v>737.248812410699</v>
      </c>
    </row>
    <row r="3207" customFormat="false" ht="15" hidden="false" customHeight="false" outlineLevel="0" collapsed="false">
      <c r="A3207" s="1" t="s">
        <v>1126</v>
      </c>
      <c r="B3207" s="0" t="s">
        <v>98</v>
      </c>
      <c r="E3207" s="6" t="n">
        <f aca="false">debt_face</f>
        <v>46.136</v>
      </c>
      <c r="F3207" s="6" t="n">
        <f aca="false">Sens!E3207-Sens!F3203+Sens!F3205</f>
        <v>38.754909122843</v>
      </c>
      <c r="G3207" s="6" t="n">
        <f aca="false">Sens!F3207-Sens!G3203+Sens!G3205</f>
        <v>38.754909122843</v>
      </c>
      <c r="H3207" s="6" t="n">
        <f aca="false">Sens!G3207-Sens!H3203+Sens!H3205</f>
        <v>36.753909122843</v>
      </c>
      <c r="I3207" s="6" t="n">
        <f aca="false">Sens!H3207-Sens!I3203+Sens!I3205</f>
        <v>36.753909122843</v>
      </c>
      <c r="J3207" s="6" t="n">
        <f aca="false">Sens!I3207-Sens!J3203+Sens!J3205</f>
        <v>36.253909122843</v>
      </c>
      <c r="K3207" s="6" t="n">
        <f aca="false">Sens!J3207-Sens!K3203+Sens!K3205</f>
        <v>36.253909122843</v>
      </c>
    </row>
    <row r="3208" customFormat="false" ht="15" hidden="false" customHeight="false" outlineLevel="0" collapsed="false">
      <c r="A3208" s="1" t="s">
        <v>1127</v>
      </c>
      <c r="B3208" s="0" t="s">
        <v>98</v>
      </c>
      <c r="E3208" s="6" t="n">
        <f aca="false">Sens!E3206-Sens!E3207</f>
        <v>30.707</v>
      </c>
      <c r="F3208" s="6" t="n">
        <f aca="false">Sens!F3206-Sens!F3207</f>
        <v>11.245090877157</v>
      </c>
      <c r="G3208" s="6" t="n">
        <f aca="false">Sens!G3206-Sens!G3207</f>
        <v>118.650341367851</v>
      </c>
      <c r="H3208" s="6" t="n">
        <f aca="false">Sens!H3206-Sens!H3207</f>
        <v>281.505151403874</v>
      </c>
      <c r="I3208" s="6" t="n">
        <f aca="false">Sens!I3206-Sens!I3207</f>
        <v>430.821042105013</v>
      </c>
      <c r="J3208" s="6" t="n">
        <f aca="false">Sens!J3206-Sens!J3207</f>
        <v>579.997481505542</v>
      </c>
      <c r="K3208" s="6" t="n">
        <f aca="false">Sens!K3206-Sens!K3207</f>
        <v>700.994903287856</v>
      </c>
    </row>
    <row r="3209" customFormat="false" ht="15" hidden="false" customHeight="false" outlineLevel="0" collapsed="false">
      <c r="A3209" s="1" t="s">
        <v>1128</v>
      </c>
      <c r="B3209" s="0" t="s">
        <v>75</v>
      </c>
      <c r="F3209" s="30" t="n">
        <f aca="false">px*(1+bb_g)^(Sens!F3067-base_fy-mid_yr)</f>
        <v>551.84177959629</v>
      </c>
      <c r="G3209" s="30" t="n">
        <f aca="false">px*(1+bb_g)^(Sens!G3067-base_fy-mid_yr)</f>
        <v>595.989121963993</v>
      </c>
      <c r="H3209" s="30" t="n">
        <f aca="false">px*(1+bb_g)^(Sens!H3067-base_fy-mid_yr)</f>
        <v>643.668251721112</v>
      </c>
      <c r="I3209" s="30" t="n">
        <f aca="false">px*(1+bb_g)^(Sens!I3067-base_fy-mid_yr)</f>
        <v>695.161711858801</v>
      </c>
      <c r="J3209" s="30" t="n">
        <f aca="false">px*(1+bb_g)^(Sens!J3067-base_fy-mid_yr)</f>
        <v>750.774648807506</v>
      </c>
      <c r="K3209" s="30" t="n">
        <f aca="false">px*(1+bb_g)^(Sens!K3067-base_fy-mid_yr)</f>
        <v>810.836620712106</v>
      </c>
    </row>
    <row r="3210" customFormat="false" ht="15" hidden="false" customHeight="false" outlineLevel="0" collapsed="false">
      <c r="A3210" s="1" t="s">
        <v>1129</v>
      </c>
      <c r="B3210" s="1" t="s">
        <v>81</v>
      </c>
      <c r="E3210" s="15" t="n">
        <f aca="false">sh_out26</f>
        <v>7.427</v>
      </c>
      <c r="F3210" s="15" t="n">
        <f aca="false">Sens!E3210+sh_iss-Sens!F3204/Sens!F3209</f>
        <v>7.472</v>
      </c>
      <c r="G3210" s="15" t="n">
        <f aca="false">Sens!F3210+sh_iss-Sens!G3204/Sens!G3209</f>
        <v>7.47963186830221</v>
      </c>
      <c r="H3210" s="15" t="n">
        <f aca="false">Sens!G3210+sh_iss-Sens!H3204/Sens!H3209</f>
        <v>7.49003174635981</v>
      </c>
      <c r="I3210" s="15" t="n">
        <f aca="false">Sens!H3210+sh_iss-Sens!I3204/Sens!I3209</f>
        <v>7.50299459641315</v>
      </c>
      <c r="J3210" s="15" t="n">
        <f aca="false">Sens!I3210+sh_iss-Sens!J3204/Sens!J3209</f>
        <v>7.51833056868476</v>
      </c>
      <c r="K3210" s="15" t="n">
        <f aca="false">Sens!J3210+sh_iss-Sens!K3204/Sens!K3209</f>
        <v>7.53586387634365</v>
      </c>
    </row>
    <row r="3211" customFormat="false" ht="15" hidden="false" customHeight="false" outlineLevel="0" collapsed="false">
      <c r="A3211" s="1" t="s">
        <v>1130</v>
      </c>
      <c r="B3211" s="1" t="s">
        <v>81</v>
      </c>
      <c r="E3211" s="15" t="n">
        <f aca="false">sh_dil26</f>
        <v>7.453</v>
      </c>
      <c r="F3211" s="15" t="n">
        <f aca="false">(Sens!E3210+Sens!F3210)/2+dil_gap</f>
        <v>7.4735</v>
      </c>
      <c r="G3211" s="15" t="n">
        <f aca="false">(Sens!F3210+Sens!G3210)/2+dil_gap</f>
        <v>7.49981593415111</v>
      </c>
      <c r="H3211" s="15" t="n">
        <f aca="false">(Sens!G3210+Sens!H3210)/2+dil_gap</f>
        <v>7.50883180733101</v>
      </c>
      <c r="I3211" s="15" t="n">
        <f aca="false">(Sens!H3210+Sens!I3210)/2+dil_gap</f>
        <v>7.52051317138648</v>
      </c>
      <c r="J3211" s="15" t="n">
        <f aca="false">(Sens!I3210+Sens!J3210)/2+dil_gap</f>
        <v>7.53466258254895</v>
      </c>
      <c r="K3211" s="15" t="n">
        <f aca="false">(Sens!J3210+Sens!K3210)/2+dil_gap</f>
        <v>7.55109722251421</v>
      </c>
    </row>
    <row r="3212" customFormat="false" ht="17.15" hidden="false" customHeight="false" outlineLevel="0" collapsed="false">
      <c r="A3212" s="1" t="s">
        <v>1131</v>
      </c>
      <c r="B3212" s="0" t="s">
        <v>98</v>
      </c>
      <c r="C3212" s="6" t="n">
        <f aca="false">SUM(Sens!F3202:J3202)</f>
        <v>638.374481505542</v>
      </c>
    </row>
    <row r="3213" customFormat="false" ht="15" hidden="false" customHeight="false" outlineLevel="0" collapsed="false">
      <c r="A3213" s="26" t="s">
        <v>1096</v>
      </c>
      <c r="B3213" s="31" t="s">
        <v>98</v>
      </c>
      <c r="C3213" s="27" t="n">
        <f aca="false">Sens!$C$3212-(Sens!F3202+Sens!G3202+Sens!H3202+Sens!I3202+Sens!J3202)</f>
        <v>0</v>
      </c>
      <c r="D3213" s="31"/>
      <c r="E3213" s="31"/>
      <c r="F3213" s="31"/>
      <c r="G3213" s="31"/>
      <c r="H3213" s="31"/>
      <c r="I3213" s="31"/>
      <c r="J3213" s="31"/>
      <c r="K3213" s="31"/>
    </row>
    <row r="3214" customFormat="false" ht="17.15" hidden="false" customHeight="false" outlineLevel="0" collapsed="false">
      <c r="A3214" s="1" t="s">
        <v>1090</v>
      </c>
      <c r="B3214" s="1" t="s">
        <v>1132</v>
      </c>
      <c r="C3214" s="33" t="str">
        <f aca="false">IF(SUM(Sens!F3205:J3205)&gt;0.05,"需要舉債 "&amp;TEXT(SUM(Sens!F3205:J3205),"0.0")&amp;" 十億美元","不需舉債")&amp;"；"&amp;IF(SUM(Sens!F3204:J3204)&lt;COUNT(Sens!F3204:J3204)*bb_target-0.05,"回購較每年 "&amp;TEXT(bb_target,"0.0")&amp;" 的目標少 "&amp;TEXT(COUNT(Sens!F3204:J3204)*bb_target-SUM(Sens!F3204:J3204),"0.0")&amp;" 十億美元（"&amp;TEXT(COUNTIF(Sens!F3204:J3204,"&lt;"&amp;(bb_target-0.05)),"0")&amp;" 年減少）","回購不減")</f>
        <v>需要舉債 1.9 十億美元；回購較每年 22.3 的目標少 22.3 十億美元（1 年減少）</v>
      </c>
    </row>
    <row r="3215" customFormat="false" ht="17.15" hidden="false" customHeight="false" outlineLevel="0" collapsed="false">
      <c r="A3215" s="3" t="s">
        <v>1559</v>
      </c>
    </row>
    <row r="3216" customFormat="false" ht="15" hidden="false" customHeight="false" outlineLevel="0" collapsed="false">
      <c r="A3216" s="4" t="s">
        <v>43</v>
      </c>
      <c r="B3216" s="4" t="s">
        <v>65</v>
      </c>
      <c r="C3216" s="23" t="s">
        <v>938</v>
      </c>
      <c r="D3216" s="23" t="s">
        <v>939</v>
      </c>
      <c r="E3216" s="23" t="s">
        <v>940</v>
      </c>
      <c r="F3216" s="23" t="s">
        <v>941</v>
      </c>
      <c r="G3216" s="23" t="s">
        <v>942</v>
      </c>
      <c r="H3216" s="23" t="s">
        <v>943</v>
      </c>
      <c r="I3216" s="23" t="s">
        <v>944</v>
      </c>
      <c r="J3216" s="23" t="s">
        <v>945</v>
      </c>
      <c r="K3216" s="23" t="s">
        <v>946</v>
      </c>
      <c r="L3216" s="4" t="s">
        <v>47</v>
      </c>
    </row>
    <row r="3217" customFormat="false" ht="17.15" hidden="false" customHeight="false" outlineLevel="0" collapsed="false">
      <c r="A3217" s="1" t="s">
        <v>1212</v>
      </c>
      <c r="B3217" s="1" t="s">
        <v>279</v>
      </c>
      <c r="F3217" s="8" t="n">
        <f aca="false">(1-v_off)*mid_yr</f>
        <v>0.373972602739726</v>
      </c>
      <c r="G3217" s="8" t="n">
        <f aca="false">Sens!G3067-base_fy-mid_yr-v_off</f>
        <v>1.24794520547945</v>
      </c>
      <c r="H3217" s="8" t="n">
        <f aca="false">Sens!H3067-base_fy-mid_yr-v_off</f>
        <v>2.24794520547945</v>
      </c>
      <c r="I3217" s="8" t="n">
        <f aca="false">Sens!I3067-base_fy-mid_yr-v_off</f>
        <v>3.24794520547945</v>
      </c>
      <c r="J3217" s="8" t="n">
        <f aca="false">Sens!J3067-base_fy-mid_yr-v_off</f>
        <v>4.24794520547945</v>
      </c>
      <c r="K3217" s="8" t="n">
        <f aca="false">Sens!K3067-base_fy-mid_yr-v_off</f>
        <v>5.24794520547945</v>
      </c>
      <c r="L3217" s="12" t="s">
        <v>1213</v>
      </c>
    </row>
    <row r="3218" customFormat="false" ht="15" hidden="false" customHeight="false" outlineLevel="0" collapsed="false">
      <c r="A3218" s="1" t="s">
        <v>1214</v>
      </c>
      <c r="B3218" s="1" t="s">
        <v>279</v>
      </c>
      <c r="F3218" s="8" t="n">
        <f aca="false">Sens!F3067-base_fy-v_off</f>
        <v>0.747945205479452</v>
      </c>
      <c r="G3218" s="8" t="n">
        <f aca="false">Sens!G3067-base_fy-v_off</f>
        <v>1.74794520547945</v>
      </c>
      <c r="H3218" s="8" t="n">
        <f aca="false">Sens!H3067-base_fy-v_off</f>
        <v>2.74794520547945</v>
      </c>
      <c r="I3218" s="8" t="n">
        <f aca="false">Sens!I3067-base_fy-v_off</f>
        <v>3.74794520547945</v>
      </c>
      <c r="J3218" s="8" t="n">
        <f aca="false">Sens!J3067-base_fy-v_off</f>
        <v>4.74794520547945</v>
      </c>
      <c r="K3218" s="8" t="n">
        <f aca="false">Sens!K3067-base_fy-v_off</f>
        <v>5.74794520547945</v>
      </c>
    </row>
    <row r="3219" customFormat="false" ht="15" hidden="false" customHeight="false" outlineLevel="0" collapsed="false">
      <c r="A3219" s="1" t="s">
        <v>1215</v>
      </c>
      <c r="B3219" s="0" t="s">
        <v>229</v>
      </c>
      <c r="F3219" s="15" t="n">
        <f aca="false">1/(1+wacc)^Sens!F3217</f>
        <v>0.964022703286649</v>
      </c>
      <c r="G3219" s="15" t="n">
        <f aca="false">1/(1+wacc)^Sens!G3217</f>
        <v>0.884910302296739</v>
      </c>
      <c r="H3219" s="15" t="n">
        <f aca="false">1/(1+wacc)^Sens!H3217</f>
        <v>0.802322009770358</v>
      </c>
      <c r="I3219" s="15" t="n">
        <f aca="false">1/(1+wacc)^Sens!I3217</f>
        <v>0.727441646561469</v>
      </c>
      <c r="J3219" s="15" t="n">
        <f aca="false">1/(1+wacc)^Sens!J3217</f>
        <v>0.659549834988973</v>
      </c>
      <c r="K3219" s="15" t="n">
        <f aca="false">1/(1+wacc)^Sens!K3217</f>
        <v>0.597994336576966</v>
      </c>
    </row>
    <row r="3220" customFormat="false" ht="17.15" hidden="false" customHeight="false" outlineLevel="0" collapsed="false">
      <c r="A3220" s="1" t="s">
        <v>1216</v>
      </c>
      <c r="B3220" s="0" t="s">
        <v>98</v>
      </c>
      <c r="F3220" s="6" t="n">
        <f aca="false">Q!$I$35-Q!$I$39-Q!$I$43</f>
        <v>9.666</v>
      </c>
      <c r="L3220" s="12" t="s">
        <v>1217</v>
      </c>
    </row>
    <row r="3221" customFormat="false" ht="17.15" hidden="false" customHeight="false" outlineLevel="0" collapsed="false">
      <c r="A3221" s="1" t="s">
        <v>1218</v>
      </c>
      <c r="B3221" s="0" t="s">
        <v>98</v>
      </c>
      <c r="F3221" s="6" t="n">
        <f aca="false">Sens!F3192-Sens!F3189-Sens!F3196+Sens!F3174*(1-tax_f)*(1-v_off)-Sens!F3220</f>
        <v>-10.0836833355266</v>
      </c>
      <c r="G3221" s="6" t="n">
        <f aca="false">Sens!G3192-Sens!G3189-Sens!G3196+Sens!G3174*(1-tax_f)</f>
        <v>148.492828537361</v>
      </c>
      <c r="H3221" s="6" t="n">
        <f aca="false">Sens!H3192-Sens!H3189-Sens!H3196+Sens!H3174*(1-tax_f)</f>
        <v>204.076273838186</v>
      </c>
      <c r="I3221" s="6" t="n">
        <f aca="false">Sens!I3192-Sens!I3189-Sens!I3196+Sens!I3174*(1-tax_f)</f>
        <v>191.700438159859</v>
      </c>
      <c r="J3221" s="6" t="n">
        <f aca="false">Sens!J3192-Sens!J3189-Sens!J3196+Sens!J3174*(1-tax_f)</f>
        <v>193.164666962251</v>
      </c>
      <c r="K3221" s="6" t="n">
        <f aca="false">Sens!K3192-Sens!K3189-Sens!K3196+Sens!K3174*(1-tax_f)</f>
        <v>166.930390881028</v>
      </c>
      <c r="L3221" s="1" t="s">
        <v>1219</v>
      </c>
    </row>
    <row r="3222" customFormat="false" ht="15" hidden="false" customHeight="false" outlineLevel="0" collapsed="false">
      <c r="A3222" s="1" t="s">
        <v>1220</v>
      </c>
      <c r="B3222" s="0" t="s">
        <v>98</v>
      </c>
      <c r="F3222" s="6" t="n">
        <f aca="false">Sens!F3221*Sens!F3219</f>
        <v>-9.72089966820089</v>
      </c>
      <c r="G3222" s="6" t="n">
        <f aca="false">Sens!G3221*Sens!G3219</f>
        <v>131.402833789894</v>
      </c>
      <c r="H3222" s="6" t="n">
        <f aca="false">Sens!H3221*Sens!H3219</f>
        <v>163.734886172299</v>
      </c>
      <c r="I3222" s="6" t="n">
        <f aca="false">Sens!I3221*Sens!I3219</f>
        <v>139.450882381563</v>
      </c>
      <c r="J3222" s="6" t="n">
        <f aca="false">Sens!J3221*Sens!J3219</f>
        <v>127.401724220653</v>
      </c>
      <c r="K3222" s="6" t="n">
        <f aca="false">Sens!K3221*Sens!K3219</f>
        <v>99.8234283494337</v>
      </c>
    </row>
    <row r="3223" customFormat="false" ht="17.15" hidden="false" customHeight="false" outlineLevel="0" collapsed="false">
      <c r="A3223" s="1" t="s">
        <v>1221</v>
      </c>
      <c r="B3223" s="0" t="s">
        <v>98</v>
      </c>
      <c r="C3223" s="6" t="n">
        <f aca="false">SUM(Sens!F3222:K3222)</f>
        <v>652.092855245641</v>
      </c>
    </row>
    <row r="3224" customFormat="false" ht="17.15" hidden="false" customHeight="false" outlineLevel="0" collapsed="false">
      <c r="A3224" s="1" t="s">
        <v>1222</v>
      </c>
      <c r="B3224" s="0" t="s">
        <v>98</v>
      </c>
      <c r="C3224" s="6" t="n">
        <f aca="false">Sens!K3160*(1+g_tv)*(1-tax_f)</f>
        <v>245.735483423451</v>
      </c>
    </row>
    <row r="3225" customFormat="false" ht="17.15" hidden="false" customHeight="false" outlineLevel="0" collapsed="false">
      <c r="A3225" s="1" t="s">
        <v>1223</v>
      </c>
      <c r="B3225" s="0" t="s">
        <v>98</v>
      </c>
      <c r="C3225" s="6" t="n">
        <f aca="false">Sens!$C$3224*(1-g_tv/(wacc+ronic_prem))</f>
        <v>174.117952329967</v>
      </c>
    </row>
    <row r="3226" customFormat="false" ht="17.15" hidden="false" customHeight="false" outlineLevel="0" collapsed="false">
      <c r="A3226" s="1" t="s">
        <v>1224</v>
      </c>
      <c r="B3226" s="0" t="s">
        <v>98</v>
      </c>
      <c r="C3226" s="6" t="n">
        <f aca="false">Sens!$C$3225/(wacc-g_tv)</f>
        <v>2387.25103644946</v>
      </c>
    </row>
    <row r="3227" customFormat="false" ht="15" hidden="false" customHeight="false" outlineLevel="0" collapsed="false">
      <c r="A3227" s="1" t="s">
        <v>1225</v>
      </c>
      <c r="B3227" s="0" t="s">
        <v>98</v>
      </c>
      <c r="C3227" s="6" t="n">
        <f aca="false">Sens!$C$3226/(1+wacc)^Sens!K3218</f>
        <v>1359.31431018974</v>
      </c>
    </row>
    <row r="3228" customFormat="false" ht="17.15" hidden="false" customHeight="false" outlineLevel="0" collapsed="false">
      <c r="A3228" s="0" t="s">
        <v>1226</v>
      </c>
      <c r="B3228" s="0" t="s">
        <v>98</v>
      </c>
      <c r="C3228" s="6" t="n">
        <f aca="false">Sens!$C$3223+Sens!$C$3227</f>
        <v>2011.40716543538</v>
      </c>
    </row>
    <row r="3229" customFormat="false" ht="15" hidden="false" customHeight="false" outlineLevel="0" collapsed="false">
      <c r="A3229" s="1" t="s">
        <v>1141</v>
      </c>
      <c r="B3229" s="0" t="s">
        <v>168</v>
      </c>
      <c r="C3229" s="7" t="n">
        <f aca="false">Sens!$C$3227/Sens!$C$3228</f>
        <v>0.675802658729968</v>
      </c>
    </row>
    <row r="3230" customFormat="false" ht="17.15" hidden="false" customHeight="false" outlineLevel="0" collapsed="false">
      <c r="A3230" s="1" t="s">
        <v>1227</v>
      </c>
      <c r="B3230" s="0" t="s">
        <v>98</v>
      </c>
      <c r="C3230" s="6" t="n">
        <f aca="false">Sens!$C$3228+cash_val-debt_val-fl_val+oai_v</f>
        <v>2127.25816543538</v>
      </c>
    </row>
    <row r="3231" customFormat="false" ht="17.15" hidden="false" customHeight="false" outlineLevel="0" collapsed="false">
      <c r="A3231" s="0" t="s">
        <v>1149</v>
      </c>
      <c r="B3231" s="0" t="s">
        <v>75</v>
      </c>
      <c r="C3231" s="5" t="n">
        <f aca="false">Sens!$C$3230/shd_val</f>
        <v>285.691400139052</v>
      </c>
    </row>
    <row r="3232" customFormat="false" ht="15" hidden="false" customHeight="false" outlineLevel="0" collapsed="false">
      <c r="A3232" s="1" t="s">
        <v>1228</v>
      </c>
      <c r="B3232" s="0" t="s">
        <v>75</v>
      </c>
      <c r="C3232" s="8" t="n">
        <f aca="false">div_rem27+Sens!G3200*roll_div_q/q_per_yr</f>
        <v>3.9795</v>
      </c>
    </row>
    <row r="3233" customFormat="false" ht="17.15" hidden="false" customHeight="false" outlineLevel="0" collapsed="false">
      <c r="A3233" s="0" t="s">
        <v>1229</v>
      </c>
      <c r="B3233" s="0" t="s">
        <v>75</v>
      </c>
      <c r="C3233" s="5" t="n">
        <f aca="false">Sens!$C$3231*(1+wacc)^t_roll-Sens!$C$3232</f>
        <v>313.582435904101</v>
      </c>
    </row>
    <row r="3234" customFormat="false" ht="17.15" hidden="false" customHeight="false" outlineLevel="0" collapsed="false">
      <c r="A3234" s="1" t="s">
        <v>1230</v>
      </c>
      <c r="B3234" s="0" t="s">
        <v>168</v>
      </c>
      <c r="F3234" s="7" t="n">
        <f aca="false">Sens!F3186/(Sens!F3131-Sens!F3086)</f>
        <v>0.107880469298418</v>
      </c>
      <c r="G3234" s="7" t="n">
        <f aca="false">Sens!G3186/(Sens!G3131-Sens!G3086)</f>
        <v>0.0967579149665688</v>
      </c>
      <c r="H3234" s="7" t="n">
        <f aca="false">Sens!H3186/(Sens!H3131-Sens!H3086)</f>
        <v>0.0890421447162373</v>
      </c>
      <c r="I3234" s="7" t="n">
        <f aca="false">Sens!I3186/(Sens!I3131-Sens!I3086)</f>
        <v>0.0842314576487123</v>
      </c>
      <c r="J3234" s="7" t="n">
        <f aca="false">Sens!J3186/(Sens!J3131-Sens!J3086)</f>
        <v>0.0815484173778937</v>
      </c>
      <c r="K3234" s="7" t="n">
        <f aca="false">Sens!K3186/(Sens!K3131-Sens!K3086)</f>
        <v>0.0801930458302042</v>
      </c>
    </row>
    <row r="3235" customFormat="false" ht="17.15" hidden="false" customHeight="false" outlineLevel="0" collapsed="false">
      <c r="A3235" s="0" t="s">
        <v>1231</v>
      </c>
      <c r="B3235" s="0" t="s">
        <v>98</v>
      </c>
      <c r="F3235" s="6" t="n">
        <f aca="false">Sens!F3116*(al_m365+Sens!F3234+sbc_r)</f>
        <v>89.2300871739136</v>
      </c>
      <c r="G3235" s="6" t="n">
        <f aca="false">Sens!G3116*(al_m365+Sens!G3234+sbc_r)</f>
        <v>103.371455414254</v>
      </c>
      <c r="H3235" s="6" t="n">
        <f aca="false">Sens!H3116*(al_m365+Sens!H3234+sbc_r)</f>
        <v>117.654246568111</v>
      </c>
      <c r="I3235" s="6" t="n">
        <f aca="false">Sens!I3116*(al_m365+Sens!I3234+sbc_r)</f>
        <v>130.392305628012</v>
      </c>
      <c r="J3235" s="6" t="n">
        <f aca="false">Sens!J3116*(al_m365+Sens!J3234+sbc_r)</f>
        <v>141.429629333939</v>
      </c>
      <c r="K3235" s="6" t="n">
        <f aca="false">Sens!K3116*(al_m365+Sens!K3234+sbc_r)</f>
        <v>152.126152882406</v>
      </c>
      <c r="L3235" s="12" t="s">
        <v>1232</v>
      </c>
    </row>
    <row r="3236" customFormat="false" ht="17.15" hidden="false" customHeight="false" outlineLevel="0" collapsed="false">
      <c r="A3236" s="0" t="s">
        <v>1233</v>
      </c>
      <c r="B3236" s="0" t="s">
        <v>98</v>
      </c>
      <c r="F3236" s="6" t="n">
        <f aca="false">Sens!F3117*(al_lic+Sens!F3234+sbc_r)</f>
        <v>34.3648011021305</v>
      </c>
      <c r="G3236" s="6" t="n">
        <f aca="false">Sens!G3117*(al_lic+Sens!G3234+sbc_r)</f>
        <v>35.3749347549471</v>
      </c>
      <c r="H3236" s="6" t="n">
        <f aca="false">Sens!H3117*(al_lic+Sens!H3234+sbc_r)</f>
        <v>36.3551944212281</v>
      </c>
      <c r="I3236" s="6" t="n">
        <f aca="false">Sens!I3117*(al_lic+Sens!I3234+sbc_r)</f>
        <v>37.2826899380852</v>
      </c>
      <c r="J3236" s="6" t="n">
        <f aca="false">Sens!J3117*(al_lic+Sens!J3234+sbc_r)</f>
        <v>38.1189059304861</v>
      </c>
      <c r="K3236" s="6" t="n">
        <f aca="false">Sens!K3117*(al_lic+Sens!K3234+sbc_r)</f>
        <v>38.82063644195</v>
      </c>
    </row>
    <row r="3237" customFormat="false" ht="17.15" hidden="false" customHeight="false" outlineLevel="0" collapsed="false">
      <c r="A3237" s="0" t="s">
        <v>1234</v>
      </c>
      <c r="B3237" s="0" t="s">
        <v>98</v>
      </c>
      <c r="F3237" s="6" t="n">
        <f aca="false">Sens!F3119*(al_ind+Sens!F3234+sbc_r)</f>
        <v>9.93657036475881</v>
      </c>
      <c r="G3237" s="6" t="n">
        <f aca="false">Sens!G3119*(al_ind+Sens!G3234+sbc_r)</f>
        <v>10.5905753188275</v>
      </c>
      <c r="H3237" s="6" t="n">
        <f aca="false">Sens!H3119*(al_ind+Sens!H3234+sbc_r)</f>
        <v>11.3109263525627</v>
      </c>
      <c r="I3237" s="6" t="n">
        <f aca="false">Sens!I3119*(al_ind+Sens!I3234+sbc_r)</f>
        <v>12.0954565148207</v>
      </c>
      <c r="J3237" s="6" t="n">
        <f aca="false">Sens!J3119*(al_ind+Sens!J3234+sbc_r)</f>
        <v>12.9292567574792</v>
      </c>
      <c r="K3237" s="6" t="n">
        <f aca="false">Sens!K3119*(al_ind+Sens!K3234+sbc_r)</f>
        <v>13.789546469938</v>
      </c>
    </row>
    <row r="3238" customFormat="false" ht="17.15" hidden="false" customHeight="false" outlineLevel="0" collapsed="false">
      <c r="A3238" s="0" t="s">
        <v>1235</v>
      </c>
      <c r="B3238" s="0" t="s">
        <v>98</v>
      </c>
      <c r="F3238" s="6" t="n">
        <f aca="false">Sens!F3121*(al_fro+Sens!F3234+sbc_r)</f>
        <v>3.89770848082395</v>
      </c>
      <c r="G3238" s="6" t="n">
        <f aca="false">Sens!G3121*(al_fro+Sens!G3234+sbc_r)</f>
        <v>4.0522645052683</v>
      </c>
      <c r="H3238" s="6" t="n">
        <f aca="false">Sens!H3121*(al_fro+Sens!H3234+sbc_r)</f>
        <v>4.24778371288396</v>
      </c>
      <c r="I3238" s="6" t="n">
        <f aca="false">Sens!I3121*(al_fro+Sens!I3234+sbc_r)</f>
        <v>4.48605939621065</v>
      </c>
      <c r="J3238" s="6" t="n">
        <f aca="false">Sens!J3121*(al_fro+Sens!J3234+sbc_r)</f>
        <v>4.76540125645362</v>
      </c>
      <c r="K3238" s="6" t="n">
        <f aca="false">Sens!K3121*(al_fro+Sens!K3234+sbc_r)</f>
        <v>5.0824825669701</v>
      </c>
    </row>
    <row r="3239" customFormat="false" ht="17.15" hidden="false" customHeight="false" outlineLevel="0" collapsed="false">
      <c r="A3239" s="0" t="s">
        <v>1236</v>
      </c>
      <c r="B3239" s="0" t="s">
        <v>98</v>
      </c>
      <c r="F3239" s="6" t="n">
        <f aca="false">Sens!F3124*(al_srch+Sens!F3234+sbc_r)</f>
        <v>12.2710889513994</v>
      </c>
      <c r="G3239" s="6" t="n">
        <f aca="false">Sens!G3124*(al_srch+Sens!G3234+sbc_r)</f>
        <v>13.2021502587442</v>
      </c>
      <c r="H3239" s="6" t="n">
        <f aca="false">Sens!H3124*(al_srch+Sens!H3234+sbc_r)</f>
        <v>14.2004464017254</v>
      </c>
      <c r="I3239" s="6" t="n">
        <f aca="false">Sens!I3124*(al_srch+Sens!I3234+sbc_r)</f>
        <v>15.2578006636361</v>
      </c>
      <c r="J3239" s="6" t="n">
        <f aca="false">Sens!J3124*(al_srch+Sens!J3234+sbc_r)</f>
        <v>16.3486891483271</v>
      </c>
      <c r="K3239" s="6" t="n">
        <f aca="false">Sens!K3124*(al_srch+Sens!K3234+sbc_r)</f>
        <v>17.4365018006946</v>
      </c>
    </row>
    <row r="3240" customFormat="false" ht="17.15" hidden="false" customHeight="false" outlineLevel="0" collapsed="false">
      <c r="A3240" s="0" t="s">
        <v>1237</v>
      </c>
      <c r="B3240" s="0" t="s">
        <v>98</v>
      </c>
      <c r="F3240" s="6" t="n">
        <f aca="false">Sens!F3092-Sens!F3093+Sens!F3174</f>
        <v>27.9193315524174</v>
      </c>
      <c r="G3240" s="6" t="n">
        <f aca="false">Sens!G3092-Sens!G3093+Sens!G3174</f>
        <v>34.5111199727705</v>
      </c>
      <c r="H3240" s="6" t="n">
        <f aca="false">Sens!H3092-Sens!H3093+Sens!H3174</f>
        <v>40.1955385443373</v>
      </c>
      <c r="I3240" s="6" t="n">
        <f aca="false">Sens!I3092-Sens!I3093+Sens!I3174</f>
        <v>41.4005897671421</v>
      </c>
      <c r="J3240" s="6" t="n">
        <f aca="false">Sens!J3092-Sens!J3093+Sens!J3174</f>
        <v>43.2204630423983</v>
      </c>
      <c r="K3240" s="6" t="n">
        <f aca="false">Sens!K3092-Sens!K3093+Sens!K3174</f>
        <v>46.8356167108126</v>
      </c>
    </row>
    <row r="3241" customFormat="false" ht="17.15" hidden="false" customHeight="false" outlineLevel="0" collapsed="false">
      <c r="A3241" s="0" t="s">
        <v>1238</v>
      </c>
      <c r="B3241" s="0" t="s">
        <v>98</v>
      </c>
      <c r="F3241" s="6" t="n">
        <f aca="false">Sens!F3153+Sens!F3174+Sens!F3104+Sens!F3234*(Sens!F3123-Sens!F3086)+sbc_r*Sens!F3123</f>
        <v>223.868743220084</v>
      </c>
      <c r="G3241" s="6" t="n">
        <f aca="false">Sens!G3153+Sens!G3174+Sens!G3104+Sens!G3234*(Sens!G3123-Sens!G3086)+sbc_r*Sens!G3123</f>
        <v>253.950613840696</v>
      </c>
      <c r="H3241" s="6" t="n">
        <f aca="false">Sens!H3153+Sens!H3174+Sens!H3104+Sens!H3234*(Sens!H3123-Sens!H3086)+sbc_r*Sens!H3123</f>
        <v>288.831610889434</v>
      </c>
      <c r="I3241" s="6" t="n">
        <f aca="false">Sens!I3153+Sens!I3174+Sens!I3104+Sens!I3234*(Sens!I3123-Sens!I3086)+sbc_r*Sens!I3123</f>
        <v>317.274553930235</v>
      </c>
      <c r="J3241" s="6" t="n">
        <f aca="false">Sens!J3153+Sens!J3174+Sens!J3104+Sens!J3234*(Sens!J3123-Sens!J3086)+sbc_r*Sens!J3123</f>
        <v>343.726913679087</v>
      </c>
      <c r="K3241" s="6" t="n">
        <f aca="false">Sens!K3153+Sens!K3174+Sens!K3104+Sens!K3234*(Sens!K3123-Sens!K3086)+sbc_r*Sens!K3123</f>
        <v>369.897925870621</v>
      </c>
    </row>
    <row r="3242" customFormat="false" ht="17.15" hidden="false" customHeight="false" outlineLevel="0" collapsed="false">
      <c r="A3242" s="0" t="s">
        <v>1239</v>
      </c>
      <c r="B3242" s="0" t="s">
        <v>98</v>
      </c>
      <c r="F3242" s="6" t="n">
        <f aca="false">Sens!F3241-Sens!F3235-Sens!F3236-Sens!F3237-Sens!F3238-Sens!F3240</f>
        <v>58.5202445460394</v>
      </c>
      <c r="G3242" s="6" t="n">
        <f aca="false">Sens!G3241-Sens!G3235-Sens!G3236-Sens!G3237-Sens!G3238-Sens!G3240</f>
        <v>66.0502638746287</v>
      </c>
      <c r="H3242" s="6" t="n">
        <f aca="false">Sens!H3241-Sens!H3235-Sens!H3236-Sens!H3237-Sens!H3238-Sens!H3240</f>
        <v>79.0679212903104</v>
      </c>
      <c r="I3242" s="6" t="n">
        <f aca="false">Sens!I3241-Sens!I3235-Sens!I3236-Sens!I3237-Sens!I3238-Sens!I3240</f>
        <v>91.6174526859643</v>
      </c>
      <c r="J3242" s="6" t="n">
        <f aca="false">Sens!J3241-Sens!J3235-Sens!J3236-Sens!J3237-Sens!J3238-Sens!J3240</f>
        <v>103.263257358331</v>
      </c>
      <c r="K3242" s="6" t="n">
        <f aca="false">Sens!K3241-Sens!K3235-Sens!K3236-Sens!K3237-Sens!K3238-Sens!K3240</f>
        <v>113.243490798545</v>
      </c>
    </row>
    <row r="3243" customFormat="false" ht="17.15" hidden="false" customHeight="false" outlineLevel="0" collapsed="false">
      <c r="A3243" s="0" t="s">
        <v>1240</v>
      </c>
      <c r="B3243" s="0" t="s">
        <v>98</v>
      </c>
      <c r="F3243" s="6" t="n">
        <f aca="false">Sens!F3155+Sens!F3234*Sens!F3130+sbc_r*Sens!F3130</f>
        <v>29.1582113513808</v>
      </c>
      <c r="G3243" s="6" t="n">
        <f aca="false">Sens!G3155+Sens!G3234*Sens!G3130+sbc_r*Sens!G3130</f>
        <v>28.5216318138955</v>
      </c>
      <c r="H3243" s="6" t="n">
        <f aca="false">Sens!H3155+Sens!H3234*Sens!H3130+sbc_r*Sens!H3130</f>
        <v>29.0407699040281</v>
      </c>
      <c r="I3243" s="6" t="n">
        <f aca="false">Sens!I3155+Sens!I3234*Sens!I3130+sbc_r*Sens!I3130</f>
        <v>29.8929228225599</v>
      </c>
      <c r="J3243" s="6" t="n">
        <f aca="false">Sens!J3155+Sens!J3234*Sens!J3130+sbc_r*Sens!J3130</f>
        <v>31.0137992627411</v>
      </c>
      <c r="K3243" s="6" t="n">
        <f aca="false">Sens!K3155+Sens!K3234*Sens!K3130+sbc_r*Sens!K3130</f>
        <v>32.3381849230866</v>
      </c>
    </row>
    <row r="3244" customFormat="false" ht="17.15" hidden="false" customHeight="false" outlineLevel="0" collapsed="false">
      <c r="A3244" s="0" t="s">
        <v>1241</v>
      </c>
      <c r="B3244" s="0" t="s">
        <v>98</v>
      </c>
      <c r="F3244" s="6" t="n">
        <f aca="false">(Sens!F3243-Sens!F3239)*Sens!F3126/(Sens!F3126+Sens!F3128)</f>
        <v>9.53760218074356</v>
      </c>
      <c r="G3244" s="6" t="n">
        <f aca="false">(Sens!G3243-Sens!G3239)*Sens!G3126/(Sens!G3126+Sens!G3128)</f>
        <v>8.50352176886459</v>
      </c>
      <c r="H3244" s="6" t="n">
        <f aca="false">(Sens!H3243-Sens!H3239)*Sens!H3126/(Sens!H3126+Sens!H3128)</f>
        <v>8.13024031659423</v>
      </c>
      <c r="I3244" s="6" t="n">
        <f aca="false">(Sens!I3243-Sens!I3239)*Sens!I3126/(Sens!I3126+Sens!I3128)</f>
        <v>7.94783800492183</v>
      </c>
      <c r="J3244" s="6" t="n">
        <f aca="false">(Sens!J3243-Sens!J3239)*Sens!J3126/(Sens!J3126+Sens!J3128)</f>
        <v>7.92937635177546</v>
      </c>
      <c r="K3244" s="6" t="n">
        <f aca="false">(Sens!K3243-Sens!K3239)*Sens!K3126/(Sens!K3126+Sens!K3128)</f>
        <v>8.05729059178418</v>
      </c>
    </row>
    <row r="3245" customFormat="false" ht="17.15" hidden="false" customHeight="false" outlineLevel="0" collapsed="false">
      <c r="A3245" s="0" t="s">
        <v>1242</v>
      </c>
      <c r="B3245" s="0" t="s">
        <v>98</v>
      </c>
      <c r="F3245" s="6" t="n">
        <f aca="false">Sens!F3243-Sens!F3239-Sens!F3244</f>
        <v>7.34952021923789</v>
      </c>
      <c r="G3245" s="6" t="n">
        <f aca="false">Sens!G3243-Sens!G3239-Sens!G3244</f>
        <v>6.81595978628678</v>
      </c>
      <c r="H3245" s="6" t="n">
        <f aca="false">Sens!H3243-Sens!H3239-Sens!H3244</f>
        <v>6.71008318570843</v>
      </c>
      <c r="I3245" s="6" t="n">
        <f aca="false">Sens!I3243-Sens!I3239-Sens!I3244</f>
        <v>6.687284154002</v>
      </c>
      <c r="J3245" s="6" t="n">
        <f aca="false">Sens!J3243-Sens!J3239-Sens!J3244</f>
        <v>6.73573376263846</v>
      </c>
      <c r="K3245" s="6" t="n">
        <f aca="false">Sens!K3243-Sens!K3239-Sens!K3244</f>
        <v>6.84439253060777</v>
      </c>
    </row>
    <row r="3246" customFormat="false" ht="17.15" hidden="false" customHeight="false" outlineLevel="0" collapsed="false">
      <c r="A3246" s="0" t="s">
        <v>1243</v>
      </c>
      <c r="B3246" s="0" t="s">
        <v>98</v>
      </c>
      <c r="F3246" s="6" t="n">
        <f aca="false">Sens!F3240-tax_f*(Sens!F3240-Sens!F3104)-Sens!F3101</f>
        <v>-2.4284018466661</v>
      </c>
      <c r="G3246" s="6" t="n">
        <f aca="false">Sens!G3240-tax_f*(Sens!G3240-Sens!G3104)-Sens!G3101</f>
        <v>-0.767736585183634</v>
      </c>
      <c r="H3246" s="6" t="n">
        <f aca="false">Sens!H3240-tax_f*(Sens!H3240-Sens!H3104)-Sens!H3101</f>
        <v>38.4919478188698</v>
      </c>
      <c r="I3246" s="6" t="n">
        <f aca="false">Sens!I3240-tax_f*(Sens!I3240-Sens!I3104)-Sens!I3101</f>
        <v>10.4057000399192</v>
      </c>
      <c r="J3246" s="6" t="n">
        <f aca="false">Sens!J3240-tax_f*(Sens!J3240-Sens!J3104)-Sens!J3101</f>
        <v>-2.73906523079249</v>
      </c>
      <c r="K3246" s="6" t="n">
        <f aca="false">Sens!K3240-tax_f*(Sens!K3240-Sens!K3104)-Sens!K3101</f>
        <v>-42.7923217013666</v>
      </c>
    </row>
    <row r="3247" customFormat="false" ht="17.15" hidden="false" customHeight="false" outlineLevel="0" collapsed="false">
      <c r="A3247" s="0" t="s">
        <v>1244</v>
      </c>
      <c r="B3247" s="0" t="s">
        <v>98</v>
      </c>
      <c r="G3247" s="6" t="n">
        <f aca="false">Sens!G3246/(1+wacc)^(Sens!G3217-Sens!F3218)</f>
        <v>-0.731032969660333</v>
      </c>
      <c r="H3247" s="6" t="n">
        <f aca="false">Sens!H3246/(1+wacc)^(Sens!H3217-Sens!F3218)</f>
        <v>33.2310505258218</v>
      </c>
      <c r="I3247" s="6" t="n">
        <f aca="false">Sens!I3246/(1+wacc)^(Sens!I3217-Sens!F3218)</f>
        <v>8.14507222766444</v>
      </c>
      <c r="J3247" s="6" t="n">
        <f aca="false">Sens!J3246/(1+wacc)^(Sens!J3217-Sens!F3218)</f>
        <v>-1.94390692677078</v>
      </c>
      <c r="K3247" s="6" t="n">
        <f aca="false">Sens!K3246/(1+wacc)^(Sens!K3217-Sens!F3218)</f>
        <v>-27.5352102481074</v>
      </c>
      <c r="L3247" s="1" t="s">
        <v>1245</v>
      </c>
    </row>
    <row r="3248" customFormat="false" ht="17.15" hidden="false" customHeight="false" outlineLevel="0" collapsed="false">
      <c r="A3248" s="0" t="s">
        <v>1246</v>
      </c>
      <c r="B3248" s="0" t="s">
        <v>98</v>
      </c>
      <c r="C3248" s="6" t="n">
        <f aca="false">(Sens!K3240-Sens!K3104)*(1-tax_f)*(1+g_tv)*(1-g_tv/(wacc+ronic_prem))/(wacc-g_tv)/(1+wacc)^(Sens!K3218-Sens!F3218)</f>
        <v>52.6192370776268</v>
      </c>
    </row>
    <row r="3249" customFormat="false" ht="17.15" hidden="false" customHeight="false" outlineLevel="0" collapsed="false">
      <c r="A3249" s="1" t="s">
        <v>1247</v>
      </c>
      <c r="B3249" s="0" t="s">
        <v>98</v>
      </c>
      <c r="C3249" s="6" t="n">
        <f aca="false">(SUM(Sens!G3247:K3247)+Sens!$C$3248)*(1+wacc)^(t_roll-Sens!F3218)</f>
        <v>65.8909523591203</v>
      </c>
      <c r="L3249" s="12" t="s">
        <v>1248</v>
      </c>
    </row>
    <row r="3250" customFormat="false" ht="17.15" hidden="false" customHeight="false" outlineLevel="0" collapsed="false">
      <c r="A3250" s="1" t="s">
        <v>1249</v>
      </c>
      <c r="B3250" s="0" t="s">
        <v>98</v>
      </c>
      <c r="C3250" s="6" t="n">
        <f aca="false">(w_ntm28*Sens!G3092+(1-w_ntm28)*Sens!H3092)*m_ai</f>
        <v>253.267407510646</v>
      </c>
    </row>
    <row r="3251" customFormat="false" ht="17.15" hidden="false" customHeight="false" outlineLevel="0" collapsed="false">
      <c r="A3251" s="1" t="s">
        <v>1250</v>
      </c>
      <c r="B3251" s="0" t="s">
        <v>98</v>
      </c>
      <c r="C3251" s="6" t="n">
        <f aca="false">(w_ntm28*Sens!G3242+(1-w_ntm28)*Sens!H3242)*m_cloud</f>
        <v>971.961175673852</v>
      </c>
    </row>
    <row r="3252" customFormat="false" ht="17.15" hidden="false" customHeight="false" outlineLevel="0" collapsed="false">
      <c r="A3252" s="1" t="s">
        <v>1251</v>
      </c>
      <c r="B3252" s="0" t="s">
        <v>98</v>
      </c>
      <c r="C3252" s="6" t="n">
        <f aca="false">(w_ntm28*Sens!G3235+(1-w_ntm28)*Sens!H3235)*m_sw</f>
        <v>1167.1254098038</v>
      </c>
    </row>
    <row r="3253" customFormat="false" ht="17.15" hidden="false" customHeight="false" outlineLevel="0" collapsed="false">
      <c r="A3253" s="1" t="s">
        <v>1252</v>
      </c>
      <c r="B3253" s="0" t="s">
        <v>98</v>
      </c>
      <c r="C3253" s="6" t="n">
        <f aca="false">(w_ntm28*Sens!G3236+(1-w_ntm28)*Sens!H3236)*m_sw</f>
        <v>385.529888579456</v>
      </c>
    </row>
    <row r="3254" customFormat="false" ht="17.15" hidden="false" customHeight="false" outlineLevel="0" collapsed="false">
      <c r="A3254" s="1" t="s">
        <v>1253</v>
      </c>
      <c r="B3254" s="0" t="s">
        <v>98</v>
      </c>
      <c r="C3254" s="6" t="n">
        <f aca="false">(w_ntm28*Sens!G3237+(1-w_ntm28)*Sens!H3237)*m_sw</f>
        <v>116.935953004216</v>
      </c>
    </row>
    <row r="3255" customFormat="false" ht="17.15" hidden="false" customHeight="false" outlineLevel="0" collapsed="false">
      <c r="A3255" s="1" t="s">
        <v>1254</v>
      </c>
      <c r="B3255" s="0" t="s">
        <v>98</v>
      </c>
      <c r="C3255" s="6" t="n">
        <f aca="false">(w_ntm28*Sens!G3238+(1-w_ntm28)*Sens!H3238)*m_sw</f>
        <v>44.4586837611987</v>
      </c>
    </row>
    <row r="3256" customFormat="false" ht="17.15" hidden="false" customHeight="false" outlineLevel="0" collapsed="false">
      <c r="A3256" s="1" t="s">
        <v>1255</v>
      </c>
      <c r="B3256" s="0" t="s">
        <v>98</v>
      </c>
      <c r="C3256" s="6" t="n">
        <f aca="false">(w_ntm28*Sens!G3239+(1-w_ntm28)*Sens!H3239)*m_ads</f>
        <v>123.261554181836</v>
      </c>
    </row>
    <row r="3257" customFormat="false" ht="17.15" hidden="false" customHeight="false" outlineLevel="0" collapsed="false">
      <c r="A3257" s="1" t="s">
        <v>1256</v>
      </c>
      <c r="B3257" s="0" t="s">
        <v>98</v>
      </c>
      <c r="C3257" s="6" t="n">
        <f aca="false">(w_ntm28*Sens!G3244+(1-w_ntm28)*Sens!H3244)*m_game</f>
        <v>105.849492628264</v>
      </c>
    </row>
    <row r="3258" customFormat="false" ht="17.15" hidden="false" customHeight="false" outlineLevel="0" collapsed="false">
      <c r="A3258" s="1" t="s">
        <v>1257</v>
      </c>
      <c r="B3258" s="0" t="s">
        <v>98</v>
      </c>
      <c r="C3258" s="6" t="n">
        <f aca="false">(w_ntm28*Sens!G3245+(1-w_ntm28)*Sens!H3245)*m_pc</f>
        <v>98.123255561695</v>
      </c>
    </row>
    <row r="3259" customFormat="false" ht="17.15" hidden="false" customHeight="false" outlineLevel="0" collapsed="false">
      <c r="A3259" s="1" t="s">
        <v>1258</v>
      </c>
      <c r="B3259" s="0" t="s">
        <v>98</v>
      </c>
      <c r="C3259" s="6" t="n">
        <f aca="false">Sens!$C$3249+Sens!$C$3251+Sens!$C$3252+Sens!$C$3253+Sens!$C$3254+Sens!$C$3255+Sens!$C$3256+Sens!$C$3257+Sens!$C$3258</f>
        <v>3079.13636555344</v>
      </c>
    </row>
    <row r="3260" customFormat="false" ht="17.15" hidden="false" customHeight="false" outlineLevel="0" collapsed="false">
      <c r="A3260" s="1" t="s">
        <v>1259</v>
      </c>
      <c r="B3260" s="0" t="s">
        <v>98</v>
      </c>
      <c r="C3260" s="6" t="n">
        <f aca="false">(Sens!G3221-Sens!G3246)*t_stub</f>
        <v>49.4808996707612</v>
      </c>
      <c r="L3260" s="1" t="s">
        <v>1260</v>
      </c>
    </row>
    <row r="3261" customFormat="false" ht="17.15" hidden="false" customHeight="false" outlineLevel="0" collapsed="false">
      <c r="A3261" s="1" t="s">
        <v>1169</v>
      </c>
      <c r="B3261" s="0" t="s">
        <v>98</v>
      </c>
      <c r="C3261" s="6" t="n">
        <f aca="false">Sens!F3208+oai_v-Sens!F3197+Sens!$C$3260</f>
        <v>161.840260547918</v>
      </c>
      <c r="L3261" s="1" t="s">
        <v>1261</v>
      </c>
    </row>
    <row r="3262" customFormat="false" ht="17.15" hidden="false" customHeight="false" outlineLevel="0" collapsed="false">
      <c r="A3262" s="1" t="s">
        <v>1262</v>
      </c>
      <c r="B3262" s="0" t="s">
        <v>75</v>
      </c>
      <c r="C3262" s="5" t="n">
        <f aca="false">(Sens!$C$3259+Sens!$C$3261)/(Sens!F3210+dil_gap)-Sens!G3200*roll_div_q/q_per_yr</f>
        <v>431.321309245112</v>
      </c>
      <c r="L3262" s="1" t="s">
        <v>1263</v>
      </c>
    </row>
    <row r="3263" customFormat="false" ht="17.15" hidden="false" customHeight="false" outlineLevel="0" collapsed="false">
      <c r="A3263" s="1" t="s">
        <v>1264</v>
      </c>
      <c r="B3263" s="0" t="s">
        <v>75</v>
      </c>
      <c r="C3263" s="5" t="n">
        <f aca="false">w_dcf*Sens!$C$3233+(1-w_dcf)*Sens!$C$3262</f>
        <v>372.451872574606</v>
      </c>
    </row>
    <row r="3264" customFormat="false" ht="17.15" hidden="false" customHeight="false" outlineLevel="0" collapsed="false">
      <c r="A3264" s="3" t="s">
        <v>1560</v>
      </c>
    </row>
    <row r="3265" customFormat="false" ht="15" hidden="false" customHeight="false" outlineLevel="0" collapsed="false">
      <c r="A3265" s="4" t="s">
        <v>43</v>
      </c>
      <c r="B3265" s="4" t="s">
        <v>65</v>
      </c>
      <c r="C3265" s="23" t="s">
        <v>938</v>
      </c>
      <c r="D3265" s="23" t="s">
        <v>939</v>
      </c>
      <c r="E3265" s="23" t="s">
        <v>940</v>
      </c>
      <c r="F3265" s="23" t="s">
        <v>941</v>
      </c>
      <c r="G3265" s="23" t="s">
        <v>942</v>
      </c>
      <c r="H3265" s="23" t="s">
        <v>943</v>
      </c>
      <c r="I3265" s="23" t="s">
        <v>944</v>
      </c>
      <c r="J3265" s="23" t="s">
        <v>945</v>
      </c>
      <c r="K3265" s="23" t="s">
        <v>946</v>
      </c>
      <c r="L3265" s="4" t="s">
        <v>47</v>
      </c>
    </row>
    <row r="3266" customFormat="false" ht="17.15" hidden="false" customHeight="false" outlineLevel="0" collapsed="false">
      <c r="A3266" s="1" t="s">
        <v>947</v>
      </c>
      <c r="B3266" s="1" t="s">
        <v>279</v>
      </c>
      <c r="C3266" s="21" t="n">
        <v>2024</v>
      </c>
      <c r="D3266" s="21" t="n">
        <v>2025</v>
      </c>
      <c r="E3266" s="21" t="n">
        <v>2026</v>
      </c>
      <c r="F3266" s="21" t="n">
        <v>2027</v>
      </c>
      <c r="G3266" s="21" t="n">
        <v>2028</v>
      </c>
      <c r="H3266" s="21" t="n">
        <v>2029</v>
      </c>
      <c r="I3266" s="21" t="n">
        <v>2030</v>
      </c>
      <c r="J3266" s="21" t="n">
        <v>2031</v>
      </c>
      <c r="K3266" s="21" t="n">
        <v>2032</v>
      </c>
    </row>
    <row r="3267" customFormat="false" ht="17.15" hidden="false" customHeight="false" outlineLevel="0" collapsed="false">
      <c r="A3267" s="1" t="s">
        <v>948</v>
      </c>
      <c r="B3267" s="0" t="s">
        <v>456</v>
      </c>
      <c r="F3267" s="30" t="n">
        <f aca="false">pace_epoch</f>
        <v>650</v>
      </c>
      <c r="G3267" s="30" t="n">
        <f aca="false">pace_epoch</f>
        <v>650</v>
      </c>
      <c r="H3267" s="30" t="n">
        <f aca="false">pace_epoch</f>
        <v>650</v>
      </c>
      <c r="I3267" s="30" t="n">
        <f aca="false">pace_epoch+(g_tv*Sens!H3268-pace_epoch)*MIN(1,(Sens!I3266-pace_y0)/(pace_y1-pace_y0))</f>
        <v>477.193333333333</v>
      </c>
      <c r="J3267" s="30" t="n">
        <f aca="false">pace_epoch+(g_tv*Sens!I3268-pace_epoch)*MIN(1,(Sens!J3266-pace_y0)/(pace_y1-pace_y0))</f>
        <v>304.386666666667</v>
      </c>
      <c r="K3267" s="30" t="n">
        <f aca="false">pace_epoch+(g_tv*Sens!J3268-pace_epoch)*MIN(1,(Sens!K3266-pace_y0)/(pace_y1-pace_y0))</f>
        <v>131.58</v>
      </c>
      <c r="L3267" s="12" t="s">
        <v>949</v>
      </c>
    </row>
    <row r="3268" customFormat="false" ht="17.15" hidden="false" customHeight="false" outlineLevel="0" collapsed="false">
      <c r="A3268" s="1" t="s">
        <v>950</v>
      </c>
      <c r="B3268" s="0" t="s">
        <v>456</v>
      </c>
      <c r="C3268" s="30" t="n">
        <f aca="false">mw_ext_24</f>
        <v>640</v>
      </c>
      <c r="D3268" s="30" t="n">
        <f aca="false">mw_ext_25</f>
        <v>1630</v>
      </c>
      <c r="E3268" s="30" t="n">
        <f aca="false">mw_ext_26</f>
        <v>3250</v>
      </c>
      <c r="F3268" s="30" t="n">
        <f aca="false">MIN(cap_epoch,Sens!E3268+Sens!F3267)</f>
        <v>3900</v>
      </c>
      <c r="G3268" s="30" t="n">
        <f aca="false">MIN(cap_epoch,Sens!F3268+Sens!G3267)</f>
        <v>4386</v>
      </c>
      <c r="H3268" s="30" t="n">
        <f aca="false">MIN(cap_epoch,Sens!G3268+Sens!H3267)</f>
        <v>4386</v>
      </c>
      <c r="I3268" s="30" t="n">
        <f aca="false">MIN(cap_epoch,Sens!H3268+Sens!I3267)</f>
        <v>4386</v>
      </c>
      <c r="J3268" s="30" t="n">
        <f aca="false">MIN(cap_epoch,Sens!I3268+Sens!J3267)</f>
        <v>4386</v>
      </c>
      <c r="K3268" s="30" t="n">
        <f aca="false">MIN(cap_epoch,Sens!J3268+Sens!K3267)</f>
        <v>4386</v>
      </c>
      <c r="L3268" s="1" t="s">
        <v>951</v>
      </c>
    </row>
    <row r="3269" customFormat="false" ht="17.15" hidden="false" customHeight="false" outlineLevel="0" collapsed="false">
      <c r="A3269" s="1" t="s">
        <v>952</v>
      </c>
      <c r="B3269" s="0" t="s">
        <v>456</v>
      </c>
      <c r="C3269" s="30" t="n">
        <f aca="false">rent_ext_24</f>
        <v>150</v>
      </c>
      <c r="D3269" s="30" t="n">
        <f aca="false">rent_ext_25</f>
        <v>400</v>
      </c>
      <c r="E3269" s="30" t="n">
        <f aca="false">rent_ext_26</f>
        <v>550</v>
      </c>
      <c r="F3269" s="30" t="n">
        <f aca="false">rent_ext_f</f>
        <v>756</v>
      </c>
      <c r="G3269" s="30" t="n">
        <f aca="false">rent_ext_f</f>
        <v>756</v>
      </c>
      <c r="H3269" s="30" t="n">
        <f aca="false">rent_ext_f</f>
        <v>756</v>
      </c>
      <c r="I3269" s="30" t="n">
        <f aca="false">rent_ext_f</f>
        <v>756</v>
      </c>
      <c r="J3269" s="30" t="n">
        <f aca="false">rent_ext_f</f>
        <v>756</v>
      </c>
      <c r="K3269" s="30" t="n">
        <f aca="false">rent_ext_f</f>
        <v>756</v>
      </c>
      <c r="L3269" s="1" t="s">
        <v>953</v>
      </c>
    </row>
    <row r="3270" customFormat="false" ht="17.15" hidden="false" customHeight="false" outlineLevel="0" collapsed="false">
      <c r="A3270" s="1" t="s">
        <v>954</v>
      </c>
      <c r="B3270" s="0" t="s">
        <v>456</v>
      </c>
      <c r="C3270" s="30" t="n">
        <f aca="false">Sens!C3268-Sens!C3269</f>
        <v>490</v>
      </c>
      <c r="D3270" s="30" t="n">
        <f aca="false">Sens!D3268-Sens!D3269</f>
        <v>1230</v>
      </c>
      <c r="E3270" s="30" t="n">
        <f aca="false">Sens!E3268-Sens!E3269</f>
        <v>2700</v>
      </c>
      <c r="F3270" s="30" t="n">
        <f aca="false">Sens!F3268-Sens!F3269</f>
        <v>3144</v>
      </c>
      <c r="G3270" s="30" t="n">
        <f aca="false">Sens!G3268-Sens!G3269</f>
        <v>3630</v>
      </c>
      <c r="H3270" s="30" t="n">
        <f aca="false">Sens!H3268-Sens!H3269</f>
        <v>3630</v>
      </c>
      <c r="I3270" s="30" t="n">
        <f aca="false">Sens!I3268-Sens!I3269</f>
        <v>3630</v>
      </c>
      <c r="J3270" s="30" t="n">
        <f aca="false">Sens!J3268-Sens!J3269</f>
        <v>3630</v>
      </c>
      <c r="K3270" s="30" t="n">
        <f aca="false">Sens!K3268-Sens!K3269</f>
        <v>3630</v>
      </c>
    </row>
    <row r="3271" customFormat="false" ht="17.15" hidden="false" customHeight="false" outlineLevel="0" collapsed="false">
      <c r="A3271" s="1" t="s">
        <v>955</v>
      </c>
      <c r="B3271" s="0" t="s">
        <v>456</v>
      </c>
      <c r="C3271" s="30" t="n">
        <f aca="false">Sens!C3270/ext_sh</f>
        <v>816.666666666667</v>
      </c>
      <c r="D3271" s="30" t="n">
        <f aca="false">Sens!D3270/ext_sh</f>
        <v>2050</v>
      </c>
      <c r="E3271" s="30" t="n">
        <f aca="false">Sens!E3270/ext_sh</f>
        <v>4500</v>
      </c>
      <c r="F3271" s="30" t="n">
        <f aca="false">Sens!F3270/ext_sh</f>
        <v>5240</v>
      </c>
      <c r="G3271" s="30" t="n">
        <f aca="false">Sens!G3270/ext_sh</f>
        <v>6050</v>
      </c>
      <c r="H3271" s="30" t="n">
        <f aca="false">Sens!H3270/ext_sh</f>
        <v>6050</v>
      </c>
      <c r="I3271" s="30" t="n">
        <f aca="false">Sens!I3270/ext_sh</f>
        <v>6050</v>
      </c>
      <c r="J3271" s="30" t="n">
        <f aca="false">Sens!J3270/ext_sh</f>
        <v>6050</v>
      </c>
      <c r="K3271" s="30" t="n">
        <f aca="false">Sens!K3270/ext_sh</f>
        <v>6050</v>
      </c>
      <c r="L3271" s="1" t="s">
        <v>956</v>
      </c>
    </row>
    <row r="3272" customFormat="false" ht="17.15" hidden="false" customHeight="false" outlineLevel="0" collapsed="false">
      <c r="A3272" s="1" t="s">
        <v>957</v>
      </c>
      <c r="B3272" s="0" t="s">
        <v>456</v>
      </c>
      <c r="C3272" s="30" t="n">
        <f aca="false">Sens!C3271-Sens!C3270</f>
        <v>326.666666666667</v>
      </c>
      <c r="D3272" s="30" t="n">
        <f aca="false">Sens!D3271-Sens!D3270</f>
        <v>820</v>
      </c>
      <c r="E3272" s="30" t="n">
        <f aca="false">Sens!E3271-Sens!E3270</f>
        <v>1800</v>
      </c>
      <c r="F3272" s="30" t="n">
        <f aca="false">Sens!F3271-Sens!F3270</f>
        <v>2096</v>
      </c>
      <c r="G3272" s="30" t="n">
        <f aca="false">Sens!G3271-Sens!G3270</f>
        <v>2420</v>
      </c>
      <c r="H3272" s="30" t="n">
        <f aca="false">Sens!H3271-Sens!H3270</f>
        <v>2420</v>
      </c>
      <c r="I3272" s="30" t="n">
        <f aca="false">Sens!I3271-Sens!I3270</f>
        <v>2420</v>
      </c>
      <c r="J3272" s="30" t="n">
        <f aca="false">Sens!J3271-Sens!J3270</f>
        <v>2420</v>
      </c>
      <c r="K3272" s="30" t="n">
        <f aca="false">Sens!K3271-Sens!K3270</f>
        <v>2420</v>
      </c>
    </row>
    <row r="3273" customFormat="false" ht="17.15" hidden="false" customHeight="false" outlineLevel="0" collapsed="false">
      <c r="A3273" s="1" t="s">
        <v>958</v>
      </c>
      <c r="B3273" s="0" t="s">
        <v>456</v>
      </c>
      <c r="C3273" s="30" t="n">
        <f aca="false">Sens!C3271</f>
        <v>816.666666666667</v>
      </c>
      <c r="D3273" s="30" t="n">
        <f aca="false">Sens!D3271-Sens!C3271</f>
        <v>1233.33333333333</v>
      </c>
      <c r="E3273" s="30" t="n">
        <f aca="false">Sens!E3271-Sens!D3271</f>
        <v>2450</v>
      </c>
      <c r="F3273" s="30" t="n">
        <f aca="false">Sens!F3271-Sens!E3271</f>
        <v>740</v>
      </c>
      <c r="G3273" s="30" t="n">
        <f aca="false">Sens!G3271-Sens!F3271</f>
        <v>810</v>
      </c>
      <c r="H3273" s="30" t="n">
        <f aca="false">Sens!H3271-Sens!G3271</f>
        <v>0</v>
      </c>
      <c r="I3273" s="30" t="n">
        <f aca="false">Sens!I3271-Sens!H3271</f>
        <v>0</v>
      </c>
      <c r="J3273" s="30" t="n">
        <f aca="false">Sens!J3271-Sens!I3271</f>
        <v>0</v>
      </c>
      <c r="K3273" s="30" t="n">
        <f aca="false">Sens!K3271-Sens!J3271</f>
        <v>0</v>
      </c>
    </row>
    <row r="3274" customFormat="false" ht="17.15" hidden="false" customHeight="false" outlineLevel="0" collapsed="false">
      <c r="A3274" s="1" t="s">
        <v>959</v>
      </c>
      <c r="B3274" s="0" t="s">
        <v>456</v>
      </c>
      <c r="D3274" s="30" t="n">
        <f aca="false">Sens!D3268-Sens!C3268</f>
        <v>990</v>
      </c>
      <c r="E3274" s="30" t="n">
        <f aca="false">Sens!E3268-Sens!D3268</f>
        <v>1620</v>
      </c>
      <c r="F3274" s="30" t="n">
        <f aca="false">Sens!F3268-Sens!E3268</f>
        <v>650</v>
      </c>
      <c r="G3274" s="30" t="n">
        <f aca="false">Sens!G3268-Sens!F3268</f>
        <v>486</v>
      </c>
      <c r="H3274" s="30" t="n">
        <f aca="false">Sens!H3268-Sens!G3268</f>
        <v>0</v>
      </c>
      <c r="I3274" s="30" t="n">
        <f aca="false">Sens!I3268-Sens!H3268</f>
        <v>0</v>
      </c>
      <c r="J3274" s="30" t="n">
        <f aca="false">Sens!J3268-Sens!I3268</f>
        <v>0</v>
      </c>
      <c r="K3274" s="30" t="n">
        <f aca="false">Sens!K3268-Sens!J3268</f>
        <v>0</v>
      </c>
    </row>
    <row r="3275" customFormat="false" ht="17.15" hidden="false" customHeight="false" outlineLevel="0" collapsed="false">
      <c r="A3275" s="1" t="s">
        <v>960</v>
      </c>
      <c r="B3275" s="0" t="s">
        <v>456</v>
      </c>
      <c r="F3275" s="30" t="n">
        <f aca="false">Sens!F3294*ext_sh</f>
        <v>0</v>
      </c>
      <c r="G3275" s="30" t="n">
        <f aca="false">Sens!G3294*ext_sh</f>
        <v>0</v>
      </c>
      <c r="H3275" s="30" t="n">
        <f aca="false">Sens!H3294*ext_sh</f>
        <v>0</v>
      </c>
      <c r="I3275" s="30" t="n">
        <f aca="false">Sens!I3294*ext_sh</f>
        <v>490</v>
      </c>
      <c r="J3275" s="30" t="n">
        <f aca="false">Sens!J3294*ext_sh</f>
        <v>740</v>
      </c>
      <c r="K3275" s="30" t="n">
        <f aca="false">Sens!K3294*ext_sh</f>
        <v>1470</v>
      </c>
      <c r="L3275" s="1" t="s">
        <v>961</v>
      </c>
    </row>
    <row r="3276" customFormat="false" ht="17.15" hidden="false" customHeight="false" outlineLevel="0" collapsed="false">
      <c r="A3276" s="1" t="s">
        <v>962</v>
      </c>
      <c r="B3276" s="0" t="s">
        <v>456</v>
      </c>
      <c r="C3276" s="30" t="n">
        <f aca="false">mix_h*Sens!C3268</f>
        <v>128</v>
      </c>
      <c r="D3276" s="30" t="n">
        <f aca="false">mix_h*Sens!D3268</f>
        <v>326</v>
      </c>
      <c r="E3276" s="30" t="n">
        <f aca="false">mix_h*Sens!E3268</f>
        <v>650</v>
      </c>
      <c r="F3276" s="30" t="n">
        <f aca="false">Sens!E3276-Sens!F3275*mix_h</f>
        <v>650</v>
      </c>
      <c r="G3276" s="30" t="n">
        <f aca="false">Sens!F3276-Sens!G3275*mix_h</f>
        <v>650</v>
      </c>
      <c r="H3276" s="30" t="n">
        <f aca="false">Sens!G3276-Sens!H3275*mix_h</f>
        <v>650</v>
      </c>
      <c r="I3276" s="30" t="n">
        <f aca="false">Sens!H3276-Sens!I3275*mix_h</f>
        <v>552</v>
      </c>
      <c r="J3276" s="30" t="n">
        <f aca="false">Sens!I3276-Sens!J3275*mix_h</f>
        <v>404</v>
      </c>
      <c r="K3276" s="30" t="n">
        <f aca="false">Sens!J3276-Sens!K3275*mix_h</f>
        <v>110</v>
      </c>
    </row>
    <row r="3277" customFormat="false" ht="17.15" hidden="false" customHeight="false" outlineLevel="0" collapsed="false">
      <c r="A3277" s="1" t="s">
        <v>963</v>
      </c>
      <c r="B3277" s="0" t="s">
        <v>456</v>
      </c>
      <c r="C3277" s="30" t="n">
        <f aca="false">mix_g2*Sens!C3268</f>
        <v>288</v>
      </c>
      <c r="D3277" s="30" t="n">
        <f aca="false">mix_g2*Sens!D3268</f>
        <v>733.5</v>
      </c>
      <c r="E3277" s="30" t="n">
        <f aca="false">mix_g2*Sens!E3268</f>
        <v>1462.5</v>
      </c>
      <c r="F3277" s="30" t="n">
        <f aca="false">Sens!E3277-Sens!F3275*mix_g2</f>
        <v>1462.5</v>
      </c>
      <c r="G3277" s="30" t="n">
        <f aca="false">Sens!F3277-Sens!G3275*mix_g2</f>
        <v>1462.5</v>
      </c>
      <c r="H3277" s="30" t="n">
        <f aca="false">Sens!G3277-Sens!H3275*mix_g2</f>
        <v>1462.5</v>
      </c>
      <c r="I3277" s="30" t="n">
        <f aca="false">Sens!H3277-Sens!I3275*mix_g2</f>
        <v>1242</v>
      </c>
      <c r="J3277" s="30" t="n">
        <f aca="false">Sens!I3277-Sens!J3275*mix_g2</f>
        <v>909</v>
      </c>
      <c r="K3277" s="30" t="n">
        <f aca="false">Sens!J3277-Sens!K3275*mix_g2</f>
        <v>247.5</v>
      </c>
    </row>
    <row r="3278" customFormat="false" ht="17.15" hidden="false" customHeight="false" outlineLevel="0" collapsed="false">
      <c r="A3278" s="1" t="s">
        <v>964</v>
      </c>
      <c r="B3278" s="0" t="s">
        <v>456</v>
      </c>
      <c r="C3278" s="30" t="n">
        <f aca="false">mix_g3*Sens!C3268</f>
        <v>224</v>
      </c>
      <c r="D3278" s="30" t="n">
        <f aca="false">mix_g3*Sens!D3268</f>
        <v>570.5</v>
      </c>
      <c r="E3278" s="30" t="n">
        <f aca="false">mix_g3*Sens!E3268</f>
        <v>1137.5</v>
      </c>
      <c r="F3278" s="30" t="n">
        <f aca="false">Sens!E3278+(Sens!F3274+Sens!F3275)*(a_g3_27-nonnv*a_mai)-Sens!F3275*mix_g3</f>
        <v>1527.5</v>
      </c>
      <c r="G3278" s="30" t="n">
        <f aca="false">Sens!F3278+(Sens!G3274+Sens!G3275)*(a_g3_28-nonnv*a_mai)-Sens!G3275*mix_g3</f>
        <v>1624.7</v>
      </c>
      <c r="H3278" s="30" t="n">
        <f aca="false">Sens!G3278+(Sens!H3274+Sens!H3275)*(a_g3_29-nonnv*a_mai)-Sens!H3275*mix_g3</f>
        <v>1624.7</v>
      </c>
      <c r="I3278" s="30" t="n">
        <f aca="false">Sens!H3278+(Sens!I3274+Sens!I3275)*(a_g3_29-nonnv*a_mai)-Sens!I3275*mix_g3</f>
        <v>1453.2</v>
      </c>
      <c r="J3278" s="30" t="n">
        <f aca="false">Sens!I3278+(Sens!J3274+Sens!J3275)*(a_g3_29-nonnv*a_mai)-Sens!J3275*mix_g3</f>
        <v>1194.2</v>
      </c>
      <c r="K3278" s="30" t="n">
        <f aca="false">Sens!J3278+(Sens!K3274+Sens!K3275)*(a_g3_29-nonnv*a_mai)-Sens!K3275*mix_g3</f>
        <v>679.7</v>
      </c>
    </row>
    <row r="3279" customFormat="false" ht="17.15" hidden="false" customHeight="false" outlineLevel="0" collapsed="false">
      <c r="A3279" s="1" t="s">
        <v>965</v>
      </c>
      <c r="B3279" s="0" t="s">
        <v>456</v>
      </c>
      <c r="C3279" s="30" t="n">
        <v>0</v>
      </c>
      <c r="D3279" s="30" t="n">
        <v>0</v>
      </c>
      <c r="E3279" s="30" t="n">
        <v>0</v>
      </c>
      <c r="F3279" s="30" t="n">
        <f aca="false">Sens!E3279+(Sens!F3274+Sens!F3275)*nonnv*a_mai</f>
        <v>65</v>
      </c>
      <c r="G3279" s="30" t="n">
        <f aca="false">Sens!F3279+(Sens!G3274+Sens!G3275)*nonnv*a_mai</f>
        <v>113.6</v>
      </c>
      <c r="H3279" s="30" t="n">
        <f aca="false">Sens!G3279+(Sens!H3274+Sens!H3275)*nonnv*a_mai</f>
        <v>113.6</v>
      </c>
      <c r="I3279" s="30" t="n">
        <f aca="false">Sens!H3279+(Sens!I3274+Sens!I3275)*nonnv*a_mai</f>
        <v>162.6</v>
      </c>
      <c r="J3279" s="30" t="n">
        <f aca="false">Sens!I3279+(Sens!J3274+Sens!J3275)*nonnv*a_mai</f>
        <v>236.6</v>
      </c>
      <c r="K3279" s="30" t="n">
        <f aca="false">Sens!J3279+(Sens!K3274+Sens!K3275)*nonnv*a_mai</f>
        <v>383.6</v>
      </c>
      <c r="L3279" s="12" t="s">
        <v>966</v>
      </c>
    </row>
    <row r="3280" customFormat="false" ht="17.15" hidden="false" customHeight="false" outlineLevel="0" collapsed="false">
      <c r="A3280" s="1" t="s">
        <v>967</v>
      </c>
      <c r="B3280" s="0" t="s">
        <v>456</v>
      </c>
      <c r="C3280" s="30" t="n">
        <v>0</v>
      </c>
      <c r="D3280" s="30" t="n">
        <v>0</v>
      </c>
      <c r="E3280" s="30" t="n">
        <v>0</v>
      </c>
      <c r="F3280" s="30" t="n">
        <f aca="false">Sens!E3280+(Sens!F3274+Sens!F3275)*(1-a_g3_27)</f>
        <v>195</v>
      </c>
      <c r="G3280" s="30" t="n">
        <f aca="false">Sens!F3280+(Sens!G3274+Sens!G3275)*(1-a_g3_28)</f>
        <v>535.2</v>
      </c>
      <c r="H3280" s="30" t="n">
        <f aca="false">Sens!G3280+(Sens!H3274+Sens!H3275)*(1-a_g3_29)</f>
        <v>535.2</v>
      </c>
      <c r="I3280" s="30" t="n">
        <f aca="false">Sens!H3280+(Sens!I3274+Sens!I3275)*(1-a_g3_29)</f>
        <v>976.2</v>
      </c>
      <c r="J3280" s="30" t="n">
        <f aca="false">Sens!I3280+(Sens!J3274+Sens!J3275)*(1-a_g3_29)</f>
        <v>1642.2</v>
      </c>
      <c r="K3280" s="30" t="n">
        <f aca="false">Sens!J3280+(Sens!K3274+Sens!K3275)*(1-a_g3_29)</f>
        <v>2965.2</v>
      </c>
    </row>
    <row r="3281" customFormat="false" ht="17.15" hidden="false" customHeight="false" outlineLevel="0" collapsed="false">
      <c r="A3281" s="1" t="s">
        <v>968</v>
      </c>
      <c r="B3281" s="0" t="s">
        <v>403</v>
      </c>
      <c r="C3281" s="15" t="n">
        <f aca="false">(Sens!C3276*tk_hold_h100+Sens!C3277*tk_hold_gb200+Sens!C3278*tk_hold_gb300+Sens!C3280*tk_hold_vr200+Sens!C3279*nv_hold_mai*tk_hold_vr200)/Sens!C3268</f>
        <v>9.7235358126469</v>
      </c>
      <c r="D3281" s="15" t="n">
        <f aca="false">(Sens!D3276*tk_hold_h100+Sens!D3277*tk_hold_gb200+Sens!D3278*tk_hold_gb300+Sens!D3280*tk_hold_vr200+Sens!D3279*nv_hold_mai*tk_hold_vr200)/Sens!D3268</f>
        <v>9.7235358126469</v>
      </c>
      <c r="E3281" s="15" t="n">
        <f aca="false">(Sens!E3276*tk_hold_h100+Sens!E3277*tk_hold_gb200+Sens!E3278*tk_hold_gb300+Sens!E3280*tk_hold_vr200+Sens!E3279*nv_hold_mai*tk_hold_vr200)/Sens!E3268</f>
        <v>9.7235358126469</v>
      </c>
      <c r="F3281" s="15" t="n">
        <f aca="false">(Sens!F3276*tk_hold_h100+Sens!F3277*tk_hold_gb200+Sens!F3278*tk_hold_gb300+Sens!F3280*tk_hold_vr200+Sens!F3279*nv_hold_mai*tk_hold_vr200)/Sens!F3268</f>
        <v>9.9047400860175</v>
      </c>
      <c r="G3281" s="15" t="n">
        <f aca="false">(Sens!G3276*tk_hold_h100+Sens!G3277*tk_hold_gb200+Sens!G3278*tk_hold_gb300+Sens!G3280*tk_hold_vr200+Sens!G3279*nv_hold_mai*tk_hold_vr200)/Sens!G3268</f>
        <v>10.0644846479809</v>
      </c>
      <c r="H3281" s="15" t="n">
        <f aca="false">(Sens!H3276*tk_hold_h100+Sens!H3277*tk_hold_gb200+Sens!H3278*tk_hold_gb300+Sens!H3280*tk_hold_vr200+Sens!H3279*nv_hold_mai*tk_hold_vr200)/Sens!H3268</f>
        <v>10.0644846479809</v>
      </c>
      <c r="I3281" s="15" t="n">
        <f aca="false">(Sens!I3276*tk_hold_h100+Sens!I3277*tk_hold_gb200+Sens!I3278*tk_hold_gb300+Sens!I3280*tk_hold_vr200+Sens!I3279*nv_hold_mai*tk_hold_vr200)/Sens!I3268</f>
        <v>10.2757076768083</v>
      </c>
      <c r="J3281" s="15" t="n">
        <f aca="false">(Sens!J3276*tk_hold_h100+Sens!J3277*tk_hold_gb200+Sens!J3278*tk_hold_gb300+Sens!J3280*tk_hold_vr200+Sens!J3279*nv_hold_mai*tk_hold_vr200)/Sens!J3268</f>
        <v>10.5946975570782</v>
      </c>
      <c r="K3281" s="15" t="n">
        <f aca="false">(Sens!K3276*tk_hold_h100+Sens!K3277*tk_hold_gb200+Sens!K3278*tk_hold_gb300+Sens!K3280*tk_hold_vr200+Sens!K3279*nv_hold_mai*tk_hold_vr200)/Sens!K3268</f>
        <v>11.2283666435604</v>
      </c>
      <c r="L3281" s="1" t="s">
        <v>969</v>
      </c>
    </row>
    <row r="3282" customFormat="false" ht="17.15" hidden="false" customHeight="false" outlineLevel="0" collapsed="false">
      <c r="A3282" s="1" t="s">
        <v>970</v>
      </c>
      <c r="B3282" s="0" t="s">
        <v>403</v>
      </c>
      <c r="C3282" s="15" t="n">
        <f aca="false">(Sens!C3276*tk_hold_h100+Sens!C3277*tk_hold_gb200+Sens!C3278*tk_hold_gb300+Sens!C3280*tk_hold_vr200+Sens!C3279*nv_out_mai*tk_hold_vr200)/Sens!C3268</f>
        <v>9.7235358126469</v>
      </c>
      <c r="D3282" s="15" t="n">
        <f aca="false">(Sens!D3276*tk_hold_h100+Sens!D3277*tk_hold_gb200+Sens!D3278*tk_hold_gb300+Sens!D3280*tk_hold_vr200+Sens!D3279*nv_out_mai*tk_hold_vr200)/Sens!D3268</f>
        <v>9.7235358126469</v>
      </c>
      <c r="E3282" s="15" t="n">
        <f aca="false">(Sens!E3276*tk_hold_h100+Sens!E3277*tk_hold_gb200+Sens!E3278*tk_hold_gb300+Sens!E3280*tk_hold_vr200+Sens!E3279*nv_out_mai*tk_hold_vr200)/Sens!E3268</f>
        <v>9.7235358126469</v>
      </c>
      <c r="F3282" s="15" t="n">
        <f aca="false">(Sens!F3276*tk_hold_h100+Sens!F3277*tk_hold_gb200+Sens!F3278*tk_hold_gb300+Sens!F3280*tk_hold_vr200+Sens!F3279*nv_out_mai*tk_hold_vr200)/Sens!F3268</f>
        <v>9.91492797852132</v>
      </c>
      <c r="G3282" s="15" t="n">
        <f aca="false">(Sens!G3276*tk_hold_h100+Sens!G3277*tk_hold_gb200+Sens!G3278*tk_hold_gb300+Sens!G3280*tk_hold_vr200+Sens!G3279*nv_out_mai*tk_hold_vr200)/Sens!G3268</f>
        <v>10.0803169952919</v>
      </c>
      <c r="H3282" s="15" t="n">
        <f aca="false">(Sens!H3276*tk_hold_h100+Sens!H3277*tk_hold_gb200+Sens!H3278*tk_hold_gb300+Sens!H3280*tk_hold_vr200+Sens!H3279*nv_out_mai*tk_hold_vr200)/Sens!H3268</f>
        <v>10.0803169952919</v>
      </c>
      <c r="I3282" s="15" t="n">
        <f aca="false">(Sens!I3276*tk_hold_h100+Sens!I3277*tk_hold_gb200+Sens!I3278*tk_hold_gb300+Sens!I3280*tk_hold_vr200+Sens!I3279*nv_out_mai*tk_hold_vr200)/Sens!I3268</f>
        <v>10.2983691175897</v>
      </c>
      <c r="J3282" s="15" t="n">
        <f aca="false">(Sens!J3276*tk_hold_h100+Sens!J3277*tk_hold_gb200+Sens!J3278*tk_hold_gb300+Sens!J3280*tk_hold_vr200+Sens!J3279*nv_out_mai*tk_hold_vr200)/Sens!J3268</f>
        <v>10.6276723226925</v>
      </c>
      <c r="K3282" s="15" t="n">
        <f aca="false">(Sens!K3276*tk_hold_h100+Sens!K3277*tk_hold_gb200+Sens!K3278*tk_hold_gb300+Sens!K3280*tk_hold_vr200+Sens!K3279*nv_out_mai*tk_hold_vr200)/Sens!K3268</f>
        <v>11.2818286895859</v>
      </c>
      <c r="L3282" s="12" t="s">
        <v>971</v>
      </c>
    </row>
    <row r="3283" customFormat="false" ht="17.15" hidden="false" customHeight="false" outlineLevel="0" collapsed="false">
      <c r="A3283" s="0" t="s">
        <v>972</v>
      </c>
      <c r="B3283" s="0" t="s">
        <v>229</v>
      </c>
      <c r="C3283" s="15" t="n">
        <f aca="false">k_B</f>
        <v>1.17213932619116</v>
      </c>
      <c r="D3283" s="15" t="n">
        <f aca="false">k_B</f>
        <v>1.17213932619116</v>
      </c>
      <c r="E3283" s="15" t="n">
        <f aca="false">k_B</f>
        <v>1.17213932619116</v>
      </c>
      <c r="F3283" s="15" t="n">
        <f aca="false">(k_B+((ls_B*k_long+(1-ls_B)*k_spot)-k_B)*MIN(1,(Sens!F3266-base_fy)/k_ramp))</f>
        <v>1.17213932619116</v>
      </c>
      <c r="G3283" s="15" t="n">
        <f aca="false">(k_B+((ls_B*k_long+(1-ls_B)*k_spot)-k_B)*MIN(1,(Sens!G3266-base_fy)/k_ramp))</f>
        <v>1.17213932619116</v>
      </c>
      <c r="H3283" s="15" t="n">
        <f aca="false">(k_B+((ls_B*k_long+(1-ls_B)*k_spot)-k_B)*MIN(1,(Sens!H3266-base_fy)/k_ramp))</f>
        <v>1.17213932619116</v>
      </c>
      <c r="I3283" s="15" t="n">
        <f aca="false">(k_B+((ls_B*k_long+(1-ls_B)*k_spot)-k_B)*MIN(1,(Sens!I3266-base_fy)/k_ramp))</f>
        <v>1.17213932619116</v>
      </c>
      <c r="J3283" s="15" t="n">
        <f aca="false">(k_B+((ls_B*k_long+(1-ls_B)*k_spot)-k_B)*MIN(1,(Sens!J3266-base_fy)/k_ramp))</f>
        <v>1.17213932619116</v>
      </c>
      <c r="K3283" s="15" t="n">
        <f aca="false">(k_B+((ls_B*k_long+(1-ls_B)*k_spot)-k_B)*MIN(1,(Sens!K3266-base_fy)/k_ramp))</f>
        <v>1.17213932619116</v>
      </c>
      <c r="L3283" s="1" t="s">
        <v>973</v>
      </c>
    </row>
    <row r="3284" customFormat="false" ht="17.15" hidden="false" customHeight="false" outlineLevel="0" collapsed="false">
      <c r="A3284" s="1" t="s">
        <v>974</v>
      </c>
      <c r="B3284" s="0" t="s">
        <v>403</v>
      </c>
      <c r="C3284" s="15" t="n">
        <f aca="false">Sens!C3282*Sens!C3283*chip_f</f>
        <v>11.3973387156315</v>
      </c>
      <c r="D3284" s="15" t="n">
        <f aca="false">Sens!D3282*Sens!D3283*chip_f</f>
        <v>11.3973387156315</v>
      </c>
      <c r="E3284" s="15" t="n">
        <f aca="false">Sens!E3282*Sens!E3283*chip_f</f>
        <v>11.3973387156315</v>
      </c>
      <c r="F3284" s="15" t="n">
        <f aca="false">Sens!F3282*Sens!F3283*chip_f</f>
        <v>11.6216769999778</v>
      </c>
      <c r="G3284" s="15" t="n">
        <f aca="false">Sens!G3282*Sens!G3283*chip_f</f>
        <v>11.8155359706547</v>
      </c>
      <c r="H3284" s="15" t="n">
        <f aca="false">Sens!H3282*Sens!H3283*chip_f</f>
        <v>11.8155359706547</v>
      </c>
      <c r="I3284" s="15" t="n">
        <f aca="false">Sens!I3282*Sens!I3283*chip_f</f>
        <v>12.0711234383594</v>
      </c>
      <c r="J3284" s="15" t="n">
        <f aca="false">Sens!J3282*Sens!J3283*chip_f</f>
        <v>12.4571126753012</v>
      </c>
      <c r="K3284" s="15" t="n">
        <f aca="false">Sens!K3282*Sens!K3283*chip_f</f>
        <v>13.2238750784153</v>
      </c>
      <c r="L3284" s="1" t="s">
        <v>975</v>
      </c>
    </row>
    <row r="3285" customFormat="false" ht="17.15" hidden="false" customHeight="false" outlineLevel="0" collapsed="false">
      <c r="A3285" s="0" t="s">
        <v>976</v>
      </c>
      <c r="B3285" s="0" t="s">
        <v>98</v>
      </c>
      <c r="D3285" s="6" t="n">
        <f aca="false">(Sens!C3268+Sens!D3268)/2*Sens!D3284/1000</f>
        <v>12.9359794422418</v>
      </c>
      <c r="E3285" s="6" t="n">
        <f aca="false">(Sens!D3268+Sens!E3268)/2*Sens!E3284/1000</f>
        <v>27.8095064661409</v>
      </c>
      <c r="F3285" s="6" t="n">
        <f aca="false">(Sens!E3268+Sens!F3268)/2*Sens!F3284/1000</f>
        <v>41.5474952749207</v>
      </c>
      <c r="G3285" s="6" t="n">
        <f aca="false">(Sens!F3268+Sens!G3268)/2*Sens!G3284/1000</f>
        <v>48.9517655264224</v>
      </c>
      <c r="H3285" s="6" t="n">
        <f aca="false">(Sens!G3268+Sens!H3268)/2*Sens!H3284/1000</f>
        <v>51.8229407672915</v>
      </c>
      <c r="I3285" s="6" t="n">
        <f aca="false">(Sens!H3268+Sens!I3268)/2*Sens!I3284/1000</f>
        <v>52.9439474006443</v>
      </c>
      <c r="J3285" s="6" t="n">
        <f aca="false">(Sens!I3268+Sens!J3268)/2*Sens!J3284/1000</f>
        <v>54.636896193871</v>
      </c>
      <c r="K3285" s="6" t="n">
        <f aca="false">(Sens!J3268+Sens!K3268)/2*Sens!K3284/1000</f>
        <v>57.9999160939293</v>
      </c>
      <c r="L3285" s="12" t="s">
        <v>977</v>
      </c>
    </row>
    <row r="3286" customFormat="false" ht="17.15" hidden="false" customHeight="false" outlineLevel="0" collapsed="false">
      <c r="A3286" s="1" t="s">
        <v>978</v>
      </c>
      <c r="B3286" s="0" t="s">
        <v>403</v>
      </c>
      <c r="C3286" s="15" t="n">
        <f aca="false">(Sens!C3276*tk_opex_h100+Sens!C3277*tk_opex_gb200+Sens!C3278*tk_opex_gb300+(Sens!C3280+Sens!C3279)*tk_opex_vr200)/Sens!C3268</f>
        <v>1.88636041306092</v>
      </c>
      <c r="D3286" s="15" t="n">
        <f aca="false">(Sens!D3276*tk_opex_h100+Sens!D3277*tk_opex_gb200+Sens!D3278*tk_opex_gb300+(Sens!D3280+Sens!D3279)*tk_opex_vr200)/Sens!D3268</f>
        <v>1.88636041306092</v>
      </c>
      <c r="E3286" s="15" t="n">
        <f aca="false">(Sens!E3276*tk_opex_h100+Sens!E3277*tk_opex_gb200+Sens!E3278*tk_opex_gb300+(Sens!E3280+Sens!E3279)*tk_opex_vr200)/Sens!E3268</f>
        <v>1.88636041306092</v>
      </c>
      <c r="F3286" s="15" t="n">
        <f aca="false">(Sens!F3276*tk_opex_h100+Sens!F3277*tk_opex_gb200+Sens!F3278*tk_opex_gb300+(Sens!F3280+Sens!F3279)*tk_opex_vr200)/Sens!F3268</f>
        <v>1.90979686208616</v>
      </c>
      <c r="G3286" s="15" t="n">
        <f aca="false">(Sens!G3276*tk_opex_h100+Sens!G3277*tk_opex_gb200+Sens!G3278*tk_opex_gb300+(Sens!G3280+Sens!G3279)*tk_opex_vr200)/Sens!G3268</f>
        <v>1.92769515165485</v>
      </c>
      <c r="H3286" s="15" t="n">
        <f aca="false">(Sens!H3276*tk_opex_h100+Sens!H3277*tk_opex_gb200+Sens!H3278*tk_opex_gb300+(Sens!H3280+Sens!H3279)*tk_opex_vr200)/Sens!H3268</f>
        <v>1.92769515165485</v>
      </c>
      <c r="I3286" s="15" t="n">
        <f aca="false">(Sens!I3276*tk_opex_h100+Sens!I3277*tk_opex_gb200+Sens!I3278*tk_opex_gb300+(Sens!I3280+Sens!I3279)*tk_opex_vr200)/Sens!I3268</f>
        <v>1.95083610383771</v>
      </c>
      <c r="J3286" s="15" t="n">
        <f aca="false">(Sens!J3276*tk_opex_h100+Sens!J3277*tk_opex_gb200+Sens!J3278*tk_opex_gb300+(Sens!J3280+Sens!J3279)*tk_opex_vr200)/Sens!J3268</f>
        <v>1.98578366427713</v>
      </c>
      <c r="K3286" s="15" t="n">
        <f aca="false">(Sens!K3276*tk_opex_h100+Sens!K3277*tk_opex_gb200+Sens!K3278*tk_opex_gb300+(Sens!K3280+Sens!K3279)*tk_opex_vr200)/Sens!K3268</f>
        <v>2.05520652082571</v>
      </c>
      <c r="L3286" s="12" t="s">
        <v>979</v>
      </c>
    </row>
    <row r="3287" customFormat="false" ht="17.15" hidden="false" customHeight="false" outlineLevel="0" collapsed="false">
      <c r="A3287" s="0" t="s">
        <v>980</v>
      </c>
      <c r="B3287" s="0" t="s">
        <v>98</v>
      </c>
      <c r="D3287" s="6" t="n">
        <f aca="false">(Sens!C3271+Sens!D3271)/2*Sens!D3286/1000</f>
        <v>2.70378325872065</v>
      </c>
      <c r="E3287" s="6" t="n">
        <f aca="false">(Sens!D3271+Sens!E3271)/2*Sens!E3286/1000</f>
        <v>6.17783035277451</v>
      </c>
      <c r="F3287" s="6" t="n">
        <f aca="false">(Sens!E3271+Sens!F3271)/2*Sens!F3286/1000</f>
        <v>9.30071071835958</v>
      </c>
      <c r="G3287" s="6" t="n">
        <f aca="false">(Sens!F3271+Sens!G3271)/2*Sens!G3286/1000</f>
        <v>10.8818391310916</v>
      </c>
      <c r="H3287" s="6" t="n">
        <f aca="false">(Sens!G3271+Sens!H3271)/2*Sens!H3286/1000</f>
        <v>11.6625556675118</v>
      </c>
      <c r="I3287" s="6" t="n">
        <f aca="false">(Sens!H3271+Sens!I3271)/2*Sens!I3286/1000</f>
        <v>11.8025584282181</v>
      </c>
      <c r="J3287" s="6" t="n">
        <f aca="false">(Sens!I3271+Sens!J3271)/2*Sens!J3286/1000</f>
        <v>12.0139911688766</v>
      </c>
      <c r="K3287" s="6" t="n">
        <f aca="false">(Sens!J3271+Sens!K3271)/2*Sens!K3286/1000</f>
        <v>12.4339994509955</v>
      </c>
    </row>
    <row r="3288" customFormat="false" ht="17.15" hidden="false" customHeight="false" outlineLevel="0" collapsed="false">
      <c r="A3288" s="0" t="s">
        <v>981</v>
      </c>
      <c r="B3288" s="0" t="s">
        <v>98</v>
      </c>
      <c r="D3288" s="6" t="n">
        <f aca="false">(Sens!C3269+Sens!D3269)/2*rent_mw/1000</f>
        <v>2.44475</v>
      </c>
      <c r="E3288" s="6" t="n">
        <f aca="false">(Sens!D3269+Sens!E3269)/2*rent_mw/1000</f>
        <v>4.22275</v>
      </c>
      <c r="F3288" s="6" t="n">
        <f aca="false">(Sens!E3269+Sens!F3269)/2*rent_mw/1000</f>
        <v>5.80517</v>
      </c>
      <c r="G3288" s="6" t="n">
        <f aca="false">(Sens!F3269+Sens!G3269)/2*rent_mw/1000</f>
        <v>6.72084</v>
      </c>
      <c r="H3288" s="6" t="n">
        <f aca="false">(Sens!G3269+Sens!H3269)/2*rent_mw/1000</f>
        <v>6.72084</v>
      </c>
      <c r="I3288" s="6" t="n">
        <f aca="false">(Sens!H3269+Sens!I3269)/2*rent_mw/1000</f>
        <v>6.72084</v>
      </c>
      <c r="J3288" s="6" t="n">
        <f aca="false">(Sens!I3269+Sens!J3269)/2*rent_mw/1000</f>
        <v>6.72084</v>
      </c>
      <c r="K3288" s="6" t="n">
        <f aca="false">(Sens!J3269+Sens!K3269)/2*rent_mw/1000</f>
        <v>6.72084</v>
      </c>
    </row>
    <row r="3289" customFormat="false" ht="17.15" hidden="false" customHeight="false" outlineLevel="0" collapsed="false">
      <c r="A3289" s="0" t="s">
        <v>982</v>
      </c>
      <c r="B3289" s="0" t="s">
        <v>98</v>
      </c>
      <c r="D3289" s="6" t="n">
        <f aca="false">(Sens!C3271+Sens!D3271)/2*(1-self_build)*fac_rent/1000</f>
        <v>0.853242375631075</v>
      </c>
      <c r="E3289" s="6" t="n">
        <f aca="false">(Sens!D3271+Sens!E3271)/2*(1-self_build)*fac_rent/1000</f>
        <v>1.94955961408728</v>
      </c>
      <c r="F3289" s="6" t="n">
        <f aca="false">(Sens!E3271+Sens!F3271)/2*(1-self_build)*fac_rent/1000</f>
        <v>2.89903979255117</v>
      </c>
      <c r="G3289" s="6" t="n">
        <f aca="false">(Sens!F3271+Sens!G3271)/2*(1-self_build)*fac_rent/1000</f>
        <v>3.36038596077029</v>
      </c>
      <c r="H3289" s="6" t="n">
        <f aca="false">(Sens!G3271+Sens!H3271)/2*(1-self_build)*fac_rent/1000</f>
        <v>3.60147653900094</v>
      </c>
      <c r="I3289" s="6" t="n">
        <f aca="false">(Sens!H3271+Sens!I3271)/2*(1-self_build)*fac_rent/1000</f>
        <v>3.60147653900094</v>
      </c>
      <c r="J3289" s="6" t="n">
        <f aca="false">(Sens!I3271+Sens!J3271)/2*(1-self_build)*fac_rent/1000</f>
        <v>3.60147653900094</v>
      </c>
      <c r="K3289" s="6" t="n">
        <f aca="false">(Sens!J3271+Sens!K3271)/2*(1-self_build)*fac_rent/1000</f>
        <v>3.60147653900094</v>
      </c>
      <c r="L3289" s="12" t="s">
        <v>983</v>
      </c>
    </row>
    <row r="3290" customFormat="false" ht="17.15" hidden="false" customHeight="false" outlineLevel="0" collapsed="false">
      <c r="A3290" s="1" t="s">
        <v>984</v>
      </c>
      <c r="B3290" s="0" t="s">
        <v>168</v>
      </c>
      <c r="D3290" s="7" t="n">
        <f aca="false">(Sens!C3270+Sens!D3270)/(Sens!C3271+Sens!D3271)</f>
        <v>0.6</v>
      </c>
      <c r="E3290" s="7" t="n">
        <f aca="false">(Sens!D3270+Sens!E3270)/(Sens!D3271+Sens!E3271)</f>
        <v>0.6</v>
      </c>
      <c r="F3290" s="7" t="n">
        <f aca="false">(Sens!E3270+Sens!F3270)/(Sens!E3271+Sens!F3271)</f>
        <v>0.6</v>
      </c>
      <c r="G3290" s="7" t="n">
        <f aca="false">(Sens!F3270+Sens!G3270)/(Sens!F3271+Sens!G3271)</f>
        <v>0.6</v>
      </c>
      <c r="H3290" s="7" t="n">
        <f aca="false">(Sens!G3270+Sens!H3270)/(Sens!G3271+Sens!H3271)</f>
        <v>0.6</v>
      </c>
      <c r="I3290" s="7" t="n">
        <f aca="false">(Sens!H3270+Sens!I3270)/(Sens!H3271+Sens!I3271)</f>
        <v>0.6</v>
      </c>
      <c r="J3290" s="7" t="n">
        <f aca="false">(Sens!I3270+Sens!J3270)/(Sens!I3271+Sens!J3271)</f>
        <v>0.6</v>
      </c>
      <c r="K3290" s="7" t="n">
        <f aca="false">(Sens!J3270+Sens!K3270)/(Sens!J3271+Sens!K3271)</f>
        <v>0.6</v>
      </c>
    </row>
    <row r="3291" customFormat="false" ht="17.15" hidden="false" customHeight="false" outlineLevel="0" collapsed="false">
      <c r="A3291" s="0" t="s">
        <v>985</v>
      </c>
      <c r="B3291" s="0" t="s">
        <v>98</v>
      </c>
      <c r="D3291" s="6" t="n">
        <f aca="false">Sens!D3285-Sens!D3290*(Sens!D3287+Sens!D3289)-Sens!D3288</f>
        <v>8.35701406163072</v>
      </c>
      <c r="E3291" s="6" t="n">
        <f aca="false">Sens!E3285-Sens!E3290*(Sens!E3287+Sens!E3289)-Sens!E3288</f>
        <v>18.7103224860238</v>
      </c>
      <c r="F3291" s="6" t="n">
        <f aca="false">Sens!F3285-Sens!F3290*(Sens!F3287+Sens!F3289)-Sens!F3288</f>
        <v>28.4224749683742</v>
      </c>
      <c r="G3291" s="6" t="n">
        <f aca="false">Sens!G3285-Sens!G3290*(Sens!G3287+Sens!G3289)-Sens!G3288</f>
        <v>33.6855904713053</v>
      </c>
      <c r="H3291" s="6" t="n">
        <f aca="false">Sens!H3285-Sens!H3290*(Sens!H3287+Sens!H3289)-Sens!H3288</f>
        <v>35.9436814433839</v>
      </c>
      <c r="I3291" s="6" t="n">
        <f aca="false">Sens!I3285-Sens!I3290*(Sens!I3287+Sens!I3289)-Sens!I3288</f>
        <v>36.9806864203129</v>
      </c>
      <c r="J3291" s="6" t="n">
        <f aca="false">Sens!J3285-Sens!J3290*(Sens!J3287+Sens!J3289)-Sens!J3288</f>
        <v>38.5467755691444</v>
      </c>
      <c r="K3291" s="6" t="n">
        <f aca="false">Sens!K3285-Sens!K3290*(Sens!K3287+Sens!K3289)-Sens!K3288</f>
        <v>41.6577904999314</v>
      </c>
    </row>
    <row r="3292" customFormat="false" ht="17.15" hidden="false" customHeight="false" outlineLevel="0" collapsed="false">
      <c r="A3292" s="1" t="s">
        <v>986</v>
      </c>
      <c r="B3292" s="0" t="s">
        <v>98</v>
      </c>
      <c r="D3292" s="6" t="n">
        <f aca="false">(1-Sens!D3290)*(Sens!D3287+Sens!D3289)</f>
        <v>1.42281025374069</v>
      </c>
      <c r="E3292" s="6" t="n">
        <f aca="false">(1-Sens!E3290)*(Sens!E3287+Sens!E3289)</f>
        <v>3.25095598674472</v>
      </c>
      <c r="F3292" s="6" t="n">
        <f aca="false">(1-Sens!F3290)*(Sens!F3287+Sens!F3289)</f>
        <v>4.8799002043643</v>
      </c>
      <c r="G3292" s="6" t="n">
        <f aca="false">(1-Sens!G3290)*(Sens!G3287+Sens!G3289)</f>
        <v>5.69689003674476</v>
      </c>
      <c r="H3292" s="6" t="n">
        <f aca="false">(1-Sens!H3290)*(Sens!H3287+Sens!H3289)</f>
        <v>6.1056128826051</v>
      </c>
      <c r="I3292" s="6" t="n">
        <f aca="false">(1-Sens!I3290)*(Sens!I3287+Sens!I3289)</f>
        <v>6.16161398688763</v>
      </c>
      <c r="J3292" s="6" t="n">
        <f aca="false">(1-Sens!J3290)*(Sens!J3287+Sens!J3289)</f>
        <v>6.24618708315103</v>
      </c>
      <c r="K3292" s="6" t="n">
        <f aca="false">(1-Sens!K3290)*(Sens!K3287+Sens!K3289)</f>
        <v>6.41419039599859</v>
      </c>
    </row>
    <row r="3293" customFormat="false" ht="17.15" hidden="false" customHeight="false" outlineLevel="0" collapsed="false">
      <c r="A3293" s="1" t="s">
        <v>987</v>
      </c>
      <c r="B3293" s="0" t="s">
        <v>414</v>
      </c>
      <c r="C3293" s="8" t="n">
        <f aca="false">cxit_open</f>
        <v>27.5918995</v>
      </c>
      <c r="D3293" s="8" t="n">
        <f aca="false">cxit_open</f>
        <v>27.5918995</v>
      </c>
      <c r="E3293" s="8" t="n">
        <f aca="false">cxit_open</f>
        <v>27.5918995</v>
      </c>
      <c r="F3293" s="8" t="n">
        <f aca="false">((a_g3_27-nonnv*a_mai)*tk_cxit_gb300+nonnv*a_mai*nv_hold_mai*tk_cxit_vr200+(1-a_g3_27)*tk_cxit_vr200)</f>
        <v>32.4975576</v>
      </c>
      <c r="G3293" s="8" t="n">
        <f aca="false">((a_g3_28-nonnv*a_mai)*tk_cxit_gb300+nonnv*a_mai*nv_hold_mai*tk_cxit_vr200+(1-a_g3_28)*tk_cxit_vr200)</f>
        <v>34.6372088</v>
      </c>
      <c r="H3293" s="8" t="n">
        <f aca="false">((a_g3_29-nonnv*a_mai)*tk_cxit_gb300+nonnv*a_mai*nv_hold_mai*tk_cxit_vr200+(1-a_g3_29)*tk_cxit_vr200)</f>
        <v>35.7070344</v>
      </c>
      <c r="I3293" s="8" t="n">
        <f aca="false">((a_g3_29-nonnv*a_mai)*tk_cxit_gb300+nonnv*a_mai*nv_hold_mai*tk_cxit_vr200+(1-a_g3_29)*tk_cxit_vr200)</f>
        <v>35.7070344</v>
      </c>
      <c r="J3293" s="8" t="n">
        <f aca="false">((a_g3_29-nonnv*a_mai)*tk_cxit_gb300+nonnv*a_mai*nv_hold_mai*tk_cxit_vr200+(1-a_g3_29)*tk_cxit_vr200)</f>
        <v>35.7070344</v>
      </c>
      <c r="K3293" s="8" t="n">
        <f aca="false">((a_g3_29-nonnv*a_mai)*tk_cxit_gb300+nonnv*a_mai*nv_hold_mai*tk_cxit_vr200+(1-a_g3_29)*tk_cxit_vr200)</f>
        <v>35.7070344</v>
      </c>
      <c r="L3293" s="12" t="s">
        <v>988</v>
      </c>
    </row>
    <row r="3294" customFormat="false" ht="17.15" hidden="false" customHeight="false" outlineLevel="0" collapsed="false">
      <c r="A3294" s="0" t="s">
        <v>989</v>
      </c>
      <c r="B3294" s="0" t="s">
        <v>456</v>
      </c>
      <c r="F3294" s="30" t="n">
        <f aca="false">Sens!C3273*IF(Sens!F3266-Sens!C3266=life_it,1,0)+Sens!D3273*IF(Sens!F3266-Sens!D3266=life_it,1,0)+Sens!E3273*IF(Sens!F3266-Sens!E3266=life_it,1,0)</f>
        <v>0</v>
      </c>
      <c r="G3294" s="30" t="n">
        <f aca="false">Sens!C3273*IF(Sens!G3266-Sens!C3266=life_it,1,0)+Sens!D3273*IF(Sens!G3266-Sens!D3266=life_it,1,0)+Sens!E3273*IF(Sens!G3266-Sens!E3266=life_it,1,0)+Sens!F3273*IF(Sens!G3266-Sens!F3266=life_it,1,0)</f>
        <v>0</v>
      </c>
      <c r="H3294" s="30" t="n">
        <f aca="false">Sens!C3273*IF(Sens!H3266-Sens!C3266=life_it,1,0)+Sens!D3273*IF(Sens!H3266-Sens!D3266=life_it,1,0)+Sens!E3273*IF(Sens!H3266-Sens!E3266=life_it,1,0)+Sens!F3273*IF(Sens!H3266-Sens!F3266=life_it,1,0)+Sens!G3273*IF(Sens!H3266-Sens!G3266=life_it,1,0)</f>
        <v>0</v>
      </c>
      <c r="I3294" s="30" t="n">
        <f aca="false">Sens!C3273*IF(Sens!I3266-Sens!C3266=life_it,1,0)+Sens!D3273*IF(Sens!I3266-Sens!D3266=life_it,1,0)+Sens!E3273*IF(Sens!I3266-Sens!E3266=life_it,1,0)+Sens!F3273*IF(Sens!I3266-Sens!F3266=life_it,1,0)+Sens!G3273*IF(Sens!I3266-Sens!G3266=life_it,1,0)+Sens!H3273*IF(Sens!I3266-Sens!H3266=life_it,1,0)</f>
        <v>816.666666666667</v>
      </c>
      <c r="J3294" s="30" t="n">
        <f aca="false">Sens!C3273*IF(Sens!J3266-Sens!C3266=life_it,1,0)+Sens!D3273*IF(Sens!J3266-Sens!D3266=life_it,1,0)+Sens!E3273*IF(Sens!J3266-Sens!E3266=life_it,1,0)+Sens!F3273*IF(Sens!J3266-Sens!F3266=life_it,1,0)+Sens!G3273*IF(Sens!J3266-Sens!G3266=life_it,1,0)+Sens!H3273*IF(Sens!J3266-Sens!H3266=life_it,1,0)+Sens!I3273*IF(Sens!J3266-Sens!I3266=life_it,1,0)</f>
        <v>1233.33333333333</v>
      </c>
      <c r="K3294" s="30" t="n">
        <f aca="false">Sens!C3273*IF(Sens!K3266-Sens!C3266=life_it,1,0)+Sens!D3273*IF(Sens!K3266-Sens!D3266=life_it,1,0)+Sens!E3273*IF(Sens!K3266-Sens!E3266=life_it,1,0)+Sens!F3273*IF(Sens!K3266-Sens!F3266=life_it,1,0)+Sens!G3273*IF(Sens!K3266-Sens!G3266=life_it,1,0)+Sens!H3273*IF(Sens!K3266-Sens!H3266=life_it,1,0)+Sens!I3273*IF(Sens!K3266-Sens!I3266=life_it,1,0)+Sens!J3273*IF(Sens!K3266-Sens!J3266=life_it,1,0)</f>
        <v>2450</v>
      </c>
      <c r="L3294" s="1" t="s">
        <v>990</v>
      </c>
    </row>
    <row r="3295" customFormat="false" ht="17.15" hidden="false" customHeight="false" outlineLevel="0" collapsed="false">
      <c r="A3295" s="0" t="s">
        <v>991</v>
      </c>
      <c r="B3295" s="0" t="s">
        <v>98</v>
      </c>
      <c r="C3295" s="6" t="n">
        <f aca="false">Sens!C3273*Sens!C3293/1000</f>
        <v>22.5333845916667</v>
      </c>
      <c r="D3295" s="6" t="n">
        <f aca="false">Sens!D3273*Sens!D3293/1000</f>
        <v>34.0300093833333</v>
      </c>
      <c r="E3295" s="6" t="n">
        <f aca="false">Sens!E3273*Sens!E3293/1000</f>
        <v>67.600153775</v>
      </c>
      <c r="F3295" s="6" t="n">
        <f aca="false">(Sens!F3273+Sens!F3294)*Sens!F3293/1000</f>
        <v>24.048192624</v>
      </c>
      <c r="G3295" s="6" t="n">
        <f aca="false">(Sens!G3273+Sens!G3294)*Sens!G3293/1000</f>
        <v>28.056139128</v>
      </c>
      <c r="H3295" s="6" t="n">
        <f aca="false">(Sens!H3273+Sens!H3294)*Sens!H3293/1000</f>
        <v>0</v>
      </c>
      <c r="I3295" s="6" t="n">
        <f aca="false">(Sens!I3273+Sens!I3294)*Sens!I3293/1000</f>
        <v>29.16074476</v>
      </c>
      <c r="J3295" s="6" t="n">
        <f aca="false">(Sens!J3273+Sens!J3294)*Sens!J3293/1000</f>
        <v>44.03867576</v>
      </c>
      <c r="K3295" s="6" t="n">
        <f aca="false">(Sens!K3273+Sens!K3294)*Sens!K3293/1000</f>
        <v>87.48223428</v>
      </c>
    </row>
    <row r="3296" customFormat="false" ht="17.15" hidden="false" customHeight="false" outlineLevel="0" collapsed="false">
      <c r="A3296" s="0" t="s">
        <v>992</v>
      </c>
      <c r="B3296" s="0" t="s">
        <v>98</v>
      </c>
      <c r="C3296" s="6" t="n">
        <f aca="false">Sens!C3273*self_build*tk_cxfac/1000</f>
        <v>6.2083</v>
      </c>
      <c r="D3296" s="6" t="n">
        <f aca="false">Sens!D3273*self_build*tk_cxfac/1000</f>
        <v>9.3758</v>
      </c>
      <c r="E3296" s="6" t="n">
        <f aca="false">Sens!E3273*self_build*tk_cxfac/1000</f>
        <v>18.6249</v>
      </c>
      <c r="F3296" s="6" t="n">
        <f aca="false">Sens!F3273*self_build*tk_cxfac/1000</f>
        <v>5.62548</v>
      </c>
      <c r="G3296" s="6" t="n">
        <f aca="false">Sens!G3273*self_build*tk_cxfac/1000</f>
        <v>6.15762</v>
      </c>
      <c r="H3296" s="6" t="n">
        <f aca="false">Sens!H3273*self_build*tk_cxfac/1000</f>
        <v>0</v>
      </c>
      <c r="I3296" s="6" t="n">
        <f aca="false">Sens!I3273*self_build*tk_cxfac/1000</f>
        <v>0</v>
      </c>
      <c r="J3296" s="6" t="n">
        <f aca="false">Sens!J3273*self_build*tk_cxfac/1000</f>
        <v>0</v>
      </c>
      <c r="K3296" s="6" t="n">
        <f aca="false">Sens!K3273*self_build*tk_cxfac/1000</f>
        <v>0</v>
      </c>
    </row>
    <row r="3297" customFormat="false" ht="17.15" hidden="false" customHeight="false" outlineLevel="0" collapsed="false">
      <c r="A3297" s="0" t="s">
        <v>993</v>
      </c>
      <c r="B3297" s="0" t="s">
        <v>98</v>
      </c>
      <c r="F3297" s="15" t="n">
        <f aca="false">capex_floor27-Sens!F3295-Sens!F3296-Sens!F3393</f>
        <v>138.171372338453</v>
      </c>
      <c r="L3297" s="12" t="s">
        <v>994</v>
      </c>
    </row>
    <row r="3298" customFormat="false" ht="17.15" hidden="false" customHeight="false" outlineLevel="0" collapsed="false">
      <c r="A3298" s="0" t="s">
        <v>995</v>
      </c>
      <c r="B3298" s="0" t="s">
        <v>98</v>
      </c>
      <c r="F3298" s="6" t="n">
        <f aca="false">MAX(0,Sens!F3297)</f>
        <v>138.171372338453</v>
      </c>
    </row>
    <row r="3299" customFormat="false" ht="17.15" hidden="false" customHeight="false" outlineLevel="0" collapsed="false">
      <c r="A3299" s="0" t="s">
        <v>996</v>
      </c>
      <c r="B3299" s="0" t="s">
        <v>98</v>
      </c>
      <c r="C3299" s="6" t="n">
        <f aca="false">Sens!C3295</f>
        <v>22.5333845916667</v>
      </c>
      <c r="D3299" s="6" t="n">
        <f aca="false">Sens!D3295</f>
        <v>34.0300093833333</v>
      </c>
      <c r="E3299" s="6" t="n">
        <f aca="false">Sens!E3295</f>
        <v>67.600153775</v>
      </c>
      <c r="F3299" s="6" t="n">
        <f aca="false">Sens!F3295</f>
        <v>24.048192624</v>
      </c>
      <c r="G3299" s="6" t="n">
        <f aca="false">Sens!G3295</f>
        <v>28.056139128</v>
      </c>
      <c r="H3299" s="6" t="n">
        <f aca="false">Sens!H3295</f>
        <v>0</v>
      </c>
      <c r="I3299" s="6" t="n">
        <f aca="false">Sens!I3295</f>
        <v>29.16074476</v>
      </c>
      <c r="J3299" s="6" t="n">
        <f aca="false">Sens!J3295</f>
        <v>44.03867576</v>
      </c>
      <c r="K3299" s="6" t="n">
        <f aca="false">Sens!K3295</f>
        <v>87.48223428</v>
      </c>
    </row>
    <row r="3300" customFormat="false" ht="17.15" hidden="false" customHeight="false" outlineLevel="0" collapsed="false">
      <c r="A3300" s="0" t="s">
        <v>997</v>
      </c>
      <c r="B3300" s="0" t="s">
        <v>98</v>
      </c>
      <c r="C3300" s="6" t="n">
        <f aca="false">Sens!C3299+Sens!C3296</f>
        <v>28.7416845916667</v>
      </c>
      <c r="D3300" s="6" t="n">
        <f aca="false">Sens!D3299+Sens!D3296</f>
        <v>43.4058093833333</v>
      </c>
      <c r="E3300" s="6" t="n">
        <f aca="false">Sens!E3299+Sens!E3296</f>
        <v>86.225053775</v>
      </c>
      <c r="F3300" s="6" t="n">
        <f aca="false">Sens!F3299+Sens!F3296</f>
        <v>29.673672624</v>
      </c>
      <c r="G3300" s="6" t="n">
        <f aca="false">Sens!G3299+Sens!G3296</f>
        <v>34.213759128</v>
      </c>
      <c r="H3300" s="6" t="n">
        <f aca="false">Sens!H3299+Sens!H3296</f>
        <v>0</v>
      </c>
      <c r="I3300" s="6" t="n">
        <f aca="false">Sens!I3299+Sens!I3296</f>
        <v>29.16074476</v>
      </c>
      <c r="J3300" s="6" t="n">
        <f aca="false">Sens!J3299+Sens!J3296</f>
        <v>44.03867576</v>
      </c>
      <c r="K3300" s="6" t="n">
        <f aca="false">Sens!K3299+Sens!K3296</f>
        <v>87.48223428</v>
      </c>
      <c r="L3300" s="12" t="s">
        <v>998</v>
      </c>
    </row>
    <row r="3301" customFormat="false" ht="17.15" hidden="false" customHeight="false" outlineLevel="0" collapsed="false">
      <c r="A3301" s="0" t="s">
        <v>999</v>
      </c>
      <c r="B3301" s="0" t="s">
        <v>98</v>
      </c>
      <c r="E3301" s="6" t="n">
        <f aca="false">(Sens!C3299*IF(2&lt;life_it,1,IF(2=life_it,0.5,0))+Sens!D3299*IF(1&lt;life_it,1,IF(1=life_it,0.5,0))+Sens!E3299*0.5)/life_it</f>
        <v>15.0605784770833</v>
      </c>
      <c r="F3301" s="6" t="n">
        <f aca="false">(Sens!C3299*IF(3&lt;life_it,1,IF(3=life_it,0.5,0))+Sens!D3299*IF(2&lt;life_it,1,IF(2=life_it,0.5,0))+Sens!E3299*IF(1&lt;life_it,1,IF(1=life_it,0.5,0))+Sens!F3299*0.5)/life_it</f>
        <v>22.697940677</v>
      </c>
      <c r="G3301" s="6" t="n">
        <f aca="false">(Sens!C3299*IF(4&lt;life_it,1,IF(4=life_it,0.5,0))+Sens!D3299*IF(3&lt;life_it,1,IF(3=life_it,0.5,0))+Sens!E3299*IF(2&lt;life_it,1,IF(2=life_it,0.5,0))+Sens!F3299*IF(1&lt;life_it,1,IF(1=life_it,0.5,0))+Sens!G3299*0.5)/life_it</f>
        <v>27.039968323</v>
      </c>
      <c r="H3301" s="6" t="n">
        <f aca="false">(Sens!C3299*IF(5&lt;life_it,1,IF(5=life_it,0.5,0))+Sens!D3299*IF(4&lt;life_it,1,IF(4=life_it,0.5,0))+Sens!E3299*IF(3&lt;life_it,1,IF(3=life_it,0.5,0))+Sens!F3299*IF(2&lt;life_it,1,IF(2=life_it,0.5,0))+Sens!G3299*IF(1&lt;life_it,1,IF(1=life_it,0.5,0))+Sens!H3299*0.5)/life_it</f>
        <v>29.377979917</v>
      </c>
      <c r="I3301" s="6" t="n">
        <f aca="false">(Sens!C3299*IF(6&lt;life_it,1,IF(6=life_it,0.5,0))+Sens!D3299*IF(5&lt;life_it,1,IF(5=life_it,0.5,0))+Sens!E3299*IF(4&lt;life_it,1,IF(4=life_it,0.5,0))+Sens!F3299*IF(3&lt;life_it,1,IF(3=life_it,0.5,0))+Sens!G3299*IF(2&lt;life_it,1,IF(2=life_it,0.5,0))+Sens!H3299*IF(1&lt;life_it,1,IF(1=life_it,0.5,0))+Sens!I3299*0.5)/life_it</f>
        <v>29.9302599310278</v>
      </c>
      <c r="J3301" s="6" t="n">
        <f aca="false">(Sens!C3299*IF(7&lt;life_it,1,IF(7=life_it,0.5,0))+Sens!D3299*IF(6&lt;life_it,1,IF(6=life_it,0.5,0))+Sens!E3299*IF(5&lt;life_it,1,IF(5=life_it,0.5,0))+Sens!F3299*IF(4&lt;life_it,1,IF(4=life_it,0.5,0))+Sens!G3299*IF(3&lt;life_it,1,IF(3=life_it,0.5,0))+Sens!H3299*IF(2&lt;life_it,1,IF(2=life_it,0.5,0))+Sens!I3299*IF(1&lt;life_it,1,IF(1=life_it,0.5,0))+Sens!J3299*0.5)/life_it</f>
        <v>31.3165954764444</v>
      </c>
      <c r="K3301" s="6" t="n">
        <f aca="false">(Sens!C3299*IF(8&lt;life_it,1,IF(8=life_it,0.5,0))+Sens!D3299*IF(7&lt;life_it,1,IF(7=life_it,0.5,0))+Sens!E3299*IF(6&lt;life_it,1,IF(6=life_it,0.5,0))+Sens!F3299*IF(5&lt;life_it,1,IF(5=life_it,0.5,0))+Sens!G3299*IF(4&lt;life_it,1,IF(4=life_it,0.5,0))+Sens!H3299*IF(3&lt;life_it,1,IF(3=life_it,0.5,0))+Sens!I3299*IF(2&lt;life_it,1,IF(2=life_it,0.5,0))+Sens!J3299*IF(1&lt;life_it,1,IF(1=life_it,0.5,0))+Sens!K3299*0.5)/life_it</f>
        <v>33.8074910499167</v>
      </c>
    </row>
    <row r="3302" customFormat="false" ht="17.15" hidden="false" customHeight="false" outlineLevel="0" collapsed="false">
      <c r="A3302" s="0" t="s">
        <v>1000</v>
      </c>
      <c r="B3302" s="0" t="s">
        <v>98</v>
      </c>
      <c r="E3302" s="6" t="n">
        <f aca="false">(Sens!C3296*IF(2&lt;life_fac,1,IF(2=life_fac,0.5,0))+Sens!D3296*IF(1&lt;life_fac,1,IF(1=life_fac,0.5,0))+Sens!E3296*0.5)/life_fac</f>
        <v>1.2448275</v>
      </c>
      <c r="F3302" s="6" t="n">
        <f aca="false">(Sens!C3296*IF(3&lt;life_fac,1,IF(3=life_fac,0.5,0))+Sens!D3296*IF(2&lt;life_fac,1,IF(2=life_fac,0.5,0))+Sens!E3296*IF(1&lt;life_fac,1,IF(1=life_fac,0.5,0))+Sens!F3296*0.5)/life_fac</f>
        <v>1.851087</v>
      </c>
      <c r="G3302" s="6" t="n">
        <f aca="false">(Sens!C3296*IF(4&lt;life_fac,1,IF(4=life_fac,0.5,0))+Sens!D3296*IF(3&lt;life_fac,1,IF(3=life_fac,0.5,0))+Sens!E3296*IF(2&lt;life_fac,1,IF(2=life_fac,0.5,0))+Sens!F3296*IF(1&lt;life_fac,1,IF(1=life_fac,0.5,0))+Sens!G3296*0.5)/life_fac</f>
        <v>2.1456645</v>
      </c>
      <c r="H3302" s="6" t="n">
        <f aca="false">(Sens!C3296*IF(5&lt;life_fac,1,IF(5=life_fac,0.5,0))+Sens!D3296*IF(4&lt;life_fac,1,IF(4=life_fac,0.5,0))+Sens!E3296*IF(3&lt;life_fac,1,IF(3=life_fac,0.5,0))+Sens!F3296*IF(2&lt;life_fac,1,IF(2=life_fac,0.5,0))+Sens!G3296*IF(1&lt;life_fac,1,IF(1=life_fac,0.5,0))+Sens!H3296*0.5)/life_fac</f>
        <v>2.299605</v>
      </c>
      <c r="I3302" s="6" t="n">
        <f aca="false">(Sens!C3296*IF(6&lt;life_fac,1,IF(6=life_fac,0.5,0))+Sens!D3296*IF(5&lt;life_fac,1,IF(5=life_fac,0.5,0))+Sens!E3296*IF(4&lt;life_fac,1,IF(4=life_fac,0.5,0))+Sens!F3296*IF(3&lt;life_fac,1,IF(3=life_fac,0.5,0))+Sens!G3296*IF(2&lt;life_fac,1,IF(2=life_fac,0.5,0))+Sens!H3296*IF(1&lt;life_fac,1,IF(1=life_fac,0.5,0))+Sens!I3296*0.5)/life_fac</f>
        <v>2.299605</v>
      </c>
      <c r="J3302" s="6" t="n">
        <f aca="false">(Sens!C3296*IF(7&lt;life_fac,1,IF(7=life_fac,0.5,0))+Sens!D3296*IF(6&lt;life_fac,1,IF(6=life_fac,0.5,0))+Sens!E3296*IF(5&lt;life_fac,1,IF(5=life_fac,0.5,0))+Sens!F3296*IF(4&lt;life_fac,1,IF(4=life_fac,0.5,0))+Sens!G3296*IF(3&lt;life_fac,1,IF(3=life_fac,0.5,0))+Sens!H3296*IF(2&lt;life_fac,1,IF(2=life_fac,0.5,0))+Sens!I3296*IF(1&lt;life_fac,1,IF(1=life_fac,0.5,0))+Sens!J3296*0.5)/life_fac</f>
        <v>2.299605</v>
      </c>
      <c r="K3302" s="6" t="n">
        <f aca="false">(Sens!C3296*IF(8&lt;life_fac,1,IF(8=life_fac,0.5,0))+Sens!D3296*IF(7&lt;life_fac,1,IF(7=life_fac,0.5,0))+Sens!E3296*IF(6&lt;life_fac,1,IF(6=life_fac,0.5,0))+Sens!F3296*IF(5&lt;life_fac,1,IF(5=life_fac,0.5,0))+Sens!G3296*IF(4&lt;life_fac,1,IF(4=life_fac,0.5,0))+Sens!H3296*IF(3&lt;life_fac,1,IF(3=life_fac,0.5,0))+Sens!I3296*IF(2&lt;life_fac,1,IF(2=life_fac,0.5,0))+Sens!J3296*IF(1&lt;life_fac,1,IF(1=life_fac,0.5,0))+Sens!K3296*0.5)/life_fac</f>
        <v>2.299605</v>
      </c>
    </row>
    <row r="3303" customFormat="false" ht="17.15" hidden="false" customHeight="false" outlineLevel="0" collapsed="false">
      <c r="A3303" s="0" t="s">
        <v>1001</v>
      </c>
      <c r="B3303" s="0" t="s">
        <v>98</v>
      </c>
      <c r="E3303" s="6" t="n">
        <f aca="false">Sens!E3301+Sens!E3302</f>
        <v>16.3054059770833</v>
      </c>
      <c r="F3303" s="6" t="n">
        <f aca="false">Sens!F3301+Sens!F3302</f>
        <v>24.549027677</v>
      </c>
      <c r="G3303" s="6" t="n">
        <f aca="false">Sens!G3301+Sens!G3302</f>
        <v>29.185632823</v>
      </c>
      <c r="H3303" s="6" t="n">
        <f aca="false">Sens!H3301+Sens!H3302</f>
        <v>31.677584917</v>
      </c>
      <c r="I3303" s="6" t="n">
        <f aca="false">Sens!I3301+Sens!I3302</f>
        <v>32.2298649310278</v>
      </c>
      <c r="J3303" s="6" t="n">
        <f aca="false">Sens!J3301+Sens!J3302</f>
        <v>33.6162004764444</v>
      </c>
      <c r="K3303" s="6" t="n">
        <f aca="false">Sens!K3301+Sens!K3302</f>
        <v>36.1070960499167</v>
      </c>
    </row>
    <row r="3304" customFormat="false" ht="17.15" hidden="false" customHeight="false" outlineLevel="0" collapsed="false">
      <c r="A3304" s="0" t="s">
        <v>1002</v>
      </c>
      <c r="B3304" s="0" t="s">
        <v>98</v>
      </c>
      <c r="E3304" s="6" t="n">
        <f aca="false">Sens!E3291-Sens!E3290*Sens!E3303</f>
        <v>8.92707889977379</v>
      </c>
      <c r="F3304" s="6" t="n">
        <f aca="false">Sens!F3291-Sens!F3290*Sens!F3303</f>
        <v>13.6930583621742</v>
      </c>
      <c r="G3304" s="6" t="n">
        <f aca="false">Sens!G3291-Sens!G3290*Sens!G3303</f>
        <v>16.1742107775053</v>
      </c>
      <c r="H3304" s="6" t="n">
        <f aca="false">Sens!H3291-Sens!H3290*Sens!H3303</f>
        <v>16.9371304931839</v>
      </c>
      <c r="I3304" s="6" t="n">
        <f aca="false">Sens!I3291-Sens!I3290*Sens!I3303</f>
        <v>17.6427674616962</v>
      </c>
      <c r="J3304" s="6" t="n">
        <f aca="false">Sens!J3291-Sens!J3290*Sens!J3303</f>
        <v>18.3770552832778</v>
      </c>
      <c r="K3304" s="6" t="n">
        <f aca="false">Sens!K3291-Sens!K3290*Sens!K3303</f>
        <v>19.9935328699814</v>
      </c>
    </row>
    <row r="3305" customFormat="false" ht="17.15" hidden="false" customHeight="false" outlineLevel="0" collapsed="false">
      <c r="A3305" s="3" t="s">
        <v>1561</v>
      </c>
    </row>
    <row r="3306" customFormat="false" ht="15" hidden="false" customHeight="false" outlineLevel="0" collapsed="false">
      <c r="A3306" s="4" t="s">
        <v>43</v>
      </c>
      <c r="B3306" s="4" t="s">
        <v>65</v>
      </c>
      <c r="C3306" s="23" t="s">
        <v>938</v>
      </c>
      <c r="D3306" s="23" t="s">
        <v>939</v>
      </c>
      <c r="E3306" s="23" t="s">
        <v>940</v>
      </c>
      <c r="F3306" s="23" t="s">
        <v>941</v>
      </c>
      <c r="G3306" s="23" t="s">
        <v>942</v>
      </c>
      <c r="H3306" s="23" t="s">
        <v>943</v>
      </c>
      <c r="I3306" s="23" t="s">
        <v>944</v>
      </c>
      <c r="J3306" s="23" t="s">
        <v>945</v>
      </c>
      <c r="K3306" s="23" t="s">
        <v>946</v>
      </c>
      <c r="L3306" s="4" t="s">
        <v>47</v>
      </c>
    </row>
    <row r="3307" customFormat="false" ht="17.15" hidden="false" customHeight="false" outlineLevel="0" collapsed="false">
      <c r="A3307" s="0" t="s">
        <v>1021</v>
      </c>
      <c r="B3307" s="0" t="s">
        <v>98</v>
      </c>
      <c r="D3307" s="6" t="n">
        <f aca="false">Sens!D3285</f>
        <v>12.9359794422418</v>
      </c>
      <c r="E3307" s="6" t="n">
        <f aca="false">Sens!E3285</f>
        <v>27.8095064661409</v>
      </c>
      <c r="F3307" s="6" t="n">
        <f aca="false">Sens!F3285</f>
        <v>41.5474952749207</v>
      </c>
      <c r="G3307" s="6" t="n">
        <f aca="false">Sens!G3285</f>
        <v>48.9517655264224</v>
      </c>
      <c r="H3307" s="6" t="n">
        <f aca="false">Sens!H3285</f>
        <v>51.8229407672915</v>
      </c>
      <c r="I3307" s="6" t="n">
        <f aca="false">Sens!I3285</f>
        <v>52.9439474006443</v>
      </c>
      <c r="J3307" s="6" t="n">
        <f aca="false">Sens!J3285</f>
        <v>54.636896193871</v>
      </c>
      <c r="K3307" s="6" t="n">
        <f aca="false">Sens!K3285</f>
        <v>57.9999160939293</v>
      </c>
    </row>
    <row r="3308" customFormat="false" ht="17.15" hidden="false" customHeight="false" outlineLevel="0" collapsed="false">
      <c r="A3308" s="0" t="s">
        <v>1022</v>
      </c>
      <c r="B3308" s="0" t="s">
        <v>98</v>
      </c>
      <c r="D3308" s="6" t="n">
        <f aca="false">Q!L6-Sens!D3307</f>
        <v>59.6740205577583</v>
      </c>
      <c r="E3308" s="6" t="n">
        <f aca="false">Q!M6-Sens!E3307</f>
        <v>74.1284935338591</v>
      </c>
      <c r="F3308" s="6" t="n">
        <f aca="false">Q!$I$6+(Sens!F3307+Sens!E3308*(1+Sens!F3309))*(1-Q!$E$6/Q!M6)-Sens!F3307</f>
        <v>94.3416091857071</v>
      </c>
      <c r="G3308" s="6" t="n">
        <f aca="false">Sens!F3308*(1+Sens!G3309)</f>
        <v>112.091912703454</v>
      </c>
      <c r="H3308" s="6" t="n">
        <f aca="false">Sens!G3308*(1+Sens!H3309)</f>
        <v>130.15125838779</v>
      </c>
      <c r="I3308" s="6" t="n">
        <f aca="false">Sens!H3308*(1+Sens!I3309)</f>
        <v>147.60123989821</v>
      </c>
      <c r="J3308" s="6" t="n">
        <f aca="false">Sens!I3308*(1+Sens!J3309)</f>
        <v>163.400080136365</v>
      </c>
      <c r="K3308" s="6" t="n">
        <f aca="false">Sens!J3308*(1+Sens!K3309)</f>
        <v>176.472086547274</v>
      </c>
      <c r="L3308" s="12" t="s">
        <v>1023</v>
      </c>
    </row>
    <row r="3309" customFormat="false" ht="15" hidden="false" customHeight="false" outlineLevel="0" collapsed="false">
      <c r="A3309" s="1" t="s">
        <v>1024</v>
      </c>
      <c r="B3309" s="0" t="s">
        <v>168</v>
      </c>
      <c r="E3309" s="7" t="n">
        <f aca="false">Sens!E3308/Sens!D3308-1</f>
        <v>0.242223883039864</v>
      </c>
      <c r="F3309" s="7" t="n">
        <f aca="false">Sens!$E$3309+(glt_azo-Sens!$E$3309)*MIN(1,(Sens!F3266-base_fy)/n_conv)</f>
        <v>0.215186569199887</v>
      </c>
      <c r="G3309" s="7" t="n">
        <f aca="false">Sens!$E$3309+(glt_azo-Sens!$E$3309)*MIN(1,(Sens!G3266-base_fy)/n_conv)</f>
        <v>0.18814925535991</v>
      </c>
      <c r="H3309" s="7" t="n">
        <f aca="false">Sens!$E$3309+(glt_azo-Sens!$E$3309)*MIN(1,(Sens!H3266-base_fy)/n_conv)</f>
        <v>0.161111941519932</v>
      </c>
      <c r="I3309" s="7" t="n">
        <f aca="false">Sens!$E$3309+(glt_azo-Sens!$E$3309)*MIN(1,(Sens!I3266-base_fy)/n_conv)</f>
        <v>0.134074627679955</v>
      </c>
      <c r="J3309" s="7" t="n">
        <f aca="false">Sens!$E$3309+(glt_azo-Sens!$E$3309)*MIN(1,(Sens!J3266-base_fy)/n_conv)</f>
        <v>0.107037313839977</v>
      </c>
      <c r="K3309" s="7" t="n">
        <f aca="false">Sens!$E$3309+(glt_azo-Sens!$E$3309)*MIN(1,(Sens!K3266-base_fy)/n_conv)</f>
        <v>0.08</v>
      </c>
    </row>
    <row r="3310" customFormat="false" ht="15" hidden="false" customHeight="false" outlineLevel="0" collapsed="false">
      <c r="A3310" s="0" t="s">
        <v>1025</v>
      </c>
      <c r="B3310" s="0" t="s">
        <v>98</v>
      </c>
      <c r="D3310" s="6" t="n">
        <f aca="false">Sens!D3307+Sens!D3308</f>
        <v>72.61</v>
      </c>
      <c r="E3310" s="6" t="n">
        <f aca="false">Sens!E3307+Sens!E3308</f>
        <v>101.938</v>
      </c>
      <c r="F3310" s="6" t="n">
        <f aca="false">Sens!F3307+Sens!F3308</f>
        <v>135.889104460628</v>
      </c>
      <c r="G3310" s="6" t="n">
        <f aca="false">Sens!G3307+Sens!G3308</f>
        <v>161.043678229876</v>
      </c>
      <c r="H3310" s="6" t="n">
        <f aca="false">Sens!H3307+Sens!H3308</f>
        <v>181.974199155081</v>
      </c>
      <c r="I3310" s="6" t="n">
        <f aca="false">Sens!I3307+Sens!I3308</f>
        <v>200.545187298855</v>
      </c>
      <c r="J3310" s="6" t="n">
        <f aca="false">Sens!J3307+Sens!J3308</f>
        <v>218.036976330236</v>
      </c>
      <c r="K3310" s="6" t="n">
        <f aca="false">Sens!K3307+Sens!K3308</f>
        <v>234.472002641203</v>
      </c>
    </row>
    <row r="3311" customFormat="false" ht="17.15" hidden="false" customHeight="false" outlineLevel="0" collapsed="false">
      <c r="A3311" s="0" t="s">
        <v>1026</v>
      </c>
      <c r="B3311" s="1" t="s">
        <v>610</v>
      </c>
      <c r="C3311" s="30" t="n">
        <f aca="false">cop_s24</f>
        <v>1</v>
      </c>
      <c r="D3311" s="30" t="n">
        <f aca="false">cop_s25</f>
        <v>5</v>
      </c>
      <c r="E3311" s="30" t="n">
        <f aca="false">cop_s26</f>
        <v>30</v>
      </c>
      <c r="F3311" s="30" t="n">
        <f aca="false">Sens!E3311+cop_add_B</f>
        <v>50</v>
      </c>
      <c r="G3311" s="30" t="n">
        <f aca="false">Sens!F3311+cop_add_B</f>
        <v>70</v>
      </c>
      <c r="H3311" s="30" t="n">
        <f aca="false">Sens!G3311+cop_add_B</f>
        <v>90</v>
      </c>
      <c r="I3311" s="30" t="n">
        <f aca="false">Sens!H3311+cop_add_B*cop_tail</f>
        <v>100</v>
      </c>
      <c r="J3311" s="30" t="n">
        <f aca="false">Sens!I3311+cop_add_B*cop_tail</f>
        <v>110</v>
      </c>
      <c r="K3311" s="30" t="n">
        <f aca="false">Sens!J3311+cop_add_B*cop_tail</f>
        <v>120</v>
      </c>
      <c r="L3311" s="12" t="s">
        <v>1027</v>
      </c>
    </row>
    <row r="3312" customFormat="false" ht="17.15" hidden="false" customHeight="false" outlineLevel="0" collapsed="false">
      <c r="A3312" s="0" t="s">
        <v>1028</v>
      </c>
      <c r="B3312" s="0" t="s">
        <v>98</v>
      </c>
      <c r="D3312" s="6" t="n">
        <f aca="false">(Sens!C3311+Sens!D3311)/2*cop_px*12/1000</f>
        <v>0.9</v>
      </c>
      <c r="E3312" s="6" t="n">
        <f aca="false">(Sens!D3311+Sens!E3311)/2*cop_px*12/1000</f>
        <v>5.25</v>
      </c>
      <c r="F3312" s="6" t="n">
        <f aca="false">(Sens!E3311+Sens!F3311)/2*cop_px*12/1000</f>
        <v>12</v>
      </c>
      <c r="G3312" s="6" t="n">
        <f aca="false">(Sens!F3311+Sens!G3311)/2*cop_px*12/1000</f>
        <v>18</v>
      </c>
      <c r="H3312" s="6" t="n">
        <f aca="false">(Sens!G3311+Sens!H3311)/2*cop_px*12/1000</f>
        <v>24</v>
      </c>
      <c r="I3312" s="6" t="n">
        <f aca="false">(Sens!H3311+Sens!I3311)/2*cop_px*12/1000</f>
        <v>28.5</v>
      </c>
      <c r="J3312" s="6" t="n">
        <f aca="false">(Sens!I3311+Sens!J3311)/2*cop_px*12/1000</f>
        <v>31.5</v>
      </c>
      <c r="K3312" s="6" t="n">
        <f aca="false">(Sens!J3311+Sens!K3311)/2*cop_px*12/1000</f>
        <v>34.5</v>
      </c>
      <c r="L3312" s="1" t="s">
        <v>1029</v>
      </c>
    </row>
    <row r="3313" customFormat="false" ht="17.15" hidden="false" customHeight="false" outlineLevel="0" collapsed="false">
      <c r="A3313" s="0" t="s">
        <v>1030</v>
      </c>
      <c r="B3313" s="0" t="s">
        <v>98</v>
      </c>
      <c r="D3313" s="6" t="n">
        <f aca="false">Q!L7-Sens!D3312</f>
        <v>83.705</v>
      </c>
      <c r="E3313" s="6" t="n">
        <f aca="false">Q!M7-Sens!E3312</f>
        <v>95.049</v>
      </c>
      <c r="F3313" s="6" t="n">
        <f aca="false">Q!$I$7+(Sens!E3313*(1+Sens!F3314)+Sens!F3312)*(1-Q!$E$7/Q!M7)-Sens!F3312</f>
        <v>106.584003697747</v>
      </c>
      <c r="G3313" s="6" t="n">
        <f aca="false">Sens!F3313*(1+Sens!G3314)</f>
        <v>118.700726545688</v>
      </c>
      <c r="H3313" s="6" t="n">
        <f aca="false">Sens!G3313*(1+Sens!H3314)</f>
        <v>130.898624783666</v>
      </c>
      <c r="I3313" s="6" t="n">
        <f aca="false">Sens!H3313*(1+Sens!I3314)</f>
        <v>142.920510030657</v>
      </c>
      <c r="J3313" s="6" t="n">
        <f aca="false">Sens!I3313*(1+Sens!J3314)</f>
        <v>154.485722618572</v>
      </c>
      <c r="K3313" s="6" t="n">
        <f aca="false">Sens!J3313*(1+Sens!K3314)</f>
        <v>165.299723201872</v>
      </c>
      <c r="L3313" s="12" t="s">
        <v>1031</v>
      </c>
    </row>
    <row r="3314" customFormat="false" ht="15" hidden="false" customHeight="false" outlineLevel="0" collapsed="false">
      <c r="A3314" s="1" t="s">
        <v>1024</v>
      </c>
      <c r="B3314" s="0" t="s">
        <v>168</v>
      </c>
      <c r="E3314" s="7" t="n">
        <f aca="false">Sens!E3313/Sens!D3313-1</f>
        <v>0.135523564900544</v>
      </c>
      <c r="F3314" s="7" t="n">
        <f aca="false">Sens!$E$3314+(glt_m365b-Sens!$E$3314)*MIN(1,(Sens!F3266-base_fy)/n_conv)</f>
        <v>0.124602970750453</v>
      </c>
      <c r="G3314" s="7" t="n">
        <f aca="false">Sens!$E$3314+(glt_m365b-Sens!$E$3314)*MIN(1,(Sens!G3266-base_fy)/n_conv)</f>
        <v>0.113682376600363</v>
      </c>
      <c r="H3314" s="7" t="n">
        <f aca="false">Sens!$E$3314+(glt_m365b-Sens!$E$3314)*MIN(1,(Sens!H3266-base_fy)/n_conv)</f>
        <v>0.102761782450272</v>
      </c>
      <c r="I3314" s="7" t="n">
        <f aca="false">Sens!$E$3314+(glt_m365b-Sens!$E$3314)*MIN(1,(Sens!I3266-base_fy)/n_conv)</f>
        <v>0.0918411883001813</v>
      </c>
      <c r="J3314" s="7" t="n">
        <f aca="false">Sens!$E$3314+(glt_m365b-Sens!$E$3314)*MIN(1,(Sens!J3266-base_fy)/n_conv)</f>
        <v>0.0809205941500906</v>
      </c>
      <c r="K3314" s="7" t="n">
        <f aca="false">Sens!$E$3314+(glt_m365b-Sens!$E$3314)*MIN(1,(Sens!K3266-base_fy)/n_conv)</f>
        <v>0.07</v>
      </c>
    </row>
    <row r="3315" customFormat="false" ht="15" hidden="false" customHeight="false" outlineLevel="0" collapsed="false">
      <c r="A3315" s="0" t="s">
        <v>1032</v>
      </c>
      <c r="B3315" s="0" t="s">
        <v>98</v>
      </c>
      <c r="D3315" s="6" t="n">
        <f aca="false">Sens!D3313+Sens!D3312</f>
        <v>84.605</v>
      </c>
      <c r="E3315" s="6" t="n">
        <f aca="false">Sens!E3313+Sens!E3312</f>
        <v>100.299</v>
      </c>
      <c r="F3315" s="6" t="n">
        <f aca="false">Sens!F3313+Sens!F3312</f>
        <v>118.584003697747</v>
      </c>
      <c r="G3315" s="6" t="n">
        <f aca="false">Sens!G3313+Sens!G3312</f>
        <v>136.700726545688</v>
      </c>
      <c r="H3315" s="6" t="n">
        <f aca="false">Sens!H3313+Sens!H3312</f>
        <v>154.898624783666</v>
      </c>
      <c r="I3315" s="6" t="n">
        <f aca="false">Sens!I3313+Sens!I3312</f>
        <v>171.420510030657</v>
      </c>
      <c r="J3315" s="6" t="n">
        <f aca="false">Sens!J3313+Sens!J3312</f>
        <v>185.985722618572</v>
      </c>
      <c r="K3315" s="6" t="n">
        <f aca="false">Sens!K3313+Sens!K3312</f>
        <v>199.799723201872</v>
      </c>
    </row>
    <row r="3316" customFormat="false" ht="17.15" hidden="false" customHeight="false" outlineLevel="0" collapsed="false">
      <c r="A3316" s="0" t="s">
        <v>1033</v>
      </c>
      <c r="B3316" s="0" t="s">
        <v>98</v>
      </c>
      <c r="D3316" s="6" t="n">
        <f aca="false">Q!L8</f>
        <v>35.391</v>
      </c>
      <c r="E3316" s="6" t="n">
        <f aca="false">Q!M8</f>
        <v>37.285</v>
      </c>
      <c r="F3316" s="6" t="n">
        <f aca="false">Q!$I$8+(Q!M8-Q!$E$8)*(1+Sens!F3317)</f>
        <v>38.3851437782675</v>
      </c>
      <c r="G3316" s="6" t="n">
        <f aca="false">Sens!F3316*(1+Sens!G3317)</f>
        <v>40.0105353288615</v>
      </c>
      <c r="H3316" s="6" t="n">
        <f aca="false">Sens!G3316*(1+Sens!H3317)</f>
        <v>41.4812512033683</v>
      </c>
      <c r="I3316" s="6" t="n">
        <f aca="false">Sens!H3316*(1+Sens!I3317)</f>
        <v>42.7743107216329</v>
      </c>
      <c r="J3316" s="6" t="n">
        <f aca="false">Sens!I3316*(1+Sens!J3317)</f>
        <v>43.8687373064601</v>
      </c>
      <c r="K3316" s="6" t="n">
        <f aca="false">Sens!J3316*(1+Sens!K3317)</f>
        <v>44.7461120525893</v>
      </c>
      <c r="L3316" s="12" t="s">
        <v>1034</v>
      </c>
    </row>
    <row r="3317" customFormat="false" ht="15" hidden="false" customHeight="false" outlineLevel="0" collapsed="false">
      <c r="A3317" s="1" t="s">
        <v>1024</v>
      </c>
      <c r="B3317" s="0" t="s">
        <v>168</v>
      </c>
      <c r="E3317" s="7" t="n">
        <f aca="false">Sens!E3316/Sens!D3316-1</f>
        <v>0.0535164307309768</v>
      </c>
      <c r="F3317" s="7" t="n">
        <f aca="false">Sens!$E$3317+(glt_lic-Sens!$E$3317)*MIN(1,(Sens!F3266-base_fy)/n_conv)</f>
        <v>0.0479303589424807</v>
      </c>
      <c r="G3317" s="7" t="n">
        <f aca="false">Sens!$E$3317+(glt_lic-Sens!$E$3317)*MIN(1,(Sens!G3266-base_fy)/n_conv)</f>
        <v>0.0423442871539845</v>
      </c>
      <c r="H3317" s="7" t="n">
        <f aca="false">Sens!$E$3317+(glt_lic-Sens!$E$3317)*MIN(1,(Sens!H3266-base_fy)/n_conv)</f>
        <v>0.0367582153654884</v>
      </c>
      <c r="I3317" s="7" t="n">
        <f aca="false">Sens!$E$3317+(glt_lic-Sens!$E$3317)*MIN(1,(Sens!I3266-base_fy)/n_conv)</f>
        <v>0.0311721435769923</v>
      </c>
      <c r="J3317" s="7" t="n">
        <f aca="false">Sens!$E$3317+(glt_lic-Sens!$E$3317)*MIN(1,(Sens!J3266-base_fy)/n_conv)</f>
        <v>0.0255860717884961</v>
      </c>
      <c r="K3317" s="7" t="n">
        <f aca="false">Sens!$E$3317+(glt_lic-Sens!$E$3317)*MIN(1,(Sens!K3266-base_fy)/n_conv)</f>
        <v>0.02</v>
      </c>
    </row>
    <row r="3318" customFormat="false" ht="17.15" hidden="false" customHeight="false" outlineLevel="0" collapsed="false">
      <c r="A3318" s="0" t="s">
        <v>1035</v>
      </c>
      <c r="B3318" s="0" t="s">
        <v>98</v>
      </c>
      <c r="D3318" s="6" t="n">
        <f aca="false">Q!L9</f>
        <v>18.417</v>
      </c>
      <c r="E3318" s="6" t="n">
        <f aca="false">Q!M9</f>
        <v>20.345</v>
      </c>
      <c r="F3318" s="6" t="n">
        <f aca="false">Q!$I$9+(Q!M9-Q!$E$9)*(1+Sens!F3319)</f>
        <v>22.3161797133988</v>
      </c>
      <c r="G3318" s="6" t="n">
        <f aca="false">Sens!F3318*(1+Sens!G3319)</f>
        <v>24.3943499673233</v>
      </c>
      <c r="H3318" s="6" t="n">
        <f aca="false">Sens!G3318*(1+Sens!H3319)</f>
        <v>26.5250243109019</v>
      </c>
      <c r="I3318" s="6" t="n">
        <f aca="false">Sens!H3318*(1+Sens!I3319)</f>
        <v>28.6884573538181</v>
      </c>
      <c r="J3318" s="6" t="n">
        <f aca="false">Sens!I3318*(1+Sens!J3319)</f>
        <v>30.8624968052127</v>
      </c>
      <c r="K3318" s="6" t="n">
        <f aca="false">Sens!J3318*(1+Sens!K3319)</f>
        <v>33.0228715815776</v>
      </c>
      <c r="L3318" s="12" t="s">
        <v>1034</v>
      </c>
    </row>
    <row r="3319" customFormat="false" ht="15" hidden="false" customHeight="false" outlineLevel="0" collapsed="false">
      <c r="A3319" s="1" t="s">
        <v>1024</v>
      </c>
      <c r="B3319" s="0" t="s">
        <v>168</v>
      </c>
      <c r="E3319" s="7" t="n">
        <f aca="false">Sens!E3318/Sens!D3318-1</f>
        <v>0.104685888038225</v>
      </c>
      <c r="F3319" s="7" t="n">
        <f aca="false">Sens!$E$3319+(glt_ind-Sens!$E$3319)*MIN(1,(Sens!F3266-base_fy)/n_conv)</f>
        <v>0.0989049066985211</v>
      </c>
      <c r="G3319" s="7" t="n">
        <f aca="false">Sens!$E$3319+(glt_ind-Sens!$E$3319)*MIN(1,(Sens!G3266-base_fy)/n_conv)</f>
        <v>0.0931239253588169</v>
      </c>
      <c r="H3319" s="7" t="n">
        <f aca="false">Sens!$E$3319+(glt_ind-Sens!$E$3319)*MIN(1,(Sens!H3266-base_fy)/n_conv)</f>
        <v>0.0873429440191127</v>
      </c>
      <c r="I3319" s="7" t="n">
        <f aca="false">Sens!$E$3319+(glt_ind-Sens!$E$3319)*MIN(1,(Sens!I3266-base_fy)/n_conv)</f>
        <v>0.0815619626794085</v>
      </c>
      <c r="J3319" s="7" t="n">
        <f aca="false">Sens!$E$3319+(glt_ind-Sens!$E$3319)*MIN(1,(Sens!J3266-base_fy)/n_conv)</f>
        <v>0.0757809813397042</v>
      </c>
      <c r="K3319" s="7" t="n">
        <f aca="false">Sens!$E$3319+(glt_ind-Sens!$E$3319)*MIN(1,(Sens!K3266-base_fy)/n_conv)</f>
        <v>0.07</v>
      </c>
    </row>
    <row r="3320" customFormat="false" ht="17.15" hidden="false" customHeight="false" outlineLevel="0" collapsed="false">
      <c r="A3320" s="0" t="s">
        <v>1036</v>
      </c>
      <c r="B3320" s="0" t="s">
        <v>98</v>
      </c>
      <c r="D3320" s="6" t="n">
        <f aca="false">Q!L10</f>
        <v>7.76</v>
      </c>
      <c r="E3320" s="6" t="n">
        <f aca="false">Q!M10</f>
        <v>8.26</v>
      </c>
      <c r="F3320" s="6" t="n">
        <f aca="false">Q!$I$10+(Q!M10-Q!$E$10)*(1+Sens!F3321)</f>
        <v>8.75372082474227</v>
      </c>
      <c r="G3320" s="6" t="n">
        <f aca="false">Sens!F3320*(1+Sens!G3321)</f>
        <v>9.33399324642364</v>
      </c>
      <c r="H3320" s="6" t="n">
        <f aca="false">Sens!G3320*(1+Sens!H3321)</f>
        <v>9.96139155535851</v>
      </c>
      <c r="I3320" s="6" t="n">
        <f aca="false">Sens!H3320*(1+Sens!I3321)</f>
        <v>10.6402039077391</v>
      </c>
      <c r="J3320" s="6" t="n">
        <f aca="false">Sens!I3320*(1+Sens!J3321)</f>
        <v>11.3751458271397</v>
      </c>
      <c r="K3320" s="6" t="n">
        <f aca="false">Sens!J3320*(1+Sens!K3321)</f>
        <v>12.1714060350394</v>
      </c>
      <c r="L3320" s="12" t="s">
        <v>1034</v>
      </c>
    </row>
    <row r="3321" customFormat="false" ht="15" hidden="false" customHeight="false" outlineLevel="0" collapsed="false">
      <c r="A3321" s="1" t="s">
        <v>1024</v>
      </c>
      <c r="B3321" s="0" t="s">
        <v>168</v>
      </c>
      <c r="E3321" s="7" t="n">
        <f aca="false">Sens!E3320/Sens!D3320-1</f>
        <v>0.0644329896907216</v>
      </c>
      <c r="F3321" s="7" t="n">
        <f aca="false">Sens!$E$3321+(glt_fro-Sens!$E$3321)*MIN(1,(Sens!F3266-base_fy)/n_conv)</f>
        <v>0.065360824742268</v>
      </c>
      <c r="G3321" s="7" t="n">
        <f aca="false">Sens!$E$3321+(glt_fro-Sens!$E$3321)*MIN(1,(Sens!G3266-base_fy)/n_conv)</f>
        <v>0.0662886597938144</v>
      </c>
      <c r="H3321" s="7" t="n">
        <f aca="false">Sens!$E$3321+(glt_fro-Sens!$E$3321)*MIN(1,(Sens!H3266-base_fy)/n_conv)</f>
        <v>0.0672164948453608</v>
      </c>
      <c r="I3321" s="7" t="n">
        <f aca="false">Sens!$E$3321+(glt_fro-Sens!$E$3321)*MIN(1,(Sens!I3266-base_fy)/n_conv)</f>
        <v>0.0681443298969072</v>
      </c>
      <c r="J3321" s="7" t="n">
        <f aca="false">Sens!$E$3321+(glt_fro-Sens!$E$3321)*MIN(1,(Sens!J3266-base_fy)/n_conv)</f>
        <v>0.0690721649484536</v>
      </c>
      <c r="K3321" s="7" t="n">
        <f aca="false">Sens!$E$3321+(glt_fro-Sens!$E$3321)*MIN(1,(Sens!K3266-base_fy)/n_conv)</f>
        <v>0.07</v>
      </c>
    </row>
    <row r="3322" customFormat="false" ht="15" hidden="false" customHeight="false" outlineLevel="0" collapsed="false">
      <c r="A3322" s="0" t="s">
        <v>852</v>
      </c>
      <c r="B3322" s="0" t="s">
        <v>98</v>
      </c>
      <c r="D3322" s="6" t="n">
        <f aca="false">Sens!D3310+Sens!D3315+Sens!D3316+Sens!D3318+Sens!D3320</f>
        <v>218.783</v>
      </c>
      <c r="E3322" s="6" t="n">
        <f aca="false">Sens!E3310+Sens!E3315+Sens!E3316+Sens!E3318+Sens!E3320</f>
        <v>268.127</v>
      </c>
      <c r="F3322" s="6" t="n">
        <f aca="false">Sens!F3310+Sens!F3315+Sens!F3316+Sens!F3318+Sens!F3320</f>
        <v>323.928152474783</v>
      </c>
      <c r="G3322" s="6" t="n">
        <f aca="false">Sens!G3310+Sens!G3315+Sens!G3316+Sens!G3318+Sens!G3320</f>
        <v>371.483283318173</v>
      </c>
      <c r="H3322" s="6" t="n">
        <f aca="false">Sens!H3310+Sens!H3315+Sens!H3316+Sens!H3318+Sens!H3320</f>
        <v>414.840491008376</v>
      </c>
      <c r="I3322" s="6" t="n">
        <f aca="false">Sens!I3310+Sens!I3315+Sens!I3316+Sens!I3318+Sens!I3320</f>
        <v>454.068669312702</v>
      </c>
      <c r="J3322" s="6" t="n">
        <f aca="false">Sens!J3310+Sens!J3315+Sens!J3316+Sens!J3318+Sens!J3320</f>
        <v>490.12907888762</v>
      </c>
      <c r="K3322" s="6" t="n">
        <f aca="false">Sens!K3310+Sens!K3315+Sens!K3316+Sens!K3318+Sens!K3320</f>
        <v>524.212115512281</v>
      </c>
    </row>
    <row r="3323" customFormat="false" ht="17.15" hidden="false" customHeight="false" outlineLevel="0" collapsed="false">
      <c r="A3323" s="0" t="s">
        <v>1037</v>
      </c>
      <c r="B3323" s="0" t="s">
        <v>98</v>
      </c>
      <c r="D3323" s="6" t="n">
        <f aca="false">Q!L13</f>
        <v>22.171</v>
      </c>
      <c r="E3323" s="6" t="n">
        <f aca="false">Q!M13</f>
        <v>24.835</v>
      </c>
      <c r="F3323" s="6" t="n">
        <f aca="false">Q!$I$13+(Q!M13-Q!$E$13)*(1+Sens!F3324)</f>
        <v>27.5591895660247</v>
      </c>
      <c r="G3323" s="6" t="n">
        <f aca="false">Sens!F3323*(1+Sens!G3324)</f>
        <v>30.4098563144583</v>
      </c>
      <c r="H3323" s="6" t="n">
        <f aca="false">Sens!G3323*(1+Sens!H3324)</f>
        <v>33.3011792571777</v>
      </c>
      <c r="I3323" s="6" t="n">
        <f aca="false">Sens!H3323*(1+Sens!I3324)</f>
        <v>36.189023797112</v>
      </c>
      <c r="J3323" s="6" t="n">
        <f aca="false">Sens!I3323*(1+Sens!J3324)</f>
        <v>39.0247773769199</v>
      </c>
      <c r="K3323" s="6" t="n">
        <f aca="false">Sens!J3323*(1+Sens!K3324)</f>
        <v>41.7565117933043</v>
      </c>
      <c r="L3323" s="12" t="s">
        <v>1034</v>
      </c>
    </row>
    <row r="3324" customFormat="false" ht="15" hidden="false" customHeight="false" outlineLevel="0" collapsed="false">
      <c r="A3324" s="1" t="s">
        <v>1024</v>
      </c>
      <c r="B3324" s="0" t="s">
        <v>168</v>
      </c>
      <c r="E3324" s="7" t="n">
        <f aca="false">Sens!E3323/Sens!D3323-1</f>
        <v>0.120156961796942</v>
      </c>
      <c r="F3324" s="7" t="n">
        <f aca="false">Sens!$E$3324+(glt_srch-Sens!$E$3324)*MIN(1,(Sens!F3266-base_fy)/n_conv)</f>
        <v>0.111797468164118</v>
      </c>
      <c r="G3324" s="7" t="n">
        <f aca="false">Sens!$E$3324+(glt_srch-Sens!$E$3324)*MIN(1,(Sens!G3266-base_fy)/n_conv)</f>
        <v>0.103437974531295</v>
      </c>
      <c r="H3324" s="7" t="n">
        <f aca="false">Sens!$E$3324+(glt_srch-Sens!$E$3324)*MIN(1,(Sens!H3266-base_fy)/n_conv)</f>
        <v>0.095078480898471</v>
      </c>
      <c r="I3324" s="7" t="n">
        <f aca="false">Sens!$E$3324+(glt_srch-Sens!$E$3324)*MIN(1,(Sens!I3266-base_fy)/n_conv)</f>
        <v>0.0867189872656474</v>
      </c>
      <c r="J3324" s="7" t="n">
        <f aca="false">Sens!$E$3324+(glt_srch-Sens!$E$3324)*MIN(1,(Sens!J3266-base_fy)/n_conv)</f>
        <v>0.0783594936328237</v>
      </c>
      <c r="K3324" s="7" t="n">
        <f aca="false">Sens!$E$3324+(glt_srch-Sens!$E$3324)*MIN(1,(Sens!K3266-base_fy)/n_conv)</f>
        <v>0.07</v>
      </c>
    </row>
    <row r="3325" customFormat="false" ht="17.15" hidden="false" customHeight="false" outlineLevel="0" collapsed="false">
      <c r="A3325" s="0" t="s">
        <v>1038</v>
      </c>
      <c r="B3325" s="0" t="s">
        <v>98</v>
      </c>
      <c r="D3325" s="6" t="n">
        <f aca="false">Q!L14</f>
        <v>23.455</v>
      </c>
      <c r="E3325" s="6" t="n">
        <f aca="false">Q!M14</f>
        <v>21.79</v>
      </c>
      <c r="F3325" s="6" t="n">
        <f aca="false">Q!$I$14+(Q!M14-Q!$E$14)*(1+Sens!F3326)</f>
        <v>20.7520981041711</v>
      </c>
      <c r="G3325" s="6" t="n">
        <f aca="false">Sens!F3325*(1+Sens!G3326)</f>
        <v>19.9083593495882</v>
      </c>
      <c r="H3325" s="6" t="n">
        <f aca="false">Sens!G3325*(1+Sens!H3326)</f>
        <v>19.4008256265831</v>
      </c>
      <c r="I3325" s="6" t="n">
        <f aca="false">Sens!H3325*(1+Sens!I3326)</f>
        <v>19.200434522122</v>
      </c>
      <c r="J3325" s="6" t="n">
        <f aca="false">Sens!I3325*(1+Sens!J3326)</f>
        <v>19.2932782348507</v>
      </c>
      <c r="K3325" s="6" t="n">
        <f aca="false">Sens!J3325*(1+Sens!K3326)</f>
        <v>19.6791437995477</v>
      </c>
      <c r="L3325" s="12" t="s">
        <v>1034</v>
      </c>
    </row>
    <row r="3326" customFormat="false" ht="15" hidden="false" customHeight="false" outlineLevel="0" collapsed="false">
      <c r="A3326" s="1" t="s">
        <v>1024</v>
      </c>
      <c r="B3326" s="0" t="s">
        <v>168</v>
      </c>
      <c r="E3326" s="7" t="n">
        <f aca="false">Sens!E3325/Sens!D3325-1</f>
        <v>-0.0709869963760392</v>
      </c>
      <c r="F3326" s="7" t="n">
        <f aca="false">Sens!$E$3326+(glt_xbox-Sens!$E$3326)*MIN(1,(Sens!F3266-base_fy)/n_conv)</f>
        <v>-0.0558224969800327</v>
      </c>
      <c r="G3326" s="7" t="n">
        <f aca="false">Sens!$E$3326+(glt_xbox-Sens!$E$3326)*MIN(1,(Sens!G3266-base_fy)/n_conv)</f>
        <v>-0.0406579975840262</v>
      </c>
      <c r="H3326" s="7" t="n">
        <f aca="false">Sens!$E$3326+(glt_xbox-Sens!$E$3326)*MIN(1,(Sens!H3266-base_fy)/n_conv)</f>
        <v>-0.0254934981880196</v>
      </c>
      <c r="I3326" s="7" t="n">
        <f aca="false">Sens!$E$3326+(glt_xbox-Sens!$E$3326)*MIN(1,(Sens!I3266-base_fy)/n_conv)</f>
        <v>-0.0103289987920131</v>
      </c>
      <c r="J3326" s="7" t="n">
        <f aca="false">Sens!$E$3326+(glt_xbox-Sens!$E$3326)*MIN(1,(Sens!J3266-base_fy)/n_conv)</f>
        <v>0.00483550060399347</v>
      </c>
      <c r="K3326" s="7" t="n">
        <f aca="false">Sens!$E$3326+(glt_xbox-Sens!$E$3326)*MIN(1,(Sens!K3266-base_fy)/n_conv)</f>
        <v>0.02</v>
      </c>
    </row>
    <row r="3327" customFormat="false" ht="17.15" hidden="false" customHeight="false" outlineLevel="0" collapsed="false">
      <c r="A3327" s="0" t="s">
        <v>1039</v>
      </c>
      <c r="B3327" s="0" t="s">
        <v>98</v>
      </c>
      <c r="D3327" s="6" t="n">
        <f aca="false">Q!L15</f>
        <v>17.315</v>
      </c>
      <c r="E3327" s="6" t="n">
        <f aca="false">Q!M15</f>
        <v>17.087</v>
      </c>
      <c r="F3327" s="6" t="n">
        <f aca="false">Q!$I$15+(Q!M15-Q!$E$15)*(1+Sens!F3328)</f>
        <v>15.9912273250553</v>
      </c>
      <c r="G3327" s="6" t="n">
        <f aca="false">Sens!F3327*(1+Sens!G3328)</f>
        <v>15.9574562664827</v>
      </c>
      <c r="H3327" s="6" t="n">
        <f aca="false">Sens!G3327*(1+Sens!H3328)</f>
        <v>16.0119687434196</v>
      </c>
      <c r="I3327" s="6" t="n">
        <f aca="false">Sens!H3327*(1+Sens!I3328)</f>
        <v>16.1551810001948</v>
      </c>
      <c r="J3327" s="6" t="n">
        <f aca="false">Sens!I3327*(1+Sens!J3328)</f>
        <v>16.3889793892005</v>
      </c>
      <c r="K3327" s="6" t="n">
        <f aca="false">Sens!J3327*(1+Sens!K3328)</f>
        <v>16.7167589769845</v>
      </c>
      <c r="L3327" s="12" t="s">
        <v>1034</v>
      </c>
    </row>
    <row r="3328" customFormat="false" ht="15" hidden="false" customHeight="false" outlineLevel="0" collapsed="false">
      <c r="A3328" s="1" t="s">
        <v>1024</v>
      </c>
      <c r="B3328" s="0" t="s">
        <v>168</v>
      </c>
      <c r="E3328" s="7" t="n">
        <f aca="false">Sens!E3327/Sens!D3327-1</f>
        <v>-0.0131677736066995</v>
      </c>
      <c r="F3328" s="7" t="n">
        <f aca="false">Sens!$E$3328+(glt_win-Sens!$E$3328)*MIN(1,(Sens!F3266-base_fy)/n_conv)</f>
        <v>-0.00763981133891627</v>
      </c>
      <c r="G3328" s="7" t="n">
        <f aca="false">Sens!$E$3328+(glt_win-Sens!$E$3328)*MIN(1,(Sens!G3266-base_fy)/n_conv)</f>
        <v>-0.00211184907113301</v>
      </c>
      <c r="H3328" s="7" t="n">
        <f aca="false">Sens!$E$3328+(glt_win-Sens!$E$3328)*MIN(1,(Sens!H3266-base_fy)/n_conv)</f>
        <v>0.00341611319665024</v>
      </c>
      <c r="I3328" s="7" t="n">
        <f aca="false">Sens!$E$3328+(glt_win-Sens!$E$3328)*MIN(1,(Sens!I3266-base_fy)/n_conv)</f>
        <v>0.00894407546443349</v>
      </c>
      <c r="J3328" s="7" t="n">
        <f aca="false">Sens!$E$3328+(glt_win-Sens!$E$3328)*MIN(1,(Sens!J3266-base_fy)/n_conv)</f>
        <v>0.0144720377322168</v>
      </c>
      <c r="K3328" s="7" t="n">
        <f aca="false">Sens!$E$3328+(glt_win-Sens!$E$3328)*MIN(1,(Sens!K3266-base_fy)/n_conv)</f>
        <v>0.02</v>
      </c>
    </row>
    <row r="3329" customFormat="false" ht="15" hidden="false" customHeight="false" outlineLevel="0" collapsed="false">
      <c r="A3329" s="0" t="s">
        <v>866</v>
      </c>
      <c r="B3329" s="0" t="s">
        <v>98</v>
      </c>
      <c r="D3329" s="6" t="n">
        <f aca="false">Sens!D3323+Sens!D3325+Sens!D3327</f>
        <v>62.941</v>
      </c>
      <c r="E3329" s="6" t="n">
        <f aca="false">Sens!E3323+Sens!E3325+Sens!E3327</f>
        <v>63.712</v>
      </c>
      <c r="F3329" s="6" t="n">
        <f aca="false">Sens!F3323+Sens!F3325+Sens!F3327</f>
        <v>64.3025149952511</v>
      </c>
      <c r="G3329" s="6" t="n">
        <f aca="false">Sens!G3323+Sens!G3325+Sens!G3327</f>
        <v>66.2756719305292</v>
      </c>
      <c r="H3329" s="6" t="n">
        <f aca="false">Sens!H3323+Sens!H3325+Sens!H3327</f>
        <v>68.7139736271804</v>
      </c>
      <c r="I3329" s="6" t="n">
        <f aca="false">Sens!I3323+Sens!I3325+Sens!I3327</f>
        <v>71.5446393194289</v>
      </c>
      <c r="J3329" s="6" t="n">
        <f aca="false">Sens!J3323+Sens!J3325+Sens!J3327</f>
        <v>74.707035000971</v>
      </c>
      <c r="K3329" s="6" t="n">
        <f aca="false">Sens!K3323+Sens!K3325+Sens!K3327</f>
        <v>78.1524145698365</v>
      </c>
    </row>
    <row r="3330" customFormat="false" ht="15" hidden="false" customHeight="false" outlineLevel="0" collapsed="false">
      <c r="A3330" s="1" t="s">
        <v>1040</v>
      </c>
      <c r="B3330" s="0" t="s">
        <v>98</v>
      </c>
      <c r="D3330" s="6" t="n">
        <f aca="false">Sens!D3322+Sens!D3329</f>
        <v>281.724</v>
      </c>
      <c r="E3330" s="6" t="n">
        <f aca="false">Sens!E3322+Sens!E3329</f>
        <v>331.839</v>
      </c>
      <c r="F3330" s="6" t="n">
        <f aca="false">Sens!F3322+Sens!F3329</f>
        <v>388.230667470034</v>
      </c>
      <c r="G3330" s="6" t="n">
        <f aca="false">Sens!G3322+Sens!G3329</f>
        <v>437.758955248702</v>
      </c>
      <c r="H3330" s="6" t="n">
        <f aca="false">Sens!H3322+Sens!H3329</f>
        <v>483.554464635556</v>
      </c>
      <c r="I3330" s="6" t="n">
        <f aca="false">Sens!I3322+Sens!I3329</f>
        <v>525.613308632131</v>
      </c>
      <c r="J3330" s="6" t="n">
        <f aca="false">Sens!J3322+Sens!J3329</f>
        <v>564.836113888591</v>
      </c>
      <c r="K3330" s="6" t="n">
        <f aca="false">Sens!K3322+Sens!K3329</f>
        <v>602.364530082118</v>
      </c>
    </row>
    <row r="3331" customFormat="false" ht="15" hidden="false" customHeight="false" outlineLevel="0" collapsed="false">
      <c r="A3331" s="26" t="s">
        <v>1041</v>
      </c>
      <c r="B3331" s="31" t="s">
        <v>98</v>
      </c>
      <c r="C3331" s="31"/>
      <c r="D3331" s="27" t="n">
        <f aca="false">(Sens!D3310+Sens!D3315+Sens!D3316+Sens!D3318+Sens!D3320-Sens!D3322)+(Sens!D3323+Sens!D3325+Sens!D3327-Sens!D3329)+(Sens!D3322-Q!L5)+(Sens!D3329-Q!L12)+(Sens!D3310-Q!L6)+(Sens!D3315-Q!L7)</f>
        <v>0</v>
      </c>
      <c r="E3331" s="27" t="n">
        <f aca="false">(Sens!E3310+Sens!E3315+Sens!E3316+Sens!E3318+Sens!E3320-Sens!E3322)+(Sens!E3323+Sens!E3325+Sens!E3327-Sens!E3329)+(Sens!E3322-Q!M5)+(Sens!E3329-Q!M12)+(Sens!E3310-Q!M6)+(Sens!E3315-Q!M7)</f>
        <v>0</v>
      </c>
      <c r="F3331" s="27" t="n">
        <f aca="false">(Sens!F3310+Sens!F3315+Sens!F3316+Sens!F3318+Sens!F3320-Sens!F3322)+(Sens!F3323+Sens!F3325+Sens!F3327-Sens!F3329)</f>
        <v>0</v>
      </c>
      <c r="G3331" s="27" t="n">
        <f aca="false">(Sens!G3310+Sens!G3315+Sens!G3316+Sens!G3318+Sens!G3320-Sens!G3322)+(Sens!G3323+Sens!G3325+Sens!G3327-Sens!G3329)</f>
        <v>0</v>
      </c>
      <c r="H3331" s="27" t="n">
        <f aca="false">(Sens!H3310+Sens!H3315+Sens!H3316+Sens!H3318+Sens!H3320-Sens!H3322)+(Sens!H3323+Sens!H3325+Sens!H3327-Sens!H3329)</f>
        <v>0</v>
      </c>
      <c r="I3331" s="27" t="n">
        <f aca="false">(Sens!I3310+Sens!I3315+Sens!I3316+Sens!I3318+Sens!I3320-Sens!I3322)+(Sens!I3323+Sens!I3325+Sens!I3327-Sens!I3329)</f>
        <v>0</v>
      </c>
      <c r="J3331" s="27" t="n">
        <f aca="false">(Sens!J3310+Sens!J3315+Sens!J3316+Sens!J3318+Sens!J3320-Sens!J3322)+(Sens!J3323+Sens!J3325+Sens!J3327-Sens!J3329)</f>
        <v>0</v>
      </c>
      <c r="K3331" s="27" t="n">
        <f aca="false">(Sens!K3310+Sens!K3315+Sens!K3316+Sens!K3318+Sens!K3320-Sens!K3322)+(Sens!K3323+Sens!K3325+Sens!K3327-Sens!K3329)</f>
        <v>0</v>
      </c>
    </row>
    <row r="3332" customFormat="false" ht="17.15" hidden="false" customHeight="false" outlineLevel="0" collapsed="false">
      <c r="A3332" s="3" t="s">
        <v>1562</v>
      </c>
    </row>
    <row r="3333" customFormat="false" ht="15" hidden="false" customHeight="false" outlineLevel="0" collapsed="false">
      <c r="A3333" s="4" t="s">
        <v>43</v>
      </c>
      <c r="B3333" s="4" t="s">
        <v>65</v>
      </c>
      <c r="C3333" s="23" t="s">
        <v>938</v>
      </c>
      <c r="D3333" s="23" t="s">
        <v>939</v>
      </c>
      <c r="E3333" s="23" t="s">
        <v>940</v>
      </c>
      <c r="F3333" s="23" t="s">
        <v>941</v>
      </c>
      <c r="G3333" s="23" t="s">
        <v>942</v>
      </c>
      <c r="H3333" s="23" t="s">
        <v>943</v>
      </c>
      <c r="I3333" s="23" t="s">
        <v>944</v>
      </c>
      <c r="J3333" s="23" t="s">
        <v>945</v>
      </c>
      <c r="K3333" s="23" t="s">
        <v>946</v>
      </c>
      <c r="L3333" s="4" t="s">
        <v>47</v>
      </c>
    </row>
    <row r="3334" customFormat="false" ht="15" hidden="false" customHeight="false" outlineLevel="0" collapsed="false">
      <c r="A3334" s="0" t="s">
        <v>1025</v>
      </c>
      <c r="B3334" s="0" t="s">
        <v>98</v>
      </c>
      <c r="D3334" s="6" t="n">
        <f aca="false">Sens!D3310</f>
        <v>72.61</v>
      </c>
      <c r="E3334" s="6" t="n">
        <f aca="false">Sens!E3310</f>
        <v>101.938</v>
      </c>
      <c r="F3334" s="6" t="n">
        <f aca="false">Sens!F3310</f>
        <v>135.889104460628</v>
      </c>
      <c r="G3334" s="6" t="n">
        <f aca="false">Sens!G3310</f>
        <v>161.043678229876</v>
      </c>
      <c r="H3334" s="6" t="n">
        <f aca="false">Sens!H3310</f>
        <v>181.974199155081</v>
      </c>
      <c r="I3334" s="6" t="n">
        <f aca="false">Sens!I3310</f>
        <v>200.545187298855</v>
      </c>
      <c r="J3334" s="6" t="n">
        <f aca="false">Sens!J3310</f>
        <v>218.036976330236</v>
      </c>
      <c r="K3334" s="6" t="n">
        <f aca="false">Sens!K3310</f>
        <v>234.472002641203</v>
      </c>
    </row>
    <row r="3335" customFormat="false" ht="17.15" hidden="false" customHeight="false" outlineLevel="0" collapsed="false">
      <c r="A3335" s="0" t="s">
        <v>1021</v>
      </c>
      <c r="B3335" s="0" t="s">
        <v>98</v>
      </c>
      <c r="D3335" s="6" t="n">
        <f aca="false">Sens!D3307</f>
        <v>12.9359794422418</v>
      </c>
      <c r="E3335" s="6" t="n">
        <f aca="false">Sens!E3307</f>
        <v>27.8095064661409</v>
      </c>
      <c r="F3335" s="6" t="n">
        <f aca="false">Sens!F3307</f>
        <v>41.5474952749207</v>
      </c>
      <c r="G3335" s="6" t="n">
        <f aca="false">Sens!G3307</f>
        <v>48.9517655264224</v>
      </c>
      <c r="H3335" s="6" t="n">
        <f aca="false">Sens!H3307</f>
        <v>51.8229407672915</v>
      </c>
      <c r="I3335" s="6" t="n">
        <f aca="false">Sens!I3307</f>
        <v>52.9439474006443</v>
      </c>
      <c r="J3335" s="6" t="n">
        <f aca="false">Sens!J3307</f>
        <v>54.636896193871</v>
      </c>
      <c r="K3335" s="6" t="n">
        <f aca="false">Sens!K3307</f>
        <v>57.9999160939293</v>
      </c>
    </row>
    <row r="3336" customFormat="false" ht="17.15" hidden="false" customHeight="false" outlineLevel="0" collapsed="false">
      <c r="A3336" s="0" t="s">
        <v>1052</v>
      </c>
      <c r="B3336" s="0" t="s">
        <v>98</v>
      </c>
      <c r="D3336" s="6" t="n">
        <f aca="false">Sens!D3308</f>
        <v>59.6740205577583</v>
      </c>
      <c r="E3336" s="6" t="n">
        <f aca="false">Sens!E3308</f>
        <v>74.1284935338591</v>
      </c>
      <c r="F3336" s="6" t="n">
        <f aca="false">Sens!F3308</f>
        <v>94.3416091857071</v>
      </c>
      <c r="G3336" s="6" t="n">
        <f aca="false">Sens!G3308</f>
        <v>112.091912703454</v>
      </c>
      <c r="H3336" s="6" t="n">
        <f aca="false">Sens!H3308</f>
        <v>130.15125838779</v>
      </c>
      <c r="I3336" s="6" t="n">
        <f aca="false">Sens!I3308</f>
        <v>147.60123989821</v>
      </c>
      <c r="J3336" s="6" t="n">
        <f aca="false">Sens!J3308</f>
        <v>163.400080136365</v>
      </c>
      <c r="K3336" s="6" t="n">
        <f aca="false">Sens!K3308</f>
        <v>176.472086547274</v>
      </c>
    </row>
    <row r="3337" customFormat="false" ht="15" hidden="false" customHeight="false" outlineLevel="0" collapsed="false">
      <c r="A3337" s="0" t="s">
        <v>1032</v>
      </c>
      <c r="B3337" s="0" t="s">
        <v>98</v>
      </c>
      <c r="D3337" s="6" t="n">
        <f aca="false">Sens!D3315</f>
        <v>84.605</v>
      </c>
      <c r="E3337" s="6" t="n">
        <f aca="false">Sens!E3315</f>
        <v>100.299</v>
      </c>
      <c r="F3337" s="6" t="n">
        <f aca="false">Sens!F3315</f>
        <v>118.584003697747</v>
      </c>
      <c r="G3337" s="6" t="n">
        <f aca="false">Sens!G3315</f>
        <v>136.700726545688</v>
      </c>
      <c r="H3337" s="6" t="n">
        <f aca="false">Sens!H3315</f>
        <v>154.898624783666</v>
      </c>
      <c r="I3337" s="6" t="n">
        <f aca="false">Sens!I3315</f>
        <v>171.420510030657</v>
      </c>
      <c r="J3337" s="6" t="n">
        <f aca="false">Sens!J3315</f>
        <v>185.985722618572</v>
      </c>
      <c r="K3337" s="6" t="n">
        <f aca="false">Sens!K3315</f>
        <v>199.799723201872</v>
      </c>
    </row>
    <row r="3338" customFormat="false" ht="17.15" hidden="false" customHeight="false" outlineLevel="0" collapsed="false">
      <c r="A3338" s="0" t="s">
        <v>1053</v>
      </c>
      <c r="B3338" s="0" t="s">
        <v>98</v>
      </c>
      <c r="D3338" s="6" t="n">
        <f aca="false">Sens!D3313</f>
        <v>83.705</v>
      </c>
      <c r="E3338" s="6" t="n">
        <f aca="false">Sens!E3313</f>
        <v>95.049</v>
      </c>
      <c r="F3338" s="6" t="n">
        <f aca="false">Sens!F3313</f>
        <v>106.584003697747</v>
      </c>
      <c r="G3338" s="6" t="n">
        <f aca="false">Sens!G3313</f>
        <v>118.700726545688</v>
      </c>
      <c r="H3338" s="6" t="n">
        <f aca="false">Sens!H3313</f>
        <v>130.898624783666</v>
      </c>
      <c r="I3338" s="6" t="n">
        <f aca="false">Sens!I3313</f>
        <v>142.920510030657</v>
      </c>
      <c r="J3338" s="6" t="n">
        <f aca="false">Sens!J3313</f>
        <v>154.485722618572</v>
      </c>
      <c r="K3338" s="6" t="n">
        <f aca="false">Sens!K3313</f>
        <v>165.299723201872</v>
      </c>
    </row>
    <row r="3339" customFormat="false" ht="17.15" hidden="false" customHeight="false" outlineLevel="0" collapsed="false">
      <c r="A3339" s="0" t="s">
        <v>1054</v>
      </c>
      <c r="B3339" s="0" t="s">
        <v>98</v>
      </c>
      <c r="D3339" s="6" t="n">
        <f aca="false">Sens!D3312</f>
        <v>0.9</v>
      </c>
      <c r="E3339" s="6" t="n">
        <f aca="false">Sens!E3312</f>
        <v>5.25</v>
      </c>
      <c r="F3339" s="6" t="n">
        <f aca="false">Sens!F3312</f>
        <v>12</v>
      </c>
      <c r="G3339" s="6" t="n">
        <f aca="false">Sens!G3312</f>
        <v>18</v>
      </c>
      <c r="H3339" s="6" t="n">
        <f aca="false">Sens!H3312</f>
        <v>24</v>
      </c>
      <c r="I3339" s="6" t="n">
        <f aca="false">Sens!I3312</f>
        <v>28.5</v>
      </c>
      <c r="J3339" s="6" t="n">
        <f aca="false">Sens!J3312</f>
        <v>31.5</v>
      </c>
      <c r="K3339" s="6" t="n">
        <f aca="false">Sens!K3312</f>
        <v>34.5</v>
      </c>
    </row>
    <row r="3340" customFormat="false" ht="15" hidden="false" customHeight="false" outlineLevel="0" collapsed="false">
      <c r="A3340" s="0" t="s">
        <v>1033</v>
      </c>
      <c r="B3340" s="0" t="s">
        <v>98</v>
      </c>
      <c r="D3340" s="6" t="n">
        <f aca="false">Sens!D3316</f>
        <v>35.391</v>
      </c>
      <c r="E3340" s="6" t="n">
        <f aca="false">Sens!E3316</f>
        <v>37.285</v>
      </c>
      <c r="F3340" s="6" t="n">
        <f aca="false">Sens!F3316</f>
        <v>38.3851437782675</v>
      </c>
      <c r="G3340" s="6" t="n">
        <f aca="false">Sens!G3316</f>
        <v>40.0105353288615</v>
      </c>
      <c r="H3340" s="6" t="n">
        <f aca="false">Sens!H3316</f>
        <v>41.4812512033683</v>
      </c>
      <c r="I3340" s="6" t="n">
        <f aca="false">Sens!I3316</f>
        <v>42.7743107216329</v>
      </c>
      <c r="J3340" s="6" t="n">
        <f aca="false">Sens!J3316</f>
        <v>43.8687373064601</v>
      </c>
      <c r="K3340" s="6" t="n">
        <f aca="false">Sens!K3316</f>
        <v>44.7461120525893</v>
      </c>
    </row>
    <row r="3341" customFormat="false" ht="15" hidden="false" customHeight="false" outlineLevel="0" collapsed="false">
      <c r="A3341" s="0" t="s">
        <v>1035</v>
      </c>
      <c r="B3341" s="0" t="s">
        <v>98</v>
      </c>
      <c r="D3341" s="6" t="n">
        <f aca="false">Sens!D3318</f>
        <v>18.417</v>
      </c>
      <c r="E3341" s="6" t="n">
        <f aca="false">Sens!E3318</f>
        <v>20.345</v>
      </c>
      <c r="F3341" s="6" t="n">
        <f aca="false">Sens!F3318</f>
        <v>22.3161797133988</v>
      </c>
      <c r="G3341" s="6" t="n">
        <f aca="false">Sens!G3318</f>
        <v>24.3943499673233</v>
      </c>
      <c r="H3341" s="6" t="n">
        <f aca="false">Sens!H3318</f>
        <v>26.5250243109019</v>
      </c>
      <c r="I3341" s="6" t="n">
        <f aca="false">Sens!I3318</f>
        <v>28.6884573538181</v>
      </c>
      <c r="J3341" s="6" t="n">
        <f aca="false">Sens!J3318</f>
        <v>30.8624968052127</v>
      </c>
      <c r="K3341" s="6" t="n">
        <f aca="false">Sens!K3318</f>
        <v>33.0228715815776</v>
      </c>
    </row>
    <row r="3342" customFormat="false" ht="15" hidden="false" customHeight="false" outlineLevel="0" collapsed="false">
      <c r="A3342" s="0" t="s">
        <v>1036</v>
      </c>
      <c r="B3342" s="0" t="s">
        <v>98</v>
      </c>
      <c r="D3342" s="6" t="n">
        <f aca="false">Sens!D3320</f>
        <v>7.76</v>
      </c>
      <c r="E3342" s="6" t="n">
        <f aca="false">Sens!E3320</f>
        <v>8.26</v>
      </c>
      <c r="F3342" s="6" t="n">
        <f aca="false">Sens!F3320</f>
        <v>8.75372082474227</v>
      </c>
      <c r="G3342" s="6" t="n">
        <f aca="false">Sens!G3320</f>
        <v>9.33399324642364</v>
      </c>
      <c r="H3342" s="6" t="n">
        <f aca="false">Sens!H3320</f>
        <v>9.96139155535851</v>
      </c>
      <c r="I3342" s="6" t="n">
        <f aca="false">Sens!I3320</f>
        <v>10.6402039077391</v>
      </c>
      <c r="J3342" s="6" t="n">
        <f aca="false">Sens!J3320</f>
        <v>11.3751458271397</v>
      </c>
      <c r="K3342" s="6" t="n">
        <f aca="false">Sens!K3320</f>
        <v>12.1714060350394</v>
      </c>
    </row>
    <row r="3343" customFormat="false" ht="15" hidden="false" customHeight="false" outlineLevel="0" collapsed="false">
      <c r="A3343" s="0" t="s">
        <v>852</v>
      </c>
      <c r="B3343" s="0" t="s">
        <v>98</v>
      </c>
      <c r="D3343" s="6" t="n">
        <f aca="false">Sens!D3322</f>
        <v>218.783</v>
      </c>
      <c r="E3343" s="6" t="n">
        <f aca="false">Sens!E3322</f>
        <v>268.127</v>
      </c>
      <c r="F3343" s="6" t="n">
        <f aca="false">Sens!F3322</f>
        <v>323.928152474783</v>
      </c>
      <c r="G3343" s="6" t="n">
        <f aca="false">Sens!G3322</f>
        <v>371.483283318173</v>
      </c>
      <c r="H3343" s="6" t="n">
        <f aca="false">Sens!H3322</f>
        <v>414.840491008376</v>
      </c>
      <c r="I3343" s="6" t="n">
        <f aca="false">Sens!I3322</f>
        <v>454.068669312702</v>
      </c>
      <c r="J3343" s="6" t="n">
        <f aca="false">Sens!J3322</f>
        <v>490.12907888762</v>
      </c>
      <c r="K3343" s="6" t="n">
        <f aca="false">Sens!K3322</f>
        <v>524.212115512281</v>
      </c>
    </row>
    <row r="3344" customFormat="false" ht="15" hidden="false" customHeight="false" outlineLevel="0" collapsed="false">
      <c r="A3344" s="0" t="s">
        <v>1037</v>
      </c>
      <c r="B3344" s="0" t="s">
        <v>98</v>
      </c>
      <c r="D3344" s="6" t="n">
        <f aca="false">Sens!D3323</f>
        <v>22.171</v>
      </c>
      <c r="E3344" s="6" t="n">
        <f aca="false">Sens!E3323</f>
        <v>24.835</v>
      </c>
      <c r="F3344" s="6" t="n">
        <f aca="false">Sens!F3323</f>
        <v>27.5591895660247</v>
      </c>
      <c r="G3344" s="6" t="n">
        <f aca="false">Sens!G3323</f>
        <v>30.4098563144583</v>
      </c>
      <c r="H3344" s="6" t="n">
        <f aca="false">Sens!H3323</f>
        <v>33.3011792571777</v>
      </c>
      <c r="I3344" s="6" t="n">
        <f aca="false">Sens!I3323</f>
        <v>36.189023797112</v>
      </c>
      <c r="J3344" s="6" t="n">
        <f aca="false">Sens!J3323</f>
        <v>39.0247773769199</v>
      </c>
      <c r="K3344" s="6" t="n">
        <f aca="false">Sens!K3323</f>
        <v>41.7565117933043</v>
      </c>
    </row>
    <row r="3345" customFormat="false" ht="15" hidden="false" customHeight="false" outlineLevel="0" collapsed="false">
      <c r="A3345" s="0" t="s">
        <v>1038</v>
      </c>
      <c r="B3345" s="0" t="s">
        <v>98</v>
      </c>
      <c r="D3345" s="6" t="n">
        <f aca="false">Sens!D3325</f>
        <v>23.455</v>
      </c>
      <c r="E3345" s="6" t="n">
        <f aca="false">Sens!E3325</f>
        <v>21.79</v>
      </c>
      <c r="F3345" s="6" t="n">
        <f aca="false">Sens!F3325</f>
        <v>20.7520981041711</v>
      </c>
      <c r="G3345" s="6" t="n">
        <f aca="false">Sens!G3325</f>
        <v>19.9083593495882</v>
      </c>
      <c r="H3345" s="6" t="n">
        <f aca="false">Sens!H3325</f>
        <v>19.4008256265831</v>
      </c>
      <c r="I3345" s="6" t="n">
        <f aca="false">Sens!I3325</f>
        <v>19.200434522122</v>
      </c>
      <c r="J3345" s="6" t="n">
        <f aca="false">Sens!J3325</f>
        <v>19.2932782348507</v>
      </c>
      <c r="K3345" s="6" t="n">
        <f aca="false">Sens!K3325</f>
        <v>19.6791437995477</v>
      </c>
    </row>
    <row r="3346" customFormat="false" ht="15" hidden="false" customHeight="false" outlineLevel="0" collapsed="false">
      <c r="A3346" s="0" t="s">
        <v>1039</v>
      </c>
      <c r="B3346" s="0" t="s">
        <v>98</v>
      </c>
      <c r="D3346" s="6" t="n">
        <f aca="false">Sens!D3327</f>
        <v>17.315</v>
      </c>
      <c r="E3346" s="6" t="n">
        <f aca="false">Sens!E3327</f>
        <v>17.087</v>
      </c>
      <c r="F3346" s="6" t="n">
        <f aca="false">Sens!F3327</f>
        <v>15.9912273250553</v>
      </c>
      <c r="G3346" s="6" t="n">
        <f aca="false">Sens!G3327</f>
        <v>15.9574562664827</v>
      </c>
      <c r="H3346" s="6" t="n">
        <f aca="false">Sens!H3327</f>
        <v>16.0119687434196</v>
      </c>
      <c r="I3346" s="6" t="n">
        <f aca="false">Sens!I3327</f>
        <v>16.1551810001948</v>
      </c>
      <c r="J3346" s="6" t="n">
        <f aca="false">Sens!J3327</f>
        <v>16.3889793892005</v>
      </c>
      <c r="K3346" s="6" t="n">
        <f aca="false">Sens!K3327</f>
        <v>16.7167589769845</v>
      </c>
    </row>
    <row r="3347" customFormat="false" ht="15" hidden="false" customHeight="false" outlineLevel="0" collapsed="false">
      <c r="A3347" s="0" t="s">
        <v>866</v>
      </c>
      <c r="B3347" s="0" t="s">
        <v>98</v>
      </c>
      <c r="D3347" s="6" t="n">
        <f aca="false">Sens!D3329</f>
        <v>62.941</v>
      </c>
      <c r="E3347" s="6" t="n">
        <f aca="false">Sens!E3329</f>
        <v>63.712</v>
      </c>
      <c r="F3347" s="6" t="n">
        <f aca="false">Sens!F3329</f>
        <v>64.3025149952511</v>
      </c>
      <c r="G3347" s="6" t="n">
        <f aca="false">Sens!G3329</f>
        <v>66.2756719305292</v>
      </c>
      <c r="H3347" s="6" t="n">
        <f aca="false">Sens!H3329</f>
        <v>68.7139736271804</v>
      </c>
      <c r="I3347" s="6" t="n">
        <f aca="false">Sens!I3329</f>
        <v>71.5446393194289</v>
      </c>
      <c r="J3347" s="6" t="n">
        <f aca="false">Sens!J3329</f>
        <v>74.707035000971</v>
      </c>
      <c r="K3347" s="6" t="n">
        <f aca="false">Sens!K3329</f>
        <v>78.1524145698365</v>
      </c>
    </row>
    <row r="3348" customFormat="false" ht="15" hidden="false" customHeight="false" outlineLevel="0" collapsed="false">
      <c r="A3348" s="1" t="s">
        <v>1055</v>
      </c>
      <c r="B3348" s="0" t="s">
        <v>98</v>
      </c>
      <c r="D3348" s="6" t="n">
        <f aca="false">Sens!D3330</f>
        <v>281.724</v>
      </c>
      <c r="E3348" s="6" t="n">
        <f aca="false">Sens!E3330</f>
        <v>331.839</v>
      </c>
      <c r="F3348" s="6" t="n">
        <f aca="false">Sens!F3330</f>
        <v>388.230667470034</v>
      </c>
      <c r="G3348" s="6" t="n">
        <f aca="false">Sens!G3330</f>
        <v>437.758955248702</v>
      </c>
      <c r="H3348" s="6" t="n">
        <f aca="false">Sens!H3330</f>
        <v>483.554464635556</v>
      </c>
      <c r="I3348" s="6" t="n">
        <f aca="false">Sens!I3330</f>
        <v>525.613308632131</v>
      </c>
      <c r="J3348" s="6" t="n">
        <f aca="false">Sens!J3330</f>
        <v>564.836113888591</v>
      </c>
      <c r="K3348" s="6" t="n">
        <f aca="false">Sens!K3330</f>
        <v>602.364530082118</v>
      </c>
    </row>
    <row r="3349" customFormat="false" ht="15" hidden="false" customHeight="false" outlineLevel="0" collapsed="false">
      <c r="A3349" s="1" t="s">
        <v>1056</v>
      </c>
      <c r="B3349" s="0" t="s">
        <v>168</v>
      </c>
      <c r="E3349" s="7" t="n">
        <f aca="false">Sens!E3348/Sens!D3348-1</f>
        <v>0.177886867998467</v>
      </c>
      <c r="F3349" s="7" t="n">
        <f aca="false">Sens!F3348/Sens!E3348-1</f>
        <v>0.169936829215476</v>
      </c>
      <c r="G3349" s="7" t="n">
        <f aca="false">Sens!G3348/Sens!F3348-1</f>
        <v>0.12757438277977</v>
      </c>
      <c r="H3349" s="7" t="n">
        <f aca="false">Sens!H3348/Sens!G3348-1</f>
        <v>0.1046135295184</v>
      </c>
      <c r="I3349" s="7" t="n">
        <f aca="false">Sens!I3348/Sens!H3348-1</f>
        <v>0.0869785041241908</v>
      </c>
      <c r="J3349" s="7" t="n">
        <f aca="false">Sens!J3348/Sens!I3348-1</f>
        <v>0.0746229302270425</v>
      </c>
      <c r="K3349" s="7" t="n">
        <f aca="false">Sens!K3348/Sens!J3348-1</f>
        <v>0.0664412477721441</v>
      </c>
    </row>
    <row r="3350" customFormat="false" ht="17.15" hidden="false" customHeight="false" outlineLevel="0" collapsed="false">
      <c r="A3350" s="26" t="s">
        <v>1057</v>
      </c>
      <c r="B3350" s="31" t="s">
        <v>98</v>
      </c>
      <c r="C3350" s="31"/>
      <c r="D3350" s="27" t="n">
        <f aca="false">(Sens!D3343+Sens!D3347-Sens!D3348)+(Sens!D3335+Sens!D3336-Sens!D3334)+(Sens!D3338+Sens!D3339-Sens!D3337)+(Sens!D3348-Q!L18)</f>
        <v>0</v>
      </c>
      <c r="E3350" s="27" t="n">
        <f aca="false">(Sens!E3343+Sens!E3347-Sens!E3348)+(Sens!E3335+Sens!E3336-Sens!E3334)+(Sens!E3338+Sens!E3339-Sens!E3337)+(Sens!E3348-Q!M18)</f>
        <v>0</v>
      </c>
      <c r="F3350" s="27" t="n">
        <f aca="false">(Sens!F3343+Sens!F3347-Sens!F3348)+(Sens!F3335+Sens!F3336-Sens!F3334)+(Sens!F3338+Sens!F3339-Sens!F3337)</f>
        <v>0</v>
      </c>
      <c r="G3350" s="27" t="n">
        <f aca="false">(Sens!G3343+Sens!G3347-Sens!G3348)+(Sens!G3335+Sens!G3336-Sens!G3334)+(Sens!G3338+Sens!G3339-Sens!G3337)</f>
        <v>0</v>
      </c>
      <c r="H3350" s="27" t="n">
        <f aca="false">(Sens!H3343+Sens!H3347-Sens!H3348)+(Sens!H3335+Sens!H3336-Sens!H3334)+(Sens!H3338+Sens!H3339-Sens!H3337)</f>
        <v>0</v>
      </c>
      <c r="I3350" s="27" t="n">
        <f aca="false">(Sens!I3343+Sens!I3347-Sens!I3348)+(Sens!I3335+Sens!I3336-Sens!I3334)+(Sens!I3338+Sens!I3339-Sens!I3337)</f>
        <v>0</v>
      </c>
      <c r="J3350" s="27" t="n">
        <f aca="false">(Sens!J3343+Sens!J3347-Sens!J3348)+(Sens!J3335+Sens!J3336-Sens!J3334)+(Sens!J3338+Sens!J3339-Sens!J3337)</f>
        <v>0</v>
      </c>
      <c r="K3350" s="27" t="n">
        <f aca="false">(Sens!K3343+Sens!K3347-Sens!K3348)+(Sens!K3335+Sens!K3336-Sens!K3334)+(Sens!K3338+Sens!K3339-Sens!K3337)</f>
        <v>0</v>
      </c>
    </row>
    <row r="3351" customFormat="false" ht="17.15" hidden="false" customHeight="false" outlineLevel="0" collapsed="false">
      <c r="A3351" s="0" t="s">
        <v>1058</v>
      </c>
      <c r="B3351" s="0" t="s">
        <v>168</v>
      </c>
      <c r="E3351" s="7" t="n">
        <f aca="false">(Q!M21+Sens!E3287+Sens!E3288+Sens!E3289+Sens!E3303-Sens!E3285)/(Q!M5-Sens!E3285)</f>
        <v>0.570957350878296</v>
      </c>
      <c r="F3351" s="7" t="n">
        <f aca="false">Sens!$E$3351+dm_seg</f>
        <v>0.570957350878296</v>
      </c>
      <c r="G3351" s="7" t="n">
        <f aca="false">Sens!$E$3351+dm_seg</f>
        <v>0.570957350878296</v>
      </c>
      <c r="H3351" s="7" t="n">
        <f aca="false">Sens!$E$3351+dm_seg</f>
        <v>0.570957350878296</v>
      </c>
      <c r="I3351" s="7" t="n">
        <f aca="false">Sens!$E$3351+dm_seg</f>
        <v>0.570957350878296</v>
      </c>
      <c r="J3351" s="7" t="n">
        <f aca="false">Sens!$E$3351+dm_seg</f>
        <v>0.570957350878296</v>
      </c>
      <c r="K3351" s="7" t="n">
        <f aca="false">Sens!$E$3351+dm_seg</f>
        <v>0.570957350878296</v>
      </c>
      <c r="L3351" s="12" t="s">
        <v>1059</v>
      </c>
    </row>
    <row r="3352" customFormat="false" ht="17.15" hidden="false" customHeight="false" outlineLevel="0" collapsed="false">
      <c r="A3352" s="0" t="s">
        <v>880</v>
      </c>
      <c r="B3352" s="0" t="s">
        <v>98</v>
      </c>
      <c r="D3352" s="6" t="n">
        <f aca="false">Q!L21</f>
        <v>110.814</v>
      </c>
      <c r="E3352" s="6" t="n">
        <f aca="false">Q!M21</f>
        <v>136.365</v>
      </c>
      <c r="F3352" s="6" t="n">
        <f aca="false">Q!$I$21+(Sens!F3351*(Sens!F3322-Sens!F3285)+Sens!F3285-(Sens!F3287+Sens!F3288+Sens!F3289)-Sens!F3303-Sens!F3386)*(Sens!F3322-Q!$I$5)/Sens!F3322</f>
        <v>152.253180035428</v>
      </c>
      <c r="G3352" s="6" t="n">
        <f aca="false">(Sens!G3351*(Sens!G3322-Sens!G3285)+Sens!G3285-(Sens!G3287+Sens!G3288+Sens!G3289)-Sens!G3303-Sens!G3386)</f>
        <v>170.519385074234</v>
      </c>
      <c r="H3352" s="6" t="n">
        <f aca="false">(Sens!H3351*(Sens!H3322-Sens!H3285)+Sens!H3285-(Sens!H3287+Sens!H3288+Sens!H3289)-Sens!H3303-Sens!H3386)</f>
        <v>194.236141292342</v>
      </c>
      <c r="I3352" s="6" t="n">
        <f aca="false">(Sens!I3351*(Sens!I3322-Sens!I3285)+Sens!I3285-(Sens!I3287+Sens!I3288+Sens!I3289)-Sens!I3303-Sens!I3386)</f>
        <v>217.541623053626</v>
      </c>
      <c r="J3352" s="6" t="n">
        <f aca="false">(Sens!J3351*(Sens!J3322-Sens!J3285)+Sens!J3285-(Sens!J3287+Sens!J3288+Sens!J3289)-Sens!J3303-Sens!J3386)</f>
        <v>238.266427229453</v>
      </c>
      <c r="K3352" s="6" t="n">
        <f aca="false">(Sens!K3351*(Sens!K3322-Sens!K3285)+Sens!K3285-(Sens!K3287+Sens!K3288+Sens!K3289)-Sens!K3303-Sens!K3386)</f>
        <v>257.164905015849</v>
      </c>
      <c r="L3352" s="1" t="s">
        <v>1060</v>
      </c>
    </row>
    <row r="3353" customFormat="false" ht="17.15" hidden="false" customHeight="false" outlineLevel="0" collapsed="false">
      <c r="A3353" s="0" t="s">
        <v>1061</v>
      </c>
      <c r="B3353" s="0" t="s">
        <v>168</v>
      </c>
      <c r="E3353" s="7" t="n">
        <f aca="false">Q!M22/Q!M12</f>
        <v>0.296207935710698</v>
      </c>
      <c r="F3353" s="7" t="n">
        <f aca="false">Sens!$E$3353+dm_seg</f>
        <v>0.296207935710698</v>
      </c>
      <c r="G3353" s="7" t="n">
        <f aca="false">Sens!$E$3353+dm_seg</f>
        <v>0.296207935710698</v>
      </c>
      <c r="H3353" s="7" t="n">
        <f aca="false">Sens!$E$3353+dm_seg</f>
        <v>0.296207935710698</v>
      </c>
      <c r="I3353" s="7" t="n">
        <f aca="false">Sens!$E$3353+dm_seg</f>
        <v>0.296207935710698</v>
      </c>
      <c r="J3353" s="7" t="n">
        <f aca="false">Sens!$E$3353+dm_seg</f>
        <v>0.296207935710698</v>
      </c>
      <c r="K3353" s="7" t="n">
        <f aca="false">Sens!$E$3353+dm_seg</f>
        <v>0.296207935710698</v>
      </c>
      <c r="L3353" s="12" t="s">
        <v>1062</v>
      </c>
    </row>
    <row r="3354" customFormat="false" ht="17.15" hidden="false" customHeight="false" outlineLevel="0" collapsed="false">
      <c r="A3354" s="0" t="s">
        <v>882</v>
      </c>
      <c r="B3354" s="0" t="s">
        <v>98</v>
      </c>
      <c r="D3354" s="6" t="n">
        <f aca="false">Q!L22</f>
        <v>17.714</v>
      </c>
      <c r="E3354" s="6" t="n">
        <f aca="false">Q!M22</f>
        <v>18.872</v>
      </c>
      <c r="F3354" s="6" t="n">
        <f aca="false">Q!$I$22+(Sens!F3329-Q!$I$12)*Sens!F3353</f>
        <v>19.8174315512051</v>
      </c>
      <c r="G3354" s="6" t="n">
        <f aca="false">Sens!G3329*Sens!G3353</f>
        <v>19.6313799703815</v>
      </c>
      <c r="H3354" s="6" t="n">
        <f aca="false">Sens!H3329*Sens!H3353</f>
        <v>20.3536242825865</v>
      </c>
      <c r="I3354" s="6" t="n">
        <f aca="false">Sens!I3329*Sens!I3353</f>
        <v>21.1920899239745</v>
      </c>
      <c r="J3354" s="6" t="n">
        <f aca="false">Sens!J3329*Sens!J3353</f>
        <v>22.1288166207045</v>
      </c>
      <c r="K3354" s="6" t="n">
        <f aca="false">Sens!K3329*Sens!K3353</f>
        <v>23.1493653905379</v>
      </c>
      <c r="L3354" s="12" t="s">
        <v>1063</v>
      </c>
    </row>
    <row r="3355" customFormat="false" ht="15" hidden="false" customHeight="false" outlineLevel="0" collapsed="false">
      <c r="A3355" s="1" t="s">
        <v>1064</v>
      </c>
      <c r="B3355" s="0" t="s">
        <v>98</v>
      </c>
      <c r="D3355" s="6" t="n">
        <f aca="false">Sens!D3352+Sens!D3354</f>
        <v>128.528</v>
      </c>
      <c r="E3355" s="6" t="n">
        <f aca="false">Sens!E3352+Sens!E3354</f>
        <v>155.237</v>
      </c>
      <c r="F3355" s="6" t="n">
        <f aca="false">Sens!F3352+Sens!F3354</f>
        <v>172.070611586633</v>
      </c>
      <c r="G3355" s="6" t="n">
        <f aca="false">Sens!G3352+Sens!G3354</f>
        <v>190.150765044615</v>
      </c>
      <c r="H3355" s="6" t="n">
        <f aca="false">Sens!H3352+Sens!H3354</f>
        <v>214.589765574929</v>
      </c>
      <c r="I3355" s="6" t="n">
        <f aca="false">Sens!I3352+Sens!I3354</f>
        <v>238.7337129776</v>
      </c>
      <c r="J3355" s="6" t="n">
        <f aca="false">Sens!J3352+Sens!J3354</f>
        <v>260.395243850157</v>
      </c>
      <c r="K3355" s="6" t="n">
        <f aca="false">Sens!K3352+Sens!K3354</f>
        <v>280.314270406387</v>
      </c>
    </row>
    <row r="3356" customFormat="false" ht="15" hidden="false" customHeight="false" outlineLevel="0" collapsed="false">
      <c r="A3356" s="26" t="s">
        <v>1065</v>
      </c>
      <c r="B3356" s="31" t="s">
        <v>98</v>
      </c>
      <c r="C3356" s="31"/>
      <c r="D3356" s="27" t="n">
        <f aca="false">Sens!D3355-Q!L23</f>
        <v>0</v>
      </c>
      <c r="E3356" s="27" t="n">
        <f aca="false">Sens!E3355-Q!M23</f>
        <v>0</v>
      </c>
      <c r="F3356" s="31"/>
      <c r="G3356" s="31"/>
      <c r="H3356" s="31"/>
      <c r="I3356" s="31"/>
      <c r="J3356" s="31"/>
      <c r="K3356" s="31"/>
    </row>
    <row r="3357" customFormat="false" ht="15" hidden="false" customHeight="false" outlineLevel="0" collapsed="false">
      <c r="A3357" s="1" t="s">
        <v>1066</v>
      </c>
      <c r="B3357" s="0" t="s">
        <v>168</v>
      </c>
      <c r="D3357" s="7" t="n">
        <f aca="false">Sens!D3355/Sens!D3348</f>
        <v>0.456219562408598</v>
      </c>
      <c r="E3357" s="7" t="n">
        <f aca="false">Sens!E3355/Sens!E3348</f>
        <v>0.467808184089272</v>
      </c>
      <c r="F3357" s="7" t="n">
        <f aca="false">Sens!F3355/Sens!F3348</f>
        <v>0.443217463236375</v>
      </c>
      <c r="G3357" s="7" t="n">
        <f aca="false">Sens!G3355/Sens!G3348</f>
        <v>0.434373215589812</v>
      </c>
      <c r="H3357" s="7" t="n">
        <f aca="false">Sens!H3355/Sens!H3348</f>
        <v>0.443775792116117</v>
      </c>
      <c r="I3357" s="7" t="n">
        <f aca="false">Sens!I3355/Sens!I3348</f>
        <v>0.454200281950407</v>
      </c>
      <c r="J3357" s="7" t="n">
        <f aca="false">Sens!J3355/Sens!J3348</f>
        <v>0.461010260228364</v>
      </c>
      <c r="K3357" s="7" t="n">
        <f aca="false">Sens!K3355/Sens!K3348</f>
        <v>0.465356534801564</v>
      </c>
    </row>
    <row r="3358" customFormat="false" ht="17.15" hidden="false" customHeight="false" outlineLevel="0" collapsed="false">
      <c r="A3358" s="1" t="s">
        <v>1067</v>
      </c>
      <c r="B3358" s="0" t="s">
        <v>98</v>
      </c>
      <c r="F3358" s="6" t="n">
        <f aca="false">Sens!F3373</f>
        <v>2.46526205645066</v>
      </c>
      <c r="G3358" s="6" t="n">
        <f aca="false">Sens!G3373</f>
        <v>2.26142522258762</v>
      </c>
      <c r="H3358" s="6" t="n">
        <f aca="false">Sens!H3373</f>
        <v>0.466127630290755</v>
      </c>
      <c r="I3358" s="6" t="n">
        <f aca="false">Sens!I3373</f>
        <v>0</v>
      </c>
      <c r="J3358" s="6" t="n">
        <f aca="false">Sens!J3373</f>
        <v>0</v>
      </c>
      <c r="K3358" s="6" t="n">
        <f aca="false">Sens!K3373</f>
        <v>0</v>
      </c>
      <c r="L3358" s="1" t="s">
        <v>1068</v>
      </c>
    </row>
    <row r="3359" customFormat="false" ht="17.15" hidden="false" customHeight="false" outlineLevel="0" collapsed="false">
      <c r="A3359" s="1" t="s">
        <v>1069</v>
      </c>
      <c r="B3359" s="0" t="s">
        <v>98</v>
      </c>
      <c r="D3359" s="6" t="n">
        <f aca="false">Sens!D3355</f>
        <v>128.528</v>
      </c>
      <c r="E3359" s="6" t="n">
        <f aca="false">Sens!E3355</f>
        <v>155.237</v>
      </c>
      <c r="F3359" s="6" t="n">
        <f aca="false">Sens!F3355+Sens!F3358</f>
        <v>174.535873643084</v>
      </c>
      <c r="G3359" s="6" t="n">
        <f aca="false">Sens!G3355+Sens!G3358</f>
        <v>192.412190267203</v>
      </c>
      <c r="H3359" s="6" t="n">
        <f aca="false">Sens!H3355+Sens!H3358</f>
        <v>215.055893205219</v>
      </c>
      <c r="I3359" s="6" t="n">
        <f aca="false">Sens!I3355+Sens!I3358</f>
        <v>238.7337129776</v>
      </c>
      <c r="J3359" s="6" t="n">
        <f aca="false">Sens!J3355+Sens!J3358</f>
        <v>260.395243850157</v>
      </c>
      <c r="K3359" s="6" t="n">
        <f aca="false">Sens!K3355+Sens!K3358</f>
        <v>280.314270406387</v>
      </c>
    </row>
    <row r="3360" customFormat="false" ht="17.15" hidden="false" customHeight="false" outlineLevel="0" collapsed="false">
      <c r="A3360" s="1" t="s">
        <v>1070</v>
      </c>
      <c r="B3360" s="0" t="s">
        <v>98</v>
      </c>
      <c r="E3360" s="6" t="n">
        <f aca="false">Sens!E3303</f>
        <v>16.3054059770833</v>
      </c>
      <c r="F3360" s="6" t="n">
        <f aca="false">Sens!F3303</f>
        <v>24.549027677</v>
      </c>
      <c r="G3360" s="6" t="n">
        <f aca="false">Sens!G3303</f>
        <v>29.185632823</v>
      </c>
      <c r="H3360" s="6" t="n">
        <f aca="false">Sens!H3303</f>
        <v>31.677584917</v>
      </c>
      <c r="I3360" s="6" t="n">
        <f aca="false">Sens!I3303</f>
        <v>32.2298649310278</v>
      </c>
      <c r="J3360" s="6" t="n">
        <f aca="false">Sens!J3303</f>
        <v>33.6162004764444</v>
      </c>
      <c r="K3360" s="6" t="n">
        <f aca="false">Sens!K3303</f>
        <v>36.1070960499167</v>
      </c>
    </row>
    <row r="3361" customFormat="false" ht="17.15" hidden="false" customHeight="false" outlineLevel="0" collapsed="false">
      <c r="A3361" s="1" t="s">
        <v>1071</v>
      </c>
      <c r="B3361" s="0" t="s">
        <v>98</v>
      </c>
      <c r="E3361" s="6" t="n">
        <f aca="false">Sens!E3385</f>
        <v>22.2285940229167</v>
      </c>
      <c r="F3361" s="6" t="n">
        <f aca="false">Sens!F3385</f>
        <v>37.458367358225</v>
      </c>
      <c r="G3361" s="6" t="n">
        <f aca="false">Sens!G3385</f>
        <v>37.9209152260188</v>
      </c>
      <c r="H3361" s="6" t="n">
        <f aca="false">Sens!H3385</f>
        <v>38.9188775179148</v>
      </c>
      <c r="I3361" s="6" t="n">
        <f aca="false">Sens!I3385</f>
        <v>40.370990629089</v>
      </c>
      <c r="J3361" s="6" t="n">
        <f aca="false">Sens!J3385</f>
        <v>42.1799210747553</v>
      </c>
      <c r="K3361" s="6" t="n">
        <f aca="false">Sens!K3385</f>
        <v>44.2480713451083</v>
      </c>
    </row>
    <row r="3362" customFormat="false" ht="17.15" hidden="false" customHeight="false" outlineLevel="0" collapsed="false">
      <c r="A3362" s="1" t="s">
        <v>1072</v>
      </c>
      <c r="B3362" s="0" t="s">
        <v>98</v>
      </c>
      <c r="D3362" s="6" t="n">
        <f aca="false">Q!L27</f>
        <v>-4.901</v>
      </c>
      <c r="E3362" s="6" t="n">
        <f aca="false">Q!M27</f>
        <v>10.697</v>
      </c>
      <c r="F3362" s="6" t="n">
        <f aca="false">Q!$I$27+oie_f*(q_per_yr-1)/q_per_yr</f>
        <v>-0.862</v>
      </c>
      <c r="G3362" s="6" t="n">
        <f aca="false">oie_f</f>
        <v>-1.2</v>
      </c>
      <c r="H3362" s="6" t="n">
        <f aca="false">oie_f</f>
        <v>-1.2</v>
      </c>
      <c r="I3362" s="6" t="n">
        <f aca="false">oie_f</f>
        <v>-1.2</v>
      </c>
      <c r="J3362" s="6" t="n">
        <f aca="false">oie_f</f>
        <v>-1.2</v>
      </c>
      <c r="K3362" s="6" t="n">
        <f aca="false">oie_f</f>
        <v>-1.2</v>
      </c>
      <c r="L3362" s="12" t="s">
        <v>1073</v>
      </c>
    </row>
    <row r="3363" customFormat="false" ht="15" hidden="false" customHeight="false" outlineLevel="0" collapsed="false">
      <c r="A3363" s="1" t="s">
        <v>1074</v>
      </c>
      <c r="B3363" s="0" t="s">
        <v>98</v>
      </c>
      <c r="D3363" s="6" t="n">
        <f aca="false">Sens!D3355+Sens!D3362</f>
        <v>123.627</v>
      </c>
      <c r="E3363" s="6" t="n">
        <f aca="false">Sens!E3355+Sens!E3362</f>
        <v>165.934</v>
      </c>
      <c r="F3363" s="6" t="n">
        <f aca="false">Sens!F3355+Sens!F3362</f>
        <v>171.208611586633</v>
      </c>
      <c r="G3363" s="6" t="n">
        <f aca="false">Sens!G3355+Sens!G3362</f>
        <v>188.950765044615</v>
      </c>
      <c r="H3363" s="6" t="n">
        <f aca="false">Sens!H3355+Sens!H3362</f>
        <v>213.389765574929</v>
      </c>
      <c r="I3363" s="6" t="n">
        <f aca="false">Sens!I3355+Sens!I3362</f>
        <v>237.5337129776</v>
      </c>
      <c r="J3363" s="6" t="n">
        <f aca="false">Sens!J3355+Sens!J3362</f>
        <v>259.195243850157</v>
      </c>
      <c r="K3363" s="6" t="n">
        <f aca="false">Sens!K3355+Sens!K3362</f>
        <v>279.114270406387</v>
      </c>
    </row>
    <row r="3364" customFormat="false" ht="15" hidden="false" customHeight="false" outlineLevel="0" collapsed="false">
      <c r="A3364" s="1" t="s">
        <v>1075</v>
      </c>
      <c r="B3364" s="0" t="s">
        <v>98</v>
      </c>
      <c r="D3364" s="6" t="n">
        <f aca="false">Q!L29</f>
        <v>21.795</v>
      </c>
      <c r="E3364" s="6" t="n">
        <f aca="false">Q!M29</f>
        <v>32.185</v>
      </c>
      <c r="F3364" s="6" t="n">
        <f aca="false">Q!$I$29+(Sens!F3363-Q!$I$28)*tax_f</f>
        <v>34.3751223173267</v>
      </c>
      <c r="G3364" s="6" t="n">
        <f aca="false">Sens!G3363*tax_f</f>
        <v>37.790153008923</v>
      </c>
      <c r="H3364" s="6" t="n">
        <f aca="false">Sens!H3363*tax_f</f>
        <v>42.6779531149857</v>
      </c>
      <c r="I3364" s="6" t="n">
        <f aca="false">Sens!I3363*tax_f</f>
        <v>47.50674259552</v>
      </c>
      <c r="J3364" s="6" t="n">
        <f aca="false">Sens!J3363*tax_f</f>
        <v>51.8390487700315</v>
      </c>
      <c r="K3364" s="6" t="n">
        <f aca="false">Sens!K3363*tax_f</f>
        <v>55.8228540812774</v>
      </c>
    </row>
    <row r="3365" customFormat="false" ht="15" hidden="false" customHeight="false" outlineLevel="0" collapsed="false">
      <c r="A3365" s="1" t="s">
        <v>1076</v>
      </c>
      <c r="B3365" s="0" t="s">
        <v>98</v>
      </c>
      <c r="D3365" s="6" t="n">
        <f aca="false">Sens!D3363-Sens!D3364</f>
        <v>101.832</v>
      </c>
      <c r="E3365" s="6" t="n">
        <f aca="false">Sens!E3363-Sens!E3364</f>
        <v>133.749</v>
      </c>
      <c r="F3365" s="6" t="n">
        <f aca="false">Sens!F3363-Sens!F3364</f>
        <v>136.833489269307</v>
      </c>
      <c r="G3365" s="6" t="n">
        <f aca="false">Sens!G3363-Sens!G3364</f>
        <v>151.160612035692</v>
      </c>
      <c r="H3365" s="6" t="n">
        <f aca="false">Sens!H3363-Sens!H3364</f>
        <v>170.711812459943</v>
      </c>
      <c r="I3365" s="6" t="n">
        <f aca="false">Sens!I3363-Sens!I3364</f>
        <v>190.02697038208</v>
      </c>
      <c r="J3365" s="6" t="n">
        <f aca="false">Sens!J3363-Sens!J3364</f>
        <v>207.356195080126</v>
      </c>
      <c r="K3365" s="6" t="n">
        <f aca="false">Sens!K3363-Sens!K3364</f>
        <v>223.29141632511</v>
      </c>
    </row>
    <row r="3366" customFormat="false" ht="17.15" hidden="false" customHeight="false" outlineLevel="0" collapsed="false">
      <c r="A3366" s="1" t="s">
        <v>1077</v>
      </c>
      <c r="B3366" s="1" t="s">
        <v>81</v>
      </c>
      <c r="D3366" s="15" t="n">
        <f aca="false">Q!L31</f>
        <v>7.465</v>
      </c>
      <c r="E3366" s="15" t="n">
        <f aca="false">Q!M31</f>
        <v>7.453</v>
      </c>
      <c r="F3366" s="15" t="n">
        <f aca="false">Sens!F3410</f>
        <v>7.4735</v>
      </c>
      <c r="G3366" s="15" t="n">
        <f aca="false">Sens!G3410</f>
        <v>7.49981593415111</v>
      </c>
      <c r="H3366" s="15" t="n">
        <f aca="false">Sens!H3410</f>
        <v>7.50883180733101</v>
      </c>
      <c r="I3366" s="15" t="n">
        <f aca="false">Sens!I3410</f>
        <v>7.52051317138648</v>
      </c>
      <c r="J3366" s="15" t="n">
        <f aca="false">Sens!J3410</f>
        <v>7.53466258254895</v>
      </c>
      <c r="K3366" s="15" t="n">
        <f aca="false">Sens!K3410</f>
        <v>7.55109722251421</v>
      </c>
    </row>
    <row r="3367" customFormat="false" ht="17.15" hidden="false" customHeight="false" outlineLevel="0" collapsed="false">
      <c r="A3367" s="0" t="s">
        <v>1078</v>
      </c>
      <c r="B3367" s="0" t="s">
        <v>75</v>
      </c>
      <c r="D3367" s="8" t="n">
        <f aca="false">Sens!D3365/Sens!D3366</f>
        <v>13.641259209645</v>
      </c>
      <c r="E3367" s="8" t="n">
        <f aca="false">Sens!E3365/Sens!E3366</f>
        <v>17.9456594659869</v>
      </c>
      <c r="F3367" s="8" t="n">
        <f aca="false">Sens!F3365/Sens!F3366</f>
        <v>18.3091575927352</v>
      </c>
      <c r="G3367" s="8" t="n">
        <f aca="false">Sens!G3365/Sens!G3366</f>
        <v>20.1552429236787</v>
      </c>
      <c r="H3367" s="8" t="n">
        <f aca="false">Sens!H3365/Sens!H3366</f>
        <v>22.7348030745973</v>
      </c>
      <c r="I3367" s="8" t="n">
        <f aca="false">Sens!I3365/Sens!I3366</f>
        <v>25.2678196356442</v>
      </c>
      <c r="J3367" s="8" t="n">
        <f aca="false">Sens!J3365/Sens!J3366</f>
        <v>27.5203027087615</v>
      </c>
      <c r="K3367" s="8" t="n">
        <f aca="false">Sens!K3365/Sens!K3366</f>
        <v>29.5707245907718</v>
      </c>
      <c r="L3367" s="1" t="s">
        <v>1079</v>
      </c>
    </row>
    <row r="3368" customFormat="false" ht="17.15" hidden="false" customHeight="false" outlineLevel="0" collapsed="false">
      <c r="A3368" s="1" t="s">
        <v>1080</v>
      </c>
      <c r="B3368" s="0" t="s">
        <v>98</v>
      </c>
      <c r="D3368" s="6" t="n">
        <f aca="false">Sens!D3365</f>
        <v>101.832</v>
      </c>
      <c r="E3368" s="6" t="n">
        <f aca="false">Sens!E3365</f>
        <v>133.749</v>
      </c>
      <c r="F3368" s="6" t="n">
        <f aca="false">Sens!F3365+Sens!F3358*(1-tax_f)</f>
        <v>138.805698914467</v>
      </c>
      <c r="G3368" s="6" t="n">
        <f aca="false">Sens!G3365+Sens!G3358*(1-tax_f)</f>
        <v>152.969752213762</v>
      </c>
      <c r="H3368" s="6" t="n">
        <f aca="false">Sens!H3365+Sens!H3358*(1-tax_f)</f>
        <v>171.084714564176</v>
      </c>
      <c r="I3368" s="6" t="n">
        <f aca="false">Sens!I3365+Sens!I3358*(1-tax_f)</f>
        <v>190.02697038208</v>
      </c>
      <c r="J3368" s="6" t="n">
        <f aca="false">Sens!J3365+Sens!J3358*(1-tax_f)</f>
        <v>207.356195080126</v>
      </c>
      <c r="K3368" s="6" t="n">
        <f aca="false">Sens!K3365+Sens!K3358*(1-tax_f)</f>
        <v>223.29141632511</v>
      </c>
    </row>
    <row r="3369" customFormat="false" ht="17.15" hidden="false" customHeight="false" outlineLevel="0" collapsed="false">
      <c r="A3369" s="0" t="s">
        <v>1081</v>
      </c>
      <c r="B3369" s="0" t="s">
        <v>75</v>
      </c>
      <c r="D3369" s="8" t="n">
        <f aca="false">Sens!D3368/Sens!D3366</f>
        <v>13.641259209645</v>
      </c>
      <c r="E3369" s="8" t="n">
        <f aca="false">Sens!E3368/Sens!E3366</f>
        <v>17.9456594659869</v>
      </c>
      <c r="F3369" s="8" t="n">
        <f aca="false">Sens!F3368/Sens!F3366</f>
        <v>18.5730513032003</v>
      </c>
      <c r="G3369" s="8" t="n">
        <f aca="false">Sens!G3368/Sens!G3366</f>
        <v>20.3964675342498</v>
      </c>
      <c r="H3369" s="8" t="n">
        <f aca="false">Sens!H3368/Sens!H3366</f>
        <v>22.7844648747016</v>
      </c>
      <c r="I3369" s="8" t="n">
        <f aca="false">Sens!I3368/Sens!I3366</f>
        <v>25.2678196356442</v>
      </c>
      <c r="J3369" s="8" t="n">
        <f aca="false">Sens!J3368/Sens!J3366</f>
        <v>27.5203027087615</v>
      </c>
      <c r="K3369" s="8" t="n">
        <f aca="false">Sens!K3368/Sens!K3366</f>
        <v>29.5707245907718</v>
      </c>
      <c r="L3369" s="1" t="s">
        <v>1082</v>
      </c>
    </row>
    <row r="3370" customFormat="false" ht="17.15" hidden="false" customHeight="false" outlineLevel="0" collapsed="false">
      <c r="A3370" s="0" t="s">
        <v>1083</v>
      </c>
      <c r="B3370" s="0" t="s">
        <v>168</v>
      </c>
      <c r="E3370" s="7" t="n">
        <f aca="false">Sens!E3369/Sens!D3369-1</f>
        <v>0.315542736208578</v>
      </c>
      <c r="F3370" s="7" t="n">
        <f aca="false">Sens!F3369/Sens!E3369-1</f>
        <v>0.0349606454085756</v>
      </c>
      <c r="G3370" s="7" t="n">
        <f aca="false">Sens!G3369/Sens!F3369-1</f>
        <v>0.0981753725482535</v>
      </c>
      <c r="H3370" s="7" t="n">
        <f aca="false">Sens!H3369/Sens!G3369-1</f>
        <v>0.117078966563297</v>
      </c>
      <c r="I3370" s="7" t="n">
        <f aca="false">Sens!I3369/Sens!H3369-1</f>
        <v>0.108993332720312</v>
      </c>
      <c r="J3370" s="7" t="n">
        <f aca="false">Sens!J3369/Sens!I3369-1</f>
        <v>0.0891443387517232</v>
      </c>
      <c r="K3370" s="7" t="n">
        <f aca="false">Sens!K3369/Sens!J3369-1</f>
        <v>0.0745057895514181</v>
      </c>
    </row>
    <row r="3371" customFormat="false" ht="17.15" hidden="false" customHeight="false" outlineLevel="0" collapsed="false">
      <c r="A3371" s="0" t="s">
        <v>1003</v>
      </c>
      <c r="B3371" s="0" t="s">
        <v>98</v>
      </c>
      <c r="E3371" s="6" t="n">
        <f aca="false">Sens!E3312</f>
        <v>5.25</v>
      </c>
      <c r="F3371" s="6" t="n">
        <f aca="false">Sens!F3312</f>
        <v>12</v>
      </c>
      <c r="G3371" s="6" t="n">
        <f aca="false">Sens!G3312</f>
        <v>18</v>
      </c>
      <c r="H3371" s="6" t="n">
        <f aca="false">Sens!H3312</f>
        <v>24</v>
      </c>
      <c r="I3371" s="6" t="n">
        <f aca="false">Sens!I3312</f>
        <v>28.5</v>
      </c>
      <c r="J3371" s="6" t="n">
        <f aca="false">Sens!J3312</f>
        <v>31.5</v>
      </c>
      <c r="K3371" s="6" t="n">
        <f aca="false">Sens!K3312</f>
        <v>34.5</v>
      </c>
    </row>
    <row r="3372" customFormat="false" ht="17.15" hidden="false" customHeight="false" outlineLevel="0" collapsed="false">
      <c r="A3372" s="1" t="s">
        <v>1004</v>
      </c>
      <c r="B3372" s="0" t="s">
        <v>98</v>
      </c>
      <c r="F3372" s="6" t="n">
        <f aca="false">MAX(0,((Sens!E3272+Sens!F3272)/2-(shadow_base*(Sens!$D$3272+Sens!$E$3272)/2+(1-shadow_base)*Sens!$E$3272))*Sens!F3281/1000-(Sens!F3371-Sens!$E$3371)*Sens!F3351)</f>
        <v>2.46526205645066</v>
      </c>
      <c r="G3372" s="6" t="n">
        <f aca="false">MAX(0,((Sens!F3272+Sens!G3272)/2-(shadow_base*(Sens!$D$3272+Sens!$E$3272)/2+(1-shadow_base)*Sens!$E$3272))*Sens!G3281/1000-(Sens!G3371-Sens!$E$3371)*Sens!G3351)</f>
        <v>2.26142522258762</v>
      </c>
      <c r="H3372" s="6" t="n">
        <f aca="false">MAX(0,((Sens!G3272+Sens!H3272)/2-(shadow_base*(Sens!$D$3272+Sens!$E$3272)/2+(1-shadow_base)*Sens!$E$3272))*Sens!H3281/1000-(Sens!H3371-Sens!$E$3371)*Sens!H3351)</f>
        <v>0.466127630290755</v>
      </c>
      <c r="I3372" s="6" t="n">
        <f aca="false">MAX(0,((Sens!H3272+Sens!I3272)/2-(shadow_base*(Sens!$D$3272+Sens!$E$3272)/2+(1-shadow_base)*Sens!$E$3272))*Sens!I3281/1000-(Sens!I3371-Sens!$E$3371)*Sens!I3351)</f>
        <v>0</v>
      </c>
      <c r="J3372" s="6" t="n">
        <f aca="false">MAX(0,((Sens!I3272+Sens!J3272)/2-(shadow_base*(Sens!$D$3272+Sens!$E$3272)/2+(1-shadow_base)*Sens!$E$3272))*Sens!J3281/1000-(Sens!J3371-Sens!$E$3371)*Sens!J3351)</f>
        <v>0</v>
      </c>
      <c r="K3372" s="6" t="n">
        <f aca="false">MAX(0,((Sens!J3272+Sens!K3272)/2-(shadow_base*(Sens!$D$3272+Sens!$E$3272)/2+(1-shadow_base)*Sens!$E$3272))*Sens!K3281/1000-(Sens!K3371-Sens!$E$3371)*Sens!K3351)</f>
        <v>0</v>
      </c>
      <c r="L3372" s="1" t="s">
        <v>1005</v>
      </c>
    </row>
    <row r="3373" customFormat="false" ht="17.15" hidden="false" customHeight="false" outlineLevel="0" collapsed="false">
      <c r="A3373" s="1" t="s">
        <v>1006</v>
      </c>
      <c r="B3373" s="0" t="s">
        <v>98</v>
      </c>
      <c r="F3373" s="6" t="n">
        <f aca="false">IF(internal_ai_reading=2,1,0)*Sens!F3372</f>
        <v>2.46526205645066</v>
      </c>
      <c r="G3373" s="6" t="n">
        <f aca="false">IF(internal_ai_reading=2,1,0)*Sens!G3372</f>
        <v>2.26142522258762</v>
      </c>
      <c r="H3373" s="6" t="n">
        <f aca="false">IF(internal_ai_reading=2,1,0)*Sens!H3372</f>
        <v>0.466127630290755</v>
      </c>
      <c r="I3373" s="6" t="n">
        <f aca="false">IF(internal_ai_reading=2,1,0)*Sens!I3372</f>
        <v>0</v>
      </c>
      <c r="J3373" s="6" t="n">
        <f aca="false">IF(internal_ai_reading=2,1,0)*Sens!J3372</f>
        <v>0</v>
      </c>
      <c r="K3373" s="6" t="n">
        <f aca="false">IF(internal_ai_reading=2,1,0)*Sens!K3372</f>
        <v>0</v>
      </c>
    </row>
    <row r="3374" customFormat="false" ht="17.15" hidden="false" customHeight="false" outlineLevel="0" collapsed="false">
      <c r="A3374" s="0" t="s">
        <v>1007</v>
      </c>
      <c r="B3374" s="0" t="s">
        <v>98</v>
      </c>
      <c r="F3374" s="6" t="n">
        <f aca="false">Sens!F3291+Sens!F3371*Sens!F3351+Sens!F3373-Sens!F3292-Sens!F3303</f>
        <v>8.31029735400012</v>
      </c>
      <c r="G3374" s="6" t="n">
        <f aca="false">Sens!G3291+Sens!G3371*Sens!G3351+Sens!G3373-Sens!G3292-Sens!G3303</f>
        <v>11.3417251499575</v>
      </c>
      <c r="H3374" s="6" t="n">
        <f aca="false">Sens!H3291+Sens!H3371*Sens!H3351+Sens!H3373-Sens!H3292-Sens!H3303</f>
        <v>12.3295876951486</v>
      </c>
      <c r="I3374" s="6" t="n">
        <f aca="false">Sens!I3291+Sens!I3371*Sens!I3351+Sens!I3373-Sens!I3292-Sens!I3303</f>
        <v>14.8614920024289</v>
      </c>
      <c r="J3374" s="6" t="n">
        <f aca="false">Sens!J3291+Sens!J3371*Sens!J3351+Sens!J3373-Sens!J3292-Sens!J3303</f>
        <v>16.6695445622153</v>
      </c>
      <c r="K3374" s="6" t="n">
        <f aca="false">Sens!K3291+Sens!K3371*Sens!K3351+Sens!K3373-Sens!K3292-Sens!K3303</f>
        <v>18.8345326593174</v>
      </c>
    </row>
    <row r="3375" customFormat="false" ht="17.15" hidden="false" customHeight="false" outlineLevel="0" collapsed="false">
      <c r="A3375" s="0" t="s">
        <v>1008</v>
      </c>
      <c r="B3375" s="0" t="s">
        <v>98</v>
      </c>
      <c r="E3375" s="6" t="n">
        <f aca="false">Sens!E3271*(cxit_open+self_build*tk_cxfac)/1000*ai_net_open</f>
        <v>126.6980382</v>
      </c>
      <c r="F3375" s="6" t="n">
        <f aca="false">Sens!E3375+Sens!F3300-Sens!F3303</f>
        <v>131.822683147</v>
      </c>
      <c r="G3375" s="6" t="n">
        <f aca="false">Sens!F3375+Sens!G3300-Sens!G3303</f>
        <v>136.850809452</v>
      </c>
      <c r="H3375" s="6" t="n">
        <f aca="false">Sens!G3375+Sens!H3300-Sens!H3303</f>
        <v>105.173224535</v>
      </c>
      <c r="I3375" s="6" t="n">
        <f aca="false">Sens!H3375+Sens!I3300-Sens!I3303</f>
        <v>102.104104363972</v>
      </c>
      <c r="J3375" s="6" t="n">
        <f aca="false">Sens!I3375+Sens!J3300-Sens!J3303</f>
        <v>112.526579647528</v>
      </c>
      <c r="K3375" s="6" t="n">
        <f aca="false">Sens!J3375+Sens!K3300-Sens!K3303</f>
        <v>163.901717877611</v>
      </c>
      <c r="L3375" s="1" t="s">
        <v>1009</v>
      </c>
    </row>
    <row r="3376" customFormat="false" ht="17.15" hidden="false" customHeight="false" outlineLevel="0" collapsed="false">
      <c r="A3376" s="0" t="s">
        <v>1010</v>
      </c>
      <c r="B3376" s="0" t="s">
        <v>168</v>
      </c>
      <c r="F3376" s="7" t="n">
        <f aca="false">Sens!F3374*(1-tax_f)/((Sens!E3375+Sens!F3375)/2)</f>
        <v>0.0514329207234146</v>
      </c>
      <c r="G3376" s="7" t="n">
        <f aca="false">Sens!G3374*(1-tax_f)/((Sens!F3375+Sens!G3375)/2)</f>
        <v>0.0675420565847049</v>
      </c>
      <c r="H3376" s="7" t="n">
        <f aca="false">Sens!H3374*(1-tax_f)/((Sens!G3375+Sens!H3375)/2)</f>
        <v>0.0815098401066129</v>
      </c>
      <c r="I3376" s="7" t="n">
        <f aca="false">Sens!I3374*(1-tax_f)/((Sens!H3375+Sens!I3375)/2)</f>
        <v>0.114717742312648</v>
      </c>
      <c r="J3376" s="7" t="n">
        <f aca="false">Sens!J3374*(1-tax_f)/((Sens!I3375+Sens!J3375)/2)</f>
        <v>0.12426588221708</v>
      </c>
      <c r="K3376" s="7" t="n">
        <f aca="false">Sens!K3374*(1-tax_f)/((Sens!J3375+Sens!K3375)/2)</f>
        <v>0.109016524446696</v>
      </c>
    </row>
    <row r="3377" customFormat="false" ht="17.15" hidden="false" customHeight="false" outlineLevel="0" collapsed="false">
      <c r="A3377" s="1" t="s">
        <v>1011</v>
      </c>
      <c r="B3377" s="0" t="s">
        <v>168</v>
      </c>
      <c r="F3377" s="7" t="n">
        <f aca="false">(Sens!F3374-Sens!F3373)*(1-tax_f)/((Sens!E3375+Sens!F3375)/2)</f>
        <v>0.0361752683782989</v>
      </c>
      <c r="G3377" s="7" t="n">
        <f aca="false">(Sens!G3374-Sens!G3373)*(1-tax_f)/((Sens!F3375+Sens!G3375)/2)</f>
        <v>0.0540748539919261</v>
      </c>
      <c r="H3377" s="7" t="n">
        <f aca="false">(Sens!H3374-Sens!H3373)*(1-tax_f)/((Sens!G3375+Sens!H3375)/2)</f>
        <v>0.0784283105734539</v>
      </c>
      <c r="I3377" s="7" t="n">
        <f aca="false">(Sens!I3374-Sens!I3373)*(1-tax_f)/((Sens!H3375+Sens!I3375)/2)</f>
        <v>0.114717742312648</v>
      </c>
      <c r="J3377" s="7" t="n">
        <f aca="false">(Sens!J3374-Sens!J3373)*(1-tax_f)/((Sens!I3375+Sens!J3375)/2)</f>
        <v>0.12426588221708</v>
      </c>
      <c r="K3377" s="7" t="n">
        <f aca="false">(Sens!K3374-Sens!K3373)*(1-tax_f)/((Sens!J3375+Sens!K3375)/2)</f>
        <v>0.109016524446696</v>
      </c>
    </row>
    <row r="3378" customFormat="false" ht="17.15" hidden="false" customHeight="false" outlineLevel="0" collapsed="false">
      <c r="A3378" s="1" t="s">
        <v>1012</v>
      </c>
      <c r="B3378" s="0" t="s">
        <v>168</v>
      </c>
      <c r="F3378" s="7" t="n">
        <f aca="false">(Sens!F3374-Sens!F3373+Sens!F3372)*(1-tax_f)/((Sens!E3375+Sens!F3375)/2)</f>
        <v>0.0514329207234146</v>
      </c>
      <c r="G3378" s="7" t="n">
        <f aca="false">(Sens!G3374-Sens!G3373+Sens!G3372)*(1-tax_f)/((Sens!F3375+Sens!G3375)/2)</f>
        <v>0.0675420565847049</v>
      </c>
      <c r="H3378" s="7" t="n">
        <f aca="false">(Sens!H3374-Sens!H3373+Sens!H3372)*(1-tax_f)/((Sens!G3375+Sens!H3375)/2)</f>
        <v>0.0815098401066129</v>
      </c>
      <c r="I3378" s="7" t="n">
        <f aca="false">(Sens!I3374-Sens!I3373+Sens!I3372)*(1-tax_f)/((Sens!H3375+Sens!I3375)/2)</f>
        <v>0.114717742312648</v>
      </c>
      <c r="J3378" s="7" t="n">
        <f aca="false">(Sens!J3374-Sens!J3373+Sens!J3372)*(1-tax_f)/((Sens!I3375+Sens!J3375)/2)</f>
        <v>0.12426588221708</v>
      </c>
      <c r="K3378" s="7" t="n">
        <f aca="false">(Sens!K3374-Sens!K3373+Sens!K3372)*(1-tax_f)/((Sens!J3375+Sens!K3375)/2)</f>
        <v>0.109016524446696</v>
      </c>
    </row>
    <row r="3379" customFormat="false" ht="17.15" hidden="false" customHeight="false" outlineLevel="0" collapsed="false">
      <c r="A3379" s="1" t="s">
        <v>1013</v>
      </c>
      <c r="B3379" s="0" t="s">
        <v>168</v>
      </c>
      <c r="F3379" s="7" t="n">
        <f aca="false">Sens!F3304*(1-tax_f)/(Sens!F3290*(Sens!E3375+Sens!F3375)/2)</f>
        <v>0.141245243742451</v>
      </c>
      <c r="G3379" s="7" t="n">
        <f aca="false">Sens!G3304*(1-tax_f)/(Sens!G3290*(Sens!F3375+Sens!G3375)/2)</f>
        <v>0.160533993594925</v>
      </c>
      <c r="H3379" s="7" t="n">
        <f aca="false">Sens!H3304*(1-tax_f)/(Sens!H3290*(Sens!G3375+Sens!H3375)/2)</f>
        <v>0.186616513125234</v>
      </c>
      <c r="I3379" s="7" t="n">
        <f aca="false">Sens!I3304*(1-tax_f)/(Sens!I3290*(Sens!H3375+Sens!I3375)/2)</f>
        <v>0.226977934093253</v>
      </c>
      <c r="J3379" s="7" t="n">
        <f aca="false">Sens!J3304*(1-tax_f)/(Sens!J3290*(Sens!I3375+Sens!J3375)/2)</f>
        <v>0.228324673059243</v>
      </c>
      <c r="K3379" s="7" t="n">
        <f aca="false">Sens!K3304*(1-tax_f)/(Sens!K3290*(Sens!J3375+Sens!K3375)/2)</f>
        <v>0.192874926809674</v>
      </c>
    </row>
    <row r="3380" customFormat="false" ht="17.15" hidden="false" customHeight="false" outlineLevel="0" collapsed="false">
      <c r="A3380" s="0" t="s">
        <v>1014</v>
      </c>
      <c r="B3380" s="0" t="s">
        <v>253</v>
      </c>
      <c r="F3380" s="7" t="n">
        <f aca="false">Sens!F3376-wacc</f>
        <v>-0.0515036702221827</v>
      </c>
      <c r="G3380" s="7" t="n">
        <f aca="false">Sens!G3376-wacc</f>
        <v>-0.0353945343608924</v>
      </c>
      <c r="H3380" s="7" t="n">
        <f aca="false">Sens!H3376-wacc</f>
        <v>-0.0214267508389844</v>
      </c>
      <c r="I3380" s="7" t="n">
        <f aca="false">Sens!I3376-wacc</f>
        <v>0.0117811513670505</v>
      </c>
      <c r="J3380" s="7" t="n">
        <f aca="false">Sens!J3376-wacc</f>
        <v>0.0213292912714831</v>
      </c>
      <c r="K3380" s="7" t="n">
        <f aca="false">Sens!K3376-wacc</f>
        <v>0.0060799335010986</v>
      </c>
    </row>
    <row r="3381" customFormat="false" ht="17.15" hidden="false" customHeight="false" outlineLevel="0" collapsed="false">
      <c r="A3381" s="0" t="s">
        <v>1015</v>
      </c>
      <c r="B3381" s="0" t="s">
        <v>98</v>
      </c>
      <c r="F3381" s="6" t="n">
        <f aca="false">Sens!F3374*(1-tax_f)-wacc*(Sens!E3375+Sens!F3375)/2</f>
        <v>-6.65738298892834</v>
      </c>
      <c r="G3381" s="6" t="n">
        <f aca="false">Sens!G3374*(1-tax_f)-wacc*(Sens!F3375+Sens!G3375)/2</f>
        <v>-4.75478658282813</v>
      </c>
      <c r="H3381" s="6" t="n">
        <f aca="false">Sens!H3374*(1-tax_f)-wacc*(Sens!G3375+Sens!H3375)/2</f>
        <v>-2.59289433664267</v>
      </c>
      <c r="I3381" s="6" t="n">
        <f aca="false">Sens!I3374*(1-tax_f)-wacc*(Sens!H3375+Sens!I3375)/2</f>
        <v>1.22098279335835</v>
      </c>
      <c r="J3381" s="6" t="n">
        <f aca="false">Sens!J3374*(1-tax_f)-wacc*(Sens!I3375+Sens!J3375)/2</f>
        <v>2.28896018753947</v>
      </c>
      <c r="K3381" s="6" t="n">
        <f aca="false">Sens!K3374*(1-tax_f)-wacc*(Sens!J3375+Sens!K3375)/2</f>
        <v>0.840332833387372</v>
      </c>
    </row>
    <row r="3382" customFormat="false" ht="17.15" hidden="false" customHeight="false" outlineLevel="0" collapsed="false">
      <c r="A3382" s="3" t="s">
        <v>1563</v>
      </c>
    </row>
    <row r="3383" customFormat="false" ht="15" hidden="false" customHeight="false" outlineLevel="0" collapsed="false">
      <c r="A3383" s="4" t="s">
        <v>43</v>
      </c>
      <c r="B3383" s="4" t="s">
        <v>65</v>
      </c>
      <c r="C3383" s="23" t="s">
        <v>938</v>
      </c>
      <c r="D3383" s="23" t="s">
        <v>939</v>
      </c>
      <c r="E3383" s="23" t="s">
        <v>940</v>
      </c>
      <c r="F3383" s="23" t="s">
        <v>941</v>
      </c>
      <c r="G3383" s="23" t="s">
        <v>942</v>
      </c>
      <c r="H3383" s="23" t="s">
        <v>943</v>
      </c>
      <c r="I3383" s="23" t="s">
        <v>944</v>
      </c>
      <c r="J3383" s="23" t="s">
        <v>945</v>
      </c>
      <c r="K3383" s="23" t="s">
        <v>946</v>
      </c>
      <c r="L3383" s="4" t="s">
        <v>47</v>
      </c>
    </row>
    <row r="3384" customFormat="false" ht="15" hidden="false" customHeight="false" outlineLevel="0" collapsed="false">
      <c r="A3384" s="1" t="s">
        <v>1076</v>
      </c>
      <c r="B3384" s="0" t="s">
        <v>98</v>
      </c>
      <c r="F3384" s="6" t="n">
        <f aca="false">Sens!F3365</f>
        <v>136.833489269307</v>
      </c>
      <c r="G3384" s="6" t="n">
        <f aca="false">Sens!G3365</f>
        <v>151.160612035692</v>
      </c>
      <c r="H3384" s="6" t="n">
        <f aca="false">Sens!H3365</f>
        <v>170.711812459943</v>
      </c>
      <c r="I3384" s="6" t="n">
        <f aca="false">Sens!I3365</f>
        <v>190.02697038208</v>
      </c>
      <c r="J3384" s="6" t="n">
        <f aca="false">Sens!J3365</f>
        <v>207.356195080126</v>
      </c>
      <c r="K3384" s="6" t="n">
        <f aca="false">Sens!K3365</f>
        <v>223.29141632511</v>
      </c>
    </row>
    <row r="3385" customFormat="false" ht="17.15" hidden="false" customHeight="false" outlineLevel="0" collapsed="false">
      <c r="A3385" s="1" t="s">
        <v>1098</v>
      </c>
      <c r="B3385" s="0" t="s">
        <v>98</v>
      </c>
      <c r="E3385" s="6" t="n">
        <f aca="false">Q!M38-Sens!E3303</f>
        <v>22.2285940229167</v>
      </c>
      <c r="F3385" s="6" t="n">
        <f aca="false">Sens!E3385*(1-1/life_nonai)+(Sens!F3393+Sens!F3394)/life_nonai</f>
        <v>37.458367358225</v>
      </c>
      <c r="G3385" s="6" t="n">
        <f aca="false">Sens!F3385*(1-1/life_nonai)+(Sens!G3393)/life_nonai</f>
        <v>37.9209152260188</v>
      </c>
      <c r="H3385" s="6" t="n">
        <f aca="false">Sens!G3385*(1-1/life_nonai)+(Sens!H3393)/life_nonai</f>
        <v>38.9188775179148</v>
      </c>
      <c r="I3385" s="6" t="n">
        <f aca="false">Sens!H3385*(1-1/life_nonai)+(Sens!I3393)/life_nonai</f>
        <v>40.370990629089</v>
      </c>
      <c r="J3385" s="6" t="n">
        <f aca="false">Sens!I3385*(1-1/life_nonai)+(Sens!J3393)/life_nonai</f>
        <v>42.1799210747553</v>
      </c>
      <c r="K3385" s="6" t="n">
        <f aca="false">Sens!J3385*(1-1/life_nonai)+(Sens!K3393)/life_nonai</f>
        <v>44.2480713451083</v>
      </c>
      <c r="L3385" s="12" t="s">
        <v>1099</v>
      </c>
    </row>
    <row r="3386" customFormat="false" ht="17.15" hidden="false" customHeight="false" outlineLevel="0" collapsed="false">
      <c r="A3386" s="1" t="s">
        <v>1100</v>
      </c>
      <c r="B3386" s="0" t="s">
        <v>98</v>
      </c>
      <c r="F3386" s="6" t="n">
        <f aca="false">Sens!$F$3394/life_nonai*(1-1/life_nonai)^(Sens!F3266-2027)</f>
        <v>13.8171372338453</v>
      </c>
      <c r="G3386" s="6" t="n">
        <f aca="false">Sens!$F$3394/life_nonai*(1-1/life_nonai)^(Sens!G3266-2027)</f>
        <v>12.4354235104607</v>
      </c>
      <c r="H3386" s="6" t="n">
        <f aca="false">Sens!$F$3394/life_nonai*(1-1/life_nonai)^(Sens!H3266-2027)</f>
        <v>11.1918811594147</v>
      </c>
      <c r="I3386" s="6" t="n">
        <f aca="false">Sens!$F$3394/life_nonai*(1-1/life_nonai)^(Sens!I3266-2027)</f>
        <v>10.0726930434732</v>
      </c>
      <c r="J3386" s="6" t="n">
        <f aca="false">Sens!$F$3394/life_nonai*(1-1/life_nonai)^(Sens!J3266-2027)</f>
        <v>9.06542373912588</v>
      </c>
      <c r="K3386" s="6" t="n">
        <f aca="false">Sens!$F$3394/life_nonai*(1-1/life_nonai)^(Sens!K3266-2027)</f>
        <v>8.15888136521329</v>
      </c>
      <c r="L3386" s="1" t="s">
        <v>1101</v>
      </c>
    </row>
    <row r="3387" customFormat="false" ht="17.15" hidden="false" customHeight="false" outlineLevel="0" collapsed="false">
      <c r="A3387" s="1" t="s">
        <v>1102</v>
      </c>
      <c r="B3387" s="0" t="s">
        <v>98</v>
      </c>
      <c r="E3387" s="6" t="n">
        <f aca="false">Sens!E3303+Sens!E3385</f>
        <v>38.534</v>
      </c>
      <c r="F3387" s="6" t="n">
        <f aca="false">Sens!F3303+Sens!F3385</f>
        <v>62.007395035225</v>
      </c>
      <c r="G3387" s="6" t="n">
        <f aca="false">Sens!G3303+Sens!G3385</f>
        <v>67.1065480490188</v>
      </c>
      <c r="H3387" s="6" t="n">
        <f aca="false">Sens!H3303+Sens!H3385</f>
        <v>70.5964624349148</v>
      </c>
      <c r="I3387" s="6" t="n">
        <f aca="false">Sens!I3303+Sens!I3385</f>
        <v>72.6008555601168</v>
      </c>
      <c r="J3387" s="6" t="n">
        <f aca="false">Sens!J3303+Sens!J3385</f>
        <v>75.7961215511998</v>
      </c>
      <c r="K3387" s="6" t="n">
        <f aca="false">Sens!K3303+Sens!K3385</f>
        <v>80.355167395025</v>
      </c>
    </row>
    <row r="3388" customFormat="false" ht="17.15" hidden="false" customHeight="false" outlineLevel="0" collapsed="false">
      <c r="A3388" s="1" t="s">
        <v>1103</v>
      </c>
      <c r="B3388" s="0" t="s">
        <v>98</v>
      </c>
      <c r="F3388" s="6" t="n">
        <f aca="false">Sens!F3330*sbc_r</f>
        <v>14.513066366418</v>
      </c>
      <c r="G3388" s="6" t="n">
        <f aca="false">Sens!G3330*sbc_r</f>
        <v>16.3645618503556</v>
      </c>
      <c r="H3388" s="6" t="n">
        <f aca="false">Sens!H3330*sbc_r</f>
        <v>18.0765164245434</v>
      </c>
      <c r="I3388" s="6" t="n">
        <f aca="false">Sens!I3330*sbc_r</f>
        <v>19.6487847829266</v>
      </c>
      <c r="J3388" s="6" t="n">
        <f aca="false">Sens!J3330*sbc_r</f>
        <v>21.1150346788291</v>
      </c>
      <c r="K3388" s="6" t="n">
        <f aca="false">Sens!K3330*sbc_r</f>
        <v>22.5179439296426</v>
      </c>
    </row>
    <row r="3389" customFormat="false" ht="17.15" hidden="false" customHeight="false" outlineLevel="0" collapsed="false">
      <c r="A3389" s="1" t="s">
        <v>1104</v>
      </c>
      <c r="B3389" s="0" t="s">
        <v>98</v>
      </c>
      <c r="F3389" s="6" t="n">
        <f aca="false">wc27-wc26q1</f>
        <v>-4.677</v>
      </c>
      <c r="G3389" s="6" t="n">
        <f aca="false">wc_f</f>
        <v>0</v>
      </c>
      <c r="H3389" s="6" t="n">
        <f aca="false">wc_f</f>
        <v>0</v>
      </c>
      <c r="I3389" s="6" t="n">
        <f aca="false">wc_f</f>
        <v>0</v>
      </c>
      <c r="J3389" s="6" t="n">
        <f aca="false">wc_f</f>
        <v>0</v>
      </c>
      <c r="K3389" s="6" t="n">
        <f aca="false">wc_f</f>
        <v>0</v>
      </c>
      <c r="L3389" s="12" t="s">
        <v>1105</v>
      </c>
    </row>
    <row r="3390" customFormat="false" ht="17.15" hidden="false" customHeight="false" outlineLevel="0" collapsed="false">
      <c r="A3390" s="0" t="s">
        <v>1106</v>
      </c>
      <c r="B3390" s="0" t="s">
        <v>98</v>
      </c>
      <c r="F3390" s="6" t="n">
        <f aca="false">Q!$I$35-Q!$I$26-Q!$I$38-Q!$I$39</f>
        <v>6.493</v>
      </c>
      <c r="L3390" s="1" t="s">
        <v>1107</v>
      </c>
    </row>
    <row r="3391" customFormat="false" ht="15" hidden="false" customHeight="false" outlineLevel="0" collapsed="false">
      <c r="A3391" s="1" t="s">
        <v>904</v>
      </c>
      <c r="B3391" s="0" t="s">
        <v>98</v>
      </c>
      <c r="E3391" s="6" t="n">
        <f aca="false">Q!M35</f>
        <v>182.935</v>
      </c>
      <c r="F3391" s="6" t="n">
        <f aca="false">Sens!F3384+Sens!F3387+Sens!F3388+Sens!F3389+Sens!F3390</f>
        <v>215.16995067095</v>
      </c>
      <c r="G3391" s="6" t="n">
        <f aca="false">Sens!G3384+Sens!G3387+Sens!G3388+Sens!G3389</f>
        <v>234.631721935066</v>
      </c>
      <c r="H3391" s="6" t="n">
        <f aca="false">Sens!H3384+Sens!H3387+Sens!H3388+Sens!H3389</f>
        <v>259.384791319401</v>
      </c>
      <c r="I3391" s="6" t="n">
        <f aca="false">Sens!I3384+Sens!I3387+Sens!I3388+Sens!I3389</f>
        <v>282.276610725124</v>
      </c>
      <c r="J3391" s="6" t="n">
        <f aca="false">Sens!J3384+Sens!J3387+Sens!J3388+Sens!J3389</f>
        <v>304.267351310155</v>
      </c>
      <c r="K3391" s="6" t="n">
        <f aca="false">Sens!K3384+Sens!K3387+Sens!K3388+Sens!K3389</f>
        <v>326.164527649777</v>
      </c>
    </row>
    <row r="3392" customFormat="false" ht="17.15" hidden="false" customHeight="false" outlineLevel="0" collapsed="false">
      <c r="A3392" s="0" t="s">
        <v>1108</v>
      </c>
      <c r="B3392" s="0" t="s">
        <v>98</v>
      </c>
      <c r="F3392" s="6" t="n">
        <f aca="false">Sens!F3300</f>
        <v>29.673672624</v>
      </c>
      <c r="G3392" s="6" t="n">
        <f aca="false">Sens!G3300</f>
        <v>34.213759128</v>
      </c>
      <c r="H3392" s="6" t="n">
        <f aca="false">Sens!H3300</f>
        <v>0</v>
      </c>
      <c r="I3392" s="6" t="n">
        <f aca="false">Sens!I3300</f>
        <v>29.16074476</v>
      </c>
      <c r="J3392" s="6" t="n">
        <f aca="false">Sens!J3300</f>
        <v>44.03867576</v>
      </c>
      <c r="K3392" s="6" t="n">
        <f aca="false">Sens!K3300</f>
        <v>87.48223428</v>
      </c>
    </row>
    <row r="3393" customFormat="false" ht="17.15" hidden="false" customHeight="false" outlineLevel="0" collapsed="false">
      <c r="A3393" s="1" t="s">
        <v>1109</v>
      </c>
      <c r="B3393" s="0" t="s">
        <v>98</v>
      </c>
      <c r="E3393" s="6" t="n">
        <f aca="false">Sens!E3308*cx_azo+Sens!E3315*cx_m365+Sens!E3316*cx_lic+(Sens!E3318+Sens!E3320)*cx_ind+Sens!E3323*cx_srch+(Sens!E3325+Sens!E3327)*cx_dev</f>
        <v>30.1846587067718</v>
      </c>
      <c r="F3393" s="6" t="n">
        <f aca="false">Sens!F3308*cx_azo+Sens!F3315*cx_m365+Sens!F3316*cx_lic+(Sens!F3318+Sens!F3320)*cx_ind+Sens!F3323*cx_srch+(Sens!F3325+Sens!F3327)*cx_dev</f>
        <v>36.3549550375473</v>
      </c>
      <c r="G3393" s="6" t="n">
        <f aca="false">Sens!G3308*cx_azo+Sens!G3315*cx_m365+Sens!G3316*cx_lic+(Sens!G3318+Sens!G3320)*cx_ind+Sens!G3323*cx_srch+(Sens!G3325+Sens!G3327)*cx_dev</f>
        <v>42.0838460361629</v>
      </c>
      <c r="H3393" s="6" t="n">
        <f aca="false">Sens!H3308*cx_azo+Sens!H3315*cx_m365+Sens!H3316*cx_lic+(Sens!H3318+Sens!H3320)*cx_ind+Sens!H3323*cx_srch+(Sens!H3325+Sens!H3327)*cx_dev</f>
        <v>47.9005381449792</v>
      </c>
      <c r="I3393" s="6" t="n">
        <f aca="false">Sens!I3308*cx_azo+Sens!I3315*cx_m365+Sens!I3316*cx_lic+(Sens!I3318+Sens!I3320)*cx_ind+Sens!I3323*cx_srch+(Sens!I3325+Sens!I3327)*cx_dev</f>
        <v>53.4400086296567</v>
      </c>
      <c r="J3393" s="6" t="n">
        <f aca="false">Sens!J3308*cx_azo+Sens!J3315*cx_m365+Sens!J3316*cx_lic+(Sens!J3318+Sens!J3320)*cx_ind+Sens!J3323*cx_srch+(Sens!J3325+Sens!J3327)*cx_dev</f>
        <v>58.4602950857521</v>
      </c>
      <c r="K3393" s="6" t="n">
        <f aca="false">Sens!K3308*cx_azo+Sens!K3315*cx_m365+Sens!K3316*cx_lic+(Sens!K3318+Sens!K3320)*cx_ind+Sens!K3323*cx_srch+(Sens!K3325+Sens!K3327)*cx_dev</f>
        <v>62.8614237782849</v>
      </c>
    </row>
    <row r="3394" customFormat="false" ht="17.15" hidden="false" customHeight="false" outlineLevel="0" collapsed="false">
      <c r="A3394" s="0" t="s">
        <v>1110</v>
      </c>
      <c r="B3394" s="0" t="s">
        <v>98</v>
      </c>
      <c r="F3394" s="6" t="n">
        <f aca="false">Sens!F3298</f>
        <v>138.171372338453</v>
      </c>
      <c r="L3394" s="1" t="s">
        <v>1111</v>
      </c>
    </row>
    <row r="3395" customFormat="false" ht="17.15" hidden="false" customHeight="false" outlineLevel="0" collapsed="false">
      <c r="A3395" s="1" t="s">
        <v>1112</v>
      </c>
      <c r="B3395" s="0" t="s">
        <v>98</v>
      </c>
      <c r="E3395" s="6" t="n">
        <f aca="false">Q!M43</f>
        <v>145.3</v>
      </c>
      <c r="F3395" s="6" t="n">
        <f aca="false">Sens!F3392+Sens!F3393+Sens!F3394</f>
        <v>204.2</v>
      </c>
      <c r="G3395" s="6" t="n">
        <f aca="false">Sens!G3392+Sens!G3393</f>
        <v>76.2976051641629</v>
      </c>
      <c r="H3395" s="6" t="n">
        <f aca="false">Sens!H3392+Sens!H3393</f>
        <v>47.9005381449792</v>
      </c>
      <c r="I3395" s="6" t="n">
        <f aca="false">Sens!I3392+Sens!I3393</f>
        <v>82.6007533896567</v>
      </c>
      <c r="J3395" s="6" t="n">
        <f aca="false">Sens!J3392+Sens!J3393</f>
        <v>102.498970845752</v>
      </c>
      <c r="K3395" s="6" t="n">
        <f aca="false">Sens!K3392+Sens!K3393</f>
        <v>150.343658058285</v>
      </c>
      <c r="L3395" s="1" t="s">
        <v>1113</v>
      </c>
    </row>
    <row r="3396" customFormat="false" ht="15" hidden="false" customHeight="false" outlineLevel="0" collapsed="false">
      <c r="A3396" s="1" t="s">
        <v>1114</v>
      </c>
      <c r="B3396" s="0" t="s">
        <v>98</v>
      </c>
      <c r="E3396" s="6" t="n">
        <f aca="false">fl_liab</f>
        <v>66.594</v>
      </c>
      <c r="F3396" s="6" t="n">
        <f aca="false">Sens!E3396-Sens!F3397</f>
        <v>62.46973</v>
      </c>
      <c r="G3396" s="6" t="n">
        <f aca="false">Sens!F3396-Sens!G3397</f>
        <v>57.98686785</v>
      </c>
      <c r="H3396" s="6" t="n">
        <f aca="false">Sens!G3396-Sens!H3397</f>
        <v>53.92827690325</v>
      </c>
      <c r="I3396" s="6" t="n">
        <f aca="false">Sens!H3396-Sens!I3397</f>
        <v>49.7850493638962</v>
      </c>
      <c r="J3396" s="6" t="n">
        <f aca="false">Sens!I3396-Sens!J3397</f>
        <v>45.4823765852716</v>
      </c>
      <c r="K3396" s="6" t="n">
        <f aca="false">Sens!J3396-Sens!K3397</f>
        <v>40.9860835316088</v>
      </c>
    </row>
    <row r="3397" customFormat="false" ht="15" hidden="false" customHeight="false" outlineLevel="0" collapsed="false">
      <c r="A3397" s="1" t="s">
        <v>1115</v>
      </c>
      <c r="B3397" s="0" t="s">
        <v>98</v>
      </c>
      <c r="F3397" s="6" t="n">
        <f aca="false">fl_pay_27-Sens!E3396*fl_rate</f>
        <v>4.12427</v>
      </c>
      <c r="G3397" s="6" t="n">
        <f aca="false">fl_pay_28-Sens!F3396*fl_rate</f>
        <v>4.48286215</v>
      </c>
      <c r="H3397" s="6" t="n">
        <f aca="false">fl_pay_29-Sens!G3396*fl_rate</f>
        <v>4.05859094675</v>
      </c>
      <c r="I3397" s="6" t="n">
        <f aca="false">fl_pay_30-Sens!H3396*fl_rate</f>
        <v>4.14322753935375</v>
      </c>
      <c r="J3397" s="6" t="n">
        <f aca="false">fl_pay_31-Sens!I3396*fl_rate</f>
        <v>4.30267277862467</v>
      </c>
      <c r="K3397" s="6" t="n">
        <f aca="false">fl_pay_32-Sens!J3396*fl_rate</f>
        <v>4.49629305366278</v>
      </c>
    </row>
    <row r="3398" customFormat="false" ht="17.15" hidden="false" customHeight="false" outlineLevel="0" collapsed="false">
      <c r="A3398" s="1" t="s">
        <v>1116</v>
      </c>
      <c r="B3398" s="0" t="s">
        <v>98</v>
      </c>
      <c r="E3398" s="6" t="n">
        <f aca="false">Q!M35-Q!M36-Q!M44</f>
        <v>63.886</v>
      </c>
      <c r="F3398" s="6" t="n">
        <f aca="false">Sens!F3391-Sens!F3395-Sens!F3397</f>
        <v>6.84568067094963</v>
      </c>
      <c r="G3398" s="6" t="n">
        <f aca="false">Sens!G3391-Sens!G3395-Sens!G3397</f>
        <v>153.851254620904</v>
      </c>
      <c r="H3398" s="6" t="n">
        <f aca="false">Sens!H3391-Sens!H3395-Sens!H3397</f>
        <v>207.425662227672</v>
      </c>
      <c r="I3398" s="6" t="n">
        <f aca="false">Sens!I3391-Sens!I3395-Sens!I3397</f>
        <v>195.532629796113</v>
      </c>
      <c r="J3398" s="6" t="n">
        <f aca="false">Sens!J3391-Sens!J3395-Sens!J3397</f>
        <v>197.465707685778</v>
      </c>
      <c r="K3398" s="6" t="n">
        <f aca="false">Sens!K3391-Sens!K3395-Sens!K3397</f>
        <v>171.324576537829</v>
      </c>
      <c r="L3398" s="12" t="s">
        <v>1117</v>
      </c>
    </row>
    <row r="3399" customFormat="false" ht="15" hidden="false" customHeight="false" outlineLevel="0" collapsed="false">
      <c r="A3399" s="1" t="s">
        <v>1118</v>
      </c>
      <c r="B3399" s="0" t="s">
        <v>75</v>
      </c>
      <c r="F3399" s="8" t="n">
        <f aca="false">dps_27</f>
        <v>3.85</v>
      </c>
      <c r="G3399" s="8" t="n">
        <f aca="false">Sens!F3399*(1+dps_g)</f>
        <v>4.158</v>
      </c>
      <c r="H3399" s="8" t="n">
        <f aca="false">Sens!G3399*(1+dps_g)</f>
        <v>4.49064</v>
      </c>
      <c r="I3399" s="8" t="n">
        <f aca="false">Sens!H3399*(1+dps_g)</f>
        <v>4.8498912</v>
      </c>
      <c r="J3399" s="8" t="n">
        <f aca="false">Sens!I3399*(1+dps_g)</f>
        <v>5.237882496</v>
      </c>
      <c r="K3399" s="8" t="n">
        <f aca="false">Sens!J3399*(1+dps_g)</f>
        <v>5.65691309568</v>
      </c>
    </row>
    <row r="3400" customFormat="false" ht="17.15" hidden="false" customHeight="false" outlineLevel="0" collapsed="false">
      <c r="A3400" s="1" t="s">
        <v>1119</v>
      </c>
      <c r="B3400" s="0" t="s">
        <v>98</v>
      </c>
      <c r="E3400" s="6" t="n">
        <f aca="false">Q!M41</f>
        <v>26.445</v>
      </c>
      <c r="F3400" s="6" t="n">
        <f aca="false">Sens!F3399*Sens!E3409</f>
        <v>28.59395</v>
      </c>
      <c r="G3400" s="6" t="n">
        <f aca="false">Sens!G3399*Sens!F3409</f>
        <v>31.068576</v>
      </c>
      <c r="H3400" s="6" t="n">
        <f aca="false">Sens!H3399*Sens!G3409</f>
        <v>33.5883340530727</v>
      </c>
      <c r="I3400" s="6" t="n">
        <f aca="false">Sens!I3399*Sens!H3409</f>
        <v>36.3258390543911</v>
      </c>
      <c r="J3400" s="6" t="n">
        <f aca="false">Sens!J3399*Sens!I3409</f>
        <v>39.299804064135</v>
      </c>
      <c r="K3400" s="6" t="n">
        <f aca="false">Sens!K3399*Sens!J3409</f>
        <v>42.5305426516441</v>
      </c>
      <c r="L3400" s="1" t="s">
        <v>1120</v>
      </c>
    </row>
    <row r="3401" customFormat="false" ht="15" hidden="false" customHeight="false" outlineLevel="0" collapsed="false">
      <c r="A3401" s="1" t="s">
        <v>1121</v>
      </c>
      <c r="B3401" s="0" t="s">
        <v>98</v>
      </c>
      <c r="E3401" s="6" t="n">
        <f aca="false">Sens!E3398-Sens!E3400</f>
        <v>37.441</v>
      </c>
      <c r="F3401" s="6" t="n">
        <f aca="false">Sens!F3398-Sens!F3400</f>
        <v>-21.7482693290504</v>
      </c>
      <c r="G3401" s="6" t="n">
        <f aca="false">Sens!G3398-Sens!G3400</f>
        <v>122.782678620904</v>
      </c>
      <c r="H3401" s="6" t="n">
        <f aca="false">Sens!H3398-Sens!H3400</f>
        <v>173.837328174599</v>
      </c>
      <c r="I3401" s="6" t="n">
        <f aca="false">Sens!I3398-Sens!I3400</f>
        <v>159.206790741722</v>
      </c>
      <c r="J3401" s="6" t="n">
        <f aca="false">Sens!J3398-Sens!J3400</f>
        <v>158.165903621643</v>
      </c>
      <c r="K3401" s="6" t="n">
        <f aca="false">Sens!K3398-Sens!K3400</f>
        <v>128.794033886185</v>
      </c>
    </row>
    <row r="3402" customFormat="false" ht="15" hidden="false" customHeight="false" outlineLevel="0" collapsed="false">
      <c r="A3402" s="1" t="s">
        <v>1122</v>
      </c>
      <c r="B3402" s="0" t="s">
        <v>98</v>
      </c>
      <c r="F3402" s="6" t="n">
        <f aca="false">debt_mat_27</f>
        <v>9.25</v>
      </c>
      <c r="G3402" s="6" t="n">
        <f aca="false">debt_mat_28</f>
        <v>0</v>
      </c>
      <c r="H3402" s="6" t="n">
        <f aca="false">debt_mat_29</f>
        <v>2.001</v>
      </c>
      <c r="I3402" s="6" t="n">
        <f aca="false">debt_mat_30</f>
        <v>0</v>
      </c>
      <c r="J3402" s="6" t="n">
        <f aca="false">debt_mat_31</f>
        <v>0.5</v>
      </c>
      <c r="K3402" s="6" t="n">
        <f aca="false">debt_mat_32</f>
        <v>0</v>
      </c>
    </row>
    <row r="3403" customFormat="false" ht="15" hidden="false" customHeight="false" outlineLevel="0" collapsed="false">
      <c r="A3403" s="1" t="s">
        <v>1123</v>
      </c>
      <c r="B3403" s="0" t="s">
        <v>98</v>
      </c>
      <c r="E3403" s="6" t="n">
        <f aca="false">Q!M40</f>
        <v>22.271</v>
      </c>
      <c r="F3403" s="6" t="n">
        <f aca="false">MAX(0,MIN(bb_target,Sens!E3405+Sens!F3401-Sens!F3402-min_cash))</f>
        <v>0</v>
      </c>
      <c r="G3403" s="6" t="n">
        <f aca="false">MAX(0,MIN(bb_target,Sens!F3405+Sens!G3401-Sens!G3402-min_cash))</f>
        <v>22.271</v>
      </c>
      <c r="H3403" s="6" t="n">
        <f aca="false">MAX(0,MIN(bb_target,Sens!G3405+Sens!H3401-Sens!H3402-min_cash))</f>
        <v>22.271</v>
      </c>
      <c r="I3403" s="6" t="n">
        <f aca="false">MAX(0,MIN(bb_target,Sens!H3405+Sens!I3401-Sens!I3402-min_cash))</f>
        <v>22.271</v>
      </c>
      <c r="J3403" s="6" t="n">
        <f aca="false">MAX(0,MIN(bb_target,Sens!I3405+Sens!J3401-Sens!J3402-min_cash))</f>
        <v>22.271</v>
      </c>
      <c r="K3403" s="6" t="n">
        <f aca="false">MAX(0,MIN(bb_target,Sens!J3405+Sens!K3401-Sens!K3402-min_cash))</f>
        <v>22.271</v>
      </c>
    </row>
    <row r="3404" customFormat="false" ht="15" hidden="false" customHeight="false" outlineLevel="0" collapsed="false">
      <c r="A3404" s="1" t="s">
        <v>1124</v>
      </c>
      <c r="B3404" s="0" t="s">
        <v>98</v>
      </c>
      <c r="F3404" s="6" t="n">
        <f aca="false">MAX(0,min_cash-(Sens!E3405+Sens!F3401-Sens!F3402-Sens!F3403))</f>
        <v>4.15526932905037</v>
      </c>
      <c r="G3404" s="6" t="n">
        <f aca="false">MAX(0,min_cash-(Sens!F3405+Sens!G3401-Sens!G3402-Sens!G3403))</f>
        <v>0</v>
      </c>
      <c r="H3404" s="6" t="n">
        <f aca="false">MAX(0,min_cash-(Sens!G3405+Sens!H3401-Sens!H3402-Sens!H3403))</f>
        <v>0</v>
      </c>
      <c r="I3404" s="6" t="n">
        <f aca="false">MAX(0,min_cash-(Sens!H3405+Sens!I3401-Sens!I3402-Sens!I3403))</f>
        <v>0</v>
      </c>
      <c r="J3404" s="6" t="n">
        <f aca="false">MAX(0,min_cash-(Sens!I3405+Sens!J3401-Sens!J3402-Sens!J3403))</f>
        <v>0</v>
      </c>
      <c r="K3404" s="6" t="n">
        <f aca="false">MAX(0,min_cash-(Sens!J3405+Sens!K3401-Sens!K3402-Sens!K3403))</f>
        <v>0</v>
      </c>
    </row>
    <row r="3405" customFormat="false" ht="15" hidden="false" customHeight="false" outlineLevel="0" collapsed="false">
      <c r="A3405" s="1" t="s">
        <v>1125</v>
      </c>
      <c r="B3405" s="0" t="s">
        <v>98</v>
      </c>
      <c r="E3405" s="6" t="n">
        <f aca="false">cash_open</f>
        <v>76.843</v>
      </c>
      <c r="F3405" s="6" t="n">
        <f aca="false">Sens!E3405+Sens!F3401-Sens!F3402-Sens!F3403+Sens!F3404</f>
        <v>50</v>
      </c>
      <c r="G3405" s="6" t="n">
        <f aca="false">Sens!F3405+Sens!G3401-Sens!G3402-Sens!G3403+Sens!G3404</f>
        <v>150.511678620904</v>
      </c>
      <c r="H3405" s="6" t="n">
        <f aca="false">Sens!G3405+Sens!H3401-Sens!H3402-Sens!H3403+Sens!H3404</f>
        <v>300.077006795503</v>
      </c>
      <c r="I3405" s="6" t="n">
        <f aca="false">Sens!H3405+Sens!I3401-Sens!I3402-Sens!I3403+Sens!I3404</f>
        <v>437.012797537225</v>
      </c>
      <c r="J3405" s="6" t="n">
        <f aca="false">Sens!I3405+Sens!J3401-Sens!J3402-Sens!J3403+Sens!J3404</f>
        <v>572.407701158868</v>
      </c>
      <c r="K3405" s="6" t="n">
        <f aca="false">Sens!J3405+Sens!K3401-Sens!K3402-Sens!K3403+Sens!K3404</f>
        <v>678.930735045053</v>
      </c>
    </row>
    <row r="3406" customFormat="false" ht="15" hidden="false" customHeight="false" outlineLevel="0" collapsed="false">
      <c r="A3406" s="1" t="s">
        <v>1126</v>
      </c>
      <c r="B3406" s="0" t="s">
        <v>98</v>
      </c>
      <c r="E3406" s="6" t="n">
        <f aca="false">debt_face</f>
        <v>46.136</v>
      </c>
      <c r="F3406" s="6" t="n">
        <f aca="false">Sens!E3406-Sens!F3402+Sens!F3404</f>
        <v>41.0412693290504</v>
      </c>
      <c r="G3406" s="6" t="n">
        <f aca="false">Sens!F3406-Sens!G3402+Sens!G3404</f>
        <v>41.0412693290504</v>
      </c>
      <c r="H3406" s="6" t="n">
        <f aca="false">Sens!G3406-Sens!H3402+Sens!H3404</f>
        <v>39.0402693290504</v>
      </c>
      <c r="I3406" s="6" t="n">
        <f aca="false">Sens!H3406-Sens!I3402+Sens!I3404</f>
        <v>39.0402693290504</v>
      </c>
      <c r="J3406" s="6" t="n">
        <f aca="false">Sens!I3406-Sens!J3402+Sens!J3404</f>
        <v>38.5402693290504</v>
      </c>
      <c r="K3406" s="6" t="n">
        <f aca="false">Sens!J3406-Sens!K3402+Sens!K3404</f>
        <v>38.5402693290504</v>
      </c>
    </row>
    <row r="3407" customFormat="false" ht="15" hidden="false" customHeight="false" outlineLevel="0" collapsed="false">
      <c r="A3407" s="1" t="s">
        <v>1127</v>
      </c>
      <c r="B3407" s="0" t="s">
        <v>98</v>
      </c>
      <c r="E3407" s="6" t="n">
        <f aca="false">Sens!E3405-Sens!E3406</f>
        <v>30.707</v>
      </c>
      <c r="F3407" s="6" t="n">
        <f aca="false">Sens!F3405-Sens!F3406</f>
        <v>8.95873067094963</v>
      </c>
      <c r="G3407" s="6" t="n">
        <f aca="false">Sens!G3405-Sens!G3406</f>
        <v>109.470409291853</v>
      </c>
      <c r="H3407" s="6" t="n">
        <f aca="false">Sens!H3405-Sens!H3406</f>
        <v>261.036737466453</v>
      </c>
      <c r="I3407" s="6" t="n">
        <f aca="false">Sens!I3405-Sens!I3406</f>
        <v>397.972528208175</v>
      </c>
      <c r="J3407" s="6" t="n">
        <f aca="false">Sens!J3405-Sens!J3406</f>
        <v>533.867431829818</v>
      </c>
      <c r="K3407" s="6" t="n">
        <f aca="false">Sens!K3405-Sens!K3406</f>
        <v>640.390465716003</v>
      </c>
    </row>
    <row r="3408" customFormat="false" ht="15" hidden="false" customHeight="false" outlineLevel="0" collapsed="false">
      <c r="A3408" s="1" t="s">
        <v>1128</v>
      </c>
      <c r="B3408" s="0" t="s">
        <v>75</v>
      </c>
      <c r="F3408" s="30" t="n">
        <f aca="false">px*(1+bb_g)^(Sens!F3266-base_fy-mid_yr)</f>
        <v>551.84177959629</v>
      </c>
      <c r="G3408" s="30" t="n">
        <f aca="false">px*(1+bb_g)^(Sens!G3266-base_fy-mid_yr)</f>
        <v>595.989121963993</v>
      </c>
      <c r="H3408" s="30" t="n">
        <f aca="false">px*(1+bb_g)^(Sens!H3266-base_fy-mid_yr)</f>
        <v>643.668251721112</v>
      </c>
      <c r="I3408" s="30" t="n">
        <f aca="false">px*(1+bb_g)^(Sens!I3266-base_fy-mid_yr)</f>
        <v>695.161711858801</v>
      </c>
      <c r="J3408" s="30" t="n">
        <f aca="false">px*(1+bb_g)^(Sens!J3266-base_fy-mid_yr)</f>
        <v>750.774648807506</v>
      </c>
      <c r="K3408" s="30" t="n">
        <f aca="false">px*(1+bb_g)^(Sens!K3266-base_fy-mid_yr)</f>
        <v>810.836620712106</v>
      </c>
    </row>
    <row r="3409" customFormat="false" ht="15" hidden="false" customHeight="false" outlineLevel="0" collapsed="false">
      <c r="A3409" s="1" t="s">
        <v>1129</v>
      </c>
      <c r="B3409" s="1" t="s">
        <v>81</v>
      </c>
      <c r="E3409" s="15" t="n">
        <f aca="false">sh_out26</f>
        <v>7.427</v>
      </c>
      <c r="F3409" s="15" t="n">
        <f aca="false">Sens!E3409+sh_iss-Sens!F3403/Sens!F3408</f>
        <v>7.472</v>
      </c>
      <c r="G3409" s="15" t="n">
        <f aca="false">Sens!F3409+sh_iss-Sens!G3403/Sens!G3408</f>
        <v>7.47963186830221</v>
      </c>
      <c r="H3409" s="15" t="n">
        <f aca="false">Sens!G3409+sh_iss-Sens!H3403/Sens!H3408</f>
        <v>7.49003174635981</v>
      </c>
      <c r="I3409" s="15" t="n">
        <f aca="false">Sens!H3409+sh_iss-Sens!I3403/Sens!I3408</f>
        <v>7.50299459641315</v>
      </c>
      <c r="J3409" s="15" t="n">
        <f aca="false">Sens!I3409+sh_iss-Sens!J3403/Sens!J3408</f>
        <v>7.51833056868476</v>
      </c>
      <c r="K3409" s="15" t="n">
        <f aca="false">Sens!J3409+sh_iss-Sens!K3403/Sens!K3408</f>
        <v>7.53586387634365</v>
      </c>
    </row>
    <row r="3410" customFormat="false" ht="15" hidden="false" customHeight="false" outlineLevel="0" collapsed="false">
      <c r="A3410" s="1" t="s">
        <v>1130</v>
      </c>
      <c r="B3410" s="1" t="s">
        <v>81</v>
      </c>
      <c r="E3410" s="15" t="n">
        <f aca="false">sh_dil26</f>
        <v>7.453</v>
      </c>
      <c r="F3410" s="15" t="n">
        <f aca="false">(Sens!E3409+Sens!F3409)/2+dil_gap</f>
        <v>7.4735</v>
      </c>
      <c r="G3410" s="15" t="n">
        <f aca="false">(Sens!F3409+Sens!G3409)/2+dil_gap</f>
        <v>7.49981593415111</v>
      </c>
      <c r="H3410" s="15" t="n">
        <f aca="false">(Sens!G3409+Sens!H3409)/2+dil_gap</f>
        <v>7.50883180733101</v>
      </c>
      <c r="I3410" s="15" t="n">
        <f aca="false">(Sens!H3409+Sens!I3409)/2+dil_gap</f>
        <v>7.52051317138648</v>
      </c>
      <c r="J3410" s="15" t="n">
        <f aca="false">(Sens!I3409+Sens!J3409)/2+dil_gap</f>
        <v>7.53466258254895</v>
      </c>
      <c r="K3410" s="15" t="n">
        <f aca="false">(Sens!J3409+Sens!K3409)/2+dil_gap</f>
        <v>7.55109722251421</v>
      </c>
    </row>
    <row r="3411" customFormat="false" ht="17.15" hidden="false" customHeight="false" outlineLevel="0" collapsed="false">
      <c r="A3411" s="1" t="s">
        <v>1131</v>
      </c>
      <c r="B3411" s="0" t="s">
        <v>98</v>
      </c>
      <c r="C3411" s="6" t="n">
        <f aca="false">SUM(Sens!F3401:J3401)</f>
        <v>592.244431829818</v>
      </c>
    </row>
    <row r="3412" customFormat="false" ht="15" hidden="false" customHeight="false" outlineLevel="0" collapsed="false">
      <c r="A3412" s="26" t="s">
        <v>1096</v>
      </c>
      <c r="B3412" s="31" t="s">
        <v>98</v>
      </c>
      <c r="C3412" s="27" t="n">
        <f aca="false">Sens!$C$3411-(Sens!F3401+Sens!G3401+Sens!H3401+Sens!I3401+Sens!J3401)</f>
        <v>0</v>
      </c>
      <c r="D3412" s="31"/>
      <c r="E3412" s="31"/>
      <c r="F3412" s="31"/>
      <c r="G3412" s="31"/>
      <c r="H3412" s="31"/>
      <c r="I3412" s="31"/>
      <c r="J3412" s="31"/>
      <c r="K3412" s="31"/>
    </row>
    <row r="3413" customFormat="false" ht="17.15" hidden="false" customHeight="false" outlineLevel="0" collapsed="false">
      <c r="A3413" s="1" t="s">
        <v>1090</v>
      </c>
      <c r="B3413" s="1" t="s">
        <v>1132</v>
      </c>
      <c r="C3413" s="33" t="str">
        <f aca="false">IF(SUM(Sens!F3404:J3404)&gt;0.05,"需要舉債 "&amp;TEXT(SUM(Sens!F3404:J3404),"0.0")&amp;" 十億美元","不需舉債")&amp;"；"&amp;IF(SUM(Sens!F3403:J3403)&lt;COUNT(Sens!F3403:J3403)*bb_target-0.05,"回購較每年 "&amp;TEXT(bb_target,"0.0")&amp;" 的目標少 "&amp;TEXT(COUNT(Sens!F3403:J3403)*bb_target-SUM(Sens!F3403:J3403),"0.0")&amp;" 十億美元（"&amp;TEXT(COUNTIF(Sens!F3403:J3403,"&lt;"&amp;(bb_target-0.05)),"0")&amp;" 年減少）","回購不減")</f>
        <v>需要舉債 4.2 十億美元；回購較每年 22.3 的目標少 22.3 十億美元（1 年減少）</v>
      </c>
    </row>
    <row r="3414" customFormat="false" ht="17.15" hidden="false" customHeight="false" outlineLevel="0" collapsed="false">
      <c r="A3414" s="3" t="s">
        <v>1564</v>
      </c>
    </row>
    <row r="3415" customFormat="false" ht="15" hidden="false" customHeight="false" outlineLevel="0" collapsed="false">
      <c r="A3415" s="4" t="s">
        <v>43</v>
      </c>
      <c r="B3415" s="4" t="s">
        <v>65</v>
      </c>
      <c r="C3415" s="23" t="s">
        <v>938</v>
      </c>
      <c r="D3415" s="23" t="s">
        <v>939</v>
      </c>
      <c r="E3415" s="23" t="s">
        <v>940</v>
      </c>
      <c r="F3415" s="23" t="s">
        <v>941</v>
      </c>
      <c r="G3415" s="23" t="s">
        <v>942</v>
      </c>
      <c r="H3415" s="23" t="s">
        <v>943</v>
      </c>
      <c r="I3415" s="23" t="s">
        <v>944</v>
      </c>
      <c r="J3415" s="23" t="s">
        <v>945</v>
      </c>
      <c r="K3415" s="23" t="s">
        <v>946</v>
      </c>
      <c r="L3415" s="4" t="s">
        <v>47</v>
      </c>
    </row>
    <row r="3416" customFormat="false" ht="17.15" hidden="false" customHeight="false" outlineLevel="0" collapsed="false">
      <c r="A3416" s="1" t="s">
        <v>1212</v>
      </c>
      <c r="B3416" s="1" t="s">
        <v>279</v>
      </c>
      <c r="F3416" s="8" t="n">
        <f aca="false">(1-v_off)*mid_yr</f>
        <v>0.373972602739726</v>
      </c>
      <c r="G3416" s="8" t="n">
        <f aca="false">Sens!G3266-base_fy-mid_yr-v_off</f>
        <v>1.24794520547945</v>
      </c>
      <c r="H3416" s="8" t="n">
        <f aca="false">Sens!H3266-base_fy-mid_yr-v_off</f>
        <v>2.24794520547945</v>
      </c>
      <c r="I3416" s="8" t="n">
        <f aca="false">Sens!I3266-base_fy-mid_yr-v_off</f>
        <v>3.24794520547945</v>
      </c>
      <c r="J3416" s="8" t="n">
        <f aca="false">Sens!J3266-base_fy-mid_yr-v_off</f>
        <v>4.24794520547945</v>
      </c>
      <c r="K3416" s="8" t="n">
        <f aca="false">Sens!K3266-base_fy-mid_yr-v_off</f>
        <v>5.24794520547945</v>
      </c>
      <c r="L3416" s="12" t="s">
        <v>1213</v>
      </c>
    </row>
    <row r="3417" customFormat="false" ht="15" hidden="false" customHeight="false" outlineLevel="0" collapsed="false">
      <c r="A3417" s="1" t="s">
        <v>1214</v>
      </c>
      <c r="B3417" s="1" t="s">
        <v>279</v>
      </c>
      <c r="F3417" s="8" t="n">
        <f aca="false">Sens!F3266-base_fy-v_off</f>
        <v>0.747945205479452</v>
      </c>
      <c r="G3417" s="8" t="n">
        <f aca="false">Sens!G3266-base_fy-v_off</f>
        <v>1.74794520547945</v>
      </c>
      <c r="H3417" s="8" t="n">
        <f aca="false">Sens!H3266-base_fy-v_off</f>
        <v>2.74794520547945</v>
      </c>
      <c r="I3417" s="8" t="n">
        <f aca="false">Sens!I3266-base_fy-v_off</f>
        <v>3.74794520547945</v>
      </c>
      <c r="J3417" s="8" t="n">
        <f aca="false">Sens!J3266-base_fy-v_off</f>
        <v>4.74794520547945</v>
      </c>
      <c r="K3417" s="8" t="n">
        <f aca="false">Sens!K3266-base_fy-v_off</f>
        <v>5.74794520547945</v>
      </c>
    </row>
    <row r="3418" customFormat="false" ht="15" hidden="false" customHeight="false" outlineLevel="0" collapsed="false">
      <c r="A3418" s="1" t="s">
        <v>1215</v>
      </c>
      <c r="B3418" s="0" t="s">
        <v>229</v>
      </c>
      <c r="F3418" s="15" t="n">
        <f aca="false">1/(1+wacc)^Sens!F3416</f>
        <v>0.964022703286649</v>
      </c>
      <c r="G3418" s="15" t="n">
        <f aca="false">1/(1+wacc)^Sens!G3416</f>
        <v>0.884910302296739</v>
      </c>
      <c r="H3418" s="15" t="n">
        <f aca="false">1/(1+wacc)^Sens!H3416</f>
        <v>0.802322009770358</v>
      </c>
      <c r="I3418" s="15" t="n">
        <f aca="false">1/(1+wacc)^Sens!I3416</f>
        <v>0.727441646561469</v>
      </c>
      <c r="J3418" s="15" t="n">
        <f aca="false">1/(1+wacc)^Sens!J3416</f>
        <v>0.659549834988973</v>
      </c>
      <c r="K3418" s="15" t="n">
        <f aca="false">1/(1+wacc)^Sens!K3416</f>
        <v>0.597994336576966</v>
      </c>
    </row>
    <row r="3419" customFormat="false" ht="17.15" hidden="false" customHeight="false" outlineLevel="0" collapsed="false">
      <c r="A3419" s="1" t="s">
        <v>1216</v>
      </c>
      <c r="B3419" s="0" t="s">
        <v>98</v>
      </c>
      <c r="F3419" s="6" t="n">
        <f aca="false">Q!$I$35-Q!$I$39-Q!$I$43</f>
        <v>9.666</v>
      </c>
      <c r="L3419" s="12" t="s">
        <v>1217</v>
      </c>
    </row>
    <row r="3420" customFormat="false" ht="17.15" hidden="false" customHeight="false" outlineLevel="0" collapsed="false">
      <c r="A3420" s="1" t="s">
        <v>1218</v>
      </c>
      <c r="B3420" s="0" t="s">
        <v>98</v>
      </c>
      <c r="F3420" s="6" t="n">
        <f aca="false">Sens!F3391-Sens!F3388-Sens!F3395+Sens!F3373*(1-tax_f)*(1-v_off)-Sens!F3419</f>
        <v>-11.7340109471702</v>
      </c>
      <c r="G3420" s="6" t="n">
        <f aca="false">Sens!G3391-Sens!G3388-Sens!G3395+Sens!G3373*(1-tax_f)</f>
        <v>143.778695098618</v>
      </c>
      <c r="H3420" s="6" t="n">
        <f aca="false">Sens!H3391-Sens!H3388-Sens!H3395+Sens!H3373*(1-tax_f)</f>
        <v>193.780638854111</v>
      </c>
      <c r="I3420" s="6" t="n">
        <f aca="false">Sens!I3391-Sens!I3388-Sens!I3395+Sens!I3373*(1-tax_f)</f>
        <v>180.02707255254</v>
      </c>
      <c r="J3420" s="6" t="n">
        <f aca="false">Sens!J3391-Sens!J3388-Sens!J3395+Sens!J3373*(1-tax_f)</f>
        <v>180.653345785574</v>
      </c>
      <c r="K3420" s="6" t="n">
        <f aca="false">Sens!K3391-Sens!K3388-Sens!K3395+Sens!K3373*(1-tax_f)</f>
        <v>153.30292566185</v>
      </c>
      <c r="L3420" s="1" t="s">
        <v>1219</v>
      </c>
    </row>
    <row r="3421" customFormat="false" ht="15" hidden="false" customHeight="false" outlineLevel="0" collapsed="false">
      <c r="A3421" s="1" t="s">
        <v>1220</v>
      </c>
      <c r="B3421" s="0" t="s">
        <v>98</v>
      </c>
      <c r="F3421" s="6" t="n">
        <f aca="false">Sens!F3420*Sens!F3418</f>
        <v>-11.3118529536861</v>
      </c>
      <c r="G3421" s="6" t="n">
        <f aca="false">Sens!G3420*Sens!G3418</f>
        <v>127.231248543549</v>
      </c>
      <c r="H3421" s="6" t="n">
        <f aca="false">Sens!H3420*Sens!H3418</f>
        <v>155.474471620014</v>
      </c>
      <c r="I3421" s="6" t="n">
        <f aca="false">Sens!I3420*Sens!I3418</f>
        <v>130.959190083261</v>
      </c>
      <c r="J3421" s="6" t="n">
        <f aca="false">Sens!J3420*Sens!J3418</f>
        <v>119.149884403081</v>
      </c>
      <c r="K3421" s="6" t="n">
        <f aca="false">Sens!K3420*Sens!K3418</f>
        <v>91.6742813264656</v>
      </c>
    </row>
    <row r="3422" customFormat="false" ht="17.15" hidden="false" customHeight="false" outlineLevel="0" collapsed="false">
      <c r="A3422" s="1" t="s">
        <v>1221</v>
      </c>
      <c r="B3422" s="0" t="s">
        <v>98</v>
      </c>
      <c r="C3422" s="6" t="n">
        <f aca="false">SUM(Sens!F3421:K3421)</f>
        <v>613.177223022684</v>
      </c>
    </row>
    <row r="3423" customFormat="false" ht="17.15" hidden="false" customHeight="false" outlineLevel="0" collapsed="false">
      <c r="A3423" s="1" t="s">
        <v>1222</v>
      </c>
      <c r="B3423" s="0" t="s">
        <v>98</v>
      </c>
      <c r="C3423" s="6" t="n">
        <f aca="false">Sens!K3359*(1+g_tv)*(1-tax_f)</f>
        <v>230.978958814863</v>
      </c>
    </row>
    <row r="3424" customFormat="false" ht="17.15" hidden="false" customHeight="false" outlineLevel="0" collapsed="false">
      <c r="A3424" s="1" t="s">
        <v>1223</v>
      </c>
      <c r="B3424" s="0" t="s">
        <v>98</v>
      </c>
      <c r="C3424" s="6" t="n">
        <f aca="false">Sens!$C$3423*(1-g_tv/(wacc+ronic_prem))</f>
        <v>163.662092180839</v>
      </c>
    </row>
    <row r="3425" customFormat="false" ht="17.15" hidden="false" customHeight="false" outlineLevel="0" collapsed="false">
      <c r="A3425" s="1" t="s">
        <v>1224</v>
      </c>
      <c r="B3425" s="0" t="s">
        <v>98</v>
      </c>
      <c r="C3425" s="6" t="n">
        <f aca="false">Sens!$C$3424/(wacc-g_tv)</f>
        <v>2243.89555446748</v>
      </c>
    </row>
    <row r="3426" customFormat="false" ht="15" hidden="false" customHeight="false" outlineLevel="0" collapsed="false">
      <c r="A3426" s="1" t="s">
        <v>1225</v>
      </c>
      <c r="B3426" s="0" t="s">
        <v>98</v>
      </c>
      <c r="C3426" s="6" t="n">
        <f aca="false">Sens!$C$3425/(1+wacc)^Sens!K3417</f>
        <v>1277.68688386256</v>
      </c>
    </row>
    <row r="3427" customFormat="false" ht="17.15" hidden="false" customHeight="false" outlineLevel="0" collapsed="false">
      <c r="A3427" s="0" t="s">
        <v>1226</v>
      </c>
      <c r="B3427" s="0" t="s">
        <v>98</v>
      </c>
      <c r="C3427" s="6" t="n">
        <f aca="false">Sens!$C$3422+Sens!$C$3426</f>
        <v>1890.86410688525</v>
      </c>
    </row>
    <row r="3428" customFormat="false" ht="15" hidden="false" customHeight="false" outlineLevel="0" collapsed="false">
      <c r="A3428" s="1" t="s">
        <v>1141</v>
      </c>
      <c r="B3428" s="0" t="s">
        <v>168</v>
      </c>
      <c r="C3428" s="7" t="n">
        <f aca="false">Sens!$C$3426/Sens!$C$3427</f>
        <v>0.675715869379556</v>
      </c>
    </row>
    <row r="3429" customFormat="false" ht="17.15" hidden="false" customHeight="false" outlineLevel="0" collapsed="false">
      <c r="A3429" s="1" t="s">
        <v>1227</v>
      </c>
      <c r="B3429" s="0" t="s">
        <v>98</v>
      </c>
      <c r="C3429" s="6" t="n">
        <f aca="false">Sens!$C$3427+cash_val-debt_val-fl_val+oai_v</f>
        <v>2006.71510688525</v>
      </c>
    </row>
    <row r="3430" customFormat="false" ht="17.15" hidden="false" customHeight="false" outlineLevel="0" collapsed="false">
      <c r="A3430" s="0" t="s">
        <v>1149</v>
      </c>
      <c r="B3430" s="0" t="s">
        <v>75</v>
      </c>
      <c r="C3430" s="5" t="n">
        <f aca="false">Sens!$C$3429/shd_val</f>
        <v>269.502431760039</v>
      </c>
    </row>
    <row r="3431" customFormat="false" ht="15" hidden="false" customHeight="false" outlineLevel="0" collapsed="false">
      <c r="A3431" s="1" t="s">
        <v>1228</v>
      </c>
      <c r="B3431" s="0" t="s">
        <v>75</v>
      </c>
      <c r="C3431" s="8" t="n">
        <f aca="false">div_rem27+Sens!G3399*roll_div_q/q_per_yr</f>
        <v>3.9795</v>
      </c>
    </row>
    <row r="3432" customFormat="false" ht="17.15" hidden="false" customHeight="false" outlineLevel="0" collapsed="false">
      <c r="A3432" s="0" t="s">
        <v>1229</v>
      </c>
      <c r="B3432" s="0" t="s">
        <v>75</v>
      </c>
      <c r="C3432" s="5" t="n">
        <f aca="false">Sens!$C$3430*(1+wacc)^t_roll-Sens!$C$3431</f>
        <v>295.587494032461</v>
      </c>
    </row>
    <row r="3433" customFormat="false" ht="17.15" hidden="false" customHeight="false" outlineLevel="0" collapsed="false">
      <c r="A3433" s="1" t="s">
        <v>1230</v>
      </c>
      <c r="B3433" s="0" t="s">
        <v>168</v>
      </c>
      <c r="F3433" s="7" t="n">
        <f aca="false">Sens!F3385/(Sens!F3330-Sens!F3285)</f>
        <v>0.108047838379486</v>
      </c>
      <c r="G3433" s="7" t="n">
        <f aca="false">Sens!G3385/(Sens!G3330-Sens!G3285)</f>
        <v>0.0975314146147999</v>
      </c>
      <c r="H3433" s="7" t="n">
        <f aca="false">Sens!H3385/(Sens!H3330-Sens!H3285)</f>
        <v>0.0901460175277594</v>
      </c>
      <c r="I3433" s="7" t="n">
        <f aca="false">Sens!I3385/(Sens!I3330-Sens!I3285)</f>
        <v>0.0854106357219918</v>
      </c>
      <c r="J3433" s="7" t="n">
        <f aca="false">Sens!J3385/(Sens!J3330-Sens!J3285)</f>
        <v>0.0826734334586806</v>
      </c>
      <c r="K3433" s="7" t="n">
        <f aca="false">Sens!K3385/(Sens!K3330-Sens!K3285)</f>
        <v>0.0812838862190781</v>
      </c>
    </row>
    <row r="3434" customFormat="false" ht="17.15" hidden="false" customHeight="false" outlineLevel="0" collapsed="false">
      <c r="A3434" s="0" t="s">
        <v>1231</v>
      </c>
      <c r="B3434" s="0" t="s">
        <v>98</v>
      </c>
      <c r="F3434" s="6" t="n">
        <f aca="false">Sens!F3315*(al_m365+Sens!F3433+sbc_r)</f>
        <v>88.396124216877</v>
      </c>
      <c r="G3434" s="6" t="n">
        <f aca="false">Sens!G3315*(al_m365+Sens!G3433+sbc_r)</f>
        <v>100.46327785091</v>
      </c>
      <c r="H3434" s="6" t="n">
        <f aca="false">Sens!H3315*(al_m365+Sens!H3433+sbc_r)</f>
        <v>112.693180197931</v>
      </c>
      <c r="I3434" s="6" t="n">
        <f aca="false">Sens!I3315*(al_m365+Sens!I3433+sbc_r)</f>
        <v>123.901582737194</v>
      </c>
      <c r="J3434" s="6" t="n">
        <f aca="false">Sens!J3315*(al_m365+Sens!J3433+sbc_r)</f>
        <v>133.92013912973</v>
      </c>
      <c r="K3434" s="6" t="n">
        <f aca="false">Sens!K3315*(al_m365+Sens!K3433+sbc_r)</f>
        <v>143.589362250538</v>
      </c>
      <c r="L3434" s="12" t="s">
        <v>1232</v>
      </c>
    </row>
    <row r="3435" customFormat="false" ht="17.15" hidden="false" customHeight="false" outlineLevel="0" collapsed="false">
      <c r="A3435" s="0" t="s">
        <v>1233</v>
      </c>
      <c r="B3435" s="0" t="s">
        <v>98</v>
      </c>
      <c r="F3435" s="6" t="n">
        <f aca="false">Sens!F3316*(al_lic+Sens!F3433+sbc_r)</f>
        <v>34.3712255883714</v>
      </c>
      <c r="G3435" s="6" t="n">
        <f aca="false">Sens!G3316*(al_lic+Sens!G3433+sbc_r)</f>
        <v>35.4058828899495</v>
      </c>
      <c r="H3435" s="6" t="n">
        <f aca="false">Sens!H3316*(al_lic+Sens!H3433+sbc_r)</f>
        <v>36.4009844466194</v>
      </c>
      <c r="I3435" s="6" t="n">
        <f aca="false">Sens!I3316*(al_lic+Sens!I3433+sbc_r)</f>
        <v>37.3331284673878</v>
      </c>
      <c r="J3435" s="6" t="n">
        <f aca="false">Sens!J3316*(al_lic+Sens!J3433+sbc_r)</f>
        <v>38.1682589653997</v>
      </c>
      <c r="K3435" s="6" t="n">
        <f aca="false">Sens!K3316*(al_lic+Sens!K3433+sbc_r)</f>
        <v>38.869447308222</v>
      </c>
    </row>
    <row r="3436" customFormat="false" ht="17.15" hidden="false" customHeight="false" outlineLevel="0" collapsed="false">
      <c r="A3436" s="0" t="s">
        <v>1234</v>
      </c>
      <c r="B3436" s="0" t="s">
        <v>98</v>
      </c>
      <c r="F3436" s="6" t="n">
        <f aca="false">Sens!F3318*(al_ind+Sens!F3433+sbc_r)</f>
        <v>9.94030540325038</v>
      </c>
      <c r="G3436" s="6" t="n">
        <f aca="false">Sens!G3318*(al_ind+Sens!G3433+sbc_r)</f>
        <v>10.6094443399461</v>
      </c>
      <c r="H3436" s="6" t="n">
        <f aca="false">Sens!H3318*(al_ind+Sens!H3433+sbc_r)</f>
        <v>11.3402066057245</v>
      </c>
      <c r="I3436" s="6" t="n">
        <f aca="false">Sens!I3318*(al_ind+Sens!I3433+sbc_r)</f>
        <v>12.1292853146886</v>
      </c>
      <c r="J3436" s="6" t="n">
        <f aca="false">Sens!J3318*(al_ind+Sens!J3433+sbc_r)</f>
        <v>12.9639775626783</v>
      </c>
      <c r="K3436" s="6" t="n">
        <f aca="false">Sens!K3318*(al_ind+Sens!K3433+sbc_r)</f>
        <v>13.8255691520158</v>
      </c>
    </row>
    <row r="3437" customFormat="false" ht="17.15" hidden="false" customHeight="false" outlineLevel="0" collapsed="false">
      <c r="A3437" s="0" t="s">
        <v>1235</v>
      </c>
      <c r="B3437" s="0" t="s">
        <v>98</v>
      </c>
      <c r="F3437" s="6" t="n">
        <f aca="false">Sens!F3320*(al_fro+Sens!F3433+sbc_r)</f>
        <v>3.89917358303431</v>
      </c>
      <c r="G3437" s="6" t="n">
        <f aca="false">Sens!G3320*(al_fro+Sens!G3433+sbc_r)</f>
        <v>4.059484345761</v>
      </c>
      <c r="H3437" s="6" t="n">
        <f aca="false">Sens!H3320*(al_fro+Sens!H3433+sbc_r)</f>
        <v>4.25877982218685</v>
      </c>
      <c r="I3437" s="6" t="n">
        <f aca="false">Sens!I3320*(al_fro+Sens!I3433+sbc_r)</f>
        <v>4.49860609135388</v>
      </c>
      <c r="J3437" s="6" t="n">
        <f aca="false">Sens!J3320*(al_fro+Sens!J3433+sbc_r)</f>
        <v>4.77819847843045</v>
      </c>
      <c r="K3437" s="6" t="n">
        <f aca="false">Sens!K3320*(al_fro+Sens!K3433+sbc_r)</f>
        <v>5.09575962826251</v>
      </c>
    </row>
    <row r="3438" customFormat="false" ht="17.15" hidden="false" customHeight="false" outlineLevel="0" collapsed="false">
      <c r="A3438" s="0" t="s">
        <v>1236</v>
      </c>
      <c r="B3438" s="0" t="s">
        <v>98</v>
      </c>
      <c r="F3438" s="6" t="n">
        <f aca="false">Sens!F3323*(al_srch+Sens!F3433+sbc_r)</f>
        <v>12.275701507632</v>
      </c>
      <c r="G3438" s="6" t="n">
        <f aca="false">Sens!G3323*(al_srch+Sens!G3433+sbc_r)</f>
        <v>13.2256722719062</v>
      </c>
      <c r="H3438" s="6" t="n">
        <f aca="false">Sens!H3323*(al_srch+Sens!H3433+sbc_r)</f>
        <v>14.2372066680991</v>
      </c>
      <c r="I3438" s="6" t="n">
        <f aca="false">Sens!I3323*(al_srch+Sens!I3433+sbc_r)</f>
        <v>15.300473966991</v>
      </c>
      <c r="J3438" s="6" t="n">
        <f aca="false">Sens!J3323*(al_srch+Sens!J3433+sbc_r)</f>
        <v>16.3925926504253</v>
      </c>
      <c r="K3438" s="6" t="n">
        <f aca="false">Sens!K3323*(al_srch+Sens!K3433+sbc_r)</f>
        <v>17.4820514902573</v>
      </c>
    </row>
    <row r="3439" customFormat="false" ht="17.15" hidden="false" customHeight="false" outlineLevel="0" collapsed="false">
      <c r="A3439" s="0" t="s">
        <v>1237</v>
      </c>
      <c r="B3439" s="0" t="s">
        <v>98</v>
      </c>
      <c r="F3439" s="6" t="n">
        <f aca="false">Sens!F3291-Sens!F3292+Sens!F3373</f>
        <v>26.0078368204606</v>
      </c>
      <c r="G3439" s="6" t="n">
        <f aca="false">Sens!G3291-Sens!G3292+Sens!G3373</f>
        <v>30.2501256571481</v>
      </c>
      <c r="H3439" s="6" t="n">
        <f aca="false">Sens!H3291-Sens!H3292+Sens!H3373</f>
        <v>30.3041961910695</v>
      </c>
      <c r="I3439" s="6" t="n">
        <f aca="false">Sens!I3291-Sens!I3292+Sens!I3373</f>
        <v>30.8190724334252</v>
      </c>
      <c r="J3439" s="6" t="n">
        <f aca="false">Sens!J3291-Sens!J3292+Sens!J3373</f>
        <v>32.3005884859934</v>
      </c>
      <c r="K3439" s="6" t="n">
        <f aca="false">Sens!K3291-Sens!K3292+Sens!K3373</f>
        <v>35.2436001039328</v>
      </c>
    </row>
    <row r="3440" customFormat="false" ht="17.15" hidden="false" customHeight="false" outlineLevel="0" collapsed="false">
      <c r="A3440" s="0" t="s">
        <v>1238</v>
      </c>
      <c r="B3440" s="0" t="s">
        <v>98</v>
      </c>
      <c r="F3440" s="6" t="n">
        <f aca="false">Sens!F3352+Sens!F3373+Sens!F3303+Sens!F3433*(Sens!F3322-Sens!F3285)+sbc_r*Sens!F3322</f>
        <v>221.887361440501</v>
      </c>
      <c r="G3440" s="6" t="n">
        <f aca="false">Sens!G3352+Sens!G3373+Sens!G3303+Sens!G3433*(Sens!G3322-Sens!G3285)+sbc_r*Sens!G3322</f>
        <v>247.310404143757</v>
      </c>
      <c r="H3440" s="6" t="n">
        <f aca="false">Sens!H3352+Sens!H3373+Sens!H3303+Sens!H3433*(Sens!H3322-Sens!H3285)+sbc_r*Sens!H3322</f>
        <v>274.612250673391</v>
      </c>
      <c r="I3440" s="6" t="n">
        <f aca="false">Sens!I3352+Sens!I3373+Sens!I3303+Sens!I3433*(Sens!I3322-Sens!I3285)+sbc_r*Sens!I3322</f>
        <v>301.006066628138</v>
      </c>
      <c r="J3440" s="6" t="n">
        <f aca="false">Sens!J3352+Sens!J3373+Sens!J3303+Sens!J3433*(Sens!J3322-Sens!J3285)+sbc_r*Sens!J3322</f>
        <v>326.208554201721</v>
      </c>
      <c r="K3440" s="6" t="n">
        <f aca="false">Sens!K3352+Sens!K3373+Sens!K3303+Sens!K3433*(Sens!K3322-Sens!K3285)+sbc_r*Sens!K3322</f>
        <v>350.763944997667</v>
      </c>
    </row>
    <row r="3441" customFormat="false" ht="17.15" hidden="false" customHeight="false" outlineLevel="0" collapsed="false">
      <c r="A3441" s="0" t="s">
        <v>1239</v>
      </c>
      <c r="B3441" s="0" t="s">
        <v>98</v>
      </c>
      <c r="F3441" s="6" t="n">
        <f aca="false">Sens!F3440-Sens!F3434-Sens!F3435-Sens!F3436-Sens!F3437-Sens!F3439</f>
        <v>59.2726958285074</v>
      </c>
      <c r="G3441" s="6" t="n">
        <f aca="false">Sens!G3440-Sens!G3434-Sens!G3435-Sens!G3436-Sens!G3437-Sens!G3439</f>
        <v>66.5221890600424</v>
      </c>
      <c r="H3441" s="6" t="n">
        <f aca="false">Sens!H3440-Sens!H3434-Sens!H3435-Sens!H3436-Sens!H3437-Sens!H3439</f>
        <v>79.6149034098598</v>
      </c>
      <c r="I3441" s="6" t="n">
        <f aca="false">Sens!I3440-Sens!I3434-Sens!I3435-Sens!I3436-Sens!I3437-Sens!I3439</f>
        <v>92.3243915840883</v>
      </c>
      <c r="J3441" s="6" t="n">
        <f aca="false">Sens!J3440-Sens!J3434-Sens!J3435-Sens!J3436-Sens!J3437-Sens!J3439</f>
        <v>104.07739157949</v>
      </c>
      <c r="K3441" s="6" t="n">
        <f aca="false">Sens!K3440-Sens!K3434-Sens!K3435-Sens!K3436-Sens!K3437-Sens!K3439</f>
        <v>114.140206554696</v>
      </c>
    </row>
    <row r="3442" customFormat="false" ht="17.15" hidden="false" customHeight="false" outlineLevel="0" collapsed="false">
      <c r="A3442" s="0" t="s">
        <v>1240</v>
      </c>
      <c r="B3442" s="0" t="s">
        <v>98</v>
      </c>
      <c r="F3442" s="6" t="n">
        <f aca="false">Sens!F3354+Sens!F3433*Sens!F3329+sbc_r*Sens!F3329</f>
        <v>29.1689736042259</v>
      </c>
      <c r="G3442" s="6" t="n">
        <f aca="false">Sens!G3354+Sens!G3433*Sens!G3329+sbc_r*Sens!G3329</f>
        <v>28.5728960228201</v>
      </c>
      <c r="H3442" s="6" t="n">
        <f aca="false">Sens!H3354+Sens!H3433*Sens!H3329+sbc_r*Sens!H3329</f>
        <v>29.1166213912868</v>
      </c>
      <c r="I3442" s="6" t="n">
        <f aca="false">Sens!I3354+Sens!I3433*Sens!I3329+sbc_r*Sens!I3329</f>
        <v>29.9772866925061</v>
      </c>
      <c r="J3442" s="6" t="n">
        <f aca="false">Sens!J3354+Sens!J3433*Sens!J3329+sbc_r*Sens!J3329</f>
        <v>31.097845878465</v>
      </c>
      <c r="K3442" s="6" t="n">
        <f aca="false">Sens!K3354+Sens!K3433*Sens!K3329+sbc_r*Sens!K3329</f>
        <v>32.4234367333874</v>
      </c>
    </row>
    <row r="3443" customFormat="false" ht="17.15" hidden="false" customHeight="false" outlineLevel="0" collapsed="false">
      <c r="A3443" s="0" t="s">
        <v>1241</v>
      </c>
      <c r="B3443" s="0" t="s">
        <v>98</v>
      </c>
      <c r="F3443" s="6" t="n">
        <f aca="false">(Sens!F3442-Sens!F3438)*Sens!F3325/(Sens!F3325+Sens!F3327)</f>
        <v>9.54107544033349</v>
      </c>
      <c r="G3443" s="6" t="n">
        <f aca="false">(Sens!G3442-Sens!G3438)*Sens!G3325/(Sens!G3325+Sens!G3327)</f>
        <v>8.51892087781835</v>
      </c>
      <c r="H3443" s="6" t="n">
        <f aca="false">(Sens!H3442-Sens!H3438)*Sens!H3325/(Sens!H3325+Sens!H3327)</f>
        <v>8.15165636052449</v>
      </c>
      <c r="I3443" s="6" t="n">
        <f aca="false">(Sens!I3442-Sens!I3438)*Sens!I3325/(Sens!I3325+Sens!I3327)</f>
        <v>7.97047873630776</v>
      </c>
      <c r="J3443" s="6" t="n">
        <f aca="false">(Sens!J3442-Sens!J3438)*Sens!J3325/(Sens!J3325+Sens!J3327)</f>
        <v>7.95108160004076</v>
      </c>
      <c r="K3443" s="6" t="n">
        <f aca="false">(Sens!K3442-Sens!K3438)*Sens!K3325/(Sens!K3325+Sens!K3327)</f>
        <v>8.07875739665919</v>
      </c>
    </row>
    <row r="3444" customFormat="false" ht="17.15" hidden="false" customHeight="false" outlineLevel="0" collapsed="false">
      <c r="A3444" s="0" t="s">
        <v>1242</v>
      </c>
      <c r="B3444" s="0" t="s">
        <v>98</v>
      </c>
      <c r="F3444" s="6" t="n">
        <f aca="false">Sens!F3442-Sens!F3438-Sens!F3443</f>
        <v>7.35219665626043</v>
      </c>
      <c r="G3444" s="6" t="n">
        <f aca="false">Sens!G3442-Sens!G3438-Sens!G3443</f>
        <v>6.82830287309557</v>
      </c>
      <c r="H3444" s="6" t="n">
        <f aca="false">Sens!H3442-Sens!H3438-Sens!H3443</f>
        <v>6.72775836266323</v>
      </c>
      <c r="I3444" s="6" t="n">
        <f aca="false">Sens!I3442-Sens!I3438-Sens!I3443</f>
        <v>6.70633398920729</v>
      </c>
      <c r="J3444" s="6" t="n">
        <f aca="false">Sens!J3442-Sens!J3438-Sens!J3443</f>
        <v>6.75417162799899</v>
      </c>
      <c r="K3444" s="6" t="n">
        <f aca="false">Sens!K3442-Sens!K3438-Sens!K3443</f>
        <v>6.86262784647094</v>
      </c>
    </row>
    <row r="3445" customFormat="false" ht="17.15" hidden="false" customHeight="false" outlineLevel="0" collapsed="false">
      <c r="A3445" s="0" t="s">
        <v>1243</v>
      </c>
      <c r="B3445" s="0" t="s">
        <v>98</v>
      </c>
      <c r="F3445" s="6" t="n">
        <f aca="false">Sens!F3439-tax_f*(Sens!F3439-Sens!F3303)-Sens!F3300</f>
        <v>-3.95759763223154</v>
      </c>
      <c r="G3445" s="6" t="n">
        <f aca="false">Sens!G3439-tax_f*(Sens!G3439-Sens!G3303)-Sens!G3300</f>
        <v>-4.17653203768149</v>
      </c>
      <c r="H3445" s="6" t="n">
        <f aca="false">Sens!H3439-tax_f*(Sens!H3439-Sens!H3303)-Sens!H3300</f>
        <v>30.5788739362556</v>
      </c>
      <c r="I3445" s="6" t="n">
        <f aca="false">Sens!I3439-tax_f*(Sens!I3439-Sens!I3303)-Sens!I3300</f>
        <v>1.94048617294574</v>
      </c>
      <c r="J3445" s="6" t="n">
        <f aca="false">Sens!J3439-tax_f*(Sens!J3439-Sens!J3303)-Sens!J3300</f>
        <v>-11.4749648759164</v>
      </c>
      <c r="K3445" s="6" t="n">
        <f aca="false">Sens!K3439-tax_f*(Sens!K3439-Sens!K3303)-Sens!K3300</f>
        <v>-52.0659349868704</v>
      </c>
    </row>
    <row r="3446" customFormat="false" ht="17.15" hidden="false" customHeight="false" outlineLevel="0" collapsed="false">
      <c r="A3446" s="0" t="s">
        <v>1244</v>
      </c>
      <c r="B3446" s="0" t="s">
        <v>98</v>
      </c>
      <c r="G3446" s="6" t="n">
        <f aca="false">Sens!G3445/(1+wacc)^(Sens!G3416-Sens!F3417)</f>
        <v>-3.97686221721156</v>
      </c>
      <c r="H3446" s="6" t="n">
        <f aca="false">Sens!H3445/(1+wacc)^(Sens!H3416-Sens!F3417)</f>
        <v>26.3994981386806</v>
      </c>
      <c r="I3446" s="6" t="n">
        <f aca="false">Sens!I3445/(1+wacc)^(Sens!I3416-Sens!F3417)</f>
        <v>1.51891751393882</v>
      </c>
      <c r="J3446" s="6" t="n">
        <f aca="false">Sens!J3445/(1+wacc)^(Sens!J3416-Sens!F3417)</f>
        <v>-8.14375045032843</v>
      </c>
      <c r="K3446" s="6" t="n">
        <f aca="false">Sens!K3445/(1+wacc)^(Sens!K3416-Sens!F3417)</f>
        <v>-33.502423089654</v>
      </c>
      <c r="L3446" s="1" t="s">
        <v>1245</v>
      </c>
    </row>
    <row r="3447" customFormat="false" ht="17.15" hidden="false" customHeight="false" outlineLevel="0" collapsed="false">
      <c r="A3447" s="0" t="s">
        <v>1246</v>
      </c>
      <c r="B3447" s="0" t="s">
        <v>98</v>
      </c>
      <c r="C3447" s="6" t="n">
        <f aca="false">(Sens!K3439-Sens!K3303)*(1-tax_f)*(1+g_tv)*(1-g_tv/(wacc+ronic_prem))/(wacc-g_tv)/(1+wacc)^(Sens!K3417-Sens!F3417)</f>
        <v>-4.23511305364801</v>
      </c>
    </row>
    <row r="3448" customFormat="false" ht="17.15" hidden="false" customHeight="false" outlineLevel="0" collapsed="false">
      <c r="A3448" s="1" t="s">
        <v>1247</v>
      </c>
      <c r="B3448" s="0" t="s">
        <v>98</v>
      </c>
      <c r="C3448" s="6" t="n">
        <f aca="false">(SUM(Sens!G3446:K3446)+Sens!$C$3447)*(1+wacc)^(t_roll-Sens!F3417)</f>
        <v>-22.6640301004534</v>
      </c>
      <c r="L3448" s="12" t="s">
        <v>1248</v>
      </c>
    </row>
    <row r="3449" customFormat="false" ht="17.15" hidden="false" customHeight="false" outlineLevel="0" collapsed="false">
      <c r="A3449" s="1" t="s">
        <v>1249</v>
      </c>
      <c r="B3449" s="0" t="s">
        <v>98</v>
      </c>
      <c r="C3449" s="6" t="n">
        <f aca="false">(w_ntm28*Sens!G3291+(1-w_ntm28)*Sens!H3291)*m_ai</f>
        <v>206.567859265904</v>
      </c>
    </row>
    <row r="3450" customFormat="false" ht="17.15" hidden="false" customHeight="false" outlineLevel="0" collapsed="false">
      <c r="A3450" s="1" t="s">
        <v>1250</v>
      </c>
      <c r="B3450" s="0" t="s">
        <v>98</v>
      </c>
      <c r="C3450" s="6" t="n">
        <f aca="false">(w_ntm28*Sens!G3441+(1-w_ntm28)*Sens!H3441)*m_cloud</f>
        <v>978.824207543312</v>
      </c>
    </row>
    <row r="3451" customFormat="false" ht="17.15" hidden="false" customHeight="false" outlineLevel="0" collapsed="false">
      <c r="A3451" s="1" t="s">
        <v>1251</v>
      </c>
      <c r="B3451" s="0" t="s">
        <v>98</v>
      </c>
      <c r="C3451" s="6" t="n">
        <f aca="false">(w_ntm28*Sens!G3434+(1-w_ntm28)*Sens!H3434)*m_sw</f>
        <v>1128.42793076719</v>
      </c>
    </row>
    <row r="3452" customFormat="false" ht="17.15" hidden="false" customHeight="false" outlineLevel="0" collapsed="false">
      <c r="A3452" s="1" t="s">
        <v>1252</v>
      </c>
      <c r="B3452" s="0" t="s">
        <v>98</v>
      </c>
      <c r="C3452" s="6" t="n">
        <f aca="false">(w_ntm28*Sens!G3435+(1-w_ntm28)*Sens!H3435)*m_sw</f>
        <v>385.916827314041</v>
      </c>
    </row>
    <row r="3453" customFormat="false" ht="17.15" hidden="false" customHeight="false" outlineLevel="0" collapsed="false">
      <c r="A3453" s="1" t="s">
        <v>1253</v>
      </c>
      <c r="B3453" s="0" t="s">
        <v>98</v>
      </c>
      <c r="C3453" s="6" t="n">
        <f aca="false">(w_ntm28*Sens!G3436+(1-w_ntm28)*Sens!H3436)*m_sw</f>
        <v>117.176705437031</v>
      </c>
    </row>
    <row r="3454" customFormat="false" ht="17.15" hidden="false" customHeight="false" outlineLevel="0" collapsed="false">
      <c r="A3454" s="1" t="s">
        <v>1254</v>
      </c>
      <c r="B3454" s="0" t="s">
        <v>98</v>
      </c>
      <c r="C3454" s="6" t="n">
        <f aca="false">(w_ntm28*Sens!G3437+(1-w_ntm28)*Sens!H3437)*m_sw</f>
        <v>44.5500663792815</v>
      </c>
    </row>
    <row r="3455" customFormat="false" ht="17.15" hidden="false" customHeight="false" outlineLevel="0" collapsed="false">
      <c r="A3455" s="1" t="s">
        <v>1255</v>
      </c>
      <c r="B3455" s="0" t="s">
        <v>98</v>
      </c>
      <c r="C3455" s="6" t="n">
        <f aca="false">(w_ntm28*Sens!G3438+(1-w_ntm28)*Sens!H3438)*m_ads</f>
        <v>123.515489196841</v>
      </c>
    </row>
    <row r="3456" customFormat="false" ht="17.15" hidden="false" customHeight="false" outlineLevel="0" collapsed="false">
      <c r="A3456" s="1" t="s">
        <v>1256</v>
      </c>
      <c r="B3456" s="0" t="s">
        <v>98</v>
      </c>
      <c r="C3456" s="6" t="n">
        <f aca="false">(w_ntm28*Sens!G3443+(1-w_ntm28)*Sens!H3443)*m_game</f>
        <v>106.068967666543</v>
      </c>
    </row>
    <row r="3457" customFormat="false" ht="17.15" hidden="false" customHeight="false" outlineLevel="0" collapsed="false">
      <c r="A3457" s="1" t="s">
        <v>1257</v>
      </c>
      <c r="B3457" s="0" t="s">
        <v>98</v>
      </c>
      <c r="C3457" s="6" t="n">
        <f aca="false">(w_ntm28*Sens!G3444+(1-w_ntm28)*Sens!H3444)*m_pc</f>
        <v>98.3272261684471</v>
      </c>
    </row>
    <row r="3458" customFormat="false" ht="17.15" hidden="false" customHeight="false" outlineLevel="0" collapsed="false">
      <c r="A3458" s="1" t="s">
        <v>1258</v>
      </c>
      <c r="B3458" s="0" t="s">
        <v>98</v>
      </c>
      <c r="C3458" s="6" t="n">
        <f aca="false">Sens!$C$3448+Sens!$C$3450+Sens!$C$3451+Sens!$C$3452+Sens!$C$3453+Sens!$C$3454+Sens!$C$3455+Sens!$C$3456+Sens!$C$3457</f>
        <v>2960.14339037224</v>
      </c>
    </row>
    <row r="3459" customFormat="false" ht="17.15" hidden="false" customHeight="false" outlineLevel="0" collapsed="false">
      <c r="A3459" s="1" t="s">
        <v>1259</v>
      </c>
      <c r="B3459" s="0" t="s">
        <v>98</v>
      </c>
      <c r="C3459" s="6" t="n">
        <f aca="false">(Sens!G3420-Sens!G3445)*t_stub</f>
        <v>49.04817118765</v>
      </c>
      <c r="L3459" s="1" t="s">
        <v>1260</v>
      </c>
    </row>
    <row r="3460" customFormat="false" ht="17.15" hidden="false" customHeight="false" outlineLevel="0" collapsed="false">
      <c r="A3460" s="1" t="s">
        <v>1169</v>
      </c>
      <c r="B3460" s="0" t="s">
        <v>98</v>
      </c>
      <c r="C3460" s="6" t="n">
        <f aca="false">Sens!F3407+oai_v-Sens!F3396+Sens!$C$3459</f>
        <v>159.1211718586</v>
      </c>
      <c r="L3460" s="1" t="s">
        <v>1261</v>
      </c>
    </row>
    <row r="3461" customFormat="false" ht="17.15" hidden="false" customHeight="false" outlineLevel="0" collapsed="false">
      <c r="A3461" s="1" t="s">
        <v>1262</v>
      </c>
      <c r="B3461" s="0" t="s">
        <v>75</v>
      </c>
      <c r="C3461" s="5" t="n">
        <f aca="false">(Sens!$C$3458+Sens!$C$3460)/(Sens!F3409+dil_gap)-Sens!G3399*roll_div_q/q_per_yr</f>
        <v>415.084374363772</v>
      </c>
      <c r="L3461" s="1" t="s">
        <v>1263</v>
      </c>
    </row>
    <row r="3462" customFormat="false" ht="17.15" hidden="false" customHeight="false" outlineLevel="0" collapsed="false">
      <c r="A3462" s="1" t="s">
        <v>1264</v>
      </c>
      <c r="B3462" s="0" t="s">
        <v>75</v>
      </c>
      <c r="C3462" s="5" t="n">
        <f aca="false">w_dcf*Sens!$C$3432+(1-w_dcf)*Sens!$C$3461</f>
        <v>355.335934198116</v>
      </c>
    </row>
    <row r="3463" customFormat="false" ht="17.15" hidden="false" customHeight="false" outlineLevel="0" collapsed="false">
      <c r="A3463" s="3" t="s">
        <v>1565</v>
      </c>
    </row>
    <row r="3464" customFormat="false" ht="15" hidden="false" customHeight="false" outlineLevel="0" collapsed="false">
      <c r="A3464" s="4" t="s">
        <v>43</v>
      </c>
      <c r="B3464" s="4" t="s">
        <v>65</v>
      </c>
      <c r="C3464" s="23" t="s">
        <v>938</v>
      </c>
      <c r="D3464" s="23" t="s">
        <v>939</v>
      </c>
      <c r="E3464" s="23" t="s">
        <v>940</v>
      </c>
      <c r="F3464" s="23" t="s">
        <v>941</v>
      </c>
      <c r="G3464" s="23" t="s">
        <v>942</v>
      </c>
      <c r="H3464" s="23" t="s">
        <v>943</v>
      </c>
      <c r="I3464" s="23" t="s">
        <v>944</v>
      </c>
      <c r="J3464" s="23" t="s">
        <v>945</v>
      </c>
      <c r="K3464" s="23" t="s">
        <v>946</v>
      </c>
      <c r="L3464" s="4" t="s">
        <v>47</v>
      </c>
    </row>
    <row r="3465" customFormat="false" ht="17.15" hidden="false" customHeight="false" outlineLevel="0" collapsed="false">
      <c r="A3465" s="1" t="s">
        <v>947</v>
      </c>
      <c r="B3465" s="1" t="s">
        <v>279</v>
      </c>
      <c r="C3465" s="21" t="n">
        <v>2024</v>
      </c>
      <c r="D3465" s="21" t="n">
        <v>2025</v>
      </c>
      <c r="E3465" s="21" t="n">
        <v>2026</v>
      </c>
      <c r="F3465" s="21" t="n">
        <v>2027</v>
      </c>
      <c r="G3465" s="21" t="n">
        <v>2028</v>
      </c>
      <c r="H3465" s="21" t="n">
        <v>2029</v>
      </c>
      <c r="I3465" s="21" t="n">
        <v>2030</v>
      </c>
      <c r="J3465" s="21" t="n">
        <v>2031</v>
      </c>
      <c r="K3465" s="21" t="n">
        <v>2032</v>
      </c>
    </row>
    <row r="3466" customFormat="false" ht="17.15" hidden="false" customHeight="false" outlineLevel="0" collapsed="false">
      <c r="A3466" s="1" t="s">
        <v>948</v>
      </c>
      <c r="B3466" s="0" t="s">
        <v>456</v>
      </c>
      <c r="F3466" s="30" t="n">
        <f aca="false">pace_epoch</f>
        <v>650</v>
      </c>
      <c r="G3466" s="30" t="n">
        <f aca="false">pace_epoch</f>
        <v>650</v>
      </c>
      <c r="H3466" s="30" t="n">
        <f aca="false">pace_epoch</f>
        <v>650</v>
      </c>
      <c r="I3466" s="30" t="n">
        <f aca="false">pace_epoch+(g_tv*Sens!H3467-pace_epoch)*MIN(1,(Sens!I3465-pace_y0)/(pace_y1-pace_y0))</f>
        <v>477.193333333333</v>
      </c>
      <c r="J3466" s="30" t="n">
        <f aca="false">pace_epoch+(g_tv*Sens!I3467-pace_epoch)*MIN(1,(Sens!J3465-pace_y0)/(pace_y1-pace_y0))</f>
        <v>304.386666666667</v>
      </c>
      <c r="K3466" s="30" t="n">
        <f aca="false">pace_epoch+(g_tv*Sens!J3467-pace_epoch)*MIN(1,(Sens!K3465-pace_y0)/(pace_y1-pace_y0))</f>
        <v>131.58</v>
      </c>
      <c r="L3466" s="12" t="s">
        <v>949</v>
      </c>
    </row>
    <row r="3467" customFormat="false" ht="17.15" hidden="false" customHeight="false" outlineLevel="0" collapsed="false">
      <c r="A3467" s="1" t="s">
        <v>950</v>
      </c>
      <c r="B3467" s="0" t="s">
        <v>456</v>
      </c>
      <c r="C3467" s="30" t="n">
        <f aca="false">mw_ext_24</f>
        <v>640</v>
      </c>
      <c r="D3467" s="30" t="n">
        <f aca="false">mw_ext_25</f>
        <v>1630</v>
      </c>
      <c r="E3467" s="30" t="n">
        <f aca="false">mw_ext_26</f>
        <v>3250</v>
      </c>
      <c r="F3467" s="30" t="n">
        <f aca="false">MIN(cap_epoch,Sens!E3467+Sens!F3466)</f>
        <v>3900</v>
      </c>
      <c r="G3467" s="30" t="n">
        <f aca="false">MIN(cap_epoch,Sens!F3467+Sens!G3466)</f>
        <v>4386</v>
      </c>
      <c r="H3467" s="30" t="n">
        <f aca="false">MIN(cap_epoch,Sens!G3467+Sens!H3466)</f>
        <v>4386</v>
      </c>
      <c r="I3467" s="30" t="n">
        <f aca="false">MIN(cap_epoch,Sens!H3467+Sens!I3466)</f>
        <v>4386</v>
      </c>
      <c r="J3467" s="30" t="n">
        <f aca="false">MIN(cap_epoch,Sens!I3467+Sens!J3466)</f>
        <v>4386</v>
      </c>
      <c r="K3467" s="30" t="n">
        <f aca="false">MIN(cap_epoch,Sens!J3467+Sens!K3466)</f>
        <v>4386</v>
      </c>
      <c r="L3467" s="1" t="s">
        <v>951</v>
      </c>
    </row>
    <row r="3468" customFormat="false" ht="17.15" hidden="false" customHeight="false" outlineLevel="0" collapsed="false">
      <c r="A3468" s="1" t="s">
        <v>952</v>
      </c>
      <c r="B3468" s="0" t="s">
        <v>456</v>
      </c>
      <c r="C3468" s="30" t="n">
        <f aca="false">rent_ext_24</f>
        <v>150</v>
      </c>
      <c r="D3468" s="30" t="n">
        <f aca="false">rent_ext_25</f>
        <v>400</v>
      </c>
      <c r="E3468" s="30" t="n">
        <f aca="false">rent_ext_26</f>
        <v>550</v>
      </c>
      <c r="F3468" s="30" t="n">
        <f aca="false">rent_ext_f</f>
        <v>756</v>
      </c>
      <c r="G3468" s="30" t="n">
        <f aca="false">rent_ext_f</f>
        <v>756</v>
      </c>
      <c r="H3468" s="30" t="n">
        <f aca="false">rent_ext_f</f>
        <v>756</v>
      </c>
      <c r="I3468" s="30" t="n">
        <f aca="false">rent_ext_f</f>
        <v>756</v>
      </c>
      <c r="J3468" s="30" t="n">
        <f aca="false">rent_ext_f</f>
        <v>756</v>
      </c>
      <c r="K3468" s="30" t="n">
        <f aca="false">rent_ext_f</f>
        <v>756</v>
      </c>
      <c r="L3468" s="1" t="s">
        <v>953</v>
      </c>
    </row>
    <row r="3469" customFormat="false" ht="17.15" hidden="false" customHeight="false" outlineLevel="0" collapsed="false">
      <c r="A3469" s="1" t="s">
        <v>954</v>
      </c>
      <c r="B3469" s="0" t="s">
        <v>456</v>
      </c>
      <c r="C3469" s="30" t="n">
        <f aca="false">Sens!C3467-Sens!C3468</f>
        <v>490</v>
      </c>
      <c r="D3469" s="30" t="n">
        <f aca="false">Sens!D3467-Sens!D3468</f>
        <v>1230</v>
      </c>
      <c r="E3469" s="30" t="n">
        <f aca="false">Sens!E3467-Sens!E3468</f>
        <v>2700</v>
      </c>
      <c r="F3469" s="30" t="n">
        <f aca="false">Sens!F3467-Sens!F3468</f>
        <v>3144</v>
      </c>
      <c r="G3469" s="30" t="n">
        <f aca="false">Sens!G3467-Sens!G3468</f>
        <v>3630</v>
      </c>
      <c r="H3469" s="30" t="n">
        <f aca="false">Sens!H3467-Sens!H3468</f>
        <v>3630</v>
      </c>
      <c r="I3469" s="30" t="n">
        <f aca="false">Sens!I3467-Sens!I3468</f>
        <v>3630</v>
      </c>
      <c r="J3469" s="30" t="n">
        <f aca="false">Sens!J3467-Sens!J3468</f>
        <v>3630</v>
      </c>
      <c r="K3469" s="30" t="n">
        <f aca="false">Sens!K3467-Sens!K3468</f>
        <v>3630</v>
      </c>
    </row>
    <row r="3470" customFormat="false" ht="17.15" hidden="false" customHeight="false" outlineLevel="0" collapsed="false">
      <c r="A3470" s="1" t="s">
        <v>955</v>
      </c>
      <c r="B3470" s="0" t="s">
        <v>456</v>
      </c>
      <c r="C3470" s="30" t="n">
        <f aca="false">Sens!C3469/ext_sh</f>
        <v>816.666666666667</v>
      </c>
      <c r="D3470" s="30" t="n">
        <f aca="false">Sens!D3469/ext_sh</f>
        <v>2050</v>
      </c>
      <c r="E3470" s="30" t="n">
        <f aca="false">Sens!E3469/ext_sh</f>
        <v>4500</v>
      </c>
      <c r="F3470" s="30" t="n">
        <f aca="false">Sens!F3469/ext_sh</f>
        <v>5240</v>
      </c>
      <c r="G3470" s="30" t="n">
        <f aca="false">Sens!G3469/ext_sh</f>
        <v>6050</v>
      </c>
      <c r="H3470" s="30" t="n">
        <f aca="false">Sens!H3469/ext_sh</f>
        <v>6050</v>
      </c>
      <c r="I3470" s="30" t="n">
        <f aca="false">Sens!I3469/ext_sh</f>
        <v>6050</v>
      </c>
      <c r="J3470" s="30" t="n">
        <f aca="false">Sens!J3469/ext_sh</f>
        <v>6050</v>
      </c>
      <c r="K3470" s="30" t="n">
        <f aca="false">Sens!K3469/ext_sh</f>
        <v>6050</v>
      </c>
      <c r="L3470" s="1" t="s">
        <v>956</v>
      </c>
    </row>
    <row r="3471" customFormat="false" ht="17.15" hidden="false" customHeight="false" outlineLevel="0" collapsed="false">
      <c r="A3471" s="1" t="s">
        <v>957</v>
      </c>
      <c r="B3471" s="0" t="s">
        <v>456</v>
      </c>
      <c r="C3471" s="30" t="n">
        <f aca="false">Sens!C3470-Sens!C3469</f>
        <v>326.666666666667</v>
      </c>
      <c r="D3471" s="30" t="n">
        <f aca="false">Sens!D3470-Sens!D3469</f>
        <v>820</v>
      </c>
      <c r="E3471" s="30" t="n">
        <f aca="false">Sens!E3470-Sens!E3469</f>
        <v>1800</v>
      </c>
      <c r="F3471" s="30" t="n">
        <f aca="false">Sens!F3470-Sens!F3469</f>
        <v>2096</v>
      </c>
      <c r="G3471" s="30" t="n">
        <f aca="false">Sens!G3470-Sens!G3469</f>
        <v>2420</v>
      </c>
      <c r="H3471" s="30" t="n">
        <f aca="false">Sens!H3470-Sens!H3469</f>
        <v>2420</v>
      </c>
      <c r="I3471" s="30" t="n">
        <f aca="false">Sens!I3470-Sens!I3469</f>
        <v>2420</v>
      </c>
      <c r="J3471" s="30" t="n">
        <f aca="false">Sens!J3470-Sens!J3469</f>
        <v>2420</v>
      </c>
      <c r="K3471" s="30" t="n">
        <f aca="false">Sens!K3470-Sens!K3469</f>
        <v>2420</v>
      </c>
    </row>
    <row r="3472" customFormat="false" ht="17.15" hidden="false" customHeight="false" outlineLevel="0" collapsed="false">
      <c r="A3472" s="1" t="s">
        <v>958</v>
      </c>
      <c r="B3472" s="0" t="s">
        <v>456</v>
      </c>
      <c r="C3472" s="30" t="n">
        <f aca="false">Sens!C3470</f>
        <v>816.666666666667</v>
      </c>
      <c r="D3472" s="30" t="n">
        <f aca="false">Sens!D3470-Sens!C3470</f>
        <v>1233.33333333333</v>
      </c>
      <c r="E3472" s="30" t="n">
        <f aca="false">Sens!E3470-Sens!D3470</f>
        <v>2450</v>
      </c>
      <c r="F3472" s="30" t="n">
        <f aca="false">Sens!F3470-Sens!E3470</f>
        <v>740</v>
      </c>
      <c r="G3472" s="30" t="n">
        <f aca="false">Sens!G3470-Sens!F3470</f>
        <v>810</v>
      </c>
      <c r="H3472" s="30" t="n">
        <f aca="false">Sens!H3470-Sens!G3470</f>
        <v>0</v>
      </c>
      <c r="I3472" s="30" t="n">
        <f aca="false">Sens!I3470-Sens!H3470</f>
        <v>0</v>
      </c>
      <c r="J3472" s="30" t="n">
        <f aca="false">Sens!J3470-Sens!I3470</f>
        <v>0</v>
      </c>
      <c r="K3472" s="30" t="n">
        <f aca="false">Sens!K3470-Sens!J3470</f>
        <v>0</v>
      </c>
    </row>
    <row r="3473" customFormat="false" ht="17.15" hidden="false" customHeight="false" outlineLevel="0" collapsed="false">
      <c r="A3473" s="1" t="s">
        <v>959</v>
      </c>
      <c r="B3473" s="0" t="s">
        <v>456</v>
      </c>
      <c r="D3473" s="30" t="n">
        <f aca="false">Sens!D3467-Sens!C3467</f>
        <v>990</v>
      </c>
      <c r="E3473" s="30" t="n">
        <f aca="false">Sens!E3467-Sens!D3467</f>
        <v>1620</v>
      </c>
      <c r="F3473" s="30" t="n">
        <f aca="false">Sens!F3467-Sens!E3467</f>
        <v>650</v>
      </c>
      <c r="G3473" s="30" t="n">
        <f aca="false">Sens!G3467-Sens!F3467</f>
        <v>486</v>
      </c>
      <c r="H3473" s="30" t="n">
        <f aca="false">Sens!H3467-Sens!G3467</f>
        <v>0</v>
      </c>
      <c r="I3473" s="30" t="n">
        <f aca="false">Sens!I3467-Sens!H3467</f>
        <v>0</v>
      </c>
      <c r="J3473" s="30" t="n">
        <f aca="false">Sens!J3467-Sens!I3467</f>
        <v>0</v>
      </c>
      <c r="K3473" s="30" t="n">
        <f aca="false">Sens!K3467-Sens!J3467</f>
        <v>0</v>
      </c>
    </row>
    <row r="3474" customFormat="false" ht="17.15" hidden="false" customHeight="false" outlineLevel="0" collapsed="false">
      <c r="A3474" s="1" t="s">
        <v>960</v>
      </c>
      <c r="B3474" s="0" t="s">
        <v>456</v>
      </c>
      <c r="F3474" s="30" t="n">
        <f aca="false">Sens!F3493*ext_sh</f>
        <v>0</v>
      </c>
      <c r="G3474" s="30" t="n">
        <f aca="false">Sens!G3493*ext_sh</f>
        <v>0</v>
      </c>
      <c r="H3474" s="30" t="n">
        <f aca="false">Sens!H3493*ext_sh</f>
        <v>0</v>
      </c>
      <c r="I3474" s="30" t="n">
        <f aca="false">Sens!I3493*ext_sh</f>
        <v>490</v>
      </c>
      <c r="J3474" s="30" t="n">
        <f aca="false">Sens!J3493*ext_sh</f>
        <v>740</v>
      </c>
      <c r="K3474" s="30" t="n">
        <f aca="false">Sens!K3493*ext_sh</f>
        <v>1470</v>
      </c>
      <c r="L3474" s="1" t="s">
        <v>961</v>
      </c>
    </row>
    <row r="3475" customFormat="false" ht="17.15" hidden="false" customHeight="false" outlineLevel="0" collapsed="false">
      <c r="A3475" s="1" t="s">
        <v>962</v>
      </c>
      <c r="B3475" s="0" t="s">
        <v>456</v>
      </c>
      <c r="C3475" s="30" t="n">
        <f aca="false">mix_h*Sens!C3467</f>
        <v>128</v>
      </c>
      <c r="D3475" s="30" t="n">
        <f aca="false">mix_h*Sens!D3467</f>
        <v>326</v>
      </c>
      <c r="E3475" s="30" t="n">
        <f aca="false">mix_h*Sens!E3467</f>
        <v>650</v>
      </c>
      <c r="F3475" s="30" t="n">
        <f aca="false">Sens!E3475-Sens!F3474*mix_h</f>
        <v>650</v>
      </c>
      <c r="G3475" s="30" t="n">
        <f aca="false">Sens!F3475-Sens!G3474*mix_h</f>
        <v>650</v>
      </c>
      <c r="H3475" s="30" t="n">
        <f aca="false">Sens!G3475-Sens!H3474*mix_h</f>
        <v>650</v>
      </c>
      <c r="I3475" s="30" t="n">
        <f aca="false">Sens!H3475-Sens!I3474*mix_h</f>
        <v>552</v>
      </c>
      <c r="J3475" s="30" t="n">
        <f aca="false">Sens!I3475-Sens!J3474*mix_h</f>
        <v>404</v>
      </c>
      <c r="K3475" s="30" t="n">
        <f aca="false">Sens!J3475-Sens!K3474*mix_h</f>
        <v>110</v>
      </c>
    </row>
    <row r="3476" customFormat="false" ht="17.15" hidden="false" customHeight="false" outlineLevel="0" collapsed="false">
      <c r="A3476" s="1" t="s">
        <v>963</v>
      </c>
      <c r="B3476" s="0" t="s">
        <v>456</v>
      </c>
      <c r="C3476" s="30" t="n">
        <f aca="false">mix_g2*Sens!C3467</f>
        <v>288</v>
      </c>
      <c r="D3476" s="30" t="n">
        <f aca="false">mix_g2*Sens!D3467</f>
        <v>733.5</v>
      </c>
      <c r="E3476" s="30" t="n">
        <f aca="false">mix_g2*Sens!E3467</f>
        <v>1462.5</v>
      </c>
      <c r="F3476" s="30" t="n">
        <f aca="false">Sens!E3476-Sens!F3474*mix_g2</f>
        <v>1462.5</v>
      </c>
      <c r="G3476" s="30" t="n">
        <f aca="false">Sens!F3476-Sens!G3474*mix_g2</f>
        <v>1462.5</v>
      </c>
      <c r="H3476" s="30" t="n">
        <f aca="false">Sens!G3476-Sens!H3474*mix_g2</f>
        <v>1462.5</v>
      </c>
      <c r="I3476" s="30" t="n">
        <f aca="false">Sens!H3476-Sens!I3474*mix_g2</f>
        <v>1242</v>
      </c>
      <c r="J3476" s="30" t="n">
        <f aca="false">Sens!I3476-Sens!J3474*mix_g2</f>
        <v>909</v>
      </c>
      <c r="K3476" s="30" t="n">
        <f aca="false">Sens!J3476-Sens!K3474*mix_g2</f>
        <v>247.5</v>
      </c>
    </row>
    <row r="3477" customFormat="false" ht="17.15" hidden="false" customHeight="false" outlineLevel="0" collapsed="false">
      <c r="A3477" s="1" t="s">
        <v>964</v>
      </c>
      <c r="B3477" s="0" t="s">
        <v>456</v>
      </c>
      <c r="C3477" s="30" t="n">
        <f aca="false">mix_g3*Sens!C3467</f>
        <v>224</v>
      </c>
      <c r="D3477" s="30" t="n">
        <f aca="false">mix_g3*Sens!D3467</f>
        <v>570.5</v>
      </c>
      <c r="E3477" s="30" t="n">
        <f aca="false">mix_g3*Sens!E3467</f>
        <v>1137.5</v>
      </c>
      <c r="F3477" s="30" t="n">
        <f aca="false">Sens!E3477+(Sens!F3473+Sens!F3474)*(a_g3_27-nonnv*a_mai)-Sens!F3474*mix_g3</f>
        <v>1527.5</v>
      </c>
      <c r="G3477" s="30" t="n">
        <f aca="false">Sens!F3477+(Sens!G3473+Sens!G3474)*(a_g3_28-nonnv*a_mai)-Sens!G3474*mix_g3</f>
        <v>1624.7</v>
      </c>
      <c r="H3477" s="30" t="n">
        <f aca="false">Sens!G3477+(Sens!H3473+Sens!H3474)*(a_g3_29-nonnv*a_mai)-Sens!H3474*mix_g3</f>
        <v>1624.7</v>
      </c>
      <c r="I3477" s="30" t="n">
        <f aca="false">Sens!H3477+(Sens!I3473+Sens!I3474)*(a_g3_29-nonnv*a_mai)-Sens!I3474*mix_g3</f>
        <v>1453.2</v>
      </c>
      <c r="J3477" s="30" t="n">
        <f aca="false">Sens!I3477+(Sens!J3473+Sens!J3474)*(a_g3_29-nonnv*a_mai)-Sens!J3474*mix_g3</f>
        <v>1194.2</v>
      </c>
      <c r="K3477" s="30" t="n">
        <f aca="false">Sens!J3477+(Sens!K3473+Sens!K3474)*(a_g3_29-nonnv*a_mai)-Sens!K3474*mix_g3</f>
        <v>679.7</v>
      </c>
    </row>
    <row r="3478" customFormat="false" ht="17.15" hidden="false" customHeight="false" outlineLevel="0" collapsed="false">
      <c r="A3478" s="1" t="s">
        <v>965</v>
      </c>
      <c r="B3478" s="0" t="s">
        <v>456</v>
      </c>
      <c r="C3478" s="30" t="n">
        <v>0</v>
      </c>
      <c r="D3478" s="30" t="n">
        <v>0</v>
      </c>
      <c r="E3478" s="30" t="n">
        <v>0</v>
      </c>
      <c r="F3478" s="30" t="n">
        <f aca="false">Sens!E3478+(Sens!F3473+Sens!F3474)*nonnv*a_mai</f>
        <v>65</v>
      </c>
      <c r="G3478" s="30" t="n">
        <f aca="false">Sens!F3478+(Sens!G3473+Sens!G3474)*nonnv*a_mai</f>
        <v>113.6</v>
      </c>
      <c r="H3478" s="30" t="n">
        <f aca="false">Sens!G3478+(Sens!H3473+Sens!H3474)*nonnv*a_mai</f>
        <v>113.6</v>
      </c>
      <c r="I3478" s="30" t="n">
        <f aca="false">Sens!H3478+(Sens!I3473+Sens!I3474)*nonnv*a_mai</f>
        <v>162.6</v>
      </c>
      <c r="J3478" s="30" t="n">
        <f aca="false">Sens!I3478+(Sens!J3473+Sens!J3474)*nonnv*a_mai</f>
        <v>236.6</v>
      </c>
      <c r="K3478" s="30" t="n">
        <f aca="false">Sens!J3478+(Sens!K3473+Sens!K3474)*nonnv*a_mai</f>
        <v>383.6</v>
      </c>
      <c r="L3478" s="12" t="s">
        <v>966</v>
      </c>
    </row>
    <row r="3479" customFormat="false" ht="17.15" hidden="false" customHeight="false" outlineLevel="0" collapsed="false">
      <c r="A3479" s="1" t="s">
        <v>967</v>
      </c>
      <c r="B3479" s="0" t="s">
        <v>456</v>
      </c>
      <c r="C3479" s="30" t="n">
        <v>0</v>
      </c>
      <c r="D3479" s="30" t="n">
        <v>0</v>
      </c>
      <c r="E3479" s="30" t="n">
        <v>0</v>
      </c>
      <c r="F3479" s="30" t="n">
        <f aca="false">Sens!E3479+(Sens!F3473+Sens!F3474)*(1-a_g3_27)</f>
        <v>195</v>
      </c>
      <c r="G3479" s="30" t="n">
        <f aca="false">Sens!F3479+(Sens!G3473+Sens!G3474)*(1-a_g3_28)</f>
        <v>535.2</v>
      </c>
      <c r="H3479" s="30" t="n">
        <f aca="false">Sens!G3479+(Sens!H3473+Sens!H3474)*(1-a_g3_29)</f>
        <v>535.2</v>
      </c>
      <c r="I3479" s="30" t="n">
        <f aca="false">Sens!H3479+(Sens!I3473+Sens!I3474)*(1-a_g3_29)</f>
        <v>976.2</v>
      </c>
      <c r="J3479" s="30" t="n">
        <f aca="false">Sens!I3479+(Sens!J3473+Sens!J3474)*(1-a_g3_29)</f>
        <v>1642.2</v>
      </c>
      <c r="K3479" s="30" t="n">
        <f aca="false">Sens!J3479+(Sens!K3473+Sens!K3474)*(1-a_g3_29)</f>
        <v>2965.2</v>
      </c>
    </row>
    <row r="3480" customFormat="false" ht="17.15" hidden="false" customHeight="false" outlineLevel="0" collapsed="false">
      <c r="A3480" s="1" t="s">
        <v>968</v>
      </c>
      <c r="B3480" s="0" t="s">
        <v>403</v>
      </c>
      <c r="C3480" s="15" t="n">
        <f aca="false">(Sens!C3475*tk_hold_h100+Sens!C3476*tk_hold_gb200+Sens!C3477*tk_hold_gb300+Sens!C3479*tk_hold_vr200+Sens!C3478*nv_hold_mai*tk_hold_vr200)/Sens!C3467</f>
        <v>9.7235358126469</v>
      </c>
      <c r="D3480" s="15" t="n">
        <f aca="false">(Sens!D3475*tk_hold_h100+Sens!D3476*tk_hold_gb200+Sens!D3477*tk_hold_gb300+Sens!D3479*tk_hold_vr200+Sens!D3478*nv_hold_mai*tk_hold_vr200)/Sens!D3467</f>
        <v>9.7235358126469</v>
      </c>
      <c r="E3480" s="15" t="n">
        <f aca="false">(Sens!E3475*tk_hold_h100+Sens!E3476*tk_hold_gb200+Sens!E3477*tk_hold_gb300+Sens!E3479*tk_hold_vr200+Sens!E3478*nv_hold_mai*tk_hold_vr200)/Sens!E3467</f>
        <v>9.7235358126469</v>
      </c>
      <c r="F3480" s="15" t="n">
        <f aca="false">(Sens!F3475*tk_hold_h100+Sens!F3476*tk_hold_gb200+Sens!F3477*tk_hold_gb300+Sens!F3479*tk_hold_vr200+Sens!F3478*nv_hold_mai*tk_hold_vr200)/Sens!F3467</f>
        <v>9.9047400860175</v>
      </c>
      <c r="G3480" s="15" t="n">
        <f aca="false">(Sens!G3475*tk_hold_h100+Sens!G3476*tk_hold_gb200+Sens!G3477*tk_hold_gb300+Sens!G3479*tk_hold_vr200+Sens!G3478*nv_hold_mai*tk_hold_vr200)/Sens!G3467</f>
        <v>10.0644846479809</v>
      </c>
      <c r="H3480" s="15" t="n">
        <f aca="false">(Sens!H3475*tk_hold_h100+Sens!H3476*tk_hold_gb200+Sens!H3477*tk_hold_gb300+Sens!H3479*tk_hold_vr200+Sens!H3478*nv_hold_mai*tk_hold_vr200)/Sens!H3467</f>
        <v>10.0644846479809</v>
      </c>
      <c r="I3480" s="15" t="n">
        <f aca="false">(Sens!I3475*tk_hold_h100+Sens!I3476*tk_hold_gb200+Sens!I3477*tk_hold_gb300+Sens!I3479*tk_hold_vr200+Sens!I3478*nv_hold_mai*tk_hold_vr200)/Sens!I3467</f>
        <v>10.2757076768083</v>
      </c>
      <c r="J3480" s="15" t="n">
        <f aca="false">(Sens!J3475*tk_hold_h100+Sens!J3476*tk_hold_gb200+Sens!J3477*tk_hold_gb300+Sens!J3479*tk_hold_vr200+Sens!J3478*nv_hold_mai*tk_hold_vr200)/Sens!J3467</f>
        <v>10.5946975570782</v>
      </c>
      <c r="K3480" s="15" t="n">
        <f aca="false">(Sens!K3475*tk_hold_h100+Sens!K3476*tk_hold_gb200+Sens!K3477*tk_hold_gb300+Sens!K3479*tk_hold_vr200+Sens!K3478*nv_hold_mai*tk_hold_vr200)/Sens!K3467</f>
        <v>11.2283666435604</v>
      </c>
      <c r="L3480" s="1" t="s">
        <v>969</v>
      </c>
    </row>
    <row r="3481" customFormat="false" ht="17.15" hidden="false" customHeight="false" outlineLevel="0" collapsed="false">
      <c r="A3481" s="1" t="s">
        <v>970</v>
      </c>
      <c r="B3481" s="0" t="s">
        <v>403</v>
      </c>
      <c r="C3481" s="15" t="n">
        <f aca="false">(Sens!C3475*tk_hold_h100+Sens!C3476*tk_hold_gb200+Sens!C3477*tk_hold_gb300+Sens!C3479*tk_hold_vr200+Sens!C3478*nv_out_mai*tk_hold_vr200)/Sens!C3467</f>
        <v>9.7235358126469</v>
      </c>
      <c r="D3481" s="15" t="n">
        <f aca="false">(Sens!D3475*tk_hold_h100+Sens!D3476*tk_hold_gb200+Sens!D3477*tk_hold_gb300+Sens!D3479*tk_hold_vr200+Sens!D3478*nv_out_mai*tk_hold_vr200)/Sens!D3467</f>
        <v>9.7235358126469</v>
      </c>
      <c r="E3481" s="15" t="n">
        <f aca="false">(Sens!E3475*tk_hold_h100+Sens!E3476*tk_hold_gb200+Sens!E3477*tk_hold_gb300+Sens!E3479*tk_hold_vr200+Sens!E3478*nv_out_mai*tk_hold_vr200)/Sens!E3467</f>
        <v>9.7235358126469</v>
      </c>
      <c r="F3481" s="15" t="n">
        <f aca="false">(Sens!F3475*tk_hold_h100+Sens!F3476*tk_hold_gb200+Sens!F3477*tk_hold_gb300+Sens!F3479*tk_hold_vr200+Sens!F3478*nv_out_mai*tk_hold_vr200)/Sens!F3467</f>
        <v>9.91492797852132</v>
      </c>
      <c r="G3481" s="15" t="n">
        <f aca="false">(Sens!G3475*tk_hold_h100+Sens!G3476*tk_hold_gb200+Sens!G3477*tk_hold_gb300+Sens!G3479*tk_hold_vr200+Sens!G3478*nv_out_mai*tk_hold_vr200)/Sens!G3467</f>
        <v>10.0803169952919</v>
      </c>
      <c r="H3481" s="15" t="n">
        <f aca="false">(Sens!H3475*tk_hold_h100+Sens!H3476*tk_hold_gb200+Sens!H3477*tk_hold_gb300+Sens!H3479*tk_hold_vr200+Sens!H3478*nv_out_mai*tk_hold_vr200)/Sens!H3467</f>
        <v>10.0803169952919</v>
      </c>
      <c r="I3481" s="15" t="n">
        <f aca="false">(Sens!I3475*tk_hold_h100+Sens!I3476*tk_hold_gb200+Sens!I3477*tk_hold_gb300+Sens!I3479*tk_hold_vr200+Sens!I3478*nv_out_mai*tk_hold_vr200)/Sens!I3467</f>
        <v>10.2983691175897</v>
      </c>
      <c r="J3481" s="15" t="n">
        <f aca="false">(Sens!J3475*tk_hold_h100+Sens!J3476*tk_hold_gb200+Sens!J3477*tk_hold_gb300+Sens!J3479*tk_hold_vr200+Sens!J3478*nv_out_mai*tk_hold_vr200)/Sens!J3467</f>
        <v>10.6276723226925</v>
      </c>
      <c r="K3481" s="15" t="n">
        <f aca="false">(Sens!K3475*tk_hold_h100+Sens!K3476*tk_hold_gb200+Sens!K3477*tk_hold_gb300+Sens!K3479*tk_hold_vr200+Sens!K3478*nv_out_mai*tk_hold_vr200)/Sens!K3467</f>
        <v>11.2818286895859</v>
      </c>
      <c r="L3481" s="12" t="s">
        <v>971</v>
      </c>
    </row>
    <row r="3482" customFormat="false" ht="17.15" hidden="false" customHeight="false" outlineLevel="0" collapsed="false">
      <c r="A3482" s="0" t="s">
        <v>972</v>
      </c>
      <c r="B3482" s="0" t="s">
        <v>229</v>
      </c>
      <c r="C3482" s="15" t="n">
        <f aca="false">k_B</f>
        <v>1.17213932619116</v>
      </c>
      <c r="D3482" s="15" t="n">
        <f aca="false">k_B</f>
        <v>1.17213932619116</v>
      </c>
      <c r="E3482" s="15" t="n">
        <f aca="false">k_B</f>
        <v>1.17213932619116</v>
      </c>
      <c r="F3482" s="15" t="n">
        <f aca="false">(k_B+((ls_C*k_long+(1-ls_C)*k_spot)-k_B)*MIN(1,(Sens!F3465-base_fy)/k_ramp))</f>
        <v>1.07843258004497</v>
      </c>
      <c r="G3482" s="15" t="n">
        <f aca="false">(k_B+((ls_C*k_long+(1-ls_C)*k_spot)-k_B)*MIN(1,(Sens!G3465-base_fy)/k_ramp))</f>
        <v>0.984725833898784</v>
      </c>
      <c r="H3482" s="15" t="n">
        <f aca="false">(k_B+((ls_C*k_long+(1-ls_C)*k_spot)-k_B)*MIN(1,(Sens!H3465-base_fy)/k_ramp))</f>
        <v>0.891019087752599</v>
      </c>
      <c r="I3482" s="15" t="n">
        <f aca="false">(k_B+((ls_C*k_long+(1-ls_C)*k_spot)-k_B)*MIN(1,(Sens!I3465-base_fy)/k_ramp))</f>
        <v>0.891019087752599</v>
      </c>
      <c r="J3482" s="15" t="n">
        <f aca="false">(k_B+((ls_C*k_long+(1-ls_C)*k_spot)-k_B)*MIN(1,(Sens!J3465-base_fy)/k_ramp))</f>
        <v>0.891019087752599</v>
      </c>
      <c r="K3482" s="15" t="n">
        <f aca="false">(k_B+((ls_C*k_long+(1-ls_C)*k_spot)-k_B)*MIN(1,(Sens!K3465-base_fy)/k_ramp))</f>
        <v>0.891019087752599</v>
      </c>
      <c r="L3482" s="1" t="s">
        <v>973</v>
      </c>
    </row>
    <row r="3483" customFormat="false" ht="17.15" hidden="false" customHeight="false" outlineLevel="0" collapsed="false">
      <c r="A3483" s="1" t="s">
        <v>974</v>
      </c>
      <c r="B3483" s="0" t="s">
        <v>403</v>
      </c>
      <c r="C3483" s="15" t="n">
        <f aca="false">Sens!C3481*Sens!C3482*chip_f</f>
        <v>11.3973387156315</v>
      </c>
      <c r="D3483" s="15" t="n">
        <f aca="false">Sens!D3481*Sens!D3482*chip_f</f>
        <v>11.3973387156315</v>
      </c>
      <c r="E3483" s="15" t="n">
        <f aca="false">Sens!E3481*Sens!E3482*chip_f</f>
        <v>11.3973387156315</v>
      </c>
      <c r="F3483" s="15" t="n">
        <f aca="false">Sens!F3481*Sens!F3482*chip_f</f>
        <v>10.6925813608368</v>
      </c>
      <c r="G3483" s="15" t="n">
        <f aca="false">Sens!G3481*Sens!G3482*chip_f</f>
        <v>9.92634855915291</v>
      </c>
      <c r="H3483" s="15" t="n">
        <f aca="false">Sens!H3481*Sens!H3482*chip_f</f>
        <v>8.98175485340201</v>
      </c>
      <c r="I3483" s="15" t="n">
        <f aca="false">Sens!I3481*Sens!I3482*chip_f</f>
        <v>9.17604345649432</v>
      </c>
      <c r="J3483" s="15" t="n">
        <f aca="false">Sens!J3481*Sens!J3482*chip_f</f>
        <v>9.46945889789902</v>
      </c>
      <c r="K3483" s="15" t="n">
        <f aca="false">Sens!K3481*Sens!K3482*chip_f</f>
        <v>10.0523247071759</v>
      </c>
      <c r="L3483" s="1" t="s">
        <v>975</v>
      </c>
    </row>
    <row r="3484" customFormat="false" ht="17.15" hidden="false" customHeight="false" outlineLevel="0" collapsed="false">
      <c r="A3484" s="0" t="s">
        <v>976</v>
      </c>
      <c r="B3484" s="0" t="s">
        <v>98</v>
      </c>
      <c r="D3484" s="6" t="n">
        <f aca="false">(Sens!C3467+Sens!D3467)/2*Sens!D3483/1000</f>
        <v>12.9359794422418</v>
      </c>
      <c r="E3484" s="6" t="n">
        <f aca="false">(Sens!D3467+Sens!E3467)/2*Sens!E3483/1000</f>
        <v>27.8095064661409</v>
      </c>
      <c r="F3484" s="6" t="n">
        <f aca="false">(Sens!E3467+Sens!F3467)/2*Sens!F3483/1000</f>
        <v>38.2259783649916</v>
      </c>
      <c r="G3484" s="6" t="n">
        <f aca="false">(Sens!F3467+Sens!G3467)/2*Sens!G3483/1000</f>
        <v>41.1248620805705</v>
      </c>
      <c r="H3484" s="6" t="n">
        <f aca="false">(Sens!G3467+Sens!H3467)/2*Sens!H3483/1000</f>
        <v>39.3939767870212</v>
      </c>
      <c r="I3484" s="6" t="n">
        <f aca="false">(Sens!H3467+Sens!I3467)/2*Sens!I3483/1000</f>
        <v>40.2461266001841</v>
      </c>
      <c r="J3484" s="6" t="n">
        <f aca="false">(Sens!I3467+Sens!J3467)/2*Sens!J3483/1000</f>
        <v>41.5330467261851</v>
      </c>
      <c r="K3484" s="6" t="n">
        <f aca="false">(Sens!J3467+Sens!K3467)/2*Sens!K3483/1000</f>
        <v>44.0894961656736</v>
      </c>
      <c r="L3484" s="12" t="s">
        <v>977</v>
      </c>
    </row>
    <row r="3485" customFormat="false" ht="17.15" hidden="false" customHeight="false" outlineLevel="0" collapsed="false">
      <c r="A3485" s="1" t="s">
        <v>978</v>
      </c>
      <c r="B3485" s="0" t="s">
        <v>403</v>
      </c>
      <c r="C3485" s="15" t="n">
        <f aca="false">(Sens!C3475*tk_opex_h100+Sens!C3476*tk_opex_gb200+Sens!C3477*tk_opex_gb300+(Sens!C3479+Sens!C3478)*tk_opex_vr200)/Sens!C3467</f>
        <v>1.88636041306092</v>
      </c>
      <c r="D3485" s="15" t="n">
        <f aca="false">(Sens!D3475*tk_opex_h100+Sens!D3476*tk_opex_gb200+Sens!D3477*tk_opex_gb300+(Sens!D3479+Sens!D3478)*tk_opex_vr200)/Sens!D3467</f>
        <v>1.88636041306092</v>
      </c>
      <c r="E3485" s="15" t="n">
        <f aca="false">(Sens!E3475*tk_opex_h100+Sens!E3476*tk_opex_gb200+Sens!E3477*tk_opex_gb300+(Sens!E3479+Sens!E3478)*tk_opex_vr200)/Sens!E3467</f>
        <v>1.88636041306092</v>
      </c>
      <c r="F3485" s="15" t="n">
        <f aca="false">(Sens!F3475*tk_opex_h100+Sens!F3476*tk_opex_gb200+Sens!F3477*tk_opex_gb300+(Sens!F3479+Sens!F3478)*tk_opex_vr200)/Sens!F3467</f>
        <v>1.90979686208616</v>
      </c>
      <c r="G3485" s="15" t="n">
        <f aca="false">(Sens!G3475*tk_opex_h100+Sens!G3476*tk_opex_gb200+Sens!G3477*tk_opex_gb300+(Sens!G3479+Sens!G3478)*tk_opex_vr200)/Sens!G3467</f>
        <v>1.92769515165485</v>
      </c>
      <c r="H3485" s="15" t="n">
        <f aca="false">(Sens!H3475*tk_opex_h100+Sens!H3476*tk_opex_gb200+Sens!H3477*tk_opex_gb300+(Sens!H3479+Sens!H3478)*tk_opex_vr200)/Sens!H3467</f>
        <v>1.92769515165485</v>
      </c>
      <c r="I3485" s="15" t="n">
        <f aca="false">(Sens!I3475*tk_opex_h100+Sens!I3476*tk_opex_gb200+Sens!I3477*tk_opex_gb300+(Sens!I3479+Sens!I3478)*tk_opex_vr200)/Sens!I3467</f>
        <v>1.95083610383771</v>
      </c>
      <c r="J3485" s="15" t="n">
        <f aca="false">(Sens!J3475*tk_opex_h100+Sens!J3476*tk_opex_gb200+Sens!J3477*tk_opex_gb300+(Sens!J3479+Sens!J3478)*tk_opex_vr200)/Sens!J3467</f>
        <v>1.98578366427713</v>
      </c>
      <c r="K3485" s="15" t="n">
        <f aca="false">(Sens!K3475*tk_opex_h100+Sens!K3476*tk_opex_gb200+Sens!K3477*tk_opex_gb300+(Sens!K3479+Sens!K3478)*tk_opex_vr200)/Sens!K3467</f>
        <v>2.05520652082571</v>
      </c>
      <c r="L3485" s="12" t="s">
        <v>979</v>
      </c>
    </row>
    <row r="3486" customFormat="false" ht="17.15" hidden="false" customHeight="false" outlineLevel="0" collapsed="false">
      <c r="A3486" s="0" t="s">
        <v>980</v>
      </c>
      <c r="B3486" s="0" t="s">
        <v>98</v>
      </c>
      <c r="D3486" s="6" t="n">
        <f aca="false">(Sens!C3470+Sens!D3470)/2*Sens!D3485/1000</f>
        <v>2.70378325872065</v>
      </c>
      <c r="E3486" s="6" t="n">
        <f aca="false">(Sens!D3470+Sens!E3470)/2*Sens!E3485/1000</f>
        <v>6.17783035277451</v>
      </c>
      <c r="F3486" s="6" t="n">
        <f aca="false">(Sens!E3470+Sens!F3470)/2*Sens!F3485/1000</f>
        <v>9.30071071835958</v>
      </c>
      <c r="G3486" s="6" t="n">
        <f aca="false">(Sens!F3470+Sens!G3470)/2*Sens!G3485/1000</f>
        <v>10.8818391310916</v>
      </c>
      <c r="H3486" s="6" t="n">
        <f aca="false">(Sens!G3470+Sens!H3470)/2*Sens!H3485/1000</f>
        <v>11.6625556675118</v>
      </c>
      <c r="I3486" s="6" t="n">
        <f aca="false">(Sens!H3470+Sens!I3470)/2*Sens!I3485/1000</f>
        <v>11.8025584282181</v>
      </c>
      <c r="J3486" s="6" t="n">
        <f aca="false">(Sens!I3470+Sens!J3470)/2*Sens!J3485/1000</f>
        <v>12.0139911688766</v>
      </c>
      <c r="K3486" s="6" t="n">
        <f aca="false">(Sens!J3470+Sens!K3470)/2*Sens!K3485/1000</f>
        <v>12.4339994509955</v>
      </c>
    </row>
    <row r="3487" customFormat="false" ht="17.15" hidden="false" customHeight="false" outlineLevel="0" collapsed="false">
      <c r="A3487" s="0" t="s">
        <v>981</v>
      </c>
      <c r="B3487" s="0" t="s">
        <v>98</v>
      </c>
      <c r="D3487" s="6" t="n">
        <f aca="false">(Sens!C3468+Sens!D3468)/2*rent_mw/1000</f>
        <v>2.44475</v>
      </c>
      <c r="E3487" s="6" t="n">
        <f aca="false">(Sens!D3468+Sens!E3468)/2*rent_mw/1000</f>
        <v>4.22275</v>
      </c>
      <c r="F3487" s="6" t="n">
        <f aca="false">(Sens!E3468+Sens!F3468)/2*rent_mw/1000</f>
        <v>5.80517</v>
      </c>
      <c r="G3487" s="6" t="n">
        <f aca="false">(Sens!F3468+Sens!G3468)/2*rent_mw/1000</f>
        <v>6.72084</v>
      </c>
      <c r="H3487" s="6" t="n">
        <f aca="false">(Sens!G3468+Sens!H3468)/2*rent_mw/1000</f>
        <v>6.72084</v>
      </c>
      <c r="I3487" s="6" t="n">
        <f aca="false">(Sens!H3468+Sens!I3468)/2*rent_mw/1000</f>
        <v>6.72084</v>
      </c>
      <c r="J3487" s="6" t="n">
        <f aca="false">(Sens!I3468+Sens!J3468)/2*rent_mw/1000</f>
        <v>6.72084</v>
      </c>
      <c r="K3487" s="6" t="n">
        <f aca="false">(Sens!J3468+Sens!K3468)/2*rent_mw/1000</f>
        <v>6.72084</v>
      </c>
    </row>
    <row r="3488" customFormat="false" ht="17.15" hidden="false" customHeight="false" outlineLevel="0" collapsed="false">
      <c r="A3488" s="0" t="s">
        <v>982</v>
      </c>
      <c r="B3488" s="0" t="s">
        <v>98</v>
      </c>
      <c r="D3488" s="6" t="n">
        <f aca="false">(Sens!C3470+Sens!D3470)/2*(1-self_build)*fac_rent/1000</f>
        <v>0.853242375631075</v>
      </c>
      <c r="E3488" s="6" t="n">
        <f aca="false">(Sens!D3470+Sens!E3470)/2*(1-self_build)*fac_rent/1000</f>
        <v>1.94955961408728</v>
      </c>
      <c r="F3488" s="6" t="n">
        <f aca="false">(Sens!E3470+Sens!F3470)/2*(1-self_build)*fac_rent/1000</f>
        <v>2.89903979255117</v>
      </c>
      <c r="G3488" s="6" t="n">
        <f aca="false">(Sens!F3470+Sens!G3470)/2*(1-self_build)*fac_rent/1000</f>
        <v>3.36038596077029</v>
      </c>
      <c r="H3488" s="6" t="n">
        <f aca="false">(Sens!G3470+Sens!H3470)/2*(1-self_build)*fac_rent/1000</f>
        <v>3.60147653900094</v>
      </c>
      <c r="I3488" s="6" t="n">
        <f aca="false">(Sens!H3470+Sens!I3470)/2*(1-self_build)*fac_rent/1000</f>
        <v>3.60147653900094</v>
      </c>
      <c r="J3488" s="6" t="n">
        <f aca="false">(Sens!I3470+Sens!J3470)/2*(1-self_build)*fac_rent/1000</f>
        <v>3.60147653900094</v>
      </c>
      <c r="K3488" s="6" t="n">
        <f aca="false">(Sens!J3470+Sens!K3470)/2*(1-self_build)*fac_rent/1000</f>
        <v>3.60147653900094</v>
      </c>
      <c r="L3488" s="12" t="s">
        <v>983</v>
      </c>
    </row>
    <row r="3489" customFormat="false" ht="17.15" hidden="false" customHeight="false" outlineLevel="0" collapsed="false">
      <c r="A3489" s="1" t="s">
        <v>984</v>
      </c>
      <c r="B3489" s="0" t="s">
        <v>168</v>
      </c>
      <c r="D3489" s="7" t="n">
        <f aca="false">(Sens!C3469+Sens!D3469)/(Sens!C3470+Sens!D3470)</f>
        <v>0.6</v>
      </c>
      <c r="E3489" s="7" t="n">
        <f aca="false">(Sens!D3469+Sens!E3469)/(Sens!D3470+Sens!E3470)</f>
        <v>0.6</v>
      </c>
      <c r="F3489" s="7" t="n">
        <f aca="false">(Sens!E3469+Sens!F3469)/(Sens!E3470+Sens!F3470)</f>
        <v>0.6</v>
      </c>
      <c r="G3489" s="7" t="n">
        <f aca="false">(Sens!F3469+Sens!G3469)/(Sens!F3470+Sens!G3470)</f>
        <v>0.6</v>
      </c>
      <c r="H3489" s="7" t="n">
        <f aca="false">(Sens!G3469+Sens!H3469)/(Sens!G3470+Sens!H3470)</f>
        <v>0.6</v>
      </c>
      <c r="I3489" s="7" t="n">
        <f aca="false">(Sens!H3469+Sens!I3469)/(Sens!H3470+Sens!I3470)</f>
        <v>0.6</v>
      </c>
      <c r="J3489" s="7" t="n">
        <f aca="false">(Sens!I3469+Sens!J3469)/(Sens!I3470+Sens!J3470)</f>
        <v>0.6</v>
      </c>
      <c r="K3489" s="7" t="n">
        <f aca="false">(Sens!J3469+Sens!K3469)/(Sens!J3470+Sens!K3470)</f>
        <v>0.6</v>
      </c>
    </row>
    <row r="3490" customFormat="false" ht="17.15" hidden="false" customHeight="false" outlineLevel="0" collapsed="false">
      <c r="A3490" s="0" t="s">
        <v>985</v>
      </c>
      <c r="B3490" s="0" t="s">
        <v>98</v>
      </c>
      <c r="D3490" s="6" t="n">
        <f aca="false">Sens!D3484-Sens!D3489*(Sens!D3486+Sens!D3488)-Sens!D3487</f>
        <v>8.35701406163072</v>
      </c>
      <c r="E3490" s="6" t="n">
        <f aca="false">Sens!E3484-Sens!E3489*(Sens!E3486+Sens!E3488)-Sens!E3487</f>
        <v>18.7103224860238</v>
      </c>
      <c r="F3490" s="6" t="n">
        <f aca="false">Sens!F3484-Sens!F3489*(Sens!F3486+Sens!F3488)-Sens!F3487</f>
        <v>25.1009580584451</v>
      </c>
      <c r="G3490" s="6" t="n">
        <f aca="false">Sens!G3484-Sens!G3489*(Sens!G3486+Sens!G3488)-Sens!G3487</f>
        <v>25.8586870254534</v>
      </c>
      <c r="H3490" s="6" t="n">
        <f aca="false">Sens!H3484-Sens!H3489*(Sens!H3486+Sens!H3488)-Sens!H3487</f>
        <v>23.5147174631136</v>
      </c>
      <c r="I3490" s="6" t="n">
        <f aca="false">Sens!I3484-Sens!I3489*(Sens!I3486+Sens!I3488)-Sens!I3487</f>
        <v>24.2828656198526</v>
      </c>
      <c r="J3490" s="6" t="n">
        <f aca="false">Sens!J3484-Sens!J3489*(Sens!J3486+Sens!J3488)-Sens!J3487</f>
        <v>25.4429261014586</v>
      </c>
      <c r="K3490" s="6" t="n">
        <f aca="false">Sens!K3484-Sens!K3489*(Sens!K3486+Sens!K3488)-Sens!K3487</f>
        <v>27.7473705716757</v>
      </c>
    </row>
    <row r="3491" customFormat="false" ht="17.15" hidden="false" customHeight="false" outlineLevel="0" collapsed="false">
      <c r="A3491" s="1" t="s">
        <v>986</v>
      </c>
      <c r="B3491" s="0" t="s">
        <v>98</v>
      </c>
      <c r="D3491" s="6" t="n">
        <f aca="false">(1-Sens!D3489)*(Sens!D3486+Sens!D3488)</f>
        <v>1.42281025374069</v>
      </c>
      <c r="E3491" s="6" t="n">
        <f aca="false">(1-Sens!E3489)*(Sens!E3486+Sens!E3488)</f>
        <v>3.25095598674472</v>
      </c>
      <c r="F3491" s="6" t="n">
        <f aca="false">(1-Sens!F3489)*(Sens!F3486+Sens!F3488)</f>
        <v>4.8799002043643</v>
      </c>
      <c r="G3491" s="6" t="n">
        <f aca="false">(1-Sens!G3489)*(Sens!G3486+Sens!G3488)</f>
        <v>5.69689003674476</v>
      </c>
      <c r="H3491" s="6" t="n">
        <f aca="false">(1-Sens!H3489)*(Sens!H3486+Sens!H3488)</f>
        <v>6.1056128826051</v>
      </c>
      <c r="I3491" s="6" t="n">
        <f aca="false">(1-Sens!I3489)*(Sens!I3486+Sens!I3488)</f>
        <v>6.16161398688763</v>
      </c>
      <c r="J3491" s="6" t="n">
        <f aca="false">(1-Sens!J3489)*(Sens!J3486+Sens!J3488)</f>
        <v>6.24618708315103</v>
      </c>
      <c r="K3491" s="6" t="n">
        <f aca="false">(1-Sens!K3489)*(Sens!K3486+Sens!K3488)</f>
        <v>6.41419039599859</v>
      </c>
    </row>
    <row r="3492" customFormat="false" ht="17.15" hidden="false" customHeight="false" outlineLevel="0" collapsed="false">
      <c r="A3492" s="1" t="s">
        <v>987</v>
      </c>
      <c r="B3492" s="0" t="s">
        <v>414</v>
      </c>
      <c r="C3492" s="8" t="n">
        <f aca="false">cxit_open</f>
        <v>27.5918995</v>
      </c>
      <c r="D3492" s="8" t="n">
        <f aca="false">cxit_open</f>
        <v>27.5918995</v>
      </c>
      <c r="E3492" s="8" t="n">
        <f aca="false">cxit_open</f>
        <v>27.5918995</v>
      </c>
      <c r="F3492" s="8" t="n">
        <f aca="false">((a_g3_27-nonnv*a_mai)*tk_cxit_gb300+nonnv*a_mai*nv_hold_mai*tk_cxit_vr200+(1-a_g3_27)*tk_cxit_vr200)</f>
        <v>32.4975576</v>
      </c>
      <c r="G3492" s="8" t="n">
        <f aca="false">((a_g3_28-nonnv*a_mai)*tk_cxit_gb300+nonnv*a_mai*nv_hold_mai*tk_cxit_vr200+(1-a_g3_28)*tk_cxit_vr200)</f>
        <v>34.6372088</v>
      </c>
      <c r="H3492" s="8" t="n">
        <f aca="false">((a_g3_29-nonnv*a_mai)*tk_cxit_gb300+nonnv*a_mai*nv_hold_mai*tk_cxit_vr200+(1-a_g3_29)*tk_cxit_vr200)</f>
        <v>35.7070344</v>
      </c>
      <c r="I3492" s="8" t="n">
        <f aca="false">((a_g3_29-nonnv*a_mai)*tk_cxit_gb300+nonnv*a_mai*nv_hold_mai*tk_cxit_vr200+(1-a_g3_29)*tk_cxit_vr200)</f>
        <v>35.7070344</v>
      </c>
      <c r="J3492" s="8" t="n">
        <f aca="false">((a_g3_29-nonnv*a_mai)*tk_cxit_gb300+nonnv*a_mai*nv_hold_mai*tk_cxit_vr200+(1-a_g3_29)*tk_cxit_vr200)</f>
        <v>35.7070344</v>
      </c>
      <c r="K3492" s="8" t="n">
        <f aca="false">((a_g3_29-nonnv*a_mai)*tk_cxit_gb300+nonnv*a_mai*nv_hold_mai*tk_cxit_vr200+(1-a_g3_29)*tk_cxit_vr200)</f>
        <v>35.7070344</v>
      </c>
      <c r="L3492" s="12" t="s">
        <v>988</v>
      </c>
    </row>
    <row r="3493" customFormat="false" ht="17.15" hidden="false" customHeight="false" outlineLevel="0" collapsed="false">
      <c r="A3493" s="0" t="s">
        <v>989</v>
      </c>
      <c r="B3493" s="0" t="s">
        <v>456</v>
      </c>
      <c r="F3493" s="30" t="n">
        <f aca="false">Sens!C3472*IF(Sens!F3465-Sens!C3465=life_it,1,0)+Sens!D3472*IF(Sens!F3465-Sens!D3465=life_it,1,0)+Sens!E3472*IF(Sens!F3465-Sens!E3465=life_it,1,0)</f>
        <v>0</v>
      </c>
      <c r="G3493" s="30" t="n">
        <f aca="false">Sens!C3472*IF(Sens!G3465-Sens!C3465=life_it,1,0)+Sens!D3472*IF(Sens!G3465-Sens!D3465=life_it,1,0)+Sens!E3472*IF(Sens!G3465-Sens!E3465=life_it,1,0)+Sens!F3472*IF(Sens!G3465-Sens!F3465=life_it,1,0)</f>
        <v>0</v>
      </c>
      <c r="H3493" s="30" t="n">
        <f aca="false">Sens!C3472*IF(Sens!H3465-Sens!C3465=life_it,1,0)+Sens!D3472*IF(Sens!H3465-Sens!D3465=life_it,1,0)+Sens!E3472*IF(Sens!H3465-Sens!E3465=life_it,1,0)+Sens!F3472*IF(Sens!H3465-Sens!F3465=life_it,1,0)+Sens!G3472*IF(Sens!H3465-Sens!G3465=life_it,1,0)</f>
        <v>0</v>
      </c>
      <c r="I3493" s="30" t="n">
        <f aca="false">Sens!C3472*IF(Sens!I3465-Sens!C3465=life_it,1,0)+Sens!D3472*IF(Sens!I3465-Sens!D3465=life_it,1,0)+Sens!E3472*IF(Sens!I3465-Sens!E3465=life_it,1,0)+Sens!F3472*IF(Sens!I3465-Sens!F3465=life_it,1,0)+Sens!G3472*IF(Sens!I3465-Sens!G3465=life_it,1,0)+Sens!H3472*IF(Sens!I3465-Sens!H3465=life_it,1,0)</f>
        <v>816.666666666667</v>
      </c>
      <c r="J3493" s="30" t="n">
        <f aca="false">Sens!C3472*IF(Sens!J3465-Sens!C3465=life_it,1,0)+Sens!D3472*IF(Sens!J3465-Sens!D3465=life_it,1,0)+Sens!E3472*IF(Sens!J3465-Sens!E3465=life_it,1,0)+Sens!F3472*IF(Sens!J3465-Sens!F3465=life_it,1,0)+Sens!G3472*IF(Sens!J3465-Sens!G3465=life_it,1,0)+Sens!H3472*IF(Sens!J3465-Sens!H3465=life_it,1,0)+Sens!I3472*IF(Sens!J3465-Sens!I3465=life_it,1,0)</f>
        <v>1233.33333333333</v>
      </c>
      <c r="K3493" s="30" t="n">
        <f aca="false">Sens!C3472*IF(Sens!K3465-Sens!C3465=life_it,1,0)+Sens!D3472*IF(Sens!K3465-Sens!D3465=life_it,1,0)+Sens!E3472*IF(Sens!K3465-Sens!E3465=life_it,1,0)+Sens!F3472*IF(Sens!K3465-Sens!F3465=life_it,1,0)+Sens!G3472*IF(Sens!K3465-Sens!G3465=life_it,1,0)+Sens!H3472*IF(Sens!K3465-Sens!H3465=life_it,1,0)+Sens!I3472*IF(Sens!K3465-Sens!I3465=life_it,1,0)+Sens!J3472*IF(Sens!K3465-Sens!J3465=life_it,1,0)</f>
        <v>2450</v>
      </c>
      <c r="L3493" s="1" t="s">
        <v>990</v>
      </c>
    </row>
    <row r="3494" customFormat="false" ht="17.15" hidden="false" customHeight="false" outlineLevel="0" collapsed="false">
      <c r="A3494" s="0" t="s">
        <v>991</v>
      </c>
      <c r="B3494" s="0" t="s">
        <v>98</v>
      </c>
      <c r="C3494" s="6" t="n">
        <f aca="false">Sens!C3472*Sens!C3492/1000</f>
        <v>22.5333845916667</v>
      </c>
      <c r="D3494" s="6" t="n">
        <f aca="false">Sens!D3472*Sens!D3492/1000</f>
        <v>34.0300093833333</v>
      </c>
      <c r="E3494" s="6" t="n">
        <f aca="false">Sens!E3472*Sens!E3492/1000</f>
        <v>67.600153775</v>
      </c>
      <c r="F3494" s="6" t="n">
        <f aca="false">(Sens!F3472+Sens!F3493)*Sens!F3492/1000</f>
        <v>24.048192624</v>
      </c>
      <c r="G3494" s="6" t="n">
        <f aca="false">(Sens!G3472+Sens!G3493)*Sens!G3492/1000</f>
        <v>28.056139128</v>
      </c>
      <c r="H3494" s="6" t="n">
        <f aca="false">(Sens!H3472+Sens!H3493)*Sens!H3492/1000</f>
        <v>0</v>
      </c>
      <c r="I3494" s="6" t="n">
        <f aca="false">(Sens!I3472+Sens!I3493)*Sens!I3492/1000</f>
        <v>29.16074476</v>
      </c>
      <c r="J3494" s="6" t="n">
        <f aca="false">(Sens!J3472+Sens!J3493)*Sens!J3492/1000</f>
        <v>44.03867576</v>
      </c>
      <c r="K3494" s="6" t="n">
        <f aca="false">(Sens!K3472+Sens!K3493)*Sens!K3492/1000</f>
        <v>87.48223428</v>
      </c>
    </row>
    <row r="3495" customFormat="false" ht="17.15" hidden="false" customHeight="false" outlineLevel="0" collapsed="false">
      <c r="A3495" s="0" t="s">
        <v>992</v>
      </c>
      <c r="B3495" s="0" t="s">
        <v>98</v>
      </c>
      <c r="C3495" s="6" t="n">
        <f aca="false">Sens!C3472*self_build*tk_cxfac/1000</f>
        <v>6.2083</v>
      </c>
      <c r="D3495" s="6" t="n">
        <f aca="false">Sens!D3472*self_build*tk_cxfac/1000</f>
        <v>9.3758</v>
      </c>
      <c r="E3495" s="6" t="n">
        <f aca="false">Sens!E3472*self_build*tk_cxfac/1000</f>
        <v>18.6249</v>
      </c>
      <c r="F3495" s="6" t="n">
        <f aca="false">Sens!F3472*self_build*tk_cxfac/1000</f>
        <v>5.62548</v>
      </c>
      <c r="G3495" s="6" t="n">
        <f aca="false">Sens!G3472*self_build*tk_cxfac/1000</f>
        <v>6.15762</v>
      </c>
      <c r="H3495" s="6" t="n">
        <f aca="false">Sens!H3472*self_build*tk_cxfac/1000</f>
        <v>0</v>
      </c>
      <c r="I3495" s="6" t="n">
        <f aca="false">Sens!I3472*self_build*tk_cxfac/1000</f>
        <v>0</v>
      </c>
      <c r="J3495" s="6" t="n">
        <f aca="false">Sens!J3472*self_build*tk_cxfac/1000</f>
        <v>0</v>
      </c>
      <c r="K3495" s="6" t="n">
        <f aca="false">Sens!K3472*self_build*tk_cxfac/1000</f>
        <v>0</v>
      </c>
    </row>
    <row r="3496" customFormat="false" ht="17.15" hidden="false" customHeight="false" outlineLevel="0" collapsed="false">
      <c r="A3496" s="0" t="s">
        <v>993</v>
      </c>
      <c r="B3496" s="0" t="s">
        <v>98</v>
      </c>
      <c r="F3496" s="15" t="n">
        <f aca="false">capex_floor27-Sens!F3494-Sens!F3495-Sens!F3592</f>
        <v>138.140066594294</v>
      </c>
      <c r="L3496" s="12" t="s">
        <v>994</v>
      </c>
    </row>
    <row r="3497" customFormat="false" ht="17.15" hidden="false" customHeight="false" outlineLevel="0" collapsed="false">
      <c r="A3497" s="0" t="s">
        <v>995</v>
      </c>
      <c r="B3497" s="0" t="s">
        <v>98</v>
      </c>
      <c r="F3497" s="6" t="n">
        <f aca="false">MAX(0,Sens!F3496)</f>
        <v>138.140066594294</v>
      </c>
    </row>
    <row r="3498" customFormat="false" ht="17.15" hidden="false" customHeight="false" outlineLevel="0" collapsed="false">
      <c r="A3498" s="0" t="s">
        <v>996</v>
      </c>
      <c r="B3498" s="0" t="s">
        <v>98</v>
      </c>
      <c r="C3498" s="6" t="n">
        <f aca="false">Sens!C3494</f>
        <v>22.5333845916667</v>
      </c>
      <c r="D3498" s="6" t="n">
        <f aca="false">Sens!D3494</f>
        <v>34.0300093833333</v>
      </c>
      <c r="E3498" s="6" t="n">
        <f aca="false">Sens!E3494</f>
        <v>67.600153775</v>
      </c>
      <c r="F3498" s="6" t="n">
        <f aca="false">Sens!F3494</f>
        <v>24.048192624</v>
      </c>
      <c r="G3498" s="6" t="n">
        <f aca="false">Sens!G3494</f>
        <v>28.056139128</v>
      </c>
      <c r="H3498" s="6" t="n">
        <f aca="false">Sens!H3494</f>
        <v>0</v>
      </c>
      <c r="I3498" s="6" t="n">
        <f aca="false">Sens!I3494</f>
        <v>29.16074476</v>
      </c>
      <c r="J3498" s="6" t="n">
        <f aca="false">Sens!J3494</f>
        <v>44.03867576</v>
      </c>
      <c r="K3498" s="6" t="n">
        <f aca="false">Sens!K3494</f>
        <v>87.48223428</v>
      </c>
    </row>
    <row r="3499" customFormat="false" ht="17.15" hidden="false" customHeight="false" outlineLevel="0" collapsed="false">
      <c r="A3499" s="0" t="s">
        <v>997</v>
      </c>
      <c r="B3499" s="0" t="s">
        <v>98</v>
      </c>
      <c r="C3499" s="6" t="n">
        <f aca="false">Sens!C3498+Sens!C3495</f>
        <v>28.7416845916667</v>
      </c>
      <c r="D3499" s="6" t="n">
        <f aca="false">Sens!D3498+Sens!D3495</f>
        <v>43.4058093833333</v>
      </c>
      <c r="E3499" s="6" t="n">
        <f aca="false">Sens!E3498+Sens!E3495</f>
        <v>86.225053775</v>
      </c>
      <c r="F3499" s="6" t="n">
        <f aca="false">Sens!F3498+Sens!F3495</f>
        <v>29.673672624</v>
      </c>
      <c r="G3499" s="6" t="n">
        <f aca="false">Sens!G3498+Sens!G3495</f>
        <v>34.213759128</v>
      </c>
      <c r="H3499" s="6" t="n">
        <f aca="false">Sens!H3498+Sens!H3495</f>
        <v>0</v>
      </c>
      <c r="I3499" s="6" t="n">
        <f aca="false">Sens!I3498+Sens!I3495</f>
        <v>29.16074476</v>
      </c>
      <c r="J3499" s="6" t="n">
        <f aca="false">Sens!J3498+Sens!J3495</f>
        <v>44.03867576</v>
      </c>
      <c r="K3499" s="6" t="n">
        <f aca="false">Sens!K3498+Sens!K3495</f>
        <v>87.48223428</v>
      </c>
      <c r="L3499" s="12" t="s">
        <v>998</v>
      </c>
    </row>
    <row r="3500" customFormat="false" ht="17.15" hidden="false" customHeight="false" outlineLevel="0" collapsed="false">
      <c r="A3500" s="0" t="s">
        <v>999</v>
      </c>
      <c r="B3500" s="0" t="s">
        <v>98</v>
      </c>
      <c r="E3500" s="6" t="n">
        <f aca="false">(Sens!C3498*IF(2&lt;life_it,1,IF(2=life_it,0.5,0))+Sens!D3498*IF(1&lt;life_it,1,IF(1=life_it,0.5,0))+Sens!E3498*0.5)/life_it</f>
        <v>15.0605784770833</v>
      </c>
      <c r="F3500" s="6" t="n">
        <f aca="false">(Sens!C3498*IF(3&lt;life_it,1,IF(3=life_it,0.5,0))+Sens!D3498*IF(2&lt;life_it,1,IF(2=life_it,0.5,0))+Sens!E3498*IF(1&lt;life_it,1,IF(1=life_it,0.5,0))+Sens!F3498*0.5)/life_it</f>
        <v>22.697940677</v>
      </c>
      <c r="G3500" s="6" t="n">
        <f aca="false">(Sens!C3498*IF(4&lt;life_it,1,IF(4=life_it,0.5,0))+Sens!D3498*IF(3&lt;life_it,1,IF(3=life_it,0.5,0))+Sens!E3498*IF(2&lt;life_it,1,IF(2=life_it,0.5,0))+Sens!F3498*IF(1&lt;life_it,1,IF(1=life_it,0.5,0))+Sens!G3498*0.5)/life_it</f>
        <v>27.039968323</v>
      </c>
      <c r="H3500" s="6" t="n">
        <f aca="false">(Sens!C3498*IF(5&lt;life_it,1,IF(5=life_it,0.5,0))+Sens!D3498*IF(4&lt;life_it,1,IF(4=life_it,0.5,0))+Sens!E3498*IF(3&lt;life_it,1,IF(3=life_it,0.5,0))+Sens!F3498*IF(2&lt;life_it,1,IF(2=life_it,0.5,0))+Sens!G3498*IF(1&lt;life_it,1,IF(1=life_it,0.5,0))+Sens!H3498*0.5)/life_it</f>
        <v>29.377979917</v>
      </c>
      <c r="I3500" s="6" t="n">
        <f aca="false">(Sens!C3498*IF(6&lt;life_it,1,IF(6=life_it,0.5,0))+Sens!D3498*IF(5&lt;life_it,1,IF(5=life_it,0.5,0))+Sens!E3498*IF(4&lt;life_it,1,IF(4=life_it,0.5,0))+Sens!F3498*IF(3&lt;life_it,1,IF(3=life_it,0.5,0))+Sens!G3498*IF(2&lt;life_it,1,IF(2=life_it,0.5,0))+Sens!H3498*IF(1&lt;life_it,1,IF(1=life_it,0.5,0))+Sens!I3498*0.5)/life_it</f>
        <v>29.9302599310278</v>
      </c>
      <c r="J3500" s="6" t="n">
        <f aca="false">(Sens!C3498*IF(7&lt;life_it,1,IF(7=life_it,0.5,0))+Sens!D3498*IF(6&lt;life_it,1,IF(6=life_it,0.5,0))+Sens!E3498*IF(5&lt;life_it,1,IF(5=life_it,0.5,0))+Sens!F3498*IF(4&lt;life_it,1,IF(4=life_it,0.5,0))+Sens!G3498*IF(3&lt;life_it,1,IF(3=life_it,0.5,0))+Sens!H3498*IF(2&lt;life_it,1,IF(2=life_it,0.5,0))+Sens!I3498*IF(1&lt;life_it,1,IF(1=life_it,0.5,0))+Sens!J3498*0.5)/life_it</f>
        <v>31.3165954764444</v>
      </c>
      <c r="K3500" s="6" t="n">
        <f aca="false">(Sens!C3498*IF(8&lt;life_it,1,IF(8=life_it,0.5,0))+Sens!D3498*IF(7&lt;life_it,1,IF(7=life_it,0.5,0))+Sens!E3498*IF(6&lt;life_it,1,IF(6=life_it,0.5,0))+Sens!F3498*IF(5&lt;life_it,1,IF(5=life_it,0.5,0))+Sens!G3498*IF(4&lt;life_it,1,IF(4=life_it,0.5,0))+Sens!H3498*IF(3&lt;life_it,1,IF(3=life_it,0.5,0))+Sens!I3498*IF(2&lt;life_it,1,IF(2=life_it,0.5,0))+Sens!J3498*IF(1&lt;life_it,1,IF(1=life_it,0.5,0))+Sens!K3498*0.5)/life_it</f>
        <v>33.8074910499167</v>
      </c>
    </row>
    <row r="3501" customFormat="false" ht="17.15" hidden="false" customHeight="false" outlineLevel="0" collapsed="false">
      <c r="A3501" s="0" t="s">
        <v>1000</v>
      </c>
      <c r="B3501" s="0" t="s">
        <v>98</v>
      </c>
      <c r="E3501" s="6" t="n">
        <f aca="false">(Sens!C3495*IF(2&lt;life_fac,1,IF(2=life_fac,0.5,0))+Sens!D3495*IF(1&lt;life_fac,1,IF(1=life_fac,0.5,0))+Sens!E3495*0.5)/life_fac</f>
        <v>1.2448275</v>
      </c>
      <c r="F3501" s="6" t="n">
        <f aca="false">(Sens!C3495*IF(3&lt;life_fac,1,IF(3=life_fac,0.5,0))+Sens!D3495*IF(2&lt;life_fac,1,IF(2=life_fac,0.5,0))+Sens!E3495*IF(1&lt;life_fac,1,IF(1=life_fac,0.5,0))+Sens!F3495*0.5)/life_fac</f>
        <v>1.851087</v>
      </c>
      <c r="G3501" s="6" t="n">
        <f aca="false">(Sens!C3495*IF(4&lt;life_fac,1,IF(4=life_fac,0.5,0))+Sens!D3495*IF(3&lt;life_fac,1,IF(3=life_fac,0.5,0))+Sens!E3495*IF(2&lt;life_fac,1,IF(2=life_fac,0.5,0))+Sens!F3495*IF(1&lt;life_fac,1,IF(1=life_fac,0.5,0))+Sens!G3495*0.5)/life_fac</f>
        <v>2.1456645</v>
      </c>
      <c r="H3501" s="6" t="n">
        <f aca="false">(Sens!C3495*IF(5&lt;life_fac,1,IF(5=life_fac,0.5,0))+Sens!D3495*IF(4&lt;life_fac,1,IF(4=life_fac,0.5,0))+Sens!E3495*IF(3&lt;life_fac,1,IF(3=life_fac,0.5,0))+Sens!F3495*IF(2&lt;life_fac,1,IF(2=life_fac,0.5,0))+Sens!G3495*IF(1&lt;life_fac,1,IF(1=life_fac,0.5,0))+Sens!H3495*0.5)/life_fac</f>
        <v>2.299605</v>
      </c>
      <c r="I3501" s="6" t="n">
        <f aca="false">(Sens!C3495*IF(6&lt;life_fac,1,IF(6=life_fac,0.5,0))+Sens!D3495*IF(5&lt;life_fac,1,IF(5=life_fac,0.5,0))+Sens!E3495*IF(4&lt;life_fac,1,IF(4=life_fac,0.5,0))+Sens!F3495*IF(3&lt;life_fac,1,IF(3=life_fac,0.5,0))+Sens!G3495*IF(2&lt;life_fac,1,IF(2=life_fac,0.5,0))+Sens!H3495*IF(1&lt;life_fac,1,IF(1=life_fac,0.5,0))+Sens!I3495*0.5)/life_fac</f>
        <v>2.299605</v>
      </c>
      <c r="J3501" s="6" t="n">
        <f aca="false">(Sens!C3495*IF(7&lt;life_fac,1,IF(7=life_fac,0.5,0))+Sens!D3495*IF(6&lt;life_fac,1,IF(6=life_fac,0.5,0))+Sens!E3495*IF(5&lt;life_fac,1,IF(5=life_fac,0.5,0))+Sens!F3495*IF(4&lt;life_fac,1,IF(4=life_fac,0.5,0))+Sens!G3495*IF(3&lt;life_fac,1,IF(3=life_fac,0.5,0))+Sens!H3495*IF(2&lt;life_fac,1,IF(2=life_fac,0.5,0))+Sens!I3495*IF(1&lt;life_fac,1,IF(1=life_fac,0.5,0))+Sens!J3495*0.5)/life_fac</f>
        <v>2.299605</v>
      </c>
      <c r="K3501" s="6" t="n">
        <f aca="false">(Sens!C3495*IF(8&lt;life_fac,1,IF(8=life_fac,0.5,0))+Sens!D3495*IF(7&lt;life_fac,1,IF(7=life_fac,0.5,0))+Sens!E3495*IF(6&lt;life_fac,1,IF(6=life_fac,0.5,0))+Sens!F3495*IF(5&lt;life_fac,1,IF(5=life_fac,0.5,0))+Sens!G3495*IF(4&lt;life_fac,1,IF(4=life_fac,0.5,0))+Sens!H3495*IF(3&lt;life_fac,1,IF(3=life_fac,0.5,0))+Sens!I3495*IF(2&lt;life_fac,1,IF(2=life_fac,0.5,0))+Sens!J3495*IF(1&lt;life_fac,1,IF(1=life_fac,0.5,0))+Sens!K3495*0.5)/life_fac</f>
        <v>2.299605</v>
      </c>
    </row>
    <row r="3502" customFormat="false" ht="17.15" hidden="false" customHeight="false" outlineLevel="0" collapsed="false">
      <c r="A3502" s="0" t="s">
        <v>1001</v>
      </c>
      <c r="B3502" s="0" t="s">
        <v>98</v>
      </c>
      <c r="E3502" s="6" t="n">
        <f aca="false">Sens!E3500+Sens!E3501</f>
        <v>16.3054059770833</v>
      </c>
      <c r="F3502" s="6" t="n">
        <f aca="false">Sens!F3500+Sens!F3501</f>
        <v>24.549027677</v>
      </c>
      <c r="G3502" s="6" t="n">
        <f aca="false">Sens!G3500+Sens!G3501</f>
        <v>29.185632823</v>
      </c>
      <c r="H3502" s="6" t="n">
        <f aca="false">Sens!H3500+Sens!H3501</f>
        <v>31.677584917</v>
      </c>
      <c r="I3502" s="6" t="n">
        <f aca="false">Sens!I3500+Sens!I3501</f>
        <v>32.2298649310278</v>
      </c>
      <c r="J3502" s="6" t="n">
        <f aca="false">Sens!J3500+Sens!J3501</f>
        <v>33.6162004764444</v>
      </c>
      <c r="K3502" s="6" t="n">
        <f aca="false">Sens!K3500+Sens!K3501</f>
        <v>36.1070960499167</v>
      </c>
    </row>
    <row r="3503" customFormat="false" ht="17.15" hidden="false" customHeight="false" outlineLevel="0" collapsed="false">
      <c r="A3503" s="0" t="s">
        <v>1002</v>
      </c>
      <c r="B3503" s="0" t="s">
        <v>98</v>
      </c>
      <c r="E3503" s="6" t="n">
        <f aca="false">Sens!E3490-Sens!E3489*Sens!E3502</f>
        <v>8.92707889977379</v>
      </c>
      <c r="F3503" s="6" t="n">
        <f aca="false">Sens!F3490-Sens!F3489*Sens!F3502</f>
        <v>10.3715414522451</v>
      </c>
      <c r="G3503" s="6" t="n">
        <f aca="false">Sens!G3490-Sens!G3489*Sens!G3502</f>
        <v>8.34730733165337</v>
      </c>
      <c r="H3503" s="6" t="n">
        <f aca="false">Sens!H3490-Sens!H3489*Sens!H3502</f>
        <v>4.50816651291358</v>
      </c>
      <c r="I3503" s="6" t="n">
        <f aca="false">Sens!I3490-Sens!I3489*Sens!I3502</f>
        <v>4.94494666123597</v>
      </c>
      <c r="J3503" s="6" t="n">
        <f aca="false">Sens!J3490-Sens!J3489*Sens!J3502</f>
        <v>5.27320581559189</v>
      </c>
      <c r="K3503" s="6" t="n">
        <f aca="false">Sens!K3490-Sens!K3489*Sens!K3502</f>
        <v>6.08311294172574</v>
      </c>
    </row>
    <row r="3504" customFormat="false" ht="17.15" hidden="false" customHeight="false" outlineLevel="0" collapsed="false">
      <c r="A3504" s="3" t="s">
        <v>1566</v>
      </c>
    </row>
    <row r="3505" customFormat="false" ht="15" hidden="false" customHeight="false" outlineLevel="0" collapsed="false">
      <c r="A3505" s="4" t="s">
        <v>43</v>
      </c>
      <c r="B3505" s="4" t="s">
        <v>65</v>
      </c>
      <c r="C3505" s="23" t="s">
        <v>938</v>
      </c>
      <c r="D3505" s="23" t="s">
        <v>939</v>
      </c>
      <c r="E3505" s="23" t="s">
        <v>940</v>
      </c>
      <c r="F3505" s="23" t="s">
        <v>941</v>
      </c>
      <c r="G3505" s="23" t="s">
        <v>942</v>
      </c>
      <c r="H3505" s="23" t="s">
        <v>943</v>
      </c>
      <c r="I3505" s="23" t="s">
        <v>944</v>
      </c>
      <c r="J3505" s="23" t="s">
        <v>945</v>
      </c>
      <c r="K3505" s="23" t="s">
        <v>946</v>
      </c>
      <c r="L3505" s="4" t="s">
        <v>47</v>
      </c>
    </row>
    <row r="3506" customFormat="false" ht="17.15" hidden="false" customHeight="false" outlineLevel="0" collapsed="false">
      <c r="A3506" s="0" t="s">
        <v>1021</v>
      </c>
      <c r="B3506" s="0" t="s">
        <v>98</v>
      </c>
      <c r="D3506" s="6" t="n">
        <f aca="false">Sens!D3484</f>
        <v>12.9359794422418</v>
      </c>
      <c r="E3506" s="6" t="n">
        <f aca="false">Sens!E3484</f>
        <v>27.8095064661409</v>
      </c>
      <c r="F3506" s="6" t="n">
        <f aca="false">Sens!F3484</f>
        <v>38.2259783649916</v>
      </c>
      <c r="G3506" s="6" t="n">
        <f aca="false">Sens!G3484</f>
        <v>41.1248620805705</v>
      </c>
      <c r="H3506" s="6" t="n">
        <f aca="false">Sens!H3484</f>
        <v>39.3939767870212</v>
      </c>
      <c r="I3506" s="6" t="n">
        <f aca="false">Sens!I3484</f>
        <v>40.2461266001841</v>
      </c>
      <c r="J3506" s="6" t="n">
        <f aca="false">Sens!J3484</f>
        <v>41.5330467261851</v>
      </c>
      <c r="K3506" s="6" t="n">
        <f aca="false">Sens!K3484</f>
        <v>44.0894961656736</v>
      </c>
    </row>
    <row r="3507" customFormat="false" ht="17.15" hidden="false" customHeight="false" outlineLevel="0" collapsed="false">
      <c r="A3507" s="0" t="s">
        <v>1022</v>
      </c>
      <c r="B3507" s="0" t="s">
        <v>98</v>
      </c>
      <c r="D3507" s="6" t="n">
        <f aca="false">Q!L6-Sens!D3506</f>
        <v>59.6740205577583</v>
      </c>
      <c r="E3507" s="6" t="n">
        <f aca="false">Q!M6-Sens!E3506</f>
        <v>74.1284935338591</v>
      </c>
      <c r="F3507" s="6" t="n">
        <f aca="false">Q!$I$6+(Sens!F3506+Sens!E3507*(1+Sens!F3508))*(1-Q!$E$6/Q!M6)-Sens!F3506</f>
        <v>95.0709626604845</v>
      </c>
      <c r="G3507" s="6" t="n">
        <f aca="false">Sens!F3507*(1+Sens!G3508)</f>
        <v>112.958493491404</v>
      </c>
      <c r="H3507" s="6" t="n">
        <f aca="false">Sens!G3507*(1+Sens!H3508)</f>
        <v>131.157455688971</v>
      </c>
      <c r="I3507" s="6" t="n">
        <f aca="false">Sens!H3507*(1+Sens!I3508)</f>
        <v>148.74234272792</v>
      </c>
      <c r="J3507" s="6" t="n">
        <f aca="false">Sens!I3507*(1+Sens!J3508)</f>
        <v>164.663323547782</v>
      </c>
      <c r="K3507" s="6" t="n">
        <f aca="false">Sens!J3507*(1+Sens!K3508)</f>
        <v>177.836389431605</v>
      </c>
      <c r="L3507" s="12" t="s">
        <v>1023</v>
      </c>
    </row>
    <row r="3508" customFormat="false" ht="15" hidden="false" customHeight="false" outlineLevel="0" collapsed="false">
      <c r="A3508" s="1" t="s">
        <v>1024</v>
      </c>
      <c r="B3508" s="0" t="s">
        <v>168</v>
      </c>
      <c r="E3508" s="7" t="n">
        <f aca="false">Sens!E3507/Sens!D3507-1</f>
        <v>0.242223883039864</v>
      </c>
      <c r="F3508" s="7" t="n">
        <f aca="false">Sens!$E$3508+(glt_azo-Sens!$E$3508)*MIN(1,(Sens!F3465-base_fy)/n_conv)</f>
        <v>0.215186569199887</v>
      </c>
      <c r="G3508" s="7" t="n">
        <f aca="false">Sens!$E$3508+(glt_azo-Sens!$E$3508)*MIN(1,(Sens!G3465-base_fy)/n_conv)</f>
        <v>0.18814925535991</v>
      </c>
      <c r="H3508" s="7" t="n">
        <f aca="false">Sens!$E$3508+(glt_azo-Sens!$E$3508)*MIN(1,(Sens!H3465-base_fy)/n_conv)</f>
        <v>0.161111941519932</v>
      </c>
      <c r="I3508" s="7" t="n">
        <f aca="false">Sens!$E$3508+(glt_azo-Sens!$E$3508)*MIN(1,(Sens!I3465-base_fy)/n_conv)</f>
        <v>0.134074627679955</v>
      </c>
      <c r="J3508" s="7" t="n">
        <f aca="false">Sens!$E$3508+(glt_azo-Sens!$E$3508)*MIN(1,(Sens!J3465-base_fy)/n_conv)</f>
        <v>0.107037313839977</v>
      </c>
      <c r="K3508" s="7" t="n">
        <f aca="false">Sens!$E$3508+(glt_azo-Sens!$E$3508)*MIN(1,(Sens!K3465-base_fy)/n_conv)</f>
        <v>0.08</v>
      </c>
    </row>
    <row r="3509" customFormat="false" ht="15" hidden="false" customHeight="false" outlineLevel="0" collapsed="false">
      <c r="A3509" s="0" t="s">
        <v>1025</v>
      </c>
      <c r="B3509" s="0" t="s">
        <v>98</v>
      </c>
      <c r="D3509" s="6" t="n">
        <f aca="false">Sens!D3506+Sens!D3507</f>
        <v>72.61</v>
      </c>
      <c r="E3509" s="6" t="n">
        <f aca="false">Sens!E3506+Sens!E3507</f>
        <v>101.938</v>
      </c>
      <c r="F3509" s="6" t="n">
        <f aca="false">Sens!F3506+Sens!F3507</f>
        <v>133.296941025476</v>
      </c>
      <c r="G3509" s="6" t="n">
        <f aca="false">Sens!G3506+Sens!G3507</f>
        <v>154.083355571975</v>
      </c>
      <c r="H3509" s="6" t="n">
        <f aca="false">Sens!H3506+Sens!H3507</f>
        <v>170.551432475992</v>
      </c>
      <c r="I3509" s="6" t="n">
        <f aca="false">Sens!I3506+Sens!I3507</f>
        <v>188.988469328104</v>
      </c>
      <c r="J3509" s="6" t="n">
        <f aca="false">Sens!J3506+Sens!J3507</f>
        <v>206.196370273967</v>
      </c>
      <c r="K3509" s="6" t="n">
        <f aca="false">Sens!K3506+Sens!K3507</f>
        <v>221.925885597278</v>
      </c>
    </row>
    <row r="3510" customFormat="false" ht="17.15" hidden="false" customHeight="false" outlineLevel="0" collapsed="false">
      <c r="A3510" s="0" t="s">
        <v>1026</v>
      </c>
      <c r="B3510" s="1" t="s">
        <v>610</v>
      </c>
      <c r="C3510" s="30" t="n">
        <f aca="false">cop_s24</f>
        <v>1</v>
      </c>
      <c r="D3510" s="30" t="n">
        <f aca="false">cop_s25</f>
        <v>5</v>
      </c>
      <c r="E3510" s="30" t="n">
        <f aca="false">cop_s26</f>
        <v>30</v>
      </c>
      <c r="F3510" s="30" t="n">
        <f aca="false">Sens!E3510+cop_add_C</f>
        <v>40</v>
      </c>
      <c r="G3510" s="30" t="n">
        <f aca="false">Sens!F3510+cop_add_C</f>
        <v>50</v>
      </c>
      <c r="H3510" s="30" t="n">
        <f aca="false">Sens!G3510+cop_add_C</f>
        <v>60</v>
      </c>
      <c r="I3510" s="30" t="n">
        <f aca="false">Sens!H3510+cop_add_C*cop_tail</f>
        <v>65</v>
      </c>
      <c r="J3510" s="30" t="n">
        <f aca="false">Sens!I3510+cop_add_C*cop_tail</f>
        <v>70</v>
      </c>
      <c r="K3510" s="30" t="n">
        <f aca="false">Sens!J3510+cop_add_C*cop_tail</f>
        <v>75</v>
      </c>
      <c r="L3510" s="12" t="s">
        <v>1027</v>
      </c>
    </row>
    <row r="3511" customFormat="false" ht="17.15" hidden="false" customHeight="false" outlineLevel="0" collapsed="false">
      <c r="A3511" s="0" t="s">
        <v>1028</v>
      </c>
      <c r="B3511" s="0" t="s">
        <v>98</v>
      </c>
      <c r="D3511" s="6" t="n">
        <f aca="false">(Sens!C3510+Sens!D3510)/2*cop_px*12/1000</f>
        <v>0.9</v>
      </c>
      <c r="E3511" s="6" t="n">
        <f aca="false">(Sens!D3510+Sens!E3510)/2*cop_px*12/1000</f>
        <v>5.25</v>
      </c>
      <c r="F3511" s="6" t="n">
        <f aca="false">(Sens!E3510+Sens!F3510)/2*cop_px*12/1000</f>
        <v>10.5</v>
      </c>
      <c r="G3511" s="6" t="n">
        <f aca="false">(Sens!F3510+Sens!G3510)/2*cop_px*12/1000</f>
        <v>13.5</v>
      </c>
      <c r="H3511" s="6" t="n">
        <f aca="false">(Sens!G3510+Sens!H3510)/2*cop_px*12/1000</f>
        <v>16.5</v>
      </c>
      <c r="I3511" s="6" t="n">
        <f aca="false">(Sens!H3510+Sens!I3510)/2*cop_px*12/1000</f>
        <v>18.75</v>
      </c>
      <c r="J3511" s="6" t="n">
        <f aca="false">(Sens!I3510+Sens!J3510)/2*cop_px*12/1000</f>
        <v>20.25</v>
      </c>
      <c r="K3511" s="6" t="n">
        <f aca="false">(Sens!J3510+Sens!K3510)/2*cop_px*12/1000</f>
        <v>21.75</v>
      </c>
      <c r="L3511" s="1" t="s">
        <v>1029</v>
      </c>
    </row>
    <row r="3512" customFormat="false" ht="17.15" hidden="false" customHeight="false" outlineLevel="0" collapsed="false">
      <c r="A3512" s="0" t="s">
        <v>1030</v>
      </c>
      <c r="B3512" s="0" t="s">
        <v>98</v>
      </c>
      <c r="D3512" s="6" t="n">
        <f aca="false">Q!L7-Sens!D3511</f>
        <v>83.705</v>
      </c>
      <c r="E3512" s="6" t="n">
        <f aca="false">Q!M7-Sens!E3511</f>
        <v>95.049</v>
      </c>
      <c r="F3512" s="6" t="n">
        <f aca="false">Q!$I$7+(Sens!E3512*(1+Sens!F3513)+Sens!F3511)*(1-Q!$E$7/Q!M7)-Sens!F3511</f>
        <v>106.938354189776</v>
      </c>
      <c r="G3512" s="6" t="n">
        <f aca="false">Sens!F3512*(1+Sens!G3513)</f>
        <v>119.095360443801</v>
      </c>
      <c r="H3512" s="6" t="n">
        <f aca="false">Sens!G3512*(1+Sens!H3513)</f>
        <v>131.333811964563</v>
      </c>
      <c r="I3512" s="6" t="n">
        <f aca="false">Sens!H3512*(1+Sens!I3513)</f>
        <v>143.395665319381</v>
      </c>
      <c r="J3512" s="6" t="n">
        <f aca="false">Sens!I3512*(1+Sens!J3513)</f>
        <v>154.999327755573</v>
      </c>
      <c r="K3512" s="6" t="n">
        <f aca="false">Sens!J3512*(1+Sens!K3513)</f>
        <v>165.849280698463</v>
      </c>
      <c r="L3512" s="12" t="s">
        <v>1031</v>
      </c>
    </row>
    <row r="3513" customFormat="false" ht="15" hidden="false" customHeight="false" outlineLevel="0" collapsed="false">
      <c r="A3513" s="1" t="s">
        <v>1024</v>
      </c>
      <c r="B3513" s="0" t="s">
        <v>168</v>
      </c>
      <c r="E3513" s="7" t="n">
        <f aca="false">Sens!E3512/Sens!D3512-1</f>
        <v>0.135523564900544</v>
      </c>
      <c r="F3513" s="7" t="n">
        <f aca="false">Sens!$E$3513+(glt_m365b-Sens!$E$3513)*MIN(1,(Sens!F3465-base_fy)/n_conv)</f>
        <v>0.124602970750453</v>
      </c>
      <c r="G3513" s="7" t="n">
        <f aca="false">Sens!$E$3513+(glt_m365b-Sens!$E$3513)*MIN(1,(Sens!G3465-base_fy)/n_conv)</f>
        <v>0.113682376600363</v>
      </c>
      <c r="H3513" s="7" t="n">
        <f aca="false">Sens!$E$3513+(glt_m365b-Sens!$E$3513)*MIN(1,(Sens!H3465-base_fy)/n_conv)</f>
        <v>0.102761782450272</v>
      </c>
      <c r="I3513" s="7" t="n">
        <f aca="false">Sens!$E$3513+(glt_m365b-Sens!$E$3513)*MIN(1,(Sens!I3465-base_fy)/n_conv)</f>
        <v>0.0918411883001813</v>
      </c>
      <c r="J3513" s="7" t="n">
        <f aca="false">Sens!$E$3513+(glt_m365b-Sens!$E$3513)*MIN(1,(Sens!J3465-base_fy)/n_conv)</f>
        <v>0.0809205941500906</v>
      </c>
      <c r="K3513" s="7" t="n">
        <f aca="false">Sens!$E$3513+(glt_m365b-Sens!$E$3513)*MIN(1,(Sens!K3465-base_fy)/n_conv)</f>
        <v>0.07</v>
      </c>
    </row>
    <row r="3514" customFormat="false" ht="15" hidden="false" customHeight="false" outlineLevel="0" collapsed="false">
      <c r="A3514" s="0" t="s">
        <v>1032</v>
      </c>
      <c r="B3514" s="0" t="s">
        <v>98</v>
      </c>
      <c r="D3514" s="6" t="n">
        <f aca="false">Sens!D3512+Sens!D3511</f>
        <v>84.605</v>
      </c>
      <c r="E3514" s="6" t="n">
        <f aca="false">Sens!E3512+Sens!E3511</f>
        <v>100.299</v>
      </c>
      <c r="F3514" s="6" t="n">
        <f aca="false">Sens!F3512+Sens!F3511</f>
        <v>117.438354189776</v>
      </c>
      <c r="G3514" s="6" t="n">
        <f aca="false">Sens!G3512+Sens!G3511</f>
        <v>132.595360443801</v>
      </c>
      <c r="H3514" s="6" t="n">
        <f aca="false">Sens!H3512+Sens!H3511</f>
        <v>147.833811964563</v>
      </c>
      <c r="I3514" s="6" t="n">
        <f aca="false">Sens!I3512+Sens!I3511</f>
        <v>162.145665319381</v>
      </c>
      <c r="J3514" s="6" t="n">
        <f aca="false">Sens!J3512+Sens!J3511</f>
        <v>175.249327755573</v>
      </c>
      <c r="K3514" s="6" t="n">
        <f aca="false">Sens!K3512+Sens!K3511</f>
        <v>187.599280698463</v>
      </c>
    </row>
    <row r="3515" customFormat="false" ht="17.15" hidden="false" customHeight="false" outlineLevel="0" collapsed="false">
      <c r="A3515" s="0" t="s">
        <v>1033</v>
      </c>
      <c r="B3515" s="0" t="s">
        <v>98</v>
      </c>
      <c r="D3515" s="6" t="n">
        <f aca="false">Q!L8</f>
        <v>35.391</v>
      </c>
      <c r="E3515" s="6" t="n">
        <f aca="false">Q!M8</f>
        <v>37.285</v>
      </c>
      <c r="F3515" s="6" t="n">
        <f aca="false">Q!$I$8+(Q!M8-Q!$E$8)*(1+Sens!F3516)</f>
        <v>38.3851437782675</v>
      </c>
      <c r="G3515" s="6" t="n">
        <f aca="false">Sens!F3515*(1+Sens!G3516)</f>
        <v>40.0105353288615</v>
      </c>
      <c r="H3515" s="6" t="n">
        <f aca="false">Sens!G3515*(1+Sens!H3516)</f>
        <v>41.4812512033683</v>
      </c>
      <c r="I3515" s="6" t="n">
        <f aca="false">Sens!H3515*(1+Sens!I3516)</f>
        <v>42.7743107216329</v>
      </c>
      <c r="J3515" s="6" t="n">
        <f aca="false">Sens!I3515*(1+Sens!J3516)</f>
        <v>43.8687373064601</v>
      </c>
      <c r="K3515" s="6" t="n">
        <f aca="false">Sens!J3515*(1+Sens!K3516)</f>
        <v>44.7461120525893</v>
      </c>
      <c r="L3515" s="12" t="s">
        <v>1034</v>
      </c>
    </row>
    <row r="3516" customFormat="false" ht="15" hidden="false" customHeight="false" outlineLevel="0" collapsed="false">
      <c r="A3516" s="1" t="s">
        <v>1024</v>
      </c>
      <c r="B3516" s="0" t="s">
        <v>168</v>
      </c>
      <c r="E3516" s="7" t="n">
        <f aca="false">Sens!E3515/Sens!D3515-1</f>
        <v>0.0535164307309768</v>
      </c>
      <c r="F3516" s="7" t="n">
        <f aca="false">Sens!$E$3516+(glt_lic-Sens!$E$3516)*MIN(1,(Sens!F3465-base_fy)/n_conv)</f>
        <v>0.0479303589424807</v>
      </c>
      <c r="G3516" s="7" t="n">
        <f aca="false">Sens!$E$3516+(glt_lic-Sens!$E$3516)*MIN(1,(Sens!G3465-base_fy)/n_conv)</f>
        <v>0.0423442871539845</v>
      </c>
      <c r="H3516" s="7" t="n">
        <f aca="false">Sens!$E$3516+(glt_lic-Sens!$E$3516)*MIN(1,(Sens!H3465-base_fy)/n_conv)</f>
        <v>0.0367582153654884</v>
      </c>
      <c r="I3516" s="7" t="n">
        <f aca="false">Sens!$E$3516+(glt_lic-Sens!$E$3516)*MIN(1,(Sens!I3465-base_fy)/n_conv)</f>
        <v>0.0311721435769923</v>
      </c>
      <c r="J3516" s="7" t="n">
        <f aca="false">Sens!$E$3516+(glt_lic-Sens!$E$3516)*MIN(1,(Sens!J3465-base_fy)/n_conv)</f>
        <v>0.0255860717884961</v>
      </c>
      <c r="K3516" s="7" t="n">
        <f aca="false">Sens!$E$3516+(glt_lic-Sens!$E$3516)*MIN(1,(Sens!K3465-base_fy)/n_conv)</f>
        <v>0.02</v>
      </c>
    </row>
    <row r="3517" customFormat="false" ht="17.15" hidden="false" customHeight="false" outlineLevel="0" collapsed="false">
      <c r="A3517" s="0" t="s">
        <v>1035</v>
      </c>
      <c r="B3517" s="0" t="s">
        <v>98</v>
      </c>
      <c r="D3517" s="6" t="n">
        <f aca="false">Q!L9</f>
        <v>18.417</v>
      </c>
      <c r="E3517" s="6" t="n">
        <f aca="false">Q!M9</f>
        <v>20.345</v>
      </c>
      <c r="F3517" s="6" t="n">
        <f aca="false">Q!$I$9+(Q!M9-Q!$E$9)*(1+Sens!F3518)</f>
        <v>22.3161797133988</v>
      </c>
      <c r="G3517" s="6" t="n">
        <f aca="false">Sens!F3517*(1+Sens!G3518)</f>
        <v>24.3943499673233</v>
      </c>
      <c r="H3517" s="6" t="n">
        <f aca="false">Sens!G3517*(1+Sens!H3518)</f>
        <v>26.5250243109019</v>
      </c>
      <c r="I3517" s="6" t="n">
        <f aca="false">Sens!H3517*(1+Sens!I3518)</f>
        <v>28.6884573538181</v>
      </c>
      <c r="J3517" s="6" t="n">
        <f aca="false">Sens!I3517*(1+Sens!J3518)</f>
        <v>30.8624968052127</v>
      </c>
      <c r="K3517" s="6" t="n">
        <f aca="false">Sens!J3517*(1+Sens!K3518)</f>
        <v>33.0228715815776</v>
      </c>
      <c r="L3517" s="12" t="s">
        <v>1034</v>
      </c>
    </row>
    <row r="3518" customFormat="false" ht="15" hidden="false" customHeight="false" outlineLevel="0" collapsed="false">
      <c r="A3518" s="1" t="s">
        <v>1024</v>
      </c>
      <c r="B3518" s="0" t="s">
        <v>168</v>
      </c>
      <c r="E3518" s="7" t="n">
        <f aca="false">Sens!E3517/Sens!D3517-1</f>
        <v>0.104685888038225</v>
      </c>
      <c r="F3518" s="7" t="n">
        <f aca="false">Sens!$E$3518+(glt_ind-Sens!$E$3518)*MIN(1,(Sens!F3465-base_fy)/n_conv)</f>
        <v>0.0989049066985211</v>
      </c>
      <c r="G3518" s="7" t="n">
        <f aca="false">Sens!$E$3518+(glt_ind-Sens!$E$3518)*MIN(1,(Sens!G3465-base_fy)/n_conv)</f>
        <v>0.0931239253588169</v>
      </c>
      <c r="H3518" s="7" t="n">
        <f aca="false">Sens!$E$3518+(glt_ind-Sens!$E$3518)*MIN(1,(Sens!H3465-base_fy)/n_conv)</f>
        <v>0.0873429440191127</v>
      </c>
      <c r="I3518" s="7" t="n">
        <f aca="false">Sens!$E$3518+(glt_ind-Sens!$E$3518)*MIN(1,(Sens!I3465-base_fy)/n_conv)</f>
        <v>0.0815619626794085</v>
      </c>
      <c r="J3518" s="7" t="n">
        <f aca="false">Sens!$E$3518+(glt_ind-Sens!$E$3518)*MIN(1,(Sens!J3465-base_fy)/n_conv)</f>
        <v>0.0757809813397042</v>
      </c>
      <c r="K3518" s="7" t="n">
        <f aca="false">Sens!$E$3518+(glt_ind-Sens!$E$3518)*MIN(1,(Sens!K3465-base_fy)/n_conv)</f>
        <v>0.07</v>
      </c>
    </row>
    <row r="3519" customFormat="false" ht="17.15" hidden="false" customHeight="false" outlineLevel="0" collapsed="false">
      <c r="A3519" s="0" t="s">
        <v>1036</v>
      </c>
      <c r="B3519" s="0" t="s">
        <v>98</v>
      </c>
      <c r="D3519" s="6" t="n">
        <f aca="false">Q!L10</f>
        <v>7.76</v>
      </c>
      <c r="E3519" s="6" t="n">
        <f aca="false">Q!M10</f>
        <v>8.26</v>
      </c>
      <c r="F3519" s="6" t="n">
        <f aca="false">Q!$I$10+(Q!M10-Q!$E$10)*(1+Sens!F3520)</f>
        <v>8.75372082474227</v>
      </c>
      <c r="G3519" s="6" t="n">
        <f aca="false">Sens!F3519*(1+Sens!G3520)</f>
        <v>9.33399324642364</v>
      </c>
      <c r="H3519" s="6" t="n">
        <f aca="false">Sens!G3519*(1+Sens!H3520)</f>
        <v>9.96139155535851</v>
      </c>
      <c r="I3519" s="6" t="n">
        <f aca="false">Sens!H3519*(1+Sens!I3520)</f>
        <v>10.6402039077391</v>
      </c>
      <c r="J3519" s="6" t="n">
        <f aca="false">Sens!I3519*(1+Sens!J3520)</f>
        <v>11.3751458271397</v>
      </c>
      <c r="K3519" s="6" t="n">
        <f aca="false">Sens!J3519*(1+Sens!K3520)</f>
        <v>12.1714060350394</v>
      </c>
      <c r="L3519" s="12" t="s">
        <v>1034</v>
      </c>
    </row>
    <row r="3520" customFormat="false" ht="15" hidden="false" customHeight="false" outlineLevel="0" collapsed="false">
      <c r="A3520" s="1" t="s">
        <v>1024</v>
      </c>
      <c r="B3520" s="0" t="s">
        <v>168</v>
      </c>
      <c r="E3520" s="7" t="n">
        <f aca="false">Sens!E3519/Sens!D3519-1</f>
        <v>0.0644329896907216</v>
      </c>
      <c r="F3520" s="7" t="n">
        <f aca="false">Sens!$E$3520+(glt_fro-Sens!$E$3520)*MIN(1,(Sens!F3465-base_fy)/n_conv)</f>
        <v>0.065360824742268</v>
      </c>
      <c r="G3520" s="7" t="n">
        <f aca="false">Sens!$E$3520+(glt_fro-Sens!$E$3520)*MIN(1,(Sens!G3465-base_fy)/n_conv)</f>
        <v>0.0662886597938144</v>
      </c>
      <c r="H3520" s="7" t="n">
        <f aca="false">Sens!$E$3520+(glt_fro-Sens!$E$3520)*MIN(1,(Sens!H3465-base_fy)/n_conv)</f>
        <v>0.0672164948453608</v>
      </c>
      <c r="I3520" s="7" t="n">
        <f aca="false">Sens!$E$3520+(glt_fro-Sens!$E$3520)*MIN(1,(Sens!I3465-base_fy)/n_conv)</f>
        <v>0.0681443298969072</v>
      </c>
      <c r="J3520" s="7" t="n">
        <f aca="false">Sens!$E$3520+(glt_fro-Sens!$E$3520)*MIN(1,(Sens!J3465-base_fy)/n_conv)</f>
        <v>0.0690721649484536</v>
      </c>
      <c r="K3520" s="7" t="n">
        <f aca="false">Sens!$E$3520+(glt_fro-Sens!$E$3520)*MIN(1,(Sens!K3465-base_fy)/n_conv)</f>
        <v>0.07</v>
      </c>
    </row>
    <row r="3521" customFormat="false" ht="15" hidden="false" customHeight="false" outlineLevel="0" collapsed="false">
      <c r="A3521" s="0" t="s">
        <v>852</v>
      </c>
      <c r="B3521" s="0" t="s">
        <v>98</v>
      </c>
      <c r="D3521" s="6" t="n">
        <f aca="false">Sens!D3509+Sens!D3514+Sens!D3515+Sens!D3517+Sens!D3519</f>
        <v>218.783</v>
      </c>
      <c r="E3521" s="6" t="n">
        <f aca="false">Sens!E3509+Sens!E3514+Sens!E3515+Sens!E3517+Sens!E3519</f>
        <v>268.127</v>
      </c>
      <c r="F3521" s="6" t="n">
        <f aca="false">Sens!F3509+Sens!F3514+Sens!F3515+Sens!F3517+Sens!F3519</f>
        <v>320.19033953166</v>
      </c>
      <c r="G3521" s="6" t="n">
        <f aca="false">Sens!G3509+Sens!G3514+Sens!G3515+Sens!G3517+Sens!G3519</f>
        <v>360.417594558384</v>
      </c>
      <c r="H3521" s="6" t="n">
        <f aca="false">Sens!H3509+Sens!H3514+Sens!H3515+Sens!H3517+Sens!H3519</f>
        <v>396.352911510184</v>
      </c>
      <c r="I3521" s="6" t="n">
        <f aca="false">Sens!I3509+Sens!I3514+Sens!I3515+Sens!I3517+Sens!I3519</f>
        <v>433.237106630676</v>
      </c>
      <c r="J3521" s="6" t="n">
        <f aca="false">Sens!J3509+Sens!J3514+Sens!J3515+Sens!J3517+Sens!J3519</f>
        <v>467.552077968353</v>
      </c>
      <c r="K3521" s="6" t="n">
        <f aca="false">Sens!K3509+Sens!K3514+Sens!K3515+Sens!K3517+Sens!K3519</f>
        <v>499.465555964948</v>
      </c>
    </row>
    <row r="3522" customFormat="false" ht="17.15" hidden="false" customHeight="false" outlineLevel="0" collapsed="false">
      <c r="A3522" s="0" t="s">
        <v>1037</v>
      </c>
      <c r="B3522" s="0" t="s">
        <v>98</v>
      </c>
      <c r="D3522" s="6" t="n">
        <f aca="false">Q!L13</f>
        <v>22.171</v>
      </c>
      <c r="E3522" s="6" t="n">
        <f aca="false">Q!M13</f>
        <v>24.835</v>
      </c>
      <c r="F3522" s="6" t="n">
        <f aca="false">Q!$I$13+(Q!M13-Q!$E$13)*(1+Sens!F3523)</f>
        <v>27.5591895660247</v>
      </c>
      <c r="G3522" s="6" t="n">
        <f aca="false">Sens!F3522*(1+Sens!G3523)</f>
        <v>30.4098563144583</v>
      </c>
      <c r="H3522" s="6" t="n">
        <f aca="false">Sens!G3522*(1+Sens!H3523)</f>
        <v>33.3011792571777</v>
      </c>
      <c r="I3522" s="6" t="n">
        <f aca="false">Sens!H3522*(1+Sens!I3523)</f>
        <v>36.189023797112</v>
      </c>
      <c r="J3522" s="6" t="n">
        <f aca="false">Sens!I3522*(1+Sens!J3523)</f>
        <v>39.0247773769199</v>
      </c>
      <c r="K3522" s="6" t="n">
        <f aca="false">Sens!J3522*(1+Sens!K3523)</f>
        <v>41.7565117933043</v>
      </c>
      <c r="L3522" s="12" t="s">
        <v>1034</v>
      </c>
    </row>
    <row r="3523" customFormat="false" ht="15" hidden="false" customHeight="false" outlineLevel="0" collapsed="false">
      <c r="A3523" s="1" t="s">
        <v>1024</v>
      </c>
      <c r="B3523" s="0" t="s">
        <v>168</v>
      </c>
      <c r="E3523" s="7" t="n">
        <f aca="false">Sens!E3522/Sens!D3522-1</f>
        <v>0.120156961796942</v>
      </c>
      <c r="F3523" s="7" t="n">
        <f aca="false">Sens!$E$3523+(glt_srch-Sens!$E$3523)*MIN(1,(Sens!F3465-base_fy)/n_conv)</f>
        <v>0.111797468164118</v>
      </c>
      <c r="G3523" s="7" t="n">
        <f aca="false">Sens!$E$3523+(glt_srch-Sens!$E$3523)*MIN(1,(Sens!G3465-base_fy)/n_conv)</f>
        <v>0.103437974531295</v>
      </c>
      <c r="H3523" s="7" t="n">
        <f aca="false">Sens!$E$3523+(glt_srch-Sens!$E$3523)*MIN(1,(Sens!H3465-base_fy)/n_conv)</f>
        <v>0.095078480898471</v>
      </c>
      <c r="I3523" s="7" t="n">
        <f aca="false">Sens!$E$3523+(glt_srch-Sens!$E$3523)*MIN(1,(Sens!I3465-base_fy)/n_conv)</f>
        <v>0.0867189872656474</v>
      </c>
      <c r="J3523" s="7" t="n">
        <f aca="false">Sens!$E$3523+(glt_srch-Sens!$E$3523)*MIN(1,(Sens!J3465-base_fy)/n_conv)</f>
        <v>0.0783594936328237</v>
      </c>
      <c r="K3523" s="7" t="n">
        <f aca="false">Sens!$E$3523+(glt_srch-Sens!$E$3523)*MIN(1,(Sens!K3465-base_fy)/n_conv)</f>
        <v>0.07</v>
      </c>
    </row>
    <row r="3524" customFormat="false" ht="17.15" hidden="false" customHeight="false" outlineLevel="0" collapsed="false">
      <c r="A3524" s="0" t="s">
        <v>1038</v>
      </c>
      <c r="B3524" s="0" t="s">
        <v>98</v>
      </c>
      <c r="D3524" s="6" t="n">
        <f aca="false">Q!L14</f>
        <v>23.455</v>
      </c>
      <c r="E3524" s="6" t="n">
        <f aca="false">Q!M14</f>
        <v>21.79</v>
      </c>
      <c r="F3524" s="6" t="n">
        <f aca="false">Q!$I$14+(Q!M14-Q!$E$14)*(1+Sens!F3525)</f>
        <v>20.7520981041711</v>
      </c>
      <c r="G3524" s="6" t="n">
        <f aca="false">Sens!F3524*(1+Sens!G3525)</f>
        <v>19.9083593495882</v>
      </c>
      <c r="H3524" s="6" t="n">
        <f aca="false">Sens!G3524*(1+Sens!H3525)</f>
        <v>19.4008256265831</v>
      </c>
      <c r="I3524" s="6" t="n">
        <f aca="false">Sens!H3524*(1+Sens!I3525)</f>
        <v>19.200434522122</v>
      </c>
      <c r="J3524" s="6" t="n">
        <f aca="false">Sens!I3524*(1+Sens!J3525)</f>
        <v>19.2932782348507</v>
      </c>
      <c r="K3524" s="6" t="n">
        <f aca="false">Sens!J3524*(1+Sens!K3525)</f>
        <v>19.6791437995477</v>
      </c>
      <c r="L3524" s="12" t="s">
        <v>1034</v>
      </c>
    </row>
    <row r="3525" customFormat="false" ht="15" hidden="false" customHeight="false" outlineLevel="0" collapsed="false">
      <c r="A3525" s="1" t="s">
        <v>1024</v>
      </c>
      <c r="B3525" s="0" t="s">
        <v>168</v>
      </c>
      <c r="E3525" s="7" t="n">
        <f aca="false">Sens!E3524/Sens!D3524-1</f>
        <v>-0.0709869963760392</v>
      </c>
      <c r="F3525" s="7" t="n">
        <f aca="false">Sens!$E$3525+(glt_xbox-Sens!$E$3525)*MIN(1,(Sens!F3465-base_fy)/n_conv)</f>
        <v>-0.0558224969800327</v>
      </c>
      <c r="G3525" s="7" t="n">
        <f aca="false">Sens!$E$3525+(glt_xbox-Sens!$E$3525)*MIN(1,(Sens!G3465-base_fy)/n_conv)</f>
        <v>-0.0406579975840262</v>
      </c>
      <c r="H3525" s="7" t="n">
        <f aca="false">Sens!$E$3525+(glt_xbox-Sens!$E$3525)*MIN(1,(Sens!H3465-base_fy)/n_conv)</f>
        <v>-0.0254934981880196</v>
      </c>
      <c r="I3525" s="7" t="n">
        <f aca="false">Sens!$E$3525+(glt_xbox-Sens!$E$3525)*MIN(1,(Sens!I3465-base_fy)/n_conv)</f>
        <v>-0.0103289987920131</v>
      </c>
      <c r="J3525" s="7" t="n">
        <f aca="false">Sens!$E$3525+(glt_xbox-Sens!$E$3525)*MIN(1,(Sens!J3465-base_fy)/n_conv)</f>
        <v>0.00483550060399347</v>
      </c>
      <c r="K3525" s="7" t="n">
        <f aca="false">Sens!$E$3525+(glt_xbox-Sens!$E$3525)*MIN(1,(Sens!K3465-base_fy)/n_conv)</f>
        <v>0.02</v>
      </c>
    </row>
    <row r="3526" customFormat="false" ht="17.15" hidden="false" customHeight="false" outlineLevel="0" collapsed="false">
      <c r="A3526" s="0" t="s">
        <v>1039</v>
      </c>
      <c r="B3526" s="0" t="s">
        <v>98</v>
      </c>
      <c r="D3526" s="6" t="n">
        <f aca="false">Q!L15</f>
        <v>17.315</v>
      </c>
      <c r="E3526" s="6" t="n">
        <f aca="false">Q!M15</f>
        <v>17.087</v>
      </c>
      <c r="F3526" s="6" t="n">
        <f aca="false">Q!$I$15+(Q!M15-Q!$E$15)*(1+Sens!F3527)</f>
        <v>15.9912273250553</v>
      </c>
      <c r="G3526" s="6" t="n">
        <f aca="false">Sens!F3526*(1+Sens!G3527)</f>
        <v>15.9574562664827</v>
      </c>
      <c r="H3526" s="6" t="n">
        <f aca="false">Sens!G3526*(1+Sens!H3527)</f>
        <v>16.0119687434196</v>
      </c>
      <c r="I3526" s="6" t="n">
        <f aca="false">Sens!H3526*(1+Sens!I3527)</f>
        <v>16.1551810001948</v>
      </c>
      <c r="J3526" s="6" t="n">
        <f aca="false">Sens!I3526*(1+Sens!J3527)</f>
        <v>16.3889793892005</v>
      </c>
      <c r="K3526" s="6" t="n">
        <f aca="false">Sens!J3526*(1+Sens!K3527)</f>
        <v>16.7167589769845</v>
      </c>
      <c r="L3526" s="12" t="s">
        <v>1034</v>
      </c>
    </row>
    <row r="3527" customFormat="false" ht="15" hidden="false" customHeight="false" outlineLevel="0" collapsed="false">
      <c r="A3527" s="1" t="s">
        <v>1024</v>
      </c>
      <c r="B3527" s="0" t="s">
        <v>168</v>
      </c>
      <c r="E3527" s="7" t="n">
        <f aca="false">Sens!E3526/Sens!D3526-1</f>
        <v>-0.0131677736066995</v>
      </c>
      <c r="F3527" s="7" t="n">
        <f aca="false">Sens!$E$3527+(glt_win-Sens!$E$3527)*MIN(1,(Sens!F3465-base_fy)/n_conv)</f>
        <v>-0.00763981133891627</v>
      </c>
      <c r="G3527" s="7" t="n">
        <f aca="false">Sens!$E$3527+(glt_win-Sens!$E$3527)*MIN(1,(Sens!G3465-base_fy)/n_conv)</f>
        <v>-0.00211184907113301</v>
      </c>
      <c r="H3527" s="7" t="n">
        <f aca="false">Sens!$E$3527+(glt_win-Sens!$E$3527)*MIN(1,(Sens!H3465-base_fy)/n_conv)</f>
        <v>0.00341611319665024</v>
      </c>
      <c r="I3527" s="7" t="n">
        <f aca="false">Sens!$E$3527+(glt_win-Sens!$E$3527)*MIN(1,(Sens!I3465-base_fy)/n_conv)</f>
        <v>0.00894407546443349</v>
      </c>
      <c r="J3527" s="7" t="n">
        <f aca="false">Sens!$E$3527+(glt_win-Sens!$E$3527)*MIN(1,(Sens!J3465-base_fy)/n_conv)</f>
        <v>0.0144720377322168</v>
      </c>
      <c r="K3527" s="7" t="n">
        <f aca="false">Sens!$E$3527+(glt_win-Sens!$E$3527)*MIN(1,(Sens!K3465-base_fy)/n_conv)</f>
        <v>0.02</v>
      </c>
    </row>
    <row r="3528" customFormat="false" ht="15" hidden="false" customHeight="false" outlineLevel="0" collapsed="false">
      <c r="A3528" s="0" t="s">
        <v>866</v>
      </c>
      <c r="B3528" s="0" t="s">
        <v>98</v>
      </c>
      <c r="D3528" s="6" t="n">
        <f aca="false">Sens!D3522+Sens!D3524+Sens!D3526</f>
        <v>62.941</v>
      </c>
      <c r="E3528" s="6" t="n">
        <f aca="false">Sens!E3522+Sens!E3524+Sens!E3526</f>
        <v>63.712</v>
      </c>
      <c r="F3528" s="6" t="n">
        <f aca="false">Sens!F3522+Sens!F3524+Sens!F3526</f>
        <v>64.3025149952511</v>
      </c>
      <c r="G3528" s="6" t="n">
        <f aca="false">Sens!G3522+Sens!G3524+Sens!G3526</f>
        <v>66.2756719305292</v>
      </c>
      <c r="H3528" s="6" t="n">
        <f aca="false">Sens!H3522+Sens!H3524+Sens!H3526</f>
        <v>68.7139736271804</v>
      </c>
      <c r="I3528" s="6" t="n">
        <f aca="false">Sens!I3522+Sens!I3524+Sens!I3526</f>
        <v>71.5446393194289</v>
      </c>
      <c r="J3528" s="6" t="n">
        <f aca="false">Sens!J3522+Sens!J3524+Sens!J3526</f>
        <v>74.707035000971</v>
      </c>
      <c r="K3528" s="6" t="n">
        <f aca="false">Sens!K3522+Sens!K3524+Sens!K3526</f>
        <v>78.1524145698365</v>
      </c>
    </row>
    <row r="3529" customFormat="false" ht="15" hidden="false" customHeight="false" outlineLevel="0" collapsed="false">
      <c r="A3529" s="1" t="s">
        <v>1040</v>
      </c>
      <c r="B3529" s="0" t="s">
        <v>98</v>
      </c>
      <c r="D3529" s="6" t="n">
        <f aca="false">Sens!D3521+Sens!D3528</f>
        <v>281.724</v>
      </c>
      <c r="E3529" s="6" t="n">
        <f aca="false">Sens!E3521+Sens!E3528</f>
        <v>331.839</v>
      </c>
      <c r="F3529" s="6" t="n">
        <f aca="false">Sens!F3521+Sens!F3528</f>
        <v>384.492854526911</v>
      </c>
      <c r="G3529" s="6" t="n">
        <f aca="false">Sens!G3521+Sens!G3528</f>
        <v>426.693266488913</v>
      </c>
      <c r="H3529" s="6" t="n">
        <f aca="false">Sens!H3521+Sens!H3528</f>
        <v>465.066885137364</v>
      </c>
      <c r="I3529" s="6" t="n">
        <f aca="false">Sens!I3521+Sens!I3528</f>
        <v>504.781745950104</v>
      </c>
      <c r="J3529" s="6" t="n">
        <f aca="false">Sens!J3521+Sens!J3528</f>
        <v>542.259112969324</v>
      </c>
      <c r="K3529" s="6" t="n">
        <f aca="false">Sens!K3521+Sens!K3528</f>
        <v>577.617970534784</v>
      </c>
    </row>
    <row r="3530" customFormat="false" ht="15" hidden="false" customHeight="false" outlineLevel="0" collapsed="false">
      <c r="A3530" s="26" t="s">
        <v>1041</v>
      </c>
      <c r="B3530" s="31" t="s">
        <v>98</v>
      </c>
      <c r="C3530" s="31"/>
      <c r="D3530" s="27" t="n">
        <f aca="false">(Sens!D3509+Sens!D3514+Sens!D3515+Sens!D3517+Sens!D3519-Sens!D3521)+(Sens!D3522+Sens!D3524+Sens!D3526-Sens!D3528)+(Sens!D3521-Q!L5)+(Sens!D3528-Q!L12)+(Sens!D3509-Q!L6)+(Sens!D3514-Q!L7)</f>
        <v>0</v>
      </c>
      <c r="E3530" s="27" t="n">
        <f aca="false">(Sens!E3509+Sens!E3514+Sens!E3515+Sens!E3517+Sens!E3519-Sens!E3521)+(Sens!E3522+Sens!E3524+Sens!E3526-Sens!E3528)+(Sens!E3521-Q!M5)+(Sens!E3528-Q!M12)+(Sens!E3509-Q!M6)+(Sens!E3514-Q!M7)</f>
        <v>0</v>
      </c>
      <c r="F3530" s="27" t="n">
        <f aca="false">(Sens!F3509+Sens!F3514+Sens!F3515+Sens!F3517+Sens!F3519-Sens!F3521)+(Sens!F3522+Sens!F3524+Sens!F3526-Sens!F3528)</f>
        <v>0</v>
      </c>
      <c r="G3530" s="27" t="n">
        <f aca="false">(Sens!G3509+Sens!G3514+Sens!G3515+Sens!G3517+Sens!G3519-Sens!G3521)+(Sens!G3522+Sens!G3524+Sens!G3526-Sens!G3528)</f>
        <v>0</v>
      </c>
      <c r="H3530" s="27" t="n">
        <f aca="false">(Sens!H3509+Sens!H3514+Sens!H3515+Sens!H3517+Sens!H3519-Sens!H3521)+(Sens!H3522+Sens!H3524+Sens!H3526-Sens!H3528)</f>
        <v>0</v>
      </c>
      <c r="I3530" s="27" t="n">
        <f aca="false">(Sens!I3509+Sens!I3514+Sens!I3515+Sens!I3517+Sens!I3519-Sens!I3521)+(Sens!I3522+Sens!I3524+Sens!I3526-Sens!I3528)</f>
        <v>0</v>
      </c>
      <c r="J3530" s="27" t="n">
        <f aca="false">(Sens!J3509+Sens!J3514+Sens!J3515+Sens!J3517+Sens!J3519-Sens!J3521)+(Sens!J3522+Sens!J3524+Sens!J3526-Sens!J3528)</f>
        <v>0</v>
      </c>
      <c r="K3530" s="27" t="n">
        <f aca="false">(Sens!K3509+Sens!K3514+Sens!K3515+Sens!K3517+Sens!K3519-Sens!K3521)+(Sens!K3522+Sens!K3524+Sens!K3526-Sens!K3528)</f>
        <v>0</v>
      </c>
    </row>
    <row r="3531" customFormat="false" ht="17.15" hidden="false" customHeight="false" outlineLevel="0" collapsed="false">
      <c r="A3531" s="3" t="s">
        <v>1567</v>
      </c>
    </row>
    <row r="3532" customFormat="false" ht="15" hidden="false" customHeight="false" outlineLevel="0" collapsed="false">
      <c r="A3532" s="4" t="s">
        <v>43</v>
      </c>
      <c r="B3532" s="4" t="s">
        <v>65</v>
      </c>
      <c r="C3532" s="23" t="s">
        <v>938</v>
      </c>
      <c r="D3532" s="23" t="s">
        <v>939</v>
      </c>
      <c r="E3532" s="23" t="s">
        <v>940</v>
      </c>
      <c r="F3532" s="23" t="s">
        <v>941</v>
      </c>
      <c r="G3532" s="23" t="s">
        <v>942</v>
      </c>
      <c r="H3532" s="23" t="s">
        <v>943</v>
      </c>
      <c r="I3532" s="23" t="s">
        <v>944</v>
      </c>
      <c r="J3532" s="23" t="s">
        <v>945</v>
      </c>
      <c r="K3532" s="23" t="s">
        <v>946</v>
      </c>
      <c r="L3532" s="4" t="s">
        <v>47</v>
      </c>
    </row>
    <row r="3533" customFormat="false" ht="15" hidden="false" customHeight="false" outlineLevel="0" collapsed="false">
      <c r="A3533" s="0" t="s">
        <v>1025</v>
      </c>
      <c r="B3533" s="0" t="s">
        <v>98</v>
      </c>
      <c r="D3533" s="6" t="n">
        <f aca="false">Sens!D3509</f>
        <v>72.61</v>
      </c>
      <c r="E3533" s="6" t="n">
        <f aca="false">Sens!E3509</f>
        <v>101.938</v>
      </c>
      <c r="F3533" s="6" t="n">
        <f aca="false">Sens!F3509</f>
        <v>133.296941025476</v>
      </c>
      <c r="G3533" s="6" t="n">
        <f aca="false">Sens!G3509</f>
        <v>154.083355571975</v>
      </c>
      <c r="H3533" s="6" t="n">
        <f aca="false">Sens!H3509</f>
        <v>170.551432475992</v>
      </c>
      <c r="I3533" s="6" t="n">
        <f aca="false">Sens!I3509</f>
        <v>188.988469328104</v>
      </c>
      <c r="J3533" s="6" t="n">
        <f aca="false">Sens!J3509</f>
        <v>206.196370273967</v>
      </c>
      <c r="K3533" s="6" t="n">
        <f aca="false">Sens!K3509</f>
        <v>221.925885597278</v>
      </c>
    </row>
    <row r="3534" customFormat="false" ht="17.15" hidden="false" customHeight="false" outlineLevel="0" collapsed="false">
      <c r="A3534" s="0" t="s">
        <v>1021</v>
      </c>
      <c r="B3534" s="0" t="s">
        <v>98</v>
      </c>
      <c r="D3534" s="6" t="n">
        <f aca="false">Sens!D3506</f>
        <v>12.9359794422418</v>
      </c>
      <c r="E3534" s="6" t="n">
        <f aca="false">Sens!E3506</f>
        <v>27.8095064661409</v>
      </c>
      <c r="F3534" s="6" t="n">
        <f aca="false">Sens!F3506</f>
        <v>38.2259783649916</v>
      </c>
      <c r="G3534" s="6" t="n">
        <f aca="false">Sens!G3506</f>
        <v>41.1248620805705</v>
      </c>
      <c r="H3534" s="6" t="n">
        <f aca="false">Sens!H3506</f>
        <v>39.3939767870212</v>
      </c>
      <c r="I3534" s="6" t="n">
        <f aca="false">Sens!I3506</f>
        <v>40.2461266001841</v>
      </c>
      <c r="J3534" s="6" t="n">
        <f aca="false">Sens!J3506</f>
        <v>41.5330467261851</v>
      </c>
      <c r="K3534" s="6" t="n">
        <f aca="false">Sens!K3506</f>
        <v>44.0894961656736</v>
      </c>
    </row>
    <row r="3535" customFormat="false" ht="17.15" hidden="false" customHeight="false" outlineLevel="0" collapsed="false">
      <c r="A3535" s="0" t="s">
        <v>1052</v>
      </c>
      <c r="B3535" s="0" t="s">
        <v>98</v>
      </c>
      <c r="D3535" s="6" t="n">
        <f aca="false">Sens!D3507</f>
        <v>59.6740205577583</v>
      </c>
      <c r="E3535" s="6" t="n">
        <f aca="false">Sens!E3507</f>
        <v>74.1284935338591</v>
      </c>
      <c r="F3535" s="6" t="n">
        <f aca="false">Sens!F3507</f>
        <v>95.0709626604845</v>
      </c>
      <c r="G3535" s="6" t="n">
        <f aca="false">Sens!G3507</f>
        <v>112.958493491404</v>
      </c>
      <c r="H3535" s="6" t="n">
        <f aca="false">Sens!H3507</f>
        <v>131.157455688971</v>
      </c>
      <c r="I3535" s="6" t="n">
        <f aca="false">Sens!I3507</f>
        <v>148.74234272792</v>
      </c>
      <c r="J3535" s="6" t="n">
        <f aca="false">Sens!J3507</f>
        <v>164.663323547782</v>
      </c>
      <c r="K3535" s="6" t="n">
        <f aca="false">Sens!K3507</f>
        <v>177.836389431605</v>
      </c>
    </row>
    <row r="3536" customFormat="false" ht="15" hidden="false" customHeight="false" outlineLevel="0" collapsed="false">
      <c r="A3536" s="0" t="s">
        <v>1032</v>
      </c>
      <c r="B3536" s="0" t="s">
        <v>98</v>
      </c>
      <c r="D3536" s="6" t="n">
        <f aca="false">Sens!D3514</f>
        <v>84.605</v>
      </c>
      <c r="E3536" s="6" t="n">
        <f aca="false">Sens!E3514</f>
        <v>100.299</v>
      </c>
      <c r="F3536" s="6" t="n">
        <f aca="false">Sens!F3514</f>
        <v>117.438354189776</v>
      </c>
      <c r="G3536" s="6" t="n">
        <f aca="false">Sens!G3514</f>
        <v>132.595360443801</v>
      </c>
      <c r="H3536" s="6" t="n">
        <f aca="false">Sens!H3514</f>
        <v>147.833811964563</v>
      </c>
      <c r="I3536" s="6" t="n">
        <f aca="false">Sens!I3514</f>
        <v>162.145665319381</v>
      </c>
      <c r="J3536" s="6" t="n">
        <f aca="false">Sens!J3514</f>
        <v>175.249327755573</v>
      </c>
      <c r="K3536" s="6" t="n">
        <f aca="false">Sens!K3514</f>
        <v>187.599280698463</v>
      </c>
    </row>
    <row r="3537" customFormat="false" ht="17.15" hidden="false" customHeight="false" outlineLevel="0" collapsed="false">
      <c r="A3537" s="0" t="s">
        <v>1053</v>
      </c>
      <c r="B3537" s="0" t="s">
        <v>98</v>
      </c>
      <c r="D3537" s="6" t="n">
        <f aca="false">Sens!D3512</f>
        <v>83.705</v>
      </c>
      <c r="E3537" s="6" t="n">
        <f aca="false">Sens!E3512</f>
        <v>95.049</v>
      </c>
      <c r="F3537" s="6" t="n">
        <f aca="false">Sens!F3512</f>
        <v>106.938354189776</v>
      </c>
      <c r="G3537" s="6" t="n">
        <f aca="false">Sens!G3512</f>
        <v>119.095360443801</v>
      </c>
      <c r="H3537" s="6" t="n">
        <f aca="false">Sens!H3512</f>
        <v>131.333811964563</v>
      </c>
      <c r="I3537" s="6" t="n">
        <f aca="false">Sens!I3512</f>
        <v>143.395665319381</v>
      </c>
      <c r="J3537" s="6" t="n">
        <f aca="false">Sens!J3512</f>
        <v>154.999327755573</v>
      </c>
      <c r="K3537" s="6" t="n">
        <f aca="false">Sens!K3512</f>
        <v>165.849280698463</v>
      </c>
    </row>
    <row r="3538" customFormat="false" ht="17.15" hidden="false" customHeight="false" outlineLevel="0" collapsed="false">
      <c r="A3538" s="0" t="s">
        <v>1054</v>
      </c>
      <c r="B3538" s="0" t="s">
        <v>98</v>
      </c>
      <c r="D3538" s="6" t="n">
        <f aca="false">Sens!D3511</f>
        <v>0.9</v>
      </c>
      <c r="E3538" s="6" t="n">
        <f aca="false">Sens!E3511</f>
        <v>5.25</v>
      </c>
      <c r="F3538" s="6" t="n">
        <f aca="false">Sens!F3511</f>
        <v>10.5</v>
      </c>
      <c r="G3538" s="6" t="n">
        <f aca="false">Sens!G3511</f>
        <v>13.5</v>
      </c>
      <c r="H3538" s="6" t="n">
        <f aca="false">Sens!H3511</f>
        <v>16.5</v>
      </c>
      <c r="I3538" s="6" t="n">
        <f aca="false">Sens!I3511</f>
        <v>18.75</v>
      </c>
      <c r="J3538" s="6" t="n">
        <f aca="false">Sens!J3511</f>
        <v>20.25</v>
      </c>
      <c r="K3538" s="6" t="n">
        <f aca="false">Sens!K3511</f>
        <v>21.75</v>
      </c>
    </row>
    <row r="3539" customFormat="false" ht="15" hidden="false" customHeight="false" outlineLevel="0" collapsed="false">
      <c r="A3539" s="0" t="s">
        <v>1033</v>
      </c>
      <c r="B3539" s="0" t="s">
        <v>98</v>
      </c>
      <c r="D3539" s="6" t="n">
        <f aca="false">Sens!D3515</f>
        <v>35.391</v>
      </c>
      <c r="E3539" s="6" t="n">
        <f aca="false">Sens!E3515</f>
        <v>37.285</v>
      </c>
      <c r="F3539" s="6" t="n">
        <f aca="false">Sens!F3515</f>
        <v>38.3851437782675</v>
      </c>
      <c r="G3539" s="6" t="n">
        <f aca="false">Sens!G3515</f>
        <v>40.0105353288615</v>
      </c>
      <c r="H3539" s="6" t="n">
        <f aca="false">Sens!H3515</f>
        <v>41.4812512033683</v>
      </c>
      <c r="I3539" s="6" t="n">
        <f aca="false">Sens!I3515</f>
        <v>42.7743107216329</v>
      </c>
      <c r="J3539" s="6" t="n">
        <f aca="false">Sens!J3515</f>
        <v>43.8687373064601</v>
      </c>
      <c r="K3539" s="6" t="n">
        <f aca="false">Sens!K3515</f>
        <v>44.7461120525893</v>
      </c>
    </row>
    <row r="3540" customFormat="false" ht="15" hidden="false" customHeight="false" outlineLevel="0" collapsed="false">
      <c r="A3540" s="0" t="s">
        <v>1035</v>
      </c>
      <c r="B3540" s="0" t="s">
        <v>98</v>
      </c>
      <c r="D3540" s="6" t="n">
        <f aca="false">Sens!D3517</f>
        <v>18.417</v>
      </c>
      <c r="E3540" s="6" t="n">
        <f aca="false">Sens!E3517</f>
        <v>20.345</v>
      </c>
      <c r="F3540" s="6" t="n">
        <f aca="false">Sens!F3517</f>
        <v>22.3161797133988</v>
      </c>
      <c r="G3540" s="6" t="n">
        <f aca="false">Sens!G3517</f>
        <v>24.3943499673233</v>
      </c>
      <c r="H3540" s="6" t="n">
        <f aca="false">Sens!H3517</f>
        <v>26.5250243109019</v>
      </c>
      <c r="I3540" s="6" t="n">
        <f aca="false">Sens!I3517</f>
        <v>28.6884573538181</v>
      </c>
      <c r="J3540" s="6" t="n">
        <f aca="false">Sens!J3517</f>
        <v>30.8624968052127</v>
      </c>
      <c r="K3540" s="6" t="n">
        <f aca="false">Sens!K3517</f>
        <v>33.0228715815776</v>
      </c>
    </row>
    <row r="3541" customFormat="false" ht="15" hidden="false" customHeight="false" outlineLevel="0" collapsed="false">
      <c r="A3541" s="0" t="s">
        <v>1036</v>
      </c>
      <c r="B3541" s="0" t="s">
        <v>98</v>
      </c>
      <c r="D3541" s="6" t="n">
        <f aca="false">Sens!D3519</f>
        <v>7.76</v>
      </c>
      <c r="E3541" s="6" t="n">
        <f aca="false">Sens!E3519</f>
        <v>8.26</v>
      </c>
      <c r="F3541" s="6" t="n">
        <f aca="false">Sens!F3519</f>
        <v>8.75372082474227</v>
      </c>
      <c r="G3541" s="6" t="n">
        <f aca="false">Sens!G3519</f>
        <v>9.33399324642364</v>
      </c>
      <c r="H3541" s="6" t="n">
        <f aca="false">Sens!H3519</f>
        <v>9.96139155535851</v>
      </c>
      <c r="I3541" s="6" t="n">
        <f aca="false">Sens!I3519</f>
        <v>10.6402039077391</v>
      </c>
      <c r="J3541" s="6" t="n">
        <f aca="false">Sens!J3519</f>
        <v>11.3751458271397</v>
      </c>
      <c r="K3541" s="6" t="n">
        <f aca="false">Sens!K3519</f>
        <v>12.1714060350394</v>
      </c>
    </row>
    <row r="3542" customFormat="false" ht="15" hidden="false" customHeight="false" outlineLevel="0" collapsed="false">
      <c r="A3542" s="0" t="s">
        <v>852</v>
      </c>
      <c r="B3542" s="0" t="s">
        <v>98</v>
      </c>
      <c r="D3542" s="6" t="n">
        <f aca="false">Sens!D3521</f>
        <v>218.783</v>
      </c>
      <c r="E3542" s="6" t="n">
        <f aca="false">Sens!E3521</f>
        <v>268.127</v>
      </c>
      <c r="F3542" s="6" t="n">
        <f aca="false">Sens!F3521</f>
        <v>320.19033953166</v>
      </c>
      <c r="G3542" s="6" t="n">
        <f aca="false">Sens!G3521</f>
        <v>360.417594558384</v>
      </c>
      <c r="H3542" s="6" t="n">
        <f aca="false">Sens!H3521</f>
        <v>396.352911510184</v>
      </c>
      <c r="I3542" s="6" t="n">
        <f aca="false">Sens!I3521</f>
        <v>433.237106630676</v>
      </c>
      <c r="J3542" s="6" t="n">
        <f aca="false">Sens!J3521</f>
        <v>467.552077968353</v>
      </c>
      <c r="K3542" s="6" t="n">
        <f aca="false">Sens!K3521</f>
        <v>499.465555964948</v>
      </c>
    </row>
    <row r="3543" customFormat="false" ht="15" hidden="false" customHeight="false" outlineLevel="0" collapsed="false">
      <c r="A3543" s="0" t="s">
        <v>1037</v>
      </c>
      <c r="B3543" s="0" t="s">
        <v>98</v>
      </c>
      <c r="D3543" s="6" t="n">
        <f aca="false">Sens!D3522</f>
        <v>22.171</v>
      </c>
      <c r="E3543" s="6" t="n">
        <f aca="false">Sens!E3522</f>
        <v>24.835</v>
      </c>
      <c r="F3543" s="6" t="n">
        <f aca="false">Sens!F3522</f>
        <v>27.5591895660247</v>
      </c>
      <c r="G3543" s="6" t="n">
        <f aca="false">Sens!G3522</f>
        <v>30.4098563144583</v>
      </c>
      <c r="H3543" s="6" t="n">
        <f aca="false">Sens!H3522</f>
        <v>33.3011792571777</v>
      </c>
      <c r="I3543" s="6" t="n">
        <f aca="false">Sens!I3522</f>
        <v>36.189023797112</v>
      </c>
      <c r="J3543" s="6" t="n">
        <f aca="false">Sens!J3522</f>
        <v>39.0247773769199</v>
      </c>
      <c r="K3543" s="6" t="n">
        <f aca="false">Sens!K3522</f>
        <v>41.7565117933043</v>
      </c>
    </row>
    <row r="3544" customFormat="false" ht="15" hidden="false" customHeight="false" outlineLevel="0" collapsed="false">
      <c r="A3544" s="0" t="s">
        <v>1038</v>
      </c>
      <c r="B3544" s="0" t="s">
        <v>98</v>
      </c>
      <c r="D3544" s="6" t="n">
        <f aca="false">Sens!D3524</f>
        <v>23.455</v>
      </c>
      <c r="E3544" s="6" t="n">
        <f aca="false">Sens!E3524</f>
        <v>21.79</v>
      </c>
      <c r="F3544" s="6" t="n">
        <f aca="false">Sens!F3524</f>
        <v>20.7520981041711</v>
      </c>
      <c r="G3544" s="6" t="n">
        <f aca="false">Sens!G3524</f>
        <v>19.9083593495882</v>
      </c>
      <c r="H3544" s="6" t="n">
        <f aca="false">Sens!H3524</f>
        <v>19.4008256265831</v>
      </c>
      <c r="I3544" s="6" t="n">
        <f aca="false">Sens!I3524</f>
        <v>19.200434522122</v>
      </c>
      <c r="J3544" s="6" t="n">
        <f aca="false">Sens!J3524</f>
        <v>19.2932782348507</v>
      </c>
      <c r="K3544" s="6" t="n">
        <f aca="false">Sens!K3524</f>
        <v>19.6791437995477</v>
      </c>
    </row>
    <row r="3545" customFormat="false" ht="15" hidden="false" customHeight="false" outlineLevel="0" collapsed="false">
      <c r="A3545" s="0" t="s">
        <v>1039</v>
      </c>
      <c r="B3545" s="0" t="s">
        <v>98</v>
      </c>
      <c r="D3545" s="6" t="n">
        <f aca="false">Sens!D3526</f>
        <v>17.315</v>
      </c>
      <c r="E3545" s="6" t="n">
        <f aca="false">Sens!E3526</f>
        <v>17.087</v>
      </c>
      <c r="F3545" s="6" t="n">
        <f aca="false">Sens!F3526</f>
        <v>15.9912273250553</v>
      </c>
      <c r="G3545" s="6" t="n">
        <f aca="false">Sens!G3526</f>
        <v>15.9574562664827</v>
      </c>
      <c r="H3545" s="6" t="n">
        <f aca="false">Sens!H3526</f>
        <v>16.0119687434196</v>
      </c>
      <c r="I3545" s="6" t="n">
        <f aca="false">Sens!I3526</f>
        <v>16.1551810001948</v>
      </c>
      <c r="J3545" s="6" t="n">
        <f aca="false">Sens!J3526</f>
        <v>16.3889793892005</v>
      </c>
      <c r="K3545" s="6" t="n">
        <f aca="false">Sens!K3526</f>
        <v>16.7167589769845</v>
      </c>
    </row>
    <row r="3546" customFormat="false" ht="15" hidden="false" customHeight="false" outlineLevel="0" collapsed="false">
      <c r="A3546" s="0" t="s">
        <v>866</v>
      </c>
      <c r="B3546" s="0" t="s">
        <v>98</v>
      </c>
      <c r="D3546" s="6" t="n">
        <f aca="false">Sens!D3528</f>
        <v>62.941</v>
      </c>
      <c r="E3546" s="6" t="n">
        <f aca="false">Sens!E3528</f>
        <v>63.712</v>
      </c>
      <c r="F3546" s="6" t="n">
        <f aca="false">Sens!F3528</f>
        <v>64.3025149952511</v>
      </c>
      <c r="G3546" s="6" t="n">
        <f aca="false">Sens!G3528</f>
        <v>66.2756719305292</v>
      </c>
      <c r="H3546" s="6" t="n">
        <f aca="false">Sens!H3528</f>
        <v>68.7139736271804</v>
      </c>
      <c r="I3546" s="6" t="n">
        <f aca="false">Sens!I3528</f>
        <v>71.5446393194289</v>
      </c>
      <c r="J3546" s="6" t="n">
        <f aca="false">Sens!J3528</f>
        <v>74.707035000971</v>
      </c>
      <c r="K3546" s="6" t="n">
        <f aca="false">Sens!K3528</f>
        <v>78.1524145698365</v>
      </c>
    </row>
    <row r="3547" customFormat="false" ht="15" hidden="false" customHeight="false" outlineLevel="0" collapsed="false">
      <c r="A3547" s="1" t="s">
        <v>1055</v>
      </c>
      <c r="B3547" s="0" t="s">
        <v>98</v>
      </c>
      <c r="D3547" s="6" t="n">
        <f aca="false">Sens!D3529</f>
        <v>281.724</v>
      </c>
      <c r="E3547" s="6" t="n">
        <f aca="false">Sens!E3529</f>
        <v>331.839</v>
      </c>
      <c r="F3547" s="6" t="n">
        <f aca="false">Sens!F3529</f>
        <v>384.492854526911</v>
      </c>
      <c r="G3547" s="6" t="n">
        <f aca="false">Sens!G3529</f>
        <v>426.693266488913</v>
      </c>
      <c r="H3547" s="6" t="n">
        <f aca="false">Sens!H3529</f>
        <v>465.066885137364</v>
      </c>
      <c r="I3547" s="6" t="n">
        <f aca="false">Sens!I3529</f>
        <v>504.781745950104</v>
      </c>
      <c r="J3547" s="6" t="n">
        <f aca="false">Sens!J3529</f>
        <v>542.259112969324</v>
      </c>
      <c r="K3547" s="6" t="n">
        <f aca="false">Sens!K3529</f>
        <v>577.617970534784</v>
      </c>
    </row>
    <row r="3548" customFormat="false" ht="15" hidden="false" customHeight="false" outlineLevel="0" collapsed="false">
      <c r="A3548" s="1" t="s">
        <v>1056</v>
      </c>
      <c r="B3548" s="0" t="s">
        <v>168</v>
      </c>
      <c r="E3548" s="7" t="n">
        <f aca="false">Sens!E3547/Sens!D3547-1</f>
        <v>0.177886867998467</v>
      </c>
      <c r="F3548" s="7" t="n">
        <f aca="false">Sens!F3547/Sens!E3547-1</f>
        <v>0.158672894165277</v>
      </c>
      <c r="G3548" s="7" t="n">
        <f aca="false">Sens!G3547/Sens!F3547-1</f>
        <v>0.109756036985202</v>
      </c>
      <c r="H3548" s="7" t="n">
        <f aca="false">Sens!H3547/Sens!G3547-1</f>
        <v>0.0899325620116118</v>
      </c>
      <c r="I3548" s="7" t="n">
        <f aca="false">Sens!I3547/Sens!H3547-1</f>
        <v>0.0853960195446071</v>
      </c>
      <c r="J3548" s="7" t="n">
        <f aca="false">Sens!J3547/Sens!I3547-1</f>
        <v>0.0742446954944438</v>
      </c>
      <c r="K3548" s="7" t="n">
        <f aca="false">Sens!K3547/Sens!J3547-1</f>
        <v>0.0652065713969121</v>
      </c>
    </row>
    <row r="3549" customFormat="false" ht="17.15" hidden="false" customHeight="false" outlineLevel="0" collapsed="false">
      <c r="A3549" s="26" t="s">
        <v>1057</v>
      </c>
      <c r="B3549" s="31" t="s">
        <v>98</v>
      </c>
      <c r="C3549" s="31"/>
      <c r="D3549" s="27" t="n">
        <f aca="false">(Sens!D3542+Sens!D3546-Sens!D3547)+(Sens!D3534+Sens!D3535-Sens!D3533)+(Sens!D3537+Sens!D3538-Sens!D3536)+(Sens!D3547-Q!L18)</f>
        <v>0</v>
      </c>
      <c r="E3549" s="27" t="n">
        <f aca="false">(Sens!E3542+Sens!E3546-Sens!E3547)+(Sens!E3534+Sens!E3535-Sens!E3533)+(Sens!E3537+Sens!E3538-Sens!E3536)+(Sens!E3547-Q!M18)</f>
        <v>0</v>
      </c>
      <c r="F3549" s="27" t="n">
        <f aca="false">(Sens!F3542+Sens!F3546-Sens!F3547)+(Sens!F3534+Sens!F3535-Sens!F3533)+(Sens!F3537+Sens!F3538-Sens!F3536)</f>
        <v>0</v>
      </c>
      <c r="G3549" s="27" t="n">
        <f aca="false">(Sens!G3542+Sens!G3546-Sens!G3547)+(Sens!G3534+Sens!G3535-Sens!G3533)+(Sens!G3537+Sens!G3538-Sens!G3536)</f>
        <v>0</v>
      </c>
      <c r="H3549" s="27" t="n">
        <f aca="false">(Sens!H3542+Sens!H3546-Sens!H3547)+(Sens!H3534+Sens!H3535-Sens!H3533)+(Sens!H3537+Sens!H3538-Sens!H3536)</f>
        <v>0</v>
      </c>
      <c r="I3549" s="27" t="n">
        <f aca="false">(Sens!I3542+Sens!I3546-Sens!I3547)+(Sens!I3534+Sens!I3535-Sens!I3533)+(Sens!I3537+Sens!I3538-Sens!I3536)</f>
        <v>0</v>
      </c>
      <c r="J3549" s="27" t="n">
        <f aca="false">(Sens!J3542+Sens!J3546-Sens!J3547)+(Sens!J3534+Sens!J3535-Sens!J3533)+(Sens!J3537+Sens!J3538-Sens!J3536)</f>
        <v>0</v>
      </c>
      <c r="K3549" s="27" t="n">
        <f aca="false">(Sens!K3542+Sens!K3546-Sens!K3547)+(Sens!K3534+Sens!K3535-Sens!K3533)+(Sens!K3537+Sens!K3538-Sens!K3536)</f>
        <v>0</v>
      </c>
    </row>
    <row r="3550" customFormat="false" ht="17.15" hidden="false" customHeight="false" outlineLevel="0" collapsed="false">
      <c r="A3550" s="0" t="s">
        <v>1058</v>
      </c>
      <c r="B3550" s="0" t="s">
        <v>168</v>
      </c>
      <c r="E3550" s="7" t="n">
        <f aca="false">(Q!M21+Sens!E3486+Sens!E3487+Sens!E3488+Sens!E3502-Sens!E3484)/(Q!M5-Sens!E3484)</f>
        <v>0.570957350878296</v>
      </c>
      <c r="F3550" s="7" t="n">
        <f aca="false">Sens!$E$3550+dm_seg</f>
        <v>0.570957350878296</v>
      </c>
      <c r="G3550" s="7" t="n">
        <f aca="false">Sens!$E$3550+dm_seg</f>
        <v>0.570957350878296</v>
      </c>
      <c r="H3550" s="7" t="n">
        <f aca="false">Sens!$E$3550+dm_seg</f>
        <v>0.570957350878296</v>
      </c>
      <c r="I3550" s="7" t="n">
        <f aca="false">Sens!$E$3550+dm_seg</f>
        <v>0.570957350878296</v>
      </c>
      <c r="J3550" s="7" t="n">
        <f aca="false">Sens!$E$3550+dm_seg</f>
        <v>0.570957350878296</v>
      </c>
      <c r="K3550" s="7" t="n">
        <f aca="false">Sens!$E$3550+dm_seg</f>
        <v>0.570957350878296</v>
      </c>
      <c r="L3550" s="12" t="s">
        <v>1059</v>
      </c>
    </row>
    <row r="3551" customFormat="false" ht="17.15" hidden="false" customHeight="false" outlineLevel="0" collapsed="false">
      <c r="A3551" s="0" t="s">
        <v>880</v>
      </c>
      <c r="B3551" s="0" t="s">
        <v>98</v>
      </c>
      <c r="D3551" s="6" t="n">
        <f aca="false">Q!L21</f>
        <v>110.814</v>
      </c>
      <c r="E3551" s="6" t="n">
        <f aca="false">Q!M21</f>
        <v>136.365</v>
      </c>
      <c r="F3551" s="6" t="n">
        <f aca="false">Q!$I$21+(Sens!F3550*(Sens!F3521-Sens!F3484)+Sens!F3484-(Sens!F3486+Sens!F3487+Sens!F3488)-Sens!F3502-Sens!F3585)*(Sens!F3521-Q!$I$5)/Sens!F3521</f>
        <v>149.14482335196</v>
      </c>
      <c r="G3551" s="6" t="n">
        <f aca="false">(Sens!G3550*(Sens!G3521-Sens!G3484)+Sens!G3484-(Sens!G3486+Sens!G3487+Sens!G3488)-Sens!G3502-Sens!G3585)</f>
        <v>160.846090862447</v>
      </c>
      <c r="H3551" s="6" t="n">
        <f aca="false">(Sens!H3550*(Sens!H3521-Sens!H3484)+Sens!H3484-(Sens!H3486+Sens!H3487+Sens!H3488)-Sens!H3502-Sens!H3585)</f>
        <v>178.350502011246</v>
      </c>
      <c r="I3551" s="6" t="n">
        <f aca="false">(Sens!I3550*(Sens!I3521-Sens!I3484)+Sens!I3484-(Sens!I3486+Sens!I3487+Sens!I3488)-Sens!I3502-Sens!I3585)</f>
        <v>200.202064724488</v>
      </c>
      <c r="J3551" s="6" t="n">
        <f aca="false">(Sens!J3550*(Sens!J3521-Sens!J3484)+Sens!J3484-(Sens!J3486+Sens!J3487+Sens!J3488)-Sens!J3502-Sens!J3585)</f>
        <v>219.755866274377</v>
      </c>
      <c r="K3551" s="6" t="n">
        <f aca="false">(Sens!K3550*(Sens!K3521-Sens!K3484)+Sens!K3484-(Sens!K3486+Sens!K3487+Sens!K3488)-Sens!K3502-Sens!K3585)</f>
        <v>237.069360089824</v>
      </c>
      <c r="L3551" s="1" t="s">
        <v>1060</v>
      </c>
    </row>
    <row r="3552" customFormat="false" ht="17.15" hidden="false" customHeight="false" outlineLevel="0" collapsed="false">
      <c r="A3552" s="0" t="s">
        <v>1061</v>
      </c>
      <c r="B3552" s="0" t="s">
        <v>168</v>
      </c>
      <c r="E3552" s="7" t="n">
        <f aca="false">Q!M22/Q!M12</f>
        <v>0.296207935710698</v>
      </c>
      <c r="F3552" s="7" t="n">
        <f aca="false">Sens!$E$3552+dm_seg</f>
        <v>0.296207935710698</v>
      </c>
      <c r="G3552" s="7" t="n">
        <f aca="false">Sens!$E$3552+dm_seg</f>
        <v>0.296207935710698</v>
      </c>
      <c r="H3552" s="7" t="n">
        <f aca="false">Sens!$E$3552+dm_seg</f>
        <v>0.296207935710698</v>
      </c>
      <c r="I3552" s="7" t="n">
        <f aca="false">Sens!$E$3552+dm_seg</f>
        <v>0.296207935710698</v>
      </c>
      <c r="J3552" s="7" t="n">
        <f aca="false">Sens!$E$3552+dm_seg</f>
        <v>0.296207935710698</v>
      </c>
      <c r="K3552" s="7" t="n">
        <f aca="false">Sens!$E$3552+dm_seg</f>
        <v>0.296207935710698</v>
      </c>
      <c r="L3552" s="12" t="s">
        <v>1062</v>
      </c>
    </row>
    <row r="3553" customFormat="false" ht="17.15" hidden="false" customHeight="false" outlineLevel="0" collapsed="false">
      <c r="A3553" s="0" t="s">
        <v>882</v>
      </c>
      <c r="B3553" s="0" t="s">
        <v>98</v>
      </c>
      <c r="D3553" s="6" t="n">
        <f aca="false">Q!L22</f>
        <v>17.714</v>
      </c>
      <c r="E3553" s="6" t="n">
        <f aca="false">Q!M22</f>
        <v>18.872</v>
      </c>
      <c r="F3553" s="6" t="n">
        <f aca="false">Q!$I$22+(Sens!F3528-Q!$I$12)*Sens!F3552</f>
        <v>19.8174315512051</v>
      </c>
      <c r="G3553" s="6" t="n">
        <f aca="false">Sens!G3528*Sens!G3552</f>
        <v>19.6313799703815</v>
      </c>
      <c r="H3553" s="6" t="n">
        <f aca="false">Sens!H3528*Sens!H3552</f>
        <v>20.3536242825865</v>
      </c>
      <c r="I3553" s="6" t="n">
        <f aca="false">Sens!I3528*Sens!I3552</f>
        <v>21.1920899239745</v>
      </c>
      <c r="J3553" s="6" t="n">
        <f aca="false">Sens!J3528*Sens!J3552</f>
        <v>22.1288166207045</v>
      </c>
      <c r="K3553" s="6" t="n">
        <f aca="false">Sens!K3528*Sens!K3552</f>
        <v>23.1493653905379</v>
      </c>
      <c r="L3553" s="12" t="s">
        <v>1063</v>
      </c>
    </row>
    <row r="3554" customFormat="false" ht="15" hidden="false" customHeight="false" outlineLevel="0" collapsed="false">
      <c r="A3554" s="1" t="s">
        <v>1064</v>
      </c>
      <c r="B3554" s="0" t="s">
        <v>98</v>
      </c>
      <c r="D3554" s="6" t="n">
        <f aca="false">Sens!D3551+Sens!D3553</f>
        <v>128.528</v>
      </c>
      <c r="E3554" s="6" t="n">
        <f aca="false">Sens!E3551+Sens!E3553</f>
        <v>155.237</v>
      </c>
      <c r="F3554" s="6" t="n">
        <f aca="false">Sens!F3551+Sens!F3553</f>
        <v>168.962254903165</v>
      </c>
      <c r="G3554" s="6" t="n">
        <f aca="false">Sens!G3551+Sens!G3553</f>
        <v>180.477470832828</v>
      </c>
      <c r="H3554" s="6" t="n">
        <f aca="false">Sens!H3551+Sens!H3553</f>
        <v>198.704126293833</v>
      </c>
      <c r="I3554" s="6" t="n">
        <f aca="false">Sens!I3551+Sens!I3553</f>
        <v>221.394154648462</v>
      </c>
      <c r="J3554" s="6" t="n">
        <f aca="false">Sens!J3551+Sens!J3553</f>
        <v>241.884682895082</v>
      </c>
      <c r="K3554" s="6" t="n">
        <f aca="false">Sens!K3551+Sens!K3553</f>
        <v>260.218725480362</v>
      </c>
    </row>
    <row r="3555" customFormat="false" ht="15" hidden="false" customHeight="false" outlineLevel="0" collapsed="false">
      <c r="A3555" s="26" t="s">
        <v>1065</v>
      </c>
      <c r="B3555" s="31" t="s">
        <v>98</v>
      </c>
      <c r="C3555" s="31"/>
      <c r="D3555" s="27" t="n">
        <f aca="false">Sens!D3554-Q!L23</f>
        <v>0</v>
      </c>
      <c r="E3555" s="27" t="n">
        <f aca="false">Sens!E3554-Q!M23</f>
        <v>0</v>
      </c>
      <c r="F3555" s="31"/>
      <c r="G3555" s="31"/>
      <c r="H3555" s="31"/>
      <c r="I3555" s="31"/>
      <c r="J3555" s="31"/>
      <c r="K3555" s="31"/>
    </row>
    <row r="3556" customFormat="false" ht="15" hidden="false" customHeight="false" outlineLevel="0" collapsed="false">
      <c r="A3556" s="1" t="s">
        <v>1066</v>
      </c>
      <c r="B3556" s="0" t="s">
        <v>168</v>
      </c>
      <c r="D3556" s="7" t="n">
        <f aca="false">Sens!D3554/Sens!D3547</f>
        <v>0.456219562408598</v>
      </c>
      <c r="E3556" s="7" t="n">
        <f aca="false">Sens!E3554/Sens!E3547</f>
        <v>0.467808184089272</v>
      </c>
      <c r="F3556" s="7" t="n">
        <f aca="false">Sens!F3554/Sens!F3547</f>
        <v>0.439441859357984</v>
      </c>
      <c r="G3556" s="7" t="n">
        <f aca="false">Sens!G3554/Sens!G3547</f>
        <v>0.422967703047917</v>
      </c>
      <c r="H3556" s="7" t="n">
        <f aca="false">Sens!H3554/Sens!H3547</f>
        <v>0.42725924516243</v>
      </c>
      <c r="I3556" s="7" t="n">
        <f aca="false">Sens!I3554/Sens!I3547</f>
        <v>0.438593820843803</v>
      </c>
      <c r="J3556" s="7" t="n">
        <f aca="false">Sens!J3554/Sens!J3547</f>
        <v>0.446068451612662</v>
      </c>
      <c r="K3556" s="7" t="n">
        <f aca="false">Sens!K3554/Sens!K3547</f>
        <v>0.450503167758856</v>
      </c>
    </row>
    <row r="3557" customFormat="false" ht="17.15" hidden="false" customHeight="false" outlineLevel="0" collapsed="false">
      <c r="A3557" s="1" t="s">
        <v>1067</v>
      </c>
      <c r="B3557" s="0" t="s">
        <v>98</v>
      </c>
      <c r="F3557" s="6" t="n">
        <f aca="false">Sens!F3572</f>
        <v>3.32169808276811</v>
      </c>
      <c r="G3557" s="6" t="n">
        <f aca="false">Sens!G3572</f>
        <v>4.83073330153996</v>
      </c>
      <c r="H3557" s="6" t="n">
        <f aca="false">Sens!H3572</f>
        <v>4.74830776187797</v>
      </c>
      <c r="I3557" s="6" t="n">
        <f aca="false">Sens!I3572</f>
        <v>3.69811128440021</v>
      </c>
      <c r="J3557" s="6" t="n">
        <f aca="false">Sens!J3572</f>
        <v>3.19575402518239</v>
      </c>
      <c r="K3557" s="6" t="n">
        <f aca="false">Sens!K3572</f>
        <v>3.04269068486014</v>
      </c>
      <c r="L3557" s="1" t="s">
        <v>1068</v>
      </c>
    </row>
    <row r="3558" customFormat="false" ht="17.15" hidden="false" customHeight="false" outlineLevel="0" collapsed="false">
      <c r="A3558" s="1" t="s">
        <v>1069</v>
      </c>
      <c r="B3558" s="0" t="s">
        <v>98</v>
      </c>
      <c r="D3558" s="6" t="n">
        <f aca="false">Sens!D3554</f>
        <v>128.528</v>
      </c>
      <c r="E3558" s="6" t="n">
        <f aca="false">Sens!E3554</f>
        <v>155.237</v>
      </c>
      <c r="F3558" s="6" t="n">
        <f aca="false">Sens!F3554+Sens!F3557</f>
        <v>172.283952985933</v>
      </c>
      <c r="G3558" s="6" t="n">
        <f aca="false">Sens!G3554+Sens!G3557</f>
        <v>185.308204134368</v>
      </c>
      <c r="H3558" s="6" t="n">
        <f aca="false">Sens!H3554+Sens!H3557</f>
        <v>203.452434055711</v>
      </c>
      <c r="I3558" s="6" t="n">
        <f aca="false">Sens!I3554+Sens!I3557</f>
        <v>225.092265932863</v>
      </c>
      <c r="J3558" s="6" t="n">
        <f aca="false">Sens!J3554+Sens!J3557</f>
        <v>245.080436920264</v>
      </c>
      <c r="K3558" s="6" t="n">
        <f aca="false">Sens!K3554+Sens!K3557</f>
        <v>263.261416165222</v>
      </c>
    </row>
    <row r="3559" customFormat="false" ht="17.15" hidden="false" customHeight="false" outlineLevel="0" collapsed="false">
      <c r="A3559" s="1" t="s">
        <v>1070</v>
      </c>
      <c r="B3559" s="0" t="s">
        <v>98</v>
      </c>
      <c r="E3559" s="6" t="n">
        <f aca="false">Sens!E3502</f>
        <v>16.3054059770833</v>
      </c>
      <c r="F3559" s="6" t="n">
        <f aca="false">Sens!F3502</f>
        <v>24.549027677</v>
      </c>
      <c r="G3559" s="6" t="n">
        <f aca="false">Sens!G3502</f>
        <v>29.185632823</v>
      </c>
      <c r="H3559" s="6" t="n">
        <f aca="false">Sens!H3502</f>
        <v>31.677584917</v>
      </c>
      <c r="I3559" s="6" t="n">
        <f aca="false">Sens!I3502</f>
        <v>32.2298649310278</v>
      </c>
      <c r="J3559" s="6" t="n">
        <f aca="false">Sens!J3502</f>
        <v>33.6162004764444</v>
      </c>
      <c r="K3559" s="6" t="n">
        <f aca="false">Sens!K3502</f>
        <v>36.1070960499167</v>
      </c>
    </row>
    <row r="3560" customFormat="false" ht="17.15" hidden="false" customHeight="false" outlineLevel="0" collapsed="false">
      <c r="A3560" s="1" t="s">
        <v>1071</v>
      </c>
      <c r="B3560" s="0" t="s">
        <v>98</v>
      </c>
      <c r="E3560" s="6" t="n">
        <f aca="false">Sens!E3584</f>
        <v>22.2285940229167</v>
      </c>
      <c r="F3560" s="6" t="n">
        <f aca="false">Sens!F3584</f>
        <v>37.458367358225</v>
      </c>
      <c r="G3560" s="6" t="n">
        <f aca="false">Sens!G3584</f>
        <v>37.8971931807589</v>
      </c>
      <c r="H3560" s="6" t="n">
        <f aca="false">Sens!H3584</f>
        <v>38.8470034950136</v>
      </c>
      <c r="I3560" s="6" t="n">
        <f aca="false">Sens!I3584</f>
        <v>40.2363776179593</v>
      </c>
      <c r="J3560" s="6" t="n">
        <f aca="false">Sens!J3584</f>
        <v>41.976670284337</v>
      </c>
      <c r="K3560" s="6" t="n">
        <f aca="false">Sens!K3584</f>
        <v>43.9704272663843</v>
      </c>
    </row>
    <row r="3561" customFormat="false" ht="17.15" hidden="false" customHeight="false" outlineLevel="0" collapsed="false">
      <c r="A3561" s="1" t="s">
        <v>1072</v>
      </c>
      <c r="B3561" s="0" t="s">
        <v>98</v>
      </c>
      <c r="D3561" s="6" t="n">
        <f aca="false">Q!L27</f>
        <v>-4.901</v>
      </c>
      <c r="E3561" s="6" t="n">
        <f aca="false">Q!M27</f>
        <v>10.697</v>
      </c>
      <c r="F3561" s="6" t="n">
        <f aca="false">Q!$I$27+oie_f*(q_per_yr-1)/q_per_yr</f>
        <v>-0.862</v>
      </c>
      <c r="G3561" s="6" t="n">
        <f aca="false">oie_f</f>
        <v>-1.2</v>
      </c>
      <c r="H3561" s="6" t="n">
        <f aca="false">oie_f</f>
        <v>-1.2</v>
      </c>
      <c r="I3561" s="6" t="n">
        <f aca="false">oie_f</f>
        <v>-1.2</v>
      </c>
      <c r="J3561" s="6" t="n">
        <f aca="false">oie_f</f>
        <v>-1.2</v>
      </c>
      <c r="K3561" s="6" t="n">
        <f aca="false">oie_f</f>
        <v>-1.2</v>
      </c>
      <c r="L3561" s="12" t="s">
        <v>1073</v>
      </c>
    </row>
    <row r="3562" customFormat="false" ht="15" hidden="false" customHeight="false" outlineLevel="0" collapsed="false">
      <c r="A3562" s="1" t="s">
        <v>1074</v>
      </c>
      <c r="B3562" s="0" t="s">
        <v>98</v>
      </c>
      <c r="D3562" s="6" t="n">
        <f aca="false">Sens!D3554+Sens!D3561</f>
        <v>123.627</v>
      </c>
      <c r="E3562" s="6" t="n">
        <f aca="false">Sens!E3554+Sens!E3561</f>
        <v>165.934</v>
      </c>
      <c r="F3562" s="6" t="n">
        <f aca="false">Sens!F3554+Sens!F3561</f>
        <v>168.100254903165</v>
      </c>
      <c r="G3562" s="6" t="n">
        <f aca="false">Sens!G3554+Sens!G3561</f>
        <v>179.277470832828</v>
      </c>
      <c r="H3562" s="6" t="n">
        <f aca="false">Sens!H3554+Sens!H3561</f>
        <v>197.504126293833</v>
      </c>
      <c r="I3562" s="6" t="n">
        <f aca="false">Sens!I3554+Sens!I3561</f>
        <v>220.194154648462</v>
      </c>
      <c r="J3562" s="6" t="n">
        <f aca="false">Sens!J3554+Sens!J3561</f>
        <v>240.684682895082</v>
      </c>
      <c r="K3562" s="6" t="n">
        <f aca="false">Sens!K3554+Sens!K3561</f>
        <v>259.018725480362</v>
      </c>
    </row>
    <row r="3563" customFormat="false" ht="15" hidden="false" customHeight="false" outlineLevel="0" collapsed="false">
      <c r="A3563" s="1" t="s">
        <v>1075</v>
      </c>
      <c r="B3563" s="0" t="s">
        <v>98</v>
      </c>
      <c r="D3563" s="6" t="n">
        <f aca="false">Q!L29</f>
        <v>21.795</v>
      </c>
      <c r="E3563" s="6" t="n">
        <f aca="false">Q!M29</f>
        <v>32.185</v>
      </c>
      <c r="F3563" s="6" t="n">
        <f aca="false">Q!$I$29+(Sens!F3562-Q!$I$28)*tax_f</f>
        <v>33.7534509806329</v>
      </c>
      <c r="G3563" s="6" t="n">
        <f aca="false">Sens!G3562*tax_f</f>
        <v>35.8554941665657</v>
      </c>
      <c r="H3563" s="6" t="n">
        <f aca="false">Sens!H3562*tax_f</f>
        <v>39.5008252587666</v>
      </c>
      <c r="I3563" s="6" t="n">
        <f aca="false">Sens!I3562*tax_f</f>
        <v>44.0388309296925</v>
      </c>
      <c r="J3563" s="6" t="n">
        <f aca="false">Sens!J3562*tax_f</f>
        <v>48.1369365790164</v>
      </c>
      <c r="K3563" s="6" t="n">
        <f aca="false">Sens!K3562*tax_f</f>
        <v>51.8037450960724</v>
      </c>
    </row>
    <row r="3564" customFormat="false" ht="15" hidden="false" customHeight="false" outlineLevel="0" collapsed="false">
      <c r="A3564" s="1" t="s">
        <v>1076</v>
      </c>
      <c r="B3564" s="0" t="s">
        <v>98</v>
      </c>
      <c r="D3564" s="6" t="n">
        <f aca="false">Sens!D3562-Sens!D3563</f>
        <v>101.832</v>
      </c>
      <c r="E3564" s="6" t="n">
        <f aca="false">Sens!E3562-Sens!E3563</f>
        <v>133.749</v>
      </c>
      <c r="F3564" s="6" t="n">
        <f aca="false">Sens!F3562-Sens!F3563</f>
        <v>134.346803922532</v>
      </c>
      <c r="G3564" s="6" t="n">
        <f aca="false">Sens!G3562-Sens!G3563</f>
        <v>143.421976666263</v>
      </c>
      <c r="H3564" s="6" t="n">
        <f aca="false">Sens!H3562-Sens!H3563</f>
        <v>158.003301035066</v>
      </c>
      <c r="I3564" s="6" t="n">
        <f aca="false">Sens!I3562-Sens!I3563</f>
        <v>176.15532371877</v>
      </c>
      <c r="J3564" s="6" t="n">
        <f aca="false">Sens!J3562-Sens!J3563</f>
        <v>192.547746316066</v>
      </c>
      <c r="K3564" s="6" t="n">
        <f aca="false">Sens!K3562-Sens!K3563</f>
        <v>207.21498038429</v>
      </c>
    </row>
    <row r="3565" customFormat="false" ht="17.15" hidden="false" customHeight="false" outlineLevel="0" collapsed="false">
      <c r="A3565" s="1" t="s">
        <v>1077</v>
      </c>
      <c r="B3565" s="1" t="s">
        <v>81</v>
      </c>
      <c r="D3565" s="15" t="n">
        <f aca="false">Q!L31</f>
        <v>7.465</v>
      </c>
      <c r="E3565" s="15" t="n">
        <f aca="false">Q!M31</f>
        <v>7.453</v>
      </c>
      <c r="F3565" s="15" t="n">
        <f aca="false">Sens!F3609</f>
        <v>7.4735</v>
      </c>
      <c r="G3565" s="15" t="n">
        <f aca="false">Sens!G3609</f>
        <v>7.49981593415111</v>
      </c>
      <c r="H3565" s="15" t="n">
        <f aca="false">Sens!H3609</f>
        <v>7.50883180733101</v>
      </c>
      <c r="I3565" s="15" t="n">
        <f aca="false">Sens!I3609</f>
        <v>7.52051317138648</v>
      </c>
      <c r="J3565" s="15" t="n">
        <f aca="false">Sens!J3609</f>
        <v>7.53466258254895</v>
      </c>
      <c r="K3565" s="15" t="n">
        <f aca="false">Sens!K3609</f>
        <v>7.55109722251421</v>
      </c>
    </row>
    <row r="3566" customFormat="false" ht="17.15" hidden="false" customHeight="false" outlineLevel="0" collapsed="false">
      <c r="A3566" s="0" t="s">
        <v>1078</v>
      </c>
      <c r="B3566" s="0" t="s">
        <v>75</v>
      </c>
      <c r="D3566" s="8" t="n">
        <f aca="false">Sens!D3564/Sens!D3565</f>
        <v>13.641259209645</v>
      </c>
      <c r="E3566" s="8" t="n">
        <f aca="false">Sens!E3564/Sens!E3565</f>
        <v>17.9456594659869</v>
      </c>
      <c r="F3566" s="8" t="n">
        <f aca="false">Sens!F3564/Sens!F3565</f>
        <v>17.9764238874064</v>
      </c>
      <c r="G3566" s="8" t="n">
        <f aca="false">Sens!G3564/Sens!G3565</f>
        <v>19.1233995508046</v>
      </c>
      <c r="H3566" s="8" t="n">
        <f aca="false">Sens!H3564/Sens!H3565</f>
        <v>21.0423278999011</v>
      </c>
      <c r="I3566" s="8" t="n">
        <f aca="false">Sens!I3564/Sens!I3565</f>
        <v>23.4233116416833</v>
      </c>
      <c r="J3566" s="8" t="n">
        <f aca="false">Sens!J3564/Sens!J3565</f>
        <v>25.5549262102361</v>
      </c>
      <c r="K3566" s="8" t="n">
        <f aca="false">Sens!K3564/Sens!K3565</f>
        <v>27.4417047321893</v>
      </c>
      <c r="L3566" s="1" t="s">
        <v>1079</v>
      </c>
    </row>
    <row r="3567" customFormat="false" ht="17.15" hidden="false" customHeight="false" outlineLevel="0" collapsed="false">
      <c r="A3567" s="1" t="s">
        <v>1080</v>
      </c>
      <c r="B3567" s="0" t="s">
        <v>98</v>
      </c>
      <c r="D3567" s="6" t="n">
        <f aca="false">Sens!D3564</f>
        <v>101.832</v>
      </c>
      <c r="E3567" s="6" t="n">
        <f aca="false">Sens!E3564</f>
        <v>133.749</v>
      </c>
      <c r="F3567" s="6" t="n">
        <f aca="false">Sens!F3564+Sens!F3557*(1-tax_f)</f>
        <v>137.004162388746</v>
      </c>
      <c r="G3567" s="6" t="n">
        <f aca="false">Sens!G3564+Sens!G3557*(1-tax_f)</f>
        <v>147.286563307495</v>
      </c>
      <c r="H3567" s="6" t="n">
        <f aca="false">Sens!H3564+Sens!H3557*(1-tax_f)</f>
        <v>161.801947244569</v>
      </c>
      <c r="I3567" s="6" t="n">
        <f aca="false">Sens!I3564+Sens!I3557*(1-tax_f)</f>
        <v>179.11381274629</v>
      </c>
      <c r="J3567" s="6" t="n">
        <f aca="false">Sens!J3564+Sens!J3557*(1-tax_f)</f>
        <v>195.104349536211</v>
      </c>
      <c r="K3567" s="6" t="n">
        <f aca="false">Sens!K3564+Sens!K3557*(1-tax_f)</f>
        <v>209.649132932178</v>
      </c>
    </row>
    <row r="3568" customFormat="false" ht="17.15" hidden="false" customHeight="false" outlineLevel="0" collapsed="false">
      <c r="A3568" s="0" t="s">
        <v>1081</v>
      </c>
      <c r="B3568" s="0" t="s">
        <v>75</v>
      </c>
      <c r="D3568" s="8" t="n">
        <f aca="false">Sens!D3567/Sens!D3565</f>
        <v>13.641259209645</v>
      </c>
      <c r="E3568" s="8" t="n">
        <f aca="false">Sens!E3567/Sens!E3565</f>
        <v>17.9456594659869</v>
      </c>
      <c r="F3568" s="8" t="n">
        <f aca="false">Sens!F3567/Sens!F3565</f>
        <v>18.331994699772</v>
      </c>
      <c r="G3568" s="8" t="n">
        <f aca="false">Sens!G3567/Sens!G3565</f>
        <v>19.6386904159623</v>
      </c>
      <c r="H3568" s="8" t="n">
        <f aca="false">Sens!H3567/Sens!H3565</f>
        <v>21.5482183375846</v>
      </c>
      <c r="I3568" s="8" t="n">
        <f aca="false">Sens!I3567/Sens!I3565</f>
        <v>23.8167008905416</v>
      </c>
      <c r="J3568" s="8" t="n">
        <f aca="false">Sens!J3567/Sens!J3565</f>
        <v>25.8942384477963</v>
      </c>
      <c r="K3568" s="8" t="n">
        <f aca="false">Sens!K3567/Sens!K3565</f>
        <v>27.7640621957683</v>
      </c>
      <c r="L3568" s="1" t="s">
        <v>1082</v>
      </c>
    </row>
    <row r="3569" customFormat="false" ht="17.15" hidden="false" customHeight="false" outlineLevel="0" collapsed="false">
      <c r="A3569" s="0" t="s">
        <v>1083</v>
      </c>
      <c r="B3569" s="0" t="s">
        <v>168</v>
      </c>
      <c r="E3569" s="7" t="n">
        <f aca="false">Sens!E3568/Sens!D3568-1</f>
        <v>0.315542736208578</v>
      </c>
      <c r="F3569" s="7" t="n">
        <f aca="false">Sens!F3568/Sens!E3568-1</f>
        <v>0.021528060003446</v>
      </c>
      <c r="G3569" s="7" t="n">
        <f aca="false">Sens!G3568/Sens!F3568-1</f>
        <v>0.0712795163641702</v>
      </c>
      <c r="H3569" s="7" t="n">
        <f aca="false">Sens!H3568/Sens!G3568-1</f>
        <v>0.0972329560259386</v>
      </c>
      <c r="I3569" s="7" t="n">
        <f aca="false">Sens!I3568/Sens!H3568-1</f>
        <v>0.105274715404209</v>
      </c>
      <c r="J3569" s="7" t="n">
        <f aca="false">Sens!J3568/Sens!I3568-1</f>
        <v>0.0872302829347706</v>
      </c>
      <c r="K3569" s="7" t="n">
        <f aca="false">Sens!K3568/Sens!J3568-1</f>
        <v>0.0722100304954558</v>
      </c>
    </row>
    <row r="3570" customFormat="false" ht="17.15" hidden="false" customHeight="false" outlineLevel="0" collapsed="false">
      <c r="A3570" s="0" t="s">
        <v>1003</v>
      </c>
      <c r="B3570" s="0" t="s">
        <v>98</v>
      </c>
      <c r="E3570" s="6" t="n">
        <f aca="false">Sens!E3511</f>
        <v>5.25</v>
      </c>
      <c r="F3570" s="6" t="n">
        <f aca="false">Sens!F3511</f>
        <v>10.5</v>
      </c>
      <c r="G3570" s="6" t="n">
        <f aca="false">Sens!G3511</f>
        <v>13.5</v>
      </c>
      <c r="H3570" s="6" t="n">
        <f aca="false">Sens!H3511</f>
        <v>16.5</v>
      </c>
      <c r="I3570" s="6" t="n">
        <f aca="false">Sens!I3511</f>
        <v>18.75</v>
      </c>
      <c r="J3570" s="6" t="n">
        <f aca="false">Sens!J3511</f>
        <v>20.25</v>
      </c>
      <c r="K3570" s="6" t="n">
        <f aca="false">Sens!K3511</f>
        <v>21.75</v>
      </c>
    </row>
    <row r="3571" customFormat="false" ht="17.15" hidden="false" customHeight="false" outlineLevel="0" collapsed="false">
      <c r="A3571" s="1" t="s">
        <v>1004</v>
      </c>
      <c r="B3571" s="0" t="s">
        <v>98</v>
      </c>
      <c r="F3571" s="6" t="n">
        <f aca="false">MAX(0,((Sens!E3471+Sens!F3471)/2-(shadow_base*(Sens!$D$3471+Sens!$E$3471)/2+(1-shadow_base)*Sens!$E$3471))*Sens!F3480/1000-(Sens!F3570-Sens!$E$3570)*Sens!F3550)</f>
        <v>3.32169808276811</v>
      </c>
      <c r="G3571" s="6" t="n">
        <f aca="false">MAX(0,((Sens!F3471+Sens!G3471)/2-(shadow_base*(Sens!$D$3471+Sens!$E$3471)/2+(1-shadow_base)*Sens!$E$3471))*Sens!G3480/1000-(Sens!G3570-Sens!$E$3570)*Sens!G3550)</f>
        <v>4.83073330153996</v>
      </c>
      <c r="H3571" s="6" t="n">
        <f aca="false">MAX(0,((Sens!G3471+Sens!H3471)/2-(shadow_base*(Sens!$D$3471+Sens!$E$3471)/2+(1-shadow_base)*Sens!$E$3471))*Sens!H3480/1000-(Sens!H3570-Sens!$E$3570)*Sens!H3550)</f>
        <v>4.74830776187797</v>
      </c>
      <c r="I3571" s="6" t="n">
        <f aca="false">MAX(0,((Sens!H3471+Sens!I3471)/2-(shadow_base*(Sens!$D$3471+Sens!$E$3471)/2+(1-shadow_base)*Sens!$E$3471))*Sens!I3480/1000-(Sens!I3570-Sens!$E$3570)*Sens!I3550)</f>
        <v>3.69811128440021</v>
      </c>
      <c r="J3571" s="6" t="n">
        <f aca="false">MAX(0,((Sens!I3471+Sens!J3471)/2-(shadow_base*(Sens!$D$3471+Sens!$E$3471)/2+(1-shadow_base)*Sens!$E$3471))*Sens!J3480/1000-(Sens!J3570-Sens!$E$3570)*Sens!J3550)</f>
        <v>3.19575402518239</v>
      </c>
      <c r="K3571" s="6" t="n">
        <f aca="false">MAX(0,((Sens!J3471+Sens!K3471)/2-(shadow_base*(Sens!$D$3471+Sens!$E$3471)/2+(1-shadow_base)*Sens!$E$3471))*Sens!K3480/1000-(Sens!K3570-Sens!$E$3570)*Sens!K3550)</f>
        <v>3.04269068486014</v>
      </c>
      <c r="L3571" s="1" t="s">
        <v>1005</v>
      </c>
    </row>
    <row r="3572" customFormat="false" ht="17.15" hidden="false" customHeight="false" outlineLevel="0" collapsed="false">
      <c r="A3572" s="1" t="s">
        <v>1006</v>
      </c>
      <c r="B3572" s="0" t="s">
        <v>98</v>
      </c>
      <c r="F3572" s="6" t="n">
        <f aca="false">IF(internal_ai_reading=2,1,0)*Sens!F3571</f>
        <v>3.32169808276811</v>
      </c>
      <c r="G3572" s="6" t="n">
        <f aca="false">IF(internal_ai_reading=2,1,0)*Sens!G3571</f>
        <v>4.83073330153996</v>
      </c>
      <c r="H3572" s="6" t="n">
        <f aca="false">IF(internal_ai_reading=2,1,0)*Sens!H3571</f>
        <v>4.74830776187797</v>
      </c>
      <c r="I3572" s="6" t="n">
        <f aca="false">IF(internal_ai_reading=2,1,0)*Sens!I3571</f>
        <v>3.69811128440021</v>
      </c>
      <c r="J3572" s="6" t="n">
        <f aca="false">IF(internal_ai_reading=2,1,0)*Sens!J3571</f>
        <v>3.19575402518239</v>
      </c>
      <c r="K3572" s="6" t="n">
        <f aca="false">IF(internal_ai_reading=2,1,0)*Sens!K3571</f>
        <v>3.04269068486014</v>
      </c>
    </row>
    <row r="3573" customFormat="false" ht="17.15" hidden="false" customHeight="false" outlineLevel="0" collapsed="false">
      <c r="A3573" s="0" t="s">
        <v>1007</v>
      </c>
      <c r="B3573" s="0" t="s">
        <v>98</v>
      </c>
      <c r="F3573" s="6" t="n">
        <f aca="false">Sens!F3490+Sens!F3570*Sens!F3550+Sens!F3572-Sens!F3491-Sens!F3502</f>
        <v>4.98878044407102</v>
      </c>
      <c r="G3573" s="6" t="n">
        <f aca="false">Sens!G3490+Sens!G3570*Sens!G3550+Sens!G3572-Sens!G3491-Sens!G3502</f>
        <v>3.51482170410556</v>
      </c>
      <c r="H3573" s="6" t="n">
        <f aca="false">Sens!H3490+Sens!H3570*Sens!H3550+Sens!H3572-Sens!H3491-Sens!H3502</f>
        <v>-0.0993762851216644</v>
      </c>
      <c r="I3573" s="6" t="n">
        <f aca="false">Sens!I3490+Sens!I3570*Sens!I3550+Sens!I3572-Sens!I3491-Sens!I3502</f>
        <v>0.29494831530549</v>
      </c>
      <c r="J3573" s="6" t="n">
        <f aca="false">Sens!J3490+Sens!J3570*Sens!J3550+Sens!J3572-Sens!J3491-Sens!J3502</f>
        <v>0.338178922330961</v>
      </c>
      <c r="K3573" s="6" t="n">
        <f aca="false">Sens!K3490+Sens!K3570*Sens!K3550+Sens!K3572-Sens!K3491-Sens!K3502</f>
        <v>0.687097192223561</v>
      </c>
    </row>
    <row r="3574" customFormat="false" ht="17.15" hidden="false" customHeight="false" outlineLevel="0" collapsed="false">
      <c r="A3574" s="0" t="s">
        <v>1008</v>
      </c>
      <c r="B3574" s="0" t="s">
        <v>98</v>
      </c>
      <c r="E3574" s="6" t="n">
        <f aca="false">Sens!E3470*(cxit_open+self_build*tk_cxfac)/1000*ai_net_open</f>
        <v>126.6980382</v>
      </c>
      <c r="F3574" s="6" t="n">
        <f aca="false">Sens!E3574+Sens!F3499-Sens!F3502</f>
        <v>131.822683147</v>
      </c>
      <c r="G3574" s="6" t="n">
        <f aca="false">Sens!F3574+Sens!G3499-Sens!G3502</f>
        <v>136.850809452</v>
      </c>
      <c r="H3574" s="6" t="n">
        <f aca="false">Sens!G3574+Sens!H3499-Sens!H3502</f>
        <v>105.173224535</v>
      </c>
      <c r="I3574" s="6" t="n">
        <f aca="false">Sens!H3574+Sens!I3499-Sens!I3502</f>
        <v>102.104104363972</v>
      </c>
      <c r="J3574" s="6" t="n">
        <f aca="false">Sens!I3574+Sens!J3499-Sens!J3502</f>
        <v>112.526579647528</v>
      </c>
      <c r="K3574" s="6" t="n">
        <f aca="false">Sens!J3574+Sens!K3499-Sens!K3502</f>
        <v>163.901717877611</v>
      </c>
      <c r="L3574" s="1" t="s">
        <v>1009</v>
      </c>
    </row>
    <row r="3575" customFormat="false" ht="17.15" hidden="false" customHeight="false" outlineLevel="0" collapsed="false">
      <c r="A3575" s="0" t="s">
        <v>1010</v>
      </c>
      <c r="B3575" s="0" t="s">
        <v>168</v>
      </c>
      <c r="F3575" s="7" t="n">
        <f aca="false">Sens!F3573*(1-tax_f)/((Sens!E3574+Sens!F3574)/2)</f>
        <v>0.0308758565616089</v>
      </c>
      <c r="G3575" s="7" t="n">
        <f aca="false">Sens!G3573*(1-tax_f)/((Sens!F3574+Sens!G3574)/2)</f>
        <v>0.0209314088716686</v>
      </c>
      <c r="H3575" s="7" t="n">
        <f aca="false">Sens!H3573*(1-tax_f)/((Sens!G3574+Sens!H3574)/2)</f>
        <v>-0.00065696804393899</v>
      </c>
      <c r="I3575" s="7" t="n">
        <f aca="false">Sens!I3573*(1-tax_f)/((Sens!H3574+Sens!I3574)/2)</f>
        <v>0.00227674346729351</v>
      </c>
      <c r="J3575" s="7" t="n">
        <f aca="false">Sens!J3573*(1-tax_f)/((Sens!I3574+Sens!J3574)/2)</f>
        <v>0.00252101081549247</v>
      </c>
      <c r="K3575" s="7" t="n">
        <f aca="false">Sens!K3573*(1-tax_f)/((Sens!J3574+Sens!K3574)/2)</f>
        <v>0.00397700060883861</v>
      </c>
    </row>
    <row r="3576" customFormat="false" ht="17.15" hidden="false" customHeight="false" outlineLevel="0" collapsed="false">
      <c r="A3576" s="1" t="s">
        <v>1011</v>
      </c>
      <c r="B3576" s="0" t="s">
        <v>168</v>
      </c>
      <c r="F3576" s="7" t="n">
        <f aca="false">(Sens!F3573-Sens!F3572)*(1-tax_f)/((Sens!E3574+Sens!F3574)/2)</f>
        <v>0.0103176711104114</v>
      </c>
      <c r="G3576" s="7" t="n">
        <f aca="false">(Sens!G3573-Sens!G3572)*(1-tax_f)/((Sens!F3574+Sens!G3574)/2)</f>
        <v>-0.00783649527732706</v>
      </c>
      <c r="H3576" s="7" t="n">
        <f aca="false">(Sens!H3573-Sens!H3572)*(1-tax_f)/((Sens!G3574+Sens!H3574)/2)</f>
        <v>-0.0320476208392429</v>
      </c>
      <c r="I3576" s="7" t="n">
        <f aca="false">(Sens!I3573-Sens!I3572)*(1-tax_f)/((Sens!H3574+Sens!I3574)/2)</f>
        <v>-0.0262694467333931</v>
      </c>
      <c r="J3576" s="7" t="n">
        <f aca="false">(Sens!J3573-Sens!J3572)*(1-tax_f)/((Sens!I3574+Sens!J3574)/2)</f>
        <v>-0.0213022671274593</v>
      </c>
      <c r="K3576" s="7" t="n">
        <f aca="false">(Sens!K3573-Sens!K3572)*(1-tax_f)/((Sens!J3574+Sens!K3574)/2)</f>
        <v>-0.0136344564647032</v>
      </c>
    </row>
    <row r="3577" customFormat="false" ht="17.15" hidden="false" customHeight="false" outlineLevel="0" collapsed="false">
      <c r="A3577" s="1" t="s">
        <v>1012</v>
      </c>
      <c r="B3577" s="0" t="s">
        <v>168</v>
      </c>
      <c r="F3577" s="7" t="n">
        <f aca="false">(Sens!F3573-Sens!F3572+Sens!F3571)*(1-tax_f)/((Sens!E3574+Sens!F3574)/2)</f>
        <v>0.0308758565616089</v>
      </c>
      <c r="G3577" s="7" t="n">
        <f aca="false">(Sens!G3573-Sens!G3572+Sens!G3571)*(1-tax_f)/((Sens!F3574+Sens!G3574)/2)</f>
        <v>0.0209314088716686</v>
      </c>
      <c r="H3577" s="7" t="n">
        <f aca="false">(Sens!H3573-Sens!H3572+Sens!H3571)*(1-tax_f)/((Sens!G3574+Sens!H3574)/2)</f>
        <v>-0.00065696804393899</v>
      </c>
      <c r="I3577" s="7" t="n">
        <f aca="false">(Sens!I3573-Sens!I3572+Sens!I3571)*(1-tax_f)/((Sens!H3574+Sens!I3574)/2)</f>
        <v>0.00227674346729351</v>
      </c>
      <c r="J3577" s="7" t="n">
        <f aca="false">(Sens!J3573-Sens!J3572+Sens!J3571)*(1-tax_f)/((Sens!I3574+Sens!J3574)/2)</f>
        <v>0.00252101081549247</v>
      </c>
      <c r="K3577" s="7" t="n">
        <f aca="false">(Sens!K3573-Sens!K3572+Sens!K3571)*(1-tax_f)/((Sens!J3574+Sens!K3574)/2)</f>
        <v>0.00397700060883861</v>
      </c>
    </row>
    <row r="3578" customFormat="false" ht="17.15" hidden="false" customHeight="false" outlineLevel="0" collapsed="false">
      <c r="A3578" s="1" t="s">
        <v>1013</v>
      </c>
      <c r="B3578" s="0" t="s">
        <v>168</v>
      </c>
      <c r="F3578" s="7" t="n">
        <f aca="false">Sens!F3503*(1-tax_f)/(Sens!F3489*(Sens!E3574+Sens!F3574)/2)</f>
        <v>0.106983470139441</v>
      </c>
      <c r="G3578" s="7" t="n">
        <f aca="false">Sens!G3503*(1-tax_f)/(Sens!G3489*(Sens!F3574+Sens!G3574)/2)</f>
        <v>0.0828495807398649</v>
      </c>
      <c r="H3578" s="7" t="n">
        <f aca="false">Sens!H3503*(1-tax_f)/(Sens!H3489*(Sens!G3574+Sens!H3574)/2)</f>
        <v>0.049671832874314</v>
      </c>
      <c r="I3578" s="7" t="n">
        <f aca="false">Sens!I3503*(1-tax_f)/(Sens!I3489*(Sens!H3574+Sens!I3574)/2)</f>
        <v>0.063617784443709</v>
      </c>
      <c r="J3578" s="7" t="n">
        <f aca="false">Sens!J3503*(1-tax_f)/(Sens!J3489*(Sens!I3574+Sens!J3574)/2)</f>
        <v>0.0655166442751414</v>
      </c>
      <c r="K3578" s="7" t="n">
        <f aca="false">Sens!K3503*(1-tax_f)/(Sens!K3489*(Sens!J3574+Sens!K3574)/2)</f>
        <v>0.0586829736915535</v>
      </c>
    </row>
    <row r="3579" customFormat="false" ht="17.15" hidden="false" customHeight="false" outlineLevel="0" collapsed="false">
      <c r="A3579" s="0" t="s">
        <v>1014</v>
      </c>
      <c r="B3579" s="0" t="s">
        <v>253</v>
      </c>
      <c r="F3579" s="7" t="n">
        <f aca="false">Sens!F3575-wacc</f>
        <v>-0.0720607343839884</v>
      </c>
      <c r="G3579" s="7" t="n">
        <f aca="false">Sens!G3575-wacc</f>
        <v>-0.0820051820739287</v>
      </c>
      <c r="H3579" s="7" t="n">
        <f aca="false">Sens!H3575-wacc</f>
        <v>-0.103593558989536</v>
      </c>
      <c r="I3579" s="7" t="n">
        <f aca="false">Sens!I3575-wacc</f>
        <v>-0.100659847478304</v>
      </c>
      <c r="J3579" s="7" t="n">
        <f aca="false">Sens!J3575-wacc</f>
        <v>-0.100415580130105</v>
      </c>
      <c r="K3579" s="7" t="n">
        <f aca="false">Sens!K3575-wacc</f>
        <v>-0.0989595903367587</v>
      </c>
    </row>
    <row r="3580" customFormat="false" ht="17.15" hidden="false" customHeight="false" outlineLevel="0" collapsed="false">
      <c r="A3580" s="0" t="s">
        <v>1015</v>
      </c>
      <c r="B3580" s="0" t="s">
        <v>98</v>
      </c>
      <c r="F3580" s="6" t="n">
        <f aca="false">Sens!F3573*(1-tax_f)-wacc*(Sens!E3574+Sens!F3574)/2</f>
        <v>-9.31459651687162</v>
      </c>
      <c r="G3580" s="6" t="n">
        <f aca="false">Sens!G3573*(1-tax_f)-wacc*(Sens!F3574+Sens!G3574)/2</f>
        <v>-11.0163093395097</v>
      </c>
      <c r="H3580" s="6" t="n">
        <f aca="false">Sens!H3573*(1-tax_f)-wacc*(Sens!G3574+Sens!H3574)/2</f>
        <v>-12.5360655208589</v>
      </c>
      <c r="I3580" s="6" t="n">
        <f aca="false">Sens!I3573*(1-tax_f)-wacc*(Sens!H3574+Sens!I3574)/2</f>
        <v>-10.4322521563404</v>
      </c>
      <c r="J3580" s="6" t="n">
        <f aca="false">Sens!J3573*(1-tax_f)-wacc*(Sens!I3574+Sens!J3574)/2</f>
        <v>-10.776132324368</v>
      </c>
      <c r="K3580" s="6" t="n">
        <f aca="false">Sens!K3573*(1-tax_f)-wacc*(Sens!J3574+Sens!K3574)/2</f>
        <v>-13.6776155402877</v>
      </c>
    </row>
    <row r="3581" customFormat="false" ht="17.15" hidden="false" customHeight="false" outlineLevel="0" collapsed="false">
      <c r="A3581" s="3" t="s">
        <v>1568</v>
      </c>
    </row>
    <row r="3582" customFormat="false" ht="15" hidden="false" customHeight="false" outlineLevel="0" collapsed="false">
      <c r="A3582" s="4" t="s">
        <v>43</v>
      </c>
      <c r="B3582" s="4" t="s">
        <v>65</v>
      </c>
      <c r="C3582" s="23" t="s">
        <v>938</v>
      </c>
      <c r="D3582" s="23" t="s">
        <v>939</v>
      </c>
      <c r="E3582" s="23" t="s">
        <v>940</v>
      </c>
      <c r="F3582" s="23" t="s">
        <v>941</v>
      </c>
      <c r="G3582" s="23" t="s">
        <v>942</v>
      </c>
      <c r="H3582" s="23" t="s">
        <v>943</v>
      </c>
      <c r="I3582" s="23" t="s">
        <v>944</v>
      </c>
      <c r="J3582" s="23" t="s">
        <v>945</v>
      </c>
      <c r="K3582" s="23" t="s">
        <v>946</v>
      </c>
      <c r="L3582" s="4" t="s">
        <v>47</v>
      </c>
    </row>
    <row r="3583" customFormat="false" ht="15" hidden="false" customHeight="false" outlineLevel="0" collapsed="false">
      <c r="A3583" s="1" t="s">
        <v>1076</v>
      </c>
      <c r="B3583" s="0" t="s">
        <v>98</v>
      </c>
      <c r="F3583" s="6" t="n">
        <f aca="false">Sens!F3564</f>
        <v>134.346803922532</v>
      </c>
      <c r="G3583" s="6" t="n">
        <f aca="false">Sens!G3564</f>
        <v>143.421976666263</v>
      </c>
      <c r="H3583" s="6" t="n">
        <f aca="false">Sens!H3564</f>
        <v>158.003301035066</v>
      </c>
      <c r="I3583" s="6" t="n">
        <f aca="false">Sens!I3564</f>
        <v>176.15532371877</v>
      </c>
      <c r="J3583" s="6" t="n">
        <f aca="false">Sens!J3564</f>
        <v>192.547746316066</v>
      </c>
      <c r="K3583" s="6" t="n">
        <f aca="false">Sens!K3564</f>
        <v>207.21498038429</v>
      </c>
    </row>
    <row r="3584" customFormat="false" ht="17.15" hidden="false" customHeight="false" outlineLevel="0" collapsed="false">
      <c r="A3584" s="1" t="s">
        <v>1098</v>
      </c>
      <c r="B3584" s="0" t="s">
        <v>98</v>
      </c>
      <c r="E3584" s="6" t="n">
        <f aca="false">Q!M38-Sens!E3502</f>
        <v>22.2285940229167</v>
      </c>
      <c r="F3584" s="6" t="n">
        <f aca="false">Sens!E3584*(1-1/life_nonai)+(Sens!F3592+Sens!F3593)/life_nonai</f>
        <v>37.458367358225</v>
      </c>
      <c r="G3584" s="6" t="n">
        <f aca="false">Sens!F3584*(1-1/life_nonai)+(Sens!G3592)/life_nonai</f>
        <v>37.8971931807589</v>
      </c>
      <c r="H3584" s="6" t="n">
        <f aca="false">Sens!G3584*(1-1/life_nonai)+(Sens!H3592)/life_nonai</f>
        <v>38.8470034950136</v>
      </c>
      <c r="I3584" s="6" t="n">
        <f aca="false">Sens!H3584*(1-1/life_nonai)+(Sens!I3592)/life_nonai</f>
        <v>40.2363776179593</v>
      </c>
      <c r="J3584" s="6" t="n">
        <f aca="false">Sens!I3584*(1-1/life_nonai)+(Sens!J3592)/life_nonai</f>
        <v>41.976670284337</v>
      </c>
      <c r="K3584" s="6" t="n">
        <f aca="false">Sens!J3584*(1-1/life_nonai)+(Sens!K3592)/life_nonai</f>
        <v>43.9704272663843</v>
      </c>
      <c r="L3584" s="12" t="s">
        <v>1099</v>
      </c>
    </row>
    <row r="3585" customFormat="false" ht="17.15" hidden="false" customHeight="false" outlineLevel="0" collapsed="false">
      <c r="A3585" s="1" t="s">
        <v>1100</v>
      </c>
      <c r="B3585" s="0" t="s">
        <v>98</v>
      </c>
      <c r="F3585" s="6" t="n">
        <f aca="false">Sens!$F$3593/life_nonai*(1-1/life_nonai)^(Sens!F3465-2027)</f>
        <v>13.8140066594294</v>
      </c>
      <c r="G3585" s="6" t="n">
        <f aca="false">Sens!$F$3593/life_nonai*(1-1/life_nonai)^(Sens!G3465-2027)</f>
        <v>12.4326059934865</v>
      </c>
      <c r="H3585" s="6" t="n">
        <f aca="false">Sens!$F$3593/life_nonai*(1-1/life_nonai)^(Sens!H3465-2027)</f>
        <v>11.1893453941378</v>
      </c>
      <c r="I3585" s="6" t="n">
        <f aca="false">Sens!$F$3593/life_nonai*(1-1/life_nonai)^(Sens!I3465-2027)</f>
        <v>10.0704108547241</v>
      </c>
      <c r="J3585" s="6" t="n">
        <f aca="false">Sens!$F$3593/life_nonai*(1-1/life_nonai)^(Sens!J3465-2027)</f>
        <v>9.06336976925165</v>
      </c>
      <c r="K3585" s="6" t="n">
        <f aca="false">Sens!$F$3593/life_nonai*(1-1/life_nonai)^(Sens!K3465-2027)</f>
        <v>8.15703279232649</v>
      </c>
      <c r="L3585" s="1" t="s">
        <v>1101</v>
      </c>
    </row>
    <row r="3586" customFormat="false" ht="17.15" hidden="false" customHeight="false" outlineLevel="0" collapsed="false">
      <c r="A3586" s="1" t="s">
        <v>1102</v>
      </c>
      <c r="B3586" s="0" t="s">
        <v>98</v>
      </c>
      <c r="E3586" s="6" t="n">
        <f aca="false">Sens!E3502+Sens!E3584</f>
        <v>38.534</v>
      </c>
      <c r="F3586" s="6" t="n">
        <f aca="false">Sens!F3502+Sens!F3584</f>
        <v>62.007395035225</v>
      </c>
      <c r="G3586" s="6" t="n">
        <f aca="false">Sens!G3502+Sens!G3584</f>
        <v>67.0828260037589</v>
      </c>
      <c r="H3586" s="6" t="n">
        <f aca="false">Sens!H3502+Sens!H3584</f>
        <v>70.5245884120136</v>
      </c>
      <c r="I3586" s="6" t="n">
        <f aca="false">Sens!I3502+Sens!I3584</f>
        <v>72.4662425489871</v>
      </c>
      <c r="J3586" s="6" t="n">
        <f aca="false">Sens!J3502+Sens!J3584</f>
        <v>75.5928707607814</v>
      </c>
      <c r="K3586" s="6" t="n">
        <f aca="false">Sens!K3502+Sens!K3584</f>
        <v>80.0775233163009</v>
      </c>
    </row>
    <row r="3587" customFormat="false" ht="17.15" hidden="false" customHeight="false" outlineLevel="0" collapsed="false">
      <c r="A3587" s="1" t="s">
        <v>1103</v>
      </c>
      <c r="B3587" s="0" t="s">
        <v>98</v>
      </c>
      <c r="F3587" s="6" t="n">
        <f aca="false">Sens!F3529*sbc_r</f>
        <v>14.3733372521203</v>
      </c>
      <c r="G3587" s="6" t="n">
        <f aca="false">Sens!G3529*sbc_r</f>
        <v>15.9508977871648</v>
      </c>
      <c r="H3587" s="6" t="n">
        <f aca="false">Sens!H3529*sbc_r</f>
        <v>17.3854028915498</v>
      </c>
      <c r="I3587" s="6" t="n">
        <f aca="false">Sens!I3529*sbc_r</f>
        <v>18.8700470966675</v>
      </c>
      <c r="J3587" s="6" t="n">
        <f aca="false">Sens!J3529*sbc_r</f>
        <v>20.2710479973254</v>
      </c>
      <c r="K3587" s="6" t="n">
        <f aca="false">Sens!K3529*sbc_r</f>
        <v>21.5928535358532</v>
      </c>
    </row>
    <row r="3588" customFormat="false" ht="17.15" hidden="false" customHeight="false" outlineLevel="0" collapsed="false">
      <c r="A3588" s="1" t="s">
        <v>1104</v>
      </c>
      <c r="B3588" s="0" t="s">
        <v>98</v>
      </c>
      <c r="F3588" s="6" t="n">
        <f aca="false">wc27-wc26q1</f>
        <v>-4.677</v>
      </c>
      <c r="G3588" s="6" t="n">
        <f aca="false">wc_f</f>
        <v>0</v>
      </c>
      <c r="H3588" s="6" t="n">
        <f aca="false">wc_f</f>
        <v>0</v>
      </c>
      <c r="I3588" s="6" t="n">
        <f aca="false">wc_f</f>
        <v>0</v>
      </c>
      <c r="J3588" s="6" t="n">
        <f aca="false">wc_f</f>
        <v>0</v>
      </c>
      <c r="K3588" s="6" t="n">
        <f aca="false">wc_f</f>
        <v>0</v>
      </c>
      <c r="L3588" s="12" t="s">
        <v>1105</v>
      </c>
    </row>
    <row r="3589" customFormat="false" ht="17.15" hidden="false" customHeight="false" outlineLevel="0" collapsed="false">
      <c r="A3589" s="0" t="s">
        <v>1106</v>
      </c>
      <c r="B3589" s="0" t="s">
        <v>98</v>
      </c>
      <c r="F3589" s="6" t="n">
        <f aca="false">Q!$I$35-Q!$I$26-Q!$I$38-Q!$I$39</f>
        <v>6.493</v>
      </c>
      <c r="L3589" s="1" t="s">
        <v>1107</v>
      </c>
    </row>
    <row r="3590" customFormat="false" ht="15" hidden="false" customHeight="false" outlineLevel="0" collapsed="false">
      <c r="A3590" s="1" t="s">
        <v>904</v>
      </c>
      <c r="B3590" s="0" t="s">
        <v>98</v>
      </c>
      <c r="E3590" s="6" t="n">
        <f aca="false">Q!M35</f>
        <v>182.935</v>
      </c>
      <c r="F3590" s="6" t="n">
        <f aca="false">Sens!F3583+Sens!F3586+Sens!F3587+Sens!F3588+Sens!F3589</f>
        <v>212.543536209877</v>
      </c>
      <c r="G3590" s="6" t="n">
        <f aca="false">Sens!G3583+Sens!G3586+Sens!G3587+Sens!G3588</f>
        <v>226.455700457186</v>
      </c>
      <c r="H3590" s="6" t="n">
        <f aca="false">Sens!H3583+Sens!H3586+Sens!H3587+Sens!H3588</f>
        <v>245.91329233863</v>
      </c>
      <c r="I3590" s="6" t="n">
        <f aca="false">Sens!I3583+Sens!I3586+Sens!I3587+Sens!I3588</f>
        <v>267.491613364424</v>
      </c>
      <c r="J3590" s="6" t="n">
        <f aca="false">Sens!J3583+Sens!J3586+Sens!J3587+Sens!J3588</f>
        <v>288.411665074172</v>
      </c>
      <c r="K3590" s="6" t="n">
        <f aca="false">Sens!K3583+Sens!K3586+Sens!K3587+Sens!K3588</f>
        <v>308.885357236444</v>
      </c>
    </row>
    <row r="3591" customFormat="false" ht="17.15" hidden="false" customHeight="false" outlineLevel="0" collapsed="false">
      <c r="A3591" s="0" t="s">
        <v>1108</v>
      </c>
      <c r="B3591" s="0" t="s">
        <v>98</v>
      </c>
      <c r="F3591" s="6" t="n">
        <f aca="false">Sens!F3499</f>
        <v>29.673672624</v>
      </c>
      <c r="G3591" s="6" t="n">
        <f aca="false">Sens!G3499</f>
        <v>34.213759128</v>
      </c>
      <c r="H3591" s="6" t="n">
        <f aca="false">Sens!H3499</f>
        <v>0</v>
      </c>
      <c r="I3591" s="6" t="n">
        <f aca="false">Sens!I3499</f>
        <v>29.16074476</v>
      </c>
      <c r="J3591" s="6" t="n">
        <f aca="false">Sens!J3499</f>
        <v>44.03867576</v>
      </c>
      <c r="K3591" s="6" t="n">
        <f aca="false">Sens!K3499</f>
        <v>87.48223428</v>
      </c>
    </row>
    <row r="3592" customFormat="false" ht="17.15" hidden="false" customHeight="false" outlineLevel="0" collapsed="false">
      <c r="A3592" s="1" t="s">
        <v>1109</v>
      </c>
      <c r="B3592" s="0" t="s">
        <v>98</v>
      </c>
      <c r="E3592" s="6" t="n">
        <f aca="false">Sens!E3507*cx_azo+Sens!E3514*cx_m365+Sens!E3515*cx_lic+(Sens!E3517+Sens!E3519)*cx_ind+Sens!E3522*cx_srch+(Sens!E3524+Sens!E3526)*cx_dev</f>
        <v>30.1846587067718</v>
      </c>
      <c r="F3592" s="6" t="n">
        <f aca="false">Sens!F3507*cx_azo+Sens!F3514*cx_m365+Sens!F3515*cx_lic+(Sens!F3517+Sens!F3519)*cx_ind+Sens!F3522*cx_srch+(Sens!F3524+Sens!F3526)*cx_dev</f>
        <v>36.3862607817056</v>
      </c>
      <c r="G3592" s="6" t="n">
        <f aca="false">Sens!G3507*cx_azo+Sens!G3514*cx_m365+Sens!G3515*cx_lic+(Sens!G3517+Sens!G3519)*cx_ind+Sens!G3522*cx_srch+(Sens!G3524+Sens!G3526)*cx_dev</f>
        <v>41.8466255835643</v>
      </c>
      <c r="H3592" s="6" t="n">
        <f aca="false">Sens!H3507*cx_azo+Sens!H3514*cx_m365+Sens!H3515*cx_lic+(Sens!H3517+Sens!H3519)*cx_ind+Sens!H3522*cx_srch+(Sens!H3524+Sens!H3526)*cx_dev</f>
        <v>47.3952963233052</v>
      </c>
      <c r="I3592" s="6" t="n">
        <f aca="false">Sens!I3507*cx_azo+Sens!I3514*cx_m365+Sens!I3515*cx_lic+(Sens!I3517+Sens!I3519)*cx_ind+Sens!I3522*cx_srch+(Sens!I3524+Sens!I3526)*cx_dev</f>
        <v>52.7407447244711</v>
      </c>
      <c r="J3592" s="6" t="n">
        <f aca="false">Sens!J3507*cx_azo+Sens!J3514*cx_m365+Sens!J3515*cx_lic+(Sens!J3517+Sens!J3519)*cx_ind+Sens!J3522*cx_srch+(Sens!J3524+Sens!J3526)*cx_dev</f>
        <v>57.6393042817356</v>
      </c>
      <c r="K3592" s="6" t="n">
        <f aca="false">Sens!K3507*cx_azo+Sens!K3514*cx_m365+Sens!K3515*cx_lic+(Sens!K3517+Sens!K3519)*cx_ind+Sens!K3522*cx_srch+(Sens!K3524+Sens!K3526)*cx_dev</f>
        <v>61.9142401048102</v>
      </c>
    </row>
    <row r="3593" customFormat="false" ht="17.15" hidden="false" customHeight="false" outlineLevel="0" collapsed="false">
      <c r="A3593" s="0" t="s">
        <v>1110</v>
      </c>
      <c r="B3593" s="0" t="s">
        <v>98</v>
      </c>
      <c r="F3593" s="6" t="n">
        <f aca="false">Sens!F3497</f>
        <v>138.140066594294</v>
      </c>
      <c r="L3593" s="1" t="s">
        <v>1111</v>
      </c>
    </row>
    <row r="3594" customFormat="false" ht="17.15" hidden="false" customHeight="false" outlineLevel="0" collapsed="false">
      <c r="A3594" s="1" t="s">
        <v>1112</v>
      </c>
      <c r="B3594" s="0" t="s">
        <v>98</v>
      </c>
      <c r="E3594" s="6" t="n">
        <f aca="false">Q!M43</f>
        <v>145.3</v>
      </c>
      <c r="F3594" s="6" t="n">
        <f aca="false">Sens!F3591+Sens!F3592+Sens!F3593</f>
        <v>204.2</v>
      </c>
      <c r="G3594" s="6" t="n">
        <f aca="false">Sens!G3591+Sens!G3592</f>
        <v>76.0603847115643</v>
      </c>
      <c r="H3594" s="6" t="n">
        <f aca="false">Sens!H3591+Sens!H3592</f>
        <v>47.3952963233052</v>
      </c>
      <c r="I3594" s="6" t="n">
        <f aca="false">Sens!I3591+Sens!I3592</f>
        <v>81.9014894844711</v>
      </c>
      <c r="J3594" s="6" t="n">
        <f aca="false">Sens!J3591+Sens!J3592</f>
        <v>101.677980041736</v>
      </c>
      <c r="K3594" s="6" t="n">
        <f aca="false">Sens!K3591+Sens!K3592</f>
        <v>149.39647438481</v>
      </c>
      <c r="L3594" s="1" t="s">
        <v>1113</v>
      </c>
    </row>
    <row r="3595" customFormat="false" ht="15" hidden="false" customHeight="false" outlineLevel="0" collapsed="false">
      <c r="A3595" s="1" t="s">
        <v>1114</v>
      </c>
      <c r="B3595" s="0" t="s">
        <v>98</v>
      </c>
      <c r="E3595" s="6" t="n">
        <f aca="false">fl_liab</f>
        <v>66.594</v>
      </c>
      <c r="F3595" s="6" t="n">
        <f aca="false">Sens!E3595-Sens!F3596</f>
        <v>62.46973</v>
      </c>
      <c r="G3595" s="6" t="n">
        <f aca="false">Sens!F3595-Sens!G3596</f>
        <v>57.98686785</v>
      </c>
      <c r="H3595" s="6" t="n">
        <f aca="false">Sens!G3595-Sens!H3596</f>
        <v>53.92827690325</v>
      </c>
      <c r="I3595" s="6" t="n">
        <f aca="false">Sens!H3595-Sens!I3596</f>
        <v>49.7850493638962</v>
      </c>
      <c r="J3595" s="6" t="n">
        <f aca="false">Sens!I3595-Sens!J3596</f>
        <v>45.4823765852716</v>
      </c>
      <c r="K3595" s="6" t="n">
        <f aca="false">Sens!J3595-Sens!K3596</f>
        <v>40.9860835316088</v>
      </c>
    </row>
    <row r="3596" customFormat="false" ht="15" hidden="false" customHeight="false" outlineLevel="0" collapsed="false">
      <c r="A3596" s="1" t="s">
        <v>1115</v>
      </c>
      <c r="B3596" s="0" t="s">
        <v>98</v>
      </c>
      <c r="F3596" s="6" t="n">
        <f aca="false">fl_pay_27-Sens!E3595*fl_rate</f>
        <v>4.12427</v>
      </c>
      <c r="G3596" s="6" t="n">
        <f aca="false">fl_pay_28-Sens!F3595*fl_rate</f>
        <v>4.48286215</v>
      </c>
      <c r="H3596" s="6" t="n">
        <f aca="false">fl_pay_29-Sens!G3595*fl_rate</f>
        <v>4.05859094675</v>
      </c>
      <c r="I3596" s="6" t="n">
        <f aca="false">fl_pay_30-Sens!H3595*fl_rate</f>
        <v>4.14322753935375</v>
      </c>
      <c r="J3596" s="6" t="n">
        <f aca="false">fl_pay_31-Sens!I3595*fl_rate</f>
        <v>4.30267277862467</v>
      </c>
      <c r="K3596" s="6" t="n">
        <f aca="false">fl_pay_32-Sens!J3595*fl_rate</f>
        <v>4.49629305366278</v>
      </c>
    </row>
    <row r="3597" customFormat="false" ht="17.15" hidden="false" customHeight="false" outlineLevel="0" collapsed="false">
      <c r="A3597" s="1" t="s">
        <v>1116</v>
      </c>
      <c r="B3597" s="0" t="s">
        <v>98</v>
      </c>
      <c r="E3597" s="6" t="n">
        <f aca="false">Q!M35-Q!M36-Q!M44</f>
        <v>63.886</v>
      </c>
      <c r="F3597" s="6" t="n">
        <f aca="false">Sens!F3590-Sens!F3594-Sens!F3596</f>
        <v>4.21926620987702</v>
      </c>
      <c r="G3597" s="6" t="n">
        <f aca="false">Sens!G3590-Sens!G3594-Sens!G3596</f>
        <v>145.912453595622</v>
      </c>
      <c r="H3597" s="6" t="n">
        <f aca="false">Sens!H3590-Sens!H3594-Sens!H3596</f>
        <v>194.459405068574</v>
      </c>
      <c r="I3597" s="6" t="n">
        <f aca="false">Sens!I3590-Sens!I3594-Sens!I3596</f>
        <v>181.4468963406</v>
      </c>
      <c r="J3597" s="6" t="n">
        <f aca="false">Sens!J3590-Sens!J3594-Sens!J3596</f>
        <v>182.431012253812</v>
      </c>
      <c r="K3597" s="6" t="n">
        <f aca="false">Sens!K3590-Sens!K3594-Sens!K3596</f>
        <v>154.992589797971</v>
      </c>
      <c r="L3597" s="12" t="s">
        <v>1117</v>
      </c>
    </row>
    <row r="3598" customFormat="false" ht="15" hidden="false" customHeight="false" outlineLevel="0" collapsed="false">
      <c r="A3598" s="1" t="s">
        <v>1118</v>
      </c>
      <c r="B3598" s="0" t="s">
        <v>75</v>
      </c>
      <c r="F3598" s="8" t="n">
        <f aca="false">dps_27</f>
        <v>3.85</v>
      </c>
      <c r="G3598" s="8" t="n">
        <f aca="false">Sens!F3598*(1+dps_g)</f>
        <v>4.158</v>
      </c>
      <c r="H3598" s="8" t="n">
        <f aca="false">Sens!G3598*(1+dps_g)</f>
        <v>4.49064</v>
      </c>
      <c r="I3598" s="8" t="n">
        <f aca="false">Sens!H3598*(1+dps_g)</f>
        <v>4.8498912</v>
      </c>
      <c r="J3598" s="8" t="n">
        <f aca="false">Sens!I3598*(1+dps_g)</f>
        <v>5.237882496</v>
      </c>
      <c r="K3598" s="8" t="n">
        <f aca="false">Sens!J3598*(1+dps_g)</f>
        <v>5.65691309568</v>
      </c>
    </row>
    <row r="3599" customFormat="false" ht="17.15" hidden="false" customHeight="false" outlineLevel="0" collapsed="false">
      <c r="A3599" s="1" t="s">
        <v>1119</v>
      </c>
      <c r="B3599" s="0" t="s">
        <v>98</v>
      </c>
      <c r="E3599" s="6" t="n">
        <f aca="false">Q!M41</f>
        <v>26.445</v>
      </c>
      <c r="F3599" s="6" t="n">
        <f aca="false">Sens!F3598*Sens!E3608</f>
        <v>28.59395</v>
      </c>
      <c r="G3599" s="6" t="n">
        <f aca="false">Sens!G3598*Sens!F3608</f>
        <v>31.068576</v>
      </c>
      <c r="H3599" s="6" t="n">
        <f aca="false">Sens!H3598*Sens!G3608</f>
        <v>33.5883340530727</v>
      </c>
      <c r="I3599" s="6" t="n">
        <f aca="false">Sens!I3598*Sens!H3608</f>
        <v>36.3258390543911</v>
      </c>
      <c r="J3599" s="6" t="n">
        <f aca="false">Sens!J3598*Sens!I3608</f>
        <v>39.299804064135</v>
      </c>
      <c r="K3599" s="6" t="n">
        <f aca="false">Sens!K3598*Sens!J3608</f>
        <v>42.5305426516441</v>
      </c>
      <c r="L3599" s="1" t="s">
        <v>1120</v>
      </c>
    </row>
    <row r="3600" customFormat="false" ht="15" hidden="false" customHeight="false" outlineLevel="0" collapsed="false">
      <c r="A3600" s="1" t="s">
        <v>1121</v>
      </c>
      <c r="B3600" s="0" t="s">
        <v>98</v>
      </c>
      <c r="E3600" s="6" t="n">
        <f aca="false">Sens!E3597-Sens!E3599</f>
        <v>37.441</v>
      </c>
      <c r="F3600" s="6" t="n">
        <f aca="false">Sens!F3597-Sens!F3599</f>
        <v>-24.374683790123</v>
      </c>
      <c r="G3600" s="6" t="n">
        <f aca="false">Sens!G3597-Sens!G3599</f>
        <v>114.843877595622</v>
      </c>
      <c r="H3600" s="6" t="n">
        <f aca="false">Sens!H3597-Sens!H3599</f>
        <v>160.871071015502</v>
      </c>
      <c r="I3600" s="6" t="n">
        <f aca="false">Sens!I3597-Sens!I3599</f>
        <v>145.121057286208</v>
      </c>
      <c r="J3600" s="6" t="n">
        <f aca="false">Sens!J3597-Sens!J3599</f>
        <v>143.131208189677</v>
      </c>
      <c r="K3600" s="6" t="n">
        <f aca="false">Sens!K3597-Sens!K3599</f>
        <v>112.462047146327</v>
      </c>
    </row>
    <row r="3601" customFormat="false" ht="15" hidden="false" customHeight="false" outlineLevel="0" collapsed="false">
      <c r="A3601" s="1" t="s">
        <v>1122</v>
      </c>
      <c r="B3601" s="0" t="s">
        <v>98</v>
      </c>
      <c r="F3601" s="6" t="n">
        <f aca="false">debt_mat_27</f>
        <v>9.25</v>
      </c>
      <c r="G3601" s="6" t="n">
        <f aca="false">debt_mat_28</f>
        <v>0</v>
      </c>
      <c r="H3601" s="6" t="n">
        <f aca="false">debt_mat_29</f>
        <v>2.001</v>
      </c>
      <c r="I3601" s="6" t="n">
        <f aca="false">debt_mat_30</f>
        <v>0</v>
      </c>
      <c r="J3601" s="6" t="n">
        <f aca="false">debt_mat_31</f>
        <v>0.5</v>
      </c>
      <c r="K3601" s="6" t="n">
        <f aca="false">debt_mat_32</f>
        <v>0</v>
      </c>
    </row>
    <row r="3602" customFormat="false" ht="15" hidden="false" customHeight="false" outlineLevel="0" collapsed="false">
      <c r="A3602" s="1" t="s">
        <v>1123</v>
      </c>
      <c r="B3602" s="0" t="s">
        <v>98</v>
      </c>
      <c r="E3602" s="6" t="n">
        <f aca="false">Q!M40</f>
        <v>22.271</v>
      </c>
      <c r="F3602" s="6" t="n">
        <f aca="false">MAX(0,MIN(bb_target,Sens!E3604+Sens!F3600-Sens!F3601-min_cash))</f>
        <v>0</v>
      </c>
      <c r="G3602" s="6" t="n">
        <f aca="false">MAX(0,MIN(bb_target,Sens!F3604+Sens!G3600-Sens!G3601-min_cash))</f>
        <v>22.271</v>
      </c>
      <c r="H3602" s="6" t="n">
        <f aca="false">MAX(0,MIN(bb_target,Sens!G3604+Sens!H3600-Sens!H3601-min_cash))</f>
        <v>22.271</v>
      </c>
      <c r="I3602" s="6" t="n">
        <f aca="false">MAX(0,MIN(bb_target,Sens!H3604+Sens!I3600-Sens!I3601-min_cash))</f>
        <v>22.271</v>
      </c>
      <c r="J3602" s="6" t="n">
        <f aca="false">MAX(0,MIN(bb_target,Sens!I3604+Sens!J3600-Sens!J3601-min_cash))</f>
        <v>22.271</v>
      </c>
      <c r="K3602" s="6" t="n">
        <f aca="false">MAX(0,MIN(bb_target,Sens!J3604+Sens!K3600-Sens!K3601-min_cash))</f>
        <v>22.271</v>
      </c>
    </row>
    <row r="3603" customFormat="false" ht="15" hidden="false" customHeight="false" outlineLevel="0" collapsed="false">
      <c r="A3603" s="1" t="s">
        <v>1124</v>
      </c>
      <c r="B3603" s="0" t="s">
        <v>98</v>
      </c>
      <c r="F3603" s="6" t="n">
        <f aca="false">MAX(0,min_cash-(Sens!E3604+Sens!F3600-Sens!F3601-Sens!F3602))</f>
        <v>6.78168379012298</v>
      </c>
      <c r="G3603" s="6" t="n">
        <f aca="false">MAX(0,min_cash-(Sens!F3604+Sens!G3600-Sens!G3601-Sens!G3602))</f>
        <v>0</v>
      </c>
      <c r="H3603" s="6" t="n">
        <f aca="false">MAX(0,min_cash-(Sens!G3604+Sens!H3600-Sens!H3601-Sens!H3602))</f>
        <v>0</v>
      </c>
      <c r="I3603" s="6" t="n">
        <f aca="false">MAX(0,min_cash-(Sens!H3604+Sens!I3600-Sens!I3601-Sens!I3602))</f>
        <v>0</v>
      </c>
      <c r="J3603" s="6" t="n">
        <f aca="false">MAX(0,min_cash-(Sens!I3604+Sens!J3600-Sens!J3601-Sens!J3602))</f>
        <v>0</v>
      </c>
      <c r="K3603" s="6" t="n">
        <f aca="false">MAX(0,min_cash-(Sens!J3604+Sens!K3600-Sens!K3601-Sens!K3602))</f>
        <v>0</v>
      </c>
    </row>
    <row r="3604" customFormat="false" ht="15" hidden="false" customHeight="false" outlineLevel="0" collapsed="false">
      <c r="A3604" s="1" t="s">
        <v>1125</v>
      </c>
      <c r="B3604" s="0" t="s">
        <v>98</v>
      </c>
      <c r="E3604" s="6" t="n">
        <f aca="false">cash_open</f>
        <v>76.843</v>
      </c>
      <c r="F3604" s="6" t="n">
        <f aca="false">Sens!E3604+Sens!F3600-Sens!F3601-Sens!F3602+Sens!F3603</f>
        <v>50</v>
      </c>
      <c r="G3604" s="6" t="n">
        <f aca="false">Sens!F3604+Sens!G3600-Sens!G3601-Sens!G3602+Sens!G3603</f>
        <v>142.572877595622</v>
      </c>
      <c r="H3604" s="6" t="n">
        <f aca="false">Sens!G3604+Sens!H3600-Sens!H3601-Sens!H3602+Sens!H3603</f>
        <v>279.171948611124</v>
      </c>
      <c r="I3604" s="6" t="n">
        <f aca="false">Sens!H3604+Sens!I3600-Sens!I3601-Sens!I3602+Sens!I3603</f>
        <v>402.022005897332</v>
      </c>
      <c r="J3604" s="6" t="n">
        <f aca="false">Sens!I3604+Sens!J3600-Sens!J3601-Sens!J3602+Sens!J3603</f>
        <v>522.382214087009</v>
      </c>
      <c r="K3604" s="6" t="n">
        <f aca="false">Sens!J3604+Sens!K3600-Sens!K3601-Sens!K3602+Sens!K3603</f>
        <v>612.573261233336</v>
      </c>
    </row>
    <row r="3605" customFormat="false" ht="15" hidden="false" customHeight="false" outlineLevel="0" collapsed="false">
      <c r="A3605" s="1" t="s">
        <v>1126</v>
      </c>
      <c r="B3605" s="0" t="s">
        <v>98</v>
      </c>
      <c r="E3605" s="6" t="n">
        <f aca="false">debt_face</f>
        <v>46.136</v>
      </c>
      <c r="F3605" s="6" t="n">
        <f aca="false">Sens!E3605-Sens!F3601+Sens!F3603</f>
        <v>43.667683790123</v>
      </c>
      <c r="G3605" s="6" t="n">
        <f aca="false">Sens!F3605-Sens!G3601+Sens!G3603</f>
        <v>43.667683790123</v>
      </c>
      <c r="H3605" s="6" t="n">
        <f aca="false">Sens!G3605-Sens!H3601+Sens!H3603</f>
        <v>41.666683790123</v>
      </c>
      <c r="I3605" s="6" t="n">
        <f aca="false">Sens!H3605-Sens!I3601+Sens!I3603</f>
        <v>41.666683790123</v>
      </c>
      <c r="J3605" s="6" t="n">
        <f aca="false">Sens!I3605-Sens!J3601+Sens!J3603</f>
        <v>41.166683790123</v>
      </c>
      <c r="K3605" s="6" t="n">
        <f aca="false">Sens!J3605-Sens!K3601+Sens!K3603</f>
        <v>41.166683790123</v>
      </c>
    </row>
    <row r="3606" customFormat="false" ht="15" hidden="false" customHeight="false" outlineLevel="0" collapsed="false">
      <c r="A3606" s="1" t="s">
        <v>1127</v>
      </c>
      <c r="B3606" s="0" t="s">
        <v>98</v>
      </c>
      <c r="E3606" s="6" t="n">
        <f aca="false">Sens!E3604-Sens!E3605</f>
        <v>30.707</v>
      </c>
      <c r="F3606" s="6" t="n">
        <f aca="false">Sens!F3604-Sens!F3605</f>
        <v>6.33231620987701</v>
      </c>
      <c r="G3606" s="6" t="n">
        <f aca="false">Sens!G3604-Sens!G3605</f>
        <v>98.9051938054992</v>
      </c>
      <c r="H3606" s="6" t="n">
        <f aca="false">Sens!H3604-Sens!H3605</f>
        <v>237.505264821001</v>
      </c>
      <c r="I3606" s="6" t="n">
        <f aca="false">Sens!I3604-Sens!I3605</f>
        <v>360.355322107209</v>
      </c>
      <c r="J3606" s="6" t="n">
        <f aca="false">Sens!J3604-Sens!J3605</f>
        <v>481.215530296886</v>
      </c>
      <c r="K3606" s="6" t="n">
        <f aca="false">Sens!K3604-Sens!K3605</f>
        <v>571.406577443213</v>
      </c>
    </row>
    <row r="3607" customFormat="false" ht="15" hidden="false" customHeight="false" outlineLevel="0" collapsed="false">
      <c r="A3607" s="1" t="s">
        <v>1128</v>
      </c>
      <c r="B3607" s="0" t="s">
        <v>75</v>
      </c>
      <c r="F3607" s="30" t="n">
        <f aca="false">px*(1+bb_g)^(Sens!F3465-base_fy-mid_yr)</f>
        <v>551.84177959629</v>
      </c>
      <c r="G3607" s="30" t="n">
        <f aca="false">px*(1+bb_g)^(Sens!G3465-base_fy-mid_yr)</f>
        <v>595.989121963993</v>
      </c>
      <c r="H3607" s="30" t="n">
        <f aca="false">px*(1+bb_g)^(Sens!H3465-base_fy-mid_yr)</f>
        <v>643.668251721112</v>
      </c>
      <c r="I3607" s="30" t="n">
        <f aca="false">px*(1+bb_g)^(Sens!I3465-base_fy-mid_yr)</f>
        <v>695.161711858801</v>
      </c>
      <c r="J3607" s="30" t="n">
        <f aca="false">px*(1+bb_g)^(Sens!J3465-base_fy-mid_yr)</f>
        <v>750.774648807506</v>
      </c>
      <c r="K3607" s="30" t="n">
        <f aca="false">px*(1+bb_g)^(Sens!K3465-base_fy-mid_yr)</f>
        <v>810.836620712106</v>
      </c>
    </row>
    <row r="3608" customFormat="false" ht="15" hidden="false" customHeight="false" outlineLevel="0" collapsed="false">
      <c r="A3608" s="1" t="s">
        <v>1129</v>
      </c>
      <c r="B3608" s="1" t="s">
        <v>81</v>
      </c>
      <c r="E3608" s="15" t="n">
        <f aca="false">sh_out26</f>
        <v>7.427</v>
      </c>
      <c r="F3608" s="15" t="n">
        <f aca="false">Sens!E3608+sh_iss-Sens!F3602/Sens!F3607</f>
        <v>7.472</v>
      </c>
      <c r="G3608" s="15" t="n">
        <f aca="false">Sens!F3608+sh_iss-Sens!G3602/Sens!G3607</f>
        <v>7.47963186830221</v>
      </c>
      <c r="H3608" s="15" t="n">
        <f aca="false">Sens!G3608+sh_iss-Sens!H3602/Sens!H3607</f>
        <v>7.49003174635981</v>
      </c>
      <c r="I3608" s="15" t="n">
        <f aca="false">Sens!H3608+sh_iss-Sens!I3602/Sens!I3607</f>
        <v>7.50299459641315</v>
      </c>
      <c r="J3608" s="15" t="n">
        <f aca="false">Sens!I3608+sh_iss-Sens!J3602/Sens!J3607</f>
        <v>7.51833056868476</v>
      </c>
      <c r="K3608" s="15" t="n">
        <f aca="false">Sens!J3608+sh_iss-Sens!K3602/Sens!K3607</f>
        <v>7.53586387634365</v>
      </c>
    </row>
    <row r="3609" customFormat="false" ht="15" hidden="false" customHeight="false" outlineLevel="0" collapsed="false">
      <c r="A3609" s="1" t="s">
        <v>1130</v>
      </c>
      <c r="B3609" s="1" t="s">
        <v>81</v>
      </c>
      <c r="E3609" s="15" t="n">
        <f aca="false">sh_dil26</f>
        <v>7.453</v>
      </c>
      <c r="F3609" s="15" t="n">
        <f aca="false">(Sens!E3608+Sens!F3608)/2+dil_gap</f>
        <v>7.4735</v>
      </c>
      <c r="G3609" s="15" t="n">
        <f aca="false">(Sens!F3608+Sens!G3608)/2+dil_gap</f>
        <v>7.49981593415111</v>
      </c>
      <c r="H3609" s="15" t="n">
        <f aca="false">(Sens!G3608+Sens!H3608)/2+dil_gap</f>
        <v>7.50883180733101</v>
      </c>
      <c r="I3609" s="15" t="n">
        <f aca="false">(Sens!H3608+Sens!I3608)/2+dil_gap</f>
        <v>7.52051317138648</v>
      </c>
      <c r="J3609" s="15" t="n">
        <f aca="false">(Sens!I3608+Sens!J3608)/2+dil_gap</f>
        <v>7.53466258254895</v>
      </c>
      <c r="K3609" s="15" t="n">
        <f aca="false">(Sens!J3608+Sens!K3608)/2+dil_gap</f>
        <v>7.55109722251421</v>
      </c>
    </row>
    <row r="3610" customFormat="false" ht="17.15" hidden="false" customHeight="false" outlineLevel="0" collapsed="false">
      <c r="A3610" s="1" t="s">
        <v>1131</v>
      </c>
      <c r="B3610" s="0" t="s">
        <v>98</v>
      </c>
      <c r="C3610" s="6" t="n">
        <f aca="false">SUM(Sens!F3600:J3600)</f>
        <v>539.592530296886</v>
      </c>
    </row>
    <row r="3611" customFormat="false" ht="15" hidden="false" customHeight="false" outlineLevel="0" collapsed="false">
      <c r="A3611" s="26" t="s">
        <v>1096</v>
      </c>
      <c r="B3611" s="31" t="s">
        <v>98</v>
      </c>
      <c r="C3611" s="27" t="n">
        <f aca="false">Sens!$C$3610-(Sens!F3600+Sens!G3600+Sens!H3600+Sens!I3600+Sens!J3600)</f>
        <v>0</v>
      </c>
      <c r="D3611" s="31"/>
      <c r="E3611" s="31"/>
      <c r="F3611" s="31"/>
      <c r="G3611" s="31"/>
      <c r="H3611" s="31"/>
      <c r="I3611" s="31"/>
      <c r="J3611" s="31"/>
      <c r="K3611" s="31"/>
    </row>
    <row r="3612" customFormat="false" ht="17.15" hidden="false" customHeight="false" outlineLevel="0" collapsed="false">
      <c r="A3612" s="1" t="s">
        <v>1090</v>
      </c>
      <c r="B3612" s="1" t="s">
        <v>1132</v>
      </c>
      <c r="C3612" s="33" t="str">
        <f aca="false">IF(SUM(Sens!F3603:J3603)&gt;0.05,"需要舉債 "&amp;TEXT(SUM(Sens!F3603:J3603),"0.0")&amp;" 十億美元","不需舉債")&amp;"；"&amp;IF(SUM(Sens!F3602:J3602)&lt;COUNT(Sens!F3602:J3602)*bb_target-0.05,"回購較每年 "&amp;TEXT(bb_target,"0.0")&amp;" 的目標少 "&amp;TEXT(COUNT(Sens!F3602:J3602)*bb_target-SUM(Sens!F3602:J3602),"0.0")&amp;" 十億美元（"&amp;TEXT(COUNTIF(Sens!F3602:J3602,"&lt;"&amp;(bb_target-0.05)),"0")&amp;" 年減少）","回購不減")</f>
        <v>需要舉債 6.8 十億美元；回購較每年 22.3 的目標少 22.3 十億美元（1 年減少）</v>
      </c>
    </row>
    <row r="3613" customFormat="false" ht="17.15" hidden="false" customHeight="false" outlineLevel="0" collapsed="false">
      <c r="A3613" s="3" t="s">
        <v>1569</v>
      </c>
    </row>
    <row r="3614" customFormat="false" ht="15" hidden="false" customHeight="false" outlineLevel="0" collapsed="false">
      <c r="A3614" s="4" t="s">
        <v>43</v>
      </c>
      <c r="B3614" s="4" t="s">
        <v>65</v>
      </c>
      <c r="C3614" s="23" t="s">
        <v>938</v>
      </c>
      <c r="D3614" s="23" t="s">
        <v>939</v>
      </c>
      <c r="E3614" s="23" t="s">
        <v>940</v>
      </c>
      <c r="F3614" s="23" t="s">
        <v>941</v>
      </c>
      <c r="G3614" s="23" t="s">
        <v>942</v>
      </c>
      <c r="H3614" s="23" t="s">
        <v>943</v>
      </c>
      <c r="I3614" s="23" t="s">
        <v>944</v>
      </c>
      <c r="J3614" s="23" t="s">
        <v>945</v>
      </c>
      <c r="K3614" s="23" t="s">
        <v>946</v>
      </c>
      <c r="L3614" s="4" t="s">
        <v>47</v>
      </c>
    </row>
    <row r="3615" customFormat="false" ht="17.15" hidden="false" customHeight="false" outlineLevel="0" collapsed="false">
      <c r="A3615" s="1" t="s">
        <v>1212</v>
      </c>
      <c r="B3615" s="1" t="s">
        <v>279</v>
      </c>
      <c r="F3615" s="8" t="n">
        <f aca="false">(1-v_off)*mid_yr</f>
        <v>0.373972602739726</v>
      </c>
      <c r="G3615" s="8" t="n">
        <f aca="false">Sens!G3465-base_fy-mid_yr-v_off</f>
        <v>1.24794520547945</v>
      </c>
      <c r="H3615" s="8" t="n">
        <f aca="false">Sens!H3465-base_fy-mid_yr-v_off</f>
        <v>2.24794520547945</v>
      </c>
      <c r="I3615" s="8" t="n">
        <f aca="false">Sens!I3465-base_fy-mid_yr-v_off</f>
        <v>3.24794520547945</v>
      </c>
      <c r="J3615" s="8" t="n">
        <f aca="false">Sens!J3465-base_fy-mid_yr-v_off</f>
        <v>4.24794520547945</v>
      </c>
      <c r="K3615" s="8" t="n">
        <f aca="false">Sens!K3465-base_fy-mid_yr-v_off</f>
        <v>5.24794520547945</v>
      </c>
      <c r="L3615" s="12" t="s">
        <v>1213</v>
      </c>
    </row>
    <row r="3616" customFormat="false" ht="15" hidden="false" customHeight="false" outlineLevel="0" collapsed="false">
      <c r="A3616" s="1" t="s">
        <v>1214</v>
      </c>
      <c r="B3616" s="1" t="s">
        <v>279</v>
      </c>
      <c r="F3616" s="8" t="n">
        <f aca="false">Sens!F3465-base_fy-v_off</f>
        <v>0.747945205479452</v>
      </c>
      <c r="G3616" s="8" t="n">
        <f aca="false">Sens!G3465-base_fy-v_off</f>
        <v>1.74794520547945</v>
      </c>
      <c r="H3616" s="8" t="n">
        <f aca="false">Sens!H3465-base_fy-v_off</f>
        <v>2.74794520547945</v>
      </c>
      <c r="I3616" s="8" t="n">
        <f aca="false">Sens!I3465-base_fy-v_off</f>
        <v>3.74794520547945</v>
      </c>
      <c r="J3616" s="8" t="n">
        <f aca="false">Sens!J3465-base_fy-v_off</f>
        <v>4.74794520547945</v>
      </c>
      <c r="K3616" s="8" t="n">
        <f aca="false">Sens!K3465-base_fy-v_off</f>
        <v>5.74794520547945</v>
      </c>
    </row>
    <row r="3617" customFormat="false" ht="15" hidden="false" customHeight="false" outlineLevel="0" collapsed="false">
      <c r="A3617" s="1" t="s">
        <v>1215</v>
      </c>
      <c r="B3617" s="0" t="s">
        <v>229</v>
      </c>
      <c r="F3617" s="15" t="n">
        <f aca="false">1/(1+wacc)^Sens!F3615</f>
        <v>0.964022703286649</v>
      </c>
      <c r="G3617" s="15" t="n">
        <f aca="false">1/(1+wacc)^Sens!G3615</f>
        <v>0.884910302296739</v>
      </c>
      <c r="H3617" s="15" t="n">
        <f aca="false">1/(1+wacc)^Sens!H3615</f>
        <v>0.802322009770358</v>
      </c>
      <c r="I3617" s="15" t="n">
        <f aca="false">1/(1+wacc)^Sens!I3615</f>
        <v>0.727441646561469</v>
      </c>
      <c r="J3617" s="15" t="n">
        <f aca="false">1/(1+wacc)^Sens!J3615</f>
        <v>0.659549834988973</v>
      </c>
      <c r="K3617" s="15" t="n">
        <f aca="false">1/(1+wacc)^Sens!K3615</f>
        <v>0.597994336576966</v>
      </c>
    </row>
    <row r="3618" customFormat="false" ht="17.15" hidden="false" customHeight="false" outlineLevel="0" collapsed="false">
      <c r="A3618" s="1" t="s">
        <v>1216</v>
      </c>
      <c r="B3618" s="0" t="s">
        <v>98</v>
      </c>
      <c r="F3618" s="6" t="n">
        <f aca="false">Q!$I$35-Q!$I$39-Q!$I$43</f>
        <v>9.666</v>
      </c>
      <c r="L3618" s="12" t="s">
        <v>1217</v>
      </c>
    </row>
    <row r="3619" customFormat="false" ht="17.15" hidden="false" customHeight="false" outlineLevel="0" collapsed="false">
      <c r="A3619" s="1" t="s">
        <v>1218</v>
      </c>
      <c r="B3619" s="0" t="s">
        <v>98</v>
      </c>
      <c r="F3619" s="6" t="n">
        <f aca="false">Sens!F3590-Sens!F3587-Sens!F3594+Sens!F3572*(1-tax_f)*(1-v_off)-Sens!F3618</f>
        <v>-13.7082425181979</v>
      </c>
      <c r="G3619" s="6" t="n">
        <f aca="false">Sens!G3590-Sens!G3587-Sens!G3594+Sens!G3572*(1-tax_f)</f>
        <v>138.309004599689</v>
      </c>
      <c r="H3619" s="6" t="n">
        <f aca="false">Sens!H3590-Sens!H3587-Sens!H3594+Sens!H3572*(1-tax_f)</f>
        <v>184.931239333277</v>
      </c>
      <c r="I3619" s="6" t="n">
        <f aca="false">Sens!I3590-Sens!I3587-Sens!I3594+Sens!I3572*(1-tax_f)</f>
        <v>169.678565810806</v>
      </c>
      <c r="J3619" s="6" t="n">
        <f aca="false">Sens!J3590-Sens!J3587-Sens!J3594+Sens!J3572*(1-tax_f)</f>
        <v>169.019240255257</v>
      </c>
      <c r="K3619" s="6" t="n">
        <f aca="false">Sens!K3590-Sens!K3587-Sens!K3594+Sens!K3572*(1-tax_f)</f>
        <v>140.330181863668</v>
      </c>
      <c r="L3619" s="1" t="s">
        <v>1219</v>
      </c>
    </row>
    <row r="3620" customFormat="false" ht="15" hidden="false" customHeight="false" outlineLevel="0" collapsed="false">
      <c r="A3620" s="1" t="s">
        <v>1220</v>
      </c>
      <c r="B3620" s="0" t="s">
        <v>98</v>
      </c>
      <c r="F3620" s="6" t="n">
        <f aca="false">Sens!F3619*Sens!F3617</f>
        <v>-13.2150570097021</v>
      </c>
      <c r="G3620" s="6" t="n">
        <f aca="false">Sens!G3619*Sens!G3617</f>
        <v>122.391063070672</v>
      </c>
      <c r="H3620" s="6" t="n">
        <f aca="false">Sens!H3619*Sens!H3617</f>
        <v>148.374403611198</v>
      </c>
      <c r="I3620" s="6" t="n">
        <f aca="false">Sens!I3619*Sens!I3617</f>
        <v>123.431255299601</v>
      </c>
      <c r="J3620" s="6" t="n">
        <f aca="false">Sens!J3619*Sens!J3617</f>
        <v>111.476612020316</v>
      </c>
      <c r="K3620" s="6" t="n">
        <f aca="false">Sens!K3619*Sens!K3617</f>
        <v>83.9166540052893</v>
      </c>
    </row>
    <row r="3621" customFormat="false" ht="17.15" hidden="false" customHeight="false" outlineLevel="0" collapsed="false">
      <c r="A3621" s="1" t="s">
        <v>1221</v>
      </c>
      <c r="B3621" s="0" t="s">
        <v>98</v>
      </c>
      <c r="C3621" s="6" t="n">
        <f aca="false">SUM(Sens!F3620:K3620)</f>
        <v>576.374930997375</v>
      </c>
    </row>
    <row r="3622" customFormat="false" ht="17.15" hidden="false" customHeight="false" outlineLevel="0" collapsed="false">
      <c r="A3622" s="1" t="s">
        <v>1222</v>
      </c>
      <c r="B3622" s="0" t="s">
        <v>98</v>
      </c>
      <c r="C3622" s="6" t="n">
        <f aca="false">Sens!K3558*(1+g_tv)*(1-tax_f)</f>
        <v>216.927406920143</v>
      </c>
    </row>
    <row r="3623" customFormat="false" ht="17.15" hidden="false" customHeight="false" outlineLevel="0" collapsed="false">
      <c r="A3623" s="1" t="s">
        <v>1223</v>
      </c>
      <c r="B3623" s="0" t="s">
        <v>98</v>
      </c>
      <c r="C3623" s="6" t="n">
        <f aca="false">Sens!$C$3622*(1-g_tv/(wacc+ronic_prem))</f>
        <v>153.705746402517</v>
      </c>
    </row>
    <row r="3624" customFormat="false" ht="17.15" hidden="false" customHeight="false" outlineLevel="0" collapsed="false">
      <c r="A3624" s="1" t="s">
        <v>1224</v>
      </c>
      <c r="B3624" s="0" t="s">
        <v>98</v>
      </c>
      <c r="C3624" s="6" t="n">
        <f aca="false">Sens!$C$3623/(wacc-g_tv)</f>
        <v>2107.38868392087</v>
      </c>
    </row>
    <row r="3625" customFormat="false" ht="15" hidden="false" customHeight="false" outlineLevel="0" collapsed="false">
      <c r="A3625" s="1" t="s">
        <v>1225</v>
      </c>
      <c r="B3625" s="0" t="s">
        <v>98</v>
      </c>
      <c r="C3625" s="6" t="n">
        <f aca="false">Sens!$C$3624/(1+wacc)^Sens!K3616</f>
        <v>1199.95909581678</v>
      </c>
    </row>
    <row r="3626" customFormat="false" ht="17.15" hidden="false" customHeight="false" outlineLevel="0" collapsed="false">
      <c r="A3626" s="0" t="s">
        <v>1226</v>
      </c>
      <c r="B3626" s="0" t="s">
        <v>98</v>
      </c>
      <c r="C3626" s="6" t="n">
        <f aca="false">Sens!$C$3621+Sens!$C$3625</f>
        <v>1776.33402681415</v>
      </c>
    </row>
    <row r="3627" customFormat="false" ht="15" hidden="false" customHeight="false" outlineLevel="0" collapsed="false">
      <c r="A3627" s="1" t="s">
        <v>1141</v>
      </c>
      <c r="B3627" s="0" t="s">
        <v>168</v>
      </c>
      <c r="C3627" s="7" t="n">
        <f aca="false">Sens!$C$3625/Sens!$C$3626</f>
        <v>0.675525592429763</v>
      </c>
    </row>
    <row r="3628" customFormat="false" ht="17.15" hidden="false" customHeight="false" outlineLevel="0" collapsed="false">
      <c r="A3628" s="1" t="s">
        <v>1227</v>
      </c>
      <c r="B3628" s="0" t="s">
        <v>98</v>
      </c>
      <c r="C3628" s="6" t="n">
        <f aca="false">Sens!$C$3626+cash_val-debt_val-fl_val+oai_v</f>
        <v>1892.18502681415</v>
      </c>
    </row>
    <row r="3629" customFormat="false" ht="17.15" hidden="false" customHeight="false" outlineLevel="0" collapsed="false">
      <c r="A3629" s="0" t="s">
        <v>1149</v>
      </c>
      <c r="B3629" s="0" t="s">
        <v>75</v>
      </c>
      <c r="C3629" s="5" t="n">
        <f aca="false">Sens!$C$3628/shd_val</f>
        <v>254.121008167359</v>
      </c>
    </row>
    <row r="3630" customFormat="false" ht="15" hidden="false" customHeight="false" outlineLevel="0" collapsed="false">
      <c r="A3630" s="1" t="s">
        <v>1228</v>
      </c>
      <c r="B3630" s="0" t="s">
        <v>75</v>
      </c>
      <c r="C3630" s="8" t="n">
        <f aca="false">div_rem27+Sens!G3598*roll_div_q/q_per_yr</f>
        <v>3.9795</v>
      </c>
    </row>
    <row r="3631" customFormat="false" ht="17.15" hidden="false" customHeight="false" outlineLevel="0" collapsed="false">
      <c r="A3631" s="0" t="s">
        <v>1229</v>
      </c>
      <c r="B3631" s="0" t="s">
        <v>75</v>
      </c>
      <c r="C3631" s="5" t="n">
        <f aca="false">Sens!$C$3629*(1+wacc)^t_roll-Sens!$C$3630</f>
        <v>278.490183260505</v>
      </c>
    </row>
    <row r="3632" customFormat="false" ht="17.15" hidden="false" customHeight="false" outlineLevel="0" collapsed="false">
      <c r="A3632" s="1" t="s">
        <v>1230</v>
      </c>
      <c r="B3632" s="0" t="s">
        <v>168</v>
      </c>
      <c r="F3632" s="7" t="n">
        <f aca="false">Sens!F3584/(Sens!F3529-Sens!F3484)</f>
        <v>0.108177737857631</v>
      </c>
      <c r="G3632" s="7" t="n">
        <f aca="false">Sens!G3584/(Sens!G3529-Sens!G3484)</f>
        <v>0.0982891563402672</v>
      </c>
      <c r="H3632" s="7" t="n">
        <f aca="false">Sens!H3584/(Sens!H3529-Sens!H3484)</f>
        <v>0.0912602205424856</v>
      </c>
      <c r="I3632" s="7" t="n">
        <f aca="false">Sens!I3584/(Sens!I3529-Sens!I3484)</f>
        <v>0.0866163453176461</v>
      </c>
      <c r="J3632" s="7" t="n">
        <f aca="false">Sens!J3584/(Sens!J3529-Sens!J3484)</f>
        <v>0.0838316059702677</v>
      </c>
      <c r="K3632" s="7" t="n">
        <f aca="false">Sens!K3584/(Sens!K3529-Sens!K3484)</f>
        <v>0.0824143965668911</v>
      </c>
    </row>
    <row r="3633" customFormat="false" ht="17.15" hidden="false" customHeight="false" outlineLevel="0" collapsed="false">
      <c r="A3633" s="0" t="s">
        <v>1231</v>
      </c>
      <c r="B3633" s="0" t="s">
        <v>98</v>
      </c>
      <c r="F3633" s="6" t="n">
        <f aca="false">Sens!F3514*(al_m365+Sens!F3632+sbc_r)</f>
        <v>87.5573773987304</v>
      </c>
      <c r="G3633" s="6" t="n">
        <f aca="false">Sens!G3514*(al_m365+Sens!G3632+sbc_r)</f>
        <v>97.5466598616462</v>
      </c>
      <c r="H3633" s="6" t="n">
        <f aca="false">Sens!H3514*(al_m365+Sens!H3632+sbc_r)</f>
        <v>107.718043671489</v>
      </c>
      <c r="I3633" s="6" t="n">
        <f aca="false">Sens!I3514*(al_m365+Sens!I3632+sbc_r)</f>
        <v>117.393288430689</v>
      </c>
      <c r="J3633" s="6" t="n">
        <f aca="false">Sens!J3514*(al_m365+Sens!J3632+sbc_r)</f>
        <v>126.392302333988</v>
      </c>
      <c r="K3633" s="6" t="n">
        <f aca="false">Sens!K3514*(al_m365+Sens!K3632+sbc_r)</f>
        <v>135.033396203543</v>
      </c>
      <c r="L3633" s="12" t="s">
        <v>1232</v>
      </c>
    </row>
    <row r="3634" customFormat="false" ht="17.15" hidden="false" customHeight="false" outlineLevel="0" collapsed="false">
      <c r="A3634" s="0" t="s">
        <v>1233</v>
      </c>
      <c r="B3634" s="0" t="s">
        <v>98</v>
      </c>
      <c r="F3634" s="6" t="n">
        <f aca="false">Sens!F3515*(al_lic+Sens!F3632+sbc_r)</f>
        <v>34.3762117985167</v>
      </c>
      <c r="G3634" s="6" t="n">
        <f aca="false">Sens!G3515*(al_lic+Sens!G3632+sbc_r)</f>
        <v>35.4362005420265</v>
      </c>
      <c r="H3634" s="6" t="n">
        <f aca="false">Sens!H3515*(al_lic+Sens!H3632+sbc_r)</f>
        <v>36.4472029817648</v>
      </c>
      <c r="I3634" s="6" t="n">
        <f aca="false">Sens!I3515*(al_lic+Sens!I3632+sbc_r)</f>
        <v>37.3847018642724</v>
      </c>
      <c r="J3634" s="6" t="n">
        <f aca="false">Sens!J3515*(al_lic+Sens!J3632+sbc_r)</f>
        <v>38.2190665310661</v>
      </c>
      <c r="K3634" s="6" t="n">
        <f aca="false">Sens!K3515*(al_lic+Sens!K3632+sbc_r)</f>
        <v>38.9200332509219</v>
      </c>
    </row>
    <row r="3635" customFormat="false" ht="17.15" hidden="false" customHeight="false" outlineLevel="0" collapsed="false">
      <c r="A3635" s="0" t="s">
        <v>1234</v>
      </c>
      <c r="B3635" s="0" t="s">
        <v>98</v>
      </c>
      <c r="F3635" s="6" t="n">
        <f aca="false">Sens!F3517*(al_ind+Sens!F3632+sbc_r)</f>
        <v>9.94320426334936</v>
      </c>
      <c r="G3635" s="6" t="n">
        <f aca="false">Sens!G3517*(al_ind+Sens!G3632+sbc_r)</f>
        <v>10.627928956782</v>
      </c>
      <c r="H3635" s="6" t="n">
        <f aca="false">Sens!H3517*(al_ind+Sens!H3632+sbc_r)</f>
        <v>11.3697608677774</v>
      </c>
      <c r="I3635" s="6" t="n">
        <f aca="false">Sens!I3517*(al_ind+Sens!I3632+sbc_r)</f>
        <v>12.1638752630046</v>
      </c>
      <c r="J3635" s="6" t="n">
        <f aca="false">Sens!J3517*(al_ind+Sens!J3632+sbc_r)</f>
        <v>12.999721658117</v>
      </c>
      <c r="K3635" s="6" t="n">
        <f aca="false">Sens!K3517*(al_ind+Sens!K3632+sbc_r)</f>
        <v>13.8629018500533</v>
      </c>
    </row>
    <row r="3636" customFormat="false" ht="17.15" hidden="false" customHeight="false" outlineLevel="0" collapsed="false">
      <c r="A3636" s="0" t="s">
        <v>1235</v>
      </c>
      <c r="B3636" s="0" t="s">
        <v>98</v>
      </c>
      <c r="F3636" s="6" t="n">
        <f aca="false">Sens!F3519*(al_fro+Sens!F3632+sbc_r)</f>
        <v>3.90031068680128</v>
      </c>
      <c r="G3636" s="6" t="n">
        <f aca="false">Sens!G3519*(al_fro+Sens!G3632+sbc_r)</f>
        <v>4.06655710190904</v>
      </c>
      <c r="H3636" s="6" t="n">
        <f aca="false">Sens!H3519*(al_fro+Sens!H3632+sbc_r)</f>
        <v>4.2698788346887</v>
      </c>
      <c r="I3636" s="6" t="n">
        <f aca="false">Sens!I3519*(al_fro+Sens!I3632+sbc_r)</f>
        <v>4.51143508730516</v>
      </c>
      <c r="J3636" s="6" t="n">
        <f aca="false">Sens!J3519*(al_fro+Sens!J3632+sbc_r)</f>
        <v>4.79137285964274</v>
      </c>
      <c r="K3636" s="6" t="n">
        <f aca="false">Sens!K3519*(al_fro+Sens!K3632+sbc_r)</f>
        <v>5.10951952873256</v>
      </c>
    </row>
    <row r="3637" customFormat="false" ht="17.15" hidden="false" customHeight="false" outlineLevel="0" collapsed="false">
      <c r="A3637" s="0" t="s">
        <v>1236</v>
      </c>
      <c r="B3637" s="0" t="s">
        <v>98</v>
      </c>
      <c r="F3637" s="6" t="n">
        <f aca="false">Sens!F3522*(al_srch+Sens!F3632+sbc_r)</f>
        <v>12.2792814319747</v>
      </c>
      <c r="G3637" s="6" t="n">
        <f aca="false">Sens!G3522*(al_srch+Sens!G3632+sbc_r)</f>
        <v>13.2487150889011</v>
      </c>
      <c r="H3637" s="6" t="n">
        <f aca="false">Sens!H3522*(al_srch+Sens!H3632+sbc_r)</f>
        <v>14.2743109424213</v>
      </c>
      <c r="I3637" s="6" t="n">
        <f aca="false">Sens!I3522*(al_srch+Sens!I3632+sbc_r)</f>
        <v>15.3441074202405</v>
      </c>
      <c r="J3637" s="6" t="n">
        <f aca="false">Sens!J3522*(al_srch+Sens!J3632+sbc_r)</f>
        <v>16.437790074854</v>
      </c>
      <c r="K3637" s="6" t="n">
        <f aca="false">Sens!K3522*(al_srch+Sens!K3632+sbc_r)</f>
        <v>17.5292576589282</v>
      </c>
    </row>
    <row r="3638" customFormat="false" ht="17.15" hidden="false" customHeight="false" outlineLevel="0" collapsed="false">
      <c r="A3638" s="0" t="s">
        <v>1237</v>
      </c>
      <c r="B3638" s="0" t="s">
        <v>98</v>
      </c>
      <c r="F3638" s="6" t="n">
        <f aca="false">Sens!F3490-Sens!F3491+Sens!F3572</f>
        <v>23.5427559368489</v>
      </c>
      <c r="G3638" s="6" t="n">
        <f aca="false">Sens!G3490-Sens!G3491+Sens!G3572</f>
        <v>24.9925302902486</v>
      </c>
      <c r="H3638" s="6" t="n">
        <f aca="false">Sens!H3490-Sens!H3491+Sens!H3572</f>
        <v>22.1574123423864</v>
      </c>
      <c r="I3638" s="6" t="n">
        <f aca="false">Sens!I3490-Sens!I3491+Sens!I3572</f>
        <v>21.8193629173652</v>
      </c>
      <c r="J3638" s="6" t="n">
        <f aca="false">Sens!J3490-Sens!J3491+Sens!J3572</f>
        <v>22.3924930434899</v>
      </c>
      <c r="K3638" s="6" t="n">
        <f aca="false">Sens!K3490-Sens!K3491+Sens!K3572</f>
        <v>24.3758708605373</v>
      </c>
    </row>
    <row r="3639" customFormat="false" ht="17.15" hidden="false" customHeight="false" outlineLevel="0" collapsed="false">
      <c r="A3639" s="0" t="s">
        <v>1238</v>
      </c>
      <c r="B3639" s="0" t="s">
        <v>98</v>
      </c>
      <c r="F3639" s="6" t="n">
        <f aca="false">Sens!F3551+Sens!F3572+Sens!F3502+Sens!F3632*(Sens!F3521-Sens!F3484)+sbc_r*Sens!F3521</f>
        <v>219.487358805911</v>
      </c>
      <c r="G3639" s="6" t="n">
        <f aca="false">Sens!G3551+Sens!G3572+Sens!G3502+Sens!G3632*(Sens!G3521-Sens!G3484)+sbc_r*Sens!G3521</f>
        <v>239.718812060467</v>
      </c>
      <c r="H3639" s="6" t="n">
        <f aca="false">Sens!H3551+Sens!H3572+Sens!H3502+Sens!H3632*(Sens!H3521-Sens!H3484)+sbc_r*Sens!H3521</f>
        <v>262.169242651418</v>
      </c>
      <c r="I3639" s="6" t="n">
        <f aca="false">Sens!I3551+Sens!I3572+Sens!I3502+Sens!I3632*(Sens!I3521-Sens!I3484)+sbc_r*Sens!I3521</f>
        <v>286.365006827866</v>
      </c>
      <c r="J3639" s="6" t="n">
        <f aca="false">Sens!J3551+Sens!J3572+Sens!J3502+Sens!J3632*(Sens!J3521-Sens!J3484)+sbc_r*Sens!J3521</f>
        <v>309.759986165546</v>
      </c>
      <c r="K3639" s="6" t="n">
        <f aca="false">Sens!K3551+Sens!K3572+Sens!K3502+Sens!K3632*(Sens!K3521-Sens!K3484)+sbc_r*Sens!K3521</f>
        <v>332.420004170611</v>
      </c>
    </row>
    <row r="3640" customFormat="false" ht="17.15" hidden="false" customHeight="false" outlineLevel="0" collapsed="false">
      <c r="A3640" s="0" t="s">
        <v>1239</v>
      </c>
      <c r="B3640" s="0" t="s">
        <v>98</v>
      </c>
      <c r="F3640" s="6" t="n">
        <f aca="false">Sens!F3639-Sens!F3633-Sens!F3634-Sens!F3635-Sens!F3636-Sens!F3638</f>
        <v>60.1674987216642</v>
      </c>
      <c r="G3640" s="6" t="n">
        <f aca="false">Sens!G3639-Sens!G3633-Sens!G3634-Sens!G3635-Sens!G3636-Sens!G3638</f>
        <v>67.0489353078547</v>
      </c>
      <c r="H3640" s="6" t="n">
        <f aca="false">Sens!H3639-Sens!H3633-Sens!H3634-Sens!H3635-Sens!H3636-Sens!H3638</f>
        <v>80.2069439533114</v>
      </c>
      <c r="I3640" s="6" t="n">
        <f aca="false">Sens!I3639-Sens!I3633-Sens!I3634-Sens!I3635-Sens!I3636-Sens!I3638</f>
        <v>93.0923432652294</v>
      </c>
      <c r="J3640" s="6" t="n">
        <f aca="false">Sens!J3639-Sens!J3633-Sens!J3634-Sens!J3635-Sens!J3636-Sens!J3638</f>
        <v>104.965029739242</v>
      </c>
      <c r="K3640" s="6" t="n">
        <f aca="false">Sens!K3639-Sens!K3633-Sens!K3634-Sens!K3635-Sens!K3636-Sens!K3638</f>
        <v>115.118282476823</v>
      </c>
    </row>
    <row r="3641" customFormat="false" ht="17.15" hidden="false" customHeight="false" outlineLevel="0" collapsed="false">
      <c r="A3641" s="0" t="s">
        <v>1240</v>
      </c>
      <c r="B3641" s="0" t="s">
        <v>98</v>
      </c>
      <c r="F3641" s="6" t="n">
        <f aca="false">Sens!F3553+Sens!F3632*Sens!F3528+sbc_r*Sens!F3528</f>
        <v>29.1773264673672</v>
      </c>
      <c r="G3641" s="6" t="n">
        <f aca="false">Sens!G3553+Sens!G3632*Sens!G3528+sbc_r*Sens!G3528</f>
        <v>28.6231158648252</v>
      </c>
      <c r="H3641" s="6" t="n">
        <f aca="false">Sens!H3553+Sens!H3632*Sens!H3528+sbc_r*Sens!H3528</f>
        <v>29.193182707856</v>
      </c>
      <c r="I3641" s="6" t="n">
        <f aca="false">Sens!I3553+Sens!I3632*Sens!I3528+sbc_r*Sens!I3528</f>
        <v>30.0635487506511</v>
      </c>
      <c r="J3641" s="6" t="n">
        <f aca="false">Sens!J3553+Sens!J3632*Sens!J3528+sbc_r*Sens!J3528</f>
        <v>31.1843695128253</v>
      </c>
      <c r="K3641" s="6" t="n">
        <f aca="false">Sens!K3553+Sens!K3632*Sens!K3528+sbc_r*Sens!K3528</f>
        <v>32.5117888467652</v>
      </c>
    </row>
    <row r="3642" customFormat="false" ht="17.15" hidden="false" customHeight="false" outlineLevel="0" collapsed="false">
      <c r="A3642" s="0" t="s">
        <v>1241</v>
      </c>
      <c r="B3642" s="0" t="s">
        <v>98</v>
      </c>
      <c r="F3642" s="6" t="n">
        <f aca="false">(Sens!F3641-Sens!F3637)*Sens!F3524/(Sens!F3524+Sens!F3526)</f>
        <v>9.54377112704764</v>
      </c>
      <c r="G3642" s="6" t="n">
        <f aca="false">(Sens!G3641-Sens!G3637)*Sens!G3524/(Sens!G3524+Sens!G3526)</f>
        <v>8.53400627238313</v>
      </c>
      <c r="H3642" s="6" t="n">
        <f aca="false">(Sens!H3641-Sens!H3637)*Sens!H3524/(Sens!H3524+Sens!H3526)</f>
        <v>8.17327281892581</v>
      </c>
      <c r="I3642" s="6" t="n">
        <f aca="false">(Sens!I3641-Sens!I3637)*Sens!I3524/(Sens!I3524+Sens!I3526)</f>
        <v>7.99362888445182</v>
      </c>
      <c r="J3642" s="6" t="n">
        <f aca="false">(Sens!J3641-Sens!J3637)*Sens!J3524/(Sens!J3524+Sens!J3526)</f>
        <v>7.97342654455077</v>
      </c>
      <c r="K3642" s="6" t="n">
        <f aca="false">(Sens!K3641-Sens!K3637)*Sens!K3524/(Sens!K3524+Sens!K3526)</f>
        <v>8.10100487236068</v>
      </c>
    </row>
    <row r="3643" customFormat="false" ht="17.15" hidden="false" customHeight="false" outlineLevel="0" collapsed="false">
      <c r="A3643" s="0" t="s">
        <v>1242</v>
      </c>
      <c r="B3643" s="0" t="s">
        <v>98</v>
      </c>
      <c r="F3643" s="6" t="n">
        <f aca="false">Sens!F3641-Sens!F3637-Sens!F3642</f>
        <v>7.35427390834487</v>
      </c>
      <c r="G3643" s="6" t="n">
        <f aca="false">Sens!G3641-Sens!G3637-Sens!G3642</f>
        <v>6.840394503541</v>
      </c>
      <c r="H3643" s="6" t="n">
        <f aca="false">Sens!H3641-Sens!H3637-Sens!H3642</f>
        <v>6.74559894650885</v>
      </c>
      <c r="I3643" s="6" t="n">
        <f aca="false">Sens!I3641-Sens!I3637-Sens!I3642</f>
        <v>6.72581244595876</v>
      </c>
      <c r="J3643" s="6" t="n">
        <f aca="false">Sens!J3641-Sens!J3637-Sens!J3642</f>
        <v>6.77315289342053</v>
      </c>
      <c r="K3643" s="6" t="n">
        <f aca="false">Sens!K3641-Sens!K3637-Sens!K3642</f>
        <v>6.88152631547632</v>
      </c>
    </row>
    <row r="3644" customFormat="false" ht="17.15" hidden="false" customHeight="false" outlineLevel="0" collapsed="false">
      <c r="A3644" s="0" t="s">
        <v>1243</v>
      </c>
      <c r="B3644" s="0" t="s">
        <v>98</v>
      </c>
      <c r="F3644" s="6" t="n">
        <f aca="false">Sens!F3638-tax_f*(Sens!F3638-Sens!F3502)-Sens!F3499</f>
        <v>-5.92966233912087</v>
      </c>
      <c r="G3644" s="6" t="n">
        <f aca="false">Sens!G3638-tax_f*(Sens!G3638-Sens!G3502)-Sens!G3499</f>
        <v>-8.38260833120114</v>
      </c>
      <c r="H3644" s="6" t="n">
        <f aca="false">Sens!H3638-tax_f*(Sens!H3638-Sens!H3502)-Sens!H3499</f>
        <v>24.0614468573092</v>
      </c>
      <c r="I3644" s="6" t="n">
        <f aca="false">Sens!I3638-tax_f*(Sens!I3638-Sens!I3502)-Sens!I3499</f>
        <v>-5.25928143990227</v>
      </c>
      <c r="J3644" s="6" t="n">
        <f aca="false">Sens!J3638-tax_f*(Sens!J3638-Sens!J3502)-Sens!J3499</f>
        <v>-19.4014412299192</v>
      </c>
      <c r="K3644" s="6" t="n">
        <f aca="false">Sens!K3638-tax_f*(Sens!K3638-Sens!K3502)-Sens!K3499</f>
        <v>-60.7601183815868</v>
      </c>
    </row>
    <row r="3645" customFormat="false" ht="17.15" hidden="false" customHeight="false" outlineLevel="0" collapsed="false">
      <c r="A3645" s="0" t="s">
        <v>1244</v>
      </c>
      <c r="B3645" s="0" t="s">
        <v>98</v>
      </c>
      <c r="G3645" s="6" t="n">
        <f aca="false">Sens!G3644/(1+wacc)^(Sens!G3615-Sens!F3616)</f>
        <v>-7.98185625137517</v>
      </c>
      <c r="H3645" s="6" t="n">
        <f aca="false">Sens!H3644/(1+wacc)^(Sens!H3615-Sens!F3616)</f>
        <v>20.772842153954</v>
      </c>
      <c r="I3645" s="6" t="n">
        <f aca="false">Sens!I3644/(1+wacc)^(Sens!I3615-Sens!F3616)</f>
        <v>-4.11670786485131</v>
      </c>
      <c r="J3645" s="6" t="n">
        <f aca="false">Sens!J3644/(1+wacc)^(Sens!J3615-Sens!F3616)</f>
        <v>-13.769148530013</v>
      </c>
      <c r="K3645" s="6" t="n">
        <f aca="false">Sens!K3644/(1+wacc)^(Sens!K3615-Sens!F3616)</f>
        <v>-39.0967951216224</v>
      </c>
      <c r="L3645" s="1" t="s">
        <v>1245</v>
      </c>
    </row>
    <row r="3646" customFormat="false" ht="17.15" hidden="false" customHeight="false" outlineLevel="0" collapsed="false">
      <c r="A3646" s="0" t="s">
        <v>1246</v>
      </c>
      <c r="B3646" s="0" t="s">
        <v>98</v>
      </c>
      <c r="C3646" s="6" t="n">
        <f aca="false">(Sens!K3638-Sens!K3502)*(1-tax_f)*(1+g_tv)*(1-g_tv/(wacc+ronic_prem))/(wacc-g_tv)/(1+wacc)^(Sens!K3616-Sens!F3616)</f>
        <v>-57.5371142920865</v>
      </c>
    </row>
    <row r="3647" customFormat="false" ht="17.15" hidden="false" customHeight="false" outlineLevel="0" collapsed="false">
      <c r="A3647" s="1" t="s">
        <v>1247</v>
      </c>
      <c r="B3647" s="0" t="s">
        <v>98</v>
      </c>
      <c r="C3647" s="6" t="n">
        <f aca="false">(SUM(Sens!G3645:K3645)+Sens!$C$3646)*(1+wacc)^(t_roll-Sens!F3616)</f>
        <v>-105.087154581357</v>
      </c>
      <c r="L3647" s="12" t="s">
        <v>1248</v>
      </c>
    </row>
    <row r="3648" customFormat="false" ht="17.15" hidden="false" customHeight="false" outlineLevel="0" collapsed="false">
      <c r="A3648" s="1" t="s">
        <v>1249</v>
      </c>
      <c r="B3648" s="0" t="s">
        <v>98</v>
      </c>
      <c r="C3648" s="6" t="n">
        <f aca="false">(w_ntm28*Sens!G3490+(1-w_ntm28)*Sens!H3490)*m_ai</f>
        <v>150.528401372214</v>
      </c>
    </row>
    <row r="3649" customFormat="false" ht="17.15" hidden="false" customHeight="false" outlineLevel="0" collapsed="false">
      <c r="A3649" s="1" t="s">
        <v>1250</v>
      </c>
      <c r="B3649" s="0" t="s">
        <v>98</v>
      </c>
      <c r="C3649" s="6" t="n">
        <f aca="false">(w_ntm28*Sens!G3640+(1-w_ntm28)*Sens!H3640)*m_cloud</f>
        <v>986.400509345306</v>
      </c>
    </row>
    <row r="3650" customFormat="false" ht="17.15" hidden="false" customHeight="false" outlineLevel="0" collapsed="false">
      <c r="A3650" s="1" t="s">
        <v>1251</v>
      </c>
      <c r="B3650" s="0" t="s">
        <v>98</v>
      </c>
      <c r="C3650" s="6" t="n">
        <f aca="false">(w_ntm28*Sens!G3633+(1-w_ntm28)*Sens!H3633)*m_sw</f>
        <v>1089.61930573196</v>
      </c>
    </row>
    <row r="3651" customFormat="false" ht="17.15" hidden="false" customHeight="false" outlineLevel="0" collapsed="false">
      <c r="A3651" s="1" t="s">
        <v>1252</v>
      </c>
      <c r="B3651" s="0" t="s">
        <v>98</v>
      </c>
      <c r="C3651" s="6" t="n">
        <f aca="false">(w_ntm28*Sens!G3634+(1-w_ntm28)*Sens!H3634)*m_sw</f>
        <v>386.300716982381</v>
      </c>
    </row>
    <row r="3652" customFormat="false" ht="17.15" hidden="false" customHeight="false" outlineLevel="0" collapsed="false">
      <c r="A3652" s="1" t="s">
        <v>1253</v>
      </c>
      <c r="B3652" s="0" t="s">
        <v>98</v>
      </c>
      <c r="C3652" s="6" t="n">
        <f aca="false">(w_ntm28*Sens!G3635+(1-w_ntm28)*Sens!H3635)*m_sw</f>
        <v>117.415644121328</v>
      </c>
    </row>
    <row r="3653" customFormat="false" ht="17.15" hidden="false" customHeight="false" outlineLevel="0" collapsed="false">
      <c r="A3653" s="1" t="s">
        <v>1254</v>
      </c>
      <c r="B3653" s="0" t="s">
        <v>98</v>
      </c>
      <c r="C3653" s="6" t="n">
        <f aca="false">(w_ntm28*Sens!G3636+(1-w_ntm28)*Sens!H3636)*m_sw</f>
        <v>44.6407481134462</v>
      </c>
    </row>
    <row r="3654" customFormat="false" ht="17.15" hidden="false" customHeight="false" outlineLevel="0" collapsed="false">
      <c r="A3654" s="1" t="s">
        <v>1255</v>
      </c>
      <c r="B3654" s="0" t="s">
        <v>98</v>
      </c>
      <c r="C3654" s="6" t="n">
        <f aca="false">(w_ntm28*Sens!G3637+(1-w_ntm28)*Sens!H3637)*m_ads</f>
        <v>123.767524287473</v>
      </c>
    </row>
    <row r="3655" customFormat="false" ht="17.15" hidden="false" customHeight="false" outlineLevel="0" collapsed="false">
      <c r="A3655" s="1" t="s">
        <v>1256</v>
      </c>
      <c r="B3655" s="0" t="s">
        <v>98</v>
      </c>
      <c r="C3655" s="6" t="n">
        <f aca="false">(w_ntm28*Sens!G3642+(1-w_ntm28)*Sens!H3642)*m_game</f>
        <v>106.286615324144</v>
      </c>
    </row>
    <row r="3656" customFormat="false" ht="17.15" hidden="false" customHeight="false" outlineLevel="0" collapsed="false">
      <c r="A3656" s="1" t="s">
        <v>1257</v>
      </c>
      <c r="B3656" s="0" t="s">
        <v>98</v>
      </c>
      <c r="C3656" s="6" t="n">
        <f aca="false">(w_ntm28*Sens!G3643+(1-w_ntm28)*Sens!H3643)*m_pc</f>
        <v>98.5295413286201</v>
      </c>
    </row>
    <row r="3657" customFormat="false" ht="17.15" hidden="false" customHeight="false" outlineLevel="0" collapsed="false">
      <c r="A3657" s="1" t="s">
        <v>1258</v>
      </c>
      <c r="B3657" s="0" t="s">
        <v>98</v>
      </c>
      <c r="C3657" s="6" t="n">
        <f aca="false">Sens!$C$3647+Sens!$C$3649+Sens!$C$3650+Sens!$C$3651+Sens!$C$3652+Sens!$C$3653+Sens!$C$3654+Sens!$C$3655+Sens!$C$3656</f>
        <v>2847.8734506533</v>
      </c>
    </row>
    <row r="3658" customFormat="false" ht="17.15" hidden="false" customHeight="false" outlineLevel="0" collapsed="false">
      <c r="A3658" s="1" t="s">
        <v>1259</v>
      </c>
      <c r="B3658" s="0" t="s">
        <v>98</v>
      </c>
      <c r="C3658" s="6" t="n">
        <f aca="false">(Sens!G3619-Sens!G3644)*t_stub</f>
        <v>48.6292744236651</v>
      </c>
      <c r="L3658" s="1" t="s">
        <v>1260</v>
      </c>
    </row>
    <row r="3659" customFormat="false" ht="17.15" hidden="false" customHeight="false" outlineLevel="0" collapsed="false">
      <c r="A3659" s="1" t="s">
        <v>1169</v>
      </c>
      <c r="B3659" s="0" t="s">
        <v>98</v>
      </c>
      <c r="C3659" s="6" t="n">
        <f aca="false">Sens!F3606+oai_v-Sens!F3595+Sens!$C$3658</f>
        <v>156.075860633542</v>
      </c>
      <c r="L3659" s="1" t="s">
        <v>1261</v>
      </c>
    </row>
    <row r="3660" customFormat="false" ht="17.15" hidden="false" customHeight="false" outlineLevel="0" collapsed="false">
      <c r="A3660" s="1" t="s">
        <v>1262</v>
      </c>
      <c r="B3660" s="0" t="s">
        <v>75</v>
      </c>
      <c r="C3660" s="5" t="n">
        <f aca="false">(Sens!$C$3657+Sens!$C$3659)/(Sens!F3608+dil_gap)-Sens!G3598*roll_div_q/q_per_yr</f>
        <v>399.700802999846</v>
      </c>
      <c r="L3660" s="1" t="s">
        <v>1263</v>
      </c>
    </row>
    <row r="3661" customFormat="false" ht="17.15" hidden="false" customHeight="false" outlineLevel="0" collapsed="false">
      <c r="A3661" s="1" t="s">
        <v>1264</v>
      </c>
      <c r="B3661" s="0" t="s">
        <v>75</v>
      </c>
      <c r="C3661" s="5" t="n">
        <f aca="false">w_dcf*Sens!$C$3631+(1-w_dcf)*Sens!$C$3660</f>
        <v>339.095493130176</v>
      </c>
    </row>
    <row r="3662" customFormat="false" ht="17.15" hidden="false" customHeight="false" outlineLevel="0" collapsed="false">
      <c r="A3662" s="3" t="s">
        <v>1570</v>
      </c>
    </row>
    <row r="3663" customFormat="false" ht="15" hidden="false" customHeight="false" outlineLevel="0" collapsed="false">
      <c r="A3663" s="4" t="s">
        <v>43</v>
      </c>
      <c r="B3663" s="4" t="s">
        <v>65</v>
      </c>
      <c r="C3663" s="23" t="s">
        <v>938</v>
      </c>
      <c r="D3663" s="23" t="s">
        <v>939</v>
      </c>
      <c r="E3663" s="23" t="s">
        <v>940</v>
      </c>
      <c r="F3663" s="23" t="s">
        <v>941</v>
      </c>
      <c r="G3663" s="23" t="s">
        <v>942</v>
      </c>
      <c r="H3663" s="23" t="s">
        <v>943</v>
      </c>
      <c r="I3663" s="23" t="s">
        <v>944</v>
      </c>
      <c r="J3663" s="23" t="s">
        <v>945</v>
      </c>
      <c r="K3663" s="23" t="s">
        <v>946</v>
      </c>
      <c r="L3663" s="4" t="s">
        <v>47</v>
      </c>
    </row>
    <row r="3664" customFormat="false" ht="17.15" hidden="false" customHeight="false" outlineLevel="0" collapsed="false">
      <c r="A3664" s="1" t="s">
        <v>947</v>
      </c>
      <c r="B3664" s="1" t="s">
        <v>279</v>
      </c>
      <c r="C3664" s="21" t="n">
        <v>2024</v>
      </c>
      <c r="D3664" s="21" t="n">
        <v>2025</v>
      </c>
      <c r="E3664" s="21" t="n">
        <v>2026</v>
      </c>
      <c r="F3664" s="21" t="n">
        <v>2027</v>
      </c>
      <c r="G3664" s="21" t="n">
        <v>2028</v>
      </c>
      <c r="H3664" s="21" t="n">
        <v>2029</v>
      </c>
      <c r="I3664" s="21" t="n">
        <v>2030</v>
      </c>
      <c r="J3664" s="21" t="n">
        <v>2031</v>
      </c>
      <c r="K3664" s="21" t="n">
        <v>2032</v>
      </c>
    </row>
    <row r="3665" customFormat="false" ht="17.15" hidden="false" customHeight="false" outlineLevel="0" collapsed="false">
      <c r="A3665" s="1" t="s">
        <v>948</v>
      </c>
      <c r="B3665" s="0" t="s">
        <v>456</v>
      </c>
      <c r="F3665" s="30" t="n">
        <f aca="false">pace*1.2</f>
        <v>3271.84212</v>
      </c>
      <c r="G3665" s="30" t="n">
        <f aca="false">pace*1.2</f>
        <v>3271.84212</v>
      </c>
      <c r="H3665" s="30" t="n">
        <f aca="false">pace*1.2</f>
        <v>3271.84212</v>
      </c>
      <c r="I3665" s="30" t="n">
        <f aca="false">pace*1.2+(g_tv*Sens!H3666-pace*1.2)*MIN(1,(Sens!I3664-pace_y0)/(pace_y1-pace_y0))</f>
        <v>2311.8833436</v>
      </c>
      <c r="J3665" s="30" t="n">
        <f aca="false">pace*1.2+(g_tv*Sens!I3666-pace*1.2)*MIN(1,(Sens!J3664-pace_y0)/(pace_y1-pace_y0))</f>
        <v>1398.162234072</v>
      </c>
      <c r="K3665" s="30" t="n">
        <f aca="false">pace*1.2+(g_tv*Sens!J3666-pace*1.2)*MIN(1,(Sens!K3664-pace_y0)/(pace_y1-pace_y0))</f>
        <v>503.26715813016</v>
      </c>
      <c r="L3665" s="12" t="s">
        <v>949</v>
      </c>
    </row>
    <row r="3666" customFormat="false" ht="17.15" hidden="false" customHeight="false" outlineLevel="0" collapsed="false">
      <c r="A3666" s="1" t="s">
        <v>950</v>
      </c>
      <c r="B3666" s="0" t="s">
        <v>456</v>
      </c>
      <c r="C3666" s="30" t="n">
        <f aca="false">mw_ext_24</f>
        <v>640</v>
      </c>
      <c r="D3666" s="30" t="n">
        <f aca="false">mw_ext_25</f>
        <v>1630</v>
      </c>
      <c r="E3666" s="30" t="n">
        <f aca="false">mw_ext_26</f>
        <v>3250</v>
      </c>
      <c r="F3666" s="30" t="n">
        <f aca="false">Sens!E3666+Sens!F3665</f>
        <v>6521.84212</v>
      </c>
      <c r="G3666" s="30" t="n">
        <f aca="false">Sens!F3666+Sens!G3665</f>
        <v>9793.68424</v>
      </c>
      <c r="H3666" s="30" t="n">
        <f aca="false">Sens!G3666+Sens!H3665</f>
        <v>13065.52636</v>
      </c>
      <c r="I3666" s="30" t="n">
        <f aca="false">Sens!H3666+Sens!I3665</f>
        <v>15377.4097036</v>
      </c>
      <c r="J3666" s="30" t="n">
        <f aca="false">Sens!I3666+Sens!J3665</f>
        <v>16775.571937672</v>
      </c>
      <c r="K3666" s="30" t="n">
        <f aca="false">Sens!J3666+Sens!K3665</f>
        <v>17278.8390958022</v>
      </c>
      <c r="L3666" s="1" t="s">
        <v>951</v>
      </c>
    </row>
    <row r="3667" customFormat="false" ht="17.15" hidden="false" customHeight="false" outlineLevel="0" collapsed="false">
      <c r="A3667" s="1" t="s">
        <v>952</v>
      </c>
      <c r="B3667" s="0" t="s">
        <v>456</v>
      </c>
      <c r="C3667" s="30" t="n">
        <f aca="false">rent_ext_24</f>
        <v>150</v>
      </c>
      <c r="D3667" s="30" t="n">
        <f aca="false">rent_ext_25</f>
        <v>400</v>
      </c>
      <c r="E3667" s="30" t="n">
        <f aca="false">rent_ext_26</f>
        <v>550</v>
      </c>
      <c r="F3667" s="30" t="n">
        <f aca="false">rent_ext_f</f>
        <v>756</v>
      </c>
      <c r="G3667" s="30" t="n">
        <f aca="false">rent_ext_f</f>
        <v>756</v>
      </c>
      <c r="H3667" s="30" t="n">
        <f aca="false">rent_ext_f</f>
        <v>756</v>
      </c>
      <c r="I3667" s="30" t="n">
        <f aca="false">rent_ext_f</f>
        <v>756</v>
      </c>
      <c r="J3667" s="30" t="n">
        <f aca="false">rent_ext_f</f>
        <v>756</v>
      </c>
      <c r="K3667" s="30" t="n">
        <f aca="false">rent_ext_f</f>
        <v>756</v>
      </c>
      <c r="L3667" s="1" t="s">
        <v>953</v>
      </c>
    </row>
    <row r="3668" customFormat="false" ht="17.15" hidden="false" customHeight="false" outlineLevel="0" collapsed="false">
      <c r="A3668" s="1" t="s">
        <v>954</v>
      </c>
      <c r="B3668" s="0" t="s">
        <v>456</v>
      </c>
      <c r="C3668" s="30" t="n">
        <f aca="false">Sens!C3666-Sens!C3667</f>
        <v>490</v>
      </c>
      <c r="D3668" s="30" t="n">
        <f aca="false">Sens!D3666-Sens!D3667</f>
        <v>1230</v>
      </c>
      <c r="E3668" s="30" t="n">
        <f aca="false">Sens!E3666-Sens!E3667</f>
        <v>2700</v>
      </c>
      <c r="F3668" s="30" t="n">
        <f aca="false">Sens!F3666-Sens!F3667</f>
        <v>5765.84212</v>
      </c>
      <c r="G3668" s="30" t="n">
        <f aca="false">Sens!G3666-Sens!G3667</f>
        <v>9037.68424</v>
      </c>
      <c r="H3668" s="30" t="n">
        <f aca="false">Sens!H3666-Sens!H3667</f>
        <v>12309.52636</v>
      </c>
      <c r="I3668" s="30" t="n">
        <f aca="false">Sens!I3666-Sens!I3667</f>
        <v>14621.4097036</v>
      </c>
      <c r="J3668" s="30" t="n">
        <f aca="false">Sens!J3666-Sens!J3667</f>
        <v>16019.571937672</v>
      </c>
      <c r="K3668" s="30" t="n">
        <f aca="false">Sens!K3666-Sens!K3667</f>
        <v>16522.8390958022</v>
      </c>
    </row>
    <row r="3669" customFormat="false" ht="17.15" hidden="false" customHeight="false" outlineLevel="0" collapsed="false">
      <c r="A3669" s="1" t="s">
        <v>955</v>
      </c>
      <c r="B3669" s="0" t="s">
        <v>456</v>
      </c>
      <c r="C3669" s="30" t="n">
        <f aca="false">Sens!C3668/ext_sh</f>
        <v>816.666666666667</v>
      </c>
      <c r="D3669" s="30" t="n">
        <f aca="false">Sens!D3668/ext_sh</f>
        <v>2050</v>
      </c>
      <c r="E3669" s="30" t="n">
        <f aca="false">Sens!E3668/ext_sh</f>
        <v>4500</v>
      </c>
      <c r="F3669" s="30" t="n">
        <f aca="false">Sens!F3668/ext_sh</f>
        <v>9609.73686666667</v>
      </c>
      <c r="G3669" s="30" t="n">
        <f aca="false">Sens!G3668/ext_sh</f>
        <v>15062.8070666667</v>
      </c>
      <c r="H3669" s="30" t="n">
        <f aca="false">Sens!H3668/ext_sh</f>
        <v>20515.8772666667</v>
      </c>
      <c r="I3669" s="30" t="n">
        <f aca="false">Sens!I3668/ext_sh</f>
        <v>24369.0161726667</v>
      </c>
      <c r="J3669" s="30" t="n">
        <f aca="false">Sens!J3668/ext_sh</f>
        <v>26699.2865627867</v>
      </c>
      <c r="K3669" s="30" t="n">
        <f aca="false">Sens!K3668/ext_sh</f>
        <v>27538.0651596703</v>
      </c>
      <c r="L3669" s="1" t="s">
        <v>956</v>
      </c>
    </row>
    <row r="3670" customFormat="false" ht="17.15" hidden="false" customHeight="false" outlineLevel="0" collapsed="false">
      <c r="A3670" s="1" t="s">
        <v>957</v>
      </c>
      <c r="B3670" s="0" t="s">
        <v>456</v>
      </c>
      <c r="C3670" s="30" t="n">
        <f aca="false">Sens!C3669-Sens!C3668</f>
        <v>326.666666666667</v>
      </c>
      <c r="D3670" s="30" t="n">
        <f aca="false">Sens!D3669-Sens!D3668</f>
        <v>820</v>
      </c>
      <c r="E3670" s="30" t="n">
        <f aca="false">Sens!E3669-Sens!E3668</f>
        <v>1800</v>
      </c>
      <c r="F3670" s="30" t="n">
        <f aca="false">Sens!F3669-Sens!F3668</f>
        <v>3843.89474666667</v>
      </c>
      <c r="G3670" s="30" t="n">
        <f aca="false">Sens!G3669-Sens!G3668</f>
        <v>6025.12282666667</v>
      </c>
      <c r="H3670" s="30" t="n">
        <f aca="false">Sens!H3669-Sens!H3668</f>
        <v>8206.35090666667</v>
      </c>
      <c r="I3670" s="30" t="n">
        <f aca="false">Sens!I3669-Sens!I3668</f>
        <v>9747.60646906667</v>
      </c>
      <c r="J3670" s="30" t="n">
        <f aca="false">Sens!J3669-Sens!J3668</f>
        <v>10679.7146251147</v>
      </c>
      <c r="K3670" s="30" t="n">
        <f aca="false">Sens!K3669-Sens!K3668</f>
        <v>11015.2260638681</v>
      </c>
    </row>
    <row r="3671" customFormat="false" ht="17.15" hidden="false" customHeight="false" outlineLevel="0" collapsed="false">
      <c r="A3671" s="1" t="s">
        <v>958</v>
      </c>
      <c r="B3671" s="0" t="s">
        <v>456</v>
      </c>
      <c r="C3671" s="30" t="n">
        <f aca="false">Sens!C3669</f>
        <v>816.666666666667</v>
      </c>
      <c r="D3671" s="30" t="n">
        <f aca="false">Sens!D3669-Sens!C3669</f>
        <v>1233.33333333333</v>
      </c>
      <c r="E3671" s="30" t="n">
        <f aca="false">Sens!E3669-Sens!D3669</f>
        <v>2450</v>
      </c>
      <c r="F3671" s="30" t="n">
        <f aca="false">Sens!F3669-Sens!E3669</f>
        <v>5109.73686666667</v>
      </c>
      <c r="G3671" s="30" t="n">
        <f aca="false">Sens!G3669-Sens!F3669</f>
        <v>5453.0702</v>
      </c>
      <c r="H3671" s="30" t="n">
        <f aca="false">Sens!H3669-Sens!G3669</f>
        <v>5453.0702</v>
      </c>
      <c r="I3671" s="30" t="n">
        <f aca="false">Sens!I3669-Sens!H3669</f>
        <v>3853.138906</v>
      </c>
      <c r="J3671" s="30" t="n">
        <f aca="false">Sens!J3669-Sens!I3669</f>
        <v>2330.27039012</v>
      </c>
      <c r="K3671" s="30" t="n">
        <f aca="false">Sens!K3669-Sens!J3669</f>
        <v>838.778596883596</v>
      </c>
    </row>
    <row r="3672" customFormat="false" ht="17.15" hidden="false" customHeight="false" outlineLevel="0" collapsed="false">
      <c r="A3672" s="1" t="s">
        <v>959</v>
      </c>
      <c r="B3672" s="0" t="s">
        <v>456</v>
      </c>
      <c r="D3672" s="30" t="n">
        <f aca="false">Sens!D3666-Sens!C3666</f>
        <v>990</v>
      </c>
      <c r="E3672" s="30" t="n">
        <f aca="false">Sens!E3666-Sens!D3666</f>
        <v>1620</v>
      </c>
      <c r="F3672" s="30" t="n">
        <f aca="false">Sens!F3666-Sens!E3666</f>
        <v>3271.84212</v>
      </c>
      <c r="G3672" s="30" t="n">
        <f aca="false">Sens!G3666-Sens!F3666</f>
        <v>3271.84212</v>
      </c>
      <c r="H3672" s="30" t="n">
        <f aca="false">Sens!H3666-Sens!G3666</f>
        <v>3271.84212</v>
      </c>
      <c r="I3672" s="30" t="n">
        <f aca="false">Sens!I3666-Sens!H3666</f>
        <v>2311.8833436</v>
      </c>
      <c r="J3672" s="30" t="n">
        <f aca="false">Sens!J3666-Sens!I3666</f>
        <v>1398.162234072</v>
      </c>
      <c r="K3672" s="30" t="n">
        <f aca="false">Sens!K3666-Sens!J3666</f>
        <v>503.267158130158</v>
      </c>
    </row>
    <row r="3673" customFormat="false" ht="17.15" hidden="false" customHeight="false" outlineLevel="0" collapsed="false">
      <c r="A3673" s="1" t="s">
        <v>960</v>
      </c>
      <c r="B3673" s="0" t="s">
        <v>456</v>
      </c>
      <c r="F3673" s="30" t="n">
        <f aca="false">Sens!F3692*ext_sh</f>
        <v>0</v>
      </c>
      <c r="G3673" s="30" t="n">
        <f aca="false">Sens!G3692*ext_sh</f>
        <v>0</v>
      </c>
      <c r="H3673" s="30" t="n">
        <f aca="false">Sens!H3692*ext_sh</f>
        <v>0</v>
      </c>
      <c r="I3673" s="30" t="n">
        <f aca="false">Sens!I3692*ext_sh</f>
        <v>490</v>
      </c>
      <c r="J3673" s="30" t="n">
        <f aca="false">Sens!J3692*ext_sh</f>
        <v>740</v>
      </c>
      <c r="K3673" s="30" t="n">
        <f aca="false">Sens!K3692*ext_sh</f>
        <v>1470</v>
      </c>
      <c r="L3673" s="1" t="s">
        <v>961</v>
      </c>
    </row>
    <row r="3674" customFormat="false" ht="17.15" hidden="false" customHeight="false" outlineLevel="0" collapsed="false">
      <c r="A3674" s="1" t="s">
        <v>962</v>
      </c>
      <c r="B3674" s="0" t="s">
        <v>456</v>
      </c>
      <c r="C3674" s="30" t="n">
        <f aca="false">mix_h*Sens!C3666</f>
        <v>128</v>
      </c>
      <c r="D3674" s="30" t="n">
        <f aca="false">mix_h*Sens!D3666</f>
        <v>326</v>
      </c>
      <c r="E3674" s="30" t="n">
        <f aca="false">mix_h*Sens!E3666</f>
        <v>650</v>
      </c>
      <c r="F3674" s="30" t="n">
        <f aca="false">Sens!E3674-Sens!F3673*mix_h</f>
        <v>650</v>
      </c>
      <c r="G3674" s="30" t="n">
        <f aca="false">Sens!F3674-Sens!G3673*mix_h</f>
        <v>650</v>
      </c>
      <c r="H3674" s="30" t="n">
        <f aca="false">Sens!G3674-Sens!H3673*mix_h</f>
        <v>650</v>
      </c>
      <c r="I3674" s="30" t="n">
        <f aca="false">Sens!H3674-Sens!I3673*mix_h</f>
        <v>552</v>
      </c>
      <c r="J3674" s="30" t="n">
        <f aca="false">Sens!I3674-Sens!J3673*mix_h</f>
        <v>404</v>
      </c>
      <c r="K3674" s="30" t="n">
        <f aca="false">Sens!J3674-Sens!K3673*mix_h</f>
        <v>110</v>
      </c>
    </row>
    <row r="3675" customFormat="false" ht="17.15" hidden="false" customHeight="false" outlineLevel="0" collapsed="false">
      <c r="A3675" s="1" t="s">
        <v>963</v>
      </c>
      <c r="B3675" s="0" t="s">
        <v>456</v>
      </c>
      <c r="C3675" s="30" t="n">
        <f aca="false">mix_g2*Sens!C3666</f>
        <v>288</v>
      </c>
      <c r="D3675" s="30" t="n">
        <f aca="false">mix_g2*Sens!D3666</f>
        <v>733.5</v>
      </c>
      <c r="E3675" s="30" t="n">
        <f aca="false">mix_g2*Sens!E3666</f>
        <v>1462.5</v>
      </c>
      <c r="F3675" s="30" t="n">
        <f aca="false">Sens!E3675-Sens!F3673*mix_g2</f>
        <v>1462.5</v>
      </c>
      <c r="G3675" s="30" t="n">
        <f aca="false">Sens!F3675-Sens!G3673*mix_g2</f>
        <v>1462.5</v>
      </c>
      <c r="H3675" s="30" t="n">
        <f aca="false">Sens!G3675-Sens!H3673*mix_g2</f>
        <v>1462.5</v>
      </c>
      <c r="I3675" s="30" t="n">
        <f aca="false">Sens!H3675-Sens!I3673*mix_g2</f>
        <v>1242</v>
      </c>
      <c r="J3675" s="30" t="n">
        <f aca="false">Sens!I3675-Sens!J3673*mix_g2</f>
        <v>909</v>
      </c>
      <c r="K3675" s="30" t="n">
        <f aca="false">Sens!J3675-Sens!K3673*mix_g2</f>
        <v>247.5</v>
      </c>
    </row>
    <row r="3676" customFormat="false" ht="17.15" hidden="false" customHeight="false" outlineLevel="0" collapsed="false">
      <c r="A3676" s="1" t="s">
        <v>964</v>
      </c>
      <c r="B3676" s="0" t="s">
        <v>456</v>
      </c>
      <c r="C3676" s="30" t="n">
        <f aca="false">mix_g3*Sens!C3666</f>
        <v>224</v>
      </c>
      <c r="D3676" s="30" t="n">
        <f aca="false">mix_g3*Sens!D3666</f>
        <v>570.5</v>
      </c>
      <c r="E3676" s="30" t="n">
        <f aca="false">mix_g3*Sens!E3666</f>
        <v>1137.5</v>
      </c>
      <c r="F3676" s="30" t="n">
        <f aca="false">Sens!E3676+(Sens!F3672+Sens!F3673)*(a_g3_27-nonnv*a_mai)-Sens!F3673*mix_g3</f>
        <v>3100.605272</v>
      </c>
      <c r="G3676" s="30" t="n">
        <f aca="false">Sens!F3676+(Sens!G3672+Sens!G3673)*(a_g3_28-nonnv*a_mai)-Sens!G3673*mix_g3</f>
        <v>3754.973696</v>
      </c>
      <c r="H3676" s="30" t="n">
        <f aca="false">Sens!G3676+(Sens!H3672+Sens!H3673)*(a_g3_29-nonnv*a_mai)-Sens!H3673*mix_g3</f>
        <v>3754.973696</v>
      </c>
      <c r="I3676" s="30" t="n">
        <f aca="false">Sens!H3676+(Sens!I3672+Sens!I3673)*(a_g3_29-nonnv*a_mai)-Sens!I3673*mix_g3</f>
        <v>3583.473696</v>
      </c>
      <c r="J3676" s="30" t="n">
        <f aca="false">Sens!I3676+(Sens!J3672+Sens!J3673)*(a_g3_29-nonnv*a_mai)-Sens!J3673*mix_g3</f>
        <v>3324.473696</v>
      </c>
      <c r="K3676" s="30" t="n">
        <f aca="false">Sens!J3676+(Sens!K3672+Sens!K3673)*(a_g3_29-nonnv*a_mai)-Sens!K3673*mix_g3</f>
        <v>2809.973696</v>
      </c>
    </row>
    <row r="3677" customFormat="false" ht="17.15" hidden="false" customHeight="false" outlineLevel="0" collapsed="false">
      <c r="A3677" s="1" t="s">
        <v>965</v>
      </c>
      <c r="B3677" s="0" t="s">
        <v>456</v>
      </c>
      <c r="C3677" s="30" t="n">
        <v>0</v>
      </c>
      <c r="D3677" s="30" t="n">
        <v>0</v>
      </c>
      <c r="E3677" s="30" t="n">
        <v>0</v>
      </c>
      <c r="F3677" s="30" t="n">
        <f aca="false">Sens!E3677+(Sens!F3672+Sens!F3673)*nonnv*a_mai</f>
        <v>327.184212</v>
      </c>
      <c r="G3677" s="30" t="n">
        <f aca="false">Sens!F3677+(Sens!G3672+Sens!G3673)*nonnv*a_mai</f>
        <v>654.368424</v>
      </c>
      <c r="H3677" s="30" t="n">
        <f aca="false">Sens!G3677+(Sens!H3672+Sens!H3673)*nonnv*a_mai</f>
        <v>981.552636</v>
      </c>
      <c r="I3677" s="30" t="n">
        <f aca="false">Sens!H3677+(Sens!I3672+Sens!I3673)*nonnv*a_mai</f>
        <v>1261.74097036</v>
      </c>
      <c r="J3677" s="30" t="n">
        <f aca="false">Sens!I3677+(Sens!J3672+Sens!J3673)*nonnv*a_mai</f>
        <v>1475.5571937672</v>
      </c>
      <c r="K3677" s="30" t="n">
        <f aca="false">Sens!J3677+(Sens!K3672+Sens!K3673)*nonnv*a_mai</f>
        <v>1672.88390958022</v>
      </c>
      <c r="L3677" s="12" t="s">
        <v>966</v>
      </c>
    </row>
    <row r="3678" customFormat="false" ht="17.15" hidden="false" customHeight="false" outlineLevel="0" collapsed="false">
      <c r="A3678" s="1" t="s">
        <v>967</v>
      </c>
      <c r="B3678" s="0" t="s">
        <v>456</v>
      </c>
      <c r="C3678" s="30" t="n">
        <v>0</v>
      </c>
      <c r="D3678" s="30" t="n">
        <v>0</v>
      </c>
      <c r="E3678" s="30" t="n">
        <v>0</v>
      </c>
      <c r="F3678" s="30" t="n">
        <f aca="false">Sens!E3678+(Sens!F3672+Sens!F3673)*(1-a_g3_27)</f>
        <v>981.552636</v>
      </c>
      <c r="G3678" s="30" t="n">
        <f aca="false">Sens!F3678+(Sens!G3672+Sens!G3673)*(1-a_g3_28)</f>
        <v>3271.84212</v>
      </c>
      <c r="H3678" s="30" t="n">
        <f aca="false">Sens!G3678+(Sens!H3672+Sens!H3673)*(1-a_g3_29)</f>
        <v>6216.500028</v>
      </c>
      <c r="I3678" s="30" t="n">
        <f aca="false">Sens!H3678+(Sens!I3672+Sens!I3673)*(1-a_g3_29)</f>
        <v>8738.19503724</v>
      </c>
      <c r="J3678" s="30" t="n">
        <f aca="false">Sens!I3678+(Sens!J3672+Sens!J3673)*(1-a_g3_29)</f>
        <v>10662.5410479048</v>
      </c>
      <c r="K3678" s="30" t="n">
        <f aca="false">Sens!J3678+(Sens!K3672+Sens!K3673)*(1-a_g3_29)</f>
        <v>12438.4814902219</v>
      </c>
    </row>
    <row r="3679" customFormat="false" ht="17.15" hidden="false" customHeight="false" outlineLevel="0" collapsed="false">
      <c r="A3679" s="1" t="s">
        <v>968</v>
      </c>
      <c r="B3679" s="0" t="s">
        <v>403</v>
      </c>
      <c r="C3679" s="15" t="n">
        <f aca="false">(Sens!C3674*tk_hold_h100+Sens!C3675*tk_hold_gb200+Sens!C3676*tk_hold_gb300+Sens!C3678*tk_hold_vr200+Sens!C3677*nv_hold_mai*tk_hold_vr200)/Sens!C3666</f>
        <v>9.7235358126469</v>
      </c>
      <c r="D3679" s="15" t="n">
        <f aca="false">(Sens!D3674*tk_hold_h100+Sens!D3675*tk_hold_gb200+Sens!D3676*tk_hold_gb300+Sens!D3678*tk_hold_vr200+Sens!D3677*nv_hold_mai*tk_hold_vr200)/Sens!D3666</f>
        <v>9.7235358126469</v>
      </c>
      <c r="E3679" s="15" t="n">
        <f aca="false">(Sens!E3674*tk_hold_h100+Sens!E3675*tk_hold_gb200+Sens!E3676*tk_hold_gb300+Sens!E3678*tk_hold_vr200+Sens!E3677*nv_hold_mai*tk_hold_vr200)/Sens!E3666</f>
        <v>9.7235358126469</v>
      </c>
      <c r="F3679" s="15" t="n">
        <f aca="false">(Sens!F3674*tk_hold_h100+Sens!F3675*tk_hold_gb200+Sens!F3676*tk_hold_gb300+Sens!F3678*tk_hold_vr200+Sens!F3677*nv_hold_mai*tk_hold_vr200)/Sens!F3666</f>
        <v>10.2689692313307</v>
      </c>
      <c r="G3679" s="15" t="n">
        <f aca="false">(Sens!G3674*tk_hold_h100+Sens!G3675*tk_hold_gb200+Sens!G3676*tk_hold_gb300+Sens!G3678*tk_hold_vr200+Sens!G3677*nv_hold_mai*tk_hold_vr200)/Sens!G3666</f>
        <v>10.6289089323929</v>
      </c>
      <c r="H3679" s="15" t="n">
        <f aca="false">(Sens!H3674*tk_hold_h100+Sens!H3675*tk_hold_gb200+Sens!H3676*tk_hold_gb300+Sens!H3678*tk_hold_vr200+Sens!H3677*nv_hold_mai*tk_hold_vr200)/Sens!H3666</f>
        <v>10.8756428486304</v>
      </c>
      <c r="I3679" s="15" t="n">
        <f aca="false">(Sens!I3674*tk_hold_h100+Sens!I3675*tk_hold_gb200+Sens!I3676*tk_hold_gb300+Sens!I3678*tk_hold_vr200+Sens!I3677*nv_hold_mai*tk_hold_vr200)/Sens!I3666</f>
        <v>11.0469250311643</v>
      </c>
      <c r="J3679" s="15" t="n">
        <f aca="false">(Sens!J3674*tk_hold_h100+Sens!J3675*tk_hold_gb200+Sens!J3676*tk_hold_gb300+Sens!J3678*tk_hold_vr200+Sens!J3677*nv_hold_mai*tk_hold_vr200)/Sens!J3666</f>
        <v>11.1776048375843</v>
      </c>
      <c r="K3679" s="15" t="n">
        <f aca="false">(Sens!K3674*tk_hold_h100+Sens!K3675*tk_hold_gb200+Sens!K3676*tk_hold_gb300+Sens!K3678*tk_hold_vr200+Sens!K3677*nv_hold_mai*tk_hold_vr200)/Sens!K3666</f>
        <v>11.3511694689919</v>
      </c>
      <c r="L3679" s="1" t="s">
        <v>969</v>
      </c>
    </row>
    <row r="3680" customFormat="false" ht="17.15" hidden="false" customHeight="false" outlineLevel="0" collapsed="false">
      <c r="A3680" s="1" t="s">
        <v>970</v>
      </c>
      <c r="B3680" s="0" t="s">
        <v>403</v>
      </c>
      <c r="C3680" s="15" t="n">
        <f aca="false">(Sens!C3674*tk_hold_h100+Sens!C3675*tk_hold_gb200+Sens!C3676*tk_hold_gb300+Sens!C3678*tk_hold_vr200+Sens!C3677*nv_out_mai*tk_hold_vr200)/Sens!C3666</f>
        <v>9.7235358126469</v>
      </c>
      <c r="D3680" s="15" t="n">
        <f aca="false">(Sens!D3674*tk_hold_h100+Sens!D3675*tk_hold_gb200+Sens!D3676*tk_hold_gb300+Sens!D3678*tk_hold_vr200+Sens!D3677*nv_out_mai*tk_hold_vr200)/Sens!D3666</f>
        <v>9.7235358126469</v>
      </c>
      <c r="E3680" s="15" t="n">
        <f aca="false">(Sens!E3674*tk_hold_h100+Sens!E3675*tk_hold_gb200+Sens!E3676*tk_hold_gb300+Sens!E3678*tk_hold_vr200+Sens!E3677*nv_out_mai*tk_hold_vr200)/Sens!E3666</f>
        <v>9.7235358126469</v>
      </c>
      <c r="F3680" s="15" t="n">
        <f aca="false">(Sens!F3674*tk_hold_h100+Sens!F3675*tk_hold_gb200+Sens!F3676*tk_hold_gb300+Sens!F3678*tk_hold_vr200+Sens!F3677*nv_out_mai*tk_hold_vr200)/Sens!F3666</f>
        <v>10.2996352688042</v>
      </c>
      <c r="G3680" s="15" t="n">
        <f aca="false">(Sens!G3674*tk_hold_h100+Sens!G3675*tk_hold_gb200+Sens!G3676*tk_hold_gb300+Sens!G3678*tk_hold_vr200+Sens!G3677*nv_out_mai*tk_hold_vr200)/Sens!G3666</f>
        <v>10.6697513875807</v>
      </c>
      <c r="H3680" s="15" t="n">
        <f aca="false">(Sens!H3674*tk_hold_h100+Sens!H3675*tk_hold_gb200+Sens!H3676*tk_hold_gb300+Sens!H3678*tk_hold_vr200+Sens!H3677*nv_out_mai*tk_hold_vr200)/Sens!H3666</f>
        <v>10.92156500653</v>
      </c>
      <c r="I3680" s="15" t="n">
        <f aca="false">(Sens!I3674*tk_hold_h100+Sens!I3675*tk_hold_gb200+Sens!I3676*tk_hold_gb300+Sens!I3678*tk_hold_vr200+Sens!I3677*nv_out_mai*tk_hold_vr200)/Sens!I3666</f>
        <v>11.097081000036</v>
      </c>
      <c r="J3680" s="15" t="n">
        <f aca="false">(Sens!J3674*tk_hold_h100+Sens!J3675*tk_hold_gb200+Sens!J3676*tk_hold_gb300+Sens!J3678*tk_hold_vr200+Sens!J3677*nv_out_mai*tk_hold_vr200)/Sens!J3666</f>
        <v>11.2313716532703</v>
      </c>
      <c r="K3680" s="15" t="n">
        <f aca="false">(Sens!K3674*tk_hold_h100+Sens!K3675*tk_hold_gb200+Sens!K3676*tk_hold_gb300+Sens!K3678*tk_hold_vr200+Sens!K3677*nv_out_mai*tk_hold_vr200)/Sens!K3666</f>
        <v>11.4103510888253</v>
      </c>
      <c r="L3680" s="12" t="s">
        <v>971</v>
      </c>
    </row>
    <row r="3681" customFormat="false" ht="17.15" hidden="false" customHeight="false" outlineLevel="0" collapsed="false">
      <c r="A3681" s="0" t="s">
        <v>972</v>
      </c>
      <c r="B3681" s="0" t="s">
        <v>229</v>
      </c>
      <c r="C3681" s="15" t="n">
        <f aca="false">k_B</f>
        <v>1.17213932619116</v>
      </c>
      <c r="D3681" s="15" t="n">
        <f aca="false">k_B</f>
        <v>1.17213932619116</v>
      </c>
      <c r="E3681" s="15" t="n">
        <f aca="false">k_B</f>
        <v>1.17213932619116</v>
      </c>
      <c r="F3681" s="15" t="n">
        <f aca="false">(k_B+((ls_A*k_long+(1-ls_A)*k_spot)-k_B)*MIN(1,(Sens!F3664-base_fy)/k_ramp))</f>
        <v>1.25022828131298</v>
      </c>
      <c r="G3681" s="15" t="n">
        <f aca="false">(k_B+((ls_A*k_long+(1-ls_A)*k_spot)-k_B)*MIN(1,(Sens!G3664-base_fy)/k_ramp))</f>
        <v>1.3283172364348</v>
      </c>
      <c r="H3681" s="15" t="n">
        <f aca="false">(k_B+((ls_A*k_long+(1-ls_A)*k_spot)-k_B)*MIN(1,(Sens!H3664-base_fy)/k_ramp))</f>
        <v>1.40640619155662</v>
      </c>
      <c r="I3681" s="15" t="n">
        <f aca="false">(k_B+((ls_A*k_long+(1-ls_A)*k_spot)-k_B)*MIN(1,(Sens!I3664-base_fy)/k_ramp))</f>
        <v>1.40640619155662</v>
      </c>
      <c r="J3681" s="15" t="n">
        <f aca="false">(k_B+((ls_A*k_long+(1-ls_A)*k_spot)-k_B)*MIN(1,(Sens!J3664-base_fy)/k_ramp))</f>
        <v>1.40640619155662</v>
      </c>
      <c r="K3681" s="15" t="n">
        <f aca="false">(k_B+((ls_A*k_long+(1-ls_A)*k_spot)-k_B)*MIN(1,(Sens!K3664-base_fy)/k_ramp))</f>
        <v>1.40640619155662</v>
      </c>
      <c r="L3681" s="1" t="s">
        <v>973</v>
      </c>
    </row>
    <row r="3682" customFormat="false" ht="17.15" hidden="false" customHeight="false" outlineLevel="0" collapsed="false">
      <c r="A3682" s="1" t="s">
        <v>974</v>
      </c>
      <c r="B3682" s="0" t="s">
        <v>403</v>
      </c>
      <c r="C3682" s="15" t="n">
        <f aca="false">Sens!C3680*Sens!C3681*chip_f</f>
        <v>11.3973387156315</v>
      </c>
      <c r="D3682" s="15" t="n">
        <f aca="false">Sens!D3680*Sens!D3681*chip_f</f>
        <v>11.3973387156315</v>
      </c>
      <c r="E3682" s="15" t="n">
        <f aca="false">Sens!E3680*Sens!E3681*chip_f</f>
        <v>11.3973387156315</v>
      </c>
      <c r="F3682" s="15" t="n">
        <f aca="false">Sens!F3680*Sens!F3681*chip_f</f>
        <v>12.8768953002676</v>
      </c>
      <c r="G3682" s="15" t="n">
        <f aca="false">Sens!G3680*Sens!G3681*chip_f</f>
        <v>14.1728146765976</v>
      </c>
      <c r="H3682" s="15" t="n">
        <f aca="false">Sens!H3680*Sens!H3681*chip_f</f>
        <v>15.3601566466719</v>
      </c>
      <c r="I3682" s="15" t="n">
        <f aca="false">Sens!I3680*Sens!I3681*chip_f</f>
        <v>15.607003426656</v>
      </c>
      <c r="J3682" s="15" t="n">
        <f aca="false">Sens!J3680*Sens!J3681*chip_f</f>
        <v>15.7958706328329</v>
      </c>
      <c r="K3682" s="15" t="n">
        <f aca="false">Sens!K3680*Sens!K3681*chip_f</f>
        <v>16.0475884191587</v>
      </c>
      <c r="L3682" s="1" t="s">
        <v>975</v>
      </c>
    </row>
    <row r="3683" customFormat="false" ht="17.15" hidden="false" customHeight="false" outlineLevel="0" collapsed="false">
      <c r="A3683" s="0" t="s">
        <v>976</v>
      </c>
      <c r="B3683" s="0" t="s">
        <v>98</v>
      </c>
      <c r="D3683" s="6" t="n">
        <f aca="false">(Sens!C3666+Sens!D3666)/2*Sens!D3682/1000</f>
        <v>12.9359794422418</v>
      </c>
      <c r="E3683" s="6" t="n">
        <f aca="false">(Sens!D3666+Sens!E3666)/2*Sens!E3682/1000</f>
        <v>27.8095064661409</v>
      </c>
      <c r="F3683" s="6" t="n">
        <f aca="false">(Sens!E3666+Sens!F3666)/2*Sens!F3682/1000</f>
        <v>62.9154939349924</v>
      </c>
      <c r="G3683" s="6" t="n">
        <f aca="false">(Sens!F3666+Sens!G3666)/2*Sens!G3682/1000</f>
        <v>115.618465725711</v>
      </c>
      <c r="H3683" s="6" t="n">
        <f aca="false">(Sens!G3666+Sens!H3666)/2*Sens!H3682/1000</f>
        <v>175.560527817631</v>
      </c>
      <c r="I3683" s="6" t="n">
        <f aca="false">(Sens!H3666+Sens!I3666)/2*Sens!I3682/1000</f>
        <v>221.954500304381</v>
      </c>
      <c r="J3683" s="6" t="n">
        <f aca="false">(Sens!I3666+Sens!J3666)/2*Sens!J3682/1000</f>
        <v>253.942169232691</v>
      </c>
      <c r="K3683" s="6" t="n">
        <f aca="false">(Sens!J3666+Sens!K3666)/2*Sens!K3682/1000</f>
        <v>273.245586061025</v>
      </c>
      <c r="L3683" s="12" t="s">
        <v>977</v>
      </c>
    </row>
    <row r="3684" customFormat="false" ht="17.15" hidden="false" customHeight="false" outlineLevel="0" collapsed="false">
      <c r="A3684" s="1" t="s">
        <v>978</v>
      </c>
      <c r="B3684" s="0" t="s">
        <v>403</v>
      </c>
      <c r="C3684" s="15" t="n">
        <f aca="false">(Sens!C3674*tk_opex_h100+Sens!C3675*tk_opex_gb200+Sens!C3676*tk_opex_gb300+(Sens!C3678+Sens!C3677)*tk_opex_vr200)/Sens!C3666</f>
        <v>1.88636041306092</v>
      </c>
      <c r="D3684" s="15" t="n">
        <f aca="false">(Sens!D3674*tk_opex_h100+Sens!D3675*tk_opex_gb200+Sens!D3676*tk_opex_gb300+(Sens!D3678+Sens!D3677)*tk_opex_vr200)/Sens!D3666</f>
        <v>1.88636041306092</v>
      </c>
      <c r="E3684" s="15" t="n">
        <f aca="false">(Sens!E3674*tk_opex_h100+Sens!E3675*tk_opex_gb200+Sens!E3676*tk_opex_gb300+(Sens!E3678+Sens!E3677)*tk_opex_vr200)/Sens!E3666</f>
        <v>1.88636041306092</v>
      </c>
      <c r="F3684" s="15" t="n">
        <f aca="false">(Sens!F3674*tk_opex_h100+Sens!F3675*tk_opex_gb200+Sens!F3676*tk_opex_gb300+(Sens!F3678+Sens!F3677)*tk_opex_vr200)/Sens!F3666</f>
        <v>1.95690523121485</v>
      </c>
      <c r="G3684" s="15" t="n">
        <f aca="false">(Sens!G3674*tk_opex_h100+Sens!G3675*tk_opex_gb200+Sens!G3676*tk_opex_gb300+(Sens!G3678+Sens!G3677)*tk_opex_vr200)/Sens!G3666</f>
        <v>1.99512968065993</v>
      </c>
      <c r="H3684" s="15" t="n">
        <f aca="false">(Sens!H3674*tk_opex_h100+Sens!H3675*tk_opex_gb200+Sens!H3676*tk_opex_gb300+(Sens!H3678+Sens!H3677)*tk_opex_vr200)/Sens!H3666</f>
        <v>2.01976225803135</v>
      </c>
      <c r="I3684" s="15" t="n">
        <f aca="false">(Sens!I3674*tk_opex_h100+Sens!I3675*tk_opex_gb200+Sens!I3676*tk_opex_gb300+(Sens!I3678+Sens!I3677)*tk_opex_vr200)/Sens!I3666</f>
        <v>2.03744787525749</v>
      </c>
      <c r="J3684" s="15" t="n">
        <f aca="false">(Sens!J3674*tk_opex_h100+Sens!J3675*tk_opex_gb200+Sens!J3676*tk_opex_gb300+(Sens!J3678+Sens!J3677)*tk_opex_vr200)/Sens!J3666</f>
        <v>2.05125627122296</v>
      </c>
      <c r="K3684" s="15" t="n">
        <f aca="false">(Sens!K3674*tk_opex_h100+Sens!K3675*tk_opex_gb200+Sens!K3676*tk_opex_gb300+(Sens!K3678+Sens!K3677)*tk_opex_vr200)/Sens!K3666</f>
        <v>2.07010859619451</v>
      </c>
      <c r="L3684" s="12" t="s">
        <v>979</v>
      </c>
    </row>
    <row r="3685" customFormat="false" ht="17.15" hidden="false" customHeight="false" outlineLevel="0" collapsed="false">
      <c r="A3685" s="0" t="s">
        <v>980</v>
      </c>
      <c r="B3685" s="0" t="s">
        <v>98</v>
      </c>
      <c r="D3685" s="6" t="n">
        <f aca="false">(Sens!C3669+Sens!D3669)/2*Sens!D3684/1000</f>
        <v>2.70378325872065</v>
      </c>
      <c r="E3685" s="6" t="n">
        <f aca="false">(Sens!D3669+Sens!E3669)/2*Sens!E3684/1000</f>
        <v>6.17783035277451</v>
      </c>
      <c r="F3685" s="6" t="n">
        <f aca="false">(Sens!E3669+Sens!F3669)/2*Sens!F3684/1000</f>
        <v>13.8057089427225</v>
      </c>
      <c r="G3685" s="6" t="n">
        <f aca="false">(Sens!F3669+Sens!G3669)/2*Sens!G3684/1000</f>
        <v>24.6124623493897</v>
      </c>
      <c r="H3685" s="6" t="n">
        <f aca="false">(Sens!G3669+Sens!H3669)/2*Sens!H3684/1000</f>
        <v>35.930241903439</v>
      </c>
      <c r="I3685" s="6" t="n">
        <f aca="false">(Sens!H3669+Sens!I3669)/2*Sens!I3684/1000</f>
        <v>45.7253153845642</v>
      </c>
      <c r="J3685" s="6" t="n">
        <f aca="false">(Sens!I3669+Sens!J3669)/2*Sens!J3684/1000</f>
        <v>52.3770881234055</v>
      </c>
      <c r="K3685" s="6" t="n">
        <f aca="false">(Sens!J3669+Sens!K3669)/2*Sens!K3684/1000</f>
        <v>56.1386040177415</v>
      </c>
    </row>
    <row r="3686" customFormat="false" ht="17.15" hidden="false" customHeight="false" outlineLevel="0" collapsed="false">
      <c r="A3686" s="0" t="s">
        <v>981</v>
      </c>
      <c r="B3686" s="0" t="s">
        <v>98</v>
      </c>
      <c r="D3686" s="6" t="n">
        <f aca="false">(Sens!C3667+Sens!D3667)/2*rent_mw/1000</f>
        <v>2.44475</v>
      </c>
      <c r="E3686" s="6" t="n">
        <f aca="false">(Sens!D3667+Sens!E3667)/2*rent_mw/1000</f>
        <v>4.22275</v>
      </c>
      <c r="F3686" s="6" t="n">
        <f aca="false">(Sens!E3667+Sens!F3667)/2*rent_mw/1000</f>
        <v>5.80517</v>
      </c>
      <c r="G3686" s="6" t="n">
        <f aca="false">(Sens!F3667+Sens!G3667)/2*rent_mw/1000</f>
        <v>6.72084</v>
      </c>
      <c r="H3686" s="6" t="n">
        <f aca="false">(Sens!G3667+Sens!H3667)/2*rent_mw/1000</f>
        <v>6.72084</v>
      </c>
      <c r="I3686" s="6" t="n">
        <f aca="false">(Sens!H3667+Sens!I3667)/2*rent_mw/1000</f>
        <v>6.72084</v>
      </c>
      <c r="J3686" s="6" t="n">
        <f aca="false">(Sens!I3667+Sens!J3667)/2*rent_mw/1000</f>
        <v>6.72084</v>
      </c>
      <c r="K3686" s="6" t="n">
        <f aca="false">(Sens!J3667+Sens!K3667)/2*rent_mw/1000</f>
        <v>6.72084</v>
      </c>
    </row>
    <row r="3687" customFormat="false" ht="17.15" hidden="false" customHeight="false" outlineLevel="0" collapsed="false">
      <c r="A3687" s="0" t="s">
        <v>982</v>
      </c>
      <c r="B3687" s="0" t="s">
        <v>98</v>
      </c>
      <c r="D3687" s="6" t="n">
        <f aca="false">(Sens!C3669+Sens!D3669)/2*(1-self_build)*fac_rent/1000</f>
        <v>0.853242375631075</v>
      </c>
      <c r="E3687" s="6" t="n">
        <f aca="false">(Sens!D3669+Sens!E3669)/2*(1-self_build)*fac_rent/1000</f>
        <v>1.94955961408728</v>
      </c>
      <c r="F3687" s="6" t="n">
        <f aca="false">(Sens!E3669+Sens!F3669)/2*(1-self_build)*fac_rent/1000</f>
        <v>4.19966002452699</v>
      </c>
      <c r="G3687" s="6" t="n">
        <f aca="false">(Sens!F3669+Sens!G3669)/2*(1-self_build)*fac_rent/1000</f>
        <v>7.34360232507189</v>
      </c>
      <c r="H3687" s="6" t="n">
        <f aca="false">(Sens!G3669+Sens!H3669)/2*(1-self_build)*fac_rent/1000</f>
        <v>10.5897352822331</v>
      </c>
      <c r="I3687" s="6" t="n">
        <f aca="false">(Sens!H3669+Sens!I3669)/2*(1-self_build)*fac_rent/1000</f>
        <v>13.359660386555</v>
      </c>
      <c r="J3687" s="6" t="n">
        <f aca="false">(Sens!I3669+Sens!J3669)/2*(1-self_build)*fac_rent/1000</f>
        <v>15.2001069577134</v>
      </c>
      <c r="K3687" s="6" t="n">
        <f aca="false">(Sens!J3669+Sens!K3669)/2*(1-self_build)*fac_rent/1000</f>
        <v>16.1433512203281</v>
      </c>
      <c r="L3687" s="12" t="s">
        <v>983</v>
      </c>
    </row>
    <row r="3688" customFormat="false" ht="17.15" hidden="false" customHeight="false" outlineLevel="0" collapsed="false">
      <c r="A3688" s="1" t="s">
        <v>984</v>
      </c>
      <c r="B3688" s="0" t="s">
        <v>168</v>
      </c>
      <c r="D3688" s="7" t="n">
        <f aca="false">(Sens!C3668+Sens!D3668)/(Sens!C3669+Sens!D3669)</f>
        <v>0.6</v>
      </c>
      <c r="E3688" s="7" t="n">
        <f aca="false">(Sens!D3668+Sens!E3668)/(Sens!D3669+Sens!E3669)</f>
        <v>0.6</v>
      </c>
      <c r="F3688" s="7" t="n">
        <f aca="false">(Sens!E3668+Sens!F3668)/(Sens!E3669+Sens!F3669)</f>
        <v>0.6</v>
      </c>
      <c r="G3688" s="7" t="n">
        <f aca="false">(Sens!F3668+Sens!G3668)/(Sens!F3669+Sens!G3669)</f>
        <v>0.6</v>
      </c>
      <c r="H3688" s="7" t="n">
        <f aca="false">(Sens!G3668+Sens!H3668)/(Sens!G3669+Sens!H3669)</f>
        <v>0.6</v>
      </c>
      <c r="I3688" s="7" t="n">
        <f aca="false">(Sens!H3668+Sens!I3668)/(Sens!H3669+Sens!I3669)</f>
        <v>0.6</v>
      </c>
      <c r="J3688" s="7" t="n">
        <f aca="false">(Sens!I3668+Sens!J3668)/(Sens!I3669+Sens!J3669)</f>
        <v>0.6</v>
      </c>
      <c r="K3688" s="7" t="n">
        <f aca="false">(Sens!J3668+Sens!K3668)/(Sens!J3669+Sens!K3669)</f>
        <v>0.6</v>
      </c>
    </row>
    <row r="3689" customFormat="false" ht="17.15" hidden="false" customHeight="false" outlineLevel="0" collapsed="false">
      <c r="A3689" s="0" t="s">
        <v>985</v>
      </c>
      <c r="B3689" s="0" t="s">
        <v>98</v>
      </c>
      <c r="D3689" s="6" t="n">
        <f aca="false">Sens!D3683-Sens!D3688*(Sens!D3685+Sens!D3687)-Sens!D3686</f>
        <v>8.35701406163072</v>
      </c>
      <c r="E3689" s="6" t="n">
        <f aca="false">Sens!E3683-Sens!E3688*(Sens!E3685+Sens!E3687)-Sens!E3686</f>
        <v>18.7103224860238</v>
      </c>
      <c r="F3689" s="6" t="n">
        <f aca="false">Sens!F3683-Sens!F3688*(Sens!F3685+Sens!F3687)-Sens!F3686</f>
        <v>46.3071025546427</v>
      </c>
      <c r="G3689" s="6" t="n">
        <f aca="false">Sens!G3683-Sens!G3688*(Sens!G3685+Sens!G3687)-Sens!G3686</f>
        <v>89.7239869210345</v>
      </c>
      <c r="H3689" s="6" t="n">
        <f aca="false">Sens!H3683-Sens!H3688*(Sens!H3685+Sens!H3687)-Sens!H3686</f>
        <v>140.927701506228</v>
      </c>
      <c r="I3689" s="6" t="n">
        <f aca="false">Sens!I3683-Sens!I3688*(Sens!I3685+Sens!I3687)-Sens!I3686</f>
        <v>179.78267484171</v>
      </c>
      <c r="J3689" s="6" t="n">
        <f aca="false">Sens!J3683-Sens!J3688*(Sens!J3685+Sens!J3687)-Sens!J3686</f>
        <v>206.67501218402</v>
      </c>
      <c r="K3689" s="6" t="n">
        <f aca="false">Sens!K3683-Sens!K3688*(Sens!K3685+Sens!K3687)-Sens!K3686</f>
        <v>223.155572918183</v>
      </c>
    </row>
    <row r="3690" customFormat="false" ht="17.15" hidden="false" customHeight="false" outlineLevel="0" collapsed="false">
      <c r="A3690" s="1" t="s">
        <v>986</v>
      </c>
      <c r="B3690" s="0" t="s">
        <v>98</v>
      </c>
      <c r="D3690" s="6" t="n">
        <f aca="false">(1-Sens!D3688)*(Sens!D3685+Sens!D3687)</f>
        <v>1.42281025374069</v>
      </c>
      <c r="E3690" s="6" t="n">
        <f aca="false">(1-Sens!E3688)*(Sens!E3685+Sens!E3687)</f>
        <v>3.25095598674472</v>
      </c>
      <c r="F3690" s="6" t="n">
        <f aca="false">(1-Sens!F3688)*(Sens!F3685+Sens!F3687)</f>
        <v>7.2021475868998</v>
      </c>
      <c r="G3690" s="6" t="n">
        <f aca="false">(1-Sens!G3688)*(Sens!G3685+Sens!G3687)</f>
        <v>12.7824258697846</v>
      </c>
      <c r="H3690" s="6" t="n">
        <f aca="false">(1-Sens!H3688)*(Sens!H3685+Sens!H3687)</f>
        <v>18.6079908742688</v>
      </c>
      <c r="I3690" s="6" t="n">
        <f aca="false">(1-Sens!I3688)*(Sens!I3685+Sens!I3687)</f>
        <v>23.6339903084477</v>
      </c>
      <c r="J3690" s="6" t="n">
        <f aca="false">(1-Sens!J3688)*(Sens!J3685+Sens!J3687)</f>
        <v>27.0308780324476</v>
      </c>
      <c r="K3690" s="6" t="n">
        <f aca="false">(1-Sens!K3688)*(Sens!K3685+Sens!K3687)</f>
        <v>28.9127820952278</v>
      </c>
    </row>
    <row r="3691" customFormat="false" ht="17.15" hidden="false" customHeight="false" outlineLevel="0" collapsed="false">
      <c r="A3691" s="1" t="s">
        <v>987</v>
      </c>
      <c r="B3691" s="0" t="s">
        <v>414</v>
      </c>
      <c r="C3691" s="8" t="n">
        <f aca="false">cxit_open</f>
        <v>27.5918995</v>
      </c>
      <c r="D3691" s="8" t="n">
        <f aca="false">cxit_open</f>
        <v>27.5918995</v>
      </c>
      <c r="E3691" s="8" t="n">
        <f aca="false">cxit_open</f>
        <v>27.5918995</v>
      </c>
      <c r="F3691" s="8" t="n">
        <f aca="false">((a_g3_27-nonnv*a_mai)*tk_cxit_gb300+nonnv*a_mai*nv_hold_mai*tk_cxit_vr200+(1-a_g3_27)*tk_cxit_vr200)</f>
        <v>32.4975576</v>
      </c>
      <c r="G3691" s="8" t="n">
        <f aca="false">((a_g3_28-nonnv*a_mai)*tk_cxit_gb300+nonnv*a_mai*nv_hold_mai*tk_cxit_vr200+(1-a_g3_28)*tk_cxit_vr200)</f>
        <v>34.6372088</v>
      </c>
      <c r="H3691" s="8" t="n">
        <f aca="false">((a_g3_29-nonnv*a_mai)*tk_cxit_gb300+nonnv*a_mai*nv_hold_mai*tk_cxit_vr200+(1-a_g3_29)*tk_cxit_vr200)</f>
        <v>35.7070344</v>
      </c>
      <c r="I3691" s="8" t="n">
        <f aca="false">((a_g3_29-nonnv*a_mai)*tk_cxit_gb300+nonnv*a_mai*nv_hold_mai*tk_cxit_vr200+(1-a_g3_29)*tk_cxit_vr200)</f>
        <v>35.7070344</v>
      </c>
      <c r="J3691" s="8" t="n">
        <f aca="false">((a_g3_29-nonnv*a_mai)*tk_cxit_gb300+nonnv*a_mai*nv_hold_mai*tk_cxit_vr200+(1-a_g3_29)*tk_cxit_vr200)</f>
        <v>35.7070344</v>
      </c>
      <c r="K3691" s="8" t="n">
        <f aca="false">((a_g3_29-nonnv*a_mai)*tk_cxit_gb300+nonnv*a_mai*nv_hold_mai*tk_cxit_vr200+(1-a_g3_29)*tk_cxit_vr200)</f>
        <v>35.7070344</v>
      </c>
      <c r="L3691" s="12" t="s">
        <v>988</v>
      </c>
    </row>
    <row r="3692" customFormat="false" ht="17.15" hidden="false" customHeight="false" outlineLevel="0" collapsed="false">
      <c r="A3692" s="0" t="s">
        <v>989</v>
      </c>
      <c r="B3692" s="0" t="s">
        <v>456</v>
      </c>
      <c r="F3692" s="30" t="n">
        <f aca="false">Sens!C3671*IF(Sens!F3664-Sens!C3664=life_it,1,0)+Sens!D3671*IF(Sens!F3664-Sens!D3664=life_it,1,0)+Sens!E3671*IF(Sens!F3664-Sens!E3664=life_it,1,0)</f>
        <v>0</v>
      </c>
      <c r="G3692" s="30" t="n">
        <f aca="false">Sens!C3671*IF(Sens!G3664-Sens!C3664=life_it,1,0)+Sens!D3671*IF(Sens!G3664-Sens!D3664=life_it,1,0)+Sens!E3671*IF(Sens!G3664-Sens!E3664=life_it,1,0)+Sens!F3671*IF(Sens!G3664-Sens!F3664=life_it,1,0)</f>
        <v>0</v>
      </c>
      <c r="H3692" s="30" t="n">
        <f aca="false">Sens!C3671*IF(Sens!H3664-Sens!C3664=life_it,1,0)+Sens!D3671*IF(Sens!H3664-Sens!D3664=life_it,1,0)+Sens!E3671*IF(Sens!H3664-Sens!E3664=life_it,1,0)+Sens!F3671*IF(Sens!H3664-Sens!F3664=life_it,1,0)+Sens!G3671*IF(Sens!H3664-Sens!G3664=life_it,1,0)</f>
        <v>0</v>
      </c>
      <c r="I3692" s="30" t="n">
        <f aca="false">Sens!C3671*IF(Sens!I3664-Sens!C3664=life_it,1,0)+Sens!D3671*IF(Sens!I3664-Sens!D3664=life_it,1,0)+Sens!E3671*IF(Sens!I3664-Sens!E3664=life_it,1,0)+Sens!F3671*IF(Sens!I3664-Sens!F3664=life_it,1,0)+Sens!G3671*IF(Sens!I3664-Sens!G3664=life_it,1,0)+Sens!H3671*IF(Sens!I3664-Sens!H3664=life_it,1,0)</f>
        <v>816.666666666667</v>
      </c>
      <c r="J3692" s="30" t="n">
        <f aca="false">Sens!C3671*IF(Sens!J3664-Sens!C3664=life_it,1,0)+Sens!D3671*IF(Sens!J3664-Sens!D3664=life_it,1,0)+Sens!E3671*IF(Sens!J3664-Sens!E3664=life_it,1,0)+Sens!F3671*IF(Sens!J3664-Sens!F3664=life_it,1,0)+Sens!G3671*IF(Sens!J3664-Sens!G3664=life_it,1,0)+Sens!H3671*IF(Sens!J3664-Sens!H3664=life_it,1,0)+Sens!I3671*IF(Sens!J3664-Sens!I3664=life_it,1,0)</f>
        <v>1233.33333333333</v>
      </c>
      <c r="K3692" s="30" t="n">
        <f aca="false">Sens!C3671*IF(Sens!K3664-Sens!C3664=life_it,1,0)+Sens!D3671*IF(Sens!K3664-Sens!D3664=life_it,1,0)+Sens!E3671*IF(Sens!K3664-Sens!E3664=life_it,1,0)+Sens!F3671*IF(Sens!K3664-Sens!F3664=life_it,1,0)+Sens!G3671*IF(Sens!K3664-Sens!G3664=life_it,1,0)+Sens!H3671*IF(Sens!K3664-Sens!H3664=life_it,1,0)+Sens!I3671*IF(Sens!K3664-Sens!I3664=life_it,1,0)+Sens!J3671*IF(Sens!K3664-Sens!J3664=life_it,1,0)</f>
        <v>2450</v>
      </c>
      <c r="L3692" s="1" t="s">
        <v>990</v>
      </c>
    </row>
    <row r="3693" customFormat="false" ht="17.15" hidden="false" customHeight="false" outlineLevel="0" collapsed="false">
      <c r="A3693" s="0" t="s">
        <v>991</v>
      </c>
      <c r="B3693" s="0" t="s">
        <v>98</v>
      </c>
      <c r="C3693" s="6" t="n">
        <f aca="false">Sens!C3671*Sens!C3691/1000</f>
        <v>22.5333845916667</v>
      </c>
      <c r="D3693" s="6" t="n">
        <f aca="false">Sens!D3671*Sens!D3691/1000</f>
        <v>34.0300093833333</v>
      </c>
      <c r="E3693" s="6" t="n">
        <f aca="false">Sens!E3671*Sens!E3691/1000</f>
        <v>67.600153775</v>
      </c>
      <c r="F3693" s="6" t="n">
        <f aca="false">(Sens!F3671+Sens!F3692)*Sens!F3691/1000</f>
        <v>166.053968145344</v>
      </c>
      <c r="G3693" s="6" t="n">
        <f aca="false">(Sens!G3671+Sens!G3692)*Sens!G3691/1000</f>
        <v>188.879131118458</v>
      </c>
      <c r="H3693" s="6" t="n">
        <f aca="false">(Sens!H3671+Sens!H3692)*Sens!H3691/1000</f>
        <v>194.712965217015</v>
      </c>
      <c r="I3693" s="6" t="n">
        <f aca="false">(Sens!I3671+Sens!I3692)*Sens!I3691/1000</f>
        <v>166.744908224521</v>
      </c>
      <c r="J3693" s="6" t="n">
        <f aca="false">(Sens!J3671+Sens!J3692)*Sens!J3691/1000</f>
        <v>127.245720741316</v>
      </c>
      <c r="K3693" s="6" t="n">
        <f aca="false">(Sens!K3671+Sens!K3692)*Sens!K3691/1000</f>
        <v>117.432530492906</v>
      </c>
    </row>
    <row r="3694" customFormat="false" ht="17.15" hidden="false" customHeight="false" outlineLevel="0" collapsed="false">
      <c r="A3694" s="0" t="s">
        <v>992</v>
      </c>
      <c r="B3694" s="0" t="s">
        <v>98</v>
      </c>
      <c r="C3694" s="6" t="n">
        <f aca="false">Sens!C3671*self_build*tk_cxfac/1000</f>
        <v>6.2083</v>
      </c>
      <c r="D3694" s="6" t="n">
        <f aca="false">Sens!D3671*self_build*tk_cxfac/1000</f>
        <v>9.3758</v>
      </c>
      <c r="E3694" s="6" t="n">
        <f aca="false">Sens!E3671*self_build*tk_cxfac/1000</f>
        <v>18.6249</v>
      </c>
      <c r="F3694" s="6" t="n">
        <f aca="false">Sens!F3671*self_build*tk_cxfac/1000</f>
        <v>38.8442196604</v>
      </c>
      <c r="G3694" s="6" t="n">
        <f aca="false">Sens!G3671*self_build*tk_cxfac/1000</f>
        <v>41.4542396604</v>
      </c>
      <c r="H3694" s="6" t="n">
        <f aca="false">Sens!H3671*self_build*tk_cxfac/1000</f>
        <v>41.4542396604</v>
      </c>
      <c r="I3694" s="6" t="n">
        <f aca="false">Sens!I3671*self_build*tk_cxfac/1000</f>
        <v>29.291561963412</v>
      </c>
      <c r="J3694" s="6" t="n">
        <f aca="false">Sens!J3671*self_build*tk_cxfac/1000</f>
        <v>17.7147155056922</v>
      </c>
      <c r="K3694" s="6" t="n">
        <f aca="false">Sens!K3671*self_build*tk_cxfac/1000</f>
        <v>6.3763948935091</v>
      </c>
    </row>
    <row r="3695" customFormat="false" ht="17.15" hidden="false" customHeight="false" outlineLevel="0" collapsed="false">
      <c r="A3695" s="0" t="s">
        <v>993</v>
      </c>
      <c r="B3695" s="0" t="s">
        <v>98</v>
      </c>
      <c r="F3695" s="15" t="n">
        <f aca="false">capex_floor27-Sens!F3693-Sens!F3694-Sens!F3791</f>
        <v>-36.2292917333313</v>
      </c>
      <c r="L3695" s="12" t="s">
        <v>994</v>
      </c>
    </row>
    <row r="3696" customFormat="false" ht="17.15" hidden="false" customHeight="false" outlineLevel="0" collapsed="false">
      <c r="A3696" s="0" t="s">
        <v>995</v>
      </c>
      <c r="B3696" s="0" t="s">
        <v>98</v>
      </c>
      <c r="F3696" s="6" t="n">
        <f aca="false">MAX(0,Sens!F3695)</f>
        <v>0</v>
      </c>
    </row>
    <row r="3697" customFormat="false" ht="17.15" hidden="false" customHeight="false" outlineLevel="0" collapsed="false">
      <c r="A3697" s="0" t="s">
        <v>996</v>
      </c>
      <c r="B3697" s="0" t="s">
        <v>98</v>
      </c>
      <c r="C3697" s="6" t="n">
        <f aca="false">Sens!C3693</f>
        <v>22.5333845916667</v>
      </c>
      <c r="D3697" s="6" t="n">
        <f aca="false">Sens!D3693</f>
        <v>34.0300093833333</v>
      </c>
      <c r="E3697" s="6" t="n">
        <f aca="false">Sens!E3693</f>
        <v>67.600153775</v>
      </c>
      <c r="F3697" s="6" t="n">
        <f aca="false">Sens!F3693</f>
        <v>166.053968145344</v>
      </c>
      <c r="G3697" s="6" t="n">
        <f aca="false">Sens!G3693</f>
        <v>188.879131118458</v>
      </c>
      <c r="H3697" s="6" t="n">
        <f aca="false">Sens!H3693</f>
        <v>194.712965217015</v>
      </c>
      <c r="I3697" s="6" t="n">
        <f aca="false">Sens!I3693</f>
        <v>166.744908224521</v>
      </c>
      <c r="J3697" s="6" t="n">
        <f aca="false">Sens!J3693</f>
        <v>127.245720741316</v>
      </c>
      <c r="K3697" s="6" t="n">
        <f aca="false">Sens!K3693</f>
        <v>117.432530492906</v>
      </c>
    </row>
    <row r="3698" customFormat="false" ht="17.15" hidden="false" customHeight="false" outlineLevel="0" collapsed="false">
      <c r="A3698" s="0" t="s">
        <v>997</v>
      </c>
      <c r="B3698" s="0" t="s">
        <v>98</v>
      </c>
      <c r="C3698" s="6" t="n">
        <f aca="false">Sens!C3697+Sens!C3694</f>
        <v>28.7416845916667</v>
      </c>
      <c r="D3698" s="6" t="n">
        <f aca="false">Sens!D3697+Sens!D3694</f>
        <v>43.4058093833333</v>
      </c>
      <c r="E3698" s="6" t="n">
        <f aca="false">Sens!E3697+Sens!E3694</f>
        <v>86.225053775</v>
      </c>
      <c r="F3698" s="6" t="n">
        <f aca="false">Sens!F3697+Sens!F3694</f>
        <v>204.898187805744</v>
      </c>
      <c r="G3698" s="6" t="n">
        <f aca="false">Sens!G3697+Sens!G3694</f>
        <v>230.333370778858</v>
      </c>
      <c r="H3698" s="6" t="n">
        <f aca="false">Sens!H3697+Sens!H3694</f>
        <v>236.167204877415</v>
      </c>
      <c r="I3698" s="6" t="n">
        <f aca="false">Sens!I3697+Sens!I3694</f>
        <v>196.036470187933</v>
      </c>
      <c r="J3698" s="6" t="n">
        <f aca="false">Sens!J3697+Sens!J3694</f>
        <v>144.960436247008</v>
      </c>
      <c r="K3698" s="6" t="n">
        <f aca="false">Sens!K3697+Sens!K3694</f>
        <v>123.808925386415</v>
      </c>
      <c r="L3698" s="12" t="s">
        <v>998</v>
      </c>
    </row>
    <row r="3699" customFormat="false" ht="17.15" hidden="false" customHeight="false" outlineLevel="0" collapsed="false">
      <c r="A3699" s="0" t="s">
        <v>999</v>
      </c>
      <c r="B3699" s="0" t="s">
        <v>98</v>
      </c>
      <c r="E3699" s="6" t="n">
        <f aca="false">(Sens!C3697*IF(2&lt;life_it,1,IF(2=life_it,0.5,0))+Sens!D3697*IF(1&lt;life_it,1,IF(1=life_it,0.5,0))+Sens!E3697*0.5)/life_it</f>
        <v>15.0605784770833</v>
      </c>
      <c r="F3699" s="6" t="n">
        <f aca="false">(Sens!C3697*IF(3&lt;life_it,1,IF(3=life_it,0.5,0))+Sens!D3697*IF(2&lt;life_it,1,IF(2=life_it,0.5,0))+Sens!E3697*IF(1&lt;life_it,1,IF(1=life_it,0.5,0))+Sens!F3697*0.5)/life_it</f>
        <v>34.5317553037786</v>
      </c>
      <c r="G3699" s="6" t="n">
        <f aca="false">(Sens!C3697*IF(4&lt;life_it,1,IF(4=life_it,0.5,0))+Sens!D3697*IF(3&lt;life_it,1,IF(3=life_it,0.5,0))+Sens!E3697*IF(2&lt;life_it,1,IF(2=life_it,0.5,0))+Sens!F3697*IF(1&lt;life_it,1,IF(1=life_it,0.5,0))+Sens!G3697*0.5)/life_it</f>
        <v>64.1095135757621</v>
      </c>
      <c r="H3699" s="6" t="n">
        <f aca="false">(Sens!C3697*IF(5&lt;life_it,1,IF(5=life_it,0.5,0))+Sens!D3697*IF(4&lt;life_it,1,IF(4=life_it,0.5,0))+Sens!E3697*IF(3&lt;life_it,1,IF(3=life_it,0.5,0))+Sens!F3697*IF(2&lt;life_it,1,IF(2=life_it,0.5,0))+Sens!G3697*IF(1&lt;life_it,1,IF(1=life_it,0.5,0))+Sens!H3697*0.5)/life_it</f>
        <v>96.0755216037181</v>
      </c>
      <c r="I3699" s="6" t="n">
        <f aca="false">(Sens!C3697*IF(6&lt;life_it,1,IF(6=life_it,0.5,0))+Sens!D3697*IF(5&lt;life_it,1,IF(5=life_it,0.5,0))+Sens!E3697*IF(4&lt;life_it,1,IF(4=life_it,0.5,0))+Sens!F3697*IF(3&lt;life_it,1,IF(3=life_it,0.5,0))+Sens!G3697*IF(2&lt;life_it,1,IF(2=life_it,0.5,0))+Sens!H3697*IF(1&lt;life_it,1,IF(1=life_it,0.5,0))+Sens!I3697*0.5)/life_it</f>
        <v>124.319229007874</v>
      </c>
      <c r="J3699" s="6" t="n">
        <f aca="false">(Sens!C3697*IF(7&lt;life_it,1,IF(7=life_it,0.5,0))+Sens!D3697*IF(6&lt;life_it,1,IF(6=life_it,0.5,0))+Sens!E3697*IF(5&lt;life_it,1,IF(5=life_it,0.5,0))+Sens!F3697*IF(4&lt;life_it,1,IF(4=life_it,0.5,0))+Sens!G3697*IF(3&lt;life_it,1,IF(3=life_it,0.5,0))+Sens!H3697*IF(2&lt;life_it,1,IF(2=life_it,0.5,0))+Sens!I3697*IF(1&lt;life_it,1,IF(1=life_it,0.5,0))+Sens!J3697*0.5)/life_it</f>
        <v>144.104831923777</v>
      </c>
      <c r="K3699" s="6" t="n">
        <f aca="false">(Sens!C3697*IF(8&lt;life_it,1,IF(8=life_it,0.5,0))+Sens!D3697*IF(7&lt;life_it,1,IF(7=life_it,0.5,0))+Sens!E3697*IF(6&lt;life_it,1,IF(6=life_it,0.5,0))+Sens!F3697*IF(5&lt;life_it,1,IF(5=life_it,0.5,0))+Sens!G3697*IF(4&lt;life_it,1,IF(4=life_it,0.5,0))+Sens!H3697*IF(3&lt;life_it,1,IF(3=life_it,0.5,0))+Sens!I3697*IF(2&lt;life_it,1,IF(2=life_it,0.5,0))+Sens!J3697*IF(1&lt;life_it,1,IF(1=life_it,0.5,0))+Sens!K3697*0.5)/life_it</f>
        <v>156.025505930101</v>
      </c>
    </row>
    <row r="3700" customFormat="false" ht="17.15" hidden="false" customHeight="false" outlineLevel="0" collapsed="false">
      <c r="A3700" s="0" t="s">
        <v>1000</v>
      </c>
      <c r="B3700" s="0" t="s">
        <v>98</v>
      </c>
      <c r="E3700" s="6" t="n">
        <f aca="false">(Sens!C3694*IF(2&lt;life_fac,1,IF(2=life_fac,0.5,0))+Sens!D3694*IF(1&lt;life_fac,1,IF(1=life_fac,0.5,0))+Sens!E3694*0.5)/life_fac</f>
        <v>1.2448275</v>
      </c>
      <c r="F3700" s="6" t="n">
        <f aca="false">(Sens!C3694*IF(3&lt;life_fac,1,IF(3=life_fac,0.5,0))+Sens!D3694*IF(2&lt;life_fac,1,IF(2=life_fac,0.5,0))+Sens!E3694*IF(1&lt;life_fac,1,IF(1=life_fac,0.5,0))+Sens!F3694*0.5)/life_fac</f>
        <v>2.68155549151</v>
      </c>
      <c r="G3700" s="6" t="n">
        <f aca="false">(Sens!C3694*IF(4&lt;life_fac,1,IF(4=life_fac,0.5,0))+Sens!D3694*IF(3&lt;life_fac,1,IF(3=life_fac,0.5,0))+Sens!E3694*IF(2&lt;life_fac,1,IF(2=life_fac,0.5,0))+Sens!F3694*IF(1&lt;life_fac,1,IF(1=life_fac,0.5,0))+Sens!G3694*0.5)/life_fac</f>
        <v>4.68901697453</v>
      </c>
      <c r="H3700" s="6" t="n">
        <f aca="false">(Sens!C3694*IF(5&lt;life_fac,1,IF(5=life_fac,0.5,0))+Sens!D3694*IF(4&lt;life_fac,1,IF(4=life_fac,0.5,0))+Sens!E3694*IF(3&lt;life_fac,1,IF(3=life_fac,0.5,0))+Sens!F3694*IF(2&lt;life_fac,1,IF(2=life_fac,0.5,0))+Sens!G3694*IF(1&lt;life_fac,1,IF(1=life_fac,0.5,0))+Sens!H3694*0.5)/life_fac</f>
        <v>6.76172895755</v>
      </c>
      <c r="I3700" s="6" t="n">
        <f aca="false">(Sens!C3694*IF(6&lt;life_fac,1,IF(6=life_fac,0.5,0))+Sens!D3694*IF(5&lt;life_fac,1,IF(5=life_fac,0.5,0))+Sens!E3694*IF(4&lt;life_fac,1,IF(4=life_fac,0.5,0))+Sens!F3694*IF(3&lt;life_fac,1,IF(3=life_fac,0.5,0))+Sens!G3694*IF(2&lt;life_fac,1,IF(2=life_fac,0.5,0))+Sens!H3694*IF(1&lt;life_fac,1,IF(1=life_fac,0.5,0))+Sens!I3694*0.5)/life_fac</f>
        <v>8.5303739981453</v>
      </c>
      <c r="J3700" s="6" t="n">
        <f aca="false">(Sens!C3694*IF(7&lt;life_fac,1,IF(7=life_fac,0.5,0))+Sens!D3694*IF(6&lt;life_fac,1,IF(6=life_fac,0.5,0))+Sens!E3694*IF(5&lt;life_fac,1,IF(5=life_fac,0.5,0))+Sens!F3694*IF(4&lt;life_fac,1,IF(4=life_fac,0.5,0))+Sens!G3694*IF(3&lt;life_fac,1,IF(3=life_fac,0.5,0))+Sens!H3694*IF(2&lt;life_fac,1,IF(2=life_fac,0.5,0))+Sens!I3694*IF(1&lt;life_fac,1,IF(1=life_fac,0.5,0))+Sens!J3694*0.5)/life_fac</f>
        <v>9.70553093487291</v>
      </c>
      <c r="K3700" s="6" t="n">
        <f aca="false">(Sens!C3694*IF(8&lt;life_fac,1,IF(8=life_fac,0.5,0))+Sens!D3694*IF(7&lt;life_fac,1,IF(7=life_fac,0.5,0))+Sens!E3694*IF(6&lt;life_fac,1,IF(6=life_fac,0.5,0))+Sens!F3694*IF(5&lt;life_fac,1,IF(5=life_fac,0.5,0))+Sens!G3694*IF(4&lt;life_fac,1,IF(4=life_fac,0.5,0))+Sens!H3694*IF(3&lt;life_fac,1,IF(3=life_fac,0.5,0))+Sens!I3694*IF(2&lt;life_fac,1,IF(2=life_fac,0.5,0))+Sens!J3694*IF(1&lt;life_fac,1,IF(1=life_fac,0.5,0))+Sens!K3694*0.5)/life_fac</f>
        <v>10.3078086948529</v>
      </c>
    </row>
    <row r="3701" customFormat="false" ht="17.15" hidden="false" customHeight="false" outlineLevel="0" collapsed="false">
      <c r="A3701" s="0" t="s">
        <v>1001</v>
      </c>
      <c r="B3701" s="0" t="s">
        <v>98</v>
      </c>
      <c r="E3701" s="6" t="n">
        <f aca="false">Sens!E3699+Sens!E3700</f>
        <v>16.3054059770833</v>
      </c>
      <c r="F3701" s="6" t="n">
        <f aca="false">Sens!F3699+Sens!F3700</f>
        <v>37.2133107952886</v>
      </c>
      <c r="G3701" s="6" t="n">
        <f aca="false">Sens!G3699+Sens!G3700</f>
        <v>68.7985305502921</v>
      </c>
      <c r="H3701" s="6" t="n">
        <f aca="false">Sens!H3699+Sens!H3700</f>
        <v>102.837250561268</v>
      </c>
      <c r="I3701" s="6" t="n">
        <f aca="false">Sens!I3699+Sens!I3700</f>
        <v>132.849603006019</v>
      </c>
      <c r="J3701" s="6" t="n">
        <f aca="false">Sens!J3699+Sens!J3700</f>
        <v>153.81036285865</v>
      </c>
      <c r="K3701" s="6" t="n">
        <f aca="false">Sens!K3699+Sens!K3700</f>
        <v>166.333314624954</v>
      </c>
    </row>
    <row r="3702" customFormat="false" ht="17.15" hidden="false" customHeight="false" outlineLevel="0" collapsed="false">
      <c r="A3702" s="0" t="s">
        <v>1002</v>
      </c>
      <c r="B3702" s="0" t="s">
        <v>98</v>
      </c>
      <c r="E3702" s="6" t="n">
        <f aca="false">Sens!E3689-Sens!E3688*Sens!E3701</f>
        <v>8.92707889977379</v>
      </c>
      <c r="F3702" s="6" t="n">
        <f aca="false">Sens!F3689-Sens!F3688*Sens!F3701</f>
        <v>23.9791160774695</v>
      </c>
      <c r="G3702" s="6" t="n">
        <f aca="false">Sens!G3689-Sens!G3688*Sens!G3701</f>
        <v>48.4448685908593</v>
      </c>
      <c r="H3702" s="6" t="n">
        <f aca="false">Sens!H3689-Sens!H3688*Sens!H3701</f>
        <v>79.2253511694667</v>
      </c>
      <c r="I3702" s="6" t="n">
        <f aca="false">Sens!I3689-Sens!I3688*Sens!I3701</f>
        <v>100.072913038098</v>
      </c>
      <c r="J3702" s="6" t="n">
        <f aca="false">Sens!J3689-Sens!J3688*Sens!J3701</f>
        <v>114.38879446883</v>
      </c>
      <c r="K3702" s="6" t="n">
        <f aca="false">Sens!K3689-Sens!K3688*Sens!K3701</f>
        <v>123.35558414321</v>
      </c>
    </row>
    <row r="3703" customFormat="false" ht="17.15" hidden="false" customHeight="false" outlineLevel="0" collapsed="false">
      <c r="A3703" s="3" t="s">
        <v>1571</v>
      </c>
    </row>
    <row r="3704" customFormat="false" ht="15" hidden="false" customHeight="false" outlineLevel="0" collapsed="false">
      <c r="A3704" s="4" t="s">
        <v>43</v>
      </c>
      <c r="B3704" s="4" t="s">
        <v>65</v>
      </c>
      <c r="C3704" s="23" t="s">
        <v>938</v>
      </c>
      <c r="D3704" s="23" t="s">
        <v>939</v>
      </c>
      <c r="E3704" s="23" t="s">
        <v>940</v>
      </c>
      <c r="F3704" s="23" t="s">
        <v>941</v>
      </c>
      <c r="G3704" s="23" t="s">
        <v>942</v>
      </c>
      <c r="H3704" s="23" t="s">
        <v>943</v>
      </c>
      <c r="I3704" s="23" t="s">
        <v>944</v>
      </c>
      <c r="J3704" s="23" t="s">
        <v>945</v>
      </c>
      <c r="K3704" s="23" t="s">
        <v>946</v>
      </c>
      <c r="L3704" s="4" t="s">
        <v>47</v>
      </c>
    </row>
    <row r="3705" customFormat="false" ht="17.15" hidden="false" customHeight="false" outlineLevel="0" collapsed="false">
      <c r="A3705" s="0" t="s">
        <v>1021</v>
      </c>
      <c r="B3705" s="0" t="s">
        <v>98</v>
      </c>
      <c r="D3705" s="6" t="n">
        <f aca="false">Sens!D3683</f>
        <v>12.9359794422418</v>
      </c>
      <c r="E3705" s="6" t="n">
        <f aca="false">Sens!E3683</f>
        <v>27.8095064661409</v>
      </c>
      <c r="F3705" s="6" t="n">
        <f aca="false">Sens!F3683</f>
        <v>62.9154939349924</v>
      </c>
      <c r="G3705" s="6" t="n">
        <f aca="false">Sens!G3683</f>
        <v>115.618465725711</v>
      </c>
      <c r="H3705" s="6" t="n">
        <f aca="false">Sens!H3683</f>
        <v>175.560527817631</v>
      </c>
      <c r="I3705" s="6" t="n">
        <f aca="false">Sens!I3683</f>
        <v>221.954500304381</v>
      </c>
      <c r="J3705" s="6" t="n">
        <f aca="false">Sens!J3683</f>
        <v>253.942169232691</v>
      </c>
      <c r="K3705" s="6" t="n">
        <f aca="false">Sens!K3683</f>
        <v>273.245586061025</v>
      </c>
    </row>
    <row r="3706" customFormat="false" ht="17.15" hidden="false" customHeight="false" outlineLevel="0" collapsed="false">
      <c r="A3706" s="0" t="s">
        <v>1022</v>
      </c>
      <c r="B3706" s="0" t="s">
        <v>98</v>
      </c>
      <c r="D3706" s="6" t="n">
        <f aca="false">Q!L6-Sens!D3705</f>
        <v>59.6740205577583</v>
      </c>
      <c r="E3706" s="6" t="n">
        <f aca="false">Q!M6-Sens!E3705</f>
        <v>74.1284935338591</v>
      </c>
      <c r="F3706" s="6" t="n">
        <f aca="false">Q!$I$6+(Sens!F3705+Sens!E3706*(1+Sens!F3707))*(1-Q!$E$6/Q!M6)-Sens!F3705</f>
        <v>89.649528881924</v>
      </c>
      <c r="G3706" s="6" t="n">
        <f aca="false">Sens!F3706*(1+Sens!G3707)</f>
        <v>106.517020984425</v>
      </c>
      <c r="H3706" s="6" t="n">
        <f aca="false">Sens!G3706*(1+Sens!H3707)</f>
        <v>123.678185040145</v>
      </c>
      <c r="I3706" s="6" t="n">
        <f aca="false">Sens!H3706*(1+Sens!I3707)</f>
        <v>140.260291651535</v>
      </c>
      <c r="J3706" s="6" t="n">
        <f aca="false">Sens!I3706*(1+Sens!J3707)</f>
        <v>155.273376508327</v>
      </c>
      <c r="K3706" s="6" t="n">
        <f aca="false">Sens!J3706*(1+Sens!K3707)</f>
        <v>167.695246628993</v>
      </c>
      <c r="L3706" s="12" t="s">
        <v>1023</v>
      </c>
    </row>
    <row r="3707" customFormat="false" ht="15" hidden="false" customHeight="false" outlineLevel="0" collapsed="false">
      <c r="A3707" s="1" t="s">
        <v>1024</v>
      </c>
      <c r="B3707" s="0" t="s">
        <v>168</v>
      </c>
      <c r="E3707" s="7" t="n">
        <f aca="false">Sens!E3706/Sens!D3706-1</f>
        <v>0.242223883039864</v>
      </c>
      <c r="F3707" s="7" t="n">
        <f aca="false">Sens!$E$3707+(glt_azo-Sens!$E$3707)*MIN(1,(Sens!F3664-base_fy)/n_conv)</f>
        <v>0.215186569199887</v>
      </c>
      <c r="G3707" s="7" t="n">
        <f aca="false">Sens!$E$3707+(glt_azo-Sens!$E$3707)*MIN(1,(Sens!G3664-base_fy)/n_conv)</f>
        <v>0.18814925535991</v>
      </c>
      <c r="H3707" s="7" t="n">
        <f aca="false">Sens!$E$3707+(glt_azo-Sens!$E$3707)*MIN(1,(Sens!H3664-base_fy)/n_conv)</f>
        <v>0.161111941519932</v>
      </c>
      <c r="I3707" s="7" t="n">
        <f aca="false">Sens!$E$3707+(glt_azo-Sens!$E$3707)*MIN(1,(Sens!I3664-base_fy)/n_conv)</f>
        <v>0.134074627679955</v>
      </c>
      <c r="J3707" s="7" t="n">
        <f aca="false">Sens!$E$3707+(glt_azo-Sens!$E$3707)*MIN(1,(Sens!J3664-base_fy)/n_conv)</f>
        <v>0.107037313839977</v>
      </c>
      <c r="K3707" s="7" t="n">
        <f aca="false">Sens!$E$3707+(glt_azo-Sens!$E$3707)*MIN(1,(Sens!K3664-base_fy)/n_conv)</f>
        <v>0.08</v>
      </c>
    </row>
    <row r="3708" customFormat="false" ht="15" hidden="false" customHeight="false" outlineLevel="0" collapsed="false">
      <c r="A3708" s="0" t="s">
        <v>1025</v>
      </c>
      <c r="B3708" s="0" t="s">
        <v>98</v>
      </c>
      <c r="D3708" s="6" t="n">
        <f aca="false">Sens!D3705+Sens!D3706</f>
        <v>72.61</v>
      </c>
      <c r="E3708" s="6" t="n">
        <f aca="false">Sens!E3705+Sens!E3706</f>
        <v>101.938</v>
      </c>
      <c r="F3708" s="6" t="n">
        <f aca="false">Sens!F3705+Sens!F3706</f>
        <v>152.565022816916</v>
      </c>
      <c r="G3708" s="6" t="n">
        <f aca="false">Sens!G3705+Sens!G3706</f>
        <v>222.135486710136</v>
      </c>
      <c r="H3708" s="6" t="n">
        <f aca="false">Sens!H3705+Sens!H3706</f>
        <v>299.238712857776</v>
      </c>
      <c r="I3708" s="6" t="n">
        <f aca="false">Sens!I3705+Sens!I3706</f>
        <v>362.214791955916</v>
      </c>
      <c r="J3708" s="6" t="n">
        <f aca="false">Sens!J3705+Sens!J3706</f>
        <v>409.215545741018</v>
      </c>
      <c r="K3708" s="6" t="n">
        <f aca="false">Sens!K3705+Sens!K3706</f>
        <v>440.940832690017</v>
      </c>
    </row>
    <row r="3709" customFormat="false" ht="17.15" hidden="false" customHeight="false" outlineLevel="0" collapsed="false">
      <c r="A3709" s="0" t="s">
        <v>1026</v>
      </c>
      <c r="B3709" s="1" t="s">
        <v>610</v>
      </c>
      <c r="C3709" s="30" t="n">
        <f aca="false">cop_s24</f>
        <v>1</v>
      </c>
      <c r="D3709" s="30" t="n">
        <f aca="false">cop_s25</f>
        <v>5</v>
      </c>
      <c r="E3709" s="30" t="n">
        <f aca="false">cop_s26</f>
        <v>30</v>
      </c>
      <c r="F3709" s="30" t="n">
        <f aca="false">Sens!E3709+cop_add_A</f>
        <v>60</v>
      </c>
      <c r="G3709" s="30" t="n">
        <f aca="false">Sens!F3709+cop_add_A</f>
        <v>90</v>
      </c>
      <c r="H3709" s="30" t="n">
        <f aca="false">Sens!G3709+cop_add_A</f>
        <v>120</v>
      </c>
      <c r="I3709" s="30" t="n">
        <f aca="false">Sens!H3709+cop_add_A*cop_tail</f>
        <v>135</v>
      </c>
      <c r="J3709" s="30" t="n">
        <f aca="false">Sens!I3709+cop_add_A*cop_tail</f>
        <v>150</v>
      </c>
      <c r="K3709" s="30" t="n">
        <f aca="false">Sens!J3709+cop_add_A*cop_tail</f>
        <v>165</v>
      </c>
      <c r="L3709" s="12" t="s">
        <v>1027</v>
      </c>
    </row>
    <row r="3710" customFormat="false" ht="17.15" hidden="false" customHeight="false" outlineLevel="0" collapsed="false">
      <c r="A3710" s="0" t="s">
        <v>1028</v>
      </c>
      <c r="B3710" s="0" t="s">
        <v>98</v>
      </c>
      <c r="D3710" s="6" t="n">
        <f aca="false">(Sens!C3709+Sens!D3709)/2*cop_px*12/1000</f>
        <v>0.9</v>
      </c>
      <c r="E3710" s="6" t="n">
        <f aca="false">(Sens!D3709+Sens!E3709)/2*cop_px*12/1000</f>
        <v>5.25</v>
      </c>
      <c r="F3710" s="6" t="n">
        <f aca="false">(Sens!E3709+Sens!F3709)/2*cop_px*12/1000</f>
        <v>13.5</v>
      </c>
      <c r="G3710" s="6" t="n">
        <f aca="false">(Sens!F3709+Sens!G3709)/2*cop_px*12/1000</f>
        <v>22.5</v>
      </c>
      <c r="H3710" s="6" t="n">
        <f aca="false">(Sens!G3709+Sens!H3709)/2*cop_px*12/1000</f>
        <v>31.5</v>
      </c>
      <c r="I3710" s="6" t="n">
        <f aca="false">(Sens!H3709+Sens!I3709)/2*cop_px*12/1000</f>
        <v>38.25</v>
      </c>
      <c r="J3710" s="6" t="n">
        <f aca="false">(Sens!I3709+Sens!J3709)/2*cop_px*12/1000</f>
        <v>42.75</v>
      </c>
      <c r="K3710" s="6" t="n">
        <f aca="false">(Sens!J3709+Sens!K3709)/2*cop_px*12/1000</f>
        <v>47.25</v>
      </c>
      <c r="L3710" s="1" t="s">
        <v>1029</v>
      </c>
    </row>
    <row r="3711" customFormat="false" ht="17.15" hidden="false" customHeight="false" outlineLevel="0" collapsed="false">
      <c r="A3711" s="0" t="s">
        <v>1030</v>
      </c>
      <c r="B3711" s="0" t="s">
        <v>98</v>
      </c>
      <c r="D3711" s="6" t="n">
        <f aca="false">Q!L7-Sens!D3710</f>
        <v>83.705</v>
      </c>
      <c r="E3711" s="6" t="n">
        <f aca="false">Q!M7-Sens!E3710</f>
        <v>95.049</v>
      </c>
      <c r="F3711" s="6" t="n">
        <f aca="false">Q!$I$7+(Sens!E3711*(1+Sens!F3712)+Sens!F3710)*(1-Q!$E$7/Q!M7)-Sens!F3710</f>
        <v>106.229653205718</v>
      </c>
      <c r="G3711" s="6" t="n">
        <f aca="false">Sens!F3711*(1+Sens!G3712)</f>
        <v>118.306092647576</v>
      </c>
      <c r="H3711" s="6" t="n">
        <f aca="false">Sens!G3711*(1+Sens!H3712)</f>
        <v>130.463437602768</v>
      </c>
      <c r="I3711" s="6" t="n">
        <f aca="false">Sens!H3711*(1+Sens!I3712)</f>
        <v>142.445354741933</v>
      </c>
      <c r="J3711" s="6" t="n">
        <f aca="false">Sens!I3711*(1+Sens!J3712)</f>
        <v>153.972117481571</v>
      </c>
      <c r="K3711" s="6" t="n">
        <f aca="false">Sens!J3711*(1+Sens!K3712)</f>
        <v>164.75016570528</v>
      </c>
      <c r="L3711" s="12" t="s">
        <v>1031</v>
      </c>
    </row>
    <row r="3712" customFormat="false" ht="15" hidden="false" customHeight="false" outlineLevel="0" collapsed="false">
      <c r="A3712" s="1" t="s">
        <v>1024</v>
      </c>
      <c r="B3712" s="0" t="s">
        <v>168</v>
      </c>
      <c r="E3712" s="7" t="n">
        <f aca="false">Sens!E3711/Sens!D3711-1</f>
        <v>0.135523564900544</v>
      </c>
      <c r="F3712" s="7" t="n">
        <f aca="false">Sens!$E$3712+(glt_m365b-Sens!$E$3712)*MIN(1,(Sens!F3664-base_fy)/n_conv)</f>
        <v>0.124602970750453</v>
      </c>
      <c r="G3712" s="7" t="n">
        <f aca="false">Sens!$E$3712+(glt_m365b-Sens!$E$3712)*MIN(1,(Sens!G3664-base_fy)/n_conv)</f>
        <v>0.113682376600363</v>
      </c>
      <c r="H3712" s="7" t="n">
        <f aca="false">Sens!$E$3712+(glt_m365b-Sens!$E$3712)*MIN(1,(Sens!H3664-base_fy)/n_conv)</f>
        <v>0.102761782450272</v>
      </c>
      <c r="I3712" s="7" t="n">
        <f aca="false">Sens!$E$3712+(glt_m365b-Sens!$E$3712)*MIN(1,(Sens!I3664-base_fy)/n_conv)</f>
        <v>0.0918411883001813</v>
      </c>
      <c r="J3712" s="7" t="n">
        <f aca="false">Sens!$E$3712+(glt_m365b-Sens!$E$3712)*MIN(1,(Sens!J3664-base_fy)/n_conv)</f>
        <v>0.0809205941500906</v>
      </c>
      <c r="K3712" s="7" t="n">
        <f aca="false">Sens!$E$3712+(glt_m365b-Sens!$E$3712)*MIN(1,(Sens!K3664-base_fy)/n_conv)</f>
        <v>0.07</v>
      </c>
    </row>
    <row r="3713" customFormat="false" ht="15" hidden="false" customHeight="false" outlineLevel="0" collapsed="false">
      <c r="A3713" s="0" t="s">
        <v>1032</v>
      </c>
      <c r="B3713" s="0" t="s">
        <v>98</v>
      </c>
      <c r="D3713" s="6" t="n">
        <f aca="false">Sens!D3711+Sens!D3710</f>
        <v>84.605</v>
      </c>
      <c r="E3713" s="6" t="n">
        <f aca="false">Sens!E3711+Sens!E3710</f>
        <v>100.299</v>
      </c>
      <c r="F3713" s="6" t="n">
        <f aca="false">Sens!F3711+Sens!F3710</f>
        <v>119.729653205718</v>
      </c>
      <c r="G3713" s="6" t="n">
        <f aca="false">Sens!G3711+Sens!G3710</f>
        <v>140.806092647576</v>
      </c>
      <c r="H3713" s="6" t="n">
        <f aca="false">Sens!H3711+Sens!H3710</f>
        <v>161.963437602768</v>
      </c>
      <c r="I3713" s="6" t="n">
        <f aca="false">Sens!I3711+Sens!I3710</f>
        <v>180.695354741933</v>
      </c>
      <c r="J3713" s="6" t="n">
        <f aca="false">Sens!J3711+Sens!J3710</f>
        <v>196.722117481571</v>
      </c>
      <c r="K3713" s="6" t="n">
        <f aca="false">Sens!K3711+Sens!K3710</f>
        <v>212.00016570528</v>
      </c>
    </row>
    <row r="3714" customFormat="false" ht="17.15" hidden="false" customHeight="false" outlineLevel="0" collapsed="false">
      <c r="A3714" s="0" t="s">
        <v>1033</v>
      </c>
      <c r="B3714" s="0" t="s">
        <v>98</v>
      </c>
      <c r="D3714" s="6" t="n">
        <f aca="false">Q!L8</f>
        <v>35.391</v>
      </c>
      <c r="E3714" s="6" t="n">
        <f aca="false">Q!M8</f>
        <v>37.285</v>
      </c>
      <c r="F3714" s="6" t="n">
        <f aca="false">Q!$I$8+(Q!M8-Q!$E$8)*(1+Sens!F3715)</f>
        <v>38.3851437782675</v>
      </c>
      <c r="G3714" s="6" t="n">
        <f aca="false">Sens!F3714*(1+Sens!G3715)</f>
        <v>40.0105353288615</v>
      </c>
      <c r="H3714" s="6" t="n">
        <f aca="false">Sens!G3714*(1+Sens!H3715)</f>
        <v>41.4812512033683</v>
      </c>
      <c r="I3714" s="6" t="n">
        <f aca="false">Sens!H3714*(1+Sens!I3715)</f>
        <v>42.7743107216329</v>
      </c>
      <c r="J3714" s="6" t="n">
        <f aca="false">Sens!I3714*(1+Sens!J3715)</f>
        <v>43.8687373064601</v>
      </c>
      <c r="K3714" s="6" t="n">
        <f aca="false">Sens!J3714*(1+Sens!K3715)</f>
        <v>44.7461120525893</v>
      </c>
      <c r="L3714" s="12" t="s">
        <v>1034</v>
      </c>
    </row>
    <row r="3715" customFormat="false" ht="15" hidden="false" customHeight="false" outlineLevel="0" collapsed="false">
      <c r="A3715" s="1" t="s">
        <v>1024</v>
      </c>
      <c r="B3715" s="0" t="s">
        <v>168</v>
      </c>
      <c r="E3715" s="7" t="n">
        <f aca="false">Sens!E3714/Sens!D3714-1</f>
        <v>0.0535164307309768</v>
      </c>
      <c r="F3715" s="7" t="n">
        <f aca="false">Sens!$E$3715+(glt_lic-Sens!$E$3715)*MIN(1,(Sens!F3664-base_fy)/n_conv)</f>
        <v>0.0479303589424807</v>
      </c>
      <c r="G3715" s="7" t="n">
        <f aca="false">Sens!$E$3715+(glt_lic-Sens!$E$3715)*MIN(1,(Sens!G3664-base_fy)/n_conv)</f>
        <v>0.0423442871539845</v>
      </c>
      <c r="H3715" s="7" t="n">
        <f aca="false">Sens!$E$3715+(glt_lic-Sens!$E$3715)*MIN(1,(Sens!H3664-base_fy)/n_conv)</f>
        <v>0.0367582153654884</v>
      </c>
      <c r="I3715" s="7" t="n">
        <f aca="false">Sens!$E$3715+(glt_lic-Sens!$E$3715)*MIN(1,(Sens!I3664-base_fy)/n_conv)</f>
        <v>0.0311721435769923</v>
      </c>
      <c r="J3715" s="7" t="n">
        <f aca="false">Sens!$E$3715+(glt_lic-Sens!$E$3715)*MIN(1,(Sens!J3664-base_fy)/n_conv)</f>
        <v>0.0255860717884961</v>
      </c>
      <c r="K3715" s="7" t="n">
        <f aca="false">Sens!$E$3715+(glt_lic-Sens!$E$3715)*MIN(1,(Sens!K3664-base_fy)/n_conv)</f>
        <v>0.02</v>
      </c>
    </row>
    <row r="3716" customFormat="false" ht="17.15" hidden="false" customHeight="false" outlineLevel="0" collapsed="false">
      <c r="A3716" s="0" t="s">
        <v>1035</v>
      </c>
      <c r="B3716" s="0" t="s">
        <v>98</v>
      </c>
      <c r="D3716" s="6" t="n">
        <f aca="false">Q!L9</f>
        <v>18.417</v>
      </c>
      <c r="E3716" s="6" t="n">
        <f aca="false">Q!M9</f>
        <v>20.345</v>
      </c>
      <c r="F3716" s="6" t="n">
        <f aca="false">Q!$I$9+(Q!M9-Q!$E$9)*(1+Sens!F3717)</f>
        <v>22.3161797133988</v>
      </c>
      <c r="G3716" s="6" t="n">
        <f aca="false">Sens!F3716*(1+Sens!G3717)</f>
        <v>24.3943499673233</v>
      </c>
      <c r="H3716" s="6" t="n">
        <f aca="false">Sens!G3716*(1+Sens!H3717)</f>
        <v>26.5250243109019</v>
      </c>
      <c r="I3716" s="6" t="n">
        <f aca="false">Sens!H3716*(1+Sens!I3717)</f>
        <v>28.6884573538181</v>
      </c>
      <c r="J3716" s="6" t="n">
        <f aca="false">Sens!I3716*(1+Sens!J3717)</f>
        <v>30.8624968052127</v>
      </c>
      <c r="K3716" s="6" t="n">
        <f aca="false">Sens!J3716*(1+Sens!K3717)</f>
        <v>33.0228715815776</v>
      </c>
      <c r="L3716" s="12" t="s">
        <v>1034</v>
      </c>
    </row>
    <row r="3717" customFormat="false" ht="15" hidden="false" customHeight="false" outlineLevel="0" collapsed="false">
      <c r="A3717" s="1" t="s">
        <v>1024</v>
      </c>
      <c r="B3717" s="0" t="s">
        <v>168</v>
      </c>
      <c r="E3717" s="7" t="n">
        <f aca="false">Sens!E3716/Sens!D3716-1</f>
        <v>0.104685888038225</v>
      </c>
      <c r="F3717" s="7" t="n">
        <f aca="false">Sens!$E$3717+(glt_ind-Sens!$E$3717)*MIN(1,(Sens!F3664-base_fy)/n_conv)</f>
        <v>0.0989049066985211</v>
      </c>
      <c r="G3717" s="7" t="n">
        <f aca="false">Sens!$E$3717+(glt_ind-Sens!$E$3717)*MIN(1,(Sens!G3664-base_fy)/n_conv)</f>
        <v>0.0931239253588169</v>
      </c>
      <c r="H3717" s="7" t="n">
        <f aca="false">Sens!$E$3717+(glt_ind-Sens!$E$3717)*MIN(1,(Sens!H3664-base_fy)/n_conv)</f>
        <v>0.0873429440191127</v>
      </c>
      <c r="I3717" s="7" t="n">
        <f aca="false">Sens!$E$3717+(glt_ind-Sens!$E$3717)*MIN(1,(Sens!I3664-base_fy)/n_conv)</f>
        <v>0.0815619626794085</v>
      </c>
      <c r="J3717" s="7" t="n">
        <f aca="false">Sens!$E$3717+(glt_ind-Sens!$E$3717)*MIN(1,(Sens!J3664-base_fy)/n_conv)</f>
        <v>0.0757809813397042</v>
      </c>
      <c r="K3717" s="7" t="n">
        <f aca="false">Sens!$E$3717+(glt_ind-Sens!$E$3717)*MIN(1,(Sens!K3664-base_fy)/n_conv)</f>
        <v>0.07</v>
      </c>
    </row>
    <row r="3718" customFormat="false" ht="17.15" hidden="false" customHeight="false" outlineLevel="0" collapsed="false">
      <c r="A3718" s="0" t="s">
        <v>1036</v>
      </c>
      <c r="B3718" s="0" t="s">
        <v>98</v>
      </c>
      <c r="D3718" s="6" t="n">
        <f aca="false">Q!L10</f>
        <v>7.76</v>
      </c>
      <c r="E3718" s="6" t="n">
        <f aca="false">Q!M10</f>
        <v>8.26</v>
      </c>
      <c r="F3718" s="6" t="n">
        <f aca="false">Q!$I$10+(Q!M10-Q!$E$10)*(1+Sens!F3719)</f>
        <v>8.75372082474227</v>
      </c>
      <c r="G3718" s="6" t="n">
        <f aca="false">Sens!F3718*(1+Sens!G3719)</f>
        <v>9.33399324642364</v>
      </c>
      <c r="H3718" s="6" t="n">
        <f aca="false">Sens!G3718*(1+Sens!H3719)</f>
        <v>9.96139155535851</v>
      </c>
      <c r="I3718" s="6" t="n">
        <f aca="false">Sens!H3718*(1+Sens!I3719)</f>
        <v>10.6402039077391</v>
      </c>
      <c r="J3718" s="6" t="n">
        <f aca="false">Sens!I3718*(1+Sens!J3719)</f>
        <v>11.3751458271397</v>
      </c>
      <c r="K3718" s="6" t="n">
        <f aca="false">Sens!J3718*(1+Sens!K3719)</f>
        <v>12.1714060350394</v>
      </c>
      <c r="L3718" s="12" t="s">
        <v>1034</v>
      </c>
    </row>
    <row r="3719" customFormat="false" ht="15" hidden="false" customHeight="false" outlineLevel="0" collapsed="false">
      <c r="A3719" s="1" t="s">
        <v>1024</v>
      </c>
      <c r="B3719" s="0" t="s">
        <v>168</v>
      </c>
      <c r="E3719" s="7" t="n">
        <f aca="false">Sens!E3718/Sens!D3718-1</f>
        <v>0.0644329896907216</v>
      </c>
      <c r="F3719" s="7" t="n">
        <f aca="false">Sens!$E$3719+(glt_fro-Sens!$E$3719)*MIN(1,(Sens!F3664-base_fy)/n_conv)</f>
        <v>0.065360824742268</v>
      </c>
      <c r="G3719" s="7" t="n">
        <f aca="false">Sens!$E$3719+(glt_fro-Sens!$E$3719)*MIN(1,(Sens!G3664-base_fy)/n_conv)</f>
        <v>0.0662886597938144</v>
      </c>
      <c r="H3719" s="7" t="n">
        <f aca="false">Sens!$E$3719+(glt_fro-Sens!$E$3719)*MIN(1,(Sens!H3664-base_fy)/n_conv)</f>
        <v>0.0672164948453608</v>
      </c>
      <c r="I3719" s="7" t="n">
        <f aca="false">Sens!$E$3719+(glt_fro-Sens!$E$3719)*MIN(1,(Sens!I3664-base_fy)/n_conv)</f>
        <v>0.0681443298969072</v>
      </c>
      <c r="J3719" s="7" t="n">
        <f aca="false">Sens!$E$3719+(glt_fro-Sens!$E$3719)*MIN(1,(Sens!J3664-base_fy)/n_conv)</f>
        <v>0.0690721649484536</v>
      </c>
      <c r="K3719" s="7" t="n">
        <f aca="false">Sens!$E$3719+(glt_fro-Sens!$E$3719)*MIN(1,(Sens!K3664-base_fy)/n_conv)</f>
        <v>0.07</v>
      </c>
    </row>
    <row r="3720" customFormat="false" ht="15" hidden="false" customHeight="false" outlineLevel="0" collapsed="false">
      <c r="A3720" s="0" t="s">
        <v>852</v>
      </c>
      <c r="B3720" s="0" t="s">
        <v>98</v>
      </c>
      <c r="D3720" s="6" t="n">
        <f aca="false">Sens!D3708+Sens!D3713+Sens!D3714+Sens!D3716+Sens!D3718</f>
        <v>218.783</v>
      </c>
      <c r="E3720" s="6" t="n">
        <f aca="false">Sens!E3708+Sens!E3713+Sens!E3714+Sens!E3716+Sens!E3718</f>
        <v>268.127</v>
      </c>
      <c r="F3720" s="6" t="n">
        <f aca="false">Sens!F3708+Sens!F3713+Sens!F3714+Sens!F3716+Sens!F3718</f>
        <v>341.749720339043</v>
      </c>
      <c r="G3720" s="6" t="n">
        <f aca="false">Sens!G3708+Sens!G3713+Sens!G3714+Sens!G3716+Sens!G3718</f>
        <v>436.680457900321</v>
      </c>
      <c r="H3720" s="6" t="n">
        <f aca="false">Sens!H3708+Sens!H3713+Sens!H3714+Sens!H3716+Sens!H3718</f>
        <v>539.169817530172</v>
      </c>
      <c r="I3720" s="6" t="n">
        <f aca="false">Sens!I3708+Sens!I3713+Sens!I3714+Sens!I3716+Sens!I3718</f>
        <v>625.013118681039</v>
      </c>
      <c r="J3720" s="6" t="n">
        <f aca="false">Sens!J3708+Sens!J3713+Sens!J3714+Sens!J3716+Sens!J3718</f>
        <v>692.044043161401</v>
      </c>
      <c r="K3720" s="6" t="n">
        <f aca="false">Sens!K3708+Sens!K3713+Sens!K3714+Sens!K3716+Sens!K3718</f>
        <v>742.881388064504</v>
      </c>
    </row>
    <row r="3721" customFormat="false" ht="17.15" hidden="false" customHeight="false" outlineLevel="0" collapsed="false">
      <c r="A3721" s="0" t="s">
        <v>1037</v>
      </c>
      <c r="B3721" s="0" t="s">
        <v>98</v>
      </c>
      <c r="D3721" s="6" t="n">
        <f aca="false">Q!L13</f>
        <v>22.171</v>
      </c>
      <c r="E3721" s="6" t="n">
        <f aca="false">Q!M13</f>
        <v>24.835</v>
      </c>
      <c r="F3721" s="6" t="n">
        <f aca="false">Q!$I$13+(Q!M13-Q!$E$13)*(1+Sens!F3722)</f>
        <v>27.5591895660247</v>
      </c>
      <c r="G3721" s="6" t="n">
        <f aca="false">Sens!F3721*(1+Sens!G3722)</f>
        <v>30.4098563144583</v>
      </c>
      <c r="H3721" s="6" t="n">
        <f aca="false">Sens!G3721*(1+Sens!H3722)</f>
        <v>33.3011792571777</v>
      </c>
      <c r="I3721" s="6" t="n">
        <f aca="false">Sens!H3721*(1+Sens!I3722)</f>
        <v>36.189023797112</v>
      </c>
      <c r="J3721" s="6" t="n">
        <f aca="false">Sens!I3721*(1+Sens!J3722)</f>
        <v>39.0247773769199</v>
      </c>
      <c r="K3721" s="6" t="n">
        <f aca="false">Sens!J3721*(1+Sens!K3722)</f>
        <v>41.7565117933043</v>
      </c>
      <c r="L3721" s="12" t="s">
        <v>1034</v>
      </c>
    </row>
    <row r="3722" customFormat="false" ht="15" hidden="false" customHeight="false" outlineLevel="0" collapsed="false">
      <c r="A3722" s="1" t="s">
        <v>1024</v>
      </c>
      <c r="B3722" s="0" t="s">
        <v>168</v>
      </c>
      <c r="E3722" s="7" t="n">
        <f aca="false">Sens!E3721/Sens!D3721-1</f>
        <v>0.120156961796942</v>
      </c>
      <c r="F3722" s="7" t="n">
        <f aca="false">Sens!$E$3722+(glt_srch-Sens!$E$3722)*MIN(1,(Sens!F3664-base_fy)/n_conv)</f>
        <v>0.111797468164118</v>
      </c>
      <c r="G3722" s="7" t="n">
        <f aca="false">Sens!$E$3722+(glt_srch-Sens!$E$3722)*MIN(1,(Sens!G3664-base_fy)/n_conv)</f>
        <v>0.103437974531295</v>
      </c>
      <c r="H3722" s="7" t="n">
        <f aca="false">Sens!$E$3722+(glt_srch-Sens!$E$3722)*MIN(1,(Sens!H3664-base_fy)/n_conv)</f>
        <v>0.095078480898471</v>
      </c>
      <c r="I3722" s="7" t="n">
        <f aca="false">Sens!$E$3722+(glt_srch-Sens!$E$3722)*MIN(1,(Sens!I3664-base_fy)/n_conv)</f>
        <v>0.0867189872656474</v>
      </c>
      <c r="J3722" s="7" t="n">
        <f aca="false">Sens!$E$3722+(glt_srch-Sens!$E$3722)*MIN(1,(Sens!J3664-base_fy)/n_conv)</f>
        <v>0.0783594936328237</v>
      </c>
      <c r="K3722" s="7" t="n">
        <f aca="false">Sens!$E$3722+(glt_srch-Sens!$E$3722)*MIN(1,(Sens!K3664-base_fy)/n_conv)</f>
        <v>0.07</v>
      </c>
    </row>
    <row r="3723" customFormat="false" ht="17.15" hidden="false" customHeight="false" outlineLevel="0" collapsed="false">
      <c r="A3723" s="0" t="s">
        <v>1038</v>
      </c>
      <c r="B3723" s="0" t="s">
        <v>98</v>
      </c>
      <c r="D3723" s="6" t="n">
        <f aca="false">Q!L14</f>
        <v>23.455</v>
      </c>
      <c r="E3723" s="6" t="n">
        <f aca="false">Q!M14</f>
        <v>21.79</v>
      </c>
      <c r="F3723" s="6" t="n">
        <f aca="false">Q!$I$14+(Q!M14-Q!$E$14)*(1+Sens!F3724)</f>
        <v>20.7520981041711</v>
      </c>
      <c r="G3723" s="6" t="n">
        <f aca="false">Sens!F3723*(1+Sens!G3724)</f>
        <v>19.9083593495882</v>
      </c>
      <c r="H3723" s="6" t="n">
        <f aca="false">Sens!G3723*(1+Sens!H3724)</f>
        <v>19.4008256265831</v>
      </c>
      <c r="I3723" s="6" t="n">
        <f aca="false">Sens!H3723*(1+Sens!I3724)</f>
        <v>19.200434522122</v>
      </c>
      <c r="J3723" s="6" t="n">
        <f aca="false">Sens!I3723*(1+Sens!J3724)</f>
        <v>19.2932782348507</v>
      </c>
      <c r="K3723" s="6" t="n">
        <f aca="false">Sens!J3723*(1+Sens!K3724)</f>
        <v>19.6791437995477</v>
      </c>
      <c r="L3723" s="12" t="s">
        <v>1034</v>
      </c>
    </row>
    <row r="3724" customFormat="false" ht="15" hidden="false" customHeight="false" outlineLevel="0" collapsed="false">
      <c r="A3724" s="1" t="s">
        <v>1024</v>
      </c>
      <c r="B3724" s="0" t="s">
        <v>168</v>
      </c>
      <c r="E3724" s="7" t="n">
        <f aca="false">Sens!E3723/Sens!D3723-1</f>
        <v>-0.0709869963760392</v>
      </c>
      <c r="F3724" s="7" t="n">
        <f aca="false">Sens!$E$3724+(glt_xbox-Sens!$E$3724)*MIN(1,(Sens!F3664-base_fy)/n_conv)</f>
        <v>-0.0558224969800327</v>
      </c>
      <c r="G3724" s="7" t="n">
        <f aca="false">Sens!$E$3724+(glt_xbox-Sens!$E$3724)*MIN(1,(Sens!G3664-base_fy)/n_conv)</f>
        <v>-0.0406579975840262</v>
      </c>
      <c r="H3724" s="7" t="n">
        <f aca="false">Sens!$E$3724+(glt_xbox-Sens!$E$3724)*MIN(1,(Sens!H3664-base_fy)/n_conv)</f>
        <v>-0.0254934981880196</v>
      </c>
      <c r="I3724" s="7" t="n">
        <f aca="false">Sens!$E$3724+(glt_xbox-Sens!$E$3724)*MIN(1,(Sens!I3664-base_fy)/n_conv)</f>
        <v>-0.0103289987920131</v>
      </c>
      <c r="J3724" s="7" t="n">
        <f aca="false">Sens!$E$3724+(glt_xbox-Sens!$E$3724)*MIN(1,(Sens!J3664-base_fy)/n_conv)</f>
        <v>0.00483550060399347</v>
      </c>
      <c r="K3724" s="7" t="n">
        <f aca="false">Sens!$E$3724+(glt_xbox-Sens!$E$3724)*MIN(1,(Sens!K3664-base_fy)/n_conv)</f>
        <v>0.02</v>
      </c>
    </row>
    <row r="3725" customFormat="false" ht="17.15" hidden="false" customHeight="false" outlineLevel="0" collapsed="false">
      <c r="A3725" s="0" t="s">
        <v>1039</v>
      </c>
      <c r="B3725" s="0" t="s">
        <v>98</v>
      </c>
      <c r="D3725" s="6" t="n">
        <f aca="false">Q!L15</f>
        <v>17.315</v>
      </c>
      <c r="E3725" s="6" t="n">
        <f aca="false">Q!M15</f>
        <v>17.087</v>
      </c>
      <c r="F3725" s="6" t="n">
        <f aca="false">Q!$I$15+(Q!M15-Q!$E$15)*(1+Sens!F3726)</f>
        <v>15.9912273250553</v>
      </c>
      <c r="G3725" s="6" t="n">
        <f aca="false">Sens!F3725*(1+Sens!G3726)</f>
        <v>15.9574562664827</v>
      </c>
      <c r="H3725" s="6" t="n">
        <f aca="false">Sens!G3725*(1+Sens!H3726)</f>
        <v>16.0119687434196</v>
      </c>
      <c r="I3725" s="6" t="n">
        <f aca="false">Sens!H3725*(1+Sens!I3726)</f>
        <v>16.1551810001948</v>
      </c>
      <c r="J3725" s="6" t="n">
        <f aca="false">Sens!I3725*(1+Sens!J3726)</f>
        <v>16.3889793892005</v>
      </c>
      <c r="K3725" s="6" t="n">
        <f aca="false">Sens!J3725*(1+Sens!K3726)</f>
        <v>16.7167589769845</v>
      </c>
      <c r="L3725" s="12" t="s">
        <v>1034</v>
      </c>
    </row>
    <row r="3726" customFormat="false" ht="15" hidden="false" customHeight="false" outlineLevel="0" collapsed="false">
      <c r="A3726" s="1" t="s">
        <v>1024</v>
      </c>
      <c r="B3726" s="0" t="s">
        <v>168</v>
      </c>
      <c r="E3726" s="7" t="n">
        <f aca="false">Sens!E3725/Sens!D3725-1</f>
        <v>-0.0131677736066995</v>
      </c>
      <c r="F3726" s="7" t="n">
        <f aca="false">Sens!$E$3726+(glt_win-Sens!$E$3726)*MIN(1,(Sens!F3664-base_fy)/n_conv)</f>
        <v>-0.00763981133891627</v>
      </c>
      <c r="G3726" s="7" t="n">
        <f aca="false">Sens!$E$3726+(glt_win-Sens!$E$3726)*MIN(1,(Sens!G3664-base_fy)/n_conv)</f>
        <v>-0.00211184907113301</v>
      </c>
      <c r="H3726" s="7" t="n">
        <f aca="false">Sens!$E$3726+(glt_win-Sens!$E$3726)*MIN(1,(Sens!H3664-base_fy)/n_conv)</f>
        <v>0.00341611319665024</v>
      </c>
      <c r="I3726" s="7" t="n">
        <f aca="false">Sens!$E$3726+(glt_win-Sens!$E$3726)*MIN(1,(Sens!I3664-base_fy)/n_conv)</f>
        <v>0.00894407546443349</v>
      </c>
      <c r="J3726" s="7" t="n">
        <f aca="false">Sens!$E$3726+(glt_win-Sens!$E$3726)*MIN(1,(Sens!J3664-base_fy)/n_conv)</f>
        <v>0.0144720377322168</v>
      </c>
      <c r="K3726" s="7" t="n">
        <f aca="false">Sens!$E$3726+(glt_win-Sens!$E$3726)*MIN(1,(Sens!K3664-base_fy)/n_conv)</f>
        <v>0.02</v>
      </c>
    </row>
    <row r="3727" customFormat="false" ht="15" hidden="false" customHeight="false" outlineLevel="0" collapsed="false">
      <c r="A3727" s="0" t="s">
        <v>866</v>
      </c>
      <c r="B3727" s="0" t="s">
        <v>98</v>
      </c>
      <c r="D3727" s="6" t="n">
        <f aca="false">Sens!D3721+Sens!D3723+Sens!D3725</f>
        <v>62.941</v>
      </c>
      <c r="E3727" s="6" t="n">
        <f aca="false">Sens!E3721+Sens!E3723+Sens!E3725</f>
        <v>63.712</v>
      </c>
      <c r="F3727" s="6" t="n">
        <f aca="false">Sens!F3721+Sens!F3723+Sens!F3725</f>
        <v>64.3025149952511</v>
      </c>
      <c r="G3727" s="6" t="n">
        <f aca="false">Sens!G3721+Sens!G3723+Sens!G3725</f>
        <v>66.2756719305292</v>
      </c>
      <c r="H3727" s="6" t="n">
        <f aca="false">Sens!H3721+Sens!H3723+Sens!H3725</f>
        <v>68.7139736271804</v>
      </c>
      <c r="I3727" s="6" t="n">
        <f aca="false">Sens!I3721+Sens!I3723+Sens!I3725</f>
        <v>71.5446393194289</v>
      </c>
      <c r="J3727" s="6" t="n">
        <f aca="false">Sens!J3721+Sens!J3723+Sens!J3725</f>
        <v>74.707035000971</v>
      </c>
      <c r="K3727" s="6" t="n">
        <f aca="false">Sens!K3721+Sens!K3723+Sens!K3725</f>
        <v>78.1524145698365</v>
      </c>
    </row>
    <row r="3728" customFormat="false" ht="15" hidden="false" customHeight="false" outlineLevel="0" collapsed="false">
      <c r="A3728" s="1" t="s">
        <v>1040</v>
      </c>
      <c r="B3728" s="0" t="s">
        <v>98</v>
      </c>
      <c r="D3728" s="6" t="n">
        <f aca="false">Sens!D3720+Sens!D3727</f>
        <v>281.724</v>
      </c>
      <c r="E3728" s="6" t="n">
        <f aca="false">Sens!E3720+Sens!E3727</f>
        <v>331.839</v>
      </c>
      <c r="F3728" s="6" t="n">
        <f aca="false">Sens!F3720+Sens!F3727</f>
        <v>406.052235334294</v>
      </c>
      <c r="G3728" s="6" t="n">
        <f aca="false">Sens!G3720+Sens!G3727</f>
        <v>502.95612983085</v>
      </c>
      <c r="H3728" s="6" t="n">
        <f aca="false">Sens!H3720+Sens!H3727</f>
        <v>607.883791157353</v>
      </c>
      <c r="I3728" s="6" t="n">
        <f aca="false">Sens!I3720+Sens!I3727</f>
        <v>696.557758000468</v>
      </c>
      <c r="J3728" s="6" t="n">
        <f aca="false">Sens!J3720+Sens!J3727</f>
        <v>766.751078162372</v>
      </c>
      <c r="K3728" s="6" t="n">
        <f aca="false">Sens!K3720+Sens!K3727</f>
        <v>821.033802634341</v>
      </c>
    </row>
    <row r="3729" customFormat="false" ht="15" hidden="false" customHeight="false" outlineLevel="0" collapsed="false">
      <c r="A3729" s="26" t="s">
        <v>1041</v>
      </c>
      <c r="B3729" s="31" t="s">
        <v>98</v>
      </c>
      <c r="C3729" s="31"/>
      <c r="D3729" s="27" t="n">
        <f aca="false">(Sens!D3708+Sens!D3713+Sens!D3714+Sens!D3716+Sens!D3718-Sens!D3720)+(Sens!D3721+Sens!D3723+Sens!D3725-Sens!D3727)+(Sens!D3720-Q!L5)+(Sens!D3727-Q!L12)+(Sens!D3708-Q!L6)+(Sens!D3713-Q!L7)</f>
        <v>0</v>
      </c>
      <c r="E3729" s="27" t="n">
        <f aca="false">(Sens!E3708+Sens!E3713+Sens!E3714+Sens!E3716+Sens!E3718-Sens!E3720)+(Sens!E3721+Sens!E3723+Sens!E3725-Sens!E3727)+(Sens!E3720-Q!M5)+(Sens!E3727-Q!M12)+(Sens!E3708-Q!M6)+(Sens!E3713-Q!M7)</f>
        <v>0</v>
      </c>
      <c r="F3729" s="27" t="n">
        <f aca="false">(Sens!F3708+Sens!F3713+Sens!F3714+Sens!F3716+Sens!F3718-Sens!F3720)+(Sens!F3721+Sens!F3723+Sens!F3725-Sens!F3727)</f>
        <v>0</v>
      </c>
      <c r="G3729" s="27" t="n">
        <f aca="false">(Sens!G3708+Sens!G3713+Sens!G3714+Sens!G3716+Sens!G3718-Sens!G3720)+(Sens!G3721+Sens!G3723+Sens!G3725-Sens!G3727)</f>
        <v>0</v>
      </c>
      <c r="H3729" s="27" t="n">
        <f aca="false">(Sens!H3708+Sens!H3713+Sens!H3714+Sens!H3716+Sens!H3718-Sens!H3720)+(Sens!H3721+Sens!H3723+Sens!H3725-Sens!H3727)</f>
        <v>0</v>
      </c>
      <c r="I3729" s="27" t="n">
        <f aca="false">(Sens!I3708+Sens!I3713+Sens!I3714+Sens!I3716+Sens!I3718-Sens!I3720)+(Sens!I3721+Sens!I3723+Sens!I3725-Sens!I3727)</f>
        <v>0</v>
      </c>
      <c r="J3729" s="27" t="n">
        <f aca="false">(Sens!J3708+Sens!J3713+Sens!J3714+Sens!J3716+Sens!J3718-Sens!J3720)+(Sens!J3721+Sens!J3723+Sens!J3725-Sens!J3727)</f>
        <v>0</v>
      </c>
      <c r="K3729" s="27" t="n">
        <f aca="false">(Sens!K3708+Sens!K3713+Sens!K3714+Sens!K3716+Sens!K3718-Sens!K3720)+(Sens!K3721+Sens!K3723+Sens!K3725-Sens!K3727)</f>
        <v>0</v>
      </c>
    </row>
    <row r="3730" customFormat="false" ht="17.15" hidden="false" customHeight="false" outlineLevel="0" collapsed="false">
      <c r="A3730" s="3" t="s">
        <v>1572</v>
      </c>
    </row>
    <row r="3731" customFormat="false" ht="15" hidden="false" customHeight="false" outlineLevel="0" collapsed="false">
      <c r="A3731" s="4" t="s">
        <v>43</v>
      </c>
      <c r="B3731" s="4" t="s">
        <v>65</v>
      </c>
      <c r="C3731" s="23" t="s">
        <v>938</v>
      </c>
      <c r="D3731" s="23" t="s">
        <v>939</v>
      </c>
      <c r="E3731" s="23" t="s">
        <v>940</v>
      </c>
      <c r="F3731" s="23" t="s">
        <v>941</v>
      </c>
      <c r="G3731" s="23" t="s">
        <v>942</v>
      </c>
      <c r="H3731" s="23" t="s">
        <v>943</v>
      </c>
      <c r="I3731" s="23" t="s">
        <v>944</v>
      </c>
      <c r="J3731" s="23" t="s">
        <v>945</v>
      </c>
      <c r="K3731" s="23" t="s">
        <v>946</v>
      </c>
      <c r="L3731" s="4" t="s">
        <v>47</v>
      </c>
    </row>
    <row r="3732" customFormat="false" ht="15" hidden="false" customHeight="false" outlineLevel="0" collapsed="false">
      <c r="A3732" s="0" t="s">
        <v>1025</v>
      </c>
      <c r="B3732" s="0" t="s">
        <v>98</v>
      </c>
      <c r="D3732" s="6" t="n">
        <f aca="false">Sens!D3708</f>
        <v>72.61</v>
      </c>
      <c r="E3732" s="6" t="n">
        <f aca="false">Sens!E3708</f>
        <v>101.938</v>
      </c>
      <c r="F3732" s="6" t="n">
        <f aca="false">Sens!F3708</f>
        <v>152.565022816916</v>
      </c>
      <c r="G3732" s="6" t="n">
        <f aca="false">Sens!G3708</f>
        <v>222.135486710136</v>
      </c>
      <c r="H3732" s="6" t="n">
        <f aca="false">Sens!H3708</f>
        <v>299.238712857776</v>
      </c>
      <c r="I3732" s="6" t="n">
        <f aca="false">Sens!I3708</f>
        <v>362.214791955916</v>
      </c>
      <c r="J3732" s="6" t="n">
        <f aca="false">Sens!J3708</f>
        <v>409.215545741018</v>
      </c>
      <c r="K3732" s="6" t="n">
        <f aca="false">Sens!K3708</f>
        <v>440.940832690017</v>
      </c>
    </row>
    <row r="3733" customFormat="false" ht="17.15" hidden="false" customHeight="false" outlineLevel="0" collapsed="false">
      <c r="A3733" s="0" t="s">
        <v>1021</v>
      </c>
      <c r="B3733" s="0" t="s">
        <v>98</v>
      </c>
      <c r="D3733" s="6" t="n">
        <f aca="false">Sens!D3705</f>
        <v>12.9359794422418</v>
      </c>
      <c r="E3733" s="6" t="n">
        <f aca="false">Sens!E3705</f>
        <v>27.8095064661409</v>
      </c>
      <c r="F3733" s="6" t="n">
        <f aca="false">Sens!F3705</f>
        <v>62.9154939349924</v>
      </c>
      <c r="G3733" s="6" t="n">
        <f aca="false">Sens!G3705</f>
        <v>115.618465725711</v>
      </c>
      <c r="H3733" s="6" t="n">
        <f aca="false">Sens!H3705</f>
        <v>175.560527817631</v>
      </c>
      <c r="I3733" s="6" t="n">
        <f aca="false">Sens!I3705</f>
        <v>221.954500304381</v>
      </c>
      <c r="J3733" s="6" t="n">
        <f aca="false">Sens!J3705</f>
        <v>253.942169232691</v>
      </c>
      <c r="K3733" s="6" t="n">
        <f aca="false">Sens!K3705</f>
        <v>273.245586061025</v>
      </c>
    </row>
    <row r="3734" customFormat="false" ht="17.15" hidden="false" customHeight="false" outlineLevel="0" collapsed="false">
      <c r="A3734" s="0" t="s">
        <v>1052</v>
      </c>
      <c r="B3734" s="0" t="s">
        <v>98</v>
      </c>
      <c r="D3734" s="6" t="n">
        <f aca="false">Sens!D3706</f>
        <v>59.6740205577583</v>
      </c>
      <c r="E3734" s="6" t="n">
        <f aca="false">Sens!E3706</f>
        <v>74.1284935338591</v>
      </c>
      <c r="F3734" s="6" t="n">
        <f aca="false">Sens!F3706</f>
        <v>89.649528881924</v>
      </c>
      <c r="G3734" s="6" t="n">
        <f aca="false">Sens!G3706</f>
        <v>106.517020984425</v>
      </c>
      <c r="H3734" s="6" t="n">
        <f aca="false">Sens!H3706</f>
        <v>123.678185040145</v>
      </c>
      <c r="I3734" s="6" t="n">
        <f aca="false">Sens!I3706</f>
        <v>140.260291651535</v>
      </c>
      <c r="J3734" s="6" t="n">
        <f aca="false">Sens!J3706</f>
        <v>155.273376508327</v>
      </c>
      <c r="K3734" s="6" t="n">
        <f aca="false">Sens!K3706</f>
        <v>167.695246628993</v>
      </c>
    </row>
    <row r="3735" customFormat="false" ht="15" hidden="false" customHeight="false" outlineLevel="0" collapsed="false">
      <c r="A3735" s="0" t="s">
        <v>1032</v>
      </c>
      <c r="B3735" s="0" t="s">
        <v>98</v>
      </c>
      <c r="D3735" s="6" t="n">
        <f aca="false">Sens!D3713</f>
        <v>84.605</v>
      </c>
      <c r="E3735" s="6" t="n">
        <f aca="false">Sens!E3713</f>
        <v>100.299</v>
      </c>
      <c r="F3735" s="6" t="n">
        <f aca="false">Sens!F3713</f>
        <v>119.729653205718</v>
      </c>
      <c r="G3735" s="6" t="n">
        <f aca="false">Sens!G3713</f>
        <v>140.806092647576</v>
      </c>
      <c r="H3735" s="6" t="n">
        <f aca="false">Sens!H3713</f>
        <v>161.963437602768</v>
      </c>
      <c r="I3735" s="6" t="n">
        <f aca="false">Sens!I3713</f>
        <v>180.695354741933</v>
      </c>
      <c r="J3735" s="6" t="n">
        <f aca="false">Sens!J3713</f>
        <v>196.722117481571</v>
      </c>
      <c r="K3735" s="6" t="n">
        <f aca="false">Sens!K3713</f>
        <v>212.00016570528</v>
      </c>
    </row>
    <row r="3736" customFormat="false" ht="17.15" hidden="false" customHeight="false" outlineLevel="0" collapsed="false">
      <c r="A3736" s="0" t="s">
        <v>1053</v>
      </c>
      <c r="B3736" s="0" t="s">
        <v>98</v>
      </c>
      <c r="D3736" s="6" t="n">
        <f aca="false">Sens!D3711</f>
        <v>83.705</v>
      </c>
      <c r="E3736" s="6" t="n">
        <f aca="false">Sens!E3711</f>
        <v>95.049</v>
      </c>
      <c r="F3736" s="6" t="n">
        <f aca="false">Sens!F3711</f>
        <v>106.229653205718</v>
      </c>
      <c r="G3736" s="6" t="n">
        <f aca="false">Sens!G3711</f>
        <v>118.306092647576</v>
      </c>
      <c r="H3736" s="6" t="n">
        <f aca="false">Sens!H3711</f>
        <v>130.463437602768</v>
      </c>
      <c r="I3736" s="6" t="n">
        <f aca="false">Sens!I3711</f>
        <v>142.445354741933</v>
      </c>
      <c r="J3736" s="6" t="n">
        <f aca="false">Sens!J3711</f>
        <v>153.972117481571</v>
      </c>
      <c r="K3736" s="6" t="n">
        <f aca="false">Sens!K3711</f>
        <v>164.75016570528</v>
      </c>
    </row>
    <row r="3737" customFormat="false" ht="17.15" hidden="false" customHeight="false" outlineLevel="0" collapsed="false">
      <c r="A3737" s="0" t="s">
        <v>1054</v>
      </c>
      <c r="B3737" s="0" t="s">
        <v>98</v>
      </c>
      <c r="D3737" s="6" t="n">
        <f aca="false">Sens!D3710</f>
        <v>0.9</v>
      </c>
      <c r="E3737" s="6" t="n">
        <f aca="false">Sens!E3710</f>
        <v>5.25</v>
      </c>
      <c r="F3737" s="6" t="n">
        <f aca="false">Sens!F3710</f>
        <v>13.5</v>
      </c>
      <c r="G3737" s="6" t="n">
        <f aca="false">Sens!G3710</f>
        <v>22.5</v>
      </c>
      <c r="H3737" s="6" t="n">
        <f aca="false">Sens!H3710</f>
        <v>31.5</v>
      </c>
      <c r="I3737" s="6" t="n">
        <f aca="false">Sens!I3710</f>
        <v>38.25</v>
      </c>
      <c r="J3737" s="6" t="n">
        <f aca="false">Sens!J3710</f>
        <v>42.75</v>
      </c>
      <c r="K3737" s="6" t="n">
        <f aca="false">Sens!K3710</f>
        <v>47.25</v>
      </c>
    </row>
    <row r="3738" customFormat="false" ht="15" hidden="false" customHeight="false" outlineLevel="0" collapsed="false">
      <c r="A3738" s="0" t="s">
        <v>1033</v>
      </c>
      <c r="B3738" s="0" t="s">
        <v>98</v>
      </c>
      <c r="D3738" s="6" t="n">
        <f aca="false">Sens!D3714</f>
        <v>35.391</v>
      </c>
      <c r="E3738" s="6" t="n">
        <f aca="false">Sens!E3714</f>
        <v>37.285</v>
      </c>
      <c r="F3738" s="6" t="n">
        <f aca="false">Sens!F3714</f>
        <v>38.3851437782675</v>
      </c>
      <c r="G3738" s="6" t="n">
        <f aca="false">Sens!G3714</f>
        <v>40.0105353288615</v>
      </c>
      <c r="H3738" s="6" t="n">
        <f aca="false">Sens!H3714</f>
        <v>41.4812512033683</v>
      </c>
      <c r="I3738" s="6" t="n">
        <f aca="false">Sens!I3714</f>
        <v>42.7743107216329</v>
      </c>
      <c r="J3738" s="6" t="n">
        <f aca="false">Sens!J3714</f>
        <v>43.8687373064601</v>
      </c>
      <c r="K3738" s="6" t="n">
        <f aca="false">Sens!K3714</f>
        <v>44.7461120525893</v>
      </c>
    </row>
    <row r="3739" customFormat="false" ht="15" hidden="false" customHeight="false" outlineLevel="0" collapsed="false">
      <c r="A3739" s="0" t="s">
        <v>1035</v>
      </c>
      <c r="B3739" s="0" t="s">
        <v>98</v>
      </c>
      <c r="D3739" s="6" t="n">
        <f aca="false">Sens!D3716</f>
        <v>18.417</v>
      </c>
      <c r="E3739" s="6" t="n">
        <f aca="false">Sens!E3716</f>
        <v>20.345</v>
      </c>
      <c r="F3739" s="6" t="n">
        <f aca="false">Sens!F3716</f>
        <v>22.3161797133988</v>
      </c>
      <c r="G3739" s="6" t="n">
        <f aca="false">Sens!G3716</f>
        <v>24.3943499673233</v>
      </c>
      <c r="H3739" s="6" t="n">
        <f aca="false">Sens!H3716</f>
        <v>26.5250243109019</v>
      </c>
      <c r="I3739" s="6" t="n">
        <f aca="false">Sens!I3716</f>
        <v>28.6884573538181</v>
      </c>
      <c r="J3739" s="6" t="n">
        <f aca="false">Sens!J3716</f>
        <v>30.8624968052127</v>
      </c>
      <c r="K3739" s="6" t="n">
        <f aca="false">Sens!K3716</f>
        <v>33.0228715815776</v>
      </c>
    </row>
    <row r="3740" customFormat="false" ht="15" hidden="false" customHeight="false" outlineLevel="0" collapsed="false">
      <c r="A3740" s="0" t="s">
        <v>1036</v>
      </c>
      <c r="B3740" s="0" t="s">
        <v>98</v>
      </c>
      <c r="D3740" s="6" t="n">
        <f aca="false">Sens!D3718</f>
        <v>7.76</v>
      </c>
      <c r="E3740" s="6" t="n">
        <f aca="false">Sens!E3718</f>
        <v>8.26</v>
      </c>
      <c r="F3740" s="6" t="n">
        <f aca="false">Sens!F3718</f>
        <v>8.75372082474227</v>
      </c>
      <c r="G3740" s="6" t="n">
        <f aca="false">Sens!G3718</f>
        <v>9.33399324642364</v>
      </c>
      <c r="H3740" s="6" t="n">
        <f aca="false">Sens!H3718</f>
        <v>9.96139155535851</v>
      </c>
      <c r="I3740" s="6" t="n">
        <f aca="false">Sens!I3718</f>
        <v>10.6402039077391</v>
      </c>
      <c r="J3740" s="6" t="n">
        <f aca="false">Sens!J3718</f>
        <v>11.3751458271397</v>
      </c>
      <c r="K3740" s="6" t="n">
        <f aca="false">Sens!K3718</f>
        <v>12.1714060350394</v>
      </c>
    </row>
    <row r="3741" customFormat="false" ht="15" hidden="false" customHeight="false" outlineLevel="0" collapsed="false">
      <c r="A3741" s="0" t="s">
        <v>852</v>
      </c>
      <c r="B3741" s="0" t="s">
        <v>98</v>
      </c>
      <c r="D3741" s="6" t="n">
        <f aca="false">Sens!D3720</f>
        <v>218.783</v>
      </c>
      <c r="E3741" s="6" t="n">
        <f aca="false">Sens!E3720</f>
        <v>268.127</v>
      </c>
      <c r="F3741" s="6" t="n">
        <f aca="false">Sens!F3720</f>
        <v>341.749720339043</v>
      </c>
      <c r="G3741" s="6" t="n">
        <f aca="false">Sens!G3720</f>
        <v>436.680457900321</v>
      </c>
      <c r="H3741" s="6" t="n">
        <f aca="false">Sens!H3720</f>
        <v>539.169817530172</v>
      </c>
      <c r="I3741" s="6" t="n">
        <f aca="false">Sens!I3720</f>
        <v>625.013118681039</v>
      </c>
      <c r="J3741" s="6" t="n">
        <f aca="false">Sens!J3720</f>
        <v>692.044043161401</v>
      </c>
      <c r="K3741" s="6" t="n">
        <f aca="false">Sens!K3720</f>
        <v>742.881388064504</v>
      </c>
    </row>
    <row r="3742" customFormat="false" ht="15" hidden="false" customHeight="false" outlineLevel="0" collapsed="false">
      <c r="A3742" s="0" t="s">
        <v>1037</v>
      </c>
      <c r="B3742" s="0" t="s">
        <v>98</v>
      </c>
      <c r="D3742" s="6" t="n">
        <f aca="false">Sens!D3721</f>
        <v>22.171</v>
      </c>
      <c r="E3742" s="6" t="n">
        <f aca="false">Sens!E3721</f>
        <v>24.835</v>
      </c>
      <c r="F3742" s="6" t="n">
        <f aca="false">Sens!F3721</f>
        <v>27.5591895660247</v>
      </c>
      <c r="G3742" s="6" t="n">
        <f aca="false">Sens!G3721</f>
        <v>30.4098563144583</v>
      </c>
      <c r="H3742" s="6" t="n">
        <f aca="false">Sens!H3721</f>
        <v>33.3011792571777</v>
      </c>
      <c r="I3742" s="6" t="n">
        <f aca="false">Sens!I3721</f>
        <v>36.189023797112</v>
      </c>
      <c r="J3742" s="6" t="n">
        <f aca="false">Sens!J3721</f>
        <v>39.0247773769199</v>
      </c>
      <c r="K3742" s="6" t="n">
        <f aca="false">Sens!K3721</f>
        <v>41.7565117933043</v>
      </c>
    </row>
    <row r="3743" customFormat="false" ht="15" hidden="false" customHeight="false" outlineLevel="0" collapsed="false">
      <c r="A3743" s="0" t="s">
        <v>1038</v>
      </c>
      <c r="B3743" s="0" t="s">
        <v>98</v>
      </c>
      <c r="D3743" s="6" t="n">
        <f aca="false">Sens!D3723</f>
        <v>23.455</v>
      </c>
      <c r="E3743" s="6" t="n">
        <f aca="false">Sens!E3723</f>
        <v>21.79</v>
      </c>
      <c r="F3743" s="6" t="n">
        <f aca="false">Sens!F3723</f>
        <v>20.7520981041711</v>
      </c>
      <c r="G3743" s="6" t="n">
        <f aca="false">Sens!G3723</f>
        <v>19.9083593495882</v>
      </c>
      <c r="H3743" s="6" t="n">
        <f aca="false">Sens!H3723</f>
        <v>19.4008256265831</v>
      </c>
      <c r="I3743" s="6" t="n">
        <f aca="false">Sens!I3723</f>
        <v>19.200434522122</v>
      </c>
      <c r="J3743" s="6" t="n">
        <f aca="false">Sens!J3723</f>
        <v>19.2932782348507</v>
      </c>
      <c r="K3743" s="6" t="n">
        <f aca="false">Sens!K3723</f>
        <v>19.6791437995477</v>
      </c>
    </row>
    <row r="3744" customFormat="false" ht="15" hidden="false" customHeight="false" outlineLevel="0" collapsed="false">
      <c r="A3744" s="0" t="s">
        <v>1039</v>
      </c>
      <c r="B3744" s="0" t="s">
        <v>98</v>
      </c>
      <c r="D3744" s="6" t="n">
        <f aca="false">Sens!D3725</f>
        <v>17.315</v>
      </c>
      <c r="E3744" s="6" t="n">
        <f aca="false">Sens!E3725</f>
        <v>17.087</v>
      </c>
      <c r="F3744" s="6" t="n">
        <f aca="false">Sens!F3725</f>
        <v>15.9912273250553</v>
      </c>
      <c r="G3744" s="6" t="n">
        <f aca="false">Sens!G3725</f>
        <v>15.9574562664827</v>
      </c>
      <c r="H3744" s="6" t="n">
        <f aca="false">Sens!H3725</f>
        <v>16.0119687434196</v>
      </c>
      <c r="I3744" s="6" t="n">
        <f aca="false">Sens!I3725</f>
        <v>16.1551810001948</v>
      </c>
      <c r="J3744" s="6" t="n">
        <f aca="false">Sens!J3725</f>
        <v>16.3889793892005</v>
      </c>
      <c r="K3744" s="6" t="n">
        <f aca="false">Sens!K3725</f>
        <v>16.7167589769845</v>
      </c>
    </row>
    <row r="3745" customFormat="false" ht="15" hidden="false" customHeight="false" outlineLevel="0" collapsed="false">
      <c r="A3745" s="0" t="s">
        <v>866</v>
      </c>
      <c r="B3745" s="0" t="s">
        <v>98</v>
      </c>
      <c r="D3745" s="6" t="n">
        <f aca="false">Sens!D3727</f>
        <v>62.941</v>
      </c>
      <c r="E3745" s="6" t="n">
        <f aca="false">Sens!E3727</f>
        <v>63.712</v>
      </c>
      <c r="F3745" s="6" t="n">
        <f aca="false">Sens!F3727</f>
        <v>64.3025149952511</v>
      </c>
      <c r="G3745" s="6" t="n">
        <f aca="false">Sens!G3727</f>
        <v>66.2756719305292</v>
      </c>
      <c r="H3745" s="6" t="n">
        <f aca="false">Sens!H3727</f>
        <v>68.7139736271804</v>
      </c>
      <c r="I3745" s="6" t="n">
        <f aca="false">Sens!I3727</f>
        <v>71.5446393194289</v>
      </c>
      <c r="J3745" s="6" t="n">
        <f aca="false">Sens!J3727</f>
        <v>74.707035000971</v>
      </c>
      <c r="K3745" s="6" t="n">
        <f aca="false">Sens!K3727</f>
        <v>78.1524145698365</v>
      </c>
    </row>
    <row r="3746" customFormat="false" ht="15" hidden="false" customHeight="false" outlineLevel="0" collapsed="false">
      <c r="A3746" s="1" t="s">
        <v>1055</v>
      </c>
      <c r="B3746" s="0" t="s">
        <v>98</v>
      </c>
      <c r="D3746" s="6" t="n">
        <f aca="false">Sens!D3728</f>
        <v>281.724</v>
      </c>
      <c r="E3746" s="6" t="n">
        <f aca="false">Sens!E3728</f>
        <v>331.839</v>
      </c>
      <c r="F3746" s="6" t="n">
        <f aca="false">Sens!F3728</f>
        <v>406.052235334294</v>
      </c>
      <c r="G3746" s="6" t="n">
        <f aca="false">Sens!G3728</f>
        <v>502.95612983085</v>
      </c>
      <c r="H3746" s="6" t="n">
        <f aca="false">Sens!H3728</f>
        <v>607.883791157353</v>
      </c>
      <c r="I3746" s="6" t="n">
        <f aca="false">Sens!I3728</f>
        <v>696.557758000468</v>
      </c>
      <c r="J3746" s="6" t="n">
        <f aca="false">Sens!J3728</f>
        <v>766.751078162372</v>
      </c>
      <c r="K3746" s="6" t="n">
        <f aca="false">Sens!K3728</f>
        <v>821.033802634341</v>
      </c>
    </row>
    <row r="3747" customFormat="false" ht="15" hidden="false" customHeight="false" outlineLevel="0" collapsed="false">
      <c r="A3747" s="1" t="s">
        <v>1056</v>
      </c>
      <c r="B3747" s="0" t="s">
        <v>168</v>
      </c>
      <c r="E3747" s="7" t="n">
        <f aca="false">Sens!E3746/Sens!D3746-1</f>
        <v>0.177886867998467</v>
      </c>
      <c r="F3747" s="7" t="n">
        <f aca="false">Sens!F3746/Sens!E3746-1</f>
        <v>0.223642294408717</v>
      </c>
      <c r="G3747" s="7" t="n">
        <f aca="false">Sens!G3746/Sens!F3746-1</f>
        <v>0.238648838903145</v>
      </c>
      <c r="H3747" s="7" t="n">
        <f aca="false">Sens!H3746/Sens!G3746-1</f>
        <v>0.208621895833721</v>
      </c>
      <c r="I3747" s="7" t="n">
        <f aca="false">Sens!I3746/Sens!H3746-1</f>
        <v>0.145873221383792</v>
      </c>
      <c r="J3747" s="7" t="n">
        <f aca="false">Sens!J3746/Sens!I3746-1</f>
        <v>0.10077171541869</v>
      </c>
      <c r="K3747" s="7" t="n">
        <f aca="false">Sens!K3746/Sens!J3746-1</f>
        <v>0.0707957589079167</v>
      </c>
    </row>
    <row r="3748" customFormat="false" ht="17.15" hidden="false" customHeight="false" outlineLevel="0" collapsed="false">
      <c r="A3748" s="26" t="s">
        <v>1057</v>
      </c>
      <c r="B3748" s="31" t="s">
        <v>98</v>
      </c>
      <c r="C3748" s="31"/>
      <c r="D3748" s="27" t="n">
        <f aca="false">(Sens!D3741+Sens!D3745-Sens!D3746)+(Sens!D3733+Sens!D3734-Sens!D3732)+(Sens!D3736+Sens!D3737-Sens!D3735)+(Sens!D3746-Q!L18)</f>
        <v>0</v>
      </c>
      <c r="E3748" s="27" t="n">
        <f aca="false">(Sens!E3741+Sens!E3745-Sens!E3746)+(Sens!E3733+Sens!E3734-Sens!E3732)+(Sens!E3736+Sens!E3737-Sens!E3735)+(Sens!E3746-Q!M18)</f>
        <v>0</v>
      </c>
      <c r="F3748" s="27" t="n">
        <f aca="false">(Sens!F3741+Sens!F3745-Sens!F3746)+(Sens!F3733+Sens!F3734-Sens!F3732)+(Sens!F3736+Sens!F3737-Sens!F3735)</f>
        <v>0</v>
      </c>
      <c r="G3748" s="27" t="n">
        <f aca="false">(Sens!G3741+Sens!G3745-Sens!G3746)+(Sens!G3733+Sens!G3734-Sens!G3732)+(Sens!G3736+Sens!G3737-Sens!G3735)</f>
        <v>0</v>
      </c>
      <c r="H3748" s="27" t="n">
        <f aca="false">(Sens!H3741+Sens!H3745-Sens!H3746)+(Sens!H3733+Sens!H3734-Sens!H3732)+(Sens!H3736+Sens!H3737-Sens!H3735)</f>
        <v>0</v>
      </c>
      <c r="I3748" s="27" t="n">
        <f aca="false">(Sens!I3741+Sens!I3745-Sens!I3746)+(Sens!I3733+Sens!I3734-Sens!I3732)+(Sens!I3736+Sens!I3737-Sens!I3735)</f>
        <v>0</v>
      </c>
      <c r="J3748" s="27" t="n">
        <f aca="false">(Sens!J3741+Sens!J3745-Sens!J3746)+(Sens!J3733+Sens!J3734-Sens!J3732)+(Sens!J3736+Sens!J3737-Sens!J3735)</f>
        <v>0</v>
      </c>
      <c r="K3748" s="27" t="n">
        <f aca="false">(Sens!K3741+Sens!K3745-Sens!K3746)+(Sens!K3733+Sens!K3734-Sens!K3732)+(Sens!K3736+Sens!K3737-Sens!K3735)</f>
        <v>0</v>
      </c>
    </row>
    <row r="3749" customFormat="false" ht="17.15" hidden="false" customHeight="false" outlineLevel="0" collapsed="false">
      <c r="A3749" s="0" t="s">
        <v>1058</v>
      </c>
      <c r="B3749" s="0" t="s">
        <v>168</v>
      </c>
      <c r="E3749" s="7" t="n">
        <f aca="false">(Q!M21+Sens!E3685+Sens!E3686+Sens!E3687+Sens!E3701-Sens!E3683)/(Q!M5-Sens!E3683)</f>
        <v>0.570957350878296</v>
      </c>
      <c r="F3749" s="7" t="n">
        <f aca="false">Sens!$E$3749+dm_seg</f>
        <v>0.570957350878296</v>
      </c>
      <c r="G3749" s="7" t="n">
        <f aca="false">Sens!$E$3749+dm_seg</f>
        <v>0.570957350878296</v>
      </c>
      <c r="H3749" s="7" t="n">
        <f aca="false">Sens!$E$3749+dm_seg</f>
        <v>0.570957350878296</v>
      </c>
      <c r="I3749" s="7" t="n">
        <f aca="false">Sens!$E$3749+dm_seg</f>
        <v>0.570957350878296</v>
      </c>
      <c r="J3749" s="7" t="n">
        <f aca="false">Sens!$E$3749+dm_seg</f>
        <v>0.570957350878296</v>
      </c>
      <c r="K3749" s="7" t="n">
        <f aca="false">Sens!$E$3749+dm_seg</f>
        <v>0.570957350878296</v>
      </c>
      <c r="L3749" s="12" t="s">
        <v>1059</v>
      </c>
    </row>
    <row r="3750" customFormat="false" ht="17.15" hidden="false" customHeight="false" outlineLevel="0" collapsed="false">
      <c r="A3750" s="0" t="s">
        <v>880</v>
      </c>
      <c r="B3750" s="0" t="s">
        <v>98</v>
      </c>
      <c r="D3750" s="6" t="n">
        <f aca="false">Q!L21</f>
        <v>110.814</v>
      </c>
      <c r="E3750" s="6" t="n">
        <f aca="false">Q!M21</f>
        <v>136.365</v>
      </c>
      <c r="F3750" s="6" t="n">
        <f aca="false">Q!$I$21+(Sens!F3749*(Sens!F3720-Sens!F3683)+Sens!F3683-(Sens!F3685+Sens!F3686+Sens!F3687)-Sens!F3701-Sens!F3784)*(Sens!F3720-Q!$I$5)/Sens!F3720</f>
        <v>165.452443092521</v>
      </c>
      <c r="G3750" s="6" t="n">
        <f aca="false">(Sens!G3749*(Sens!G3720-Sens!G3683)+Sens!G3683-(Sens!G3685+Sens!G3686+Sens!G3687)-Sens!G3701-Sens!G3784)</f>
        <v>191.455735020681</v>
      </c>
      <c r="H3750" s="6" t="n">
        <f aca="false">(Sens!H3749*(Sens!H3720-Sens!H3683)+Sens!H3683-(Sens!H3685+Sens!H3686+Sens!H3687)-Sens!H3701-Sens!H3784)</f>
        <v>227.087856879702</v>
      </c>
      <c r="I3750" s="6" t="n">
        <f aca="false">(Sens!I3749*(Sens!I3720-Sens!I3683)+Sens!I3683-(Sens!I3685+Sens!I3686+Sens!I3687)-Sens!I3701-Sens!I3784)</f>
        <v>253.428362524246</v>
      </c>
      <c r="J3750" s="6" t="n">
        <f aca="false">(Sens!J3749*(Sens!J3720-Sens!J3683)+Sens!J3683-(Sens!J3685+Sens!J3686+Sens!J3687)-Sens!J3701-Sens!J3784)</f>
        <v>275.971256646076</v>
      </c>
      <c r="K3750" s="6" t="n">
        <f aca="false">(Sens!K3749*(Sens!K3720-Sens!K3683)+Sens!K3683-(Sens!K3685+Sens!K3686+Sens!K3687)-Sens!K3701-Sens!K3784)</f>
        <v>296.051489587512</v>
      </c>
      <c r="L3750" s="1" t="s">
        <v>1060</v>
      </c>
    </row>
    <row r="3751" customFormat="false" ht="17.15" hidden="false" customHeight="false" outlineLevel="0" collapsed="false">
      <c r="A3751" s="0" t="s">
        <v>1061</v>
      </c>
      <c r="B3751" s="0" t="s">
        <v>168</v>
      </c>
      <c r="E3751" s="7" t="n">
        <f aca="false">Q!M22/Q!M12</f>
        <v>0.296207935710698</v>
      </c>
      <c r="F3751" s="7" t="n">
        <f aca="false">Sens!$E$3751+dm_seg</f>
        <v>0.296207935710698</v>
      </c>
      <c r="G3751" s="7" t="n">
        <f aca="false">Sens!$E$3751+dm_seg</f>
        <v>0.296207935710698</v>
      </c>
      <c r="H3751" s="7" t="n">
        <f aca="false">Sens!$E$3751+dm_seg</f>
        <v>0.296207935710698</v>
      </c>
      <c r="I3751" s="7" t="n">
        <f aca="false">Sens!$E$3751+dm_seg</f>
        <v>0.296207935710698</v>
      </c>
      <c r="J3751" s="7" t="n">
        <f aca="false">Sens!$E$3751+dm_seg</f>
        <v>0.296207935710698</v>
      </c>
      <c r="K3751" s="7" t="n">
        <f aca="false">Sens!$E$3751+dm_seg</f>
        <v>0.296207935710698</v>
      </c>
      <c r="L3751" s="12" t="s">
        <v>1062</v>
      </c>
    </row>
    <row r="3752" customFormat="false" ht="17.15" hidden="false" customHeight="false" outlineLevel="0" collapsed="false">
      <c r="A3752" s="0" t="s">
        <v>882</v>
      </c>
      <c r="B3752" s="0" t="s">
        <v>98</v>
      </c>
      <c r="D3752" s="6" t="n">
        <f aca="false">Q!L22</f>
        <v>17.714</v>
      </c>
      <c r="E3752" s="6" t="n">
        <f aca="false">Q!M22</f>
        <v>18.872</v>
      </c>
      <c r="F3752" s="6" t="n">
        <f aca="false">Q!$I$22+(Sens!F3727-Q!$I$12)*Sens!F3751</f>
        <v>19.8174315512051</v>
      </c>
      <c r="G3752" s="6" t="n">
        <f aca="false">Sens!G3727*Sens!G3751</f>
        <v>19.6313799703815</v>
      </c>
      <c r="H3752" s="6" t="n">
        <f aca="false">Sens!H3727*Sens!H3751</f>
        <v>20.3536242825865</v>
      </c>
      <c r="I3752" s="6" t="n">
        <f aca="false">Sens!I3727*Sens!I3751</f>
        <v>21.1920899239745</v>
      </c>
      <c r="J3752" s="6" t="n">
        <f aca="false">Sens!J3727*Sens!J3751</f>
        <v>22.1288166207045</v>
      </c>
      <c r="K3752" s="6" t="n">
        <f aca="false">Sens!K3727*Sens!K3751</f>
        <v>23.1493653905379</v>
      </c>
      <c r="L3752" s="12" t="s">
        <v>1063</v>
      </c>
    </row>
    <row r="3753" customFormat="false" ht="15" hidden="false" customHeight="false" outlineLevel="0" collapsed="false">
      <c r="A3753" s="1" t="s">
        <v>1064</v>
      </c>
      <c r="B3753" s="0" t="s">
        <v>98</v>
      </c>
      <c r="D3753" s="6" t="n">
        <f aca="false">Sens!D3750+Sens!D3752</f>
        <v>128.528</v>
      </c>
      <c r="E3753" s="6" t="n">
        <f aca="false">Sens!E3750+Sens!E3752</f>
        <v>155.237</v>
      </c>
      <c r="F3753" s="6" t="n">
        <f aca="false">Sens!F3750+Sens!F3752</f>
        <v>185.269874643726</v>
      </c>
      <c r="G3753" s="6" t="n">
        <f aca="false">Sens!G3750+Sens!G3752</f>
        <v>211.087114991062</v>
      </c>
      <c r="H3753" s="6" t="n">
        <f aca="false">Sens!H3750+Sens!H3752</f>
        <v>247.441481162289</v>
      </c>
      <c r="I3753" s="6" t="n">
        <f aca="false">Sens!I3750+Sens!I3752</f>
        <v>274.62045244822</v>
      </c>
      <c r="J3753" s="6" t="n">
        <f aca="false">Sens!J3750+Sens!J3752</f>
        <v>298.100073266781</v>
      </c>
      <c r="K3753" s="6" t="n">
        <f aca="false">Sens!K3750+Sens!K3752</f>
        <v>319.20085497805</v>
      </c>
    </row>
    <row r="3754" customFormat="false" ht="15" hidden="false" customHeight="false" outlineLevel="0" collapsed="false">
      <c r="A3754" s="26" t="s">
        <v>1065</v>
      </c>
      <c r="B3754" s="31" t="s">
        <v>98</v>
      </c>
      <c r="C3754" s="31"/>
      <c r="D3754" s="27" t="n">
        <f aca="false">Sens!D3753-Q!L23</f>
        <v>0</v>
      </c>
      <c r="E3754" s="27" t="n">
        <f aca="false">Sens!E3753-Q!M23</f>
        <v>0</v>
      </c>
      <c r="F3754" s="31"/>
      <c r="G3754" s="31"/>
      <c r="H3754" s="31"/>
      <c r="I3754" s="31"/>
      <c r="J3754" s="31"/>
      <c r="K3754" s="31"/>
    </row>
    <row r="3755" customFormat="false" ht="15" hidden="false" customHeight="false" outlineLevel="0" collapsed="false">
      <c r="A3755" s="1" t="s">
        <v>1066</v>
      </c>
      <c r="B3755" s="0" t="s">
        <v>168</v>
      </c>
      <c r="D3755" s="7" t="n">
        <f aca="false">Sens!D3753/Sens!D3746</f>
        <v>0.456219562408598</v>
      </c>
      <c r="E3755" s="7" t="n">
        <f aca="false">Sens!E3753/Sens!E3746</f>
        <v>0.467808184089272</v>
      </c>
      <c r="F3755" s="7" t="n">
        <f aca="false">Sens!F3753/Sens!F3746</f>
        <v>0.456271037373301</v>
      </c>
      <c r="G3755" s="7" t="n">
        <f aca="false">Sens!G3753/Sens!G3746</f>
        <v>0.419692896599259</v>
      </c>
      <c r="H3755" s="7" t="n">
        <f aca="false">Sens!H3753/Sens!H3746</f>
        <v>0.407053921755643</v>
      </c>
      <c r="I3755" s="7" t="n">
        <f aca="false">Sens!I3753/Sens!I3746</f>
        <v>0.394253669985017</v>
      </c>
      <c r="J3755" s="7" t="n">
        <f aca="false">Sens!J3753/Sens!J3746</f>
        <v>0.388783376713626</v>
      </c>
      <c r="K3755" s="7" t="n">
        <f aca="false">Sens!K3753/Sens!K3746</f>
        <v>0.388779187840833</v>
      </c>
    </row>
    <row r="3756" customFormat="false" ht="17.15" hidden="false" customHeight="false" outlineLevel="0" collapsed="false">
      <c r="A3756" s="1" t="s">
        <v>1067</v>
      </c>
      <c r="B3756" s="0" t="s">
        <v>98</v>
      </c>
      <c r="F3756" s="6" t="n">
        <f aca="false">Sens!F3771</f>
        <v>10.8157429114053</v>
      </c>
      <c r="G3756" s="6" t="n">
        <f aca="false">Sens!G3771</f>
        <v>28.6755595154872</v>
      </c>
      <c r="H3756" s="6" t="n">
        <f aca="false">Sens!H3771</f>
        <v>48.1534901744381</v>
      </c>
      <c r="I3756" s="6" t="n">
        <f aca="false">Sens!I3771</f>
        <v>65.8549462014139</v>
      </c>
      <c r="J3756" s="6" t="n">
        <f aca="false">Sens!J3771</f>
        <v>78.1106985454331</v>
      </c>
      <c r="K3756" s="6" t="n">
        <f aca="false">Sens!K3771</f>
        <v>84.2812334489175</v>
      </c>
      <c r="L3756" s="1" t="s">
        <v>1068</v>
      </c>
    </row>
    <row r="3757" customFormat="false" ht="17.15" hidden="false" customHeight="false" outlineLevel="0" collapsed="false">
      <c r="A3757" s="1" t="s">
        <v>1069</v>
      </c>
      <c r="B3757" s="0" t="s">
        <v>98</v>
      </c>
      <c r="D3757" s="6" t="n">
        <f aca="false">Sens!D3753</f>
        <v>128.528</v>
      </c>
      <c r="E3757" s="6" t="n">
        <f aca="false">Sens!E3753</f>
        <v>155.237</v>
      </c>
      <c r="F3757" s="6" t="n">
        <f aca="false">Sens!F3753+Sens!F3756</f>
        <v>196.085617555132</v>
      </c>
      <c r="G3757" s="6" t="n">
        <f aca="false">Sens!G3753+Sens!G3756</f>
        <v>239.76267450655</v>
      </c>
      <c r="H3757" s="6" t="n">
        <f aca="false">Sens!H3753+Sens!H3756</f>
        <v>295.594971336727</v>
      </c>
      <c r="I3757" s="6" t="n">
        <f aca="false">Sens!I3753+Sens!I3756</f>
        <v>340.475398649634</v>
      </c>
      <c r="J3757" s="6" t="n">
        <f aca="false">Sens!J3753+Sens!J3756</f>
        <v>376.210771812214</v>
      </c>
      <c r="K3757" s="6" t="n">
        <f aca="false">Sens!K3753+Sens!K3756</f>
        <v>403.482088426967</v>
      </c>
    </row>
    <row r="3758" customFormat="false" ht="17.15" hidden="false" customHeight="false" outlineLevel="0" collapsed="false">
      <c r="A3758" s="1" t="s">
        <v>1070</v>
      </c>
      <c r="B3758" s="0" t="s">
        <v>98</v>
      </c>
      <c r="E3758" s="6" t="n">
        <f aca="false">Sens!E3701</f>
        <v>16.3054059770833</v>
      </c>
      <c r="F3758" s="6" t="n">
        <f aca="false">Sens!F3701</f>
        <v>37.2133107952886</v>
      </c>
      <c r="G3758" s="6" t="n">
        <f aca="false">Sens!G3701</f>
        <v>68.7985305502921</v>
      </c>
      <c r="H3758" s="6" t="n">
        <f aca="false">Sens!H3701</f>
        <v>102.837250561268</v>
      </c>
      <c r="I3758" s="6" t="n">
        <f aca="false">Sens!I3701</f>
        <v>132.849603006019</v>
      </c>
      <c r="J3758" s="6" t="n">
        <f aca="false">Sens!J3701</f>
        <v>153.81036285865</v>
      </c>
      <c r="K3758" s="6" t="n">
        <f aca="false">Sens!K3701</f>
        <v>166.333314624954</v>
      </c>
    </row>
    <row r="3759" customFormat="false" ht="17.15" hidden="false" customHeight="false" outlineLevel="0" collapsed="false">
      <c r="A3759" s="1" t="s">
        <v>1071</v>
      </c>
      <c r="B3759" s="0" t="s">
        <v>98</v>
      </c>
      <c r="E3759" s="6" t="n">
        <f aca="false">Sens!E3783</f>
        <v>22.2285940229167</v>
      </c>
      <c r="F3759" s="6" t="n">
        <f aca="false">Sens!F3783</f>
        <v>23.5588450133838</v>
      </c>
      <c r="G3759" s="6" t="n">
        <f aca="false">Sens!G3783</f>
        <v>25.3409009423</v>
      </c>
      <c r="H3759" s="6" t="n">
        <f aca="false">Sens!H3783</f>
        <v>27.538051323806</v>
      </c>
      <c r="I3759" s="6" t="n">
        <f aca="false">Sens!I3783</f>
        <v>30.0741765365704</v>
      </c>
      <c r="J3759" s="6" t="n">
        <f aca="false">Sens!J3783</f>
        <v>32.8576182675578</v>
      </c>
      <c r="K3759" s="6" t="n">
        <f aca="false">Sens!K3783</f>
        <v>35.8044664452989</v>
      </c>
    </row>
    <row r="3760" customFormat="false" ht="17.15" hidden="false" customHeight="false" outlineLevel="0" collapsed="false">
      <c r="A3760" s="1" t="s">
        <v>1072</v>
      </c>
      <c r="B3760" s="0" t="s">
        <v>98</v>
      </c>
      <c r="D3760" s="6" t="n">
        <f aca="false">Q!L27</f>
        <v>-4.901</v>
      </c>
      <c r="E3760" s="6" t="n">
        <f aca="false">Q!M27</f>
        <v>10.697</v>
      </c>
      <c r="F3760" s="6" t="n">
        <f aca="false">Q!$I$27+oie_f*(q_per_yr-1)/q_per_yr</f>
        <v>-0.862</v>
      </c>
      <c r="G3760" s="6" t="n">
        <f aca="false">oie_f</f>
        <v>-1.2</v>
      </c>
      <c r="H3760" s="6" t="n">
        <f aca="false">oie_f</f>
        <v>-1.2</v>
      </c>
      <c r="I3760" s="6" t="n">
        <f aca="false">oie_f</f>
        <v>-1.2</v>
      </c>
      <c r="J3760" s="6" t="n">
        <f aca="false">oie_f</f>
        <v>-1.2</v>
      </c>
      <c r="K3760" s="6" t="n">
        <f aca="false">oie_f</f>
        <v>-1.2</v>
      </c>
      <c r="L3760" s="12" t="s">
        <v>1073</v>
      </c>
    </row>
    <row r="3761" customFormat="false" ht="15" hidden="false" customHeight="false" outlineLevel="0" collapsed="false">
      <c r="A3761" s="1" t="s">
        <v>1074</v>
      </c>
      <c r="B3761" s="0" t="s">
        <v>98</v>
      </c>
      <c r="D3761" s="6" t="n">
        <f aca="false">Sens!D3753+Sens!D3760</f>
        <v>123.627</v>
      </c>
      <c r="E3761" s="6" t="n">
        <f aca="false">Sens!E3753+Sens!E3760</f>
        <v>165.934</v>
      </c>
      <c r="F3761" s="6" t="n">
        <f aca="false">Sens!F3753+Sens!F3760</f>
        <v>184.407874643726</v>
      </c>
      <c r="G3761" s="6" t="n">
        <f aca="false">Sens!G3753+Sens!G3760</f>
        <v>209.887114991062</v>
      </c>
      <c r="H3761" s="6" t="n">
        <f aca="false">Sens!H3753+Sens!H3760</f>
        <v>246.241481162289</v>
      </c>
      <c r="I3761" s="6" t="n">
        <f aca="false">Sens!I3753+Sens!I3760</f>
        <v>273.42045244822</v>
      </c>
      <c r="J3761" s="6" t="n">
        <f aca="false">Sens!J3753+Sens!J3760</f>
        <v>296.900073266781</v>
      </c>
      <c r="K3761" s="6" t="n">
        <f aca="false">Sens!K3753+Sens!K3760</f>
        <v>318.00085497805</v>
      </c>
    </row>
    <row r="3762" customFormat="false" ht="15" hidden="false" customHeight="false" outlineLevel="0" collapsed="false">
      <c r="A3762" s="1" t="s">
        <v>1075</v>
      </c>
      <c r="B3762" s="0" t="s">
        <v>98</v>
      </c>
      <c r="D3762" s="6" t="n">
        <f aca="false">Q!L29</f>
        <v>21.795</v>
      </c>
      <c r="E3762" s="6" t="n">
        <f aca="false">Q!M29</f>
        <v>32.185</v>
      </c>
      <c r="F3762" s="6" t="n">
        <f aca="false">Q!$I$29+(Sens!F3761-Q!$I$28)*tax_f</f>
        <v>37.0149749287453</v>
      </c>
      <c r="G3762" s="6" t="n">
        <f aca="false">Sens!G3761*tax_f</f>
        <v>41.9774229982125</v>
      </c>
      <c r="H3762" s="6" t="n">
        <f aca="false">Sens!H3761*tax_f</f>
        <v>49.2482962324578</v>
      </c>
      <c r="I3762" s="6" t="n">
        <f aca="false">Sens!I3761*tax_f</f>
        <v>54.684090489644</v>
      </c>
      <c r="J3762" s="6" t="n">
        <f aca="false">Sens!J3761*tax_f</f>
        <v>59.3800146533561</v>
      </c>
      <c r="K3762" s="6" t="n">
        <f aca="false">Sens!K3761*tax_f</f>
        <v>63.6001709956099</v>
      </c>
    </row>
    <row r="3763" customFormat="false" ht="15" hidden="false" customHeight="false" outlineLevel="0" collapsed="false">
      <c r="A3763" s="1" t="s">
        <v>1076</v>
      </c>
      <c r="B3763" s="0" t="s">
        <v>98</v>
      </c>
      <c r="D3763" s="6" t="n">
        <f aca="false">Sens!D3761-Sens!D3762</f>
        <v>101.832</v>
      </c>
      <c r="E3763" s="6" t="n">
        <f aca="false">Sens!E3761-Sens!E3762</f>
        <v>133.749</v>
      </c>
      <c r="F3763" s="6" t="n">
        <f aca="false">Sens!F3761-Sens!F3762</f>
        <v>147.392899714981</v>
      </c>
      <c r="G3763" s="6" t="n">
        <f aca="false">Sens!G3761-Sens!G3762</f>
        <v>167.90969199285</v>
      </c>
      <c r="H3763" s="6" t="n">
        <f aca="false">Sens!H3761-Sens!H3762</f>
        <v>196.993184929831</v>
      </c>
      <c r="I3763" s="6" t="n">
        <f aca="false">Sens!I3761-Sens!I3762</f>
        <v>218.736361958576</v>
      </c>
      <c r="J3763" s="6" t="n">
        <f aca="false">Sens!J3761-Sens!J3762</f>
        <v>237.520058613424</v>
      </c>
      <c r="K3763" s="6" t="n">
        <f aca="false">Sens!K3761-Sens!K3762</f>
        <v>254.40068398244</v>
      </c>
    </row>
    <row r="3764" customFormat="false" ht="17.15" hidden="false" customHeight="false" outlineLevel="0" collapsed="false">
      <c r="A3764" s="1" t="s">
        <v>1077</v>
      </c>
      <c r="B3764" s="1" t="s">
        <v>81</v>
      </c>
      <c r="D3764" s="15" t="n">
        <f aca="false">Q!L31</f>
        <v>7.465</v>
      </c>
      <c r="E3764" s="15" t="n">
        <f aca="false">Q!M31</f>
        <v>7.453</v>
      </c>
      <c r="F3764" s="15" t="n">
        <f aca="false">Sens!F3808</f>
        <v>7.4735</v>
      </c>
      <c r="G3764" s="15" t="n">
        <f aca="false">Sens!G3808</f>
        <v>7.5185</v>
      </c>
      <c r="H3764" s="15" t="n">
        <f aca="false">Sens!H3808</f>
        <v>7.5461999390288</v>
      </c>
      <c r="I3764" s="15" t="n">
        <f aca="false">Sens!I3808</f>
        <v>7.55788130308427</v>
      </c>
      <c r="J3764" s="15" t="n">
        <f aca="false">Sens!J3808</f>
        <v>7.57203071424674</v>
      </c>
      <c r="K3764" s="15" t="n">
        <f aca="false">Sens!K3808</f>
        <v>7.58846535421199</v>
      </c>
    </row>
    <row r="3765" customFormat="false" ht="17.15" hidden="false" customHeight="false" outlineLevel="0" collapsed="false">
      <c r="A3765" s="0" t="s">
        <v>1078</v>
      </c>
      <c r="B3765" s="0" t="s">
        <v>75</v>
      </c>
      <c r="D3765" s="8" t="n">
        <f aca="false">Sens!D3763/Sens!D3764</f>
        <v>13.641259209645</v>
      </c>
      <c r="E3765" s="8" t="n">
        <f aca="false">Sens!E3763/Sens!E3764</f>
        <v>17.9456594659869</v>
      </c>
      <c r="F3765" s="8" t="n">
        <f aca="false">Sens!F3763/Sens!F3764</f>
        <v>19.722071280522</v>
      </c>
      <c r="G3765" s="8" t="n">
        <f aca="false">Sens!G3763/Sens!G3764</f>
        <v>22.3328711834608</v>
      </c>
      <c r="H3765" s="8" t="n">
        <f aca="false">Sens!H3763/Sens!H3764</f>
        <v>26.1049517003898</v>
      </c>
      <c r="I3765" s="8" t="n">
        <f aca="false">Sens!I3763/Sens!I3764</f>
        <v>28.9414920910855</v>
      </c>
      <c r="J3765" s="8" t="n">
        <f aca="false">Sens!J3763/Sens!J3764</f>
        <v>31.3680791292264</v>
      </c>
      <c r="K3765" s="8" t="n">
        <f aca="false">Sens!K3763/Sens!K3764</f>
        <v>33.5246551321782</v>
      </c>
      <c r="L3765" s="1" t="s">
        <v>1079</v>
      </c>
    </row>
    <row r="3766" customFormat="false" ht="17.15" hidden="false" customHeight="false" outlineLevel="0" collapsed="false">
      <c r="A3766" s="1" t="s">
        <v>1080</v>
      </c>
      <c r="B3766" s="0" t="s">
        <v>98</v>
      </c>
      <c r="D3766" s="6" t="n">
        <f aca="false">Sens!D3763</f>
        <v>101.832</v>
      </c>
      <c r="E3766" s="6" t="n">
        <f aca="false">Sens!E3763</f>
        <v>133.749</v>
      </c>
      <c r="F3766" s="6" t="n">
        <f aca="false">Sens!F3763+Sens!F3756*(1-tax_f)</f>
        <v>156.045494044105</v>
      </c>
      <c r="G3766" s="6" t="n">
        <f aca="false">Sens!G3763+Sens!G3756*(1-tax_f)</f>
        <v>190.85013960524</v>
      </c>
      <c r="H3766" s="6" t="n">
        <f aca="false">Sens!H3763+Sens!H3756*(1-tax_f)</f>
        <v>235.515977069381</v>
      </c>
      <c r="I3766" s="6" t="n">
        <f aca="false">Sens!I3763+Sens!I3756*(1-tax_f)</f>
        <v>271.420318919707</v>
      </c>
      <c r="J3766" s="6" t="n">
        <f aca="false">Sens!J3763+Sens!J3756*(1-tax_f)</f>
        <v>300.008617449771</v>
      </c>
      <c r="K3766" s="6" t="n">
        <f aca="false">Sens!K3763+Sens!K3756*(1-tax_f)</f>
        <v>321.825670741574</v>
      </c>
    </row>
    <row r="3767" customFormat="false" ht="17.15" hidden="false" customHeight="false" outlineLevel="0" collapsed="false">
      <c r="A3767" s="0" t="s">
        <v>1081</v>
      </c>
      <c r="B3767" s="0" t="s">
        <v>75</v>
      </c>
      <c r="D3767" s="8" t="n">
        <f aca="false">Sens!D3766/Sens!D3764</f>
        <v>13.641259209645</v>
      </c>
      <c r="E3767" s="8" t="n">
        <f aca="false">Sens!E3766/Sens!E3764</f>
        <v>17.9456594659869</v>
      </c>
      <c r="F3767" s="8" t="n">
        <f aca="false">Sens!F3766/Sens!F3764</f>
        <v>20.8798413118492</v>
      </c>
      <c r="G3767" s="8" t="n">
        <f aca="false">Sens!G3766/Sens!G3764</f>
        <v>25.3840712383108</v>
      </c>
      <c r="H3767" s="8" t="n">
        <f aca="false">Sens!H3766/Sens!H3764</f>
        <v>31.2098776831101</v>
      </c>
      <c r="I3767" s="8" t="n">
        <f aca="false">Sens!I3766/Sens!I3764</f>
        <v>35.9122230206161</v>
      </c>
      <c r="J3767" s="8" t="n">
        <f aca="false">Sens!J3766/Sens!J3764</f>
        <v>39.6206287020609</v>
      </c>
      <c r="K3767" s="8" t="n">
        <f aca="false">Sens!K3766/Sens!K3764</f>
        <v>42.4098491222529</v>
      </c>
      <c r="L3767" s="1" t="s">
        <v>1082</v>
      </c>
    </row>
    <row r="3768" customFormat="false" ht="17.15" hidden="false" customHeight="false" outlineLevel="0" collapsed="false">
      <c r="A3768" s="0" t="s">
        <v>1083</v>
      </c>
      <c r="B3768" s="0" t="s">
        <v>168</v>
      </c>
      <c r="E3768" s="7" t="n">
        <f aca="false">Sens!E3767/Sens!D3767-1</f>
        <v>0.315542736208578</v>
      </c>
      <c r="F3768" s="7" t="n">
        <f aca="false">Sens!F3767/Sens!E3767-1</f>
        <v>0.16350370692276</v>
      </c>
      <c r="G3768" s="7" t="n">
        <f aca="false">Sens!G3767/Sens!F3767-1</f>
        <v>0.215721463548932</v>
      </c>
      <c r="H3768" s="7" t="n">
        <f aca="false">Sens!H3767/Sens!G3767-1</f>
        <v>0.2295063857214</v>
      </c>
      <c r="I3768" s="7" t="n">
        <f aca="false">Sens!I3767/Sens!H3767-1</f>
        <v>0.150668496213007</v>
      </c>
      <c r="J3768" s="7" t="n">
        <f aca="false">Sens!J3767/Sens!I3767-1</f>
        <v>0.103263050001551</v>
      </c>
      <c r="K3768" s="7" t="n">
        <f aca="false">Sens!K3767/Sens!J3767-1</f>
        <v>0.0703981867921979</v>
      </c>
    </row>
    <row r="3769" customFormat="false" ht="17.15" hidden="false" customHeight="false" outlineLevel="0" collapsed="false">
      <c r="A3769" s="0" t="s">
        <v>1003</v>
      </c>
      <c r="B3769" s="0" t="s">
        <v>98</v>
      </c>
      <c r="E3769" s="6" t="n">
        <f aca="false">Sens!E3710</f>
        <v>5.25</v>
      </c>
      <c r="F3769" s="6" t="n">
        <f aca="false">Sens!F3710</f>
        <v>13.5</v>
      </c>
      <c r="G3769" s="6" t="n">
        <f aca="false">Sens!G3710</f>
        <v>22.5</v>
      </c>
      <c r="H3769" s="6" t="n">
        <f aca="false">Sens!H3710</f>
        <v>31.5</v>
      </c>
      <c r="I3769" s="6" t="n">
        <f aca="false">Sens!I3710</f>
        <v>38.25</v>
      </c>
      <c r="J3769" s="6" t="n">
        <f aca="false">Sens!J3710</f>
        <v>42.75</v>
      </c>
      <c r="K3769" s="6" t="n">
        <f aca="false">Sens!K3710</f>
        <v>47.25</v>
      </c>
    </row>
    <row r="3770" customFormat="false" ht="17.15" hidden="false" customHeight="false" outlineLevel="0" collapsed="false">
      <c r="A3770" s="1" t="s">
        <v>1004</v>
      </c>
      <c r="B3770" s="0" t="s">
        <v>98</v>
      </c>
      <c r="F3770" s="6" t="n">
        <f aca="false">MAX(0,((Sens!E3670+Sens!F3670)/2-(shadow_base*(Sens!$D$3670+Sens!$E$3670)/2+(1-shadow_base)*Sens!$E$3670))*Sens!F3679/1000-(Sens!F3769-Sens!$E$3769)*Sens!F3749)</f>
        <v>10.8157429114053</v>
      </c>
      <c r="G3770" s="6" t="n">
        <f aca="false">MAX(0,((Sens!F3670+Sens!G3670)/2-(shadow_base*(Sens!$D$3670+Sens!$E$3670)/2+(1-shadow_base)*Sens!$E$3670))*Sens!G3679/1000-(Sens!G3769-Sens!$E$3769)*Sens!G3749)</f>
        <v>28.6755595154872</v>
      </c>
      <c r="H3770" s="6" t="n">
        <f aca="false">MAX(0,((Sens!G3670+Sens!H3670)/2-(shadow_base*(Sens!$D$3670+Sens!$E$3670)/2+(1-shadow_base)*Sens!$E$3670))*Sens!H3679/1000-(Sens!H3769-Sens!$E$3769)*Sens!H3749)</f>
        <v>48.1534901744381</v>
      </c>
      <c r="I3770" s="6" t="n">
        <f aca="false">MAX(0,((Sens!H3670+Sens!I3670)/2-(shadow_base*(Sens!$D$3670+Sens!$E$3670)/2+(1-shadow_base)*Sens!$E$3670))*Sens!I3679/1000-(Sens!I3769-Sens!$E$3769)*Sens!I3749)</f>
        <v>65.8549462014139</v>
      </c>
      <c r="J3770" s="6" t="n">
        <f aca="false">MAX(0,((Sens!I3670+Sens!J3670)/2-(shadow_base*(Sens!$D$3670+Sens!$E$3670)/2+(1-shadow_base)*Sens!$E$3670))*Sens!J3679/1000-(Sens!J3769-Sens!$E$3769)*Sens!J3749)</f>
        <v>78.1106985454331</v>
      </c>
      <c r="K3770" s="6" t="n">
        <f aca="false">MAX(0,((Sens!J3670+Sens!K3670)/2-(shadow_base*(Sens!$D$3670+Sens!$E$3670)/2+(1-shadow_base)*Sens!$E$3670))*Sens!K3679/1000-(Sens!K3769-Sens!$E$3769)*Sens!K3749)</f>
        <v>84.2812334489175</v>
      </c>
      <c r="L3770" s="1" t="s">
        <v>1005</v>
      </c>
    </row>
    <row r="3771" customFormat="false" ht="17.15" hidden="false" customHeight="false" outlineLevel="0" collapsed="false">
      <c r="A3771" s="1" t="s">
        <v>1006</v>
      </c>
      <c r="B3771" s="0" t="s">
        <v>98</v>
      </c>
      <c r="F3771" s="6" t="n">
        <f aca="false">IF(internal_ai_reading=2,1,0)*Sens!F3770</f>
        <v>10.8157429114053</v>
      </c>
      <c r="G3771" s="6" t="n">
        <f aca="false">IF(internal_ai_reading=2,1,0)*Sens!G3770</f>
        <v>28.6755595154872</v>
      </c>
      <c r="H3771" s="6" t="n">
        <f aca="false">IF(internal_ai_reading=2,1,0)*Sens!H3770</f>
        <v>48.1534901744381</v>
      </c>
      <c r="I3771" s="6" t="n">
        <f aca="false">IF(internal_ai_reading=2,1,0)*Sens!I3770</f>
        <v>65.8549462014139</v>
      </c>
      <c r="J3771" s="6" t="n">
        <f aca="false">IF(internal_ai_reading=2,1,0)*Sens!J3770</f>
        <v>78.1106985454331</v>
      </c>
      <c r="K3771" s="6" t="n">
        <f aca="false">IF(internal_ai_reading=2,1,0)*Sens!K3770</f>
        <v>84.2812334489175</v>
      </c>
    </row>
    <row r="3772" customFormat="false" ht="17.15" hidden="false" customHeight="false" outlineLevel="0" collapsed="false">
      <c r="A3772" s="0" t="s">
        <v>1007</v>
      </c>
      <c r="B3772" s="0" t="s">
        <v>98</v>
      </c>
      <c r="F3772" s="6" t="n">
        <f aca="false">Sens!F3689+Sens!F3769*Sens!F3749+Sens!F3771-Sens!F3690-Sens!F3701</f>
        <v>20.4153113207165</v>
      </c>
      <c r="G3772" s="6" t="n">
        <f aca="false">Sens!G3689+Sens!G3769*Sens!G3749+Sens!G3771-Sens!G3690-Sens!G3701</f>
        <v>49.6651304112066</v>
      </c>
      <c r="H3772" s="6" t="n">
        <f aca="false">Sens!H3689+Sens!H3769*Sens!H3749+Sens!H3771-Sens!H3690-Sens!H3701</f>
        <v>85.6211067977951</v>
      </c>
      <c r="I3772" s="6" t="n">
        <f aca="false">Sens!I3689+Sens!I3769*Sens!I3749+Sens!I3771-Sens!I3690-Sens!I3701</f>
        <v>110.993146399752</v>
      </c>
      <c r="J3772" s="6" t="n">
        <f aca="false">Sens!J3689+Sens!J3769*Sens!J3749+Sens!J3771-Sens!J3690-Sens!J3701</f>
        <v>128.352896588403</v>
      </c>
      <c r="K3772" s="6" t="n">
        <f aca="false">Sens!K3689+Sens!K3769*Sens!K3749+Sens!K3771-Sens!K3690-Sens!K3701</f>
        <v>139.168444475918</v>
      </c>
    </row>
    <row r="3773" customFormat="false" ht="17.15" hidden="false" customHeight="false" outlineLevel="0" collapsed="false">
      <c r="A3773" s="0" t="s">
        <v>1008</v>
      </c>
      <c r="B3773" s="0" t="s">
        <v>98</v>
      </c>
      <c r="E3773" s="6" t="n">
        <f aca="false">Sens!E3669*(cxit_open+self_build*tk_cxfac)/1000*ai_net_open</f>
        <v>126.6980382</v>
      </c>
      <c r="F3773" s="6" t="n">
        <f aca="false">Sens!E3773+Sens!F3698-Sens!F3701</f>
        <v>294.382915210455</v>
      </c>
      <c r="G3773" s="6" t="n">
        <f aca="false">Sens!F3773+Sens!G3698-Sens!G3701</f>
        <v>455.917755439021</v>
      </c>
      <c r="H3773" s="6" t="n">
        <f aca="false">Sens!G3773+Sens!H3698-Sens!H3701</f>
        <v>589.247709755167</v>
      </c>
      <c r="I3773" s="6" t="n">
        <f aca="false">Sens!H3773+Sens!I3698-Sens!I3701</f>
        <v>652.434576937081</v>
      </c>
      <c r="J3773" s="6" t="n">
        <f aca="false">Sens!I3773+Sens!J3698-Sens!J3701</f>
        <v>643.584650325439</v>
      </c>
      <c r="K3773" s="6" t="n">
        <f aca="false">Sens!J3773+Sens!K3698-Sens!K3701</f>
        <v>601.060261086901</v>
      </c>
      <c r="L3773" s="1" t="s">
        <v>1009</v>
      </c>
    </row>
    <row r="3774" customFormat="false" ht="17.15" hidden="false" customHeight="false" outlineLevel="0" collapsed="false">
      <c r="A3774" s="0" t="s">
        <v>1010</v>
      </c>
      <c r="B3774" s="0" t="s">
        <v>168</v>
      </c>
      <c r="F3774" s="7" t="n">
        <f aca="false">Sens!F3772*(1-tax_f)/((Sens!E3773+Sens!F3773)/2)</f>
        <v>0.0775729651236594</v>
      </c>
      <c r="G3774" s="7" t="n">
        <f aca="false">Sens!G3772*(1-tax_f)/((Sens!F3773+Sens!G3773)/2)</f>
        <v>0.105909819578256</v>
      </c>
      <c r="H3774" s="7" t="n">
        <f aca="false">Sens!H3772*(1-tax_f)/((Sens!G3773+Sens!H3773)/2)</f>
        <v>0.131073763378719</v>
      </c>
      <c r="I3774" s="7" t="n">
        <f aca="false">Sens!I3772*(1-tax_f)/((Sens!H3773+Sens!I3773)/2)</f>
        <v>0.143022926349934</v>
      </c>
      <c r="J3774" s="7" t="n">
        <f aca="false">Sens!J3772*(1-tax_f)/((Sens!I3773+Sens!J3773)/2)</f>
        <v>0.158458015299063</v>
      </c>
      <c r="K3774" s="7" t="n">
        <f aca="false">Sens!K3772*(1-tax_f)/((Sens!J3773+Sens!K3773)/2)</f>
        <v>0.178902037938514</v>
      </c>
    </row>
    <row r="3775" customFormat="false" ht="17.15" hidden="false" customHeight="false" outlineLevel="0" collapsed="false">
      <c r="A3775" s="1" t="s">
        <v>1011</v>
      </c>
      <c r="B3775" s="0" t="s">
        <v>168</v>
      </c>
      <c r="F3775" s="7" t="n">
        <f aca="false">(Sens!F3772-Sens!F3771)*(1-tax_f)/((Sens!E3773+Sens!F3773)/2)</f>
        <v>0.0364759064272523</v>
      </c>
      <c r="G3775" s="7" t="n">
        <f aca="false">(Sens!G3772-Sens!G3771)*(1-tax_f)/((Sens!F3773+Sens!G3773)/2)</f>
        <v>0.0447598072970943</v>
      </c>
      <c r="H3775" s="7" t="n">
        <f aca="false">(Sens!H3772-Sens!H3771)*(1-tax_f)/((Sens!G3773+Sens!H3773)/2)</f>
        <v>0.0573576037419425</v>
      </c>
      <c r="I3775" s="7" t="n">
        <f aca="false">(Sens!I3772-Sens!I3771)*(1-tax_f)/((Sens!H3773+Sens!I3773)/2)</f>
        <v>0.0581639289626435</v>
      </c>
      <c r="J3775" s="7" t="n">
        <f aca="false">(Sens!J3772-Sens!J3771)*(1-tax_f)/((Sens!I3773+Sens!J3773)/2)</f>
        <v>0.0620264847756525</v>
      </c>
      <c r="K3775" s="7" t="n">
        <f aca="false">(Sens!K3772-Sens!K3771)*(1-tax_f)/((Sens!J3773+Sens!K3773)/2)</f>
        <v>0.070557905180803</v>
      </c>
    </row>
    <row r="3776" customFormat="false" ht="17.15" hidden="false" customHeight="false" outlineLevel="0" collapsed="false">
      <c r="A3776" s="1" t="s">
        <v>1012</v>
      </c>
      <c r="B3776" s="0" t="s">
        <v>168</v>
      </c>
      <c r="F3776" s="7" t="n">
        <f aca="false">(Sens!F3772-Sens!F3771+Sens!F3770)*(1-tax_f)/((Sens!E3773+Sens!F3773)/2)</f>
        <v>0.0775729651236594</v>
      </c>
      <c r="G3776" s="7" t="n">
        <f aca="false">(Sens!G3772-Sens!G3771+Sens!G3770)*(1-tax_f)/((Sens!F3773+Sens!G3773)/2)</f>
        <v>0.105909819578256</v>
      </c>
      <c r="H3776" s="7" t="n">
        <f aca="false">(Sens!H3772-Sens!H3771+Sens!H3770)*(1-tax_f)/((Sens!G3773+Sens!H3773)/2)</f>
        <v>0.131073763378719</v>
      </c>
      <c r="I3776" s="7" t="n">
        <f aca="false">(Sens!I3772-Sens!I3771+Sens!I3770)*(1-tax_f)/((Sens!H3773+Sens!I3773)/2)</f>
        <v>0.143022926349934</v>
      </c>
      <c r="J3776" s="7" t="n">
        <f aca="false">(Sens!J3772-Sens!J3771+Sens!J3770)*(1-tax_f)/((Sens!I3773+Sens!J3773)/2)</f>
        <v>0.158458015299063</v>
      </c>
      <c r="K3776" s="7" t="n">
        <f aca="false">(Sens!K3772-Sens!K3771+Sens!K3770)*(1-tax_f)/((Sens!J3773+Sens!K3773)/2)</f>
        <v>0.178902037938514</v>
      </c>
    </row>
    <row r="3777" customFormat="false" ht="17.15" hidden="false" customHeight="false" outlineLevel="0" collapsed="false">
      <c r="A3777" s="1" t="s">
        <v>1013</v>
      </c>
      <c r="B3777" s="0" t="s">
        <v>168</v>
      </c>
      <c r="F3777" s="7" t="n">
        <f aca="false">Sens!F3702*(1-tax_f)/(Sens!F3688*(Sens!E3773+Sens!F3773)/2)</f>
        <v>0.151857520559919</v>
      </c>
      <c r="G3777" s="7" t="n">
        <f aca="false">Sens!G3702*(1-tax_f)/(Sens!G3688*(Sens!F3773+Sens!G3773)/2)</f>
        <v>0.172179395935319</v>
      </c>
      <c r="H3777" s="7" t="n">
        <f aca="false">Sens!H3702*(1-tax_f)/(Sens!H3688*(Sens!G3773+Sens!H3773)/2)</f>
        <v>0.202137948635076</v>
      </c>
      <c r="I3777" s="7" t="n">
        <f aca="false">Sens!I3702*(1-tax_f)/(Sens!I3688*(Sens!H3773+Sens!I3773)/2)</f>
        <v>0.214918988774357</v>
      </c>
      <c r="J3777" s="7" t="n">
        <f aca="false">Sens!J3702*(1-tax_f)/(Sens!J3688*(Sens!I3773+Sens!J3773)/2)</f>
        <v>0.235364398022488</v>
      </c>
      <c r="K3777" s="7" t="n">
        <f aca="false">Sens!K3702*(1-tax_f)/(Sens!K3688*(Sens!J3773+Sens!K3773)/2)</f>
        <v>0.264290820109188</v>
      </c>
    </row>
    <row r="3778" customFormat="false" ht="17.15" hidden="false" customHeight="false" outlineLevel="0" collapsed="false">
      <c r="A3778" s="0" t="s">
        <v>1014</v>
      </c>
      <c r="B3778" s="0" t="s">
        <v>253</v>
      </c>
      <c r="F3778" s="7" t="n">
        <f aca="false">Sens!F3774-wacc</f>
        <v>-0.0253636258219379</v>
      </c>
      <c r="G3778" s="7" t="n">
        <f aca="false">Sens!G3774-wacc</f>
        <v>0.00297322863265896</v>
      </c>
      <c r="H3778" s="7" t="n">
        <f aca="false">Sens!H3774-wacc</f>
        <v>0.0281371724331221</v>
      </c>
      <c r="I3778" s="7" t="n">
        <f aca="false">Sens!I3774-wacc</f>
        <v>0.0400863354043366</v>
      </c>
      <c r="J3778" s="7" t="n">
        <f aca="false">Sens!J3774-wacc</f>
        <v>0.0555214243534659</v>
      </c>
      <c r="K3778" s="7" t="n">
        <f aca="false">Sens!K3774-wacc</f>
        <v>0.0759654469929167</v>
      </c>
    </row>
    <row r="3779" customFormat="false" ht="17.15" hidden="false" customHeight="false" outlineLevel="0" collapsed="false">
      <c r="A3779" s="0" t="s">
        <v>1015</v>
      </c>
      <c r="B3779" s="0" t="s">
        <v>98</v>
      </c>
      <c r="F3779" s="6" t="n">
        <f aca="false">Sens!F3772*(1-tax_f)-wacc*(Sens!E3773+Sens!F3773)/2</f>
        <v>-5.34006987152382</v>
      </c>
      <c r="G3779" s="6" t="n">
        <f aca="false">Sens!G3772*(1-tax_f)-wacc*(Sens!F3773+Sens!G3773)/2</f>
        <v>1.11540771853912</v>
      </c>
      <c r="H3779" s="6" t="n">
        <f aca="false">Sens!H3772*(1-tax_f)-wacc*(Sens!G3773+Sens!H3773)/2</f>
        <v>14.7040004576566</v>
      </c>
      <c r="I3779" s="6" t="n">
        <f aca="false">Sens!I3772*(1-tax_f)-wacc*(Sens!H3773+Sens!I3773)/2</f>
        <v>24.8872463049845</v>
      </c>
      <c r="J3779" s="6" t="n">
        <f aca="false">Sens!J3772*(1-tax_f)-wacc*(Sens!I3773+Sens!J3773)/2</f>
        <v>35.9784167435467</v>
      </c>
      <c r="K3779" s="6" t="n">
        <f aca="false">Sens!K3772*(1-tax_f)-wacc*(Sens!J3773+Sens!K3773)/2</f>
        <v>47.2750035214488</v>
      </c>
    </row>
    <row r="3780" customFormat="false" ht="17.15" hidden="false" customHeight="false" outlineLevel="0" collapsed="false">
      <c r="A3780" s="3" t="s">
        <v>1573</v>
      </c>
    </row>
    <row r="3781" customFormat="false" ht="15" hidden="false" customHeight="false" outlineLevel="0" collapsed="false">
      <c r="A3781" s="4" t="s">
        <v>43</v>
      </c>
      <c r="B3781" s="4" t="s">
        <v>65</v>
      </c>
      <c r="C3781" s="23" t="s">
        <v>938</v>
      </c>
      <c r="D3781" s="23" t="s">
        <v>939</v>
      </c>
      <c r="E3781" s="23" t="s">
        <v>940</v>
      </c>
      <c r="F3781" s="23" t="s">
        <v>941</v>
      </c>
      <c r="G3781" s="23" t="s">
        <v>942</v>
      </c>
      <c r="H3781" s="23" t="s">
        <v>943</v>
      </c>
      <c r="I3781" s="23" t="s">
        <v>944</v>
      </c>
      <c r="J3781" s="23" t="s">
        <v>945</v>
      </c>
      <c r="K3781" s="23" t="s">
        <v>946</v>
      </c>
      <c r="L3781" s="4" t="s">
        <v>47</v>
      </c>
    </row>
    <row r="3782" customFormat="false" ht="15" hidden="false" customHeight="false" outlineLevel="0" collapsed="false">
      <c r="A3782" s="1" t="s">
        <v>1076</v>
      </c>
      <c r="B3782" s="0" t="s">
        <v>98</v>
      </c>
      <c r="F3782" s="6" t="n">
        <f aca="false">Sens!F3763</f>
        <v>147.392899714981</v>
      </c>
      <c r="G3782" s="6" t="n">
        <f aca="false">Sens!G3763</f>
        <v>167.90969199285</v>
      </c>
      <c r="H3782" s="6" t="n">
        <f aca="false">Sens!H3763</f>
        <v>196.993184929831</v>
      </c>
      <c r="I3782" s="6" t="n">
        <f aca="false">Sens!I3763</f>
        <v>218.736361958576</v>
      </c>
      <c r="J3782" s="6" t="n">
        <f aca="false">Sens!J3763</f>
        <v>237.520058613424</v>
      </c>
      <c r="K3782" s="6" t="n">
        <f aca="false">Sens!K3763</f>
        <v>254.40068398244</v>
      </c>
    </row>
    <row r="3783" customFormat="false" ht="17.15" hidden="false" customHeight="false" outlineLevel="0" collapsed="false">
      <c r="A3783" s="1" t="s">
        <v>1098</v>
      </c>
      <c r="B3783" s="0" t="s">
        <v>98</v>
      </c>
      <c r="E3783" s="6" t="n">
        <f aca="false">Q!M38-Sens!E3701</f>
        <v>22.2285940229167</v>
      </c>
      <c r="F3783" s="6" t="n">
        <f aca="false">Sens!E3783*(1-1/life_nonai)+(Sens!F3791+Sens!F3792)/life_nonai</f>
        <v>23.5588450133838</v>
      </c>
      <c r="G3783" s="6" t="n">
        <f aca="false">Sens!F3783*(1-1/life_nonai)+(Sens!G3791)/life_nonai</f>
        <v>25.3409009423</v>
      </c>
      <c r="H3783" s="6" t="n">
        <f aca="false">Sens!G3783*(1-1/life_nonai)+(Sens!H3791)/life_nonai</f>
        <v>27.538051323806</v>
      </c>
      <c r="I3783" s="6" t="n">
        <f aca="false">Sens!H3783*(1-1/life_nonai)+(Sens!I3791)/life_nonai</f>
        <v>30.0741765365704</v>
      </c>
      <c r="J3783" s="6" t="n">
        <f aca="false">Sens!I3783*(1-1/life_nonai)+(Sens!J3791)/life_nonai</f>
        <v>32.8576182675578</v>
      </c>
      <c r="K3783" s="6" t="n">
        <f aca="false">Sens!J3783*(1-1/life_nonai)+(Sens!K3791)/life_nonai</f>
        <v>35.8044664452989</v>
      </c>
      <c r="L3783" s="12" t="s">
        <v>1099</v>
      </c>
    </row>
    <row r="3784" customFormat="false" ht="17.15" hidden="false" customHeight="false" outlineLevel="0" collapsed="false">
      <c r="A3784" s="1" t="s">
        <v>1100</v>
      </c>
      <c r="B3784" s="0" t="s">
        <v>98</v>
      </c>
      <c r="F3784" s="6" t="n">
        <f aca="false">Sens!$F$3792/life_nonai*(1-1/life_nonai)^(Sens!F3664-2027)</f>
        <v>0</v>
      </c>
      <c r="G3784" s="6" t="n">
        <f aca="false">Sens!$F$3792/life_nonai*(1-1/life_nonai)^(Sens!G3664-2027)</f>
        <v>0</v>
      </c>
      <c r="H3784" s="6" t="n">
        <f aca="false">Sens!$F$3792/life_nonai*(1-1/life_nonai)^(Sens!H3664-2027)</f>
        <v>0</v>
      </c>
      <c r="I3784" s="6" t="n">
        <f aca="false">Sens!$F$3792/life_nonai*(1-1/life_nonai)^(Sens!I3664-2027)</f>
        <v>0</v>
      </c>
      <c r="J3784" s="6" t="n">
        <f aca="false">Sens!$F$3792/life_nonai*(1-1/life_nonai)^(Sens!J3664-2027)</f>
        <v>0</v>
      </c>
      <c r="K3784" s="6" t="n">
        <f aca="false">Sens!$F$3792/life_nonai*(1-1/life_nonai)^(Sens!K3664-2027)</f>
        <v>0</v>
      </c>
      <c r="L3784" s="1" t="s">
        <v>1101</v>
      </c>
    </row>
    <row r="3785" customFormat="false" ht="17.15" hidden="false" customHeight="false" outlineLevel="0" collapsed="false">
      <c r="A3785" s="1" t="s">
        <v>1102</v>
      </c>
      <c r="B3785" s="0" t="s">
        <v>98</v>
      </c>
      <c r="E3785" s="6" t="n">
        <f aca="false">Sens!E3701+Sens!E3783</f>
        <v>38.534</v>
      </c>
      <c r="F3785" s="6" t="n">
        <f aca="false">Sens!F3701+Sens!F3783</f>
        <v>60.7721558086724</v>
      </c>
      <c r="G3785" s="6" t="n">
        <f aca="false">Sens!G3701+Sens!G3783</f>
        <v>94.1394314925921</v>
      </c>
      <c r="H3785" s="6" t="n">
        <f aca="false">Sens!H3701+Sens!H3783</f>
        <v>130.375301885074</v>
      </c>
      <c r="I3785" s="6" t="n">
        <f aca="false">Sens!I3701+Sens!I3783</f>
        <v>162.923779542589</v>
      </c>
      <c r="J3785" s="6" t="n">
        <f aca="false">Sens!J3701+Sens!J3783</f>
        <v>186.667981126208</v>
      </c>
      <c r="K3785" s="6" t="n">
        <f aca="false">Sens!K3701+Sens!K3783</f>
        <v>202.137781070253</v>
      </c>
    </row>
    <row r="3786" customFormat="false" ht="17.15" hidden="false" customHeight="false" outlineLevel="0" collapsed="false">
      <c r="A3786" s="1" t="s">
        <v>1103</v>
      </c>
      <c r="B3786" s="0" t="s">
        <v>98</v>
      </c>
      <c r="F3786" s="6" t="n">
        <f aca="false">Sens!F3728*sbc_r</f>
        <v>15.1792826621401</v>
      </c>
      <c r="G3786" s="6" t="n">
        <f aca="false">Sens!G3728*sbc_r</f>
        <v>18.8018008448425</v>
      </c>
      <c r="H3786" s="6" t="n">
        <f aca="false">Sens!H3728*sbc_r</f>
        <v>22.7242681821816</v>
      </c>
      <c r="I3786" s="6" t="n">
        <f aca="false">Sens!I3728*sbc_r</f>
        <v>26.0391303855056</v>
      </c>
      <c r="J3786" s="6" t="n">
        <f aca="false">Sens!J3728*sbc_r</f>
        <v>28.663138222464</v>
      </c>
      <c r="K3786" s="6" t="n">
        <f aca="false">Sens!K3728*sbc_r</f>
        <v>30.6923668456058</v>
      </c>
    </row>
    <row r="3787" customFormat="false" ht="17.15" hidden="false" customHeight="false" outlineLevel="0" collapsed="false">
      <c r="A3787" s="1" t="s">
        <v>1104</v>
      </c>
      <c r="B3787" s="0" t="s">
        <v>98</v>
      </c>
      <c r="F3787" s="6" t="n">
        <f aca="false">wc27-wc26q1</f>
        <v>-4.677</v>
      </c>
      <c r="G3787" s="6" t="n">
        <f aca="false">wc_f</f>
        <v>0</v>
      </c>
      <c r="H3787" s="6" t="n">
        <f aca="false">wc_f</f>
        <v>0</v>
      </c>
      <c r="I3787" s="6" t="n">
        <f aca="false">wc_f</f>
        <v>0</v>
      </c>
      <c r="J3787" s="6" t="n">
        <f aca="false">wc_f</f>
        <v>0</v>
      </c>
      <c r="K3787" s="6" t="n">
        <f aca="false">wc_f</f>
        <v>0</v>
      </c>
      <c r="L3787" s="12" t="s">
        <v>1105</v>
      </c>
    </row>
    <row r="3788" customFormat="false" ht="17.15" hidden="false" customHeight="false" outlineLevel="0" collapsed="false">
      <c r="A3788" s="0" t="s">
        <v>1106</v>
      </c>
      <c r="B3788" s="0" t="s">
        <v>98</v>
      </c>
      <c r="F3788" s="6" t="n">
        <f aca="false">Q!$I$35-Q!$I$26-Q!$I$38-Q!$I$39</f>
        <v>6.493</v>
      </c>
      <c r="L3788" s="1" t="s">
        <v>1107</v>
      </c>
    </row>
    <row r="3789" customFormat="false" ht="15" hidden="false" customHeight="false" outlineLevel="0" collapsed="false">
      <c r="A3789" s="1" t="s">
        <v>904</v>
      </c>
      <c r="B3789" s="0" t="s">
        <v>98</v>
      </c>
      <c r="E3789" s="6" t="n">
        <f aca="false">Q!M35</f>
        <v>182.935</v>
      </c>
      <c r="F3789" s="6" t="n">
        <f aca="false">Sens!F3782+Sens!F3785+Sens!F3786+Sens!F3787+Sens!F3788</f>
        <v>225.160338185794</v>
      </c>
      <c r="G3789" s="6" t="n">
        <f aca="false">Sens!G3782+Sens!G3785+Sens!G3786+Sens!G3787</f>
        <v>280.850924330285</v>
      </c>
      <c r="H3789" s="6" t="n">
        <f aca="false">Sens!H3782+Sens!H3785+Sens!H3786+Sens!H3787</f>
        <v>350.092754997087</v>
      </c>
      <c r="I3789" s="6" t="n">
        <f aca="false">Sens!I3782+Sens!I3785+Sens!I3786+Sens!I3787</f>
        <v>407.699271886671</v>
      </c>
      <c r="J3789" s="6" t="n">
        <f aca="false">Sens!J3782+Sens!J3785+Sens!J3786+Sens!J3787</f>
        <v>452.851177962096</v>
      </c>
      <c r="K3789" s="6" t="n">
        <f aca="false">Sens!K3782+Sens!K3785+Sens!K3786+Sens!K3787</f>
        <v>487.230831898298</v>
      </c>
    </row>
    <row r="3790" customFormat="false" ht="17.15" hidden="false" customHeight="false" outlineLevel="0" collapsed="false">
      <c r="A3790" s="0" t="s">
        <v>1108</v>
      </c>
      <c r="B3790" s="0" t="s">
        <v>98</v>
      </c>
      <c r="F3790" s="6" t="n">
        <f aca="false">Sens!F3698</f>
        <v>204.898187805744</v>
      </c>
      <c r="G3790" s="6" t="n">
        <f aca="false">Sens!G3698</f>
        <v>230.333370778858</v>
      </c>
      <c r="H3790" s="6" t="n">
        <f aca="false">Sens!H3698</f>
        <v>236.167204877415</v>
      </c>
      <c r="I3790" s="6" t="n">
        <f aca="false">Sens!I3698</f>
        <v>196.036470187933</v>
      </c>
      <c r="J3790" s="6" t="n">
        <f aca="false">Sens!J3698</f>
        <v>144.960436247008</v>
      </c>
      <c r="K3790" s="6" t="n">
        <f aca="false">Sens!K3698</f>
        <v>123.808925386415</v>
      </c>
    </row>
    <row r="3791" customFormat="false" ht="17.15" hidden="false" customHeight="false" outlineLevel="0" collapsed="false">
      <c r="A3791" s="1" t="s">
        <v>1109</v>
      </c>
      <c r="B3791" s="0" t="s">
        <v>98</v>
      </c>
      <c r="E3791" s="6" t="n">
        <f aca="false">Sens!E3706*cx_azo+Sens!E3713*cx_m365+Sens!E3714*cx_lic+(Sens!E3716+Sens!E3718)*cx_ind+Sens!E3721*cx_srch+(Sens!E3723+Sens!E3725)*cx_dev</f>
        <v>30.1846587067718</v>
      </c>
      <c r="F3791" s="6" t="n">
        <f aca="false">Sens!F3706*cx_azo+Sens!F3713*cx_m365+Sens!F3714*cx_lic+(Sens!F3716+Sens!F3718)*cx_ind+Sens!F3721*cx_srch+(Sens!F3723+Sens!F3725)*cx_dev</f>
        <v>35.5311039275878</v>
      </c>
      <c r="G3791" s="6" t="n">
        <f aca="false">Sens!G3706*cx_azo+Sens!G3713*cx_m365+Sens!G3714*cx_lic+(Sens!G3716+Sens!G3718)*cx_ind+Sens!G3721*cx_srch+(Sens!G3723+Sens!G3725)*cx_dev</f>
        <v>41.3794043025459</v>
      </c>
      <c r="H3791" s="6" t="n">
        <f aca="false">Sens!H3706*cx_azo+Sens!H3713*cx_m365+Sens!H3714*cx_lic+(Sens!H3716+Sens!H3718)*cx_ind+Sens!H3721*cx_srch+(Sens!H3723+Sens!H3725)*cx_dev</f>
        <v>47.3124047573605</v>
      </c>
      <c r="I3791" s="6" t="n">
        <f aca="false">Sens!I3706*cx_azo+Sens!I3713*cx_m365+Sens!I3714*cx_lic+(Sens!I3716+Sens!I3718)*cx_ind+Sens!I3721*cx_srch+(Sens!I3723+Sens!I3725)*cx_dev</f>
        <v>52.8993034514492</v>
      </c>
      <c r="J3791" s="6" t="n">
        <f aca="false">Sens!J3706*cx_azo+Sens!J3713*cx_m365+Sens!J3714*cx_lic+(Sens!J3716+Sens!J3718)*cx_ind+Sens!J3721*cx_srch+(Sens!J3723+Sens!J3725)*cx_dev</f>
        <v>57.9085938464444</v>
      </c>
      <c r="K3791" s="6" t="n">
        <f aca="false">Sens!K3706*cx_azo+Sens!K3713*cx_m365+Sens!K3714*cx_lic+(Sens!K3716+Sens!K3718)*cx_ind+Sens!K3721*cx_srch+(Sens!K3723+Sens!K3725)*cx_dev</f>
        <v>62.3261000449696</v>
      </c>
    </row>
    <row r="3792" customFormat="false" ht="17.15" hidden="false" customHeight="false" outlineLevel="0" collapsed="false">
      <c r="A3792" s="0" t="s">
        <v>1110</v>
      </c>
      <c r="B3792" s="0" t="s">
        <v>98</v>
      </c>
      <c r="F3792" s="6" t="n">
        <f aca="false">Sens!F3696</f>
        <v>0</v>
      </c>
      <c r="L3792" s="1" t="s">
        <v>1111</v>
      </c>
    </row>
    <row r="3793" customFormat="false" ht="17.15" hidden="false" customHeight="false" outlineLevel="0" collapsed="false">
      <c r="A3793" s="1" t="s">
        <v>1112</v>
      </c>
      <c r="B3793" s="0" t="s">
        <v>98</v>
      </c>
      <c r="E3793" s="6" t="n">
        <f aca="false">Q!M43</f>
        <v>145.3</v>
      </c>
      <c r="F3793" s="6" t="n">
        <f aca="false">Sens!F3790+Sens!F3791+Sens!F3792</f>
        <v>240.429291733331</v>
      </c>
      <c r="G3793" s="6" t="n">
        <f aca="false">Sens!G3790+Sens!G3791</f>
        <v>271.712775081404</v>
      </c>
      <c r="H3793" s="6" t="n">
        <f aca="false">Sens!H3790+Sens!H3791</f>
        <v>283.479609634775</v>
      </c>
      <c r="I3793" s="6" t="n">
        <f aca="false">Sens!I3790+Sens!I3791</f>
        <v>248.935773639382</v>
      </c>
      <c r="J3793" s="6" t="n">
        <f aca="false">Sens!J3790+Sens!J3791</f>
        <v>202.869030093453</v>
      </c>
      <c r="K3793" s="6" t="n">
        <f aca="false">Sens!K3790+Sens!K3791</f>
        <v>186.135025431385</v>
      </c>
      <c r="L3793" s="1" t="s">
        <v>1113</v>
      </c>
    </row>
    <row r="3794" customFormat="false" ht="15" hidden="false" customHeight="false" outlineLevel="0" collapsed="false">
      <c r="A3794" s="1" t="s">
        <v>1114</v>
      </c>
      <c r="B3794" s="0" t="s">
        <v>98</v>
      </c>
      <c r="E3794" s="6" t="n">
        <f aca="false">fl_liab</f>
        <v>66.594</v>
      </c>
      <c r="F3794" s="6" t="n">
        <f aca="false">Sens!E3794-Sens!F3795</f>
        <v>62.46973</v>
      </c>
      <c r="G3794" s="6" t="n">
        <f aca="false">Sens!F3794-Sens!G3795</f>
        <v>57.98686785</v>
      </c>
      <c r="H3794" s="6" t="n">
        <f aca="false">Sens!G3794-Sens!H3795</f>
        <v>53.92827690325</v>
      </c>
      <c r="I3794" s="6" t="n">
        <f aca="false">Sens!H3794-Sens!I3795</f>
        <v>49.7850493638962</v>
      </c>
      <c r="J3794" s="6" t="n">
        <f aca="false">Sens!I3794-Sens!J3795</f>
        <v>45.4823765852716</v>
      </c>
      <c r="K3794" s="6" t="n">
        <f aca="false">Sens!J3794-Sens!K3795</f>
        <v>40.9860835316088</v>
      </c>
    </row>
    <row r="3795" customFormat="false" ht="15" hidden="false" customHeight="false" outlineLevel="0" collapsed="false">
      <c r="A3795" s="1" t="s">
        <v>1115</v>
      </c>
      <c r="B3795" s="0" t="s">
        <v>98</v>
      </c>
      <c r="F3795" s="6" t="n">
        <f aca="false">fl_pay_27-Sens!E3794*fl_rate</f>
        <v>4.12427</v>
      </c>
      <c r="G3795" s="6" t="n">
        <f aca="false">fl_pay_28-Sens!F3794*fl_rate</f>
        <v>4.48286215</v>
      </c>
      <c r="H3795" s="6" t="n">
        <f aca="false">fl_pay_29-Sens!G3794*fl_rate</f>
        <v>4.05859094675</v>
      </c>
      <c r="I3795" s="6" t="n">
        <f aca="false">fl_pay_30-Sens!H3794*fl_rate</f>
        <v>4.14322753935375</v>
      </c>
      <c r="J3795" s="6" t="n">
        <f aca="false">fl_pay_31-Sens!I3794*fl_rate</f>
        <v>4.30267277862467</v>
      </c>
      <c r="K3795" s="6" t="n">
        <f aca="false">fl_pay_32-Sens!J3794*fl_rate</f>
        <v>4.49629305366278</v>
      </c>
    </row>
    <row r="3796" customFormat="false" ht="17.15" hidden="false" customHeight="false" outlineLevel="0" collapsed="false">
      <c r="A3796" s="1" t="s">
        <v>1116</v>
      </c>
      <c r="B3796" s="0" t="s">
        <v>98</v>
      </c>
      <c r="E3796" s="6" t="n">
        <f aca="false">Q!M35-Q!M36-Q!M44</f>
        <v>63.886</v>
      </c>
      <c r="F3796" s="6" t="n">
        <f aca="false">Sens!F3789-Sens!F3793-Sens!F3795</f>
        <v>-19.3932235475378</v>
      </c>
      <c r="G3796" s="6" t="n">
        <f aca="false">Sens!G3789-Sens!G3793-Sens!G3795</f>
        <v>4.65528709888089</v>
      </c>
      <c r="H3796" s="6" t="n">
        <f aca="false">Sens!H3789-Sens!H3793-Sens!H3795</f>
        <v>62.5545544155615</v>
      </c>
      <c r="I3796" s="6" t="n">
        <f aca="false">Sens!I3789-Sens!I3793-Sens!I3795</f>
        <v>154.620270707936</v>
      </c>
      <c r="J3796" s="6" t="n">
        <f aca="false">Sens!J3789-Sens!J3793-Sens!J3795</f>
        <v>245.679475090019</v>
      </c>
      <c r="K3796" s="6" t="n">
        <f aca="false">Sens!K3789-Sens!K3793-Sens!K3795</f>
        <v>296.599513413251</v>
      </c>
      <c r="L3796" s="12" t="s">
        <v>1117</v>
      </c>
    </row>
    <row r="3797" customFormat="false" ht="15" hidden="false" customHeight="false" outlineLevel="0" collapsed="false">
      <c r="A3797" s="1" t="s">
        <v>1118</v>
      </c>
      <c r="B3797" s="0" t="s">
        <v>75</v>
      </c>
      <c r="F3797" s="8" t="n">
        <f aca="false">dps_27</f>
        <v>3.85</v>
      </c>
      <c r="G3797" s="8" t="n">
        <f aca="false">Sens!F3797*(1+dps_g)</f>
        <v>4.158</v>
      </c>
      <c r="H3797" s="8" t="n">
        <f aca="false">Sens!G3797*(1+dps_g)</f>
        <v>4.49064</v>
      </c>
      <c r="I3797" s="8" t="n">
        <f aca="false">Sens!H3797*(1+dps_g)</f>
        <v>4.8498912</v>
      </c>
      <c r="J3797" s="8" t="n">
        <f aca="false">Sens!I3797*(1+dps_g)</f>
        <v>5.237882496</v>
      </c>
      <c r="K3797" s="8" t="n">
        <f aca="false">Sens!J3797*(1+dps_g)</f>
        <v>5.65691309568</v>
      </c>
    </row>
    <row r="3798" customFormat="false" ht="17.15" hidden="false" customHeight="false" outlineLevel="0" collapsed="false">
      <c r="A3798" s="1" t="s">
        <v>1119</v>
      </c>
      <c r="B3798" s="0" t="s">
        <v>98</v>
      </c>
      <c r="E3798" s="6" t="n">
        <f aca="false">Q!M41</f>
        <v>26.445</v>
      </c>
      <c r="F3798" s="6" t="n">
        <f aca="false">Sens!F3797*Sens!E3807</f>
        <v>28.59395</v>
      </c>
      <c r="G3798" s="6" t="n">
        <f aca="false">Sens!G3797*Sens!F3807</f>
        <v>31.068576</v>
      </c>
      <c r="H3798" s="6" t="n">
        <f aca="false">Sens!H3797*Sens!G3807</f>
        <v>33.75614088</v>
      </c>
      <c r="I3798" s="6" t="n">
        <f aca="false">Sens!I3797*Sens!H3807</f>
        <v>36.5070704274727</v>
      </c>
      <c r="J3798" s="6" t="n">
        <f aca="false">Sens!J3797*Sens!I3807</f>
        <v>39.4955339470631</v>
      </c>
      <c r="K3798" s="6" t="n">
        <f aca="false">Sens!K3797*Sens!J3807</f>
        <v>42.7419309252064</v>
      </c>
      <c r="L3798" s="1" t="s">
        <v>1120</v>
      </c>
    </row>
    <row r="3799" customFormat="false" ht="15" hidden="false" customHeight="false" outlineLevel="0" collapsed="false">
      <c r="A3799" s="1" t="s">
        <v>1121</v>
      </c>
      <c r="B3799" s="0" t="s">
        <v>98</v>
      </c>
      <c r="E3799" s="6" t="n">
        <f aca="false">Sens!E3796-Sens!E3798</f>
        <v>37.441</v>
      </c>
      <c r="F3799" s="6" t="n">
        <f aca="false">Sens!F3796-Sens!F3798</f>
        <v>-47.9871735475378</v>
      </c>
      <c r="G3799" s="6" t="n">
        <f aca="false">Sens!G3796-Sens!G3798</f>
        <v>-26.4132889011191</v>
      </c>
      <c r="H3799" s="6" t="n">
        <f aca="false">Sens!H3796-Sens!H3798</f>
        <v>28.7984135355615</v>
      </c>
      <c r="I3799" s="6" t="n">
        <f aca="false">Sens!I3796-Sens!I3798</f>
        <v>118.113200280463</v>
      </c>
      <c r="J3799" s="6" t="n">
        <f aca="false">Sens!J3796-Sens!J3798</f>
        <v>206.183941142955</v>
      </c>
      <c r="K3799" s="6" t="n">
        <f aca="false">Sens!K3796-Sens!K3798</f>
        <v>253.857582488044</v>
      </c>
    </row>
    <row r="3800" customFormat="false" ht="15" hidden="false" customHeight="false" outlineLevel="0" collapsed="false">
      <c r="A3800" s="1" t="s">
        <v>1122</v>
      </c>
      <c r="B3800" s="0" t="s">
        <v>98</v>
      </c>
      <c r="F3800" s="6" t="n">
        <f aca="false">debt_mat_27</f>
        <v>9.25</v>
      </c>
      <c r="G3800" s="6" t="n">
        <f aca="false">debt_mat_28</f>
        <v>0</v>
      </c>
      <c r="H3800" s="6" t="n">
        <f aca="false">debt_mat_29</f>
        <v>2.001</v>
      </c>
      <c r="I3800" s="6" t="n">
        <f aca="false">debt_mat_30</f>
        <v>0</v>
      </c>
      <c r="J3800" s="6" t="n">
        <f aca="false">debt_mat_31</f>
        <v>0.5</v>
      </c>
      <c r="K3800" s="6" t="n">
        <f aca="false">debt_mat_32</f>
        <v>0</v>
      </c>
    </row>
    <row r="3801" customFormat="false" ht="15" hidden="false" customHeight="false" outlineLevel="0" collapsed="false">
      <c r="A3801" s="1" t="s">
        <v>1123</v>
      </c>
      <c r="B3801" s="0" t="s">
        <v>98</v>
      </c>
      <c r="E3801" s="6" t="n">
        <f aca="false">Q!M40</f>
        <v>22.271</v>
      </c>
      <c r="F3801" s="6" t="n">
        <f aca="false">MAX(0,MIN(bb_target,Sens!E3803+Sens!F3799-Sens!F3800-min_cash))</f>
        <v>0</v>
      </c>
      <c r="G3801" s="6" t="n">
        <f aca="false">MAX(0,MIN(bb_target,Sens!F3803+Sens!G3799-Sens!G3800-min_cash))</f>
        <v>0</v>
      </c>
      <c r="H3801" s="6" t="n">
        <f aca="false">MAX(0,MIN(bb_target,Sens!G3803+Sens!H3799-Sens!H3800-min_cash))</f>
        <v>22.271</v>
      </c>
      <c r="I3801" s="6" t="n">
        <f aca="false">MAX(0,MIN(bb_target,Sens!H3803+Sens!I3799-Sens!I3800-min_cash))</f>
        <v>22.271</v>
      </c>
      <c r="J3801" s="6" t="n">
        <f aca="false">MAX(0,MIN(bb_target,Sens!I3803+Sens!J3799-Sens!J3800-min_cash))</f>
        <v>22.271</v>
      </c>
      <c r="K3801" s="6" t="n">
        <f aca="false">MAX(0,MIN(bb_target,Sens!J3803+Sens!K3799-Sens!K3800-min_cash))</f>
        <v>22.271</v>
      </c>
    </row>
    <row r="3802" customFormat="false" ht="15" hidden="false" customHeight="false" outlineLevel="0" collapsed="false">
      <c r="A3802" s="1" t="s">
        <v>1124</v>
      </c>
      <c r="B3802" s="0" t="s">
        <v>98</v>
      </c>
      <c r="F3802" s="6" t="n">
        <f aca="false">MAX(0,min_cash-(Sens!E3803+Sens!F3799-Sens!F3800-Sens!F3801))</f>
        <v>30.3941735475378</v>
      </c>
      <c r="G3802" s="6" t="n">
        <f aca="false">MAX(0,min_cash-(Sens!F3803+Sens!G3799-Sens!G3800-Sens!G3801))</f>
        <v>26.4132889011191</v>
      </c>
      <c r="H3802" s="6" t="n">
        <f aca="false">MAX(0,min_cash-(Sens!G3803+Sens!H3799-Sens!H3800-Sens!H3801))</f>
        <v>0</v>
      </c>
      <c r="I3802" s="6" t="n">
        <f aca="false">MAX(0,min_cash-(Sens!H3803+Sens!I3799-Sens!I3800-Sens!I3801))</f>
        <v>0</v>
      </c>
      <c r="J3802" s="6" t="n">
        <f aca="false">MAX(0,min_cash-(Sens!I3803+Sens!J3799-Sens!J3800-Sens!J3801))</f>
        <v>0</v>
      </c>
      <c r="K3802" s="6" t="n">
        <f aca="false">MAX(0,min_cash-(Sens!J3803+Sens!K3799-Sens!K3800-Sens!K3801))</f>
        <v>0</v>
      </c>
    </row>
    <row r="3803" customFormat="false" ht="15" hidden="false" customHeight="false" outlineLevel="0" collapsed="false">
      <c r="A3803" s="1" t="s">
        <v>1125</v>
      </c>
      <c r="B3803" s="0" t="s">
        <v>98</v>
      </c>
      <c r="E3803" s="6" t="n">
        <f aca="false">cash_open</f>
        <v>76.843</v>
      </c>
      <c r="F3803" s="6" t="n">
        <f aca="false">Sens!E3803+Sens!F3799-Sens!F3800-Sens!F3801+Sens!F3802</f>
        <v>50</v>
      </c>
      <c r="G3803" s="6" t="n">
        <f aca="false">Sens!F3803+Sens!G3799-Sens!G3800-Sens!G3801+Sens!G3802</f>
        <v>50</v>
      </c>
      <c r="H3803" s="6" t="n">
        <f aca="false">Sens!G3803+Sens!H3799-Sens!H3800-Sens!H3801+Sens!H3802</f>
        <v>54.5264135355614</v>
      </c>
      <c r="I3803" s="6" t="n">
        <f aca="false">Sens!H3803+Sens!I3799-Sens!I3800-Sens!I3801+Sens!I3802</f>
        <v>150.368613816024</v>
      </c>
      <c r="J3803" s="6" t="n">
        <f aca="false">Sens!I3803+Sens!J3799-Sens!J3800-Sens!J3801+Sens!J3802</f>
        <v>333.78155495898</v>
      </c>
      <c r="K3803" s="6" t="n">
        <f aca="false">Sens!J3803+Sens!K3799-Sens!K3800-Sens!K3801+Sens!K3802</f>
        <v>565.368137447024</v>
      </c>
    </row>
    <row r="3804" customFormat="false" ht="15" hidden="false" customHeight="false" outlineLevel="0" collapsed="false">
      <c r="A3804" s="1" t="s">
        <v>1126</v>
      </c>
      <c r="B3804" s="0" t="s">
        <v>98</v>
      </c>
      <c r="E3804" s="6" t="n">
        <f aca="false">debt_face</f>
        <v>46.136</v>
      </c>
      <c r="F3804" s="6" t="n">
        <f aca="false">Sens!E3804-Sens!F3800+Sens!F3802</f>
        <v>67.2801735475378</v>
      </c>
      <c r="G3804" s="6" t="n">
        <f aca="false">Sens!F3804-Sens!G3800+Sens!G3802</f>
        <v>93.6934624486569</v>
      </c>
      <c r="H3804" s="6" t="n">
        <f aca="false">Sens!G3804-Sens!H3800+Sens!H3802</f>
        <v>91.6924624486569</v>
      </c>
      <c r="I3804" s="6" t="n">
        <f aca="false">Sens!H3804-Sens!I3800+Sens!I3802</f>
        <v>91.6924624486569</v>
      </c>
      <c r="J3804" s="6" t="n">
        <f aca="false">Sens!I3804-Sens!J3800+Sens!J3802</f>
        <v>91.1924624486569</v>
      </c>
      <c r="K3804" s="6" t="n">
        <f aca="false">Sens!J3804-Sens!K3800+Sens!K3802</f>
        <v>91.1924624486569</v>
      </c>
    </row>
    <row r="3805" customFormat="false" ht="15" hidden="false" customHeight="false" outlineLevel="0" collapsed="false">
      <c r="A3805" s="1" t="s">
        <v>1127</v>
      </c>
      <c r="B3805" s="0" t="s">
        <v>98</v>
      </c>
      <c r="E3805" s="6" t="n">
        <f aca="false">Sens!E3803-Sens!E3804</f>
        <v>30.707</v>
      </c>
      <c r="F3805" s="6" t="n">
        <f aca="false">Sens!F3803-Sens!F3804</f>
        <v>-17.2801735475378</v>
      </c>
      <c r="G3805" s="6" t="n">
        <f aca="false">Sens!G3803-Sens!G3804</f>
        <v>-43.6934624486569</v>
      </c>
      <c r="H3805" s="6" t="n">
        <f aca="false">Sens!H3803-Sens!H3804</f>
        <v>-37.1660489130954</v>
      </c>
      <c r="I3805" s="6" t="n">
        <f aca="false">Sens!I3803-Sens!I3804</f>
        <v>58.6761513673675</v>
      </c>
      <c r="J3805" s="6" t="n">
        <f aca="false">Sens!J3803-Sens!J3804</f>
        <v>242.589092510323</v>
      </c>
      <c r="K3805" s="6" t="n">
        <f aca="false">Sens!K3803-Sens!K3804</f>
        <v>474.175674998367</v>
      </c>
    </row>
    <row r="3806" customFormat="false" ht="15" hidden="false" customHeight="false" outlineLevel="0" collapsed="false">
      <c r="A3806" s="1" t="s">
        <v>1128</v>
      </c>
      <c r="B3806" s="0" t="s">
        <v>75</v>
      </c>
      <c r="F3806" s="30" t="n">
        <f aca="false">px*(1+bb_g)^(Sens!F3664-base_fy-mid_yr)</f>
        <v>551.84177959629</v>
      </c>
      <c r="G3806" s="30" t="n">
        <f aca="false">px*(1+bb_g)^(Sens!G3664-base_fy-mid_yr)</f>
        <v>595.989121963993</v>
      </c>
      <c r="H3806" s="30" t="n">
        <f aca="false">px*(1+bb_g)^(Sens!H3664-base_fy-mid_yr)</f>
        <v>643.668251721112</v>
      </c>
      <c r="I3806" s="30" t="n">
        <f aca="false">px*(1+bb_g)^(Sens!I3664-base_fy-mid_yr)</f>
        <v>695.161711858801</v>
      </c>
      <c r="J3806" s="30" t="n">
        <f aca="false">px*(1+bb_g)^(Sens!J3664-base_fy-mid_yr)</f>
        <v>750.774648807506</v>
      </c>
      <c r="K3806" s="30" t="n">
        <f aca="false">px*(1+bb_g)^(Sens!K3664-base_fy-mid_yr)</f>
        <v>810.836620712106</v>
      </c>
    </row>
    <row r="3807" customFormat="false" ht="15" hidden="false" customHeight="false" outlineLevel="0" collapsed="false">
      <c r="A3807" s="1" t="s">
        <v>1129</v>
      </c>
      <c r="B3807" s="1" t="s">
        <v>81</v>
      </c>
      <c r="E3807" s="15" t="n">
        <f aca="false">sh_out26</f>
        <v>7.427</v>
      </c>
      <c r="F3807" s="15" t="n">
        <f aca="false">Sens!E3807+sh_iss-Sens!F3801/Sens!F3806</f>
        <v>7.472</v>
      </c>
      <c r="G3807" s="15" t="n">
        <f aca="false">Sens!F3807+sh_iss-Sens!G3801/Sens!G3806</f>
        <v>7.517</v>
      </c>
      <c r="H3807" s="15" t="n">
        <f aca="false">Sens!G3807+sh_iss-Sens!H3801/Sens!H3806</f>
        <v>7.5273998780576</v>
      </c>
      <c r="I3807" s="15" t="n">
        <f aca="false">Sens!H3807+sh_iss-Sens!I3801/Sens!I3806</f>
        <v>7.54036272811094</v>
      </c>
      <c r="J3807" s="15" t="n">
        <f aca="false">Sens!I3807+sh_iss-Sens!J3801/Sens!J3806</f>
        <v>7.55569870038255</v>
      </c>
      <c r="K3807" s="15" t="n">
        <f aca="false">Sens!J3807+sh_iss-Sens!K3801/Sens!K3806</f>
        <v>7.57323200804144</v>
      </c>
    </row>
    <row r="3808" customFormat="false" ht="15" hidden="false" customHeight="false" outlineLevel="0" collapsed="false">
      <c r="A3808" s="1" t="s">
        <v>1130</v>
      </c>
      <c r="B3808" s="1" t="s">
        <v>81</v>
      </c>
      <c r="E3808" s="15" t="n">
        <f aca="false">sh_dil26</f>
        <v>7.453</v>
      </c>
      <c r="F3808" s="15" t="n">
        <f aca="false">(Sens!E3807+Sens!F3807)/2+dil_gap</f>
        <v>7.4735</v>
      </c>
      <c r="G3808" s="15" t="n">
        <f aca="false">(Sens!F3807+Sens!G3807)/2+dil_gap</f>
        <v>7.5185</v>
      </c>
      <c r="H3808" s="15" t="n">
        <f aca="false">(Sens!G3807+Sens!H3807)/2+dil_gap</f>
        <v>7.5461999390288</v>
      </c>
      <c r="I3808" s="15" t="n">
        <f aca="false">(Sens!H3807+Sens!I3807)/2+dil_gap</f>
        <v>7.55788130308427</v>
      </c>
      <c r="J3808" s="15" t="n">
        <f aca="false">(Sens!I3807+Sens!J3807)/2+dil_gap</f>
        <v>7.57203071424674</v>
      </c>
      <c r="K3808" s="15" t="n">
        <f aca="false">(Sens!J3807+Sens!K3807)/2+dil_gap</f>
        <v>7.58846535421199</v>
      </c>
    </row>
    <row r="3809" customFormat="false" ht="17.15" hidden="false" customHeight="false" outlineLevel="0" collapsed="false">
      <c r="A3809" s="1" t="s">
        <v>1131</v>
      </c>
      <c r="B3809" s="0" t="s">
        <v>98</v>
      </c>
      <c r="C3809" s="6" t="n">
        <f aca="false">SUM(Sens!F3799:J3799)</f>
        <v>278.695092510323</v>
      </c>
    </row>
    <row r="3810" customFormat="false" ht="15" hidden="false" customHeight="false" outlineLevel="0" collapsed="false">
      <c r="A3810" s="26" t="s">
        <v>1096</v>
      </c>
      <c r="B3810" s="31" t="s">
        <v>98</v>
      </c>
      <c r="C3810" s="27" t="n">
        <f aca="false">Sens!$C$3809-(Sens!F3799+Sens!G3799+Sens!H3799+Sens!I3799+Sens!J3799)</f>
        <v>0</v>
      </c>
      <c r="D3810" s="31"/>
      <c r="E3810" s="31"/>
      <c r="F3810" s="31"/>
      <c r="G3810" s="31"/>
      <c r="H3810" s="31"/>
      <c r="I3810" s="31"/>
      <c r="J3810" s="31"/>
      <c r="K3810" s="31"/>
    </row>
    <row r="3811" customFormat="false" ht="17.15" hidden="false" customHeight="false" outlineLevel="0" collapsed="false">
      <c r="A3811" s="1" t="s">
        <v>1090</v>
      </c>
      <c r="B3811" s="1" t="s">
        <v>1132</v>
      </c>
      <c r="C3811" s="33" t="str">
        <f aca="false">IF(SUM(Sens!F3802:J3802)&gt;0.05,"需要舉債 "&amp;TEXT(SUM(Sens!F3802:J3802),"0.0")&amp;" 十億美元","不需舉債")&amp;"；"&amp;IF(SUM(Sens!F3801:J3801)&lt;COUNT(Sens!F3801:J3801)*bb_target-0.05,"回購較每年 "&amp;TEXT(bb_target,"0.0")&amp;" 的目標少 "&amp;TEXT(COUNT(Sens!F3801:J3801)*bb_target-SUM(Sens!F3801:J3801),"0.0")&amp;" 十億美元（"&amp;TEXT(COUNTIF(Sens!F3801:J3801,"&lt;"&amp;(bb_target-0.05)),"0")&amp;" 年減少）","回購不減")</f>
        <v>需要舉債 56.8 十億美元；回購較每年 22.3 的目標少 44.5 十億美元（2 年減少）</v>
      </c>
    </row>
    <row r="3812" customFormat="false" ht="17.15" hidden="false" customHeight="false" outlineLevel="0" collapsed="false">
      <c r="A3812" s="3" t="s">
        <v>1574</v>
      </c>
    </row>
    <row r="3813" customFormat="false" ht="15" hidden="false" customHeight="false" outlineLevel="0" collapsed="false">
      <c r="A3813" s="4" t="s">
        <v>43</v>
      </c>
      <c r="B3813" s="4" t="s">
        <v>65</v>
      </c>
      <c r="C3813" s="23" t="s">
        <v>938</v>
      </c>
      <c r="D3813" s="23" t="s">
        <v>939</v>
      </c>
      <c r="E3813" s="23" t="s">
        <v>940</v>
      </c>
      <c r="F3813" s="23" t="s">
        <v>941</v>
      </c>
      <c r="G3813" s="23" t="s">
        <v>942</v>
      </c>
      <c r="H3813" s="23" t="s">
        <v>943</v>
      </c>
      <c r="I3813" s="23" t="s">
        <v>944</v>
      </c>
      <c r="J3813" s="23" t="s">
        <v>945</v>
      </c>
      <c r="K3813" s="23" t="s">
        <v>946</v>
      </c>
      <c r="L3813" s="4" t="s">
        <v>47</v>
      </c>
    </row>
    <row r="3814" customFormat="false" ht="17.15" hidden="false" customHeight="false" outlineLevel="0" collapsed="false">
      <c r="A3814" s="1" t="s">
        <v>1212</v>
      </c>
      <c r="B3814" s="1" t="s">
        <v>279</v>
      </c>
      <c r="F3814" s="8" t="n">
        <f aca="false">(1-v_off)*mid_yr</f>
        <v>0.373972602739726</v>
      </c>
      <c r="G3814" s="8" t="n">
        <f aca="false">Sens!G3664-base_fy-mid_yr-v_off</f>
        <v>1.24794520547945</v>
      </c>
      <c r="H3814" s="8" t="n">
        <f aca="false">Sens!H3664-base_fy-mid_yr-v_off</f>
        <v>2.24794520547945</v>
      </c>
      <c r="I3814" s="8" t="n">
        <f aca="false">Sens!I3664-base_fy-mid_yr-v_off</f>
        <v>3.24794520547945</v>
      </c>
      <c r="J3814" s="8" t="n">
        <f aca="false">Sens!J3664-base_fy-mid_yr-v_off</f>
        <v>4.24794520547945</v>
      </c>
      <c r="K3814" s="8" t="n">
        <f aca="false">Sens!K3664-base_fy-mid_yr-v_off</f>
        <v>5.24794520547945</v>
      </c>
      <c r="L3814" s="12" t="s">
        <v>1213</v>
      </c>
    </row>
    <row r="3815" customFormat="false" ht="15" hidden="false" customHeight="false" outlineLevel="0" collapsed="false">
      <c r="A3815" s="1" t="s">
        <v>1214</v>
      </c>
      <c r="B3815" s="1" t="s">
        <v>279</v>
      </c>
      <c r="F3815" s="8" t="n">
        <f aca="false">Sens!F3664-base_fy-v_off</f>
        <v>0.747945205479452</v>
      </c>
      <c r="G3815" s="8" t="n">
        <f aca="false">Sens!G3664-base_fy-v_off</f>
        <v>1.74794520547945</v>
      </c>
      <c r="H3815" s="8" t="n">
        <f aca="false">Sens!H3664-base_fy-v_off</f>
        <v>2.74794520547945</v>
      </c>
      <c r="I3815" s="8" t="n">
        <f aca="false">Sens!I3664-base_fy-v_off</f>
        <v>3.74794520547945</v>
      </c>
      <c r="J3815" s="8" t="n">
        <f aca="false">Sens!J3664-base_fy-v_off</f>
        <v>4.74794520547945</v>
      </c>
      <c r="K3815" s="8" t="n">
        <f aca="false">Sens!K3664-base_fy-v_off</f>
        <v>5.74794520547945</v>
      </c>
    </row>
    <row r="3816" customFormat="false" ht="15" hidden="false" customHeight="false" outlineLevel="0" collapsed="false">
      <c r="A3816" s="1" t="s">
        <v>1215</v>
      </c>
      <c r="B3816" s="0" t="s">
        <v>229</v>
      </c>
      <c r="F3816" s="15" t="n">
        <f aca="false">1/(1+wacc)^Sens!F3814</f>
        <v>0.964022703286649</v>
      </c>
      <c r="G3816" s="15" t="n">
        <f aca="false">1/(1+wacc)^Sens!G3814</f>
        <v>0.884910302296739</v>
      </c>
      <c r="H3816" s="15" t="n">
        <f aca="false">1/(1+wacc)^Sens!H3814</f>
        <v>0.802322009770358</v>
      </c>
      <c r="I3816" s="15" t="n">
        <f aca="false">1/(1+wacc)^Sens!I3814</f>
        <v>0.727441646561469</v>
      </c>
      <c r="J3816" s="15" t="n">
        <f aca="false">1/(1+wacc)^Sens!J3814</f>
        <v>0.659549834988973</v>
      </c>
      <c r="K3816" s="15" t="n">
        <f aca="false">1/(1+wacc)^Sens!K3814</f>
        <v>0.597994336576966</v>
      </c>
    </row>
    <row r="3817" customFormat="false" ht="17.15" hidden="false" customHeight="false" outlineLevel="0" collapsed="false">
      <c r="A3817" s="1" t="s">
        <v>1216</v>
      </c>
      <c r="B3817" s="0" t="s">
        <v>98</v>
      </c>
      <c r="F3817" s="6" t="n">
        <f aca="false">Q!$I$35-Q!$I$39-Q!$I$43</f>
        <v>9.666</v>
      </c>
      <c r="L3817" s="12" t="s">
        <v>1217</v>
      </c>
    </row>
    <row r="3818" customFormat="false" ht="17.15" hidden="false" customHeight="false" outlineLevel="0" collapsed="false">
      <c r="A3818" s="1" t="s">
        <v>1218</v>
      </c>
      <c r="B3818" s="0" t="s">
        <v>98</v>
      </c>
      <c r="F3818" s="6" t="n">
        <f aca="false">Sens!F3789-Sens!F3786-Sens!F3793+Sens!F3771*(1-tax_f)*(1-v_off)-Sens!F3817</f>
        <v>-33.6425697662507</v>
      </c>
      <c r="G3818" s="6" t="n">
        <f aca="false">Sens!G3789-Sens!G3786-Sens!G3793+Sens!G3771*(1-tax_f)</f>
        <v>13.2767960164281</v>
      </c>
      <c r="H3818" s="6" t="n">
        <f aca="false">Sens!H3789-Sens!H3786-Sens!H3793+Sens!H3771*(1-tax_f)</f>
        <v>82.4116693196803</v>
      </c>
      <c r="I3818" s="6" t="n">
        <f aca="false">Sens!I3789-Sens!I3786-Sens!I3793+Sens!I3771*(1-tax_f)</f>
        <v>185.408324822915</v>
      </c>
      <c r="J3818" s="6" t="n">
        <f aca="false">Sens!J3789-Sens!J3786-Sens!J3793+Sens!J3771*(1-tax_f)</f>
        <v>283.807568482526</v>
      </c>
      <c r="K3818" s="6" t="n">
        <f aca="false">Sens!K3789-Sens!K3786-Sens!K3793+Sens!K3771*(1-tax_f)</f>
        <v>337.828426380442</v>
      </c>
      <c r="L3818" s="1" t="s">
        <v>1219</v>
      </c>
    </row>
    <row r="3819" customFormat="false" ht="15" hidden="false" customHeight="false" outlineLevel="0" collapsed="false">
      <c r="A3819" s="1" t="s">
        <v>1220</v>
      </c>
      <c r="B3819" s="0" t="s">
        <v>98</v>
      </c>
      <c r="F3819" s="6" t="n">
        <f aca="false">Sens!F3818*Sens!F3816</f>
        <v>-32.4322010515707</v>
      </c>
      <c r="G3819" s="6" t="n">
        <f aca="false">Sens!G3818*Sens!G3816</f>
        <v>11.7487735764296</v>
      </c>
      <c r="H3819" s="6" t="n">
        <f aca="false">Sens!H3818*Sens!H3816</f>
        <v>66.1206961570961</v>
      </c>
      <c r="I3819" s="6" t="n">
        <f aca="false">Sens!I3818*Sens!I3816</f>
        <v>134.873737095385</v>
      </c>
      <c r="J3819" s="6" t="n">
        <f aca="false">Sens!J3818*Sens!J3816</f>
        <v>187.185234961271</v>
      </c>
      <c r="K3819" s="6" t="n">
        <f aca="false">Sens!K3818*Sens!K3816</f>
        <v>202.019485710212</v>
      </c>
    </row>
    <row r="3820" customFormat="false" ht="17.15" hidden="false" customHeight="false" outlineLevel="0" collapsed="false">
      <c r="A3820" s="1" t="s">
        <v>1221</v>
      </c>
      <c r="B3820" s="0" t="s">
        <v>98</v>
      </c>
      <c r="C3820" s="6" t="n">
        <f aca="false">SUM(Sens!F3819:K3819)</f>
        <v>569.515726448823</v>
      </c>
    </row>
    <row r="3821" customFormat="false" ht="17.15" hidden="false" customHeight="false" outlineLevel="0" collapsed="false">
      <c r="A3821" s="1" t="s">
        <v>1222</v>
      </c>
      <c r="B3821" s="0" t="s">
        <v>98</v>
      </c>
      <c r="C3821" s="6" t="n">
        <f aca="false">Sens!K3757*(1+g_tv)*(1-tax_f)</f>
        <v>332.469240863821</v>
      </c>
    </row>
    <row r="3822" customFormat="false" ht="17.15" hidden="false" customHeight="false" outlineLevel="0" collapsed="false">
      <c r="A3822" s="1" t="s">
        <v>1223</v>
      </c>
      <c r="B3822" s="0" t="s">
        <v>98</v>
      </c>
      <c r="C3822" s="6" t="n">
        <f aca="false">Sens!$C$3821*(1-g_tv/(wacc+ronic_prem))</f>
        <v>235.573888741795</v>
      </c>
    </row>
    <row r="3823" customFormat="false" ht="17.15" hidden="false" customHeight="false" outlineLevel="0" collapsed="false">
      <c r="A3823" s="1" t="s">
        <v>1224</v>
      </c>
      <c r="B3823" s="0" t="s">
        <v>98</v>
      </c>
      <c r="C3823" s="6" t="n">
        <f aca="false">Sens!$C$3822/(wacc-g_tv)</f>
        <v>3229.84507073421</v>
      </c>
    </row>
    <row r="3824" customFormat="false" ht="15" hidden="false" customHeight="false" outlineLevel="0" collapsed="false">
      <c r="A3824" s="1" t="s">
        <v>1225</v>
      </c>
      <c r="B3824" s="0" t="s">
        <v>98</v>
      </c>
      <c r="C3824" s="6" t="n">
        <f aca="false">Sens!$C$3823/(1+wacc)^Sens!K3815</f>
        <v>1839.09214293381</v>
      </c>
    </row>
    <row r="3825" customFormat="false" ht="17.15" hidden="false" customHeight="false" outlineLevel="0" collapsed="false">
      <c r="A3825" s="0" t="s">
        <v>1226</v>
      </c>
      <c r="B3825" s="0" t="s">
        <v>98</v>
      </c>
      <c r="C3825" s="6" t="n">
        <f aca="false">Sens!$C$3820+Sens!$C$3824</f>
        <v>2408.60786938264</v>
      </c>
    </row>
    <row r="3826" customFormat="false" ht="15" hidden="false" customHeight="false" outlineLevel="0" collapsed="false">
      <c r="A3826" s="1" t="s">
        <v>1141</v>
      </c>
      <c r="B3826" s="0" t="s">
        <v>168</v>
      </c>
      <c r="C3826" s="7" t="n">
        <f aca="false">Sens!$C$3824/Sens!$C$3825</f>
        <v>0.763549835700404</v>
      </c>
    </row>
    <row r="3827" customFormat="false" ht="17.15" hidden="false" customHeight="false" outlineLevel="0" collapsed="false">
      <c r="A3827" s="1" t="s">
        <v>1227</v>
      </c>
      <c r="B3827" s="0" t="s">
        <v>98</v>
      </c>
      <c r="C3827" s="6" t="n">
        <f aca="false">Sens!$C$3825+cash_val-debt_val-fl_val+oai_v</f>
        <v>2524.45886938264</v>
      </c>
    </row>
    <row r="3828" customFormat="false" ht="17.15" hidden="false" customHeight="false" outlineLevel="0" collapsed="false">
      <c r="A3828" s="0" t="s">
        <v>1149</v>
      </c>
      <c r="B3828" s="0" t="s">
        <v>75</v>
      </c>
      <c r="C3828" s="5" t="n">
        <f aca="false">Sens!$C$3827/shd_val</f>
        <v>339.035572036347</v>
      </c>
    </row>
    <row r="3829" customFormat="false" ht="15" hidden="false" customHeight="false" outlineLevel="0" collapsed="false">
      <c r="A3829" s="1" t="s">
        <v>1228</v>
      </c>
      <c r="B3829" s="0" t="s">
        <v>75</v>
      </c>
      <c r="C3829" s="8" t="n">
        <f aca="false">div_rem27+Sens!G3797*roll_div_q/q_per_yr</f>
        <v>3.9795</v>
      </c>
    </row>
    <row r="3830" customFormat="false" ht="17.15" hidden="false" customHeight="false" outlineLevel="0" collapsed="false">
      <c r="A3830" s="0" t="s">
        <v>1229</v>
      </c>
      <c r="B3830" s="0" t="s">
        <v>75</v>
      </c>
      <c r="C3830" s="5" t="n">
        <f aca="false">Sens!$C$3828*(1+wacc)^t_roll-Sens!$C$3829</f>
        <v>372.877460145856</v>
      </c>
    </row>
    <row r="3831" customFormat="false" ht="17.15" hidden="false" customHeight="false" outlineLevel="0" collapsed="false">
      <c r="A3831" s="1" t="s">
        <v>1230</v>
      </c>
      <c r="B3831" s="0" t="s">
        <v>168</v>
      </c>
      <c r="F3831" s="7" t="n">
        <f aca="false">Sens!F3783/(Sens!F3728-Sens!F3683)</f>
        <v>0.0686573082127886</v>
      </c>
      <c r="G3831" s="7" t="n">
        <f aca="false">Sens!G3783/(Sens!G3728-Sens!G3683)</f>
        <v>0.0654232812624736</v>
      </c>
      <c r="H3831" s="7" t="n">
        <f aca="false">Sens!H3783/(Sens!H3728-Sens!H3683)</f>
        <v>0.0636978244267334</v>
      </c>
      <c r="I3831" s="7" t="n">
        <f aca="false">Sens!I3783/(Sens!I3728-Sens!I3683)</f>
        <v>0.0633669829460557</v>
      </c>
      <c r="J3831" s="7" t="n">
        <f aca="false">Sens!J3783/(Sens!J3728-Sens!J3683)</f>
        <v>0.0640738054573529</v>
      </c>
      <c r="K3831" s="7" t="n">
        <f aca="false">Sens!K3783/(Sens!K3728-Sens!K3683)</f>
        <v>0.065361877751357</v>
      </c>
    </row>
    <row r="3832" customFormat="false" ht="17.15" hidden="false" customHeight="false" outlineLevel="0" collapsed="false">
      <c r="A3832" s="0" t="s">
        <v>1231</v>
      </c>
      <c r="B3832" s="0" t="s">
        <v>98</v>
      </c>
      <c r="F3832" s="6" t="n">
        <f aca="false">Sens!F3713*(al_m365+Sens!F3831+sbc_r)</f>
        <v>84.5339116994992</v>
      </c>
      <c r="G3832" s="6" t="n">
        <f aca="false">Sens!G3713*(al_m365+Sens!G3831+sbc_r)</f>
        <v>98.9593480778369</v>
      </c>
      <c r="H3832" s="6" t="n">
        <f aca="false">Sens!H3713*(al_m365+Sens!H3831+sbc_r)</f>
        <v>113.549393330318</v>
      </c>
      <c r="I3832" s="6" t="n">
        <f aca="false">Sens!I3713*(al_m365+Sens!I3831+sbc_r)</f>
        <v>126.622191970112</v>
      </c>
      <c r="J3832" s="6" t="n">
        <f aca="false">Sens!J3713*(al_m365+Sens!J3831+sbc_r)</f>
        <v>137.991986674761</v>
      </c>
      <c r="K3832" s="6" t="n">
        <f aca="false">Sens!K3713*(al_m365+Sens!K3831+sbc_r)</f>
        <v>148.981942792087</v>
      </c>
      <c r="L3832" s="12" t="s">
        <v>1232</v>
      </c>
    </row>
    <row r="3833" customFormat="false" ht="17.15" hidden="false" customHeight="false" outlineLevel="0" collapsed="false">
      <c r="A3833" s="0" t="s">
        <v>1233</v>
      </c>
      <c r="B3833" s="0" t="s">
        <v>98</v>
      </c>
      <c r="F3833" s="6" t="n">
        <f aca="false">Sens!F3714*(al_lic+Sens!F3831+sbc_r)</f>
        <v>32.8592144244205</v>
      </c>
      <c r="G3833" s="6" t="n">
        <f aca="false">Sens!G3714*(al_lic+Sens!G3831+sbc_r)</f>
        <v>34.1212192861125</v>
      </c>
      <c r="H3833" s="6" t="n">
        <f aca="false">Sens!H3714*(al_lic+Sens!H3831+sbc_r)</f>
        <v>35.3038803047205</v>
      </c>
      <c r="I3833" s="6" t="n">
        <f aca="false">Sens!I3714*(al_lic+Sens!I3831+sbc_r)</f>
        <v>36.3902264141101</v>
      </c>
      <c r="J3833" s="6" t="n">
        <f aca="false">Sens!J3714*(al_lic+Sens!J3831+sbc_r)</f>
        <v>37.3523167706115</v>
      </c>
      <c r="K3833" s="6" t="n">
        <f aca="false">Sens!K3714*(al_lic+Sens!K3831+sbc_r)</f>
        <v>38.1569993332231</v>
      </c>
    </row>
    <row r="3834" customFormat="false" ht="17.15" hidden="false" customHeight="false" outlineLevel="0" collapsed="false">
      <c r="A3834" s="0" t="s">
        <v>1234</v>
      </c>
      <c r="B3834" s="0" t="s">
        <v>98</v>
      </c>
      <c r="F3834" s="6" t="n">
        <f aca="false">Sens!F3716*(al_ind+Sens!F3831+sbc_r)</f>
        <v>9.06125925304431</v>
      </c>
      <c r="G3834" s="6" t="n">
        <f aca="false">Sens!G3716*(al_ind+Sens!G3831+sbc_r)</f>
        <v>9.82618729815196</v>
      </c>
      <c r="H3834" s="6" t="n">
        <f aca="false">Sens!H3716*(al_ind+Sens!H3831+sbc_r)</f>
        <v>10.6386676407403</v>
      </c>
      <c r="I3834" s="6" t="n">
        <f aca="false">Sens!I3716*(al_ind+Sens!I3831+sbc_r)</f>
        <v>11.4968869221037</v>
      </c>
      <c r="J3834" s="6" t="n">
        <f aca="false">Sens!J3716*(al_ind+Sens!J3831+sbc_r)</f>
        <v>12.3899466029091</v>
      </c>
      <c r="K3834" s="6" t="n">
        <f aca="false">Sens!K3716*(al_ind+Sens!K3831+sbc_r)</f>
        <v>13.2997787110655</v>
      </c>
    </row>
    <row r="3835" customFormat="false" ht="17.15" hidden="false" customHeight="false" outlineLevel="0" collapsed="false">
      <c r="A3835" s="0" t="s">
        <v>1235</v>
      </c>
      <c r="B3835" s="0" t="s">
        <v>98</v>
      </c>
      <c r="F3835" s="6" t="n">
        <f aca="false">Sens!F3718*(al_fro+Sens!F3831+sbc_r)</f>
        <v>3.55435987881646</v>
      </c>
      <c r="G3835" s="6" t="n">
        <f aca="false">Sens!G3718*(al_fro+Sens!G3831+sbc_r)</f>
        <v>3.75978724589511</v>
      </c>
      <c r="H3835" s="6" t="n">
        <f aca="false">Sens!H3718*(al_fro+Sens!H3831+sbc_r)</f>
        <v>3.9953190147758</v>
      </c>
      <c r="I3835" s="6" t="n">
        <f aca="false">Sens!I3718*(al_fro+Sens!I3831+sbc_r)</f>
        <v>4.26405713094652</v>
      </c>
      <c r="J3835" s="6" t="n">
        <f aca="false">Sens!J3718*(al_fro+Sens!J3831+sbc_r)</f>
        <v>4.56662499758479</v>
      </c>
      <c r="K3835" s="6" t="n">
        <f aca="false">Sens!K3718*(al_fro+Sens!K3831+sbc_r)</f>
        <v>4.90196639830854</v>
      </c>
    </row>
    <row r="3836" customFormat="false" ht="17.15" hidden="false" customHeight="false" outlineLevel="0" collapsed="false">
      <c r="A3836" s="0" t="s">
        <v>1236</v>
      </c>
      <c r="B3836" s="0" t="s">
        <v>98</v>
      </c>
      <c r="F3836" s="6" t="n">
        <f aca="false">Sens!F3721*(al_srch+Sens!F3831+sbc_r)</f>
        <v>11.1901304196618</v>
      </c>
      <c r="G3836" s="6" t="n">
        <f aca="false">Sens!G3721*(al_srch+Sens!G3831+sbc_r)</f>
        <v>12.2492685501365</v>
      </c>
      <c r="H3836" s="6" t="n">
        <f aca="false">Sens!H3721*(al_srch+Sens!H3831+sbc_r)</f>
        <v>13.3564506486133</v>
      </c>
      <c r="I3836" s="6" t="n">
        <f aca="false">Sens!I3721*(al_srch+Sens!I3831+sbc_r)</f>
        <v>14.5027356921074</v>
      </c>
      <c r="J3836" s="6" t="n">
        <f aca="false">Sens!J3721*(al_srch+Sens!J3831+sbc_r)</f>
        <v>15.66674630838</v>
      </c>
      <c r="K3836" s="6" t="n">
        <f aca="false">Sens!K3721*(al_srch+Sens!K3831+sbc_r)</f>
        <v>16.8172039559018</v>
      </c>
    </row>
    <row r="3837" customFormat="false" ht="17.15" hidden="false" customHeight="false" outlineLevel="0" collapsed="false">
      <c r="A3837" s="0" t="s">
        <v>1237</v>
      </c>
      <c r="B3837" s="0" t="s">
        <v>98</v>
      </c>
      <c r="F3837" s="6" t="n">
        <f aca="false">Sens!F3689-Sens!F3690+Sens!F3771</f>
        <v>49.9206978791482</v>
      </c>
      <c r="G3837" s="6" t="n">
        <f aca="false">Sens!G3689-Sens!G3690+Sens!G3771</f>
        <v>105.617120566737</v>
      </c>
      <c r="H3837" s="6" t="n">
        <f aca="false">Sens!H3689-Sens!H3690+Sens!H3771</f>
        <v>170.473200806397</v>
      </c>
      <c r="I3837" s="6" t="n">
        <f aca="false">Sens!I3689-Sens!I3690+Sens!I3771</f>
        <v>222.003630734676</v>
      </c>
      <c r="J3837" s="6" t="n">
        <f aca="false">Sens!J3689-Sens!J3690+Sens!J3771</f>
        <v>257.754832697005</v>
      </c>
      <c r="K3837" s="6" t="n">
        <f aca="false">Sens!K3689-Sens!K3690+Sens!K3771</f>
        <v>278.524024271872</v>
      </c>
    </row>
    <row r="3838" customFormat="false" ht="17.15" hidden="false" customHeight="false" outlineLevel="0" collapsed="false">
      <c r="A3838" s="0" t="s">
        <v>1238</v>
      </c>
      <c r="B3838" s="0" t="s">
        <v>98</v>
      </c>
      <c r="F3838" s="6" t="n">
        <f aca="false">Sens!F3750+Sens!F3771+Sens!F3701+Sens!F3831*(Sens!F3720-Sens!F3683)+sbc_r*Sens!F3720</f>
        <v>245.400992578433</v>
      </c>
      <c r="G3838" s="6" t="n">
        <f aca="false">Sens!G3750+Sens!G3771+Sens!G3701+Sens!G3831*(Sens!G3720-Sens!G3683)+sbc_r*Sens!G3720</f>
        <v>326.258998933525</v>
      </c>
      <c r="H3838" s="6" t="n">
        <f aca="false">Sens!H3750+Sens!H3771+Sens!H3701+Sens!H3831*(Sens!H3720-Sens!H3683)+sbc_r*Sens!H3720</f>
        <v>421.395280455926</v>
      </c>
      <c r="I3838" s="6" t="n">
        <f aca="false">Sens!I3750+Sens!I3771+Sens!I3701+Sens!I3831*(Sens!I3720-Sens!I3683)+sbc_r*Sens!I3720</f>
        <v>501.03812707236</v>
      </c>
      <c r="J3838" s="6" t="n">
        <f aca="false">Sens!J3750+Sens!J3771+Sens!J3701+Sens!J3831*(Sens!J3720-Sens!J3683)+sbc_r*Sens!J3720</f>
        <v>561.83356834252</v>
      </c>
      <c r="K3838" s="6" t="n">
        <f aca="false">Sens!K3750+Sens!K3771+Sens!K3701+Sens!K3831*(Sens!K3720-Sens!K3683)+sbc_r*Sens!K3720</f>
        <v>605.133143015992</v>
      </c>
    </row>
    <row r="3839" customFormat="false" ht="17.15" hidden="false" customHeight="false" outlineLevel="0" collapsed="false">
      <c r="A3839" s="0" t="s">
        <v>1239</v>
      </c>
      <c r="B3839" s="0" t="s">
        <v>98</v>
      </c>
      <c r="F3839" s="6" t="n">
        <f aca="false">Sens!F3838-Sens!F3832-Sens!F3833-Sens!F3834-Sens!F3835-Sens!F3837</f>
        <v>65.4715494435044</v>
      </c>
      <c r="G3839" s="6" t="n">
        <f aca="false">Sens!G3838-Sens!G3832-Sens!G3833-Sens!G3834-Sens!G3835-Sens!G3837</f>
        <v>73.9753364587911</v>
      </c>
      <c r="H3839" s="6" t="n">
        <f aca="false">Sens!H3838-Sens!H3832-Sens!H3833-Sens!H3834-Sens!H3835-Sens!H3837</f>
        <v>87.4348193589751</v>
      </c>
      <c r="I3839" s="6" t="n">
        <f aca="false">Sens!I3838-Sens!I3832-Sens!I3833-Sens!I3834-Sens!I3835-Sens!I3837</f>
        <v>100.261133900412</v>
      </c>
      <c r="J3839" s="6" t="n">
        <f aca="false">Sens!J3838-Sens!J3832-Sens!J3833-Sens!J3834-Sens!J3835-Sens!J3837</f>
        <v>111.777860599648</v>
      </c>
      <c r="K3839" s="6" t="n">
        <f aca="false">Sens!K3838-Sens!K3832-Sens!K3833-Sens!K3834-Sens!K3835-Sens!K3837</f>
        <v>121.268431509436</v>
      </c>
    </row>
    <row r="3840" customFormat="false" ht="17.15" hidden="false" customHeight="false" outlineLevel="0" collapsed="false">
      <c r="A3840" s="0" t="s">
        <v>1240</v>
      </c>
      <c r="B3840" s="0" t="s">
        <v>98</v>
      </c>
      <c r="F3840" s="6" t="n">
        <f aca="false">Sens!F3752+Sens!F3831*Sens!F3727+sbc_r*Sens!F3727</f>
        <v>26.636063447511</v>
      </c>
      <c r="G3840" s="6" t="n">
        <f aca="false">Sens!G3752+Sens!G3831*Sens!G3727+sbc_r*Sens!G3727</f>
        <v>26.4449079104596</v>
      </c>
      <c r="H3840" s="6" t="n">
        <f aca="false">Sens!H3752+Sens!H3831*Sens!H3727+sbc_r*Sens!H3727</f>
        <v>27.2992609480563</v>
      </c>
      <c r="I3840" s="6" t="n">
        <f aca="false">Sens!I3752+Sens!I3831*Sens!I3727+sbc_r*Sens!I3727</f>
        <v>28.400181505369</v>
      </c>
      <c r="J3840" s="6" t="n">
        <f aca="false">Sens!J3752+Sens!J3831*Sens!J3727+sbc_r*Sens!J3727</f>
        <v>29.7083228183648</v>
      </c>
      <c r="K3840" s="6" t="n">
        <f aca="false">Sens!K3752+Sens!K3831*Sens!K3727+sbc_r*Sens!K3727</f>
        <v>31.1790933268336</v>
      </c>
    </row>
    <row r="3841" customFormat="false" ht="17.15" hidden="false" customHeight="false" outlineLevel="0" collapsed="false">
      <c r="A3841" s="0" t="s">
        <v>1241</v>
      </c>
      <c r="B3841" s="0" t="s">
        <v>98</v>
      </c>
      <c r="F3841" s="6" t="n">
        <f aca="false">(Sens!F3840-Sens!F3836)*Sens!F3723/(Sens!F3723+Sens!F3725)</f>
        <v>8.72363929393888</v>
      </c>
      <c r="G3841" s="6" t="n">
        <f aca="false">(Sens!G3840-Sens!G3836)*Sens!G3723/(Sens!G3723+Sens!G3725)</f>
        <v>7.87970062099574</v>
      </c>
      <c r="H3841" s="6" t="n">
        <f aca="false">(Sens!H3840-Sens!H3836)*Sens!H3723/(Sens!H3723+Sens!H3725)</f>
        <v>7.63853957803329</v>
      </c>
      <c r="I3841" s="6" t="n">
        <f aca="false">(Sens!I3840-Sens!I3836)*Sens!I3723/(Sens!I3723+Sens!I3725)</f>
        <v>7.547231024555</v>
      </c>
      <c r="J3841" s="6" t="n">
        <f aca="false">(Sens!J3840-Sens!J3836)*Sens!J3723/(Sens!J3723+Sens!J3725)</f>
        <v>7.59223380194643</v>
      </c>
      <c r="K3841" s="6" t="n">
        <f aca="false">(Sens!K3840-Sens!K3836)*Sens!K3723/(Sens!K3723+Sens!K3725)</f>
        <v>7.76542590244529</v>
      </c>
    </row>
    <row r="3842" customFormat="false" ht="17.15" hidden="false" customHeight="false" outlineLevel="0" collapsed="false">
      <c r="A3842" s="0" t="s">
        <v>1242</v>
      </c>
      <c r="B3842" s="0" t="s">
        <v>98</v>
      </c>
      <c r="F3842" s="6" t="n">
        <f aca="false">Sens!F3840-Sens!F3836-Sens!F3841</f>
        <v>6.72229373391033</v>
      </c>
      <c r="G3842" s="6" t="n">
        <f aca="false">Sens!G3840-Sens!G3836-Sens!G3841</f>
        <v>6.31593873932742</v>
      </c>
      <c r="H3842" s="6" t="n">
        <f aca="false">Sens!H3840-Sens!H3836-Sens!H3841</f>
        <v>6.30427072140968</v>
      </c>
      <c r="I3842" s="6" t="n">
        <f aca="false">Sens!I3840-Sens!I3836-Sens!I3841</f>
        <v>6.3502147887066</v>
      </c>
      <c r="J3842" s="6" t="n">
        <f aca="false">Sens!J3840-Sens!J3836-Sens!J3841</f>
        <v>6.44934270803844</v>
      </c>
      <c r="K3842" s="6" t="n">
        <f aca="false">Sens!K3840-Sens!K3836-Sens!K3841</f>
        <v>6.59646346848654</v>
      </c>
    </row>
    <row r="3843" customFormat="false" ht="17.15" hidden="false" customHeight="false" outlineLevel="0" collapsed="false">
      <c r="A3843" s="0" t="s">
        <v>1243</v>
      </c>
      <c r="B3843" s="0" t="s">
        <v>98</v>
      </c>
      <c r="F3843" s="6" t="n">
        <f aca="false">Sens!F3837-tax_f*(Sens!F3837-Sens!F3701)-Sens!F3698</f>
        <v>-157.518967343367</v>
      </c>
      <c r="G3843" s="6" t="n">
        <f aca="false">Sens!G3837-tax_f*(Sens!G3837-Sens!G3701)-Sens!G3698</f>
        <v>-132.07996821541</v>
      </c>
      <c r="H3843" s="6" t="n">
        <f aca="false">Sens!H3837-tax_f*(Sens!H3837-Sens!H3701)-Sens!H3698</f>
        <v>-79.2211941200437</v>
      </c>
      <c r="I3843" s="6" t="n">
        <f aca="false">Sens!I3837-tax_f*(Sens!I3837-Sens!I3701)-Sens!I3698</f>
        <v>8.13635500101208</v>
      </c>
      <c r="J3843" s="6" t="n">
        <f aca="false">Sens!J3837-tax_f*(Sens!J3837-Sens!J3701)-Sens!J3698</f>
        <v>92.0055024823259</v>
      </c>
      <c r="K3843" s="6" t="n">
        <f aca="false">Sens!K3837-tax_f*(Sens!K3837-Sens!K3701)-Sens!K3698</f>
        <v>132.276956956073</v>
      </c>
    </row>
    <row r="3844" customFormat="false" ht="17.15" hidden="false" customHeight="false" outlineLevel="0" collapsed="false">
      <c r="A3844" s="0" t="s">
        <v>1244</v>
      </c>
      <c r="B3844" s="0" t="s">
        <v>98</v>
      </c>
      <c r="G3844" s="6" t="n">
        <f aca="false">Sens!G3843/(1+wacc)^(Sens!G3814-Sens!F3815)</f>
        <v>-125.765546752026</v>
      </c>
      <c r="H3844" s="6" t="n">
        <f aca="false">Sens!H3843/(1+wacc)^(Sens!H3814-Sens!F3815)</f>
        <v>-68.393616163756</v>
      </c>
      <c r="I3844" s="6" t="n">
        <f aca="false">Sens!I3843/(1+wacc)^(Sens!I3814-Sens!F3815)</f>
        <v>6.36874010387835</v>
      </c>
      <c r="J3844" s="6" t="n">
        <f aca="false">Sens!J3843/(1+wacc)^(Sens!J3814-Sens!F3815)</f>
        <v>65.2960475587773</v>
      </c>
      <c r="K3844" s="6" t="n">
        <f aca="false">Sens!K3843/(1+wacc)^(Sens!K3814-Sens!F3815)</f>
        <v>85.1151252363344</v>
      </c>
      <c r="L3844" s="1" t="s">
        <v>1245</v>
      </c>
    </row>
    <row r="3845" customFormat="false" ht="17.15" hidden="false" customHeight="false" outlineLevel="0" collapsed="false">
      <c r="A3845" s="0" t="s">
        <v>1246</v>
      </c>
      <c r="B3845" s="0" t="s">
        <v>98</v>
      </c>
      <c r="C3845" s="6" t="n">
        <f aca="false">(Sens!K3837-Sens!K3701)*(1-tax_f)*(1+g_tv)*(1-g_tv/(wacc+ronic_prem))/(wacc-g_tv)/(1+wacc)^(Sens!K3815-Sens!F3815)</f>
        <v>550.251962540883</v>
      </c>
    </row>
    <row r="3846" customFormat="false" ht="17.15" hidden="false" customHeight="false" outlineLevel="0" collapsed="false">
      <c r="A3846" s="1" t="s">
        <v>1247</v>
      </c>
      <c r="B3846" s="0" t="s">
        <v>98</v>
      </c>
      <c r="C3846" s="6" t="n">
        <f aca="false">(SUM(Sens!G3844:K3844)+Sens!$C$3845)*(1+wacc)^(t_roll-Sens!F3815)</f>
        <v>529.804191806718</v>
      </c>
      <c r="L3846" s="12" t="s">
        <v>1248</v>
      </c>
    </row>
    <row r="3847" customFormat="false" ht="17.15" hidden="false" customHeight="false" outlineLevel="0" collapsed="false">
      <c r="A3847" s="1" t="s">
        <v>1249</v>
      </c>
      <c r="B3847" s="0" t="s">
        <v>98</v>
      </c>
      <c r="C3847" s="6" t="n">
        <f aca="false">(w_ntm28*Sens!G3689+(1-w_ntm28)*Sens!H3689)*m_ai</f>
        <v>639.348509201108</v>
      </c>
    </row>
    <row r="3848" customFormat="false" ht="17.15" hidden="false" customHeight="false" outlineLevel="0" collapsed="false">
      <c r="A3848" s="1" t="s">
        <v>1250</v>
      </c>
      <c r="B3848" s="0" t="s">
        <v>98</v>
      </c>
      <c r="C3848" s="6" t="n">
        <f aca="false">(w_ntm28*Sens!G3839+(1-w_ntm28)*Sens!H3839)*m_cloud</f>
        <v>1083.49314011163</v>
      </c>
    </row>
    <row r="3849" customFormat="false" ht="17.15" hidden="false" customHeight="false" outlineLevel="0" collapsed="false">
      <c r="A3849" s="1" t="s">
        <v>1251</v>
      </c>
      <c r="B3849" s="0" t="s">
        <v>98</v>
      </c>
      <c r="C3849" s="6" t="n">
        <f aca="false">(w_ntm28*Sens!G3832+(1-w_ntm28)*Sens!H3832)*m_sw</f>
        <v>1120.56561306862</v>
      </c>
    </row>
    <row r="3850" customFormat="false" ht="17.15" hidden="false" customHeight="false" outlineLevel="0" collapsed="false">
      <c r="A3850" s="1" t="s">
        <v>1252</v>
      </c>
      <c r="B3850" s="0" t="s">
        <v>98</v>
      </c>
      <c r="C3850" s="6" t="n">
        <f aca="false">(w_ntm28*Sens!G3833+(1-w_ntm28)*Sens!H3833)*m_sw</f>
        <v>372.708424947867</v>
      </c>
    </row>
    <row r="3851" customFormat="false" ht="17.15" hidden="false" customHeight="false" outlineLevel="0" collapsed="false">
      <c r="A3851" s="1" t="s">
        <v>1253</v>
      </c>
      <c r="B3851" s="0" t="s">
        <v>98</v>
      </c>
      <c r="C3851" s="6" t="n">
        <f aca="false">(w_ntm28*Sens!G3834+(1-w_ntm28)*Sens!H3834)*m_sw</f>
        <v>109.007684529615</v>
      </c>
    </row>
    <row r="3852" customFormat="false" ht="17.15" hidden="false" customHeight="false" outlineLevel="0" collapsed="false">
      <c r="A3852" s="1" t="s">
        <v>1254</v>
      </c>
      <c r="B3852" s="0" t="s">
        <v>98</v>
      </c>
      <c r="C3852" s="6" t="n">
        <f aca="false">(w_ntm28*Sens!G3835+(1-w_ntm28)*Sens!H3835)*m_sw</f>
        <v>41.442001358323</v>
      </c>
    </row>
    <row r="3853" customFormat="false" ht="17.15" hidden="false" customHeight="false" outlineLevel="0" collapsed="false">
      <c r="A3853" s="1" t="s">
        <v>1255</v>
      </c>
      <c r="B3853" s="0" t="s">
        <v>98</v>
      </c>
      <c r="C3853" s="6" t="n">
        <f aca="false">(w_ntm28*Sens!G3836+(1-w_ntm28)*Sens!H3836)*m_ads</f>
        <v>114.906922711072</v>
      </c>
    </row>
    <row r="3854" customFormat="false" ht="17.15" hidden="false" customHeight="false" outlineLevel="0" collapsed="false">
      <c r="A3854" s="1" t="s">
        <v>1256</v>
      </c>
      <c r="B3854" s="0" t="s">
        <v>98</v>
      </c>
      <c r="C3854" s="6" t="n">
        <f aca="false">(w_ntm28*Sens!G3841+(1-w_ntm28)*Sens!H3841)*m_game</f>
        <v>98.5192389069738</v>
      </c>
    </row>
    <row r="3855" customFormat="false" ht="17.15" hidden="false" customHeight="false" outlineLevel="0" collapsed="false">
      <c r="A3855" s="1" t="s">
        <v>1257</v>
      </c>
      <c r="B3855" s="0" t="s">
        <v>98</v>
      </c>
      <c r="C3855" s="6" t="n">
        <f aca="false">(w_ntm28*Sens!G3842+(1-w_ntm28)*Sens!H3842)*m_pc</f>
        <v>91.3361257599517</v>
      </c>
    </row>
    <row r="3856" customFormat="false" ht="17.15" hidden="false" customHeight="false" outlineLevel="0" collapsed="false">
      <c r="A3856" s="1" t="s">
        <v>1258</v>
      </c>
      <c r="B3856" s="0" t="s">
        <v>98</v>
      </c>
      <c r="C3856" s="6" t="n">
        <f aca="false">Sens!$C$3846+Sens!$C$3848+Sens!$C$3849+Sens!$C$3850+Sens!$C$3851+Sens!$C$3852+Sens!$C$3853+Sens!$C$3854+Sens!$C$3855</f>
        <v>3561.78334320078</v>
      </c>
    </row>
    <row r="3857" customFormat="false" ht="17.15" hidden="false" customHeight="false" outlineLevel="0" collapsed="false">
      <c r="A3857" s="1" t="s">
        <v>1259</v>
      </c>
      <c r="B3857" s="0" t="s">
        <v>98</v>
      </c>
      <c r="C3857" s="6" t="n">
        <f aca="false">(Sens!G3818-Sens!G3843)*t_stub</f>
        <v>48.1867629371298</v>
      </c>
      <c r="L3857" s="1" t="s">
        <v>1260</v>
      </c>
    </row>
    <row r="3858" customFormat="false" ht="17.15" hidden="false" customHeight="false" outlineLevel="0" collapsed="false">
      <c r="A3858" s="1" t="s">
        <v>1169</v>
      </c>
      <c r="B3858" s="0" t="s">
        <v>98</v>
      </c>
      <c r="C3858" s="6" t="n">
        <f aca="false">Sens!F3805+oai_v-Sens!F3794+Sens!$C$3857</f>
        <v>132.020859389592</v>
      </c>
      <c r="L3858" s="1" t="s">
        <v>1261</v>
      </c>
    </row>
    <row r="3859" customFormat="false" ht="17.15" hidden="false" customHeight="false" outlineLevel="0" collapsed="false">
      <c r="A3859" s="1" t="s">
        <v>1262</v>
      </c>
      <c r="B3859" s="0" t="s">
        <v>75</v>
      </c>
      <c r="C3859" s="5" t="n">
        <f aca="false">(Sens!$C$3856+Sens!$C$3858)/(Sens!F3807+dil_gap)-Sens!G3797*roll_div_q/q_per_yr</f>
        <v>491.730537698822</v>
      </c>
      <c r="L3859" s="1" t="s">
        <v>1263</v>
      </c>
    </row>
    <row r="3860" customFormat="false" ht="17.15" hidden="false" customHeight="false" outlineLevel="0" collapsed="false">
      <c r="A3860" s="1" t="s">
        <v>1264</v>
      </c>
      <c r="B3860" s="0" t="s">
        <v>75</v>
      </c>
      <c r="C3860" s="5" t="n">
        <f aca="false">w_dcf*Sens!$C$3830+(1-w_dcf)*Sens!$C$3859</f>
        <v>432.303998922339</v>
      </c>
    </row>
    <row r="3861" customFormat="false" ht="17.15" hidden="false" customHeight="false" outlineLevel="0" collapsed="false">
      <c r="A3861" s="3" t="s">
        <v>1575</v>
      </c>
    </row>
    <row r="3862" customFormat="false" ht="15" hidden="false" customHeight="false" outlineLevel="0" collapsed="false">
      <c r="A3862" s="4" t="s">
        <v>43</v>
      </c>
      <c r="B3862" s="4" t="s">
        <v>65</v>
      </c>
      <c r="C3862" s="23" t="s">
        <v>938</v>
      </c>
      <c r="D3862" s="23" t="s">
        <v>939</v>
      </c>
      <c r="E3862" s="23" t="s">
        <v>940</v>
      </c>
      <c r="F3862" s="23" t="s">
        <v>941</v>
      </c>
      <c r="G3862" s="23" t="s">
        <v>942</v>
      </c>
      <c r="H3862" s="23" t="s">
        <v>943</v>
      </c>
      <c r="I3862" s="23" t="s">
        <v>944</v>
      </c>
      <c r="J3862" s="23" t="s">
        <v>945</v>
      </c>
      <c r="K3862" s="23" t="s">
        <v>946</v>
      </c>
      <c r="L3862" s="4" t="s">
        <v>47</v>
      </c>
    </row>
    <row r="3863" customFormat="false" ht="17.15" hidden="false" customHeight="false" outlineLevel="0" collapsed="false">
      <c r="A3863" s="1" t="s">
        <v>947</v>
      </c>
      <c r="B3863" s="1" t="s">
        <v>279</v>
      </c>
      <c r="C3863" s="21" t="n">
        <v>2024</v>
      </c>
      <c r="D3863" s="21" t="n">
        <v>2025</v>
      </c>
      <c r="E3863" s="21" t="n">
        <v>2026</v>
      </c>
      <c r="F3863" s="21" t="n">
        <v>2027</v>
      </c>
      <c r="G3863" s="21" t="n">
        <v>2028</v>
      </c>
      <c r="H3863" s="21" t="n">
        <v>2029</v>
      </c>
      <c r="I3863" s="21" t="n">
        <v>2030</v>
      </c>
      <c r="J3863" s="21" t="n">
        <v>2031</v>
      </c>
      <c r="K3863" s="21" t="n">
        <v>2032</v>
      </c>
    </row>
    <row r="3864" customFormat="false" ht="17.15" hidden="false" customHeight="false" outlineLevel="0" collapsed="false">
      <c r="A3864" s="1" t="s">
        <v>948</v>
      </c>
      <c r="B3864" s="0" t="s">
        <v>456</v>
      </c>
      <c r="F3864" s="30" t="n">
        <f aca="false">pace*1.2</f>
        <v>3271.84212</v>
      </c>
      <c r="G3864" s="30" t="n">
        <f aca="false">pace*1.2</f>
        <v>3271.84212</v>
      </c>
      <c r="H3864" s="30" t="n">
        <f aca="false">pace*1.2</f>
        <v>3271.84212</v>
      </c>
      <c r="I3864" s="30" t="n">
        <f aca="false">pace*1.2+(g_tv*Sens!H3865-pace*1.2)*MIN(1,(Sens!I3863-pace_y0)/(pace_y1-pace_y0))</f>
        <v>2311.8833436</v>
      </c>
      <c r="J3864" s="30" t="n">
        <f aca="false">pace*1.2+(g_tv*Sens!I3865-pace*1.2)*MIN(1,(Sens!J3863-pace_y0)/(pace_y1-pace_y0))</f>
        <v>1398.162234072</v>
      </c>
      <c r="K3864" s="30" t="n">
        <f aca="false">pace*1.2+(g_tv*Sens!J3865-pace*1.2)*MIN(1,(Sens!K3863-pace_y0)/(pace_y1-pace_y0))</f>
        <v>503.26715813016</v>
      </c>
      <c r="L3864" s="12" t="s">
        <v>949</v>
      </c>
    </row>
    <row r="3865" customFormat="false" ht="17.15" hidden="false" customHeight="false" outlineLevel="0" collapsed="false">
      <c r="A3865" s="1" t="s">
        <v>950</v>
      </c>
      <c r="B3865" s="0" t="s">
        <v>456</v>
      </c>
      <c r="C3865" s="30" t="n">
        <f aca="false">mw_ext_24</f>
        <v>640</v>
      </c>
      <c r="D3865" s="30" t="n">
        <f aca="false">mw_ext_25</f>
        <v>1630</v>
      </c>
      <c r="E3865" s="30" t="n">
        <f aca="false">mw_ext_26</f>
        <v>3250</v>
      </c>
      <c r="F3865" s="30" t="n">
        <f aca="false">Sens!E3865+Sens!F3864</f>
        <v>6521.84212</v>
      </c>
      <c r="G3865" s="30" t="n">
        <f aca="false">Sens!F3865+Sens!G3864</f>
        <v>9793.68424</v>
      </c>
      <c r="H3865" s="30" t="n">
        <f aca="false">Sens!G3865+Sens!H3864</f>
        <v>13065.52636</v>
      </c>
      <c r="I3865" s="30" t="n">
        <f aca="false">Sens!H3865+Sens!I3864</f>
        <v>15377.4097036</v>
      </c>
      <c r="J3865" s="30" t="n">
        <f aca="false">Sens!I3865+Sens!J3864</f>
        <v>16775.571937672</v>
      </c>
      <c r="K3865" s="30" t="n">
        <f aca="false">Sens!J3865+Sens!K3864</f>
        <v>17278.8390958022</v>
      </c>
      <c r="L3865" s="1" t="s">
        <v>951</v>
      </c>
    </row>
    <row r="3866" customFormat="false" ht="17.15" hidden="false" customHeight="false" outlineLevel="0" collapsed="false">
      <c r="A3866" s="1" t="s">
        <v>952</v>
      </c>
      <c r="B3866" s="0" t="s">
        <v>456</v>
      </c>
      <c r="C3866" s="30" t="n">
        <f aca="false">rent_ext_24</f>
        <v>150</v>
      </c>
      <c r="D3866" s="30" t="n">
        <f aca="false">rent_ext_25</f>
        <v>400</v>
      </c>
      <c r="E3866" s="30" t="n">
        <f aca="false">rent_ext_26</f>
        <v>550</v>
      </c>
      <c r="F3866" s="30" t="n">
        <f aca="false">rent_ext_f</f>
        <v>756</v>
      </c>
      <c r="G3866" s="30" t="n">
        <f aca="false">rent_ext_f</f>
        <v>756</v>
      </c>
      <c r="H3866" s="30" t="n">
        <f aca="false">rent_ext_f</f>
        <v>756</v>
      </c>
      <c r="I3866" s="30" t="n">
        <f aca="false">rent_ext_f</f>
        <v>756</v>
      </c>
      <c r="J3866" s="30" t="n">
        <f aca="false">rent_ext_f</f>
        <v>756</v>
      </c>
      <c r="K3866" s="30" t="n">
        <f aca="false">rent_ext_f</f>
        <v>756</v>
      </c>
      <c r="L3866" s="1" t="s">
        <v>953</v>
      </c>
    </row>
    <row r="3867" customFormat="false" ht="17.15" hidden="false" customHeight="false" outlineLevel="0" collapsed="false">
      <c r="A3867" s="1" t="s">
        <v>954</v>
      </c>
      <c r="B3867" s="0" t="s">
        <v>456</v>
      </c>
      <c r="C3867" s="30" t="n">
        <f aca="false">Sens!C3865-Sens!C3866</f>
        <v>490</v>
      </c>
      <c r="D3867" s="30" t="n">
        <f aca="false">Sens!D3865-Sens!D3866</f>
        <v>1230</v>
      </c>
      <c r="E3867" s="30" t="n">
        <f aca="false">Sens!E3865-Sens!E3866</f>
        <v>2700</v>
      </c>
      <c r="F3867" s="30" t="n">
        <f aca="false">Sens!F3865-Sens!F3866</f>
        <v>5765.84212</v>
      </c>
      <c r="G3867" s="30" t="n">
        <f aca="false">Sens!G3865-Sens!G3866</f>
        <v>9037.68424</v>
      </c>
      <c r="H3867" s="30" t="n">
        <f aca="false">Sens!H3865-Sens!H3866</f>
        <v>12309.52636</v>
      </c>
      <c r="I3867" s="30" t="n">
        <f aca="false">Sens!I3865-Sens!I3866</f>
        <v>14621.4097036</v>
      </c>
      <c r="J3867" s="30" t="n">
        <f aca="false">Sens!J3865-Sens!J3866</f>
        <v>16019.571937672</v>
      </c>
      <c r="K3867" s="30" t="n">
        <f aca="false">Sens!K3865-Sens!K3866</f>
        <v>16522.8390958022</v>
      </c>
    </row>
    <row r="3868" customFormat="false" ht="17.15" hidden="false" customHeight="false" outlineLevel="0" collapsed="false">
      <c r="A3868" s="1" t="s">
        <v>955</v>
      </c>
      <c r="B3868" s="0" t="s">
        <v>456</v>
      </c>
      <c r="C3868" s="30" t="n">
        <f aca="false">Sens!C3867/ext_sh</f>
        <v>816.666666666667</v>
      </c>
      <c r="D3868" s="30" t="n">
        <f aca="false">Sens!D3867/ext_sh</f>
        <v>2050</v>
      </c>
      <c r="E3868" s="30" t="n">
        <f aca="false">Sens!E3867/ext_sh</f>
        <v>4500</v>
      </c>
      <c r="F3868" s="30" t="n">
        <f aca="false">Sens!F3867/ext_sh</f>
        <v>9609.73686666667</v>
      </c>
      <c r="G3868" s="30" t="n">
        <f aca="false">Sens!G3867/ext_sh</f>
        <v>15062.8070666667</v>
      </c>
      <c r="H3868" s="30" t="n">
        <f aca="false">Sens!H3867/ext_sh</f>
        <v>20515.8772666667</v>
      </c>
      <c r="I3868" s="30" t="n">
        <f aca="false">Sens!I3867/ext_sh</f>
        <v>24369.0161726667</v>
      </c>
      <c r="J3868" s="30" t="n">
        <f aca="false">Sens!J3867/ext_sh</f>
        <v>26699.2865627867</v>
      </c>
      <c r="K3868" s="30" t="n">
        <f aca="false">Sens!K3867/ext_sh</f>
        <v>27538.0651596703</v>
      </c>
      <c r="L3868" s="1" t="s">
        <v>956</v>
      </c>
    </row>
    <row r="3869" customFormat="false" ht="17.15" hidden="false" customHeight="false" outlineLevel="0" collapsed="false">
      <c r="A3869" s="1" t="s">
        <v>957</v>
      </c>
      <c r="B3869" s="0" t="s">
        <v>456</v>
      </c>
      <c r="C3869" s="30" t="n">
        <f aca="false">Sens!C3868-Sens!C3867</f>
        <v>326.666666666667</v>
      </c>
      <c r="D3869" s="30" t="n">
        <f aca="false">Sens!D3868-Sens!D3867</f>
        <v>820</v>
      </c>
      <c r="E3869" s="30" t="n">
        <f aca="false">Sens!E3868-Sens!E3867</f>
        <v>1800</v>
      </c>
      <c r="F3869" s="30" t="n">
        <f aca="false">Sens!F3868-Sens!F3867</f>
        <v>3843.89474666667</v>
      </c>
      <c r="G3869" s="30" t="n">
        <f aca="false">Sens!G3868-Sens!G3867</f>
        <v>6025.12282666667</v>
      </c>
      <c r="H3869" s="30" t="n">
        <f aca="false">Sens!H3868-Sens!H3867</f>
        <v>8206.35090666667</v>
      </c>
      <c r="I3869" s="30" t="n">
        <f aca="false">Sens!I3868-Sens!I3867</f>
        <v>9747.60646906667</v>
      </c>
      <c r="J3869" s="30" t="n">
        <f aca="false">Sens!J3868-Sens!J3867</f>
        <v>10679.7146251147</v>
      </c>
      <c r="K3869" s="30" t="n">
        <f aca="false">Sens!K3868-Sens!K3867</f>
        <v>11015.2260638681</v>
      </c>
    </row>
    <row r="3870" customFormat="false" ht="17.15" hidden="false" customHeight="false" outlineLevel="0" collapsed="false">
      <c r="A3870" s="1" t="s">
        <v>958</v>
      </c>
      <c r="B3870" s="0" t="s">
        <v>456</v>
      </c>
      <c r="C3870" s="30" t="n">
        <f aca="false">Sens!C3868</f>
        <v>816.666666666667</v>
      </c>
      <c r="D3870" s="30" t="n">
        <f aca="false">Sens!D3868-Sens!C3868</f>
        <v>1233.33333333333</v>
      </c>
      <c r="E3870" s="30" t="n">
        <f aca="false">Sens!E3868-Sens!D3868</f>
        <v>2450</v>
      </c>
      <c r="F3870" s="30" t="n">
        <f aca="false">Sens!F3868-Sens!E3868</f>
        <v>5109.73686666667</v>
      </c>
      <c r="G3870" s="30" t="n">
        <f aca="false">Sens!G3868-Sens!F3868</f>
        <v>5453.0702</v>
      </c>
      <c r="H3870" s="30" t="n">
        <f aca="false">Sens!H3868-Sens!G3868</f>
        <v>5453.0702</v>
      </c>
      <c r="I3870" s="30" t="n">
        <f aca="false">Sens!I3868-Sens!H3868</f>
        <v>3853.138906</v>
      </c>
      <c r="J3870" s="30" t="n">
        <f aca="false">Sens!J3868-Sens!I3868</f>
        <v>2330.27039012</v>
      </c>
      <c r="K3870" s="30" t="n">
        <f aca="false">Sens!K3868-Sens!J3868</f>
        <v>838.778596883596</v>
      </c>
    </row>
    <row r="3871" customFormat="false" ht="17.15" hidden="false" customHeight="false" outlineLevel="0" collapsed="false">
      <c r="A3871" s="1" t="s">
        <v>959</v>
      </c>
      <c r="B3871" s="0" t="s">
        <v>456</v>
      </c>
      <c r="D3871" s="30" t="n">
        <f aca="false">Sens!D3865-Sens!C3865</f>
        <v>990</v>
      </c>
      <c r="E3871" s="30" t="n">
        <f aca="false">Sens!E3865-Sens!D3865</f>
        <v>1620</v>
      </c>
      <c r="F3871" s="30" t="n">
        <f aca="false">Sens!F3865-Sens!E3865</f>
        <v>3271.84212</v>
      </c>
      <c r="G3871" s="30" t="n">
        <f aca="false">Sens!G3865-Sens!F3865</f>
        <v>3271.84212</v>
      </c>
      <c r="H3871" s="30" t="n">
        <f aca="false">Sens!H3865-Sens!G3865</f>
        <v>3271.84212</v>
      </c>
      <c r="I3871" s="30" t="n">
        <f aca="false">Sens!I3865-Sens!H3865</f>
        <v>2311.8833436</v>
      </c>
      <c r="J3871" s="30" t="n">
        <f aca="false">Sens!J3865-Sens!I3865</f>
        <v>1398.162234072</v>
      </c>
      <c r="K3871" s="30" t="n">
        <f aca="false">Sens!K3865-Sens!J3865</f>
        <v>503.267158130158</v>
      </c>
    </row>
    <row r="3872" customFormat="false" ht="17.15" hidden="false" customHeight="false" outlineLevel="0" collapsed="false">
      <c r="A3872" s="1" t="s">
        <v>960</v>
      </c>
      <c r="B3872" s="0" t="s">
        <v>456</v>
      </c>
      <c r="F3872" s="30" t="n">
        <f aca="false">Sens!F3891*ext_sh</f>
        <v>0</v>
      </c>
      <c r="G3872" s="30" t="n">
        <f aca="false">Sens!G3891*ext_sh</f>
        <v>0</v>
      </c>
      <c r="H3872" s="30" t="n">
        <f aca="false">Sens!H3891*ext_sh</f>
        <v>0</v>
      </c>
      <c r="I3872" s="30" t="n">
        <f aca="false">Sens!I3891*ext_sh</f>
        <v>490</v>
      </c>
      <c r="J3872" s="30" t="n">
        <f aca="false">Sens!J3891*ext_sh</f>
        <v>740</v>
      </c>
      <c r="K3872" s="30" t="n">
        <f aca="false">Sens!K3891*ext_sh</f>
        <v>1470</v>
      </c>
      <c r="L3872" s="1" t="s">
        <v>961</v>
      </c>
    </row>
    <row r="3873" customFormat="false" ht="17.15" hidden="false" customHeight="false" outlineLevel="0" collapsed="false">
      <c r="A3873" s="1" t="s">
        <v>962</v>
      </c>
      <c r="B3873" s="0" t="s">
        <v>456</v>
      </c>
      <c r="C3873" s="30" t="n">
        <f aca="false">mix_h*Sens!C3865</f>
        <v>128</v>
      </c>
      <c r="D3873" s="30" t="n">
        <f aca="false">mix_h*Sens!D3865</f>
        <v>326</v>
      </c>
      <c r="E3873" s="30" t="n">
        <f aca="false">mix_h*Sens!E3865</f>
        <v>650</v>
      </c>
      <c r="F3873" s="30" t="n">
        <f aca="false">Sens!E3873-Sens!F3872*mix_h</f>
        <v>650</v>
      </c>
      <c r="G3873" s="30" t="n">
        <f aca="false">Sens!F3873-Sens!G3872*mix_h</f>
        <v>650</v>
      </c>
      <c r="H3873" s="30" t="n">
        <f aca="false">Sens!G3873-Sens!H3872*mix_h</f>
        <v>650</v>
      </c>
      <c r="I3873" s="30" t="n">
        <f aca="false">Sens!H3873-Sens!I3872*mix_h</f>
        <v>552</v>
      </c>
      <c r="J3873" s="30" t="n">
        <f aca="false">Sens!I3873-Sens!J3872*mix_h</f>
        <v>404</v>
      </c>
      <c r="K3873" s="30" t="n">
        <f aca="false">Sens!J3873-Sens!K3872*mix_h</f>
        <v>110</v>
      </c>
    </row>
    <row r="3874" customFormat="false" ht="17.15" hidden="false" customHeight="false" outlineLevel="0" collapsed="false">
      <c r="A3874" s="1" t="s">
        <v>963</v>
      </c>
      <c r="B3874" s="0" t="s">
        <v>456</v>
      </c>
      <c r="C3874" s="30" t="n">
        <f aca="false">mix_g2*Sens!C3865</f>
        <v>288</v>
      </c>
      <c r="D3874" s="30" t="n">
        <f aca="false">mix_g2*Sens!D3865</f>
        <v>733.5</v>
      </c>
      <c r="E3874" s="30" t="n">
        <f aca="false">mix_g2*Sens!E3865</f>
        <v>1462.5</v>
      </c>
      <c r="F3874" s="30" t="n">
        <f aca="false">Sens!E3874-Sens!F3872*mix_g2</f>
        <v>1462.5</v>
      </c>
      <c r="G3874" s="30" t="n">
        <f aca="false">Sens!F3874-Sens!G3872*mix_g2</f>
        <v>1462.5</v>
      </c>
      <c r="H3874" s="30" t="n">
        <f aca="false">Sens!G3874-Sens!H3872*mix_g2</f>
        <v>1462.5</v>
      </c>
      <c r="I3874" s="30" t="n">
        <f aca="false">Sens!H3874-Sens!I3872*mix_g2</f>
        <v>1242</v>
      </c>
      <c r="J3874" s="30" t="n">
        <f aca="false">Sens!I3874-Sens!J3872*mix_g2</f>
        <v>909</v>
      </c>
      <c r="K3874" s="30" t="n">
        <f aca="false">Sens!J3874-Sens!K3872*mix_g2</f>
        <v>247.5</v>
      </c>
    </row>
    <row r="3875" customFormat="false" ht="17.15" hidden="false" customHeight="false" outlineLevel="0" collapsed="false">
      <c r="A3875" s="1" t="s">
        <v>964</v>
      </c>
      <c r="B3875" s="0" t="s">
        <v>456</v>
      </c>
      <c r="C3875" s="30" t="n">
        <f aca="false">mix_g3*Sens!C3865</f>
        <v>224</v>
      </c>
      <c r="D3875" s="30" t="n">
        <f aca="false">mix_g3*Sens!D3865</f>
        <v>570.5</v>
      </c>
      <c r="E3875" s="30" t="n">
        <f aca="false">mix_g3*Sens!E3865</f>
        <v>1137.5</v>
      </c>
      <c r="F3875" s="30" t="n">
        <f aca="false">Sens!E3875+(Sens!F3871+Sens!F3872)*(a_g3_27-nonnv*a_mai)-Sens!F3872*mix_g3</f>
        <v>3100.605272</v>
      </c>
      <c r="G3875" s="30" t="n">
        <f aca="false">Sens!F3875+(Sens!G3871+Sens!G3872)*(a_g3_28-nonnv*a_mai)-Sens!G3872*mix_g3</f>
        <v>3754.973696</v>
      </c>
      <c r="H3875" s="30" t="n">
        <f aca="false">Sens!G3875+(Sens!H3871+Sens!H3872)*(a_g3_29-nonnv*a_mai)-Sens!H3872*mix_g3</f>
        <v>3754.973696</v>
      </c>
      <c r="I3875" s="30" t="n">
        <f aca="false">Sens!H3875+(Sens!I3871+Sens!I3872)*(a_g3_29-nonnv*a_mai)-Sens!I3872*mix_g3</f>
        <v>3583.473696</v>
      </c>
      <c r="J3875" s="30" t="n">
        <f aca="false">Sens!I3875+(Sens!J3871+Sens!J3872)*(a_g3_29-nonnv*a_mai)-Sens!J3872*mix_g3</f>
        <v>3324.473696</v>
      </c>
      <c r="K3875" s="30" t="n">
        <f aca="false">Sens!J3875+(Sens!K3871+Sens!K3872)*(a_g3_29-nonnv*a_mai)-Sens!K3872*mix_g3</f>
        <v>2809.973696</v>
      </c>
    </row>
    <row r="3876" customFormat="false" ht="17.15" hidden="false" customHeight="false" outlineLevel="0" collapsed="false">
      <c r="A3876" s="1" t="s">
        <v>965</v>
      </c>
      <c r="B3876" s="0" t="s">
        <v>456</v>
      </c>
      <c r="C3876" s="30" t="n">
        <v>0</v>
      </c>
      <c r="D3876" s="30" t="n">
        <v>0</v>
      </c>
      <c r="E3876" s="30" t="n">
        <v>0</v>
      </c>
      <c r="F3876" s="30" t="n">
        <f aca="false">Sens!E3876+(Sens!F3871+Sens!F3872)*nonnv*a_mai</f>
        <v>327.184212</v>
      </c>
      <c r="G3876" s="30" t="n">
        <f aca="false">Sens!F3876+(Sens!G3871+Sens!G3872)*nonnv*a_mai</f>
        <v>654.368424</v>
      </c>
      <c r="H3876" s="30" t="n">
        <f aca="false">Sens!G3876+(Sens!H3871+Sens!H3872)*nonnv*a_mai</f>
        <v>981.552636</v>
      </c>
      <c r="I3876" s="30" t="n">
        <f aca="false">Sens!H3876+(Sens!I3871+Sens!I3872)*nonnv*a_mai</f>
        <v>1261.74097036</v>
      </c>
      <c r="J3876" s="30" t="n">
        <f aca="false">Sens!I3876+(Sens!J3871+Sens!J3872)*nonnv*a_mai</f>
        <v>1475.5571937672</v>
      </c>
      <c r="K3876" s="30" t="n">
        <f aca="false">Sens!J3876+(Sens!K3871+Sens!K3872)*nonnv*a_mai</f>
        <v>1672.88390958022</v>
      </c>
      <c r="L3876" s="12" t="s">
        <v>966</v>
      </c>
    </row>
    <row r="3877" customFormat="false" ht="17.15" hidden="false" customHeight="false" outlineLevel="0" collapsed="false">
      <c r="A3877" s="1" t="s">
        <v>967</v>
      </c>
      <c r="B3877" s="0" t="s">
        <v>456</v>
      </c>
      <c r="C3877" s="30" t="n">
        <v>0</v>
      </c>
      <c r="D3877" s="30" t="n">
        <v>0</v>
      </c>
      <c r="E3877" s="30" t="n">
        <v>0</v>
      </c>
      <c r="F3877" s="30" t="n">
        <f aca="false">Sens!E3877+(Sens!F3871+Sens!F3872)*(1-a_g3_27)</f>
        <v>981.552636</v>
      </c>
      <c r="G3877" s="30" t="n">
        <f aca="false">Sens!F3877+(Sens!G3871+Sens!G3872)*(1-a_g3_28)</f>
        <v>3271.84212</v>
      </c>
      <c r="H3877" s="30" t="n">
        <f aca="false">Sens!G3877+(Sens!H3871+Sens!H3872)*(1-a_g3_29)</f>
        <v>6216.500028</v>
      </c>
      <c r="I3877" s="30" t="n">
        <f aca="false">Sens!H3877+(Sens!I3871+Sens!I3872)*(1-a_g3_29)</f>
        <v>8738.19503724</v>
      </c>
      <c r="J3877" s="30" t="n">
        <f aca="false">Sens!I3877+(Sens!J3871+Sens!J3872)*(1-a_g3_29)</f>
        <v>10662.5410479048</v>
      </c>
      <c r="K3877" s="30" t="n">
        <f aca="false">Sens!J3877+(Sens!K3871+Sens!K3872)*(1-a_g3_29)</f>
        <v>12438.4814902219</v>
      </c>
    </row>
    <row r="3878" customFormat="false" ht="17.15" hidden="false" customHeight="false" outlineLevel="0" collapsed="false">
      <c r="A3878" s="1" t="s">
        <v>968</v>
      </c>
      <c r="B3878" s="0" t="s">
        <v>403</v>
      </c>
      <c r="C3878" s="15" t="n">
        <f aca="false">(Sens!C3873*tk_hold_h100+Sens!C3874*tk_hold_gb200+Sens!C3875*tk_hold_gb300+Sens!C3877*tk_hold_vr200+Sens!C3876*nv_hold_mai*tk_hold_vr200)/Sens!C3865</f>
        <v>9.7235358126469</v>
      </c>
      <c r="D3878" s="15" t="n">
        <f aca="false">(Sens!D3873*tk_hold_h100+Sens!D3874*tk_hold_gb200+Sens!D3875*tk_hold_gb300+Sens!D3877*tk_hold_vr200+Sens!D3876*nv_hold_mai*tk_hold_vr200)/Sens!D3865</f>
        <v>9.7235358126469</v>
      </c>
      <c r="E3878" s="15" t="n">
        <f aca="false">(Sens!E3873*tk_hold_h100+Sens!E3874*tk_hold_gb200+Sens!E3875*tk_hold_gb300+Sens!E3877*tk_hold_vr200+Sens!E3876*nv_hold_mai*tk_hold_vr200)/Sens!E3865</f>
        <v>9.7235358126469</v>
      </c>
      <c r="F3878" s="15" t="n">
        <f aca="false">(Sens!F3873*tk_hold_h100+Sens!F3874*tk_hold_gb200+Sens!F3875*tk_hold_gb300+Sens!F3877*tk_hold_vr200+Sens!F3876*nv_hold_mai*tk_hold_vr200)/Sens!F3865</f>
        <v>10.2689692313307</v>
      </c>
      <c r="G3878" s="15" t="n">
        <f aca="false">(Sens!G3873*tk_hold_h100+Sens!G3874*tk_hold_gb200+Sens!G3875*tk_hold_gb300+Sens!G3877*tk_hold_vr200+Sens!G3876*nv_hold_mai*tk_hold_vr200)/Sens!G3865</f>
        <v>10.6289089323929</v>
      </c>
      <c r="H3878" s="15" t="n">
        <f aca="false">(Sens!H3873*tk_hold_h100+Sens!H3874*tk_hold_gb200+Sens!H3875*tk_hold_gb300+Sens!H3877*tk_hold_vr200+Sens!H3876*nv_hold_mai*tk_hold_vr200)/Sens!H3865</f>
        <v>10.8756428486304</v>
      </c>
      <c r="I3878" s="15" t="n">
        <f aca="false">(Sens!I3873*tk_hold_h100+Sens!I3874*tk_hold_gb200+Sens!I3875*tk_hold_gb300+Sens!I3877*tk_hold_vr200+Sens!I3876*nv_hold_mai*tk_hold_vr200)/Sens!I3865</f>
        <v>11.0469250311643</v>
      </c>
      <c r="J3878" s="15" t="n">
        <f aca="false">(Sens!J3873*tk_hold_h100+Sens!J3874*tk_hold_gb200+Sens!J3875*tk_hold_gb300+Sens!J3877*tk_hold_vr200+Sens!J3876*nv_hold_mai*tk_hold_vr200)/Sens!J3865</f>
        <v>11.1776048375843</v>
      </c>
      <c r="K3878" s="15" t="n">
        <f aca="false">(Sens!K3873*tk_hold_h100+Sens!K3874*tk_hold_gb200+Sens!K3875*tk_hold_gb300+Sens!K3877*tk_hold_vr200+Sens!K3876*nv_hold_mai*tk_hold_vr200)/Sens!K3865</f>
        <v>11.3511694689919</v>
      </c>
      <c r="L3878" s="1" t="s">
        <v>969</v>
      </c>
    </row>
    <row r="3879" customFormat="false" ht="17.15" hidden="false" customHeight="false" outlineLevel="0" collapsed="false">
      <c r="A3879" s="1" t="s">
        <v>970</v>
      </c>
      <c r="B3879" s="0" t="s">
        <v>403</v>
      </c>
      <c r="C3879" s="15" t="n">
        <f aca="false">(Sens!C3873*tk_hold_h100+Sens!C3874*tk_hold_gb200+Sens!C3875*tk_hold_gb300+Sens!C3877*tk_hold_vr200+Sens!C3876*nv_out_mai*tk_hold_vr200)/Sens!C3865</f>
        <v>9.7235358126469</v>
      </c>
      <c r="D3879" s="15" t="n">
        <f aca="false">(Sens!D3873*tk_hold_h100+Sens!D3874*tk_hold_gb200+Sens!D3875*tk_hold_gb300+Sens!D3877*tk_hold_vr200+Sens!D3876*nv_out_mai*tk_hold_vr200)/Sens!D3865</f>
        <v>9.7235358126469</v>
      </c>
      <c r="E3879" s="15" t="n">
        <f aca="false">(Sens!E3873*tk_hold_h100+Sens!E3874*tk_hold_gb200+Sens!E3875*tk_hold_gb300+Sens!E3877*tk_hold_vr200+Sens!E3876*nv_out_mai*tk_hold_vr200)/Sens!E3865</f>
        <v>9.7235358126469</v>
      </c>
      <c r="F3879" s="15" t="n">
        <f aca="false">(Sens!F3873*tk_hold_h100+Sens!F3874*tk_hold_gb200+Sens!F3875*tk_hold_gb300+Sens!F3877*tk_hold_vr200+Sens!F3876*nv_out_mai*tk_hold_vr200)/Sens!F3865</f>
        <v>10.2996352688042</v>
      </c>
      <c r="G3879" s="15" t="n">
        <f aca="false">(Sens!G3873*tk_hold_h100+Sens!G3874*tk_hold_gb200+Sens!G3875*tk_hold_gb300+Sens!G3877*tk_hold_vr200+Sens!G3876*nv_out_mai*tk_hold_vr200)/Sens!G3865</f>
        <v>10.6697513875807</v>
      </c>
      <c r="H3879" s="15" t="n">
        <f aca="false">(Sens!H3873*tk_hold_h100+Sens!H3874*tk_hold_gb200+Sens!H3875*tk_hold_gb300+Sens!H3877*tk_hold_vr200+Sens!H3876*nv_out_mai*tk_hold_vr200)/Sens!H3865</f>
        <v>10.92156500653</v>
      </c>
      <c r="I3879" s="15" t="n">
        <f aca="false">(Sens!I3873*tk_hold_h100+Sens!I3874*tk_hold_gb200+Sens!I3875*tk_hold_gb300+Sens!I3877*tk_hold_vr200+Sens!I3876*nv_out_mai*tk_hold_vr200)/Sens!I3865</f>
        <v>11.097081000036</v>
      </c>
      <c r="J3879" s="15" t="n">
        <f aca="false">(Sens!J3873*tk_hold_h100+Sens!J3874*tk_hold_gb200+Sens!J3875*tk_hold_gb300+Sens!J3877*tk_hold_vr200+Sens!J3876*nv_out_mai*tk_hold_vr200)/Sens!J3865</f>
        <v>11.2313716532703</v>
      </c>
      <c r="K3879" s="15" t="n">
        <f aca="false">(Sens!K3873*tk_hold_h100+Sens!K3874*tk_hold_gb200+Sens!K3875*tk_hold_gb300+Sens!K3877*tk_hold_vr200+Sens!K3876*nv_out_mai*tk_hold_vr200)/Sens!K3865</f>
        <v>11.4103510888253</v>
      </c>
      <c r="L3879" s="12" t="s">
        <v>971</v>
      </c>
    </row>
    <row r="3880" customFormat="false" ht="17.15" hidden="false" customHeight="false" outlineLevel="0" collapsed="false">
      <c r="A3880" s="0" t="s">
        <v>972</v>
      </c>
      <c r="B3880" s="0" t="s">
        <v>229</v>
      </c>
      <c r="C3880" s="15" t="n">
        <f aca="false">k_B</f>
        <v>1.17213932619116</v>
      </c>
      <c r="D3880" s="15" t="n">
        <f aca="false">k_B</f>
        <v>1.17213932619116</v>
      </c>
      <c r="E3880" s="15" t="n">
        <f aca="false">k_B</f>
        <v>1.17213932619116</v>
      </c>
      <c r="F3880" s="15" t="n">
        <f aca="false">(k_B+((ls_B*k_long+(1-ls_B)*k_spot)-k_B)*MIN(1,(Sens!F3863-base_fy)/k_ramp))</f>
        <v>1.17213932619116</v>
      </c>
      <c r="G3880" s="15" t="n">
        <f aca="false">(k_B+((ls_B*k_long+(1-ls_B)*k_spot)-k_B)*MIN(1,(Sens!G3863-base_fy)/k_ramp))</f>
        <v>1.17213932619116</v>
      </c>
      <c r="H3880" s="15" t="n">
        <f aca="false">(k_B+((ls_B*k_long+(1-ls_B)*k_spot)-k_B)*MIN(1,(Sens!H3863-base_fy)/k_ramp))</f>
        <v>1.17213932619116</v>
      </c>
      <c r="I3880" s="15" t="n">
        <f aca="false">(k_B+((ls_B*k_long+(1-ls_B)*k_spot)-k_B)*MIN(1,(Sens!I3863-base_fy)/k_ramp))</f>
        <v>1.17213932619116</v>
      </c>
      <c r="J3880" s="15" t="n">
        <f aca="false">(k_B+((ls_B*k_long+(1-ls_B)*k_spot)-k_B)*MIN(1,(Sens!J3863-base_fy)/k_ramp))</f>
        <v>1.17213932619116</v>
      </c>
      <c r="K3880" s="15" t="n">
        <f aca="false">(k_B+((ls_B*k_long+(1-ls_B)*k_spot)-k_B)*MIN(1,(Sens!K3863-base_fy)/k_ramp))</f>
        <v>1.17213932619116</v>
      </c>
      <c r="L3880" s="1" t="s">
        <v>973</v>
      </c>
    </row>
    <row r="3881" customFormat="false" ht="17.15" hidden="false" customHeight="false" outlineLevel="0" collapsed="false">
      <c r="A3881" s="1" t="s">
        <v>974</v>
      </c>
      <c r="B3881" s="0" t="s">
        <v>403</v>
      </c>
      <c r="C3881" s="15" t="n">
        <f aca="false">Sens!C3879*Sens!C3880*chip_f</f>
        <v>11.3973387156315</v>
      </c>
      <c r="D3881" s="15" t="n">
        <f aca="false">Sens!D3879*Sens!D3880*chip_f</f>
        <v>11.3973387156315</v>
      </c>
      <c r="E3881" s="15" t="n">
        <f aca="false">Sens!E3879*Sens!E3880*chip_f</f>
        <v>11.3973387156315</v>
      </c>
      <c r="F3881" s="15" t="n">
        <f aca="false">Sens!F3879*Sens!F3880*chip_f</f>
        <v>12.0726075439908</v>
      </c>
      <c r="G3881" s="15" t="n">
        <f aca="false">Sens!G3879*Sens!G3880*chip_f</f>
        <v>12.506435202066</v>
      </c>
      <c r="H3881" s="15" t="n">
        <f aca="false">Sens!H3879*Sens!H3880*chip_f</f>
        <v>12.8015958477069</v>
      </c>
      <c r="I3881" s="15" t="n">
        <f aca="false">Sens!I3879*Sens!I3880*chip_f</f>
        <v>13.0073250460709</v>
      </c>
      <c r="J3881" s="15" t="n">
        <f aca="false">Sens!J3879*Sens!J3880*chip_f</f>
        <v>13.1647324018667</v>
      </c>
      <c r="K3881" s="15" t="n">
        <f aca="false">Sens!K3879*Sens!K3880*chip_f</f>
        <v>13.3745212368602</v>
      </c>
      <c r="L3881" s="1" t="s">
        <v>975</v>
      </c>
    </row>
    <row r="3882" customFormat="false" ht="17.15" hidden="false" customHeight="false" outlineLevel="0" collapsed="false">
      <c r="A3882" s="0" t="s">
        <v>976</v>
      </c>
      <c r="B3882" s="0" t="s">
        <v>98</v>
      </c>
      <c r="D3882" s="6" t="n">
        <f aca="false">(Sens!C3865+Sens!D3865)/2*Sens!D3881/1000</f>
        <v>12.9359794422418</v>
      </c>
      <c r="E3882" s="6" t="n">
        <f aca="false">(Sens!D3865+Sens!E3865)/2*Sens!E3881/1000</f>
        <v>27.8095064661409</v>
      </c>
      <c r="F3882" s="6" t="n">
        <f aca="false">(Sens!E3865+Sens!F3865)/2*Sens!F3881/1000</f>
        <v>58.9858074482995</v>
      </c>
      <c r="G3882" s="6" t="n">
        <f aca="false">(Sens!F3865+Sens!G3865)/2*Sens!G3881/1000</f>
        <v>102.02453660447</v>
      </c>
      <c r="H3882" s="6" t="n">
        <f aca="false">(Sens!G3865+Sens!H3865)/2*Sens!H3881/1000</f>
        <v>146.317187749409</v>
      </c>
      <c r="I3882" s="6" t="n">
        <f aca="false">(Sens!H3865+Sens!I3865)/2*Sens!I3881/1000</f>
        <v>184.983257321929</v>
      </c>
      <c r="J3882" s="6" t="n">
        <f aca="false">(Sens!I3865+Sens!J3865)/2*Sens!J3881/1000</f>
        <v>211.642699614739</v>
      </c>
      <c r="K3882" s="6" t="n">
        <f aca="false">(Sens!J3865+Sens!K3865)/2*Sens!K3881/1000</f>
        <v>227.730721787983</v>
      </c>
      <c r="L3882" s="12" t="s">
        <v>977</v>
      </c>
    </row>
    <row r="3883" customFormat="false" ht="17.15" hidden="false" customHeight="false" outlineLevel="0" collapsed="false">
      <c r="A3883" s="1" t="s">
        <v>978</v>
      </c>
      <c r="B3883" s="0" t="s">
        <v>403</v>
      </c>
      <c r="C3883" s="15" t="n">
        <f aca="false">(Sens!C3873*tk_opex_h100+Sens!C3874*tk_opex_gb200+Sens!C3875*tk_opex_gb300+(Sens!C3877+Sens!C3876)*tk_opex_vr200)/Sens!C3865</f>
        <v>1.88636041306092</v>
      </c>
      <c r="D3883" s="15" t="n">
        <f aca="false">(Sens!D3873*tk_opex_h100+Sens!D3874*tk_opex_gb200+Sens!D3875*tk_opex_gb300+(Sens!D3877+Sens!D3876)*tk_opex_vr200)/Sens!D3865</f>
        <v>1.88636041306092</v>
      </c>
      <c r="E3883" s="15" t="n">
        <f aca="false">(Sens!E3873*tk_opex_h100+Sens!E3874*tk_opex_gb200+Sens!E3875*tk_opex_gb300+(Sens!E3877+Sens!E3876)*tk_opex_vr200)/Sens!E3865</f>
        <v>1.88636041306092</v>
      </c>
      <c r="F3883" s="15" t="n">
        <f aca="false">(Sens!F3873*tk_opex_h100+Sens!F3874*tk_opex_gb200+Sens!F3875*tk_opex_gb300+(Sens!F3877+Sens!F3876)*tk_opex_vr200)/Sens!F3865</f>
        <v>1.95690523121485</v>
      </c>
      <c r="G3883" s="15" t="n">
        <f aca="false">(Sens!G3873*tk_opex_h100+Sens!G3874*tk_opex_gb200+Sens!G3875*tk_opex_gb300+(Sens!G3877+Sens!G3876)*tk_opex_vr200)/Sens!G3865</f>
        <v>1.99512968065993</v>
      </c>
      <c r="H3883" s="15" t="n">
        <f aca="false">(Sens!H3873*tk_opex_h100+Sens!H3874*tk_opex_gb200+Sens!H3875*tk_opex_gb300+(Sens!H3877+Sens!H3876)*tk_opex_vr200)/Sens!H3865</f>
        <v>2.01976225803135</v>
      </c>
      <c r="I3883" s="15" t="n">
        <f aca="false">(Sens!I3873*tk_opex_h100+Sens!I3874*tk_opex_gb200+Sens!I3875*tk_opex_gb300+(Sens!I3877+Sens!I3876)*tk_opex_vr200)/Sens!I3865</f>
        <v>2.03744787525749</v>
      </c>
      <c r="J3883" s="15" t="n">
        <f aca="false">(Sens!J3873*tk_opex_h100+Sens!J3874*tk_opex_gb200+Sens!J3875*tk_opex_gb300+(Sens!J3877+Sens!J3876)*tk_opex_vr200)/Sens!J3865</f>
        <v>2.05125627122296</v>
      </c>
      <c r="K3883" s="15" t="n">
        <f aca="false">(Sens!K3873*tk_opex_h100+Sens!K3874*tk_opex_gb200+Sens!K3875*tk_opex_gb300+(Sens!K3877+Sens!K3876)*tk_opex_vr200)/Sens!K3865</f>
        <v>2.07010859619451</v>
      </c>
      <c r="L3883" s="12" t="s">
        <v>979</v>
      </c>
    </row>
    <row r="3884" customFormat="false" ht="17.15" hidden="false" customHeight="false" outlineLevel="0" collapsed="false">
      <c r="A3884" s="0" t="s">
        <v>980</v>
      </c>
      <c r="B3884" s="0" t="s">
        <v>98</v>
      </c>
      <c r="D3884" s="6" t="n">
        <f aca="false">(Sens!C3868+Sens!D3868)/2*Sens!D3883/1000</f>
        <v>2.70378325872065</v>
      </c>
      <c r="E3884" s="6" t="n">
        <f aca="false">(Sens!D3868+Sens!E3868)/2*Sens!E3883/1000</f>
        <v>6.17783035277451</v>
      </c>
      <c r="F3884" s="6" t="n">
        <f aca="false">(Sens!E3868+Sens!F3868)/2*Sens!F3883/1000</f>
        <v>13.8057089427225</v>
      </c>
      <c r="G3884" s="6" t="n">
        <f aca="false">(Sens!F3868+Sens!G3868)/2*Sens!G3883/1000</f>
        <v>24.6124623493897</v>
      </c>
      <c r="H3884" s="6" t="n">
        <f aca="false">(Sens!G3868+Sens!H3868)/2*Sens!H3883/1000</f>
        <v>35.930241903439</v>
      </c>
      <c r="I3884" s="6" t="n">
        <f aca="false">(Sens!H3868+Sens!I3868)/2*Sens!I3883/1000</f>
        <v>45.7253153845642</v>
      </c>
      <c r="J3884" s="6" t="n">
        <f aca="false">(Sens!I3868+Sens!J3868)/2*Sens!J3883/1000</f>
        <v>52.3770881234055</v>
      </c>
      <c r="K3884" s="6" t="n">
        <f aca="false">(Sens!J3868+Sens!K3868)/2*Sens!K3883/1000</f>
        <v>56.1386040177415</v>
      </c>
    </row>
    <row r="3885" customFormat="false" ht="17.15" hidden="false" customHeight="false" outlineLevel="0" collapsed="false">
      <c r="A3885" s="0" t="s">
        <v>981</v>
      </c>
      <c r="B3885" s="0" t="s">
        <v>98</v>
      </c>
      <c r="D3885" s="6" t="n">
        <f aca="false">(Sens!C3866+Sens!D3866)/2*rent_mw/1000</f>
        <v>2.44475</v>
      </c>
      <c r="E3885" s="6" t="n">
        <f aca="false">(Sens!D3866+Sens!E3866)/2*rent_mw/1000</f>
        <v>4.22275</v>
      </c>
      <c r="F3885" s="6" t="n">
        <f aca="false">(Sens!E3866+Sens!F3866)/2*rent_mw/1000</f>
        <v>5.80517</v>
      </c>
      <c r="G3885" s="6" t="n">
        <f aca="false">(Sens!F3866+Sens!G3866)/2*rent_mw/1000</f>
        <v>6.72084</v>
      </c>
      <c r="H3885" s="6" t="n">
        <f aca="false">(Sens!G3866+Sens!H3866)/2*rent_mw/1000</f>
        <v>6.72084</v>
      </c>
      <c r="I3885" s="6" t="n">
        <f aca="false">(Sens!H3866+Sens!I3866)/2*rent_mw/1000</f>
        <v>6.72084</v>
      </c>
      <c r="J3885" s="6" t="n">
        <f aca="false">(Sens!I3866+Sens!J3866)/2*rent_mw/1000</f>
        <v>6.72084</v>
      </c>
      <c r="K3885" s="6" t="n">
        <f aca="false">(Sens!J3866+Sens!K3866)/2*rent_mw/1000</f>
        <v>6.72084</v>
      </c>
    </row>
    <row r="3886" customFormat="false" ht="17.15" hidden="false" customHeight="false" outlineLevel="0" collapsed="false">
      <c r="A3886" s="0" t="s">
        <v>982</v>
      </c>
      <c r="B3886" s="0" t="s">
        <v>98</v>
      </c>
      <c r="D3886" s="6" t="n">
        <f aca="false">(Sens!C3868+Sens!D3868)/2*(1-self_build)*fac_rent/1000</f>
        <v>0.853242375631075</v>
      </c>
      <c r="E3886" s="6" t="n">
        <f aca="false">(Sens!D3868+Sens!E3868)/2*(1-self_build)*fac_rent/1000</f>
        <v>1.94955961408728</v>
      </c>
      <c r="F3886" s="6" t="n">
        <f aca="false">(Sens!E3868+Sens!F3868)/2*(1-self_build)*fac_rent/1000</f>
        <v>4.19966002452699</v>
      </c>
      <c r="G3886" s="6" t="n">
        <f aca="false">(Sens!F3868+Sens!G3868)/2*(1-self_build)*fac_rent/1000</f>
        <v>7.34360232507189</v>
      </c>
      <c r="H3886" s="6" t="n">
        <f aca="false">(Sens!G3868+Sens!H3868)/2*(1-self_build)*fac_rent/1000</f>
        <v>10.5897352822331</v>
      </c>
      <c r="I3886" s="6" t="n">
        <f aca="false">(Sens!H3868+Sens!I3868)/2*(1-self_build)*fac_rent/1000</f>
        <v>13.359660386555</v>
      </c>
      <c r="J3886" s="6" t="n">
        <f aca="false">(Sens!I3868+Sens!J3868)/2*(1-self_build)*fac_rent/1000</f>
        <v>15.2001069577134</v>
      </c>
      <c r="K3886" s="6" t="n">
        <f aca="false">(Sens!J3868+Sens!K3868)/2*(1-self_build)*fac_rent/1000</f>
        <v>16.1433512203281</v>
      </c>
      <c r="L3886" s="12" t="s">
        <v>983</v>
      </c>
    </row>
    <row r="3887" customFormat="false" ht="17.15" hidden="false" customHeight="false" outlineLevel="0" collapsed="false">
      <c r="A3887" s="1" t="s">
        <v>984</v>
      </c>
      <c r="B3887" s="0" t="s">
        <v>168</v>
      </c>
      <c r="D3887" s="7" t="n">
        <f aca="false">(Sens!C3867+Sens!D3867)/(Sens!C3868+Sens!D3868)</f>
        <v>0.6</v>
      </c>
      <c r="E3887" s="7" t="n">
        <f aca="false">(Sens!D3867+Sens!E3867)/(Sens!D3868+Sens!E3868)</f>
        <v>0.6</v>
      </c>
      <c r="F3887" s="7" t="n">
        <f aca="false">(Sens!E3867+Sens!F3867)/(Sens!E3868+Sens!F3868)</f>
        <v>0.6</v>
      </c>
      <c r="G3887" s="7" t="n">
        <f aca="false">(Sens!F3867+Sens!G3867)/(Sens!F3868+Sens!G3868)</f>
        <v>0.6</v>
      </c>
      <c r="H3887" s="7" t="n">
        <f aca="false">(Sens!G3867+Sens!H3867)/(Sens!G3868+Sens!H3868)</f>
        <v>0.6</v>
      </c>
      <c r="I3887" s="7" t="n">
        <f aca="false">(Sens!H3867+Sens!I3867)/(Sens!H3868+Sens!I3868)</f>
        <v>0.6</v>
      </c>
      <c r="J3887" s="7" t="n">
        <f aca="false">(Sens!I3867+Sens!J3867)/(Sens!I3868+Sens!J3868)</f>
        <v>0.6</v>
      </c>
      <c r="K3887" s="7" t="n">
        <f aca="false">(Sens!J3867+Sens!K3867)/(Sens!J3868+Sens!K3868)</f>
        <v>0.6</v>
      </c>
    </row>
    <row r="3888" customFormat="false" ht="17.15" hidden="false" customHeight="false" outlineLevel="0" collapsed="false">
      <c r="A3888" s="0" t="s">
        <v>985</v>
      </c>
      <c r="B3888" s="0" t="s">
        <v>98</v>
      </c>
      <c r="D3888" s="6" t="n">
        <f aca="false">Sens!D3882-Sens!D3887*(Sens!D3884+Sens!D3886)-Sens!D3885</f>
        <v>8.35701406163072</v>
      </c>
      <c r="E3888" s="6" t="n">
        <f aca="false">Sens!E3882-Sens!E3887*(Sens!E3884+Sens!E3886)-Sens!E3885</f>
        <v>18.7103224860238</v>
      </c>
      <c r="F3888" s="6" t="n">
        <f aca="false">Sens!F3882-Sens!F3887*(Sens!F3884+Sens!F3886)-Sens!F3885</f>
        <v>42.3774160679498</v>
      </c>
      <c r="G3888" s="6" t="n">
        <f aca="false">Sens!G3882-Sens!G3887*(Sens!G3884+Sens!G3886)-Sens!G3885</f>
        <v>76.1300577997932</v>
      </c>
      <c r="H3888" s="6" t="n">
        <f aca="false">Sens!H3882-Sens!H3887*(Sens!H3884+Sens!H3886)-Sens!H3885</f>
        <v>111.684361438006</v>
      </c>
      <c r="I3888" s="6" t="n">
        <f aca="false">Sens!I3882-Sens!I3887*(Sens!I3884+Sens!I3886)-Sens!I3885</f>
        <v>142.811431859258</v>
      </c>
      <c r="J3888" s="6" t="n">
        <f aca="false">Sens!J3882-Sens!J3887*(Sens!J3884+Sens!J3886)-Sens!J3885</f>
        <v>164.375542566068</v>
      </c>
      <c r="K3888" s="6" t="n">
        <f aca="false">Sens!K3882-Sens!K3887*(Sens!K3884+Sens!K3886)-Sens!K3885</f>
        <v>177.640708645141</v>
      </c>
    </row>
    <row r="3889" customFormat="false" ht="17.15" hidden="false" customHeight="false" outlineLevel="0" collapsed="false">
      <c r="A3889" s="1" t="s">
        <v>986</v>
      </c>
      <c r="B3889" s="0" t="s">
        <v>98</v>
      </c>
      <c r="D3889" s="6" t="n">
        <f aca="false">(1-Sens!D3887)*(Sens!D3884+Sens!D3886)</f>
        <v>1.42281025374069</v>
      </c>
      <c r="E3889" s="6" t="n">
        <f aca="false">(1-Sens!E3887)*(Sens!E3884+Sens!E3886)</f>
        <v>3.25095598674472</v>
      </c>
      <c r="F3889" s="6" t="n">
        <f aca="false">(1-Sens!F3887)*(Sens!F3884+Sens!F3886)</f>
        <v>7.2021475868998</v>
      </c>
      <c r="G3889" s="6" t="n">
        <f aca="false">(1-Sens!G3887)*(Sens!G3884+Sens!G3886)</f>
        <v>12.7824258697846</v>
      </c>
      <c r="H3889" s="6" t="n">
        <f aca="false">(1-Sens!H3887)*(Sens!H3884+Sens!H3886)</f>
        <v>18.6079908742688</v>
      </c>
      <c r="I3889" s="6" t="n">
        <f aca="false">(1-Sens!I3887)*(Sens!I3884+Sens!I3886)</f>
        <v>23.6339903084477</v>
      </c>
      <c r="J3889" s="6" t="n">
        <f aca="false">(1-Sens!J3887)*(Sens!J3884+Sens!J3886)</f>
        <v>27.0308780324476</v>
      </c>
      <c r="K3889" s="6" t="n">
        <f aca="false">(1-Sens!K3887)*(Sens!K3884+Sens!K3886)</f>
        <v>28.9127820952278</v>
      </c>
    </row>
    <row r="3890" customFormat="false" ht="17.15" hidden="false" customHeight="false" outlineLevel="0" collapsed="false">
      <c r="A3890" s="1" t="s">
        <v>987</v>
      </c>
      <c r="B3890" s="0" t="s">
        <v>414</v>
      </c>
      <c r="C3890" s="8" t="n">
        <f aca="false">cxit_open</f>
        <v>27.5918995</v>
      </c>
      <c r="D3890" s="8" t="n">
        <f aca="false">cxit_open</f>
        <v>27.5918995</v>
      </c>
      <c r="E3890" s="8" t="n">
        <f aca="false">cxit_open</f>
        <v>27.5918995</v>
      </c>
      <c r="F3890" s="8" t="n">
        <f aca="false">((a_g3_27-nonnv*a_mai)*tk_cxit_gb300+nonnv*a_mai*nv_hold_mai*tk_cxit_vr200+(1-a_g3_27)*tk_cxit_vr200)</f>
        <v>32.4975576</v>
      </c>
      <c r="G3890" s="8" t="n">
        <f aca="false">((a_g3_28-nonnv*a_mai)*tk_cxit_gb300+nonnv*a_mai*nv_hold_mai*tk_cxit_vr200+(1-a_g3_28)*tk_cxit_vr200)</f>
        <v>34.6372088</v>
      </c>
      <c r="H3890" s="8" t="n">
        <f aca="false">((a_g3_29-nonnv*a_mai)*tk_cxit_gb300+nonnv*a_mai*nv_hold_mai*tk_cxit_vr200+(1-a_g3_29)*tk_cxit_vr200)</f>
        <v>35.7070344</v>
      </c>
      <c r="I3890" s="8" t="n">
        <f aca="false">((a_g3_29-nonnv*a_mai)*tk_cxit_gb300+nonnv*a_mai*nv_hold_mai*tk_cxit_vr200+(1-a_g3_29)*tk_cxit_vr200)</f>
        <v>35.7070344</v>
      </c>
      <c r="J3890" s="8" t="n">
        <f aca="false">((a_g3_29-nonnv*a_mai)*tk_cxit_gb300+nonnv*a_mai*nv_hold_mai*tk_cxit_vr200+(1-a_g3_29)*tk_cxit_vr200)</f>
        <v>35.7070344</v>
      </c>
      <c r="K3890" s="8" t="n">
        <f aca="false">((a_g3_29-nonnv*a_mai)*tk_cxit_gb300+nonnv*a_mai*nv_hold_mai*tk_cxit_vr200+(1-a_g3_29)*tk_cxit_vr200)</f>
        <v>35.7070344</v>
      </c>
      <c r="L3890" s="12" t="s">
        <v>988</v>
      </c>
    </row>
    <row r="3891" customFormat="false" ht="17.15" hidden="false" customHeight="false" outlineLevel="0" collapsed="false">
      <c r="A3891" s="0" t="s">
        <v>989</v>
      </c>
      <c r="B3891" s="0" t="s">
        <v>456</v>
      </c>
      <c r="F3891" s="30" t="n">
        <f aca="false">Sens!C3870*IF(Sens!F3863-Sens!C3863=life_it,1,0)+Sens!D3870*IF(Sens!F3863-Sens!D3863=life_it,1,0)+Sens!E3870*IF(Sens!F3863-Sens!E3863=life_it,1,0)</f>
        <v>0</v>
      </c>
      <c r="G3891" s="30" t="n">
        <f aca="false">Sens!C3870*IF(Sens!G3863-Sens!C3863=life_it,1,0)+Sens!D3870*IF(Sens!G3863-Sens!D3863=life_it,1,0)+Sens!E3870*IF(Sens!G3863-Sens!E3863=life_it,1,0)+Sens!F3870*IF(Sens!G3863-Sens!F3863=life_it,1,0)</f>
        <v>0</v>
      </c>
      <c r="H3891" s="30" t="n">
        <f aca="false">Sens!C3870*IF(Sens!H3863-Sens!C3863=life_it,1,0)+Sens!D3870*IF(Sens!H3863-Sens!D3863=life_it,1,0)+Sens!E3870*IF(Sens!H3863-Sens!E3863=life_it,1,0)+Sens!F3870*IF(Sens!H3863-Sens!F3863=life_it,1,0)+Sens!G3870*IF(Sens!H3863-Sens!G3863=life_it,1,0)</f>
        <v>0</v>
      </c>
      <c r="I3891" s="30" t="n">
        <f aca="false">Sens!C3870*IF(Sens!I3863-Sens!C3863=life_it,1,0)+Sens!D3870*IF(Sens!I3863-Sens!D3863=life_it,1,0)+Sens!E3870*IF(Sens!I3863-Sens!E3863=life_it,1,0)+Sens!F3870*IF(Sens!I3863-Sens!F3863=life_it,1,0)+Sens!G3870*IF(Sens!I3863-Sens!G3863=life_it,1,0)+Sens!H3870*IF(Sens!I3863-Sens!H3863=life_it,1,0)</f>
        <v>816.666666666667</v>
      </c>
      <c r="J3891" s="30" t="n">
        <f aca="false">Sens!C3870*IF(Sens!J3863-Sens!C3863=life_it,1,0)+Sens!D3870*IF(Sens!J3863-Sens!D3863=life_it,1,0)+Sens!E3870*IF(Sens!J3863-Sens!E3863=life_it,1,0)+Sens!F3870*IF(Sens!J3863-Sens!F3863=life_it,1,0)+Sens!G3870*IF(Sens!J3863-Sens!G3863=life_it,1,0)+Sens!H3870*IF(Sens!J3863-Sens!H3863=life_it,1,0)+Sens!I3870*IF(Sens!J3863-Sens!I3863=life_it,1,0)</f>
        <v>1233.33333333333</v>
      </c>
      <c r="K3891" s="30" t="n">
        <f aca="false">Sens!C3870*IF(Sens!K3863-Sens!C3863=life_it,1,0)+Sens!D3870*IF(Sens!K3863-Sens!D3863=life_it,1,0)+Sens!E3870*IF(Sens!K3863-Sens!E3863=life_it,1,0)+Sens!F3870*IF(Sens!K3863-Sens!F3863=life_it,1,0)+Sens!G3870*IF(Sens!K3863-Sens!G3863=life_it,1,0)+Sens!H3870*IF(Sens!K3863-Sens!H3863=life_it,1,0)+Sens!I3870*IF(Sens!K3863-Sens!I3863=life_it,1,0)+Sens!J3870*IF(Sens!K3863-Sens!J3863=life_it,1,0)</f>
        <v>2450</v>
      </c>
      <c r="L3891" s="1" t="s">
        <v>990</v>
      </c>
    </row>
    <row r="3892" customFormat="false" ht="17.15" hidden="false" customHeight="false" outlineLevel="0" collapsed="false">
      <c r="A3892" s="0" t="s">
        <v>991</v>
      </c>
      <c r="B3892" s="0" t="s">
        <v>98</v>
      </c>
      <c r="C3892" s="6" t="n">
        <f aca="false">Sens!C3870*Sens!C3890/1000</f>
        <v>22.5333845916667</v>
      </c>
      <c r="D3892" s="6" t="n">
        <f aca="false">Sens!D3870*Sens!D3890/1000</f>
        <v>34.0300093833333</v>
      </c>
      <c r="E3892" s="6" t="n">
        <f aca="false">Sens!E3870*Sens!E3890/1000</f>
        <v>67.600153775</v>
      </c>
      <c r="F3892" s="6" t="n">
        <f aca="false">(Sens!F3870+Sens!F3891)*Sens!F3890/1000</f>
        <v>166.053968145344</v>
      </c>
      <c r="G3892" s="6" t="n">
        <f aca="false">(Sens!G3870+Sens!G3891)*Sens!G3890/1000</f>
        <v>188.879131118458</v>
      </c>
      <c r="H3892" s="6" t="n">
        <f aca="false">(Sens!H3870+Sens!H3891)*Sens!H3890/1000</f>
        <v>194.712965217015</v>
      </c>
      <c r="I3892" s="6" t="n">
        <f aca="false">(Sens!I3870+Sens!I3891)*Sens!I3890/1000</f>
        <v>166.744908224521</v>
      </c>
      <c r="J3892" s="6" t="n">
        <f aca="false">(Sens!J3870+Sens!J3891)*Sens!J3890/1000</f>
        <v>127.245720741316</v>
      </c>
      <c r="K3892" s="6" t="n">
        <f aca="false">(Sens!K3870+Sens!K3891)*Sens!K3890/1000</f>
        <v>117.432530492906</v>
      </c>
    </row>
    <row r="3893" customFormat="false" ht="17.15" hidden="false" customHeight="false" outlineLevel="0" collapsed="false">
      <c r="A3893" s="0" t="s">
        <v>992</v>
      </c>
      <c r="B3893" s="0" t="s">
        <v>98</v>
      </c>
      <c r="C3893" s="6" t="n">
        <f aca="false">Sens!C3870*self_build*tk_cxfac/1000</f>
        <v>6.2083</v>
      </c>
      <c r="D3893" s="6" t="n">
        <f aca="false">Sens!D3870*self_build*tk_cxfac/1000</f>
        <v>9.3758</v>
      </c>
      <c r="E3893" s="6" t="n">
        <f aca="false">Sens!E3870*self_build*tk_cxfac/1000</f>
        <v>18.6249</v>
      </c>
      <c r="F3893" s="6" t="n">
        <f aca="false">Sens!F3870*self_build*tk_cxfac/1000</f>
        <v>38.8442196604</v>
      </c>
      <c r="G3893" s="6" t="n">
        <f aca="false">Sens!G3870*self_build*tk_cxfac/1000</f>
        <v>41.4542396604</v>
      </c>
      <c r="H3893" s="6" t="n">
        <f aca="false">Sens!H3870*self_build*tk_cxfac/1000</f>
        <v>41.4542396604</v>
      </c>
      <c r="I3893" s="6" t="n">
        <f aca="false">Sens!I3870*self_build*tk_cxfac/1000</f>
        <v>29.291561963412</v>
      </c>
      <c r="J3893" s="6" t="n">
        <f aca="false">Sens!J3870*self_build*tk_cxfac/1000</f>
        <v>17.7147155056922</v>
      </c>
      <c r="K3893" s="6" t="n">
        <f aca="false">Sens!K3870*self_build*tk_cxfac/1000</f>
        <v>6.3763948935091</v>
      </c>
    </row>
    <row r="3894" customFormat="false" ht="17.15" hidden="false" customHeight="false" outlineLevel="0" collapsed="false">
      <c r="A3894" s="0" t="s">
        <v>993</v>
      </c>
      <c r="B3894" s="0" t="s">
        <v>98</v>
      </c>
      <c r="F3894" s="15" t="n">
        <f aca="false">capex_floor27-Sens!F3892-Sens!F3893-Sens!F3990</f>
        <v>-36.2873063942945</v>
      </c>
      <c r="L3894" s="12" t="s">
        <v>994</v>
      </c>
    </row>
    <row r="3895" customFormat="false" ht="17.15" hidden="false" customHeight="false" outlineLevel="0" collapsed="false">
      <c r="A3895" s="0" t="s">
        <v>995</v>
      </c>
      <c r="B3895" s="0" t="s">
        <v>98</v>
      </c>
      <c r="F3895" s="6" t="n">
        <f aca="false">MAX(0,Sens!F3894)</f>
        <v>0</v>
      </c>
    </row>
    <row r="3896" customFormat="false" ht="17.15" hidden="false" customHeight="false" outlineLevel="0" collapsed="false">
      <c r="A3896" s="0" t="s">
        <v>996</v>
      </c>
      <c r="B3896" s="0" t="s">
        <v>98</v>
      </c>
      <c r="C3896" s="6" t="n">
        <f aca="false">Sens!C3892</f>
        <v>22.5333845916667</v>
      </c>
      <c r="D3896" s="6" t="n">
        <f aca="false">Sens!D3892</f>
        <v>34.0300093833333</v>
      </c>
      <c r="E3896" s="6" t="n">
        <f aca="false">Sens!E3892</f>
        <v>67.600153775</v>
      </c>
      <c r="F3896" s="6" t="n">
        <f aca="false">Sens!F3892</f>
        <v>166.053968145344</v>
      </c>
      <c r="G3896" s="6" t="n">
        <f aca="false">Sens!G3892</f>
        <v>188.879131118458</v>
      </c>
      <c r="H3896" s="6" t="n">
        <f aca="false">Sens!H3892</f>
        <v>194.712965217015</v>
      </c>
      <c r="I3896" s="6" t="n">
        <f aca="false">Sens!I3892</f>
        <v>166.744908224521</v>
      </c>
      <c r="J3896" s="6" t="n">
        <f aca="false">Sens!J3892</f>
        <v>127.245720741316</v>
      </c>
      <c r="K3896" s="6" t="n">
        <f aca="false">Sens!K3892</f>
        <v>117.432530492906</v>
      </c>
    </row>
    <row r="3897" customFormat="false" ht="17.15" hidden="false" customHeight="false" outlineLevel="0" collapsed="false">
      <c r="A3897" s="0" t="s">
        <v>997</v>
      </c>
      <c r="B3897" s="0" t="s">
        <v>98</v>
      </c>
      <c r="C3897" s="6" t="n">
        <f aca="false">Sens!C3896+Sens!C3893</f>
        <v>28.7416845916667</v>
      </c>
      <c r="D3897" s="6" t="n">
        <f aca="false">Sens!D3896+Sens!D3893</f>
        <v>43.4058093833333</v>
      </c>
      <c r="E3897" s="6" t="n">
        <f aca="false">Sens!E3896+Sens!E3893</f>
        <v>86.225053775</v>
      </c>
      <c r="F3897" s="6" t="n">
        <f aca="false">Sens!F3896+Sens!F3893</f>
        <v>204.898187805744</v>
      </c>
      <c r="G3897" s="6" t="n">
        <f aca="false">Sens!G3896+Sens!G3893</f>
        <v>230.333370778858</v>
      </c>
      <c r="H3897" s="6" t="n">
        <f aca="false">Sens!H3896+Sens!H3893</f>
        <v>236.167204877415</v>
      </c>
      <c r="I3897" s="6" t="n">
        <f aca="false">Sens!I3896+Sens!I3893</f>
        <v>196.036470187933</v>
      </c>
      <c r="J3897" s="6" t="n">
        <f aca="false">Sens!J3896+Sens!J3893</f>
        <v>144.960436247008</v>
      </c>
      <c r="K3897" s="6" t="n">
        <f aca="false">Sens!K3896+Sens!K3893</f>
        <v>123.808925386415</v>
      </c>
      <c r="L3897" s="12" t="s">
        <v>998</v>
      </c>
    </row>
    <row r="3898" customFormat="false" ht="17.15" hidden="false" customHeight="false" outlineLevel="0" collapsed="false">
      <c r="A3898" s="0" t="s">
        <v>999</v>
      </c>
      <c r="B3898" s="0" t="s">
        <v>98</v>
      </c>
      <c r="E3898" s="6" t="n">
        <f aca="false">(Sens!C3896*IF(2&lt;life_it,1,IF(2=life_it,0.5,0))+Sens!D3896*IF(1&lt;life_it,1,IF(1=life_it,0.5,0))+Sens!E3896*0.5)/life_it</f>
        <v>15.0605784770833</v>
      </c>
      <c r="F3898" s="6" t="n">
        <f aca="false">(Sens!C3896*IF(3&lt;life_it,1,IF(3=life_it,0.5,0))+Sens!D3896*IF(2&lt;life_it,1,IF(2=life_it,0.5,0))+Sens!E3896*IF(1&lt;life_it,1,IF(1=life_it,0.5,0))+Sens!F3896*0.5)/life_it</f>
        <v>34.5317553037786</v>
      </c>
      <c r="G3898" s="6" t="n">
        <f aca="false">(Sens!C3896*IF(4&lt;life_it,1,IF(4=life_it,0.5,0))+Sens!D3896*IF(3&lt;life_it,1,IF(3=life_it,0.5,0))+Sens!E3896*IF(2&lt;life_it,1,IF(2=life_it,0.5,0))+Sens!F3896*IF(1&lt;life_it,1,IF(1=life_it,0.5,0))+Sens!G3896*0.5)/life_it</f>
        <v>64.1095135757621</v>
      </c>
      <c r="H3898" s="6" t="n">
        <f aca="false">(Sens!C3896*IF(5&lt;life_it,1,IF(5=life_it,0.5,0))+Sens!D3896*IF(4&lt;life_it,1,IF(4=life_it,0.5,0))+Sens!E3896*IF(3&lt;life_it,1,IF(3=life_it,0.5,0))+Sens!F3896*IF(2&lt;life_it,1,IF(2=life_it,0.5,0))+Sens!G3896*IF(1&lt;life_it,1,IF(1=life_it,0.5,0))+Sens!H3896*0.5)/life_it</f>
        <v>96.0755216037181</v>
      </c>
      <c r="I3898" s="6" t="n">
        <f aca="false">(Sens!C3896*IF(6&lt;life_it,1,IF(6=life_it,0.5,0))+Sens!D3896*IF(5&lt;life_it,1,IF(5=life_it,0.5,0))+Sens!E3896*IF(4&lt;life_it,1,IF(4=life_it,0.5,0))+Sens!F3896*IF(3&lt;life_it,1,IF(3=life_it,0.5,0))+Sens!G3896*IF(2&lt;life_it,1,IF(2=life_it,0.5,0))+Sens!H3896*IF(1&lt;life_it,1,IF(1=life_it,0.5,0))+Sens!I3896*0.5)/life_it</f>
        <v>124.319229007874</v>
      </c>
      <c r="J3898" s="6" t="n">
        <f aca="false">(Sens!C3896*IF(7&lt;life_it,1,IF(7=life_it,0.5,0))+Sens!D3896*IF(6&lt;life_it,1,IF(6=life_it,0.5,0))+Sens!E3896*IF(5&lt;life_it,1,IF(5=life_it,0.5,0))+Sens!F3896*IF(4&lt;life_it,1,IF(4=life_it,0.5,0))+Sens!G3896*IF(3&lt;life_it,1,IF(3=life_it,0.5,0))+Sens!H3896*IF(2&lt;life_it,1,IF(2=life_it,0.5,0))+Sens!I3896*IF(1&lt;life_it,1,IF(1=life_it,0.5,0))+Sens!J3896*0.5)/life_it</f>
        <v>144.104831923777</v>
      </c>
      <c r="K3898" s="6" t="n">
        <f aca="false">(Sens!C3896*IF(8&lt;life_it,1,IF(8=life_it,0.5,0))+Sens!D3896*IF(7&lt;life_it,1,IF(7=life_it,0.5,0))+Sens!E3896*IF(6&lt;life_it,1,IF(6=life_it,0.5,0))+Sens!F3896*IF(5&lt;life_it,1,IF(5=life_it,0.5,0))+Sens!G3896*IF(4&lt;life_it,1,IF(4=life_it,0.5,0))+Sens!H3896*IF(3&lt;life_it,1,IF(3=life_it,0.5,0))+Sens!I3896*IF(2&lt;life_it,1,IF(2=life_it,0.5,0))+Sens!J3896*IF(1&lt;life_it,1,IF(1=life_it,0.5,0))+Sens!K3896*0.5)/life_it</f>
        <v>156.025505930101</v>
      </c>
    </row>
    <row r="3899" customFormat="false" ht="17.15" hidden="false" customHeight="false" outlineLevel="0" collapsed="false">
      <c r="A3899" s="0" t="s">
        <v>1000</v>
      </c>
      <c r="B3899" s="0" t="s">
        <v>98</v>
      </c>
      <c r="E3899" s="6" t="n">
        <f aca="false">(Sens!C3893*IF(2&lt;life_fac,1,IF(2=life_fac,0.5,0))+Sens!D3893*IF(1&lt;life_fac,1,IF(1=life_fac,0.5,0))+Sens!E3893*0.5)/life_fac</f>
        <v>1.2448275</v>
      </c>
      <c r="F3899" s="6" t="n">
        <f aca="false">(Sens!C3893*IF(3&lt;life_fac,1,IF(3=life_fac,0.5,0))+Sens!D3893*IF(2&lt;life_fac,1,IF(2=life_fac,0.5,0))+Sens!E3893*IF(1&lt;life_fac,1,IF(1=life_fac,0.5,0))+Sens!F3893*0.5)/life_fac</f>
        <v>2.68155549151</v>
      </c>
      <c r="G3899" s="6" t="n">
        <f aca="false">(Sens!C3893*IF(4&lt;life_fac,1,IF(4=life_fac,0.5,0))+Sens!D3893*IF(3&lt;life_fac,1,IF(3=life_fac,0.5,0))+Sens!E3893*IF(2&lt;life_fac,1,IF(2=life_fac,0.5,0))+Sens!F3893*IF(1&lt;life_fac,1,IF(1=life_fac,0.5,0))+Sens!G3893*0.5)/life_fac</f>
        <v>4.68901697453</v>
      </c>
      <c r="H3899" s="6" t="n">
        <f aca="false">(Sens!C3893*IF(5&lt;life_fac,1,IF(5=life_fac,0.5,0))+Sens!D3893*IF(4&lt;life_fac,1,IF(4=life_fac,0.5,0))+Sens!E3893*IF(3&lt;life_fac,1,IF(3=life_fac,0.5,0))+Sens!F3893*IF(2&lt;life_fac,1,IF(2=life_fac,0.5,0))+Sens!G3893*IF(1&lt;life_fac,1,IF(1=life_fac,0.5,0))+Sens!H3893*0.5)/life_fac</f>
        <v>6.76172895755</v>
      </c>
      <c r="I3899" s="6" t="n">
        <f aca="false">(Sens!C3893*IF(6&lt;life_fac,1,IF(6=life_fac,0.5,0))+Sens!D3893*IF(5&lt;life_fac,1,IF(5=life_fac,0.5,0))+Sens!E3893*IF(4&lt;life_fac,1,IF(4=life_fac,0.5,0))+Sens!F3893*IF(3&lt;life_fac,1,IF(3=life_fac,0.5,0))+Sens!G3893*IF(2&lt;life_fac,1,IF(2=life_fac,0.5,0))+Sens!H3893*IF(1&lt;life_fac,1,IF(1=life_fac,0.5,0))+Sens!I3893*0.5)/life_fac</f>
        <v>8.5303739981453</v>
      </c>
      <c r="J3899" s="6" t="n">
        <f aca="false">(Sens!C3893*IF(7&lt;life_fac,1,IF(7=life_fac,0.5,0))+Sens!D3893*IF(6&lt;life_fac,1,IF(6=life_fac,0.5,0))+Sens!E3893*IF(5&lt;life_fac,1,IF(5=life_fac,0.5,0))+Sens!F3893*IF(4&lt;life_fac,1,IF(4=life_fac,0.5,0))+Sens!G3893*IF(3&lt;life_fac,1,IF(3=life_fac,0.5,0))+Sens!H3893*IF(2&lt;life_fac,1,IF(2=life_fac,0.5,0))+Sens!I3893*IF(1&lt;life_fac,1,IF(1=life_fac,0.5,0))+Sens!J3893*0.5)/life_fac</f>
        <v>9.70553093487291</v>
      </c>
      <c r="K3899" s="6" t="n">
        <f aca="false">(Sens!C3893*IF(8&lt;life_fac,1,IF(8=life_fac,0.5,0))+Sens!D3893*IF(7&lt;life_fac,1,IF(7=life_fac,0.5,0))+Sens!E3893*IF(6&lt;life_fac,1,IF(6=life_fac,0.5,0))+Sens!F3893*IF(5&lt;life_fac,1,IF(5=life_fac,0.5,0))+Sens!G3893*IF(4&lt;life_fac,1,IF(4=life_fac,0.5,0))+Sens!H3893*IF(3&lt;life_fac,1,IF(3=life_fac,0.5,0))+Sens!I3893*IF(2&lt;life_fac,1,IF(2=life_fac,0.5,0))+Sens!J3893*IF(1&lt;life_fac,1,IF(1=life_fac,0.5,0))+Sens!K3893*0.5)/life_fac</f>
        <v>10.3078086948529</v>
      </c>
    </row>
    <row r="3900" customFormat="false" ht="17.15" hidden="false" customHeight="false" outlineLevel="0" collapsed="false">
      <c r="A3900" s="0" t="s">
        <v>1001</v>
      </c>
      <c r="B3900" s="0" t="s">
        <v>98</v>
      </c>
      <c r="E3900" s="6" t="n">
        <f aca="false">Sens!E3898+Sens!E3899</f>
        <v>16.3054059770833</v>
      </c>
      <c r="F3900" s="6" t="n">
        <f aca="false">Sens!F3898+Sens!F3899</f>
        <v>37.2133107952886</v>
      </c>
      <c r="G3900" s="6" t="n">
        <f aca="false">Sens!G3898+Sens!G3899</f>
        <v>68.7985305502921</v>
      </c>
      <c r="H3900" s="6" t="n">
        <f aca="false">Sens!H3898+Sens!H3899</f>
        <v>102.837250561268</v>
      </c>
      <c r="I3900" s="6" t="n">
        <f aca="false">Sens!I3898+Sens!I3899</f>
        <v>132.849603006019</v>
      </c>
      <c r="J3900" s="6" t="n">
        <f aca="false">Sens!J3898+Sens!J3899</f>
        <v>153.81036285865</v>
      </c>
      <c r="K3900" s="6" t="n">
        <f aca="false">Sens!K3898+Sens!K3899</f>
        <v>166.333314624954</v>
      </c>
    </row>
    <row r="3901" customFormat="false" ht="17.15" hidden="false" customHeight="false" outlineLevel="0" collapsed="false">
      <c r="A3901" s="0" t="s">
        <v>1002</v>
      </c>
      <c r="B3901" s="0" t="s">
        <v>98</v>
      </c>
      <c r="E3901" s="6" t="n">
        <f aca="false">Sens!E3888-Sens!E3887*Sens!E3900</f>
        <v>8.92707889977379</v>
      </c>
      <c r="F3901" s="6" t="n">
        <f aca="false">Sens!F3888-Sens!F3887*Sens!F3900</f>
        <v>20.0494295907766</v>
      </c>
      <c r="G3901" s="6" t="n">
        <f aca="false">Sens!G3888-Sens!G3887*Sens!G3900</f>
        <v>34.850939469618</v>
      </c>
      <c r="H3901" s="6" t="n">
        <f aca="false">Sens!H3888-Sens!H3887*Sens!H3900</f>
        <v>49.9820111012452</v>
      </c>
      <c r="I3901" s="6" t="n">
        <f aca="false">Sens!I3888-Sens!I3887*Sens!I3900</f>
        <v>63.1016700556461</v>
      </c>
      <c r="J3901" s="6" t="n">
        <f aca="false">Sens!J3888-Sens!J3887*Sens!J3900</f>
        <v>72.0893248508782</v>
      </c>
      <c r="K3901" s="6" t="n">
        <f aca="false">Sens!K3888-Sens!K3887*Sens!K3900</f>
        <v>77.8407198701686</v>
      </c>
    </row>
    <row r="3902" customFormat="false" ht="17.15" hidden="false" customHeight="false" outlineLevel="0" collapsed="false">
      <c r="A3902" s="3" t="s">
        <v>1576</v>
      </c>
    </row>
    <row r="3903" customFormat="false" ht="15" hidden="false" customHeight="false" outlineLevel="0" collapsed="false">
      <c r="A3903" s="4" t="s">
        <v>43</v>
      </c>
      <c r="B3903" s="4" t="s">
        <v>65</v>
      </c>
      <c r="C3903" s="23" t="s">
        <v>938</v>
      </c>
      <c r="D3903" s="23" t="s">
        <v>939</v>
      </c>
      <c r="E3903" s="23" t="s">
        <v>940</v>
      </c>
      <c r="F3903" s="23" t="s">
        <v>941</v>
      </c>
      <c r="G3903" s="23" t="s">
        <v>942</v>
      </c>
      <c r="H3903" s="23" t="s">
        <v>943</v>
      </c>
      <c r="I3903" s="23" t="s">
        <v>944</v>
      </c>
      <c r="J3903" s="23" t="s">
        <v>945</v>
      </c>
      <c r="K3903" s="23" t="s">
        <v>946</v>
      </c>
      <c r="L3903" s="4" t="s">
        <v>47</v>
      </c>
    </row>
    <row r="3904" customFormat="false" ht="17.15" hidden="false" customHeight="false" outlineLevel="0" collapsed="false">
      <c r="A3904" s="0" t="s">
        <v>1021</v>
      </c>
      <c r="B3904" s="0" t="s">
        <v>98</v>
      </c>
      <c r="D3904" s="6" t="n">
        <f aca="false">Sens!D3882</f>
        <v>12.9359794422418</v>
      </c>
      <c r="E3904" s="6" t="n">
        <f aca="false">Sens!E3882</f>
        <v>27.8095064661409</v>
      </c>
      <c r="F3904" s="6" t="n">
        <f aca="false">Sens!F3882</f>
        <v>58.9858074482995</v>
      </c>
      <c r="G3904" s="6" t="n">
        <f aca="false">Sens!G3882</f>
        <v>102.02453660447</v>
      </c>
      <c r="H3904" s="6" t="n">
        <f aca="false">Sens!H3882</f>
        <v>146.317187749409</v>
      </c>
      <c r="I3904" s="6" t="n">
        <f aca="false">Sens!I3882</f>
        <v>184.983257321929</v>
      </c>
      <c r="J3904" s="6" t="n">
        <f aca="false">Sens!J3882</f>
        <v>211.642699614739</v>
      </c>
      <c r="K3904" s="6" t="n">
        <f aca="false">Sens!K3882</f>
        <v>227.730721787983</v>
      </c>
    </row>
    <row r="3905" customFormat="false" ht="17.15" hidden="false" customHeight="false" outlineLevel="0" collapsed="false">
      <c r="A3905" s="0" t="s">
        <v>1022</v>
      </c>
      <c r="B3905" s="0" t="s">
        <v>98</v>
      </c>
      <c r="D3905" s="6" t="n">
        <f aca="false">Q!L6-Sens!D3904</f>
        <v>59.6740205577583</v>
      </c>
      <c r="E3905" s="6" t="n">
        <f aca="false">Q!M6-Sens!E3904</f>
        <v>74.1284935338591</v>
      </c>
      <c r="F3905" s="6" t="n">
        <f aca="false">Q!$I$6+(Sens!F3904+Sens!E3905*(1+Sens!F3906))*(1-Q!$E$6/Q!M6)-Sens!F3904</f>
        <v>90.5124269407258</v>
      </c>
      <c r="G3905" s="6" t="n">
        <f aca="false">Sens!F3905*(1+Sens!G3906)</f>
        <v>107.542272670442</v>
      </c>
      <c r="H3905" s="6" t="n">
        <f aca="false">Sens!G3905*(1+Sens!H3906)</f>
        <v>124.868617015842</v>
      </c>
      <c r="I3905" s="6" t="n">
        <f aca="false">Sens!H3905*(1+Sens!I3906)</f>
        <v>141.610330351152</v>
      </c>
      <c r="J3905" s="6" t="n">
        <f aca="false">Sens!I3905*(1+Sens!J3906)</f>
        <v>156.767919723931</v>
      </c>
      <c r="K3905" s="6" t="n">
        <f aca="false">Sens!J3905*(1+Sens!K3906)</f>
        <v>169.309353301846</v>
      </c>
      <c r="L3905" s="12" t="s">
        <v>1023</v>
      </c>
    </row>
    <row r="3906" customFormat="false" ht="15" hidden="false" customHeight="false" outlineLevel="0" collapsed="false">
      <c r="A3906" s="1" t="s">
        <v>1024</v>
      </c>
      <c r="B3906" s="0" t="s">
        <v>168</v>
      </c>
      <c r="E3906" s="7" t="n">
        <f aca="false">Sens!E3905/Sens!D3905-1</f>
        <v>0.242223883039864</v>
      </c>
      <c r="F3906" s="7" t="n">
        <f aca="false">Sens!$E$3906+(glt_azo-Sens!$E$3906)*MIN(1,(Sens!F3863-base_fy)/n_conv)</f>
        <v>0.215186569199887</v>
      </c>
      <c r="G3906" s="7" t="n">
        <f aca="false">Sens!$E$3906+(glt_azo-Sens!$E$3906)*MIN(1,(Sens!G3863-base_fy)/n_conv)</f>
        <v>0.18814925535991</v>
      </c>
      <c r="H3906" s="7" t="n">
        <f aca="false">Sens!$E$3906+(glt_azo-Sens!$E$3906)*MIN(1,(Sens!H3863-base_fy)/n_conv)</f>
        <v>0.161111941519932</v>
      </c>
      <c r="I3906" s="7" t="n">
        <f aca="false">Sens!$E$3906+(glt_azo-Sens!$E$3906)*MIN(1,(Sens!I3863-base_fy)/n_conv)</f>
        <v>0.134074627679955</v>
      </c>
      <c r="J3906" s="7" t="n">
        <f aca="false">Sens!$E$3906+(glt_azo-Sens!$E$3906)*MIN(1,(Sens!J3863-base_fy)/n_conv)</f>
        <v>0.107037313839977</v>
      </c>
      <c r="K3906" s="7" t="n">
        <f aca="false">Sens!$E$3906+(glt_azo-Sens!$E$3906)*MIN(1,(Sens!K3863-base_fy)/n_conv)</f>
        <v>0.08</v>
      </c>
    </row>
    <row r="3907" customFormat="false" ht="15" hidden="false" customHeight="false" outlineLevel="0" collapsed="false">
      <c r="A3907" s="0" t="s">
        <v>1025</v>
      </c>
      <c r="B3907" s="0" t="s">
        <v>98</v>
      </c>
      <c r="D3907" s="6" t="n">
        <f aca="false">Sens!D3904+Sens!D3905</f>
        <v>72.61</v>
      </c>
      <c r="E3907" s="6" t="n">
        <f aca="false">Sens!E3904+Sens!E3905</f>
        <v>101.938</v>
      </c>
      <c r="F3907" s="6" t="n">
        <f aca="false">Sens!F3904+Sens!F3905</f>
        <v>149.498234389025</v>
      </c>
      <c r="G3907" s="6" t="n">
        <f aca="false">Sens!G3904+Sens!G3905</f>
        <v>209.566809274912</v>
      </c>
      <c r="H3907" s="6" t="n">
        <f aca="false">Sens!H3904+Sens!H3905</f>
        <v>271.185804765252</v>
      </c>
      <c r="I3907" s="6" t="n">
        <f aca="false">Sens!I3904+Sens!I3905</f>
        <v>326.593587673081</v>
      </c>
      <c r="J3907" s="6" t="n">
        <f aca="false">Sens!J3904+Sens!J3905</f>
        <v>368.410619338671</v>
      </c>
      <c r="K3907" s="6" t="n">
        <f aca="false">Sens!K3904+Sens!K3905</f>
        <v>397.040075089829</v>
      </c>
    </row>
    <row r="3908" customFormat="false" ht="17.15" hidden="false" customHeight="false" outlineLevel="0" collapsed="false">
      <c r="A3908" s="0" t="s">
        <v>1026</v>
      </c>
      <c r="B3908" s="1" t="s">
        <v>610</v>
      </c>
      <c r="C3908" s="30" t="n">
        <f aca="false">cop_s24</f>
        <v>1</v>
      </c>
      <c r="D3908" s="30" t="n">
        <f aca="false">cop_s25</f>
        <v>5</v>
      </c>
      <c r="E3908" s="30" t="n">
        <f aca="false">cop_s26</f>
        <v>30</v>
      </c>
      <c r="F3908" s="30" t="n">
        <f aca="false">Sens!E3908+cop_add_B</f>
        <v>50</v>
      </c>
      <c r="G3908" s="30" t="n">
        <f aca="false">Sens!F3908+cop_add_B</f>
        <v>70</v>
      </c>
      <c r="H3908" s="30" t="n">
        <f aca="false">Sens!G3908+cop_add_B</f>
        <v>90</v>
      </c>
      <c r="I3908" s="30" t="n">
        <f aca="false">Sens!H3908+cop_add_B*cop_tail</f>
        <v>100</v>
      </c>
      <c r="J3908" s="30" t="n">
        <f aca="false">Sens!I3908+cop_add_B*cop_tail</f>
        <v>110</v>
      </c>
      <c r="K3908" s="30" t="n">
        <f aca="false">Sens!J3908+cop_add_B*cop_tail</f>
        <v>120</v>
      </c>
      <c r="L3908" s="12" t="s">
        <v>1027</v>
      </c>
    </row>
    <row r="3909" customFormat="false" ht="17.15" hidden="false" customHeight="false" outlineLevel="0" collapsed="false">
      <c r="A3909" s="0" t="s">
        <v>1028</v>
      </c>
      <c r="B3909" s="0" t="s">
        <v>98</v>
      </c>
      <c r="D3909" s="6" t="n">
        <f aca="false">(Sens!C3908+Sens!D3908)/2*cop_px*12/1000</f>
        <v>0.9</v>
      </c>
      <c r="E3909" s="6" t="n">
        <f aca="false">(Sens!D3908+Sens!E3908)/2*cop_px*12/1000</f>
        <v>5.25</v>
      </c>
      <c r="F3909" s="6" t="n">
        <f aca="false">(Sens!E3908+Sens!F3908)/2*cop_px*12/1000</f>
        <v>12</v>
      </c>
      <c r="G3909" s="6" t="n">
        <f aca="false">(Sens!F3908+Sens!G3908)/2*cop_px*12/1000</f>
        <v>18</v>
      </c>
      <c r="H3909" s="6" t="n">
        <f aca="false">(Sens!G3908+Sens!H3908)/2*cop_px*12/1000</f>
        <v>24</v>
      </c>
      <c r="I3909" s="6" t="n">
        <f aca="false">(Sens!H3908+Sens!I3908)/2*cop_px*12/1000</f>
        <v>28.5</v>
      </c>
      <c r="J3909" s="6" t="n">
        <f aca="false">(Sens!I3908+Sens!J3908)/2*cop_px*12/1000</f>
        <v>31.5</v>
      </c>
      <c r="K3909" s="6" t="n">
        <f aca="false">(Sens!J3908+Sens!K3908)/2*cop_px*12/1000</f>
        <v>34.5</v>
      </c>
      <c r="L3909" s="1" t="s">
        <v>1029</v>
      </c>
    </row>
    <row r="3910" customFormat="false" ht="17.15" hidden="false" customHeight="false" outlineLevel="0" collapsed="false">
      <c r="A3910" s="0" t="s">
        <v>1030</v>
      </c>
      <c r="B3910" s="0" t="s">
        <v>98</v>
      </c>
      <c r="D3910" s="6" t="n">
        <f aca="false">Q!L7-Sens!D3909</f>
        <v>83.705</v>
      </c>
      <c r="E3910" s="6" t="n">
        <f aca="false">Q!M7-Sens!E3909</f>
        <v>95.049</v>
      </c>
      <c r="F3910" s="6" t="n">
        <f aca="false">Q!$I$7+(Sens!E3910*(1+Sens!F3911)+Sens!F3909)*(1-Q!$E$7/Q!M7)-Sens!F3909</f>
        <v>106.584003697747</v>
      </c>
      <c r="G3910" s="6" t="n">
        <f aca="false">Sens!F3910*(1+Sens!G3911)</f>
        <v>118.700726545688</v>
      </c>
      <c r="H3910" s="6" t="n">
        <f aca="false">Sens!G3910*(1+Sens!H3911)</f>
        <v>130.898624783666</v>
      </c>
      <c r="I3910" s="6" t="n">
        <f aca="false">Sens!H3910*(1+Sens!I3911)</f>
        <v>142.920510030657</v>
      </c>
      <c r="J3910" s="6" t="n">
        <f aca="false">Sens!I3910*(1+Sens!J3911)</f>
        <v>154.485722618572</v>
      </c>
      <c r="K3910" s="6" t="n">
        <f aca="false">Sens!J3910*(1+Sens!K3911)</f>
        <v>165.299723201872</v>
      </c>
      <c r="L3910" s="12" t="s">
        <v>1031</v>
      </c>
    </row>
    <row r="3911" customFormat="false" ht="15" hidden="false" customHeight="false" outlineLevel="0" collapsed="false">
      <c r="A3911" s="1" t="s">
        <v>1024</v>
      </c>
      <c r="B3911" s="0" t="s">
        <v>168</v>
      </c>
      <c r="E3911" s="7" t="n">
        <f aca="false">Sens!E3910/Sens!D3910-1</f>
        <v>0.135523564900544</v>
      </c>
      <c r="F3911" s="7" t="n">
        <f aca="false">Sens!$E$3911+(glt_m365b-Sens!$E$3911)*MIN(1,(Sens!F3863-base_fy)/n_conv)</f>
        <v>0.124602970750453</v>
      </c>
      <c r="G3911" s="7" t="n">
        <f aca="false">Sens!$E$3911+(glt_m365b-Sens!$E$3911)*MIN(1,(Sens!G3863-base_fy)/n_conv)</f>
        <v>0.113682376600363</v>
      </c>
      <c r="H3911" s="7" t="n">
        <f aca="false">Sens!$E$3911+(glt_m365b-Sens!$E$3911)*MIN(1,(Sens!H3863-base_fy)/n_conv)</f>
        <v>0.102761782450272</v>
      </c>
      <c r="I3911" s="7" t="n">
        <f aca="false">Sens!$E$3911+(glt_m365b-Sens!$E$3911)*MIN(1,(Sens!I3863-base_fy)/n_conv)</f>
        <v>0.0918411883001813</v>
      </c>
      <c r="J3911" s="7" t="n">
        <f aca="false">Sens!$E$3911+(glt_m365b-Sens!$E$3911)*MIN(1,(Sens!J3863-base_fy)/n_conv)</f>
        <v>0.0809205941500906</v>
      </c>
      <c r="K3911" s="7" t="n">
        <f aca="false">Sens!$E$3911+(glt_m365b-Sens!$E$3911)*MIN(1,(Sens!K3863-base_fy)/n_conv)</f>
        <v>0.07</v>
      </c>
    </row>
    <row r="3912" customFormat="false" ht="15" hidden="false" customHeight="false" outlineLevel="0" collapsed="false">
      <c r="A3912" s="0" t="s">
        <v>1032</v>
      </c>
      <c r="B3912" s="0" t="s">
        <v>98</v>
      </c>
      <c r="D3912" s="6" t="n">
        <f aca="false">Sens!D3910+Sens!D3909</f>
        <v>84.605</v>
      </c>
      <c r="E3912" s="6" t="n">
        <f aca="false">Sens!E3910+Sens!E3909</f>
        <v>100.299</v>
      </c>
      <c r="F3912" s="6" t="n">
        <f aca="false">Sens!F3910+Sens!F3909</f>
        <v>118.584003697747</v>
      </c>
      <c r="G3912" s="6" t="n">
        <f aca="false">Sens!G3910+Sens!G3909</f>
        <v>136.700726545688</v>
      </c>
      <c r="H3912" s="6" t="n">
        <f aca="false">Sens!H3910+Sens!H3909</f>
        <v>154.898624783666</v>
      </c>
      <c r="I3912" s="6" t="n">
        <f aca="false">Sens!I3910+Sens!I3909</f>
        <v>171.420510030657</v>
      </c>
      <c r="J3912" s="6" t="n">
        <f aca="false">Sens!J3910+Sens!J3909</f>
        <v>185.985722618572</v>
      </c>
      <c r="K3912" s="6" t="n">
        <f aca="false">Sens!K3910+Sens!K3909</f>
        <v>199.799723201872</v>
      </c>
    </row>
    <row r="3913" customFormat="false" ht="17.15" hidden="false" customHeight="false" outlineLevel="0" collapsed="false">
      <c r="A3913" s="0" t="s">
        <v>1033</v>
      </c>
      <c r="B3913" s="0" t="s">
        <v>98</v>
      </c>
      <c r="D3913" s="6" t="n">
        <f aca="false">Q!L8</f>
        <v>35.391</v>
      </c>
      <c r="E3913" s="6" t="n">
        <f aca="false">Q!M8</f>
        <v>37.285</v>
      </c>
      <c r="F3913" s="6" t="n">
        <f aca="false">Q!$I$8+(Q!M8-Q!$E$8)*(1+Sens!F3914)</f>
        <v>38.3851437782675</v>
      </c>
      <c r="G3913" s="6" t="n">
        <f aca="false">Sens!F3913*(1+Sens!G3914)</f>
        <v>40.0105353288615</v>
      </c>
      <c r="H3913" s="6" t="n">
        <f aca="false">Sens!G3913*(1+Sens!H3914)</f>
        <v>41.4812512033683</v>
      </c>
      <c r="I3913" s="6" t="n">
        <f aca="false">Sens!H3913*(1+Sens!I3914)</f>
        <v>42.7743107216329</v>
      </c>
      <c r="J3913" s="6" t="n">
        <f aca="false">Sens!I3913*(1+Sens!J3914)</f>
        <v>43.8687373064601</v>
      </c>
      <c r="K3913" s="6" t="n">
        <f aca="false">Sens!J3913*(1+Sens!K3914)</f>
        <v>44.7461120525893</v>
      </c>
      <c r="L3913" s="12" t="s">
        <v>1034</v>
      </c>
    </row>
    <row r="3914" customFormat="false" ht="15" hidden="false" customHeight="false" outlineLevel="0" collapsed="false">
      <c r="A3914" s="1" t="s">
        <v>1024</v>
      </c>
      <c r="B3914" s="0" t="s">
        <v>168</v>
      </c>
      <c r="E3914" s="7" t="n">
        <f aca="false">Sens!E3913/Sens!D3913-1</f>
        <v>0.0535164307309768</v>
      </c>
      <c r="F3914" s="7" t="n">
        <f aca="false">Sens!$E$3914+(glt_lic-Sens!$E$3914)*MIN(1,(Sens!F3863-base_fy)/n_conv)</f>
        <v>0.0479303589424807</v>
      </c>
      <c r="G3914" s="7" t="n">
        <f aca="false">Sens!$E$3914+(glt_lic-Sens!$E$3914)*MIN(1,(Sens!G3863-base_fy)/n_conv)</f>
        <v>0.0423442871539845</v>
      </c>
      <c r="H3914" s="7" t="n">
        <f aca="false">Sens!$E$3914+(glt_lic-Sens!$E$3914)*MIN(1,(Sens!H3863-base_fy)/n_conv)</f>
        <v>0.0367582153654884</v>
      </c>
      <c r="I3914" s="7" t="n">
        <f aca="false">Sens!$E$3914+(glt_lic-Sens!$E$3914)*MIN(1,(Sens!I3863-base_fy)/n_conv)</f>
        <v>0.0311721435769923</v>
      </c>
      <c r="J3914" s="7" t="n">
        <f aca="false">Sens!$E$3914+(glt_lic-Sens!$E$3914)*MIN(1,(Sens!J3863-base_fy)/n_conv)</f>
        <v>0.0255860717884961</v>
      </c>
      <c r="K3914" s="7" t="n">
        <f aca="false">Sens!$E$3914+(glt_lic-Sens!$E$3914)*MIN(1,(Sens!K3863-base_fy)/n_conv)</f>
        <v>0.02</v>
      </c>
    </row>
    <row r="3915" customFormat="false" ht="17.15" hidden="false" customHeight="false" outlineLevel="0" collapsed="false">
      <c r="A3915" s="0" t="s">
        <v>1035</v>
      </c>
      <c r="B3915" s="0" t="s">
        <v>98</v>
      </c>
      <c r="D3915" s="6" t="n">
        <f aca="false">Q!L9</f>
        <v>18.417</v>
      </c>
      <c r="E3915" s="6" t="n">
        <f aca="false">Q!M9</f>
        <v>20.345</v>
      </c>
      <c r="F3915" s="6" t="n">
        <f aca="false">Q!$I$9+(Q!M9-Q!$E$9)*(1+Sens!F3916)</f>
        <v>22.3161797133988</v>
      </c>
      <c r="G3915" s="6" t="n">
        <f aca="false">Sens!F3915*(1+Sens!G3916)</f>
        <v>24.3943499673233</v>
      </c>
      <c r="H3915" s="6" t="n">
        <f aca="false">Sens!G3915*(1+Sens!H3916)</f>
        <v>26.5250243109019</v>
      </c>
      <c r="I3915" s="6" t="n">
        <f aca="false">Sens!H3915*(1+Sens!I3916)</f>
        <v>28.6884573538181</v>
      </c>
      <c r="J3915" s="6" t="n">
        <f aca="false">Sens!I3915*(1+Sens!J3916)</f>
        <v>30.8624968052127</v>
      </c>
      <c r="K3915" s="6" t="n">
        <f aca="false">Sens!J3915*(1+Sens!K3916)</f>
        <v>33.0228715815776</v>
      </c>
      <c r="L3915" s="12" t="s">
        <v>1034</v>
      </c>
    </row>
    <row r="3916" customFormat="false" ht="15" hidden="false" customHeight="false" outlineLevel="0" collapsed="false">
      <c r="A3916" s="1" t="s">
        <v>1024</v>
      </c>
      <c r="B3916" s="0" t="s">
        <v>168</v>
      </c>
      <c r="E3916" s="7" t="n">
        <f aca="false">Sens!E3915/Sens!D3915-1</f>
        <v>0.104685888038225</v>
      </c>
      <c r="F3916" s="7" t="n">
        <f aca="false">Sens!$E$3916+(glt_ind-Sens!$E$3916)*MIN(1,(Sens!F3863-base_fy)/n_conv)</f>
        <v>0.0989049066985211</v>
      </c>
      <c r="G3916" s="7" t="n">
        <f aca="false">Sens!$E$3916+(glt_ind-Sens!$E$3916)*MIN(1,(Sens!G3863-base_fy)/n_conv)</f>
        <v>0.0931239253588169</v>
      </c>
      <c r="H3916" s="7" t="n">
        <f aca="false">Sens!$E$3916+(glt_ind-Sens!$E$3916)*MIN(1,(Sens!H3863-base_fy)/n_conv)</f>
        <v>0.0873429440191127</v>
      </c>
      <c r="I3916" s="7" t="n">
        <f aca="false">Sens!$E$3916+(glt_ind-Sens!$E$3916)*MIN(1,(Sens!I3863-base_fy)/n_conv)</f>
        <v>0.0815619626794085</v>
      </c>
      <c r="J3916" s="7" t="n">
        <f aca="false">Sens!$E$3916+(glt_ind-Sens!$E$3916)*MIN(1,(Sens!J3863-base_fy)/n_conv)</f>
        <v>0.0757809813397042</v>
      </c>
      <c r="K3916" s="7" t="n">
        <f aca="false">Sens!$E$3916+(glt_ind-Sens!$E$3916)*MIN(1,(Sens!K3863-base_fy)/n_conv)</f>
        <v>0.07</v>
      </c>
    </row>
    <row r="3917" customFormat="false" ht="17.15" hidden="false" customHeight="false" outlineLevel="0" collapsed="false">
      <c r="A3917" s="0" t="s">
        <v>1036</v>
      </c>
      <c r="B3917" s="0" t="s">
        <v>98</v>
      </c>
      <c r="D3917" s="6" t="n">
        <f aca="false">Q!L10</f>
        <v>7.76</v>
      </c>
      <c r="E3917" s="6" t="n">
        <f aca="false">Q!M10</f>
        <v>8.26</v>
      </c>
      <c r="F3917" s="6" t="n">
        <f aca="false">Q!$I$10+(Q!M10-Q!$E$10)*(1+Sens!F3918)</f>
        <v>8.75372082474227</v>
      </c>
      <c r="G3917" s="6" t="n">
        <f aca="false">Sens!F3917*(1+Sens!G3918)</f>
        <v>9.33399324642364</v>
      </c>
      <c r="H3917" s="6" t="n">
        <f aca="false">Sens!G3917*(1+Sens!H3918)</f>
        <v>9.96139155535851</v>
      </c>
      <c r="I3917" s="6" t="n">
        <f aca="false">Sens!H3917*(1+Sens!I3918)</f>
        <v>10.6402039077391</v>
      </c>
      <c r="J3917" s="6" t="n">
        <f aca="false">Sens!I3917*(1+Sens!J3918)</f>
        <v>11.3751458271397</v>
      </c>
      <c r="K3917" s="6" t="n">
        <f aca="false">Sens!J3917*(1+Sens!K3918)</f>
        <v>12.1714060350394</v>
      </c>
      <c r="L3917" s="12" t="s">
        <v>1034</v>
      </c>
    </row>
    <row r="3918" customFormat="false" ht="15" hidden="false" customHeight="false" outlineLevel="0" collapsed="false">
      <c r="A3918" s="1" t="s">
        <v>1024</v>
      </c>
      <c r="B3918" s="0" t="s">
        <v>168</v>
      </c>
      <c r="E3918" s="7" t="n">
        <f aca="false">Sens!E3917/Sens!D3917-1</f>
        <v>0.0644329896907216</v>
      </c>
      <c r="F3918" s="7" t="n">
        <f aca="false">Sens!$E$3918+(glt_fro-Sens!$E$3918)*MIN(1,(Sens!F3863-base_fy)/n_conv)</f>
        <v>0.065360824742268</v>
      </c>
      <c r="G3918" s="7" t="n">
        <f aca="false">Sens!$E$3918+(glt_fro-Sens!$E$3918)*MIN(1,(Sens!G3863-base_fy)/n_conv)</f>
        <v>0.0662886597938144</v>
      </c>
      <c r="H3918" s="7" t="n">
        <f aca="false">Sens!$E$3918+(glt_fro-Sens!$E$3918)*MIN(1,(Sens!H3863-base_fy)/n_conv)</f>
        <v>0.0672164948453608</v>
      </c>
      <c r="I3918" s="7" t="n">
        <f aca="false">Sens!$E$3918+(glt_fro-Sens!$E$3918)*MIN(1,(Sens!I3863-base_fy)/n_conv)</f>
        <v>0.0681443298969072</v>
      </c>
      <c r="J3918" s="7" t="n">
        <f aca="false">Sens!$E$3918+(glt_fro-Sens!$E$3918)*MIN(1,(Sens!J3863-base_fy)/n_conv)</f>
        <v>0.0690721649484536</v>
      </c>
      <c r="K3918" s="7" t="n">
        <f aca="false">Sens!$E$3918+(glt_fro-Sens!$E$3918)*MIN(1,(Sens!K3863-base_fy)/n_conv)</f>
        <v>0.07</v>
      </c>
    </row>
    <row r="3919" customFormat="false" ht="15" hidden="false" customHeight="false" outlineLevel="0" collapsed="false">
      <c r="A3919" s="0" t="s">
        <v>852</v>
      </c>
      <c r="B3919" s="0" t="s">
        <v>98</v>
      </c>
      <c r="D3919" s="6" t="n">
        <f aca="false">Sens!D3907+Sens!D3912+Sens!D3913+Sens!D3915+Sens!D3917</f>
        <v>218.783</v>
      </c>
      <c r="E3919" s="6" t="n">
        <f aca="false">Sens!E3907+Sens!E3912+Sens!E3913+Sens!E3915+Sens!E3917</f>
        <v>268.127</v>
      </c>
      <c r="F3919" s="6" t="n">
        <f aca="false">Sens!F3907+Sens!F3912+Sens!F3913+Sens!F3915+Sens!F3917</f>
        <v>337.537282403181</v>
      </c>
      <c r="G3919" s="6" t="n">
        <f aca="false">Sens!G3907+Sens!G3912+Sens!G3913+Sens!G3915+Sens!G3917</f>
        <v>420.006414363209</v>
      </c>
      <c r="H3919" s="6" t="n">
        <f aca="false">Sens!H3907+Sens!H3912+Sens!H3913+Sens!H3915+Sens!H3917</f>
        <v>504.052096618546</v>
      </c>
      <c r="I3919" s="6" t="n">
        <f aca="false">Sens!I3907+Sens!I3912+Sens!I3913+Sens!I3915+Sens!I3917</f>
        <v>580.117069686928</v>
      </c>
      <c r="J3919" s="6" t="n">
        <f aca="false">Sens!J3907+Sens!J3912+Sens!J3913+Sens!J3915+Sens!J3917</f>
        <v>640.502721896055</v>
      </c>
      <c r="K3919" s="6" t="n">
        <f aca="false">Sens!K3907+Sens!K3912+Sens!K3913+Sens!K3915+Sens!K3917</f>
        <v>686.780187960907</v>
      </c>
    </row>
    <row r="3920" customFormat="false" ht="17.15" hidden="false" customHeight="false" outlineLevel="0" collapsed="false">
      <c r="A3920" s="0" t="s">
        <v>1037</v>
      </c>
      <c r="B3920" s="0" t="s">
        <v>98</v>
      </c>
      <c r="D3920" s="6" t="n">
        <f aca="false">Q!L13</f>
        <v>22.171</v>
      </c>
      <c r="E3920" s="6" t="n">
        <f aca="false">Q!M13</f>
        <v>24.835</v>
      </c>
      <c r="F3920" s="6" t="n">
        <f aca="false">Q!$I$13+(Q!M13-Q!$E$13)*(1+Sens!F3921)</f>
        <v>27.5591895660247</v>
      </c>
      <c r="G3920" s="6" t="n">
        <f aca="false">Sens!F3920*(1+Sens!G3921)</f>
        <v>30.4098563144583</v>
      </c>
      <c r="H3920" s="6" t="n">
        <f aca="false">Sens!G3920*(1+Sens!H3921)</f>
        <v>33.3011792571777</v>
      </c>
      <c r="I3920" s="6" t="n">
        <f aca="false">Sens!H3920*(1+Sens!I3921)</f>
        <v>36.189023797112</v>
      </c>
      <c r="J3920" s="6" t="n">
        <f aca="false">Sens!I3920*(1+Sens!J3921)</f>
        <v>39.0247773769199</v>
      </c>
      <c r="K3920" s="6" t="n">
        <f aca="false">Sens!J3920*(1+Sens!K3921)</f>
        <v>41.7565117933043</v>
      </c>
      <c r="L3920" s="12" t="s">
        <v>1034</v>
      </c>
    </row>
    <row r="3921" customFormat="false" ht="15" hidden="false" customHeight="false" outlineLevel="0" collapsed="false">
      <c r="A3921" s="1" t="s">
        <v>1024</v>
      </c>
      <c r="B3921" s="0" t="s">
        <v>168</v>
      </c>
      <c r="E3921" s="7" t="n">
        <f aca="false">Sens!E3920/Sens!D3920-1</f>
        <v>0.120156961796942</v>
      </c>
      <c r="F3921" s="7" t="n">
        <f aca="false">Sens!$E$3921+(glt_srch-Sens!$E$3921)*MIN(1,(Sens!F3863-base_fy)/n_conv)</f>
        <v>0.111797468164118</v>
      </c>
      <c r="G3921" s="7" t="n">
        <f aca="false">Sens!$E$3921+(glt_srch-Sens!$E$3921)*MIN(1,(Sens!G3863-base_fy)/n_conv)</f>
        <v>0.103437974531295</v>
      </c>
      <c r="H3921" s="7" t="n">
        <f aca="false">Sens!$E$3921+(glt_srch-Sens!$E$3921)*MIN(1,(Sens!H3863-base_fy)/n_conv)</f>
        <v>0.095078480898471</v>
      </c>
      <c r="I3921" s="7" t="n">
        <f aca="false">Sens!$E$3921+(glt_srch-Sens!$E$3921)*MIN(1,(Sens!I3863-base_fy)/n_conv)</f>
        <v>0.0867189872656474</v>
      </c>
      <c r="J3921" s="7" t="n">
        <f aca="false">Sens!$E$3921+(glt_srch-Sens!$E$3921)*MIN(1,(Sens!J3863-base_fy)/n_conv)</f>
        <v>0.0783594936328237</v>
      </c>
      <c r="K3921" s="7" t="n">
        <f aca="false">Sens!$E$3921+(glt_srch-Sens!$E$3921)*MIN(1,(Sens!K3863-base_fy)/n_conv)</f>
        <v>0.07</v>
      </c>
    </row>
    <row r="3922" customFormat="false" ht="17.15" hidden="false" customHeight="false" outlineLevel="0" collapsed="false">
      <c r="A3922" s="0" t="s">
        <v>1038</v>
      </c>
      <c r="B3922" s="0" t="s">
        <v>98</v>
      </c>
      <c r="D3922" s="6" t="n">
        <f aca="false">Q!L14</f>
        <v>23.455</v>
      </c>
      <c r="E3922" s="6" t="n">
        <f aca="false">Q!M14</f>
        <v>21.79</v>
      </c>
      <c r="F3922" s="6" t="n">
        <f aca="false">Q!$I$14+(Q!M14-Q!$E$14)*(1+Sens!F3923)</f>
        <v>20.7520981041711</v>
      </c>
      <c r="G3922" s="6" t="n">
        <f aca="false">Sens!F3922*(1+Sens!G3923)</f>
        <v>19.9083593495882</v>
      </c>
      <c r="H3922" s="6" t="n">
        <f aca="false">Sens!G3922*(1+Sens!H3923)</f>
        <v>19.4008256265831</v>
      </c>
      <c r="I3922" s="6" t="n">
        <f aca="false">Sens!H3922*(1+Sens!I3923)</f>
        <v>19.200434522122</v>
      </c>
      <c r="J3922" s="6" t="n">
        <f aca="false">Sens!I3922*(1+Sens!J3923)</f>
        <v>19.2932782348507</v>
      </c>
      <c r="K3922" s="6" t="n">
        <f aca="false">Sens!J3922*(1+Sens!K3923)</f>
        <v>19.6791437995477</v>
      </c>
      <c r="L3922" s="12" t="s">
        <v>1034</v>
      </c>
    </row>
    <row r="3923" customFormat="false" ht="15" hidden="false" customHeight="false" outlineLevel="0" collapsed="false">
      <c r="A3923" s="1" t="s">
        <v>1024</v>
      </c>
      <c r="B3923" s="0" t="s">
        <v>168</v>
      </c>
      <c r="E3923" s="7" t="n">
        <f aca="false">Sens!E3922/Sens!D3922-1</f>
        <v>-0.0709869963760392</v>
      </c>
      <c r="F3923" s="7" t="n">
        <f aca="false">Sens!$E$3923+(glt_xbox-Sens!$E$3923)*MIN(1,(Sens!F3863-base_fy)/n_conv)</f>
        <v>-0.0558224969800327</v>
      </c>
      <c r="G3923" s="7" t="n">
        <f aca="false">Sens!$E$3923+(glt_xbox-Sens!$E$3923)*MIN(1,(Sens!G3863-base_fy)/n_conv)</f>
        <v>-0.0406579975840262</v>
      </c>
      <c r="H3923" s="7" t="n">
        <f aca="false">Sens!$E$3923+(glt_xbox-Sens!$E$3923)*MIN(1,(Sens!H3863-base_fy)/n_conv)</f>
        <v>-0.0254934981880196</v>
      </c>
      <c r="I3923" s="7" t="n">
        <f aca="false">Sens!$E$3923+(glt_xbox-Sens!$E$3923)*MIN(1,(Sens!I3863-base_fy)/n_conv)</f>
        <v>-0.0103289987920131</v>
      </c>
      <c r="J3923" s="7" t="n">
        <f aca="false">Sens!$E$3923+(glt_xbox-Sens!$E$3923)*MIN(1,(Sens!J3863-base_fy)/n_conv)</f>
        <v>0.00483550060399347</v>
      </c>
      <c r="K3923" s="7" t="n">
        <f aca="false">Sens!$E$3923+(glt_xbox-Sens!$E$3923)*MIN(1,(Sens!K3863-base_fy)/n_conv)</f>
        <v>0.02</v>
      </c>
    </row>
    <row r="3924" customFormat="false" ht="17.15" hidden="false" customHeight="false" outlineLevel="0" collapsed="false">
      <c r="A3924" s="0" t="s">
        <v>1039</v>
      </c>
      <c r="B3924" s="0" t="s">
        <v>98</v>
      </c>
      <c r="D3924" s="6" t="n">
        <f aca="false">Q!L15</f>
        <v>17.315</v>
      </c>
      <c r="E3924" s="6" t="n">
        <f aca="false">Q!M15</f>
        <v>17.087</v>
      </c>
      <c r="F3924" s="6" t="n">
        <f aca="false">Q!$I$15+(Q!M15-Q!$E$15)*(1+Sens!F3925)</f>
        <v>15.9912273250553</v>
      </c>
      <c r="G3924" s="6" t="n">
        <f aca="false">Sens!F3924*(1+Sens!G3925)</f>
        <v>15.9574562664827</v>
      </c>
      <c r="H3924" s="6" t="n">
        <f aca="false">Sens!G3924*(1+Sens!H3925)</f>
        <v>16.0119687434196</v>
      </c>
      <c r="I3924" s="6" t="n">
        <f aca="false">Sens!H3924*(1+Sens!I3925)</f>
        <v>16.1551810001948</v>
      </c>
      <c r="J3924" s="6" t="n">
        <f aca="false">Sens!I3924*(1+Sens!J3925)</f>
        <v>16.3889793892005</v>
      </c>
      <c r="K3924" s="6" t="n">
        <f aca="false">Sens!J3924*(1+Sens!K3925)</f>
        <v>16.7167589769845</v>
      </c>
      <c r="L3924" s="12" t="s">
        <v>1034</v>
      </c>
    </row>
    <row r="3925" customFormat="false" ht="15" hidden="false" customHeight="false" outlineLevel="0" collapsed="false">
      <c r="A3925" s="1" t="s">
        <v>1024</v>
      </c>
      <c r="B3925" s="0" t="s">
        <v>168</v>
      </c>
      <c r="E3925" s="7" t="n">
        <f aca="false">Sens!E3924/Sens!D3924-1</f>
        <v>-0.0131677736066995</v>
      </c>
      <c r="F3925" s="7" t="n">
        <f aca="false">Sens!$E$3925+(glt_win-Sens!$E$3925)*MIN(1,(Sens!F3863-base_fy)/n_conv)</f>
        <v>-0.00763981133891627</v>
      </c>
      <c r="G3925" s="7" t="n">
        <f aca="false">Sens!$E$3925+(glt_win-Sens!$E$3925)*MIN(1,(Sens!G3863-base_fy)/n_conv)</f>
        <v>-0.00211184907113301</v>
      </c>
      <c r="H3925" s="7" t="n">
        <f aca="false">Sens!$E$3925+(glt_win-Sens!$E$3925)*MIN(1,(Sens!H3863-base_fy)/n_conv)</f>
        <v>0.00341611319665024</v>
      </c>
      <c r="I3925" s="7" t="n">
        <f aca="false">Sens!$E$3925+(glt_win-Sens!$E$3925)*MIN(1,(Sens!I3863-base_fy)/n_conv)</f>
        <v>0.00894407546443349</v>
      </c>
      <c r="J3925" s="7" t="n">
        <f aca="false">Sens!$E$3925+(glt_win-Sens!$E$3925)*MIN(1,(Sens!J3863-base_fy)/n_conv)</f>
        <v>0.0144720377322168</v>
      </c>
      <c r="K3925" s="7" t="n">
        <f aca="false">Sens!$E$3925+(glt_win-Sens!$E$3925)*MIN(1,(Sens!K3863-base_fy)/n_conv)</f>
        <v>0.02</v>
      </c>
    </row>
    <row r="3926" customFormat="false" ht="15" hidden="false" customHeight="false" outlineLevel="0" collapsed="false">
      <c r="A3926" s="0" t="s">
        <v>866</v>
      </c>
      <c r="B3926" s="0" t="s">
        <v>98</v>
      </c>
      <c r="D3926" s="6" t="n">
        <f aca="false">Sens!D3920+Sens!D3922+Sens!D3924</f>
        <v>62.941</v>
      </c>
      <c r="E3926" s="6" t="n">
        <f aca="false">Sens!E3920+Sens!E3922+Sens!E3924</f>
        <v>63.712</v>
      </c>
      <c r="F3926" s="6" t="n">
        <f aca="false">Sens!F3920+Sens!F3922+Sens!F3924</f>
        <v>64.3025149952511</v>
      </c>
      <c r="G3926" s="6" t="n">
        <f aca="false">Sens!G3920+Sens!G3922+Sens!G3924</f>
        <v>66.2756719305292</v>
      </c>
      <c r="H3926" s="6" t="n">
        <f aca="false">Sens!H3920+Sens!H3922+Sens!H3924</f>
        <v>68.7139736271804</v>
      </c>
      <c r="I3926" s="6" t="n">
        <f aca="false">Sens!I3920+Sens!I3922+Sens!I3924</f>
        <v>71.5446393194289</v>
      </c>
      <c r="J3926" s="6" t="n">
        <f aca="false">Sens!J3920+Sens!J3922+Sens!J3924</f>
        <v>74.707035000971</v>
      </c>
      <c r="K3926" s="6" t="n">
        <f aca="false">Sens!K3920+Sens!K3922+Sens!K3924</f>
        <v>78.1524145698365</v>
      </c>
    </row>
    <row r="3927" customFormat="false" ht="15" hidden="false" customHeight="false" outlineLevel="0" collapsed="false">
      <c r="A3927" s="1" t="s">
        <v>1040</v>
      </c>
      <c r="B3927" s="0" t="s">
        <v>98</v>
      </c>
      <c r="D3927" s="6" t="n">
        <f aca="false">Sens!D3919+Sens!D3926</f>
        <v>281.724</v>
      </c>
      <c r="E3927" s="6" t="n">
        <f aca="false">Sens!E3919+Sens!E3926</f>
        <v>331.839</v>
      </c>
      <c r="F3927" s="6" t="n">
        <f aca="false">Sens!F3919+Sens!F3926</f>
        <v>401.839797398432</v>
      </c>
      <c r="G3927" s="6" t="n">
        <f aca="false">Sens!G3919+Sens!G3926</f>
        <v>486.282086293738</v>
      </c>
      <c r="H3927" s="6" t="n">
        <f aca="false">Sens!H3919+Sens!H3926</f>
        <v>572.766070245726</v>
      </c>
      <c r="I3927" s="6" t="n">
        <f aca="false">Sens!I3919+Sens!I3926</f>
        <v>651.661709006357</v>
      </c>
      <c r="J3927" s="6" t="n">
        <f aca="false">Sens!J3919+Sens!J3926</f>
        <v>715.209756897026</v>
      </c>
      <c r="K3927" s="6" t="n">
        <f aca="false">Sens!K3919+Sens!K3926</f>
        <v>764.932602530743</v>
      </c>
    </row>
    <row r="3928" customFormat="false" ht="15" hidden="false" customHeight="false" outlineLevel="0" collapsed="false">
      <c r="A3928" s="26" t="s">
        <v>1041</v>
      </c>
      <c r="B3928" s="31" t="s">
        <v>98</v>
      </c>
      <c r="C3928" s="31"/>
      <c r="D3928" s="27" t="n">
        <f aca="false">(Sens!D3907+Sens!D3912+Sens!D3913+Sens!D3915+Sens!D3917-Sens!D3919)+(Sens!D3920+Sens!D3922+Sens!D3924-Sens!D3926)+(Sens!D3919-Q!L5)+(Sens!D3926-Q!L12)+(Sens!D3907-Q!L6)+(Sens!D3912-Q!L7)</f>
        <v>0</v>
      </c>
      <c r="E3928" s="27" t="n">
        <f aca="false">(Sens!E3907+Sens!E3912+Sens!E3913+Sens!E3915+Sens!E3917-Sens!E3919)+(Sens!E3920+Sens!E3922+Sens!E3924-Sens!E3926)+(Sens!E3919-Q!M5)+(Sens!E3926-Q!M12)+(Sens!E3907-Q!M6)+(Sens!E3912-Q!M7)</f>
        <v>0</v>
      </c>
      <c r="F3928" s="27" t="n">
        <f aca="false">(Sens!F3907+Sens!F3912+Sens!F3913+Sens!F3915+Sens!F3917-Sens!F3919)+(Sens!F3920+Sens!F3922+Sens!F3924-Sens!F3926)</f>
        <v>0</v>
      </c>
      <c r="G3928" s="27" t="n">
        <f aca="false">(Sens!G3907+Sens!G3912+Sens!G3913+Sens!G3915+Sens!G3917-Sens!G3919)+(Sens!G3920+Sens!G3922+Sens!G3924-Sens!G3926)</f>
        <v>0</v>
      </c>
      <c r="H3928" s="27" t="n">
        <f aca="false">(Sens!H3907+Sens!H3912+Sens!H3913+Sens!H3915+Sens!H3917-Sens!H3919)+(Sens!H3920+Sens!H3922+Sens!H3924-Sens!H3926)</f>
        <v>0</v>
      </c>
      <c r="I3928" s="27" t="n">
        <f aca="false">(Sens!I3907+Sens!I3912+Sens!I3913+Sens!I3915+Sens!I3917-Sens!I3919)+(Sens!I3920+Sens!I3922+Sens!I3924-Sens!I3926)</f>
        <v>0</v>
      </c>
      <c r="J3928" s="27" t="n">
        <f aca="false">(Sens!J3907+Sens!J3912+Sens!J3913+Sens!J3915+Sens!J3917-Sens!J3919)+(Sens!J3920+Sens!J3922+Sens!J3924-Sens!J3926)</f>
        <v>0</v>
      </c>
      <c r="K3928" s="27" t="n">
        <f aca="false">(Sens!K3907+Sens!K3912+Sens!K3913+Sens!K3915+Sens!K3917-Sens!K3919)+(Sens!K3920+Sens!K3922+Sens!K3924-Sens!K3926)</f>
        <v>0</v>
      </c>
    </row>
    <row r="3929" customFormat="false" ht="17.15" hidden="false" customHeight="false" outlineLevel="0" collapsed="false">
      <c r="A3929" s="3" t="s">
        <v>1577</v>
      </c>
    </row>
    <row r="3930" customFormat="false" ht="15" hidden="false" customHeight="false" outlineLevel="0" collapsed="false">
      <c r="A3930" s="4" t="s">
        <v>43</v>
      </c>
      <c r="B3930" s="4" t="s">
        <v>65</v>
      </c>
      <c r="C3930" s="23" t="s">
        <v>938</v>
      </c>
      <c r="D3930" s="23" t="s">
        <v>939</v>
      </c>
      <c r="E3930" s="23" t="s">
        <v>940</v>
      </c>
      <c r="F3930" s="23" t="s">
        <v>941</v>
      </c>
      <c r="G3930" s="23" t="s">
        <v>942</v>
      </c>
      <c r="H3930" s="23" t="s">
        <v>943</v>
      </c>
      <c r="I3930" s="23" t="s">
        <v>944</v>
      </c>
      <c r="J3930" s="23" t="s">
        <v>945</v>
      </c>
      <c r="K3930" s="23" t="s">
        <v>946</v>
      </c>
      <c r="L3930" s="4" t="s">
        <v>47</v>
      </c>
    </row>
    <row r="3931" customFormat="false" ht="15" hidden="false" customHeight="false" outlineLevel="0" collapsed="false">
      <c r="A3931" s="0" t="s">
        <v>1025</v>
      </c>
      <c r="B3931" s="0" t="s">
        <v>98</v>
      </c>
      <c r="D3931" s="6" t="n">
        <f aca="false">Sens!D3907</f>
        <v>72.61</v>
      </c>
      <c r="E3931" s="6" t="n">
        <f aca="false">Sens!E3907</f>
        <v>101.938</v>
      </c>
      <c r="F3931" s="6" t="n">
        <f aca="false">Sens!F3907</f>
        <v>149.498234389025</v>
      </c>
      <c r="G3931" s="6" t="n">
        <f aca="false">Sens!G3907</f>
        <v>209.566809274912</v>
      </c>
      <c r="H3931" s="6" t="n">
        <f aca="false">Sens!H3907</f>
        <v>271.185804765252</v>
      </c>
      <c r="I3931" s="6" t="n">
        <f aca="false">Sens!I3907</f>
        <v>326.593587673081</v>
      </c>
      <c r="J3931" s="6" t="n">
        <f aca="false">Sens!J3907</f>
        <v>368.410619338671</v>
      </c>
      <c r="K3931" s="6" t="n">
        <f aca="false">Sens!K3907</f>
        <v>397.040075089829</v>
      </c>
    </row>
    <row r="3932" customFormat="false" ht="17.15" hidden="false" customHeight="false" outlineLevel="0" collapsed="false">
      <c r="A3932" s="0" t="s">
        <v>1021</v>
      </c>
      <c r="B3932" s="0" t="s">
        <v>98</v>
      </c>
      <c r="D3932" s="6" t="n">
        <f aca="false">Sens!D3904</f>
        <v>12.9359794422418</v>
      </c>
      <c r="E3932" s="6" t="n">
        <f aca="false">Sens!E3904</f>
        <v>27.8095064661409</v>
      </c>
      <c r="F3932" s="6" t="n">
        <f aca="false">Sens!F3904</f>
        <v>58.9858074482995</v>
      </c>
      <c r="G3932" s="6" t="n">
        <f aca="false">Sens!G3904</f>
        <v>102.02453660447</v>
      </c>
      <c r="H3932" s="6" t="n">
        <f aca="false">Sens!H3904</f>
        <v>146.317187749409</v>
      </c>
      <c r="I3932" s="6" t="n">
        <f aca="false">Sens!I3904</f>
        <v>184.983257321929</v>
      </c>
      <c r="J3932" s="6" t="n">
        <f aca="false">Sens!J3904</f>
        <v>211.642699614739</v>
      </c>
      <c r="K3932" s="6" t="n">
        <f aca="false">Sens!K3904</f>
        <v>227.730721787983</v>
      </c>
    </row>
    <row r="3933" customFormat="false" ht="17.15" hidden="false" customHeight="false" outlineLevel="0" collapsed="false">
      <c r="A3933" s="0" t="s">
        <v>1052</v>
      </c>
      <c r="B3933" s="0" t="s">
        <v>98</v>
      </c>
      <c r="D3933" s="6" t="n">
        <f aca="false">Sens!D3905</f>
        <v>59.6740205577583</v>
      </c>
      <c r="E3933" s="6" t="n">
        <f aca="false">Sens!E3905</f>
        <v>74.1284935338591</v>
      </c>
      <c r="F3933" s="6" t="n">
        <f aca="false">Sens!F3905</f>
        <v>90.5124269407258</v>
      </c>
      <c r="G3933" s="6" t="n">
        <f aca="false">Sens!G3905</f>
        <v>107.542272670442</v>
      </c>
      <c r="H3933" s="6" t="n">
        <f aca="false">Sens!H3905</f>
        <v>124.868617015842</v>
      </c>
      <c r="I3933" s="6" t="n">
        <f aca="false">Sens!I3905</f>
        <v>141.610330351152</v>
      </c>
      <c r="J3933" s="6" t="n">
        <f aca="false">Sens!J3905</f>
        <v>156.767919723931</v>
      </c>
      <c r="K3933" s="6" t="n">
        <f aca="false">Sens!K3905</f>
        <v>169.309353301846</v>
      </c>
    </row>
    <row r="3934" customFormat="false" ht="15" hidden="false" customHeight="false" outlineLevel="0" collapsed="false">
      <c r="A3934" s="0" t="s">
        <v>1032</v>
      </c>
      <c r="B3934" s="0" t="s">
        <v>98</v>
      </c>
      <c r="D3934" s="6" t="n">
        <f aca="false">Sens!D3912</f>
        <v>84.605</v>
      </c>
      <c r="E3934" s="6" t="n">
        <f aca="false">Sens!E3912</f>
        <v>100.299</v>
      </c>
      <c r="F3934" s="6" t="n">
        <f aca="false">Sens!F3912</f>
        <v>118.584003697747</v>
      </c>
      <c r="G3934" s="6" t="n">
        <f aca="false">Sens!G3912</f>
        <v>136.700726545688</v>
      </c>
      <c r="H3934" s="6" t="n">
        <f aca="false">Sens!H3912</f>
        <v>154.898624783666</v>
      </c>
      <c r="I3934" s="6" t="n">
        <f aca="false">Sens!I3912</f>
        <v>171.420510030657</v>
      </c>
      <c r="J3934" s="6" t="n">
        <f aca="false">Sens!J3912</f>
        <v>185.985722618572</v>
      </c>
      <c r="K3934" s="6" t="n">
        <f aca="false">Sens!K3912</f>
        <v>199.799723201872</v>
      </c>
    </row>
    <row r="3935" customFormat="false" ht="17.15" hidden="false" customHeight="false" outlineLevel="0" collapsed="false">
      <c r="A3935" s="0" t="s">
        <v>1053</v>
      </c>
      <c r="B3935" s="0" t="s">
        <v>98</v>
      </c>
      <c r="D3935" s="6" t="n">
        <f aca="false">Sens!D3910</f>
        <v>83.705</v>
      </c>
      <c r="E3935" s="6" t="n">
        <f aca="false">Sens!E3910</f>
        <v>95.049</v>
      </c>
      <c r="F3935" s="6" t="n">
        <f aca="false">Sens!F3910</f>
        <v>106.584003697747</v>
      </c>
      <c r="G3935" s="6" t="n">
        <f aca="false">Sens!G3910</f>
        <v>118.700726545688</v>
      </c>
      <c r="H3935" s="6" t="n">
        <f aca="false">Sens!H3910</f>
        <v>130.898624783666</v>
      </c>
      <c r="I3935" s="6" t="n">
        <f aca="false">Sens!I3910</f>
        <v>142.920510030657</v>
      </c>
      <c r="J3935" s="6" t="n">
        <f aca="false">Sens!J3910</f>
        <v>154.485722618572</v>
      </c>
      <c r="K3935" s="6" t="n">
        <f aca="false">Sens!K3910</f>
        <v>165.299723201872</v>
      </c>
    </row>
    <row r="3936" customFormat="false" ht="17.15" hidden="false" customHeight="false" outlineLevel="0" collapsed="false">
      <c r="A3936" s="0" t="s">
        <v>1054</v>
      </c>
      <c r="B3936" s="0" t="s">
        <v>98</v>
      </c>
      <c r="D3936" s="6" t="n">
        <f aca="false">Sens!D3909</f>
        <v>0.9</v>
      </c>
      <c r="E3936" s="6" t="n">
        <f aca="false">Sens!E3909</f>
        <v>5.25</v>
      </c>
      <c r="F3936" s="6" t="n">
        <f aca="false">Sens!F3909</f>
        <v>12</v>
      </c>
      <c r="G3936" s="6" t="n">
        <f aca="false">Sens!G3909</f>
        <v>18</v>
      </c>
      <c r="H3936" s="6" t="n">
        <f aca="false">Sens!H3909</f>
        <v>24</v>
      </c>
      <c r="I3936" s="6" t="n">
        <f aca="false">Sens!I3909</f>
        <v>28.5</v>
      </c>
      <c r="J3936" s="6" t="n">
        <f aca="false">Sens!J3909</f>
        <v>31.5</v>
      </c>
      <c r="K3936" s="6" t="n">
        <f aca="false">Sens!K3909</f>
        <v>34.5</v>
      </c>
    </row>
    <row r="3937" customFormat="false" ht="15" hidden="false" customHeight="false" outlineLevel="0" collapsed="false">
      <c r="A3937" s="0" t="s">
        <v>1033</v>
      </c>
      <c r="B3937" s="0" t="s">
        <v>98</v>
      </c>
      <c r="D3937" s="6" t="n">
        <f aca="false">Sens!D3913</f>
        <v>35.391</v>
      </c>
      <c r="E3937" s="6" t="n">
        <f aca="false">Sens!E3913</f>
        <v>37.285</v>
      </c>
      <c r="F3937" s="6" t="n">
        <f aca="false">Sens!F3913</f>
        <v>38.3851437782675</v>
      </c>
      <c r="G3937" s="6" t="n">
        <f aca="false">Sens!G3913</f>
        <v>40.0105353288615</v>
      </c>
      <c r="H3937" s="6" t="n">
        <f aca="false">Sens!H3913</f>
        <v>41.4812512033683</v>
      </c>
      <c r="I3937" s="6" t="n">
        <f aca="false">Sens!I3913</f>
        <v>42.7743107216329</v>
      </c>
      <c r="J3937" s="6" t="n">
        <f aca="false">Sens!J3913</f>
        <v>43.8687373064601</v>
      </c>
      <c r="K3937" s="6" t="n">
        <f aca="false">Sens!K3913</f>
        <v>44.7461120525893</v>
      </c>
    </row>
    <row r="3938" customFormat="false" ht="15" hidden="false" customHeight="false" outlineLevel="0" collapsed="false">
      <c r="A3938" s="0" t="s">
        <v>1035</v>
      </c>
      <c r="B3938" s="0" t="s">
        <v>98</v>
      </c>
      <c r="D3938" s="6" t="n">
        <f aca="false">Sens!D3915</f>
        <v>18.417</v>
      </c>
      <c r="E3938" s="6" t="n">
        <f aca="false">Sens!E3915</f>
        <v>20.345</v>
      </c>
      <c r="F3938" s="6" t="n">
        <f aca="false">Sens!F3915</f>
        <v>22.3161797133988</v>
      </c>
      <c r="G3938" s="6" t="n">
        <f aca="false">Sens!G3915</f>
        <v>24.3943499673233</v>
      </c>
      <c r="H3938" s="6" t="n">
        <f aca="false">Sens!H3915</f>
        <v>26.5250243109019</v>
      </c>
      <c r="I3938" s="6" t="n">
        <f aca="false">Sens!I3915</f>
        <v>28.6884573538181</v>
      </c>
      <c r="J3938" s="6" t="n">
        <f aca="false">Sens!J3915</f>
        <v>30.8624968052127</v>
      </c>
      <c r="K3938" s="6" t="n">
        <f aca="false">Sens!K3915</f>
        <v>33.0228715815776</v>
      </c>
    </row>
    <row r="3939" customFormat="false" ht="15" hidden="false" customHeight="false" outlineLevel="0" collapsed="false">
      <c r="A3939" s="0" t="s">
        <v>1036</v>
      </c>
      <c r="B3939" s="0" t="s">
        <v>98</v>
      </c>
      <c r="D3939" s="6" t="n">
        <f aca="false">Sens!D3917</f>
        <v>7.76</v>
      </c>
      <c r="E3939" s="6" t="n">
        <f aca="false">Sens!E3917</f>
        <v>8.26</v>
      </c>
      <c r="F3939" s="6" t="n">
        <f aca="false">Sens!F3917</f>
        <v>8.75372082474227</v>
      </c>
      <c r="G3939" s="6" t="n">
        <f aca="false">Sens!G3917</f>
        <v>9.33399324642364</v>
      </c>
      <c r="H3939" s="6" t="n">
        <f aca="false">Sens!H3917</f>
        <v>9.96139155535851</v>
      </c>
      <c r="I3939" s="6" t="n">
        <f aca="false">Sens!I3917</f>
        <v>10.6402039077391</v>
      </c>
      <c r="J3939" s="6" t="n">
        <f aca="false">Sens!J3917</f>
        <v>11.3751458271397</v>
      </c>
      <c r="K3939" s="6" t="n">
        <f aca="false">Sens!K3917</f>
        <v>12.1714060350394</v>
      </c>
    </row>
    <row r="3940" customFormat="false" ht="15" hidden="false" customHeight="false" outlineLevel="0" collapsed="false">
      <c r="A3940" s="0" t="s">
        <v>852</v>
      </c>
      <c r="B3940" s="0" t="s">
        <v>98</v>
      </c>
      <c r="D3940" s="6" t="n">
        <f aca="false">Sens!D3919</f>
        <v>218.783</v>
      </c>
      <c r="E3940" s="6" t="n">
        <f aca="false">Sens!E3919</f>
        <v>268.127</v>
      </c>
      <c r="F3940" s="6" t="n">
        <f aca="false">Sens!F3919</f>
        <v>337.537282403181</v>
      </c>
      <c r="G3940" s="6" t="n">
        <f aca="false">Sens!G3919</f>
        <v>420.006414363209</v>
      </c>
      <c r="H3940" s="6" t="n">
        <f aca="false">Sens!H3919</f>
        <v>504.052096618546</v>
      </c>
      <c r="I3940" s="6" t="n">
        <f aca="false">Sens!I3919</f>
        <v>580.117069686928</v>
      </c>
      <c r="J3940" s="6" t="n">
        <f aca="false">Sens!J3919</f>
        <v>640.502721896055</v>
      </c>
      <c r="K3940" s="6" t="n">
        <f aca="false">Sens!K3919</f>
        <v>686.780187960907</v>
      </c>
    </row>
    <row r="3941" customFormat="false" ht="15" hidden="false" customHeight="false" outlineLevel="0" collapsed="false">
      <c r="A3941" s="0" t="s">
        <v>1037</v>
      </c>
      <c r="B3941" s="0" t="s">
        <v>98</v>
      </c>
      <c r="D3941" s="6" t="n">
        <f aca="false">Sens!D3920</f>
        <v>22.171</v>
      </c>
      <c r="E3941" s="6" t="n">
        <f aca="false">Sens!E3920</f>
        <v>24.835</v>
      </c>
      <c r="F3941" s="6" t="n">
        <f aca="false">Sens!F3920</f>
        <v>27.5591895660247</v>
      </c>
      <c r="G3941" s="6" t="n">
        <f aca="false">Sens!G3920</f>
        <v>30.4098563144583</v>
      </c>
      <c r="H3941" s="6" t="n">
        <f aca="false">Sens!H3920</f>
        <v>33.3011792571777</v>
      </c>
      <c r="I3941" s="6" t="n">
        <f aca="false">Sens!I3920</f>
        <v>36.189023797112</v>
      </c>
      <c r="J3941" s="6" t="n">
        <f aca="false">Sens!J3920</f>
        <v>39.0247773769199</v>
      </c>
      <c r="K3941" s="6" t="n">
        <f aca="false">Sens!K3920</f>
        <v>41.7565117933043</v>
      </c>
    </row>
    <row r="3942" customFormat="false" ht="15" hidden="false" customHeight="false" outlineLevel="0" collapsed="false">
      <c r="A3942" s="0" t="s">
        <v>1038</v>
      </c>
      <c r="B3942" s="0" t="s">
        <v>98</v>
      </c>
      <c r="D3942" s="6" t="n">
        <f aca="false">Sens!D3922</f>
        <v>23.455</v>
      </c>
      <c r="E3942" s="6" t="n">
        <f aca="false">Sens!E3922</f>
        <v>21.79</v>
      </c>
      <c r="F3942" s="6" t="n">
        <f aca="false">Sens!F3922</f>
        <v>20.7520981041711</v>
      </c>
      <c r="G3942" s="6" t="n">
        <f aca="false">Sens!G3922</f>
        <v>19.9083593495882</v>
      </c>
      <c r="H3942" s="6" t="n">
        <f aca="false">Sens!H3922</f>
        <v>19.4008256265831</v>
      </c>
      <c r="I3942" s="6" t="n">
        <f aca="false">Sens!I3922</f>
        <v>19.200434522122</v>
      </c>
      <c r="J3942" s="6" t="n">
        <f aca="false">Sens!J3922</f>
        <v>19.2932782348507</v>
      </c>
      <c r="K3942" s="6" t="n">
        <f aca="false">Sens!K3922</f>
        <v>19.6791437995477</v>
      </c>
    </row>
    <row r="3943" customFormat="false" ht="15" hidden="false" customHeight="false" outlineLevel="0" collapsed="false">
      <c r="A3943" s="0" t="s">
        <v>1039</v>
      </c>
      <c r="B3943" s="0" t="s">
        <v>98</v>
      </c>
      <c r="D3943" s="6" t="n">
        <f aca="false">Sens!D3924</f>
        <v>17.315</v>
      </c>
      <c r="E3943" s="6" t="n">
        <f aca="false">Sens!E3924</f>
        <v>17.087</v>
      </c>
      <c r="F3943" s="6" t="n">
        <f aca="false">Sens!F3924</f>
        <v>15.9912273250553</v>
      </c>
      <c r="G3943" s="6" t="n">
        <f aca="false">Sens!G3924</f>
        <v>15.9574562664827</v>
      </c>
      <c r="H3943" s="6" t="n">
        <f aca="false">Sens!H3924</f>
        <v>16.0119687434196</v>
      </c>
      <c r="I3943" s="6" t="n">
        <f aca="false">Sens!I3924</f>
        <v>16.1551810001948</v>
      </c>
      <c r="J3943" s="6" t="n">
        <f aca="false">Sens!J3924</f>
        <v>16.3889793892005</v>
      </c>
      <c r="K3943" s="6" t="n">
        <f aca="false">Sens!K3924</f>
        <v>16.7167589769845</v>
      </c>
    </row>
    <row r="3944" customFormat="false" ht="15" hidden="false" customHeight="false" outlineLevel="0" collapsed="false">
      <c r="A3944" s="0" t="s">
        <v>866</v>
      </c>
      <c r="B3944" s="0" t="s">
        <v>98</v>
      </c>
      <c r="D3944" s="6" t="n">
        <f aca="false">Sens!D3926</f>
        <v>62.941</v>
      </c>
      <c r="E3944" s="6" t="n">
        <f aca="false">Sens!E3926</f>
        <v>63.712</v>
      </c>
      <c r="F3944" s="6" t="n">
        <f aca="false">Sens!F3926</f>
        <v>64.3025149952511</v>
      </c>
      <c r="G3944" s="6" t="n">
        <f aca="false">Sens!G3926</f>
        <v>66.2756719305292</v>
      </c>
      <c r="H3944" s="6" t="n">
        <f aca="false">Sens!H3926</f>
        <v>68.7139736271804</v>
      </c>
      <c r="I3944" s="6" t="n">
        <f aca="false">Sens!I3926</f>
        <v>71.5446393194289</v>
      </c>
      <c r="J3944" s="6" t="n">
        <f aca="false">Sens!J3926</f>
        <v>74.707035000971</v>
      </c>
      <c r="K3944" s="6" t="n">
        <f aca="false">Sens!K3926</f>
        <v>78.1524145698365</v>
      </c>
    </row>
    <row r="3945" customFormat="false" ht="15" hidden="false" customHeight="false" outlineLevel="0" collapsed="false">
      <c r="A3945" s="1" t="s">
        <v>1055</v>
      </c>
      <c r="B3945" s="0" t="s">
        <v>98</v>
      </c>
      <c r="D3945" s="6" t="n">
        <f aca="false">Sens!D3927</f>
        <v>281.724</v>
      </c>
      <c r="E3945" s="6" t="n">
        <f aca="false">Sens!E3927</f>
        <v>331.839</v>
      </c>
      <c r="F3945" s="6" t="n">
        <f aca="false">Sens!F3927</f>
        <v>401.839797398432</v>
      </c>
      <c r="G3945" s="6" t="n">
        <f aca="false">Sens!G3927</f>
        <v>486.282086293738</v>
      </c>
      <c r="H3945" s="6" t="n">
        <f aca="false">Sens!H3927</f>
        <v>572.766070245726</v>
      </c>
      <c r="I3945" s="6" t="n">
        <f aca="false">Sens!I3927</f>
        <v>651.661709006357</v>
      </c>
      <c r="J3945" s="6" t="n">
        <f aca="false">Sens!J3927</f>
        <v>715.209756897026</v>
      </c>
      <c r="K3945" s="6" t="n">
        <f aca="false">Sens!K3927</f>
        <v>764.932602530743</v>
      </c>
    </row>
    <row r="3946" customFormat="false" ht="15" hidden="false" customHeight="false" outlineLevel="0" collapsed="false">
      <c r="A3946" s="1" t="s">
        <v>1056</v>
      </c>
      <c r="B3946" s="0" t="s">
        <v>168</v>
      </c>
      <c r="E3946" s="7" t="n">
        <f aca="false">Sens!E3945/Sens!D3945-1</f>
        <v>0.177886867998467</v>
      </c>
      <c r="F3946" s="7" t="n">
        <f aca="false">Sens!F3945/Sens!E3945-1</f>
        <v>0.210948072403882</v>
      </c>
      <c r="G3946" s="7" t="n">
        <f aca="false">Sens!G3945/Sens!F3945-1</f>
        <v>0.210139188407911</v>
      </c>
      <c r="H3946" s="7" t="n">
        <f aca="false">Sens!H3945/Sens!G3945-1</f>
        <v>0.177847357304764</v>
      </c>
      <c r="I3946" s="7" t="n">
        <f aca="false">Sens!I3945/Sens!H3945-1</f>
        <v>0.137744958821991</v>
      </c>
      <c r="J3946" s="7" t="n">
        <f aca="false">Sens!J3945/Sens!I3945-1</f>
        <v>0.0975169278973991</v>
      </c>
      <c r="K3946" s="7" t="n">
        <f aca="false">Sens!K3945/Sens!J3945-1</f>
        <v>0.0695220460210753</v>
      </c>
    </row>
    <row r="3947" customFormat="false" ht="17.15" hidden="false" customHeight="false" outlineLevel="0" collapsed="false">
      <c r="A3947" s="26" t="s">
        <v>1057</v>
      </c>
      <c r="B3947" s="31" t="s">
        <v>98</v>
      </c>
      <c r="C3947" s="31"/>
      <c r="D3947" s="27" t="n">
        <f aca="false">(Sens!D3940+Sens!D3944-Sens!D3945)+(Sens!D3932+Sens!D3933-Sens!D3931)+(Sens!D3935+Sens!D3936-Sens!D3934)+(Sens!D3945-Q!L18)</f>
        <v>0</v>
      </c>
      <c r="E3947" s="27" t="n">
        <f aca="false">(Sens!E3940+Sens!E3944-Sens!E3945)+(Sens!E3932+Sens!E3933-Sens!E3931)+(Sens!E3935+Sens!E3936-Sens!E3934)+(Sens!E3945-Q!M18)</f>
        <v>0</v>
      </c>
      <c r="F3947" s="27" t="n">
        <f aca="false">(Sens!F3940+Sens!F3944-Sens!F3945)+(Sens!F3932+Sens!F3933-Sens!F3931)+(Sens!F3935+Sens!F3936-Sens!F3934)</f>
        <v>0</v>
      </c>
      <c r="G3947" s="27" t="n">
        <f aca="false">(Sens!G3940+Sens!G3944-Sens!G3945)+(Sens!G3932+Sens!G3933-Sens!G3931)+(Sens!G3935+Sens!G3936-Sens!G3934)</f>
        <v>0</v>
      </c>
      <c r="H3947" s="27" t="n">
        <f aca="false">(Sens!H3940+Sens!H3944-Sens!H3945)+(Sens!H3932+Sens!H3933-Sens!H3931)+(Sens!H3935+Sens!H3936-Sens!H3934)</f>
        <v>0</v>
      </c>
      <c r="I3947" s="27" t="n">
        <f aca="false">(Sens!I3940+Sens!I3944-Sens!I3945)+(Sens!I3932+Sens!I3933-Sens!I3931)+(Sens!I3935+Sens!I3936-Sens!I3934)</f>
        <v>0</v>
      </c>
      <c r="J3947" s="27" t="n">
        <f aca="false">(Sens!J3940+Sens!J3944-Sens!J3945)+(Sens!J3932+Sens!J3933-Sens!J3931)+(Sens!J3935+Sens!J3936-Sens!J3934)</f>
        <v>0</v>
      </c>
      <c r="K3947" s="27" t="n">
        <f aca="false">(Sens!K3940+Sens!K3944-Sens!K3945)+(Sens!K3932+Sens!K3933-Sens!K3931)+(Sens!K3935+Sens!K3936-Sens!K3934)</f>
        <v>0</v>
      </c>
    </row>
    <row r="3948" customFormat="false" ht="17.15" hidden="false" customHeight="false" outlineLevel="0" collapsed="false">
      <c r="A3948" s="0" t="s">
        <v>1058</v>
      </c>
      <c r="B3948" s="0" t="s">
        <v>168</v>
      </c>
      <c r="E3948" s="7" t="n">
        <f aca="false">(Q!M21+Sens!E3884+Sens!E3885+Sens!E3886+Sens!E3900-Sens!E3882)/(Q!M5-Sens!E3882)</f>
        <v>0.570957350878296</v>
      </c>
      <c r="F3948" s="7" t="n">
        <f aca="false">Sens!$E$3948+dm_seg</f>
        <v>0.570957350878296</v>
      </c>
      <c r="G3948" s="7" t="n">
        <f aca="false">Sens!$E$3948+dm_seg</f>
        <v>0.570957350878296</v>
      </c>
      <c r="H3948" s="7" t="n">
        <f aca="false">Sens!$E$3948+dm_seg</f>
        <v>0.570957350878296</v>
      </c>
      <c r="I3948" s="7" t="n">
        <f aca="false">Sens!$E$3948+dm_seg</f>
        <v>0.570957350878296</v>
      </c>
      <c r="J3948" s="7" t="n">
        <f aca="false">Sens!$E$3948+dm_seg</f>
        <v>0.570957350878296</v>
      </c>
      <c r="K3948" s="7" t="n">
        <f aca="false">Sens!$E$3948+dm_seg</f>
        <v>0.570957350878296</v>
      </c>
      <c r="L3948" s="12" t="s">
        <v>1059</v>
      </c>
    </row>
    <row r="3949" customFormat="false" ht="17.15" hidden="false" customHeight="false" outlineLevel="0" collapsed="false">
      <c r="A3949" s="0" t="s">
        <v>880</v>
      </c>
      <c r="B3949" s="0" t="s">
        <v>98</v>
      </c>
      <c r="D3949" s="6" t="n">
        <f aca="false">Q!L21</f>
        <v>110.814</v>
      </c>
      <c r="E3949" s="6" t="n">
        <f aca="false">Q!M21</f>
        <v>136.365</v>
      </c>
      <c r="F3949" s="6" t="n">
        <f aca="false">Q!$I$21+(Sens!F3948*(Sens!F3919-Sens!F3882)+Sens!F3882-(Sens!F3884+Sens!F3885+Sens!F3886)-Sens!F3900-Sens!F3983)*(Sens!F3919-Q!$I$5)/Sens!F3919</f>
        <v>161.840343765851</v>
      </c>
      <c r="G3949" s="6" t="n">
        <f aca="false">(Sens!G3948*(Sens!G3919-Sens!G3882)+Sens!G3882-(Sens!G3884+Sens!G3885+Sens!G3886)-Sens!G3900-Sens!G3983)</f>
        <v>176.103191932152</v>
      </c>
      <c r="H3949" s="6" t="n">
        <f aca="false">(Sens!H3948*(Sens!H3919-Sens!H3882)+Sens!H3882-(Sens!H3884+Sens!H3885+Sens!H3886)-Sens!H3900-Sens!H3983)</f>
        <v>194.49049588708</v>
      </c>
      <c r="I3949" s="6" t="n">
        <f aca="false">(Sens!I3948*(Sens!I3919-Sens!I3882)+Sens!I3882-(Sens!I3884+Sens!I3885+Sens!I3886)-Sens!I3900-Sens!I3983)</f>
        <v>211.932393295152</v>
      </c>
      <c r="J3949" s="6" t="n">
        <f aca="false">(Sens!J3948*(Sens!J3919-Sens!J3882)+Sens!J3882-(Sens!J3884+Sens!J3885+Sens!J3886)-Sens!J3900-Sens!J3983)</f>
        <v>228.395083894318</v>
      </c>
      <c r="K3949" s="6" t="n">
        <f aca="false">(Sens!K3948*(Sens!K3919-Sens!K3882)+Sens!K3882-(Sens!K3884+Sens!K3885+Sens!K3886)-Sens!K3900-Sens!K3983)</f>
        <v>244.492279053148</v>
      </c>
      <c r="L3949" s="1" t="s">
        <v>1060</v>
      </c>
    </row>
    <row r="3950" customFormat="false" ht="17.15" hidden="false" customHeight="false" outlineLevel="0" collapsed="false">
      <c r="A3950" s="0" t="s">
        <v>1061</v>
      </c>
      <c r="B3950" s="0" t="s">
        <v>168</v>
      </c>
      <c r="E3950" s="7" t="n">
        <f aca="false">Q!M22/Q!M12</f>
        <v>0.296207935710698</v>
      </c>
      <c r="F3950" s="7" t="n">
        <f aca="false">Sens!$E$3950+dm_seg</f>
        <v>0.296207935710698</v>
      </c>
      <c r="G3950" s="7" t="n">
        <f aca="false">Sens!$E$3950+dm_seg</f>
        <v>0.296207935710698</v>
      </c>
      <c r="H3950" s="7" t="n">
        <f aca="false">Sens!$E$3950+dm_seg</f>
        <v>0.296207935710698</v>
      </c>
      <c r="I3950" s="7" t="n">
        <f aca="false">Sens!$E$3950+dm_seg</f>
        <v>0.296207935710698</v>
      </c>
      <c r="J3950" s="7" t="n">
        <f aca="false">Sens!$E$3950+dm_seg</f>
        <v>0.296207935710698</v>
      </c>
      <c r="K3950" s="7" t="n">
        <f aca="false">Sens!$E$3950+dm_seg</f>
        <v>0.296207935710698</v>
      </c>
      <c r="L3950" s="12" t="s">
        <v>1062</v>
      </c>
    </row>
    <row r="3951" customFormat="false" ht="17.15" hidden="false" customHeight="false" outlineLevel="0" collapsed="false">
      <c r="A3951" s="0" t="s">
        <v>882</v>
      </c>
      <c r="B3951" s="0" t="s">
        <v>98</v>
      </c>
      <c r="D3951" s="6" t="n">
        <f aca="false">Q!L22</f>
        <v>17.714</v>
      </c>
      <c r="E3951" s="6" t="n">
        <f aca="false">Q!M22</f>
        <v>18.872</v>
      </c>
      <c r="F3951" s="6" t="n">
        <f aca="false">Q!$I$22+(Sens!F3926-Q!$I$12)*Sens!F3950</f>
        <v>19.8174315512051</v>
      </c>
      <c r="G3951" s="6" t="n">
        <f aca="false">Sens!G3926*Sens!G3950</f>
        <v>19.6313799703815</v>
      </c>
      <c r="H3951" s="6" t="n">
        <f aca="false">Sens!H3926*Sens!H3950</f>
        <v>20.3536242825865</v>
      </c>
      <c r="I3951" s="6" t="n">
        <f aca="false">Sens!I3926*Sens!I3950</f>
        <v>21.1920899239745</v>
      </c>
      <c r="J3951" s="6" t="n">
        <f aca="false">Sens!J3926*Sens!J3950</f>
        <v>22.1288166207045</v>
      </c>
      <c r="K3951" s="6" t="n">
        <f aca="false">Sens!K3926*Sens!K3950</f>
        <v>23.1493653905379</v>
      </c>
      <c r="L3951" s="12" t="s">
        <v>1063</v>
      </c>
    </row>
    <row r="3952" customFormat="false" ht="15" hidden="false" customHeight="false" outlineLevel="0" collapsed="false">
      <c r="A3952" s="1" t="s">
        <v>1064</v>
      </c>
      <c r="B3952" s="0" t="s">
        <v>98</v>
      </c>
      <c r="D3952" s="6" t="n">
        <f aca="false">Sens!D3949+Sens!D3951</f>
        <v>128.528</v>
      </c>
      <c r="E3952" s="6" t="n">
        <f aca="false">Sens!E3949+Sens!E3951</f>
        <v>155.237</v>
      </c>
      <c r="F3952" s="6" t="n">
        <f aca="false">Sens!F3949+Sens!F3951</f>
        <v>181.657775317056</v>
      </c>
      <c r="G3952" s="6" t="n">
        <f aca="false">Sens!G3949+Sens!G3951</f>
        <v>195.734571902533</v>
      </c>
      <c r="H3952" s="6" t="n">
        <f aca="false">Sens!H3949+Sens!H3951</f>
        <v>214.844120169666</v>
      </c>
      <c r="I3952" s="6" t="n">
        <f aca="false">Sens!I3949+Sens!I3951</f>
        <v>233.124483219127</v>
      </c>
      <c r="J3952" s="6" t="n">
        <f aca="false">Sens!J3949+Sens!J3951</f>
        <v>250.523900515022</v>
      </c>
      <c r="K3952" s="6" t="n">
        <f aca="false">Sens!K3949+Sens!K3951</f>
        <v>267.641644443686</v>
      </c>
    </row>
    <row r="3953" customFormat="false" ht="15" hidden="false" customHeight="false" outlineLevel="0" collapsed="false">
      <c r="A3953" s="26" t="s">
        <v>1065</v>
      </c>
      <c r="B3953" s="31" t="s">
        <v>98</v>
      </c>
      <c r="C3953" s="31"/>
      <c r="D3953" s="27" t="n">
        <f aca="false">Sens!D3952-Q!L23</f>
        <v>0</v>
      </c>
      <c r="E3953" s="27" t="n">
        <f aca="false">Sens!E3952-Q!M23</f>
        <v>0</v>
      </c>
      <c r="F3953" s="31"/>
      <c r="G3953" s="31"/>
      <c r="H3953" s="31"/>
      <c r="I3953" s="31"/>
      <c r="J3953" s="31"/>
      <c r="K3953" s="31"/>
    </row>
    <row r="3954" customFormat="false" ht="15" hidden="false" customHeight="false" outlineLevel="0" collapsed="false">
      <c r="A3954" s="1" t="s">
        <v>1066</v>
      </c>
      <c r="B3954" s="0" t="s">
        <v>168</v>
      </c>
      <c r="D3954" s="7" t="n">
        <f aca="false">Sens!D3952/Sens!D3945</f>
        <v>0.456219562408598</v>
      </c>
      <c r="E3954" s="7" t="n">
        <f aca="false">Sens!E3952/Sens!E3945</f>
        <v>0.467808184089272</v>
      </c>
      <c r="F3954" s="7" t="n">
        <f aca="false">Sens!F3952/Sens!F3945</f>
        <v>0.452065167494944</v>
      </c>
      <c r="G3954" s="7" t="n">
        <f aca="false">Sens!G3952/Sens!G3945</f>
        <v>0.402512404671021</v>
      </c>
      <c r="H3954" s="7" t="n">
        <f aca="false">Sens!H3952/Sens!H3945</f>
        <v>0.37509924440443</v>
      </c>
      <c r="I3954" s="7" t="n">
        <f aca="false">Sens!I3952/Sens!I3945</f>
        <v>0.357738501429816</v>
      </c>
      <c r="J3954" s="7" t="n">
        <f aca="false">Sens!J3952/Sens!J3945</f>
        <v>0.350280317206428</v>
      </c>
      <c r="K3954" s="7" t="n">
        <f aca="false">Sens!K3952/Sens!K3945</f>
        <v>0.349889184430375</v>
      </c>
    </row>
    <row r="3955" customFormat="false" ht="17.15" hidden="false" customHeight="false" outlineLevel="0" collapsed="false">
      <c r="A3955" s="1" t="s">
        <v>1067</v>
      </c>
      <c r="B3955" s="0" t="s">
        <v>98</v>
      </c>
      <c r="F3955" s="6" t="n">
        <f aca="false">Sens!F3970</f>
        <v>11.6721789377228</v>
      </c>
      <c r="G3955" s="6" t="n">
        <f aca="false">Sens!G3970</f>
        <v>31.2448675944395</v>
      </c>
      <c r="H3955" s="6" t="n">
        <f aca="false">Sens!H3970</f>
        <v>52.4356703060253</v>
      </c>
      <c r="I3955" s="6" t="n">
        <f aca="false">Sens!I3970</f>
        <v>71.4217803724773</v>
      </c>
      <c r="J3955" s="6" t="n">
        <f aca="false">Sens!J3970</f>
        <v>84.5339687428139</v>
      </c>
      <c r="K3955" s="6" t="n">
        <f aca="false">Sens!K3970</f>
        <v>91.5609396726158</v>
      </c>
      <c r="L3955" s="1" t="s">
        <v>1068</v>
      </c>
    </row>
    <row r="3956" customFormat="false" ht="17.15" hidden="false" customHeight="false" outlineLevel="0" collapsed="false">
      <c r="A3956" s="1" t="s">
        <v>1069</v>
      </c>
      <c r="B3956" s="0" t="s">
        <v>98</v>
      </c>
      <c r="D3956" s="6" t="n">
        <f aca="false">Sens!D3952</f>
        <v>128.528</v>
      </c>
      <c r="E3956" s="6" t="n">
        <f aca="false">Sens!E3952</f>
        <v>155.237</v>
      </c>
      <c r="F3956" s="6" t="n">
        <f aca="false">Sens!F3952+Sens!F3955</f>
        <v>193.329954254779</v>
      </c>
      <c r="G3956" s="6" t="n">
        <f aca="false">Sens!G3952+Sens!G3955</f>
        <v>226.979439496973</v>
      </c>
      <c r="H3956" s="6" t="n">
        <f aca="false">Sens!H3952+Sens!H3955</f>
        <v>267.279790475692</v>
      </c>
      <c r="I3956" s="6" t="n">
        <f aca="false">Sens!I3952+Sens!I3955</f>
        <v>304.546263591604</v>
      </c>
      <c r="J3956" s="6" t="n">
        <f aca="false">Sens!J3952+Sens!J3955</f>
        <v>335.057869257836</v>
      </c>
      <c r="K3956" s="6" t="n">
        <f aca="false">Sens!K3952+Sens!K3955</f>
        <v>359.202584116302</v>
      </c>
    </row>
    <row r="3957" customFormat="false" ht="17.15" hidden="false" customHeight="false" outlineLevel="0" collapsed="false">
      <c r="A3957" s="1" t="s">
        <v>1070</v>
      </c>
      <c r="B3957" s="0" t="s">
        <v>98</v>
      </c>
      <c r="E3957" s="6" t="n">
        <f aca="false">Sens!E3900</f>
        <v>16.3054059770833</v>
      </c>
      <c r="F3957" s="6" t="n">
        <f aca="false">Sens!F3900</f>
        <v>37.2133107952886</v>
      </c>
      <c r="G3957" s="6" t="n">
        <f aca="false">Sens!G3900</f>
        <v>68.7985305502921</v>
      </c>
      <c r="H3957" s="6" t="n">
        <f aca="false">Sens!H3900</f>
        <v>102.837250561268</v>
      </c>
      <c r="I3957" s="6" t="n">
        <f aca="false">Sens!I3900</f>
        <v>132.849603006019</v>
      </c>
      <c r="J3957" s="6" t="n">
        <f aca="false">Sens!J3900</f>
        <v>153.81036285865</v>
      </c>
      <c r="K3957" s="6" t="n">
        <f aca="false">Sens!K3900</f>
        <v>166.333314624954</v>
      </c>
    </row>
    <row r="3958" customFormat="false" ht="17.15" hidden="false" customHeight="false" outlineLevel="0" collapsed="false">
      <c r="A3958" s="1" t="s">
        <v>1071</v>
      </c>
      <c r="B3958" s="0" t="s">
        <v>98</v>
      </c>
      <c r="E3958" s="6" t="n">
        <f aca="false">Sens!E3982</f>
        <v>22.2285940229167</v>
      </c>
      <c r="F3958" s="6" t="n">
        <f aca="false">Sens!F3982</f>
        <v>23.5646464794801</v>
      </c>
      <c r="G3958" s="6" t="n">
        <f aca="false">Sens!G3982</f>
        <v>25.3255736344881</v>
      </c>
      <c r="H3958" s="6" t="n">
        <f aca="false">Sens!H3982</f>
        <v>27.4774172580983</v>
      </c>
      <c r="I3958" s="6" t="n">
        <f aca="false">Sens!I3982</f>
        <v>29.953858204313</v>
      </c>
      <c r="J3958" s="6" t="n">
        <f aca="false">Sens!J3982</f>
        <v>32.6718586842082</v>
      </c>
      <c r="K3958" s="6" t="n">
        <f aca="false">Sens!K3982</f>
        <v>35.5475605287073</v>
      </c>
    </row>
    <row r="3959" customFormat="false" ht="17.15" hidden="false" customHeight="false" outlineLevel="0" collapsed="false">
      <c r="A3959" s="1" t="s">
        <v>1072</v>
      </c>
      <c r="B3959" s="0" t="s">
        <v>98</v>
      </c>
      <c r="D3959" s="6" t="n">
        <f aca="false">Q!L27</f>
        <v>-4.901</v>
      </c>
      <c r="E3959" s="6" t="n">
        <f aca="false">Q!M27</f>
        <v>10.697</v>
      </c>
      <c r="F3959" s="6" t="n">
        <f aca="false">Q!$I$27+oie_f*(q_per_yr-1)/q_per_yr</f>
        <v>-0.862</v>
      </c>
      <c r="G3959" s="6" t="n">
        <f aca="false">oie_f</f>
        <v>-1.2</v>
      </c>
      <c r="H3959" s="6" t="n">
        <f aca="false">oie_f</f>
        <v>-1.2</v>
      </c>
      <c r="I3959" s="6" t="n">
        <f aca="false">oie_f</f>
        <v>-1.2</v>
      </c>
      <c r="J3959" s="6" t="n">
        <f aca="false">oie_f</f>
        <v>-1.2</v>
      </c>
      <c r="K3959" s="6" t="n">
        <f aca="false">oie_f</f>
        <v>-1.2</v>
      </c>
      <c r="L3959" s="12" t="s">
        <v>1073</v>
      </c>
    </row>
    <row r="3960" customFormat="false" ht="15" hidden="false" customHeight="false" outlineLevel="0" collapsed="false">
      <c r="A3960" s="1" t="s">
        <v>1074</v>
      </c>
      <c r="B3960" s="0" t="s">
        <v>98</v>
      </c>
      <c r="D3960" s="6" t="n">
        <f aca="false">Sens!D3952+Sens!D3959</f>
        <v>123.627</v>
      </c>
      <c r="E3960" s="6" t="n">
        <f aca="false">Sens!E3952+Sens!E3959</f>
        <v>165.934</v>
      </c>
      <c r="F3960" s="6" t="n">
        <f aca="false">Sens!F3952+Sens!F3959</f>
        <v>180.795775317056</v>
      </c>
      <c r="G3960" s="6" t="n">
        <f aca="false">Sens!G3952+Sens!G3959</f>
        <v>194.534571902533</v>
      </c>
      <c r="H3960" s="6" t="n">
        <f aca="false">Sens!H3952+Sens!H3959</f>
        <v>213.644120169666</v>
      </c>
      <c r="I3960" s="6" t="n">
        <f aca="false">Sens!I3952+Sens!I3959</f>
        <v>231.924483219127</v>
      </c>
      <c r="J3960" s="6" t="n">
        <f aca="false">Sens!J3952+Sens!J3959</f>
        <v>249.323900515022</v>
      </c>
      <c r="K3960" s="6" t="n">
        <f aca="false">Sens!K3952+Sens!K3959</f>
        <v>266.441644443686</v>
      </c>
    </row>
    <row r="3961" customFormat="false" ht="15" hidden="false" customHeight="false" outlineLevel="0" collapsed="false">
      <c r="A3961" s="1" t="s">
        <v>1075</v>
      </c>
      <c r="B3961" s="0" t="s">
        <v>98</v>
      </c>
      <c r="D3961" s="6" t="n">
        <f aca="false">Q!L29</f>
        <v>21.795</v>
      </c>
      <c r="E3961" s="6" t="n">
        <f aca="false">Q!M29</f>
        <v>32.185</v>
      </c>
      <c r="F3961" s="6" t="n">
        <f aca="false">Q!$I$29+(Sens!F3960-Q!$I$28)*tax_f</f>
        <v>36.2925550634113</v>
      </c>
      <c r="G3961" s="6" t="n">
        <f aca="false">Sens!G3960*tax_f</f>
        <v>38.9069143805067</v>
      </c>
      <c r="H3961" s="6" t="n">
        <f aca="false">Sens!H3960*tax_f</f>
        <v>42.7288240339333</v>
      </c>
      <c r="I3961" s="6" t="n">
        <f aca="false">Sens!I3960*tax_f</f>
        <v>46.3848966438254</v>
      </c>
      <c r="J3961" s="6" t="n">
        <f aca="false">Sens!J3960*tax_f</f>
        <v>49.8647801030045</v>
      </c>
      <c r="K3961" s="6" t="n">
        <f aca="false">Sens!K3960*tax_f</f>
        <v>53.2883288887372</v>
      </c>
    </row>
    <row r="3962" customFormat="false" ht="15" hidden="false" customHeight="false" outlineLevel="0" collapsed="false">
      <c r="A3962" s="1" t="s">
        <v>1076</v>
      </c>
      <c r="B3962" s="0" t="s">
        <v>98</v>
      </c>
      <c r="D3962" s="6" t="n">
        <f aca="false">Sens!D3960-Sens!D3961</f>
        <v>101.832</v>
      </c>
      <c r="E3962" s="6" t="n">
        <f aca="false">Sens!E3960-Sens!E3961</f>
        <v>133.749</v>
      </c>
      <c r="F3962" s="6" t="n">
        <f aca="false">Sens!F3960-Sens!F3961</f>
        <v>144.503220253645</v>
      </c>
      <c r="G3962" s="6" t="n">
        <f aca="false">Sens!G3960-Sens!G3961</f>
        <v>155.627657522027</v>
      </c>
      <c r="H3962" s="6" t="n">
        <f aca="false">Sens!H3960-Sens!H3961</f>
        <v>170.915296135733</v>
      </c>
      <c r="I3962" s="6" t="n">
        <f aca="false">Sens!I3960-Sens!I3961</f>
        <v>185.539586575302</v>
      </c>
      <c r="J3962" s="6" t="n">
        <f aca="false">Sens!J3960-Sens!J3961</f>
        <v>199.459120412018</v>
      </c>
      <c r="K3962" s="6" t="n">
        <f aca="false">Sens!K3960-Sens!K3961</f>
        <v>213.153315554949</v>
      </c>
    </row>
    <row r="3963" customFormat="false" ht="17.15" hidden="false" customHeight="false" outlineLevel="0" collapsed="false">
      <c r="A3963" s="1" t="s">
        <v>1077</v>
      </c>
      <c r="B3963" s="1" t="s">
        <v>81</v>
      </c>
      <c r="D3963" s="15" t="n">
        <f aca="false">Q!L31</f>
        <v>7.465</v>
      </c>
      <c r="E3963" s="15" t="n">
        <f aca="false">Q!M31</f>
        <v>7.453</v>
      </c>
      <c r="F3963" s="15" t="n">
        <f aca="false">Sens!F4007</f>
        <v>7.4735</v>
      </c>
      <c r="G3963" s="15" t="n">
        <f aca="false">Sens!G4007</f>
        <v>7.5185</v>
      </c>
      <c r="H3963" s="15" t="n">
        <f aca="false">Sens!H4007</f>
        <v>7.5635</v>
      </c>
      <c r="I3963" s="15" t="n">
        <f aca="false">Sens!I4007</f>
        <v>7.59248142502667</v>
      </c>
      <c r="J3963" s="15" t="n">
        <f aca="false">Sens!J4007</f>
        <v>7.60663083618914</v>
      </c>
      <c r="K3963" s="15" t="n">
        <f aca="false">Sens!K4007</f>
        <v>7.62306547615439</v>
      </c>
    </row>
    <row r="3964" customFormat="false" ht="17.15" hidden="false" customHeight="false" outlineLevel="0" collapsed="false">
      <c r="A3964" s="0" t="s">
        <v>1078</v>
      </c>
      <c r="B3964" s="0" t="s">
        <v>75</v>
      </c>
      <c r="D3964" s="8" t="n">
        <f aca="false">Sens!D3962/Sens!D3963</f>
        <v>13.641259209645</v>
      </c>
      <c r="E3964" s="8" t="n">
        <f aca="false">Sens!E3962/Sens!E3963</f>
        <v>17.9456594659869</v>
      </c>
      <c r="F3964" s="8" t="n">
        <f aca="false">Sens!F3962/Sens!F3963</f>
        <v>19.3354144983803</v>
      </c>
      <c r="G3964" s="8" t="n">
        <f aca="false">Sens!G3962/Sens!G3963</f>
        <v>20.6992960726244</v>
      </c>
      <c r="H3964" s="8" t="n">
        <f aca="false">Sens!H3962/Sens!H3963</f>
        <v>22.597381653432</v>
      </c>
      <c r="I3964" s="8" t="n">
        <f aca="false">Sens!I3962/Sens!I3963</f>
        <v>24.4372789591184</v>
      </c>
      <c r="J3964" s="8" t="n">
        <f aca="false">Sens!J3962/Sens!J3963</f>
        <v>26.2217432010865</v>
      </c>
      <c r="K3964" s="8" t="n">
        <f aca="false">Sens!K3962/Sens!K3963</f>
        <v>27.9616272773349</v>
      </c>
      <c r="L3964" s="1" t="s">
        <v>1079</v>
      </c>
    </row>
    <row r="3965" customFormat="false" ht="17.15" hidden="false" customHeight="false" outlineLevel="0" collapsed="false">
      <c r="A3965" s="1" t="s">
        <v>1080</v>
      </c>
      <c r="B3965" s="0" t="s">
        <v>98</v>
      </c>
      <c r="D3965" s="6" t="n">
        <f aca="false">Sens!D3962</f>
        <v>101.832</v>
      </c>
      <c r="E3965" s="6" t="n">
        <f aca="false">Sens!E3962</f>
        <v>133.749</v>
      </c>
      <c r="F3965" s="6" t="n">
        <f aca="false">Sens!F3962+Sens!F3955*(1-tax_f)</f>
        <v>153.840963403823</v>
      </c>
      <c r="G3965" s="6" t="n">
        <f aca="false">Sens!G3962+Sens!G3955*(1-tax_f)</f>
        <v>180.623551597578</v>
      </c>
      <c r="H3965" s="6" t="n">
        <f aca="false">Sens!H3962+Sens!H3955*(1-tax_f)</f>
        <v>212.863832380553</v>
      </c>
      <c r="I3965" s="6" t="n">
        <f aca="false">Sens!I3962+Sens!I3955*(1-tax_f)</f>
        <v>242.677010873283</v>
      </c>
      <c r="J3965" s="6" t="n">
        <f aca="false">Sens!J3962+Sens!J3955*(1-tax_f)</f>
        <v>267.086295406269</v>
      </c>
      <c r="K3965" s="6" t="n">
        <f aca="false">Sens!K3962+Sens!K3955*(1-tax_f)</f>
        <v>286.402067293041</v>
      </c>
    </row>
    <row r="3966" customFormat="false" ht="17.15" hidden="false" customHeight="false" outlineLevel="0" collapsed="false">
      <c r="A3966" s="0" t="s">
        <v>1081</v>
      </c>
      <c r="B3966" s="0" t="s">
        <v>75</v>
      </c>
      <c r="D3966" s="8" t="n">
        <f aca="false">Sens!D3965/Sens!D3963</f>
        <v>13.641259209645</v>
      </c>
      <c r="E3966" s="8" t="n">
        <f aca="false">Sens!E3965/Sens!E3963</f>
        <v>17.9456594659869</v>
      </c>
      <c r="F3966" s="8" t="n">
        <f aca="false">Sens!F3965/Sens!F3963</f>
        <v>20.5848616316081</v>
      </c>
      <c r="G3966" s="8" t="n">
        <f aca="false">Sens!G3965/Sens!G3963</f>
        <v>24.0238813057895</v>
      </c>
      <c r="H3966" s="8" t="n">
        <f aca="false">Sens!H3965/Sens!H3963</f>
        <v>28.1435621578044</v>
      </c>
      <c r="I3966" s="8" t="n">
        <f aca="false">Sens!I3965/Sens!I3963</f>
        <v>31.9628060034972</v>
      </c>
      <c r="J3966" s="8" t="n">
        <f aca="false">Sens!J3965/Sens!J3963</f>
        <v>35.112298882126</v>
      </c>
      <c r="K3966" s="8" t="n">
        <f aca="false">Sens!K3965/Sens!K3963</f>
        <v>37.5704587857643</v>
      </c>
      <c r="L3966" s="1" t="s">
        <v>1082</v>
      </c>
    </row>
    <row r="3967" customFormat="false" ht="17.15" hidden="false" customHeight="false" outlineLevel="0" collapsed="false">
      <c r="A3967" s="0" t="s">
        <v>1083</v>
      </c>
      <c r="B3967" s="0" t="s">
        <v>168</v>
      </c>
      <c r="E3967" s="7" t="n">
        <f aca="false">Sens!E3966/Sens!D3966-1</f>
        <v>0.315542736208578</v>
      </c>
      <c r="F3967" s="7" t="n">
        <f aca="false">Sens!F3966/Sens!E3966-1</f>
        <v>0.147066323788404</v>
      </c>
      <c r="G3967" s="7" t="n">
        <f aca="false">Sens!G3966/Sens!F3966-1</f>
        <v>0.167065474411582</v>
      </c>
      <c r="H3967" s="7" t="n">
        <f aca="false">Sens!H3966/Sens!G3966-1</f>
        <v>0.171482734183426</v>
      </c>
      <c r="I3967" s="7" t="n">
        <f aca="false">Sens!I3966/Sens!H3966-1</f>
        <v>0.13570577257697</v>
      </c>
      <c r="J3967" s="7" t="n">
        <f aca="false">Sens!J3966/Sens!I3966-1</f>
        <v>0.0985361822827497</v>
      </c>
      <c r="K3967" s="7" t="n">
        <f aca="false">Sens!K3966/Sens!J3966-1</f>
        <v>0.0700085150189258</v>
      </c>
    </row>
    <row r="3968" customFormat="false" ht="17.15" hidden="false" customHeight="false" outlineLevel="0" collapsed="false">
      <c r="A3968" s="0" t="s">
        <v>1003</v>
      </c>
      <c r="B3968" s="0" t="s">
        <v>98</v>
      </c>
      <c r="E3968" s="6" t="n">
        <f aca="false">Sens!E3909</f>
        <v>5.25</v>
      </c>
      <c r="F3968" s="6" t="n">
        <f aca="false">Sens!F3909</f>
        <v>12</v>
      </c>
      <c r="G3968" s="6" t="n">
        <f aca="false">Sens!G3909</f>
        <v>18</v>
      </c>
      <c r="H3968" s="6" t="n">
        <f aca="false">Sens!H3909</f>
        <v>24</v>
      </c>
      <c r="I3968" s="6" t="n">
        <f aca="false">Sens!I3909</f>
        <v>28.5</v>
      </c>
      <c r="J3968" s="6" t="n">
        <f aca="false">Sens!J3909</f>
        <v>31.5</v>
      </c>
      <c r="K3968" s="6" t="n">
        <f aca="false">Sens!K3909</f>
        <v>34.5</v>
      </c>
    </row>
    <row r="3969" customFormat="false" ht="17.15" hidden="false" customHeight="false" outlineLevel="0" collapsed="false">
      <c r="A3969" s="1" t="s">
        <v>1004</v>
      </c>
      <c r="B3969" s="0" t="s">
        <v>98</v>
      </c>
      <c r="F3969" s="6" t="n">
        <f aca="false">MAX(0,((Sens!E3869+Sens!F3869)/2-(shadow_base*(Sens!$D$3869+Sens!$E$3869)/2+(1-shadow_base)*Sens!$E$3869))*Sens!F3878/1000-(Sens!F3968-Sens!$E$3968)*Sens!F3948)</f>
        <v>11.6721789377228</v>
      </c>
      <c r="G3969" s="6" t="n">
        <f aca="false">MAX(0,((Sens!F3869+Sens!G3869)/2-(shadow_base*(Sens!$D$3869+Sens!$E$3869)/2+(1-shadow_base)*Sens!$E$3869))*Sens!G3878/1000-(Sens!G3968-Sens!$E$3968)*Sens!G3948)</f>
        <v>31.2448675944395</v>
      </c>
      <c r="H3969" s="6" t="n">
        <f aca="false">MAX(0,((Sens!G3869+Sens!H3869)/2-(shadow_base*(Sens!$D$3869+Sens!$E$3869)/2+(1-shadow_base)*Sens!$E$3869))*Sens!H3878/1000-(Sens!H3968-Sens!$E$3968)*Sens!H3948)</f>
        <v>52.4356703060253</v>
      </c>
      <c r="I3969" s="6" t="n">
        <f aca="false">MAX(0,((Sens!H3869+Sens!I3869)/2-(shadow_base*(Sens!$D$3869+Sens!$E$3869)/2+(1-shadow_base)*Sens!$E$3869))*Sens!I3878/1000-(Sens!I3968-Sens!$E$3968)*Sens!I3948)</f>
        <v>71.4217803724773</v>
      </c>
      <c r="J3969" s="6" t="n">
        <f aca="false">MAX(0,((Sens!I3869+Sens!J3869)/2-(shadow_base*(Sens!$D$3869+Sens!$E$3869)/2+(1-shadow_base)*Sens!$E$3869))*Sens!J3878/1000-(Sens!J3968-Sens!$E$3968)*Sens!J3948)</f>
        <v>84.5339687428139</v>
      </c>
      <c r="K3969" s="6" t="n">
        <f aca="false">MAX(0,((Sens!J3869+Sens!K3869)/2-(shadow_base*(Sens!$D$3869+Sens!$E$3869)/2+(1-shadow_base)*Sens!$E$3869))*Sens!K3878/1000-(Sens!K3968-Sens!$E$3968)*Sens!K3948)</f>
        <v>91.5609396726158</v>
      </c>
      <c r="L3969" s="1" t="s">
        <v>1005</v>
      </c>
    </row>
    <row r="3970" customFormat="false" ht="17.15" hidden="false" customHeight="false" outlineLevel="0" collapsed="false">
      <c r="A3970" s="1" t="s">
        <v>1006</v>
      </c>
      <c r="B3970" s="0" t="s">
        <v>98</v>
      </c>
      <c r="F3970" s="6" t="n">
        <f aca="false">IF(internal_ai_reading=2,1,0)*Sens!F3969</f>
        <v>11.6721789377228</v>
      </c>
      <c r="G3970" s="6" t="n">
        <f aca="false">IF(internal_ai_reading=2,1,0)*Sens!G3969</f>
        <v>31.2448675944395</v>
      </c>
      <c r="H3970" s="6" t="n">
        <f aca="false">IF(internal_ai_reading=2,1,0)*Sens!H3969</f>
        <v>52.4356703060253</v>
      </c>
      <c r="I3970" s="6" t="n">
        <f aca="false">IF(internal_ai_reading=2,1,0)*Sens!I3969</f>
        <v>71.4217803724773</v>
      </c>
      <c r="J3970" s="6" t="n">
        <f aca="false">IF(internal_ai_reading=2,1,0)*Sens!J3969</f>
        <v>84.5339687428139</v>
      </c>
      <c r="K3970" s="6" t="n">
        <f aca="false">IF(internal_ai_reading=2,1,0)*Sens!K3969</f>
        <v>91.5609396726158</v>
      </c>
    </row>
    <row r="3971" customFormat="false" ht="17.15" hidden="false" customHeight="false" outlineLevel="0" collapsed="false">
      <c r="A3971" s="0" t="s">
        <v>1007</v>
      </c>
      <c r="B3971" s="0" t="s">
        <v>98</v>
      </c>
      <c r="F3971" s="6" t="n">
        <f aca="false">Sens!F3888+Sens!F3968*Sens!F3948+Sens!F3970-Sens!F3889-Sens!F3900</f>
        <v>16.4856248340237</v>
      </c>
      <c r="G3971" s="6" t="n">
        <f aca="false">Sens!G3888+Sens!G3968*Sens!G3948+Sens!G3970-Sens!G3889-Sens!G3900</f>
        <v>36.0712012899653</v>
      </c>
      <c r="H3971" s="6" t="n">
        <f aca="false">Sens!H3888+Sens!H3968*Sens!H3948+Sens!H3970-Sens!H3889-Sens!H3900</f>
        <v>56.3777667295736</v>
      </c>
      <c r="I3971" s="6" t="n">
        <f aca="false">Sens!I3888+Sens!I3968*Sens!I3948+Sens!I3970-Sens!I3889-Sens!I3900</f>
        <v>74.0219034172994</v>
      </c>
      <c r="J3971" s="6" t="n">
        <f aca="false">Sens!J3888+Sens!J3968*Sens!J3948+Sens!J3970-Sens!J3889-Sens!J3900</f>
        <v>86.0534269704509</v>
      </c>
      <c r="K3971" s="6" t="n">
        <f aca="false">Sens!K3888+Sens!K3968*Sens!K3948+Sens!K3970-Sens!K3889-Sens!K3900</f>
        <v>93.6535802028762</v>
      </c>
    </row>
    <row r="3972" customFormat="false" ht="17.15" hidden="false" customHeight="false" outlineLevel="0" collapsed="false">
      <c r="A3972" s="0" t="s">
        <v>1008</v>
      </c>
      <c r="B3972" s="0" t="s">
        <v>98</v>
      </c>
      <c r="E3972" s="6" t="n">
        <f aca="false">Sens!E3868*(cxit_open+self_build*tk_cxfac)/1000*ai_net_open</f>
        <v>126.6980382</v>
      </c>
      <c r="F3972" s="6" t="n">
        <f aca="false">Sens!E3972+Sens!F3897-Sens!F3900</f>
        <v>294.382915210455</v>
      </c>
      <c r="G3972" s="6" t="n">
        <f aca="false">Sens!F3972+Sens!G3897-Sens!G3900</f>
        <v>455.917755439021</v>
      </c>
      <c r="H3972" s="6" t="n">
        <f aca="false">Sens!G3972+Sens!H3897-Sens!H3900</f>
        <v>589.247709755167</v>
      </c>
      <c r="I3972" s="6" t="n">
        <f aca="false">Sens!H3972+Sens!I3897-Sens!I3900</f>
        <v>652.434576937081</v>
      </c>
      <c r="J3972" s="6" t="n">
        <f aca="false">Sens!I3972+Sens!J3897-Sens!J3900</f>
        <v>643.584650325439</v>
      </c>
      <c r="K3972" s="6" t="n">
        <f aca="false">Sens!J3972+Sens!K3897-Sens!K3900</f>
        <v>601.060261086901</v>
      </c>
      <c r="L3972" s="1" t="s">
        <v>1009</v>
      </c>
    </row>
    <row r="3973" customFormat="false" ht="17.15" hidden="false" customHeight="false" outlineLevel="0" collapsed="false">
      <c r="A3973" s="0" t="s">
        <v>1010</v>
      </c>
      <c r="B3973" s="0" t="s">
        <v>168</v>
      </c>
      <c r="F3973" s="7" t="n">
        <f aca="false">Sens!F3971*(1-tax_f)/((Sens!E3972+Sens!F3972)/2)</f>
        <v>0.0626411608523327</v>
      </c>
      <c r="G3973" s="7" t="n">
        <f aca="false">Sens!G3971*(1-tax_f)/((Sens!F3972+Sens!G3972)/2)</f>
        <v>0.0769210588789507</v>
      </c>
      <c r="H3973" s="7" t="n">
        <f aca="false">Sens!H3971*(1-tax_f)/((Sens!G3972+Sens!H3972)/2)</f>
        <v>0.0863063598743746</v>
      </c>
      <c r="I3973" s="7" t="n">
        <f aca="false">Sens!I3971*(1-tax_f)/((Sens!H3972+Sens!I3972)/2)</f>
        <v>0.0953827293318176</v>
      </c>
      <c r="J3973" s="7" t="n">
        <f aca="false">Sens!J3971*(1-tax_f)/((Sens!I3972+Sens!J3972)/2)</f>
        <v>0.106237222609377</v>
      </c>
      <c r="K3973" s="7" t="n">
        <f aca="false">Sens!K3971*(1-tax_f)/((Sens!J3972+Sens!K3972)/2)</f>
        <v>0.120392352027991</v>
      </c>
    </row>
    <row r="3974" customFormat="false" ht="17.15" hidden="false" customHeight="false" outlineLevel="0" collapsed="false">
      <c r="A3974" s="1" t="s">
        <v>1011</v>
      </c>
      <c r="B3974" s="0" t="s">
        <v>168</v>
      </c>
      <c r="F3974" s="7" t="n">
        <f aca="false">(Sens!F3971-Sens!F3970)*(1-tax_f)/((Sens!E3972+Sens!F3972)/2)</f>
        <v>0.018289864150123</v>
      </c>
      <c r="G3974" s="7" t="n">
        <f aca="false">(Sens!G3971-Sens!G3970)*(1-tax_f)/((Sens!F3972+Sens!G3972)/2)</f>
        <v>0.0102920525262984</v>
      </c>
      <c r="H3974" s="7" t="n">
        <f aca="false">(Sens!H3971-Sens!H3970)*(1-tax_f)/((Sens!G3972+Sens!H3972)/2)</f>
        <v>0.00603479017220043</v>
      </c>
      <c r="I3974" s="7" t="n">
        <f aca="false">(Sens!I3971-Sens!I3970)*(1-tax_f)/((Sens!H3972+Sens!I3972)/2)</f>
        <v>0.00335045197656635</v>
      </c>
      <c r="J3974" s="7" t="n">
        <f aca="false">(Sens!J3971-Sens!J3970)*(1-tax_f)/((Sens!I3972+Sens!J3972)/2)</f>
        <v>0.00187584652532844</v>
      </c>
      <c r="K3974" s="7" t="n">
        <f aca="false">(Sens!K3971-Sens!K3970)*(1-tax_f)/((Sens!J3972+Sens!K3972)/2)</f>
        <v>0.00269010447696069</v>
      </c>
    </row>
    <row r="3975" customFormat="false" ht="17.15" hidden="false" customHeight="false" outlineLevel="0" collapsed="false">
      <c r="A3975" s="1" t="s">
        <v>1012</v>
      </c>
      <c r="B3975" s="0" t="s">
        <v>168</v>
      </c>
      <c r="F3975" s="7" t="n">
        <f aca="false">(Sens!F3971-Sens!F3970+Sens!F3969)*(1-tax_f)/((Sens!E3972+Sens!F3972)/2)</f>
        <v>0.0626411608523327</v>
      </c>
      <c r="G3975" s="7" t="n">
        <f aca="false">(Sens!G3971-Sens!G3970+Sens!G3969)*(1-tax_f)/((Sens!F3972+Sens!G3972)/2)</f>
        <v>0.0769210588789507</v>
      </c>
      <c r="H3975" s="7" t="n">
        <f aca="false">(Sens!H3971-Sens!H3970+Sens!H3969)*(1-tax_f)/((Sens!G3972+Sens!H3972)/2)</f>
        <v>0.0863063598743746</v>
      </c>
      <c r="I3975" s="7" t="n">
        <f aca="false">(Sens!I3971-Sens!I3970+Sens!I3969)*(1-tax_f)/((Sens!H3972+Sens!I3972)/2)</f>
        <v>0.0953827293318176</v>
      </c>
      <c r="J3975" s="7" t="n">
        <f aca="false">(Sens!J3971-Sens!J3970+Sens!J3969)*(1-tax_f)/((Sens!I3972+Sens!J3972)/2)</f>
        <v>0.106237222609377</v>
      </c>
      <c r="K3975" s="7" t="n">
        <f aca="false">(Sens!K3971-Sens!K3970+Sens!K3969)*(1-tax_f)/((Sens!J3972+Sens!K3972)/2)</f>
        <v>0.120392352027991</v>
      </c>
    </row>
    <row r="3976" customFormat="false" ht="17.15" hidden="false" customHeight="false" outlineLevel="0" collapsed="false">
      <c r="A3976" s="1" t="s">
        <v>1013</v>
      </c>
      <c r="B3976" s="0" t="s">
        <v>168</v>
      </c>
      <c r="F3976" s="7" t="n">
        <f aca="false">Sens!F3901*(1-tax_f)/(Sens!F3887*(Sens!E3972+Sens!F3972)/2)</f>
        <v>0.126971180107708</v>
      </c>
      <c r="G3976" s="7" t="n">
        <f aca="false">Sens!G3901*(1-tax_f)/(Sens!G3887*(Sens!F3972+Sens!G3972)/2)</f>
        <v>0.12386479476981</v>
      </c>
      <c r="H3976" s="7" t="n">
        <f aca="false">Sens!H3901*(1-tax_f)/(Sens!H3887*(Sens!G3972+Sens!H3972)/2)</f>
        <v>0.127525609461168</v>
      </c>
      <c r="I3976" s="7" t="n">
        <f aca="false">Sens!I3901*(1-tax_f)/(Sens!I3887*(Sens!H3972+Sens!I3972)/2)</f>
        <v>0.13551866041083</v>
      </c>
      <c r="J3976" s="7" t="n">
        <f aca="false">Sens!J3901*(1-tax_f)/(Sens!J3887*(Sens!I3972+Sens!J3972)/2)</f>
        <v>0.148329743539679</v>
      </c>
      <c r="K3976" s="7" t="n">
        <f aca="false">Sens!K3901*(1-tax_f)/(Sens!K3887*(Sens!J3972+Sens!K3972)/2)</f>
        <v>0.166774676924982</v>
      </c>
    </row>
    <row r="3977" customFormat="false" ht="17.15" hidden="false" customHeight="false" outlineLevel="0" collapsed="false">
      <c r="A3977" s="0" t="s">
        <v>1014</v>
      </c>
      <c r="B3977" s="0" t="s">
        <v>253</v>
      </c>
      <c r="F3977" s="7" t="n">
        <f aca="false">Sens!F3973-wacc</f>
        <v>-0.0402954300932646</v>
      </c>
      <c r="G3977" s="7" t="n">
        <f aca="false">Sens!G3973-wacc</f>
        <v>-0.0260155320666466</v>
      </c>
      <c r="H3977" s="7" t="n">
        <f aca="false">Sens!H3973-wacc</f>
        <v>-0.0166302310712227</v>
      </c>
      <c r="I3977" s="7" t="n">
        <f aca="false">Sens!I3973-wacc</f>
        <v>-0.00755386161377965</v>
      </c>
      <c r="J3977" s="7" t="n">
        <f aca="false">Sens!J3973-wacc</f>
        <v>0.00330063166378</v>
      </c>
      <c r="K3977" s="7" t="n">
        <f aca="false">Sens!K3973-wacc</f>
        <v>0.0174557610823936</v>
      </c>
    </row>
    <row r="3978" customFormat="false" ht="17.15" hidden="false" customHeight="false" outlineLevel="0" collapsed="false">
      <c r="A3978" s="0" t="s">
        <v>1015</v>
      </c>
      <c r="B3978" s="0" t="s">
        <v>98</v>
      </c>
      <c r="F3978" s="6" t="n">
        <f aca="false">Sens!F3971*(1-tax_f)-wacc*(Sens!E3972+Sens!F3972)/2</f>
        <v>-8.4838190608781</v>
      </c>
      <c r="G3978" s="6" t="n">
        <f aca="false">Sens!G3971*(1-tax_f)-wacc*(Sens!F3972+Sens!G3972)/2</f>
        <v>-9.75973557845392</v>
      </c>
      <c r="H3978" s="6" t="n">
        <f aca="false">Sens!H3971*(1-tax_f)-wacc*(Sens!G3972+Sens!H3972)/2</f>
        <v>-8.69067159692067</v>
      </c>
      <c r="I3978" s="6" t="n">
        <f aca="false">Sens!I3971*(1-tax_f)-wacc*(Sens!H3972+Sens!I3972)/2</f>
        <v>-4.68974808097735</v>
      </c>
      <c r="J3978" s="6" t="n">
        <f aca="false">Sens!J3971*(1-tax_f)-wacc*(Sens!I3972+Sens!J3972)/2</f>
        <v>2.13884104918519</v>
      </c>
      <c r="K3978" s="6" t="n">
        <f aca="false">Sens!K3971*(1-tax_f)-wacc*(Sens!J3972+Sens!K3972)/2</f>
        <v>10.8631121030153</v>
      </c>
    </row>
    <row r="3979" customFormat="false" ht="17.15" hidden="false" customHeight="false" outlineLevel="0" collapsed="false">
      <c r="A3979" s="3" t="s">
        <v>1578</v>
      </c>
    </row>
    <row r="3980" customFormat="false" ht="15" hidden="false" customHeight="false" outlineLevel="0" collapsed="false">
      <c r="A3980" s="4" t="s">
        <v>43</v>
      </c>
      <c r="B3980" s="4" t="s">
        <v>65</v>
      </c>
      <c r="C3980" s="23" t="s">
        <v>938</v>
      </c>
      <c r="D3980" s="23" t="s">
        <v>939</v>
      </c>
      <c r="E3980" s="23" t="s">
        <v>940</v>
      </c>
      <c r="F3980" s="23" t="s">
        <v>941</v>
      </c>
      <c r="G3980" s="23" t="s">
        <v>942</v>
      </c>
      <c r="H3980" s="23" t="s">
        <v>943</v>
      </c>
      <c r="I3980" s="23" t="s">
        <v>944</v>
      </c>
      <c r="J3980" s="23" t="s">
        <v>945</v>
      </c>
      <c r="K3980" s="23" t="s">
        <v>946</v>
      </c>
      <c r="L3980" s="4" t="s">
        <v>47</v>
      </c>
    </row>
    <row r="3981" customFormat="false" ht="15" hidden="false" customHeight="false" outlineLevel="0" collapsed="false">
      <c r="A3981" s="1" t="s">
        <v>1076</v>
      </c>
      <c r="B3981" s="0" t="s">
        <v>98</v>
      </c>
      <c r="F3981" s="6" t="n">
        <f aca="false">Sens!F3962</f>
        <v>144.503220253645</v>
      </c>
      <c r="G3981" s="6" t="n">
        <f aca="false">Sens!G3962</f>
        <v>155.627657522027</v>
      </c>
      <c r="H3981" s="6" t="n">
        <f aca="false">Sens!H3962</f>
        <v>170.915296135733</v>
      </c>
      <c r="I3981" s="6" t="n">
        <f aca="false">Sens!I3962</f>
        <v>185.539586575302</v>
      </c>
      <c r="J3981" s="6" t="n">
        <f aca="false">Sens!J3962</f>
        <v>199.459120412018</v>
      </c>
      <c r="K3981" s="6" t="n">
        <f aca="false">Sens!K3962</f>
        <v>213.153315554949</v>
      </c>
    </row>
    <row r="3982" customFormat="false" ht="17.15" hidden="false" customHeight="false" outlineLevel="0" collapsed="false">
      <c r="A3982" s="1" t="s">
        <v>1098</v>
      </c>
      <c r="B3982" s="0" t="s">
        <v>98</v>
      </c>
      <c r="E3982" s="6" t="n">
        <f aca="false">Q!M38-Sens!E3900</f>
        <v>22.2285940229167</v>
      </c>
      <c r="F3982" s="6" t="n">
        <f aca="false">Sens!E3982*(1-1/life_nonai)+(Sens!F3990+Sens!F3991)/life_nonai</f>
        <v>23.5646464794801</v>
      </c>
      <c r="G3982" s="6" t="n">
        <f aca="false">Sens!F3982*(1-1/life_nonai)+(Sens!G3990)/life_nonai</f>
        <v>25.3255736344881</v>
      </c>
      <c r="H3982" s="6" t="n">
        <f aca="false">Sens!G3982*(1-1/life_nonai)+(Sens!H3990)/life_nonai</f>
        <v>27.4774172580983</v>
      </c>
      <c r="I3982" s="6" t="n">
        <f aca="false">Sens!H3982*(1-1/life_nonai)+(Sens!I3990)/life_nonai</f>
        <v>29.953858204313</v>
      </c>
      <c r="J3982" s="6" t="n">
        <f aca="false">Sens!I3982*(1-1/life_nonai)+(Sens!J3990)/life_nonai</f>
        <v>32.6718586842082</v>
      </c>
      <c r="K3982" s="6" t="n">
        <f aca="false">Sens!J3982*(1-1/life_nonai)+(Sens!K3990)/life_nonai</f>
        <v>35.5475605287073</v>
      </c>
      <c r="L3982" s="12" t="s">
        <v>1099</v>
      </c>
    </row>
    <row r="3983" customFormat="false" ht="17.15" hidden="false" customHeight="false" outlineLevel="0" collapsed="false">
      <c r="A3983" s="1" t="s">
        <v>1100</v>
      </c>
      <c r="B3983" s="0" t="s">
        <v>98</v>
      </c>
      <c r="F3983" s="6" t="n">
        <f aca="false">Sens!$F$3991/life_nonai*(1-1/life_nonai)^(Sens!F3863-2027)</f>
        <v>0</v>
      </c>
      <c r="G3983" s="6" t="n">
        <f aca="false">Sens!$F$3991/life_nonai*(1-1/life_nonai)^(Sens!G3863-2027)</f>
        <v>0</v>
      </c>
      <c r="H3983" s="6" t="n">
        <f aca="false">Sens!$F$3991/life_nonai*(1-1/life_nonai)^(Sens!H3863-2027)</f>
        <v>0</v>
      </c>
      <c r="I3983" s="6" t="n">
        <f aca="false">Sens!$F$3991/life_nonai*(1-1/life_nonai)^(Sens!I3863-2027)</f>
        <v>0</v>
      </c>
      <c r="J3983" s="6" t="n">
        <f aca="false">Sens!$F$3991/life_nonai*(1-1/life_nonai)^(Sens!J3863-2027)</f>
        <v>0</v>
      </c>
      <c r="K3983" s="6" t="n">
        <f aca="false">Sens!$F$3991/life_nonai*(1-1/life_nonai)^(Sens!K3863-2027)</f>
        <v>0</v>
      </c>
      <c r="L3983" s="1" t="s">
        <v>1101</v>
      </c>
    </row>
    <row r="3984" customFormat="false" ht="17.15" hidden="false" customHeight="false" outlineLevel="0" collapsed="false">
      <c r="A3984" s="1" t="s">
        <v>1102</v>
      </c>
      <c r="B3984" s="0" t="s">
        <v>98</v>
      </c>
      <c r="E3984" s="6" t="n">
        <f aca="false">Sens!E3900+Sens!E3982</f>
        <v>38.534</v>
      </c>
      <c r="F3984" s="6" t="n">
        <f aca="false">Sens!F3900+Sens!F3982</f>
        <v>60.7779572747687</v>
      </c>
      <c r="G3984" s="6" t="n">
        <f aca="false">Sens!G3900+Sens!G3982</f>
        <v>94.1241041847802</v>
      </c>
      <c r="H3984" s="6" t="n">
        <f aca="false">Sens!H3900+Sens!H3982</f>
        <v>130.314667819366</v>
      </c>
      <c r="I3984" s="6" t="n">
        <f aca="false">Sens!I3900+Sens!I3982</f>
        <v>162.803461210332</v>
      </c>
      <c r="J3984" s="6" t="n">
        <f aca="false">Sens!J3900+Sens!J3982</f>
        <v>186.482221542858</v>
      </c>
      <c r="K3984" s="6" t="n">
        <f aca="false">Sens!K3900+Sens!K3982</f>
        <v>201.880875153661</v>
      </c>
    </row>
    <row r="3985" customFormat="false" ht="17.15" hidden="false" customHeight="false" outlineLevel="0" collapsed="false">
      <c r="A3985" s="1" t="s">
        <v>1103</v>
      </c>
      <c r="B3985" s="0" t="s">
        <v>98</v>
      </c>
      <c r="F3985" s="6" t="n">
        <f aca="false">Sens!F3927*sbc_r</f>
        <v>15.0218108381702</v>
      </c>
      <c r="G3985" s="6" t="n">
        <f aca="false">Sens!G3927*sbc_r</f>
        <v>18.1784819761204</v>
      </c>
      <c r="H3985" s="6" t="n">
        <f aca="false">Sens!H3927*sbc_r</f>
        <v>21.4114769553857</v>
      </c>
      <c r="I3985" s="6" t="n">
        <f aca="false">Sens!I3927*sbc_r</f>
        <v>24.3607999669233</v>
      </c>
      <c r="J3985" s="6" t="n">
        <f aca="false">Sens!J3927*sbc_r</f>
        <v>26.7363903408207</v>
      </c>
      <c r="K3985" s="6" t="n">
        <f aca="false">Sens!K3927*sbc_r</f>
        <v>28.5951589005327</v>
      </c>
    </row>
    <row r="3986" customFormat="false" ht="17.15" hidden="false" customHeight="false" outlineLevel="0" collapsed="false">
      <c r="A3986" s="1" t="s">
        <v>1104</v>
      </c>
      <c r="B3986" s="0" t="s">
        <v>98</v>
      </c>
      <c r="F3986" s="6" t="n">
        <f aca="false">wc27-wc26q1</f>
        <v>-4.677</v>
      </c>
      <c r="G3986" s="6" t="n">
        <f aca="false">wc_f</f>
        <v>0</v>
      </c>
      <c r="H3986" s="6" t="n">
        <f aca="false">wc_f</f>
        <v>0</v>
      </c>
      <c r="I3986" s="6" t="n">
        <f aca="false">wc_f</f>
        <v>0</v>
      </c>
      <c r="J3986" s="6" t="n">
        <f aca="false">wc_f</f>
        <v>0</v>
      </c>
      <c r="K3986" s="6" t="n">
        <f aca="false">wc_f</f>
        <v>0</v>
      </c>
      <c r="L3986" s="12" t="s">
        <v>1105</v>
      </c>
    </row>
    <row r="3987" customFormat="false" ht="17.15" hidden="false" customHeight="false" outlineLevel="0" collapsed="false">
      <c r="A3987" s="0" t="s">
        <v>1106</v>
      </c>
      <c r="B3987" s="0" t="s">
        <v>98</v>
      </c>
      <c r="F3987" s="6" t="n">
        <f aca="false">Q!$I$35-Q!$I$26-Q!$I$38-Q!$I$39</f>
        <v>6.493</v>
      </c>
      <c r="L3987" s="1" t="s">
        <v>1107</v>
      </c>
    </row>
    <row r="3988" customFormat="false" ht="15" hidden="false" customHeight="false" outlineLevel="0" collapsed="false">
      <c r="A3988" s="1" t="s">
        <v>904</v>
      </c>
      <c r="B3988" s="0" t="s">
        <v>98</v>
      </c>
      <c r="E3988" s="6" t="n">
        <f aca="false">Q!M35</f>
        <v>182.935</v>
      </c>
      <c r="F3988" s="6" t="n">
        <f aca="false">Sens!F3981+Sens!F3984+Sens!F3985+Sens!F3986+Sens!F3987</f>
        <v>222.118988366584</v>
      </c>
      <c r="G3988" s="6" t="n">
        <f aca="false">Sens!G3981+Sens!G3984+Sens!G3985+Sens!G3986</f>
        <v>267.930243682927</v>
      </c>
      <c r="H3988" s="6" t="n">
        <f aca="false">Sens!H3981+Sens!H3984+Sens!H3985+Sens!H3986</f>
        <v>322.641440910485</v>
      </c>
      <c r="I3988" s="6" t="n">
        <f aca="false">Sens!I3981+Sens!I3984+Sens!I3985+Sens!I3986</f>
        <v>372.703847752557</v>
      </c>
      <c r="J3988" s="6" t="n">
        <f aca="false">Sens!J3981+Sens!J3984+Sens!J3985+Sens!J3986</f>
        <v>412.677732295696</v>
      </c>
      <c r="K3988" s="6" t="n">
        <f aca="false">Sens!K3981+Sens!K3984+Sens!K3985+Sens!K3986</f>
        <v>443.629349609143</v>
      </c>
    </row>
    <row r="3989" customFormat="false" ht="17.15" hidden="false" customHeight="false" outlineLevel="0" collapsed="false">
      <c r="A3989" s="0" t="s">
        <v>1108</v>
      </c>
      <c r="B3989" s="0" t="s">
        <v>98</v>
      </c>
      <c r="F3989" s="6" t="n">
        <f aca="false">Sens!F3897</f>
        <v>204.898187805744</v>
      </c>
      <c r="G3989" s="6" t="n">
        <f aca="false">Sens!G3897</f>
        <v>230.333370778858</v>
      </c>
      <c r="H3989" s="6" t="n">
        <f aca="false">Sens!H3897</f>
        <v>236.167204877415</v>
      </c>
      <c r="I3989" s="6" t="n">
        <f aca="false">Sens!I3897</f>
        <v>196.036470187933</v>
      </c>
      <c r="J3989" s="6" t="n">
        <f aca="false">Sens!J3897</f>
        <v>144.960436247008</v>
      </c>
      <c r="K3989" s="6" t="n">
        <f aca="false">Sens!K3897</f>
        <v>123.808925386415</v>
      </c>
    </row>
    <row r="3990" customFormat="false" ht="17.15" hidden="false" customHeight="false" outlineLevel="0" collapsed="false">
      <c r="A3990" s="1" t="s">
        <v>1109</v>
      </c>
      <c r="B3990" s="0" t="s">
        <v>98</v>
      </c>
      <c r="E3990" s="6" t="n">
        <f aca="false">Sens!E3905*cx_azo+Sens!E3912*cx_m365+Sens!E3913*cx_lic+(Sens!E3915+Sens!E3917)*cx_ind+Sens!E3920*cx_srch+(Sens!E3922+Sens!E3924)*cx_dev</f>
        <v>30.1846587067718</v>
      </c>
      <c r="F3990" s="6" t="n">
        <f aca="false">Sens!F3905*cx_azo+Sens!F3912*cx_m365+Sens!F3913*cx_lic+(Sens!F3915+Sens!F3917)*cx_ind+Sens!F3920*cx_srch+(Sens!F3922+Sens!F3924)*cx_dev</f>
        <v>35.589118588551</v>
      </c>
      <c r="G3990" s="6" t="n">
        <f aca="false">Sens!G3905*cx_azo+Sens!G3912*cx_m365+Sens!G3913*cx_lic+(Sens!G3915+Sens!G3917)*cx_ind+Sens!G3920*cx_srch+(Sens!G3922+Sens!G3924)*cx_dev</f>
        <v>41.1739180295605</v>
      </c>
      <c r="H3990" s="6" t="n">
        <f aca="false">Sens!H3905*cx_azo+Sens!H3912*cx_m365+Sens!H3913*cx_lic+(Sens!H3915+Sens!H3917)*cx_ind+Sens!H3920*cx_srch+(Sens!H3922+Sens!H3924)*cx_dev</f>
        <v>46.8440098705897</v>
      </c>
      <c r="I3990" s="6" t="n">
        <f aca="false">Sens!I3905*cx_azo+Sens!I3912*cx_m365+Sens!I3913*cx_lic+(Sens!I3915+Sens!I3917)*cx_ind+Sens!I3920*cx_srch+(Sens!I3922+Sens!I3924)*cx_dev</f>
        <v>52.2418267202451</v>
      </c>
      <c r="J3990" s="6" t="n">
        <f aca="false">Sens!J3905*cx_azo+Sens!J3912*cx_m365+Sens!J3913*cx_lic+(Sens!J3915+Sens!J3917)*cx_ind+Sens!J3920*cx_srch+(Sens!J3922+Sens!J3924)*cx_dev</f>
        <v>57.1338630032654</v>
      </c>
      <c r="K3990" s="6" t="n">
        <f aca="false">Sens!K3905*cx_azo+Sens!K3912*cx_m365+Sens!K3913*cx_lic+(Sens!K3915+Sens!K3917)*cx_ind+Sens!K3920*cx_srch+(Sens!K3922+Sens!K3924)*cx_dev</f>
        <v>61.4288771291993</v>
      </c>
    </row>
    <row r="3991" customFormat="false" ht="17.15" hidden="false" customHeight="false" outlineLevel="0" collapsed="false">
      <c r="A3991" s="0" t="s">
        <v>1110</v>
      </c>
      <c r="B3991" s="0" t="s">
        <v>98</v>
      </c>
      <c r="F3991" s="6" t="n">
        <f aca="false">Sens!F3895</f>
        <v>0</v>
      </c>
      <c r="L3991" s="1" t="s">
        <v>1111</v>
      </c>
    </row>
    <row r="3992" customFormat="false" ht="17.15" hidden="false" customHeight="false" outlineLevel="0" collapsed="false">
      <c r="A3992" s="1" t="s">
        <v>1112</v>
      </c>
      <c r="B3992" s="0" t="s">
        <v>98</v>
      </c>
      <c r="E3992" s="6" t="n">
        <f aca="false">Q!M43</f>
        <v>145.3</v>
      </c>
      <c r="F3992" s="6" t="n">
        <f aca="false">Sens!F3989+Sens!F3990+Sens!F3991</f>
        <v>240.487306394295</v>
      </c>
      <c r="G3992" s="6" t="n">
        <f aca="false">Sens!G3989+Sens!G3990</f>
        <v>271.507288808418</v>
      </c>
      <c r="H3992" s="6" t="n">
        <f aca="false">Sens!H3989+Sens!H3990</f>
        <v>283.011214748005</v>
      </c>
      <c r="I3992" s="6" t="n">
        <f aca="false">Sens!I3989+Sens!I3990</f>
        <v>248.278296908178</v>
      </c>
      <c r="J3992" s="6" t="n">
        <f aca="false">Sens!J3989+Sens!J3990</f>
        <v>202.094299250274</v>
      </c>
      <c r="K3992" s="6" t="n">
        <f aca="false">Sens!K3989+Sens!K3990</f>
        <v>185.237802515615</v>
      </c>
      <c r="L3992" s="1" t="s">
        <v>1113</v>
      </c>
    </row>
    <row r="3993" customFormat="false" ht="15" hidden="false" customHeight="false" outlineLevel="0" collapsed="false">
      <c r="A3993" s="1" t="s">
        <v>1114</v>
      </c>
      <c r="B3993" s="0" t="s">
        <v>98</v>
      </c>
      <c r="E3993" s="6" t="n">
        <f aca="false">fl_liab</f>
        <v>66.594</v>
      </c>
      <c r="F3993" s="6" t="n">
        <f aca="false">Sens!E3993-Sens!F3994</f>
        <v>62.46973</v>
      </c>
      <c r="G3993" s="6" t="n">
        <f aca="false">Sens!F3993-Sens!G3994</f>
        <v>57.98686785</v>
      </c>
      <c r="H3993" s="6" t="n">
        <f aca="false">Sens!G3993-Sens!H3994</f>
        <v>53.92827690325</v>
      </c>
      <c r="I3993" s="6" t="n">
        <f aca="false">Sens!H3993-Sens!I3994</f>
        <v>49.7850493638962</v>
      </c>
      <c r="J3993" s="6" t="n">
        <f aca="false">Sens!I3993-Sens!J3994</f>
        <v>45.4823765852716</v>
      </c>
      <c r="K3993" s="6" t="n">
        <f aca="false">Sens!J3993-Sens!K3994</f>
        <v>40.9860835316088</v>
      </c>
    </row>
    <row r="3994" customFormat="false" ht="15" hidden="false" customHeight="false" outlineLevel="0" collapsed="false">
      <c r="A3994" s="1" t="s">
        <v>1115</v>
      </c>
      <c r="B3994" s="0" t="s">
        <v>98</v>
      </c>
      <c r="F3994" s="6" t="n">
        <f aca="false">fl_pay_27-Sens!E3993*fl_rate</f>
        <v>4.12427</v>
      </c>
      <c r="G3994" s="6" t="n">
        <f aca="false">fl_pay_28-Sens!F3993*fl_rate</f>
        <v>4.48286215</v>
      </c>
      <c r="H3994" s="6" t="n">
        <f aca="false">fl_pay_29-Sens!G3993*fl_rate</f>
        <v>4.05859094675</v>
      </c>
      <c r="I3994" s="6" t="n">
        <f aca="false">fl_pay_30-Sens!H3993*fl_rate</f>
        <v>4.14322753935375</v>
      </c>
      <c r="J3994" s="6" t="n">
        <f aca="false">fl_pay_31-Sens!I3993*fl_rate</f>
        <v>4.30267277862467</v>
      </c>
      <c r="K3994" s="6" t="n">
        <f aca="false">fl_pay_32-Sens!J3993*fl_rate</f>
        <v>4.49629305366278</v>
      </c>
    </row>
    <row r="3995" customFormat="false" ht="17.15" hidden="false" customHeight="false" outlineLevel="0" collapsed="false">
      <c r="A3995" s="1" t="s">
        <v>1116</v>
      </c>
      <c r="B3995" s="0" t="s">
        <v>98</v>
      </c>
      <c r="E3995" s="6" t="n">
        <f aca="false">Q!M35-Q!M36-Q!M44</f>
        <v>63.886</v>
      </c>
      <c r="F3995" s="6" t="n">
        <f aca="false">Sens!F3988-Sens!F3992-Sens!F3994</f>
        <v>-22.4925880277106</v>
      </c>
      <c r="G3995" s="6" t="n">
        <f aca="false">Sens!G3988-Sens!G3992-Sens!G3994</f>
        <v>-8.05990727549088</v>
      </c>
      <c r="H3995" s="6" t="n">
        <f aca="false">Sens!H3988-Sens!H3992-Sens!H3994</f>
        <v>35.5716352157308</v>
      </c>
      <c r="I3995" s="6" t="n">
        <f aca="false">Sens!I3988-Sens!I3992-Sens!I3994</f>
        <v>120.282323305026</v>
      </c>
      <c r="J3995" s="6" t="n">
        <f aca="false">Sens!J3988-Sens!J3992-Sens!J3994</f>
        <v>206.280760266798</v>
      </c>
      <c r="K3995" s="6" t="n">
        <f aca="false">Sens!K3988-Sens!K3992-Sens!K3994</f>
        <v>253.895254039865</v>
      </c>
      <c r="L3995" s="12" t="s">
        <v>1117</v>
      </c>
    </row>
    <row r="3996" customFormat="false" ht="15" hidden="false" customHeight="false" outlineLevel="0" collapsed="false">
      <c r="A3996" s="1" t="s">
        <v>1118</v>
      </c>
      <c r="B3996" s="0" t="s">
        <v>75</v>
      </c>
      <c r="F3996" s="8" t="n">
        <f aca="false">dps_27</f>
        <v>3.85</v>
      </c>
      <c r="G3996" s="8" t="n">
        <f aca="false">Sens!F3996*(1+dps_g)</f>
        <v>4.158</v>
      </c>
      <c r="H3996" s="8" t="n">
        <f aca="false">Sens!G3996*(1+dps_g)</f>
        <v>4.49064</v>
      </c>
      <c r="I3996" s="8" t="n">
        <f aca="false">Sens!H3996*(1+dps_g)</f>
        <v>4.8498912</v>
      </c>
      <c r="J3996" s="8" t="n">
        <f aca="false">Sens!I3996*(1+dps_g)</f>
        <v>5.237882496</v>
      </c>
      <c r="K3996" s="8" t="n">
        <f aca="false">Sens!J3996*(1+dps_g)</f>
        <v>5.65691309568</v>
      </c>
    </row>
    <row r="3997" customFormat="false" ht="17.15" hidden="false" customHeight="false" outlineLevel="0" collapsed="false">
      <c r="A3997" s="1" t="s">
        <v>1119</v>
      </c>
      <c r="B3997" s="0" t="s">
        <v>98</v>
      </c>
      <c r="E3997" s="6" t="n">
        <f aca="false">Q!M41</f>
        <v>26.445</v>
      </c>
      <c r="F3997" s="6" t="n">
        <f aca="false">Sens!F3996*Sens!E4006</f>
        <v>28.59395</v>
      </c>
      <c r="G3997" s="6" t="n">
        <f aca="false">Sens!G3996*Sens!F4006</f>
        <v>31.068576</v>
      </c>
      <c r="H3997" s="6" t="n">
        <f aca="false">Sens!H3996*Sens!G4006</f>
        <v>33.75614088</v>
      </c>
      <c r="I3997" s="6" t="n">
        <f aca="false">Sens!I3996*Sens!H4006</f>
        <v>36.6748772544</v>
      </c>
      <c r="J3997" s="6" t="n">
        <f aca="false">Sens!J3996*Sens!I4006</f>
        <v>39.6767653201446</v>
      </c>
      <c r="K3997" s="6" t="n">
        <f aca="false">Sens!K3996*Sens!J4006</f>
        <v>42.9376608081345</v>
      </c>
      <c r="L3997" s="1" t="s">
        <v>1120</v>
      </c>
    </row>
    <row r="3998" customFormat="false" ht="15" hidden="false" customHeight="false" outlineLevel="0" collapsed="false">
      <c r="A3998" s="1" t="s">
        <v>1121</v>
      </c>
      <c r="B3998" s="0" t="s">
        <v>98</v>
      </c>
      <c r="E3998" s="6" t="n">
        <f aca="false">Sens!E3995-Sens!E3997</f>
        <v>37.441</v>
      </c>
      <c r="F3998" s="6" t="n">
        <f aca="false">Sens!F3995-Sens!F3997</f>
        <v>-51.0865380277106</v>
      </c>
      <c r="G3998" s="6" t="n">
        <f aca="false">Sens!G3995-Sens!G3997</f>
        <v>-39.1284832754909</v>
      </c>
      <c r="H3998" s="6" t="n">
        <f aca="false">Sens!H3995-Sens!H3997</f>
        <v>1.81549433573076</v>
      </c>
      <c r="I3998" s="6" t="n">
        <f aca="false">Sens!I3995-Sens!I3997</f>
        <v>83.6074460506255</v>
      </c>
      <c r="J3998" s="6" t="n">
        <f aca="false">Sens!J3995-Sens!J3997</f>
        <v>166.603994946653</v>
      </c>
      <c r="K3998" s="6" t="n">
        <f aca="false">Sens!K3995-Sens!K3997</f>
        <v>210.957593231731</v>
      </c>
    </row>
    <row r="3999" customFormat="false" ht="15" hidden="false" customHeight="false" outlineLevel="0" collapsed="false">
      <c r="A3999" s="1" t="s">
        <v>1122</v>
      </c>
      <c r="B3999" s="0" t="s">
        <v>98</v>
      </c>
      <c r="F3999" s="6" t="n">
        <f aca="false">debt_mat_27</f>
        <v>9.25</v>
      </c>
      <c r="G3999" s="6" t="n">
        <f aca="false">debt_mat_28</f>
        <v>0</v>
      </c>
      <c r="H3999" s="6" t="n">
        <f aca="false">debt_mat_29</f>
        <v>2.001</v>
      </c>
      <c r="I3999" s="6" t="n">
        <f aca="false">debt_mat_30</f>
        <v>0</v>
      </c>
      <c r="J3999" s="6" t="n">
        <f aca="false">debt_mat_31</f>
        <v>0.5</v>
      </c>
      <c r="K3999" s="6" t="n">
        <f aca="false">debt_mat_32</f>
        <v>0</v>
      </c>
    </row>
    <row r="4000" customFormat="false" ht="15" hidden="false" customHeight="false" outlineLevel="0" collapsed="false">
      <c r="A4000" s="1" t="s">
        <v>1123</v>
      </c>
      <c r="B4000" s="0" t="s">
        <v>98</v>
      </c>
      <c r="E4000" s="6" t="n">
        <f aca="false">Q!M40</f>
        <v>22.271</v>
      </c>
      <c r="F4000" s="6" t="n">
        <f aca="false">MAX(0,MIN(bb_target,Sens!E4002+Sens!F3998-Sens!F3999-min_cash))</f>
        <v>0</v>
      </c>
      <c r="G4000" s="6" t="n">
        <f aca="false">MAX(0,MIN(bb_target,Sens!F4002+Sens!G3998-Sens!G3999-min_cash))</f>
        <v>0</v>
      </c>
      <c r="H4000" s="6" t="n">
        <f aca="false">MAX(0,MIN(bb_target,Sens!G4002+Sens!H3998-Sens!H3999-min_cash))</f>
        <v>0</v>
      </c>
      <c r="I4000" s="6" t="n">
        <f aca="false">MAX(0,MIN(bb_target,Sens!H4002+Sens!I3998-Sens!I3999-min_cash))</f>
        <v>22.271</v>
      </c>
      <c r="J4000" s="6" t="n">
        <f aca="false">MAX(0,MIN(bb_target,Sens!I4002+Sens!J3998-Sens!J3999-min_cash))</f>
        <v>22.271</v>
      </c>
      <c r="K4000" s="6" t="n">
        <f aca="false">MAX(0,MIN(bb_target,Sens!J4002+Sens!K3998-Sens!K3999-min_cash))</f>
        <v>22.271</v>
      </c>
    </row>
    <row r="4001" customFormat="false" ht="15" hidden="false" customHeight="false" outlineLevel="0" collapsed="false">
      <c r="A4001" s="1" t="s">
        <v>1124</v>
      </c>
      <c r="B4001" s="0" t="s">
        <v>98</v>
      </c>
      <c r="F4001" s="6" t="n">
        <f aca="false">MAX(0,min_cash-(Sens!E4002+Sens!F3998-Sens!F3999-Sens!F4000))</f>
        <v>33.4935380277106</v>
      </c>
      <c r="G4001" s="6" t="n">
        <f aca="false">MAX(0,min_cash-(Sens!F4002+Sens!G3998-Sens!G3999-Sens!G4000))</f>
        <v>39.1284832754909</v>
      </c>
      <c r="H4001" s="6" t="n">
        <f aca="false">MAX(0,min_cash-(Sens!G4002+Sens!H3998-Sens!H3999-Sens!H4000))</f>
        <v>0.185505664269236</v>
      </c>
      <c r="I4001" s="6" t="n">
        <f aca="false">MAX(0,min_cash-(Sens!H4002+Sens!I3998-Sens!I3999-Sens!I4000))</f>
        <v>0</v>
      </c>
      <c r="J4001" s="6" t="n">
        <f aca="false">MAX(0,min_cash-(Sens!I4002+Sens!J3998-Sens!J3999-Sens!J4000))</f>
        <v>0</v>
      </c>
      <c r="K4001" s="6" t="n">
        <f aca="false">MAX(0,min_cash-(Sens!J4002+Sens!K3998-Sens!K3999-Sens!K4000))</f>
        <v>0</v>
      </c>
    </row>
    <row r="4002" customFormat="false" ht="15" hidden="false" customHeight="false" outlineLevel="0" collapsed="false">
      <c r="A4002" s="1" t="s">
        <v>1125</v>
      </c>
      <c r="B4002" s="0" t="s">
        <v>98</v>
      </c>
      <c r="E4002" s="6" t="n">
        <f aca="false">cash_open</f>
        <v>76.843</v>
      </c>
      <c r="F4002" s="6" t="n">
        <f aca="false">Sens!E4002+Sens!F3998-Sens!F3999-Sens!F4000+Sens!F4001</f>
        <v>50</v>
      </c>
      <c r="G4002" s="6" t="n">
        <f aca="false">Sens!F4002+Sens!G3998-Sens!G3999-Sens!G4000+Sens!G4001</f>
        <v>50</v>
      </c>
      <c r="H4002" s="6" t="n">
        <f aca="false">Sens!G4002+Sens!H3998-Sens!H3999-Sens!H4000+Sens!H4001</f>
        <v>50</v>
      </c>
      <c r="I4002" s="6" t="n">
        <f aca="false">Sens!H4002+Sens!I3998-Sens!I3999-Sens!I4000+Sens!I4001</f>
        <v>111.336446050626</v>
      </c>
      <c r="J4002" s="6" t="n">
        <f aca="false">Sens!I4002+Sens!J3998-Sens!J3999-Sens!J4000+Sens!J4001</f>
        <v>255.169440997279</v>
      </c>
      <c r="K4002" s="6" t="n">
        <f aca="false">Sens!J4002+Sens!K3998-Sens!K3999-Sens!K4000+Sens!K4001</f>
        <v>443.856034229009</v>
      </c>
    </row>
    <row r="4003" customFormat="false" ht="15" hidden="false" customHeight="false" outlineLevel="0" collapsed="false">
      <c r="A4003" s="1" t="s">
        <v>1126</v>
      </c>
      <c r="B4003" s="0" t="s">
        <v>98</v>
      </c>
      <c r="E4003" s="6" t="n">
        <f aca="false">debt_face</f>
        <v>46.136</v>
      </c>
      <c r="F4003" s="6" t="n">
        <f aca="false">Sens!E4003-Sens!F3999+Sens!F4001</f>
        <v>70.3795380277106</v>
      </c>
      <c r="G4003" s="6" t="n">
        <f aca="false">Sens!F4003-Sens!G3999+Sens!G4001</f>
        <v>109.508021303201</v>
      </c>
      <c r="H4003" s="6" t="n">
        <f aca="false">Sens!G4003-Sens!H3999+Sens!H4001</f>
        <v>107.692526967471</v>
      </c>
      <c r="I4003" s="6" t="n">
        <f aca="false">Sens!H4003-Sens!I3999+Sens!I4001</f>
        <v>107.692526967471</v>
      </c>
      <c r="J4003" s="6" t="n">
        <f aca="false">Sens!I4003-Sens!J3999+Sens!J4001</f>
        <v>107.192526967471</v>
      </c>
      <c r="K4003" s="6" t="n">
        <f aca="false">Sens!J4003-Sens!K3999+Sens!K4001</f>
        <v>107.192526967471</v>
      </c>
    </row>
    <row r="4004" customFormat="false" ht="15" hidden="false" customHeight="false" outlineLevel="0" collapsed="false">
      <c r="A4004" s="1" t="s">
        <v>1127</v>
      </c>
      <c r="B4004" s="0" t="s">
        <v>98</v>
      </c>
      <c r="E4004" s="6" t="n">
        <f aca="false">Sens!E4002-Sens!E4003</f>
        <v>30.707</v>
      </c>
      <c r="F4004" s="6" t="n">
        <f aca="false">Sens!F4002-Sens!F4003</f>
        <v>-20.3795380277106</v>
      </c>
      <c r="G4004" s="6" t="n">
        <f aca="false">Sens!G4002-Sens!G4003</f>
        <v>-59.5080213032015</v>
      </c>
      <c r="H4004" s="6" t="n">
        <f aca="false">Sens!H4002-Sens!H4003</f>
        <v>-57.6925269674707</v>
      </c>
      <c r="I4004" s="6" t="n">
        <f aca="false">Sens!I4002-Sens!I4003</f>
        <v>3.64391908315481</v>
      </c>
      <c r="J4004" s="6" t="n">
        <f aca="false">Sens!J4002-Sens!J4003</f>
        <v>147.976914029808</v>
      </c>
      <c r="K4004" s="6" t="n">
        <f aca="false">Sens!K4002-Sens!K4003</f>
        <v>336.663507261539</v>
      </c>
    </row>
    <row r="4005" customFormat="false" ht="15" hidden="false" customHeight="false" outlineLevel="0" collapsed="false">
      <c r="A4005" s="1" t="s">
        <v>1128</v>
      </c>
      <c r="B4005" s="0" t="s">
        <v>75</v>
      </c>
      <c r="F4005" s="30" t="n">
        <f aca="false">px*(1+bb_g)^(Sens!F3863-base_fy-mid_yr)</f>
        <v>551.84177959629</v>
      </c>
      <c r="G4005" s="30" t="n">
        <f aca="false">px*(1+bb_g)^(Sens!G3863-base_fy-mid_yr)</f>
        <v>595.989121963993</v>
      </c>
      <c r="H4005" s="30" t="n">
        <f aca="false">px*(1+bb_g)^(Sens!H3863-base_fy-mid_yr)</f>
        <v>643.668251721112</v>
      </c>
      <c r="I4005" s="30" t="n">
        <f aca="false">px*(1+bb_g)^(Sens!I3863-base_fy-mid_yr)</f>
        <v>695.161711858801</v>
      </c>
      <c r="J4005" s="30" t="n">
        <f aca="false">px*(1+bb_g)^(Sens!J3863-base_fy-mid_yr)</f>
        <v>750.774648807506</v>
      </c>
      <c r="K4005" s="30" t="n">
        <f aca="false">px*(1+bb_g)^(Sens!K3863-base_fy-mid_yr)</f>
        <v>810.836620712106</v>
      </c>
    </row>
    <row r="4006" customFormat="false" ht="15" hidden="false" customHeight="false" outlineLevel="0" collapsed="false">
      <c r="A4006" s="1" t="s">
        <v>1129</v>
      </c>
      <c r="B4006" s="1" t="s">
        <v>81</v>
      </c>
      <c r="E4006" s="15" t="n">
        <f aca="false">sh_out26</f>
        <v>7.427</v>
      </c>
      <c r="F4006" s="15" t="n">
        <f aca="false">Sens!E4006+sh_iss-Sens!F4000/Sens!F4005</f>
        <v>7.472</v>
      </c>
      <c r="G4006" s="15" t="n">
        <f aca="false">Sens!F4006+sh_iss-Sens!G4000/Sens!G4005</f>
        <v>7.517</v>
      </c>
      <c r="H4006" s="15" t="n">
        <f aca="false">Sens!G4006+sh_iss-Sens!H4000/Sens!H4005</f>
        <v>7.562</v>
      </c>
      <c r="I4006" s="15" t="n">
        <f aca="false">Sens!H4006+sh_iss-Sens!I4000/Sens!I4005</f>
        <v>7.57496285005334</v>
      </c>
      <c r="J4006" s="15" t="n">
        <f aca="false">Sens!I4006+sh_iss-Sens!J4000/Sens!J4005</f>
        <v>7.59029882232494</v>
      </c>
      <c r="K4006" s="15" t="n">
        <f aca="false">Sens!J4006+sh_iss-Sens!K4000/Sens!K4005</f>
        <v>7.60783212998384</v>
      </c>
    </row>
    <row r="4007" customFormat="false" ht="15" hidden="false" customHeight="false" outlineLevel="0" collapsed="false">
      <c r="A4007" s="1" t="s">
        <v>1130</v>
      </c>
      <c r="B4007" s="1" t="s">
        <v>81</v>
      </c>
      <c r="E4007" s="15" t="n">
        <f aca="false">sh_dil26</f>
        <v>7.453</v>
      </c>
      <c r="F4007" s="15" t="n">
        <f aca="false">(Sens!E4006+Sens!F4006)/2+dil_gap</f>
        <v>7.4735</v>
      </c>
      <c r="G4007" s="15" t="n">
        <f aca="false">(Sens!F4006+Sens!G4006)/2+dil_gap</f>
        <v>7.5185</v>
      </c>
      <c r="H4007" s="15" t="n">
        <f aca="false">(Sens!G4006+Sens!H4006)/2+dil_gap</f>
        <v>7.5635</v>
      </c>
      <c r="I4007" s="15" t="n">
        <f aca="false">(Sens!H4006+Sens!I4006)/2+dil_gap</f>
        <v>7.59248142502667</v>
      </c>
      <c r="J4007" s="15" t="n">
        <f aca="false">(Sens!I4006+Sens!J4006)/2+dil_gap</f>
        <v>7.60663083618914</v>
      </c>
      <c r="K4007" s="15" t="n">
        <f aca="false">(Sens!J4006+Sens!K4006)/2+dil_gap</f>
        <v>7.62306547615439</v>
      </c>
    </row>
    <row r="4008" customFormat="false" ht="17.15" hidden="false" customHeight="false" outlineLevel="0" collapsed="false">
      <c r="A4008" s="1" t="s">
        <v>1131</v>
      </c>
      <c r="B4008" s="0" t="s">
        <v>98</v>
      </c>
      <c r="C4008" s="6" t="n">
        <f aca="false">SUM(Sens!F3998:J3998)</f>
        <v>161.811914029808</v>
      </c>
    </row>
    <row r="4009" customFormat="false" ht="15" hidden="false" customHeight="false" outlineLevel="0" collapsed="false">
      <c r="A4009" s="26" t="s">
        <v>1096</v>
      </c>
      <c r="B4009" s="31" t="s">
        <v>98</v>
      </c>
      <c r="C4009" s="27" t="n">
        <f aca="false">Sens!$C$4008-(Sens!F3998+Sens!G3998+Sens!H3998+Sens!I3998+Sens!J3998)</f>
        <v>0</v>
      </c>
      <c r="D4009" s="31"/>
      <c r="E4009" s="31"/>
      <c r="F4009" s="31"/>
      <c r="G4009" s="31"/>
      <c r="H4009" s="31"/>
      <c r="I4009" s="31"/>
      <c r="J4009" s="31"/>
      <c r="K4009" s="31"/>
    </row>
    <row r="4010" customFormat="false" ht="17.15" hidden="false" customHeight="false" outlineLevel="0" collapsed="false">
      <c r="A4010" s="1" t="s">
        <v>1090</v>
      </c>
      <c r="B4010" s="1" t="s">
        <v>1132</v>
      </c>
      <c r="C4010" s="33" t="str">
        <f aca="false">IF(SUM(Sens!F4001:J4001)&gt;0.05,"需要舉債 "&amp;TEXT(SUM(Sens!F4001:J4001),"0.0")&amp;" 十億美元","不需舉債")&amp;"；"&amp;IF(SUM(Sens!F4000:J4000)&lt;COUNT(Sens!F4000:J4000)*bb_target-0.05,"回購較每年 "&amp;TEXT(bb_target,"0.0")&amp;" 的目標少 "&amp;TEXT(COUNT(Sens!F4000:J4000)*bb_target-SUM(Sens!F4000:J4000),"0.0")&amp;" 十億美元（"&amp;TEXT(COUNTIF(Sens!F4000:J4000,"&lt;"&amp;(bb_target-0.05)),"0")&amp;" 年減少）","回購不減")</f>
        <v>需要舉債 72.8 十億美元；回購較每年 22.3 的目標少 66.8 十億美元（3 年減少）</v>
      </c>
    </row>
    <row r="4011" customFormat="false" ht="17.15" hidden="false" customHeight="false" outlineLevel="0" collapsed="false">
      <c r="A4011" s="3" t="s">
        <v>1579</v>
      </c>
    </row>
    <row r="4012" customFormat="false" ht="15" hidden="false" customHeight="false" outlineLevel="0" collapsed="false">
      <c r="A4012" s="4" t="s">
        <v>43</v>
      </c>
      <c r="B4012" s="4" t="s">
        <v>65</v>
      </c>
      <c r="C4012" s="23" t="s">
        <v>938</v>
      </c>
      <c r="D4012" s="23" t="s">
        <v>939</v>
      </c>
      <c r="E4012" s="23" t="s">
        <v>940</v>
      </c>
      <c r="F4012" s="23" t="s">
        <v>941</v>
      </c>
      <c r="G4012" s="23" t="s">
        <v>942</v>
      </c>
      <c r="H4012" s="23" t="s">
        <v>943</v>
      </c>
      <c r="I4012" s="23" t="s">
        <v>944</v>
      </c>
      <c r="J4012" s="23" t="s">
        <v>945</v>
      </c>
      <c r="K4012" s="23" t="s">
        <v>946</v>
      </c>
      <c r="L4012" s="4" t="s">
        <v>47</v>
      </c>
    </row>
    <row r="4013" customFormat="false" ht="17.15" hidden="false" customHeight="false" outlineLevel="0" collapsed="false">
      <c r="A4013" s="1" t="s">
        <v>1212</v>
      </c>
      <c r="B4013" s="1" t="s">
        <v>279</v>
      </c>
      <c r="F4013" s="8" t="n">
        <f aca="false">(1-v_off)*mid_yr</f>
        <v>0.373972602739726</v>
      </c>
      <c r="G4013" s="8" t="n">
        <f aca="false">Sens!G3863-base_fy-mid_yr-v_off</f>
        <v>1.24794520547945</v>
      </c>
      <c r="H4013" s="8" t="n">
        <f aca="false">Sens!H3863-base_fy-mid_yr-v_off</f>
        <v>2.24794520547945</v>
      </c>
      <c r="I4013" s="8" t="n">
        <f aca="false">Sens!I3863-base_fy-mid_yr-v_off</f>
        <v>3.24794520547945</v>
      </c>
      <c r="J4013" s="8" t="n">
        <f aca="false">Sens!J3863-base_fy-mid_yr-v_off</f>
        <v>4.24794520547945</v>
      </c>
      <c r="K4013" s="8" t="n">
        <f aca="false">Sens!K3863-base_fy-mid_yr-v_off</f>
        <v>5.24794520547945</v>
      </c>
      <c r="L4013" s="12" t="s">
        <v>1213</v>
      </c>
    </row>
    <row r="4014" customFormat="false" ht="15" hidden="false" customHeight="false" outlineLevel="0" collapsed="false">
      <c r="A4014" s="1" t="s">
        <v>1214</v>
      </c>
      <c r="B4014" s="1" t="s">
        <v>279</v>
      </c>
      <c r="F4014" s="8" t="n">
        <f aca="false">Sens!F3863-base_fy-v_off</f>
        <v>0.747945205479452</v>
      </c>
      <c r="G4014" s="8" t="n">
        <f aca="false">Sens!G3863-base_fy-v_off</f>
        <v>1.74794520547945</v>
      </c>
      <c r="H4014" s="8" t="n">
        <f aca="false">Sens!H3863-base_fy-v_off</f>
        <v>2.74794520547945</v>
      </c>
      <c r="I4014" s="8" t="n">
        <f aca="false">Sens!I3863-base_fy-v_off</f>
        <v>3.74794520547945</v>
      </c>
      <c r="J4014" s="8" t="n">
        <f aca="false">Sens!J3863-base_fy-v_off</f>
        <v>4.74794520547945</v>
      </c>
      <c r="K4014" s="8" t="n">
        <f aca="false">Sens!K3863-base_fy-v_off</f>
        <v>5.74794520547945</v>
      </c>
    </row>
    <row r="4015" customFormat="false" ht="15" hidden="false" customHeight="false" outlineLevel="0" collapsed="false">
      <c r="A4015" s="1" t="s">
        <v>1215</v>
      </c>
      <c r="B4015" s="0" t="s">
        <v>229</v>
      </c>
      <c r="F4015" s="15" t="n">
        <f aca="false">1/(1+wacc)^Sens!F4013</f>
        <v>0.964022703286649</v>
      </c>
      <c r="G4015" s="15" t="n">
        <f aca="false">1/(1+wacc)^Sens!G4013</f>
        <v>0.884910302296739</v>
      </c>
      <c r="H4015" s="15" t="n">
        <f aca="false">1/(1+wacc)^Sens!H4013</f>
        <v>0.802322009770358</v>
      </c>
      <c r="I4015" s="15" t="n">
        <f aca="false">1/(1+wacc)^Sens!I4013</f>
        <v>0.727441646561469</v>
      </c>
      <c r="J4015" s="15" t="n">
        <f aca="false">1/(1+wacc)^Sens!J4013</f>
        <v>0.659549834988973</v>
      </c>
      <c r="K4015" s="15" t="n">
        <f aca="false">1/(1+wacc)^Sens!K4013</f>
        <v>0.597994336576966</v>
      </c>
    </row>
    <row r="4016" customFormat="false" ht="17.15" hidden="false" customHeight="false" outlineLevel="0" collapsed="false">
      <c r="A4016" s="1" t="s">
        <v>1216</v>
      </c>
      <c r="B4016" s="0" t="s">
        <v>98</v>
      </c>
      <c r="F4016" s="6" t="n">
        <f aca="false">Q!$I$35-Q!$I$39-Q!$I$43</f>
        <v>9.666</v>
      </c>
      <c r="L4016" s="12" t="s">
        <v>1217</v>
      </c>
    </row>
    <row r="4017" customFormat="false" ht="17.15" hidden="false" customHeight="false" outlineLevel="0" collapsed="false">
      <c r="A4017" s="1" t="s">
        <v>1218</v>
      </c>
      <c r="B4017" s="0" t="s">
        <v>98</v>
      </c>
      <c r="F4017" s="6" t="n">
        <f aca="false">Sens!F3988-Sens!F3985-Sens!F3992+Sens!F3970*(1-tax_f)*(1-v_off)-Sens!F4016</f>
        <v>-36.0720086467064</v>
      </c>
      <c r="G4017" s="6" t="n">
        <f aca="false">Sens!G3988-Sens!G3985-Sens!G3992+Sens!G3970*(1-tax_f)</f>
        <v>3.24036697394033</v>
      </c>
      <c r="H4017" s="6" t="n">
        <f aca="false">Sens!H3988-Sens!H3985-Sens!H3992+Sens!H3970*(1-tax_f)</f>
        <v>60.1672854519153</v>
      </c>
      <c r="I4017" s="6" t="n">
        <f aca="false">Sens!I3988-Sens!I3985-Sens!I3992+Sens!I3970*(1-tax_f)</f>
        <v>157.202175175438</v>
      </c>
      <c r="J4017" s="6" t="n">
        <f aca="false">Sens!J3988-Sens!J3985-Sens!J3992+Sens!J3970*(1-tax_f)</f>
        <v>251.474217698853</v>
      </c>
      <c r="K4017" s="6" t="n">
        <f aca="false">Sens!K3988-Sens!K3985-Sens!K3992+Sens!K3970*(1-tax_f)</f>
        <v>303.045139931088</v>
      </c>
      <c r="L4017" s="1" t="s">
        <v>1219</v>
      </c>
    </row>
    <row r="4018" customFormat="false" ht="15" hidden="false" customHeight="false" outlineLevel="0" collapsed="false">
      <c r="A4018" s="1" t="s">
        <v>1220</v>
      </c>
      <c r="B4018" s="0" t="s">
        <v>98</v>
      </c>
      <c r="F4018" s="6" t="n">
        <f aca="false">Sens!F4017*Sens!F4015</f>
        <v>-34.7742352885772</v>
      </c>
      <c r="G4018" s="6" t="n">
        <f aca="false">Sens!G4017*Sens!G4015</f>
        <v>2.8674341184619</v>
      </c>
      <c r="H4018" s="6" t="n">
        <f aca="false">Sens!H4017*Sens!H4015</f>
        <v>48.2735373862075</v>
      </c>
      <c r="I4018" s="6" t="n">
        <f aca="false">Sens!I4017*Sens!I4015</f>
        <v>114.355409152665</v>
      </c>
      <c r="J4018" s="6" t="n">
        <f aca="false">Sens!J4017*Sens!J4015</f>
        <v>165.85977878726</v>
      </c>
      <c r="K4018" s="6" t="n">
        <f aca="false">Sens!K4017*Sens!K4015</f>
        <v>181.219277405964</v>
      </c>
    </row>
    <row r="4019" customFormat="false" ht="17.15" hidden="false" customHeight="false" outlineLevel="0" collapsed="false">
      <c r="A4019" s="1" t="s">
        <v>1221</v>
      </c>
      <c r="B4019" s="0" t="s">
        <v>98</v>
      </c>
      <c r="C4019" s="6" t="n">
        <f aca="false">SUM(Sens!F4018:K4018)</f>
        <v>477.801201561981</v>
      </c>
    </row>
    <row r="4020" customFormat="false" ht="17.15" hidden="false" customHeight="false" outlineLevel="0" collapsed="false">
      <c r="A4020" s="1" t="s">
        <v>1222</v>
      </c>
      <c r="B4020" s="0" t="s">
        <v>98</v>
      </c>
      <c r="C4020" s="6" t="n">
        <f aca="false">Sens!K3956*(1+g_tv)*(1-tax_f)</f>
        <v>295.982929311833</v>
      </c>
    </row>
    <row r="4021" customFormat="false" ht="17.15" hidden="false" customHeight="false" outlineLevel="0" collapsed="false">
      <c r="A4021" s="1" t="s">
        <v>1223</v>
      </c>
      <c r="B4021" s="0" t="s">
        <v>98</v>
      </c>
      <c r="C4021" s="6" t="n">
        <f aca="false">Sens!$C$4020*(1-g_tv/(wacc+ronic_prem))</f>
        <v>209.721204518092</v>
      </c>
    </row>
    <row r="4022" customFormat="false" ht="17.15" hidden="false" customHeight="false" outlineLevel="0" collapsed="false">
      <c r="A4022" s="1" t="s">
        <v>1224</v>
      </c>
      <c r="B4022" s="0" t="s">
        <v>98</v>
      </c>
      <c r="C4022" s="6" t="n">
        <f aca="false">Sens!$C$4021/(wacc-g_tv)</f>
        <v>2875.39082645802</v>
      </c>
    </row>
    <row r="4023" customFormat="false" ht="15" hidden="false" customHeight="false" outlineLevel="0" collapsed="false">
      <c r="A4023" s="1" t="s">
        <v>1225</v>
      </c>
      <c r="B4023" s="0" t="s">
        <v>98</v>
      </c>
      <c r="C4023" s="6" t="n">
        <f aca="false">Sens!$C$4022/(1+wacc)^Sens!K4014</f>
        <v>1637.26388139132</v>
      </c>
    </row>
    <row r="4024" customFormat="false" ht="17.15" hidden="false" customHeight="false" outlineLevel="0" collapsed="false">
      <c r="A4024" s="0" t="s">
        <v>1226</v>
      </c>
      <c r="B4024" s="0" t="s">
        <v>98</v>
      </c>
      <c r="C4024" s="6" t="n">
        <f aca="false">Sens!$C$4019+Sens!$C$4023</f>
        <v>2115.0650829533</v>
      </c>
    </row>
    <row r="4025" customFormat="false" ht="15" hidden="false" customHeight="false" outlineLevel="0" collapsed="false">
      <c r="A4025" s="1" t="s">
        <v>1141</v>
      </c>
      <c r="B4025" s="0" t="s">
        <v>168</v>
      </c>
      <c r="C4025" s="7" t="n">
        <f aca="false">Sens!$C$4023/Sens!$C$4024</f>
        <v>0.774096217930647</v>
      </c>
    </row>
    <row r="4026" customFormat="false" ht="17.15" hidden="false" customHeight="false" outlineLevel="0" collapsed="false">
      <c r="A4026" s="1" t="s">
        <v>1227</v>
      </c>
      <c r="B4026" s="0" t="s">
        <v>98</v>
      </c>
      <c r="C4026" s="6" t="n">
        <f aca="false">Sens!$C$4024+cash_val-debt_val-fl_val+oai_v</f>
        <v>2230.9160829533</v>
      </c>
    </row>
    <row r="4027" customFormat="false" ht="17.15" hidden="false" customHeight="false" outlineLevel="0" collapsed="false">
      <c r="A4027" s="0" t="s">
        <v>1149</v>
      </c>
      <c r="B4027" s="0" t="s">
        <v>75</v>
      </c>
      <c r="C4027" s="5" t="n">
        <f aca="false">Sens!$C$4026/shd_val</f>
        <v>299.612689088544</v>
      </c>
    </row>
    <row r="4028" customFormat="false" ht="15" hidden="false" customHeight="false" outlineLevel="0" collapsed="false">
      <c r="A4028" s="1" t="s">
        <v>1228</v>
      </c>
      <c r="B4028" s="0" t="s">
        <v>75</v>
      </c>
      <c r="C4028" s="8" t="n">
        <f aca="false">div_rem27+Sens!G3996*roll_div_q/q_per_yr</f>
        <v>3.9795</v>
      </c>
    </row>
    <row r="4029" customFormat="false" ht="17.15" hidden="false" customHeight="false" outlineLevel="0" collapsed="false">
      <c r="A4029" s="0" t="s">
        <v>1229</v>
      </c>
      <c r="B4029" s="0" t="s">
        <v>75</v>
      </c>
      <c r="C4029" s="5" t="n">
        <f aca="false">Sens!$C$4027*(1+wacc)^t_roll-Sens!$C$4028</f>
        <v>329.056725528953</v>
      </c>
    </row>
    <row r="4030" customFormat="false" ht="17.15" hidden="false" customHeight="false" outlineLevel="0" collapsed="false">
      <c r="A4030" s="1" t="s">
        <v>1230</v>
      </c>
      <c r="B4030" s="0" t="s">
        <v>168</v>
      </c>
      <c r="F4030" s="7" t="n">
        <f aca="false">Sens!F3982/(Sens!F3927-Sens!F3882)</f>
        <v>0.0687308509459305</v>
      </c>
      <c r="G4030" s="7" t="n">
        <f aca="false">Sens!G3982/(Sens!G3927-Sens!G3882)</f>
        <v>0.0659078101522477</v>
      </c>
      <c r="H4030" s="7" t="n">
        <f aca="false">Sens!H3982/(Sens!H3927-Sens!H3882)</f>
        <v>0.0644330853847076</v>
      </c>
      <c r="I4030" s="7" t="n">
        <f aca="false">Sens!I3982/(Sens!I3927-Sens!I3882)</f>
        <v>0.0641852181008092</v>
      </c>
      <c r="J4030" s="7" t="n">
        <f aca="false">Sens!J3982/(Sens!J3927-Sens!J3882)</f>
        <v>0.0648808499518133</v>
      </c>
      <c r="K4030" s="7" t="n">
        <f aca="false">Sens!K3982/(Sens!K3927-Sens!K3882)</f>
        <v>0.0661716978346346</v>
      </c>
    </row>
    <row r="4031" customFormat="false" ht="17.15" hidden="false" customHeight="false" outlineLevel="0" collapsed="false">
      <c r="A4031" s="0" t="s">
        <v>1231</v>
      </c>
      <c r="B4031" s="0" t="s">
        <v>98</v>
      </c>
      <c r="F4031" s="6" t="n">
        <f aca="false">Sens!F3912*(al_m365+Sens!F4030+sbc_r)</f>
        <v>83.7337584336721</v>
      </c>
      <c r="G4031" s="6" t="n">
        <f aca="false">Sens!G3912*(al_m365+Sens!G4030+sbc_r)</f>
        <v>96.1403081448856</v>
      </c>
      <c r="H4031" s="6" t="n">
        <f aca="false">Sens!H3912*(al_m365+Sens!H4030+sbc_r)</f>
        <v>108.710282369816</v>
      </c>
      <c r="I4031" s="6" t="n">
        <f aca="false">Sens!I3912*(al_m365+Sens!I4030+sbc_r)</f>
        <v>120.263110822957</v>
      </c>
      <c r="J4031" s="6" t="n">
        <f aca="false">Sens!J3912*(al_m365+Sens!J4030+sbc_r)</f>
        <v>130.610972628954</v>
      </c>
      <c r="K4031" s="6" t="n">
        <f aca="false">Sens!K3912*(al_m365+Sens!K4030+sbc_r)</f>
        <v>140.569951194352</v>
      </c>
      <c r="L4031" s="12" t="s">
        <v>1232</v>
      </c>
    </row>
    <row r="4032" customFormat="false" ht="17.15" hidden="false" customHeight="false" outlineLevel="0" collapsed="false">
      <c r="A4032" s="0" t="s">
        <v>1233</v>
      </c>
      <c r="B4032" s="0" t="s">
        <v>98</v>
      </c>
      <c r="F4032" s="6" t="n">
        <f aca="false">Sens!F3913*(al_lic+Sens!F4030+sbc_r)</f>
        <v>32.862037372806</v>
      </c>
      <c r="G4032" s="6" t="n">
        <f aca="false">Sens!G3913*(al_lic+Sens!G4030+sbc_r)</f>
        <v>34.1406055463746</v>
      </c>
      <c r="H4032" s="6" t="n">
        <f aca="false">Sens!H3913*(al_lic+Sens!H4030+sbc_r)</f>
        <v>35.3343798492183</v>
      </c>
      <c r="I4032" s="6" t="n">
        <f aca="false">Sens!I3913*(al_lic+Sens!I4030+sbc_r)</f>
        <v>36.4252258588629</v>
      </c>
      <c r="J4032" s="6" t="n">
        <f aca="false">Sens!J3913*(al_lic+Sens!J4030+sbc_r)</f>
        <v>37.3877207935337</v>
      </c>
      <c r="K4032" s="6" t="n">
        <f aca="false">Sens!K3913*(al_lic+Sens!K4030+sbc_r)</f>
        <v>38.1932356334119</v>
      </c>
    </row>
    <row r="4033" customFormat="false" ht="17.15" hidden="false" customHeight="false" outlineLevel="0" collapsed="false">
      <c r="A4033" s="0" t="s">
        <v>1234</v>
      </c>
      <c r="B4033" s="0" t="s">
        <v>98</v>
      </c>
      <c r="F4033" s="6" t="n">
        <f aca="false">Sens!F3915*(al_ind+Sens!F4030+sbc_r)</f>
        <v>9.06290044589373</v>
      </c>
      <c r="G4033" s="6" t="n">
        <f aca="false">Sens!G3915*(al_ind+Sens!G4030+sbc_r)</f>
        <v>9.83800706545839</v>
      </c>
      <c r="H4033" s="6" t="n">
        <f aca="false">Sens!H3915*(al_ind+Sens!H4030+sbc_r)</f>
        <v>10.6581704555255</v>
      </c>
      <c r="I4033" s="6" t="n">
        <f aca="false">Sens!I3915*(al_ind+Sens!I4030+sbc_r)</f>
        <v>11.5203608264463</v>
      </c>
      <c r="J4033" s="6" t="n">
        <f aca="false">Sens!J3915*(al_ind+Sens!J4030+sbc_r)</f>
        <v>12.4148540110411</v>
      </c>
      <c r="K4033" s="6" t="n">
        <f aca="false">Sens!K3915*(al_ind+Sens!K4030+sbc_r)</f>
        <v>13.3265212956797</v>
      </c>
    </row>
    <row r="4034" customFormat="false" ht="17.15" hidden="false" customHeight="false" outlineLevel="0" collapsed="false">
      <c r="A4034" s="0" t="s">
        <v>1235</v>
      </c>
      <c r="B4034" s="0" t="s">
        <v>98</v>
      </c>
      <c r="F4034" s="6" t="n">
        <f aca="false">Sens!F3917*(al_fro+Sens!F4030+sbc_r)</f>
        <v>3.55500365137107</v>
      </c>
      <c r="G4034" s="6" t="n">
        <f aca="false">Sens!G3917*(al_fro+Sens!G4030+sbc_r)</f>
        <v>3.76430983527996</v>
      </c>
      <c r="H4034" s="6" t="n">
        <f aca="false">Sens!H3917*(al_fro+Sens!H4030+sbc_r)</f>
        <v>4.00264323707355</v>
      </c>
      <c r="I4034" s="6" t="n">
        <f aca="false">Sens!I3917*(al_fro+Sens!I4030+sbc_r)</f>
        <v>4.27276331983757</v>
      </c>
      <c r="J4034" s="6" t="n">
        <f aca="false">Sens!J3917*(al_fro+Sens!J4030+sbc_r)</f>
        <v>4.57580524639827</v>
      </c>
      <c r="K4034" s="6" t="n">
        <f aca="false">Sens!K3917*(al_fro+Sens!K4030+sbc_r)</f>
        <v>4.91182304735744</v>
      </c>
    </row>
    <row r="4035" customFormat="false" ht="17.15" hidden="false" customHeight="false" outlineLevel="0" collapsed="false">
      <c r="A4035" s="0" t="s">
        <v>1236</v>
      </c>
      <c r="B4035" s="0" t="s">
        <v>98</v>
      </c>
      <c r="F4035" s="6" t="n">
        <f aca="false">Sens!F3920*(al_srch+Sens!F4030+sbc_r)</f>
        <v>11.1921571977856</v>
      </c>
      <c r="G4035" s="6" t="n">
        <f aca="false">Sens!G3920*(al_srch+Sens!G4030+sbc_r)</f>
        <v>12.2640030040547</v>
      </c>
      <c r="H4035" s="6" t="n">
        <f aca="false">Sens!H3920*(al_srch+Sens!H4030+sbc_r)</f>
        <v>13.3809357055756</v>
      </c>
      <c r="I4035" s="6" t="n">
        <f aca="false">Sens!I3920*(al_srch+Sens!I4030+sbc_r)</f>
        <v>14.5323468235944</v>
      </c>
      <c r="J4035" s="6" t="n">
        <f aca="false">Sens!J3920*(al_srch+Sens!J4030+sbc_r)</f>
        <v>15.6982410401095</v>
      </c>
      <c r="K4035" s="6" t="n">
        <f aca="false">Sens!K3920*(al_srch+Sens!K4030+sbc_r)</f>
        <v>16.8510192177596</v>
      </c>
    </row>
    <row r="4036" customFormat="false" ht="17.15" hidden="false" customHeight="false" outlineLevel="0" collapsed="false">
      <c r="A4036" s="0" t="s">
        <v>1237</v>
      </c>
      <c r="B4036" s="0" t="s">
        <v>98</v>
      </c>
      <c r="F4036" s="6" t="n">
        <f aca="false">Sens!F3888-Sens!F3889+Sens!F3970</f>
        <v>46.8474474187728</v>
      </c>
      <c r="G4036" s="6" t="n">
        <f aca="false">Sens!G3888-Sens!G3889+Sens!G3970</f>
        <v>94.5924995244481</v>
      </c>
      <c r="H4036" s="6" t="n">
        <f aca="false">Sens!H3888-Sens!H3889+Sens!H3970</f>
        <v>145.512040869763</v>
      </c>
      <c r="I4036" s="6" t="n">
        <f aca="false">Sens!I3888-Sens!I3889+Sens!I3970</f>
        <v>190.599221923287</v>
      </c>
      <c r="J4036" s="6" t="n">
        <f aca="false">Sens!J3888-Sens!J3889+Sens!J3970</f>
        <v>221.878633276434</v>
      </c>
      <c r="K4036" s="6" t="n">
        <f aca="false">Sens!K3888-Sens!K3889+Sens!K3970</f>
        <v>240.288866222529</v>
      </c>
    </row>
    <row r="4037" customFormat="false" ht="17.15" hidden="false" customHeight="false" outlineLevel="0" collapsed="false">
      <c r="A4037" s="0" t="s">
        <v>1238</v>
      </c>
      <c r="B4037" s="0" t="s">
        <v>98</v>
      </c>
      <c r="F4037" s="6" t="n">
        <f aca="false">Sens!F3949+Sens!F3970+Sens!F3900+Sens!F4030*(Sens!F3919-Sens!F3882)+sbc_r*Sens!F3919</f>
        <v>242.488929937506</v>
      </c>
      <c r="G4037" s="6" t="n">
        <f aca="false">Sens!G3949+Sens!G3970+Sens!G3900+Sens!G4030*(Sens!G3919-Sens!G3882)+sbc_r*Sens!G3919</f>
        <v>312.805005269674</v>
      </c>
      <c r="H4037" s="6" t="n">
        <f aca="false">Sens!H3949+Sens!H3970+Sens!H3900+Sens!H4030*(Sens!H3919-Sens!H3882)+sbc_r*Sens!H3919</f>
        <v>391.656151600312</v>
      </c>
      <c r="I4037" s="6" t="n">
        <f aca="false">Sens!I3949+Sens!I3970+Sens!I3900+Sens!I4030*(Sens!I3919-Sens!I3882)+sbc_r*Sens!I3919</f>
        <v>463.251802924465</v>
      </c>
      <c r="J4037" s="6" t="n">
        <f aca="false">Sens!J3949+Sens!J3970+Sens!J3900+Sens!J4030*(Sens!J3919-Sens!J3882)+sbc_r*Sens!J3919</f>
        <v>518.507866421855</v>
      </c>
      <c r="K4037" s="6" t="n">
        <f aca="false">Sens!K3949+Sens!K3970+Sens!K3900+Sens!K4030*(Sens!K3919-Sens!K3882)+sbc_r*Sens!K3919</f>
        <v>558.436235448787</v>
      </c>
    </row>
    <row r="4038" customFormat="false" ht="17.15" hidden="false" customHeight="false" outlineLevel="0" collapsed="false">
      <c r="A4038" s="0" t="s">
        <v>1239</v>
      </c>
      <c r="B4038" s="0" t="s">
        <v>98</v>
      </c>
      <c r="F4038" s="6" t="n">
        <f aca="false">Sens!F4037-Sens!F4031-Sens!F4032-Sens!F4033-Sens!F4034-Sens!F4036</f>
        <v>66.4277826149907</v>
      </c>
      <c r="G4038" s="6" t="n">
        <f aca="false">Sens!G4037-Sens!G4031-Sens!G4032-Sens!G4033-Sens!G4034-Sens!G4036</f>
        <v>74.3292751532277</v>
      </c>
      <c r="H4038" s="6" t="n">
        <f aca="false">Sens!H4037-Sens!H4031-Sens!H4032-Sens!H4033-Sens!H4034-Sens!H4036</f>
        <v>87.4386348189159</v>
      </c>
      <c r="I4038" s="6" t="n">
        <f aca="false">Sens!I4037-Sens!I4031-Sens!I4032-Sens!I4033-Sens!I4034-Sens!I4036</f>
        <v>100.171120173074</v>
      </c>
      <c r="J4038" s="6" t="n">
        <f aca="false">Sens!J4037-Sens!J4031-Sens!J4032-Sens!J4033-Sens!J4034-Sens!J4036</f>
        <v>111.639880465494</v>
      </c>
      <c r="K4038" s="6" t="n">
        <f aca="false">Sens!K4037-Sens!K4031-Sens!K4032-Sens!K4033-Sens!K4034-Sens!K4036</f>
        <v>121.145838055457</v>
      </c>
    </row>
    <row r="4039" customFormat="false" ht="17.15" hidden="false" customHeight="false" outlineLevel="0" collapsed="false">
      <c r="A4039" s="0" t="s">
        <v>1240</v>
      </c>
      <c r="B4039" s="0" t="s">
        <v>98</v>
      </c>
      <c r="F4039" s="6" t="n">
        <f aca="false">Sens!F3951+Sens!F4030*Sens!F3926+sbc_r*Sens!F3926</f>
        <v>26.6407924302116</v>
      </c>
      <c r="G4039" s="6" t="n">
        <f aca="false">Sens!G3951+Sens!G4030*Sens!G3926+sbc_r*Sens!G3926</f>
        <v>26.4770203881992</v>
      </c>
      <c r="H4039" s="6" t="n">
        <f aca="false">Sens!H3951+Sens!H4030*Sens!H3926+sbc_r*Sens!H3926</f>
        <v>27.3497836501316</v>
      </c>
      <c r="I4039" s="6" t="n">
        <f aca="false">Sens!I3951+Sens!I4030*Sens!I3926+sbc_r*Sens!I3926</f>
        <v>28.4587218443943</v>
      </c>
      <c r="J4039" s="6" t="n">
        <f aca="false">Sens!J3951+Sens!J4030*Sens!J3926+sbc_r*Sens!J3926</f>
        <v>29.7686147196598</v>
      </c>
      <c r="K4039" s="6" t="n">
        <f aca="false">Sens!K3951+Sens!K4030*Sens!K3926+sbc_r*Sens!K3926</f>
        <v>31.2423827217089</v>
      </c>
    </row>
    <row r="4040" customFormat="false" ht="17.15" hidden="false" customHeight="false" outlineLevel="0" collapsed="false">
      <c r="A4040" s="0" t="s">
        <v>1241</v>
      </c>
      <c r="B4040" s="0" t="s">
        <v>98</v>
      </c>
      <c r="F4040" s="6" t="n">
        <f aca="false">(Sens!F4039-Sens!F4035)*Sens!F3922/(Sens!F3922+Sens!F3924)</f>
        <v>8.72516545995189</v>
      </c>
      <c r="G4040" s="6" t="n">
        <f aca="false">(Sens!G4039-Sens!G4035)*Sens!G3922/(Sens!G3922+Sens!G3924)</f>
        <v>7.88934679624862</v>
      </c>
      <c r="H4040" s="6" t="n">
        <f aca="false">(Sens!H4039-Sens!H4035)*Sens!H3922/(Sens!H3922+Sens!H3924)</f>
        <v>7.65280424766898</v>
      </c>
      <c r="I4040" s="6" t="n">
        <f aca="false">(Sens!I4039-Sens!I4035)*Sens!I3922/(Sens!I3922+Sens!I3924)</f>
        <v>7.56294149506755</v>
      </c>
      <c r="J4040" s="6" t="n">
        <f aca="false">(Sens!J4039-Sens!J4035)*Sens!J3922/(Sens!J3922+Sens!J3924)</f>
        <v>7.60780433592596</v>
      </c>
      <c r="K4040" s="6" t="n">
        <f aca="false">(Sens!K4039-Sens!K4035)*Sens!K3922/(Sens!K3922+Sens!K3924)</f>
        <v>7.78136246831587</v>
      </c>
    </row>
    <row r="4041" customFormat="false" ht="17.15" hidden="false" customHeight="false" outlineLevel="0" collapsed="false">
      <c r="A4041" s="0" t="s">
        <v>1242</v>
      </c>
      <c r="B4041" s="0" t="s">
        <v>98</v>
      </c>
      <c r="F4041" s="6" t="n">
        <f aca="false">Sens!F4039-Sens!F4035-Sens!F4040</f>
        <v>6.72346977247411</v>
      </c>
      <c r="G4041" s="6" t="n">
        <f aca="false">Sens!G4039-Sens!G4035-Sens!G4040</f>
        <v>6.32367058789584</v>
      </c>
      <c r="H4041" s="6" t="n">
        <f aca="false">Sens!H4039-Sens!H4035-Sens!H4040</f>
        <v>6.31604369688702</v>
      </c>
      <c r="I4041" s="6" t="n">
        <f aca="false">Sens!I4039-Sens!I4035-Sens!I4040</f>
        <v>6.36343352573236</v>
      </c>
      <c r="J4041" s="6" t="n">
        <f aca="false">Sens!J4039-Sens!J4035-Sens!J4040</f>
        <v>6.46256934362432</v>
      </c>
      <c r="K4041" s="6" t="n">
        <f aca="false">Sens!K4039-Sens!K4035-Sens!K4040</f>
        <v>6.61000103563341</v>
      </c>
    </row>
    <row r="4042" customFormat="false" ht="17.15" hidden="false" customHeight="false" outlineLevel="0" collapsed="false">
      <c r="A4042" s="0" t="s">
        <v>1243</v>
      </c>
      <c r="B4042" s="0" t="s">
        <v>98</v>
      </c>
      <c r="F4042" s="6" t="n">
        <f aca="false">Sens!F4036-tax_f*(Sens!F4036-Sens!F3900)-Sens!F3897</f>
        <v>-159.977567711668</v>
      </c>
      <c r="G4042" s="6" t="n">
        <f aca="false">Sens!G4036-tax_f*(Sens!G4036-Sens!G3900)-Sens!G3897</f>
        <v>-140.899665049241</v>
      </c>
      <c r="H4042" s="6" t="n">
        <f aca="false">Sens!H4036-tax_f*(Sens!H4036-Sens!H3900)-Sens!H3897</f>
        <v>-99.1901220693512</v>
      </c>
      <c r="I4042" s="6" t="n">
        <f aca="false">Sens!I4036-tax_f*(Sens!I4036-Sens!I3900)-Sens!I3897</f>
        <v>-16.9871720480991</v>
      </c>
      <c r="J4042" s="6" t="n">
        <f aca="false">Sens!J4036-tax_f*(Sens!J4036-Sens!J3900)-Sens!J3897</f>
        <v>63.3045429458691</v>
      </c>
      <c r="K4042" s="6" t="n">
        <f aca="false">Sens!K4036-tax_f*(Sens!K4036-Sens!K3900)-Sens!K3897</f>
        <v>101.688830516598</v>
      </c>
    </row>
    <row r="4043" customFormat="false" ht="17.15" hidden="false" customHeight="false" outlineLevel="0" collapsed="false">
      <c r="A4043" s="0" t="s">
        <v>1244</v>
      </c>
      <c r="B4043" s="0" t="s">
        <v>98</v>
      </c>
      <c r="G4043" s="6" t="n">
        <f aca="false">Sens!G4042/(1+wacc)^(Sens!G4013-Sens!F4014)</f>
        <v>-134.163595369701</v>
      </c>
      <c r="H4043" s="6" t="n">
        <f aca="false">Sens!H4042/(1+wacc)^(Sens!H4013-Sens!F4014)</f>
        <v>-85.6332855292179</v>
      </c>
      <c r="I4043" s="6" t="n">
        <f aca="false">Sens!I4042/(1+wacc)^(Sens!I4013-Sens!F4014)</f>
        <v>-13.2967260967291</v>
      </c>
      <c r="J4043" s="6" t="n">
        <f aca="false">Sens!J4042/(1+wacc)^(Sens!J4013-Sens!F4014)</f>
        <v>44.9270569189509</v>
      </c>
      <c r="K4043" s="6" t="n">
        <f aca="false">Sens!K4042/(1+wacc)^(Sens!K4013-Sens!F4014)</f>
        <v>65.4328444177236</v>
      </c>
      <c r="L4043" s="1" t="s">
        <v>1245</v>
      </c>
    </row>
    <row r="4044" customFormat="false" ht="17.15" hidden="false" customHeight="false" outlineLevel="0" collapsed="false">
      <c r="A4044" s="0" t="s">
        <v>1246</v>
      </c>
      <c r="B4044" s="0" t="s">
        <v>98</v>
      </c>
      <c r="C4044" s="6" t="n">
        <f aca="false">(Sens!K4036-Sens!K3900)*(1-tax_f)*(1+g_tv)*(1-g_tv/(wacc+ronic_prem))/(wacc-g_tv)/(1+wacc)^(Sens!K4014-Sens!F4014)</f>
        <v>362.723326516341</v>
      </c>
    </row>
    <row r="4045" customFormat="false" ht="17.15" hidden="false" customHeight="false" outlineLevel="0" collapsed="false">
      <c r="A4045" s="1" t="s">
        <v>1247</v>
      </c>
      <c r="B4045" s="0" t="s">
        <v>98</v>
      </c>
      <c r="C4045" s="6" t="n">
        <f aca="false">(SUM(Sens!G4043:K4043)+Sens!$C$4044)*(1+wacc)^(t_roll-Sens!F4014)</f>
        <v>247.912404024353</v>
      </c>
      <c r="L4045" s="12" t="s">
        <v>1248</v>
      </c>
    </row>
    <row r="4046" customFormat="false" ht="17.15" hidden="false" customHeight="false" outlineLevel="0" collapsed="false">
      <c r="A4046" s="1" t="s">
        <v>1249</v>
      </c>
      <c r="B4046" s="0" t="s">
        <v>98</v>
      </c>
      <c r="C4046" s="6" t="n">
        <f aca="false">(w_ntm28*Sens!G3888+(1-w_ntm28)*Sens!H3888)*m_ai</f>
        <v>526.914863564549</v>
      </c>
    </row>
    <row r="4047" customFormat="false" ht="17.15" hidden="false" customHeight="false" outlineLevel="0" collapsed="false">
      <c r="A4047" s="1" t="s">
        <v>1250</v>
      </c>
      <c r="B4047" s="0" t="s">
        <v>98</v>
      </c>
      <c r="C4047" s="6" t="n">
        <f aca="false">(w_ntm28*Sens!G4038+(1-w_ntm28)*Sens!H4038)*m_cloud</f>
        <v>1086.79376636987</v>
      </c>
    </row>
    <row r="4048" customFormat="false" ht="17.15" hidden="false" customHeight="false" outlineLevel="0" collapsed="false">
      <c r="A4048" s="1" t="s">
        <v>1251</v>
      </c>
      <c r="B4048" s="0" t="s">
        <v>98</v>
      </c>
      <c r="C4048" s="6" t="n">
        <f aca="false">(w_ntm28*Sens!G4031+(1-w_ntm28)*Sens!H4031)*m_sw</f>
        <v>1082.94734603466</v>
      </c>
    </row>
    <row r="4049" customFormat="false" ht="17.15" hidden="false" customHeight="false" outlineLevel="0" collapsed="false">
      <c r="A4049" s="1" t="s">
        <v>1252</v>
      </c>
      <c r="B4049" s="0" t="s">
        <v>98</v>
      </c>
      <c r="C4049" s="6" t="n">
        <f aca="false">(w_ntm28*Sens!G4032+(1-w_ntm28)*Sens!H4032)*m_sw</f>
        <v>372.957256329573</v>
      </c>
    </row>
    <row r="4050" customFormat="false" ht="17.15" hidden="false" customHeight="false" outlineLevel="0" collapsed="false">
      <c r="A4050" s="1" t="s">
        <v>1253</v>
      </c>
      <c r="B4050" s="0" t="s">
        <v>98</v>
      </c>
      <c r="C4050" s="6" t="n">
        <f aca="false">(w_ntm28*Sens!G4033+(1-w_ntm28)*Sens!H4033)*m_sw</f>
        <v>109.162618097435</v>
      </c>
    </row>
    <row r="4051" customFormat="false" ht="17.15" hidden="false" customHeight="false" outlineLevel="0" collapsed="false">
      <c r="A4051" s="1" t="s">
        <v>1254</v>
      </c>
      <c r="B4051" s="0" t="s">
        <v>98</v>
      </c>
      <c r="C4051" s="6" t="n">
        <f aca="false">(w_ntm28*Sens!G4034+(1-w_ntm28)*Sens!H4034)*m_sw</f>
        <v>41.5007930394468</v>
      </c>
    </row>
    <row r="4052" customFormat="false" ht="17.15" hidden="false" customHeight="false" outlineLevel="0" collapsed="false">
      <c r="A4052" s="1" t="s">
        <v>1255</v>
      </c>
      <c r="B4052" s="0" t="s">
        <v>98</v>
      </c>
      <c r="C4052" s="6" t="n">
        <f aca="false">(w_ntm28*Sens!G4035+(1-w_ntm28)*Sens!H4035)*m_ads</f>
        <v>115.070357310233</v>
      </c>
    </row>
    <row r="4053" customFormat="false" ht="17.15" hidden="false" customHeight="false" outlineLevel="0" collapsed="false">
      <c r="A4053" s="1" t="s">
        <v>1256</v>
      </c>
      <c r="B4053" s="0" t="s">
        <v>98</v>
      </c>
      <c r="C4053" s="6" t="n">
        <f aca="false">(w_ntm28*Sens!G4040+(1-w_ntm28)*Sens!H4040)*m_game</f>
        <v>98.6602476075042</v>
      </c>
    </row>
    <row r="4054" customFormat="false" ht="17.15" hidden="false" customHeight="false" outlineLevel="0" collapsed="false">
      <c r="A4054" s="1" t="s">
        <v>1257</v>
      </c>
      <c r="B4054" s="0" t="s">
        <v>98</v>
      </c>
      <c r="C4054" s="6" t="n">
        <f aca="false">(w_ntm28*Sens!G4041+(1-w_ntm28)*Sens!H4041)*m_pc</f>
        <v>91.4672303012426</v>
      </c>
    </row>
    <row r="4055" customFormat="false" ht="17.15" hidden="false" customHeight="false" outlineLevel="0" collapsed="false">
      <c r="A4055" s="1" t="s">
        <v>1258</v>
      </c>
      <c r="B4055" s="0" t="s">
        <v>98</v>
      </c>
      <c r="C4055" s="6" t="n">
        <f aca="false">Sens!$C$4045+Sens!$C$4047+Sens!$C$4048+Sens!$C$4049+Sens!$C$4050+Sens!$C$4051+Sens!$C$4052+Sens!$C$4053+Sens!$C$4054</f>
        <v>3246.47201911432</v>
      </c>
    </row>
    <row r="4056" customFormat="false" ht="17.15" hidden="false" customHeight="false" outlineLevel="0" collapsed="false">
      <c r="A4056" s="1" t="s">
        <v>1259</v>
      </c>
      <c r="B4056" s="0" t="s">
        <v>98</v>
      </c>
      <c r="C4056" s="6" t="n">
        <f aca="false">(Sens!G4017-Sens!G4042)*t_stub</f>
        <v>47.7834078761779</v>
      </c>
      <c r="L4056" s="1" t="s">
        <v>1260</v>
      </c>
    </row>
    <row r="4057" customFormat="false" ht="17.15" hidden="false" customHeight="false" outlineLevel="0" collapsed="false">
      <c r="A4057" s="1" t="s">
        <v>1169</v>
      </c>
      <c r="B4057" s="0" t="s">
        <v>98</v>
      </c>
      <c r="C4057" s="6" t="n">
        <f aca="false">Sens!F4004+oai_v-Sens!F3993+Sens!$C$4056</f>
        <v>128.518139848467</v>
      </c>
      <c r="L4057" s="1" t="s">
        <v>1261</v>
      </c>
    </row>
    <row r="4058" customFormat="false" ht="17.15" hidden="false" customHeight="false" outlineLevel="0" collapsed="false">
      <c r="A4058" s="1" t="s">
        <v>1262</v>
      </c>
      <c r="B4058" s="0" t="s">
        <v>75</v>
      </c>
      <c r="C4058" s="5" t="n">
        <f aca="false">(Sens!$C$4055+Sens!$C$4057)/(Sens!F4006+dil_gap)-Sens!G3996*roll_div_q/q_per_yr</f>
        <v>449.199315229827</v>
      </c>
      <c r="L4058" s="1" t="s">
        <v>1263</v>
      </c>
    </row>
    <row r="4059" customFormat="false" ht="17.15" hidden="false" customHeight="false" outlineLevel="0" collapsed="false">
      <c r="A4059" s="1" t="s">
        <v>1264</v>
      </c>
      <c r="B4059" s="0" t="s">
        <v>75</v>
      </c>
      <c r="C4059" s="5" t="n">
        <f aca="false">w_dcf*Sens!$C$4029+(1-w_dcf)*Sens!$C$4058</f>
        <v>389.12802037939</v>
      </c>
    </row>
    <row r="4060" customFormat="false" ht="17.15" hidden="false" customHeight="false" outlineLevel="0" collapsed="false">
      <c r="A4060" s="3" t="s">
        <v>1580</v>
      </c>
    </row>
    <row r="4061" customFormat="false" ht="15" hidden="false" customHeight="false" outlineLevel="0" collapsed="false">
      <c r="A4061" s="4" t="s">
        <v>43</v>
      </c>
      <c r="B4061" s="4" t="s">
        <v>65</v>
      </c>
      <c r="C4061" s="23" t="s">
        <v>938</v>
      </c>
      <c r="D4061" s="23" t="s">
        <v>939</v>
      </c>
      <c r="E4061" s="23" t="s">
        <v>940</v>
      </c>
      <c r="F4061" s="23" t="s">
        <v>941</v>
      </c>
      <c r="G4061" s="23" t="s">
        <v>942</v>
      </c>
      <c r="H4061" s="23" t="s">
        <v>943</v>
      </c>
      <c r="I4061" s="23" t="s">
        <v>944</v>
      </c>
      <c r="J4061" s="23" t="s">
        <v>945</v>
      </c>
      <c r="K4061" s="23" t="s">
        <v>946</v>
      </c>
      <c r="L4061" s="4" t="s">
        <v>47</v>
      </c>
    </row>
    <row r="4062" customFormat="false" ht="17.15" hidden="false" customHeight="false" outlineLevel="0" collapsed="false">
      <c r="A4062" s="1" t="s">
        <v>947</v>
      </c>
      <c r="B4062" s="1" t="s">
        <v>279</v>
      </c>
      <c r="C4062" s="21" t="n">
        <v>2024</v>
      </c>
      <c r="D4062" s="21" t="n">
        <v>2025</v>
      </c>
      <c r="E4062" s="21" t="n">
        <v>2026</v>
      </c>
      <c r="F4062" s="21" t="n">
        <v>2027</v>
      </c>
      <c r="G4062" s="21" t="n">
        <v>2028</v>
      </c>
      <c r="H4062" s="21" t="n">
        <v>2029</v>
      </c>
      <c r="I4062" s="21" t="n">
        <v>2030</v>
      </c>
      <c r="J4062" s="21" t="n">
        <v>2031</v>
      </c>
      <c r="K4062" s="21" t="n">
        <v>2032</v>
      </c>
    </row>
    <row r="4063" customFormat="false" ht="17.15" hidden="false" customHeight="false" outlineLevel="0" collapsed="false">
      <c r="A4063" s="1" t="s">
        <v>948</v>
      </c>
      <c r="B4063" s="0" t="s">
        <v>456</v>
      </c>
      <c r="F4063" s="30" t="n">
        <f aca="false">pace*1.2</f>
        <v>3271.84212</v>
      </c>
      <c r="G4063" s="30" t="n">
        <f aca="false">pace*1.2</f>
        <v>3271.84212</v>
      </c>
      <c r="H4063" s="30" t="n">
        <f aca="false">pace*1.2</f>
        <v>3271.84212</v>
      </c>
      <c r="I4063" s="30" t="n">
        <f aca="false">pace*1.2+(g_tv*Sens!H4064-pace*1.2)*MIN(1,(Sens!I4062-pace_y0)/(pace_y1-pace_y0))</f>
        <v>2311.8833436</v>
      </c>
      <c r="J4063" s="30" t="n">
        <f aca="false">pace*1.2+(g_tv*Sens!I4064-pace*1.2)*MIN(1,(Sens!J4062-pace_y0)/(pace_y1-pace_y0))</f>
        <v>1398.162234072</v>
      </c>
      <c r="K4063" s="30" t="n">
        <f aca="false">pace*1.2+(g_tv*Sens!J4064-pace*1.2)*MIN(1,(Sens!K4062-pace_y0)/(pace_y1-pace_y0))</f>
        <v>503.26715813016</v>
      </c>
      <c r="L4063" s="12" t="s">
        <v>949</v>
      </c>
    </row>
    <row r="4064" customFormat="false" ht="17.15" hidden="false" customHeight="false" outlineLevel="0" collapsed="false">
      <c r="A4064" s="1" t="s">
        <v>950</v>
      </c>
      <c r="B4064" s="0" t="s">
        <v>456</v>
      </c>
      <c r="C4064" s="30" t="n">
        <f aca="false">mw_ext_24</f>
        <v>640</v>
      </c>
      <c r="D4064" s="30" t="n">
        <f aca="false">mw_ext_25</f>
        <v>1630</v>
      </c>
      <c r="E4064" s="30" t="n">
        <f aca="false">mw_ext_26</f>
        <v>3250</v>
      </c>
      <c r="F4064" s="30" t="n">
        <f aca="false">Sens!E4064+Sens!F4063</f>
        <v>6521.84212</v>
      </c>
      <c r="G4064" s="30" t="n">
        <f aca="false">Sens!F4064+Sens!G4063</f>
        <v>9793.68424</v>
      </c>
      <c r="H4064" s="30" t="n">
        <f aca="false">Sens!G4064+Sens!H4063</f>
        <v>13065.52636</v>
      </c>
      <c r="I4064" s="30" t="n">
        <f aca="false">Sens!H4064+Sens!I4063</f>
        <v>15377.4097036</v>
      </c>
      <c r="J4064" s="30" t="n">
        <f aca="false">Sens!I4064+Sens!J4063</f>
        <v>16775.571937672</v>
      </c>
      <c r="K4064" s="30" t="n">
        <f aca="false">Sens!J4064+Sens!K4063</f>
        <v>17278.8390958022</v>
      </c>
      <c r="L4064" s="1" t="s">
        <v>951</v>
      </c>
    </row>
    <row r="4065" customFormat="false" ht="17.15" hidden="false" customHeight="false" outlineLevel="0" collapsed="false">
      <c r="A4065" s="1" t="s">
        <v>952</v>
      </c>
      <c r="B4065" s="0" t="s">
        <v>456</v>
      </c>
      <c r="C4065" s="30" t="n">
        <f aca="false">rent_ext_24</f>
        <v>150</v>
      </c>
      <c r="D4065" s="30" t="n">
        <f aca="false">rent_ext_25</f>
        <v>400</v>
      </c>
      <c r="E4065" s="30" t="n">
        <f aca="false">rent_ext_26</f>
        <v>550</v>
      </c>
      <c r="F4065" s="30" t="n">
        <f aca="false">rent_ext_f</f>
        <v>756</v>
      </c>
      <c r="G4065" s="30" t="n">
        <f aca="false">rent_ext_f</f>
        <v>756</v>
      </c>
      <c r="H4065" s="30" t="n">
        <f aca="false">rent_ext_f</f>
        <v>756</v>
      </c>
      <c r="I4065" s="30" t="n">
        <f aca="false">rent_ext_f</f>
        <v>756</v>
      </c>
      <c r="J4065" s="30" t="n">
        <f aca="false">rent_ext_f</f>
        <v>756</v>
      </c>
      <c r="K4065" s="30" t="n">
        <f aca="false">rent_ext_f</f>
        <v>756</v>
      </c>
      <c r="L4065" s="1" t="s">
        <v>953</v>
      </c>
    </row>
    <row r="4066" customFormat="false" ht="17.15" hidden="false" customHeight="false" outlineLevel="0" collapsed="false">
      <c r="A4066" s="1" t="s">
        <v>954</v>
      </c>
      <c r="B4066" s="0" t="s">
        <v>456</v>
      </c>
      <c r="C4066" s="30" t="n">
        <f aca="false">Sens!C4064-Sens!C4065</f>
        <v>490</v>
      </c>
      <c r="D4066" s="30" t="n">
        <f aca="false">Sens!D4064-Sens!D4065</f>
        <v>1230</v>
      </c>
      <c r="E4066" s="30" t="n">
        <f aca="false">Sens!E4064-Sens!E4065</f>
        <v>2700</v>
      </c>
      <c r="F4066" s="30" t="n">
        <f aca="false">Sens!F4064-Sens!F4065</f>
        <v>5765.84212</v>
      </c>
      <c r="G4066" s="30" t="n">
        <f aca="false">Sens!G4064-Sens!G4065</f>
        <v>9037.68424</v>
      </c>
      <c r="H4066" s="30" t="n">
        <f aca="false">Sens!H4064-Sens!H4065</f>
        <v>12309.52636</v>
      </c>
      <c r="I4066" s="30" t="n">
        <f aca="false">Sens!I4064-Sens!I4065</f>
        <v>14621.4097036</v>
      </c>
      <c r="J4066" s="30" t="n">
        <f aca="false">Sens!J4064-Sens!J4065</f>
        <v>16019.571937672</v>
      </c>
      <c r="K4066" s="30" t="n">
        <f aca="false">Sens!K4064-Sens!K4065</f>
        <v>16522.8390958022</v>
      </c>
    </row>
    <row r="4067" customFormat="false" ht="17.15" hidden="false" customHeight="false" outlineLevel="0" collapsed="false">
      <c r="A4067" s="1" t="s">
        <v>955</v>
      </c>
      <c r="B4067" s="0" t="s">
        <v>456</v>
      </c>
      <c r="C4067" s="30" t="n">
        <f aca="false">Sens!C4066/ext_sh</f>
        <v>816.666666666667</v>
      </c>
      <c r="D4067" s="30" t="n">
        <f aca="false">Sens!D4066/ext_sh</f>
        <v>2050</v>
      </c>
      <c r="E4067" s="30" t="n">
        <f aca="false">Sens!E4066/ext_sh</f>
        <v>4500</v>
      </c>
      <c r="F4067" s="30" t="n">
        <f aca="false">Sens!F4066/ext_sh</f>
        <v>9609.73686666667</v>
      </c>
      <c r="G4067" s="30" t="n">
        <f aca="false">Sens!G4066/ext_sh</f>
        <v>15062.8070666667</v>
      </c>
      <c r="H4067" s="30" t="n">
        <f aca="false">Sens!H4066/ext_sh</f>
        <v>20515.8772666667</v>
      </c>
      <c r="I4067" s="30" t="n">
        <f aca="false">Sens!I4066/ext_sh</f>
        <v>24369.0161726667</v>
      </c>
      <c r="J4067" s="30" t="n">
        <f aca="false">Sens!J4066/ext_sh</f>
        <v>26699.2865627867</v>
      </c>
      <c r="K4067" s="30" t="n">
        <f aca="false">Sens!K4066/ext_sh</f>
        <v>27538.0651596703</v>
      </c>
      <c r="L4067" s="1" t="s">
        <v>956</v>
      </c>
    </row>
    <row r="4068" customFormat="false" ht="17.15" hidden="false" customHeight="false" outlineLevel="0" collapsed="false">
      <c r="A4068" s="1" t="s">
        <v>957</v>
      </c>
      <c r="B4068" s="0" t="s">
        <v>456</v>
      </c>
      <c r="C4068" s="30" t="n">
        <f aca="false">Sens!C4067-Sens!C4066</f>
        <v>326.666666666667</v>
      </c>
      <c r="D4068" s="30" t="n">
        <f aca="false">Sens!D4067-Sens!D4066</f>
        <v>820</v>
      </c>
      <c r="E4068" s="30" t="n">
        <f aca="false">Sens!E4067-Sens!E4066</f>
        <v>1800</v>
      </c>
      <c r="F4068" s="30" t="n">
        <f aca="false">Sens!F4067-Sens!F4066</f>
        <v>3843.89474666667</v>
      </c>
      <c r="G4068" s="30" t="n">
        <f aca="false">Sens!G4067-Sens!G4066</f>
        <v>6025.12282666667</v>
      </c>
      <c r="H4068" s="30" t="n">
        <f aca="false">Sens!H4067-Sens!H4066</f>
        <v>8206.35090666667</v>
      </c>
      <c r="I4068" s="30" t="n">
        <f aca="false">Sens!I4067-Sens!I4066</f>
        <v>9747.60646906667</v>
      </c>
      <c r="J4068" s="30" t="n">
        <f aca="false">Sens!J4067-Sens!J4066</f>
        <v>10679.7146251147</v>
      </c>
      <c r="K4068" s="30" t="n">
        <f aca="false">Sens!K4067-Sens!K4066</f>
        <v>11015.2260638681</v>
      </c>
    </row>
    <row r="4069" customFormat="false" ht="17.15" hidden="false" customHeight="false" outlineLevel="0" collapsed="false">
      <c r="A4069" s="1" t="s">
        <v>958</v>
      </c>
      <c r="B4069" s="0" t="s">
        <v>456</v>
      </c>
      <c r="C4069" s="30" t="n">
        <f aca="false">Sens!C4067</f>
        <v>816.666666666667</v>
      </c>
      <c r="D4069" s="30" t="n">
        <f aca="false">Sens!D4067-Sens!C4067</f>
        <v>1233.33333333333</v>
      </c>
      <c r="E4069" s="30" t="n">
        <f aca="false">Sens!E4067-Sens!D4067</f>
        <v>2450</v>
      </c>
      <c r="F4069" s="30" t="n">
        <f aca="false">Sens!F4067-Sens!E4067</f>
        <v>5109.73686666667</v>
      </c>
      <c r="G4069" s="30" t="n">
        <f aca="false">Sens!G4067-Sens!F4067</f>
        <v>5453.0702</v>
      </c>
      <c r="H4069" s="30" t="n">
        <f aca="false">Sens!H4067-Sens!G4067</f>
        <v>5453.0702</v>
      </c>
      <c r="I4069" s="30" t="n">
        <f aca="false">Sens!I4067-Sens!H4067</f>
        <v>3853.138906</v>
      </c>
      <c r="J4069" s="30" t="n">
        <f aca="false">Sens!J4067-Sens!I4067</f>
        <v>2330.27039012</v>
      </c>
      <c r="K4069" s="30" t="n">
        <f aca="false">Sens!K4067-Sens!J4067</f>
        <v>838.778596883596</v>
      </c>
    </row>
    <row r="4070" customFormat="false" ht="17.15" hidden="false" customHeight="false" outlineLevel="0" collapsed="false">
      <c r="A4070" s="1" t="s">
        <v>959</v>
      </c>
      <c r="B4070" s="0" t="s">
        <v>456</v>
      </c>
      <c r="D4070" s="30" t="n">
        <f aca="false">Sens!D4064-Sens!C4064</f>
        <v>990</v>
      </c>
      <c r="E4070" s="30" t="n">
        <f aca="false">Sens!E4064-Sens!D4064</f>
        <v>1620</v>
      </c>
      <c r="F4070" s="30" t="n">
        <f aca="false">Sens!F4064-Sens!E4064</f>
        <v>3271.84212</v>
      </c>
      <c r="G4070" s="30" t="n">
        <f aca="false">Sens!G4064-Sens!F4064</f>
        <v>3271.84212</v>
      </c>
      <c r="H4070" s="30" t="n">
        <f aca="false">Sens!H4064-Sens!G4064</f>
        <v>3271.84212</v>
      </c>
      <c r="I4070" s="30" t="n">
        <f aca="false">Sens!I4064-Sens!H4064</f>
        <v>2311.8833436</v>
      </c>
      <c r="J4070" s="30" t="n">
        <f aca="false">Sens!J4064-Sens!I4064</f>
        <v>1398.162234072</v>
      </c>
      <c r="K4070" s="30" t="n">
        <f aca="false">Sens!K4064-Sens!J4064</f>
        <v>503.267158130158</v>
      </c>
    </row>
    <row r="4071" customFormat="false" ht="17.15" hidden="false" customHeight="false" outlineLevel="0" collapsed="false">
      <c r="A4071" s="1" t="s">
        <v>960</v>
      </c>
      <c r="B4071" s="0" t="s">
        <v>456</v>
      </c>
      <c r="F4071" s="30" t="n">
        <f aca="false">Sens!F4090*ext_sh</f>
        <v>0</v>
      </c>
      <c r="G4071" s="30" t="n">
        <f aca="false">Sens!G4090*ext_sh</f>
        <v>0</v>
      </c>
      <c r="H4071" s="30" t="n">
        <f aca="false">Sens!H4090*ext_sh</f>
        <v>0</v>
      </c>
      <c r="I4071" s="30" t="n">
        <f aca="false">Sens!I4090*ext_sh</f>
        <v>490</v>
      </c>
      <c r="J4071" s="30" t="n">
        <f aca="false">Sens!J4090*ext_sh</f>
        <v>740</v>
      </c>
      <c r="K4071" s="30" t="n">
        <f aca="false">Sens!K4090*ext_sh</f>
        <v>1470</v>
      </c>
      <c r="L4071" s="1" t="s">
        <v>961</v>
      </c>
    </row>
    <row r="4072" customFormat="false" ht="17.15" hidden="false" customHeight="false" outlineLevel="0" collapsed="false">
      <c r="A4072" s="1" t="s">
        <v>962</v>
      </c>
      <c r="B4072" s="0" t="s">
        <v>456</v>
      </c>
      <c r="C4072" s="30" t="n">
        <f aca="false">mix_h*Sens!C4064</f>
        <v>128</v>
      </c>
      <c r="D4072" s="30" t="n">
        <f aca="false">mix_h*Sens!D4064</f>
        <v>326</v>
      </c>
      <c r="E4072" s="30" t="n">
        <f aca="false">mix_h*Sens!E4064</f>
        <v>650</v>
      </c>
      <c r="F4072" s="30" t="n">
        <f aca="false">Sens!E4072-Sens!F4071*mix_h</f>
        <v>650</v>
      </c>
      <c r="G4072" s="30" t="n">
        <f aca="false">Sens!F4072-Sens!G4071*mix_h</f>
        <v>650</v>
      </c>
      <c r="H4072" s="30" t="n">
        <f aca="false">Sens!G4072-Sens!H4071*mix_h</f>
        <v>650</v>
      </c>
      <c r="I4072" s="30" t="n">
        <f aca="false">Sens!H4072-Sens!I4071*mix_h</f>
        <v>552</v>
      </c>
      <c r="J4072" s="30" t="n">
        <f aca="false">Sens!I4072-Sens!J4071*mix_h</f>
        <v>404</v>
      </c>
      <c r="K4072" s="30" t="n">
        <f aca="false">Sens!J4072-Sens!K4071*mix_h</f>
        <v>110</v>
      </c>
    </row>
    <row r="4073" customFormat="false" ht="17.15" hidden="false" customHeight="false" outlineLevel="0" collapsed="false">
      <c r="A4073" s="1" t="s">
        <v>963</v>
      </c>
      <c r="B4073" s="0" t="s">
        <v>456</v>
      </c>
      <c r="C4073" s="30" t="n">
        <f aca="false">mix_g2*Sens!C4064</f>
        <v>288</v>
      </c>
      <c r="D4073" s="30" t="n">
        <f aca="false">mix_g2*Sens!D4064</f>
        <v>733.5</v>
      </c>
      <c r="E4073" s="30" t="n">
        <f aca="false">mix_g2*Sens!E4064</f>
        <v>1462.5</v>
      </c>
      <c r="F4073" s="30" t="n">
        <f aca="false">Sens!E4073-Sens!F4071*mix_g2</f>
        <v>1462.5</v>
      </c>
      <c r="G4073" s="30" t="n">
        <f aca="false">Sens!F4073-Sens!G4071*mix_g2</f>
        <v>1462.5</v>
      </c>
      <c r="H4073" s="30" t="n">
        <f aca="false">Sens!G4073-Sens!H4071*mix_g2</f>
        <v>1462.5</v>
      </c>
      <c r="I4073" s="30" t="n">
        <f aca="false">Sens!H4073-Sens!I4071*mix_g2</f>
        <v>1242</v>
      </c>
      <c r="J4073" s="30" t="n">
        <f aca="false">Sens!I4073-Sens!J4071*mix_g2</f>
        <v>909</v>
      </c>
      <c r="K4073" s="30" t="n">
        <f aca="false">Sens!J4073-Sens!K4071*mix_g2</f>
        <v>247.5</v>
      </c>
    </row>
    <row r="4074" customFormat="false" ht="17.15" hidden="false" customHeight="false" outlineLevel="0" collapsed="false">
      <c r="A4074" s="1" t="s">
        <v>964</v>
      </c>
      <c r="B4074" s="0" t="s">
        <v>456</v>
      </c>
      <c r="C4074" s="30" t="n">
        <f aca="false">mix_g3*Sens!C4064</f>
        <v>224</v>
      </c>
      <c r="D4074" s="30" t="n">
        <f aca="false">mix_g3*Sens!D4064</f>
        <v>570.5</v>
      </c>
      <c r="E4074" s="30" t="n">
        <f aca="false">mix_g3*Sens!E4064</f>
        <v>1137.5</v>
      </c>
      <c r="F4074" s="30" t="n">
        <f aca="false">Sens!E4074+(Sens!F4070+Sens!F4071)*(a_g3_27-nonnv*a_mai)-Sens!F4071*mix_g3</f>
        <v>3100.605272</v>
      </c>
      <c r="G4074" s="30" t="n">
        <f aca="false">Sens!F4074+(Sens!G4070+Sens!G4071)*(a_g3_28-nonnv*a_mai)-Sens!G4071*mix_g3</f>
        <v>3754.973696</v>
      </c>
      <c r="H4074" s="30" t="n">
        <f aca="false">Sens!G4074+(Sens!H4070+Sens!H4071)*(a_g3_29-nonnv*a_mai)-Sens!H4071*mix_g3</f>
        <v>3754.973696</v>
      </c>
      <c r="I4074" s="30" t="n">
        <f aca="false">Sens!H4074+(Sens!I4070+Sens!I4071)*(a_g3_29-nonnv*a_mai)-Sens!I4071*mix_g3</f>
        <v>3583.473696</v>
      </c>
      <c r="J4074" s="30" t="n">
        <f aca="false">Sens!I4074+(Sens!J4070+Sens!J4071)*(a_g3_29-nonnv*a_mai)-Sens!J4071*mix_g3</f>
        <v>3324.473696</v>
      </c>
      <c r="K4074" s="30" t="n">
        <f aca="false">Sens!J4074+(Sens!K4070+Sens!K4071)*(a_g3_29-nonnv*a_mai)-Sens!K4071*mix_g3</f>
        <v>2809.973696</v>
      </c>
    </row>
    <row r="4075" customFormat="false" ht="17.15" hidden="false" customHeight="false" outlineLevel="0" collapsed="false">
      <c r="A4075" s="1" t="s">
        <v>965</v>
      </c>
      <c r="B4075" s="0" t="s">
        <v>456</v>
      </c>
      <c r="C4075" s="30" t="n">
        <v>0</v>
      </c>
      <c r="D4075" s="30" t="n">
        <v>0</v>
      </c>
      <c r="E4075" s="30" t="n">
        <v>0</v>
      </c>
      <c r="F4075" s="30" t="n">
        <f aca="false">Sens!E4075+(Sens!F4070+Sens!F4071)*nonnv*a_mai</f>
        <v>327.184212</v>
      </c>
      <c r="G4075" s="30" t="n">
        <f aca="false">Sens!F4075+(Sens!G4070+Sens!G4071)*nonnv*a_mai</f>
        <v>654.368424</v>
      </c>
      <c r="H4075" s="30" t="n">
        <f aca="false">Sens!G4075+(Sens!H4070+Sens!H4071)*nonnv*a_mai</f>
        <v>981.552636</v>
      </c>
      <c r="I4075" s="30" t="n">
        <f aca="false">Sens!H4075+(Sens!I4070+Sens!I4071)*nonnv*a_mai</f>
        <v>1261.74097036</v>
      </c>
      <c r="J4075" s="30" t="n">
        <f aca="false">Sens!I4075+(Sens!J4070+Sens!J4071)*nonnv*a_mai</f>
        <v>1475.5571937672</v>
      </c>
      <c r="K4075" s="30" t="n">
        <f aca="false">Sens!J4075+(Sens!K4070+Sens!K4071)*nonnv*a_mai</f>
        <v>1672.88390958022</v>
      </c>
      <c r="L4075" s="12" t="s">
        <v>966</v>
      </c>
    </row>
    <row r="4076" customFormat="false" ht="17.15" hidden="false" customHeight="false" outlineLevel="0" collapsed="false">
      <c r="A4076" s="1" t="s">
        <v>967</v>
      </c>
      <c r="B4076" s="0" t="s">
        <v>456</v>
      </c>
      <c r="C4076" s="30" t="n">
        <v>0</v>
      </c>
      <c r="D4076" s="30" t="n">
        <v>0</v>
      </c>
      <c r="E4076" s="30" t="n">
        <v>0</v>
      </c>
      <c r="F4076" s="30" t="n">
        <f aca="false">Sens!E4076+(Sens!F4070+Sens!F4071)*(1-a_g3_27)</f>
        <v>981.552636</v>
      </c>
      <c r="G4076" s="30" t="n">
        <f aca="false">Sens!F4076+(Sens!G4070+Sens!G4071)*(1-a_g3_28)</f>
        <v>3271.84212</v>
      </c>
      <c r="H4076" s="30" t="n">
        <f aca="false">Sens!G4076+(Sens!H4070+Sens!H4071)*(1-a_g3_29)</f>
        <v>6216.500028</v>
      </c>
      <c r="I4076" s="30" t="n">
        <f aca="false">Sens!H4076+(Sens!I4070+Sens!I4071)*(1-a_g3_29)</f>
        <v>8738.19503724</v>
      </c>
      <c r="J4076" s="30" t="n">
        <f aca="false">Sens!I4076+(Sens!J4070+Sens!J4071)*(1-a_g3_29)</f>
        <v>10662.5410479048</v>
      </c>
      <c r="K4076" s="30" t="n">
        <f aca="false">Sens!J4076+(Sens!K4070+Sens!K4071)*(1-a_g3_29)</f>
        <v>12438.4814902219</v>
      </c>
    </row>
    <row r="4077" customFormat="false" ht="17.15" hidden="false" customHeight="false" outlineLevel="0" collapsed="false">
      <c r="A4077" s="1" t="s">
        <v>968</v>
      </c>
      <c r="B4077" s="0" t="s">
        <v>403</v>
      </c>
      <c r="C4077" s="15" t="n">
        <f aca="false">(Sens!C4072*tk_hold_h100+Sens!C4073*tk_hold_gb200+Sens!C4074*tk_hold_gb300+Sens!C4076*tk_hold_vr200+Sens!C4075*nv_hold_mai*tk_hold_vr200)/Sens!C4064</f>
        <v>9.7235358126469</v>
      </c>
      <c r="D4077" s="15" t="n">
        <f aca="false">(Sens!D4072*tk_hold_h100+Sens!D4073*tk_hold_gb200+Sens!D4074*tk_hold_gb300+Sens!D4076*tk_hold_vr200+Sens!D4075*nv_hold_mai*tk_hold_vr200)/Sens!D4064</f>
        <v>9.7235358126469</v>
      </c>
      <c r="E4077" s="15" t="n">
        <f aca="false">(Sens!E4072*tk_hold_h100+Sens!E4073*tk_hold_gb200+Sens!E4074*tk_hold_gb300+Sens!E4076*tk_hold_vr200+Sens!E4075*nv_hold_mai*tk_hold_vr200)/Sens!E4064</f>
        <v>9.7235358126469</v>
      </c>
      <c r="F4077" s="15" t="n">
        <f aca="false">(Sens!F4072*tk_hold_h100+Sens!F4073*tk_hold_gb200+Sens!F4074*tk_hold_gb300+Sens!F4076*tk_hold_vr200+Sens!F4075*nv_hold_mai*tk_hold_vr200)/Sens!F4064</f>
        <v>10.2689692313307</v>
      </c>
      <c r="G4077" s="15" t="n">
        <f aca="false">(Sens!G4072*tk_hold_h100+Sens!G4073*tk_hold_gb200+Sens!G4074*tk_hold_gb300+Sens!G4076*tk_hold_vr200+Sens!G4075*nv_hold_mai*tk_hold_vr200)/Sens!G4064</f>
        <v>10.6289089323929</v>
      </c>
      <c r="H4077" s="15" t="n">
        <f aca="false">(Sens!H4072*tk_hold_h100+Sens!H4073*tk_hold_gb200+Sens!H4074*tk_hold_gb300+Sens!H4076*tk_hold_vr200+Sens!H4075*nv_hold_mai*tk_hold_vr200)/Sens!H4064</f>
        <v>10.8756428486304</v>
      </c>
      <c r="I4077" s="15" t="n">
        <f aca="false">(Sens!I4072*tk_hold_h100+Sens!I4073*tk_hold_gb200+Sens!I4074*tk_hold_gb300+Sens!I4076*tk_hold_vr200+Sens!I4075*nv_hold_mai*tk_hold_vr200)/Sens!I4064</f>
        <v>11.0469250311643</v>
      </c>
      <c r="J4077" s="15" t="n">
        <f aca="false">(Sens!J4072*tk_hold_h100+Sens!J4073*tk_hold_gb200+Sens!J4074*tk_hold_gb300+Sens!J4076*tk_hold_vr200+Sens!J4075*nv_hold_mai*tk_hold_vr200)/Sens!J4064</f>
        <v>11.1776048375843</v>
      </c>
      <c r="K4077" s="15" t="n">
        <f aca="false">(Sens!K4072*tk_hold_h100+Sens!K4073*tk_hold_gb200+Sens!K4074*tk_hold_gb300+Sens!K4076*tk_hold_vr200+Sens!K4075*nv_hold_mai*tk_hold_vr200)/Sens!K4064</f>
        <v>11.3511694689919</v>
      </c>
      <c r="L4077" s="1" t="s">
        <v>969</v>
      </c>
    </row>
    <row r="4078" customFormat="false" ht="17.15" hidden="false" customHeight="false" outlineLevel="0" collapsed="false">
      <c r="A4078" s="1" t="s">
        <v>970</v>
      </c>
      <c r="B4078" s="0" t="s">
        <v>403</v>
      </c>
      <c r="C4078" s="15" t="n">
        <f aca="false">(Sens!C4072*tk_hold_h100+Sens!C4073*tk_hold_gb200+Sens!C4074*tk_hold_gb300+Sens!C4076*tk_hold_vr200+Sens!C4075*nv_out_mai*tk_hold_vr200)/Sens!C4064</f>
        <v>9.7235358126469</v>
      </c>
      <c r="D4078" s="15" t="n">
        <f aca="false">(Sens!D4072*tk_hold_h100+Sens!D4073*tk_hold_gb200+Sens!D4074*tk_hold_gb300+Sens!D4076*tk_hold_vr200+Sens!D4075*nv_out_mai*tk_hold_vr200)/Sens!D4064</f>
        <v>9.7235358126469</v>
      </c>
      <c r="E4078" s="15" t="n">
        <f aca="false">(Sens!E4072*tk_hold_h100+Sens!E4073*tk_hold_gb200+Sens!E4074*tk_hold_gb300+Sens!E4076*tk_hold_vr200+Sens!E4075*nv_out_mai*tk_hold_vr200)/Sens!E4064</f>
        <v>9.7235358126469</v>
      </c>
      <c r="F4078" s="15" t="n">
        <f aca="false">(Sens!F4072*tk_hold_h100+Sens!F4073*tk_hold_gb200+Sens!F4074*tk_hold_gb300+Sens!F4076*tk_hold_vr200+Sens!F4075*nv_out_mai*tk_hold_vr200)/Sens!F4064</f>
        <v>10.2996352688042</v>
      </c>
      <c r="G4078" s="15" t="n">
        <f aca="false">(Sens!G4072*tk_hold_h100+Sens!G4073*tk_hold_gb200+Sens!G4074*tk_hold_gb300+Sens!G4076*tk_hold_vr200+Sens!G4075*nv_out_mai*tk_hold_vr200)/Sens!G4064</f>
        <v>10.6697513875807</v>
      </c>
      <c r="H4078" s="15" t="n">
        <f aca="false">(Sens!H4072*tk_hold_h100+Sens!H4073*tk_hold_gb200+Sens!H4074*tk_hold_gb300+Sens!H4076*tk_hold_vr200+Sens!H4075*nv_out_mai*tk_hold_vr200)/Sens!H4064</f>
        <v>10.92156500653</v>
      </c>
      <c r="I4078" s="15" t="n">
        <f aca="false">(Sens!I4072*tk_hold_h100+Sens!I4073*tk_hold_gb200+Sens!I4074*tk_hold_gb300+Sens!I4076*tk_hold_vr200+Sens!I4075*nv_out_mai*tk_hold_vr200)/Sens!I4064</f>
        <v>11.097081000036</v>
      </c>
      <c r="J4078" s="15" t="n">
        <f aca="false">(Sens!J4072*tk_hold_h100+Sens!J4073*tk_hold_gb200+Sens!J4074*tk_hold_gb300+Sens!J4076*tk_hold_vr200+Sens!J4075*nv_out_mai*tk_hold_vr200)/Sens!J4064</f>
        <v>11.2313716532703</v>
      </c>
      <c r="K4078" s="15" t="n">
        <f aca="false">(Sens!K4072*tk_hold_h100+Sens!K4073*tk_hold_gb200+Sens!K4074*tk_hold_gb300+Sens!K4076*tk_hold_vr200+Sens!K4075*nv_out_mai*tk_hold_vr200)/Sens!K4064</f>
        <v>11.4103510888253</v>
      </c>
      <c r="L4078" s="12" t="s">
        <v>971</v>
      </c>
    </row>
    <row r="4079" customFormat="false" ht="17.15" hidden="false" customHeight="false" outlineLevel="0" collapsed="false">
      <c r="A4079" s="0" t="s">
        <v>972</v>
      </c>
      <c r="B4079" s="0" t="s">
        <v>229</v>
      </c>
      <c r="C4079" s="15" t="n">
        <f aca="false">k_B</f>
        <v>1.17213932619116</v>
      </c>
      <c r="D4079" s="15" t="n">
        <f aca="false">k_B</f>
        <v>1.17213932619116</v>
      </c>
      <c r="E4079" s="15" t="n">
        <f aca="false">k_B</f>
        <v>1.17213932619116</v>
      </c>
      <c r="F4079" s="15" t="n">
        <f aca="false">(k_B+((ls_C*k_long+(1-ls_C)*k_spot)-k_B)*MIN(1,(Sens!F4062-base_fy)/k_ramp))</f>
        <v>1.07843258004497</v>
      </c>
      <c r="G4079" s="15" t="n">
        <f aca="false">(k_B+((ls_C*k_long+(1-ls_C)*k_spot)-k_B)*MIN(1,(Sens!G4062-base_fy)/k_ramp))</f>
        <v>0.984725833898784</v>
      </c>
      <c r="H4079" s="15" t="n">
        <f aca="false">(k_B+((ls_C*k_long+(1-ls_C)*k_spot)-k_B)*MIN(1,(Sens!H4062-base_fy)/k_ramp))</f>
        <v>0.891019087752599</v>
      </c>
      <c r="I4079" s="15" t="n">
        <f aca="false">(k_B+((ls_C*k_long+(1-ls_C)*k_spot)-k_B)*MIN(1,(Sens!I4062-base_fy)/k_ramp))</f>
        <v>0.891019087752599</v>
      </c>
      <c r="J4079" s="15" t="n">
        <f aca="false">(k_B+((ls_C*k_long+(1-ls_C)*k_spot)-k_B)*MIN(1,(Sens!J4062-base_fy)/k_ramp))</f>
        <v>0.891019087752599</v>
      </c>
      <c r="K4079" s="15" t="n">
        <f aca="false">(k_B+((ls_C*k_long+(1-ls_C)*k_spot)-k_B)*MIN(1,(Sens!K4062-base_fy)/k_ramp))</f>
        <v>0.891019087752599</v>
      </c>
      <c r="L4079" s="1" t="s">
        <v>973</v>
      </c>
    </row>
    <row r="4080" customFormat="false" ht="17.15" hidden="false" customHeight="false" outlineLevel="0" collapsed="false">
      <c r="A4080" s="1" t="s">
        <v>974</v>
      </c>
      <c r="B4080" s="0" t="s">
        <v>403</v>
      </c>
      <c r="C4080" s="15" t="n">
        <f aca="false">Sens!C4078*Sens!C4079*chip_f</f>
        <v>11.3973387156315</v>
      </c>
      <c r="D4080" s="15" t="n">
        <f aca="false">Sens!D4078*Sens!D4079*chip_f</f>
        <v>11.3973387156315</v>
      </c>
      <c r="E4080" s="15" t="n">
        <f aca="false">Sens!E4078*Sens!E4079*chip_f</f>
        <v>11.3973387156315</v>
      </c>
      <c r="F4080" s="15" t="n">
        <f aca="false">Sens!F4078*Sens!F4079*chip_f</f>
        <v>11.1074622364587</v>
      </c>
      <c r="G4080" s="15" t="n">
        <f aca="false">Sens!G4078*Sens!G4079*chip_f</f>
        <v>10.5067798326282</v>
      </c>
      <c r="H4080" s="15" t="n">
        <f aca="false">Sens!H4078*Sens!H4079*chip_f</f>
        <v>9.73132288894905</v>
      </c>
      <c r="I4080" s="15" t="n">
        <f aca="false">Sens!I4078*Sens!I4079*chip_f</f>
        <v>9.88771098936882</v>
      </c>
      <c r="J4080" s="15" t="n">
        <f aca="false">Sens!J4078*Sens!J4079*chip_f</f>
        <v>10.0073665247073</v>
      </c>
      <c r="K4080" s="15" t="n">
        <f aca="false">Sens!K4078*Sens!K4079*chip_f</f>
        <v>10.166840618102</v>
      </c>
      <c r="L4080" s="1" t="s">
        <v>975</v>
      </c>
    </row>
    <row r="4081" customFormat="false" ht="17.15" hidden="false" customHeight="false" outlineLevel="0" collapsed="false">
      <c r="A4081" s="0" t="s">
        <v>976</v>
      </c>
      <c r="B4081" s="0" t="s">
        <v>98</v>
      </c>
      <c r="D4081" s="6" t="n">
        <f aca="false">(Sens!C4064+Sens!D4064)/2*Sens!D4080/1000</f>
        <v>12.9359794422418</v>
      </c>
      <c r="E4081" s="6" t="n">
        <f aca="false">(Sens!D4064+Sens!E4064)/2*Sens!E4080/1000</f>
        <v>27.8095064661409</v>
      </c>
      <c r="F4081" s="6" t="n">
        <f aca="false">(Sens!E4064+Sens!F4064)/2*Sens!F4080/1000</f>
        <v>54.2701836642681</v>
      </c>
      <c r="G4081" s="6" t="n">
        <f aca="false">(Sens!F4064+Sens!G4064)/2*Sens!G4080/1000</f>
        <v>85.7118216589805</v>
      </c>
      <c r="H4081" s="6" t="n">
        <f aca="false">(Sens!G4064+Sens!H4064)/2*Sens!H4080/1000</f>
        <v>111.225179667543</v>
      </c>
      <c r="I4081" s="6" t="n">
        <f aca="false">(Sens!H4064+Sens!I4064)/2*Sens!I4080/1000</f>
        <v>140.617765742986</v>
      </c>
      <c r="J4081" s="6" t="n">
        <f aca="false">(Sens!I4064+Sens!J4064)/2*Sens!J4080/1000</f>
        <v>160.883336073197</v>
      </c>
      <c r="K4081" s="6" t="n">
        <f aca="false">(Sens!J4064+Sens!K4064)/2*Sens!K4080/1000</f>
        <v>173.112884660333</v>
      </c>
      <c r="L4081" s="12" t="s">
        <v>977</v>
      </c>
    </row>
    <row r="4082" customFormat="false" ht="17.15" hidden="false" customHeight="false" outlineLevel="0" collapsed="false">
      <c r="A4082" s="1" t="s">
        <v>978</v>
      </c>
      <c r="B4082" s="0" t="s">
        <v>403</v>
      </c>
      <c r="C4082" s="15" t="n">
        <f aca="false">(Sens!C4072*tk_opex_h100+Sens!C4073*tk_opex_gb200+Sens!C4074*tk_opex_gb300+(Sens!C4076+Sens!C4075)*tk_opex_vr200)/Sens!C4064</f>
        <v>1.88636041306092</v>
      </c>
      <c r="D4082" s="15" t="n">
        <f aca="false">(Sens!D4072*tk_opex_h100+Sens!D4073*tk_opex_gb200+Sens!D4074*tk_opex_gb300+(Sens!D4076+Sens!D4075)*tk_opex_vr200)/Sens!D4064</f>
        <v>1.88636041306092</v>
      </c>
      <c r="E4082" s="15" t="n">
        <f aca="false">(Sens!E4072*tk_opex_h100+Sens!E4073*tk_opex_gb200+Sens!E4074*tk_opex_gb300+(Sens!E4076+Sens!E4075)*tk_opex_vr200)/Sens!E4064</f>
        <v>1.88636041306092</v>
      </c>
      <c r="F4082" s="15" t="n">
        <f aca="false">(Sens!F4072*tk_opex_h100+Sens!F4073*tk_opex_gb200+Sens!F4074*tk_opex_gb300+(Sens!F4076+Sens!F4075)*tk_opex_vr200)/Sens!F4064</f>
        <v>1.95690523121485</v>
      </c>
      <c r="G4082" s="15" t="n">
        <f aca="false">(Sens!G4072*tk_opex_h100+Sens!G4073*tk_opex_gb200+Sens!G4074*tk_opex_gb300+(Sens!G4076+Sens!G4075)*tk_opex_vr200)/Sens!G4064</f>
        <v>1.99512968065993</v>
      </c>
      <c r="H4082" s="15" t="n">
        <f aca="false">(Sens!H4072*tk_opex_h100+Sens!H4073*tk_opex_gb200+Sens!H4074*tk_opex_gb300+(Sens!H4076+Sens!H4075)*tk_opex_vr200)/Sens!H4064</f>
        <v>2.01976225803135</v>
      </c>
      <c r="I4082" s="15" t="n">
        <f aca="false">(Sens!I4072*tk_opex_h100+Sens!I4073*tk_opex_gb200+Sens!I4074*tk_opex_gb300+(Sens!I4076+Sens!I4075)*tk_opex_vr200)/Sens!I4064</f>
        <v>2.03744787525749</v>
      </c>
      <c r="J4082" s="15" t="n">
        <f aca="false">(Sens!J4072*tk_opex_h100+Sens!J4073*tk_opex_gb200+Sens!J4074*tk_opex_gb300+(Sens!J4076+Sens!J4075)*tk_opex_vr200)/Sens!J4064</f>
        <v>2.05125627122296</v>
      </c>
      <c r="K4082" s="15" t="n">
        <f aca="false">(Sens!K4072*tk_opex_h100+Sens!K4073*tk_opex_gb200+Sens!K4074*tk_opex_gb300+(Sens!K4076+Sens!K4075)*tk_opex_vr200)/Sens!K4064</f>
        <v>2.07010859619451</v>
      </c>
      <c r="L4082" s="12" t="s">
        <v>979</v>
      </c>
    </row>
    <row r="4083" customFormat="false" ht="17.15" hidden="false" customHeight="false" outlineLevel="0" collapsed="false">
      <c r="A4083" s="0" t="s">
        <v>980</v>
      </c>
      <c r="B4083" s="0" t="s">
        <v>98</v>
      </c>
      <c r="D4083" s="6" t="n">
        <f aca="false">(Sens!C4067+Sens!D4067)/2*Sens!D4082/1000</f>
        <v>2.70378325872065</v>
      </c>
      <c r="E4083" s="6" t="n">
        <f aca="false">(Sens!D4067+Sens!E4067)/2*Sens!E4082/1000</f>
        <v>6.17783035277451</v>
      </c>
      <c r="F4083" s="6" t="n">
        <f aca="false">(Sens!E4067+Sens!F4067)/2*Sens!F4082/1000</f>
        <v>13.8057089427225</v>
      </c>
      <c r="G4083" s="6" t="n">
        <f aca="false">(Sens!F4067+Sens!G4067)/2*Sens!G4082/1000</f>
        <v>24.6124623493897</v>
      </c>
      <c r="H4083" s="6" t="n">
        <f aca="false">(Sens!G4067+Sens!H4067)/2*Sens!H4082/1000</f>
        <v>35.930241903439</v>
      </c>
      <c r="I4083" s="6" t="n">
        <f aca="false">(Sens!H4067+Sens!I4067)/2*Sens!I4082/1000</f>
        <v>45.7253153845642</v>
      </c>
      <c r="J4083" s="6" t="n">
        <f aca="false">(Sens!I4067+Sens!J4067)/2*Sens!J4082/1000</f>
        <v>52.3770881234055</v>
      </c>
      <c r="K4083" s="6" t="n">
        <f aca="false">(Sens!J4067+Sens!K4067)/2*Sens!K4082/1000</f>
        <v>56.1386040177415</v>
      </c>
    </row>
    <row r="4084" customFormat="false" ht="17.15" hidden="false" customHeight="false" outlineLevel="0" collapsed="false">
      <c r="A4084" s="0" t="s">
        <v>981</v>
      </c>
      <c r="B4084" s="0" t="s">
        <v>98</v>
      </c>
      <c r="D4084" s="6" t="n">
        <f aca="false">(Sens!C4065+Sens!D4065)/2*rent_mw/1000</f>
        <v>2.44475</v>
      </c>
      <c r="E4084" s="6" t="n">
        <f aca="false">(Sens!D4065+Sens!E4065)/2*rent_mw/1000</f>
        <v>4.22275</v>
      </c>
      <c r="F4084" s="6" t="n">
        <f aca="false">(Sens!E4065+Sens!F4065)/2*rent_mw/1000</f>
        <v>5.80517</v>
      </c>
      <c r="G4084" s="6" t="n">
        <f aca="false">(Sens!F4065+Sens!G4065)/2*rent_mw/1000</f>
        <v>6.72084</v>
      </c>
      <c r="H4084" s="6" t="n">
        <f aca="false">(Sens!G4065+Sens!H4065)/2*rent_mw/1000</f>
        <v>6.72084</v>
      </c>
      <c r="I4084" s="6" t="n">
        <f aca="false">(Sens!H4065+Sens!I4065)/2*rent_mw/1000</f>
        <v>6.72084</v>
      </c>
      <c r="J4084" s="6" t="n">
        <f aca="false">(Sens!I4065+Sens!J4065)/2*rent_mw/1000</f>
        <v>6.72084</v>
      </c>
      <c r="K4084" s="6" t="n">
        <f aca="false">(Sens!J4065+Sens!K4065)/2*rent_mw/1000</f>
        <v>6.72084</v>
      </c>
    </row>
    <row r="4085" customFormat="false" ht="17.15" hidden="false" customHeight="false" outlineLevel="0" collapsed="false">
      <c r="A4085" s="0" t="s">
        <v>982</v>
      </c>
      <c r="B4085" s="0" t="s">
        <v>98</v>
      </c>
      <c r="D4085" s="6" t="n">
        <f aca="false">(Sens!C4067+Sens!D4067)/2*(1-self_build)*fac_rent/1000</f>
        <v>0.853242375631075</v>
      </c>
      <c r="E4085" s="6" t="n">
        <f aca="false">(Sens!D4067+Sens!E4067)/2*(1-self_build)*fac_rent/1000</f>
        <v>1.94955961408728</v>
      </c>
      <c r="F4085" s="6" t="n">
        <f aca="false">(Sens!E4067+Sens!F4067)/2*(1-self_build)*fac_rent/1000</f>
        <v>4.19966002452699</v>
      </c>
      <c r="G4085" s="6" t="n">
        <f aca="false">(Sens!F4067+Sens!G4067)/2*(1-self_build)*fac_rent/1000</f>
        <v>7.34360232507189</v>
      </c>
      <c r="H4085" s="6" t="n">
        <f aca="false">(Sens!G4067+Sens!H4067)/2*(1-self_build)*fac_rent/1000</f>
        <v>10.5897352822331</v>
      </c>
      <c r="I4085" s="6" t="n">
        <f aca="false">(Sens!H4067+Sens!I4067)/2*(1-self_build)*fac_rent/1000</f>
        <v>13.359660386555</v>
      </c>
      <c r="J4085" s="6" t="n">
        <f aca="false">(Sens!I4067+Sens!J4067)/2*(1-self_build)*fac_rent/1000</f>
        <v>15.2001069577134</v>
      </c>
      <c r="K4085" s="6" t="n">
        <f aca="false">(Sens!J4067+Sens!K4067)/2*(1-self_build)*fac_rent/1000</f>
        <v>16.1433512203281</v>
      </c>
      <c r="L4085" s="12" t="s">
        <v>983</v>
      </c>
    </row>
    <row r="4086" customFormat="false" ht="17.15" hidden="false" customHeight="false" outlineLevel="0" collapsed="false">
      <c r="A4086" s="1" t="s">
        <v>984</v>
      </c>
      <c r="B4086" s="0" t="s">
        <v>168</v>
      </c>
      <c r="D4086" s="7" t="n">
        <f aca="false">(Sens!C4066+Sens!D4066)/(Sens!C4067+Sens!D4067)</f>
        <v>0.6</v>
      </c>
      <c r="E4086" s="7" t="n">
        <f aca="false">(Sens!D4066+Sens!E4066)/(Sens!D4067+Sens!E4067)</f>
        <v>0.6</v>
      </c>
      <c r="F4086" s="7" t="n">
        <f aca="false">(Sens!E4066+Sens!F4066)/(Sens!E4067+Sens!F4067)</f>
        <v>0.6</v>
      </c>
      <c r="G4086" s="7" t="n">
        <f aca="false">(Sens!F4066+Sens!G4066)/(Sens!F4067+Sens!G4067)</f>
        <v>0.6</v>
      </c>
      <c r="H4086" s="7" t="n">
        <f aca="false">(Sens!G4066+Sens!H4066)/(Sens!G4067+Sens!H4067)</f>
        <v>0.6</v>
      </c>
      <c r="I4086" s="7" t="n">
        <f aca="false">(Sens!H4066+Sens!I4066)/(Sens!H4067+Sens!I4067)</f>
        <v>0.6</v>
      </c>
      <c r="J4086" s="7" t="n">
        <f aca="false">(Sens!I4066+Sens!J4066)/(Sens!I4067+Sens!J4067)</f>
        <v>0.6</v>
      </c>
      <c r="K4086" s="7" t="n">
        <f aca="false">(Sens!J4066+Sens!K4066)/(Sens!J4067+Sens!K4067)</f>
        <v>0.6</v>
      </c>
    </row>
    <row r="4087" customFormat="false" ht="17.15" hidden="false" customHeight="false" outlineLevel="0" collapsed="false">
      <c r="A4087" s="0" t="s">
        <v>985</v>
      </c>
      <c r="B4087" s="0" t="s">
        <v>98</v>
      </c>
      <c r="D4087" s="6" t="n">
        <f aca="false">Sens!D4081-Sens!D4086*(Sens!D4083+Sens!D4085)-Sens!D4084</f>
        <v>8.35701406163072</v>
      </c>
      <c r="E4087" s="6" t="n">
        <f aca="false">Sens!E4081-Sens!E4086*(Sens!E4083+Sens!E4085)-Sens!E4084</f>
        <v>18.7103224860238</v>
      </c>
      <c r="F4087" s="6" t="n">
        <f aca="false">Sens!F4081-Sens!F4086*(Sens!F4083+Sens!F4085)-Sens!F4084</f>
        <v>37.6617922839184</v>
      </c>
      <c r="G4087" s="6" t="n">
        <f aca="false">Sens!G4081-Sens!G4086*(Sens!G4083+Sens!G4085)-Sens!G4084</f>
        <v>59.8173428543036</v>
      </c>
      <c r="H4087" s="6" t="n">
        <f aca="false">Sens!H4081-Sens!H4086*(Sens!H4083+Sens!H4085)-Sens!H4084</f>
        <v>76.5923533561401</v>
      </c>
      <c r="I4087" s="6" t="n">
        <f aca="false">Sens!I4081-Sens!I4086*(Sens!I4083+Sens!I4085)-Sens!I4084</f>
        <v>98.4459402803146</v>
      </c>
      <c r="J4087" s="6" t="n">
        <f aca="false">Sens!J4081-Sens!J4086*(Sens!J4083+Sens!J4085)-Sens!J4084</f>
        <v>113.616179024526</v>
      </c>
      <c r="K4087" s="6" t="n">
        <f aca="false">Sens!K4081-Sens!K4086*(Sens!K4083+Sens!K4085)-Sens!K4084</f>
        <v>123.022871517491</v>
      </c>
    </row>
    <row r="4088" customFormat="false" ht="17.15" hidden="false" customHeight="false" outlineLevel="0" collapsed="false">
      <c r="A4088" s="1" t="s">
        <v>986</v>
      </c>
      <c r="B4088" s="0" t="s">
        <v>98</v>
      </c>
      <c r="D4088" s="6" t="n">
        <f aca="false">(1-Sens!D4086)*(Sens!D4083+Sens!D4085)</f>
        <v>1.42281025374069</v>
      </c>
      <c r="E4088" s="6" t="n">
        <f aca="false">(1-Sens!E4086)*(Sens!E4083+Sens!E4085)</f>
        <v>3.25095598674472</v>
      </c>
      <c r="F4088" s="6" t="n">
        <f aca="false">(1-Sens!F4086)*(Sens!F4083+Sens!F4085)</f>
        <v>7.2021475868998</v>
      </c>
      <c r="G4088" s="6" t="n">
        <f aca="false">(1-Sens!G4086)*(Sens!G4083+Sens!G4085)</f>
        <v>12.7824258697846</v>
      </c>
      <c r="H4088" s="6" t="n">
        <f aca="false">(1-Sens!H4086)*(Sens!H4083+Sens!H4085)</f>
        <v>18.6079908742688</v>
      </c>
      <c r="I4088" s="6" t="n">
        <f aca="false">(1-Sens!I4086)*(Sens!I4083+Sens!I4085)</f>
        <v>23.6339903084477</v>
      </c>
      <c r="J4088" s="6" t="n">
        <f aca="false">(1-Sens!J4086)*(Sens!J4083+Sens!J4085)</f>
        <v>27.0308780324476</v>
      </c>
      <c r="K4088" s="6" t="n">
        <f aca="false">(1-Sens!K4086)*(Sens!K4083+Sens!K4085)</f>
        <v>28.9127820952278</v>
      </c>
    </row>
    <row r="4089" customFormat="false" ht="17.15" hidden="false" customHeight="false" outlineLevel="0" collapsed="false">
      <c r="A4089" s="1" t="s">
        <v>987</v>
      </c>
      <c r="B4089" s="0" t="s">
        <v>414</v>
      </c>
      <c r="C4089" s="8" t="n">
        <f aca="false">cxit_open</f>
        <v>27.5918995</v>
      </c>
      <c r="D4089" s="8" t="n">
        <f aca="false">cxit_open</f>
        <v>27.5918995</v>
      </c>
      <c r="E4089" s="8" t="n">
        <f aca="false">cxit_open</f>
        <v>27.5918995</v>
      </c>
      <c r="F4089" s="8" t="n">
        <f aca="false">((a_g3_27-nonnv*a_mai)*tk_cxit_gb300+nonnv*a_mai*nv_hold_mai*tk_cxit_vr200+(1-a_g3_27)*tk_cxit_vr200)</f>
        <v>32.4975576</v>
      </c>
      <c r="G4089" s="8" t="n">
        <f aca="false">((a_g3_28-nonnv*a_mai)*tk_cxit_gb300+nonnv*a_mai*nv_hold_mai*tk_cxit_vr200+(1-a_g3_28)*tk_cxit_vr200)</f>
        <v>34.6372088</v>
      </c>
      <c r="H4089" s="8" t="n">
        <f aca="false">((a_g3_29-nonnv*a_mai)*tk_cxit_gb300+nonnv*a_mai*nv_hold_mai*tk_cxit_vr200+(1-a_g3_29)*tk_cxit_vr200)</f>
        <v>35.7070344</v>
      </c>
      <c r="I4089" s="8" t="n">
        <f aca="false">((a_g3_29-nonnv*a_mai)*tk_cxit_gb300+nonnv*a_mai*nv_hold_mai*tk_cxit_vr200+(1-a_g3_29)*tk_cxit_vr200)</f>
        <v>35.7070344</v>
      </c>
      <c r="J4089" s="8" t="n">
        <f aca="false">((a_g3_29-nonnv*a_mai)*tk_cxit_gb300+nonnv*a_mai*nv_hold_mai*tk_cxit_vr200+(1-a_g3_29)*tk_cxit_vr200)</f>
        <v>35.7070344</v>
      </c>
      <c r="K4089" s="8" t="n">
        <f aca="false">((a_g3_29-nonnv*a_mai)*tk_cxit_gb300+nonnv*a_mai*nv_hold_mai*tk_cxit_vr200+(1-a_g3_29)*tk_cxit_vr200)</f>
        <v>35.7070344</v>
      </c>
      <c r="L4089" s="12" t="s">
        <v>988</v>
      </c>
    </row>
    <row r="4090" customFormat="false" ht="17.15" hidden="false" customHeight="false" outlineLevel="0" collapsed="false">
      <c r="A4090" s="0" t="s">
        <v>989</v>
      </c>
      <c r="B4090" s="0" t="s">
        <v>456</v>
      </c>
      <c r="F4090" s="30" t="n">
        <f aca="false">Sens!C4069*IF(Sens!F4062-Sens!C4062=life_it,1,0)+Sens!D4069*IF(Sens!F4062-Sens!D4062=life_it,1,0)+Sens!E4069*IF(Sens!F4062-Sens!E4062=life_it,1,0)</f>
        <v>0</v>
      </c>
      <c r="G4090" s="30" t="n">
        <f aca="false">Sens!C4069*IF(Sens!G4062-Sens!C4062=life_it,1,0)+Sens!D4069*IF(Sens!G4062-Sens!D4062=life_it,1,0)+Sens!E4069*IF(Sens!G4062-Sens!E4062=life_it,1,0)+Sens!F4069*IF(Sens!G4062-Sens!F4062=life_it,1,0)</f>
        <v>0</v>
      </c>
      <c r="H4090" s="30" t="n">
        <f aca="false">Sens!C4069*IF(Sens!H4062-Sens!C4062=life_it,1,0)+Sens!D4069*IF(Sens!H4062-Sens!D4062=life_it,1,0)+Sens!E4069*IF(Sens!H4062-Sens!E4062=life_it,1,0)+Sens!F4069*IF(Sens!H4062-Sens!F4062=life_it,1,0)+Sens!G4069*IF(Sens!H4062-Sens!G4062=life_it,1,0)</f>
        <v>0</v>
      </c>
      <c r="I4090" s="30" t="n">
        <f aca="false">Sens!C4069*IF(Sens!I4062-Sens!C4062=life_it,1,0)+Sens!D4069*IF(Sens!I4062-Sens!D4062=life_it,1,0)+Sens!E4069*IF(Sens!I4062-Sens!E4062=life_it,1,0)+Sens!F4069*IF(Sens!I4062-Sens!F4062=life_it,1,0)+Sens!G4069*IF(Sens!I4062-Sens!G4062=life_it,1,0)+Sens!H4069*IF(Sens!I4062-Sens!H4062=life_it,1,0)</f>
        <v>816.666666666667</v>
      </c>
      <c r="J4090" s="30" t="n">
        <f aca="false">Sens!C4069*IF(Sens!J4062-Sens!C4062=life_it,1,0)+Sens!D4069*IF(Sens!J4062-Sens!D4062=life_it,1,0)+Sens!E4069*IF(Sens!J4062-Sens!E4062=life_it,1,0)+Sens!F4069*IF(Sens!J4062-Sens!F4062=life_it,1,0)+Sens!G4069*IF(Sens!J4062-Sens!G4062=life_it,1,0)+Sens!H4069*IF(Sens!J4062-Sens!H4062=life_it,1,0)+Sens!I4069*IF(Sens!J4062-Sens!I4062=life_it,1,0)</f>
        <v>1233.33333333333</v>
      </c>
      <c r="K4090" s="30" t="n">
        <f aca="false">Sens!C4069*IF(Sens!K4062-Sens!C4062=life_it,1,0)+Sens!D4069*IF(Sens!K4062-Sens!D4062=life_it,1,0)+Sens!E4069*IF(Sens!K4062-Sens!E4062=life_it,1,0)+Sens!F4069*IF(Sens!K4062-Sens!F4062=life_it,1,0)+Sens!G4069*IF(Sens!K4062-Sens!G4062=life_it,1,0)+Sens!H4069*IF(Sens!K4062-Sens!H4062=life_it,1,0)+Sens!I4069*IF(Sens!K4062-Sens!I4062=life_it,1,0)+Sens!J4069*IF(Sens!K4062-Sens!J4062=life_it,1,0)</f>
        <v>2450</v>
      </c>
      <c r="L4090" s="1" t="s">
        <v>990</v>
      </c>
    </row>
    <row r="4091" customFormat="false" ht="17.15" hidden="false" customHeight="false" outlineLevel="0" collapsed="false">
      <c r="A4091" s="0" t="s">
        <v>991</v>
      </c>
      <c r="B4091" s="0" t="s">
        <v>98</v>
      </c>
      <c r="C4091" s="6" t="n">
        <f aca="false">Sens!C4069*Sens!C4089/1000</f>
        <v>22.5333845916667</v>
      </c>
      <c r="D4091" s="6" t="n">
        <f aca="false">Sens!D4069*Sens!D4089/1000</f>
        <v>34.0300093833333</v>
      </c>
      <c r="E4091" s="6" t="n">
        <f aca="false">Sens!E4069*Sens!E4089/1000</f>
        <v>67.600153775</v>
      </c>
      <c r="F4091" s="6" t="n">
        <f aca="false">(Sens!F4069+Sens!F4090)*Sens!F4089/1000</f>
        <v>166.053968145344</v>
      </c>
      <c r="G4091" s="6" t="n">
        <f aca="false">(Sens!G4069+Sens!G4090)*Sens!G4089/1000</f>
        <v>188.879131118458</v>
      </c>
      <c r="H4091" s="6" t="n">
        <f aca="false">(Sens!H4069+Sens!H4090)*Sens!H4089/1000</f>
        <v>194.712965217015</v>
      </c>
      <c r="I4091" s="6" t="n">
        <f aca="false">(Sens!I4069+Sens!I4090)*Sens!I4089/1000</f>
        <v>166.744908224521</v>
      </c>
      <c r="J4091" s="6" t="n">
        <f aca="false">(Sens!J4069+Sens!J4090)*Sens!J4089/1000</f>
        <v>127.245720741316</v>
      </c>
      <c r="K4091" s="6" t="n">
        <f aca="false">(Sens!K4069+Sens!K4090)*Sens!K4089/1000</f>
        <v>117.432530492906</v>
      </c>
    </row>
    <row r="4092" customFormat="false" ht="17.15" hidden="false" customHeight="false" outlineLevel="0" collapsed="false">
      <c r="A4092" s="0" t="s">
        <v>992</v>
      </c>
      <c r="B4092" s="0" t="s">
        <v>98</v>
      </c>
      <c r="C4092" s="6" t="n">
        <f aca="false">Sens!C4069*self_build*tk_cxfac/1000</f>
        <v>6.2083</v>
      </c>
      <c r="D4092" s="6" t="n">
        <f aca="false">Sens!D4069*self_build*tk_cxfac/1000</f>
        <v>9.3758</v>
      </c>
      <c r="E4092" s="6" t="n">
        <f aca="false">Sens!E4069*self_build*tk_cxfac/1000</f>
        <v>18.6249</v>
      </c>
      <c r="F4092" s="6" t="n">
        <f aca="false">Sens!F4069*self_build*tk_cxfac/1000</f>
        <v>38.8442196604</v>
      </c>
      <c r="G4092" s="6" t="n">
        <f aca="false">Sens!G4069*self_build*tk_cxfac/1000</f>
        <v>41.4542396604</v>
      </c>
      <c r="H4092" s="6" t="n">
        <f aca="false">Sens!H4069*self_build*tk_cxfac/1000</f>
        <v>41.4542396604</v>
      </c>
      <c r="I4092" s="6" t="n">
        <f aca="false">Sens!I4069*self_build*tk_cxfac/1000</f>
        <v>29.291561963412</v>
      </c>
      <c r="J4092" s="6" t="n">
        <f aca="false">Sens!J4069*self_build*tk_cxfac/1000</f>
        <v>17.7147155056922</v>
      </c>
      <c r="K4092" s="6" t="n">
        <f aca="false">Sens!K4069*self_build*tk_cxfac/1000</f>
        <v>6.3763948935091</v>
      </c>
    </row>
    <row r="4093" customFormat="false" ht="17.15" hidden="false" customHeight="false" outlineLevel="0" collapsed="false">
      <c r="A4093" s="0" t="s">
        <v>993</v>
      </c>
      <c r="B4093" s="0" t="s">
        <v>98</v>
      </c>
      <c r="F4093" s="15" t="n">
        <f aca="false">capex_floor27-Sens!F4091-Sens!F4092-Sens!F4189</f>
        <v>-36.3798369776098</v>
      </c>
      <c r="L4093" s="12" t="s">
        <v>994</v>
      </c>
    </row>
    <row r="4094" customFormat="false" ht="17.15" hidden="false" customHeight="false" outlineLevel="0" collapsed="false">
      <c r="A4094" s="0" t="s">
        <v>995</v>
      </c>
      <c r="B4094" s="0" t="s">
        <v>98</v>
      </c>
      <c r="F4094" s="6" t="n">
        <f aca="false">MAX(0,Sens!F4093)</f>
        <v>0</v>
      </c>
    </row>
    <row r="4095" customFormat="false" ht="17.15" hidden="false" customHeight="false" outlineLevel="0" collapsed="false">
      <c r="A4095" s="0" t="s">
        <v>996</v>
      </c>
      <c r="B4095" s="0" t="s">
        <v>98</v>
      </c>
      <c r="C4095" s="6" t="n">
        <f aca="false">Sens!C4091</f>
        <v>22.5333845916667</v>
      </c>
      <c r="D4095" s="6" t="n">
        <f aca="false">Sens!D4091</f>
        <v>34.0300093833333</v>
      </c>
      <c r="E4095" s="6" t="n">
        <f aca="false">Sens!E4091</f>
        <v>67.600153775</v>
      </c>
      <c r="F4095" s="6" t="n">
        <f aca="false">Sens!F4091</f>
        <v>166.053968145344</v>
      </c>
      <c r="G4095" s="6" t="n">
        <f aca="false">Sens!G4091</f>
        <v>188.879131118458</v>
      </c>
      <c r="H4095" s="6" t="n">
        <f aca="false">Sens!H4091</f>
        <v>194.712965217015</v>
      </c>
      <c r="I4095" s="6" t="n">
        <f aca="false">Sens!I4091</f>
        <v>166.744908224521</v>
      </c>
      <c r="J4095" s="6" t="n">
        <f aca="false">Sens!J4091</f>
        <v>127.245720741316</v>
      </c>
      <c r="K4095" s="6" t="n">
        <f aca="false">Sens!K4091</f>
        <v>117.432530492906</v>
      </c>
    </row>
    <row r="4096" customFormat="false" ht="17.15" hidden="false" customHeight="false" outlineLevel="0" collapsed="false">
      <c r="A4096" s="0" t="s">
        <v>997</v>
      </c>
      <c r="B4096" s="0" t="s">
        <v>98</v>
      </c>
      <c r="C4096" s="6" t="n">
        <f aca="false">Sens!C4095+Sens!C4092</f>
        <v>28.7416845916667</v>
      </c>
      <c r="D4096" s="6" t="n">
        <f aca="false">Sens!D4095+Sens!D4092</f>
        <v>43.4058093833333</v>
      </c>
      <c r="E4096" s="6" t="n">
        <f aca="false">Sens!E4095+Sens!E4092</f>
        <v>86.225053775</v>
      </c>
      <c r="F4096" s="6" t="n">
        <f aca="false">Sens!F4095+Sens!F4092</f>
        <v>204.898187805744</v>
      </c>
      <c r="G4096" s="6" t="n">
        <f aca="false">Sens!G4095+Sens!G4092</f>
        <v>230.333370778858</v>
      </c>
      <c r="H4096" s="6" t="n">
        <f aca="false">Sens!H4095+Sens!H4092</f>
        <v>236.167204877415</v>
      </c>
      <c r="I4096" s="6" t="n">
        <f aca="false">Sens!I4095+Sens!I4092</f>
        <v>196.036470187933</v>
      </c>
      <c r="J4096" s="6" t="n">
        <f aca="false">Sens!J4095+Sens!J4092</f>
        <v>144.960436247008</v>
      </c>
      <c r="K4096" s="6" t="n">
        <f aca="false">Sens!K4095+Sens!K4092</f>
        <v>123.808925386415</v>
      </c>
      <c r="L4096" s="12" t="s">
        <v>998</v>
      </c>
    </row>
    <row r="4097" customFormat="false" ht="17.15" hidden="false" customHeight="false" outlineLevel="0" collapsed="false">
      <c r="A4097" s="0" t="s">
        <v>999</v>
      </c>
      <c r="B4097" s="0" t="s">
        <v>98</v>
      </c>
      <c r="E4097" s="6" t="n">
        <f aca="false">(Sens!C4095*IF(2&lt;life_it,1,IF(2=life_it,0.5,0))+Sens!D4095*IF(1&lt;life_it,1,IF(1=life_it,0.5,0))+Sens!E4095*0.5)/life_it</f>
        <v>15.0605784770833</v>
      </c>
      <c r="F4097" s="6" t="n">
        <f aca="false">(Sens!C4095*IF(3&lt;life_it,1,IF(3=life_it,0.5,0))+Sens!D4095*IF(2&lt;life_it,1,IF(2=life_it,0.5,0))+Sens!E4095*IF(1&lt;life_it,1,IF(1=life_it,0.5,0))+Sens!F4095*0.5)/life_it</f>
        <v>34.5317553037786</v>
      </c>
      <c r="G4097" s="6" t="n">
        <f aca="false">(Sens!C4095*IF(4&lt;life_it,1,IF(4=life_it,0.5,0))+Sens!D4095*IF(3&lt;life_it,1,IF(3=life_it,0.5,0))+Sens!E4095*IF(2&lt;life_it,1,IF(2=life_it,0.5,0))+Sens!F4095*IF(1&lt;life_it,1,IF(1=life_it,0.5,0))+Sens!G4095*0.5)/life_it</f>
        <v>64.1095135757621</v>
      </c>
      <c r="H4097" s="6" t="n">
        <f aca="false">(Sens!C4095*IF(5&lt;life_it,1,IF(5=life_it,0.5,0))+Sens!D4095*IF(4&lt;life_it,1,IF(4=life_it,0.5,0))+Sens!E4095*IF(3&lt;life_it,1,IF(3=life_it,0.5,0))+Sens!F4095*IF(2&lt;life_it,1,IF(2=life_it,0.5,0))+Sens!G4095*IF(1&lt;life_it,1,IF(1=life_it,0.5,0))+Sens!H4095*0.5)/life_it</f>
        <v>96.0755216037181</v>
      </c>
      <c r="I4097" s="6" t="n">
        <f aca="false">(Sens!C4095*IF(6&lt;life_it,1,IF(6=life_it,0.5,0))+Sens!D4095*IF(5&lt;life_it,1,IF(5=life_it,0.5,0))+Sens!E4095*IF(4&lt;life_it,1,IF(4=life_it,0.5,0))+Sens!F4095*IF(3&lt;life_it,1,IF(3=life_it,0.5,0))+Sens!G4095*IF(2&lt;life_it,1,IF(2=life_it,0.5,0))+Sens!H4095*IF(1&lt;life_it,1,IF(1=life_it,0.5,0))+Sens!I4095*0.5)/life_it</f>
        <v>124.319229007874</v>
      </c>
      <c r="J4097" s="6" t="n">
        <f aca="false">(Sens!C4095*IF(7&lt;life_it,1,IF(7=life_it,0.5,0))+Sens!D4095*IF(6&lt;life_it,1,IF(6=life_it,0.5,0))+Sens!E4095*IF(5&lt;life_it,1,IF(5=life_it,0.5,0))+Sens!F4095*IF(4&lt;life_it,1,IF(4=life_it,0.5,0))+Sens!G4095*IF(3&lt;life_it,1,IF(3=life_it,0.5,0))+Sens!H4095*IF(2&lt;life_it,1,IF(2=life_it,0.5,0))+Sens!I4095*IF(1&lt;life_it,1,IF(1=life_it,0.5,0))+Sens!J4095*0.5)/life_it</f>
        <v>144.104831923777</v>
      </c>
      <c r="K4097" s="6" t="n">
        <f aca="false">(Sens!C4095*IF(8&lt;life_it,1,IF(8=life_it,0.5,0))+Sens!D4095*IF(7&lt;life_it,1,IF(7=life_it,0.5,0))+Sens!E4095*IF(6&lt;life_it,1,IF(6=life_it,0.5,0))+Sens!F4095*IF(5&lt;life_it,1,IF(5=life_it,0.5,0))+Sens!G4095*IF(4&lt;life_it,1,IF(4=life_it,0.5,0))+Sens!H4095*IF(3&lt;life_it,1,IF(3=life_it,0.5,0))+Sens!I4095*IF(2&lt;life_it,1,IF(2=life_it,0.5,0))+Sens!J4095*IF(1&lt;life_it,1,IF(1=life_it,0.5,0))+Sens!K4095*0.5)/life_it</f>
        <v>156.025505930101</v>
      </c>
    </row>
    <row r="4098" customFormat="false" ht="17.15" hidden="false" customHeight="false" outlineLevel="0" collapsed="false">
      <c r="A4098" s="0" t="s">
        <v>1000</v>
      </c>
      <c r="B4098" s="0" t="s">
        <v>98</v>
      </c>
      <c r="E4098" s="6" t="n">
        <f aca="false">(Sens!C4092*IF(2&lt;life_fac,1,IF(2=life_fac,0.5,0))+Sens!D4092*IF(1&lt;life_fac,1,IF(1=life_fac,0.5,0))+Sens!E4092*0.5)/life_fac</f>
        <v>1.2448275</v>
      </c>
      <c r="F4098" s="6" t="n">
        <f aca="false">(Sens!C4092*IF(3&lt;life_fac,1,IF(3=life_fac,0.5,0))+Sens!D4092*IF(2&lt;life_fac,1,IF(2=life_fac,0.5,0))+Sens!E4092*IF(1&lt;life_fac,1,IF(1=life_fac,0.5,0))+Sens!F4092*0.5)/life_fac</f>
        <v>2.68155549151</v>
      </c>
      <c r="G4098" s="6" t="n">
        <f aca="false">(Sens!C4092*IF(4&lt;life_fac,1,IF(4=life_fac,0.5,0))+Sens!D4092*IF(3&lt;life_fac,1,IF(3=life_fac,0.5,0))+Sens!E4092*IF(2&lt;life_fac,1,IF(2=life_fac,0.5,0))+Sens!F4092*IF(1&lt;life_fac,1,IF(1=life_fac,0.5,0))+Sens!G4092*0.5)/life_fac</f>
        <v>4.68901697453</v>
      </c>
      <c r="H4098" s="6" t="n">
        <f aca="false">(Sens!C4092*IF(5&lt;life_fac,1,IF(5=life_fac,0.5,0))+Sens!D4092*IF(4&lt;life_fac,1,IF(4=life_fac,0.5,0))+Sens!E4092*IF(3&lt;life_fac,1,IF(3=life_fac,0.5,0))+Sens!F4092*IF(2&lt;life_fac,1,IF(2=life_fac,0.5,0))+Sens!G4092*IF(1&lt;life_fac,1,IF(1=life_fac,0.5,0))+Sens!H4092*0.5)/life_fac</f>
        <v>6.76172895755</v>
      </c>
      <c r="I4098" s="6" t="n">
        <f aca="false">(Sens!C4092*IF(6&lt;life_fac,1,IF(6=life_fac,0.5,0))+Sens!D4092*IF(5&lt;life_fac,1,IF(5=life_fac,0.5,0))+Sens!E4092*IF(4&lt;life_fac,1,IF(4=life_fac,0.5,0))+Sens!F4092*IF(3&lt;life_fac,1,IF(3=life_fac,0.5,0))+Sens!G4092*IF(2&lt;life_fac,1,IF(2=life_fac,0.5,0))+Sens!H4092*IF(1&lt;life_fac,1,IF(1=life_fac,0.5,0))+Sens!I4092*0.5)/life_fac</f>
        <v>8.5303739981453</v>
      </c>
      <c r="J4098" s="6" t="n">
        <f aca="false">(Sens!C4092*IF(7&lt;life_fac,1,IF(7=life_fac,0.5,0))+Sens!D4092*IF(6&lt;life_fac,1,IF(6=life_fac,0.5,0))+Sens!E4092*IF(5&lt;life_fac,1,IF(5=life_fac,0.5,0))+Sens!F4092*IF(4&lt;life_fac,1,IF(4=life_fac,0.5,0))+Sens!G4092*IF(3&lt;life_fac,1,IF(3=life_fac,0.5,0))+Sens!H4092*IF(2&lt;life_fac,1,IF(2=life_fac,0.5,0))+Sens!I4092*IF(1&lt;life_fac,1,IF(1=life_fac,0.5,0))+Sens!J4092*0.5)/life_fac</f>
        <v>9.70553093487291</v>
      </c>
      <c r="K4098" s="6" t="n">
        <f aca="false">(Sens!C4092*IF(8&lt;life_fac,1,IF(8=life_fac,0.5,0))+Sens!D4092*IF(7&lt;life_fac,1,IF(7=life_fac,0.5,0))+Sens!E4092*IF(6&lt;life_fac,1,IF(6=life_fac,0.5,0))+Sens!F4092*IF(5&lt;life_fac,1,IF(5=life_fac,0.5,0))+Sens!G4092*IF(4&lt;life_fac,1,IF(4=life_fac,0.5,0))+Sens!H4092*IF(3&lt;life_fac,1,IF(3=life_fac,0.5,0))+Sens!I4092*IF(2&lt;life_fac,1,IF(2=life_fac,0.5,0))+Sens!J4092*IF(1&lt;life_fac,1,IF(1=life_fac,0.5,0))+Sens!K4092*0.5)/life_fac</f>
        <v>10.3078086948529</v>
      </c>
    </row>
    <row r="4099" customFormat="false" ht="17.15" hidden="false" customHeight="false" outlineLevel="0" collapsed="false">
      <c r="A4099" s="0" t="s">
        <v>1001</v>
      </c>
      <c r="B4099" s="0" t="s">
        <v>98</v>
      </c>
      <c r="E4099" s="6" t="n">
        <f aca="false">Sens!E4097+Sens!E4098</f>
        <v>16.3054059770833</v>
      </c>
      <c r="F4099" s="6" t="n">
        <f aca="false">Sens!F4097+Sens!F4098</f>
        <v>37.2133107952886</v>
      </c>
      <c r="G4099" s="6" t="n">
        <f aca="false">Sens!G4097+Sens!G4098</f>
        <v>68.7985305502921</v>
      </c>
      <c r="H4099" s="6" t="n">
        <f aca="false">Sens!H4097+Sens!H4098</f>
        <v>102.837250561268</v>
      </c>
      <c r="I4099" s="6" t="n">
        <f aca="false">Sens!I4097+Sens!I4098</f>
        <v>132.849603006019</v>
      </c>
      <c r="J4099" s="6" t="n">
        <f aca="false">Sens!J4097+Sens!J4098</f>
        <v>153.81036285865</v>
      </c>
      <c r="K4099" s="6" t="n">
        <f aca="false">Sens!K4097+Sens!K4098</f>
        <v>166.333314624954</v>
      </c>
    </row>
    <row r="4100" customFormat="false" ht="17.15" hidden="false" customHeight="false" outlineLevel="0" collapsed="false">
      <c r="A4100" s="0" t="s">
        <v>1002</v>
      </c>
      <c r="B4100" s="0" t="s">
        <v>98</v>
      </c>
      <c r="E4100" s="6" t="n">
        <f aca="false">Sens!E4087-Sens!E4086*Sens!E4099</f>
        <v>8.92707889977379</v>
      </c>
      <c r="F4100" s="6" t="n">
        <f aca="false">Sens!F4087-Sens!F4086*Sens!F4099</f>
        <v>15.3338058067452</v>
      </c>
      <c r="G4100" s="6" t="n">
        <f aca="false">Sens!G4087-Sens!G4086*Sens!G4099</f>
        <v>18.5382245241284</v>
      </c>
      <c r="H4100" s="6" t="n">
        <f aca="false">Sens!H4087-Sens!H4086*Sens!H4099</f>
        <v>14.8900030193793</v>
      </c>
      <c r="I4100" s="6" t="n">
        <f aca="false">Sens!I4087-Sens!I4086*Sens!I4099</f>
        <v>18.7361784767032</v>
      </c>
      <c r="J4100" s="6" t="n">
        <f aca="false">Sens!J4087-Sens!J4086*Sens!J4099</f>
        <v>21.329961309336</v>
      </c>
      <c r="K4100" s="6" t="n">
        <f aca="false">Sens!K4087-Sens!K4086*Sens!K4099</f>
        <v>23.2228827425184</v>
      </c>
    </row>
    <row r="4101" customFormat="false" ht="17.15" hidden="false" customHeight="false" outlineLevel="0" collapsed="false">
      <c r="A4101" s="3" t="s">
        <v>1581</v>
      </c>
    </row>
    <row r="4102" customFormat="false" ht="15" hidden="false" customHeight="false" outlineLevel="0" collapsed="false">
      <c r="A4102" s="4" t="s">
        <v>43</v>
      </c>
      <c r="B4102" s="4" t="s">
        <v>65</v>
      </c>
      <c r="C4102" s="23" t="s">
        <v>938</v>
      </c>
      <c r="D4102" s="23" t="s">
        <v>939</v>
      </c>
      <c r="E4102" s="23" t="s">
        <v>940</v>
      </c>
      <c r="F4102" s="23" t="s">
        <v>941</v>
      </c>
      <c r="G4102" s="23" t="s">
        <v>942</v>
      </c>
      <c r="H4102" s="23" t="s">
        <v>943</v>
      </c>
      <c r="I4102" s="23" t="s">
        <v>944</v>
      </c>
      <c r="J4102" s="23" t="s">
        <v>945</v>
      </c>
      <c r="K4102" s="23" t="s">
        <v>946</v>
      </c>
      <c r="L4102" s="4" t="s">
        <v>47</v>
      </c>
    </row>
    <row r="4103" customFormat="false" ht="17.15" hidden="false" customHeight="false" outlineLevel="0" collapsed="false">
      <c r="A4103" s="0" t="s">
        <v>1021</v>
      </c>
      <c r="B4103" s="0" t="s">
        <v>98</v>
      </c>
      <c r="D4103" s="6" t="n">
        <f aca="false">Sens!D4081</f>
        <v>12.9359794422418</v>
      </c>
      <c r="E4103" s="6" t="n">
        <f aca="false">Sens!E4081</f>
        <v>27.8095064661409</v>
      </c>
      <c r="F4103" s="6" t="n">
        <f aca="false">Sens!F4081</f>
        <v>54.2701836642681</v>
      </c>
      <c r="G4103" s="6" t="n">
        <f aca="false">Sens!G4081</f>
        <v>85.7118216589805</v>
      </c>
      <c r="H4103" s="6" t="n">
        <f aca="false">Sens!H4081</f>
        <v>111.225179667543</v>
      </c>
      <c r="I4103" s="6" t="n">
        <f aca="false">Sens!I4081</f>
        <v>140.617765742986</v>
      </c>
      <c r="J4103" s="6" t="n">
        <f aca="false">Sens!J4081</f>
        <v>160.883336073197</v>
      </c>
      <c r="K4103" s="6" t="n">
        <f aca="false">Sens!K4081</f>
        <v>173.112884660333</v>
      </c>
    </row>
    <row r="4104" customFormat="false" ht="17.15" hidden="false" customHeight="false" outlineLevel="0" collapsed="false">
      <c r="A4104" s="0" t="s">
        <v>1022</v>
      </c>
      <c r="B4104" s="0" t="s">
        <v>98</v>
      </c>
      <c r="D4104" s="6" t="n">
        <f aca="false">Q!L6-Sens!D4103</f>
        <v>59.6740205577583</v>
      </c>
      <c r="E4104" s="6" t="n">
        <f aca="false">Q!M6-Sens!E4103</f>
        <v>74.1284935338591</v>
      </c>
      <c r="F4104" s="6" t="n">
        <f aca="false">Q!$I$6+(Sens!F4103+Sens!E4104*(1+Sens!F4105))*(1-Q!$E$6/Q!M6)-Sens!F4103</f>
        <v>91.5479046112879</v>
      </c>
      <c r="G4104" s="6" t="n">
        <f aca="false">Sens!F4104*(1+Sens!G4105)</f>
        <v>108.772574693662</v>
      </c>
      <c r="H4104" s="6" t="n">
        <f aca="false">Sens!G4104*(1+Sens!H4105)</f>
        <v>126.297135386679</v>
      </c>
      <c r="I4104" s="6" t="n">
        <f aca="false">Sens!H4104*(1+Sens!I4105)</f>
        <v>143.230376790693</v>
      </c>
      <c r="J4104" s="6" t="n">
        <f aca="false">Sens!I4104*(1+Sens!J4105)</f>
        <v>158.561371582657</v>
      </c>
      <c r="K4104" s="6" t="n">
        <f aca="false">Sens!J4104*(1+Sens!K4105)</f>
        <v>171.24628130927</v>
      </c>
      <c r="L4104" s="12" t="s">
        <v>1023</v>
      </c>
    </row>
    <row r="4105" customFormat="false" ht="15" hidden="false" customHeight="false" outlineLevel="0" collapsed="false">
      <c r="A4105" s="1" t="s">
        <v>1024</v>
      </c>
      <c r="B4105" s="0" t="s">
        <v>168</v>
      </c>
      <c r="E4105" s="7" t="n">
        <f aca="false">Sens!E4104/Sens!D4104-1</f>
        <v>0.242223883039864</v>
      </c>
      <c r="F4105" s="7" t="n">
        <f aca="false">Sens!$E$4105+(glt_azo-Sens!$E$4105)*MIN(1,(Sens!F4062-base_fy)/n_conv)</f>
        <v>0.215186569199887</v>
      </c>
      <c r="G4105" s="7" t="n">
        <f aca="false">Sens!$E$4105+(glt_azo-Sens!$E$4105)*MIN(1,(Sens!G4062-base_fy)/n_conv)</f>
        <v>0.18814925535991</v>
      </c>
      <c r="H4105" s="7" t="n">
        <f aca="false">Sens!$E$4105+(glt_azo-Sens!$E$4105)*MIN(1,(Sens!H4062-base_fy)/n_conv)</f>
        <v>0.161111941519932</v>
      </c>
      <c r="I4105" s="7" t="n">
        <f aca="false">Sens!$E$4105+(glt_azo-Sens!$E$4105)*MIN(1,(Sens!I4062-base_fy)/n_conv)</f>
        <v>0.134074627679955</v>
      </c>
      <c r="J4105" s="7" t="n">
        <f aca="false">Sens!$E$4105+(glt_azo-Sens!$E$4105)*MIN(1,(Sens!J4062-base_fy)/n_conv)</f>
        <v>0.107037313839977</v>
      </c>
      <c r="K4105" s="7" t="n">
        <f aca="false">Sens!$E$4105+(glt_azo-Sens!$E$4105)*MIN(1,(Sens!K4062-base_fy)/n_conv)</f>
        <v>0.08</v>
      </c>
    </row>
    <row r="4106" customFormat="false" ht="15" hidden="false" customHeight="false" outlineLevel="0" collapsed="false">
      <c r="A4106" s="0" t="s">
        <v>1025</v>
      </c>
      <c r="B4106" s="0" t="s">
        <v>98</v>
      </c>
      <c r="D4106" s="6" t="n">
        <f aca="false">Sens!D4103+Sens!D4104</f>
        <v>72.61</v>
      </c>
      <c r="E4106" s="6" t="n">
        <f aca="false">Sens!E4103+Sens!E4104</f>
        <v>101.938</v>
      </c>
      <c r="F4106" s="6" t="n">
        <f aca="false">Sens!F4103+Sens!F4104</f>
        <v>145.818088275556</v>
      </c>
      <c r="G4106" s="6" t="n">
        <f aca="false">Sens!G4103+Sens!G4104</f>
        <v>194.484396352642</v>
      </c>
      <c r="H4106" s="6" t="n">
        <f aca="false">Sens!H4103+Sens!H4104</f>
        <v>237.522315054223</v>
      </c>
      <c r="I4106" s="6" t="n">
        <f aca="false">Sens!I4103+Sens!I4104</f>
        <v>283.84814253368</v>
      </c>
      <c r="J4106" s="6" t="n">
        <f aca="false">Sens!J4103+Sens!J4104</f>
        <v>319.444707655854</v>
      </c>
      <c r="K4106" s="6" t="n">
        <f aca="false">Sens!K4103+Sens!K4104</f>
        <v>344.359165969602</v>
      </c>
    </row>
    <row r="4107" customFormat="false" ht="17.15" hidden="false" customHeight="false" outlineLevel="0" collapsed="false">
      <c r="A4107" s="0" t="s">
        <v>1026</v>
      </c>
      <c r="B4107" s="1" t="s">
        <v>610</v>
      </c>
      <c r="C4107" s="30" t="n">
        <f aca="false">cop_s24</f>
        <v>1</v>
      </c>
      <c r="D4107" s="30" t="n">
        <f aca="false">cop_s25</f>
        <v>5</v>
      </c>
      <c r="E4107" s="30" t="n">
        <f aca="false">cop_s26</f>
        <v>30</v>
      </c>
      <c r="F4107" s="30" t="n">
        <f aca="false">Sens!E4107+cop_add_C</f>
        <v>40</v>
      </c>
      <c r="G4107" s="30" t="n">
        <f aca="false">Sens!F4107+cop_add_C</f>
        <v>50</v>
      </c>
      <c r="H4107" s="30" t="n">
        <f aca="false">Sens!G4107+cop_add_C</f>
        <v>60</v>
      </c>
      <c r="I4107" s="30" t="n">
        <f aca="false">Sens!H4107+cop_add_C*cop_tail</f>
        <v>65</v>
      </c>
      <c r="J4107" s="30" t="n">
        <f aca="false">Sens!I4107+cop_add_C*cop_tail</f>
        <v>70</v>
      </c>
      <c r="K4107" s="30" t="n">
        <f aca="false">Sens!J4107+cop_add_C*cop_tail</f>
        <v>75</v>
      </c>
      <c r="L4107" s="12" t="s">
        <v>1027</v>
      </c>
    </row>
    <row r="4108" customFormat="false" ht="17.15" hidden="false" customHeight="false" outlineLevel="0" collapsed="false">
      <c r="A4108" s="0" t="s">
        <v>1028</v>
      </c>
      <c r="B4108" s="0" t="s">
        <v>98</v>
      </c>
      <c r="D4108" s="6" t="n">
        <f aca="false">(Sens!C4107+Sens!D4107)/2*cop_px*12/1000</f>
        <v>0.9</v>
      </c>
      <c r="E4108" s="6" t="n">
        <f aca="false">(Sens!D4107+Sens!E4107)/2*cop_px*12/1000</f>
        <v>5.25</v>
      </c>
      <c r="F4108" s="6" t="n">
        <f aca="false">(Sens!E4107+Sens!F4107)/2*cop_px*12/1000</f>
        <v>10.5</v>
      </c>
      <c r="G4108" s="6" t="n">
        <f aca="false">(Sens!F4107+Sens!G4107)/2*cop_px*12/1000</f>
        <v>13.5</v>
      </c>
      <c r="H4108" s="6" t="n">
        <f aca="false">(Sens!G4107+Sens!H4107)/2*cop_px*12/1000</f>
        <v>16.5</v>
      </c>
      <c r="I4108" s="6" t="n">
        <f aca="false">(Sens!H4107+Sens!I4107)/2*cop_px*12/1000</f>
        <v>18.75</v>
      </c>
      <c r="J4108" s="6" t="n">
        <f aca="false">(Sens!I4107+Sens!J4107)/2*cop_px*12/1000</f>
        <v>20.25</v>
      </c>
      <c r="K4108" s="6" t="n">
        <f aca="false">(Sens!J4107+Sens!K4107)/2*cop_px*12/1000</f>
        <v>21.75</v>
      </c>
      <c r="L4108" s="1" t="s">
        <v>1029</v>
      </c>
    </row>
    <row r="4109" customFormat="false" ht="17.15" hidden="false" customHeight="false" outlineLevel="0" collapsed="false">
      <c r="A4109" s="0" t="s">
        <v>1030</v>
      </c>
      <c r="B4109" s="0" t="s">
        <v>98</v>
      </c>
      <c r="D4109" s="6" t="n">
        <f aca="false">Q!L7-Sens!D4108</f>
        <v>83.705</v>
      </c>
      <c r="E4109" s="6" t="n">
        <f aca="false">Q!M7-Sens!E4108</f>
        <v>95.049</v>
      </c>
      <c r="F4109" s="6" t="n">
        <f aca="false">Q!$I$7+(Sens!E4109*(1+Sens!F4110)+Sens!F4108)*(1-Q!$E$7/Q!M7)-Sens!F4108</f>
        <v>106.938354189776</v>
      </c>
      <c r="G4109" s="6" t="n">
        <f aca="false">Sens!F4109*(1+Sens!G4110)</f>
        <v>119.095360443801</v>
      </c>
      <c r="H4109" s="6" t="n">
        <f aca="false">Sens!G4109*(1+Sens!H4110)</f>
        <v>131.333811964563</v>
      </c>
      <c r="I4109" s="6" t="n">
        <f aca="false">Sens!H4109*(1+Sens!I4110)</f>
        <v>143.395665319381</v>
      </c>
      <c r="J4109" s="6" t="n">
        <f aca="false">Sens!I4109*(1+Sens!J4110)</f>
        <v>154.999327755573</v>
      </c>
      <c r="K4109" s="6" t="n">
        <f aca="false">Sens!J4109*(1+Sens!K4110)</f>
        <v>165.849280698463</v>
      </c>
      <c r="L4109" s="12" t="s">
        <v>1031</v>
      </c>
    </row>
    <row r="4110" customFormat="false" ht="15" hidden="false" customHeight="false" outlineLevel="0" collapsed="false">
      <c r="A4110" s="1" t="s">
        <v>1024</v>
      </c>
      <c r="B4110" s="0" t="s">
        <v>168</v>
      </c>
      <c r="E4110" s="7" t="n">
        <f aca="false">Sens!E4109/Sens!D4109-1</f>
        <v>0.135523564900544</v>
      </c>
      <c r="F4110" s="7" t="n">
        <f aca="false">Sens!$E$4110+(glt_m365b-Sens!$E$4110)*MIN(1,(Sens!F4062-base_fy)/n_conv)</f>
        <v>0.124602970750453</v>
      </c>
      <c r="G4110" s="7" t="n">
        <f aca="false">Sens!$E$4110+(glt_m365b-Sens!$E$4110)*MIN(1,(Sens!G4062-base_fy)/n_conv)</f>
        <v>0.113682376600363</v>
      </c>
      <c r="H4110" s="7" t="n">
        <f aca="false">Sens!$E$4110+(glt_m365b-Sens!$E$4110)*MIN(1,(Sens!H4062-base_fy)/n_conv)</f>
        <v>0.102761782450272</v>
      </c>
      <c r="I4110" s="7" t="n">
        <f aca="false">Sens!$E$4110+(glt_m365b-Sens!$E$4110)*MIN(1,(Sens!I4062-base_fy)/n_conv)</f>
        <v>0.0918411883001813</v>
      </c>
      <c r="J4110" s="7" t="n">
        <f aca="false">Sens!$E$4110+(glt_m365b-Sens!$E$4110)*MIN(1,(Sens!J4062-base_fy)/n_conv)</f>
        <v>0.0809205941500906</v>
      </c>
      <c r="K4110" s="7" t="n">
        <f aca="false">Sens!$E$4110+(glt_m365b-Sens!$E$4110)*MIN(1,(Sens!K4062-base_fy)/n_conv)</f>
        <v>0.07</v>
      </c>
    </row>
    <row r="4111" customFormat="false" ht="15" hidden="false" customHeight="false" outlineLevel="0" collapsed="false">
      <c r="A4111" s="0" t="s">
        <v>1032</v>
      </c>
      <c r="B4111" s="0" t="s">
        <v>98</v>
      </c>
      <c r="D4111" s="6" t="n">
        <f aca="false">Sens!D4109+Sens!D4108</f>
        <v>84.605</v>
      </c>
      <c r="E4111" s="6" t="n">
        <f aca="false">Sens!E4109+Sens!E4108</f>
        <v>100.299</v>
      </c>
      <c r="F4111" s="6" t="n">
        <f aca="false">Sens!F4109+Sens!F4108</f>
        <v>117.438354189776</v>
      </c>
      <c r="G4111" s="6" t="n">
        <f aca="false">Sens!G4109+Sens!G4108</f>
        <v>132.595360443801</v>
      </c>
      <c r="H4111" s="6" t="n">
        <f aca="false">Sens!H4109+Sens!H4108</f>
        <v>147.833811964563</v>
      </c>
      <c r="I4111" s="6" t="n">
        <f aca="false">Sens!I4109+Sens!I4108</f>
        <v>162.145665319381</v>
      </c>
      <c r="J4111" s="6" t="n">
        <f aca="false">Sens!J4109+Sens!J4108</f>
        <v>175.249327755573</v>
      </c>
      <c r="K4111" s="6" t="n">
        <f aca="false">Sens!K4109+Sens!K4108</f>
        <v>187.599280698463</v>
      </c>
    </row>
    <row r="4112" customFormat="false" ht="17.15" hidden="false" customHeight="false" outlineLevel="0" collapsed="false">
      <c r="A4112" s="0" t="s">
        <v>1033</v>
      </c>
      <c r="B4112" s="0" t="s">
        <v>98</v>
      </c>
      <c r="D4112" s="6" t="n">
        <f aca="false">Q!L8</f>
        <v>35.391</v>
      </c>
      <c r="E4112" s="6" t="n">
        <f aca="false">Q!M8</f>
        <v>37.285</v>
      </c>
      <c r="F4112" s="6" t="n">
        <f aca="false">Q!$I$8+(Q!M8-Q!$E$8)*(1+Sens!F4113)</f>
        <v>38.3851437782675</v>
      </c>
      <c r="G4112" s="6" t="n">
        <f aca="false">Sens!F4112*(1+Sens!G4113)</f>
        <v>40.0105353288615</v>
      </c>
      <c r="H4112" s="6" t="n">
        <f aca="false">Sens!G4112*(1+Sens!H4113)</f>
        <v>41.4812512033683</v>
      </c>
      <c r="I4112" s="6" t="n">
        <f aca="false">Sens!H4112*(1+Sens!I4113)</f>
        <v>42.7743107216329</v>
      </c>
      <c r="J4112" s="6" t="n">
        <f aca="false">Sens!I4112*(1+Sens!J4113)</f>
        <v>43.8687373064601</v>
      </c>
      <c r="K4112" s="6" t="n">
        <f aca="false">Sens!J4112*(1+Sens!K4113)</f>
        <v>44.7461120525893</v>
      </c>
      <c r="L4112" s="12" t="s">
        <v>1034</v>
      </c>
    </row>
    <row r="4113" customFormat="false" ht="15" hidden="false" customHeight="false" outlineLevel="0" collapsed="false">
      <c r="A4113" s="1" t="s">
        <v>1024</v>
      </c>
      <c r="B4113" s="0" t="s">
        <v>168</v>
      </c>
      <c r="E4113" s="7" t="n">
        <f aca="false">Sens!E4112/Sens!D4112-1</f>
        <v>0.0535164307309768</v>
      </c>
      <c r="F4113" s="7" t="n">
        <f aca="false">Sens!$E$4113+(glt_lic-Sens!$E$4113)*MIN(1,(Sens!F4062-base_fy)/n_conv)</f>
        <v>0.0479303589424807</v>
      </c>
      <c r="G4113" s="7" t="n">
        <f aca="false">Sens!$E$4113+(glt_lic-Sens!$E$4113)*MIN(1,(Sens!G4062-base_fy)/n_conv)</f>
        <v>0.0423442871539845</v>
      </c>
      <c r="H4113" s="7" t="n">
        <f aca="false">Sens!$E$4113+(glt_lic-Sens!$E$4113)*MIN(1,(Sens!H4062-base_fy)/n_conv)</f>
        <v>0.0367582153654884</v>
      </c>
      <c r="I4113" s="7" t="n">
        <f aca="false">Sens!$E$4113+(glt_lic-Sens!$E$4113)*MIN(1,(Sens!I4062-base_fy)/n_conv)</f>
        <v>0.0311721435769923</v>
      </c>
      <c r="J4113" s="7" t="n">
        <f aca="false">Sens!$E$4113+(glt_lic-Sens!$E$4113)*MIN(1,(Sens!J4062-base_fy)/n_conv)</f>
        <v>0.0255860717884961</v>
      </c>
      <c r="K4113" s="7" t="n">
        <f aca="false">Sens!$E$4113+(glt_lic-Sens!$E$4113)*MIN(1,(Sens!K4062-base_fy)/n_conv)</f>
        <v>0.02</v>
      </c>
    </row>
    <row r="4114" customFormat="false" ht="17.15" hidden="false" customHeight="false" outlineLevel="0" collapsed="false">
      <c r="A4114" s="0" t="s">
        <v>1035</v>
      </c>
      <c r="B4114" s="0" t="s">
        <v>98</v>
      </c>
      <c r="D4114" s="6" t="n">
        <f aca="false">Q!L9</f>
        <v>18.417</v>
      </c>
      <c r="E4114" s="6" t="n">
        <f aca="false">Q!M9</f>
        <v>20.345</v>
      </c>
      <c r="F4114" s="6" t="n">
        <f aca="false">Q!$I$9+(Q!M9-Q!$E$9)*(1+Sens!F4115)</f>
        <v>22.3161797133988</v>
      </c>
      <c r="G4114" s="6" t="n">
        <f aca="false">Sens!F4114*(1+Sens!G4115)</f>
        <v>24.3943499673233</v>
      </c>
      <c r="H4114" s="6" t="n">
        <f aca="false">Sens!G4114*(1+Sens!H4115)</f>
        <v>26.5250243109019</v>
      </c>
      <c r="I4114" s="6" t="n">
        <f aca="false">Sens!H4114*(1+Sens!I4115)</f>
        <v>28.6884573538181</v>
      </c>
      <c r="J4114" s="6" t="n">
        <f aca="false">Sens!I4114*(1+Sens!J4115)</f>
        <v>30.8624968052127</v>
      </c>
      <c r="K4114" s="6" t="n">
        <f aca="false">Sens!J4114*(1+Sens!K4115)</f>
        <v>33.0228715815776</v>
      </c>
      <c r="L4114" s="12" t="s">
        <v>1034</v>
      </c>
    </row>
    <row r="4115" customFormat="false" ht="15" hidden="false" customHeight="false" outlineLevel="0" collapsed="false">
      <c r="A4115" s="1" t="s">
        <v>1024</v>
      </c>
      <c r="B4115" s="0" t="s">
        <v>168</v>
      </c>
      <c r="E4115" s="7" t="n">
        <f aca="false">Sens!E4114/Sens!D4114-1</f>
        <v>0.104685888038225</v>
      </c>
      <c r="F4115" s="7" t="n">
        <f aca="false">Sens!$E$4115+(glt_ind-Sens!$E$4115)*MIN(1,(Sens!F4062-base_fy)/n_conv)</f>
        <v>0.0989049066985211</v>
      </c>
      <c r="G4115" s="7" t="n">
        <f aca="false">Sens!$E$4115+(glt_ind-Sens!$E$4115)*MIN(1,(Sens!G4062-base_fy)/n_conv)</f>
        <v>0.0931239253588169</v>
      </c>
      <c r="H4115" s="7" t="n">
        <f aca="false">Sens!$E$4115+(glt_ind-Sens!$E$4115)*MIN(1,(Sens!H4062-base_fy)/n_conv)</f>
        <v>0.0873429440191127</v>
      </c>
      <c r="I4115" s="7" t="n">
        <f aca="false">Sens!$E$4115+(glt_ind-Sens!$E$4115)*MIN(1,(Sens!I4062-base_fy)/n_conv)</f>
        <v>0.0815619626794085</v>
      </c>
      <c r="J4115" s="7" t="n">
        <f aca="false">Sens!$E$4115+(glt_ind-Sens!$E$4115)*MIN(1,(Sens!J4062-base_fy)/n_conv)</f>
        <v>0.0757809813397042</v>
      </c>
      <c r="K4115" s="7" t="n">
        <f aca="false">Sens!$E$4115+(glt_ind-Sens!$E$4115)*MIN(1,(Sens!K4062-base_fy)/n_conv)</f>
        <v>0.07</v>
      </c>
    </row>
    <row r="4116" customFormat="false" ht="17.15" hidden="false" customHeight="false" outlineLevel="0" collapsed="false">
      <c r="A4116" s="0" t="s">
        <v>1036</v>
      </c>
      <c r="B4116" s="0" t="s">
        <v>98</v>
      </c>
      <c r="D4116" s="6" t="n">
        <f aca="false">Q!L10</f>
        <v>7.76</v>
      </c>
      <c r="E4116" s="6" t="n">
        <f aca="false">Q!M10</f>
        <v>8.26</v>
      </c>
      <c r="F4116" s="6" t="n">
        <f aca="false">Q!$I$10+(Q!M10-Q!$E$10)*(1+Sens!F4117)</f>
        <v>8.75372082474227</v>
      </c>
      <c r="G4116" s="6" t="n">
        <f aca="false">Sens!F4116*(1+Sens!G4117)</f>
        <v>9.33399324642364</v>
      </c>
      <c r="H4116" s="6" t="n">
        <f aca="false">Sens!G4116*(1+Sens!H4117)</f>
        <v>9.96139155535851</v>
      </c>
      <c r="I4116" s="6" t="n">
        <f aca="false">Sens!H4116*(1+Sens!I4117)</f>
        <v>10.6402039077391</v>
      </c>
      <c r="J4116" s="6" t="n">
        <f aca="false">Sens!I4116*(1+Sens!J4117)</f>
        <v>11.3751458271397</v>
      </c>
      <c r="K4116" s="6" t="n">
        <f aca="false">Sens!J4116*(1+Sens!K4117)</f>
        <v>12.1714060350394</v>
      </c>
      <c r="L4116" s="12" t="s">
        <v>1034</v>
      </c>
    </row>
    <row r="4117" customFormat="false" ht="15" hidden="false" customHeight="false" outlineLevel="0" collapsed="false">
      <c r="A4117" s="1" t="s">
        <v>1024</v>
      </c>
      <c r="B4117" s="0" t="s">
        <v>168</v>
      </c>
      <c r="E4117" s="7" t="n">
        <f aca="false">Sens!E4116/Sens!D4116-1</f>
        <v>0.0644329896907216</v>
      </c>
      <c r="F4117" s="7" t="n">
        <f aca="false">Sens!$E$4117+(glt_fro-Sens!$E$4117)*MIN(1,(Sens!F4062-base_fy)/n_conv)</f>
        <v>0.065360824742268</v>
      </c>
      <c r="G4117" s="7" t="n">
        <f aca="false">Sens!$E$4117+(glt_fro-Sens!$E$4117)*MIN(1,(Sens!G4062-base_fy)/n_conv)</f>
        <v>0.0662886597938144</v>
      </c>
      <c r="H4117" s="7" t="n">
        <f aca="false">Sens!$E$4117+(glt_fro-Sens!$E$4117)*MIN(1,(Sens!H4062-base_fy)/n_conv)</f>
        <v>0.0672164948453608</v>
      </c>
      <c r="I4117" s="7" t="n">
        <f aca="false">Sens!$E$4117+(glt_fro-Sens!$E$4117)*MIN(1,(Sens!I4062-base_fy)/n_conv)</f>
        <v>0.0681443298969072</v>
      </c>
      <c r="J4117" s="7" t="n">
        <f aca="false">Sens!$E$4117+(glt_fro-Sens!$E$4117)*MIN(1,(Sens!J4062-base_fy)/n_conv)</f>
        <v>0.0690721649484536</v>
      </c>
      <c r="K4117" s="7" t="n">
        <f aca="false">Sens!$E$4117+(glt_fro-Sens!$E$4117)*MIN(1,(Sens!K4062-base_fy)/n_conv)</f>
        <v>0.07</v>
      </c>
    </row>
    <row r="4118" customFormat="false" ht="15" hidden="false" customHeight="false" outlineLevel="0" collapsed="false">
      <c r="A4118" s="0" t="s">
        <v>852</v>
      </c>
      <c r="B4118" s="0" t="s">
        <v>98</v>
      </c>
      <c r="D4118" s="6" t="n">
        <f aca="false">Sens!D4106+Sens!D4111+Sens!D4112+Sens!D4114+Sens!D4116</f>
        <v>218.783</v>
      </c>
      <c r="E4118" s="6" t="n">
        <f aca="false">Sens!E4106+Sens!E4111+Sens!E4112+Sens!E4114+Sens!E4116</f>
        <v>268.127</v>
      </c>
      <c r="F4118" s="6" t="n">
        <f aca="false">Sens!F4106+Sens!F4111+Sens!F4112+Sens!F4114+Sens!F4116</f>
        <v>332.71148678174</v>
      </c>
      <c r="G4118" s="6" t="n">
        <f aca="false">Sens!G4106+Sens!G4111+Sens!G4112+Sens!G4114+Sens!G4116</f>
        <v>400.818635339051</v>
      </c>
      <c r="H4118" s="6" t="n">
        <f aca="false">Sens!H4106+Sens!H4111+Sens!H4112+Sens!H4114+Sens!H4116</f>
        <v>463.323794088415</v>
      </c>
      <c r="I4118" s="6" t="n">
        <f aca="false">Sens!I4106+Sens!I4111+Sens!I4112+Sens!I4114+Sens!I4116</f>
        <v>528.096779836251</v>
      </c>
      <c r="J4118" s="6" t="n">
        <f aca="false">Sens!J4106+Sens!J4111+Sens!J4112+Sens!J4114+Sens!J4116</f>
        <v>580.80041535024</v>
      </c>
      <c r="K4118" s="6" t="n">
        <f aca="false">Sens!K4106+Sens!K4111+Sens!K4112+Sens!K4114+Sens!K4116</f>
        <v>621.898836337271</v>
      </c>
    </row>
    <row r="4119" customFormat="false" ht="17.15" hidden="false" customHeight="false" outlineLevel="0" collapsed="false">
      <c r="A4119" s="0" t="s">
        <v>1037</v>
      </c>
      <c r="B4119" s="0" t="s">
        <v>98</v>
      </c>
      <c r="D4119" s="6" t="n">
        <f aca="false">Q!L13</f>
        <v>22.171</v>
      </c>
      <c r="E4119" s="6" t="n">
        <f aca="false">Q!M13</f>
        <v>24.835</v>
      </c>
      <c r="F4119" s="6" t="n">
        <f aca="false">Q!$I$13+(Q!M13-Q!$E$13)*(1+Sens!F4120)</f>
        <v>27.5591895660247</v>
      </c>
      <c r="G4119" s="6" t="n">
        <f aca="false">Sens!F4119*(1+Sens!G4120)</f>
        <v>30.4098563144583</v>
      </c>
      <c r="H4119" s="6" t="n">
        <f aca="false">Sens!G4119*(1+Sens!H4120)</f>
        <v>33.3011792571777</v>
      </c>
      <c r="I4119" s="6" t="n">
        <f aca="false">Sens!H4119*(1+Sens!I4120)</f>
        <v>36.189023797112</v>
      </c>
      <c r="J4119" s="6" t="n">
        <f aca="false">Sens!I4119*(1+Sens!J4120)</f>
        <v>39.0247773769199</v>
      </c>
      <c r="K4119" s="6" t="n">
        <f aca="false">Sens!J4119*(1+Sens!K4120)</f>
        <v>41.7565117933043</v>
      </c>
      <c r="L4119" s="12" t="s">
        <v>1034</v>
      </c>
    </row>
    <row r="4120" customFormat="false" ht="15" hidden="false" customHeight="false" outlineLevel="0" collapsed="false">
      <c r="A4120" s="1" t="s">
        <v>1024</v>
      </c>
      <c r="B4120" s="0" t="s">
        <v>168</v>
      </c>
      <c r="E4120" s="7" t="n">
        <f aca="false">Sens!E4119/Sens!D4119-1</f>
        <v>0.120156961796942</v>
      </c>
      <c r="F4120" s="7" t="n">
        <f aca="false">Sens!$E$4120+(glt_srch-Sens!$E$4120)*MIN(1,(Sens!F4062-base_fy)/n_conv)</f>
        <v>0.111797468164118</v>
      </c>
      <c r="G4120" s="7" t="n">
        <f aca="false">Sens!$E$4120+(glt_srch-Sens!$E$4120)*MIN(1,(Sens!G4062-base_fy)/n_conv)</f>
        <v>0.103437974531295</v>
      </c>
      <c r="H4120" s="7" t="n">
        <f aca="false">Sens!$E$4120+(glt_srch-Sens!$E$4120)*MIN(1,(Sens!H4062-base_fy)/n_conv)</f>
        <v>0.095078480898471</v>
      </c>
      <c r="I4120" s="7" t="n">
        <f aca="false">Sens!$E$4120+(glt_srch-Sens!$E$4120)*MIN(1,(Sens!I4062-base_fy)/n_conv)</f>
        <v>0.0867189872656474</v>
      </c>
      <c r="J4120" s="7" t="n">
        <f aca="false">Sens!$E$4120+(glt_srch-Sens!$E$4120)*MIN(1,(Sens!J4062-base_fy)/n_conv)</f>
        <v>0.0783594936328237</v>
      </c>
      <c r="K4120" s="7" t="n">
        <f aca="false">Sens!$E$4120+(glt_srch-Sens!$E$4120)*MIN(1,(Sens!K4062-base_fy)/n_conv)</f>
        <v>0.07</v>
      </c>
    </row>
    <row r="4121" customFormat="false" ht="17.15" hidden="false" customHeight="false" outlineLevel="0" collapsed="false">
      <c r="A4121" s="0" t="s">
        <v>1038</v>
      </c>
      <c r="B4121" s="0" t="s">
        <v>98</v>
      </c>
      <c r="D4121" s="6" t="n">
        <f aca="false">Q!L14</f>
        <v>23.455</v>
      </c>
      <c r="E4121" s="6" t="n">
        <f aca="false">Q!M14</f>
        <v>21.79</v>
      </c>
      <c r="F4121" s="6" t="n">
        <f aca="false">Q!$I$14+(Q!M14-Q!$E$14)*(1+Sens!F4122)</f>
        <v>20.7520981041711</v>
      </c>
      <c r="G4121" s="6" t="n">
        <f aca="false">Sens!F4121*(1+Sens!G4122)</f>
        <v>19.9083593495882</v>
      </c>
      <c r="H4121" s="6" t="n">
        <f aca="false">Sens!G4121*(1+Sens!H4122)</f>
        <v>19.4008256265831</v>
      </c>
      <c r="I4121" s="6" t="n">
        <f aca="false">Sens!H4121*(1+Sens!I4122)</f>
        <v>19.200434522122</v>
      </c>
      <c r="J4121" s="6" t="n">
        <f aca="false">Sens!I4121*(1+Sens!J4122)</f>
        <v>19.2932782348507</v>
      </c>
      <c r="K4121" s="6" t="n">
        <f aca="false">Sens!J4121*(1+Sens!K4122)</f>
        <v>19.6791437995477</v>
      </c>
      <c r="L4121" s="12" t="s">
        <v>1034</v>
      </c>
    </row>
    <row r="4122" customFormat="false" ht="15" hidden="false" customHeight="false" outlineLevel="0" collapsed="false">
      <c r="A4122" s="1" t="s">
        <v>1024</v>
      </c>
      <c r="B4122" s="0" t="s">
        <v>168</v>
      </c>
      <c r="E4122" s="7" t="n">
        <f aca="false">Sens!E4121/Sens!D4121-1</f>
        <v>-0.0709869963760392</v>
      </c>
      <c r="F4122" s="7" t="n">
        <f aca="false">Sens!$E$4122+(glt_xbox-Sens!$E$4122)*MIN(1,(Sens!F4062-base_fy)/n_conv)</f>
        <v>-0.0558224969800327</v>
      </c>
      <c r="G4122" s="7" t="n">
        <f aca="false">Sens!$E$4122+(glt_xbox-Sens!$E$4122)*MIN(1,(Sens!G4062-base_fy)/n_conv)</f>
        <v>-0.0406579975840262</v>
      </c>
      <c r="H4122" s="7" t="n">
        <f aca="false">Sens!$E$4122+(glt_xbox-Sens!$E$4122)*MIN(1,(Sens!H4062-base_fy)/n_conv)</f>
        <v>-0.0254934981880196</v>
      </c>
      <c r="I4122" s="7" t="n">
        <f aca="false">Sens!$E$4122+(glt_xbox-Sens!$E$4122)*MIN(1,(Sens!I4062-base_fy)/n_conv)</f>
        <v>-0.0103289987920131</v>
      </c>
      <c r="J4122" s="7" t="n">
        <f aca="false">Sens!$E$4122+(glt_xbox-Sens!$E$4122)*MIN(1,(Sens!J4062-base_fy)/n_conv)</f>
        <v>0.00483550060399347</v>
      </c>
      <c r="K4122" s="7" t="n">
        <f aca="false">Sens!$E$4122+(glt_xbox-Sens!$E$4122)*MIN(1,(Sens!K4062-base_fy)/n_conv)</f>
        <v>0.02</v>
      </c>
    </row>
    <row r="4123" customFormat="false" ht="17.15" hidden="false" customHeight="false" outlineLevel="0" collapsed="false">
      <c r="A4123" s="0" t="s">
        <v>1039</v>
      </c>
      <c r="B4123" s="0" t="s">
        <v>98</v>
      </c>
      <c r="D4123" s="6" t="n">
        <f aca="false">Q!L15</f>
        <v>17.315</v>
      </c>
      <c r="E4123" s="6" t="n">
        <f aca="false">Q!M15</f>
        <v>17.087</v>
      </c>
      <c r="F4123" s="6" t="n">
        <f aca="false">Q!$I$15+(Q!M15-Q!$E$15)*(1+Sens!F4124)</f>
        <v>15.9912273250553</v>
      </c>
      <c r="G4123" s="6" t="n">
        <f aca="false">Sens!F4123*(1+Sens!G4124)</f>
        <v>15.9574562664827</v>
      </c>
      <c r="H4123" s="6" t="n">
        <f aca="false">Sens!G4123*(1+Sens!H4124)</f>
        <v>16.0119687434196</v>
      </c>
      <c r="I4123" s="6" t="n">
        <f aca="false">Sens!H4123*(1+Sens!I4124)</f>
        <v>16.1551810001948</v>
      </c>
      <c r="J4123" s="6" t="n">
        <f aca="false">Sens!I4123*(1+Sens!J4124)</f>
        <v>16.3889793892005</v>
      </c>
      <c r="K4123" s="6" t="n">
        <f aca="false">Sens!J4123*(1+Sens!K4124)</f>
        <v>16.7167589769845</v>
      </c>
      <c r="L4123" s="12" t="s">
        <v>1034</v>
      </c>
    </row>
    <row r="4124" customFormat="false" ht="15" hidden="false" customHeight="false" outlineLevel="0" collapsed="false">
      <c r="A4124" s="1" t="s">
        <v>1024</v>
      </c>
      <c r="B4124" s="0" t="s">
        <v>168</v>
      </c>
      <c r="E4124" s="7" t="n">
        <f aca="false">Sens!E4123/Sens!D4123-1</f>
        <v>-0.0131677736066995</v>
      </c>
      <c r="F4124" s="7" t="n">
        <f aca="false">Sens!$E$4124+(glt_win-Sens!$E$4124)*MIN(1,(Sens!F4062-base_fy)/n_conv)</f>
        <v>-0.00763981133891627</v>
      </c>
      <c r="G4124" s="7" t="n">
        <f aca="false">Sens!$E$4124+(glt_win-Sens!$E$4124)*MIN(1,(Sens!G4062-base_fy)/n_conv)</f>
        <v>-0.00211184907113301</v>
      </c>
      <c r="H4124" s="7" t="n">
        <f aca="false">Sens!$E$4124+(glt_win-Sens!$E$4124)*MIN(1,(Sens!H4062-base_fy)/n_conv)</f>
        <v>0.00341611319665024</v>
      </c>
      <c r="I4124" s="7" t="n">
        <f aca="false">Sens!$E$4124+(glt_win-Sens!$E$4124)*MIN(1,(Sens!I4062-base_fy)/n_conv)</f>
        <v>0.00894407546443349</v>
      </c>
      <c r="J4124" s="7" t="n">
        <f aca="false">Sens!$E$4124+(glt_win-Sens!$E$4124)*MIN(1,(Sens!J4062-base_fy)/n_conv)</f>
        <v>0.0144720377322168</v>
      </c>
      <c r="K4124" s="7" t="n">
        <f aca="false">Sens!$E$4124+(glt_win-Sens!$E$4124)*MIN(1,(Sens!K4062-base_fy)/n_conv)</f>
        <v>0.02</v>
      </c>
    </row>
    <row r="4125" customFormat="false" ht="15" hidden="false" customHeight="false" outlineLevel="0" collapsed="false">
      <c r="A4125" s="0" t="s">
        <v>866</v>
      </c>
      <c r="B4125" s="0" t="s">
        <v>98</v>
      </c>
      <c r="D4125" s="6" t="n">
        <f aca="false">Sens!D4119+Sens!D4121+Sens!D4123</f>
        <v>62.941</v>
      </c>
      <c r="E4125" s="6" t="n">
        <f aca="false">Sens!E4119+Sens!E4121+Sens!E4123</f>
        <v>63.712</v>
      </c>
      <c r="F4125" s="6" t="n">
        <f aca="false">Sens!F4119+Sens!F4121+Sens!F4123</f>
        <v>64.3025149952511</v>
      </c>
      <c r="G4125" s="6" t="n">
        <f aca="false">Sens!G4119+Sens!G4121+Sens!G4123</f>
        <v>66.2756719305292</v>
      </c>
      <c r="H4125" s="6" t="n">
        <f aca="false">Sens!H4119+Sens!H4121+Sens!H4123</f>
        <v>68.7139736271804</v>
      </c>
      <c r="I4125" s="6" t="n">
        <f aca="false">Sens!I4119+Sens!I4121+Sens!I4123</f>
        <v>71.5446393194289</v>
      </c>
      <c r="J4125" s="6" t="n">
        <f aca="false">Sens!J4119+Sens!J4121+Sens!J4123</f>
        <v>74.707035000971</v>
      </c>
      <c r="K4125" s="6" t="n">
        <f aca="false">Sens!K4119+Sens!K4121+Sens!K4123</f>
        <v>78.1524145698365</v>
      </c>
    </row>
    <row r="4126" customFormat="false" ht="15" hidden="false" customHeight="false" outlineLevel="0" collapsed="false">
      <c r="A4126" s="1" t="s">
        <v>1040</v>
      </c>
      <c r="B4126" s="0" t="s">
        <v>98</v>
      </c>
      <c r="D4126" s="6" t="n">
        <f aca="false">Sens!D4118+Sens!D4125</f>
        <v>281.724</v>
      </c>
      <c r="E4126" s="6" t="n">
        <f aca="false">Sens!E4118+Sens!E4125</f>
        <v>331.839</v>
      </c>
      <c r="F4126" s="6" t="n">
        <f aca="false">Sens!F4118+Sens!F4125</f>
        <v>397.014001776991</v>
      </c>
      <c r="G4126" s="6" t="n">
        <f aca="false">Sens!G4118+Sens!G4125</f>
        <v>467.09430726958</v>
      </c>
      <c r="H4126" s="6" t="n">
        <f aca="false">Sens!H4118+Sens!H4125</f>
        <v>532.037767715595</v>
      </c>
      <c r="I4126" s="6" t="n">
        <f aca="false">Sens!I4118+Sens!I4125</f>
        <v>599.64141915568</v>
      </c>
      <c r="J4126" s="6" t="n">
        <f aca="false">Sens!J4118+Sens!J4125</f>
        <v>655.507450351211</v>
      </c>
      <c r="K4126" s="6" t="n">
        <f aca="false">Sens!K4118+Sens!K4125</f>
        <v>700.051250907108</v>
      </c>
    </row>
    <row r="4127" customFormat="false" ht="15" hidden="false" customHeight="false" outlineLevel="0" collapsed="false">
      <c r="A4127" s="26" t="s">
        <v>1041</v>
      </c>
      <c r="B4127" s="31" t="s">
        <v>98</v>
      </c>
      <c r="C4127" s="31"/>
      <c r="D4127" s="27" t="n">
        <f aca="false">(Sens!D4106+Sens!D4111+Sens!D4112+Sens!D4114+Sens!D4116-Sens!D4118)+(Sens!D4119+Sens!D4121+Sens!D4123-Sens!D4125)+(Sens!D4118-Q!L5)+(Sens!D4125-Q!L12)+(Sens!D4106-Q!L6)+(Sens!D4111-Q!L7)</f>
        <v>0</v>
      </c>
      <c r="E4127" s="27" t="n">
        <f aca="false">(Sens!E4106+Sens!E4111+Sens!E4112+Sens!E4114+Sens!E4116-Sens!E4118)+(Sens!E4119+Sens!E4121+Sens!E4123-Sens!E4125)+(Sens!E4118-Q!M5)+(Sens!E4125-Q!M12)+(Sens!E4106-Q!M6)+(Sens!E4111-Q!M7)</f>
        <v>0</v>
      </c>
      <c r="F4127" s="27" t="n">
        <f aca="false">(Sens!F4106+Sens!F4111+Sens!F4112+Sens!F4114+Sens!F4116-Sens!F4118)+(Sens!F4119+Sens!F4121+Sens!F4123-Sens!F4125)</f>
        <v>0</v>
      </c>
      <c r="G4127" s="27" t="n">
        <f aca="false">(Sens!G4106+Sens!G4111+Sens!G4112+Sens!G4114+Sens!G4116-Sens!G4118)+(Sens!G4119+Sens!G4121+Sens!G4123-Sens!G4125)</f>
        <v>0</v>
      </c>
      <c r="H4127" s="27" t="n">
        <f aca="false">(Sens!H4106+Sens!H4111+Sens!H4112+Sens!H4114+Sens!H4116-Sens!H4118)+(Sens!H4119+Sens!H4121+Sens!H4123-Sens!H4125)</f>
        <v>0</v>
      </c>
      <c r="I4127" s="27" t="n">
        <f aca="false">(Sens!I4106+Sens!I4111+Sens!I4112+Sens!I4114+Sens!I4116-Sens!I4118)+(Sens!I4119+Sens!I4121+Sens!I4123-Sens!I4125)</f>
        <v>0</v>
      </c>
      <c r="J4127" s="27" t="n">
        <f aca="false">(Sens!J4106+Sens!J4111+Sens!J4112+Sens!J4114+Sens!J4116-Sens!J4118)+(Sens!J4119+Sens!J4121+Sens!J4123-Sens!J4125)</f>
        <v>0</v>
      </c>
      <c r="K4127" s="27" t="n">
        <f aca="false">(Sens!K4106+Sens!K4111+Sens!K4112+Sens!K4114+Sens!K4116-Sens!K4118)+(Sens!K4119+Sens!K4121+Sens!K4123-Sens!K4125)</f>
        <v>0</v>
      </c>
    </row>
    <row r="4128" customFormat="false" ht="17.15" hidden="false" customHeight="false" outlineLevel="0" collapsed="false">
      <c r="A4128" s="3" t="s">
        <v>1582</v>
      </c>
    </row>
    <row r="4129" customFormat="false" ht="15" hidden="false" customHeight="false" outlineLevel="0" collapsed="false">
      <c r="A4129" s="4" t="s">
        <v>43</v>
      </c>
      <c r="B4129" s="4" t="s">
        <v>65</v>
      </c>
      <c r="C4129" s="23" t="s">
        <v>938</v>
      </c>
      <c r="D4129" s="23" t="s">
        <v>939</v>
      </c>
      <c r="E4129" s="23" t="s">
        <v>940</v>
      </c>
      <c r="F4129" s="23" t="s">
        <v>941</v>
      </c>
      <c r="G4129" s="23" t="s">
        <v>942</v>
      </c>
      <c r="H4129" s="23" t="s">
        <v>943</v>
      </c>
      <c r="I4129" s="23" t="s">
        <v>944</v>
      </c>
      <c r="J4129" s="23" t="s">
        <v>945</v>
      </c>
      <c r="K4129" s="23" t="s">
        <v>946</v>
      </c>
      <c r="L4129" s="4" t="s">
        <v>47</v>
      </c>
    </row>
    <row r="4130" customFormat="false" ht="15" hidden="false" customHeight="false" outlineLevel="0" collapsed="false">
      <c r="A4130" s="0" t="s">
        <v>1025</v>
      </c>
      <c r="B4130" s="0" t="s">
        <v>98</v>
      </c>
      <c r="D4130" s="6" t="n">
        <f aca="false">Sens!D4106</f>
        <v>72.61</v>
      </c>
      <c r="E4130" s="6" t="n">
        <f aca="false">Sens!E4106</f>
        <v>101.938</v>
      </c>
      <c r="F4130" s="6" t="n">
        <f aca="false">Sens!F4106</f>
        <v>145.818088275556</v>
      </c>
      <c r="G4130" s="6" t="n">
        <f aca="false">Sens!G4106</f>
        <v>194.484396352642</v>
      </c>
      <c r="H4130" s="6" t="n">
        <f aca="false">Sens!H4106</f>
        <v>237.522315054223</v>
      </c>
      <c r="I4130" s="6" t="n">
        <f aca="false">Sens!I4106</f>
        <v>283.84814253368</v>
      </c>
      <c r="J4130" s="6" t="n">
        <f aca="false">Sens!J4106</f>
        <v>319.444707655854</v>
      </c>
      <c r="K4130" s="6" t="n">
        <f aca="false">Sens!K4106</f>
        <v>344.359165969602</v>
      </c>
    </row>
    <row r="4131" customFormat="false" ht="17.15" hidden="false" customHeight="false" outlineLevel="0" collapsed="false">
      <c r="A4131" s="0" t="s">
        <v>1021</v>
      </c>
      <c r="B4131" s="0" t="s">
        <v>98</v>
      </c>
      <c r="D4131" s="6" t="n">
        <f aca="false">Sens!D4103</f>
        <v>12.9359794422418</v>
      </c>
      <c r="E4131" s="6" t="n">
        <f aca="false">Sens!E4103</f>
        <v>27.8095064661409</v>
      </c>
      <c r="F4131" s="6" t="n">
        <f aca="false">Sens!F4103</f>
        <v>54.2701836642681</v>
      </c>
      <c r="G4131" s="6" t="n">
        <f aca="false">Sens!G4103</f>
        <v>85.7118216589805</v>
      </c>
      <c r="H4131" s="6" t="n">
        <f aca="false">Sens!H4103</f>
        <v>111.225179667543</v>
      </c>
      <c r="I4131" s="6" t="n">
        <f aca="false">Sens!I4103</f>
        <v>140.617765742986</v>
      </c>
      <c r="J4131" s="6" t="n">
        <f aca="false">Sens!J4103</f>
        <v>160.883336073197</v>
      </c>
      <c r="K4131" s="6" t="n">
        <f aca="false">Sens!K4103</f>
        <v>173.112884660333</v>
      </c>
    </row>
    <row r="4132" customFormat="false" ht="17.15" hidden="false" customHeight="false" outlineLevel="0" collapsed="false">
      <c r="A4132" s="0" t="s">
        <v>1052</v>
      </c>
      <c r="B4132" s="0" t="s">
        <v>98</v>
      </c>
      <c r="D4132" s="6" t="n">
        <f aca="false">Sens!D4104</f>
        <v>59.6740205577583</v>
      </c>
      <c r="E4132" s="6" t="n">
        <f aca="false">Sens!E4104</f>
        <v>74.1284935338591</v>
      </c>
      <c r="F4132" s="6" t="n">
        <f aca="false">Sens!F4104</f>
        <v>91.5479046112879</v>
      </c>
      <c r="G4132" s="6" t="n">
        <f aca="false">Sens!G4104</f>
        <v>108.772574693662</v>
      </c>
      <c r="H4132" s="6" t="n">
        <f aca="false">Sens!H4104</f>
        <v>126.297135386679</v>
      </c>
      <c r="I4132" s="6" t="n">
        <f aca="false">Sens!I4104</f>
        <v>143.230376790693</v>
      </c>
      <c r="J4132" s="6" t="n">
        <f aca="false">Sens!J4104</f>
        <v>158.561371582657</v>
      </c>
      <c r="K4132" s="6" t="n">
        <f aca="false">Sens!K4104</f>
        <v>171.24628130927</v>
      </c>
    </row>
    <row r="4133" customFormat="false" ht="15" hidden="false" customHeight="false" outlineLevel="0" collapsed="false">
      <c r="A4133" s="0" t="s">
        <v>1032</v>
      </c>
      <c r="B4133" s="0" t="s">
        <v>98</v>
      </c>
      <c r="D4133" s="6" t="n">
        <f aca="false">Sens!D4111</f>
        <v>84.605</v>
      </c>
      <c r="E4133" s="6" t="n">
        <f aca="false">Sens!E4111</f>
        <v>100.299</v>
      </c>
      <c r="F4133" s="6" t="n">
        <f aca="false">Sens!F4111</f>
        <v>117.438354189776</v>
      </c>
      <c r="G4133" s="6" t="n">
        <f aca="false">Sens!G4111</f>
        <v>132.595360443801</v>
      </c>
      <c r="H4133" s="6" t="n">
        <f aca="false">Sens!H4111</f>
        <v>147.833811964563</v>
      </c>
      <c r="I4133" s="6" t="n">
        <f aca="false">Sens!I4111</f>
        <v>162.145665319381</v>
      </c>
      <c r="J4133" s="6" t="n">
        <f aca="false">Sens!J4111</f>
        <v>175.249327755573</v>
      </c>
      <c r="K4133" s="6" t="n">
        <f aca="false">Sens!K4111</f>
        <v>187.599280698463</v>
      </c>
    </row>
    <row r="4134" customFormat="false" ht="17.15" hidden="false" customHeight="false" outlineLevel="0" collapsed="false">
      <c r="A4134" s="0" t="s">
        <v>1053</v>
      </c>
      <c r="B4134" s="0" t="s">
        <v>98</v>
      </c>
      <c r="D4134" s="6" t="n">
        <f aca="false">Sens!D4109</f>
        <v>83.705</v>
      </c>
      <c r="E4134" s="6" t="n">
        <f aca="false">Sens!E4109</f>
        <v>95.049</v>
      </c>
      <c r="F4134" s="6" t="n">
        <f aca="false">Sens!F4109</f>
        <v>106.938354189776</v>
      </c>
      <c r="G4134" s="6" t="n">
        <f aca="false">Sens!G4109</f>
        <v>119.095360443801</v>
      </c>
      <c r="H4134" s="6" t="n">
        <f aca="false">Sens!H4109</f>
        <v>131.333811964563</v>
      </c>
      <c r="I4134" s="6" t="n">
        <f aca="false">Sens!I4109</f>
        <v>143.395665319381</v>
      </c>
      <c r="J4134" s="6" t="n">
        <f aca="false">Sens!J4109</f>
        <v>154.999327755573</v>
      </c>
      <c r="K4134" s="6" t="n">
        <f aca="false">Sens!K4109</f>
        <v>165.849280698463</v>
      </c>
    </row>
    <row r="4135" customFormat="false" ht="17.15" hidden="false" customHeight="false" outlineLevel="0" collapsed="false">
      <c r="A4135" s="0" t="s">
        <v>1054</v>
      </c>
      <c r="B4135" s="0" t="s">
        <v>98</v>
      </c>
      <c r="D4135" s="6" t="n">
        <f aca="false">Sens!D4108</f>
        <v>0.9</v>
      </c>
      <c r="E4135" s="6" t="n">
        <f aca="false">Sens!E4108</f>
        <v>5.25</v>
      </c>
      <c r="F4135" s="6" t="n">
        <f aca="false">Sens!F4108</f>
        <v>10.5</v>
      </c>
      <c r="G4135" s="6" t="n">
        <f aca="false">Sens!G4108</f>
        <v>13.5</v>
      </c>
      <c r="H4135" s="6" t="n">
        <f aca="false">Sens!H4108</f>
        <v>16.5</v>
      </c>
      <c r="I4135" s="6" t="n">
        <f aca="false">Sens!I4108</f>
        <v>18.75</v>
      </c>
      <c r="J4135" s="6" t="n">
        <f aca="false">Sens!J4108</f>
        <v>20.25</v>
      </c>
      <c r="K4135" s="6" t="n">
        <f aca="false">Sens!K4108</f>
        <v>21.75</v>
      </c>
    </row>
    <row r="4136" customFormat="false" ht="15" hidden="false" customHeight="false" outlineLevel="0" collapsed="false">
      <c r="A4136" s="0" t="s">
        <v>1033</v>
      </c>
      <c r="B4136" s="0" t="s">
        <v>98</v>
      </c>
      <c r="D4136" s="6" t="n">
        <f aca="false">Sens!D4112</f>
        <v>35.391</v>
      </c>
      <c r="E4136" s="6" t="n">
        <f aca="false">Sens!E4112</f>
        <v>37.285</v>
      </c>
      <c r="F4136" s="6" t="n">
        <f aca="false">Sens!F4112</f>
        <v>38.3851437782675</v>
      </c>
      <c r="G4136" s="6" t="n">
        <f aca="false">Sens!G4112</f>
        <v>40.0105353288615</v>
      </c>
      <c r="H4136" s="6" t="n">
        <f aca="false">Sens!H4112</f>
        <v>41.4812512033683</v>
      </c>
      <c r="I4136" s="6" t="n">
        <f aca="false">Sens!I4112</f>
        <v>42.7743107216329</v>
      </c>
      <c r="J4136" s="6" t="n">
        <f aca="false">Sens!J4112</f>
        <v>43.8687373064601</v>
      </c>
      <c r="K4136" s="6" t="n">
        <f aca="false">Sens!K4112</f>
        <v>44.7461120525893</v>
      </c>
    </row>
    <row r="4137" customFormat="false" ht="15" hidden="false" customHeight="false" outlineLevel="0" collapsed="false">
      <c r="A4137" s="0" t="s">
        <v>1035</v>
      </c>
      <c r="B4137" s="0" t="s">
        <v>98</v>
      </c>
      <c r="D4137" s="6" t="n">
        <f aca="false">Sens!D4114</f>
        <v>18.417</v>
      </c>
      <c r="E4137" s="6" t="n">
        <f aca="false">Sens!E4114</f>
        <v>20.345</v>
      </c>
      <c r="F4137" s="6" t="n">
        <f aca="false">Sens!F4114</f>
        <v>22.3161797133988</v>
      </c>
      <c r="G4137" s="6" t="n">
        <f aca="false">Sens!G4114</f>
        <v>24.3943499673233</v>
      </c>
      <c r="H4137" s="6" t="n">
        <f aca="false">Sens!H4114</f>
        <v>26.5250243109019</v>
      </c>
      <c r="I4137" s="6" t="n">
        <f aca="false">Sens!I4114</f>
        <v>28.6884573538181</v>
      </c>
      <c r="J4137" s="6" t="n">
        <f aca="false">Sens!J4114</f>
        <v>30.8624968052127</v>
      </c>
      <c r="K4137" s="6" t="n">
        <f aca="false">Sens!K4114</f>
        <v>33.0228715815776</v>
      </c>
    </row>
    <row r="4138" customFormat="false" ht="15" hidden="false" customHeight="false" outlineLevel="0" collapsed="false">
      <c r="A4138" s="0" t="s">
        <v>1036</v>
      </c>
      <c r="B4138" s="0" t="s">
        <v>98</v>
      </c>
      <c r="D4138" s="6" t="n">
        <f aca="false">Sens!D4116</f>
        <v>7.76</v>
      </c>
      <c r="E4138" s="6" t="n">
        <f aca="false">Sens!E4116</f>
        <v>8.26</v>
      </c>
      <c r="F4138" s="6" t="n">
        <f aca="false">Sens!F4116</f>
        <v>8.75372082474227</v>
      </c>
      <c r="G4138" s="6" t="n">
        <f aca="false">Sens!G4116</f>
        <v>9.33399324642364</v>
      </c>
      <c r="H4138" s="6" t="n">
        <f aca="false">Sens!H4116</f>
        <v>9.96139155535851</v>
      </c>
      <c r="I4138" s="6" t="n">
        <f aca="false">Sens!I4116</f>
        <v>10.6402039077391</v>
      </c>
      <c r="J4138" s="6" t="n">
        <f aca="false">Sens!J4116</f>
        <v>11.3751458271397</v>
      </c>
      <c r="K4138" s="6" t="n">
        <f aca="false">Sens!K4116</f>
        <v>12.1714060350394</v>
      </c>
    </row>
    <row r="4139" customFormat="false" ht="15" hidden="false" customHeight="false" outlineLevel="0" collapsed="false">
      <c r="A4139" s="0" t="s">
        <v>852</v>
      </c>
      <c r="B4139" s="0" t="s">
        <v>98</v>
      </c>
      <c r="D4139" s="6" t="n">
        <f aca="false">Sens!D4118</f>
        <v>218.783</v>
      </c>
      <c r="E4139" s="6" t="n">
        <f aca="false">Sens!E4118</f>
        <v>268.127</v>
      </c>
      <c r="F4139" s="6" t="n">
        <f aca="false">Sens!F4118</f>
        <v>332.71148678174</v>
      </c>
      <c r="G4139" s="6" t="n">
        <f aca="false">Sens!G4118</f>
        <v>400.818635339051</v>
      </c>
      <c r="H4139" s="6" t="n">
        <f aca="false">Sens!H4118</f>
        <v>463.323794088415</v>
      </c>
      <c r="I4139" s="6" t="n">
        <f aca="false">Sens!I4118</f>
        <v>528.096779836251</v>
      </c>
      <c r="J4139" s="6" t="n">
        <f aca="false">Sens!J4118</f>
        <v>580.80041535024</v>
      </c>
      <c r="K4139" s="6" t="n">
        <f aca="false">Sens!K4118</f>
        <v>621.898836337271</v>
      </c>
    </row>
    <row r="4140" customFormat="false" ht="15" hidden="false" customHeight="false" outlineLevel="0" collapsed="false">
      <c r="A4140" s="0" t="s">
        <v>1037</v>
      </c>
      <c r="B4140" s="0" t="s">
        <v>98</v>
      </c>
      <c r="D4140" s="6" t="n">
        <f aca="false">Sens!D4119</f>
        <v>22.171</v>
      </c>
      <c r="E4140" s="6" t="n">
        <f aca="false">Sens!E4119</f>
        <v>24.835</v>
      </c>
      <c r="F4140" s="6" t="n">
        <f aca="false">Sens!F4119</f>
        <v>27.5591895660247</v>
      </c>
      <c r="G4140" s="6" t="n">
        <f aca="false">Sens!G4119</f>
        <v>30.4098563144583</v>
      </c>
      <c r="H4140" s="6" t="n">
        <f aca="false">Sens!H4119</f>
        <v>33.3011792571777</v>
      </c>
      <c r="I4140" s="6" t="n">
        <f aca="false">Sens!I4119</f>
        <v>36.189023797112</v>
      </c>
      <c r="J4140" s="6" t="n">
        <f aca="false">Sens!J4119</f>
        <v>39.0247773769199</v>
      </c>
      <c r="K4140" s="6" t="n">
        <f aca="false">Sens!K4119</f>
        <v>41.7565117933043</v>
      </c>
    </row>
    <row r="4141" customFormat="false" ht="15" hidden="false" customHeight="false" outlineLevel="0" collapsed="false">
      <c r="A4141" s="0" t="s">
        <v>1038</v>
      </c>
      <c r="B4141" s="0" t="s">
        <v>98</v>
      </c>
      <c r="D4141" s="6" t="n">
        <f aca="false">Sens!D4121</f>
        <v>23.455</v>
      </c>
      <c r="E4141" s="6" t="n">
        <f aca="false">Sens!E4121</f>
        <v>21.79</v>
      </c>
      <c r="F4141" s="6" t="n">
        <f aca="false">Sens!F4121</f>
        <v>20.7520981041711</v>
      </c>
      <c r="G4141" s="6" t="n">
        <f aca="false">Sens!G4121</f>
        <v>19.9083593495882</v>
      </c>
      <c r="H4141" s="6" t="n">
        <f aca="false">Sens!H4121</f>
        <v>19.4008256265831</v>
      </c>
      <c r="I4141" s="6" t="n">
        <f aca="false">Sens!I4121</f>
        <v>19.200434522122</v>
      </c>
      <c r="J4141" s="6" t="n">
        <f aca="false">Sens!J4121</f>
        <v>19.2932782348507</v>
      </c>
      <c r="K4141" s="6" t="n">
        <f aca="false">Sens!K4121</f>
        <v>19.6791437995477</v>
      </c>
    </row>
    <row r="4142" customFormat="false" ht="15" hidden="false" customHeight="false" outlineLevel="0" collapsed="false">
      <c r="A4142" s="0" t="s">
        <v>1039</v>
      </c>
      <c r="B4142" s="0" t="s">
        <v>98</v>
      </c>
      <c r="D4142" s="6" t="n">
        <f aca="false">Sens!D4123</f>
        <v>17.315</v>
      </c>
      <c r="E4142" s="6" t="n">
        <f aca="false">Sens!E4123</f>
        <v>17.087</v>
      </c>
      <c r="F4142" s="6" t="n">
        <f aca="false">Sens!F4123</f>
        <v>15.9912273250553</v>
      </c>
      <c r="G4142" s="6" t="n">
        <f aca="false">Sens!G4123</f>
        <v>15.9574562664827</v>
      </c>
      <c r="H4142" s="6" t="n">
        <f aca="false">Sens!H4123</f>
        <v>16.0119687434196</v>
      </c>
      <c r="I4142" s="6" t="n">
        <f aca="false">Sens!I4123</f>
        <v>16.1551810001948</v>
      </c>
      <c r="J4142" s="6" t="n">
        <f aca="false">Sens!J4123</f>
        <v>16.3889793892005</v>
      </c>
      <c r="K4142" s="6" t="n">
        <f aca="false">Sens!K4123</f>
        <v>16.7167589769845</v>
      </c>
    </row>
    <row r="4143" customFormat="false" ht="15" hidden="false" customHeight="false" outlineLevel="0" collapsed="false">
      <c r="A4143" s="0" t="s">
        <v>866</v>
      </c>
      <c r="B4143" s="0" t="s">
        <v>98</v>
      </c>
      <c r="D4143" s="6" t="n">
        <f aca="false">Sens!D4125</f>
        <v>62.941</v>
      </c>
      <c r="E4143" s="6" t="n">
        <f aca="false">Sens!E4125</f>
        <v>63.712</v>
      </c>
      <c r="F4143" s="6" t="n">
        <f aca="false">Sens!F4125</f>
        <v>64.3025149952511</v>
      </c>
      <c r="G4143" s="6" t="n">
        <f aca="false">Sens!G4125</f>
        <v>66.2756719305292</v>
      </c>
      <c r="H4143" s="6" t="n">
        <f aca="false">Sens!H4125</f>
        <v>68.7139736271804</v>
      </c>
      <c r="I4143" s="6" t="n">
        <f aca="false">Sens!I4125</f>
        <v>71.5446393194289</v>
      </c>
      <c r="J4143" s="6" t="n">
        <f aca="false">Sens!J4125</f>
        <v>74.707035000971</v>
      </c>
      <c r="K4143" s="6" t="n">
        <f aca="false">Sens!K4125</f>
        <v>78.1524145698365</v>
      </c>
    </row>
    <row r="4144" customFormat="false" ht="15" hidden="false" customHeight="false" outlineLevel="0" collapsed="false">
      <c r="A4144" s="1" t="s">
        <v>1055</v>
      </c>
      <c r="B4144" s="0" t="s">
        <v>98</v>
      </c>
      <c r="D4144" s="6" t="n">
        <f aca="false">Sens!D4126</f>
        <v>281.724</v>
      </c>
      <c r="E4144" s="6" t="n">
        <f aca="false">Sens!E4126</f>
        <v>331.839</v>
      </c>
      <c r="F4144" s="6" t="n">
        <f aca="false">Sens!F4126</f>
        <v>397.014001776991</v>
      </c>
      <c r="G4144" s="6" t="n">
        <f aca="false">Sens!G4126</f>
        <v>467.09430726958</v>
      </c>
      <c r="H4144" s="6" t="n">
        <f aca="false">Sens!H4126</f>
        <v>532.037767715595</v>
      </c>
      <c r="I4144" s="6" t="n">
        <f aca="false">Sens!I4126</f>
        <v>599.64141915568</v>
      </c>
      <c r="J4144" s="6" t="n">
        <f aca="false">Sens!J4126</f>
        <v>655.507450351211</v>
      </c>
      <c r="K4144" s="6" t="n">
        <f aca="false">Sens!K4126</f>
        <v>700.051250907108</v>
      </c>
    </row>
    <row r="4145" customFormat="false" ht="15" hidden="false" customHeight="false" outlineLevel="0" collapsed="false">
      <c r="A4145" s="1" t="s">
        <v>1056</v>
      </c>
      <c r="B4145" s="0" t="s">
        <v>168</v>
      </c>
      <c r="E4145" s="7" t="n">
        <f aca="false">Sens!E4144/Sens!D4144-1</f>
        <v>0.177886867998467</v>
      </c>
      <c r="F4145" s="7" t="n">
        <f aca="false">Sens!F4144/Sens!E4144-1</f>
        <v>0.19640549114779</v>
      </c>
      <c r="G4145" s="7" t="n">
        <f aca="false">Sens!G4144/Sens!F4144-1</f>
        <v>0.176518473350857</v>
      </c>
      <c r="H4145" s="7" t="n">
        <f aca="false">Sens!H4144/Sens!G4144-1</f>
        <v>0.139037148248807</v>
      </c>
      <c r="I4145" s="7" t="n">
        <f aca="false">Sens!I4144/Sens!H4144-1</f>
        <v>0.12706551215406</v>
      </c>
      <c r="J4145" s="7" t="n">
        <f aca="false">Sens!J4144/Sens!I4144-1</f>
        <v>0.0931657310700664</v>
      </c>
      <c r="K4145" s="7" t="n">
        <f aca="false">Sens!K4144/Sens!J4144-1</f>
        <v>0.0679531567978844</v>
      </c>
    </row>
    <row r="4146" customFormat="false" ht="17.15" hidden="false" customHeight="false" outlineLevel="0" collapsed="false">
      <c r="A4146" s="26" t="s">
        <v>1057</v>
      </c>
      <c r="B4146" s="31" t="s">
        <v>98</v>
      </c>
      <c r="C4146" s="31"/>
      <c r="D4146" s="27" t="n">
        <f aca="false">(Sens!D4139+Sens!D4143-Sens!D4144)+(Sens!D4131+Sens!D4132-Sens!D4130)+(Sens!D4134+Sens!D4135-Sens!D4133)+(Sens!D4144-Q!L18)</f>
        <v>0</v>
      </c>
      <c r="E4146" s="27" t="n">
        <f aca="false">(Sens!E4139+Sens!E4143-Sens!E4144)+(Sens!E4131+Sens!E4132-Sens!E4130)+(Sens!E4134+Sens!E4135-Sens!E4133)+(Sens!E4144-Q!M18)</f>
        <v>0</v>
      </c>
      <c r="F4146" s="27" t="n">
        <f aca="false">(Sens!F4139+Sens!F4143-Sens!F4144)+(Sens!F4131+Sens!F4132-Sens!F4130)+(Sens!F4134+Sens!F4135-Sens!F4133)</f>
        <v>0</v>
      </c>
      <c r="G4146" s="27" t="n">
        <f aca="false">(Sens!G4139+Sens!G4143-Sens!G4144)+(Sens!G4131+Sens!G4132-Sens!G4130)+(Sens!G4134+Sens!G4135-Sens!G4133)</f>
        <v>0</v>
      </c>
      <c r="H4146" s="27" t="n">
        <f aca="false">(Sens!H4139+Sens!H4143-Sens!H4144)+(Sens!H4131+Sens!H4132-Sens!H4130)+(Sens!H4134+Sens!H4135-Sens!H4133)</f>
        <v>0</v>
      </c>
      <c r="I4146" s="27" t="n">
        <f aca="false">(Sens!I4139+Sens!I4143-Sens!I4144)+(Sens!I4131+Sens!I4132-Sens!I4130)+(Sens!I4134+Sens!I4135-Sens!I4133)</f>
        <v>0</v>
      </c>
      <c r="J4146" s="27" t="n">
        <f aca="false">(Sens!J4139+Sens!J4143-Sens!J4144)+(Sens!J4131+Sens!J4132-Sens!J4130)+(Sens!J4134+Sens!J4135-Sens!J4133)</f>
        <v>0</v>
      </c>
      <c r="K4146" s="27" t="n">
        <f aca="false">(Sens!K4139+Sens!K4143-Sens!K4144)+(Sens!K4131+Sens!K4132-Sens!K4130)+(Sens!K4134+Sens!K4135-Sens!K4133)</f>
        <v>0</v>
      </c>
    </row>
    <row r="4147" customFormat="false" ht="17.15" hidden="false" customHeight="false" outlineLevel="0" collapsed="false">
      <c r="A4147" s="0" t="s">
        <v>1058</v>
      </c>
      <c r="B4147" s="0" t="s">
        <v>168</v>
      </c>
      <c r="E4147" s="7" t="n">
        <f aca="false">(Q!M21+Sens!E4083+Sens!E4084+Sens!E4085+Sens!E4099-Sens!E4081)/(Q!M5-Sens!E4081)</f>
        <v>0.570957350878296</v>
      </c>
      <c r="F4147" s="7" t="n">
        <f aca="false">Sens!$E$4147+dm_seg</f>
        <v>0.570957350878296</v>
      </c>
      <c r="G4147" s="7" t="n">
        <f aca="false">Sens!$E$4147+dm_seg</f>
        <v>0.570957350878296</v>
      </c>
      <c r="H4147" s="7" t="n">
        <f aca="false">Sens!$E$4147+dm_seg</f>
        <v>0.570957350878296</v>
      </c>
      <c r="I4147" s="7" t="n">
        <f aca="false">Sens!$E$4147+dm_seg</f>
        <v>0.570957350878296</v>
      </c>
      <c r="J4147" s="7" t="n">
        <f aca="false">Sens!$E$4147+dm_seg</f>
        <v>0.570957350878296</v>
      </c>
      <c r="K4147" s="7" t="n">
        <f aca="false">Sens!$E$4147+dm_seg</f>
        <v>0.570957350878296</v>
      </c>
      <c r="L4147" s="12" t="s">
        <v>1059</v>
      </c>
    </row>
    <row r="4148" customFormat="false" ht="17.15" hidden="false" customHeight="false" outlineLevel="0" collapsed="false">
      <c r="A4148" s="0" t="s">
        <v>880</v>
      </c>
      <c r="B4148" s="0" t="s">
        <v>98</v>
      </c>
      <c r="D4148" s="6" t="n">
        <f aca="false">Q!L21</f>
        <v>110.814</v>
      </c>
      <c r="E4148" s="6" t="n">
        <f aca="false">Q!M21</f>
        <v>136.365</v>
      </c>
      <c r="F4148" s="6" t="n">
        <f aca="false">Q!$I$21+(Sens!F4147*(Sens!F4118-Sens!F4081)+Sens!F4081-(Sens!F4083+Sens!F4084+Sens!F4085)-Sens!F4099-Sens!F4182)*(Sens!F4118-Q!$I$5)/Sens!F4118</f>
        <v>157.646667289903</v>
      </c>
      <c r="G4148" s="6" t="n">
        <f aca="false">(Sens!G4147*(Sens!G4118-Sens!G4081)+Sens!G4081-(Sens!G4083+Sens!G4084+Sens!G4085)-Sens!G4099-Sens!G4182)</f>
        <v>158.148938016701</v>
      </c>
      <c r="H4148" s="6" t="n">
        <f aca="false">(Sens!H4147*(Sens!H4118-Sens!H4081)+Sens!H4081-(Sens!H4083+Sens!H4084+Sens!H4085)-Sens!H4099-Sens!H4182)</f>
        <v>156.180404058262</v>
      </c>
      <c r="I4148" s="6" t="n">
        <f aca="false">(Sens!I4147*(Sens!I4118-Sens!I4081)+Sens!I4081-(Sens!I4083+Sens!I4084+Sens!I4085)-Sens!I4099-Sens!I4182)</f>
        <v>163.196338373472</v>
      </c>
      <c r="J4148" s="6" t="n">
        <f aca="false">(Sens!J4147*(Sens!J4118-Sens!J4081)+Sens!J4081-(Sens!J4083+Sens!J4084+Sens!J4085)-Sens!J4099-Sens!J4182)</f>
        <v>172.529681306</v>
      </c>
      <c r="K4148" s="6" t="n">
        <f aca="false">(Sens!K4147*(Sens!K4118-Sens!K4081)+Sens!K4081-(Sens!K4083+Sens!K4084+Sens!K4085)-Sens!K4099-Sens!K4182)</f>
        <v>184.014412878169</v>
      </c>
      <c r="L4148" s="1" t="s">
        <v>1060</v>
      </c>
    </row>
    <row r="4149" customFormat="false" ht="17.15" hidden="false" customHeight="false" outlineLevel="0" collapsed="false">
      <c r="A4149" s="0" t="s">
        <v>1061</v>
      </c>
      <c r="B4149" s="0" t="s">
        <v>168</v>
      </c>
      <c r="E4149" s="7" t="n">
        <f aca="false">Q!M22/Q!M12</f>
        <v>0.296207935710698</v>
      </c>
      <c r="F4149" s="7" t="n">
        <f aca="false">Sens!$E$4149+dm_seg</f>
        <v>0.296207935710698</v>
      </c>
      <c r="G4149" s="7" t="n">
        <f aca="false">Sens!$E$4149+dm_seg</f>
        <v>0.296207935710698</v>
      </c>
      <c r="H4149" s="7" t="n">
        <f aca="false">Sens!$E$4149+dm_seg</f>
        <v>0.296207935710698</v>
      </c>
      <c r="I4149" s="7" t="n">
        <f aca="false">Sens!$E$4149+dm_seg</f>
        <v>0.296207935710698</v>
      </c>
      <c r="J4149" s="7" t="n">
        <f aca="false">Sens!$E$4149+dm_seg</f>
        <v>0.296207935710698</v>
      </c>
      <c r="K4149" s="7" t="n">
        <f aca="false">Sens!$E$4149+dm_seg</f>
        <v>0.296207935710698</v>
      </c>
      <c r="L4149" s="12" t="s">
        <v>1062</v>
      </c>
    </row>
    <row r="4150" customFormat="false" ht="17.15" hidden="false" customHeight="false" outlineLevel="0" collapsed="false">
      <c r="A4150" s="0" t="s">
        <v>882</v>
      </c>
      <c r="B4150" s="0" t="s">
        <v>98</v>
      </c>
      <c r="D4150" s="6" t="n">
        <f aca="false">Q!L22</f>
        <v>17.714</v>
      </c>
      <c r="E4150" s="6" t="n">
        <f aca="false">Q!M22</f>
        <v>18.872</v>
      </c>
      <c r="F4150" s="6" t="n">
        <f aca="false">Q!$I$22+(Sens!F4125-Q!$I$12)*Sens!F4149</f>
        <v>19.8174315512051</v>
      </c>
      <c r="G4150" s="6" t="n">
        <f aca="false">Sens!G4125*Sens!G4149</f>
        <v>19.6313799703815</v>
      </c>
      <c r="H4150" s="6" t="n">
        <f aca="false">Sens!H4125*Sens!H4149</f>
        <v>20.3536242825865</v>
      </c>
      <c r="I4150" s="6" t="n">
        <f aca="false">Sens!I4125*Sens!I4149</f>
        <v>21.1920899239745</v>
      </c>
      <c r="J4150" s="6" t="n">
        <f aca="false">Sens!J4125*Sens!J4149</f>
        <v>22.1288166207045</v>
      </c>
      <c r="K4150" s="6" t="n">
        <f aca="false">Sens!K4125*Sens!K4149</f>
        <v>23.1493653905379</v>
      </c>
      <c r="L4150" s="12" t="s">
        <v>1063</v>
      </c>
    </row>
    <row r="4151" customFormat="false" ht="15" hidden="false" customHeight="false" outlineLevel="0" collapsed="false">
      <c r="A4151" s="1" t="s">
        <v>1064</v>
      </c>
      <c r="B4151" s="0" t="s">
        <v>98</v>
      </c>
      <c r="D4151" s="6" t="n">
        <f aca="false">Sens!D4148+Sens!D4150</f>
        <v>128.528</v>
      </c>
      <c r="E4151" s="6" t="n">
        <f aca="false">Sens!E4148+Sens!E4150</f>
        <v>155.237</v>
      </c>
      <c r="F4151" s="6" t="n">
        <f aca="false">Sens!F4148+Sens!F4150</f>
        <v>177.464098841108</v>
      </c>
      <c r="G4151" s="6" t="n">
        <f aca="false">Sens!G4148+Sens!G4150</f>
        <v>177.780317987082</v>
      </c>
      <c r="H4151" s="6" t="n">
        <f aca="false">Sens!H4148+Sens!H4150</f>
        <v>176.534028340849</v>
      </c>
      <c r="I4151" s="6" t="n">
        <f aca="false">Sens!I4148+Sens!I4150</f>
        <v>184.388428297447</v>
      </c>
      <c r="J4151" s="6" t="n">
        <f aca="false">Sens!J4148+Sens!J4150</f>
        <v>194.658497926705</v>
      </c>
      <c r="K4151" s="6" t="n">
        <f aca="false">Sens!K4148+Sens!K4150</f>
        <v>207.163778268707</v>
      </c>
    </row>
    <row r="4152" customFormat="false" ht="15" hidden="false" customHeight="false" outlineLevel="0" collapsed="false">
      <c r="A4152" s="26" t="s">
        <v>1065</v>
      </c>
      <c r="B4152" s="31" t="s">
        <v>98</v>
      </c>
      <c r="C4152" s="31"/>
      <c r="D4152" s="27" t="n">
        <f aca="false">Sens!D4151-Q!L23</f>
        <v>0</v>
      </c>
      <c r="E4152" s="27" t="n">
        <f aca="false">Sens!E4151-Q!M23</f>
        <v>0</v>
      </c>
      <c r="F4152" s="31"/>
      <c r="G4152" s="31"/>
      <c r="H4152" s="31"/>
      <c r="I4152" s="31"/>
      <c r="J4152" s="31"/>
      <c r="K4152" s="31"/>
    </row>
    <row r="4153" customFormat="false" ht="15" hidden="false" customHeight="false" outlineLevel="0" collapsed="false">
      <c r="A4153" s="1" t="s">
        <v>1066</v>
      </c>
      <c r="B4153" s="0" t="s">
        <v>168</v>
      </c>
      <c r="D4153" s="7" t="n">
        <f aca="false">Sens!D4151/Sens!D4144</f>
        <v>0.456219562408598</v>
      </c>
      <c r="E4153" s="7" t="n">
        <f aca="false">Sens!E4151/Sens!E4144</f>
        <v>0.467808184089272</v>
      </c>
      <c r="F4153" s="7" t="n">
        <f aca="false">Sens!F4151/Sens!F4144</f>
        <v>0.446997078306555</v>
      </c>
      <c r="G4153" s="7" t="n">
        <f aca="false">Sens!G4151/Sens!G4144</f>
        <v>0.380609044512456</v>
      </c>
      <c r="H4153" s="7" t="n">
        <f aca="false">Sens!H4151/Sens!H4144</f>
        <v>0.331807324692063</v>
      </c>
      <c r="I4153" s="7" t="n">
        <f aca="false">Sens!I4151/Sens!I4144</f>
        <v>0.30749781854141</v>
      </c>
      <c r="J4153" s="7" t="n">
        <f aca="false">Sens!J4151/Sens!J4144</f>
        <v>0.29695848280963</v>
      </c>
      <c r="K4153" s="7" t="n">
        <f aca="false">Sens!K4151/Sens!K4144</f>
        <v>0.295926588232318</v>
      </c>
    </row>
    <row r="4154" customFormat="false" ht="17.15" hidden="false" customHeight="false" outlineLevel="0" collapsed="false">
      <c r="A4154" s="1" t="s">
        <v>1067</v>
      </c>
      <c r="B4154" s="0" t="s">
        <v>98</v>
      </c>
      <c r="F4154" s="6" t="n">
        <f aca="false">Sens!F4169</f>
        <v>12.5286149640402</v>
      </c>
      <c r="G4154" s="6" t="n">
        <f aca="false">Sens!G4169</f>
        <v>33.8141756733918</v>
      </c>
      <c r="H4154" s="6" t="n">
        <f aca="false">Sens!H4169</f>
        <v>56.7178504376125</v>
      </c>
      <c r="I4154" s="6" t="n">
        <f aca="false">Sens!I4169</f>
        <v>76.9886145435407</v>
      </c>
      <c r="J4154" s="6" t="n">
        <f aca="false">Sens!J4169</f>
        <v>90.9572389401947</v>
      </c>
      <c r="K4154" s="6" t="n">
        <f aca="false">Sens!K4169</f>
        <v>98.840645896314</v>
      </c>
      <c r="L4154" s="1" t="s">
        <v>1068</v>
      </c>
    </row>
    <row r="4155" customFormat="false" ht="17.15" hidden="false" customHeight="false" outlineLevel="0" collapsed="false">
      <c r="A4155" s="1" t="s">
        <v>1069</v>
      </c>
      <c r="B4155" s="0" t="s">
        <v>98</v>
      </c>
      <c r="D4155" s="6" t="n">
        <f aca="false">Sens!D4151</f>
        <v>128.528</v>
      </c>
      <c r="E4155" s="6" t="n">
        <f aca="false">Sens!E4151</f>
        <v>155.237</v>
      </c>
      <c r="F4155" s="6" t="n">
        <f aca="false">Sens!F4151+Sens!F4154</f>
        <v>189.992713805149</v>
      </c>
      <c r="G4155" s="6" t="n">
        <f aca="false">Sens!G4151+Sens!G4154</f>
        <v>211.594493660474</v>
      </c>
      <c r="H4155" s="6" t="n">
        <f aca="false">Sens!H4151+Sens!H4154</f>
        <v>233.251878778461</v>
      </c>
      <c r="I4155" s="6" t="n">
        <f aca="false">Sens!I4151+Sens!I4154</f>
        <v>261.377042840987</v>
      </c>
      <c r="J4155" s="6" t="n">
        <f aca="false">Sens!J4151+Sens!J4154</f>
        <v>285.615736866899</v>
      </c>
      <c r="K4155" s="6" t="n">
        <f aca="false">Sens!K4151+Sens!K4154</f>
        <v>306.004424165021</v>
      </c>
    </row>
    <row r="4156" customFormat="false" ht="17.15" hidden="false" customHeight="false" outlineLevel="0" collapsed="false">
      <c r="A4156" s="1" t="s">
        <v>1070</v>
      </c>
      <c r="B4156" s="0" t="s">
        <v>98</v>
      </c>
      <c r="E4156" s="6" t="n">
        <f aca="false">Sens!E4099</f>
        <v>16.3054059770833</v>
      </c>
      <c r="F4156" s="6" t="n">
        <f aca="false">Sens!F4099</f>
        <v>37.2133107952886</v>
      </c>
      <c r="G4156" s="6" t="n">
        <f aca="false">Sens!G4099</f>
        <v>68.7985305502921</v>
      </c>
      <c r="H4156" s="6" t="n">
        <f aca="false">Sens!H4099</f>
        <v>102.837250561268</v>
      </c>
      <c r="I4156" s="6" t="n">
        <f aca="false">Sens!I4099</f>
        <v>132.849603006019</v>
      </c>
      <c r="J4156" s="6" t="n">
        <f aca="false">Sens!J4099</f>
        <v>153.81036285865</v>
      </c>
      <c r="K4156" s="6" t="n">
        <f aca="false">Sens!K4099</f>
        <v>166.333314624954</v>
      </c>
    </row>
    <row r="4157" customFormat="false" ht="17.15" hidden="false" customHeight="false" outlineLevel="0" collapsed="false">
      <c r="A4157" s="1" t="s">
        <v>1071</v>
      </c>
      <c r="B4157" s="0" t="s">
        <v>98</v>
      </c>
      <c r="E4157" s="6" t="n">
        <f aca="false">Sens!E4181</f>
        <v>22.2285940229167</v>
      </c>
      <c r="F4157" s="6" t="n">
        <f aca="false">Sens!F4181</f>
        <v>23.5738995378116</v>
      </c>
      <c r="G4157" s="6" t="n">
        <f aca="false">Sens!G4181</f>
        <v>25.3174537664321</v>
      </c>
      <c r="H4157" s="6" t="n">
        <f aca="false">Sens!H4181</f>
        <v>27.4280316160735</v>
      </c>
      <c r="I4157" s="6" t="n">
        <f aca="false">Sens!I4181</f>
        <v>29.8490636081688</v>
      </c>
      <c r="J4157" s="6" t="n">
        <f aca="false">Sens!J4181</f>
        <v>32.5060486362229</v>
      </c>
      <c r="K4157" s="6" t="n">
        <f aca="false">Sens!K4181</f>
        <v>35.315065620635</v>
      </c>
    </row>
    <row r="4158" customFormat="false" ht="17.15" hidden="false" customHeight="false" outlineLevel="0" collapsed="false">
      <c r="A4158" s="1" t="s">
        <v>1072</v>
      </c>
      <c r="B4158" s="0" t="s">
        <v>98</v>
      </c>
      <c r="D4158" s="6" t="n">
        <f aca="false">Q!L27</f>
        <v>-4.901</v>
      </c>
      <c r="E4158" s="6" t="n">
        <f aca="false">Q!M27</f>
        <v>10.697</v>
      </c>
      <c r="F4158" s="6" t="n">
        <f aca="false">Q!$I$27+oie_f*(q_per_yr-1)/q_per_yr</f>
        <v>-0.862</v>
      </c>
      <c r="G4158" s="6" t="n">
        <f aca="false">oie_f</f>
        <v>-1.2</v>
      </c>
      <c r="H4158" s="6" t="n">
        <f aca="false">oie_f</f>
        <v>-1.2</v>
      </c>
      <c r="I4158" s="6" t="n">
        <f aca="false">oie_f</f>
        <v>-1.2</v>
      </c>
      <c r="J4158" s="6" t="n">
        <f aca="false">oie_f</f>
        <v>-1.2</v>
      </c>
      <c r="K4158" s="6" t="n">
        <f aca="false">oie_f</f>
        <v>-1.2</v>
      </c>
      <c r="L4158" s="12" t="s">
        <v>1073</v>
      </c>
    </row>
    <row r="4159" customFormat="false" ht="15" hidden="false" customHeight="false" outlineLevel="0" collapsed="false">
      <c r="A4159" s="1" t="s">
        <v>1074</v>
      </c>
      <c r="B4159" s="0" t="s">
        <v>98</v>
      </c>
      <c r="D4159" s="6" t="n">
        <f aca="false">Sens!D4151+Sens!D4158</f>
        <v>123.627</v>
      </c>
      <c r="E4159" s="6" t="n">
        <f aca="false">Sens!E4151+Sens!E4158</f>
        <v>165.934</v>
      </c>
      <c r="F4159" s="6" t="n">
        <f aca="false">Sens!F4151+Sens!F4158</f>
        <v>176.602098841108</v>
      </c>
      <c r="G4159" s="6" t="n">
        <f aca="false">Sens!G4151+Sens!G4158</f>
        <v>176.580317987082</v>
      </c>
      <c r="H4159" s="6" t="n">
        <f aca="false">Sens!H4151+Sens!H4158</f>
        <v>175.334028340849</v>
      </c>
      <c r="I4159" s="6" t="n">
        <f aca="false">Sens!I4151+Sens!I4158</f>
        <v>183.188428297447</v>
      </c>
      <c r="J4159" s="6" t="n">
        <f aca="false">Sens!J4151+Sens!J4158</f>
        <v>193.458497926705</v>
      </c>
      <c r="K4159" s="6" t="n">
        <f aca="false">Sens!K4151+Sens!K4158</f>
        <v>205.963778268707</v>
      </c>
    </row>
    <row r="4160" customFormat="false" ht="15" hidden="false" customHeight="false" outlineLevel="0" collapsed="false">
      <c r="A4160" s="1" t="s">
        <v>1075</v>
      </c>
      <c r="B4160" s="0" t="s">
        <v>98</v>
      </c>
      <c r="D4160" s="6" t="n">
        <f aca="false">Q!L29</f>
        <v>21.795</v>
      </c>
      <c r="E4160" s="6" t="n">
        <f aca="false">Q!M29</f>
        <v>32.185</v>
      </c>
      <c r="F4160" s="6" t="n">
        <f aca="false">Q!$I$29+(Sens!F4159-Q!$I$28)*tax_f</f>
        <v>35.4538197682217</v>
      </c>
      <c r="G4160" s="6" t="n">
        <f aca="false">Sens!G4159*tax_f</f>
        <v>35.3160635974165</v>
      </c>
      <c r="H4160" s="6" t="n">
        <f aca="false">Sens!H4159*tax_f</f>
        <v>35.0668056681698</v>
      </c>
      <c r="I4160" s="6" t="n">
        <f aca="false">Sens!I4159*tax_f</f>
        <v>36.6376856594893</v>
      </c>
      <c r="J4160" s="6" t="n">
        <f aca="false">Sens!J4159*tax_f</f>
        <v>38.6916995853409</v>
      </c>
      <c r="K4160" s="6" t="n">
        <f aca="false">Sens!K4159*tax_f</f>
        <v>41.1927556537414</v>
      </c>
    </row>
    <row r="4161" customFormat="false" ht="15" hidden="false" customHeight="false" outlineLevel="0" collapsed="false">
      <c r="A4161" s="1" t="s">
        <v>1076</v>
      </c>
      <c r="B4161" s="0" t="s">
        <v>98</v>
      </c>
      <c r="D4161" s="6" t="n">
        <f aca="false">Sens!D4159-Sens!D4160</f>
        <v>101.832</v>
      </c>
      <c r="E4161" s="6" t="n">
        <f aca="false">Sens!E4159-Sens!E4160</f>
        <v>133.749</v>
      </c>
      <c r="F4161" s="6" t="n">
        <f aca="false">Sens!F4159-Sens!F4160</f>
        <v>141.148279072887</v>
      </c>
      <c r="G4161" s="6" t="n">
        <f aca="false">Sens!G4159-Sens!G4160</f>
        <v>141.264254389666</v>
      </c>
      <c r="H4161" s="6" t="n">
        <f aca="false">Sens!H4159-Sens!H4160</f>
        <v>140.267222672679</v>
      </c>
      <c r="I4161" s="6" t="n">
        <f aca="false">Sens!I4159-Sens!I4160</f>
        <v>146.550742637957</v>
      </c>
      <c r="J4161" s="6" t="n">
        <f aca="false">Sens!J4159-Sens!J4160</f>
        <v>154.766798341364</v>
      </c>
      <c r="K4161" s="6" t="n">
        <f aca="false">Sens!K4159-Sens!K4160</f>
        <v>164.771022614966</v>
      </c>
    </row>
    <row r="4162" customFormat="false" ht="17.15" hidden="false" customHeight="false" outlineLevel="0" collapsed="false">
      <c r="A4162" s="1" t="s">
        <v>1077</v>
      </c>
      <c r="B4162" s="1" t="s">
        <v>81</v>
      </c>
      <c r="D4162" s="15" t="n">
        <f aca="false">Q!L31</f>
        <v>7.465</v>
      </c>
      <c r="E4162" s="15" t="n">
        <f aca="false">Q!M31</f>
        <v>7.453</v>
      </c>
      <c r="F4162" s="15" t="n">
        <f aca="false">Sens!F4206</f>
        <v>7.4735</v>
      </c>
      <c r="G4162" s="15" t="n">
        <f aca="false">Sens!G4206</f>
        <v>7.5185</v>
      </c>
      <c r="H4162" s="15" t="n">
        <f aca="false">Sens!H4206</f>
        <v>7.5635</v>
      </c>
      <c r="I4162" s="15" t="n">
        <f aca="false">Sens!I4206</f>
        <v>7.59248142502667</v>
      </c>
      <c r="J4162" s="15" t="n">
        <f aca="false">Sens!J4206</f>
        <v>7.60663083618914</v>
      </c>
      <c r="K4162" s="15" t="n">
        <f aca="false">Sens!K4206</f>
        <v>7.62306547615439</v>
      </c>
    </row>
    <row r="4163" customFormat="false" ht="17.15" hidden="false" customHeight="false" outlineLevel="0" collapsed="false">
      <c r="A4163" s="0" t="s">
        <v>1078</v>
      </c>
      <c r="B4163" s="0" t="s">
        <v>75</v>
      </c>
      <c r="D4163" s="8" t="n">
        <f aca="false">Sens!D4161/Sens!D4162</f>
        <v>13.641259209645</v>
      </c>
      <c r="E4163" s="8" t="n">
        <f aca="false">Sens!E4161/Sens!E4162</f>
        <v>17.9456594659869</v>
      </c>
      <c r="F4163" s="8" t="n">
        <f aca="false">Sens!F4161/Sens!F4162</f>
        <v>18.8865028531326</v>
      </c>
      <c r="G4163" s="8" t="n">
        <f aca="false">Sens!G4161/Sens!G4162</f>
        <v>18.7888879949014</v>
      </c>
      <c r="H4163" s="8" t="n">
        <f aca="false">Sens!H4161/Sens!H4162</f>
        <v>18.5452796552759</v>
      </c>
      <c r="I4163" s="8" t="n">
        <f aca="false">Sens!I4161/Sens!I4162</f>
        <v>19.3020877410237</v>
      </c>
      <c r="J4163" s="8" t="n">
        <f aca="false">Sens!J4161/Sens!J4162</f>
        <v>20.346300704518</v>
      </c>
      <c r="K4163" s="8" t="n">
        <f aca="false">Sens!K4161/Sens!K4162</f>
        <v>21.6147982895311</v>
      </c>
      <c r="L4163" s="1" t="s">
        <v>1079</v>
      </c>
    </row>
    <row r="4164" customFormat="false" ht="17.15" hidden="false" customHeight="false" outlineLevel="0" collapsed="false">
      <c r="A4164" s="1" t="s">
        <v>1080</v>
      </c>
      <c r="B4164" s="0" t="s">
        <v>98</v>
      </c>
      <c r="D4164" s="6" t="n">
        <f aca="false">Sens!D4161</f>
        <v>101.832</v>
      </c>
      <c r="E4164" s="6" t="n">
        <f aca="false">Sens!E4161</f>
        <v>133.749</v>
      </c>
      <c r="F4164" s="6" t="n">
        <f aca="false">Sens!F4161+Sens!F4154*(1-tax_f)</f>
        <v>151.171171044119</v>
      </c>
      <c r="G4164" s="6" t="n">
        <f aca="false">Sens!G4161+Sens!G4154*(1-tax_f)</f>
        <v>168.315594928379</v>
      </c>
      <c r="H4164" s="6" t="n">
        <f aca="false">Sens!H4161+Sens!H4154*(1-tax_f)</f>
        <v>185.641503022769</v>
      </c>
      <c r="I4164" s="6" t="n">
        <f aca="false">Sens!I4161+Sens!I4154*(1-tax_f)</f>
        <v>208.14163427279</v>
      </c>
      <c r="J4164" s="6" t="n">
        <f aca="false">Sens!J4161+Sens!J4154*(1-tax_f)</f>
        <v>227.532589493519</v>
      </c>
      <c r="K4164" s="6" t="n">
        <f aca="false">Sens!K4161+Sens!K4154*(1-tax_f)</f>
        <v>243.843539332017</v>
      </c>
    </row>
    <row r="4165" customFormat="false" ht="17.15" hidden="false" customHeight="false" outlineLevel="0" collapsed="false">
      <c r="A4165" s="0" t="s">
        <v>1081</v>
      </c>
      <c r="B4165" s="0" t="s">
        <v>75</v>
      </c>
      <c r="D4165" s="8" t="n">
        <f aca="false">Sens!D4164/Sens!D4162</f>
        <v>13.641259209645</v>
      </c>
      <c r="E4165" s="8" t="n">
        <f aca="false">Sens!E4164/Sens!E4162</f>
        <v>17.9456594659869</v>
      </c>
      <c r="F4165" s="8" t="n">
        <f aca="false">Sens!F4164/Sens!F4162</f>
        <v>20.227627088261</v>
      </c>
      <c r="G4165" s="8" t="n">
        <f aca="false">Sens!G4164/Sens!G4162</f>
        <v>22.3868584063815</v>
      </c>
      <c r="H4165" s="8" t="n">
        <f aca="false">Sens!H4164/Sens!H4162</f>
        <v>24.544391224006</v>
      </c>
      <c r="I4165" s="8" t="n">
        <f aca="false">Sens!I4164/Sens!I4162</f>
        <v>27.4141776082197</v>
      </c>
      <c r="J4165" s="8" t="n">
        <f aca="false">Sens!J4164/Sens!J4162</f>
        <v>29.9124006926977</v>
      </c>
      <c r="K4165" s="8" t="n">
        <f aca="false">Sens!K4164/Sens!K4162</f>
        <v>31.9875960786091</v>
      </c>
      <c r="L4165" s="1" t="s">
        <v>1082</v>
      </c>
    </row>
    <row r="4166" customFormat="false" ht="17.15" hidden="false" customHeight="false" outlineLevel="0" collapsed="false">
      <c r="A4166" s="0" t="s">
        <v>1083</v>
      </c>
      <c r="B4166" s="0" t="s">
        <v>168</v>
      </c>
      <c r="E4166" s="7" t="n">
        <f aca="false">Sens!E4165/Sens!D4165-1</f>
        <v>0.315542736208578</v>
      </c>
      <c r="F4166" s="7" t="n">
        <f aca="false">Sens!F4165/Sens!E4165-1</f>
        <v>0.12715986428915</v>
      </c>
      <c r="G4166" s="7" t="n">
        <f aca="false">Sens!G4165/Sens!F4165-1</f>
        <v>0.106746644512424</v>
      </c>
      <c r="H4166" s="7" t="n">
        <f aca="false">Sens!H4165/Sens!G4165-1</f>
        <v>0.0963749704607704</v>
      </c>
      <c r="I4166" s="7" t="n">
        <f aca="false">Sens!I4165/Sens!H4165-1</f>
        <v>0.116922288192948</v>
      </c>
      <c r="J4166" s="7" t="n">
        <f aca="false">Sens!J4165/Sens!I4165-1</f>
        <v>0.0911288720814645</v>
      </c>
      <c r="K4166" s="7" t="n">
        <f aca="false">Sens!K4165/Sens!J4165-1</f>
        <v>0.0693757551334915</v>
      </c>
    </row>
    <row r="4167" customFormat="false" ht="17.15" hidden="false" customHeight="false" outlineLevel="0" collapsed="false">
      <c r="A4167" s="0" t="s">
        <v>1003</v>
      </c>
      <c r="B4167" s="0" t="s">
        <v>98</v>
      </c>
      <c r="E4167" s="6" t="n">
        <f aca="false">Sens!E4108</f>
        <v>5.25</v>
      </c>
      <c r="F4167" s="6" t="n">
        <f aca="false">Sens!F4108</f>
        <v>10.5</v>
      </c>
      <c r="G4167" s="6" t="n">
        <f aca="false">Sens!G4108</f>
        <v>13.5</v>
      </c>
      <c r="H4167" s="6" t="n">
        <f aca="false">Sens!H4108</f>
        <v>16.5</v>
      </c>
      <c r="I4167" s="6" t="n">
        <f aca="false">Sens!I4108</f>
        <v>18.75</v>
      </c>
      <c r="J4167" s="6" t="n">
        <f aca="false">Sens!J4108</f>
        <v>20.25</v>
      </c>
      <c r="K4167" s="6" t="n">
        <f aca="false">Sens!K4108</f>
        <v>21.75</v>
      </c>
    </row>
    <row r="4168" customFormat="false" ht="17.15" hidden="false" customHeight="false" outlineLevel="0" collapsed="false">
      <c r="A4168" s="1" t="s">
        <v>1004</v>
      </c>
      <c r="B4168" s="0" t="s">
        <v>98</v>
      </c>
      <c r="F4168" s="6" t="n">
        <f aca="false">MAX(0,((Sens!E4068+Sens!F4068)/2-(shadow_base*(Sens!$D$4068+Sens!$E$4068)/2+(1-shadow_base)*Sens!$E$4068))*Sens!F4077/1000-(Sens!F4167-Sens!$E$4167)*Sens!F4147)</f>
        <v>12.5286149640402</v>
      </c>
      <c r="G4168" s="6" t="n">
        <f aca="false">MAX(0,((Sens!F4068+Sens!G4068)/2-(shadow_base*(Sens!$D$4068+Sens!$E$4068)/2+(1-shadow_base)*Sens!$E$4068))*Sens!G4077/1000-(Sens!G4167-Sens!$E$4167)*Sens!G4147)</f>
        <v>33.8141756733918</v>
      </c>
      <c r="H4168" s="6" t="n">
        <f aca="false">MAX(0,((Sens!G4068+Sens!H4068)/2-(shadow_base*(Sens!$D$4068+Sens!$E$4068)/2+(1-shadow_base)*Sens!$E$4068))*Sens!H4077/1000-(Sens!H4167-Sens!$E$4167)*Sens!H4147)</f>
        <v>56.7178504376125</v>
      </c>
      <c r="I4168" s="6" t="n">
        <f aca="false">MAX(0,((Sens!H4068+Sens!I4068)/2-(shadow_base*(Sens!$D$4068+Sens!$E$4068)/2+(1-shadow_base)*Sens!$E$4068))*Sens!I4077/1000-(Sens!I4167-Sens!$E$4167)*Sens!I4147)</f>
        <v>76.9886145435407</v>
      </c>
      <c r="J4168" s="6" t="n">
        <f aca="false">MAX(0,((Sens!I4068+Sens!J4068)/2-(shadow_base*(Sens!$D$4068+Sens!$E$4068)/2+(1-shadow_base)*Sens!$E$4068))*Sens!J4077/1000-(Sens!J4167-Sens!$E$4167)*Sens!J4147)</f>
        <v>90.9572389401947</v>
      </c>
      <c r="K4168" s="6" t="n">
        <f aca="false">MAX(0,((Sens!J4068+Sens!K4068)/2-(shadow_base*(Sens!$D$4068+Sens!$E$4068)/2+(1-shadow_base)*Sens!$E$4068))*Sens!K4077/1000-(Sens!K4167-Sens!$E$4167)*Sens!K4147)</f>
        <v>98.840645896314</v>
      </c>
      <c r="L4168" s="1" t="s">
        <v>1005</v>
      </c>
    </row>
    <row r="4169" customFormat="false" ht="17.15" hidden="false" customHeight="false" outlineLevel="0" collapsed="false">
      <c r="A4169" s="1" t="s">
        <v>1006</v>
      </c>
      <c r="B4169" s="0" t="s">
        <v>98</v>
      </c>
      <c r="F4169" s="6" t="n">
        <f aca="false">IF(internal_ai_reading=2,1,0)*Sens!F4168</f>
        <v>12.5286149640402</v>
      </c>
      <c r="G4169" s="6" t="n">
        <f aca="false">IF(internal_ai_reading=2,1,0)*Sens!G4168</f>
        <v>33.8141756733918</v>
      </c>
      <c r="H4169" s="6" t="n">
        <f aca="false">IF(internal_ai_reading=2,1,0)*Sens!H4168</f>
        <v>56.7178504376125</v>
      </c>
      <c r="I4169" s="6" t="n">
        <f aca="false">IF(internal_ai_reading=2,1,0)*Sens!I4168</f>
        <v>76.9886145435407</v>
      </c>
      <c r="J4169" s="6" t="n">
        <f aca="false">IF(internal_ai_reading=2,1,0)*Sens!J4168</f>
        <v>90.9572389401947</v>
      </c>
      <c r="K4169" s="6" t="n">
        <f aca="false">IF(internal_ai_reading=2,1,0)*Sens!K4168</f>
        <v>98.840645896314</v>
      </c>
    </row>
    <row r="4170" customFormat="false" ht="17.15" hidden="false" customHeight="false" outlineLevel="0" collapsed="false">
      <c r="A4170" s="0" t="s">
        <v>1007</v>
      </c>
      <c r="B4170" s="0" t="s">
        <v>98</v>
      </c>
      <c r="F4170" s="6" t="n">
        <f aca="false">Sens!F4087+Sens!F4167*Sens!F4147+Sens!F4169-Sens!F4088-Sens!F4099</f>
        <v>11.7700010499923</v>
      </c>
      <c r="G4170" s="6" t="n">
        <f aca="false">Sens!G4087+Sens!G4167*Sens!G4147+Sens!G4169-Sens!G4088-Sens!G4099</f>
        <v>19.7584863444757</v>
      </c>
      <c r="H4170" s="6" t="n">
        <f aca="false">Sens!H4087+Sens!H4167*Sens!H4147+Sens!H4169-Sens!H4088-Sens!H4099</f>
        <v>21.2857586477076</v>
      </c>
      <c r="I4170" s="6" t="n">
        <f aca="false">Sens!I4087+Sens!I4167*Sens!I4147+Sens!I4169-Sens!I4088-Sens!I4099</f>
        <v>29.6564118383565</v>
      </c>
      <c r="J4170" s="6" t="n">
        <f aca="false">Sens!J4087+Sens!J4167*Sens!J4147+Sens!J4169-Sens!J4088-Sens!J4099</f>
        <v>35.2940634289087</v>
      </c>
      <c r="K4170" s="6" t="n">
        <f aca="false">Sens!K4087+Sens!K4167*Sens!K4147+Sens!K4169-Sens!K4088-Sens!K4099</f>
        <v>39.035743075226</v>
      </c>
    </row>
    <row r="4171" customFormat="false" ht="17.15" hidden="false" customHeight="false" outlineLevel="0" collapsed="false">
      <c r="A4171" s="0" t="s">
        <v>1008</v>
      </c>
      <c r="B4171" s="0" t="s">
        <v>98</v>
      </c>
      <c r="E4171" s="6" t="n">
        <f aca="false">Sens!E4067*(cxit_open+self_build*tk_cxfac)/1000*ai_net_open</f>
        <v>126.6980382</v>
      </c>
      <c r="F4171" s="6" t="n">
        <f aca="false">Sens!E4171+Sens!F4096-Sens!F4099</f>
        <v>294.382915210455</v>
      </c>
      <c r="G4171" s="6" t="n">
        <f aca="false">Sens!F4171+Sens!G4096-Sens!G4099</f>
        <v>455.917755439021</v>
      </c>
      <c r="H4171" s="6" t="n">
        <f aca="false">Sens!G4171+Sens!H4096-Sens!H4099</f>
        <v>589.247709755167</v>
      </c>
      <c r="I4171" s="6" t="n">
        <f aca="false">Sens!H4171+Sens!I4096-Sens!I4099</f>
        <v>652.434576937081</v>
      </c>
      <c r="J4171" s="6" t="n">
        <f aca="false">Sens!I4171+Sens!J4096-Sens!J4099</f>
        <v>643.584650325439</v>
      </c>
      <c r="K4171" s="6" t="n">
        <f aca="false">Sens!J4171+Sens!K4096-Sens!K4099</f>
        <v>601.060261086901</v>
      </c>
      <c r="L4171" s="1" t="s">
        <v>1009</v>
      </c>
    </row>
    <row r="4172" customFormat="false" ht="17.15" hidden="false" customHeight="false" outlineLevel="0" collapsed="false">
      <c r="A4172" s="0" t="s">
        <v>1010</v>
      </c>
      <c r="B4172" s="0" t="s">
        <v>168</v>
      </c>
      <c r="F4172" s="7" t="n">
        <f aca="false">Sens!F4170*(1-tax_f)/((Sens!E4171+Sens!F4171)/2)</f>
        <v>0.0447229957267407</v>
      </c>
      <c r="G4172" s="7" t="n">
        <f aca="false">Sens!G4170*(1-tax_f)/((Sens!F4171+Sens!G4171)/2)</f>
        <v>0.042134546039784</v>
      </c>
      <c r="H4172" s="7" t="n">
        <f aca="false">Sens!H4170*(1-tax_f)/((Sens!G4171+Sens!H4171)/2)</f>
        <v>0.0325854756691607</v>
      </c>
      <c r="I4172" s="7" t="n">
        <f aca="false">Sens!I4170*(1-tax_f)/((Sens!H4171+Sens!I4171)/2)</f>
        <v>0.0382144929100781</v>
      </c>
      <c r="J4172" s="7" t="n">
        <f aca="false">Sens!J4170*(1-tax_f)/((Sens!I4171+Sens!J4171)/2)</f>
        <v>0.0435722713817542</v>
      </c>
      <c r="K4172" s="7" t="n">
        <f aca="false">Sens!K4170*(1-tax_f)/((Sens!J4171+Sens!K4171)/2)</f>
        <v>0.0501807289353631</v>
      </c>
    </row>
    <row r="4173" customFormat="false" ht="17.15" hidden="false" customHeight="false" outlineLevel="0" collapsed="false">
      <c r="A4173" s="1" t="s">
        <v>1011</v>
      </c>
      <c r="B4173" s="0" t="s">
        <v>168</v>
      </c>
      <c r="F4173" s="7" t="n">
        <f aca="false">(Sens!F4170-Sens!F4169)*(1-tax_f)/((Sens!E4171+Sens!F4171)/2)</f>
        <v>-0.00288253898127163</v>
      </c>
      <c r="G4173" s="7" t="n">
        <f aca="false">(Sens!G4170-Sens!G4169)*(1-tax_f)/((Sens!F4171+Sens!G4171)/2)</f>
        <v>-0.0299734543843587</v>
      </c>
      <c r="H4173" s="7" t="n">
        <f aca="false">(Sens!H4170-Sens!H4169)*(1-tax_f)/((Sens!G4171+Sens!H4171)/2)</f>
        <v>-0.0542415040984107</v>
      </c>
      <c r="I4173" s="7" t="n">
        <f aca="false">(Sens!I4170-Sens!I4169)*(1-tax_f)/((Sens!H4171+Sens!I4171)/2)</f>
        <v>-0.0609910644131342</v>
      </c>
      <c r="J4173" s="7" t="n">
        <f aca="false">(Sens!J4170-Sens!J4169)*(1-tax_f)/((Sens!I4171+Sens!J4171)/2)</f>
        <v>-0.0687189502629328</v>
      </c>
      <c r="K4173" s="7" t="n">
        <f aca="false">(Sens!K4170-Sens!K4169)*(1-tax_f)/((Sens!J4171+Sens!K4171)/2)</f>
        <v>-0.0768796334089862</v>
      </c>
    </row>
    <row r="4174" customFormat="false" ht="17.15" hidden="false" customHeight="false" outlineLevel="0" collapsed="false">
      <c r="A4174" s="1" t="s">
        <v>1012</v>
      </c>
      <c r="B4174" s="0" t="s">
        <v>168</v>
      </c>
      <c r="F4174" s="7" t="n">
        <f aca="false">(Sens!F4170-Sens!F4169+Sens!F4168)*(1-tax_f)/((Sens!E4171+Sens!F4171)/2)</f>
        <v>0.0447229957267407</v>
      </c>
      <c r="G4174" s="7" t="n">
        <f aca="false">(Sens!G4170-Sens!G4169+Sens!G4168)*(1-tax_f)/((Sens!F4171+Sens!G4171)/2)</f>
        <v>0.042134546039784</v>
      </c>
      <c r="H4174" s="7" t="n">
        <f aca="false">(Sens!H4170-Sens!H4169+Sens!H4168)*(1-tax_f)/((Sens!G4171+Sens!H4171)/2)</f>
        <v>0.0325854756691607</v>
      </c>
      <c r="I4174" s="7" t="n">
        <f aca="false">(Sens!I4170-Sens!I4169+Sens!I4168)*(1-tax_f)/((Sens!H4171+Sens!I4171)/2)</f>
        <v>0.0382144929100781</v>
      </c>
      <c r="J4174" s="7" t="n">
        <f aca="false">(Sens!J4170-Sens!J4169+Sens!J4168)*(1-tax_f)/((Sens!I4171+Sens!J4171)/2)</f>
        <v>0.0435722713817542</v>
      </c>
      <c r="K4174" s="7" t="n">
        <f aca="false">(Sens!K4170-Sens!K4169+Sens!K4168)*(1-tax_f)/((Sens!J4171+Sens!K4171)/2)</f>
        <v>0.0501807289353631</v>
      </c>
    </row>
    <row r="4175" customFormat="false" ht="17.15" hidden="false" customHeight="false" outlineLevel="0" collapsed="false">
      <c r="A4175" s="1" t="s">
        <v>1013</v>
      </c>
      <c r="B4175" s="0" t="s">
        <v>168</v>
      </c>
      <c r="F4175" s="7" t="n">
        <f aca="false">Sens!F4100*(1-tax_f)/(Sens!F4086*(Sens!E4171+Sens!F4171)/2)</f>
        <v>0.0971075715650549</v>
      </c>
      <c r="G4175" s="7" t="n">
        <f aca="false">Sens!G4100*(1-tax_f)/(Sens!G4086*(Sens!F4171+Sens!G4171)/2)</f>
        <v>0.0658872733711986</v>
      </c>
      <c r="H4175" s="7" t="n">
        <f aca="false">Sens!H4100*(1-tax_f)/(Sens!H4086*(Sens!G4171+Sens!H4171)/2)</f>
        <v>0.037990802452478</v>
      </c>
      <c r="I4175" s="7" t="n">
        <f aca="false">Sens!I4100*(1-tax_f)/(Sens!I4086*(Sens!H4171+Sens!I4171)/2)</f>
        <v>0.0402382663745974</v>
      </c>
      <c r="J4175" s="7" t="n">
        <f aca="false">Sens!J4100*(1-tax_f)/(Sens!J4086*(Sens!I4171+Sens!J4171)/2)</f>
        <v>0.0438881581603067</v>
      </c>
      <c r="K4175" s="7" t="n">
        <f aca="false">Sens!K4100*(1-tax_f)/(Sens!K4086*(Sens!J4171+Sens!K4171)/2)</f>
        <v>0.0497553051039361</v>
      </c>
    </row>
    <row r="4176" customFormat="false" ht="17.15" hidden="false" customHeight="false" outlineLevel="0" collapsed="false">
      <c r="A4176" s="0" t="s">
        <v>1014</v>
      </c>
      <c r="B4176" s="0" t="s">
        <v>253</v>
      </c>
      <c r="F4176" s="7" t="n">
        <f aca="false">Sens!F4172-wacc</f>
        <v>-0.0582135952188566</v>
      </c>
      <c r="G4176" s="7" t="n">
        <f aca="false">Sens!G4172-wacc</f>
        <v>-0.0608020449058133</v>
      </c>
      <c r="H4176" s="7" t="n">
        <f aca="false">Sens!H4172-wacc</f>
        <v>-0.0703511152764366</v>
      </c>
      <c r="I4176" s="7" t="n">
        <f aca="false">Sens!I4172-wacc</f>
        <v>-0.0647220980355192</v>
      </c>
      <c r="J4176" s="7" t="n">
        <f aca="false">Sens!J4172-wacc</f>
        <v>-0.0593643195638431</v>
      </c>
      <c r="K4176" s="7" t="n">
        <f aca="false">Sens!K4172-wacc</f>
        <v>-0.0527558620102342</v>
      </c>
    </row>
    <row r="4177" customFormat="false" ht="17.15" hidden="false" customHeight="false" outlineLevel="0" collapsed="false">
      <c r="A4177" s="0" t="s">
        <v>1015</v>
      </c>
      <c r="B4177" s="0" t="s">
        <v>98</v>
      </c>
      <c r="F4177" s="6" t="n">
        <f aca="false">Sens!F4170*(1-tax_f)-wacc*(Sens!E4171+Sens!F4171)/2</f>
        <v>-12.2563180881032</v>
      </c>
      <c r="G4177" s="6" t="n">
        <f aca="false">Sens!G4170*(1-tax_f)-wacc*(Sens!F4171+Sens!G4171)/2</f>
        <v>-22.8099075348456</v>
      </c>
      <c r="H4177" s="6" t="n">
        <f aca="false">Sens!H4170*(1-tax_f)-wacc*(Sens!G4171+Sens!H4171)/2</f>
        <v>-36.7642780624134</v>
      </c>
      <c r="I4177" s="6" t="n">
        <f aca="false">Sens!I4170*(1-tax_f)-wacc*(Sens!H4171+Sens!I4171)/2</f>
        <v>-40.1821413441317</v>
      </c>
      <c r="J4177" s="6" t="n">
        <f aca="false">Sens!J4170*(1-tax_f)-wacc*(Sens!I4171+Sens!J4171)/2</f>
        <v>-38.4686497840486</v>
      </c>
      <c r="K4177" s="6" t="n">
        <f aca="false">Sens!K4170*(1-tax_f)-wacc*(Sens!J4171+Sens!K4171)/2</f>
        <v>-32.8311575991048</v>
      </c>
    </row>
    <row r="4178" customFormat="false" ht="17.15" hidden="false" customHeight="false" outlineLevel="0" collapsed="false">
      <c r="A4178" s="3" t="s">
        <v>1583</v>
      </c>
    </row>
    <row r="4179" customFormat="false" ht="15" hidden="false" customHeight="false" outlineLevel="0" collapsed="false">
      <c r="A4179" s="4" t="s">
        <v>43</v>
      </c>
      <c r="B4179" s="4" t="s">
        <v>65</v>
      </c>
      <c r="C4179" s="23" t="s">
        <v>938</v>
      </c>
      <c r="D4179" s="23" t="s">
        <v>939</v>
      </c>
      <c r="E4179" s="23" t="s">
        <v>940</v>
      </c>
      <c r="F4179" s="23" t="s">
        <v>941</v>
      </c>
      <c r="G4179" s="23" t="s">
        <v>942</v>
      </c>
      <c r="H4179" s="23" t="s">
        <v>943</v>
      </c>
      <c r="I4179" s="23" t="s">
        <v>944</v>
      </c>
      <c r="J4179" s="23" t="s">
        <v>945</v>
      </c>
      <c r="K4179" s="23" t="s">
        <v>946</v>
      </c>
      <c r="L4179" s="4" t="s">
        <v>47</v>
      </c>
    </row>
    <row r="4180" customFormat="false" ht="15" hidden="false" customHeight="false" outlineLevel="0" collapsed="false">
      <c r="A4180" s="1" t="s">
        <v>1076</v>
      </c>
      <c r="B4180" s="0" t="s">
        <v>98</v>
      </c>
      <c r="F4180" s="6" t="n">
        <f aca="false">Sens!F4161</f>
        <v>141.148279072887</v>
      </c>
      <c r="G4180" s="6" t="n">
        <f aca="false">Sens!G4161</f>
        <v>141.264254389666</v>
      </c>
      <c r="H4180" s="6" t="n">
        <f aca="false">Sens!H4161</f>
        <v>140.267222672679</v>
      </c>
      <c r="I4180" s="6" t="n">
        <f aca="false">Sens!I4161</f>
        <v>146.550742637957</v>
      </c>
      <c r="J4180" s="6" t="n">
        <f aca="false">Sens!J4161</f>
        <v>154.766798341364</v>
      </c>
      <c r="K4180" s="6" t="n">
        <f aca="false">Sens!K4161</f>
        <v>164.771022614966</v>
      </c>
    </row>
    <row r="4181" customFormat="false" ht="17.15" hidden="false" customHeight="false" outlineLevel="0" collapsed="false">
      <c r="A4181" s="1" t="s">
        <v>1098</v>
      </c>
      <c r="B4181" s="0" t="s">
        <v>98</v>
      </c>
      <c r="E4181" s="6" t="n">
        <f aca="false">Q!M38-Sens!E4099</f>
        <v>22.2285940229167</v>
      </c>
      <c r="F4181" s="6" t="n">
        <f aca="false">Sens!E4181*(1-1/life_nonai)+(Sens!F4189+Sens!F4190)/life_nonai</f>
        <v>23.5738995378116</v>
      </c>
      <c r="G4181" s="6" t="n">
        <f aca="false">Sens!F4181*(1-1/life_nonai)+(Sens!G4189)/life_nonai</f>
        <v>25.3174537664321</v>
      </c>
      <c r="H4181" s="6" t="n">
        <f aca="false">Sens!G4181*(1-1/life_nonai)+(Sens!H4189)/life_nonai</f>
        <v>27.4280316160735</v>
      </c>
      <c r="I4181" s="6" t="n">
        <f aca="false">Sens!H4181*(1-1/life_nonai)+(Sens!I4189)/life_nonai</f>
        <v>29.8490636081688</v>
      </c>
      <c r="J4181" s="6" t="n">
        <f aca="false">Sens!I4181*(1-1/life_nonai)+(Sens!J4189)/life_nonai</f>
        <v>32.5060486362229</v>
      </c>
      <c r="K4181" s="6" t="n">
        <f aca="false">Sens!J4181*(1-1/life_nonai)+(Sens!K4189)/life_nonai</f>
        <v>35.315065620635</v>
      </c>
      <c r="L4181" s="12" t="s">
        <v>1099</v>
      </c>
    </row>
    <row r="4182" customFormat="false" ht="17.15" hidden="false" customHeight="false" outlineLevel="0" collapsed="false">
      <c r="A4182" s="1" t="s">
        <v>1100</v>
      </c>
      <c r="B4182" s="0" t="s">
        <v>98</v>
      </c>
      <c r="F4182" s="6" t="n">
        <f aca="false">Sens!$F$4190/life_nonai*(1-1/life_nonai)^(Sens!F4062-2027)</f>
        <v>0</v>
      </c>
      <c r="G4182" s="6" t="n">
        <f aca="false">Sens!$F$4190/life_nonai*(1-1/life_nonai)^(Sens!G4062-2027)</f>
        <v>0</v>
      </c>
      <c r="H4182" s="6" t="n">
        <f aca="false">Sens!$F$4190/life_nonai*(1-1/life_nonai)^(Sens!H4062-2027)</f>
        <v>0</v>
      </c>
      <c r="I4182" s="6" t="n">
        <f aca="false">Sens!$F$4190/life_nonai*(1-1/life_nonai)^(Sens!I4062-2027)</f>
        <v>0</v>
      </c>
      <c r="J4182" s="6" t="n">
        <f aca="false">Sens!$F$4190/life_nonai*(1-1/life_nonai)^(Sens!J4062-2027)</f>
        <v>0</v>
      </c>
      <c r="K4182" s="6" t="n">
        <f aca="false">Sens!$F$4190/life_nonai*(1-1/life_nonai)^(Sens!K4062-2027)</f>
        <v>0</v>
      </c>
      <c r="L4182" s="1" t="s">
        <v>1101</v>
      </c>
    </row>
    <row r="4183" customFormat="false" ht="17.15" hidden="false" customHeight="false" outlineLevel="0" collapsed="false">
      <c r="A4183" s="1" t="s">
        <v>1102</v>
      </c>
      <c r="B4183" s="0" t="s">
        <v>98</v>
      </c>
      <c r="E4183" s="6" t="n">
        <f aca="false">Sens!E4099+Sens!E4181</f>
        <v>38.534</v>
      </c>
      <c r="F4183" s="6" t="n">
        <f aca="false">Sens!F4099+Sens!F4181</f>
        <v>60.7872103331003</v>
      </c>
      <c r="G4183" s="6" t="n">
        <f aca="false">Sens!G4099+Sens!G4181</f>
        <v>94.1159843167241</v>
      </c>
      <c r="H4183" s="6" t="n">
        <f aca="false">Sens!H4099+Sens!H4181</f>
        <v>130.265282177342</v>
      </c>
      <c r="I4183" s="6" t="n">
        <f aca="false">Sens!I4099+Sens!I4181</f>
        <v>162.698666614188</v>
      </c>
      <c r="J4183" s="6" t="n">
        <f aca="false">Sens!J4099+Sens!J4181</f>
        <v>186.316411494873</v>
      </c>
      <c r="K4183" s="6" t="n">
        <f aca="false">Sens!K4099+Sens!K4181</f>
        <v>201.648380245589</v>
      </c>
    </row>
    <row r="4184" customFormat="false" ht="17.15" hidden="false" customHeight="false" outlineLevel="0" collapsed="false">
      <c r="A4184" s="1" t="s">
        <v>1103</v>
      </c>
      <c r="B4184" s="0" t="s">
        <v>98</v>
      </c>
      <c r="F4184" s="6" t="n">
        <f aca="false">Sens!F4126*sbc_r</f>
        <v>14.8414101176883</v>
      </c>
      <c r="G4184" s="6" t="n">
        <f aca="false">Sens!G4126*sbc_r</f>
        <v>17.4611931740366</v>
      </c>
      <c r="H4184" s="6" t="n">
        <f aca="false">Sens!H4126*sbc_r</f>
        <v>19.8889476779762</v>
      </c>
      <c r="I4184" s="6" t="n">
        <f aca="false">Sens!I4126*sbc_r</f>
        <v>22.4161470008836</v>
      </c>
      <c r="J4184" s="6" t="n">
        <f aca="false">Sens!J4126*sbc_r</f>
        <v>24.504563723995</v>
      </c>
      <c r="K4184" s="6" t="n">
        <f aca="false">Sens!K4126*sbc_r</f>
        <v>26.1697261849953</v>
      </c>
    </row>
    <row r="4185" customFormat="false" ht="17.15" hidden="false" customHeight="false" outlineLevel="0" collapsed="false">
      <c r="A4185" s="1" t="s">
        <v>1104</v>
      </c>
      <c r="B4185" s="0" t="s">
        <v>98</v>
      </c>
      <c r="F4185" s="6" t="n">
        <f aca="false">wc27-wc26q1</f>
        <v>-4.677</v>
      </c>
      <c r="G4185" s="6" t="n">
        <f aca="false">wc_f</f>
        <v>0</v>
      </c>
      <c r="H4185" s="6" t="n">
        <f aca="false">wc_f</f>
        <v>0</v>
      </c>
      <c r="I4185" s="6" t="n">
        <f aca="false">wc_f</f>
        <v>0</v>
      </c>
      <c r="J4185" s="6" t="n">
        <f aca="false">wc_f</f>
        <v>0</v>
      </c>
      <c r="K4185" s="6" t="n">
        <f aca="false">wc_f</f>
        <v>0</v>
      </c>
      <c r="L4185" s="12" t="s">
        <v>1105</v>
      </c>
    </row>
    <row r="4186" customFormat="false" ht="17.15" hidden="false" customHeight="false" outlineLevel="0" collapsed="false">
      <c r="A4186" s="0" t="s">
        <v>1106</v>
      </c>
      <c r="B4186" s="0" t="s">
        <v>98</v>
      </c>
      <c r="F4186" s="6" t="n">
        <f aca="false">Q!$I$35-Q!$I$26-Q!$I$38-Q!$I$39</f>
        <v>6.493</v>
      </c>
      <c r="L4186" s="1" t="s">
        <v>1107</v>
      </c>
    </row>
    <row r="4187" customFormat="false" ht="15" hidden="false" customHeight="false" outlineLevel="0" collapsed="false">
      <c r="A4187" s="1" t="s">
        <v>904</v>
      </c>
      <c r="B4187" s="0" t="s">
        <v>98</v>
      </c>
      <c r="E4187" s="6" t="n">
        <f aca="false">Q!M35</f>
        <v>182.935</v>
      </c>
      <c r="F4187" s="6" t="n">
        <f aca="false">Sens!F4180+Sens!F4183+Sens!F4184+Sens!F4185+Sens!F4186</f>
        <v>218.592899523675</v>
      </c>
      <c r="G4187" s="6" t="n">
        <f aca="false">Sens!G4180+Sens!G4183+Sens!G4184+Sens!G4185</f>
        <v>252.841431880427</v>
      </c>
      <c r="H4187" s="6" t="n">
        <f aca="false">Sens!H4180+Sens!H4183+Sens!H4184+Sens!H4185</f>
        <v>290.421452527997</v>
      </c>
      <c r="I4187" s="6" t="n">
        <f aca="false">Sens!I4180+Sens!I4183+Sens!I4184+Sens!I4185</f>
        <v>331.665556253029</v>
      </c>
      <c r="J4187" s="6" t="n">
        <f aca="false">Sens!J4180+Sens!J4183+Sens!J4184+Sens!J4185</f>
        <v>365.587773560231</v>
      </c>
      <c r="K4187" s="6" t="n">
        <f aca="false">Sens!K4180+Sens!K4183+Sens!K4184+Sens!K4185</f>
        <v>392.58912904555</v>
      </c>
    </row>
    <row r="4188" customFormat="false" ht="17.15" hidden="false" customHeight="false" outlineLevel="0" collapsed="false">
      <c r="A4188" s="0" t="s">
        <v>1108</v>
      </c>
      <c r="B4188" s="0" t="s">
        <v>98</v>
      </c>
      <c r="F4188" s="6" t="n">
        <f aca="false">Sens!F4096</f>
        <v>204.898187805744</v>
      </c>
      <c r="G4188" s="6" t="n">
        <f aca="false">Sens!G4096</f>
        <v>230.333370778858</v>
      </c>
      <c r="H4188" s="6" t="n">
        <f aca="false">Sens!H4096</f>
        <v>236.167204877415</v>
      </c>
      <c r="I4188" s="6" t="n">
        <f aca="false">Sens!I4096</f>
        <v>196.036470187933</v>
      </c>
      <c r="J4188" s="6" t="n">
        <f aca="false">Sens!J4096</f>
        <v>144.960436247008</v>
      </c>
      <c r="K4188" s="6" t="n">
        <f aca="false">Sens!K4096</f>
        <v>123.808925386415</v>
      </c>
    </row>
    <row r="4189" customFormat="false" ht="17.15" hidden="false" customHeight="false" outlineLevel="0" collapsed="false">
      <c r="A4189" s="1" t="s">
        <v>1109</v>
      </c>
      <c r="B4189" s="0" t="s">
        <v>98</v>
      </c>
      <c r="E4189" s="6" t="n">
        <f aca="false">Sens!E4104*cx_azo+Sens!E4111*cx_m365+Sens!E4112*cx_lic+(Sens!E4114+Sens!E4116)*cx_ind+Sens!E4119*cx_srch+(Sens!E4121+Sens!E4123)*cx_dev</f>
        <v>30.1846587067718</v>
      </c>
      <c r="F4189" s="6" t="n">
        <f aca="false">Sens!F4104*cx_azo+Sens!F4111*cx_m365+Sens!F4112*cx_lic+(Sens!F4114+Sens!F4116)*cx_ind+Sens!F4119*cx_srch+(Sens!F4121+Sens!F4123)*cx_dev</f>
        <v>35.6816491718663</v>
      </c>
      <c r="G4189" s="6" t="n">
        <f aca="false">Sens!G4104*cx_azo+Sens!G4111*cx_m365+Sens!G4112*cx_lic+(Sens!G4114+Sens!G4116)*cx_ind+Sens!G4119*cx_srch+(Sens!G4121+Sens!G4123)*cx_dev</f>
        <v>41.0094418240158</v>
      </c>
      <c r="H4189" s="6" t="n">
        <f aca="false">Sens!H4104*cx_azo+Sens!H4111*cx_m365+Sens!H4112*cx_lic+(Sens!H4114+Sens!H4116)*cx_ind+Sens!H4119*cx_srch+(Sens!H4121+Sens!H4123)*cx_dev</f>
        <v>46.4232322628469</v>
      </c>
      <c r="I4189" s="6" t="n">
        <f aca="false">Sens!I4104*cx_azo+Sens!I4111*cx_m365+Sens!I4112*cx_lic+(Sens!I4114+Sens!I4116)*cx_ind+Sens!I4119*cx_srch+(Sens!I4121+Sens!I4123)*cx_dev</f>
        <v>51.6383515370258</v>
      </c>
      <c r="J4189" s="6" t="n">
        <f aca="false">Sens!J4104*cx_azo+Sens!J4111*cx_m365+Sens!J4112*cx_lic+(Sens!J4114+Sens!J4116)*cx_ind+Sens!J4119*cx_srch+(Sens!J4121+Sens!J4123)*cx_dev</f>
        <v>56.4189138887106</v>
      </c>
      <c r="K4189" s="6" t="n">
        <f aca="false">Sens!K4104*cx_azo+Sens!K4111*cx_m365+Sens!K4112*cx_lic+(Sens!K4114+Sens!K4116)*cx_ind+Sens!K4119*cx_srch+(Sens!K4121+Sens!K4123)*cx_dev</f>
        <v>60.5962184803432</v>
      </c>
    </row>
    <row r="4190" customFormat="false" ht="17.15" hidden="false" customHeight="false" outlineLevel="0" collapsed="false">
      <c r="A4190" s="0" t="s">
        <v>1110</v>
      </c>
      <c r="B4190" s="0" t="s">
        <v>98</v>
      </c>
      <c r="F4190" s="6" t="n">
        <f aca="false">Sens!F4094</f>
        <v>0</v>
      </c>
      <c r="L4190" s="1" t="s">
        <v>1111</v>
      </c>
    </row>
    <row r="4191" customFormat="false" ht="17.15" hidden="false" customHeight="false" outlineLevel="0" collapsed="false">
      <c r="A4191" s="1" t="s">
        <v>1112</v>
      </c>
      <c r="B4191" s="0" t="s">
        <v>98</v>
      </c>
      <c r="E4191" s="6" t="n">
        <f aca="false">Q!M43</f>
        <v>145.3</v>
      </c>
      <c r="F4191" s="6" t="n">
        <f aca="false">Sens!F4188+Sens!F4189+Sens!F4190</f>
        <v>240.57983697761</v>
      </c>
      <c r="G4191" s="6" t="n">
        <f aca="false">Sens!G4188+Sens!G4189</f>
        <v>271.342812602873</v>
      </c>
      <c r="H4191" s="6" t="n">
        <f aca="false">Sens!H4188+Sens!H4189</f>
        <v>282.590437140262</v>
      </c>
      <c r="I4191" s="6" t="n">
        <f aca="false">Sens!I4188+Sens!I4189</f>
        <v>247.674821724958</v>
      </c>
      <c r="J4191" s="6" t="n">
        <f aca="false">Sens!J4188+Sens!J4189</f>
        <v>201.379350135719</v>
      </c>
      <c r="K4191" s="6" t="n">
        <f aca="false">Sens!K4188+Sens!K4189</f>
        <v>184.405143866759</v>
      </c>
      <c r="L4191" s="1" t="s">
        <v>1113</v>
      </c>
    </row>
    <row r="4192" customFormat="false" ht="15" hidden="false" customHeight="false" outlineLevel="0" collapsed="false">
      <c r="A4192" s="1" t="s">
        <v>1114</v>
      </c>
      <c r="B4192" s="0" t="s">
        <v>98</v>
      </c>
      <c r="E4192" s="6" t="n">
        <f aca="false">fl_liab</f>
        <v>66.594</v>
      </c>
      <c r="F4192" s="6" t="n">
        <f aca="false">Sens!E4192-Sens!F4193</f>
        <v>62.46973</v>
      </c>
      <c r="G4192" s="6" t="n">
        <f aca="false">Sens!F4192-Sens!G4193</f>
        <v>57.98686785</v>
      </c>
      <c r="H4192" s="6" t="n">
        <f aca="false">Sens!G4192-Sens!H4193</f>
        <v>53.92827690325</v>
      </c>
      <c r="I4192" s="6" t="n">
        <f aca="false">Sens!H4192-Sens!I4193</f>
        <v>49.7850493638962</v>
      </c>
      <c r="J4192" s="6" t="n">
        <f aca="false">Sens!I4192-Sens!J4193</f>
        <v>45.4823765852716</v>
      </c>
      <c r="K4192" s="6" t="n">
        <f aca="false">Sens!J4192-Sens!K4193</f>
        <v>40.9860835316088</v>
      </c>
    </row>
    <row r="4193" customFormat="false" ht="15" hidden="false" customHeight="false" outlineLevel="0" collapsed="false">
      <c r="A4193" s="1" t="s">
        <v>1115</v>
      </c>
      <c r="B4193" s="0" t="s">
        <v>98</v>
      </c>
      <c r="F4193" s="6" t="n">
        <f aca="false">fl_pay_27-Sens!E4192*fl_rate</f>
        <v>4.12427</v>
      </c>
      <c r="G4193" s="6" t="n">
        <f aca="false">fl_pay_28-Sens!F4192*fl_rate</f>
        <v>4.48286215</v>
      </c>
      <c r="H4193" s="6" t="n">
        <f aca="false">fl_pay_29-Sens!G4192*fl_rate</f>
        <v>4.05859094675</v>
      </c>
      <c r="I4193" s="6" t="n">
        <f aca="false">fl_pay_30-Sens!H4192*fl_rate</f>
        <v>4.14322753935375</v>
      </c>
      <c r="J4193" s="6" t="n">
        <f aca="false">fl_pay_31-Sens!I4192*fl_rate</f>
        <v>4.30267277862467</v>
      </c>
      <c r="K4193" s="6" t="n">
        <f aca="false">fl_pay_32-Sens!J4192*fl_rate</f>
        <v>4.49629305366278</v>
      </c>
    </row>
    <row r="4194" customFormat="false" ht="17.15" hidden="false" customHeight="false" outlineLevel="0" collapsed="false">
      <c r="A4194" s="1" t="s">
        <v>1116</v>
      </c>
      <c r="B4194" s="0" t="s">
        <v>98</v>
      </c>
      <c r="E4194" s="6" t="n">
        <f aca="false">Q!M35-Q!M36-Q!M44</f>
        <v>63.886</v>
      </c>
      <c r="F4194" s="6" t="n">
        <f aca="false">Sens!F4187-Sens!F4191-Sens!F4193</f>
        <v>-26.1112074539345</v>
      </c>
      <c r="G4194" s="6" t="n">
        <f aca="false">Sens!G4187-Sens!G4191-Sens!G4193</f>
        <v>-22.9842428724468</v>
      </c>
      <c r="H4194" s="6" t="n">
        <f aca="false">Sens!H4187-Sens!H4191-Sens!H4193</f>
        <v>3.77242444098531</v>
      </c>
      <c r="I4194" s="6" t="n">
        <f aca="false">Sens!I4187-Sens!I4191-Sens!I4193</f>
        <v>79.8475069887167</v>
      </c>
      <c r="J4194" s="6" t="n">
        <f aca="false">Sens!J4187-Sens!J4191-Sens!J4193</f>
        <v>159.905750645888</v>
      </c>
      <c r="K4194" s="6" t="n">
        <f aca="false">Sens!K4187-Sens!K4191-Sens!K4193</f>
        <v>203.687692125128</v>
      </c>
      <c r="L4194" s="12" t="s">
        <v>1117</v>
      </c>
    </row>
    <row r="4195" customFormat="false" ht="15" hidden="false" customHeight="false" outlineLevel="0" collapsed="false">
      <c r="A4195" s="1" t="s">
        <v>1118</v>
      </c>
      <c r="B4195" s="0" t="s">
        <v>75</v>
      </c>
      <c r="F4195" s="8" t="n">
        <f aca="false">dps_27</f>
        <v>3.85</v>
      </c>
      <c r="G4195" s="8" t="n">
        <f aca="false">Sens!F4195*(1+dps_g)</f>
        <v>4.158</v>
      </c>
      <c r="H4195" s="8" t="n">
        <f aca="false">Sens!G4195*(1+dps_g)</f>
        <v>4.49064</v>
      </c>
      <c r="I4195" s="8" t="n">
        <f aca="false">Sens!H4195*(1+dps_g)</f>
        <v>4.8498912</v>
      </c>
      <c r="J4195" s="8" t="n">
        <f aca="false">Sens!I4195*(1+dps_g)</f>
        <v>5.237882496</v>
      </c>
      <c r="K4195" s="8" t="n">
        <f aca="false">Sens!J4195*(1+dps_g)</f>
        <v>5.65691309568</v>
      </c>
    </row>
    <row r="4196" customFormat="false" ht="17.15" hidden="false" customHeight="false" outlineLevel="0" collapsed="false">
      <c r="A4196" s="1" t="s">
        <v>1119</v>
      </c>
      <c r="B4196" s="0" t="s">
        <v>98</v>
      </c>
      <c r="E4196" s="6" t="n">
        <f aca="false">Q!M41</f>
        <v>26.445</v>
      </c>
      <c r="F4196" s="6" t="n">
        <f aca="false">Sens!F4195*Sens!E4205</f>
        <v>28.59395</v>
      </c>
      <c r="G4196" s="6" t="n">
        <f aca="false">Sens!G4195*Sens!F4205</f>
        <v>31.068576</v>
      </c>
      <c r="H4196" s="6" t="n">
        <f aca="false">Sens!H4195*Sens!G4205</f>
        <v>33.75614088</v>
      </c>
      <c r="I4196" s="6" t="n">
        <f aca="false">Sens!I4195*Sens!H4205</f>
        <v>36.6748772544</v>
      </c>
      <c r="J4196" s="6" t="n">
        <f aca="false">Sens!J4195*Sens!I4205</f>
        <v>39.6767653201446</v>
      </c>
      <c r="K4196" s="6" t="n">
        <f aca="false">Sens!K4195*Sens!J4205</f>
        <v>42.9376608081345</v>
      </c>
      <c r="L4196" s="1" t="s">
        <v>1120</v>
      </c>
    </row>
    <row r="4197" customFormat="false" ht="15" hidden="false" customHeight="false" outlineLevel="0" collapsed="false">
      <c r="A4197" s="1" t="s">
        <v>1121</v>
      </c>
      <c r="B4197" s="0" t="s">
        <v>98</v>
      </c>
      <c r="E4197" s="6" t="n">
        <f aca="false">Sens!E4194-Sens!E4196</f>
        <v>37.441</v>
      </c>
      <c r="F4197" s="6" t="n">
        <f aca="false">Sens!F4194-Sens!F4196</f>
        <v>-54.7051574539345</v>
      </c>
      <c r="G4197" s="6" t="n">
        <f aca="false">Sens!G4194-Sens!G4196</f>
        <v>-54.0528188724468</v>
      </c>
      <c r="H4197" s="6" t="n">
        <f aca="false">Sens!H4194-Sens!H4196</f>
        <v>-29.9837164390147</v>
      </c>
      <c r="I4197" s="6" t="n">
        <f aca="false">Sens!I4194-Sens!I4196</f>
        <v>43.1726297343167</v>
      </c>
      <c r="J4197" s="6" t="n">
        <f aca="false">Sens!J4194-Sens!J4196</f>
        <v>120.228985325743</v>
      </c>
      <c r="K4197" s="6" t="n">
        <f aca="false">Sens!K4194-Sens!K4196</f>
        <v>160.750031316994</v>
      </c>
    </row>
    <row r="4198" customFormat="false" ht="15" hidden="false" customHeight="false" outlineLevel="0" collapsed="false">
      <c r="A4198" s="1" t="s">
        <v>1122</v>
      </c>
      <c r="B4198" s="0" t="s">
        <v>98</v>
      </c>
      <c r="F4198" s="6" t="n">
        <f aca="false">debt_mat_27</f>
        <v>9.25</v>
      </c>
      <c r="G4198" s="6" t="n">
        <f aca="false">debt_mat_28</f>
        <v>0</v>
      </c>
      <c r="H4198" s="6" t="n">
        <f aca="false">debt_mat_29</f>
        <v>2.001</v>
      </c>
      <c r="I4198" s="6" t="n">
        <f aca="false">debt_mat_30</f>
        <v>0</v>
      </c>
      <c r="J4198" s="6" t="n">
        <f aca="false">debt_mat_31</f>
        <v>0.5</v>
      </c>
      <c r="K4198" s="6" t="n">
        <f aca="false">debt_mat_32</f>
        <v>0</v>
      </c>
    </row>
    <row r="4199" customFormat="false" ht="15" hidden="false" customHeight="false" outlineLevel="0" collapsed="false">
      <c r="A4199" s="1" t="s">
        <v>1123</v>
      </c>
      <c r="B4199" s="0" t="s">
        <v>98</v>
      </c>
      <c r="E4199" s="6" t="n">
        <f aca="false">Q!M40</f>
        <v>22.271</v>
      </c>
      <c r="F4199" s="6" t="n">
        <f aca="false">MAX(0,MIN(bb_target,Sens!E4201+Sens!F4197-Sens!F4198-min_cash))</f>
        <v>0</v>
      </c>
      <c r="G4199" s="6" t="n">
        <f aca="false">MAX(0,MIN(bb_target,Sens!F4201+Sens!G4197-Sens!G4198-min_cash))</f>
        <v>0</v>
      </c>
      <c r="H4199" s="6" t="n">
        <f aca="false">MAX(0,MIN(bb_target,Sens!G4201+Sens!H4197-Sens!H4198-min_cash))</f>
        <v>0</v>
      </c>
      <c r="I4199" s="6" t="n">
        <f aca="false">MAX(0,MIN(bb_target,Sens!H4201+Sens!I4197-Sens!I4198-min_cash))</f>
        <v>22.271</v>
      </c>
      <c r="J4199" s="6" t="n">
        <f aca="false">MAX(0,MIN(bb_target,Sens!I4201+Sens!J4197-Sens!J4198-min_cash))</f>
        <v>22.271</v>
      </c>
      <c r="K4199" s="6" t="n">
        <f aca="false">MAX(0,MIN(bb_target,Sens!J4201+Sens!K4197-Sens!K4198-min_cash))</f>
        <v>22.271</v>
      </c>
    </row>
    <row r="4200" customFormat="false" ht="15" hidden="false" customHeight="false" outlineLevel="0" collapsed="false">
      <c r="A4200" s="1" t="s">
        <v>1124</v>
      </c>
      <c r="B4200" s="0" t="s">
        <v>98</v>
      </c>
      <c r="F4200" s="6" t="n">
        <f aca="false">MAX(0,min_cash-(Sens!E4201+Sens!F4197-Sens!F4198-Sens!F4199))</f>
        <v>37.1121574539345</v>
      </c>
      <c r="G4200" s="6" t="n">
        <f aca="false">MAX(0,min_cash-(Sens!F4201+Sens!G4197-Sens!G4198-Sens!G4199))</f>
        <v>54.0528188724468</v>
      </c>
      <c r="H4200" s="6" t="n">
        <f aca="false">MAX(0,min_cash-(Sens!G4201+Sens!H4197-Sens!H4198-Sens!H4199))</f>
        <v>31.9847164390147</v>
      </c>
      <c r="I4200" s="6" t="n">
        <f aca="false">MAX(0,min_cash-(Sens!H4201+Sens!I4197-Sens!I4198-Sens!I4199))</f>
        <v>0</v>
      </c>
      <c r="J4200" s="6" t="n">
        <f aca="false">MAX(0,min_cash-(Sens!I4201+Sens!J4197-Sens!J4198-Sens!J4199))</f>
        <v>0</v>
      </c>
      <c r="K4200" s="6" t="n">
        <f aca="false">MAX(0,min_cash-(Sens!J4201+Sens!K4197-Sens!K4198-Sens!K4199))</f>
        <v>0</v>
      </c>
    </row>
    <row r="4201" customFormat="false" ht="15" hidden="false" customHeight="false" outlineLevel="0" collapsed="false">
      <c r="A4201" s="1" t="s">
        <v>1125</v>
      </c>
      <c r="B4201" s="0" t="s">
        <v>98</v>
      </c>
      <c r="E4201" s="6" t="n">
        <f aca="false">cash_open</f>
        <v>76.843</v>
      </c>
      <c r="F4201" s="6" t="n">
        <f aca="false">Sens!E4201+Sens!F4197-Sens!F4198-Sens!F4199+Sens!F4200</f>
        <v>50</v>
      </c>
      <c r="G4201" s="6" t="n">
        <f aca="false">Sens!F4201+Sens!G4197-Sens!G4198-Sens!G4199+Sens!G4200</f>
        <v>50</v>
      </c>
      <c r="H4201" s="6" t="n">
        <f aca="false">Sens!G4201+Sens!H4197-Sens!H4198-Sens!H4199+Sens!H4200</f>
        <v>50</v>
      </c>
      <c r="I4201" s="6" t="n">
        <f aca="false">Sens!H4201+Sens!I4197-Sens!I4198-Sens!I4199+Sens!I4200</f>
        <v>70.9016297343167</v>
      </c>
      <c r="J4201" s="6" t="n">
        <f aca="false">Sens!I4201+Sens!J4197-Sens!J4198-Sens!J4199+Sens!J4200</f>
        <v>168.35961506006</v>
      </c>
      <c r="K4201" s="6" t="n">
        <f aca="false">Sens!J4201+Sens!K4197-Sens!K4198-Sens!K4199+Sens!K4200</f>
        <v>306.838646377054</v>
      </c>
    </row>
    <row r="4202" customFormat="false" ht="15" hidden="false" customHeight="false" outlineLevel="0" collapsed="false">
      <c r="A4202" s="1" t="s">
        <v>1126</v>
      </c>
      <c r="B4202" s="0" t="s">
        <v>98</v>
      </c>
      <c r="E4202" s="6" t="n">
        <f aca="false">debt_face</f>
        <v>46.136</v>
      </c>
      <c r="F4202" s="6" t="n">
        <f aca="false">Sens!E4202-Sens!F4198+Sens!F4200</f>
        <v>73.9981574539345</v>
      </c>
      <c r="G4202" s="6" t="n">
        <f aca="false">Sens!F4202-Sens!G4198+Sens!G4200</f>
        <v>128.050976326381</v>
      </c>
      <c r="H4202" s="6" t="n">
        <f aca="false">Sens!G4202-Sens!H4198+Sens!H4200</f>
        <v>158.034692765396</v>
      </c>
      <c r="I4202" s="6" t="n">
        <f aca="false">Sens!H4202-Sens!I4198+Sens!I4200</f>
        <v>158.034692765396</v>
      </c>
      <c r="J4202" s="6" t="n">
        <f aca="false">Sens!I4202-Sens!J4198+Sens!J4200</f>
        <v>157.534692765396</v>
      </c>
      <c r="K4202" s="6" t="n">
        <f aca="false">Sens!J4202-Sens!K4198+Sens!K4200</f>
        <v>157.534692765396</v>
      </c>
    </row>
    <row r="4203" customFormat="false" ht="15" hidden="false" customHeight="false" outlineLevel="0" collapsed="false">
      <c r="A4203" s="1" t="s">
        <v>1127</v>
      </c>
      <c r="B4203" s="0" t="s">
        <v>98</v>
      </c>
      <c r="E4203" s="6" t="n">
        <f aca="false">Sens!E4201-Sens!E4202</f>
        <v>30.707</v>
      </c>
      <c r="F4203" s="6" t="n">
        <f aca="false">Sens!F4201-Sens!F4202</f>
        <v>-23.9981574539345</v>
      </c>
      <c r="G4203" s="6" t="n">
        <f aca="false">Sens!G4201-Sens!G4202</f>
        <v>-78.0509763263814</v>
      </c>
      <c r="H4203" s="6" t="n">
        <f aca="false">Sens!H4201-Sens!H4202</f>
        <v>-108.034692765396</v>
      </c>
      <c r="I4203" s="6" t="n">
        <f aca="false">Sens!I4201-Sens!I4202</f>
        <v>-87.1330630310794</v>
      </c>
      <c r="J4203" s="6" t="n">
        <f aca="false">Sens!J4201-Sens!J4202</f>
        <v>10.8249222946637</v>
      </c>
      <c r="K4203" s="6" t="n">
        <f aca="false">Sens!K4201-Sens!K4202</f>
        <v>149.303953611658</v>
      </c>
    </row>
    <row r="4204" customFormat="false" ht="15" hidden="false" customHeight="false" outlineLevel="0" collapsed="false">
      <c r="A4204" s="1" t="s">
        <v>1128</v>
      </c>
      <c r="B4204" s="0" t="s">
        <v>75</v>
      </c>
      <c r="F4204" s="30" t="n">
        <f aca="false">px*(1+bb_g)^(Sens!F4062-base_fy-mid_yr)</f>
        <v>551.84177959629</v>
      </c>
      <c r="G4204" s="30" t="n">
        <f aca="false">px*(1+bb_g)^(Sens!G4062-base_fy-mid_yr)</f>
        <v>595.989121963993</v>
      </c>
      <c r="H4204" s="30" t="n">
        <f aca="false">px*(1+bb_g)^(Sens!H4062-base_fy-mid_yr)</f>
        <v>643.668251721112</v>
      </c>
      <c r="I4204" s="30" t="n">
        <f aca="false">px*(1+bb_g)^(Sens!I4062-base_fy-mid_yr)</f>
        <v>695.161711858801</v>
      </c>
      <c r="J4204" s="30" t="n">
        <f aca="false">px*(1+bb_g)^(Sens!J4062-base_fy-mid_yr)</f>
        <v>750.774648807506</v>
      </c>
      <c r="K4204" s="30" t="n">
        <f aca="false">px*(1+bb_g)^(Sens!K4062-base_fy-mid_yr)</f>
        <v>810.836620712106</v>
      </c>
    </row>
    <row r="4205" customFormat="false" ht="15" hidden="false" customHeight="false" outlineLevel="0" collapsed="false">
      <c r="A4205" s="1" t="s">
        <v>1129</v>
      </c>
      <c r="B4205" s="1" t="s">
        <v>81</v>
      </c>
      <c r="E4205" s="15" t="n">
        <f aca="false">sh_out26</f>
        <v>7.427</v>
      </c>
      <c r="F4205" s="15" t="n">
        <f aca="false">Sens!E4205+sh_iss-Sens!F4199/Sens!F4204</f>
        <v>7.472</v>
      </c>
      <c r="G4205" s="15" t="n">
        <f aca="false">Sens!F4205+sh_iss-Sens!G4199/Sens!G4204</f>
        <v>7.517</v>
      </c>
      <c r="H4205" s="15" t="n">
        <f aca="false">Sens!G4205+sh_iss-Sens!H4199/Sens!H4204</f>
        <v>7.562</v>
      </c>
      <c r="I4205" s="15" t="n">
        <f aca="false">Sens!H4205+sh_iss-Sens!I4199/Sens!I4204</f>
        <v>7.57496285005334</v>
      </c>
      <c r="J4205" s="15" t="n">
        <f aca="false">Sens!I4205+sh_iss-Sens!J4199/Sens!J4204</f>
        <v>7.59029882232494</v>
      </c>
      <c r="K4205" s="15" t="n">
        <f aca="false">Sens!J4205+sh_iss-Sens!K4199/Sens!K4204</f>
        <v>7.60783212998384</v>
      </c>
    </row>
    <row r="4206" customFormat="false" ht="15" hidden="false" customHeight="false" outlineLevel="0" collapsed="false">
      <c r="A4206" s="1" t="s">
        <v>1130</v>
      </c>
      <c r="B4206" s="1" t="s">
        <v>81</v>
      </c>
      <c r="E4206" s="15" t="n">
        <f aca="false">sh_dil26</f>
        <v>7.453</v>
      </c>
      <c r="F4206" s="15" t="n">
        <f aca="false">(Sens!E4205+Sens!F4205)/2+dil_gap</f>
        <v>7.4735</v>
      </c>
      <c r="G4206" s="15" t="n">
        <f aca="false">(Sens!F4205+Sens!G4205)/2+dil_gap</f>
        <v>7.5185</v>
      </c>
      <c r="H4206" s="15" t="n">
        <f aca="false">(Sens!G4205+Sens!H4205)/2+dil_gap</f>
        <v>7.5635</v>
      </c>
      <c r="I4206" s="15" t="n">
        <f aca="false">(Sens!H4205+Sens!I4205)/2+dil_gap</f>
        <v>7.59248142502667</v>
      </c>
      <c r="J4206" s="15" t="n">
        <f aca="false">(Sens!I4205+Sens!J4205)/2+dil_gap</f>
        <v>7.60663083618914</v>
      </c>
      <c r="K4206" s="15" t="n">
        <f aca="false">(Sens!J4205+Sens!K4205)/2+dil_gap</f>
        <v>7.62306547615439</v>
      </c>
    </row>
    <row r="4207" customFormat="false" ht="17.15" hidden="false" customHeight="false" outlineLevel="0" collapsed="false">
      <c r="A4207" s="1" t="s">
        <v>1131</v>
      </c>
      <c r="B4207" s="0" t="s">
        <v>98</v>
      </c>
      <c r="C4207" s="6" t="n">
        <f aca="false">SUM(Sens!F4197:J4197)</f>
        <v>24.6599222946637</v>
      </c>
    </row>
    <row r="4208" customFormat="false" ht="15" hidden="false" customHeight="false" outlineLevel="0" collapsed="false">
      <c r="A4208" s="26" t="s">
        <v>1096</v>
      </c>
      <c r="B4208" s="31" t="s">
        <v>98</v>
      </c>
      <c r="C4208" s="27" t="n">
        <f aca="false">Sens!$C$4207-(Sens!F4197+Sens!G4197+Sens!H4197+Sens!I4197+Sens!J4197)</f>
        <v>0</v>
      </c>
      <c r="D4208" s="31"/>
      <c r="E4208" s="31"/>
      <c r="F4208" s="31"/>
      <c r="G4208" s="31"/>
      <c r="H4208" s="31"/>
      <c r="I4208" s="31"/>
      <c r="J4208" s="31"/>
      <c r="K4208" s="31"/>
    </row>
    <row r="4209" customFormat="false" ht="17.15" hidden="false" customHeight="false" outlineLevel="0" collapsed="false">
      <c r="A4209" s="1" t="s">
        <v>1090</v>
      </c>
      <c r="B4209" s="1" t="s">
        <v>1132</v>
      </c>
      <c r="C4209" s="33" t="str">
        <f aca="false">IF(SUM(Sens!F4200:J4200)&gt;0.05,"需要舉債 "&amp;TEXT(SUM(Sens!F4200:J4200),"0.0")&amp;" 十億美元","不需舉債")&amp;"；"&amp;IF(SUM(Sens!F4199:J4199)&lt;COUNT(Sens!F4199:J4199)*bb_target-0.05,"回購較每年 "&amp;TEXT(bb_target,"0.0")&amp;" 的目標少 "&amp;TEXT(COUNT(Sens!F4199:J4199)*bb_target-SUM(Sens!F4199:J4199),"0.0")&amp;" 十億美元（"&amp;TEXT(COUNTIF(Sens!F4199:J4199,"&lt;"&amp;(bb_target-0.05)),"0")&amp;" 年減少）","回購不減")</f>
        <v>需要舉債 123.1 十億美元；回購較每年 22.3 的目標少 66.8 十億美元（3 年減少）</v>
      </c>
    </row>
    <row r="4210" customFormat="false" ht="17.15" hidden="false" customHeight="false" outlineLevel="0" collapsed="false">
      <c r="A4210" s="3" t="s">
        <v>1584</v>
      </c>
    </row>
    <row r="4211" customFormat="false" ht="15" hidden="false" customHeight="false" outlineLevel="0" collapsed="false">
      <c r="A4211" s="4" t="s">
        <v>43</v>
      </c>
      <c r="B4211" s="4" t="s">
        <v>65</v>
      </c>
      <c r="C4211" s="23" t="s">
        <v>938</v>
      </c>
      <c r="D4211" s="23" t="s">
        <v>939</v>
      </c>
      <c r="E4211" s="23" t="s">
        <v>940</v>
      </c>
      <c r="F4211" s="23" t="s">
        <v>941</v>
      </c>
      <c r="G4211" s="23" t="s">
        <v>942</v>
      </c>
      <c r="H4211" s="23" t="s">
        <v>943</v>
      </c>
      <c r="I4211" s="23" t="s">
        <v>944</v>
      </c>
      <c r="J4211" s="23" t="s">
        <v>945</v>
      </c>
      <c r="K4211" s="23" t="s">
        <v>946</v>
      </c>
      <c r="L4211" s="4" t="s">
        <v>47</v>
      </c>
    </row>
    <row r="4212" customFormat="false" ht="17.15" hidden="false" customHeight="false" outlineLevel="0" collapsed="false">
      <c r="A4212" s="1" t="s">
        <v>1212</v>
      </c>
      <c r="B4212" s="1" t="s">
        <v>279</v>
      </c>
      <c r="F4212" s="8" t="n">
        <f aca="false">(1-v_off)*mid_yr</f>
        <v>0.373972602739726</v>
      </c>
      <c r="G4212" s="8" t="n">
        <f aca="false">Sens!G4062-base_fy-mid_yr-v_off</f>
        <v>1.24794520547945</v>
      </c>
      <c r="H4212" s="8" t="n">
        <f aca="false">Sens!H4062-base_fy-mid_yr-v_off</f>
        <v>2.24794520547945</v>
      </c>
      <c r="I4212" s="8" t="n">
        <f aca="false">Sens!I4062-base_fy-mid_yr-v_off</f>
        <v>3.24794520547945</v>
      </c>
      <c r="J4212" s="8" t="n">
        <f aca="false">Sens!J4062-base_fy-mid_yr-v_off</f>
        <v>4.24794520547945</v>
      </c>
      <c r="K4212" s="8" t="n">
        <f aca="false">Sens!K4062-base_fy-mid_yr-v_off</f>
        <v>5.24794520547945</v>
      </c>
      <c r="L4212" s="12" t="s">
        <v>1213</v>
      </c>
    </row>
    <row r="4213" customFormat="false" ht="15" hidden="false" customHeight="false" outlineLevel="0" collapsed="false">
      <c r="A4213" s="1" t="s">
        <v>1214</v>
      </c>
      <c r="B4213" s="1" t="s">
        <v>279</v>
      </c>
      <c r="F4213" s="8" t="n">
        <f aca="false">Sens!F4062-base_fy-v_off</f>
        <v>0.747945205479452</v>
      </c>
      <c r="G4213" s="8" t="n">
        <f aca="false">Sens!G4062-base_fy-v_off</f>
        <v>1.74794520547945</v>
      </c>
      <c r="H4213" s="8" t="n">
        <f aca="false">Sens!H4062-base_fy-v_off</f>
        <v>2.74794520547945</v>
      </c>
      <c r="I4213" s="8" t="n">
        <f aca="false">Sens!I4062-base_fy-v_off</f>
        <v>3.74794520547945</v>
      </c>
      <c r="J4213" s="8" t="n">
        <f aca="false">Sens!J4062-base_fy-v_off</f>
        <v>4.74794520547945</v>
      </c>
      <c r="K4213" s="8" t="n">
        <f aca="false">Sens!K4062-base_fy-v_off</f>
        <v>5.74794520547945</v>
      </c>
    </row>
    <row r="4214" customFormat="false" ht="15" hidden="false" customHeight="false" outlineLevel="0" collapsed="false">
      <c r="A4214" s="1" t="s">
        <v>1215</v>
      </c>
      <c r="B4214" s="0" t="s">
        <v>229</v>
      </c>
      <c r="F4214" s="15" t="n">
        <f aca="false">1/(1+wacc)^Sens!F4212</f>
        <v>0.964022703286649</v>
      </c>
      <c r="G4214" s="15" t="n">
        <f aca="false">1/(1+wacc)^Sens!G4212</f>
        <v>0.884910302296739</v>
      </c>
      <c r="H4214" s="15" t="n">
        <f aca="false">1/(1+wacc)^Sens!H4212</f>
        <v>0.802322009770358</v>
      </c>
      <c r="I4214" s="15" t="n">
        <f aca="false">1/(1+wacc)^Sens!I4212</f>
        <v>0.727441646561469</v>
      </c>
      <c r="J4214" s="15" t="n">
        <f aca="false">1/(1+wacc)^Sens!J4212</f>
        <v>0.659549834988973</v>
      </c>
      <c r="K4214" s="15" t="n">
        <f aca="false">1/(1+wacc)^Sens!K4212</f>
        <v>0.597994336576966</v>
      </c>
    </row>
    <row r="4215" customFormat="false" ht="17.15" hidden="false" customHeight="false" outlineLevel="0" collapsed="false">
      <c r="A4215" s="1" t="s">
        <v>1216</v>
      </c>
      <c r="B4215" s="0" t="s">
        <v>98</v>
      </c>
      <c r="F4215" s="6" t="n">
        <f aca="false">Q!$I$35-Q!$I$39-Q!$I$43</f>
        <v>9.666</v>
      </c>
      <c r="L4215" s="12" t="s">
        <v>1217</v>
      </c>
    </row>
    <row r="4216" customFormat="false" ht="17.15" hidden="false" customHeight="false" outlineLevel="0" collapsed="false">
      <c r="A4216" s="1" t="s">
        <v>1218</v>
      </c>
      <c r="B4216" s="0" t="s">
        <v>98</v>
      </c>
      <c r="F4216" s="6" t="n">
        <f aca="false">Sens!F4187-Sens!F4184-Sens!F4191+Sens!F4169*(1-tax_f)*(1-v_off)-Sens!F4215</f>
        <v>-38.9977735767013</v>
      </c>
      <c r="G4216" s="6" t="n">
        <f aca="false">Sens!G4187-Sens!G4184-Sens!G4191+Sens!G4169*(1-tax_f)</f>
        <v>-8.91123335777</v>
      </c>
      <c r="H4216" s="6" t="n">
        <f aca="false">Sens!H4187-Sens!H4184-Sens!H4191+Sens!H4169*(1-tax_f)</f>
        <v>33.3163480598491</v>
      </c>
      <c r="I4216" s="6" t="n">
        <f aca="false">Sens!I4187-Sens!I4184-Sens!I4191+Sens!I4169*(1-tax_f)</f>
        <v>123.165479162019</v>
      </c>
      <c r="J4216" s="6" t="n">
        <f aca="false">Sens!J4187-Sens!J4184-Sens!J4191+Sens!J4169*(1-tax_f)</f>
        <v>212.469650852673</v>
      </c>
      <c r="K4216" s="6" t="n">
        <f aca="false">Sens!K4187-Sens!K4184-Sens!K4191+Sens!K4169*(1-tax_f)</f>
        <v>261.086775710847</v>
      </c>
      <c r="L4216" s="1" t="s">
        <v>1219</v>
      </c>
    </row>
    <row r="4217" customFormat="false" ht="15" hidden="false" customHeight="false" outlineLevel="0" collapsed="false">
      <c r="A4217" s="1" t="s">
        <v>1220</v>
      </c>
      <c r="B4217" s="0" t="s">
        <v>98</v>
      </c>
      <c r="F4217" s="6" t="n">
        <f aca="false">Sens!F4216*Sens!F4214</f>
        <v>-37.5947391055722</v>
      </c>
      <c r="G4217" s="6" t="n">
        <f aca="false">Sens!G4216*Sens!G4214</f>
        <v>-7.88564220446103</v>
      </c>
      <c r="H4217" s="6" t="n">
        <f aca="false">Sens!H4216*Sens!H4214</f>
        <v>26.7304393335869</v>
      </c>
      <c r="I4217" s="6" t="n">
        <f aca="false">Sens!I4216*Sens!I4214</f>
        <v>89.5956989611516</v>
      </c>
      <c r="J4217" s="6" t="n">
        <f aca="false">Sens!J4216*Sens!J4214</f>
        <v>140.134323160045</v>
      </c>
      <c r="K4217" s="6" t="n">
        <f aca="false">Sens!K4216*Sens!K4214</f>
        <v>156.128413230227</v>
      </c>
    </row>
    <row r="4218" customFormat="false" ht="17.15" hidden="false" customHeight="false" outlineLevel="0" collapsed="false">
      <c r="A4218" s="1" t="s">
        <v>1221</v>
      </c>
      <c r="B4218" s="0" t="s">
        <v>98</v>
      </c>
      <c r="C4218" s="6" t="n">
        <f aca="false">SUM(Sens!F4217:K4217)</f>
        <v>367.108493374978</v>
      </c>
    </row>
    <row r="4219" customFormat="false" ht="17.15" hidden="false" customHeight="false" outlineLevel="0" collapsed="false">
      <c r="A4219" s="1" t="s">
        <v>1222</v>
      </c>
      <c r="B4219" s="0" t="s">
        <v>98</v>
      </c>
      <c r="C4219" s="6" t="n">
        <f aca="false">Sens!K4155*(1+g_tv)*(1-tax_f)</f>
        <v>252.147645511977</v>
      </c>
    </row>
    <row r="4220" customFormat="false" ht="17.15" hidden="false" customHeight="false" outlineLevel="0" collapsed="false">
      <c r="A4220" s="1" t="s">
        <v>1223</v>
      </c>
      <c r="B4220" s="0" t="s">
        <v>98</v>
      </c>
      <c r="C4220" s="6" t="n">
        <f aca="false">Sens!$C$4219*(1-g_tv/(wacc+ronic_prem))</f>
        <v>178.661343936698</v>
      </c>
    </row>
    <row r="4221" customFormat="false" ht="17.15" hidden="false" customHeight="false" outlineLevel="0" collapsed="false">
      <c r="A4221" s="1" t="s">
        <v>1224</v>
      </c>
      <c r="B4221" s="0" t="s">
        <v>98</v>
      </c>
      <c r="C4221" s="6" t="n">
        <f aca="false">Sens!$C$4220/(wacc-g_tv)</f>
        <v>2449.54338584264</v>
      </c>
    </row>
    <row r="4222" customFormat="false" ht="15" hidden="false" customHeight="false" outlineLevel="0" collapsed="false">
      <c r="A4222" s="1" t="s">
        <v>1225</v>
      </c>
      <c r="B4222" s="0" t="s">
        <v>98</v>
      </c>
      <c r="C4222" s="6" t="n">
        <f aca="false">Sens!$C$4221/(1+wacc)^Sens!K4213</f>
        <v>1394.78392802743</v>
      </c>
    </row>
    <row r="4223" customFormat="false" ht="17.15" hidden="false" customHeight="false" outlineLevel="0" collapsed="false">
      <c r="A4223" s="0" t="s">
        <v>1226</v>
      </c>
      <c r="B4223" s="0" t="s">
        <v>98</v>
      </c>
      <c r="C4223" s="6" t="n">
        <f aca="false">Sens!$C$4218+Sens!$C$4222</f>
        <v>1761.89242140241</v>
      </c>
    </row>
    <row r="4224" customFormat="false" ht="15" hidden="false" customHeight="false" outlineLevel="0" collapsed="false">
      <c r="A4224" s="1" t="s">
        <v>1141</v>
      </c>
      <c r="B4224" s="0" t="s">
        <v>168</v>
      </c>
      <c r="C4224" s="7" t="n">
        <f aca="false">Sens!$C$4222/Sens!$C$4223</f>
        <v>0.791639666011633</v>
      </c>
    </row>
    <row r="4225" customFormat="false" ht="17.15" hidden="false" customHeight="false" outlineLevel="0" collapsed="false">
      <c r="A4225" s="1" t="s">
        <v>1227</v>
      </c>
      <c r="B4225" s="0" t="s">
        <v>98</v>
      </c>
      <c r="C4225" s="6" t="n">
        <f aca="false">Sens!$C$4223+cash_val-debt_val-fl_val+oai_v</f>
        <v>1877.74342140241</v>
      </c>
    </row>
    <row r="4226" customFormat="false" ht="17.15" hidden="false" customHeight="false" outlineLevel="0" collapsed="false">
      <c r="A4226" s="0" t="s">
        <v>1149</v>
      </c>
      <c r="B4226" s="0" t="s">
        <v>75</v>
      </c>
      <c r="C4226" s="5" t="n">
        <f aca="false">Sens!$C$4225/shd_val</f>
        <v>252.181496293635</v>
      </c>
    </row>
    <row r="4227" customFormat="false" ht="15" hidden="false" customHeight="false" outlineLevel="0" collapsed="false">
      <c r="A4227" s="1" t="s">
        <v>1228</v>
      </c>
      <c r="B4227" s="0" t="s">
        <v>75</v>
      </c>
      <c r="C4227" s="8" t="n">
        <f aca="false">div_rem27+Sens!G4195*roll_div_q/q_per_yr</f>
        <v>3.9795</v>
      </c>
    </row>
    <row r="4228" customFormat="false" ht="17.15" hidden="false" customHeight="false" outlineLevel="0" collapsed="false">
      <c r="A4228" s="0" t="s">
        <v>1229</v>
      </c>
      <c r="B4228" s="0" t="s">
        <v>75</v>
      </c>
      <c r="C4228" s="5" t="n">
        <f aca="false">Sens!$C$4226*(1+wacc)^t_roll-Sens!$C$4227</f>
        <v>276.334307567261</v>
      </c>
    </row>
    <row r="4229" customFormat="false" ht="17.15" hidden="false" customHeight="false" outlineLevel="0" collapsed="false">
      <c r="A4229" s="1" t="s">
        <v>1230</v>
      </c>
      <c r="B4229" s="0" t="s">
        <v>168</v>
      </c>
      <c r="F4229" s="7" t="n">
        <f aca="false">Sens!F4181/(Sens!F4126-Sens!F4081)</f>
        <v>0.0687799408538378</v>
      </c>
      <c r="G4229" s="7" t="n">
        <f aca="false">Sens!G4181/(Sens!G4126-Sens!G4081)</f>
        <v>0.0663833676732647</v>
      </c>
      <c r="H4229" s="7" t="n">
        <f aca="false">Sens!H4181/(Sens!H4126-Sens!H4081)</f>
        <v>0.065178733704947</v>
      </c>
      <c r="I4229" s="7" t="n">
        <f aca="false">Sens!I4181/(Sens!I4126-Sens!I4081)</f>
        <v>0.0650272886511415</v>
      </c>
      <c r="J4229" s="7" t="n">
        <f aca="false">Sens!J4181/(Sens!J4126-Sens!J4081)</f>
        <v>0.065718689602651</v>
      </c>
      <c r="K4229" s="7" t="n">
        <f aca="false">Sens!K4181/(Sens!K4126-Sens!K4081)</f>
        <v>0.0670193477695952</v>
      </c>
    </row>
    <row r="4230" customFormat="false" ht="17.15" hidden="false" customHeight="false" outlineLevel="0" collapsed="false">
      <c r="A4230" s="0" t="s">
        <v>1231</v>
      </c>
      <c r="B4230" s="0" t="s">
        <v>98</v>
      </c>
      <c r="F4230" s="6" t="n">
        <f aca="false">Sens!F4111*(al_m365+Sens!F4229+sbc_r)</f>
        <v>82.930564959902</v>
      </c>
      <c r="G4230" s="6" t="n">
        <f aca="false">Sens!G4111*(al_m365+Sens!G4229+sbc_r)</f>
        <v>93.3161003131012</v>
      </c>
      <c r="H4230" s="6" t="n">
        <f aca="false">Sens!H4111*(al_m365+Sens!H4229+sbc_r)</f>
        <v>103.862318050593</v>
      </c>
      <c r="I4230" s="6" t="n">
        <f aca="false">Sens!I4111*(al_m365+Sens!I4229+sbc_r)</f>
        <v>113.892716473881</v>
      </c>
      <c r="J4230" s="6" t="n">
        <f aca="false">Sens!J4111*(al_m365+Sens!J4229+sbc_r)</f>
        <v>123.21802591687</v>
      </c>
      <c r="K4230" s="6" t="n">
        <f aca="false">Sens!K4111*(al_m365+Sens!K4229+sbc_r)</f>
        <v>132.145296122853</v>
      </c>
      <c r="L4230" s="12" t="s">
        <v>1232</v>
      </c>
    </row>
    <row r="4231" customFormat="false" ht="17.15" hidden="false" customHeight="false" outlineLevel="0" collapsed="false">
      <c r="A4231" s="0" t="s">
        <v>1233</v>
      </c>
      <c r="B4231" s="0" t="s">
        <v>98</v>
      </c>
      <c r="F4231" s="6" t="n">
        <f aca="false">Sens!F4112*(al_lic+Sens!F4229+sbc_r)</f>
        <v>32.8639216959791</v>
      </c>
      <c r="G4231" s="6" t="n">
        <f aca="false">Sens!G4112*(al_lic+Sens!G4229+sbc_r)</f>
        <v>34.1596328573702</v>
      </c>
      <c r="H4231" s="6" t="n">
        <f aca="false">Sens!H4112*(al_lic+Sens!H4229+sbc_r)</f>
        <v>35.3653102744995</v>
      </c>
      <c r="I4231" s="6" t="n">
        <f aca="false">Sens!I4112*(al_lic+Sens!I4229+sbc_r)</f>
        <v>36.4612448462323</v>
      </c>
      <c r="J4231" s="6" t="n">
        <f aca="false">Sens!J4112*(al_lic+Sens!J4229+sbc_r)</f>
        <v>37.4244757610812</v>
      </c>
      <c r="K4231" s="6" t="n">
        <f aca="false">Sens!K4112*(al_lic+Sens!K4229+sbc_r)</f>
        <v>38.231164672383</v>
      </c>
    </row>
    <row r="4232" customFormat="false" ht="17.15" hidden="false" customHeight="false" outlineLevel="0" collapsed="false">
      <c r="A4232" s="0" t="s">
        <v>1234</v>
      </c>
      <c r="B4232" s="0" t="s">
        <v>98</v>
      </c>
      <c r="F4232" s="6" t="n">
        <f aca="false">Sens!F4114*(al_ind+Sens!F4229+sbc_r)</f>
        <v>9.0639959451007</v>
      </c>
      <c r="G4232" s="6" t="n">
        <f aca="false">Sens!G4114*(al_ind+Sens!G4229+sbc_r)</f>
        <v>9.84960798205568</v>
      </c>
      <c r="H4232" s="6" t="n">
        <f aca="false">Sens!H4114*(al_ind+Sens!H4229+sbc_r)</f>
        <v>10.6779487953472</v>
      </c>
      <c r="I4232" s="6" t="n">
        <f aca="false">Sens!I4114*(al_ind+Sens!I4229+sbc_r)</f>
        <v>11.5445185315184</v>
      </c>
      <c r="J4232" s="6" t="n">
        <f aca="false">Sens!J4114*(al_ind+Sens!J4229+sbc_r)</f>
        <v>12.4407118345883</v>
      </c>
      <c r="K4232" s="6" t="n">
        <f aca="false">Sens!K4114*(al_ind+Sens!K4229+sbc_r)</f>
        <v>13.3545131306281</v>
      </c>
    </row>
    <row r="4233" customFormat="false" ht="17.15" hidden="false" customHeight="false" outlineLevel="0" collapsed="false">
      <c r="A4233" s="0" t="s">
        <v>1235</v>
      </c>
      <c r="B4233" s="0" t="s">
        <v>98</v>
      </c>
      <c r="F4233" s="6" t="n">
        <f aca="false">Sens!F4116*(al_fro+Sens!F4229+sbc_r)</f>
        <v>3.5554333707202</v>
      </c>
      <c r="G4233" s="6" t="n">
        <f aca="false">Sens!G4116*(al_fro+Sens!G4229+sbc_r)</f>
        <v>3.76874868596942</v>
      </c>
      <c r="H4233" s="6" t="n">
        <f aca="false">Sens!H4116*(al_fro+Sens!H4229+sbc_r)</f>
        <v>4.01007093195405</v>
      </c>
      <c r="I4233" s="6" t="n">
        <f aca="false">Sens!I4116*(al_fro+Sens!I4229+sbc_r)</f>
        <v>4.28172312219781</v>
      </c>
      <c r="J4233" s="6" t="n">
        <f aca="false">Sens!J4116*(al_fro+Sens!J4229+sbc_r)</f>
        <v>4.58533579460631</v>
      </c>
      <c r="K4233" s="6" t="n">
        <f aca="false">Sens!K4116*(al_fro+Sens!K4229+sbc_r)</f>
        <v>4.92214013889142</v>
      </c>
    </row>
    <row r="4234" customFormat="false" ht="17.15" hidden="false" customHeight="false" outlineLevel="0" collapsed="false">
      <c r="A4234" s="0" t="s">
        <v>1236</v>
      </c>
      <c r="B4234" s="0" t="s">
        <v>98</v>
      </c>
      <c r="F4234" s="6" t="n">
        <f aca="false">Sens!F4119*(al_srch+Sens!F4229+sbc_r)</f>
        <v>11.1935100758634</v>
      </c>
      <c r="G4234" s="6" t="n">
        <f aca="false">Sens!G4119*(al_srch+Sens!G4229+sbc_r)</f>
        <v>12.2784646399381</v>
      </c>
      <c r="H4234" s="6" t="n">
        <f aca="false">Sens!H4119*(al_srch+Sens!H4229+sbc_r)</f>
        <v>13.4057666739508</v>
      </c>
      <c r="I4234" s="6" t="n">
        <f aca="false">Sens!I4119*(al_srch+Sens!I4229+sbc_r)</f>
        <v>14.5628205347792</v>
      </c>
      <c r="J4234" s="6" t="n">
        <f aca="false">Sens!J4119*(al_srch+Sens!J4229+sbc_r)</f>
        <v>15.730937545961</v>
      </c>
      <c r="K4234" s="6" t="n">
        <f aca="false">Sens!K4119*(al_srch+Sens!K4229+sbc_r)</f>
        <v>16.8864141222654</v>
      </c>
    </row>
    <row r="4235" customFormat="false" ht="17.15" hidden="false" customHeight="false" outlineLevel="0" collapsed="false">
      <c r="A4235" s="0" t="s">
        <v>1237</v>
      </c>
      <c r="B4235" s="0" t="s">
        <v>98</v>
      </c>
      <c r="F4235" s="6" t="n">
        <f aca="false">Sens!F4087-Sens!F4088+Sens!F4169</f>
        <v>42.9882596610588</v>
      </c>
      <c r="G4235" s="6" t="n">
        <f aca="false">Sens!G4087-Sens!G4088+Sens!G4169</f>
        <v>80.8490926579108</v>
      </c>
      <c r="H4235" s="6" t="n">
        <f aca="false">Sens!H4087-Sens!H4088+Sens!H4169</f>
        <v>114.702212919484</v>
      </c>
      <c r="I4235" s="6" t="n">
        <f aca="false">Sens!I4087-Sens!I4088+Sens!I4169</f>
        <v>151.800564515408</v>
      </c>
      <c r="J4235" s="6" t="n">
        <f aca="false">Sens!J4087-Sens!J4088+Sens!J4169</f>
        <v>177.542539932273</v>
      </c>
      <c r="K4235" s="6" t="n">
        <f aca="false">Sens!K4087-Sens!K4088+Sens!K4169</f>
        <v>192.950735318577</v>
      </c>
    </row>
    <row r="4236" customFormat="false" ht="17.15" hidden="false" customHeight="false" outlineLevel="0" collapsed="false">
      <c r="A4236" s="0" t="s">
        <v>1238</v>
      </c>
      <c r="B4236" s="0" t="s">
        <v>98</v>
      </c>
      <c r="F4236" s="6" t="n">
        <f aca="false">Sens!F4148+Sens!F4169+Sens!F4099+Sens!F4229*(Sens!F4118-Sens!F4081)+sbc_r*Sens!F4118</f>
        <v>238.977385221186</v>
      </c>
      <c r="G4236" s="6" t="n">
        <f aca="false">Sens!G4148+Sens!G4169+Sens!G4099+Sens!G4229*(Sens!G4118-Sens!G4081)+sbc_r*Sens!G4118</f>
        <v>296.663132868789</v>
      </c>
      <c r="H4236" s="6" t="n">
        <f aca="false">Sens!H4148+Sens!H4169+Sens!H4099+Sens!H4229*(Sens!H4118-Sens!H4081)+sbc_r*Sens!H4118</f>
        <v>356.005088524636</v>
      </c>
      <c r="I4236" s="6" t="n">
        <f aca="false">Sens!I4148+Sens!I4169+Sens!I4099+Sens!I4229*(Sens!I4118-Sens!I4081)+sbc_r*Sens!I4118</f>
        <v>417.972888977859</v>
      </c>
      <c r="J4236" s="6" t="n">
        <f aca="false">Sens!J4148+Sens!J4169+Sens!J4099+Sens!J4229*(Sens!J4118-Sens!J4081)+sbc_r*Sens!J4118</f>
        <v>466.605504849987</v>
      </c>
      <c r="K4236" s="6" t="n">
        <f aca="false">Sens!K4148+Sens!K4169+Sens!K4099+Sens!K4229*(Sens!K4118-Sens!K4081)+sbc_r*Sens!K4118</f>
        <v>502.513901984769</v>
      </c>
    </row>
    <row r="4237" customFormat="false" ht="17.15" hidden="false" customHeight="false" outlineLevel="0" collapsed="false">
      <c r="A4237" s="0" t="s">
        <v>1239</v>
      </c>
      <c r="B4237" s="0" t="s">
        <v>98</v>
      </c>
      <c r="F4237" s="6" t="n">
        <f aca="false">Sens!F4236-Sens!F4230-Sens!F4231-Sens!F4232-Sens!F4233-Sens!F4235</f>
        <v>67.5752095884254</v>
      </c>
      <c r="G4237" s="6" t="n">
        <f aca="false">Sens!G4236-Sens!G4230-Sens!G4231-Sens!G4232-Sens!G4233-Sens!G4235</f>
        <v>74.7199503723814</v>
      </c>
      <c r="H4237" s="6" t="n">
        <f aca="false">Sens!H4236-Sens!H4230-Sens!H4231-Sens!H4232-Sens!H4233-Sens!H4235</f>
        <v>87.3872275527585</v>
      </c>
      <c r="I4237" s="6" t="n">
        <f aca="false">Sens!I4236-Sens!I4230-Sens!I4231-Sens!I4232-Sens!I4233-Sens!I4235</f>
        <v>99.992121488622</v>
      </c>
      <c r="J4237" s="6" t="n">
        <f aca="false">Sens!J4236-Sens!J4230-Sens!J4231-Sens!J4232-Sens!J4233-Sens!J4235</f>
        <v>111.394415610568</v>
      </c>
      <c r="K4237" s="6" t="n">
        <f aca="false">Sens!K4236-Sens!K4230-Sens!K4231-Sens!K4232-Sens!K4233-Sens!K4235</f>
        <v>120.910052601437</v>
      </c>
    </row>
    <row r="4238" customFormat="false" ht="17.15" hidden="false" customHeight="false" outlineLevel="0" collapsed="false">
      <c r="A4238" s="0" t="s">
        <v>1240</v>
      </c>
      <c r="B4238" s="0" t="s">
        <v>98</v>
      </c>
      <c r="F4238" s="6" t="n">
        <f aca="false">Sens!F4150+Sens!F4229*Sens!F4125+sbc_r*Sens!F4125</f>
        <v>26.643949034751</v>
      </c>
      <c r="G4238" s="6" t="n">
        <f aca="false">Sens!G4150+Sens!G4229*Sens!G4125+sbc_r*Sens!G4125</f>
        <v>26.5085382824462</v>
      </c>
      <c r="H4238" s="6" t="n">
        <f aca="false">Sens!H4150+Sens!H4229*Sens!H4125+sbc_r*Sens!H4125</f>
        <v>27.4010201091437</v>
      </c>
      <c r="I4238" s="6" t="n">
        <f aca="false">Sens!I4150+Sens!I4229*Sens!I4125+sbc_r*Sens!I4125</f>
        <v>28.5189674781993</v>
      </c>
      <c r="J4238" s="6" t="n">
        <f aca="false">Sens!J4150+Sens!J4229*Sens!J4125+sbc_r*Sens!J4125</f>
        <v>29.8312072357801</v>
      </c>
      <c r="K4238" s="6" t="n">
        <f aca="false">Sens!K4150+Sens!K4229*Sens!K4125+sbc_r*Sens!K4125</f>
        <v>31.308628610836</v>
      </c>
    </row>
    <row r="4239" customFormat="false" ht="17.15" hidden="false" customHeight="false" outlineLevel="0" collapsed="false">
      <c r="A4239" s="0" t="s">
        <v>1241</v>
      </c>
      <c r="B4239" s="0" t="s">
        <v>98</v>
      </c>
      <c r="F4239" s="6" t="n">
        <f aca="false">(Sens!F4238-Sens!F4234)*Sens!F4121/(Sens!F4121+Sens!F4123)</f>
        <v>8.7261841785367</v>
      </c>
      <c r="G4239" s="6" t="n">
        <f aca="false">(Sens!G4238-Sens!G4234)*Sens!G4121/(Sens!G4121+Sens!G4123)</f>
        <v>7.89881436626843</v>
      </c>
      <c r="H4239" s="6" t="n">
        <f aca="false">(Sens!H4238-Sens!H4234)*Sens!H4121/(Sens!H4121+Sens!H4123)</f>
        <v>7.6672704407087</v>
      </c>
      <c r="I4239" s="6" t="n">
        <f aca="false">(Sens!I4238-Sens!I4234)*Sens!I4121/(Sens!I4121+Sens!I4123)</f>
        <v>7.57910961553221</v>
      </c>
      <c r="J4239" s="6" t="n">
        <f aca="false">(Sens!J4238-Sens!J4234)*Sens!J4121/(Sens!J4121+Sens!J4123)</f>
        <v>7.62396900942576</v>
      </c>
      <c r="K4239" s="6" t="n">
        <f aca="false">(Sens!K4238-Sens!K4234)*Sens!K4121/(Sens!K4121+Sens!K4123)</f>
        <v>7.79804349327764</v>
      </c>
    </row>
    <row r="4240" customFormat="false" ht="17.15" hidden="false" customHeight="false" outlineLevel="0" collapsed="false">
      <c r="A4240" s="0" t="s">
        <v>1242</v>
      </c>
      <c r="B4240" s="0" t="s">
        <v>98</v>
      </c>
      <c r="F4240" s="6" t="n">
        <f aca="false">Sens!F4238-Sens!F4234-Sens!F4239</f>
        <v>6.72425478035082</v>
      </c>
      <c r="G4240" s="6" t="n">
        <f aca="false">Sens!G4238-Sens!G4234-Sens!G4239</f>
        <v>6.33125927623967</v>
      </c>
      <c r="H4240" s="6" t="n">
        <f aca="false">Sens!H4238-Sens!H4234-Sens!H4239</f>
        <v>6.32798299448427</v>
      </c>
      <c r="I4240" s="6" t="n">
        <f aca="false">Sens!I4238-Sens!I4234-Sens!I4239</f>
        <v>6.37703732788791</v>
      </c>
      <c r="J4240" s="6" t="n">
        <f aca="false">Sens!J4238-Sens!J4234-Sens!J4239</f>
        <v>6.47630068039335</v>
      </c>
      <c r="K4240" s="6" t="n">
        <f aca="false">Sens!K4238-Sens!K4234-Sens!K4239</f>
        <v>6.62417099529301</v>
      </c>
    </row>
    <row r="4241" customFormat="false" ht="17.15" hidden="false" customHeight="false" outlineLevel="0" collapsed="false">
      <c r="A4241" s="0" t="s">
        <v>1243</v>
      </c>
      <c r="B4241" s="0" t="s">
        <v>98</v>
      </c>
      <c r="F4241" s="6" t="n">
        <f aca="false">Sens!F4235-tax_f*(Sens!F4235-Sens!F4099)-Sens!F4096</f>
        <v>-163.064917917839</v>
      </c>
      <c r="G4241" s="6" t="n">
        <f aca="false">Sens!G4235-tax_f*(Sens!G4235-Sens!G4099)-Sens!G4096</f>
        <v>-151.894390542471</v>
      </c>
      <c r="H4241" s="6" t="n">
        <f aca="false">Sens!H4235-tax_f*(Sens!H4235-Sens!H4099)-Sens!H4096</f>
        <v>-123.837984429574</v>
      </c>
      <c r="I4241" s="6" t="n">
        <f aca="false">Sens!I4235-tax_f*(Sens!I4235-Sens!I4099)-Sens!I4096</f>
        <v>-48.0260979744027</v>
      </c>
      <c r="J4241" s="6" t="n">
        <f aca="false">Sens!J4235-tax_f*(Sens!J4235-Sens!J4099)-Sens!J4096</f>
        <v>27.83566827054</v>
      </c>
      <c r="K4241" s="6" t="n">
        <f aca="false">Sens!K4235-tax_f*(Sens!K4235-Sens!K4099)-Sens!K4096</f>
        <v>63.8183257934369</v>
      </c>
    </row>
    <row r="4242" customFormat="false" ht="17.15" hidden="false" customHeight="false" outlineLevel="0" collapsed="false">
      <c r="A4242" s="0" t="s">
        <v>1244</v>
      </c>
      <c r="B4242" s="0" t="s">
        <v>98</v>
      </c>
      <c r="G4242" s="6" t="n">
        <f aca="false">Sens!G4241/(1+wacc)^(Sens!G4212-Sens!F4213)</f>
        <v>-144.632689826093</v>
      </c>
      <c r="H4242" s="6" t="n">
        <f aca="false">Sens!H4241/(1+wacc)^(Sens!H4212-Sens!F4213)</f>
        <v>-106.912394689928</v>
      </c>
      <c r="I4242" s="6" t="n">
        <f aca="false">Sens!I4241/(1+wacc)^(Sens!I4212-Sens!F4213)</f>
        <v>-37.5924767496407</v>
      </c>
      <c r="J4242" s="6" t="n">
        <f aca="false">Sens!J4241/(1+wacc)^(Sens!J4212-Sens!F4213)</f>
        <v>19.7548958506333</v>
      </c>
      <c r="K4242" s="6" t="n">
        <f aca="false">Sens!K4241/(1+wacc)^(Sens!K4212-Sens!F4213)</f>
        <v>41.0646337599481</v>
      </c>
      <c r="L4242" s="1" t="s">
        <v>1245</v>
      </c>
    </row>
    <row r="4243" customFormat="false" ht="17.15" hidden="false" customHeight="false" outlineLevel="0" collapsed="false">
      <c r="A4243" s="0" t="s">
        <v>1246</v>
      </c>
      <c r="B4243" s="0" t="s">
        <v>98</v>
      </c>
      <c r="C4243" s="6" t="n">
        <f aca="false">(Sens!K4235-Sens!K4099)*(1-tax_f)*(1+g_tv)*(1-g_tv/(wacc+ronic_prem))/(wacc-g_tv)/(1+wacc)^(Sens!K4213-Sens!F4213)</f>
        <v>130.548135585705</v>
      </c>
    </row>
    <row r="4244" customFormat="false" ht="17.15" hidden="false" customHeight="false" outlineLevel="0" collapsed="false">
      <c r="A4244" s="1" t="s">
        <v>1247</v>
      </c>
      <c r="B4244" s="0" t="s">
        <v>98</v>
      </c>
      <c r="C4244" s="6" t="n">
        <f aca="false">(SUM(Sens!G4242:K4242)+Sens!$C$4243)*(1+wacc)^(t_roll-Sens!F4213)</f>
        <v>-100.997576016737</v>
      </c>
      <c r="L4244" s="12" t="s">
        <v>1248</v>
      </c>
    </row>
    <row r="4245" customFormat="false" ht="17.15" hidden="false" customHeight="false" outlineLevel="0" collapsed="false">
      <c r="A4245" s="1" t="s">
        <v>1249</v>
      </c>
      <c r="B4245" s="0" t="s">
        <v>98</v>
      </c>
      <c r="C4245" s="6" t="n">
        <f aca="false">(w_ntm28*Sens!G4087+(1-w_ntm28)*Sens!H4087)*m_ai</f>
        <v>391.994488800677</v>
      </c>
    </row>
    <row r="4246" customFormat="false" ht="17.15" hidden="false" customHeight="false" outlineLevel="0" collapsed="false">
      <c r="A4246" s="1" t="s">
        <v>1250</v>
      </c>
      <c r="B4246" s="0" t="s">
        <v>98</v>
      </c>
      <c r="C4246" s="6" t="n">
        <f aca="false">(w_ntm28*Sens!G4237+(1-w_ntm28)*Sens!H4237)*m_cloud</f>
        <v>1090.18426887491</v>
      </c>
    </row>
    <row r="4247" customFormat="false" ht="17.15" hidden="false" customHeight="false" outlineLevel="0" collapsed="false">
      <c r="A4247" s="1" t="s">
        <v>1251</v>
      </c>
      <c r="B4247" s="0" t="s">
        <v>98</v>
      </c>
      <c r="C4247" s="6" t="n">
        <f aca="false">(w_ntm28*Sens!G4230+(1-w_ntm28)*Sens!H4230)*m_sw</f>
        <v>1045.26017978639</v>
      </c>
    </row>
    <row r="4248" customFormat="false" ht="17.15" hidden="false" customHeight="false" outlineLevel="0" collapsed="false">
      <c r="A4248" s="1" t="s">
        <v>1252</v>
      </c>
      <c r="B4248" s="0" t="s">
        <v>98</v>
      </c>
      <c r="C4248" s="6" t="n">
        <f aca="false">(w_ntm28*Sens!G4231+(1-w_ntm28)*Sens!H4231)*m_sw</f>
        <v>373.205015496857</v>
      </c>
    </row>
    <row r="4249" customFormat="false" ht="17.15" hidden="false" customHeight="false" outlineLevel="0" collapsed="false">
      <c r="A4249" s="1" t="s">
        <v>1253</v>
      </c>
      <c r="B4249" s="0" t="s">
        <v>98</v>
      </c>
      <c r="C4249" s="6" t="n">
        <f aca="false">(w_ntm28*Sens!G4232+(1-w_ntm28)*Sens!H4232)*m_sw</f>
        <v>109.316943450108</v>
      </c>
    </row>
    <row r="4250" customFormat="false" ht="17.15" hidden="false" customHeight="false" outlineLevel="0" collapsed="false">
      <c r="A4250" s="1" t="s">
        <v>1254</v>
      </c>
      <c r="B4250" s="0" t="s">
        <v>98</v>
      </c>
      <c r="C4250" s="6" t="n">
        <f aca="false">(w_ntm28*Sens!G4233+(1-w_ntm28)*Sens!H4233)*m_sw</f>
        <v>41.5593450709247</v>
      </c>
    </row>
    <row r="4251" customFormat="false" ht="17.15" hidden="false" customHeight="false" outlineLevel="0" collapsed="false">
      <c r="A4251" s="1" t="s">
        <v>1255</v>
      </c>
      <c r="B4251" s="0" t="s">
        <v>98</v>
      </c>
      <c r="C4251" s="6" t="n">
        <f aca="false">(w_ntm28*Sens!G4234+(1-w_ntm28)*Sens!H4234)*m_ads</f>
        <v>115.233159674172</v>
      </c>
    </row>
    <row r="4252" customFormat="false" ht="17.15" hidden="false" customHeight="false" outlineLevel="0" collapsed="false">
      <c r="A4252" s="1" t="s">
        <v>1256</v>
      </c>
      <c r="B4252" s="0" t="s">
        <v>98</v>
      </c>
      <c r="C4252" s="6" t="n">
        <f aca="false">(w_ntm28*Sens!G4239+(1-w_ntm28)*Sens!H4239)*m_game</f>
        <v>98.8005789430159</v>
      </c>
    </row>
    <row r="4253" customFormat="false" ht="17.15" hidden="false" customHeight="false" outlineLevel="0" collapsed="false">
      <c r="A4253" s="1" t="s">
        <v>1257</v>
      </c>
      <c r="B4253" s="0" t="s">
        <v>98</v>
      </c>
      <c r="C4253" s="6" t="n">
        <f aca="false">(w_ntm28*Sens!G4240+(1-w_ntm28)*Sens!H4240)*m_pc</f>
        <v>91.5977356021467</v>
      </c>
    </row>
    <row r="4254" customFormat="false" ht="17.15" hidden="false" customHeight="false" outlineLevel="0" collapsed="false">
      <c r="A4254" s="1" t="s">
        <v>1258</v>
      </c>
      <c r="B4254" s="0" t="s">
        <v>98</v>
      </c>
      <c r="C4254" s="6" t="n">
        <f aca="false">Sens!$C$4244+Sens!$C$4246+Sens!$C$4247+Sens!$C$4248+Sens!$C$4249+Sens!$C$4250+Sens!$C$4251+Sens!$C$4252+Sens!$C$4253</f>
        <v>2864.15965088179</v>
      </c>
    </row>
    <row r="4255" customFormat="false" ht="17.15" hidden="false" customHeight="false" outlineLevel="0" collapsed="false">
      <c r="A4255" s="1" t="s">
        <v>1259</v>
      </c>
      <c r="B4255" s="0" t="s">
        <v>98</v>
      </c>
      <c r="C4255" s="6" t="n">
        <f aca="false">(Sens!G4216-Sens!G4241)*t_stub</f>
        <v>47.3998959434213</v>
      </c>
      <c r="L4255" s="1" t="s">
        <v>1260</v>
      </c>
    </row>
    <row r="4256" customFormat="false" ht="17.15" hidden="false" customHeight="false" outlineLevel="0" collapsed="false">
      <c r="A4256" s="1" t="s">
        <v>1169</v>
      </c>
      <c r="B4256" s="0" t="s">
        <v>98</v>
      </c>
      <c r="C4256" s="6" t="n">
        <f aca="false">Sens!F4203+oai_v-Sens!F4192+Sens!$C$4255</f>
        <v>124.516008489487</v>
      </c>
      <c r="L4256" s="1" t="s">
        <v>1261</v>
      </c>
    </row>
    <row r="4257" customFormat="false" ht="17.15" hidden="false" customHeight="false" outlineLevel="0" collapsed="false">
      <c r="A4257" s="1" t="s">
        <v>1262</v>
      </c>
      <c r="B4257" s="0" t="s">
        <v>75</v>
      </c>
      <c r="C4257" s="5" t="n">
        <f aca="false">(Sens!$C$4254+Sens!$C$4256)/(Sens!F4205+dil_gap)-Sens!G4195*roll_div_q/q_per_yr</f>
        <v>397.663229371835</v>
      </c>
      <c r="L4257" s="1" t="s">
        <v>1263</v>
      </c>
    </row>
    <row r="4258" customFormat="false" ht="17.15" hidden="false" customHeight="false" outlineLevel="0" collapsed="false">
      <c r="A4258" s="1" t="s">
        <v>1264</v>
      </c>
      <c r="B4258" s="0" t="s">
        <v>75</v>
      </c>
      <c r="C4258" s="5" t="n">
        <f aca="false">w_dcf*Sens!$C$4228+(1-w_dcf)*Sens!$C$4257</f>
        <v>336.998768469548</v>
      </c>
    </row>
    <row r="4259" customFormat="false" ht="17.15" hidden="false" customHeight="false" outlineLevel="0" collapsed="false">
      <c r="A4259" s="3" t="s">
        <v>1585</v>
      </c>
    </row>
    <row r="4260" customFormat="false" ht="15" hidden="false" customHeight="false" outlineLevel="0" collapsed="false">
      <c r="A4260" s="4" t="s">
        <v>43</v>
      </c>
      <c r="B4260" s="4" t="s">
        <v>65</v>
      </c>
      <c r="C4260" s="23" t="s">
        <v>938</v>
      </c>
      <c r="D4260" s="23" t="s">
        <v>939</v>
      </c>
      <c r="E4260" s="23" t="s">
        <v>940</v>
      </c>
      <c r="F4260" s="23" t="s">
        <v>941</v>
      </c>
      <c r="G4260" s="23" t="s">
        <v>942</v>
      </c>
      <c r="H4260" s="23" t="s">
        <v>943</v>
      </c>
      <c r="I4260" s="23" t="s">
        <v>944</v>
      </c>
      <c r="J4260" s="23" t="s">
        <v>945</v>
      </c>
      <c r="K4260" s="23" t="s">
        <v>946</v>
      </c>
      <c r="L4260" s="4" t="s">
        <v>47</v>
      </c>
    </row>
    <row r="4261" customFormat="false" ht="17.15" hidden="false" customHeight="false" outlineLevel="0" collapsed="false">
      <c r="A4261" s="1" t="s">
        <v>947</v>
      </c>
      <c r="B4261" s="1" t="s">
        <v>279</v>
      </c>
      <c r="C4261" s="21" t="n">
        <v>2024</v>
      </c>
      <c r="D4261" s="21" t="n">
        <v>2025</v>
      </c>
      <c r="E4261" s="21" t="n">
        <v>2026</v>
      </c>
      <c r="F4261" s="21" t="n">
        <v>2027</v>
      </c>
      <c r="G4261" s="21" t="n">
        <v>2028</v>
      </c>
      <c r="H4261" s="21" t="n">
        <v>2029</v>
      </c>
      <c r="I4261" s="21" t="n">
        <v>2030</v>
      </c>
      <c r="J4261" s="21" t="n">
        <v>2031</v>
      </c>
      <c r="K4261" s="21" t="n">
        <v>2032</v>
      </c>
    </row>
    <row r="4262" customFormat="false" ht="17.15" hidden="false" customHeight="false" outlineLevel="0" collapsed="false">
      <c r="A4262" s="1" t="s">
        <v>948</v>
      </c>
      <c r="B4262" s="0" t="s">
        <v>456</v>
      </c>
      <c r="F4262" s="30" t="n">
        <f aca="false">pace</f>
        <v>2726.5351</v>
      </c>
      <c r="G4262" s="30" t="n">
        <f aca="false">pace</f>
        <v>2726.5351</v>
      </c>
      <c r="H4262" s="30" t="n">
        <f aca="false">pace</f>
        <v>2726.5351</v>
      </c>
      <c r="I4262" s="30" t="n">
        <f aca="false">pace+(g_tv*Sens!H4263-pace)*MIN(1,(Sens!I4261-pace_y0)/(pace_y1-pace_y0))</f>
        <v>1931.98611966667</v>
      </c>
      <c r="J4262" s="30" t="n">
        <f aca="false">pace+(g_tv*Sens!I4263-pace)*MIN(1,(Sens!J4261-pace_y0)/(pace_y1-pace_y0))</f>
        <v>1176.07686172667</v>
      </c>
      <c r="K4262" s="30" t="n">
        <f aca="false">pace+(g_tv*Sens!J4263-pace)*MIN(1,(Sens!K4261-pace_y0)/(pace_y1-pace_y0))</f>
        <v>436.1300484418</v>
      </c>
      <c r="L4262" s="12" t="s">
        <v>949</v>
      </c>
    </row>
    <row r="4263" customFormat="false" ht="17.15" hidden="false" customHeight="false" outlineLevel="0" collapsed="false">
      <c r="A4263" s="1" t="s">
        <v>950</v>
      </c>
      <c r="B4263" s="0" t="s">
        <v>456</v>
      </c>
      <c r="C4263" s="30" t="n">
        <f aca="false">mw_ext_24</f>
        <v>640</v>
      </c>
      <c r="D4263" s="30" t="n">
        <f aca="false">mw_ext_25</f>
        <v>1630</v>
      </c>
      <c r="E4263" s="30" t="n">
        <f aca="false">mw_ext_26</f>
        <v>3250</v>
      </c>
      <c r="F4263" s="30" t="n">
        <f aca="false">Sens!E4263+Sens!F4262</f>
        <v>5976.5351</v>
      </c>
      <c r="G4263" s="30" t="n">
        <f aca="false">Sens!F4263+Sens!G4262</f>
        <v>8703.0702</v>
      </c>
      <c r="H4263" s="30" t="n">
        <f aca="false">Sens!G4263+Sens!H4262</f>
        <v>11429.6053</v>
      </c>
      <c r="I4263" s="30" t="n">
        <f aca="false">Sens!H4263+Sens!I4262</f>
        <v>13361.5914196667</v>
      </c>
      <c r="J4263" s="30" t="n">
        <f aca="false">Sens!I4263+Sens!J4262</f>
        <v>14537.6682813933</v>
      </c>
      <c r="K4263" s="30" t="n">
        <f aca="false">Sens!J4263+Sens!K4262</f>
        <v>14973.7983298351</v>
      </c>
      <c r="L4263" s="1" t="s">
        <v>951</v>
      </c>
    </row>
    <row r="4264" customFormat="false" ht="17.15" hidden="false" customHeight="false" outlineLevel="0" collapsed="false">
      <c r="A4264" s="1" t="s">
        <v>952</v>
      </c>
      <c r="B4264" s="0" t="s">
        <v>456</v>
      </c>
      <c r="C4264" s="30" t="n">
        <f aca="false">rent_ext_24</f>
        <v>150</v>
      </c>
      <c r="D4264" s="30" t="n">
        <f aca="false">rent_ext_25</f>
        <v>400</v>
      </c>
      <c r="E4264" s="30" t="n">
        <f aca="false">rent_ext_26</f>
        <v>550</v>
      </c>
      <c r="F4264" s="30" t="n">
        <f aca="false">rent_ext_f</f>
        <v>756</v>
      </c>
      <c r="G4264" s="30" t="n">
        <f aca="false">rent_ext_f</f>
        <v>756</v>
      </c>
      <c r="H4264" s="30" t="n">
        <f aca="false">rent_ext_f</f>
        <v>756</v>
      </c>
      <c r="I4264" s="30" t="n">
        <f aca="false">rent_ext_f</f>
        <v>756</v>
      </c>
      <c r="J4264" s="30" t="n">
        <f aca="false">rent_ext_f</f>
        <v>756</v>
      </c>
      <c r="K4264" s="30" t="n">
        <f aca="false">rent_ext_f</f>
        <v>756</v>
      </c>
      <c r="L4264" s="1" t="s">
        <v>953</v>
      </c>
    </row>
    <row r="4265" customFormat="false" ht="17.15" hidden="false" customHeight="false" outlineLevel="0" collapsed="false">
      <c r="A4265" s="1" t="s">
        <v>954</v>
      </c>
      <c r="B4265" s="0" t="s">
        <v>456</v>
      </c>
      <c r="C4265" s="30" t="n">
        <f aca="false">Sens!C4263-Sens!C4264</f>
        <v>490</v>
      </c>
      <c r="D4265" s="30" t="n">
        <f aca="false">Sens!D4263-Sens!D4264</f>
        <v>1230</v>
      </c>
      <c r="E4265" s="30" t="n">
        <f aca="false">Sens!E4263-Sens!E4264</f>
        <v>2700</v>
      </c>
      <c r="F4265" s="30" t="n">
        <f aca="false">Sens!F4263-Sens!F4264</f>
        <v>5220.5351</v>
      </c>
      <c r="G4265" s="30" t="n">
        <f aca="false">Sens!G4263-Sens!G4264</f>
        <v>7947.0702</v>
      </c>
      <c r="H4265" s="30" t="n">
        <f aca="false">Sens!H4263-Sens!H4264</f>
        <v>10673.6053</v>
      </c>
      <c r="I4265" s="30" t="n">
        <f aca="false">Sens!I4263-Sens!I4264</f>
        <v>12605.5914196667</v>
      </c>
      <c r="J4265" s="30" t="n">
        <f aca="false">Sens!J4263-Sens!J4264</f>
        <v>13781.6682813933</v>
      </c>
      <c r="K4265" s="30" t="n">
        <f aca="false">Sens!K4263-Sens!K4264</f>
        <v>14217.7983298351</v>
      </c>
    </row>
    <row r="4266" customFormat="false" ht="17.15" hidden="false" customHeight="false" outlineLevel="0" collapsed="false">
      <c r="A4266" s="1" t="s">
        <v>955</v>
      </c>
      <c r="B4266" s="0" t="s">
        <v>456</v>
      </c>
      <c r="C4266" s="30" t="n">
        <f aca="false">Sens!C4265/ext_sh</f>
        <v>816.666666666667</v>
      </c>
      <c r="D4266" s="30" t="n">
        <f aca="false">Sens!D4265/ext_sh</f>
        <v>2050</v>
      </c>
      <c r="E4266" s="30" t="n">
        <f aca="false">Sens!E4265/ext_sh</f>
        <v>4500</v>
      </c>
      <c r="F4266" s="30" t="n">
        <f aca="false">Sens!F4265/ext_sh</f>
        <v>8700.89183333333</v>
      </c>
      <c r="G4266" s="30" t="n">
        <f aca="false">Sens!G4265/ext_sh</f>
        <v>13245.117</v>
      </c>
      <c r="H4266" s="30" t="n">
        <f aca="false">Sens!H4265/ext_sh</f>
        <v>17789.3421666667</v>
      </c>
      <c r="I4266" s="30" t="n">
        <f aca="false">Sens!I4265/ext_sh</f>
        <v>21009.3190327778</v>
      </c>
      <c r="J4266" s="30" t="n">
        <f aca="false">Sens!J4265/ext_sh</f>
        <v>22969.4471356556</v>
      </c>
      <c r="K4266" s="30" t="n">
        <f aca="false">Sens!K4265/ext_sh</f>
        <v>23696.3305497252</v>
      </c>
      <c r="L4266" s="1" t="s">
        <v>956</v>
      </c>
    </row>
    <row r="4267" customFormat="false" ht="17.15" hidden="false" customHeight="false" outlineLevel="0" collapsed="false">
      <c r="A4267" s="1" t="s">
        <v>957</v>
      </c>
      <c r="B4267" s="0" t="s">
        <v>456</v>
      </c>
      <c r="C4267" s="30" t="n">
        <f aca="false">Sens!C4266-Sens!C4265</f>
        <v>326.666666666667</v>
      </c>
      <c r="D4267" s="30" t="n">
        <f aca="false">Sens!D4266-Sens!D4265</f>
        <v>820</v>
      </c>
      <c r="E4267" s="30" t="n">
        <f aca="false">Sens!E4266-Sens!E4265</f>
        <v>1800</v>
      </c>
      <c r="F4267" s="30" t="n">
        <f aca="false">Sens!F4266-Sens!F4265</f>
        <v>3480.35673333333</v>
      </c>
      <c r="G4267" s="30" t="n">
        <f aca="false">Sens!G4266-Sens!G4265</f>
        <v>5298.0468</v>
      </c>
      <c r="H4267" s="30" t="n">
        <f aca="false">Sens!H4266-Sens!H4265</f>
        <v>7115.73686666667</v>
      </c>
      <c r="I4267" s="30" t="n">
        <f aca="false">Sens!I4266-Sens!I4265</f>
        <v>8403.72761311111</v>
      </c>
      <c r="J4267" s="30" t="n">
        <f aca="false">Sens!J4266-Sens!J4265</f>
        <v>9187.77885426222</v>
      </c>
      <c r="K4267" s="30" t="n">
        <f aca="false">Sens!K4266-Sens!K4265</f>
        <v>9478.53221989009</v>
      </c>
    </row>
    <row r="4268" customFormat="false" ht="17.15" hidden="false" customHeight="false" outlineLevel="0" collapsed="false">
      <c r="A4268" s="1" t="s">
        <v>958</v>
      </c>
      <c r="B4268" s="0" t="s">
        <v>456</v>
      </c>
      <c r="C4268" s="30" t="n">
        <f aca="false">Sens!C4266</f>
        <v>816.666666666667</v>
      </c>
      <c r="D4268" s="30" t="n">
        <f aca="false">Sens!D4266-Sens!C4266</f>
        <v>1233.33333333333</v>
      </c>
      <c r="E4268" s="30" t="n">
        <f aca="false">Sens!E4266-Sens!D4266</f>
        <v>2450</v>
      </c>
      <c r="F4268" s="30" t="n">
        <f aca="false">Sens!F4266-Sens!E4266</f>
        <v>4200.89183333333</v>
      </c>
      <c r="G4268" s="30" t="n">
        <f aca="false">Sens!G4266-Sens!F4266</f>
        <v>4544.22516666667</v>
      </c>
      <c r="H4268" s="30" t="n">
        <f aca="false">Sens!H4266-Sens!G4266</f>
        <v>4544.22516666667</v>
      </c>
      <c r="I4268" s="30" t="n">
        <f aca="false">Sens!I4266-Sens!H4266</f>
        <v>3219.97686611111</v>
      </c>
      <c r="J4268" s="30" t="n">
        <f aca="false">Sens!J4266-Sens!I4266</f>
        <v>1960.12810287778</v>
      </c>
      <c r="K4268" s="30" t="n">
        <f aca="false">Sens!K4266-Sens!J4266</f>
        <v>726.883414069667</v>
      </c>
    </row>
    <row r="4269" customFormat="false" ht="17.15" hidden="false" customHeight="false" outlineLevel="0" collapsed="false">
      <c r="A4269" s="1" t="s">
        <v>959</v>
      </c>
      <c r="B4269" s="0" t="s">
        <v>456</v>
      </c>
      <c r="D4269" s="30" t="n">
        <f aca="false">Sens!D4263-Sens!C4263</f>
        <v>990</v>
      </c>
      <c r="E4269" s="30" t="n">
        <f aca="false">Sens!E4263-Sens!D4263</f>
        <v>1620</v>
      </c>
      <c r="F4269" s="30" t="n">
        <f aca="false">Sens!F4263-Sens!E4263</f>
        <v>2726.5351</v>
      </c>
      <c r="G4269" s="30" t="n">
        <f aca="false">Sens!G4263-Sens!F4263</f>
        <v>2726.5351</v>
      </c>
      <c r="H4269" s="30" t="n">
        <f aca="false">Sens!H4263-Sens!G4263</f>
        <v>2726.5351</v>
      </c>
      <c r="I4269" s="30" t="n">
        <f aca="false">Sens!I4263-Sens!H4263</f>
        <v>1931.98611966667</v>
      </c>
      <c r="J4269" s="30" t="n">
        <f aca="false">Sens!J4263-Sens!I4263</f>
        <v>1176.07686172667</v>
      </c>
      <c r="K4269" s="30" t="n">
        <f aca="false">Sens!K4263-Sens!J4263</f>
        <v>436.130048441799</v>
      </c>
    </row>
    <row r="4270" customFormat="false" ht="17.15" hidden="false" customHeight="false" outlineLevel="0" collapsed="false">
      <c r="A4270" s="1" t="s">
        <v>960</v>
      </c>
      <c r="B4270" s="0" t="s">
        <v>456</v>
      </c>
      <c r="F4270" s="30" t="n">
        <f aca="false">Sens!F4289*ext_sh</f>
        <v>0</v>
      </c>
      <c r="G4270" s="30" t="n">
        <f aca="false">Sens!G4289*ext_sh</f>
        <v>0</v>
      </c>
      <c r="H4270" s="30" t="n">
        <f aca="false">Sens!H4289*ext_sh</f>
        <v>490</v>
      </c>
      <c r="I4270" s="30" t="n">
        <f aca="false">Sens!I4289*ext_sh</f>
        <v>740</v>
      </c>
      <c r="J4270" s="30" t="n">
        <f aca="false">Sens!J4289*ext_sh</f>
        <v>1470</v>
      </c>
      <c r="K4270" s="30" t="n">
        <f aca="false">Sens!K4289*ext_sh</f>
        <v>2520.5351</v>
      </c>
      <c r="L4270" s="1" t="s">
        <v>961</v>
      </c>
    </row>
    <row r="4271" customFormat="false" ht="17.15" hidden="false" customHeight="false" outlineLevel="0" collapsed="false">
      <c r="A4271" s="1" t="s">
        <v>962</v>
      </c>
      <c r="B4271" s="0" t="s">
        <v>456</v>
      </c>
      <c r="C4271" s="30" t="n">
        <f aca="false">mix_h*Sens!C4263</f>
        <v>128</v>
      </c>
      <c r="D4271" s="30" t="n">
        <f aca="false">mix_h*Sens!D4263</f>
        <v>326</v>
      </c>
      <c r="E4271" s="30" t="n">
        <f aca="false">mix_h*Sens!E4263</f>
        <v>650</v>
      </c>
      <c r="F4271" s="30" t="n">
        <f aca="false">Sens!E4271-Sens!F4270*mix_h</f>
        <v>650</v>
      </c>
      <c r="G4271" s="30" t="n">
        <f aca="false">Sens!F4271-Sens!G4270*mix_h</f>
        <v>650</v>
      </c>
      <c r="H4271" s="30" t="n">
        <f aca="false">Sens!G4271-Sens!H4270*mix_h</f>
        <v>552</v>
      </c>
      <c r="I4271" s="30" t="n">
        <f aca="false">Sens!H4271-Sens!I4270*mix_h</f>
        <v>404</v>
      </c>
      <c r="J4271" s="30" t="n">
        <f aca="false">Sens!I4271-Sens!J4270*mix_h</f>
        <v>110</v>
      </c>
      <c r="K4271" s="30" t="n">
        <f aca="false">Sens!J4271-Sens!K4270*mix_h</f>
        <v>-394.10702</v>
      </c>
    </row>
    <row r="4272" customFormat="false" ht="17.15" hidden="false" customHeight="false" outlineLevel="0" collapsed="false">
      <c r="A4272" s="1" t="s">
        <v>963</v>
      </c>
      <c r="B4272" s="0" t="s">
        <v>456</v>
      </c>
      <c r="C4272" s="30" t="n">
        <f aca="false">mix_g2*Sens!C4263</f>
        <v>288</v>
      </c>
      <c r="D4272" s="30" t="n">
        <f aca="false">mix_g2*Sens!D4263</f>
        <v>733.5</v>
      </c>
      <c r="E4272" s="30" t="n">
        <f aca="false">mix_g2*Sens!E4263</f>
        <v>1462.5</v>
      </c>
      <c r="F4272" s="30" t="n">
        <f aca="false">Sens!E4272-Sens!F4270*mix_g2</f>
        <v>1462.5</v>
      </c>
      <c r="G4272" s="30" t="n">
        <f aca="false">Sens!F4272-Sens!G4270*mix_g2</f>
        <v>1462.5</v>
      </c>
      <c r="H4272" s="30" t="n">
        <f aca="false">Sens!G4272-Sens!H4270*mix_g2</f>
        <v>1242</v>
      </c>
      <c r="I4272" s="30" t="n">
        <f aca="false">Sens!H4272-Sens!I4270*mix_g2</f>
        <v>909</v>
      </c>
      <c r="J4272" s="30" t="n">
        <f aca="false">Sens!I4272-Sens!J4270*mix_g2</f>
        <v>247.5</v>
      </c>
      <c r="K4272" s="30" t="n">
        <f aca="false">Sens!J4272-Sens!K4270*mix_g2</f>
        <v>-886.740795</v>
      </c>
    </row>
    <row r="4273" customFormat="false" ht="17.15" hidden="false" customHeight="false" outlineLevel="0" collapsed="false">
      <c r="A4273" s="1" t="s">
        <v>964</v>
      </c>
      <c r="B4273" s="0" t="s">
        <v>456</v>
      </c>
      <c r="C4273" s="30" t="n">
        <f aca="false">mix_g3*Sens!C4263</f>
        <v>224</v>
      </c>
      <c r="D4273" s="30" t="n">
        <f aca="false">mix_g3*Sens!D4263</f>
        <v>570.5</v>
      </c>
      <c r="E4273" s="30" t="n">
        <f aca="false">mix_g3*Sens!E4263</f>
        <v>1137.5</v>
      </c>
      <c r="F4273" s="30" t="n">
        <f aca="false">Sens!E4273+(Sens!F4269+Sens!F4270)*(a_g3_27-nonnv*a_mai)-Sens!F4270*mix_g3</f>
        <v>2773.42106</v>
      </c>
      <c r="G4273" s="30" t="n">
        <f aca="false">Sens!F4273+(Sens!G4269+Sens!G4270)*(a_g3_28-nonnv*a_mai)-Sens!G4270*mix_g3</f>
        <v>3318.72808</v>
      </c>
      <c r="H4273" s="30" t="n">
        <f aca="false">Sens!G4273+(Sens!H4269+Sens!H4270)*(a_g3_29-nonnv*a_mai)-Sens!H4270*mix_g3</f>
        <v>3147.22808</v>
      </c>
      <c r="I4273" s="30" t="n">
        <f aca="false">Sens!H4273+(Sens!I4269+Sens!I4270)*(a_g3_29-nonnv*a_mai)-Sens!I4270*mix_g3</f>
        <v>2888.22808</v>
      </c>
      <c r="J4273" s="30" t="n">
        <f aca="false">Sens!I4273+(Sens!J4269+Sens!J4270)*(a_g3_29-nonnv*a_mai)-Sens!J4270*mix_g3</f>
        <v>2373.72808</v>
      </c>
      <c r="K4273" s="30" t="n">
        <f aca="false">Sens!J4273+(Sens!K4269+Sens!K4270)*(a_g3_29-nonnv*a_mai)-Sens!K4270*mix_g3</f>
        <v>1491.540795</v>
      </c>
    </row>
    <row r="4274" customFormat="false" ht="17.15" hidden="false" customHeight="false" outlineLevel="0" collapsed="false">
      <c r="A4274" s="1" t="s">
        <v>965</v>
      </c>
      <c r="B4274" s="0" t="s">
        <v>456</v>
      </c>
      <c r="C4274" s="30" t="n">
        <v>0</v>
      </c>
      <c r="D4274" s="30" t="n">
        <v>0</v>
      </c>
      <c r="E4274" s="30" t="n">
        <v>0</v>
      </c>
      <c r="F4274" s="30" t="n">
        <f aca="false">Sens!E4274+(Sens!F4269+Sens!F4270)*nonnv*a_mai</f>
        <v>272.65351</v>
      </c>
      <c r="G4274" s="30" t="n">
        <f aca="false">Sens!F4274+(Sens!G4269+Sens!G4270)*nonnv*a_mai</f>
        <v>545.30702</v>
      </c>
      <c r="H4274" s="30" t="n">
        <f aca="false">Sens!G4274+(Sens!H4269+Sens!H4270)*nonnv*a_mai</f>
        <v>866.96053</v>
      </c>
      <c r="I4274" s="30" t="n">
        <f aca="false">Sens!H4274+(Sens!I4269+Sens!I4270)*nonnv*a_mai</f>
        <v>1134.15914196667</v>
      </c>
      <c r="J4274" s="30" t="n">
        <f aca="false">Sens!I4274+(Sens!J4269+Sens!J4270)*nonnv*a_mai</f>
        <v>1398.76682813933</v>
      </c>
      <c r="K4274" s="30" t="n">
        <f aca="false">Sens!J4274+(Sens!K4269+Sens!K4270)*nonnv*a_mai</f>
        <v>1694.43334298351</v>
      </c>
      <c r="L4274" s="12" t="s">
        <v>966</v>
      </c>
    </row>
    <row r="4275" customFormat="false" ht="17.15" hidden="false" customHeight="false" outlineLevel="0" collapsed="false">
      <c r="A4275" s="1" t="s">
        <v>967</v>
      </c>
      <c r="B4275" s="0" t="s">
        <v>456</v>
      </c>
      <c r="C4275" s="30" t="n">
        <v>0</v>
      </c>
      <c r="D4275" s="30" t="n">
        <v>0</v>
      </c>
      <c r="E4275" s="30" t="n">
        <v>0</v>
      </c>
      <c r="F4275" s="30" t="n">
        <f aca="false">Sens!E4275+(Sens!F4269+Sens!F4270)*(1-a_g3_27)</f>
        <v>817.96053</v>
      </c>
      <c r="G4275" s="30" t="n">
        <f aca="false">Sens!F4275+(Sens!G4269+Sens!G4270)*(1-a_g3_28)</f>
        <v>2726.5351</v>
      </c>
      <c r="H4275" s="30" t="n">
        <f aca="false">Sens!G4275+(Sens!H4269+Sens!H4270)*(1-a_g3_29)</f>
        <v>5621.41669</v>
      </c>
      <c r="I4275" s="30" t="n">
        <f aca="false">Sens!H4275+(Sens!I4269+Sens!I4270)*(1-a_g3_29)</f>
        <v>8026.2041977</v>
      </c>
      <c r="J4275" s="30" t="n">
        <f aca="false">Sens!I4275+(Sens!J4269+Sens!J4270)*(1-a_g3_29)</f>
        <v>10407.673373254</v>
      </c>
      <c r="K4275" s="30" t="n">
        <f aca="false">Sens!J4275+(Sens!K4269+Sens!K4270)*(1-a_g3_29)</f>
        <v>13068.6720068516</v>
      </c>
    </row>
    <row r="4276" customFormat="false" ht="17.15" hidden="false" customHeight="false" outlineLevel="0" collapsed="false">
      <c r="A4276" s="1" t="s">
        <v>968</v>
      </c>
      <c r="B4276" s="0" t="s">
        <v>403</v>
      </c>
      <c r="C4276" s="15" t="n">
        <f aca="false">(Sens!C4271*tk_hold_h100+Sens!C4272*tk_hold_gb200+Sens!C4273*tk_hold_gb300+Sens!C4275*tk_hold_vr200+Sens!C4274*nv_hold_mai*tk_hold_vr200)/Sens!C4263</f>
        <v>9.7235358126469</v>
      </c>
      <c r="D4276" s="15" t="n">
        <f aca="false">(Sens!D4271*tk_hold_h100+Sens!D4272*tk_hold_gb200+Sens!D4273*tk_hold_gb300+Sens!D4275*tk_hold_vr200+Sens!D4274*nv_hold_mai*tk_hold_vr200)/Sens!D4263</f>
        <v>9.7235358126469</v>
      </c>
      <c r="E4276" s="15" t="n">
        <f aca="false">(Sens!E4271*tk_hold_h100+Sens!E4272*tk_hold_gb200+Sens!E4273*tk_hold_gb300+Sens!E4275*tk_hold_vr200+Sens!E4274*nv_hold_mai*tk_hold_vr200)/Sens!E4263</f>
        <v>9.7235358126469</v>
      </c>
      <c r="F4276" s="15" t="n">
        <f aca="false">(Sens!F4271*tk_hold_h100+Sens!F4272*tk_hold_gb200+Sens!F4273*tk_hold_gb300+Sens!F4275*tk_hold_vr200+Sens!F4274*nv_hold_mai*tk_hold_vr200)/Sens!F4263</f>
        <v>10.2195353876665</v>
      </c>
      <c r="G4276" s="15" t="n">
        <f aca="false">(Sens!G4271*tk_hold_h100+Sens!G4272*tk_hold_gb200+Sens!G4273*tk_hold_gb300+Sens!G4275*tk_hold_vr200+Sens!G4274*nv_hold_mai*tk_hold_vr200)/Sens!G4263</f>
        <v>10.5725598017306</v>
      </c>
      <c r="H4276" s="15" t="n">
        <f aca="false">(Sens!H4271*tk_hold_h100+Sens!H4272*tk_hold_gb200+Sens!H4273*tk_hold_gb300+Sens!H4275*tk_hold_vr200+Sens!H4274*nv_hold_mai*tk_hold_vr200)/Sens!H4263</f>
        <v>10.902097500272</v>
      </c>
      <c r="I4276" s="15" t="n">
        <f aca="false">(Sens!I4271*tk_hold_h100+Sens!I4272*tk_hold_gb200+Sens!I4273*tk_hold_gb300+Sens!I4275*tk_hold_vr200+Sens!I4274*nv_hold_mai*tk_hold_vr200)/Sens!I4263</f>
        <v>11.1097716279125</v>
      </c>
      <c r="J4276" s="15" t="n">
        <f aca="false">(Sens!J4271*tk_hold_h100+Sens!J4272*tk_hold_gb200+Sens!J4273*tk_hold_gb300+Sens!J4275*tk_hold_vr200+Sens!J4274*nv_hold_mai*tk_hold_vr200)/Sens!J4263</f>
        <v>11.3417562963592</v>
      </c>
      <c r="K4276" s="15" t="n">
        <f aca="false">(Sens!K4271*tk_hold_h100+Sens!K4272*tk_hold_gb200+Sens!K4273*tk_hold_gb300+Sens!K4275*tk_hold_vr200+Sens!K4274*nv_hold_mai*tk_hold_vr200)/Sens!K4263</f>
        <v>11.6679459977291</v>
      </c>
      <c r="L4276" s="1" t="s">
        <v>969</v>
      </c>
    </row>
    <row r="4277" customFormat="false" ht="17.15" hidden="false" customHeight="false" outlineLevel="0" collapsed="false">
      <c r="A4277" s="1" t="s">
        <v>970</v>
      </c>
      <c r="B4277" s="0" t="s">
        <v>403</v>
      </c>
      <c r="C4277" s="15" t="n">
        <f aca="false">(Sens!C4271*tk_hold_h100+Sens!C4272*tk_hold_gb200+Sens!C4273*tk_hold_gb300+Sens!C4275*tk_hold_vr200+Sens!C4274*nv_out_mai*tk_hold_vr200)/Sens!C4263</f>
        <v>9.7235358126469</v>
      </c>
      <c r="D4277" s="15" t="n">
        <f aca="false">(Sens!D4271*tk_hold_h100+Sens!D4272*tk_hold_gb200+Sens!D4273*tk_hold_gb300+Sens!D4275*tk_hold_vr200+Sens!D4274*nv_out_mai*tk_hold_vr200)/Sens!D4263</f>
        <v>9.7235358126469</v>
      </c>
      <c r="E4277" s="15" t="n">
        <f aca="false">(Sens!E4271*tk_hold_h100+Sens!E4272*tk_hold_gb200+Sens!E4273*tk_hold_gb300+Sens!E4275*tk_hold_vr200+Sens!E4274*nv_out_mai*tk_hold_vr200)/Sens!E4263</f>
        <v>9.7235358126469</v>
      </c>
      <c r="F4277" s="15" t="n">
        <f aca="false">(Sens!F4271*tk_hold_h100+Sens!F4272*tk_hold_gb200+Sens!F4273*tk_hold_gb300+Sens!F4275*tk_hold_vr200+Sens!F4274*nv_out_mai*tk_hold_vr200)/Sens!F4263</f>
        <v>10.247422093969</v>
      </c>
      <c r="G4277" s="15" t="n">
        <f aca="false">(Sens!G4271*tk_hold_h100+Sens!G4272*tk_hold_gb200+Sens!G4273*tk_hold_gb300+Sens!G4275*tk_hold_vr200+Sens!G4274*nv_out_mai*tk_hold_vr200)/Sens!G4263</f>
        <v>10.6108602808053</v>
      </c>
      <c r="H4277" s="15" t="n">
        <f aca="false">(Sens!H4271*tk_hold_h100+Sens!H4272*tk_hold_gb200+Sens!H4273*tk_hold_gb300+Sens!H4275*tk_hold_vr200+Sens!H4274*nv_out_mai*tk_hold_vr200)/Sens!H4263</f>
        <v>10.9484639343852</v>
      </c>
      <c r="I4277" s="15" t="n">
        <f aca="false">(Sens!I4271*tk_hold_h100+Sens!I4272*tk_hold_gb200+Sens!I4273*tk_hold_gb300+Sens!I4275*tk_hold_vr200+Sens!I4274*nv_out_mai*tk_hold_vr200)/Sens!I4263</f>
        <v>11.1616577740653</v>
      </c>
      <c r="J4277" s="15" t="n">
        <f aca="false">(Sens!J4271*tk_hold_h100+Sens!J4272*tk_hold_gb200+Sens!J4273*tk_hold_gb300+Sens!J4275*tk_hold_vr200+Sens!J4274*nv_out_mai*tk_hold_vr200)/Sens!J4263</f>
        <v>11.4005710353138</v>
      </c>
      <c r="K4277" s="15" t="n">
        <f aca="false">(Sens!K4271*tk_hold_h100+Sens!K4272*tk_hold_gb200+Sens!K4273*tk_hold_gb300+Sens!K4275*tk_hold_vr200+Sens!K4274*nv_out_mai*tk_hold_vr200)/Sens!K4263</f>
        <v>11.7371176442531</v>
      </c>
      <c r="L4277" s="12" t="s">
        <v>971</v>
      </c>
    </row>
    <row r="4278" customFormat="false" ht="17.15" hidden="false" customHeight="false" outlineLevel="0" collapsed="false">
      <c r="A4278" s="0" t="s">
        <v>972</v>
      </c>
      <c r="B4278" s="0" t="s">
        <v>229</v>
      </c>
      <c r="C4278" s="15" t="n">
        <f aca="false">k_B</f>
        <v>1.17213932619116</v>
      </c>
      <c r="D4278" s="15" t="n">
        <f aca="false">k_B</f>
        <v>1.17213932619116</v>
      </c>
      <c r="E4278" s="15" t="n">
        <f aca="false">k_B</f>
        <v>1.17213932619116</v>
      </c>
      <c r="F4278" s="15" t="n">
        <f aca="false">(k_B+((ls_A*k_long+(1-ls_A)*k_spot)-k_B)*MIN(1,(Sens!F4261-base_fy)/k_ramp))</f>
        <v>1.25022828131298</v>
      </c>
      <c r="G4278" s="15" t="n">
        <f aca="false">(k_B+((ls_A*k_long+(1-ls_A)*k_spot)-k_B)*MIN(1,(Sens!G4261-base_fy)/k_ramp))</f>
        <v>1.3283172364348</v>
      </c>
      <c r="H4278" s="15" t="n">
        <f aca="false">(k_B+((ls_A*k_long+(1-ls_A)*k_spot)-k_B)*MIN(1,(Sens!H4261-base_fy)/k_ramp))</f>
        <v>1.40640619155662</v>
      </c>
      <c r="I4278" s="15" t="n">
        <f aca="false">(k_B+((ls_A*k_long+(1-ls_A)*k_spot)-k_B)*MIN(1,(Sens!I4261-base_fy)/k_ramp))</f>
        <v>1.40640619155662</v>
      </c>
      <c r="J4278" s="15" t="n">
        <f aca="false">(k_B+((ls_A*k_long+(1-ls_A)*k_spot)-k_B)*MIN(1,(Sens!J4261-base_fy)/k_ramp))</f>
        <v>1.40640619155662</v>
      </c>
      <c r="K4278" s="15" t="n">
        <f aca="false">(k_B+((ls_A*k_long+(1-ls_A)*k_spot)-k_B)*MIN(1,(Sens!K4261-base_fy)/k_ramp))</f>
        <v>1.40640619155662</v>
      </c>
      <c r="L4278" s="1" t="s">
        <v>973</v>
      </c>
    </row>
    <row r="4279" customFormat="false" ht="17.15" hidden="false" customHeight="false" outlineLevel="0" collapsed="false">
      <c r="A4279" s="1" t="s">
        <v>974</v>
      </c>
      <c r="B4279" s="0" t="s">
        <v>403</v>
      </c>
      <c r="C4279" s="15" t="n">
        <f aca="false">Sens!C4277*Sens!C4278*chip_f</f>
        <v>11.3973387156315</v>
      </c>
      <c r="D4279" s="15" t="n">
        <f aca="false">Sens!D4277*Sens!D4278*chip_f</f>
        <v>11.3973387156315</v>
      </c>
      <c r="E4279" s="15" t="n">
        <f aca="false">Sens!E4277*Sens!E4278*chip_f</f>
        <v>11.3973387156315</v>
      </c>
      <c r="F4279" s="15" t="n">
        <f aca="false">Sens!F4277*Sens!F4278*chip_f</f>
        <v>12.8116169124314</v>
      </c>
      <c r="G4279" s="15" t="n">
        <f aca="false">Sens!G4277*Sens!G4278*chip_f</f>
        <v>14.094588604395</v>
      </c>
      <c r="H4279" s="15" t="n">
        <f aca="false">Sens!H4277*Sens!H4278*chip_f</f>
        <v>15.3979874653536</v>
      </c>
      <c r="I4279" s="15" t="n">
        <f aca="false">Sens!I4277*Sens!I4278*chip_f</f>
        <v>15.6978246014815</v>
      </c>
      <c r="J4279" s="15" t="n">
        <f aca="false">Sens!J4277*Sens!J4278*chip_f</f>
        <v>16.0338336913464</v>
      </c>
      <c r="K4279" s="15" t="n">
        <f aca="false">Sens!K4277*Sens!K4278*chip_f</f>
        <v>16.5071549259059</v>
      </c>
      <c r="L4279" s="1" t="s">
        <v>975</v>
      </c>
    </row>
    <row r="4280" customFormat="false" ht="17.15" hidden="false" customHeight="false" outlineLevel="0" collapsed="false">
      <c r="A4280" s="0" t="s">
        <v>976</v>
      </c>
      <c r="B4280" s="0" t="s">
        <v>98</v>
      </c>
      <c r="D4280" s="6" t="n">
        <f aca="false">(Sens!C4263+Sens!D4263)/2*Sens!D4279/1000</f>
        <v>12.9359794422418</v>
      </c>
      <c r="E4280" s="6" t="n">
        <f aca="false">(Sens!D4263+Sens!E4263)/2*Sens!E4279/1000</f>
        <v>27.8095064661409</v>
      </c>
      <c r="F4280" s="6" t="n">
        <f aca="false">(Sens!E4263+Sens!F4263)/2*Sens!F4279/1000</f>
        <v>59.1034165651511</v>
      </c>
      <c r="G4280" s="6" t="n">
        <f aca="false">(Sens!F4263+Sens!G4263)/2*Sens!G4279/1000</f>
        <v>103.451498789198</v>
      </c>
      <c r="H4280" s="6" t="n">
        <f aca="false">(Sens!G4263+Sens!H4263)/2*Sens!H4279/1000</f>
        <v>155.001342496516</v>
      </c>
      <c r="I4280" s="6" t="n">
        <f aca="false">(Sens!H4263+Sens!I4263)/2*Sens!I4279/1000</f>
        <v>194.583928883075</v>
      </c>
      <c r="J4280" s="6" t="n">
        <f aca="false">(Sens!I4263+Sens!J4263)/2*Sens!J4279/1000</f>
        <v>223.666045079239</v>
      </c>
      <c r="K4280" s="6" t="n">
        <f aca="false">(Sens!J4263+Sens!K4263)/2*Sens!K4279/1000</f>
        <v>243.575175721124</v>
      </c>
      <c r="L4280" s="12" t="s">
        <v>977</v>
      </c>
    </row>
    <row r="4281" customFormat="false" ht="17.15" hidden="false" customHeight="false" outlineLevel="0" collapsed="false">
      <c r="A4281" s="1" t="s">
        <v>978</v>
      </c>
      <c r="B4281" s="0" t="s">
        <v>403</v>
      </c>
      <c r="C4281" s="15" t="n">
        <f aca="false">(Sens!C4271*tk_opex_h100+Sens!C4272*tk_opex_gb200+Sens!C4273*tk_opex_gb300+(Sens!C4275+Sens!C4274)*tk_opex_vr200)/Sens!C4263</f>
        <v>1.88636041306092</v>
      </c>
      <c r="D4281" s="15" t="n">
        <f aca="false">(Sens!D4271*tk_opex_h100+Sens!D4272*tk_opex_gb200+Sens!D4273*tk_opex_gb300+(Sens!D4275+Sens!D4274)*tk_opex_vr200)/Sens!D4263</f>
        <v>1.88636041306092</v>
      </c>
      <c r="E4281" s="15" t="n">
        <f aca="false">(Sens!E4271*tk_opex_h100+Sens!E4272*tk_opex_gb200+Sens!E4273*tk_opex_gb300+(Sens!E4275+Sens!E4274)*tk_opex_vr200)/Sens!E4263</f>
        <v>1.88636041306092</v>
      </c>
      <c r="F4281" s="15" t="n">
        <f aca="false">(Sens!F4271*tk_opex_h100+Sens!F4272*tk_opex_gb200+Sens!F4273*tk_opex_gb300+(Sens!F4275+Sens!F4274)*tk_opex_vr200)/Sens!F4263</f>
        <v>1.95051159746876</v>
      </c>
      <c r="G4281" s="15" t="n">
        <f aca="false">(Sens!G4271*tk_opex_h100+Sens!G4272*tk_opex_gb200+Sens!G4273*tk_opex_gb300+(Sens!G4275+Sens!G4274)*tk_opex_vr200)/Sens!G4263</f>
        <v>1.98836003669956</v>
      </c>
      <c r="H4281" s="15" t="n">
        <f aca="false">(Sens!H4271*tk_opex_h100+Sens!H4272*tk_opex_gb200+Sens!H4273*tk_opex_gb300+(Sens!H4275+Sens!H4274)*tk_opex_vr200)/Sens!H4263</f>
        <v>2.02232025393885</v>
      </c>
      <c r="I4281" s="15" t="n">
        <f aca="false">(Sens!I4271*tk_opex_h100+Sens!I4272*tk_opex_gb200+Sens!I4273*tk_opex_gb300+(Sens!I4275+Sens!I4274)*tk_opex_vr200)/Sens!I4263</f>
        <v>2.04408335623333</v>
      </c>
      <c r="J4281" s="15" t="n">
        <f aca="false">(Sens!J4271*tk_opex_h100+Sens!J4272*tk_opex_gb200+Sens!J4273*tk_opex_gb300+(Sens!J4275+Sens!J4274)*tk_opex_vr200)/Sens!J4263</f>
        <v>2.0690255393673</v>
      </c>
      <c r="K4281" s="15" t="n">
        <f aca="false">(Sens!K4271*tk_opex_h100+Sens!K4272*tk_opex_gb200+Sens!K4273*tk_opex_gb300+(Sens!K4275+Sens!K4274)*tk_opex_vr200)/Sens!K4263</f>
        <v>2.1046052549011</v>
      </c>
      <c r="L4281" s="12" t="s">
        <v>979</v>
      </c>
    </row>
    <row r="4282" customFormat="false" ht="17.15" hidden="false" customHeight="false" outlineLevel="0" collapsed="false">
      <c r="A4282" s="0" t="s">
        <v>980</v>
      </c>
      <c r="B4282" s="0" t="s">
        <v>98</v>
      </c>
      <c r="D4282" s="6" t="n">
        <f aca="false">(Sens!C4266+Sens!D4266)/2*Sens!D4281/1000</f>
        <v>2.70378325872065</v>
      </c>
      <c r="E4282" s="6" t="n">
        <f aca="false">(Sens!D4266+Sens!E4266)/2*Sens!E4281/1000</f>
        <v>6.17783035277451</v>
      </c>
      <c r="F4282" s="6" t="n">
        <f aca="false">(Sens!E4266+Sens!F4266)/2*Sens!F4281/1000</f>
        <v>12.8742463089237</v>
      </c>
      <c r="G4282" s="6" t="n">
        <f aca="false">(Sens!F4266+Sens!G4266)/2*Sens!G4281/1000</f>
        <v>21.8182834646277</v>
      </c>
      <c r="H4282" s="6" t="n">
        <f aca="false">(Sens!G4266+Sens!H4266)/2*Sens!H4281/1000</f>
        <v>31.380807671394</v>
      </c>
      <c r="I4282" s="6" t="n">
        <f aca="false">(Sens!H4266+Sens!I4266)/2*Sens!I4281/1000</f>
        <v>39.6538488009602</v>
      </c>
      <c r="J4282" s="6" t="n">
        <f aca="false">(Sens!I4266+Sens!J4266)/2*Sens!J4281/1000</f>
        <v>45.4965951961756</v>
      </c>
      <c r="K4282" s="6" t="n">
        <f aca="false">(Sens!J4266+Sens!K4266)/2*Sens!K4281/1000</f>
        <v>49.1065204703494</v>
      </c>
    </row>
    <row r="4283" customFormat="false" ht="17.15" hidden="false" customHeight="false" outlineLevel="0" collapsed="false">
      <c r="A4283" s="0" t="s">
        <v>981</v>
      </c>
      <c r="B4283" s="0" t="s">
        <v>98</v>
      </c>
      <c r="D4283" s="6" t="n">
        <f aca="false">(Sens!C4264+Sens!D4264)/2*rent_mw/1000</f>
        <v>2.44475</v>
      </c>
      <c r="E4283" s="6" t="n">
        <f aca="false">(Sens!D4264+Sens!E4264)/2*rent_mw/1000</f>
        <v>4.22275</v>
      </c>
      <c r="F4283" s="6" t="n">
        <f aca="false">(Sens!E4264+Sens!F4264)/2*rent_mw/1000</f>
        <v>5.80517</v>
      </c>
      <c r="G4283" s="6" t="n">
        <f aca="false">(Sens!F4264+Sens!G4264)/2*rent_mw/1000</f>
        <v>6.72084</v>
      </c>
      <c r="H4283" s="6" t="n">
        <f aca="false">(Sens!G4264+Sens!H4264)/2*rent_mw/1000</f>
        <v>6.72084</v>
      </c>
      <c r="I4283" s="6" t="n">
        <f aca="false">(Sens!H4264+Sens!I4264)/2*rent_mw/1000</f>
        <v>6.72084</v>
      </c>
      <c r="J4283" s="6" t="n">
        <f aca="false">(Sens!I4264+Sens!J4264)/2*rent_mw/1000</f>
        <v>6.72084</v>
      </c>
      <c r="K4283" s="6" t="n">
        <f aca="false">(Sens!J4264+Sens!K4264)/2*rent_mw/1000</f>
        <v>6.72084</v>
      </c>
    </row>
    <row r="4284" customFormat="false" ht="17.15" hidden="false" customHeight="false" outlineLevel="0" collapsed="false">
      <c r="A4284" s="0" t="s">
        <v>982</v>
      </c>
      <c r="B4284" s="0" t="s">
        <v>98</v>
      </c>
      <c r="D4284" s="6" t="n">
        <f aca="false">(Sens!C4266+Sens!D4266)/2*(1-self_build)*fac_rent/1000</f>
        <v>0.853242375631075</v>
      </c>
      <c r="E4284" s="6" t="n">
        <f aca="false">(Sens!D4266+Sens!E4266)/2*(1-self_build)*fac_rent/1000</f>
        <v>1.94955961408728</v>
      </c>
      <c r="F4284" s="6" t="n">
        <f aca="false">(Sens!E4266+Sens!F4266)/2*(1-self_build)*fac_rent/1000</f>
        <v>3.92914894476356</v>
      </c>
      <c r="G4284" s="6" t="n">
        <f aca="false">(Sens!F4266+Sens!G4266)/2*(1-self_build)*fac_rent/1000</f>
        <v>6.53206908578159</v>
      </c>
      <c r="H4284" s="6" t="n">
        <f aca="false">(Sens!G4266+Sens!H4266)/2*(1-self_build)*fac_rent/1000</f>
        <v>9.23717988341591</v>
      </c>
      <c r="I4284" s="6" t="n">
        <f aca="false">(Sens!H4266+Sens!I4266)/2*(1-self_build)*fac_rent/1000</f>
        <v>11.5481378557393</v>
      </c>
      <c r="J4284" s="6" t="n">
        <f aca="false">(Sens!I4266+Sens!J4266)/2*(1-self_build)*fac_rent/1000</f>
        <v>13.0899582289108</v>
      </c>
      <c r="K4284" s="6" t="n">
        <f aca="false">(Sens!J4266+Sens!K4266)/2*(1-self_build)*fac_rent/1000</f>
        <v>13.8897275626556</v>
      </c>
      <c r="L4284" s="12" t="s">
        <v>983</v>
      </c>
    </row>
    <row r="4285" customFormat="false" ht="17.15" hidden="false" customHeight="false" outlineLevel="0" collapsed="false">
      <c r="A4285" s="1" t="s">
        <v>984</v>
      </c>
      <c r="B4285" s="0" t="s">
        <v>168</v>
      </c>
      <c r="D4285" s="7" t="n">
        <f aca="false">(Sens!C4265+Sens!D4265)/(Sens!C4266+Sens!D4266)</f>
        <v>0.6</v>
      </c>
      <c r="E4285" s="7" t="n">
        <f aca="false">(Sens!D4265+Sens!E4265)/(Sens!D4266+Sens!E4266)</f>
        <v>0.6</v>
      </c>
      <c r="F4285" s="7" t="n">
        <f aca="false">(Sens!E4265+Sens!F4265)/(Sens!E4266+Sens!F4266)</f>
        <v>0.6</v>
      </c>
      <c r="G4285" s="7" t="n">
        <f aca="false">(Sens!F4265+Sens!G4265)/(Sens!F4266+Sens!G4266)</f>
        <v>0.6</v>
      </c>
      <c r="H4285" s="7" t="n">
        <f aca="false">(Sens!G4265+Sens!H4265)/(Sens!G4266+Sens!H4266)</f>
        <v>0.6</v>
      </c>
      <c r="I4285" s="7" t="n">
        <f aca="false">(Sens!H4265+Sens!I4265)/(Sens!H4266+Sens!I4266)</f>
        <v>0.6</v>
      </c>
      <c r="J4285" s="7" t="n">
        <f aca="false">(Sens!I4265+Sens!J4265)/(Sens!I4266+Sens!J4266)</f>
        <v>0.6</v>
      </c>
      <c r="K4285" s="7" t="n">
        <f aca="false">(Sens!J4265+Sens!K4265)/(Sens!J4266+Sens!K4266)</f>
        <v>0.6</v>
      </c>
    </row>
    <row r="4286" customFormat="false" ht="17.15" hidden="false" customHeight="false" outlineLevel="0" collapsed="false">
      <c r="A4286" s="0" t="s">
        <v>985</v>
      </c>
      <c r="B4286" s="0" t="s">
        <v>98</v>
      </c>
      <c r="D4286" s="6" t="n">
        <f aca="false">Sens!D4280-Sens!D4285*(Sens!D4282+Sens!D4284)-Sens!D4283</f>
        <v>8.35701406163072</v>
      </c>
      <c r="E4286" s="6" t="n">
        <f aca="false">Sens!E4280-Sens!E4285*(Sens!E4282+Sens!E4284)-Sens!E4283</f>
        <v>18.7103224860238</v>
      </c>
      <c r="F4286" s="6" t="n">
        <f aca="false">Sens!F4280-Sens!F4285*(Sens!F4282+Sens!F4284)-Sens!F4283</f>
        <v>43.2162094129388</v>
      </c>
      <c r="G4286" s="6" t="n">
        <f aca="false">Sens!G4280-Sens!G4285*(Sens!G4282+Sens!G4284)-Sens!G4283</f>
        <v>79.7204472589529</v>
      </c>
      <c r="H4286" s="6" t="n">
        <f aca="false">Sens!H4280-Sens!H4285*(Sens!H4282+Sens!H4284)-Sens!H4283</f>
        <v>123.90970996363</v>
      </c>
      <c r="I4286" s="6" t="n">
        <f aca="false">Sens!I4280-Sens!I4285*(Sens!I4282+Sens!I4284)-Sens!I4283</f>
        <v>157.141896889055</v>
      </c>
      <c r="J4286" s="6" t="n">
        <f aca="false">Sens!J4280-Sens!J4285*(Sens!J4282+Sens!J4284)-Sens!J4283</f>
        <v>181.793273024188</v>
      </c>
      <c r="K4286" s="6" t="n">
        <f aca="false">Sens!K4280-Sens!K4285*(Sens!K4282+Sens!K4284)-Sens!K4283</f>
        <v>199.056586901321</v>
      </c>
    </row>
    <row r="4287" customFormat="false" ht="17.15" hidden="false" customHeight="false" outlineLevel="0" collapsed="false">
      <c r="A4287" s="1" t="s">
        <v>986</v>
      </c>
      <c r="B4287" s="0" t="s">
        <v>98</v>
      </c>
      <c r="D4287" s="6" t="n">
        <f aca="false">(1-Sens!D4285)*(Sens!D4282+Sens!D4284)</f>
        <v>1.42281025374069</v>
      </c>
      <c r="E4287" s="6" t="n">
        <f aca="false">(1-Sens!E4285)*(Sens!E4282+Sens!E4284)</f>
        <v>3.25095598674472</v>
      </c>
      <c r="F4287" s="6" t="n">
        <f aca="false">(1-Sens!F4285)*(Sens!F4282+Sens!F4284)</f>
        <v>6.72135810147489</v>
      </c>
      <c r="G4287" s="6" t="n">
        <f aca="false">(1-Sens!G4285)*(Sens!G4282+Sens!G4284)</f>
        <v>11.3401410201637</v>
      </c>
      <c r="H4287" s="6" t="n">
        <f aca="false">(1-Sens!H4285)*(Sens!H4282+Sens!H4284)</f>
        <v>16.247195021924</v>
      </c>
      <c r="I4287" s="6" t="n">
        <f aca="false">(1-Sens!I4285)*(Sens!I4282+Sens!I4284)</f>
        <v>20.4807946626798</v>
      </c>
      <c r="J4287" s="6" t="n">
        <f aca="false">(1-Sens!J4285)*(Sens!J4282+Sens!J4284)</f>
        <v>23.4346213700345</v>
      </c>
      <c r="K4287" s="6" t="n">
        <f aca="false">(1-Sens!K4285)*(Sens!K4282+Sens!K4284)</f>
        <v>25.198499213202</v>
      </c>
    </row>
    <row r="4288" customFormat="false" ht="17.15" hidden="false" customHeight="false" outlineLevel="0" collapsed="false">
      <c r="A4288" s="1" t="s">
        <v>987</v>
      </c>
      <c r="B4288" s="0" t="s">
        <v>414</v>
      </c>
      <c r="C4288" s="8" t="n">
        <f aca="false">cxit_open</f>
        <v>27.5918995</v>
      </c>
      <c r="D4288" s="8" t="n">
        <f aca="false">cxit_open</f>
        <v>27.5918995</v>
      </c>
      <c r="E4288" s="8" t="n">
        <f aca="false">cxit_open</f>
        <v>27.5918995</v>
      </c>
      <c r="F4288" s="8" t="n">
        <f aca="false">((a_g3_27-nonnv*a_mai)*tk_cxit_gb300+nonnv*a_mai*nv_hold_mai*tk_cxit_vr200+(1-a_g3_27)*tk_cxit_vr200)</f>
        <v>32.4975576</v>
      </c>
      <c r="G4288" s="8" t="n">
        <f aca="false">((a_g3_28-nonnv*a_mai)*tk_cxit_gb300+nonnv*a_mai*nv_hold_mai*tk_cxit_vr200+(1-a_g3_28)*tk_cxit_vr200)</f>
        <v>34.6372088</v>
      </c>
      <c r="H4288" s="8" t="n">
        <f aca="false">((a_g3_29-nonnv*a_mai)*tk_cxit_gb300+nonnv*a_mai*nv_hold_mai*tk_cxit_vr200+(1-a_g3_29)*tk_cxit_vr200)</f>
        <v>35.7070344</v>
      </c>
      <c r="I4288" s="8" t="n">
        <f aca="false">((a_g3_29-nonnv*a_mai)*tk_cxit_gb300+nonnv*a_mai*nv_hold_mai*tk_cxit_vr200+(1-a_g3_29)*tk_cxit_vr200)</f>
        <v>35.7070344</v>
      </c>
      <c r="J4288" s="8" t="n">
        <f aca="false">((a_g3_29-nonnv*a_mai)*tk_cxit_gb300+nonnv*a_mai*nv_hold_mai*tk_cxit_vr200+(1-a_g3_29)*tk_cxit_vr200)</f>
        <v>35.7070344</v>
      </c>
      <c r="K4288" s="8" t="n">
        <f aca="false">((a_g3_29-nonnv*a_mai)*tk_cxit_gb300+nonnv*a_mai*nv_hold_mai*tk_cxit_vr200+(1-a_g3_29)*tk_cxit_vr200)</f>
        <v>35.7070344</v>
      </c>
      <c r="L4288" s="12" t="s">
        <v>988</v>
      </c>
    </row>
    <row r="4289" customFormat="false" ht="17.15" hidden="false" customHeight="false" outlineLevel="0" collapsed="false">
      <c r="A4289" s="0" t="s">
        <v>989</v>
      </c>
      <c r="B4289" s="0" t="s">
        <v>456</v>
      </c>
      <c r="F4289" s="30" t="n">
        <f aca="false">Sens!C4268*IF(Sens!F4261-Sens!C4261=life_it_lo,1,0)+Sens!D4268*IF(Sens!F4261-Sens!D4261=life_it_lo,1,0)+Sens!E4268*IF(Sens!F4261-Sens!E4261=life_it_lo,1,0)</f>
        <v>0</v>
      </c>
      <c r="G4289" s="30" t="n">
        <f aca="false">Sens!C4268*IF(Sens!G4261-Sens!C4261=life_it_lo,1,0)+Sens!D4268*IF(Sens!G4261-Sens!D4261=life_it_lo,1,0)+Sens!E4268*IF(Sens!G4261-Sens!E4261=life_it_lo,1,0)+Sens!F4268*IF(Sens!G4261-Sens!F4261=life_it_lo,1,0)</f>
        <v>0</v>
      </c>
      <c r="H4289" s="30" t="n">
        <f aca="false">Sens!C4268*IF(Sens!H4261-Sens!C4261=life_it_lo,1,0)+Sens!D4268*IF(Sens!H4261-Sens!D4261=life_it_lo,1,0)+Sens!E4268*IF(Sens!H4261-Sens!E4261=life_it_lo,1,0)+Sens!F4268*IF(Sens!H4261-Sens!F4261=life_it_lo,1,0)+Sens!G4268*IF(Sens!H4261-Sens!G4261=life_it_lo,1,0)</f>
        <v>816.666666666667</v>
      </c>
      <c r="I4289" s="30" t="n">
        <f aca="false">Sens!C4268*IF(Sens!I4261-Sens!C4261=life_it_lo,1,0)+Sens!D4268*IF(Sens!I4261-Sens!D4261=life_it_lo,1,0)+Sens!E4268*IF(Sens!I4261-Sens!E4261=life_it_lo,1,0)+Sens!F4268*IF(Sens!I4261-Sens!F4261=life_it_lo,1,0)+Sens!G4268*IF(Sens!I4261-Sens!G4261=life_it_lo,1,0)+Sens!H4268*IF(Sens!I4261-Sens!H4261=life_it_lo,1,0)</f>
        <v>1233.33333333333</v>
      </c>
      <c r="J4289" s="30" t="n">
        <f aca="false">Sens!C4268*IF(Sens!J4261-Sens!C4261=life_it_lo,1,0)+Sens!D4268*IF(Sens!J4261-Sens!D4261=life_it_lo,1,0)+Sens!E4268*IF(Sens!J4261-Sens!E4261=life_it_lo,1,0)+Sens!F4268*IF(Sens!J4261-Sens!F4261=life_it_lo,1,0)+Sens!G4268*IF(Sens!J4261-Sens!G4261=life_it_lo,1,0)+Sens!H4268*IF(Sens!J4261-Sens!H4261=life_it_lo,1,0)+Sens!I4268*IF(Sens!J4261-Sens!I4261=life_it_lo,1,0)</f>
        <v>2450</v>
      </c>
      <c r="K4289" s="30" t="n">
        <f aca="false">Sens!C4268*IF(Sens!K4261-Sens!C4261=life_it_lo,1,0)+Sens!D4268*IF(Sens!K4261-Sens!D4261=life_it_lo,1,0)+Sens!E4268*IF(Sens!K4261-Sens!E4261=life_it_lo,1,0)+Sens!F4268*IF(Sens!K4261-Sens!F4261=life_it_lo,1,0)+Sens!G4268*IF(Sens!K4261-Sens!G4261=life_it_lo,1,0)+Sens!H4268*IF(Sens!K4261-Sens!H4261=life_it_lo,1,0)+Sens!I4268*IF(Sens!K4261-Sens!I4261=life_it_lo,1,0)+Sens!J4268*IF(Sens!K4261-Sens!J4261=life_it_lo,1,0)</f>
        <v>4200.89183333333</v>
      </c>
      <c r="L4289" s="1" t="s">
        <v>990</v>
      </c>
    </row>
    <row r="4290" customFormat="false" ht="17.15" hidden="false" customHeight="false" outlineLevel="0" collapsed="false">
      <c r="A4290" s="0" t="s">
        <v>991</v>
      </c>
      <c r="B4290" s="0" t="s">
        <v>98</v>
      </c>
      <c r="C4290" s="6" t="n">
        <f aca="false">Sens!C4268*Sens!C4288/1000</f>
        <v>22.5333845916667</v>
      </c>
      <c r="D4290" s="6" t="n">
        <f aca="false">Sens!D4268*Sens!D4288/1000</f>
        <v>34.0300093833333</v>
      </c>
      <c r="E4290" s="6" t="n">
        <f aca="false">Sens!E4268*Sens!E4288/1000</f>
        <v>67.600153775</v>
      </c>
      <c r="F4290" s="6" t="n">
        <f aca="false">(Sens!F4268+Sens!F4289)*Sens!F4288/1000</f>
        <v>136.51872432512</v>
      </c>
      <c r="G4290" s="6" t="n">
        <f aca="false">(Sens!G4268+Sens!G4289)*Sens!G4288/1000</f>
        <v>157.399275932048</v>
      </c>
      <c r="H4290" s="6" t="n">
        <f aca="false">(Sens!H4268+Sens!H4289)*Sens!H4288/1000</f>
        <v>191.421549107512</v>
      </c>
      <c r="I4290" s="6" t="n">
        <f aca="false">(Sens!I4268+Sens!I4289)*Sens!I4288/1000</f>
        <v>159.014500485434</v>
      </c>
      <c r="J4290" s="6" t="n">
        <f aca="false">(Sens!J4268+Sens!J4289)*Sens!J4288/1000</f>
        <v>157.472595877864</v>
      </c>
      <c r="K4290" s="6" t="n">
        <f aca="false">(Sens!K4268+Sens!K4289)*Sens!K4288/1000</f>
        <v>175.956240274487</v>
      </c>
    </row>
    <row r="4291" customFormat="false" ht="17.15" hidden="false" customHeight="false" outlineLevel="0" collapsed="false">
      <c r="A4291" s="0" t="s">
        <v>992</v>
      </c>
      <c r="B4291" s="0" t="s">
        <v>98</v>
      </c>
      <c r="C4291" s="6" t="n">
        <f aca="false">Sens!C4268*self_build*tk_cxfac/1000</f>
        <v>6.2083</v>
      </c>
      <c r="D4291" s="6" t="n">
        <f aca="false">Sens!D4268*self_build*tk_cxfac/1000</f>
        <v>9.3758</v>
      </c>
      <c r="E4291" s="6" t="n">
        <f aca="false">Sens!E4268*self_build*tk_cxfac/1000</f>
        <v>18.6249</v>
      </c>
      <c r="F4291" s="6" t="n">
        <f aca="false">Sens!F4268*self_build*tk_cxfac/1000</f>
        <v>31.935179717</v>
      </c>
      <c r="G4291" s="6" t="n">
        <f aca="false">Sens!G4268*self_build*tk_cxfac/1000</f>
        <v>34.545199717</v>
      </c>
      <c r="H4291" s="6" t="n">
        <f aca="false">Sens!H4268*self_build*tk_cxfac/1000</f>
        <v>34.545199717</v>
      </c>
      <c r="I4291" s="6" t="n">
        <f aca="false">Sens!I4268*self_build*tk_cxfac/1000</f>
        <v>24.4782641361767</v>
      </c>
      <c r="J4291" s="6" t="n">
        <f aca="false">Sens!J4268*self_build*tk_cxfac/1000</f>
        <v>14.9008938380769</v>
      </c>
      <c r="K4291" s="6" t="n">
        <f aca="false">Sens!K4268*self_build*tk_cxfac/1000</f>
        <v>5.52576771375761</v>
      </c>
    </row>
    <row r="4292" customFormat="false" ht="17.15" hidden="false" customHeight="false" outlineLevel="0" collapsed="false">
      <c r="A4292" s="0" t="s">
        <v>993</v>
      </c>
      <c r="B4292" s="0" t="s">
        <v>98</v>
      </c>
      <c r="F4292" s="15" t="n">
        <f aca="false">capex_floor27-Sens!F4290-Sens!F4291-Sens!F4388</f>
        <v>0.0475774452575593</v>
      </c>
      <c r="L4292" s="12" t="s">
        <v>994</v>
      </c>
    </row>
    <row r="4293" customFormat="false" ht="17.15" hidden="false" customHeight="false" outlineLevel="0" collapsed="false">
      <c r="A4293" s="0" t="s">
        <v>995</v>
      </c>
      <c r="B4293" s="0" t="s">
        <v>98</v>
      </c>
      <c r="F4293" s="6" t="n">
        <f aca="false">MAX(0,Sens!F4292)</f>
        <v>0.0475774452575593</v>
      </c>
    </row>
    <row r="4294" customFormat="false" ht="17.15" hidden="false" customHeight="false" outlineLevel="0" collapsed="false">
      <c r="A4294" s="0" t="s">
        <v>996</v>
      </c>
      <c r="B4294" s="0" t="s">
        <v>98</v>
      </c>
      <c r="C4294" s="6" t="n">
        <f aca="false">Sens!C4290</f>
        <v>22.5333845916667</v>
      </c>
      <c r="D4294" s="6" t="n">
        <f aca="false">Sens!D4290</f>
        <v>34.0300093833333</v>
      </c>
      <c r="E4294" s="6" t="n">
        <f aca="false">Sens!E4290</f>
        <v>67.600153775</v>
      </c>
      <c r="F4294" s="6" t="n">
        <f aca="false">Sens!F4290</f>
        <v>136.51872432512</v>
      </c>
      <c r="G4294" s="6" t="n">
        <f aca="false">Sens!G4290</f>
        <v>157.399275932048</v>
      </c>
      <c r="H4294" s="6" t="n">
        <f aca="false">Sens!H4290</f>
        <v>191.421549107512</v>
      </c>
      <c r="I4294" s="6" t="n">
        <f aca="false">Sens!I4290</f>
        <v>159.014500485434</v>
      </c>
      <c r="J4294" s="6" t="n">
        <f aca="false">Sens!J4290</f>
        <v>157.472595877864</v>
      </c>
      <c r="K4294" s="6" t="n">
        <f aca="false">Sens!K4290</f>
        <v>175.956240274487</v>
      </c>
    </row>
    <row r="4295" customFormat="false" ht="17.15" hidden="false" customHeight="false" outlineLevel="0" collapsed="false">
      <c r="A4295" s="0" t="s">
        <v>997</v>
      </c>
      <c r="B4295" s="0" t="s">
        <v>98</v>
      </c>
      <c r="C4295" s="6" t="n">
        <f aca="false">Sens!C4294+Sens!C4291</f>
        <v>28.7416845916667</v>
      </c>
      <c r="D4295" s="6" t="n">
        <f aca="false">Sens!D4294+Sens!D4291</f>
        <v>43.4058093833333</v>
      </c>
      <c r="E4295" s="6" t="n">
        <f aca="false">Sens!E4294+Sens!E4291</f>
        <v>86.225053775</v>
      </c>
      <c r="F4295" s="6" t="n">
        <f aca="false">Sens!F4294+Sens!F4291</f>
        <v>168.45390404212</v>
      </c>
      <c r="G4295" s="6" t="n">
        <f aca="false">Sens!G4294+Sens!G4291</f>
        <v>191.944475649048</v>
      </c>
      <c r="H4295" s="6" t="n">
        <f aca="false">Sens!H4294+Sens!H4291</f>
        <v>225.966748824512</v>
      </c>
      <c r="I4295" s="6" t="n">
        <f aca="false">Sens!I4294+Sens!I4291</f>
        <v>183.49276462161</v>
      </c>
      <c r="J4295" s="6" t="n">
        <f aca="false">Sens!J4294+Sens!J4291</f>
        <v>172.37348971594</v>
      </c>
      <c r="K4295" s="6" t="n">
        <f aca="false">Sens!K4294+Sens!K4291</f>
        <v>181.482007988245</v>
      </c>
      <c r="L4295" s="12" t="s">
        <v>998</v>
      </c>
    </row>
    <row r="4296" customFormat="false" ht="17.15" hidden="false" customHeight="false" outlineLevel="0" collapsed="false">
      <c r="A4296" s="0" t="s">
        <v>999</v>
      </c>
      <c r="B4296" s="0" t="s">
        <v>98</v>
      </c>
      <c r="E4296" s="6" t="n">
        <f aca="false">(Sens!C4294*IF(2&lt;life_it_lo,1,IF(2=life_it_lo,0.5,0))+Sens!D4294*IF(1&lt;life_it_lo,1,IF(1=life_it_lo,0.5,0))+Sens!E4294*0.5)/life_it_lo</f>
        <v>18.0726941725</v>
      </c>
      <c r="F4296" s="6" t="n">
        <f aca="false">(Sens!C4294*IF(3&lt;life_it_lo,1,IF(3=life_it_lo,0.5,0))+Sens!D4294*IF(2&lt;life_it_lo,1,IF(2=life_it_lo,0.5,0))+Sens!E4294*IF(1&lt;life_it_lo,1,IF(1=life_it_lo,0.5,0))+Sens!F4294*0.5)/life_it_lo</f>
        <v>38.484581982512</v>
      </c>
      <c r="G4296" s="6" t="n">
        <f aca="false">(Sens!C4294*IF(4&lt;life_it_lo,1,IF(4=life_it_lo,0.5,0))+Sens!D4294*IF(3&lt;life_it_lo,1,IF(3=life_it_lo,0.5,0))+Sens!E4294*IF(2&lt;life_it_lo,1,IF(2=life_it_lo,0.5,0))+Sens!F4294*IF(1&lt;life_it_lo,1,IF(1=life_it_lo,0.5,0))+Sens!G4294*0.5)/life_it_lo</f>
        <v>67.8763820082287</v>
      </c>
      <c r="H4296" s="6" t="n">
        <f aca="false">(Sens!C4294*IF(5&lt;life_it_lo,1,IF(5=life_it_lo,0.5,0))+Sens!D4294*IF(4&lt;life_it_lo,1,IF(4=life_it_lo,0.5,0))+Sens!E4294*IF(3&lt;life_it_lo,1,IF(3=life_it_lo,0.5,0))+Sens!F4294*IF(2&lt;life_it_lo,1,IF(2=life_it_lo,0.5,0))+Sens!G4294*IF(1&lt;life_it_lo,1,IF(1=life_it_lo,0.5,0))+Sens!H4294*0.5)/life_it_lo</f>
        <v>100.505126053018</v>
      </c>
      <c r="I4296" s="6" t="n">
        <f aca="false">(Sens!C4294*IF(6&lt;life_it_lo,1,IF(6=life_it_lo,0.5,0))+Sens!D4294*IF(5&lt;life_it_lo,1,IF(5=life_it_lo,0.5,0))+Sens!E4294*IF(4&lt;life_it_lo,1,IF(4=life_it_lo,0.5,0))+Sens!F4294*IF(3&lt;life_it_lo,1,IF(3=life_it_lo,0.5,0))+Sens!G4294*IF(2&lt;life_it_lo,1,IF(2=life_it_lo,0.5,0))+Sens!H4294*IF(1&lt;life_it_lo,1,IF(1=life_it_lo,0.5,0))+Sens!I4294*0.5)/life_it_lo</f>
        <v>129.892391614813</v>
      </c>
      <c r="J4296" s="6" t="n">
        <f aca="false">(Sens!C4294*IF(7&lt;life_it_lo,1,IF(7=life_it_lo,0.5,0))+Sens!D4294*IF(6&lt;life_it_lo,1,IF(6=life_it_lo,0.5,0))+Sens!E4294*IF(5&lt;life_it_lo,1,IF(5=life_it_lo,0.5,0))+Sens!F4294*IF(4&lt;life_it_lo,1,IF(4=life_it_lo,0.5,0))+Sens!G4294*IF(3&lt;life_it_lo,1,IF(3=life_it_lo,0.5,0))+Sens!H4294*IF(2&lt;life_it_lo,1,IF(2=life_it_lo,0.5,0))+Sens!I4294*IF(1&lt;life_it_lo,1,IF(1=life_it_lo,0.5,0))+Sens!J4294*0.5)/life_it_lo</f>
        <v>151.378084935309</v>
      </c>
      <c r="K4296" s="6" t="n">
        <f aca="false">(Sens!C4294*IF(8&lt;life_it_lo,1,IF(8=life_it_lo,0.5,0))+Sens!D4294*IF(7&lt;life_it_lo,1,IF(7=life_it_lo,0.5,0))+Sens!E4294*IF(6&lt;life_it_lo,1,IF(6=life_it_lo,0.5,0))+Sens!F4294*IF(5&lt;life_it_lo,1,IF(5=life_it_lo,0.5,0))+Sens!G4294*IF(4&lt;life_it_lo,1,IF(4=life_it_lo,0.5,0))+Sens!H4294*IF(3&lt;life_it_lo,1,IF(3=life_it_lo,0.5,0))+Sens!I4294*IF(2&lt;life_it_lo,1,IF(2=life_it_lo,0.5,0))+Sens!J4294*IF(1&lt;life_it_lo,1,IF(1=life_it_lo,0.5,0))+Sens!K4294*0.5)/life_it_lo</f>
        <v>164.309080740532</v>
      </c>
    </row>
    <row r="4297" customFormat="false" ht="17.15" hidden="false" customHeight="false" outlineLevel="0" collapsed="false">
      <c r="A4297" s="0" t="s">
        <v>1000</v>
      </c>
      <c r="B4297" s="0" t="s">
        <v>98</v>
      </c>
      <c r="E4297" s="6" t="n">
        <f aca="false">(Sens!C4291*IF(2&lt;life_fac,1,IF(2=life_fac,0.5,0))+Sens!D4291*IF(1&lt;life_fac,1,IF(1=life_fac,0.5,0))+Sens!E4291*0.5)/life_fac</f>
        <v>1.2448275</v>
      </c>
      <c r="F4297" s="6" t="n">
        <f aca="false">(Sens!C4291*IF(3&lt;life_fac,1,IF(3=life_fac,0.5,0))+Sens!D4291*IF(2&lt;life_fac,1,IF(2=life_fac,0.5,0))+Sens!E4291*IF(1&lt;life_fac,1,IF(1=life_fac,0.5,0))+Sens!F4291*0.5)/life_fac</f>
        <v>2.508829492925</v>
      </c>
      <c r="G4297" s="6" t="n">
        <f aca="false">(Sens!C4291*IF(4&lt;life_fac,1,IF(4=life_fac,0.5,0))+Sens!D4291*IF(3&lt;life_fac,1,IF(3=life_fac,0.5,0))+Sens!E4291*IF(2&lt;life_fac,1,IF(2=life_fac,0.5,0))+Sens!F4291*IF(1&lt;life_fac,1,IF(1=life_fac,0.5,0))+Sens!G4291*0.5)/life_fac</f>
        <v>4.170838978775</v>
      </c>
      <c r="H4297" s="6" t="n">
        <f aca="false">(Sens!C4291*IF(5&lt;life_fac,1,IF(5=life_fac,0.5,0))+Sens!D4291*IF(4&lt;life_fac,1,IF(4=life_fac,0.5,0))+Sens!E4291*IF(3&lt;life_fac,1,IF(3=life_fac,0.5,0))+Sens!F4291*IF(2&lt;life_fac,1,IF(2=life_fac,0.5,0))+Sens!G4291*IF(1&lt;life_fac,1,IF(1=life_fac,0.5,0))+Sens!H4291*0.5)/life_fac</f>
        <v>5.898098964625</v>
      </c>
      <c r="I4297" s="6" t="n">
        <f aca="false">(Sens!C4291*IF(6&lt;life_fac,1,IF(6=life_fac,0.5,0))+Sens!D4291*IF(5&lt;life_fac,1,IF(5=life_fac,0.5,0))+Sens!E4291*IF(4&lt;life_fac,1,IF(4=life_fac,0.5,0))+Sens!F4291*IF(3&lt;life_fac,1,IF(3=life_fac,0.5,0))+Sens!G4291*IF(2&lt;life_fac,1,IF(2=life_fac,0.5,0))+Sens!H4291*IF(1&lt;life_fac,1,IF(1=life_fac,0.5,0))+Sens!I4291*0.5)/life_fac</f>
        <v>7.37368556095442</v>
      </c>
      <c r="J4297" s="6" t="n">
        <f aca="false">(Sens!C4291*IF(7&lt;life_fac,1,IF(7=life_fac,0.5,0))+Sens!D4291*IF(6&lt;life_fac,1,IF(6=life_fac,0.5,0))+Sens!E4291*IF(5&lt;life_fac,1,IF(5=life_fac,0.5,0))+Sens!F4291*IF(4&lt;life_fac,1,IF(4=life_fac,0.5,0))+Sens!G4291*IF(3&lt;life_fac,1,IF(3=life_fac,0.5,0))+Sens!H4291*IF(2&lt;life_fac,1,IF(2=life_fac,0.5,0))+Sens!I4291*IF(1&lt;life_fac,1,IF(1=life_fac,0.5,0))+Sens!J4291*0.5)/life_fac</f>
        <v>8.35816451031075</v>
      </c>
      <c r="K4297" s="6" t="n">
        <f aca="false">(Sens!C4291*IF(8&lt;life_fac,1,IF(8=life_fac,0.5,0))+Sens!D4291*IF(7&lt;life_fac,1,IF(7=life_fac,0.5,0))+Sens!E4291*IF(6&lt;life_fac,1,IF(6=life_fac,0.5,0))+Sens!F4291*IF(5&lt;life_fac,1,IF(5=life_fac,0.5,0))+Sens!G4291*IF(4&lt;life_fac,1,IF(4=life_fac,0.5,0))+Sens!H4291*IF(3&lt;life_fac,1,IF(3=life_fac,0.5,0))+Sens!I4291*IF(2&lt;life_fac,1,IF(2=life_fac,0.5,0))+Sens!J4291*IF(1&lt;life_fac,1,IF(1=life_fac,0.5,0))+Sens!K4291*0.5)/life_fac</f>
        <v>8.86883104910662</v>
      </c>
    </row>
    <row r="4298" customFormat="false" ht="17.15" hidden="false" customHeight="false" outlineLevel="0" collapsed="false">
      <c r="A4298" s="0" t="s">
        <v>1001</v>
      </c>
      <c r="B4298" s="0" t="s">
        <v>98</v>
      </c>
      <c r="E4298" s="6" t="n">
        <f aca="false">Sens!E4296+Sens!E4297</f>
        <v>19.3175216725</v>
      </c>
      <c r="F4298" s="6" t="n">
        <f aca="false">Sens!F4296+Sens!F4297</f>
        <v>40.993411475437</v>
      </c>
      <c r="G4298" s="6" t="n">
        <f aca="false">Sens!G4296+Sens!G4297</f>
        <v>72.0472209870037</v>
      </c>
      <c r="H4298" s="6" t="n">
        <f aca="false">Sens!H4296+Sens!H4297</f>
        <v>106.403225017643</v>
      </c>
      <c r="I4298" s="6" t="n">
        <f aca="false">Sens!I4296+Sens!I4297</f>
        <v>137.266077175767</v>
      </c>
      <c r="J4298" s="6" t="n">
        <f aca="false">Sens!J4296+Sens!J4297</f>
        <v>159.73624944562</v>
      </c>
      <c r="K4298" s="6" t="n">
        <f aca="false">Sens!K4296+Sens!K4297</f>
        <v>173.177911789639</v>
      </c>
    </row>
    <row r="4299" customFormat="false" ht="17.15" hidden="false" customHeight="false" outlineLevel="0" collapsed="false">
      <c r="A4299" s="0" t="s">
        <v>1002</v>
      </c>
      <c r="B4299" s="0" t="s">
        <v>98</v>
      </c>
      <c r="E4299" s="6" t="n">
        <f aca="false">Sens!E4286-Sens!E4285*Sens!E4298</f>
        <v>7.11980948252379</v>
      </c>
      <c r="F4299" s="6" t="n">
        <f aca="false">Sens!F4286-Sens!F4285*Sens!F4298</f>
        <v>18.6201625276766</v>
      </c>
      <c r="G4299" s="6" t="n">
        <f aca="false">Sens!G4286-Sens!G4285*Sens!G4298</f>
        <v>36.4921146667506</v>
      </c>
      <c r="H4299" s="6" t="n">
        <f aca="false">Sens!H4286-Sens!H4285*Sens!H4298</f>
        <v>60.0677749530444</v>
      </c>
      <c r="I4299" s="6" t="n">
        <f aca="false">Sens!I4286-Sens!I4285*Sens!I4298</f>
        <v>74.7822505835951</v>
      </c>
      <c r="J4299" s="6" t="n">
        <f aca="false">Sens!J4286-Sens!J4285*Sens!J4298</f>
        <v>85.9515233568157</v>
      </c>
      <c r="K4299" s="6" t="n">
        <f aca="false">Sens!K4286-Sens!K4285*Sens!K4298</f>
        <v>95.1498398275381</v>
      </c>
    </row>
    <row r="4300" customFormat="false" ht="17.15" hidden="false" customHeight="false" outlineLevel="0" collapsed="false">
      <c r="A4300" s="3" t="s">
        <v>1586</v>
      </c>
    </row>
    <row r="4301" customFormat="false" ht="15" hidden="false" customHeight="false" outlineLevel="0" collapsed="false">
      <c r="A4301" s="4" t="s">
        <v>43</v>
      </c>
      <c r="B4301" s="4" t="s">
        <v>65</v>
      </c>
      <c r="C4301" s="23" t="s">
        <v>938</v>
      </c>
      <c r="D4301" s="23" t="s">
        <v>939</v>
      </c>
      <c r="E4301" s="23" t="s">
        <v>940</v>
      </c>
      <c r="F4301" s="23" t="s">
        <v>941</v>
      </c>
      <c r="G4301" s="23" t="s">
        <v>942</v>
      </c>
      <c r="H4301" s="23" t="s">
        <v>943</v>
      </c>
      <c r="I4301" s="23" t="s">
        <v>944</v>
      </c>
      <c r="J4301" s="23" t="s">
        <v>945</v>
      </c>
      <c r="K4301" s="23" t="s">
        <v>946</v>
      </c>
      <c r="L4301" s="4" t="s">
        <v>47</v>
      </c>
    </row>
    <row r="4302" customFormat="false" ht="17.15" hidden="false" customHeight="false" outlineLevel="0" collapsed="false">
      <c r="A4302" s="0" t="s">
        <v>1021</v>
      </c>
      <c r="B4302" s="0" t="s">
        <v>98</v>
      </c>
      <c r="D4302" s="6" t="n">
        <f aca="false">Sens!D4280</f>
        <v>12.9359794422418</v>
      </c>
      <c r="E4302" s="6" t="n">
        <f aca="false">Sens!E4280</f>
        <v>27.8095064661409</v>
      </c>
      <c r="F4302" s="6" t="n">
        <f aca="false">Sens!F4280</f>
        <v>59.1034165651511</v>
      </c>
      <c r="G4302" s="6" t="n">
        <f aca="false">Sens!G4280</f>
        <v>103.451498789198</v>
      </c>
      <c r="H4302" s="6" t="n">
        <f aca="false">Sens!H4280</f>
        <v>155.001342496516</v>
      </c>
      <c r="I4302" s="6" t="n">
        <f aca="false">Sens!I4280</f>
        <v>194.583928883075</v>
      </c>
      <c r="J4302" s="6" t="n">
        <f aca="false">Sens!J4280</f>
        <v>223.666045079239</v>
      </c>
      <c r="K4302" s="6" t="n">
        <f aca="false">Sens!K4280</f>
        <v>243.575175721124</v>
      </c>
    </row>
    <row r="4303" customFormat="false" ht="17.15" hidden="false" customHeight="false" outlineLevel="0" collapsed="false">
      <c r="A4303" s="0" t="s">
        <v>1022</v>
      </c>
      <c r="B4303" s="0" t="s">
        <v>98</v>
      </c>
      <c r="D4303" s="6" t="n">
        <f aca="false">Q!L6-Sens!D4302</f>
        <v>59.6740205577583</v>
      </c>
      <c r="E4303" s="6" t="n">
        <f aca="false">Q!M6-Sens!E4302</f>
        <v>74.1284935338591</v>
      </c>
      <c r="F4303" s="6" t="n">
        <f aca="false">Q!$I$6+(Sens!F4302+Sens!E4303*(1+Sens!F4304))*(1-Q!$E$6/Q!M6)-Sens!F4302</f>
        <v>90.4866018070994</v>
      </c>
      <c r="G4303" s="6" t="n">
        <f aca="false">Sens!F4303*(1+Sens!G4304)</f>
        <v>107.511588557154</v>
      </c>
      <c r="H4303" s="6" t="n">
        <f aca="false">Sens!G4303*(1+Sens!H4304)</f>
        <v>124.832989325489</v>
      </c>
      <c r="I4303" s="6" t="n">
        <f aca="false">Sens!H4303*(1+Sens!I4304)</f>
        <v>141.56992589148</v>
      </c>
      <c r="J4303" s="6" t="n">
        <f aca="false">Sens!I4303*(1+Sens!J4304)</f>
        <v>156.723190479428</v>
      </c>
      <c r="K4303" s="6" t="n">
        <f aca="false">Sens!J4303*(1+Sens!K4304)</f>
        <v>169.261045717783</v>
      </c>
      <c r="L4303" s="12" t="s">
        <v>1023</v>
      </c>
    </row>
    <row r="4304" customFormat="false" ht="15" hidden="false" customHeight="false" outlineLevel="0" collapsed="false">
      <c r="A4304" s="1" t="s">
        <v>1024</v>
      </c>
      <c r="B4304" s="0" t="s">
        <v>168</v>
      </c>
      <c r="E4304" s="7" t="n">
        <f aca="false">Sens!E4303/Sens!D4303-1</f>
        <v>0.242223883039864</v>
      </c>
      <c r="F4304" s="7" t="n">
        <f aca="false">Sens!$E$4304+(glt_azo-Sens!$E$4304)*MIN(1,(Sens!F4261-base_fy)/n_conv)</f>
        <v>0.215186569199887</v>
      </c>
      <c r="G4304" s="7" t="n">
        <f aca="false">Sens!$E$4304+(glt_azo-Sens!$E$4304)*MIN(1,(Sens!G4261-base_fy)/n_conv)</f>
        <v>0.18814925535991</v>
      </c>
      <c r="H4304" s="7" t="n">
        <f aca="false">Sens!$E$4304+(glt_azo-Sens!$E$4304)*MIN(1,(Sens!H4261-base_fy)/n_conv)</f>
        <v>0.161111941519932</v>
      </c>
      <c r="I4304" s="7" t="n">
        <f aca="false">Sens!$E$4304+(glt_azo-Sens!$E$4304)*MIN(1,(Sens!I4261-base_fy)/n_conv)</f>
        <v>0.134074627679955</v>
      </c>
      <c r="J4304" s="7" t="n">
        <f aca="false">Sens!$E$4304+(glt_azo-Sens!$E$4304)*MIN(1,(Sens!J4261-base_fy)/n_conv)</f>
        <v>0.107037313839977</v>
      </c>
      <c r="K4304" s="7" t="n">
        <f aca="false">Sens!$E$4304+(glt_azo-Sens!$E$4304)*MIN(1,(Sens!K4261-base_fy)/n_conv)</f>
        <v>0.08</v>
      </c>
    </row>
    <row r="4305" customFormat="false" ht="15" hidden="false" customHeight="false" outlineLevel="0" collapsed="false">
      <c r="A4305" s="0" t="s">
        <v>1025</v>
      </c>
      <c r="B4305" s="0" t="s">
        <v>98</v>
      </c>
      <c r="D4305" s="6" t="n">
        <f aca="false">Sens!D4302+Sens!D4303</f>
        <v>72.61</v>
      </c>
      <c r="E4305" s="6" t="n">
        <f aca="false">Sens!E4302+Sens!E4303</f>
        <v>101.938</v>
      </c>
      <c r="F4305" s="6" t="n">
        <f aca="false">Sens!F4302+Sens!F4303</f>
        <v>149.59001837225</v>
      </c>
      <c r="G4305" s="6" t="n">
        <f aca="false">Sens!G4302+Sens!G4303</f>
        <v>210.963087346352</v>
      </c>
      <c r="H4305" s="6" t="n">
        <f aca="false">Sens!H4302+Sens!H4303</f>
        <v>279.834331822005</v>
      </c>
      <c r="I4305" s="6" t="n">
        <f aca="false">Sens!I4302+Sens!I4303</f>
        <v>336.153854774555</v>
      </c>
      <c r="J4305" s="6" t="n">
        <f aca="false">Sens!J4302+Sens!J4303</f>
        <v>380.389235558668</v>
      </c>
      <c r="K4305" s="6" t="n">
        <f aca="false">Sens!K4302+Sens!K4303</f>
        <v>412.836221438907</v>
      </c>
    </row>
    <row r="4306" customFormat="false" ht="17.15" hidden="false" customHeight="false" outlineLevel="0" collapsed="false">
      <c r="A4306" s="0" t="s">
        <v>1026</v>
      </c>
      <c r="B4306" s="1" t="s">
        <v>610</v>
      </c>
      <c r="C4306" s="30" t="n">
        <f aca="false">cop_s24</f>
        <v>1</v>
      </c>
      <c r="D4306" s="30" t="n">
        <f aca="false">cop_s25</f>
        <v>5</v>
      </c>
      <c r="E4306" s="30" t="n">
        <f aca="false">cop_s26</f>
        <v>30</v>
      </c>
      <c r="F4306" s="30" t="n">
        <f aca="false">Sens!E4306+cop_add_A</f>
        <v>60</v>
      </c>
      <c r="G4306" s="30" t="n">
        <f aca="false">Sens!F4306+cop_add_A</f>
        <v>90</v>
      </c>
      <c r="H4306" s="30" t="n">
        <f aca="false">Sens!G4306+cop_add_A</f>
        <v>120</v>
      </c>
      <c r="I4306" s="30" t="n">
        <f aca="false">Sens!H4306+cop_add_A*cop_tail</f>
        <v>135</v>
      </c>
      <c r="J4306" s="30" t="n">
        <f aca="false">Sens!I4306+cop_add_A*cop_tail</f>
        <v>150</v>
      </c>
      <c r="K4306" s="30" t="n">
        <f aca="false">Sens!J4306+cop_add_A*cop_tail</f>
        <v>165</v>
      </c>
      <c r="L4306" s="12" t="s">
        <v>1027</v>
      </c>
    </row>
    <row r="4307" customFormat="false" ht="17.15" hidden="false" customHeight="false" outlineLevel="0" collapsed="false">
      <c r="A4307" s="0" t="s">
        <v>1028</v>
      </c>
      <c r="B4307" s="0" t="s">
        <v>98</v>
      </c>
      <c r="D4307" s="6" t="n">
        <f aca="false">(Sens!C4306+Sens!D4306)/2*cop_px*12/1000</f>
        <v>0.9</v>
      </c>
      <c r="E4307" s="6" t="n">
        <f aca="false">(Sens!D4306+Sens!E4306)/2*cop_px*12/1000</f>
        <v>5.25</v>
      </c>
      <c r="F4307" s="6" t="n">
        <f aca="false">(Sens!E4306+Sens!F4306)/2*cop_px*12/1000</f>
        <v>13.5</v>
      </c>
      <c r="G4307" s="6" t="n">
        <f aca="false">(Sens!F4306+Sens!G4306)/2*cop_px*12/1000</f>
        <v>22.5</v>
      </c>
      <c r="H4307" s="6" t="n">
        <f aca="false">(Sens!G4306+Sens!H4306)/2*cop_px*12/1000</f>
        <v>31.5</v>
      </c>
      <c r="I4307" s="6" t="n">
        <f aca="false">(Sens!H4306+Sens!I4306)/2*cop_px*12/1000</f>
        <v>38.25</v>
      </c>
      <c r="J4307" s="6" t="n">
        <f aca="false">(Sens!I4306+Sens!J4306)/2*cop_px*12/1000</f>
        <v>42.75</v>
      </c>
      <c r="K4307" s="6" t="n">
        <f aca="false">(Sens!J4306+Sens!K4306)/2*cop_px*12/1000</f>
        <v>47.25</v>
      </c>
      <c r="L4307" s="1" t="s">
        <v>1029</v>
      </c>
    </row>
    <row r="4308" customFormat="false" ht="17.15" hidden="false" customHeight="false" outlineLevel="0" collapsed="false">
      <c r="A4308" s="0" t="s">
        <v>1030</v>
      </c>
      <c r="B4308" s="0" t="s">
        <v>98</v>
      </c>
      <c r="D4308" s="6" t="n">
        <f aca="false">Q!L7-Sens!D4307</f>
        <v>83.705</v>
      </c>
      <c r="E4308" s="6" t="n">
        <f aca="false">Q!M7-Sens!E4307</f>
        <v>95.049</v>
      </c>
      <c r="F4308" s="6" t="n">
        <f aca="false">Q!$I$7+(Sens!E4308*(1+Sens!F4309)+Sens!F4307)*(1-Q!$E$7/Q!M7)-Sens!F4307</f>
        <v>106.229653205718</v>
      </c>
      <c r="G4308" s="6" t="n">
        <f aca="false">Sens!F4308*(1+Sens!G4309)</f>
        <v>118.306092647576</v>
      </c>
      <c r="H4308" s="6" t="n">
        <f aca="false">Sens!G4308*(1+Sens!H4309)</f>
        <v>130.463437602768</v>
      </c>
      <c r="I4308" s="6" t="n">
        <f aca="false">Sens!H4308*(1+Sens!I4309)</f>
        <v>142.445354741933</v>
      </c>
      <c r="J4308" s="6" t="n">
        <f aca="false">Sens!I4308*(1+Sens!J4309)</f>
        <v>153.972117481571</v>
      </c>
      <c r="K4308" s="6" t="n">
        <f aca="false">Sens!J4308*(1+Sens!K4309)</f>
        <v>164.75016570528</v>
      </c>
      <c r="L4308" s="12" t="s">
        <v>1031</v>
      </c>
    </row>
    <row r="4309" customFormat="false" ht="15" hidden="false" customHeight="false" outlineLevel="0" collapsed="false">
      <c r="A4309" s="1" t="s">
        <v>1024</v>
      </c>
      <c r="B4309" s="0" t="s">
        <v>168</v>
      </c>
      <c r="E4309" s="7" t="n">
        <f aca="false">Sens!E4308/Sens!D4308-1</f>
        <v>0.135523564900544</v>
      </c>
      <c r="F4309" s="7" t="n">
        <f aca="false">Sens!$E$4309+(glt_m365b-Sens!$E$4309)*MIN(1,(Sens!F4261-base_fy)/n_conv)</f>
        <v>0.124602970750453</v>
      </c>
      <c r="G4309" s="7" t="n">
        <f aca="false">Sens!$E$4309+(glt_m365b-Sens!$E$4309)*MIN(1,(Sens!G4261-base_fy)/n_conv)</f>
        <v>0.113682376600363</v>
      </c>
      <c r="H4309" s="7" t="n">
        <f aca="false">Sens!$E$4309+(glt_m365b-Sens!$E$4309)*MIN(1,(Sens!H4261-base_fy)/n_conv)</f>
        <v>0.102761782450272</v>
      </c>
      <c r="I4309" s="7" t="n">
        <f aca="false">Sens!$E$4309+(glt_m365b-Sens!$E$4309)*MIN(1,(Sens!I4261-base_fy)/n_conv)</f>
        <v>0.0918411883001813</v>
      </c>
      <c r="J4309" s="7" t="n">
        <f aca="false">Sens!$E$4309+(glt_m365b-Sens!$E$4309)*MIN(1,(Sens!J4261-base_fy)/n_conv)</f>
        <v>0.0809205941500906</v>
      </c>
      <c r="K4309" s="7" t="n">
        <f aca="false">Sens!$E$4309+(glt_m365b-Sens!$E$4309)*MIN(1,(Sens!K4261-base_fy)/n_conv)</f>
        <v>0.07</v>
      </c>
    </row>
    <row r="4310" customFormat="false" ht="15" hidden="false" customHeight="false" outlineLevel="0" collapsed="false">
      <c r="A4310" s="0" t="s">
        <v>1032</v>
      </c>
      <c r="B4310" s="0" t="s">
        <v>98</v>
      </c>
      <c r="D4310" s="6" t="n">
        <f aca="false">Sens!D4308+Sens!D4307</f>
        <v>84.605</v>
      </c>
      <c r="E4310" s="6" t="n">
        <f aca="false">Sens!E4308+Sens!E4307</f>
        <v>100.299</v>
      </c>
      <c r="F4310" s="6" t="n">
        <f aca="false">Sens!F4308+Sens!F4307</f>
        <v>119.729653205718</v>
      </c>
      <c r="G4310" s="6" t="n">
        <f aca="false">Sens!G4308+Sens!G4307</f>
        <v>140.806092647576</v>
      </c>
      <c r="H4310" s="6" t="n">
        <f aca="false">Sens!H4308+Sens!H4307</f>
        <v>161.963437602768</v>
      </c>
      <c r="I4310" s="6" t="n">
        <f aca="false">Sens!I4308+Sens!I4307</f>
        <v>180.695354741933</v>
      </c>
      <c r="J4310" s="6" t="n">
        <f aca="false">Sens!J4308+Sens!J4307</f>
        <v>196.722117481571</v>
      </c>
      <c r="K4310" s="6" t="n">
        <f aca="false">Sens!K4308+Sens!K4307</f>
        <v>212.00016570528</v>
      </c>
    </row>
    <row r="4311" customFormat="false" ht="17.15" hidden="false" customHeight="false" outlineLevel="0" collapsed="false">
      <c r="A4311" s="0" t="s">
        <v>1033</v>
      </c>
      <c r="B4311" s="0" t="s">
        <v>98</v>
      </c>
      <c r="D4311" s="6" t="n">
        <f aca="false">Q!L8</f>
        <v>35.391</v>
      </c>
      <c r="E4311" s="6" t="n">
        <f aca="false">Q!M8</f>
        <v>37.285</v>
      </c>
      <c r="F4311" s="6" t="n">
        <f aca="false">Q!$I$8+(Q!M8-Q!$E$8)*(1+Sens!F4312)</f>
        <v>38.3851437782675</v>
      </c>
      <c r="G4311" s="6" t="n">
        <f aca="false">Sens!F4311*(1+Sens!G4312)</f>
        <v>40.0105353288615</v>
      </c>
      <c r="H4311" s="6" t="n">
        <f aca="false">Sens!G4311*(1+Sens!H4312)</f>
        <v>41.4812512033683</v>
      </c>
      <c r="I4311" s="6" t="n">
        <f aca="false">Sens!H4311*(1+Sens!I4312)</f>
        <v>42.7743107216329</v>
      </c>
      <c r="J4311" s="6" t="n">
        <f aca="false">Sens!I4311*(1+Sens!J4312)</f>
        <v>43.8687373064601</v>
      </c>
      <c r="K4311" s="6" t="n">
        <f aca="false">Sens!J4311*(1+Sens!K4312)</f>
        <v>44.7461120525893</v>
      </c>
      <c r="L4311" s="12" t="s">
        <v>1034</v>
      </c>
    </row>
    <row r="4312" customFormat="false" ht="15" hidden="false" customHeight="false" outlineLevel="0" collapsed="false">
      <c r="A4312" s="1" t="s">
        <v>1024</v>
      </c>
      <c r="B4312" s="0" t="s">
        <v>168</v>
      </c>
      <c r="E4312" s="7" t="n">
        <f aca="false">Sens!E4311/Sens!D4311-1</f>
        <v>0.0535164307309768</v>
      </c>
      <c r="F4312" s="7" t="n">
        <f aca="false">Sens!$E$4312+(glt_lic-Sens!$E$4312)*MIN(1,(Sens!F4261-base_fy)/n_conv)</f>
        <v>0.0479303589424807</v>
      </c>
      <c r="G4312" s="7" t="n">
        <f aca="false">Sens!$E$4312+(glt_lic-Sens!$E$4312)*MIN(1,(Sens!G4261-base_fy)/n_conv)</f>
        <v>0.0423442871539845</v>
      </c>
      <c r="H4312" s="7" t="n">
        <f aca="false">Sens!$E$4312+(glt_lic-Sens!$E$4312)*MIN(1,(Sens!H4261-base_fy)/n_conv)</f>
        <v>0.0367582153654884</v>
      </c>
      <c r="I4312" s="7" t="n">
        <f aca="false">Sens!$E$4312+(glt_lic-Sens!$E$4312)*MIN(1,(Sens!I4261-base_fy)/n_conv)</f>
        <v>0.0311721435769923</v>
      </c>
      <c r="J4312" s="7" t="n">
        <f aca="false">Sens!$E$4312+(glt_lic-Sens!$E$4312)*MIN(1,(Sens!J4261-base_fy)/n_conv)</f>
        <v>0.0255860717884961</v>
      </c>
      <c r="K4312" s="7" t="n">
        <f aca="false">Sens!$E$4312+(glt_lic-Sens!$E$4312)*MIN(1,(Sens!K4261-base_fy)/n_conv)</f>
        <v>0.02</v>
      </c>
    </row>
    <row r="4313" customFormat="false" ht="17.15" hidden="false" customHeight="false" outlineLevel="0" collapsed="false">
      <c r="A4313" s="0" t="s">
        <v>1035</v>
      </c>
      <c r="B4313" s="0" t="s">
        <v>98</v>
      </c>
      <c r="D4313" s="6" t="n">
        <f aca="false">Q!L9</f>
        <v>18.417</v>
      </c>
      <c r="E4313" s="6" t="n">
        <f aca="false">Q!M9</f>
        <v>20.345</v>
      </c>
      <c r="F4313" s="6" t="n">
        <f aca="false">Q!$I$9+(Q!M9-Q!$E$9)*(1+Sens!F4314)</f>
        <v>22.3161797133988</v>
      </c>
      <c r="G4313" s="6" t="n">
        <f aca="false">Sens!F4313*(1+Sens!G4314)</f>
        <v>24.3943499673233</v>
      </c>
      <c r="H4313" s="6" t="n">
        <f aca="false">Sens!G4313*(1+Sens!H4314)</f>
        <v>26.5250243109019</v>
      </c>
      <c r="I4313" s="6" t="n">
        <f aca="false">Sens!H4313*(1+Sens!I4314)</f>
        <v>28.6884573538181</v>
      </c>
      <c r="J4313" s="6" t="n">
        <f aca="false">Sens!I4313*(1+Sens!J4314)</f>
        <v>30.8624968052127</v>
      </c>
      <c r="K4313" s="6" t="n">
        <f aca="false">Sens!J4313*(1+Sens!K4314)</f>
        <v>33.0228715815776</v>
      </c>
      <c r="L4313" s="12" t="s">
        <v>1034</v>
      </c>
    </row>
    <row r="4314" customFormat="false" ht="15" hidden="false" customHeight="false" outlineLevel="0" collapsed="false">
      <c r="A4314" s="1" t="s">
        <v>1024</v>
      </c>
      <c r="B4314" s="0" t="s">
        <v>168</v>
      </c>
      <c r="E4314" s="7" t="n">
        <f aca="false">Sens!E4313/Sens!D4313-1</f>
        <v>0.104685888038225</v>
      </c>
      <c r="F4314" s="7" t="n">
        <f aca="false">Sens!$E$4314+(glt_ind-Sens!$E$4314)*MIN(1,(Sens!F4261-base_fy)/n_conv)</f>
        <v>0.0989049066985211</v>
      </c>
      <c r="G4314" s="7" t="n">
        <f aca="false">Sens!$E$4314+(glt_ind-Sens!$E$4314)*MIN(1,(Sens!G4261-base_fy)/n_conv)</f>
        <v>0.0931239253588169</v>
      </c>
      <c r="H4314" s="7" t="n">
        <f aca="false">Sens!$E$4314+(glt_ind-Sens!$E$4314)*MIN(1,(Sens!H4261-base_fy)/n_conv)</f>
        <v>0.0873429440191127</v>
      </c>
      <c r="I4314" s="7" t="n">
        <f aca="false">Sens!$E$4314+(glt_ind-Sens!$E$4314)*MIN(1,(Sens!I4261-base_fy)/n_conv)</f>
        <v>0.0815619626794085</v>
      </c>
      <c r="J4314" s="7" t="n">
        <f aca="false">Sens!$E$4314+(glt_ind-Sens!$E$4314)*MIN(1,(Sens!J4261-base_fy)/n_conv)</f>
        <v>0.0757809813397042</v>
      </c>
      <c r="K4314" s="7" t="n">
        <f aca="false">Sens!$E$4314+(glt_ind-Sens!$E$4314)*MIN(1,(Sens!K4261-base_fy)/n_conv)</f>
        <v>0.07</v>
      </c>
    </row>
    <row r="4315" customFormat="false" ht="17.15" hidden="false" customHeight="false" outlineLevel="0" collapsed="false">
      <c r="A4315" s="0" t="s">
        <v>1036</v>
      </c>
      <c r="B4315" s="0" t="s">
        <v>98</v>
      </c>
      <c r="D4315" s="6" t="n">
        <f aca="false">Q!L10</f>
        <v>7.76</v>
      </c>
      <c r="E4315" s="6" t="n">
        <f aca="false">Q!M10</f>
        <v>8.26</v>
      </c>
      <c r="F4315" s="6" t="n">
        <f aca="false">Q!$I$10+(Q!M10-Q!$E$10)*(1+Sens!F4316)</f>
        <v>8.75372082474227</v>
      </c>
      <c r="G4315" s="6" t="n">
        <f aca="false">Sens!F4315*(1+Sens!G4316)</f>
        <v>9.33399324642364</v>
      </c>
      <c r="H4315" s="6" t="n">
        <f aca="false">Sens!G4315*(1+Sens!H4316)</f>
        <v>9.96139155535851</v>
      </c>
      <c r="I4315" s="6" t="n">
        <f aca="false">Sens!H4315*(1+Sens!I4316)</f>
        <v>10.6402039077391</v>
      </c>
      <c r="J4315" s="6" t="n">
        <f aca="false">Sens!I4315*(1+Sens!J4316)</f>
        <v>11.3751458271397</v>
      </c>
      <c r="K4315" s="6" t="n">
        <f aca="false">Sens!J4315*(1+Sens!K4316)</f>
        <v>12.1714060350394</v>
      </c>
      <c r="L4315" s="12" t="s">
        <v>1034</v>
      </c>
    </row>
    <row r="4316" customFormat="false" ht="15" hidden="false" customHeight="false" outlineLevel="0" collapsed="false">
      <c r="A4316" s="1" t="s">
        <v>1024</v>
      </c>
      <c r="B4316" s="0" t="s">
        <v>168</v>
      </c>
      <c r="E4316" s="7" t="n">
        <f aca="false">Sens!E4315/Sens!D4315-1</f>
        <v>0.0644329896907216</v>
      </c>
      <c r="F4316" s="7" t="n">
        <f aca="false">Sens!$E$4316+(glt_fro-Sens!$E$4316)*MIN(1,(Sens!F4261-base_fy)/n_conv)</f>
        <v>0.065360824742268</v>
      </c>
      <c r="G4316" s="7" t="n">
        <f aca="false">Sens!$E$4316+(glt_fro-Sens!$E$4316)*MIN(1,(Sens!G4261-base_fy)/n_conv)</f>
        <v>0.0662886597938144</v>
      </c>
      <c r="H4316" s="7" t="n">
        <f aca="false">Sens!$E$4316+(glt_fro-Sens!$E$4316)*MIN(1,(Sens!H4261-base_fy)/n_conv)</f>
        <v>0.0672164948453608</v>
      </c>
      <c r="I4316" s="7" t="n">
        <f aca="false">Sens!$E$4316+(glt_fro-Sens!$E$4316)*MIN(1,(Sens!I4261-base_fy)/n_conv)</f>
        <v>0.0681443298969072</v>
      </c>
      <c r="J4316" s="7" t="n">
        <f aca="false">Sens!$E$4316+(glt_fro-Sens!$E$4316)*MIN(1,(Sens!J4261-base_fy)/n_conv)</f>
        <v>0.0690721649484536</v>
      </c>
      <c r="K4316" s="7" t="n">
        <f aca="false">Sens!$E$4316+(glt_fro-Sens!$E$4316)*MIN(1,(Sens!K4261-base_fy)/n_conv)</f>
        <v>0.07</v>
      </c>
    </row>
    <row r="4317" customFormat="false" ht="15" hidden="false" customHeight="false" outlineLevel="0" collapsed="false">
      <c r="A4317" s="0" t="s">
        <v>852</v>
      </c>
      <c r="B4317" s="0" t="s">
        <v>98</v>
      </c>
      <c r="D4317" s="6" t="n">
        <f aca="false">Sens!D4305+Sens!D4310+Sens!D4311+Sens!D4313+Sens!D4315</f>
        <v>218.783</v>
      </c>
      <c r="E4317" s="6" t="n">
        <f aca="false">Sens!E4305+Sens!E4310+Sens!E4311+Sens!E4313+Sens!E4315</f>
        <v>268.127</v>
      </c>
      <c r="F4317" s="6" t="n">
        <f aca="false">Sens!F4305+Sens!F4310+Sens!F4311+Sens!F4313+Sens!F4315</f>
        <v>338.774715894377</v>
      </c>
      <c r="G4317" s="6" t="n">
        <f aca="false">Sens!G4305+Sens!G4310+Sens!G4311+Sens!G4313+Sens!G4315</f>
        <v>425.508058536537</v>
      </c>
      <c r="H4317" s="6" t="n">
        <f aca="false">Sens!H4305+Sens!H4310+Sens!H4311+Sens!H4313+Sens!H4315</f>
        <v>519.765436494402</v>
      </c>
      <c r="I4317" s="6" t="n">
        <f aca="false">Sens!I4305+Sens!I4310+Sens!I4311+Sens!I4313+Sens!I4315</f>
        <v>598.952181499678</v>
      </c>
      <c r="J4317" s="6" t="n">
        <f aca="false">Sens!J4305+Sens!J4310+Sens!J4311+Sens!J4313+Sens!J4315</f>
        <v>663.217732979051</v>
      </c>
      <c r="K4317" s="6" t="n">
        <f aca="false">Sens!K4305+Sens!K4310+Sens!K4311+Sens!K4313+Sens!K4315</f>
        <v>714.776776813394</v>
      </c>
    </row>
    <row r="4318" customFormat="false" ht="17.15" hidden="false" customHeight="false" outlineLevel="0" collapsed="false">
      <c r="A4318" s="0" t="s">
        <v>1037</v>
      </c>
      <c r="B4318" s="0" t="s">
        <v>98</v>
      </c>
      <c r="D4318" s="6" t="n">
        <f aca="false">Q!L13</f>
        <v>22.171</v>
      </c>
      <c r="E4318" s="6" t="n">
        <f aca="false">Q!M13</f>
        <v>24.835</v>
      </c>
      <c r="F4318" s="6" t="n">
        <f aca="false">Q!$I$13+(Q!M13-Q!$E$13)*(1+Sens!F4319)</f>
        <v>27.5591895660247</v>
      </c>
      <c r="G4318" s="6" t="n">
        <f aca="false">Sens!F4318*(1+Sens!G4319)</f>
        <v>30.4098563144583</v>
      </c>
      <c r="H4318" s="6" t="n">
        <f aca="false">Sens!G4318*(1+Sens!H4319)</f>
        <v>33.3011792571777</v>
      </c>
      <c r="I4318" s="6" t="n">
        <f aca="false">Sens!H4318*(1+Sens!I4319)</f>
        <v>36.189023797112</v>
      </c>
      <c r="J4318" s="6" t="n">
        <f aca="false">Sens!I4318*(1+Sens!J4319)</f>
        <v>39.0247773769199</v>
      </c>
      <c r="K4318" s="6" t="n">
        <f aca="false">Sens!J4318*(1+Sens!K4319)</f>
        <v>41.7565117933043</v>
      </c>
      <c r="L4318" s="12" t="s">
        <v>1034</v>
      </c>
    </row>
    <row r="4319" customFormat="false" ht="15" hidden="false" customHeight="false" outlineLevel="0" collapsed="false">
      <c r="A4319" s="1" t="s">
        <v>1024</v>
      </c>
      <c r="B4319" s="0" t="s">
        <v>168</v>
      </c>
      <c r="E4319" s="7" t="n">
        <f aca="false">Sens!E4318/Sens!D4318-1</f>
        <v>0.120156961796942</v>
      </c>
      <c r="F4319" s="7" t="n">
        <f aca="false">Sens!$E$4319+(glt_srch-Sens!$E$4319)*MIN(1,(Sens!F4261-base_fy)/n_conv)</f>
        <v>0.111797468164118</v>
      </c>
      <c r="G4319" s="7" t="n">
        <f aca="false">Sens!$E$4319+(glt_srch-Sens!$E$4319)*MIN(1,(Sens!G4261-base_fy)/n_conv)</f>
        <v>0.103437974531295</v>
      </c>
      <c r="H4319" s="7" t="n">
        <f aca="false">Sens!$E$4319+(glt_srch-Sens!$E$4319)*MIN(1,(Sens!H4261-base_fy)/n_conv)</f>
        <v>0.095078480898471</v>
      </c>
      <c r="I4319" s="7" t="n">
        <f aca="false">Sens!$E$4319+(glt_srch-Sens!$E$4319)*MIN(1,(Sens!I4261-base_fy)/n_conv)</f>
        <v>0.0867189872656474</v>
      </c>
      <c r="J4319" s="7" t="n">
        <f aca="false">Sens!$E$4319+(glt_srch-Sens!$E$4319)*MIN(1,(Sens!J4261-base_fy)/n_conv)</f>
        <v>0.0783594936328237</v>
      </c>
      <c r="K4319" s="7" t="n">
        <f aca="false">Sens!$E$4319+(glt_srch-Sens!$E$4319)*MIN(1,(Sens!K4261-base_fy)/n_conv)</f>
        <v>0.07</v>
      </c>
    </row>
    <row r="4320" customFormat="false" ht="17.15" hidden="false" customHeight="false" outlineLevel="0" collapsed="false">
      <c r="A4320" s="0" t="s">
        <v>1038</v>
      </c>
      <c r="B4320" s="0" t="s">
        <v>98</v>
      </c>
      <c r="D4320" s="6" t="n">
        <f aca="false">Q!L14</f>
        <v>23.455</v>
      </c>
      <c r="E4320" s="6" t="n">
        <f aca="false">Q!M14</f>
        <v>21.79</v>
      </c>
      <c r="F4320" s="6" t="n">
        <f aca="false">Q!$I$14+(Q!M14-Q!$E$14)*(1+Sens!F4321)</f>
        <v>20.7520981041711</v>
      </c>
      <c r="G4320" s="6" t="n">
        <f aca="false">Sens!F4320*(1+Sens!G4321)</f>
        <v>19.9083593495882</v>
      </c>
      <c r="H4320" s="6" t="n">
        <f aca="false">Sens!G4320*(1+Sens!H4321)</f>
        <v>19.4008256265831</v>
      </c>
      <c r="I4320" s="6" t="n">
        <f aca="false">Sens!H4320*(1+Sens!I4321)</f>
        <v>19.200434522122</v>
      </c>
      <c r="J4320" s="6" t="n">
        <f aca="false">Sens!I4320*(1+Sens!J4321)</f>
        <v>19.2932782348507</v>
      </c>
      <c r="K4320" s="6" t="n">
        <f aca="false">Sens!J4320*(1+Sens!K4321)</f>
        <v>19.6791437995477</v>
      </c>
      <c r="L4320" s="12" t="s">
        <v>1034</v>
      </c>
    </row>
    <row r="4321" customFormat="false" ht="15" hidden="false" customHeight="false" outlineLevel="0" collapsed="false">
      <c r="A4321" s="1" t="s">
        <v>1024</v>
      </c>
      <c r="B4321" s="0" t="s">
        <v>168</v>
      </c>
      <c r="E4321" s="7" t="n">
        <f aca="false">Sens!E4320/Sens!D4320-1</f>
        <v>-0.0709869963760392</v>
      </c>
      <c r="F4321" s="7" t="n">
        <f aca="false">Sens!$E$4321+(glt_xbox-Sens!$E$4321)*MIN(1,(Sens!F4261-base_fy)/n_conv)</f>
        <v>-0.0558224969800327</v>
      </c>
      <c r="G4321" s="7" t="n">
        <f aca="false">Sens!$E$4321+(glt_xbox-Sens!$E$4321)*MIN(1,(Sens!G4261-base_fy)/n_conv)</f>
        <v>-0.0406579975840262</v>
      </c>
      <c r="H4321" s="7" t="n">
        <f aca="false">Sens!$E$4321+(glt_xbox-Sens!$E$4321)*MIN(1,(Sens!H4261-base_fy)/n_conv)</f>
        <v>-0.0254934981880196</v>
      </c>
      <c r="I4321" s="7" t="n">
        <f aca="false">Sens!$E$4321+(glt_xbox-Sens!$E$4321)*MIN(1,(Sens!I4261-base_fy)/n_conv)</f>
        <v>-0.0103289987920131</v>
      </c>
      <c r="J4321" s="7" t="n">
        <f aca="false">Sens!$E$4321+(glt_xbox-Sens!$E$4321)*MIN(1,(Sens!J4261-base_fy)/n_conv)</f>
        <v>0.00483550060399347</v>
      </c>
      <c r="K4321" s="7" t="n">
        <f aca="false">Sens!$E$4321+(glt_xbox-Sens!$E$4321)*MIN(1,(Sens!K4261-base_fy)/n_conv)</f>
        <v>0.02</v>
      </c>
    </row>
    <row r="4322" customFormat="false" ht="17.15" hidden="false" customHeight="false" outlineLevel="0" collapsed="false">
      <c r="A4322" s="0" t="s">
        <v>1039</v>
      </c>
      <c r="B4322" s="0" t="s">
        <v>98</v>
      </c>
      <c r="D4322" s="6" t="n">
        <f aca="false">Q!L15</f>
        <v>17.315</v>
      </c>
      <c r="E4322" s="6" t="n">
        <f aca="false">Q!M15</f>
        <v>17.087</v>
      </c>
      <c r="F4322" s="6" t="n">
        <f aca="false">Q!$I$15+(Q!M15-Q!$E$15)*(1+Sens!F4323)</f>
        <v>15.9912273250553</v>
      </c>
      <c r="G4322" s="6" t="n">
        <f aca="false">Sens!F4322*(1+Sens!G4323)</f>
        <v>15.9574562664827</v>
      </c>
      <c r="H4322" s="6" t="n">
        <f aca="false">Sens!G4322*(1+Sens!H4323)</f>
        <v>16.0119687434196</v>
      </c>
      <c r="I4322" s="6" t="n">
        <f aca="false">Sens!H4322*(1+Sens!I4323)</f>
        <v>16.1551810001948</v>
      </c>
      <c r="J4322" s="6" t="n">
        <f aca="false">Sens!I4322*(1+Sens!J4323)</f>
        <v>16.3889793892005</v>
      </c>
      <c r="K4322" s="6" t="n">
        <f aca="false">Sens!J4322*(1+Sens!K4323)</f>
        <v>16.7167589769845</v>
      </c>
      <c r="L4322" s="12" t="s">
        <v>1034</v>
      </c>
    </row>
    <row r="4323" customFormat="false" ht="15" hidden="false" customHeight="false" outlineLevel="0" collapsed="false">
      <c r="A4323" s="1" t="s">
        <v>1024</v>
      </c>
      <c r="B4323" s="0" t="s">
        <v>168</v>
      </c>
      <c r="E4323" s="7" t="n">
        <f aca="false">Sens!E4322/Sens!D4322-1</f>
        <v>-0.0131677736066995</v>
      </c>
      <c r="F4323" s="7" t="n">
        <f aca="false">Sens!$E$4323+(glt_win-Sens!$E$4323)*MIN(1,(Sens!F4261-base_fy)/n_conv)</f>
        <v>-0.00763981133891627</v>
      </c>
      <c r="G4323" s="7" t="n">
        <f aca="false">Sens!$E$4323+(glt_win-Sens!$E$4323)*MIN(1,(Sens!G4261-base_fy)/n_conv)</f>
        <v>-0.00211184907113301</v>
      </c>
      <c r="H4323" s="7" t="n">
        <f aca="false">Sens!$E$4323+(glt_win-Sens!$E$4323)*MIN(1,(Sens!H4261-base_fy)/n_conv)</f>
        <v>0.00341611319665024</v>
      </c>
      <c r="I4323" s="7" t="n">
        <f aca="false">Sens!$E$4323+(glt_win-Sens!$E$4323)*MIN(1,(Sens!I4261-base_fy)/n_conv)</f>
        <v>0.00894407546443349</v>
      </c>
      <c r="J4323" s="7" t="n">
        <f aca="false">Sens!$E$4323+(glt_win-Sens!$E$4323)*MIN(1,(Sens!J4261-base_fy)/n_conv)</f>
        <v>0.0144720377322168</v>
      </c>
      <c r="K4323" s="7" t="n">
        <f aca="false">Sens!$E$4323+(glt_win-Sens!$E$4323)*MIN(1,(Sens!K4261-base_fy)/n_conv)</f>
        <v>0.02</v>
      </c>
    </row>
    <row r="4324" customFormat="false" ht="15" hidden="false" customHeight="false" outlineLevel="0" collapsed="false">
      <c r="A4324" s="0" t="s">
        <v>866</v>
      </c>
      <c r="B4324" s="0" t="s">
        <v>98</v>
      </c>
      <c r="D4324" s="6" t="n">
        <f aca="false">Sens!D4318+Sens!D4320+Sens!D4322</f>
        <v>62.941</v>
      </c>
      <c r="E4324" s="6" t="n">
        <f aca="false">Sens!E4318+Sens!E4320+Sens!E4322</f>
        <v>63.712</v>
      </c>
      <c r="F4324" s="6" t="n">
        <f aca="false">Sens!F4318+Sens!F4320+Sens!F4322</f>
        <v>64.3025149952511</v>
      </c>
      <c r="G4324" s="6" t="n">
        <f aca="false">Sens!G4318+Sens!G4320+Sens!G4322</f>
        <v>66.2756719305292</v>
      </c>
      <c r="H4324" s="6" t="n">
        <f aca="false">Sens!H4318+Sens!H4320+Sens!H4322</f>
        <v>68.7139736271804</v>
      </c>
      <c r="I4324" s="6" t="n">
        <f aca="false">Sens!I4318+Sens!I4320+Sens!I4322</f>
        <v>71.5446393194289</v>
      </c>
      <c r="J4324" s="6" t="n">
        <f aca="false">Sens!J4318+Sens!J4320+Sens!J4322</f>
        <v>74.707035000971</v>
      </c>
      <c r="K4324" s="6" t="n">
        <f aca="false">Sens!K4318+Sens!K4320+Sens!K4322</f>
        <v>78.1524145698365</v>
      </c>
    </row>
    <row r="4325" customFormat="false" ht="15" hidden="false" customHeight="false" outlineLevel="0" collapsed="false">
      <c r="A4325" s="1" t="s">
        <v>1040</v>
      </c>
      <c r="B4325" s="0" t="s">
        <v>98</v>
      </c>
      <c r="D4325" s="6" t="n">
        <f aca="false">Sens!D4317+Sens!D4324</f>
        <v>281.724</v>
      </c>
      <c r="E4325" s="6" t="n">
        <f aca="false">Sens!E4317+Sens!E4324</f>
        <v>331.839</v>
      </c>
      <c r="F4325" s="6" t="n">
        <f aca="false">Sens!F4317+Sens!F4324</f>
        <v>403.077230889628</v>
      </c>
      <c r="G4325" s="6" t="n">
        <f aca="false">Sens!G4317+Sens!G4324</f>
        <v>491.783730467066</v>
      </c>
      <c r="H4325" s="6" t="n">
        <f aca="false">Sens!H4317+Sens!H4324</f>
        <v>588.479410121582</v>
      </c>
      <c r="I4325" s="6" t="n">
        <f aca="false">Sens!I4317+Sens!I4324</f>
        <v>670.496820819107</v>
      </c>
      <c r="J4325" s="6" t="n">
        <f aca="false">Sens!J4317+Sens!J4324</f>
        <v>737.924767980022</v>
      </c>
      <c r="K4325" s="6" t="n">
        <f aca="false">Sens!K4317+Sens!K4324</f>
        <v>792.92919138323</v>
      </c>
    </row>
    <row r="4326" customFormat="false" ht="15" hidden="false" customHeight="false" outlineLevel="0" collapsed="false">
      <c r="A4326" s="26" t="s">
        <v>1041</v>
      </c>
      <c r="B4326" s="31" t="s">
        <v>98</v>
      </c>
      <c r="C4326" s="31"/>
      <c r="D4326" s="27" t="n">
        <f aca="false">(Sens!D4305+Sens!D4310+Sens!D4311+Sens!D4313+Sens!D4315-Sens!D4317)+(Sens!D4318+Sens!D4320+Sens!D4322-Sens!D4324)+(Sens!D4317-Q!L5)+(Sens!D4324-Q!L12)+(Sens!D4305-Q!L6)+(Sens!D4310-Q!L7)</f>
        <v>0</v>
      </c>
      <c r="E4326" s="27" t="n">
        <f aca="false">(Sens!E4305+Sens!E4310+Sens!E4311+Sens!E4313+Sens!E4315-Sens!E4317)+(Sens!E4318+Sens!E4320+Sens!E4322-Sens!E4324)+(Sens!E4317-Q!M5)+(Sens!E4324-Q!M12)+(Sens!E4305-Q!M6)+(Sens!E4310-Q!M7)</f>
        <v>0</v>
      </c>
      <c r="F4326" s="27" t="n">
        <f aca="false">(Sens!F4305+Sens!F4310+Sens!F4311+Sens!F4313+Sens!F4315-Sens!F4317)+(Sens!F4318+Sens!F4320+Sens!F4322-Sens!F4324)</f>
        <v>0</v>
      </c>
      <c r="G4326" s="27" t="n">
        <f aca="false">(Sens!G4305+Sens!G4310+Sens!G4311+Sens!G4313+Sens!G4315-Sens!G4317)+(Sens!G4318+Sens!G4320+Sens!G4322-Sens!G4324)</f>
        <v>0</v>
      </c>
      <c r="H4326" s="27" t="n">
        <f aca="false">(Sens!H4305+Sens!H4310+Sens!H4311+Sens!H4313+Sens!H4315-Sens!H4317)+(Sens!H4318+Sens!H4320+Sens!H4322-Sens!H4324)</f>
        <v>0</v>
      </c>
      <c r="I4326" s="27" t="n">
        <f aca="false">(Sens!I4305+Sens!I4310+Sens!I4311+Sens!I4313+Sens!I4315-Sens!I4317)+(Sens!I4318+Sens!I4320+Sens!I4322-Sens!I4324)</f>
        <v>0</v>
      </c>
      <c r="J4326" s="27" t="n">
        <f aca="false">(Sens!J4305+Sens!J4310+Sens!J4311+Sens!J4313+Sens!J4315-Sens!J4317)+(Sens!J4318+Sens!J4320+Sens!J4322-Sens!J4324)</f>
        <v>0</v>
      </c>
      <c r="K4326" s="27" t="n">
        <f aca="false">(Sens!K4305+Sens!K4310+Sens!K4311+Sens!K4313+Sens!K4315-Sens!K4317)+(Sens!K4318+Sens!K4320+Sens!K4322-Sens!K4324)</f>
        <v>0</v>
      </c>
    </row>
    <row r="4327" customFormat="false" ht="17.15" hidden="false" customHeight="false" outlineLevel="0" collapsed="false">
      <c r="A4327" s="3" t="s">
        <v>1587</v>
      </c>
    </row>
    <row r="4328" customFormat="false" ht="15" hidden="false" customHeight="false" outlineLevel="0" collapsed="false">
      <c r="A4328" s="4" t="s">
        <v>43</v>
      </c>
      <c r="B4328" s="4" t="s">
        <v>65</v>
      </c>
      <c r="C4328" s="23" t="s">
        <v>938</v>
      </c>
      <c r="D4328" s="23" t="s">
        <v>939</v>
      </c>
      <c r="E4328" s="23" t="s">
        <v>940</v>
      </c>
      <c r="F4328" s="23" t="s">
        <v>941</v>
      </c>
      <c r="G4328" s="23" t="s">
        <v>942</v>
      </c>
      <c r="H4328" s="23" t="s">
        <v>943</v>
      </c>
      <c r="I4328" s="23" t="s">
        <v>944</v>
      </c>
      <c r="J4328" s="23" t="s">
        <v>945</v>
      </c>
      <c r="K4328" s="23" t="s">
        <v>946</v>
      </c>
      <c r="L4328" s="4" t="s">
        <v>47</v>
      </c>
    </row>
    <row r="4329" customFormat="false" ht="15" hidden="false" customHeight="false" outlineLevel="0" collapsed="false">
      <c r="A4329" s="0" t="s">
        <v>1025</v>
      </c>
      <c r="B4329" s="0" t="s">
        <v>98</v>
      </c>
      <c r="D4329" s="6" t="n">
        <f aca="false">Sens!D4305</f>
        <v>72.61</v>
      </c>
      <c r="E4329" s="6" t="n">
        <f aca="false">Sens!E4305</f>
        <v>101.938</v>
      </c>
      <c r="F4329" s="6" t="n">
        <f aca="false">Sens!F4305</f>
        <v>149.59001837225</v>
      </c>
      <c r="G4329" s="6" t="n">
        <f aca="false">Sens!G4305</f>
        <v>210.963087346352</v>
      </c>
      <c r="H4329" s="6" t="n">
        <f aca="false">Sens!H4305</f>
        <v>279.834331822005</v>
      </c>
      <c r="I4329" s="6" t="n">
        <f aca="false">Sens!I4305</f>
        <v>336.153854774555</v>
      </c>
      <c r="J4329" s="6" t="n">
        <f aca="false">Sens!J4305</f>
        <v>380.389235558668</v>
      </c>
      <c r="K4329" s="6" t="n">
        <f aca="false">Sens!K4305</f>
        <v>412.836221438907</v>
      </c>
    </row>
    <row r="4330" customFormat="false" ht="17.15" hidden="false" customHeight="false" outlineLevel="0" collapsed="false">
      <c r="A4330" s="0" t="s">
        <v>1021</v>
      </c>
      <c r="B4330" s="0" t="s">
        <v>98</v>
      </c>
      <c r="D4330" s="6" t="n">
        <f aca="false">Sens!D4302</f>
        <v>12.9359794422418</v>
      </c>
      <c r="E4330" s="6" t="n">
        <f aca="false">Sens!E4302</f>
        <v>27.8095064661409</v>
      </c>
      <c r="F4330" s="6" t="n">
        <f aca="false">Sens!F4302</f>
        <v>59.1034165651511</v>
      </c>
      <c r="G4330" s="6" t="n">
        <f aca="false">Sens!G4302</f>
        <v>103.451498789198</v>
      </c>
      <c r="H4330" s="6" t="n">
        <f aca="false">Sens!H4302</f>
        <v>155.001342496516</v>
      </c>
      <c r="I4330" s="6" t="n">
        <f aca="false">Sens!I4302</f>
        <v>194.583928883075</v>
      </c>
      <c r="J4330" s="6" t="n">
        <f aca="false">Sens!J4302</f>
        <v>223.666045079239</v>
      </c>
      <c r="K4330" s="6" t="n">
        <f aca="false">Sens!K4302</f>
        <v>243.575175721124</v>
      </c>
    </row>
    <row r="4331" customFormat="false" ht="17.15" hidden="false" customHeight="false" outlineLevel="0" collapsed="false">
      <c r="A4331" s="0" t="s">
        <v>1052</v>
      </c>
      <c r="B4331" s="0" t="s">
        <v>98</v>
      </c>
      <c r="D4331" s="6" t="n">
        <f aca="false">Sens!D4303</f>
        <v>59.6740205577583</v>
      </c>
      <c r="E4331" s="6" t="n">
        <f aca="false">Sens!E4303</f>
        <v>74.1284935338591</v>
      </c>
      <c r="F4331" s="6" t="n">
        <f aca="false">Sens!F4303</f>
        <v>90.4866018070994</v>
      </c>
      <c r="G4331" s="6" t="n">
        <f aca="false">Sens!G4303</f>
        <v>107.511588557154</v>
      </c>
      <c r="H4331" s="6" t="n">
        <f aca="false">Sens!H4303</f>
        <v>124.832989325489</v>
      </c>
      <c r="I4331" s="6" t="n">
        <f aca="false">Sens!I4303</f>
        <v>141.56992589148</v>
      </c>
      <c r="J4331" s="6" t="n">
        <f aca="false">Sens!J4303</f>
        <v>156.723190479428</v>
      </c>
      <c r="K4331" s="6" t="n">
        <f aca="false">Sens!K4303</f>
        <v>169.261045717783</v>
      </c>
    </row>
    <row r="4332" customFormat="false" ht="15" hidden="false" customHeight="false" outlineLevel="0" collapsed="false">
      <c r="A4332" s="0" t="s">
        <v>1032</v>
      </c>
      <c r="B4332" s="0" t="s">
        <v>98</v>
      </c>
      <c r="D4332" s="6" t="n">
        <f aca="false">Sens!D4310</f>
        <v>84.605</v>
      </c>
      <c r="E4332" s="6" t="n">
        <f aca="false">Sens!E4310</f>
        <v>100.299</v>
      </c>
      <c r="F4332" s="6" t="n">
        <f aca="false">Sens!F4310</f>
        <v>119.729653205718</v>
      </c>
      <c r="G4332" s="6" t="n">
        <f aca="false">Sens!G4310</f>
        <v>140.806092647576</v>
      </c>
      <c r="H4332" s="6" t="n">
        <f aca="false">Sens!H4310</f>
        <v>161.963437602768</v>
      </c>
      <c r="I4332" s="6" t="n">
        <f aca="false">Sens!I4310</f>
        <v>180.695354741933</v>
      </c>
      <c r="J4332" s="6" t="n">
        <f aca="false">Sens!J4310</f>
        <v>196.722117481571</v>
      </c>
      <c r="K4332" s="6" t="n">
        <f aca="false">Sens!K4310</f>
        <v>212.00016570528</v>
      </c>
    </row>
    <row r="4333" customFormat="false" ht="17.15" hidden="false" customHeight="false" outlineLevel="0" collapsed="false">
      <c r="A4333" s="0" t="s">
        <v>1053</v>
      </c>
      <c r="B4333" s="0" t="s">
        <v>98</v>
      </c>
      <c r="D4333" s="6" t="n">
        <f aca="false">Sens!D4308</f>
        <v>83.705</v>
      </c>
      <c r="E4333" s="6" t="n">
        <f aca="false">Sens!E4308</f>
        <v>95.049</v>
      </c>
      <c r="F4333" s="6" t="n">
        <f aca="false">Sens!F4308</f>
        <v>106.229653205718</v>
      </c>
      <c r="G4333" s="6" t="n">
        <f aca="false">Sens!G4308</f>
        <v>118.306092647576</v>
      </c>
      <c r="H4333" s="6" t="n">
        <f aca="false">Sens!H4308</f>
        <v>130.463437602768</v>
      </c>
      <c r="I4333" s="6" t="n">
        <f aca="false">Sens!I4308</f>
        <v>142.445354741933</v>
      </c>
      <c r="J4333" s="6" t="n">
        <f aca="false">Sens!J4308</f>
        <v>153.972117481571</v>
      </c>
      <c r="K4333" s="6" t="n">
        <f aca="false">Sens!K4308</f>
        <v>164.75016570528</v>
      </c>
    </row>
    <row r="4334" customFormat="false" ht="17.15" hidden="false" customHeight="false" outlineLevel="0" collapsed="false">
      <c r="A4334" s="0" t="s">
        <v>1054</v>
      </c>
      <c r="B4334" s="0" t="s">
        <v>98</v>
      </c>
      <c r="D4334" s="6" t="n">
        <f aca="false">Sens!D4307</f>
        <v>0.9</v>
      </c>
      <c r="E4334" s="6" t="n">
        <f aca="false">Sens!E4307</f>
        <v>5.25</v>
      </c>
      <c r="F4334" s="6" t="n">
        <f aca="false">Sens!F4307</f>
        <v>13.5</v>
      </c>
      <c r="G4334" s="6" t="n">
        <f aca="false">Sens!G4307</f>
        <v>22.5</v>
      </c>
      <c r="H4334" s="6" t="n">
        <f aca="false">Sens!H4307</f>
        <v>31.5</v>
      </c>
      <c r="I4334" s="6" t="n">
        <f aca="false">Sens!I4307</f>
        <v>38.25</v>
      </c>
      <c r="J4334" s="6" t="n">
        <f aca="false">Sens!J4307</f>
        <v>42.75</v>
      </c>
      <c r="K4334" s="6" t="n">
        <f aca="false">Sens!K4307</f>
        <v>47.25</v>
      </c>
    </row>
    <row r="4335" customFormat="false" ht="15" hidden="false" customHeight="false" outlineLevel="0" collapsed="false">
      <c r="A4335" s="0" t="s">
        <v>1033</v>
      </c>
      <c r="B4335" s="0" t="s">
        <v>98</v>
      </c>
      <c r="D4335" s="6" t="n">
        <f aca="false">Sens!D4311</f>
        <v>35.391</v>
      </c>
      <c r="E4335" s="6" t="n">
        <f aca="false">Sens!E4311</f>
        <v>37.285</v>
      </c>
      <c r="F4335" s="6" t="n">
        <f aca="false">Sens!F4311</f>
        <v>38.3851437782675</v>
      </c>
      <c r="G4335" s="6" t="n">
        <f aca="false">Sens!G4311</f>
        <v>40.0105353288615</v>
      </c>
      <c r="H4335" s="6" t="n">
        <f aca="false">Sens!H4311</f>
        <v>41.4812512033683</v>
      </c>
      <c r="I4335" s="6" t="n">
        <f aca="false">Sens!I4311</f>
        <v>42.7743107216329</v>
      </c>
      <c r="J4335" s="6" t="n">
        <f aca="false">Sens!J4311</f>
        <v>43.8687373064601</v>
      </c>
      <c r="K4335" s="6" t="n">
        <f aca="false">Sens!K4311</f>
        <v>44.7461120525893</v>
      </c>
    </row>
    <row r="4336" customFormat="false" ht="15" hidden="false" customHeight="false" outlineLevel="0" collapsed="false">
      <c r="A4336" s="0" t="s">
        <v>1035</v>
      </c>
      <c r="B4336" s="0" t="s">
        <v>98</v>
      </c>
      <c r="D4336" s="6" t="n">
        <f aca="false">Sens!D4313</f>
        <v>18.417</v>
      </c>
      <c r="E4336" s="6" t="n">
        <f aca="false">Sens!E4313</f>
        <v>20.345</v>
      </c>
      <c r="F4336" s="6" t="n">
        <f aca="false">Sens!F4313</f>
        <v>22.3161797133988</v>
      </c>
      <c r="G4336" s="6" t="n">
        <f aca="false">Sens!G4313</f>
        <v>24.3943499673233</v>
      </c>
      <c r="H4336" s="6" t="n">
        <f aca="false">Sens!H4313</f>
        <v>26.5250243109019</v>
      </c>
      <c r="I4336" s="6" t="n">
        <f aca="false">Sens!I4313</f>
        <v>28.6884573538181</v>
      </c>
      <c r="J4336" s="6" t="n">
        <f aca="false">Sens!J4313</f>
        <v>30.8624968052127</v>
      </c>
      <c r="K4336" s="6" t="n">
        <f aca="false">Sens!K4313</f>
        <v>33.0228715815776</v>
      </c>
    </row>
    <row r="4337" customFormat="false" ht="15" hidden="false" customHeight="false" outlineLevel="0" collapsed="false">
      <c r="A4337" s="0" t="s">
        <v>1036</v>
      </c>
      <c r="B4337" s="0" t="s">
        <v>98</v>
      </c>
      <c r="D4337" s="6" t="n">
        <f aca="false">Sens!D4315</f>
        <v>7.76</v>
      </c>
      <c r="E4337" s="6" t="n">
        <f aca="false">Sens!E4315</f>
        <v>8.26</v>
      </c>
      <c r="F4337" s="6" t="n">
        <f aca="false">Sens!F4315</f>
        <v>8.75372082474227</v>
      </c>
      <c r="G4337" s="6" t="n">
        <f aca="false">Sens!G4315</f>
        <v>9.33399324642364</v>
      </c>
      <c r="H4337" s="6" t="n">
        <f aca="false">Sens!H4315</f>
        <v>9.96139155535851</v>
      </c>
      <c r="I4337" s="6" t="n">
        <f aca="false">Sens!I4315</f>
        <v>10.6402039077391</v>
      </c>
      <c r="J4337" s="6" t="n">
        <f aca="false">Sens!J4315</f>
        <v>11.3751458271397</v>
      </c>
      <c r="K4337" s="6" t="n">
        <f aca="false">Sens!K4315</f>
        <v>12.1714060350394</v>
      </c>
    </row>
    <row r="4338" customFormat="false" ht="15" hidden="false" customHeight="false" outlineLevel="0" collapsed="false">
      <c r="A4338" s="0" t="s">
        <v>852</v>
      </c>
      <c r="B4338" s="0" t="s">
        <v>98</v>
      </c>
      <c r="D4338" s="6" t="n">
        <f aca="false">Sens!D4317</f>
        <v>218.783</v>
      </c>
      <c r="E4338" s="6" t="n">
        <f aca="false">Sens!E4317</f>
        <v>268.127</v>
      </c>
      <c r="F4338" s="6" t="n">
        <f aca="false">Sens!F4317</f>
        <v>338.774715894377</v>
      </c>
      <c r="G4338" s="6" t="n">
        <f aca="false">Sens!G4317</f>
        <v>425.508058536537</v>
      </c>
      <c r="H4338" s="6" t="n">
        <f aca="false">Sens!H4317</f>
        <v>519.765436494402</v>
      </c>
      <c r="I4338" s="6" t="n">
        <f aca="false">Sens!I4317</f>
        <v>598.952181499678</v>
      </c>
      <c r="J4338" s="6" t="n">
        <f aca="false">Sens!J4317</f>
        <v>663.217732979051</v>
      </c>
      <c r="K4338" s="6" t="n">
        <f aca="false">Sens!K4317</f>
        <v>714.776776813394</v>
      </c>
    </row>
    <row r="4339" customFormat="false" ht="15" hidden="false" customHeight="false" outlineLevel="0" collapsed="false">
      <c r="A4339" s="0" t="s">
        <v>1037</v>
      </c>
      <c r="B4339" s="0" t="s">
        <v>98</v>
      </c>
      <c r="D4339" s="6" t="n">
        <f aca="false">Sens!D4318</f>
        <v>22.171</v>
      </c>
      <c r="E4339" s="6" t="n">
        <f aca="false">Sens!E4318</f>
        <v>24.835</v>
      </c>
      <c r="F4339" s="6" t="n">
        <f aca="false">Sens!F4318</f>
        <v>27.5591895660247</v>
      </c>
      <c r="G4339" s="6" t="n">
        <f aca="false">Sens!G4318</f>
        <v>30.4098563144583</v>
      </c>
      <c r="H4339" s="6" t="n">
        <f aca="false">Sens!H4318</f>
        <v>33.3011792571777</v>
      </c>
      <c r="I4339" s="6" t="n">
        <f aca="false">Sens!I4318</f>
        <v>36.189023797112</v>
      </c>
      <c r="J4339" s="6" t="n">
        <f aca="false">Sens!J4318</f>
        <v>39.0247773769199</v>
      </c>
      <c r="K4339" s="6" t="n">
        <f aca="false">Sens!K4318</f>
        <v>41.7565117933043</v>
      </c>
    </row>
    <row r="4340" customFormat="false" ht="15" hidden="false" customHeight="false" outlineLevel="0" collapsed="false">
      <c r="A4340" s="0" t="s">
        <v>1038</v>
      </c>
      <c r="B4340" s="0" t="s">
        <v>98</v>
      </c>
      <c r="D4340" s="6" t="n">
        <f aca="false">Sens!D4320</f>
        <v>23.455</v>
      </c>
      <c r="E4340" s="6" t="n">
        <f aca="false">Sens!E4320</f>
        <v>21.79</v>
      </c>
      <c r="F4340" s="6" t="n">
        <f aca="false">Sens!F4320</f>
        <v>20.7520981041711</v>
      </c>
      <c r="G4340" s="6" t="n">
        <f aca="false">Sens!G4320</f>
        <v>19.9083593495882</v>
      </c>
      <c r="H4340" s="6" t="n">
        <f aca="false">Sens!H4320</f>
        <v>19.4008256265831</v>
      </c>
      <c r="I4340" s="6" t="n">
        <f aca="false">Sens!I4320</f>
        <v>19.200434522122</v>
      </c>
      <c r="J4340" s="6" t="n">
        <f aca="false">Sens!J4320</f>
        <v>19.2932782348507</v>
      </c>
      <c r="K4340" s="6" t="n">
        <f aca="false">Sens!K4320</f>
        <v>19.6791437995477</v>
      </c>
    </row>
    <row r="4341" customFormat="false" ht="15" hidden="false" customHeight="false" outlineLevel="0" collapsed="false">
      <c r="A4341" s="0" t="s">
        <v>1039</v>
      </c>
      <c r="B4341" s="0" t="s">
        <v>98</v>
      </c>
      <c r="D4341" s="6" t="n">
        <f aca="false">Sens!D4322</f>
        <v>17.315</v>
      </c>
      <c r="E4341" s="6" t="n">
        <f aca="false">Sens!E4322</f>
        <v>17.087</v>
      </c>
      <c r="F4341" s="6" t="n">
        <f aca="false">Sens!F4322</f>
        <v>15.9912273250553</v>
      </c>
      <c r="G4341" s="6" t="n">
        <f aca="false">Sens!G4322</f>
        <v>15.9574562664827</v>
      </c>
      <c r="H4341" s="6" t="n">
        <f aca="false">Sens!H4322</f>
        <v>16.0119687434196</v>
      </c>
      <c r="I4341" s="6" t="n">
        <f aca="false">Sens!I4322</f>
        <v>16.1551810001948</v>
      </c>
      <c r="J4341" s="6" t="n">
        <f aca="false">Sens!J4322</f>
        <v>16.3889793892005</v>
      </c>
      <c r="K4341" s="6" t="n">
        <f aca="false">Sens!K4322</f>
        <v>16.7167589769845</v>
      </c>
    </row>
    <row r="4342" customFormat="false" ht="15" hidden="false" customHeight="false" outlineLevel="0" collapsed="false">
      <c r="A4342" s="0" t="s">
        <v>866</v>
      </c>
      <c r="B4342" s="0" t="s">
        <v>98</v>
      </c>
      <c r="D4342" s="6" t="n">
        <f aca="false">Sens!D4324</f>
        <v>62.941</v>
      </c>
      <c r="E4342" s="6" t="n">
        <f aca="false">Sens!E4324</f>
        <v>63.712</v>
      </c>
      <c r="F4342" s="6" t="n">
        <f aca="false">Sens!F4324</f>
        <v>64.3025149952511</v>
      </c>
      <c r="G4342" s="6" t="n">
        <f aca="false">Sens!G4324</f>
        <v>66.2756719305292</v>
      </c>
      <c r="H4342" s="6" t="n">
        <f aca="false">Sens!H4324</f>
        <v>68.7139736271804</v>
      </c>
      <c r="I4342" s="6" t="n">
        <f aca="false">Sens!I4324</f>
        <v>71.5446393194289</v>
      </c>
      <c r="J4342" s="6" t="n">
        <f aca="false">Sens!J4324</f>
        <v>74.707035000971</v>
      </c>
      <c r="K4342" s="6" t="n">
        <f aca="false">Sens!K4324</f>
        <v>78.1524145698365</v>
      </c>
    </row>
    <row r="4343" customFormat="false" ht="15" hidden="false" customHeight="false" outlineLevel="0" collapsed="false">
      <c r="A4343" s="1" t="s">
        <v>1055</v>
      </c>
      <c r="B4343" s="0" t="s">
        <v>98</v>
      </c>
      <c r="D4343" s="6" t="n">
        <f aca="false">Sens!D4325</f>
        <v>281.724</v>
      </c>
      <c r="E4343" s="6" t="n">
        <f aca="false">Sens!E4325</f>
        <v>331.839</v>
      </c>
      <c r="F4343" s="6" t="n">
        <f aca="false">Sens!F4325</f>
        <v>403.077230889628</v>
      </c>
      <c r="G4343" s="6" t="n">
        <f aca="false">Sens!G4325</f>
        <v>491.783730467066</v>
      </c>
      <c r="H4343" s="6" t="n">
        <f aca="false">Sens!H4325</f>
        <v>588.479410121582</v>
      </c>
      <c r="I4343" s="6" t="n">
        <f aca="false">Sens!I4325</f>
        <v>670.496820819107</v>
      </c>
      <c r="J4343" s="6" t="n">
        <f aca="false">Sens!J4325</f>
        <v>737.924767980022</v>
      </c>
      <c r="K4343" s="6" t="n">
        <f aca="false">Sens!K4325</f>
        <v>792.92919138323</v>
      </c>
    </row>
    <row r="4344" customFormat="false" ht="15" hidden="false" customHeight="false" outlineLevel="0" collapsed="false">
      <c r="A4344" s="1" t="s">
        <v>1056</v>
      </c>
      <c r="B4344" s="0" t="s">
        <v>168</v>
      </c>
      <c r="E4344" s="7" t="n">
        <f aca="false">Sens!E4343/Sens!D4343-1</f>
        <v>0.177886867998467</v>
      </c>
      <c r="F4344" s="7" t="n">
        <f aca="false">Sens!F4343/Sens!E4343-1</f>
        <v>0.21467709006364</v>
      </c>
      <c r="G4344" s="7" t="n">
        <f aca="false">Sens!G4343/Sens!F4343-1</f>
        <v>0.220073208753704</v>
      </c>
      <c r="H4344" s="7" t="n">
        <f aca="false">Sens!H4343/Sens!G4343-1</f>
        <v>0.196622363986464</v>
      </c>
      <c r="I4344" s="7" t="n">
        <f aca="false">Sens!I4343/Sens!H4343-1</f>
        <v>0.139371759294992</v>
      </c>
      <c r="J4344" s="7" t="n">
        <f aca="false">Sens!J4343/Sens!I4343-1</f>
        <v>0.100564156409485</v>
      </c>
      <c r="K4344" s="7" t="n">
        <f aca="false">Sens!K4343/Sens!J4343-1</f>
        <v>0.0745393375991108</v>
      </c>
    </row>
    <row r="4345" customFormat="false" ht="17.15" hidden="false" customHeight="false" outlineLevel="0" collapsed="false">
      <c r="A4345" s="26" t="s">
        <v>1057</v>
      </c>
      <c r="B4345" s="31" t="s">
        <v>98</v>
      </c>
      <c r="C4345" s="31"/>
      <c r="D4345" s="27" t="n">
        <f aca="false">(Sens!D4338+Sens!D4342-Sens!D4343)+(Sens!D4330+Sens!D4331-Sens!D4329)+(Sens!D4333+Sens!D4334-Sens!D4332)+(Sens!D4343-Q!L18)</f>
        <v>0</v>
      </c>
      <c r="E4345" s="27" t="n">
        <f aca="false">(Sens!E4338+Sens!E4342-Sens!E4343)+(Sens!E4330+Sens!E4331-Sens!E4329)+(Sens!E4333+Sens!E4334-Sens!E4332)+(Sens!E4343-Q!M18)</f>
        <v>0</v>
      </c>
      <c r="F4345" s="27" t="n">
        <f aca="false">(Sens!F4338+Sens!F4342-Sens!F4343)+(Sens!F4330+Sens!F4331-Sens!F4329)+(Sens!F4333+Sens!F4334-Sens!F4332)</f>
        <v>0</v>
      </c>
      <c r="G4345" s="27" t="n">
        <f aca="false">(Sens!G4338+Sens!G4342-Sens!G4343)+(Sens!G4330+Sens!G4331-Sens!G4329)+(Sens!G4333+Sens!G4334-Sens!G4332)</f>
        <v>0</v>
      </c>
      <c r="H4345" s="27" t="n">
        <f aca="false">(Sens!H4338+Sens!H4342-Sens!H4343)+(Sens!H4330+Sens!H4331-Sens!H4329)+(Sens!H4333+Sens!H4334-Sens!H4332)</f>
        <v>0</v>
      </c>
      <c r="I4345" s="27" t="n">
        <f aca="false">(Sens!I4338+Sens!I4342-Sens!I4343)+(Sens!I4330+Sens!I4331-Sens!I4329)+(Sens!I4333+Sens!I4334-Sens!I4332)</f>
        <v>0</v>
      </c>
      <c r="J4345" s="27" t="n">
        <f aca="false">(Sens!J4338+Sens!J4342-Sens!J4343)+(Sens!J4330+Sens!J4331-Sens!J4329)+(Sens!J4333+Sens!J4334-Sens!J4332)</f>
        <v>0</v>
      </c>
      <c r="K4345" s="27" t="n">
        <f aca="false">(Sens!K4338+Sens!K4342-Sens!K4343)+(Sens!K4330+Sens!K4331-Sens!K4329)+(Sens!K4333+Sens!K4334-Sens!K4332)</f>
        <v>0</v>
      </c>
    </row>
    <row r="4346" customFormat="false" ht="17.15" hidden="false" customHeight="false" outlineLevel="0" collapsed="false">
      <c r="A4346" s="0" t="s">
        <v>1058</v>
      </c>
      <c r="B4346" s="0" t="s">
        <v>168</v>
      </c>
      <c r="E4346" s="7" t="n">
        <f aca="false">(Q!M21+Sens!E4282+Sens!E4283+Sens!E4284+Sens!E4298-Sens!E4280)/(Q!M5-Sens!E4280)</f>
        <v>0.583491251973566</v>
      </c>
      <c r="F4346" s="7" t="n">
        <f aca="false">Sens!$E$4346+dm_seg</f>
        <v>0.583491251973566</v>
      </c>
      <c r="G4346" s="7" t="n">
        <f aca="false">Sens!$E$4346+dm_seg</f>
        <v>0.583491251973566</v>
      </c>
      <c r="H4346" s="7" t="n">
        <f aca="false">Sens!$E$4346+dm_seg</f>
        <v>0.583491251973566</v>
      </c>
      <c r="I4346" s="7" t="n">
        <f aca="false">Sens!$E$4346+dm_seg</f>
        <v>0.583491251973566</v>
      </c>
      <c r="J4346" s="7" t="n">
        <f aca="false">Sens!$E$4346+dm_seg</f>
        <v>0.583491251973566</v>
      </c>
      <c r="K4346" s="7" t="n">
        <f aca="false">Sens!$E$4346+dm_seg</f>
        <v>0.583491251973566</v>
      </c>
      <c r="L4346" s="12" t="s">
        <v>1059</v>
      </c>
    </row>
    <row r="4347" customFormat="false" ht="17.15" hidden="false" customHeight="false" outlineLevel="0" collapsed="false">
      <c r="A4347" s="0" t="s">
        <v>880</v>
      </c>
      <c r="B4347" s="0" t="s">
        <v>98</v>
      </c>
      <c r="D4347" s="6" t="n">
        <f aca="false">Q!L21</f>
        <v>110.814</v>
      </c>
      <c r="E4347" s="6" t="n">
        <f aca="false">Q!M21</f>
        <v>136.365</v>
      </c>
      <c r="F4347" s="6" t="n">
        <f aca="false">Q!$I$21+(Sens!F4346*(Sens!F4317-Sens!F4280)+Sens!F4280-(Sens!F4282+Sens!F4283+Sens!F4284)-Sens!F4298-Sens!F4381)*(Sens!F4317-Q!$I$5)/Sens!F4317</f>
        <v>163.269578674304</v>
      </c>
      <c r="G4347" s="6" t="n">
        <f aca="false">(Sens!G4346*(Sens!G4317-Sens!G4280)+Sens!G4280-(Sens!G4282+Sens!G4283+Sens!G4284)-Sens!G4298-Sens!G4381)</f>
        <v>184.245988534986</v>
      </c>
      <c r="H4347" s="6" t="n">
        <f aca="false">(Sens!H4346*(Sens!H4317-Sens!H4280)+Sens!H4280-(Sens!H4282+Sens!H4283+Sens!H4284)-Sens!H4298-Sens!H4381)</f>
        <v>214.092094032827</v>
      </c>
      <c r="I4347" s="6" t="n">
        <f aca="false">(Sens!I4346*(Sens!I4317-Sens!I4280)+Sens!I4280-(Sens!I4282+Sens!I4283+Sens!I4284)-Sens!I4298-Sens!I4381)</f>
        <v>235.336894632474</v>
      </c>
      <c r="J4347" s="6" t="n">
        <f aca="false">(Sens!J4346*(Sens!J4317-Sens!J4280)+Sens!J4280-(Sens!J4282+Sens!J4283+Sens!J4284)-Sens!J4298-Sens!J4381)</f>
        <v>255.093845332105</v>
      </c>
      <c r="K4347" s="6" t="n">
        <f aca="false">(Sens!K4346*(Sens!K4317-Sens!K4280)+Sens!K4280-(Sens!K4282+Sens!K4283+Sens!K4284)-Sens!K4298-Sens!K4381)</f>
        <v>275.619378651193</v>
      </c>
      <c r="L4347" s="1" t="s">
        <v>1060</v>
      </c>
    </row>
    <row r="4348" customFormat="false" ht="17.15" hidden="false" customHeight="false" outlineLevel="0" collapsed="false">
      <c r="A4348" s="0" t="s">
        <v>1061</v>
      </c>
      <c r="B4348" s="0" t="s">
        <v>168</v>
      </c>
      <c r="E4348" s="7" t="n">
        <f aca="false">Q!M22/Q!M12</f>
        <v>0.296207935710698</v>
      </c>
      <c r="F4348" s="7" t="n">
        <f aca="false">Sens!$E$4348+dm_seg</f>
        <v>0.296207935710698</v>
      </c>
      <c r="G4348" s="7" t="n">
        <f aca="false">Sens!$E$4348+dm_seg</f>
        <v>0.296207935710698</v>
      </c>
      <c r="H4348" s="7" t="n">
        <f aca="false">Sens!$E$4348+dm_seg</f>
        <v>0.296207935710698</v>
      </c>
      <c r="I4348" s="7" t="n">
        <f aca="false">Sens!$E$4348+dm_seg</f>
        <v>0.296207935710698</v>
      </c>
      <c r="J4348" s="7" t="n">
        <f aca="false">Sens!$E$4348+dm_seg</f>
        <v>0.296207935710698</v>
      </c>
      <c r="K4348" s="7" t="n">
        <f aca="false">Sens!$E$4348+dm_seg</f>
        <v>0.296207935710698</v>
      </c>
      <c r="L4348" s="12" t="s">
        <v>1062</v>
      </c>
    </row>
    <row r="4349" customFormat="false" ht="17.15" hidden="false" customHeight="false" outlineLevel="0" collapsed="false">
      <c r="A4349" s="0" t="s">
        <v>882</v>
      </c>
      <c r="B4349" s="0" t="s">
        <v>98</v>
      </c>
      <c r="D4349" s="6" t="n">
        <f aca="false">Q!L22</f>
        <v>17.714</v>
      </c>
      <c r="E4349" s="6" t="n">
        <f aca="false">Q!M22</f>
        <v>18.872</v>
      </c>
      <c r="F4349" s="6" t="n">
        <f aca="false">Q!$I$22+(Sens!F4324-Q!$I$12)*Sens!F4348</f>
        <v>19.8174315512051</v>
      </c>
      <c r="G4349" s="6" t="n">
        <f aca="false">Sens!G4324*Sens!G4348</f>
        <v>19.6313799703815</v>
      </c>
      <c r="H4349" s="6" t="n">
        <f aca="false">Sens!H4324*Sens!H4348</f>
        <v>20.3536242825865</v>
      </c>
      <c r="I4349" s="6" t="n">
        <f aca="false">Sens!I4324*Sens!I4348</f>
        <v>21.1920899239745</v>
      </c>
      <c r="J4349" s="6" t="n">
        <f aca="false">Sens!J4324*Sens!J4348</f>
        <v>22.1288166207045</v>
      </c>
      <c r="K4349" s="6" t="n">
        <f aca="false">Sens!K4324*Sens!K4348</f>
        <v>23.1493653905379</v>
      </c>
      <c r="L4349" s="12" t="s">
        <v>1063</v>
      </c>
    </row>
    <row r="4350" customFormat="false" ht="15" hidden="false" customHeight="false" outlineLevel="0" collapsed="false">
      <c r="A4350" s="1" t="s">
        <v>1064</v>
      </c>
      <c r="B4350" s="0" t="s">
        <v>98</v>
      </c>
      <c r="D4350" s="6" t="n">
        <f aca="false">Sens!D4347+Sens!D4349</f>
        <v>128.528</v>
      </c>
      <c r="E4350" s="6" t="n">
        <f aca="false">Sens!E4347+Sens!E4349</f>
        <v>155.237</v>
      </c>
      <c r="F4350" s="6" t="n">
        <f aca="false">Sens!F4347+Sens!F4349</f>
        <v>183.087010225509</v>
      </c>
      <c r="G4350" s="6" t="n">
        <f aca="false">Sens!G4347+Sens!G4349</f>
        <v>203.877368505368</v>
      </c>
      <c r="H4350" s="6" t="n">
        <f aca="false">Sens!H4347+Sens!H4349</f>
        <v>234.445718315414</v>
      </c>
      <c r="I4350" s="6" t="n">
        <f aca="false">Sens!I4347+Sens!I4349</f>
        <v>256.528984556449</v>
      </c>
      <c r="J4350" s="6" t="n">
        <f aca="false">Sens!J4347+Sens!J4349</f>
        <v>277.22266195281</v>
      </c>
      <c r="K4350" s="6" t="n">
        <f aca="false">Sens!K4347+Sens!K4349</f>
        <v>298.768744041731</v>
      </c>
    </row>
    <row r="4351" customFormat="false" ht="15" hidden="false" customHeight="false" outlineLevel="0" collapsed="false">
      <c r="A4351" s="26" t="s">
        <v>1065</v>
      </c>
      <c r="B4351" s="31" t="s">
        <v>98</v>
      </c>
      <c r="C4351" s="31"/>
      <c r="D4351" s="27" t="n">
        <f aca="false">Sens!D4350-Q!L23</f>
        <v>0</v>
      </c>
      <c r="E4351" s="27" t="n">
        <f aca="false">Sens!E4350-Q!M23</f>
        <v>0</v>
      </c>
      <c r="F4351" s="31"/>
      <c r="G4351" s="31"/>
      <c r="H4351" s="31"/>
      <c r="I4351" s="31"/>
      <c r="J4351" s="31"/>
      <c r="K4351" s="31"/>
    </row>
    <row r="4352" customFormat="false" ht="15" hidden="false" customHeight="false" outlineLevel="0" collapsed="false">
      <c r="A4352" s="1" t="s">
        <v>1066</v>
      </c>
      <c r="B4352" s="0" t="s">
        <v>168</v>
      </c>
      <c r="D4352" s="7" t="n">
        <f aca="false">Sens!D4350/Sens!D4343</f>
        <v>0.456219562408598</v>
      </c>
      <c r="E4352" s="7" t="n">
        <f aca="false">Sens!E4350/Sens!E4343</f>
        <v>0.467808184089272</v>
      </c>
      <c r="F4352" s="7" t="n">
        <f aca="false">Sens!F4350/Sens!F4343</f>
        <v>0.454223151780167</v>
      </c>
      <c r="G4352" s="7" t="n">
        <f aca="false">Sens!G4350/Sens!G4343</f>
        <v>0.414567127529285</v>
      </c>
      <c r="H4352" s="7" t="n">
        <f aca="false">Sens!H4350/Sens!H4343</f>
        <v>0.398392389407433</v>
      </c>
      <c r="I4352" s="7" t="n">
        <f aca="false">Sens!I4350/Sens!I4343</f>
        <v>0.382595377921497</v>
      </c>
      <c r="J4352" s="7" t="n">
        <f aca="false">Sens!J4350/Sens!J4343</f>
        <v>0.375678760196209</v>
      </c>
      <c r="K4352" s="7" t="n">
        <f aca="false">Sens!K4350/Sens!K4343</f>
        <v>0.376791203159694</v>
      </c>
    </row>
    <row r="4353" customFormat="false" ht="17.15" hidden="false" customHeight="false" outlineLevel="0" collapsed="false">
      <c r="A4353" s="1" t="s">
        <v>1067</v>
      </c>
      <c r="B4353" s="0" t="s">
        <v>98</v>
      </c>
      <c r="F4353" s="6" t="n">
        <f aca="false">Sens!F4368</f>
        <v>8.78000206127647</v>
      </c>
      <c r="G4353" s="6" t="n">
        <f aca="false">Sens!G4368</f>
        <v>22.4898207231339</v>
      </c>
      <c r="H4353" s="6" t="n">
        <f aca="false">Sens!H4368</f>
        <v>38.0697468509798</v>
      </c>
      <c r="I4353" s="6" t="n">
        <f aca="false">Sens!I4368</f>
        <v>52.3998409312223</v>
      </c>
      <c r="J4353" s="6" t="n">
        <f aca="false">Sens!J4368</f>
        <v>63.020666922148</v>
      </c>
      <c r="K4353" s="6" t="n">
        <f aca="false">Sens!K4368</f>
        <v>69.1071129550962</v>
      </c>
      <c r="L4353" s="1" t="s">
        <v>1068</v>
      </c>
    </row>
    <row r="4354" customFormat="false" ht="17.15" hidden="false" customHeight="false" outlineLevel="0" collapsed="false">
      <c r="A4354" s="1" t="s">
        <v>1069</v>
      </c>
      <c r="B4354" s="0" t="s">
        <v>98</v>
      </c>
      <c r="D4354" s="6" t="n">
        <f aca="false">Sens!D4350</f>
        <v>128.528</v>
      </c>
      <c r="E4354" s="6" t="n">
        <f aca="false">Sens!E4350</f>
        <v>155.237</v>
      </c>
      <c r="F4354" s="6" t="n">
        <f aca="false">Sens!F4350+Sens!F4353</f>
        <v>191.867012286786</v>
      </c>
      <c r="G4354" s="6" t="n">
        <f aca="false">Sens!G4350+Sens!G4353</f>
        <v>226.367189228502</v>
      </c>
      <c r="H4354" s="6" t="n">
        <f aca="false">Sens!H4350+Sens!H4353</f>
        <v>272.515465166394</v>
      </c>
      <c r="I4354" s="6" t="n">
        <f aca="false">Sens!I4350+Sens!I4353</f>
        <v>308.928825487671</v>
      </c>
      <c r="J4354" s="6" t="n">
        <f aca="false">Sens!J4350+Sens!J4353</f>
        <v>340.243328874958</v>
      </c>
      <c r="K4354" s="6" t="n">
        <f aca="false">Sens!K4350+Sens!K4353</f>
        <v>367.875856996827</v>
      </c>
    </row>
    <row r="4355" customFormat="false" ht="17.15" hidden="false" customHeight="false" outlineLevel="0" collapsed="false">
      <c r="A4355" s="1" t="s">
        <v>1070</v>
      </c>
      <c r="B4355" s="0" t="s">
        <v>98</v>
      </c>
      <c r="E4355" s="6" t="n">
        <f aca="false">Sens!E4298</f>
        <v>19.3175216725</v>
      </c>
      <c r="F4355" s="6" t="n">
        <f aca="false">Sens!F4298</f>
        <v>40.993411475437</v>
      </c>
      <c r="G4355" s="6" t="n">
        <f aca="false">Sens!G4298</f>
        <v>72.0472209870037</v>
      </c>
      <c r="H4355" s="6" t="n">
        <f aca="false">Sens!H4298</f>
        <v>106.403225017643</v>
      </c>
      <c r="I4355" s="6" t="n">
        <f aca="false">Sens!I4298</f>
        <v>137.266077175767</v>
      </c>
      <c r="J4355" s="6" t="n">
        <f aca="false">Sens!J4298</f>
        <v>159.73624944562</v>
      </c>
      <c r="K4355" s="6" t="n">
        <f aca="false">Sens!K4298</f>
        <v>173.177911789639</v>
      </c>
    </row>
    <row r="4356" customFormat="false" ht="17.15" hidden="false" customHeight="false" outlineLevel="0" collapsed="false">
      <c r="A4356" s="1" t="s">
        <v>1071</v>
      </c>
      <c r="B4356" s="0" t="s">
        <v>98</v>
      </c>
      <c r="E4356" s="6" t="n">
        <f aca="false">Sens!E4380</f>
        <v>19.2164783275</v>
      </c>
      <c r="F4356" s="6" t="n">
        <f aca="false">Sens!F4380</f>
        <v>20.869440090538</v>
      </c>
      <c r="G4356" s="6" t="n">
        <f aca="false">Sens!G4380</f>
        <v>22.9403278631934</v>
      </c>
      <c r="H4356" s="6" t="n">
        <f aca="false">Sens!H4380</f>
        <v>25.400631638317</v>
      </c>
      <c r="I4356" s="6" t="n">
        <f aca="false">Sens!I4380</f>
        <v>28.1766915044291</v>
      </c>
      <c r="J4356" s="6" t="n">
        <f aca="false">Sens!J4380</f>
        <v>31.1788780180527</v>
      </c>
      <c r="K4356" s="6" t="n">
        <f aca="false">Sens!K4380</f>
        <v>34.3249162025202</v>
      </c>
    </row>
    <row r="4357" customFormat="false" ht="17.15" hidden="false" customHeight="false" outlineLevel="0" collapsed="false">
      <c r="A4357" s="1" t="s">
        <v>1072</v>
      </c>
      <c r="B4357" s="0" t="s">
        <v>98</v>
      </c>
      <c r="D4357" s="6" t="n">
        <f aca="false">Q!L27</f>
        <v>-4.901</v>
      </c>
      <c r="E4357" s="6" t="n">
        <f aca="false">Q!M27</f>
        <v>10.697</v>
      </c>
      <c r="F4357" s="6" t="n">
        <f aca="false">Q!$I$27+oie_f*(q_per_yr-1)/q_per_yr</f>
        <v>-0.862</v>
      </c>
      <c r="G4357" s="6" t="n">
        <f aca="false">oie_f</f>
        <v>-1.2</v>
      </c>
      <c r="H4357" s="6" t="n">
        <f aca="false">oie_f</f>
        <v>-1.2</v>
      </c>
      <c r="I4357" s="6" t="n">
        <f aca="false">oie_f</f>
        <v>-1.2</v>
      </c>
      <c r="J4357" s="6" t="n">
        <f aca="false">oie_f</f>
        <v>-1.2</v>
      </c>
      <c r="K4357" s="6" t="n">
        <f aca="false">oie_f</f>
        <v>-1.2</v>
      </c>
      <c r="L4357" s="12" t="s">
        <v>1073</v>
      </c>
    </row>
    <row r="4358" customFormat="false" ht="15" hidden="false" customHeight="false" outlineLevel="0" collapsed="false">
      <c r="A4358" s="1" t="s">
        <v>1074</v>
      </c>
      <c r="B4358" s="0" t="s">
        <v>98</v>
      </c>
      <c r="D4358" s="6" t="n">
        <f aca="false">Sens!D4350+Sens!D4357</f>
        <v>123.627</v>
      </c>
      <c r="E4358" s="6" t="n">
        <f aca="false">Sens!E4350+Sens!E4357</f>
        <v>165.934</v>
      </c>
      <c r="F4358" s="6" t="n">
        <f aca="false">Sens!F4350+Sens!F4357</f>
        <v>182.225010225509</v>
      </c>
      <c r="G4358" s="6" t="n">
        <f aca="false">Sens!G4350+Sens!G4357</f>
        <v>202.677368505368</v>
      </c>
      <c r="H4358" s="6" t="n">
        <f aca="false">Sens!H4350+Sens!H4357</f>
        <v>233.245718315414</v>
      </c>
      <c r="I4358" s="6" t="n">
        <f aca="false">Sens!I4350+Sens!I4357</f>
        <v>255.328984556449</v>
      </c>
      <c r="J4358" s="6" t="n">
        <f aca="false">Sens!J4350+Sens!J4357</f>
        <v>276.02266195281</v>
      </c>
      <c r="K4358" s="6" t="n">
        <f aca="false">Sens!K4350+Sens!K4357</f>
        <v>297.568744041731</v>
      </c>
    </row>
    <row r="4359" customFormat="false" ht="15" hidden="false" customHeight="false" outlineLevel="0" collapsed="false">
      <c r="A4359" s="1" t="s">
        <v>1075</v>
      </c>
      <c r="B4359" s="0" t="s">
        <v>98</v>
      </c>
      <c r="D4359" s="6" t="n">
        <f aca="false">Q!L29</f>
        <v>21.795</v>
      </c>
      <c r="E4359" s="6" t="n">
        <f aca="false">Q!M29</f>
        <v>32.185</v>
      </c>
      <c r="F4359" s="6" t="n">
        <f aca="false">Q!$I$29+(Sens!F4358-Q!$I$28)*tax_f</f>
        <v>36.5784020451018</v>
      </c>
      <c r="G4359" s="6" t="n">
        <f aca="false">Sens!G4358*tax_f</f>
        <v>40.5354737010736</v>
      </c>
      <c r="H4359" s="6" t="n">
        <f aca="false">Sens!H4358*tax_f</f>
        <v>46.6491436630828</v>
      </c>
      <c r="I4359" s="6" t="n">
        <f aca="false">Sens!I4358*tax_f</f>
        <v>51.0657969112897</v>
      </c>
      <c r="J4359" s="6" t="n">
        <f aca="false">Sens!J4358*tax_f</f>
        <v>55.2045323905619</v>
      </c>
      <c r="K4359" s="6" t="n">
        <f aca="false">Sens!K4358*tax_f</f>
        <v>59.5137488083462</v>
      </c>
    </row>
    <row r="4360" customFormat="false" ht="15" hidden="false" customHeight="false" outlineLevel="0" collapsed="false">
      <c r="A4360" s="1" t="s">
        <v>1076</v>
      </c>
      <c r="B4360" s="0" t="s">
        <v>98</v>
      </c>
      <c r="D4360" s="6" t="n">
        <f aca="false">Sens!D4358-Sens!D4359</f>
        <v>101.832</v>
      </c>
      <c r="E4360" s="6" t="n">
        <f aca="false">Sens!E4358-Sens!E4359</f>
        <v>133.749</v>
      </c>
      <c r="F4360" s="6" t="n">
        <f aca="false">Sens!F4358-Sens!F4359</f>
        <v>145.646608180407</v>
      </c>
      <c r="G4360" s="6" t="n">
        <f aca="false">Sens!G4358-Sens!G4359</f>
        <v>162.141894804294</v>
      </c>
      <c r="H4360" s="6" t="n">
        <f aca="false">Sens!H4358-Sens!H4359</f>
        <v>186.596574652331</v>
      </c>
      <c r="I4360" s="6" t="n">
        <f aca="false">Sens!I4358-Sens!I4359</f>
        <v>204.263187645159</v>
      </c>
      <c r="J4360" s="6" t="n">
        <f aca="false">Sens!J4358-Sens!J4359</f>
        <v>220.818129562248</v>
      </c>
      <c r="K4360" s="6" t="n">
        <f aca="false">Sens!K4358-Sens!K4359</f>
        <v>238.054995233385</v>
      </c>
    </row>
    <row r="4361" customFormat="false" ht="17.15" hidden="false" customHeight="false" outlineLevel="0" collapsed="false">
      <c r="A4361" s="1" t="s">
        <v>1077</v>
      </c>
      <c r="B4361" s="1" t="s">
        <v>81</v>
      </c>
      <c r="D4361" s="15" t="n">
        <f aca="false">Q!L31</f>
        <v>7.465</v>
      </c>
      <c r="E4361" s="15" t="n">
        <f aca="false">Q!M31</f>
        <v>7.453</v>
      </c>
      <c r="F4361" s="15" t="n">
        <f aca="false">Sens!F4405</f>
        <v>7.46890782409377</v>
      </c>
      <c r="G4361" s="15" t="n">
        <f aca="false">Sens!G4405</f>
        <v>7.50388136424026</v>
      </c>
      <c r="H4361" s="15" t="n">
        <f aca="false">Sens!H4405</f>
        <v>7.52614701932177</v>
      </c>
      <c r="I4361" s="15" t="n">
        <f aca="false">Sens!I4405</f>
        <v>7.53782838337724</v>
      </c>
      <c r="J4361" s="15" t="n">
        <f aca="false">Sens!J4405</f>
        <v>7.55197779453972</v>
      </c>
      <c r="K4361" s="15" t="n">
        <f aca="false">Sens!K4405</f>
        <v>7.56841243450497</v>
      </c>
    </row>
    <row r="4362" customFormat="false" ht="17.15" hidden="false" customHeight="false" outlineLevel="0" collapsed="false">
      <c r="A4362" s="0" t="s">
        <v>1078</v>
      </c>
      <c r="B4362" s="0" t="s">
        <v>75</v>
      </c>
      <c r="D4362" s="8" t="n">
        <f aca="false">Sens!D4360/Sens!D4361</f>
        <v>13.641259209645</v>
      </c>
      <c r="E4362" s="8" t="n">
        <f aca="false">Sens!E4360/Sens!E4361</f>
        <v>17.9456594659869</v>
      </c>
      <c r="F4362" s="8" t="n">
        <f aca="false">Sens!F4360/Sens!F4361</f>
        <v>19.5003890275054</v>
      </c>
      <c r="G4362" s="8" t="n">
        <f aca="false">Sens!G4360/Sens!G4361</f>
        <v>21.6077369742253</v>
      </c>
      <c r="H4362" s="8" t="n">
        <f aca="false">Sens!H4360/Sens!H4361</f>
        <v>24.793107837687</v>
      </c>
      <c r="I4362" s="8" t="n">
        <f aca="false">Sens!I4360/Sens!I4361</f>
        <v>27.098413131242</v>
      </c>
      <c r="J4362" s="8" t="n">
        <f aca="false">Sens!J4360/Sens!J4361</f>
        <v>29.2397747411155</v>
      </c>
      <c r="K4362" s="8" t="n">
        <f aca="false">Sens!K4360/Sens!K4361</f>
        <v>31.4537556315078</v>
      </c>
      <c r="L4362" s="1" t="s">
        <v>1079</v>
      </c>
    </row>
    <row r="4363" customFormat="false" ht="17.15" hidden="false" customHeight="false" outlineLevel="0" collapsed="false">
      <c r="A4363" s="1" t="s">
        <v>1080</v>
      </c>
      <c r="B4363" s="0" t="s">
        <v>98</v>
      </c>
      <c r="D4363" s="6" t="n">
        <f aca="false">Sens!D4360</f>
        <v>101.832</v>
      </c>
      <c r="E4363" s="6" t="n">
        <f aca="false">Sens!E4360</f>
        <v>133.749</v>
      </c>
      <c r="F4363" s="6" t="n">
        <f aca="false">Sens!F4360+Sens!F4353*(1-tax_f)</f>
        <v>152.670609829429</v>
      </c>
      <c r="G4363" s="6" t="n">
        <f aca="false">Sens!G4360+Sens!G4353*(1-tax_f)</f>
        <v>180.133751382802</v>
      </c>
      <c r="H4363" s="6" t="n">
        <f aca="false">Sens!H4360+Sens!H4353*(1-tax_f)</f>
        <v>217.052372133115</v>
      </c>
      <c r="I4363" s="6" t="n">
        <f aca="false">Sens!I4360+Sens!I4353*(1-tax_f)</f>
        <v>246.183060390137</v>
      </c>
      <c r="J4363" s="6" t="n">
        <f aca="false">Sens!J4360+Sens!J4353*(1-tax_f)</f>
        <v>271.234663099966</v>
      </c>
      <c r="K4363" s="6" t="n">
        <f aca="false">Sens!K4360+Sens!K4353*(1-tax_f)</f>
        <v>293.340685597462</v>
      </c>
    </row>
    <row r="4364" customFormat="false" ht="17.15" hidden="false" customHeight="false" outlineLevel="0" collapsed="false">
      <c r="A4364" s="0" t="s">
        <v>1081</v>
      </c>
      <c r="B4364" s="0" t="s">
        <v>75</v>
      </c>
      <c r="D4364" s="8" t="n">
        <f aca="false">Sens!D4363/Sens!D4361</f>
        <v>13.641259209645</v>
      </c>
      <c r="E4364" s="8" t="n">
        <f aca="false">Sens!E4363/Sens!E4361</f>
        <v>17.9456594659869</v>
      </c>
      <c r="F4364" s="8" t="n">
        <f aca="false">Sens!F4363/Sens!F4361</f>
        <v>20.4408212586226</v>
      </c>
      <c r="G4364" s="8" t="n">
        <f aca="false">Sens!G4363/Sens!G4361</f>
        <v>24.0054103521984</v>
      </c>
      <c r="H4364" s="8" t="n">
        <f aca="false">Sens!H4363/Sens!H4361</f>
        <v>28.839773070587</v>
      </c>
      <c r="I4364" s="8" t="n">
        <f aca="false">Sens!I4363/Sens!I4361</f>
        <v>32.6596796675592</v>
      </c>
      <c r="J4364" s="8" t="n">
        <f aca="false">Sens!J4363/Sens!J4361</f>
        <v>35.9157124768132</v>
      </c>
      <c r="K4364" s="8" t="n">
        <f aca="false">Sens!K4363/Sens!K4361</f>
        <v>38.7585491853085</v>
      </c>
      <c r="L4364" s="1" t="s">
        <v>1082</v>
      </c>
    </row>
    <row r="4365" customFormat="false" ht="17.15" hidden="false" customHeight="false" outlineLevel="0" collapsed="false">
      <c r="A4365" s="0" t="s">
        <v>1083</v>
      </c>
      <c r="B4365" s="0" t="s">
        <v>168</v>
      </c>
      <c r="E4365" s="7" t="n">
        <f aca="false">Sens!E4364/Sens!D4364-1</f>
        <v>0.315542736208578</v>
      </c>
      <c r="F4365" s="7" t="n">
        <f aca="false">Sens!F4364/Sens!E4364-1</f>
        <v>0.139039849572812</v>
      </c>
      <c r="G4365" s="7" t="n">
        <f aca="false">Sens!G4364/Sens!F4364-1</f>
        <v>0.174385806151117</v>
      </c>
      <c r="H4365" s="7" t="n">
        <f aca="false">Sens!H4364/Sens!G4364-1</f>
        <v>0.201386381130783</v>
      </c>
      <c r="I4365" s="7" t="n">
        <f aca="false">Sens!I4364/Sens!H4364-1</f>
        <v>0.132452727267401</v>
      </c>
      <c r="J4365" s="7" t="n">
        <f aca="false">Sens!J4364/Sens!I4364-1</f>
        <v>0.0996957974602595</v>
      </c>
      <c r="K4365" s="7" t="n">
        <f aca="false">Sens!K4364/Sens!J4364-1</f>
        <v>0.0791530088768442</v>
      </c>
    </row>
    <row r="4366" customFormat="false" ht="17.15" hidden="false" customHeight="false" outlineLevel="0" collapsed="false">
      <c r="A4366" s="0" t="s">
        <v>1003</v>
      </c>
      <c r="B4366" s="0" t="s">
        <v>98</v>
      </c>
      <c r="E4366" s="6" t="n">
        <f aca="false">Sens!E4307</f>
        <v>5.25</v>
      </c>
      <c r="F4366" s="6" t="n">
        <f aca="false">Sens!F4307</f>
        <v>13.5</v>
      </c>
      <c r="G4366" s="6" t="n">
        <f aca="false">Sens!G4307</f>
        <v>22.5</v>
      </c>
      <c r="H4366" s="6" t="n">
        <f aca="false">Sens!H4307</f>
        <v>31.5</v>
      </c>
      <c r="I4366" s="6" t="n">
        <f aca="false">Sens!I4307</f>
        <v>38.25</v>
      </c>
      <c r="J4366" s="6" t="n">
        <f aca="false">Sens!J4307</f>
        <v>42.75</v>
      </c>
      <c r="K4366" s="6" t="n">
        <f aca="false">Sens!K4307</f>
        <v>47.25</v>
      </c>
    </row>
    <row r="4367" customFormat="false" ht="17.15" hidden="false" customHeight="false" outlineLevel="0" collapsed="false">
      <c r="A4367" s="1" t="s">
        <v>1004</v>
      </c>
      <c r="B4367" s="0" t="s">
        <v>98</v>
      </c>
      <c r="F4367" s="6" t="n">
        <f aca="false">MAX(0,((Sens!E4267+Sens!F4267)/2-(shadow_base*(Sens!$D$4267+Sens!$E$4267)/2+(1-shadow_base)*Sens!$E$4267))*Sens!F4276/1000-(Sens!F4366-Sens!$E$4366)*Sens!F4346)</f>
        <v>8.78000206127647</v>
      </c>
      <c r="G4367" s="6" t="n">
        <f aca="false">MAX(0,((Sens!F4267+Sens!G4267)/2-(shadow_base*(Sens!$D$4267+Sens!$E$4267)/2+(1-shadow_base)*Sens!$E$4267))*Sens!G4276/1000-(Sens!G4366-Sens!$E$4366)*Sens!G4346)</f>
        <v>22.4898207231339</v>
      </c>
      <c r="H4367" s="6" t="n">
        <f aca="false">MAX(0,((Sens!G4267+Sens!H4267)/2-(shadow_base*(Sens!$D$4267+Sens!$E$4267)/2+(1-shadow_base)*Sens!$E$4267))*Sens!H4276/1000-(Sens!H4366-Sens!$E$4366)*Sens!H4346)</f>
        <v>38.0697468509798</v>
      </c>
      <c r="I4367" s="6" t="n">
        <f aca="false">MAX(0,((Sens!H4267+Sens!I4267)/2-(shadow_base*(Sens!$D$4267+Sens!$E$4267)/2+(1-shadow_base)*Sens!$E$4267))*Sens!I4276/1000-(Sens!I4366-Sens!$E$4366)*Sens!I4346)</f>
        <v>52.3998409312223</v>
      </c>
      <c r="J4367" s="6" t="n">
        <f aca="false">MAX(0,((Sens!I4267+Sens!J4267)/2-(shadow_base*(Sens!$D$4267+Sens!$E$4267)/2+(1-shadow_base)*Sens!$E$4267))*Sens!J4276/1000-(Sens!J4366-Sens!$E$4366)*Sens!J4346)</f>
        <v>63.020666922148</v>
      </c>
      <c r="K4367" s="6" t="n">
        <f aca="false">MAX(0,((Sens!J4267+Sens!K4267)/2-(shadow_base*(Sens!$D$4267+Sens!$E$4267)/2+(1-shadow_base)*Sens!$E$4267))*Sens!K4276/1000-(Sens!K4366-Sens!$E$4366)*Sens!K4346)</f>
        <v>69.1071129550962</v>
      </c>
      <c r="L4367" s="1" t="s">
        <v>1005</v>
      </c>
    </row>
    <row r="4368" customFormat="false" ht="17.15" hidden="false" customHeight="false" outlineLevel="0" collapsed="false">
      <c r="A4368" s="1" t="s">
        <v>1006</v>
      </c>
      <c r="B4368" s="0" t="s">
        <v>98</v>
      </c>
      <c r="F4368" s="6" t="n">
        <f aca="false">IF(internal_ai_reading=2,1,0)*Sens!F4367</f>
        <v>8.78000206127647</v>
      </c>
      <c r="G4368" s="6" t="n">
        <f aca="false">IF(internal_ai_reading=2,1,0)*Sens!G4367</f>
        <v>22.4898207231339</v>
      </c>
      <c r="H4368" s="6" t="n">
        <f aca="false">IF(internal_ai_reading=2,1,0)*Sens!H4367</f>
        <v>38.0697468509798</v>
      </c>
      <c r="I4368" s="6" t="n">
        <f aca="false">IF(internal_ai_reading=2,1,0)*Sens!I4367</f>
        <v>52.3998409312223</v>
      </c>
      <c r="J4368" s="6" t="n">
        <f aca="false">IF(internal_ai_reading=2,1,0)*Sens!J4367</f>
        <v>63.020666922148</v>
      </c>
      <c r="K4368" s="6" t="n">
        <f aca="false">IF(internal_ai_reading=2,1,0)*Sens!K4367</f>
        <v>69.1071129550962</v>
      </c>
    </row>
    <row r="4369" customFormat="false" ht="17.15" hidden="false" customHeight="false" outlineLevel="0" collapsed="false">
      <c r="A4369" s="0" t="s">
        <v>1007</v>
      </c>
      <c r="B4369" s="0" t="s">
        <v>98</v>
      </c>
      <c r="F4369" s="6" t="n">
        <f aca="false">Sens!F4286+Sens!F4366*Sens!F4346+Sens!F4368-Sens!F4287-Sens!F4298</f>
        <v>12.1585737989465</v>
      </c>
      <c r="G4369" s="6" t="n">
        <f aca="false">Sens!G4286+Sens!G4366*Sens!G4346+Sens!G4368-Sens!G4287-Sens!G4298</f>
        <v>31.9514591443246</v>
      </c>
      <c r="H4369" s="6" t="n">
        <f aca="false">Sens!H4286+Sens!H4366*Sens!H4346+Sens!H4368-Sens!H4287-Sens!H4298</f>
        <v>57.7090112122102</v>
      </c>
      <c r="I4369" s="6" t="n">
        <f aca="false">Sens!I4286+Sens!I4366*Sens!I4346+Sens!I4368-Sens!I4287-Sens!I4298</f>
        <v>74.1134063698196</v>
      </c>
      <c r="J4369" s="6" t="n">
        <f aca="false">Sens!J4286+Sens!J4366*Sens!J4346+Sens!J4368-Sens!J4287-Sens!J4298</f>
        <v>86.5873201525511</v>
      </c>
      <c r="K4369" s="6" t="n">
        <f aca="false">Sens!K4286+Sens!K4366*Sens!K4346+Sens!K4368-Sens!K4287-Sens!K4298</f>
        <v>97.3572505093278</v>
      </c>
    </row>
    <row r="4370" customFormat="false" ht="17.15" hidden="false" customHeight="false" outlineLevel="0" collapsed="false">
      <c r="A4370" s="0" t="s">
        <v>1008</v>
      </c>
      <c r="B4370" s="0" t="s">
        <v>98</v>
      </c>
      <c r="E4370" s="6" t="n">
        <f aca="false">Sens!E4266*(cxit_open+self_build*tk_cxfac)/1000*ai_net_open</f>
        <v>126.6980382</v>
      </c>
      <c r="F4370" s="6" t="n">
        <f aca="false">Sens!E4370+Sens!F4295-Sens!F4298</f>
        <v>254.158530766683</v>
      </c>
      <c r="G4370" s="6" t="n">
        <f aca="false">Sens!F4370+Sens!G4295-Sens!G4298</f>
        <v>374.055785428727</v>
      </c>
      <c r="H4370" s="6" t="n">
        <f aca="false">Sens!G4370+Sens!H4295-Sens!H4298</f>
        <v>493.619309235596</v>
      </c>
      <c r="I4370" s="6" t="n">
        <f aca="false">Sens!H4370+Sens!I4295-Sens!I4298</f>
        <v>539.84599668144</v>
      </c>
      <c r="J4370" s="6" t="n">
        <f aca="false">Sens!I4370+Sens!J4295-Sens!J4298</f>
        <v>552.48323695176</v>
      </c>
      <c r="K4370" s="6" t="n">
        <f aca="false">Sens!J4370+Sens!K4295-Sens!K4298</f>
        <v>560.787333150366</v>
      </c>
      <c r="L4370" s="1" t="s">
        <v>1009</v>
      </c>
    </row>
    <row r="4371" customFormat="false" ht="17.15" hidden="false" customHeight="false" outlineLevel="0" collapsed="false">
      <c r="A4371" s="0" t="s">
        <v>1010</v>
      </c>
      <c r="B4371" s="0" t="s">
        <v>168</v>
      </c>
      <c r="F4371" s="7" t="n">
        <f aca="false">Sens!F4369*(1-tax_f)/((Sens!E4370+Sens!F4370)/2)</f>
        <v>0.0510788566181099</v>
      </c>
      <c r="G4371" s="7" t="n">
        <f aca="false">Sens!G4369*(1-tax_f)/((Sens!F4370+Sens!G4370)/2)</f>
        <v>0.0813772200234569</v>
      </c>
      <c r="H4371" s="7" t="n">
        <f aca="false">Sens!H4369*(1-tax_f)/((Sens!G4370+Sens!H4370)/2)</f>
        <v>0.106415890587776</v>
      </c>
      <c r="I4371" s="7" t="n">
        <f aca="false">Sens!I4369*(1-tax_f)/((Sens!H4370+Sens!I4370)/2)</f>
        <v>0.114741587852811</v>
      </c>
      <c r="J4371" s="7" t="n">
        <f aca="false">Sens!J4369*(1-tax_f)/((Sens!I4370+Sens!J4370)/2)</f>
        <v>0.126829629729202</v>
      </c>
      <c r="K4371" s="7" t="n">
        <f aca="false">Sens!K4369*(1-tax_f)/((Sens!J4370+Sens!K4370)/2)</f>
        <v>0.139922499523754</v>
      </c>
    </row>
    <row r="4372" customFormat="false" ht="17.15" hidden="false" customHeight="false" outlineLevel="0" collapsed="false">
      <c r="A4372" s="1" t="s">
        <v>1011</v>
      </c>
      <c r="B4372" s="0" t="s">
        <v>168</v>
      </c>
      <c r="F4372" s="7" t="n">
        <f aca="false">(Sens!F4369-Sens!F4368)*(1-tax_f)/((Sens!E4370+Sens!F4370)/2)</f>
        <v>0.0141935710730645</v>
      </c>
      <c r="G4372" s="7" t="n">
        <f aca="false">(Sens!G4369-Sens!G4368)*(1-tax_f)/((Sens!F4370+Sens!G4370)/2)</f>
        <v>0.0240978613247586</v>
      </c>
      <c r="H4372" s="7" t="n">
        <f aca="false">(Sens!H4369-Sens!H4368)*(1-tax_f)/((Sens!G4370+Sens!H4370)/2)</f>
        <v>0.0362149647618102</v>
      </c>
      <c r="I4372" s="7" t="n">
        <f aca="false">(Sens!I4369-Sens!I4368)*(1-tax_f)/((Sens!H4370+Sens!I4370)/2)</f>
        <v>0.033616711178251</v>
      </c>
      <c r="J4372" s="7" t="n">
        <f aca="false">(Sens!J4369-Sens!J4368)*(1-tax_f)/((Sens!I4370+Sens!J4370)/2)</f>
        <v>0.0345194873556838</v>
      </c>
      <c r="K4372" s="7" t="n">
        <f aca="false">(Sens!K4369-Sens!K4368)*(1-tax_f)/((Sens!J4370+Sens!K4370)/2)</f>
        <v>0.0406012889414871</v>
      </c>
    </row>
    <row r="4373" customFormat="false" ht="17.15" hidden="false" customHeight="false" outlineLevel="0" collapsed="false">
      <c r="A4373" s="1" t="s">
        <v>1012</v>
      </c>
      <c r="B4373" s="0" t="s">
        <v>168</v>
      </c>
      <c r="F4373" s="7" t="n">
        <f aca="false">(Sens!F4369-Sens!F4368+Sens!F4367)*(1-tax_f)/((Sens!E4370+Sens!F4370)/2)</f>
        <v>0.0510788566181099</v>
      </c>
      <c r="G4373" s="7" t="n">
        <f aca="false">(Sens!G4369-Sens!G4368+Sens!G4367)*(1-tax_f)/((Sens!F4370+Sens!G4370)/2)</f>
        <v>0.0813772200234569</v>
      </c>
      <c r="H4373" s="7" t="n">
        <f aca="false">(Sens!H4369-Sens!H4368+Sens!H4367)*(1-tax_f)/((Sens!G4370+Sens!H4370)/2)</f>
        <v>0.106415890587776</v>
      </c>
      <c r="I4373" s="7" t="n">
        <f aca="false">(Sens!I4369-Sens!I4368+Sens!I4367)*(1-tax_f)/((Sens!H4370+Sens!I4370)/2)</f>
        <v>0.114741587852811</v>
      </c>
      <c r="J4373" s="7" t="n">
        <f aca="false">(Sens!J4369-Sens!J4368+Sens!J4367)*(1-tax_f)/((Sens!I4370+Sens!J4370)/2)</f>
        <v>0.126829629729202</v>
      </c>
      <c r="K4373" s="7" t="n">
        <f aca="false">(Sens!K4369-Sens!K4368+Sens!K4367)*(1-tax_f)/((Sens!J4370+Sens!K4370)/2)</f>
        <v>0.139922499523754</v>
      </c>
    </row>
    <row r="4374" customFormat="false" ht="17.15" hidden="false" customHeight="false" outlineLevel="0" collapsed="false">
      <c r="A4374" s="1" t="s">
        <v>1013</v>
      </c>
      <c r="B4374" s="0" t="s">
        <v>168</v>
      </c>
      <c r="F4374" s="7" t="n">
        <f aca="false">Sens!F4299*(1-tax_f)/(Sens!F4285*(Sens!E4370+Sens!F4370)/2)</f>
        <v>0.130373927579058</v>
      </c>
      <c r="G4374" s="7" t="n">
        <f aca="false">Sens!G4299*(1-tax_f)/(Sens!G4285*(Sens!F4370+Sens!G4370)/2)</f>
        <v>0.154903037497369</v>
      </c>
      <c r="H4374" s="7" t="n">
        <f aca="false">Sens!H4299*(1-tax_f)/(Sens!H4285*(Sens!G4370+Sens!H4370)/2)</f>
        <v>0.184609117160482</v>
      </c>
      <c r="I4374" s="7" t="n">
        <f aca="false">Sens!I4299*(1-tax_f)/(Sens!I4285*(Sens!H4370+Sens!I4370)/2)</f>
        <v>0.192961808923652</v>
      </c>
      <c r="J4374" s="7" t="n">
        <f aca="false">Sens!J4299*(1-tax_f)/(Sens!J4285*(Sens!I4370+Sens!J4370)/2)</f>
        <v>0.209830566854359</v>
      </c>
      <c r="K4374" s="7" t="n">
        <f aca="false">Sens!K4299*(1-tax_f)/(Sens!K4285*(Sens!J4370+Sens!K4370)/2)</f>
        <v>0.227916656580163</v>
      </c>
    </row>
    <row r="4375" customFormat="false" ht="17.15" hidden="false" customHeight="false" outlineLevel="0" collapsed="false">
      <c r="A4375" s="0" t="s">
        <v>1014</v>
      </c>
      <c r="B4375" s="0" t="s">
        <v>253</v>
      </c>
      <c r="F4375" s="7" t="n">
        <f aca="false">Sens!F4371-wacc</f>
        <v>-0.0518577343274874</v>
      </c>
      <c r="G4375" s="7" t="n">
        <f aca="false">Sens!G4371-wacc</f>
        <v>-0.0215593709221404</v>
      </c>
      <c r="H4375" s="7" t="n">
        <f aca="false">Sens!H4371-wacc</f>
        <v>0.00347929964217822</v>
      </c>
      <c r="I4375" s="7" t="n">
        <f aca="false">Sens!I4371-wacc</f>
        <v>0.0118049969072133</v>
      </c>
      <c r="J4375" s="7" t="n">
        <f aca="false">Sens!J4371-wacc</f>
        <v>0.0238930387836048</v>
      </c>
      <c r="K4375" s="7" t="n">
        <f aca="false">Sens!K4371-wacc</f>
        <v>0.036985908578157</v>
      </c>
    </row>
    <row r="4376" customFormat="false" ht="17.15" hidden="false" customHeight="false" outlineLevel="0" collapsed="false">
      <c r="A4376" s="0" t="s">
        <v>1015</v>
      </c>
      <c r="B4376" s="0" t="s">
        <v>98</v>
      </c>
      <c r="F4376" s="6" t="n">
        <f aca="false">Sens!F4369*(1-tax_f)-wacc*(Sens!E4370+Sens!F4370)/2</f>
        <v>-9.8751793851763</v>
      </c>
      <c r="G4376" s="6" t="n">
        <f aca="false">Sens!G4369*(1-tax_f)-wacc*(Sens!F4370+Sens!G4370)/2</f>
        <v>-6.77195273072783</v>
      </c>
      <c r="H4376" s="6" t="n">
        <f aca="false">Sens!H4369*(1-tax_f)-wacc*(Sens!G4370+Sens!H4370)/2</f>
        <v>1.50945082319627</v>
      </c>
      <c r="I4376" s="6" t="n">
        <f aca="false">Sens!I4369*(1-tax_f)-wacc*(Sens!H4370+Sens!I4370)/2</f>
        <v>6.10002737003144</v>
      </c>
      <c r="J4376" s="6" t="n">
        <f aca="false">Sens!J4369*(1-tax_f)-wacc*(Sens!I4370+Sens!J4370)/2</f>
        <v>13.0495323718317</v>
      </c>
      <c r="K4376" s="6" t="n">
        <f aca="false">Sens!K4369*(1-tax_f)-wacc*(Sens!J4370+Sens!K4370)/2</f>
        <v>20.587661764275</v>
      </c>
    </row>
    <row r="4377" customFormat="false" ht="17.15" hidden="false" customHeight="false" outlineLevel="0" collapsed="false">
      <c r="A4377" s="3" t="s">
        <v>1588</v>
      </c>
    </row>
    <row r="4378" customFormat="false" ht="15" hidden="false" customHeight="false" outlineLevel="0" collapsed="false">
      <c r="A4378" s="4" t="s">
        <v>43</v>
      </c>
      <c r="B4378" s="4" t="s">
        <v>65</v>
      </c>
      <c r="C4378" s="23" t="s">
        <v>938</v>
      </c>
      <c r="D4378" s="23" t="s">
        <v>939</v>
      </c>
      <c r="E4378" s="23" t="s">
        <v>940</v>
      </c>
      <c r="F4378" s="23" t="s">
        <v>941</v>
      </c>
      <c r="G4378" s="23" t="s">
        <v>942</v>
      </c>
      <c r="H4378" s="23" t="s">
        <v>943</v>
      </c>
      <c r="I4378" s="23" t="s">
        <v>944</v>
      </c>
      <c r="J4378" s="23" t="s">
        <v>945</v>
      </c>
      <c r="K4378" s="23" t="s">
        <v>946</v>
      </c>
      <c r="L4378" s="4" t="s">
        <v>47</v>
      </c>
    </row>
    <row r="4379" customFormat="false" ht="15" hidden="false" customHeight="false" outlineLevel="0" collapsed="false">
      <c r="A4379" s="1" t="s">
        <v>1076</v>
      </c>
      <c r="B4379" s="0" t="s">
        <v>98</v>
      </c>
      <c r="F4379" s="6" t="n">
        <f aca="false">Sens!F4360</f>
        <v>145.646608180407</v>
      </c>
      <c r="G4379" s="6" t="n">
        <f aca="false">Sens!G4360</f>
        <v>162.141894804294</v>
      </c>
      <c r="H4379" s="6" t="n">
        <f aca="false">Sens!H4360</f>
        <v>186.596574652331</v>
      </c>
      <c r="I4379" s="6" t="n">
        <f aca="false">Sens!I4360</f>
        <v>204.263187645159</v>
      </c>
      <c r="J4379" s="6" t="n">
        <f aca="false">Sens!J4360</f>
        <v>220.818129562248</v>
      </c>
      <c r="K4379" s="6" t="n">
        <f aca="false">Sens!K4360</f>
        <v>238.054995233385</v>
      </c>
    </row>
    <row r="4380" customFormat="false" ht="17.15" hidden="false" customHeight="false" outlineLevel="0" collapsed="false">
      <c r="A4380" s="1" t="s">
        <v>1098</v>
      </c>
      <c r="B4380" s="0" t="s">
        <v>98</v>
      </c>
      <c r="E4380" s="6" t="n">
        <f aca="false">Q!M38-Sens!E4298</f>
        <v>19.2164783275</v>
      </c>
      <c r="F4380" s="6" t="n">
        <f aca="false">Sens!E4380*(1-1/life_nonai)+(Sens!F4388+Sens!F4389)/life_nonai</f>
        <v>20.869440090538</v>
      </c>
      <c r="G4380" s="6" t="n">
        <f aca="false">Sens!F4380*(1-1/life_nonai)+(Sens!G4388)/life_nonai</f>
        <v>22.9403278631934</v>
      </c>
      <c r="H4380" s="6" t="n">
        <f aca="false">Sens!G4380*(1-1/life_nonai)+(Sens!H4388)/life_nonai</f>
        <v>25.400631638317</v>
      </c>
      <c r="I4380" s="6" t="n">
        <f aca="false">Sens!H4380*(1-1/life_nonai)+(Sens!I4388)/life_nonai</f>
        <v>28.1766915044291</v>
      </c>
      <c r="J4380" s="6" t="n">
        <f aca="false">Sens!I4380*(1-1/life_nonai)+(Sens!J4388)/life_nonai</f>
        <v>31.1788780180527</v>
      </c>
      <c r="K4380" s="6" t="n">
        <f aca="false">Sens!J4380*(1-1/life_nonai)+(Sens!K4388)/life_nonai</f>
        <v>34.3249162025202</v>
      </c>
      <c r="L4380" s="12" t="s">
        <v>1099</v>
      </c>
    </row>
    <row r="4381" customFormat="false" ht="17.15" hidden="false" customHeight="false" outlineLevel="0" collapsed="false">
      <c r="A4381" s="1" t="s">
        <v>1100</v>
      </c>
      <c r="B4381" s="0" t="s">
        <v>98</v>
      </c>
      <c r="F4381" s="6" t="n">
        <f aca="false">Sens!$F$4389/life_nonai*(1-1/life_nonai)^(Sens!F4261-2027)</f>
        <v>0.00475774452575592</v>
      </c>
      <c r="G4381" s="6" t="n">
        <f aca="false">Sens!$F$4389/life_nonai*(1-1/life_nonai)^(Sens!G4261-2027)</f>
        <v>0.00428197007318033</v>
      </c>
      <c r="H4381" s="6" t="n">
        <f aca="false">Sens!$F$4389/life_nonai*(1-1/life_nonai)^(Sens!H4261-2027)</f>
        <v>0.0038537730658623</v>
      </c>
      <c r="I4381" s="6" t="n">
        <f aca="false">Sens!$F$4389/life_nonai*(1-1/life_nonai)^(Sens!I4261-2027)</f>
        <v>0.00346839575927607</v>
      </c>
      <c r="J4381" s="6" t="n">
        <f aca="false">Sens!$F$4389/life_nonai*(1-1/life_nonai)^(Sens!J4261-2027)</f>
        <v>0.00312155618334846</v>
      </c>
      <c r="K4381" s="6" t="n">
        <f aca="false">Sens!$F$4389/life_nonai*(1-1/life_nonai)^(Sens!K4261-2027)</f>
        <v>0.00280940056501362</v>
      </c>
      <c r="L4381" s="1" t="s">
        <v>1101</v>
      </c>
    </row>
    <row r="4382" customFormat="false" ht="17.15" hidden="false" customHeight="false" outlineLevel="0" collapsed="false">
      <c r="A4382" s="1" t="s">
        <v>1102</v>
      </c>
      <c r="B4382" s="0" t="s">
        <v>98</v>
      </c>
      <c r="E4382" s="6" t="n">
        <f aca="false">Sens!E4298+Sens!E4380</f>
        <v>38.534</v>
      </c>
      <c r="F4382" s="6" t="n">
        <f aca="false">Sens!F4298+Sens!F4380</f>
        <v>61.862851565975</v>
      </c>
      <c r="G4382" s="6" t="n">
        <f aca="false">Sens!G4298+Sens!G4380</f>
        <v>94.9875488501971</v>
      </c>
      <c r="H4382" s="6" t="n">
        <f aca="false">Sens!H4298+Sens!H4380</f>
        <v>131.80385665596</v>
      </c>
      <c r="I4382" s="6" t="n">
        <f aca="false">Sens!I4298+Sens!I4380</f>
        <v>165.442768680196</v>
      </c>
      <c r="J4382" s="6" t="n">
        <f aca="false">Sens!J4298+Sens!J4380</f>
        <v>190.915127463673</v>
      </c>
      <c r="K4382" s="6" t="n">
        <f aca="false">Sens!K4298+Sens!K4380</f>
        <v>207.502827992159</v>
      </c>
    </row>
    <row r="4383" customFormat="false" ht="17.15" hidden="false" customHeight="false" outlineLevel="0" collapsed="false">
      <c r="A4383" s="1" t="s">
        <v>1103</v>
      </c>
      <c r="B4383" s="0" t="s">
        <v>98</v>
      </c>
      <c r="F4383" s="6" t="n">
        <f aca="false">Sens!F4325*sbc_r</f>
        <v>15.0680693022395</v>
      </c>
      <c r="G4383" s="6" t="n">
        <f aca="false">Sens!G4325*sbc_r</f>
        <v>18.3841476633065</v>
      </c>
      <c r="H4383" s="6" t="n">
        <f aca="false">Sens!H4325*sbc_r</f>
        <v>21.998882236742</v>
      </c>
      <c r="I4383" s="6" t="n">
        <f aca="false">Sens!I4325*sbc_r</f>
        <v>25.0649051566001</v>
      </c>
      <c r="J4383" s="6" t="n">
        <f aca="false">Sens!J4325*sbc_r</f>
        <v>27.5855361991573</v>
      </c>
      <c r="K4383" s="6" t="n">
        <f aca="false">Sens!K4325*sbc_r</f>
        <v>29.6417437947588</v>
      </c>
    </row>
    <row r="4384" customFormat="false" ht="17.15" hidden="false" customHeight="false" outlineLevel="0" collapsed="false">
      <c r="A4384" s="1" t="s">
        <v>1104</v>
      </c>
      <c r="B4384" s="0" t="s">
        <v>98</v>
      </c>
      <c r="F4384" s="6" t="n">
        <f aca="false">wc27-wc26q1</f>
        <v>-4.677</v>
      </c>
      <c r="G4384" s="6" t="n">
        <f aca="false">wc_f</f>
        <v>0</v>
      </c>
      <c r="H4384" s="6" t="n">
        <f aca="false">wc_f</f>
        <v>0</v>
      </c>
      <c r="I4384" s="6" t="n">
        <f aca="false">wc_f</f>
        <v>0</v>
      </c>
      <c r="J4384" s="6" t="n">
        <f aca="false">wc_f</f>
        <v>0</v>
      </c>
      <c r="K4384" s="6" t="n">
        <f aca="false">wc_f</f>
        <v>0</v>
      </c>
      <c r="L4384" s="12" t="s">
        <v>1105</v>
      </c>
    </row>
    <row r="4385" customFormat="false" ht="17.15" hidden="false" customHeight="false" outlineLevel="0" collapsed="false">
      <c r="A4385" s="0" t="s">
        <v>1106</v>
      </c>
      <c r="B4385" s="0" t="s">
        <v>98</v>
      </c>
      <c r="F4385" s="6" t="n">
        <f aca="false">Q!$I$35-Q!$I$26-Q!$I$38-Q!$I$39</f>
        <v>6.493</v>
      </c>
      <c r="L4385" s="1" t="s">
        <v>1107</v>
      </c>
    </row>
    <row r="4386" customFormat="false" ht="15" hidden="false" customHeight="false" outlineLevel="0" collapsed="false">
      <c r="A4386" s="1" t="s">
        <v>904</v>
      </c>
      <c r="B4386" s="0" t="s">
        <v>98</v>
      </c>
      <c r="E4386" s="6" t="n">
        <f aca="false">Q!M35</f>
        <v>182.935</v>
      </c>
      <c r="F4386" s="6" t="n">
        <f aca="false">Sens!F4379+Sens!F4382+Sens!F4383+Sens!F4384+Sens!F4385</f>
        <v>224.393529048622</v>
      </c>
      <c r="G4386" s="6" t="n">
        <f aca="false">Sens!G4379+Sens!G4382+Sens!G4383+Sens!G4384</f>
        <v>275.513591317798</v>
      </c>
      <c r="H4386" s="6" t="n">
        <f aca="false">Sens!H4379+Sens!H4382+Sens!H4383+Sens!H4384</f>
        <v>340.399313545033</v>
      </c>
      <c r="I4386" s="6" t="n">
        <f aca="false">Sens!I4379+Sens!I4382+Sens!I4383+Sens!I4384</f>
        <v>394.770861481955</v>
      </c>
      <c r="J4386" s="6" t="n">
        <f aca="false">Sens!J4379+Sens!J4382+Sens!J4383+Sens!J4384</f>
        <v>439.318793225078</v>
      </c>
      <c r="K4386" s="6" t="n">
        <f aca="false">Sens!K4379+Sens!K4382+Sens!K4383+Sens!K4384</f>
        <v>475.199567020302</v>
      </c>
    </row>
    <row r="4387" customFormat="false" ht="17.15" hidden="false" customHeight="false" outlineLevel="0" collapsed="false">
      <c r="A4387" s="0" t="s">
        <v>1108</v>
      </c>
      <c r="B4387" s="0" t="s">
        <v>98</v>
      </c>
      <c r="F4387" s="6" t="n">
        <f aca="false">Sens!F4295</f>
        <v>168.45390404212</v>
      </c>
      <c r="G4387" s="6" t="n">
        <f aca="false">Sens!G4295</f>
        <v>191.944475649048</v>
      </c>
      <c r="H4387" s="6" t="n">
        <f aca="false">Sens!H4295</f>
        <v>225.966748824512</v>
      </c>
      <c r="I4387" s="6" t="n">
        <f aca="false">Sens!I4295</f>
        <v>183.49276462161</v>
      </c>
      <c r="J4387" s="6" t="n">
        <f aca="false">Sens!J4295</f>
        <v>172.37348971594</v>
      </c>
      <c r="K4387" s="6" t="n">
        <f aca="false">Sens!K4295</f>
        <v>181.482007988245</v>
      </c>
    </row>
    <row r="4388" customFormat="false" ht="17.15" hidden="false" customHeight="false" outlineLevel="0" collapsed="false">
      <c r="A4388" s="1" t="s">
        <v>1109</v>
      </c>
      <c r="B4388" s="0" t="s">
        <v>98</v>
      </c>
      <c r="E4388" s="6" t="n">
        <f aca="false">Sens!E4303*cx_azo+Sens!E4310*cx_m365+Sens!E4311*cx_lic+(Sens!E4313+Sens!E4315)*cx_ind+Sens!E4318*cx_srch+(Sens!E4320+Sens!E4322)*cx_dev</f>
        <v>30.1846587067718</v>
      </c>
      <c r="F4388" s="6" t="n">
        <f aca="false">Sens!F4303*cx_azo+Sens!F4310*cx_m365+Sens!F4311*cx_lic+(Sens!F4313+Sens!F4315)*cx_ind+Sens!F4318*cx_srch+(Sens!F4320+Sens!F4322)*cx_dev</f>
        <v>35.6985185126228</v>
      </c>
      <c r="G4388" s="6" t="n">
        <f aca="false">Sens!G4303*cx_azo+Sens!G4310*cx_m365+Sens!G4311*cx_lic+(Sens!G4313+Sens!G4315)*cx_ind+Sens!G4318*cx_srch+(Sens!G4320+Sens!G4322)*cx_dev</f>
        <v>41.5783178170917</v>
      </c>
      <c r="H4388" s="6" t="n">
        <f aca="false">Sens!H4303*cx_azo+Sens!H4310*cx_m365+Sens!H4311*cx_lic+(Sens!H4313+Sens!H4315)*cx_ind+Sens!H4318*cx_srch+(Sens!H4320+Sens!H4322)*cx_dev</f>
        <v>47.5433656144293</v>
      </c>
      <c r="I4388" s="6" t="n">
        <f aca="false">Sens!I4303*cx_azo+Sens!I4310*cx_m365+Sens!I4311*cx_lic+(Sens!I4313+Sens!I4315)*cx_ind+Sens!I4318*cx_srch+(Sens!I4320+Sens!I4322)*cx_dev</f>
        <v>53.1612302994382</v>
      </c>
      <c r="J4388" s="6" t="n">
        <f aca="false">Sens!J4303*cx_azo+Sens!J4310*cx_m365+Sens!J4311*cx_lic+(Sens!J4313+Sens!J4315)*cx_ind+Sens!J4318*cx_srch+(Sens!J4320+Sens!J4322)*cx_dev</f>
        <v>58.1985566406647</v>
      </c>
      <c r="K4388" s="6" t="n">
        <f aca="false">Sens!K4303*cx_azo+Sens!K4310*cx_m365+Sens!K4311*cx_lic+(Sens!K4313+Sens!K4315)*cx_ind+Sens!K4318*cx_srch+(Sens!K4320+Sens!K4322)*cx_dev</f>
        <v>62.6392598627275</v>
      </c>
    </row>
    <row r="4389" customFormat="false" ht="17.15" hidden="false" customHeight="false" outlineLevel="0" collapsed="false">
      <c r="A4389" s="0" t="s">
        <v>1110</v>
      </c>
      <c r="B4389" s="0" t="s">
        <v>98</v>
      </c>
      <c r="F4389" s="6" t="n">
        <f aca="false">Sens!F4293</f>
        <v>0.0475774452575593</v>
      </c>
      <c r="L4389" s="1" t="s">
        <v>1111</v>
      </c>
    </row>
    <row r="4390" customFormat="false" ht="17.15" hidden="false" customHeight="false" outlineLevel="0" collapsed="false">
      <c r="A4390" s="1" t="s">
        <v>1112</v>
      </c>
      <c r="B4390" s="0" t="s">
        <v>98</v>
      </c>
      <c r="E4390" s="6" t="n">
        <f aca="false">Q!M43</f>
        <v>145.3</v>
      </c>
      <c r="F4390" s="6" t="n">
        <f aca="false">Sens!F4387+Sens!F4388+Sens!F4389</f>
        <v>204.2</v>
      </c>
      <c r="G4390" s="6" t="n">
        <f aca="false">Sens!G4387+Sens!G4388</f>
        <v>233.52279346614</v>
      </c>
      <c r="H4390" s="6" t="n">
        <f aca="false">Sens!H4387+Sens!H4388</f>
        <v>273.510114438942</v>
      </c>
      <c r="I4390" s="6" t="n">
        <f aca="false">Sens!I4387+Sens!I4388</f>
        <v>236.653994921049</v>
      </c>
      <c r="J4390" s="6" t="n">
        <f aca="false">Sens!J4387+Sens!J4388</f>
        <v>230.572046356605</v>
      </c>
      <c r="K4390" s="6" t="n">
        <f aca="false">Sens!K4387+Sens!K4388</f>
        <v>244.121267850973</v>
      </c>
      <c r="L4390" s="1" t="s">
        <v>1113</v>
      </c>
    </row>
    <row r="4391" customFormat="false" ht="15" hidden="false" customHeight="false" outlineLevel="0" collapsed="false">
      <c r="A4391" s="1" t="s">
        <v>1114</v>
      </c>
      <c r="B4391" s="0" t="s">
        <v>98</v>
      </c>
      <c r="E4391" s="6" t="n">
        <f aca="false">fl_liab</f>
        <v>66.594</v>
      </c>
      <c r="F4391" s="6" t="n">
        <f aca="false">Sens!E4391-Sens!F4392</f>
        <v>62.46973</v>
      </c>
      <c r="G4391" s="6" t="n">
        <f aca="false">Sens!F4391-Sens!G4392</f>
        <v>57.98686785</v>
      </c>
      <c r="H4391" s="6" t="n">
        <f aca="false">Sens!G4391-Sens!H4392</f>
        <v>53.92827690325</v>
      </c>
      <c r="I4391" s="6" t="n">
        <f aca="false">Sens!H4391-Sens!I4392</f>
        <v>49.7850493638962</v>
      </c>
      <c r="J4391" s="6" t="n">
        <f aca="false">Sens!I4391-Sens!J4392</f>
        <v>45.4823765852716</v>
      </c>
      <c r="K4391" s="6" t="n">
        <f aca="false">Sens!J4391-Sens!K4392</f>
        <v>40.9860835316088</v>
      </c>
    </row>
    <row r="4392" customFormat="false" ht="15" hidden="false" customHeight="false" outlineLevel="0" collapsed="false">
      <c r="A4392" s="1" t="s">
        <v>1115</v>
      </c>
      <c r="B4392" s="0" t="s">
        <v>98</v>
      </c>
      <c r="F4392" s="6" t="n">
        <f aca="false">fl_pay_27-Sens!E4391*fl_rate</f>
        <v>4.12427</v>
      </c>
      <c r="G4392" s="6" t="n">
        <f aca="false">fl_pay_28-Sens!F4391*fl_rate</f>
        <v>4.48286215</v>
      </c>
      <c r="H4392" s="6" t="n">
        <f aca="false">fl_pay_29-Sens!G4391*fl_rate</f>
        <v>4.05859094675</v>
      </c>
      <c r="I4392" s="6" t="n">
        <f aca="false">fl_pay_30-Sens!H4391*fl_rate</f>
        <v>4.14322753935375</v>
      </c>
      <c r="J4392" s="6" t="n">
        <f aca="false">fl_pay_31-Sens!I4391*fl_rate</f>
        <v>4.30267277862467</v>
      </c>
      <c r="K4392" s="6" t="n">
        <f aca="false">fl_pay_32-Sens!J4391*fl_rate</f>
        <v>4.49629305366278</v>
      </c>
    </row>
    <row r="4393" customFormat="false" ht="17.15" hidden="false" customHeight="false" outlineLevel="0" collapsed="false">
      <c r="A4393" s="1" t="s">
        <v>1116</v>
      </c>
      <c r="B4393" s="0" t="s">
        <v>98</v>
      </c>
      <c r="E4393" s="6" t="n">
        <f aca="false">Q!M35-Q!M36-Q!M44</f>
        <v>63.886</v>
      </c>
      <c r="F4393" s="6" t="n">
        <f aca="false">Sens!F4386-Sens!F4390-Sens!F4392</f>
        <v>16.0692590486218</v>
      </c>
      <c r="G4393" s="6" t="n">
        <f aca="false">Sens!G4386-Sens!G4390-Sens!G4392</f>
        <v>37.5079357016581</v>
      </c>
      <c r="H4393" s="6" t="n">
        <f aca="false">Sens!H4386-Sens!H4390-Sens!H4392</f>
        <v>62.8306081593416</v>
      </c>
      <c r="I4393" s="6" t="n">
        <f aca="false">Sens!I4386-Sens!I4390-Sens!I4392</f>
        <v>153.973639021553</v>
      </c>
      <c r="J4393" s="6" t="n">
        <f aca="false">Sens!J4386-Sens!J4390-Sens!J4392</f>
        <v>204.444074089848</v>
      </c>
      <c r="K4393" s="6" t="n">
        <f aca="false">Sens!K4386-Sens!K4390-Sens!K4392</f>
        <v>226.582006115667</v>
      </c>
      <c r="L4393" s="12" t="s">
        <v>1117</v>
      </c>
    </row>
    <row r="4394" customFormat="false" ht="15" hidden="false" customHeight="false" outlineLevel="0" collapsed="false">
      <c r="A4394" s="1" t="s">
        <v>1118</v>
      </c>
      <c r="B4394" s="0" t="s">
        <v>75</v>
      </c>
      <c r="F4394" s="8" t="n">
        <f aca="false">dps_27</f>
        <v>3.85</v>
      </c>
      <c r="G4394" s="8" t="n">
        <f aca="false">Sens!F4394*(1+dps_g)</f>
        <v>4.158</v>
      </c>
      <c r="H4394" s="8" t="n">
        <f aca="false">Sens!G4394*(1+dps_g)</f>
        <v>4.49064</v>
      </c>
      <c r="I4394" s="8" t="n">
        <f aca="false">Sens!H4394*(1+dps_g)</f>
        <v>4.8498912</v>
      </c>
      <c r="J4394" s="8" t="n">
        <f aca="false">Sens!I4394*(1+dps_g)</f>
        <v>5.237882496</v>
      </c>
      <c r="K4394" s="8" t="n">
        <f aca="false">Sens!J4394*(1+dps_g)</f>
        <v>5.65691309568</v>
      </c>
    </row>
    <row r="4395" customFormat="false" ht="17.15" hidden="false" customHeight="false" outlineLevel="0" collapsed="false">
      <c r="A4395" s="1" t="s">
        <v>1119</v>
      </c>
      <c r="B4395" s="0" t="s">
        <v>98</v>
      </c>
      <c r="E4395" s="6" t="n">
        <f aca="false">Q!M41</f>
        <v>26.445</v>
      </c>
      <c r="F4395" s="6" t="n">
        <f aca="false">Sens!F4394*Sens!E4404</f>
        <v>28.59395</v>
      </c>
      <c r="G4395" s="6" t="n">
        <f aca="false">Sens!G4394*Sens!F4404</f>
        <v>31.0303874651638</v>
      </c>
      <c r="H4395" s="6" t="n">
        <f aca="false">Sens!H4394*Sens!G4404</f>
        <v>33.6660904366468</v>
      </c>
      <c r="I4395" s="6" t="n">
        <f aca="false">Sens!I4394*Sens!H4404</f>
        <v>36.4098159486512</v>
      </c>
      <c r="J4395" s="6" t="n">
        <f aca="false">Sens!J4394*Sens!I4404</f>
        <v>39.390499109936</v>
      </c>
      <c r="K4395" s="6" t="n">
        <f aca="false">Sens!K4394*Sens!J4404</f>
        <v>42.6284933011091</v>
      </c>
      <c r="L4395" s="1" t="s">
        <v>1120</v>
      </c>
    </row>
    <row r="4396" customFormat="false" ht="15" hidden="false" customHeight="false" outlineLevel="0" collapsed="false">
      <c r="A4396" s="1" t="s">
        <v>1121</v>
      </c>
      <c r="B4396" s="0" t="s">
        <v>98</v>
      </c>
      <c r="E4396" s="6" t="n">
        <f aca="false">Sens!E4393-Sens!E4395</f>
        <v>37.441</v>
      </c>
      <c r="F4396" s="6" t="n">
        <f aca="false">Sens!F4393-Sens!F4395</f>
        <v>-12.5246909513782</v>
      </c>
      <c r="G4396" s="6" t="n">
        <f aca="false">Sens!G4393-Sens!G4395</f>
        <v>6.47754823649427</v>
      </c>
      <c r="H4396" s="6" t="n">
        <f aca="false">Sens!H4393-Sens!H4395</f>
        <v>29.1645177226947</v>
      </c>
      <c r="I4396" s="6" t="n">
        <f aca="false">Sens!I4393-Sens!I4395</f>
        <v>117.563823072902</v>
      </c>
      <c r="J4396" s="6" t="n">
        <f aca="false">Sens!J4393-Sens!J4395</f>
        <v>165.053574979912</v>
      </c>
      <c r="K4396" s="6" t="n">
        <f aca="false">Sens!K4393-Sens!K4395</f>
        <v>183.953512814558</v>
      </c>
    </row>
    <row r="4397" customFormat="false" ht="15" hidden="false" customHeight="false" outlineLevel="0" collapsed="false">
      <c r="A4397" s="1" t="s">
        <v>1122</v>
      </c>
      <c r="B4397" s="0" t="s">
        <v>98</v>
      </c>
      <c r="F4397" s="6" t="n">
        <f aca="false">debt_mat_27</f>
        <v>9.25</v>
      </c>
      <c r="G4397" s="6" t="n">
        <f aca="false">debt_mat_28</f>
        <v>0</v>
      </c>
      <c r="H4397" s="6" t="n">
        <f aca="false">debt_mat_29</f>
        <v>2.001</v>
      </c>
      <c r="I4397" s="6" t="n">
        <f aca="false">debt_mat_30</f>
        <v>0</v>
      </c>
      <c r="J4397" s="6" t="n">
        <f aca="false">debt_mat_31</f>
        <v>0.5</v>
      </c>
      <c r="K4397" s="6" t="n">
        <f aca="false">debt_mat_32</f>
        <v>0</v>
      </c>
    </row>
    <row r="4398" customFormat="false" ht="15" hidden="false" customHeight="false" outlineLevel="0" collapsed="false">
      <c r="A4398" s="1" t="s">
        <v>1123</v>
      </c>
      <c r="B4398" s="0" t="s">
        <v>98</v>
      </c>
      <c r="E4398" s="6" t="n">
        <f aca="false">Q!M40</f>
        <v>22.271</v>
      </c>
      <c r="F4398" s="6" t="n">
        <f aca="false">MAX(0,MIN(bb_target,Sens!E4400+Sens!F4396-Sens!F4397-min_cash))</f>
        <v>5.0683090486218</v>
      </c>
      <c r="G4398" s="6" t="n">
        <f aca="false">MAX(0,MIN(bb_target,Sens!F4400+Sens!G4396-Sens!G4397-min_cash))</f>
        <v>6.47754823649427</v>
      </c>
      <c r="H4398" s="6" t="n">
        <f aca="false">MAX(0,MIN(bb_target,Sens!G4400+Sens!H4396-Sens!H4397-min_cash))</f>
        <v>22.271</v>
      </c>
      <c r="I4398" s="6" t="n">
        <f aca="false">MAX(0,MIN(bb_target,Sens!H4400+Sens!I4396-Sens!I4397-min_cash))</f>
        <v>22.271</v>
      </c>
      <c r="J4398" s="6" t="n">
        <f aca="false">MAX(0,MIN(bb_target,Sens!I4400+Sens!J4396-Sens!J4397-min_cash))</f>
        <v>22.271</v>
      </c>
      <c r="K4398" s="6" t="n">
        <f aca="false">MAX(0,MIN(bb_target,Sens!J4400+Sens!K4396-Sens!K4397-min_cash))</f>
        <v>22.271</v>
      </c>
    </row>
    <row r="4399" customFormat="false" ht="15" hidden="false" customHeight="false" outlineLevel="0" collapsed="false">
      <c r="A4399" s="1" t="s">
        <v>1124</v>
      </c>
      <c r="B4399" s="0" t="s">
        <v>98</v>
      </c>
      <c r="F4399" s="6" t="n">
        <f aca="false">MAX(0,min_cash-(Sens!E4400+Sens!F4396-Sens!F4397-Sens!F4398))</f>
        <v>0</v>
      </c>
      <c r="G4399" s="6" t="n">
        <f aca="false">MAX(0,min_cash-(Sens!F4400+Sens!G4396-Sens!G4397-Sens!G4398))</f>
        <v>0</v>
      </c>
      <c r="H4399" s="6" t="n">
        <f aca="false">MAX(0,min_cash-(Sens!G4400+Sens!H4396-Sens!H4397-Sens!H4398))</f>
        <v>0</v>
      </c>
      <c r="I4399" s="6" t="n">
        <f aca="false">MAX(0,min_cash-(Sens!H4400+Sens!I4396-Sens!I4397-Sens!I4398))</f>
        <v>0</v>
      </c>
      <c r="J4399" s="6" t="n">
        <f aca="false">MAX(0,min_cash-(Sens!I4400+Sens!J4396-Sens!J4397-Sens!J4398))</f>
        <v>0</v>
      </c>
      <c r="K4399" s="6" t="n">
        <f aca="false">MAX(0,min_cash-(Sens!J4400+Sens!K4396-Sens!K4397-Sens!K4398))</f>
        <v>0</v>
      </c>
    </row>
    <row r="4400" customFormat="false" ht="15" hidden="false" customHeight="false" outlineLevel="0" collapsed="false">
      <c r="A4400" s="1" t="s">
        <v>1125</v>
      </c>
      <c r="B4400" s="0" t="s">
        <v>98</v>
      </c>
      <c r="E4400" s="6" t="n">
        <f aca="false">cash_open</f>
        <v>76.843</v>
      </c>
      <c r="F4400" s="6" t="n">
        <f aca="false">Sens!E4400+Sens!F4396-Sens!F4397-Sens!F4398+Sens!F4399</f>
        <v>50</v>
      </c>
      <c r="G4400" s="6" t="n">
        <f aca="false">Sens!F4400+Sens!G4396-Sens!G4397-Sens!G4398+Sens!G4399</f>
        <v>50</v>
      </c>
      <c r="H4400" s="6" t="n">
        <f aca="false">Sens!G4400+Sens!H4396-Sens!H4397-Sens!H4398+Sens!H4399</f>
        <v>54.8925177226947</v>
      </c>
      <c r="I4400" s="6" t="n">
        <f aca="false">Sens!H4400+Sens!I4396-Sens!I4397-Sens!I4398+Sens!I4399</f>
        <v>150.185340795596</v>
      </c>
      <c r="J4400" s="6" t="n">
        <f aca="false">Sens!I4400+Sens!J4396-Sens!J4397-Sens!J4398+Sens!J4399</f>
        <v>292.467915775508</v>
      </c>
      <c r="K4400" s="6" t="n">
        <f aca="false">Sens!J4400+Sens!K4396-Sens!K4397-Sens!K4398+Sens!K4399</f>
        <v>454.150428590066</v>
      </c>
    </row>
    <row r="4401" customFormat="false" ht="15" hidden="false" customHeight="false" outlineLevel="0" collapsed="false">
      <c r="A4401" s="1" t="s">
        <v>1126</v>
      </c>
      <c r="B4401" s="0" t="s">
        <v>98</v>
      </c>
      <c r="E4401" s="6" t="n">
        <f aca="false">debt_face</f>
        <v>46.136</v>
      </c>
      <c r="F4401" s="6" t="n">
        <f aca="false">Sens!E4401-Sens!F4397+Sens!F4399</f>
        <v>36.886</v>
      </c>
      <c r="G4401" s="6" t="n">
        <f aca="false">Sens!F4401-Sens!G4397+Sens!G4399</f>
        <v>36.886</v>
      </c>
      <c r="H4401" s="6" t="n">
        <f aca="false">Sens!G4401-Sens!H4397+Sens!H4399</f>
        <v>34.885</v>
      </c>
      <c r="I4401" s="6" t="n">
        <f aca="false">Sens!H4401-Sens!I4397+Sens!I4399</f>
        <v>34.885</v>
      </c>
      <c r="J4401" s="6" t="n">
        <f aca="false">Sens!I4401-Sens!J4397+Sens!J4399</f>
        <v>34.385</v>
      </c>
      <c r="K4401" s="6" t="n">
        <f aca="false">Sens!J4401-Sens!K4397+Sens!K4399</f>
        <v>34.385</v>
      </c>
    </row>
    <row r="4402" customFormat="false" ht="15" hidden="false" customHeight="false" outlineLevel="0" collapsed="false">
      <c r="A4402" s="1" t="s">
        <v>1127</v>
      </c>
      <c r="B4402" s="0" t="s">
        <v>98</v>
      </c>
      <c r="E4402" s="6" t="n">
        <f aca="false">Sens!E4400-Sens!E4401</f>
        <v>30.707</v>
      </c>
      <c r="F4402" s="6" t="n">
        <f aca="false">Sens!F4400-Sens!F4401</f>
        <v>13.114</v>
      </c>
      <c r="G4402" s="6" t="n">
        <f aca="false">Sens!G4400-Sens!G4401</f>
        <v>13.114</v>
      </c>
      <c r="H4402" s="6" t="n">
        <f aca="false">Sens!H4400-Sens!H4401</f>
        <v>20.0075177226947</v>
      </c>
      <c r="I4402" s="6" t="n">
        <f aca="false">Sens!I4400-Sens!I4401</f>
        <v>115.300340795596</v>
      </c>
      <c r="J4402" s="6" t="n">
        <f aca="false">Sens!J4400-Sens!J4401</f>
        <v>258.082915775508</v>
      </c>
      <c r="K4402" s="6" t="n">
        <f aca="false">Sens!K4400-Sens!K4401</f>
        <v>419.765428590066</v>
      </c>
    </row>
    <row r="4403" customFormat="false" ht="15" hidden="false" customHeight="false" outlineLevel="0" collapsed="false">
      <c r="A4403" s="1" t="s">
        <v>1128</v>
      </c>
      <c r="B4403" s="0" t="s">
        <v>75</v>
      </c>
      <c r="F4403" s="30" t="n">
        <f aca="false">px*(1+bb_g)^(Sens!F4261-base_fy-mid_yr)</f>
        <v>551.84177959629</v>
      </c>
      <c r="G4403" s="30" t="n">
        <f aca="false">px*(1+bb_g)^(Sens!G4261-base_fy-mid_yr)</f>
        <v>595.989121963993</v>
      </c>
      <c r="H4403" s="30" t="n">
        <f aca="false">px*(1+bb_g)^(Sens!H4261-base_fy-mid_yr)</f>
        <v>643.668251721112</v>
      </c>
      <c r="I4403" s="30" t="n">
        <f aca="false">px*(1+bb_g)^(Sens!I4261-base_fy-mid_yr)</f>
        <v>695.161711858801</v>
      </c>
      <c r="J4403" s="30" t="n">
        <f aca="false">px*(1+bb_g)^(Sens!J4261-base_fy-mid_yr)</f>
        <v>750.774648807506</v>
      </c>
      <c r="K4403" s="30" t="n">
        <f aca="false">px*(1+bb_g)^(Sens!K4261-base_fy-mid_yr)</f>
        <v>810.836620712106</v>
      </c>
    </row>
    <row r="4404" customFormat="false" ht="15" hidden="false" customHeight="false" outlineLevel="0" collapsed="false">
      <c r="A4404" s="1" t="s">
        <v>1129</v>
      </c>
      <c r="B4404" s="1" t="s">
        <v>81</v>
      </c>
      <c r="E4404" s="15" t="n">
        <f aca="false">sh_out26</f>
        <v>7.427</v>
      </c>
      <c r="F4404" s="15" t="n">
        <f aca="false">Sens!E4404+sh_iss-Sens!F4398/Sens!F4403</f>
        <v>7.46281564818755</v>
      </c>
      <c r="G4404" s="15" t="n">
        <f aca="false">Sens!F4404+sh_iss-Sens!G4398/Sens!G4403</f>
        <v>7.49694708029297</v>
      </c>
      <c r="H4404" s="15" t="n">
        <f aca="false">Sens!G4404+sh_iss-Sens!H4398/Sens!H4403</f>
        <v>7.50734695835058</v>
      </c>
      <c r="I4404" s="15" t="n">
        <f aca="false">Sens!H4404+sh_iss-Sens!I4398/Sens!I4403</f>
        <v>7.52030980840391</v>
      </c>
      <c r="J4404" s="15" t="n">
        <f aca="false">Sens!I4404+sh_iss-Sens!J4398/Sens!J4403</f>
        <v>7.53564578067552</v>
      </c>
      <c r="K4404" s="15" t="n">
        <f aca="false">Sens!J4404+sh_iss-Sens!K4398/Sens!K4403</f>
        <v>7.55317908833441</v>
      </c>
    </row>
    <row r="4405" customFormat="false" ht="15" hidden="false" customHeight="false" outlineLevel="0" collapsed="false">
      <c r="A4405" s="1" t="s">
        <v>1130</v>
      </c>
      <c r="B4405" s="1" t="s">
        <v>81</v>
      </c>
      <c r="E4405" s="15" t="n">
        <f aca="false">sh_dil26</f>
        <v>7.453</v>
      </c>
      <c r="F4405" s="15" t="n">
        <f aca="false">(Sens!E4404+Sens!F4404)/2+dil_gap</f>
        <v>7.46890782409377</v>
      </c>
      <c r="G4405" s="15" t="n">
        <f aca="false">(Sens!F4404+Sens!G4404)/2+dil_gap</f>
        <v>7.50388136424026</v>
      </c>
      <c r="H4405" s="15" t="n">
        <f aca="false">(Sens!G4404+Sens!H4404)/2+dil_gap</f>
        <v>7.52614701932177</v>
      </c>
      <c r="I4405" s="15" t="n">
        <f aca="false">(Sens!H4404+Sens!I4404)/2+dil_gap</f>
        <v>7.53782838337724</v>
      </c>
      <c r="J4405" s="15" t="n">
        <f aca="false">(Sens!I4404+Sens!J4404)/2+dil_gap</f>
        <v>7.55197779453972</v>
      </c>
      <c r="K4405" s="15" t="n">
        <f aca="false">(Sens!J4404+Sens!K4404)/2+dil_gap</f>
        <v>7.56841243450497</v>
      </c>
    </row>
    <row r="4406" customFormat="false" ht="17.15" hidden="false" customHeight="false" outlineLevel="0" collapsed="false">
      <c r="A4406" s="1" t="s">
        <v>1131</v>
      </c>
      <c r="B4406" s="0" t="s">
        <v>98</v>
      </c>
      <c r="C4406" s="6" t="n">
        <f aca="false">SUM(Sens!F4396:J4396)</f>
        <v>305.734773060624</v>
      </c>
    </row>
    <row r="4407" customFormat="false" ht="15" hidden="false" customHeight="false" outlineLevel="0" collapsed="false">
      <c r="A4407" s="26" t="s">
        <v>1096</v>
      </c>
      <c r="B4407" s="31" t="s">
        <v>98</v>
      </c>
      <c r="C4407" s="27" t="n">
        <f aca="false">Sens!$C$4406-(Sens!F4396+Sens!G4396+Sens!H4396+Sens!I4396+Sens!J4396)</f>
        <v>0</v>
      </c>
      <c r="D4407" s="31"/>
      <c r="E4407" s="31"/>
      <c r="F4407" s="31"/>
      <c r="G4407" s="31"/>
      <c r="H4407" s="31"/>
      <c r="I4407" s="31"/>
      <c r="J4407" s="31"/>
      <c r="K4407" s="31"/>
    </row>
    <row r="4408" customFormat="false" ht="17.15" hidden="false" customHeight="false" outlineLevel="0" collapsed="false">
      <c r="A4408" s="1" t="s">
        <v>1090</v>
      </c>
      <c r="B4408" s="1" t="s">
        <v>1132</v>
      </c>
      <c r="C4408" s="33" t="str">
        <f aca="false">IF(SUM(Sens!F4399:J4399)&gt;0.05,"需要舉債 "&amp;TEXT(SUM(Sens!F4399:J4399),"0.0")&amp;" 十億美元","不需舉債")&amp;"；"&amp;IF(SUM(Sens!F4398:J4398)&lt;COUNT(Sens!F4398:J4398)*bb_target-0.05,"回購較每年 "&amp;TEXT(bb_target,"0.0")&amp;" 的目標少 "&amp;TEXT(COUNT(Sens!F4398:J4398)*bb_target-SUM(Sens!F4398:J4398),"0.0")&amp;" 十億美元（"&amp;TEXT(COUNTIF(Sens!F4398:J4398,"&lt;"&amp;(bb_target-0.05)),"0")&amp;" 年減少）","回購不減")</f>
        <v>不需舉債；回購較每年 22.3 的目標少 33.0 十億美元（2 年減少）</v>
      </c>
    </row>
    <row r="4409" customFormat="false" ht="17.15" hidden="false" customHeight="false" outlineLevel="0" collapsed="false">
      <c r="A4409" s="3" t="s">
        <v>1589</v>
      </c>
    </row>
    <row r="4410" customFormat="false" ht="15" hidden="false" customHeight="false" outlineLevel="0" collapsed="false">
      <c r="A4410" s="4" t="s">
        <v>43</v>
      </c>
      <c r="B4410" s="4" t="s">
        <v>65</v>
      </c>
      <c r="C4410" s="23" t="s">
        <v>938</v>
      </c>
      <c r="D4410" s="23" t="s">
        <v>939</v>
      </c>
      <c r="E4410" s="23" t="s">
        <v>940</v>
      </c>
      <c r="F4410" s="23" t="s">
        <v>941</v>
      </c>
      <c r="G4410" s="23" t="s">
        <v>942</v>
      </c>
      <c r="H4410" s="23" t="s">
        <v>943</v>
      </c>
      <c r="I4410" s="23" t="s">
        <v>944</v>
      </c>
      <c r="J4410" s="23" t="s">
        <v>945</v>
      </c>
      <c r="K4410" s="23" t="s">
        <v>946</v>
      </c>
      <c r="L4410" s="4" t="s">
        <v>47</v>
      </c>
    </row>
    <row r="4411" customFormat="false" ht="17.15" hidden="false" customHeight="false" outlineLevel="0" collapsed="false">
      <c r="A4411" s="1" t="s">
        <v>1212</v>
      </c>
      <c r="B4411" s="1" t="s">
        <v>279</v>
      </c>
      <c r="F4411" s="8" t="n">
        <f aca="false">(1-v_off)*mid_yr</f>
        <v>0.373972602739726</v>
      </c>
      <c r="G4411" s="8" t="n">
        <f aca="false">Sens!G4261-base_fy-mid_yr-v_off</f>
        <v>1.24794520547945</v>
      </c>
      <c r="H4411" s="8" t="n">
        <f aca="false">Sens!H4261-base_fy-mid_yr-v_off</f>
        <v>2.24794520547945</v>
      </c>
      <c r="I4411" s="8" t="n">
        <f aca="false">Sens!I4261-base_fy-mid_yr-v_off</f>
        <v>3.24794520547945</v>
      </c>
      <c r="J4411" s="8" t="n">
        <f aca="false">Sens!J4261-base_fy-mid_yr-v_off</f>
        <v>4.24794520547945</v>
      </c>
      <c r="K4411" s="8" t="n">
        <f aca="false">Sens!K4261-base_fy-mid_yr-v_off</f>
        <v>5.24794520547945</v>
      </c>
      <c r="L4411" s="12" t="s">
        <v>1213</v>
      </c>
    </row>
    <row r="4412" customFormat="false" ht="15" hidden="false" customHeight="false" outlineLevel="0" collapsed="false">
      <c r="A4412" s="1" t="s">
        <v>1214</v>
      </c>
      <c r="B4412" s="1" t="s">
        <v>279</v>
      </c>
      <c r="F4412" s="8" t="n">
        <f aca="false">Sens!F4261-base_fy-v_off</f>
        <v>0.747945205479452</v>
      </c>
      <c r="G4412" s="8" t="n">
        <f aca="false">Sens!G4261-base_fy-v_off</f>
        <v>1.74794520547945</v>
      </c>
      <c r="H4412" s="8" t="n">
        <f aca="false">Sens!H4261-base_fy-v_off</f>
        <v>2.74794520547945</v>
      </c>
      <c r="I4412" s="8" t="n">
        <f aca="false">Sens!I4261-base_fy-v_off</f>
        <v>3.74794520547945</v>
      </c>
      <c r="J4412" s="8" t="n">
        <f aca="false">Sens!J4261-base_fy-v_off</f>
        <v>4.74794520547945</v>
      </c>
      <c r="K4412" s="8" t="n">
        <f aca="false">Sens!K4261-base_fy-v_off</f>
        <v>5.74794520547945</v>
      </c>
    </row>
    <row r="4413" customFormat="false" ht="15" hidden="false" customHeight="false" outlineLevel="0" collapsed="false">
      <c r="A4413" s="1" t="s">
        <v>1215</v>
      </c>
      <c r="B4413" s="0" t="s">
        <v>229</v>
      </c>
      <c r="F4413" s="15" t="n">
        <f aca="false">1/(1+wacc)^Sens!F4411</f>
        <v>0.964022703286649</v>
      </c>
      <c r="G4413" s="15" t="n">
        <f aca="false">1/(1+wacc)^Sens!G4411</f>
        <v>0.884910302296739</v>
      </c>
      <c r="H4413" s="15" t="n">
        <f aca="false">1/(1+wacc)^Sens!H4411</f>
        <v>0.802322009770358</v>
      </c>
      <c r="I4413" s="15" t="n">
        <f aca="false">1/(1+wacc)^Sens!I4411</f>
        <v>0.727441646561469</v>
      </c>
      <c r="J4413" s="15" t="n">
        <f aca="false">1/(1+wacc)^Sens!J4411</f>
        <v>0.659549834988973</v>
      </c>
      <c r="K4413" s="15" t="n">
        <f aca="false">1/(1+wacc)^Sens!K4411</f>
        <v>0.597994336576966</v>
      </c>
    </row>
    <row r="4414" customFormat="false" ht="17.15" hidden="false" customHeight="false" outlineLevel="0" collapsed="false">
      <c r="A4414" s="1" t="s">
        <v>1216</v>
      </c>
      <c r="B4414" s="0" t="s">
        <v>98</v>
      </c>
      <c r="F4414" s="6" t="n">
        <f aca="false">Q!$I$35-Q!$I$39-Q!$I$43</f>
        <v>9.666</v>
      </c>
      <c r="L4414" s="12" t="s">
        <v>1217</v>
      </c>
    </row>
    <row r="4415" customFormat="false" ht="17.15" hidden="false" customHeight="false" outlineLevel="0" collapsed="false">
      <c r="A4415" s="1" t="s">
        <v>1218</v>
      </c>
      <c r="B4415" s="0" t="s">
        <v>98</v>
      </c>
      <c r="F4415" s="6" t="n">
        <f aca="false">Sens!F4386-Sens!F4383-Sens!F4390+Sens!F4368*(1-tax_f)*(1-v_off)-Sens!F4414</f>
        <v>0.713028103047506</v>
      </c>
      <c r="G4415" s="6" t="n">
        <f aca="false">Sens!G4386-Sens!G4383-Sens!G4390+Sens!G4368*(1-tax_f)</f>
        <v>41.5985067668588</v>
      </c>
      <c r="H4415" s="6" t="n">
        <f aca="false">Sens!H4386-Sens!H4383-Sens!H4390+Sens!H4368*(1-tax_f)</f>
        <v>75.3461143501333</v>
      </c>
      <c r="I4415" s="6" t="n">
        <f aca="false">Sens!I4386-Sens!I4383-Sens!I4390+Sens!I4368*(1-tax_f)</f>
        <v>174.971834149284</v>
      </c>
      <c r="J4415" s="6" t="n">
        <f aca="false">Sens!J4386-Sens!J4383-Sens!J4390+Sens!J4368*(1-tax_f)</f>
        <v>231.577744207034</v>
      </c>
      <c r="K4415" s="6" t="n">
        <f aca="false">Sens!K4386-Sens!K4383-Sens!K4390+Sens!K4368*(1-tax_f)</f>
        <v>256.722245738648</v>
      </c>
      <c r="L4415" s="1" t="s">
        <v>1219</v>
      </c>
    </row>
    <row r="4416" customFormat="false" ht="15" hidden="false" customHeight="false" outlineLevel="0" collapsed="false">
      <c r="A4416" s="1" t="s">
        <v>1220</v>
      </c>
      <c r="B4416" s="0" t="s">
        <v>98</v>
      </c>
      <c r="F4416" s="6" t="n">
        <f aca="false">Sens!F4415*Sens!F4413</f>
        <v>0.687375279419208</v>
      </c>
      <c r="G4416" s="6" t="n">
        <f aca="false">Sens!G4415*Sens!G4413</f>
        <v>36.810947198154</v>
      </c>
      <c r="H4416" s="6" t="n">
        <f aca="false">Sens!H4415*Sens!H4413</f>
        <v>60.4518458937862</v>
      </c>
      <c r="I4416" s="6" t="n">
        <f aca="false">Sens!I4415*Sens!I4413</f>
        <v>127.281799135436</v>
      </c>
      <c r="J4416" s="6" t="n">
        <f aca="false">Sens!J4415*Sens!J4413</f>
        <v>152.737062978867</v>
      </c>
      <c r="K4416" s="6" t="n">
        <f aca="false">Sens!K4415*Sens!K4413</f>
        <v>153.518449025032</v>
      </c>
    </row>
    <row r="4417" customFormat="false" ht="17.15" hidden="false" customHeight="false" outlineLevel="0" collapsed="false">
      <c r="A4417" s="1" t="s">
        <v>1221</v>
      </c>
      <c r="B4417" s="0" t="s">
        <v>98</v>
      </c>
      <c r="C4417" s="6" t="n">
        <f aca="false">SUM(Sens!F4416:K4416)</f>
        <v>531.487479510694</v>
      </c>
    </row>
    <row r="4418" customFormat="false" ht="17.15" hidden="false" customHeight="false" outlineLevel="0" collapsed="false">
      <c r="A4418" s="1" t="s">
        <v>1222</v>
      </c>
      <c r="B4418" s="0" t="s">
        <v>98</v>
      </c>
      <c r="C4418" s="6" t="n">
        <f aca="false">Sens!K4354*(1+g_tv)*(1-tax_f)</f>
        <v>303.129706165385</v>
      </c>
    </row>
    <row r="4419" customFormat="false" ht="17.15" hidden="false" customHeight="false" outlineLevel="0" collapsed="false">
      <c r="A4419" s="1" t="s">
        <v>1223</v>
      </c>
      <c r="B4419" s="0" t="s">
        <v>98</v>
      </c>
      <c r="C4419" s="6" t="n">
        <f aca="false">Sens!$C$4418*(1-g_tv/(wacc+ronic_prem))</f>
        <v>214.785113621343</v>
      </c>
    </row>
    <row r="4420" customFormat="false" ht="17.15" hidden="false" customHeight="false" outlineLevel="0" collapsed="false">
      <c r="A4420" s="1" t="s">
        <v>1224</v>
      </c>
      <c r="B4420" s="0" t="s">
        <v>98</v>
      </c>
      <c r="C4420" s="6" t="n">
        <f aca="false">Sens!$C$4419/(wacc-g_tv)</f>
        <v>2944.81975146808</v>
      </c>
    </row>
    <row r="4421" customFormat="false" ht="15" hidden="false" customHeight="false" outlineLevel="0" collapsed="false">
      <c r="A4421" s="1" t="s">
        <v>1225</v>
      </c>
      <c r="B4421" s="0" t="s">
        <v>98</v>
      </c>
      <c r="C4421" s="6" t="n">
        <f aca="false">Sens!$C$4420/(1+wacc)^Sens!K4412</f>
        <v>1676.79710595225</v>
      </c>
    </row>
    <row r="4422" customFormat="false" ht="17.15" hidden="false" customHeight="false" outlineLevel="0" collapsed="false">
      <c r="A4422" s="0" t="s">
        <v>1226</v>
      </c>
      <c r="B4422" s="0" t="s">
        <v>98</v>
      </c>
      <c r="C4422" s="6" t="n">
        <f aca="false">Sens!$C$4417+Sens!$C$4421</f>
        <v>2208.28458546294</v>
      </c>
    </row>
    <row r="4423" customFormat="false" ht="15" hidden="false" customHeight="false" outlineLevel="0" collapsed="false">
      <c r="A4423" s="1" t="s">
        <v>1141</v>
      </c>
      <c r="B4423" s="0" t="s">
        <v>168</v>
      </c>
      <c r="C4423" s="7" t="n">
        <f aca="false">Sens!$C$4421/Sens!$C$4422</f>
        <v>0.759321111504624</v>
      </c>
    </row>
    <row r="4424" customFormat="false" ht="17.15" hidden="false" customHeight="false" outlineLevel="0" collapsed="false">
      <c r="A4424" s="1" t="s">
        <v>1227</v>
      </c>
      <c r="B4424" s="0" t="s">
        <v>98</v>
      </c>
      <c r="C4424" s="6" t="n">
        <f aca="false">Sens!$C$4422+cash_val-debt_val-fl_val+oai_v</f>
        <v>2324.13558546294</v>
      </c>
    </row>
    <row r="4425" customFormat="false" ht="17.15" hidden="false" customHeight="false" outlineLevel="0" collapsed="false">
      <c r="A4425" s="0" t="s">
        <v>1149</v>
      </c>
      <c r="B4425" s="0" t="s">
        <v>75</v>
      </c>
      <c r="C4425" s="5" t="n">
        <f aca="false">Sens!$C$4424/shd_val</f>
        <v>312.132095818284</v>
      </c>
    </row>
    <row r="4426" customFormat="false" ht="15" hidden="false" customHeight="false" outlineLevel="0" collapsed="false">
      <c r="A4426" s="1" t="s">
        <v>1228</v>
      </c>
      <c r="B4426" s="0" t="s">
        <v>75</v>
      </c>
      <c r="C4426" s="8" t="n">
        <f aca="false">div_rem27+Sens!G4394*roll_div_q/q_per_yr</f>
        <v>3.9795</v>
      </c>
    </row>
    <row r="4427" customFormat="false" ht="17.15" hidden="false" customHeight="false" outlineLevel="0" collapsed="false">
      <c r="A4427" s="0" t="s">
        <v>1229</v>
      </c>
      <c r="B4427" s="0" t="s">
        <v>75</v>
      </c>
      <c r="C4427" s="5" t="n">
        <f aca="false">Sens!$C$4425*(1+wacc)^t_roll-Sens!$C$4426</f>
        <v>342.97274482646</v>
      </c>
    </row>
    <row r="4428" customFormat="false" ht="17.15" hidden="false" customHeight="false" outlineLevel="0" collapsed="false">
      <c r="A4428" s="1" t="s">
        <v>1230</v>
      </c>
      <c r="B4428" s="0" t="s">
        <v>168</v>
      </c>
      <c r="F4428" s="7" t="n">
        <f aca="false">Sens!F4380/(Sens!F4325-Sens!F4280)</f>
        <v>0.0606715953989785</v>
      </c>
      <c r="G4428" s="7" t="n">
        <f aca="false">Sens!G4380/(Sens!G4325-Sens!G4280)</f>
        <v>0.059073973242126</v>
      </c>
      <c r="H4428" s="7" t="n">
        <f aca="false">Sens!H4380/(Sens!H4325-Sens!H4280)</f>
        <v>0.0585972706242824</v>
      </c>
      <c r="I4428" s="7" t="n">
        <f aca="false">Sens!I4380/(Sens!I4325-Sens!I4280)</f>
        <v>0.0592055646776142</v>
      </c>
      <c r="J4428" s="7" t="n">
        <f aca="false">Sens!J4380/(Sens!J4325-Sens!J4280)</f>
        <v>0.0606287781414417</v>
      </c>
      <c r="K4428" s="7" t="n">
        <f aca="false">Sens!K4380/(Sens!K4325-Sens!K4280)</f>
        <v>0.0624823251016929</v>
      </c>
    </row>
    <row r="4429" customFormat="false" ht="17.15" hidden="false" customHeight="false" outlineLevel="0" collapsed="false">
      <c r="A4429" s="0" t="s">
        <v>1231</v>
      </c>
      <c r="B4429" s="0" t="s">
        <v>98</v>
      </c>
      <c r="F4429" s="6" t="n">
        <f aca="false">Sens!F4310*(al_m365+Sens!F4428+sbc_r)</f>
        <v>83.5777850737013</v>
      </c>
      <c r="G4429" s="6" t="n">
        <f aca="false">Sens!G4310*(al_m365+Sens!G4428+sbc_r)</f>
        <v>98.0653268244758</v>
      </c>
      <c r="H4429" s="6" t="n">
        <f aca="false">Sens!H4310*(al_m365+Sens!H4428+sbc_r)</f>
        <v>112.723290102795</v>
      </c>
      <c r="I4429" s="6" t="n">
        <f aca="false">Sens!I4310*(al_m365+Sens!I4428+sbc_r)</f>
        <v>125.870243019866</v>
      </c>
      <c r="J4429" s="6" t="n">
        <f aca="false">Sens!J4310*(al_m365+Sens!J4428+sbc_r)</f>
        <v>137.314273606393</v>
      </c>
      <c r="K4429" s="6" t="n">
        <f aca="false">Sens!K4310*(al_m365+Sens!K4428+sbc_r)</f>
        <v>148.371477153201</v>
      </c>
      <c r="L4429" s="12" t="s">
        <v>1232</v>
      </c>
    </row>
    <row r="4430" customFormat="false" ht="17.15" hidden="false" customHeight="false" outlineLevel="0" collapsed="false">
      <c r="A4430" s="0" t="s">
        <v>1233</v>
      </c>
      <c r="B4430" s="0" t="s">
        <v>98</v>
      </c>
      <c r="F4430" s="6" t="n">
        <f aca="false">Sens!F4311*(al_lic+Sens!F4428+sbc_r)</f>
        <v>32.5526816898905</v>
      </c>
      <c r="G4430" s="6" t="n">
        <f aca="false">Sens!G4311*(al_lic+Sens!G4428+sbc_r)</f>
        <v>33.8671800732505</v>
      </c>
      <c r="H4430" s="6" t="n">
        <f aca="false">Sens!H4311*(al_lic+Sens!H4428+sbc_r)</f>
        <v>35.0923029511648</v>
      </c>
      <c r="I4430" s="6" t="n">
        <f aca="false">Sens!I4311*(al_lic+Sens!I4428+sbc_r)</f>
        <v>36.2122246160531</v>
      </c>
      <c r="J4430" s="6" t="n">
        <f aca="false">Sens!J4311*(al_lic+Sens!J4428+sbc_r)</f>
        <v>37.2011877722763</v>
      </c>
      <c r="K4430" s="6" t="n">
        <f aca="false">Sens!K4311*(al_lic+Sens!K4428+sbc_r)</f>
        <v>38.0281505476999</v>
      </c>
    </row>
    <row r="4431" customFormat="false" ht="17.15" hidden="false" customHeight="false" outlineLevel="0" collapsed="false">
      <c r="A4431" s="0" t="s">
        <v>1234</v>
      </c>
      <c r="B4431" s="0" t="s">
        <v>98</v>
      </c>
      <c r="F4431" s="6" t="n">
        <f aca="false">Sens!F4313*(al_ind+Sens!F4428+sbc_r)</f>
        <v>8.88304865075174</v>
      </c>
      <c r="G4431" s="6" t="n">
        <f aca="false">Sens!G4313*(al_ind+Sens!G4428+sbc_r)</f>
        <v>9.67130005625327</v>
      </c>
      <c r="H4431" s="6" t="n">
        <f aca="false">Sens!H4313*(al_ind+Sens!H4428+sbc_r)</f>
        <v>10.5033753271313</v>
      </c>
      <c r="I4431" s="6" t="n">
        <f aca="false">Sens!I4313*(al_ind+Sens!I4428+sbc_r)</f>
        <v>11.3775022515782</v>
      </c>
      <c r="J4431" s="6" t="n">
        <f aca="false">Sens!J4313*(al_ind+Sens!J4428+sbc_r)</f>
        <v>12.283624458378</v>
      </c>
      <c r="K4431" s="6" t="n">
        <f aca="false">Sens!K4313*(al_ind+Sens!K4428+sbc_r)</f>
        <v>13.2046876137032</v>
      </c>
    </row>
    <row r="4432" customFormat="false" ht="17.15" hidden="false" customHeight="false" outlineLevel="0" collapsed="false">
      <c r="A4432" s="0" t="s">
        <v>1235</v>
      </c>
      <c r="B4432" s="0" t="s">
        <v>98</v>
      </c>
      <c r="F4432" s="6" t="n">
        <f aca="false">Sens!F4315*(al_fro+Sens!F4428+sbc_r)</f>
        <v>3.4844551782578</v>
      </c>
      <c r="G4432" s="6" t="n">
        <f aca="false">Sens!G4315*(al_fro+Sens!G4428+sbc_r)</f>
        <v>3.70052284771372</v>
      </c>
      <c r="H4432" s="6" t="n">
        <f aca="false">Sens!H4315*(al_fro+Sens!H4428+sbc_r)</f>
        <v>3.94451040120041</v>
      </c>
      <c r="I4432" s="6" t="n">
        <f aca="false">Sens!I4315*(al_fro+Sens!I4428+sbc_r)</f>
        <v>4.21977879202491</v>
      </c>
      <c r="J4432" s="6" t="n">
        <f aca="false">Sens!J4315*(al_fro+Sens!J4428+sbc_r)</f>
        <v>4.52743730948783</v>
      </c>
      <c r="K4432" s="6" t="n">
        <f aca="false">Sens!K4315*(al_fro+Sens!K4428+sbc_r)</f>
        <v>4.8669181938102</v>
      </c>
    </row>
    <row r="4433" customFormat="false" ht="17.15" hidden="false" customHeight="false" outlineLevel="0" collapsed="false">
      <c r="A4433" s="0" t="s">
        <v>1236</v>
      </c>
      <c r="B4433" s="0" t="s">
        <v>98</v>
      </c>
      <c r="F4433" s="6" t="n">
        <f aca="false">Sens!F4318*(al_srch+Sens!F4428+sbc_r)</f>
        <v>10.9700506464062</v>
      </c>
      <c r="G4433" s="6" t="n">
        <f aca="false">Sens!G4318*(al_srch+Sens!G4428+sbc_r)</f>
        <v>12.0561870055414</v>
      </c>
      <c r="H4433" s="6" t="n">
        <f aca="false">Sens!H4318*(al_srch+Sens!H4428+sbc_r)</f>
        <v>13.186596192127</v>
      </c>
      <c r="I4433" s="6" t="n">
        <f aca="false">Sens!I4318*(al_srch+Sens!I4428+sbc_r)</f>
        <v>14.352138027361</v>
      </c>
      <c r="J4433" s="6" t="n">
        <f aca="false">Sens!J4318*(al_srch+Sens!J4428+sbc_r)</f>
        <v>15.5323048843191</v>
      </c>
      <c r="K4433" s="6" t="n">
        <f aca="false">Sens!K4318*(al_srch+Sens!K4428+sbc_r)</f>
        <v>16.6969638817266</v>
      </c>
    </row>
    <row r="4434" customFormat="false" ht="17.15" hidden="false" customHeight="false" outlineLevel="0" collapsed="false">
      <c r="A4434" s="0" t="s">
        <v>1237</v>
      </c>
      <c r="B4434" s="0" t="s">
        <v>98</v>
      </c>
      <c r="F4434" s="6" t="n">
        <f aca="false">Sens!F4286-Sens!F4287+Sens!F4368</f>
        <v>45.2748533727404</v>
      </c>
      <c r="G4434" s="6" t="n">
        <f aca="false">Sens!G4286-Sens!G4287+Sens!G4368</f>
        <v>90.8701269619231</v>
      </c>
      <c r="H4434" s="6" t="n">
        <f aca="false">Sens!H4286-Sens!H4287+Sens!H4368</f>
        <v>145.732261792686</v>
      </c>
      <c r="I4434" s="6" t="n">
        <f aca="false">Sens!I4286-Sens!I4287+Sens!I4368</f>
        <v>189.060943157598</v>
      </c>
      <c r="J4434" s="6" t="n">
        <f aca="false">Sens!J4286-Sens!J4287+Sens!J4368</f>
        <v>221.379318576301</v>
      </c>
      <c r="K4434" s="6" t="n">
        <f aca="false">Sens!K4286-Sens!K4287+Sens!K4368</f>
        <v>242.965200643216</v>
      </c>
    </row>
    <row r="4435" customFormat="false" ht="17.15" hidden="false" customHeight="false" outlineLevel="0" collapsed="false">
      <c r="A4435" s="0" t="s">
        <v>1238</v>
      </c>
      <c r="B4435" s="0" t="s">
        <v>98</v>
      </c>
      <c r="F4435" s="6" t="n">
        <f aca="false">Sens!F4347+Sens!F4368+Sens!F4298+Sens!F4428*(Sens!F4317-Sens!F4280)+sbc_r*Sens!F4317</f>
        <v>242.675371125447</v>
      </c>
      <c r="G4435" s="6" t="n">
        <f aca="false">Sens!G4347+Sens!G4368+Sens!G4298+Sens!G4428*(Sens!G4317-Sens!G4280)+sbc_r*Sens!G4317</f>
        <v>313.714782486888</v>
      </c>
      <c r="H4435" s="6" t="n">
        <f aca="false">Sens!H4347+Sens!H4368+Sens!H4298+Sens!H4428*(Sens!H4317-Sens!H4280)+sbc_r*Sens!H4317</f>
        <v>399.369422430505</v>
      </c>
      <c r="I4435" s="6" t="n">
        <f aca="false">Sens!I4347+Sens!I4368+Sens!I4298+Sens!I4428*(Sens!I4317-Sens!I4280)+sbc_r*Sens!I4317</f>
        <v>471.334044988171</v>
      </c>
      <c r="J4435" s="6" t="n">
        <f aca="false">Sens!J4347+Sens!J4368+Sens!J4298+Sens!J4428*(Sens!J4317-Sens!J4280)+sbc_r*Sens!J4317</f>
        <v>529.293037495692</v>
      </c>
      <c r="K4435" s="6" t="n">
        <f aca="false">Sens!K4347+Sens!K4368+Sens!K4298+Sens!K4428*(Sens!K4317-Sens!K4280)+sbc_r*Sens!K4317</f>
        <v>574.066379449363</v>
      </c>
    </row>
    <row r="4436" customFormat="false" ht="17.15" hidden="false" customHeight="false" outlineLevel="0" collapsed="false">
      <c r="A4436" s="0" t="s">
        <v>1239</v>
      </c>
      <c r="B4436" s="0" t="s">
        <v>98</v>
      </c>
      <c r="F4436" s="6" t="n">
        <f aca="false">Sens!F4435-Sens!F4429-Sens!F4430-Sens!F4431-Sens!F4432-Sens!F4434</f>
        <v>68.9025471601053</v>
      </c>
      <c r="G4436" s="6" t="n">
        <f aca="false">Sens!G4435-Sens!G4429-Sens!G4430-Sens!G4431-Sens!G4432-Sens!G4434</f>
        <v>77.5403257232719</v>
      </c>
      <c r="H4436" s="6" t="n">
        <f aca="false">Sens!H4435-Sens!H4429-Sens!H4430-Sens!H4431-Sens!H4432-Sens!H4434</f>
        <v>91.3736818555278</v>
      </c>
      <c r="I4436" s="6" t="n">
        <f aca="false">Sens!I4435-Sens!I4429-Sens!I4430-Sens!I4431-Sens!I4432-Sens!I4434</f>
        <v>104.593353151051</v>
      </c>
      <c r="J4436" s="6" t="n">
        <f aca="false">Sens!J4435-Sens!J4429-Sens!J4430-Sens!J4431-Sens!J4432-Sens!J4434</f>
        <v>116.587195772855</v>
      </c>
      <c r="K4436" s="6" t="n">
        <f aca="false">Sens!K4435-Sens!K4429-Sens!K4430-Sens!K4431-Sens!K4432-Sens!K4434</f>
        <v>126.629945297733</v>
      </c>
    </row>
    <row r="4437" customFormat="false" ht="17.15" hidden="false" customHeight="false" outlineLevel="0" collapsed="false">
      <c r="A4437" s="0" t="s">
        <v>1240</v>
      </c>
      <c r="B4437" s="0" t="s">
        <v>98</v>
      </c>
      <c r="F4437" s="6" t="n">
        <f aca="false">Sens!F4349+Sens!F4428*Sens!F4324+sbc_r*Sens!F4324</f>
        <v>26.1225620295532</v>
      </c>
      <c r="G4437" s="6" t="n">
        <f aca="false">Sens!G4349+Sens!G4428*Sens!G4324+sbc_r*Sens!G4324</f>
        <v>26.0241032551172</v>
      </c>
      <c r="H4437" s="6" t="n">
        <f aca="false">Sens!H4349+Sens!H4428*Sens!H4324+sbc_r*Sens!H4324</f>
        <v>26.9487816285907</v>
      </c>
      <c r="I4437" s="6" t="n">
        <f aca="false">Sens!I4349+Sens!I4428*Sens!I4324+sbc_r*Sens!I4324</f>
        <v>28.102454336296</v>
      </c>
      <c r="J4437" s="6" t="n">
        <f aca="false">Sens!J4349+Sens!J4428*Sens!J4324+sbc_r*Sens!J4324</f>
        <v>29.4509550420957</v>
      </c>
      <c r="K4437" s="6" t="n">
        <f aca="false">Sens!K4349+Sens!K4428*Sens!K4324+sbc_r*Sens!K4324</f>
        <v>30.9540493343814</v>
      </c>
    </row>
    <row r="4438" customFormat="false" ht="17.15" hidden="false" customHeight="false" outlineLevel="0" collapsed="false">
      <c r="A4438" s="0" t="s">
        <v>1241</v>
      </c>
      <c r="B4438" s="0" t="s">
        <v>98</v>
      </c>
      <c r="F4438" s="6" t="n">
        <f aca="false">(Sens!F4437-Sens!F4433)*Sens!F4320/(Sens!F4320+Sens!F4322)</f>
        <v>8.55791899819496</v>
      </c>
      <c r="G4438" s="6" t="n">
        <f aca="false">(Sens!G4437-Sens!G4433)*Sens!G4320/(Sens!G4320+Sens!G4322)</f>
        <v>7.75329631530544</v>
      </c>
      <c r="H4438" s="6" t="n">
        <f aca="false">(Sens!H4437-Sens!H4433)*Sens!H4320/(Sens!H4320+Sens!H4322)</f>
        <v>7.53958462311293</v>
      </c>
      <c r="I4438" s="6" t="n">
        <f aca="false">(Sens!I4437-Sens!I4433)*Sens!I4320/(Sens!I4320+Sens!I4322)</f>
        <v>7.46732998557263</v>
      </c>
      <c r="J4438" s="6" t="n">
        <f aca="false">(Sens!J4437-Sens!J4433)*Sens!J4320/(Sens!J4320+Sens!J4322)</f>
        <v>7.52576793141389</v>
      </c>
      <c r="K4438" s="6" t="n">
        <f aca="false">(Sens!K4437-Sens!K4433)*Sens!K4320/(Sens!K4320+Sens!K4322)</f>
        <v>7.70875877177418</v>
      </c>
    </row>
    <row r="4439" customFormat="false" ht="17.15" hidden="false" customHeight="false" outlineLevel="0" collapsed="false">
      <c r="A4439" s="0" t="s">
        <v>1242</v>
      </c>
      <c r="B4439" s="0" t="s">
        <v>98</v>
      </c>
      <c r="F4439" s="6" t="n">
        <f aca="false">Sens!F4437-Sens!F4433-Sens!F4438</f>
        <v>6.59459238495209</v>
      </c>
      <c r="G4439" s="6" t="n">
        <f aca="false">Sens!G4437-Sens!G4433-Sens!G4438</f>
        <v>6.2146199342703</v>
      </c>
      <c r="H4439" s="6" t="n">
        <f aca="false">Sens!H4437-Sens!H4433-Sens!H4438</f>
        <v>6.2226008133507</v>
      </c>
      <c r="I4439" s="6" t="n">
        <f aca="false">Sens!I4437-Sens!I4433-Sens!I4438</f>
        <v>6.28298632336241</v>
      </c>
      <c r="J4439" s="6" t="n">
        <f aca="false">Sens!J4437-Sens!J4433-Sens!J4438</f>
        <v>6.39288222636274</v>
      </c>
      <c r="K4439" s="6" t="n">
        <f aca="false">Sens!K4437-Sens!K4433-Sens!K4438</f>
        <v>6.54832668088057</v>
      </c>
    </row>
    <row r="4440" customFormat="false" ht="17.15" hidden="false" customHeight="false" outlineLevel="0" collapsed="false">
      <c r="A4440" s="0" t="s">
        <v>1243</v>
      </c>
      <c r="B4440" s="0" t="s">
        <v>98</v>
      </c>
      <c r="F4440" s="6" t="n">
        <f aca="false">Sens!F4434-tax_f*(Sens!F4434-Sens!F4298)-Sens!F4295</f>
        <v>-124.03533904884</v>
      </c>
      <c r="G4440" s="6" t="n">
        <f aca="false">Sens!G4434-tax_f*(Sens!G4434-Sens!G4298)-Sens!G4295</f>
        <v>-104.838929882109</v>
      </c>
      <c r="H4440" s="6" t="n">
        <f aca="false">Sens!H4434-tax_f*(Sens!H4434-Sens!H4298)-Sens!H4295</f>
        <v>-88.1002943868349</v>
      </c>
      <c r="I4440" s="6" t="n">
        <f aca="false">Sens!I4434-tax_f*(Sens!I4434-Sens!I4298)-Sens!I4295</f>
        <v>-4.79079466037865</v>
      </c>
      <c r="J4440" s="6" t="n">
        <f aca="false">Sens!J4434-tax_f*(Sens!J4434-Sens!J4298)-Sens!J4295</f>
        <v>36.6772150342245</v>
      </c>
      <c r="K4440" s="6" t="n">
        <f aca="false">Sens!K4434-tax_f*(Sens!K4434-Sens!K4298)-Sens!K4295</f>
        <v>47.5257348842552</v>
      </c>
    </row>
    <row r="4441" customFormat="false" ht="17.15" hidden="false" customHeight="false" outlineLevel="0" collapsed="false">
      <c r="A4441" s="0" t="s">
        <v>1244</v>
      </c>
      <c r="B4441" s="0" t="s">
        <v>98</v>
      </c>
      <c r="G4441" s="6" t="n">
        <f aca="false">Sens!G4440/(1+wacc)^(Sens!G4411-Sens!F4412)</f>
        <v>-99.8268360877942</v>
      </c>
      <c r="H4441" s="6" t="n">
        <f aca="false">Sens!H4440/(1+wacc)^(Sens!H4411-Sens!F4412)</f>
        <v>-76.0591630198942</v>
      </c>
      <c r="I4441" s="6" t="n">
        <f aca="false">Sens!I4440/(1+wacc)^(Sens!I4411-Sens!F4412)</f>
        <v>-3.74999936448256</v>
      </c>
      <c r="J4441" s="6" t="n">
        <f aca="false">Sens!J4440/(1+wacc)^(Sens!J4411-Sens!F4412)</f>
        <v>26.0297168384932</v>
      </c>
      <c r="K4441" s="6" t="n">
        <f aca="false">Sens!K4440/(1+wacc)^(Sens!K4411-Sens!F4412)</f>
        <v>30.5809792552571</v>
      </c>
      <c r="L4441" s="1" t="s">
        <v>1245</v>
      </c>
    </row>
    <row r="4442" customFormat="false" ht="17.15" hidden="false" customHeight="false" outlineLevel="0" collapsed="false">
      <c r="A4442" s="0" t="s">
        <v>1246</v>
      </c>
      <c r="B4442" s="0" t="s">
        <v>98</v>
      </c>
      <c r="C4442" s="6" t="n">
        <f aca="false">(Sens!K4434-Sens!K4298)*(1-tax_f)*(1+g_tv)*(1-g_tv/(wacc+ronic_prem))/(wacc-g_tv)/(1+wacc)^(Sens!K4412-Sens!F4412)</f>
        <v>342.279612749939</v>
      </c>
    </row>
    <row r="4443" customFormat="false" ht="17.15" hidden="false" customHeight="false" outlineLevel="0" collapsed="false">
      <c r="A4443" s="1" t="s">
        <v>1247</v>
      </c>
      <c r="B4443" s="0" t="s">
        <v>98</v>
      </c>
      <c r="C4443" s="6" t="n">
        <f aca="false">(SUM(Sens!G4441:K4441)+Sens!$C$4442)*(1+wacc)^(t_roll-Sens!F4412)</f>
        <v>226.492558231133</v>
      </c>
      <c r="L4443" s="12" t="s">
        <v>1248</v>
      </c>
    </row>
    <row r="4444" customFormat="false" ht="17.15" hidden="false" customHeight="false" outlineLevel="0" collapsed="false">
      <c r="A4444" s="1" t="s">
        <v>1249</v>
      </c>
      <c r="B4444" s="0" t="s">
        <v>98</v>
      </c>
      <c r="C4444" s="6" t="n">
        <f aca="false">(w_ntm28*Sens!G4286+(1-w_ntm28)*Sens!H4286)*m_ai</f>
        <v>565.490544231437</v>
      </c>
    </row>
    <row r="4445" customFormat="false" ht="17.15" hidden="false" customHeight="false" outlineLevel="0" collapsed="false">
      <c r="A4445" s="1" t="s">
        <v>1250</v>
      </c>
      <c r="B4445" s="0" t="s">
        <v>98</v>
      </c>
      <c r="C4445" s="6" t="n">
        <f aca="false">(w_ntm28*Sens!G4436+(1-w_ntm28)*Sens!H4436)*m_cloud</f>
        <v>1134.46000782365</v>
      </c>
    </row>
    <row r="4446" customFormat="false" ht="17.15" hidden="false" customHeight="false" outlineLevel="0" collapsed="false">
      <c r="A4446" s="1" t="s">
        <v>1251</v>
      </c>
      <c r="B4446" s="0" t="s">
        <v>98</v>
      </c>
      <c r="C4446" s="6" t="n">
        <f aca="false">(w_ntm28*Sens!G4429+(1-w_ntm28)*Sens!H4429)*m_sw</f>
        <v>1111.15133904325</v>
      </c>
    </row>
    <row r="4447" customFormat="false" ht="17.15" hidden="false" customHeight="false" outlineLevel="0" collapsed="false">
      <c r="A4447" s="1" t="s">
        <v>1252</v>
      </c>
      <c r="B4447" s="0" t="s">
        <v>98</v>
      </c>
      <c r="C4447" s="6" t="n">
        <f aca="false">(w_ntm28*Sens!G4430+(1-w_ntm28)*Sens!H4430)*m_sw</f>
        <v>370.11557013296</v>
      </c>
    </row>
    <row r="4448" customFormat="false" ht="17.15" hidden="false" customHeight="false" outlineLevel="0" collapsed="false">
      <c r="A4448" s="1" t="s">
        <v>1253</v>
      </c>
      <c r="B4448" s="0" t="s">
        <v>98</v>
      </c>
      <c r="C4448" s="6" t="n">
        <f aca="false">(w_ntm28*Sens!G4431+(1-w_ntm28)*Sens!H4431)*m_sw</f>
        <v>107.404477733721</v>
      </c>
    </row>
    <row r="4449" customFormat="false" ht="17.15" hidden="false" customHeight="false" outlineLevel="0" collapsed="false">
      <c r="A4449" s="1" t="s">
        <v>1254</v>
      </c>
      <c r="B4449" s="0" t="s">
        <v>98</v>
      </c>
      <c r="C4449" s="6" t="n">
        <f aca="false">(w_ntm28*Sens!G4432+(1-w_ntm28)*Sens!H4432)*m_sw</f>
        <v>40.8319696849486</v>
      </c>
    </row>
    <row r="4450" customFormat="false" ht="17.15" hidden="false" customHeight="false" outlineLevel="0" collapsed="false">
      <c r="A4450" s="1" t="s">
        <v>1255</v>
      </c>
      <c r="B4450" s="0" t="s">
        <v>98</v>
      </c>
      <c r="C4450" s="6" t="n">
        <f aca="false">(w_ntm28*Sens!G4433+(1-w_ntm28)*Sens!H4433)*m_ads</f>
        <v>113.217516559593</v>
      </c>
    </row>
    <row r="4451" customFormat="false" ht="17.15" hidden="false" customHeight="false" outlineLevel="0" collapsed="false">
      <c r="A4451" s="1" t="s">
        <v>1256</v>
      </c>
      <c r="B4451" s="0" t="s">
        <v>98</v>
      </c>
      <c r="C4451" s="6" t="n">
        <f aca="false">(w_ntm28*Sens!G4438+(1-w_ntm28)*Sens!H4438)*m_game</f>
        <v>97.0367312549462</v>
      </c>
    </row>
    <row r="4452" customFormat="false" ht="17.15" hidden="false" customHeight="false" outlineLevel="0" collapsed="false">
      <c r="A4452" s="1" t="s">
        <v>1257</v>
      </c>
      <c r="B4452" s="0" t="s">
        <v>98</v>
      </c>
      <c r="C4452" s="6" t="n">
        <f aca="false">(w_ntm28*Sens!G4439+(1-w_ntm28)*Sens!H4439)*m_pc</f>
        <v>89.9635175678918</v>
      </c>
    </row>
    <row r="4453" customFormat="false" ht="17.15" hidden="false" customHeight="false" outlineLevel="0" collapsed="false">
      <c r="A4453" s="1" t="s">
        <v>1258</v>
      </c>
      <c r="B4453" s="0" t="s">
        <v>98</v>
      </c>
      <c r="C4453" s="6" t="n">
        <f aca="false">Sens!$C$4443+Sens!$C$4445+Sens!$C$4446+Sens!$C$4447+Sens!$C$4448+Sens!$C$4449+Sens!$C$4450+Sens!$C$4451+Sens!$C$4452</f>
        <v>3290.67368803209</v>
      </c>
    </row>
    <row r="4454" customFormat="false" ht="17.15" hidden="false" customHeight="false" outlineLevel="0" collapsed="false">
      <c r="A4454" s="1" t="s">
        <v>1259</v>
      </c>
      <c r="B4454" s="0" t="s">
        <v>98</v>
      </c>
      <c r="C4454" s="6" t="n">
        <f aca="false">(Sens!G4415-Sens!G4440)*t_stub</f>
        <v>48.5450132452742</v>
      </c>
      <c r="L4454" s="1" t="s">
        <v>1260</v>
      </c>
    </row>
    <row r="4455" customFormat="false" ht="17.15" hidden="false" customHeight="false" outlineLevel="0" collapsed="false">
      <c r="A4455" s="1" t="s">
        <v>1169</v>
      </c>
      <c r="B4455" s="0" t="s">
        <v>98</v>
      </c>
      <c r="C4455" s="6" t="n">
        <f aca="false">Sens!F4402+oai_v-Sens!F4391+Sens!$C$4454</f>
        <v>162.773283245274</v>
      </c>
      <c r="L4455" s="1" t="s">
        <v>1261</v>
      </c>
    </row>
    <row r="4456" customFormat="false" ht="17.15" hidden="false" customHeight="false" outlineLevel="0" collapsed="false">
      <c r="A4456" s="1" t="s">
        <v>1262</v>
      </c>
      <c r="B4456" s="0" t="s">
        <v>75</v>
      </c>
      <c r="C4456" s="5" t="n">
        <f aca="false">(Sens!$C$4453+Sens!$C$4455)/(Sens!F4404+dil_gap)-Sens!G4394*roll_div_q/q_per_yr</f>
        <v>460.230969790905</v>
      </c>
      <c r="L4456" s="1" t="s">
        <v>1263</v>
      </c>
    </row>
    <row r="4457" customFormat="false" ht="17.15" hidden="false" customHeight="false" outlineLevel="0" collapsed="false">
      <c r="A4457" s="1" t="s">
        <v>1264</v>
      </c>
      <c r="B4457" s="0" t="s">
        <v>75</v>
      </c>
      <c r="C4457" s="5" t="n">
        <f aca="false">w_dcf*Sens!$C$4427+(1-w_dcf)*Sens!$C$4456</f>
        <v>401.601857308683</v>
      </c>
    </row>
    <row r="4458" customFormat="false" ht="17.15" hidden="false" customHeight="false" outlineLevel="0" collapsed="false">
      <c r="A4458" s="3" t="s">
        <v>1590</v>
      </c>
    </row>
    <row r="4459" customFormat="false" ht="15" hidden="false" customHeight="false" outlineLevel="0" collapsed="false">
      <c r="A4459" s="4" t="s">
        <v>43</v>
      </c>
      <c r="B4459" s="4" t="s">
        <v>65</v>
      </c>
      <c r="C4459" s="23" t="s">
        <v>938</v>
      </c>
      <c r="D4459" s="23" t="s">
        <v>939</v>
      </c>
      <c r="E4459" s="23" t="s">
        <v>940</v>
      </c>
      <c r="F4459" s="23" t="s">
        <v>941</v>
      </c>
      <c r="G4459" s="23" t="s">
        <v>942</v>
      </c>
      <c r="H4459" s="23" t="s">
        <v>943</v>
      </c>
      <c r="I4459" s="23" t="s">
        <v>944</v>
      </c>
      <c r="J4459" s="23" t="s">
        <v>945</v>
      </c>
      <c r="K4459" s="23" t="s">
        <v>946</v>
      </c>
      <c r="L4459" s="4" t="s">
        <v>47</v>
      </c>
    </row>
    <row r="4460" customFormat="false" ht="17.15" hidden="false" customHeight="false" outlineLevel="0" collapsed="false">
      <c r="A4460" s="1" t="s">
        <v>947</v>
      </c>
      <c r="B4460" s="1" t="s">
        <v>279</v>
      </c>
      <c r="C4460" s="21" t="n">
        <v>2024</v>
      </c>
      <c r="D4460" s="21" t="n">
        <v>2025</v>
      </c>
      <c r="E4460" s="21" t="n">
        <v>2026</v>
      </c>
      <c r="F4460" s="21" t="n">
        <v>2027</v>
      </c>
      <c r="G4460" s="21" t="n">
        <v>2028</v>
      </c>
      <c r="H4460" s="21" t="n">
        <v>2029</v>
      </c>
      <c r="I4460" s="21" t="n">
        <v>2030</v>
      </c>
      <c r="J4460" s="21" t="n">
        <v>2031</v>
      </c>
      <c r="K4460" s="21" t="n">
        <v>2032</v>
      </c>
    </row>
    <row r="4461" customFormat="false" ht="17.15" hidden="false" customHeight="false" outlineLevel="0" collapsed="false">
      <c r="A4461" s="1" t="s">
        <v>948</v>
      </c>
      <c r="B4461" s="0" t="s">
        <v>456</v>
      </c>
      <c r="F4461" s="30" t="n">
        <f aca="false">pace</f>
        <v>2726.5351</v>
      </c>
      <c r="G4461" s="30" t="n">
        <f aca="false">pace</f>
        <v>2726.5351</v>
      </c>
      <c r="H4461" s="30" t="n">
        <f aca="false">pace</f>
        <v>2726.5351</v>
      </c>
      <c r="I4461" s="30" t="n">
        <f aca="false">pace+(g_tv*Sens!H4462-pace)*MIN(1,(Sens!I4460-pace_y0)/(pace_y1-pace_y0))</f>
        <v>1931.98611966667</v>
      </c>
      <c r="J4461" s="30" t="n">
        <f aca="false">pace+(g_tv*Sens!I4462-pace)*MIN(1,(Sens!J4460-pace_y0)/(pace_y1-pace_y0))</f>
        <v>1176.07686172667</v>
      </c>
      <c r="K4461" s="30" t="n">
        <f aca="false">pace+(g_tv*Sens!J4462-pace)*MIN(1,(Sens!K4460-pace_y0)/(pace_y1-pace_y0))</f>
        <v>436.1300484418</v>
      </c>
      <c r="L4461" s="12" t="s">
        <v>949</v>
      </c>
    </row>
    <row r="4462" customFormat="false" ht="17.15" hidden="false" customHeight="false" outlineLevel="0" collapsed="false">
      <c r="A4462" s="1" t="s">
        <v>950</v>
      </c>
      <c r="B4462" s="0" t="s">
        <v>456</v>
      </c>
      <c r="C4462" s="30" t="n">
        <f aca="false">mw_ext_24</f>
        <v>640</v>
      </c>
      <c r="D4462" s="30" t="n">
        <f aca="false">mw_ext_25</f>
        <v>1630</v>
      </c>
      <c r="E4462" s="30" t="n">
        <f aca="false">mw_ext_26</f>
        <v>3250</v>
      </c>
      <c r="F4462" s="30" t="n">
        <f aca="false">Sens!E4462+Sens!F4461</f>
        <v>5976.5351</v>
      </c>
      <c r="G4462" s="30" t="n">
        <f aca="false">Sens!F4462+Sens!G4461</f>
        <v>8703.0702</v>
      </c>
      <c r="H4462" s="30" t="n">
        <f aca="false">Sens!G4462+Sens!H4461</f>
        <v>11429.6053</v>
      </c>
      <c r="I4462" s="30" t="n">
        <f aca="false">Sens!H4462+Sens!I4461</f>
        <v>13361.5914196667</v>
      </c>
      <c r="J4462" s="30" t="n">
        <f aca="false">Sens!I4462+Sens!J4461</f>
        <v>14537.6682813933</v>
      </c>
      <c r="K4462" s="30" t="n">
        <f aca="false">Sens!J4462+Sens!K4461</f>
        <v>14973.7983298351</v>
      </c>
      <c r="L4462" s="1" t="s">
        <v>951</v>
      </c>
    </row>
    <row r="4463" customFormat="false" ht="17.15" hidden="false" customHeight="false" outlineLevel="0" collapsed="false">
      <c r="A4463" s="1" t="s">
        <v>952</v>
      </c>
      <c r="B4463" s="0" t="s">
        <v>456</v>
      </c>
      <c r="C4463" s="30" t="n">
        <f aca="false">rent_ext_24</f>
        <v>150</v>
      </c>
      <c r="D4463" s="30" t="n">
        <f aca="false">rent_ext_25</f>
        <v>400</v>
      </c>
      <c r="E4463" s="30" t="n">
        <f aca="false">rent_ext_26</f>
        <v>550</v>
      </c>
      <c r="F4463" s="30" t="n">
        <f aca="false">rent_ext_f</f>
        <v>756</v>
      </c>
      <c r="G4463" s="30" t="n">
        <f aca="false">rent_ext_f</f>
        <v>756</v>
      </c>
      <c r="H4463" s="30" t="n">
        <f aca="false">rent_ext_f</f>
        <v>756</v>
      </c>
      <c r="I4463" s="30" t="n">
        <f aca="false">rent_ext_f</f>
        <v>756</v>
      </c>
      <c r="J4463" s="30" t="n">
        <f aca="false">rent_ext_f</f>
        <v>756</v>
      </c>
      <c r="K4463" s="30" t="n">
        <f aca="false">rent_ext_f</f>
        <v>756</v>
      </c>
      <c r="L4463" s="1" t="s">
        <v>953</v>
      </c>
    </row>
    <row r="4464" customFormat="false" ht="17.15" hidden="false" customHeight="false" outlineLevel="0" collapsed="false">
      <c r="A4464" s="1" t="s">
        <v>954</v>
      </c>
      <c r="B4464" s="0" t="s">
        <v>456</v>
      </c>
      <c r="C4464" s="30" t="n">
        <f aca="false">Sens!C4462-Sens!C4463</f>
        <v>490</v>
      </c>
      <c r="D4464" s="30" t="n">
        <f aca="false">Sens!D4462-Sens!D4463</f>
        <v>1230</v>
      </c>
      <c r="E4464" s="30" t="n">
        <f aca="false">Sens!E4462-Sens!E4463</f>
        <v>2700</v>
      </c>
      <c r="F4464" s="30" t="n">
        <f aca="false">Sens!F4462-Sens!F4463</f>
        <v>5220.5351</v>
      </c>
      <c r="G4464" s="30" t="n">
        <f aca="false">Sens!G4462-Sens!G4463</f>
        <v>7947.0702</v>
      </c>
      <c r="H4464" s="30" t="n">
        <f aca="false">Sens!H4462-Sens!H4463</f>
        <v>10673.6053</v>
      </c>
      <c r="I4464" s="30" t="n">
        <f aca="false">Sens!I4462-Sens!I4463</f>
        <v>12605.5914196667</v>
      </c>
      <c r="J4464" s="30" t="n">
        <f aca="false">Sens!J4462-Sens!J4463</f>
        <v>13781.6682813933</v>
      </c>
      <c r="K4464" s="30" t="n">
        <f aca="false">Sens!K4462-Sens!K4463</f>
        <v>14217.7983298351</v>
      </c>
    </row>
    <row r="4465" customFormat="false" ht="17.15" hidden="false" customHeight="false" outlineLevel="0" collapsed="false">
      <c r="A4465" s="1" t="s">
        <v>955</v>
      </c>
      <c r="B4465" s="0" t="s">
        <v>456</v>
      </c>
      <c r="C4465" s="30" t="n">
        <f aca="false">Sens!C4464/ext_sh</f>
        <v>816.666666666667</v>
      </c>
      <c r="D4465" s="30" t="n">
        <f aca="false">Sens!D4464/ext_sh</f>
        <v>2050</v>
      </c>
      <c r="E4465" s="30" t="n">
        <f aca="false">Sens!E4464/ext_sh</f>
        <v>4500</v>
      </c>
      <c r="F4465" s="30" t="n">
        <f aca="false">Sens!F4464/ext_sh</f>
        <v>8700.89183333333</v>
      </c>
      <c r="G4465" s="30" t="n">
        <f aca="false">Sens!G4464/ext_sh</f>
        <v>13245.117</v>
      </c>
      <c r="H4465" s="30" t="n">
        <f aca="false">Sens!H4464/ext_sh</f>
        <v>17789.3421666667</v>
      </c>
      <c r="I4465" s="30" t="n">
        <f aca="false">Sens!I4464/ext_sh</f>
        <v>21009.3190327778</v>
      </c>
      <c r="J4465" s="30" t="n">
        <f aca="false">Sens!J4464/ext_sh</f>
        <v>22969.4471356556</v>
      </c>
      <c r="K4465" s="30" t="n">
        <f aca="false">Sens!K4464/ext_sh</f>
        <v>23696.3305497252</v>
      </c>
      <c r="L4465" s="1" t="s">
        <v>956</v>
      </c>
    </row>
    <row r="4466" customFormat="false" ht="17.15" hidden="false" customHeight="false" outlineLevel="0" collapsed="false">
      <c r="A4466" s="1" t="s">
        <v>957</v>
      </c>
      <c r="B4466" s="0" t="s">
        <v>456</v>
      </c>
      <c r="C4466" s="30" t="n">
        <f aca="false">Sens!C4465-Sens!C4464</f>
        <v>326.666666666667</v>
      </c>
      <c r="D4466" s="30" t="n">
        <f aca="false">Sens!D4465-Sens!D4464</f>
        <v>820</v>
      </c>
      <c r="E4466" s="30" t="n">
        <f aca="false">Sens!E4465-Sens!E4464</f>
        <v>1800</v>
      </c>
      <c r="F4466" s="30" t="n">
        <f aca="false">Sens!F4465-Sens!F4464</f>
        <v>3480.35673333333</v>
      </c>
      <c r="G4466" s="30" t="n">
        <f aca="false">Sens!G4465-Sens!G4464</f>
        <v>5298.0468</v>
      </c>
      <c r="H4466" s="30" t="n">
        <f aca="false">Sens!H4465-Sens!H4464</f>
        <v>7115.73686666667</v>
      </c>
      <c r="I4466" s="30" t="n">
        <f aca="false">Sens!I4465-Sens!I4464</f>
        <v>8403.72761311111</v>
      </c>
      <c r="J4466" s="30" t="n">
        <f aca="false">Sens!J4465-Sens!J4464</f>
        <v>9187.77885426222</v>
      </c>
      <c r="K4466" s="30" t="n">
        <f aca="false">Sens!K4465-Sens!K4464</f>
        <v>9478.53221989009</v>
      </c>
    </row>
    <row r="4467" customFormat="false" ht="17.15" hidden="false" customHeight="false" outlineLevel="0" collapsed="false">
      <c r="A4467" s="1" t="s">
        <v>958</v>
      </c>
      <c r="B4467" s="0" t="s">
        <v>456</v>
      </c>
      <c r="C4467" s="30" t="n">
        <f aca="false">Sens!C4465</f>
        <v>816.666666666667</v>
      </c>
      <c r="D4467" s="30" t="n">
        <f aca="false">Sens!D4465-Sens!C4465</f>
        <v>1233.33333333333</v>
      </c>
      <c r="E4467" s="30" t="n">
        <f aca="false">Sens!E4465-Sens!D4465</f>
        <v>2450</v>
      </c>
      <c r="F4467" s="30" t="n">
        <f aca="false">Sens!F4465-Sens!E4465</f>
        <v>4200.89183333333</v>
      </c>
      <c r="G4467" s="30" t="n">
        <f aca="false">Sens!G4465-Sens!F4465</f>
        <v>4544.22516666667</v>
      </c>
      <c r="H4467" s="30" t="n">
        <f aca="false">Sens!H4465-Sens!G4465</f>
        <v>4544.22516666667</v>
      </c>
      <c r="I4467" s="30" t="n">
        <f aca="false">Sens!I4465-Sens!H4465</f>
        <v>3219.97686611111</v>
      </c>
      <c r="J4467" s="30" t="n">
        <f aca="false">Sens!J4465-Sens!I4465</f>
        <v>1960.12810287778</v>
      </c>
      <c r="K4467" s="30" t="n">
        <f aca="false">Sens!K4465-Sens!J4465</f>
        <v>726.883414069667</v>
      </c>
    </row>
    <row r="4468" customFormat="false" ht="17.15" hidden="false" customHeight="false" outlineLevel="0" collapsed="false">
      <c r="A4468" s="1" t="s">
        <v>959</v>
      </c>
      <c r="B4468" s="0" t="s">
        <v>456</v>
      </c>
      <c r="D4468" s="30" t="n">
        <f aca="false">Sens!D4462-Sens!C4462</f>
        <v>990</v>
      </c>
      <c r="E4468" s="30" t="n">
        <f aca="false">Sens!E4462-Sens!D4462</f>
        <v>1620</v>
      </c>
      <c r="F4468" s="30" t="n">
        <f aca="false">Sens!F4462-Sens!E4462</f>
        <v>2726.5351</v>
      </c>
      <c r="G4468" s="30" t="n">
        <f aca="false">Sens!G4462-Sens!F4462</f>
        <v>2726.5351</v>
      </c>
      <c r="H4468" s="30" t="n">
        <f aca="false">Sens!H4462-Sens!G4462</f>
        <v>2726.5351</v>
      </c>
      <c r="I4468" s="30" t="n">
        <f aca="false">Sens!I4462-Sens!H4462</f>
        <v>1931.98611966667</v>
      </c>
      <c r="J4468" s="30" t="n">
        <f aca="false">Sens!J4462-Sens!I4462</f>
        <v>1176.07686172667</v>
      </c>
      <c r="K4468" s="30" t="n">
        <f aca="false">Sens!K4462-Sens!J4462</f>
        <v>436.130048441799</v>
      </c>
    </row>
    <row r="4469" customFormat="false" ht="17.15" hidden="false" customHeight="false" outlineLevel="0" collapsed="false">
      <c r="A4469" s="1" t="s">
        <v>960</v>
      </c>
      <c r="B4469" s="0" t="s">
        <v>456</v>
      </c>
      <c r="F4469" s="30" t="n">
        <f aca="false">Sens!F4488*ext_sh</f>
        <v>0</v>
      </c>
      <c r="G4469" s="30" t="n">
        <f aca="false">Sens!G4488*ext_sh</f>
        <v>0</v>
      </c>
      <c r="H4469" s="30" t="n">
        <f aca="false">Sens!H4488*ext_sh</f>
        <v>490</v>
      </c>
      <c r="I4469" s="30" t="n">
        <f aca="false">Sens!I4488*ext_sh</f>
        <v>740</v>
      </c>
      <c r="J4469" s="30" t="n">
        <f aca="false">Sens!J4488*ext_sh</f>
        <v>1470</v>
      </c>
      <c r="K4469" s="30" t="n">
        <f aca="false">Sens!K4488*ext_sh</f>
        <v>2520.5351</v>
      </c>
      <c r="L4469" s="1" t="s">
        <v>961</v>
      </c>
    </row>
    <row r="4470" customFormat="false" ht="17.15" hidden="false" customHeight="false" outlineLevel="0" collapsed="false">
      <c r="A4470" s="1" t="s">
        <v>962</v>
      </c>
      <c r="B4470" s="0" t="s">
        <v>456</v>
      </c>
      <c r="C4470" s="30" t="n">
        <f aca="false">mix_h*Sens!C4462</f>
        <v>128</v>
      </c>
      <c r="D4470" s="30" t="n">
        <f aca="false">mix_h*Sens!D4462</f>
        <v>326</v>
      </c>
      <c r="E4470" s="30" t="n">
        <f aca="false">mix_h*Sens!E4462</f>
        <v>650</v>
      </c>
      <c r="F4470" s="30" t="n">
        <f aca="false">Sens!E4470-Sens!F4469*mix_h</f>
        <v>650</v>
      </c>
      <c r="G4470" s="30" t="n">
        <f aca="false">Sens!F4470-Sens!G4469*mix_h</f>
        <v>650</v>
      </c>
      <c r="H4470" s="30" t="n">
        <f aca="false">Sens!G4470-Sens!H4469*mix_h</f>
        <v>552</v>
      </c>
      <c r="I4470" s="30" t="n">
        <f aca="false">Sens!H4470-Sens!I4469*mix_h</f>
        <v>404</v>
      </c>
      <c r="J4470" s="30" t="n">
        <f aca="false">Sens!I4470-Sens!J4469*mix_h</f>
        <v>110</v>
      </c>
      <c r="K4470" s="30" t="n">
        <f aca="false">Sens!J4470-Sens!K4469*mix_h</f>
        <v>-394.10702</v>
      </c>
    </row>
    <row r="4471" customFormat="false" ht="17.15" hidden="false" customHeight="false" outlineLevel="0" collapsed="false">
      <c r="A4471" s="1" t="s">
        <v>963</v>
      </c>
      <c r="B4471" s="0" t="s">
        <v>456</v>
      </c>
      <c r="C4471" s="30" t="n">
        <f aca="false">mix_g2*Sens!C4462</f>
        <v>288</v>
      </c>
      <c r="D4471" s="30" t="n">
        <f aca="false">mix_g2*Sens!D4462</f>
        <v>733.5</v>
      </c>
      <c r="E4471" s="30" t="n">
        <f aca="false">mix_g2*Sens!E4462</f>
        <v>1462.5</v>
      </c>
      <c r="F4471" s="30" t="n">
        <f aca="false">Sens!E4471-Sens!F4469*mix_g2</f>
        <v>1462.5</v>
      </c>
      <c r="G4471" s="30" t="n">
        <f aca="false">Sens!F4471-Sens!G4469*mix_g2</f>
        <v>1462.5</v>
      </c>
      <c r="H4471" s="30" t="n">
        <f aca="false">Sens!G4471-Sens!H4469*mix_g2</f>
        <v>1242</v>
      </c>
      <c r="I4471" s="30" t="n">
        <f aca="false">Sens!H4471-Sens!I4469*mix_g2</f>
        <v>909</v>
      </c>
      <c r="J4471" s="30" t="n">
        <f aca="false">Sens!I4471-Sens!J4469*mix_g2</f>
        <v>247.5</v>
      </c>
      <c r="K4471" s="30" t="n">
        <f aca="false">Sens!J4471-Sens!K4469*mix_g2</f>
        <v>-886.740795</v>
      </c>
    </row>
    <row r="4472" customFormat="false" ht="17.15" hidden="false" customHeight="false" outlineLevel="0" collapsed="false">
      <c r="A4472" s="1" t="s">
        <v>964</v>
      </c>
      <c r="B4472" s="0" t="s">
        <v>456</v>
      </c>
      <c r="C4472" s="30" t="n">
        <f aca="false">mix_g3*Sens!C4462</f>
        <v>224</v>
      </c>
      <c r="D4472" s="30" t="n">
        <f aca="false">mix_g3*Sens!D4462</f>
        <v>570.5</v>
      </c>
      <c r="E4472" s="30" t="n">
        <f aca="false">mix_g3*Sens!E4462</f>
        <v>1137.5</v>
      </c>
      <c r="F4472" s="30" t="n">
        <f aca="false">Sens!E4472+(Sens!F4468+Sens!F4469)*(a_g3_27-nonnv*a_mai)-Sens!F4469*mix_g3</f>
        <v>2773.42106</v>
      </c>
      <c r="G4472" s="30" t="n">
        <f aca="false">Sens!F4472+(Sens!G4468+Sens!G4469)*(a_g3_28-nonnv*a_mai)-Sens!G4469*mix_g3</f>
        <v>3318.72808</v>
      </c>
      <c r="H4472" s="30" t="n">
        <f aca="false">Sens!G4472+(Sens!H4468+Sens!H4469)*(a_g3_29-nonnv*a_mai)-Sens!H4469*mix_g3</f>
        <v>3147.22808</v>
      </c>
      <c r="I4472" s="30" t="n">
        <f aca="false">Sens!H4472+(Sens!I4468+Sens!I4469)*(a_g3_29-nonnv*a_mai)-Sens!I4469*mix_g3</f>
        <v>2888.22808</v>
      </c>
      <c r="J4472" s="30" t="n">
        <f aca="false">Sens!I4472+(Sens!J4468+Sens!J4469)*(a_g3_29-nonnv*a_mai)-Sens!J4469*mix_g3</f>
        <v>2373.72808</v>
      </c>
      <c r="K4472" s="30" t="n">
        <f aca="false">Sens!J4472+(Sens!K4468+Sens!K4469)*(a_g3_29-nonnv*a_mai)-Sens!K4469*mix_g3</f>
        <v>1491.540795</v>
      </c>
    </row>
    <row r="4473" customFormat="false" ht="17.15" hidden="false" customHeight="false" outlineLevel="0" collapsed="false">
      <c r="A4473" s="1" t="s">
        <v>965</v>
      </c>
      <c r="B4473" s="0" t="s">
        <v>456</v>
      </c>
      <c r="C4473" s="30" t="n">
        <v>0</v>
      </c>
      <c r="D4473" s="30" t="n">
        <v>0</v>
      </c>
      <c r="E4473" s="30" t="n">
        <v>0</v>
      </c>
      <c r="F4473" s="30" t="n">
        <f aca="false">Sens!E4473+(Sens!F4468+Sens!F4469)*nonnv*a_mai</f>
        <v>272.65351</v>
      </c>
      <c r="G4473" s="30" t="n">
        <f aca="false">Sens!F4473+(Sens!G4468+Sens!G4469)*nonnv*a_mai</f>
        <v>545.30702</v>
      </c>
      <c r="H4473" s="30" t="n">
        <f aca="false">Sens!G4473+(Sens!H4468+Sens!H4469)*nonnv*a_mai</f>
        <v>866.96053</v>
      </c>
      <c r="I4473" s="30" t="n">
        <f aca="false">Sens!H4473+(Sens!I4468+Sens!I4469)*nonnv*a_mai</f>
        <v>1134.15914196667</v>
      </c>
      <c r="J4473" s="30" t="n">
        <f aca="false">Sens!I4473+(Sens!J4468+Sens!J4469)*nonnv*a_mai</f>
        <v>1398.76682813933</v>
      </c>
      <c r="K4473" s="30" t="n">
        <f aca="false">Sens!J4473+(Sens!K4468+Sens!K4469)*nonnv*a_mai</f>
        <v>1694.43334298351</v>
      </c>
      <c r="L4473" s="12" t="s">
        <v>966</v>
      </c>
    </row>
    <row r="4474" customFormat="false" ht="17.15" hidden="false" customHeight="false" outlineLevel="0" collapsed="false">
      <c r="A4474" s="1" t="s">
        <v>967</v>
      </c>
      <c r="B4474" s="0" t="s">
        <v>456</v>
      </c>
      <c r="C4474" s="30" t="n">
        <v>0</v>
      </c>
      <c r="D4474" s="30" t="n">
        <v>0</v>
      </c>
      <c r="E4474" s="30" t="n">
        <v>0</v>
      </c>
      <c r="F4474" s="30" t="n">
        <f aca="false">Sens!E4474+(Sens!F4468+Sens!F4469)*(1-a_g3_27)</f>
        <v>817.96053</v>
      </c>
      <c r="G4474" s="30" t="n">
        <f aca="false">Sens!F4474+(Sens!G4468+Sens!G4469)*(1-a_g3_28)</f>
        <v>2726.5351</v>
      </c>
      <c r="H4474" s="30" t="n">
        <f aca="false">Sens!G4474+(Sens!H4468+Sens!H4469)*(1-a_g3_29)</f>
        <v>5621.41669</v>
      </c>
      <c r="I4474" s="30" t="n">
        <f aca="false">Sens!H4474+(Sens!I4468+Sens!I4469)*(1-a_g3_29)</f>
        <v>8026.2041977</v>
      </c>
      <c r="J4474" s="30" t="n">
        <f aca="false">Sens!I4474+(Sens!J4468+Sens!J4469)*(1-a_g3_29)</f>
        <v>10407.673373254</v>
      </c>
      <c r="K4474" s="30" t="n">
        <f aca="false">Sens!J4474+(Sens!K4468+Sens!K4469)*(1-a_g3_29)</f>
        <v>13068.6720068516</v>
      </c>
    </row>
    <row r="4475" customFormat="false" ht="17.15" hidden="false" customHeight="false" outlineLevel="0" collapsed="false">
      <c r="A4475" s="1" t="s">
        <v>968</v>
      </c>
      <c r="B4475" s="0" t="s">
        <v>403</v>
      </c>
      <c r="C4475" s="15" t="n">
        <f aca="false">(Sens!C4470*tk_hold_h100+Sens!C4471*tk_hold_gb200+Sens!C4472*tk_hold_gb300+Sens!C4474*tk_hold_vr200+Sens!C4473*nv_hold_mai*tk_hold_vr200)/Sens!C4462</f>
        <v>9.7235358126469</v>
      </c>
      <c r="D4475" s="15" t="n">
        <f aca="false">(Sens!D4470*tk_hold_h100+Sens!D4471*tk_hold_gb200+Sens!D4472*tk_hold_gb300+Sens!D4474*tk_hold_vr200+Sens!D4473*nv_hold_mai*tk_hold_vr200)/Sens!D4462</f>
        <v>9.7235358126469</v>
      </c>
      <c r="E4475" s="15" t="n">
        <f aca="false">(Sens!E4470*tk_hold_h100+Sens!E4471*tk_hold_gb200+Sens!E4472*tk_hold_gb300+Sens!E4474*tk_hold_vr200+Sens!E4473*nv_hold_mai*tk_hold_vr200)/Sens!E4462</f>
        <v>9.7235358126469</v>
      </c>
      <c r="F4475" s="15" t="n">
        <f aca="false">(Sens!F4470*tk_hold_h100+Sens!F4471*tk_hold_gb200+Sens!F4472*tk_hold_gb300+Sens!F4474*tk_hold_vr200+Sens!F4473*nv_hold_mai*tk_hold_vr200)/Sens!F4462</f>
        <v>10.2195353876665</v>
      </c>
      <c r="G4475" s="15" t="n">
        <f aca="false">(Sens!G4470*tk_hold_h100+Sens!G4471*tk_hold_gb200+Sens!G4472*tk_hold_gb300+Sens!G4474*tk_hold_vr200+Sens!G4473*nv_hold_mai*tk_hold_vr200)/Sens!G4462</f>
        <v>10.5725598017306</v>
      </c>
      <c r="H4475" s="15" t="n">
        <f aca="false">(Sens!H4470*tk_hold_h100+Sens!H4471*tk_hold_gb200+Sens!H4472*tk_hold_gb300+Sens!H4474*tk_hold_vr200+Sens!H4473*nv_hold_mai*tk_hold_vr200)/Sens!H4462</f>
        <v>10.902097500272</v>
      </c>
      <c r="I4475" s="15" t="n">
        <f aca="false">(Sens!I4470*tk_hold_h100+Sens!I4471*tk_hold_gb200+Sens!I4472*tk_hold_gb300+Sens!I4474*tk_hold_vr200+Sens!I4473*nv_hold_mai*tk_hold_vr200)/Sens!I4462</f>
        <v>11.1097716279125</v>
      </c>
      <c r="J4475" s="15" t="n">
        <f aca="false">(Sens!J4470*tk_hold_h100+Sens!J4471*tk_hold_gb200+Sens!J4472*tk_hold_gb300+Sens!J4474*tk_hold_vr200+Sens!J4473*nv_hold_mai*tk_hold_vr200)/Sens!J4462</f>
        <v>11.3417562963592</v>
      </c>
      <c r="K4475" s="15" t="n">
        <f aca="false">(Sens!K4470*tk_hold_h100+Sens!K4471*tk_hold_gb200+Sens!K4472*tk_hold_gb300+Sens!K4474*tk_hold_vr200+Sens!K4473*nv_hold_mai*tk_hold_vr200)/Sens!K4462</f>
        <v>11.6679459977291</v>
      </c>
      <c r="L4475" s="1" t="s">
        <v>969</v>
      </c>
    </row>
    <row r="4476" customFormat="false" ht="17.15" hidden="false" customHeight="false" outlineLevel="0" collapsed="false">
      <c r="A4476" s="1" t="s">
        <v>970</v>
      </c>
      <c r="B4476" s="0" t="s">
        <v>403</v>
      </c>
      <c r="C4476" s="15" t="n">
        <f aca="false">(Sens!C4470*tk_hold_h100+Sens!C4471*tk_hold_gb200+Sens!C4472*tk_hold_gb300+Sens!C4474*tk_hold_vr200+Sens!C4473*nv_out_mai*tk_hold_vr200)/Sens!C4462</f>
        <v>9.7235358126469</v>
      </c>
      <c r="D4476" s="15" t="n">
        <f aca="false">(Sens!D4470*tk_hold_h100+Sens!D4471*tk_hold_gb200+Sens!D4472*tk_hold_gb300+Sens!D4474*tk_hold_vr200+Sens!D4473*nv_out_mai*tk_hold_vr200)/Sens!D4462</f>
        <v>9.7235358126469</v>
      </c>
      <c r="E4476" s="15" t="n">
        <f aca="false">(Sens!E4470*tk_hold_h100+Sens!E4471*tk_hold_gb200+Sens!E4472*tk_hold_gb300+Sens!E4474*tk_hold_vr200+Sens!E4473*nv_out_mai*tk_hold_vr200)/Sens!E4462</f>
        <v>9.7235358126469</v>
      </c>
      <c r="F4476" s="15" t="n">
        <f aca="false">(Sens!F4470*tk_hold_h100+Sens!F4471*tk_hold_gb200+Sens!F4472*tk_hold_gb300+Sens!F4474*tk_hold_vr200+Sens!F4473*nv_out_mai*tk_hold_vr200)/Sens!F4462</f>
        <v>10.247422093969</v>
      </c>
      <c r="G4476" s="15" t="n">
        <f aca="false">(Sens!G4470*tk_hold_h100+Sens!G4471*tk_hold_gb200+Sens!G4472*tk_hold_gb300+Sens!G4474*tk_hold_vr200+Sens!G4473*nv_out_mai*tk_hold_vr200)/Sens!G4462</f>
        <v>10.6108602808053</v>
      </c>
      <c r="H4476" s="15" t="n">
        <f aca="false">(Sens!H4470*tk_hold_h100+Sens!H4471*tk_hold_gb200+Sens!H4472*tk_hold_gb300+Sens!H4474*tk_hold_vr200+Sens!H4473*nv_out_mai*tk_hold_vr200)/Sens!H4462</f>
        <v>10.9484639343852</v>
      </c>
      <c r="I4476" s="15" t="n">
        <f aca="false">(Sens!I4470*tk_hold_h100+Sens!I4471*tk_hold_gb200+Sens!I4472*tk_hold_gb300+Sens!I4474*tk_hold_vr200+Sens!I4473*nv_out_mai*tk_hold_vr200)/Sens!I4462</f>
        <v>11.1616577740653</v>
      </c>
      <c r="J4476" s="15" t="n">
        <f aca="false">(Sens!J4470*tk_hold_h100+Sens!J4471*tk_hold_gb200+Sens!J4472*tk_hold_gb300+Sens!J4474*tk_hold_vr200+Sens!J4473*nv_out_mai*tk_hold_vr200)/Sens!J4462</f>
        <v>11.4005710353138</v>
      </c>
      <c r="K4476" s="15" t="n">
        <f aca="false">(Sens!K4470*tk_hold_h100+Sens!K4471*tk_hold_gb200+Sens!K4472*tk_hold_gb300+Sens!K4474*tk_hold_vr200+Sens!K4473*nv_out_mai*tk_hold_vr200)/Sens!K4462</f>
        <v>11.7371176442531</v>
      </c>
      <c r="L4476" s="12" t="s">
        <v>971</v>
      </c>
    </row>
    <row r="4477" customFormat="false" ht="17.15" hidden="false" customHeight="false" outlineLevel="0" collapsed="false">
      <c r="A4477" s="0" t="s">
        <v>972</v>
      </c>
      <c r="B4477" s="0" t="s">
        <v>229</v>
      </c>
      <c r="C4477" s="15" t="n">
        <f aca="false">k_B</f>
        <v>1.17213932619116</v>
      </c>
      <c r="D4477" s="15" t="n">
        <f aca="false">k_B</f>
        <v>1.17213932619116</v>
      </c>
      <c r="E4477" s="15" t="n">
        <f aca="false">k_B</f>
        <v>1.17213932619116</v>
      </c>
      <c r="F4477" s="15" t="n">
        <f aca="false">(k_B+((ls_B*k_long+(1-ls_B)*k_spot)-k_B)*MIN(1,(Sens!F4460-base_fy)/k_ramp))</f>
        <v>1.17213932619116</v>
      </c>
      <c r="G4477" s="15" t="n">
        <f aca="false">(k_B+((ls_B*k_long+(1-ls_B)*k_spot)-k_B)*MIN(1,(Sens!G4460-base_fy)/k_ramp))</f>
        <v>1.17213932619116</v>
      </c>
      <c r="H4477" s="15" t="n">
        <f aca="false">(k_B+((ls_B*k_long+(1-ls_B)*k_spot)-k_B)*MIN(1,(Sens!H4460-base_fy)/k_ramp))</f>
        <v>1.17213932619116</v>
      </c>
      <c r="I4477" s="15" t="n">
        <f aca="false">(k_B+((ls_B*k_long+(1-ls_B)*k_spot)-k_B)*MIN(1,(Sens!I4460-base_fy)/k_ramp))</f>
        <v>1.17213932619116</v>
      </c>
      <c r="J4477" s="15" t="n">
        <f aca="false">(k_B+((ls_B*k_long+(1-ls_B)*k_spot)-k_B)*MIN(1,(Sens!J4460-base_fy)/k_ramp))</f>
        <v>1.17213932619116</v>
      </c>
      <c r="K4477" s="15" t="n">
        <f aca="false">(k_B+((ls_B*k_long+(1-ls_B)*k_spot)-k_B)*MIN(1,(Sens!K4460-base_fy)/k_ramp))</f>
        <v>1.17213932619116</v>
      </c>
      <c r="L4477" s="1" t="s">
        <v>973</v>
      </c>
    </row>
    <row r="4478" customFormat="false" ht="17.15" hidden="false" customHeight="false" outlineLevel="0" collapsed="false">
      <c r="A4478" s="1" t="s">
        <v>974</v>
      </c>
      <c r="B4478" s="0" t="s">
        <v>403</v>
      </c>
      <c r="C4478" s="15" t="n">
        <f aca="false">Sens!C4476*Sens!C4477*chip_f</f>
        <v>11.3973387156315</v>
      </c>
      <c r="D4478" s="15" t="n">
        <f aca="false">Sens!D4476*Sens!D4477*chip_f</f>
        <v>11.3973387156315</v>
      </c>
      <c r="E4478" s="15" t="n">
        <f aca="false">Sens!E4476*Sens!E4477*chip_f</f>
        <v>11.3973387156315</v>
      </c>
      <c r="F4478" s="15" t="n">
        <f aca="false">Sens!F4476*Sens!F4477*chip_f</f>
        <v>12.0114064284211</v>
      </c>
      <c r="G4478" s="15" t="n">
        <f aca="false">Sens!G4476*Sens!G4477*chip_f</f>
        <v>12.4374066198516</v>
      </c>
      <c r="H4478" s="15" t="n">
        <f aca="false">Sens!H4476*Sens!H4477*chip_f</f>
        <v>12.8331251388784</v>
      </c>
      <c r="I4478" s="15" t="n">
        <f aca="false">Sens!I4476*Sens!I4477*chip_f</f>
        <v>13.0830180224691</v>
      </c>
      <c r="J4478" s="15" t="n">
        <f aca="false">Sens!J4476*Sens!J4477*chip_f</f>
        <v>13.3630576515271</v>
      </c>
      <c r="K4478" s="15" t="n">
        <f aca="false">Sens!K4476*Sens!K4477*chip_f</f>
        <v>13.7575371669611</v>
      </c>
      <c r="L4478" s="1" t="s">
        <v>975</v>
      </c>
    </row>
    <row r="4479" customFormat="false" ht="17.15" hidden="false" customHeight="false" outlineLevel="0" collapsed="false">
      <c r="A4479" s="0" t="s">
        <v>976</v>
      </c>
      <c r="B4479" s="0" t="s">
        <v>98</v>
      </c>
      <c r="D4479" s="6" t="n">
        <f aca="false">(Sens!C4462+Sens!D4462)/2*Sens!D4478/1000</f>
        <v>12.9359794422418</v>
      </c>
      <c r="E4479" s="6" t="n">
        <f aca="false">(Sens!D4462+Sens!E4462)/2*Sens!E4478/1000</f>
        <v>27.8095064661409</v>
      </c>
      <c r="F4479" s="6" t="n">
        <f aca="false">(Sens!E4462+Sens!F4462)/2*Sens!F4478/1000</f>
        <v>55.4118315060966</v>
      </c>
      <c r="G4479" s="6" t="n">
        <f aca="false">(Sens!F4462+Sens!G4462)/2*Sens!G4478/1000</f>
        <v>91.2881100675143</v>
      </c>
      <c r="H4479" s="6" t="n">
        <f aca="false">(Sens!G4462+Sens!H4462)/2*Sens!H4478/1000</f>
        <v>129.182572035966</v>
      </c>
      <c r="I4479" s="6" t="n">
        <f aca="false">(Sens!H4462+Sens!I4462)/2*Sens!I4478/1000</f>
        <v>162.171836740988</v>
      </c>
      <c r="J4479" s="6" t="n">
        <f aca="false">(Sens!I4462+Sens!J4462)/2*Sens!J4478/1000</f>
        <v>186.409707910096</v>
      </c>
      <c r="K4479" s="6" t="n">
        <f aca="false">(Sens!J4462+Sens!K4462)/2*Sens!K4478/1000</f>
        <v>203.002549377754</v>
      </c>
      <c r="L4479" s="12" t="s">
        <v>977</v>
      </c>
    </row>
    <row r="4480" customFormat="false" ht="17.15" hidden="false" customHeight="false" outlineLevel="0" collapsed="false">
      <c r="A4480" s="1" t="s">
        <v>978</v>
      </c>
      <c r="B4480" s="0" t="s">
        <v>403</v>
      </c>
      <c r="C4480" s="15" t="n">
        <f aca="false">(Sens!C4470*tk_opex_h100+Sens!C4471*tk_opex_gb200+Sens!C4472*tk_opex_gb300+(Sens!C4474+Sens!C4473)*tk_opex_vr200)/Sens!C4462</f>
        <v>1.88636041306092</v>
      </c>
      <c r="D4480" s="15" t="n">
        <f aca="false">(Sens!D4470*tk_opex_h100+Sens!D4471*tk_opex_gb200+Sens!D4472*tk_opex_gb300+(Sens!D4474+Sens!D4473)*tk_opex_vr200)/Sens!D4462</f>
        <v>1.88636041306092</v>
      </c>
      <c r="E4480" s="15" t="n">
        <f aca="false">(Sens!E4470*tk_opex_h100+Sens!E4471*tk_opex_gb200+Sens!E4472*tk_opex_gb300+(Sens!E4474+Sens!E4473)*tk_opex_vr200)/Sens!E4462</f>
        <v>1.88636041306092</v>
      </c>
      <c r="F4480" s="15" t="n">
        <f aca="false">(Sens!F4470*tk_opex_h100+Sens!F4471*tk_opex_gb200+Sens!F4472*tk_opex_gb300+(Sens!F4474+Sens!F4473)*tk_opex_vr200)/Sens!F4462</f>
        <v>1.95051159746876</v>
      </c>
      <c r="G4480" s="15" t="n">
        <f aca="false">(Sens!G4470*tk_opex_h100+Sens!G4471*tk_opex_gb200+Sens!G4472*tk_opex_gb300+(Sens!G4474+Sens!G4473)*tk_opex_vr200)/Sens!G4462</f>
        <v>1.98836003669956</v>
      </c>
      <c r="H4480" s="15" t="n">
        <f aca="false">(Sens!H4470*tk_opex_h100+Sens!H4471*tk_opex_gb200+Sens!H4472*tk_opex_gb300+(Sens!H4474+Sens!H4473)*tk_opex_vr200)/Sens!H4462</f>
        <v>2.02232025393885</v>
      </c>
      <c r="I4480" s="15" t="n">
        <f aca="false">(Sens!I4470*tk_opex_h100+Sens!I4471*tk_opex_gb200+Sens!I4472*tk_opex_gb300+(Sens!I4474+Sens!I4473)*tk_opex_vr200)/Sens!I4462</f>
        <v>2.04408335623333</v>
      </c>
      <c r="J4480" s="15" t="n">
        <f aca="false">(Sens!J4470*tk_opex_h100+Sens!J4471*tk_opex_gb200+Sens!J4472*tk_opex_gb300+(Sens!J4474+Sens!J4473)*tk_opex_vr200)/Sens!J4462</f>
        <v>2.0690255393673</v>
      </c>
      <c r="K4480" s="15" t="n">
        <f aca="false">(Sens!K4470*tk_opex_h100+Sens!K4471*tk_opex_gb200+Sens!K4472*tk_opex_gb300+(Sens!K4474+Sens!K4473)*tk_opex_vr200)/Sens!K4462</f>
        <v>2.1046052549011</v>
      </c>
      <c r="L4480" s="12" t="s">
        <v>979</v>
      </c>
    </row>
    <row r="4481" customFormat="false" ht="17.15" hidden="false" customHeight="false" outlineLevel="0" collapsed="false">
      <c r="A4481" s="0" t="s">
        <v>980</v>
      </c>
      <c r="B4481" s="0" t="s">
        <v>98</v>
      </c>
      <c r="D4481" s="6" t="n">
        <f aca="false">(Sens!C4465+Sens!D4465)/2*Sens!D4480/1000</f>
        <v>2.70378325872065</v>
      </c>
      <c r="E4481" s="6" t="n">
        <f aca="false">(Sens!D4465+Sens!E4465)/2*Sens!E4480/1000</f>
        <v>6.17783035277451</v>
      </c>
      <c r="F4481" s="6" t="n">
        <f aca="false">(Sens!E4465+Sens!F4465)/2*Sens!F4480/1000</f>
        <v>12.8742463089237</v>
      </c>
      <c r="G4481" s="6" t="n">
        <f aca="false">(Sens!F4465+Sens!G4465)/2*Sens!G4480/1000</f>
        <v>21.8182834646277</v>
      </c>
      <c r="H4481" s="6" t="n">
        <f aca="false">(Sens!G4465+Sens!H4465)/2*Sens!H4480/1000</f>
        <v>31.380807671394</v>
      </c>
      <c r="I4481" s="6" t="n">
        <f aca="false">(Sens!H4465+Sens!I4465)/2*Sens!I4480/1000</f>
        <v>39.6538488009602</v>
      </c>
      <c r="J4481" s="6" t="n">
        <f aca="false">(Sens!I4465+Sens!J4465)/2*Sens!J4480/1000</f>
        <v>45.4965951961756</v>
      </c>
      <c r="K4481" s="6" t="n">
        <f aca="false">(Sens!J4465+Sens!K4465)/2*Sens!K4480/1000</f>
        <v>49.1065204703494</v>
      </c>
    </row>
    <row r="4482" customFormat="false" ht="17.15" hidden="false" customHeight="false" outlineLevel="0" collapsed="false">
      <c r="A4482" s="0" t="s">
        <v>981</v>
      </c>
      <c r="B4482" s="0" t="s">
        <v>98</v>
      </c>
      <c r="D4482" s="6" t="n">
        <f aca="false">(Sens!C4463+Sens!D4463)/2*rent_mw/1000</f>
        <v>2.44475</v>
      </c>
      <c r="E4482" s="6" t="n">
        <f aca="false">(Sens!D4463+Sens!E4463)/2*rent_mw/1000</f>
        <v>4.22275</v>
      </c>
      <c r="F4482" s="6" t="n">
        <f aca="false">(Sens!E4463+Sens!F4463)/2*rent_mw/1000</f>
        <v>5.80517</v>
      </c>
      <c r="G4482" s="6" t="n">
        <f aca="false">(Sens!F4463+Sens!G4463)/2*rent_mw/1000</f>
        <v>6.72084</v>
      </c>
      <c r="H4482" s="6" t="n">
        <f aca="false">(Sens!G4463+Sens!H4463)/2*rent_mw/1000</f>
        <v>6.72084</v>
      </c>
      <c r="I4482" s="6" t="n">
        <f aca="false">(Sens!H4463+Sens!I4463)/2*rent_mw/1000</f>
        <v>6.72084</v>
      </c>
      <c r="J4482" s="6" t="n">
        <f aca="false">(Sens!I4463+Sens!J4463)/2*rent_mw/1000</f>
        <v>6.72084</v>
      </c>
      <c r="K4482" s="6" t="n">
        <f aca="false">(Sens!J4463+Sens!K4463)/2*rent_mw/1000</f>
        <v>6.72084</v>
      </c>
    </row>
    <row r="4483" customFormat="false" ht="17.15" hidden="false" customHeight="false" outlineLevel="0" collapsed="false">
      <c r="A4483" s="0" t="s">
        <v>982</v>
      </c>
      <c r="B4483" s="0" t="s">
        <v>98</v>
      </c>
      <c r="D4483" s="6" t="n">
        <f aca="false">(Sens!C4465+Sens!D4465)/2*(1-self_build)*fac_rent/1000</f>
        <v>0.853242375631075</v>
      </c>
      <c r="E4483" s="6" t="n">
        <f aca="false">(Sens!D4465+Sens!E4465)/2*(1-self_build)*fac_rent/1000</f>
        <v>1.94955961408728</v>
      </c>
      <c r="F4483" s="6" t="n">
        <f aca="false">(Sens!E4465+Sens!F4465)/2*(1-self_build)*fac_rent/1000</f>
        <v>3.92914894476356</v>
      </c>
      <c r="G4483" s="6" t="n">
        <f aca="false">(Sens!F4465+Sens!G4465)/2*(1-self_build)*fac_rent/1000</f>
        <v>6.53206908578159</v>
      </c>
      <c r="H4483" s="6" t="n">
        <f aca="false">(Sens!G4465+Sens!H4465)/2*(1-self_build)*fac_rent/1000</f>
        <v>9.23717988341591</v>
      </c>
      <c r="I4483" s="6" t="n">
        <f aca="false">(Sens!H4465+Sens!I4465)/2*(1-self_build)*fac_rent/1000</f>
        <v>11.5481378557393</v>
      </c>
      <c r="J4483" s="6" t="n">
        <f aca="false">(Sens!I4465+Sens!J4465)/2*(1-self_build)*fac_rent/1000</f>
        <v>13.0899582289108</v>
      </c>
      <c r="K4483" s="6" t="n">
        <f aca="false">(Sens!J4465+Sens!K4465)/2*(1-self_build)*fac_rent/1000</f>
        <v>13.8897275626556</v>
      </c>
      <c r="L4483" s="12" t="s">
        <v>983</v>
      </c>
    </row>
    <row r="4484" customFormat="false" ht="17.15" hidden="false" customHeight="false" outlineLevel="0" collapsed="false">
      <c r="A4484" s="1" t="s">
        <v>984</v>
      </c>
      <c r="B4484" s="0" t="s">
        <v>168</v>
      </c>
      <c r="D4484" s="7" t="n">
        <f aca="false">(Sens!C4464+Sens!D4464)/(Sens!C4465+Sens!D4465)</f>
        <v>0.6</v>
      </c>
      <c r="E4484" s="7" t="n">
        <f aca="false">(Sens!D4464+Sens!E4464)/(Sens!D4465+Sens!E4465)</f>
        <v>0.6</v>
      </c>
      <c r="F4484" s="7" t="n">
        <f aca="false">(Sens!E4464+Sens!F4464)/(Sens!E4465+Sens!F4465)</f>
        <v>0.6</v>
      </c>
      <c r="G4484" s="7" t="n">
        <f aca="false">(Sens!F4464+Sens!G4464)/(Sens!F4465+Sens!G4465)</f>
        <v>0.6</v>
      </c>
      <c r="H4484" s="7" t="n">
        <f aca="false">(Sens!G4464+Sens!H4464)/(Sens!G4465+Sens!H4465)</f>
        <v>0.6</v>
      </c>
      <c r="I4484" s="7" t="n">
        <f aca="false">(Sens!H4464+Sens!I4464)/(Sens!H4465+Sens!I4465)</f>
        <v>0.6</v>
      </c>
      <c r="J4484" s="7" t="n">
        <f aca="false">(Sens!I4464+Sens!J4464)/(Sens!I4465+Sens!J4465)</f>
        <v>0.6</v>
      </c>
      <c r="K4484" s="7" t="n">
        <f aca="false">(Sens!J4464+Sens!K4464)/(Sens!J4465+Sens!K4465)</f>
        <v>0.6</v>
      </c>
    </row>
    <row r="4485" customFormat="false" ht="17.15" hidden="false" customHeight="false" outlineLevel="0" collapsed="false">
      <c r="A4485" s="0" t="s">
        <v>985</v>
      </c>
      <c r="B4485" s="0" t="s">
        <v>98</v>
      </c>
      <c r="D4485" s="6" t="n">
        <f aca="false">Sens!D4479-Sens!D4484*(Sens!D4481+Sens!D4483)-Sens!D4482</f>
        <v>8.35701406163072</v>
      </c>
      <c r="E4485" s="6" t="n">
        <f aca="false">Sens!E4479-Sens!E4484*(Sens!E4481+Sens!E4483)-Sens!E4482</f>
        <v>18.7103224860238</v>
      </c>
      <c r="F4485" s="6" t="n">
        <f aca="false">Sens!F4479-Sens!F4484*(Sens!F4481+Sens!F4483)-Sens!F4482</f>
        <v>39.5246243538843</v>
      </c>
      <c r="G4485" s="6" t="n">
        <f aca="false">Sens!G4479-Sens!G4484*(Sens!G4481+Sens!G4483)-Sens!G4482</f>
        <v>67.5570585372687</v>
      </c>
      <c r="H4485" s="6" t="n">
        <f aca="false">Sens!H4479-Sens!H4484*(Sens!H4481+Sens!H4483)-Sens!H4482</f>
        <v>98.0909395030797</v>
      </c>
      <c r="I4485" s="6" t="n">
        <f aca="false">Sens!I4479-Sens!I4484*(Sens!I4481+Sens!I4483)-Sens!I4482</f>
        <v>124.729804746969</v>
      </c>
      <c r="J4485" s="6" t="n">
        <f aca="false">Sens!J4479-Sens!J4484*(Sens!J4481+Sens!J4483)-Sens!J4482</f>
        <v>144.536935855045</v>
      </c>
      <c r="K4485" s="6" t="n">
        <f aca="false">Sens!K4479-Sens!K4484*(Sens!K4481+Sens!K4483)-Sens!K4482</f>
        <v>158.483960557951</v>
      </c>
    </row>
    <row r="4486" customFormat="false" ht="17.15" hidden="false" customHeight="false" outlineLevel="0" collapsed="false">
      <c r="A4486" s="1" t="s">
        <v>986</v>
      </c>
      <c r="B4486" s="0" t="s">
        <v>98</v>
      </c>
      <c r="D4486" s="6" t="n">
        <f aca="false">(1-Sens!D4484)*(Sens!D4481+Sens!D4483)</f>
        <v>1.42281025374069</v>
      </c>
      <c r="E4486" s="6" t="n">
        <f aca="false">(1-Sens!E4484)*(Sens!E4481+Sens!E4483)</f>
        <v>3.25095598674472</v>
      </c>
      <c r="F4486" s="6" t="n">
        <f aca="false">(1-Sens!F4484)*(Sens!F4481+Sens!F4483)</f>
        <v>6.72135810147489</v>
      </c>
      <c r="G4486" s="6" t="n">
        <f aca="false">(1-Sens!G4484)*(Sens!G4481+Sens!G4483)</f>
        <v>11.3401410201637</v>
      </c>
      <c r="H4486" s="6" t="n">
        <f aca="false">(1-Sens!H4484)*(Sens!H4481+Sens!H4483)</f>
        <v>16.247195021924</v>
      </c>
      <c r="I4486" s="6" t="n">
        <f aca="false">(1-Sens!I4484)*(Sens!I4481+Sens!I4483)</f>
        <v>20.4807946626798</v>
      </c>
      <c r="J4486" s="6" t="n">
        <f aca="false">(1-Sens!J4484)*(Sens!J4481+Sens!J4483)</f>
        <v>23.4346213700345</v>
      </c>
      <c r="K4486" s="6" t="n">
        <f aca="false">(1-Sens!K4484)*(Sens!K4481+Sens!K4483)</f>
        <v>25.198499213202</v>
      </c>
    </row>
    <row r="4487" customFormat="false" ht="17.15" hidden="false" customHeight="false" outlineLevel="0" collapsed="false">
      <c r="A4487" s="1" t="s">
        <v>987</v>
      </c>
      <c r="B4487" s="0" t="s">
        <v>414</v>
      </c>
      <c r="C4487" s="8" t="n">
        <f aca="false">cxit_open</f>
        <v>27.5918995</v>
      </c>
      <c r="D4487" s="8" t="n">
        <f aca="false">cxit_open</f>
        <v>27.5918995</v>
      </c>
      <c r="E4487" s="8" t="n">
        <f aca="false">cxit_open</f>
        <v>27.5918995</v>
      </c>
      <c r="F4487" s="8" t="n">
        <f aca="false">((a_g3_27-nonnv*a_mai)*tk_cxit_gb300+nonnv*a_mai*nv_hold_mai*tk_cxit_vr200+(1-a_g3_27)*tk_cxit_vr200)</f>
        <v>32.4975576</v>
      </c>
      <c r="G4487" s="8" t="n">
        <f aca="false">((a_g3_28-nonnv*a_mai)*tk_cxit_gb300+nonnv*a_mai*nv_hold_mai*tk_cxit_vr200+(1-a_g3_28)*tk_cxit_vr200)</f>
        <v>34.6372088</v>
      </c>
      <c r="H4487" s="8" t="n">
        <f aca="false">((a_g3_29-nonnv*a_mai)*tk_cxit_gb300+nonnv*a_mai*nv_hold_mai*tk_cxit_vr200+(1-a_g3_29)*tk_cxit_vr200)</f>
        <v>35.7070344</v>
      </c>
      <c r="I4487" s="8" t="n">
        <f aca="false">((a_g3_29-nonnv*a_mai)*tk_cxit_gb300+nonnv*a_mai*nv_hold_mai*tk_cxit_vr200+(1-a_g3_29)*tk_cxit_vr200)</f>
        <v>35.7070344</v>
      </c>
      <c r="J4487" s="8" t="n">
        <f aca="false">((a_g3_29-nonnv*a_mai)*tk_cxit_gb300+nonnv*a_mai*nv_hold_mai*tk_cxit_vr200+(1-a_g3_29)*tk_cxit_vr200)</f>
        <v>35.7070344</v>
      </c>
      <c r="K4487" s="8" t="n">
        <f aca="false">((a_g3_29-nonnv*a_mai)*tk_cxit_gb300+nonnv*a_mai*nv_hold_mai*tk_cxit_vr200+(1-a_g3_29)*tk_cxit_vr200)</f>
        <v>35.7070344</v>
      </c>
      <c r="L4487" s="12" t="s">
        <v>988</v>
      </c>
    </row>
    <row r="4488" customFormat="false" ht="17.15" hidden="false" customHeight="false" outlineLevel="0" collapsed="false">
      <c r="A4488" s="0" t="s">
        <v>989</v>
      </c>
      <c r="B4488" s="0" t="s">
        <v>456</v>
      </c>
      <c r="F4488" s="30" t="n">
        <f aca="false">Sens!C4467*IF(Sens!F4460-Sens!C4460=life_it_lo,1,0)+Sens!D4467*IF(Sens!F4460-Sens!D4460=life_it_lo,1,0)+Sens!E4467*IF(Sens!F4460-Sens!E4460=life_it_lo,1,0)</f>
        <v>0</v>
      </c>
      <c r="G4488" s="30" t="n">
        <f aca="false">Sens!C4467*IF(Sens!G4460-Sens!C4460=life_it_lo,1,0)+Sens!D4467*IF(Sens!G4460-Sens!D4460=life_it_lo,1,0)+Sens!E4467*IF(Sens!G4460-Sens!E4460=life_it_lo,1,0)+Sens!F4467*IF(Sens!G4460-Sens!F4460=life_it_lo,1,0)</f>
        <v>0</v>
      </c>
      <c r="H4488" s="30" t="n">
        <f aca="false">Sens!C4467*IF(Sens!H4460-Sens!C4460=life_it_lo,1,0)+Sens!D4467*IF(Sens!H4460-Sens!D4460=life_it_lo,1,0)+Sens!E4467*IF(Sens!H4460-Sens!E4460=life_it_lo,1,0)+Sens!F4467*IF(Sens!H4460-Sens!F4460=life_it_lo,1,0)+Sens!G4467*IF(Sens!H4460-Sens!G4460=life_it_lo,1,0)</f>
        <v>816.666666666667</v>
      </c>
      <c r="I4488" s="30" t="n">
        <f aca="false">Sens!C4467*IF(Sens!I4460-Sens!C4460=life_it_lo,1,0)+Sens!D4467*IF(Sens!I4460-Sens!D4460=life_it_lo,1,0)+Sens!E4467*IF(Sens!I4460-Sens!E4460=life_it_lo,1,0)+Sens!F4467*IF(Sens!I4460-Sens!F4460=life_it_lo,1,0)+Sens!G4467*IF(Sens!I4460-Sens!G4460=life_it_lo,1,0)+Sens!H4467*IF(Sens!I4460-Sens!H4460=life_it_lo,1,0)</f>
        <v>1233.33333333333</v>
      </c>
      <c r="J4488" s="30" t="n">
        <f aca="false">Sens!C4467*IF(Sens!J4460-Sens!C4460=life_it_lo,1,0)+Sens!D4467*IF(Sens!J4460-Sens!D4460=life_it_lo,1,0)+Sens!E4467*IF(Sens!J4460-Sens!E4460=life_it_lo,1,0)+Sens!F4467*IF(Sens!J4460-Sens!F4460=life_it_lo,1,0)+Sens!G4467*IF(Sens!J4460-Sens!G4460=life_it_lo,1,0)+Sens!H4467*IF(Sens!J4460-Sens!H4460=life_it_lo,1,0)+Sens!I4467*IF(Sens!J4460-Sens!I4460=life_it_lo,1,0)</f>
        <v>2450</v>
      </c>
      <c r="K4488" s="30" t="n">
        <f aca="false">Sens!C4467*IF(Sens!K4460-Sens!C4460=life_it_lo,1,0)+Sens!D4467*IF(Sens!K4460-Sens!D4460=life_it_lo,1,0)+Sens!E4467*IF(Sens!K4460-Sens!E4460=life_it_lo,1,0)+Sens!F4467*IF(Sens!K4460-Sens!F4460=life_it_lo,1,0)+Sens!G4467*IF(Sens!K4460-Sens!G4460=life_it_lo,1,0)+Sens!H4467*IF(Sens!K4460-Sens!H4460=life_it_lo,1,0)+Sens!I4467*IF(Sens!K4460-Sens!I4460=life_it_lo,1,0)+Sens!J4467*IF(Sens!K4460-Sens!J4460=life_it_lo,1,0)</f>
        <v>4200.89183333333</v>
      </c>
      <c r="L4488" s="1" t="s">
        <v>990</v>
      </c>
    </row>
    <row r="4489" customFormat="false" ht="17.15" hidden="false" customHeight="false" outlineLevel="0" collapsed="false">
      <c r="A4489" s="0" t="s">
        <v>991</v>
      </c>
      <c r="B4489" s="0" t="s">
        <v>98</v>
      </c>
      <c r="C4489" s="6" t="n">
        <f aca="false">Sens!C4467*Sens!C4487/1000</f>
        <v>22.5333845916667</v>
      </c>
      <c r="D4489" s="6" t="n">
        <f aca="false">Sens!D4467*Sens!D4487/1000</f>
        <v>34.0300093833333</v>
      </c>
      <c r="E4489" s="6" t="n">
        <f aca="false">Sens!E4467*Sens!E4487/1000</f>
        <v>67.600153775</v>
      </c>
      <c r="F4489" s="6" t="n">
        <f aca="false">(Sens!F4467+Sens!F4488)*Sens!F4487/1000</f>
        <v>136.51872432512</v>
      </c>
      <c r="G4489" s="6" t="n">
        <f aca="false">(Sens!G4467+Sens!G4488)*Sens!G4487/1000</f>
        <v>157.399275932048</v>
      </c>
      <c r="H4489" s="6" t="n">
        <f aca="false">(Sens!H4467+Sens!H4488)*Sens!H4487/1000</f>
        <v>191.421549107512</v>
      </c>
      <c r="I4489" s="6" t="n">
        <f aca="false">(Sens!I4467+Sens!I4488)*Sens!I4487/1000</f>
        <v>159.014500485434</v>
      </c>
      <c r="J4489" s="6" t="n">
        <f aca="false">(Sens!J4467+Sens!J4488)*Sens!J4487/1000</f>
        <v>157.472595877864</v>
      </c>
      <c r="K4489" s="6" t="n">
        <f aca="false">(Sens!K4467+Sens!K4488)*Sens!K4487/1000</f>
        <v>175.956240274487</v>
      </c>
    </row>
    <row r="4490" customFormat="false" ht="17.15" hidden="false" customHeight="false" outlineLevel="0" collapsed="false">
      <c r="A4490" s="0" t="s">
        <v>992</v>
      </c>
      <c r="B4490" s="0" t="s">
        <v>98</v>
      </c>
      <c r="C4490" s="6" t="n">
        <f aca="false">Sens!C4467*self_build*tk_cxfac/1000</f>
        <v>6.2083</v>
      </c>
      <c r="D4490" s="6" t="n">
        <f aca="false">Sens!D4467*self_build*tk_cxfac/1000</f>
        <v>9.3758</v>
      </c>
      <c r="E4490" s="6" t="n">
        <f aca="false">Sens!E4467*self_build*tk_cxfac/1000</f>
        <v>18.6249</v>
      </c>
      <c r="F4490" s="6" t="n">
        <f aca="false">Sens!F4467*self_build*tk_cxfac/1000</f>
        <v>31.935179717</v>
      </c>
      <c r="G4490" s="6" t="n">
        <f aca="false">Sens!G4467*self_build*tk_cxfac/1000</f>
        <v>34.545199717</v>
      </c>
      <c r="H4490" s="6" t="n">
        <f aca="false">Sens!H4467*self_build*tk_cxfac/1000</f>
        <v>34.545199717</v>
      </c>
      <c r="I4490" s="6" t="n">
        <f aca="false">Sens!I4467*self_build*tk_cxfac/1000</f>
        <v>24.4782641361767</v>
      </c>
      <c r="J4490" s="6" t="n">
        <f aca="false">Sens!J4467*self_build*tk_cxfac/1000</f>
        <v>14.9008938380769</v>
      </c>
      <c r="K4490" s="6" t="n">
        <f aca="false">Sens!K4467*self_build*tk_cxfac/1000</f>
        <v>5.52576771375761</v>
      </c>
    </row>
    <row r="4491" customFormat="false" ht="17.15" hidden="false" customHeight="false" outlineLevel="0" collapsed="false">
      <c r="A4491" s="0" t="s">
        <v>993</v>
      </c>
      <c r="B4491" s="0" t="s">
        <v>98</v>
      </c>
      <c r="F4491" s="15" t="n">
        <f aca="false">capex_floor27-Sens!F4489-Sens!F4490-Sens!F4587</f>
        <v>1.94586576753863E-005</v>
      </c>
      <c r="L4491" s="12" t="s">
        <v>994</v>
      </c>
    </row>
    <row r="4492" customFormat="false" ht="17.15" hidden="false" customHeight="false" outlineLevel="0" collapsed="false">
      <c r="A4492" s="0" t="s">
        <v>995</v>
      </c>
      <c r="B4492" s="0" t="s">
        <v>98</v>
      </c>
      <c r="F4492" s="6" t="n">
        <f aca="false">MAX(0,Sens!F4491)</f>
        <v>1.94586576753863E-005</v>
      </c>
    </row>
    <row r="4493" customFormat="false" ht="17.15" hidden="false" customHeight="false" outlineLevel="0" collapsed="false">
      <c r="A4493" s="0" t="s">
        <v>996</v>
      </c>
      <c r="B4493" s="0" t="s">
        <v>98</v>
      </c>
      <c r="C4493" s="6" t="n">
        <f aca="false">Sens!C4489</f>
        <v>22.5333845916667</v>
      </c>
      <c r="D4493" s="6" t="n">
        <f aca="false">Sens!D4489</f>
        <v>34.0300093833333</v>
      </c>
      <c r="E4493" s="6" t="n">
        <f aca="false">Sens!E4489</f>
        <v>67.600153775</v>
      </c>
      <c r="F4493" s="6" t="n">
        <f aca="false">Sens!F4489</f>
        <v>136.51872432512</v>
      </c>
      <c r="G4493" s="6" t="n">
        <f aca="false">Sens!G4489</f>
        <v>157.399275932048</v>
      </c>
      <c r="H4493" s="6" t="n">
        <f aca="false">Sens!H4489</f>
        <v>191.421549107512</v>
      </c>
      <c r="I4493" s="6" t="n">
        <f aca="false">Sens!I4489</f>
        <v>159.014500485434</v>
      </c>
      <c r="J4493" s="6" t="n">
        <f aca="false">Sens!J4489</f>
        <v>157.472595877864</v>
      </c>
      <c r="K4493" s="6" t="n">
        <f aca="false">Sens!K4489</f>
        <v>175.956240274487</v>
      </c>
    </row>
    <row r="4494" customFormat="false" ht="17.15" hidden="false" customHeight="false" outlineLevel="0" collapsed="false">
      <c r="A4494" s="0" t="s">
        <v>997</v>
      </c>
      <c r="B4494" s="0" t="s">
        <v>98</v>
      </c>
      <c r="C4494" s="6" t="n">
        <f aca="false">Sens!C4493+Sens!C4490</f>
        <v>28.7416845916667</v>
      </c>
      <c r="D4494" s="6" t="n">
        <f aca="false">Sens!D4493+Sens!D4490</f>
        <v>43.4058093833333</v>
      </c>
      <c r="E4494" s="6" t="n">
        <f aca="false">Sens!E4493+Sens!E4490</f>
        <v>86.225053775</v>
      </c>
      <c r="F4494" s="6" t="n">
        <f aca="false">Sens!F4493+Sens!F4490</f>
        <v>168.45390404212</v>
      </c>
      <c r="G4494" s="6" t="n">
        <f aca="false">Sens!G4493+Sens!G4490</f>
        <v>191.944475649048</v>
      </c>
      <c r="H4494" s="6" t="n">
        <f aca="false">Sens!H4493+Sens!H4490</f>
        <v>225.966748824512</v>
      </c>
      <c r="I4494" s="6" t="n">
        <f aca="false">Sens!I4493+Sens!I4490</f>
        <v>183.49276462161</v>
      </c>
      <c r="J4494" s="6" t="n">
        <f aca="false">Sens!J4493+Sens!J4490</f>
        <v>172.37348971594</v>
      </c>
      <c r="K4494" s="6" t="n">
        <f aca="false">Sens!K4493+Sens!K4490</f>
        <v>181.482007988245</v>
      </c>
      <c r="L4494" s="12" t="s">
        <v>998</v>
      </c>
    </row>
    <row r="4495" customFormat="false" ht="17.15" hidden="false" customHeight="false" outlineLevel="0" collapsed="false">
      <c r="A4495" s="0" t="s">
        <v>999</v>
      </c>
      <c r="B4495" s="0" t="s">
        <v>98</v>
      </c>
      <c r="E4495" s="6" t="n">
        <f aca="false">(Sens!C4493*IF(2&lt;life_it_lo,1,IF(2=life_it_lo,0.5,0))+Sens!D4493*IF(1&lt;life_it_lo,1,IF(1=life_it_lo,0.5,0))+Sens!E4493*0.5)/life_it_lo</f>
        <v>18.0726941725</v>
      </c>
      <c r="F4495" s="6" t="n">
        <f aca="false">(Sens!C4493*IF(3&lt;life_it_lo,1,IF(3=life_it_lo,0.5,0))+Sens!D4493*IF(2&lt;life_it_lo,1,IF(2=life_it_lo,0.5,0))+Sens!E4493*IF(1&lt;life_it_lo,1,IF(1=life_it_lo,0.5,0))+Sens!F4493*0.5)/life_it_lo</f>
        <v>38.484581982512</v>
      </c>
      <c r="G4495" s="6" t="n">
        <f aca="false">(Sens!C4493*IF(4&lt;life_it_lo,1,IF(4=life_it_lo,0.5,0))+Sens!D4493*IF(3&lt;life_it_lo,1,IF(3=life_it_lo,0.5,0))+Sens!E4493*IF(2&lt;life_it_lo,1,IF(2=life_it_lo,0.5,0))+Sens!F4493*IF(1&lt;life_it_lo,1,IF(1=life_it_lo,0.5,0))+Sens!G4493*0.5)/life_it_lo</f>
        <v>67.8763820082287</v>
      </c>
      <c r="H4495" s="6" t="n">
        <f aca="false">(Sens!C4493*IF(5&lt;life_it_lo,1,IF(5=life_it_lo,0.5,0))+Sens!D4493*IF(4&lt;life_it_lo,1,IF(4=life_it_lo,0.5,0))+Sens!E4493*IF(3&lt;life_it_lo,1,IF(3=life_it_lo,0.5,0))+Sens!F4493*IF(2&lt;life_it_lo,1,IF(2=life_it_lo,0.5,0))+Sens!G4493*IF(1&lt;life_it_lo,1,IF(1=life_it_lo,0.5,0))+Sens!H4493*0.5)/life_it_lo</f>
        <v>100.505126053018</v>
      </c>
      <c r="I4495" s="6" t="n">
        <f aca="false">(Sens!C4493*IF(6&lt;life_it_lo,1,IF(6=life_it_lo,0.5,0))+Sens!D4493*IF(5&lt;life_it_lo,1,IF(5=life_it_lo,0.5,0))+Sens!E4493*IF(4&lt;life_it_lo,1,IF(4=life_it_lo,0.5,0))+Sens!F4493*IF(3&lt;life_it_lo,1,IF(3=life_it_lo,0.5,0))+Sens!G4493*IF(2&lt;life_it_lo,1,IF(2=life_it_lo,0.5,0))+Sens!H4493*IF(1&lt;life_it_lo,1,IF(1=life_it_lo,0.5,0))+Sens!I4493*0.5)/life_it_lo</f>
        <v>129.892391614813</v>
      </c>
      <c r="J4495" s="6" t="n">
        <f aca="false">(Sens!C4493*IF(7&lt;life_it_lo,1,IF(7=life_it_lo,0.5,0))+Sens!D4493*IF(6&lt;life_it_lo,1,IF(6=life_it_lo,0.5,0))+Sens!E4493*IF(5&lt;life_it_lo,1,IF(5=life_it_lo,0.5,0))+Sens!F4493*IF(4&lt;life_it_lo,1,IF(4=life_it_lo,0.5,0))+Sens!G4493*IF(3&lt;life_it_lo,1,IF(3=life_it_lo,0.5,0))+Sens!H4493*IF(2&lt;life_it_lo,1,IF(2=life_it_lo,0.5,0))+Sens!I4493*IF(1&lt;life_it_lo,1,IF(1=life_it_lo,0.5,0))+Sens!J4493*0.5)/life_it_lo</f>
        <v>151.378084935309</v>
      </c>
      <c r="K4495" s="6" t="n">
        <f aca="false">(Sens!C4493*IF(8&lt;life_it_lo,1,IF(8=life_it_lo,0.5,0))+Sens!D4493*IF(7&lt;life_it_lo,1,IF(7=life_it_lo,0.5,0))+Sens!E4493*IF(6&lt;life_it_lo,1,IF(6=life_it_lo,0.5,0))+Sens!F4493*IF(5&lt;life_it_lo,1,IF(5=life_it_lo,0.5,0))+Sens!G4493*IF(4&lt;life_it_lo,1,IF(4=life_it_lo,0.5,0))+Sens!H4493*IF(3&lt;life_it_lo,1,IF(3=life_it_lo,0.5,0))+Sens!I4493*IF(2&lt;life_it_lo,1,IF(2=life_it_lo,0.5,0))+Sens!J4493*IF(1&lt;life_it_lo,1,IF(1=life_it_lo,0.5,0))+Sens!K4493*0.5)/life_it_lo</f>
        <v>164.309080740532</v>
      </c>
    </row>
    <row r="4496" customFormat="false" ht="17.15" hidden="false" customHeight="false" outlineLevel="0" collapsed="false">
      <c r="A4496" s="0" t="s">
        <v>1000</v>
      </c>
      <c r="B4496" s="0" t="s">
        <v>98</v>
      </c>
      <c r="E4496" s="6" t="n">
        <f aca="false">(Sens!C4490*IF(2&lt;life_fac,1,IF(2=life_fac,0.5,0))+Sens!D4490*IF(1&lt;life_fac,1,IF(1=life_fac,0.5,0))+Sens!E4490*0.5)/life_fac</f>
        <v>1.2448275</v>
      </c>
      <c r="F4496" s="6" t="n">
        <f aca="false">(Sens!C4490*IF(3&lt;life_fac,1,IF(3=life_fac,0.5,0))+Sens!D4490*IF(2&lt;life_fac,1,IF(2=life_fac,0.5,0))+Sens!E4490*IF(1&lt;life_fac,1,IF(1=life_fac,0.5,0))+Sens!F4490*0.5)/life_fac</f>
        <v>2.508829492925</v>
      </c>
      <c r="G4496" s="6" t="n">
        <f aca="false">(Sens!C4490*IF(4&lt;life_fac,1,IF(4=life_fac,0.5,0))+Sens!D4490*IF(3&lt;life_fac,1,IF(3=life_fac,0.5,0))+Sens!E4490*IF(2&lt;life_fac,1,IF(2=life_fac,0.5,0))+Sens!F4490*IF(1&lt;life_fac,1,IF(1=life_fac,0.5,0))+Sens!G4490*0.5)/life_fac</f>
        <v>4.170838978775</v>
      </c>
      <c r="H4496" s="6" t="n">
        <f aca="false">(Sens!C4490*IF(5&lt;life_fac,1,IF(5=life_fac,0.5,0))+Sens!D4490*IF(4&lt;life_fac,1,IF(4=life_fac,0.5,0))+Sens!E4490*IF(3&lt;life_fac,1,IF(3=life_fac,0.5,0))+Sens!F4490*IF(2&lt;life_fac,1,IF(2=life_fac,0.5,0))+Sens!G4490*IF(1&lt;life_fac,1,IF(1=life_fac,0.5,0))+Sens!H4490*0.5)/life_fac</f>
        <v>5.898098964625</v>
      </c>
      <c r="I4496" s="6" t="n">
        <f aca="false">(Sens!C4490*IF(6&lt;life_fac,1,IF(6=life_fac,0.5,0))+Sens!D4490*IF(5&lt;life_fac,1,IF(5=life_fac,0.5,0))+Sens!E4490*IF(4&lt;life_fac,1,IF(4=life_fac,0.5,0))+Sens!F4490*IF(3&lt;life_fac,1,IF(3=life_fac,0.5,0))+Sens!G4490*IF(2&lt;life_fac,1,IF(2=life_fac,0.5,0))+Sens!H4490*IF(1&lt;life_fac,1,IF(1=life_fac,0.5,0))+Sens!I4490*0.5)/life_fac</f>
        <v>7.37368556095442</v>
      </c>
      <c r="J4496" s="6" t="n">
        <f aca="false">(Sens!C4490*IF(7&lt;life_fac,1,IF(7=life_fac,0.5,0))+Sens!D4490*IF(6&lt;life_fac,1,IF(6=life_fac,0.5,0))+Sens!E4490*IF(5&lt;life_fac,1,IF(5=life_fac,0.5,0))+Sens!F4490*IF(4&lt;life_fac,1,IF(4=life_fac,0.5,0))+Sens!G4490*IF(3&lt;life_fac,1,IF(3=life_fac,0.5,0))+Sens!H4490*IF(2&lt;life_fac,1,IF(2=life_fac,0.5,0))+Sens!I4490*IF(1&lt;life_fac,1,IF(1=life_fac,0.5,0))+Sens!J4490*0.5)/life_fac</f>
        <v>8.35816451031075</v>
      </c>
      <c r="K4496" s="6" t="n">
        <f aca="false">(Sens!C4490*IF(8&lt;life_fac,1,IF(8=life_fac,0.5,0))+Sens!D4490*IF(7&lt;life_fac,1,IF(7=life_fac,0.5,0))+Sens!E4490*IF(6&lt;life_fac,1,IF(6=life_fac,0.5,0))+Sens!F4490*IF(5&lt;life_fac,1,IF(5=life_fac,0.5,0))+Sens!G4490*IF(4&lt;life_fac,1,IF(4=life_fac,0.5,0))+Sens!H4490*IF(3&lt;life_fac,1,IF(3=life_fac,0.5,0))+Sens!I4490*IF(2&lt;life_fac,1,IF(2=life_fac,0.5,0))+Sens!J4490*IF(1&lt;life_fac,1,IF(1=life_fac,0.5,0))+Sens!K4490*0.5)/life_fac</f>
        <v>8.86883104910662</v>
      </c>
    </row>
    <row r="4497" customFormat="false" ht="17.15" hidden="false" customHeight="false" outlineLevel="0" collapsed="false">
      <c r="A4497" s="0" t="s">
        <v>1001</v>
      </c>
      <c r="B4497" s="0" t="s">
        <v>98</v>
      </c>
      <c r="E4497" s="6" t="n">
        <f aca="false">Sens!E4495+Sens!E4496</f>
        <v>19.3175216725</v>
      </c>
      <c r="F4497" s="6" t="n">
        <f aca="false">Sens!F4495+Sens!F4496</f>
        <v>40.993411475437</v>
      </c>
      <c r="G4497" s="6" t="n">
        <f aca="false">Sens!G4495+Sens!G4496</f>
        <v>72.0472209870037</v>
      </c>
      <c r="H4497" s="6" t="n">
        <f aca="false">Sens!H4495+Sens!H4496</f>
        <v>106.403225017643</v>
      </c>
      <c r="I4497" s="6" t="n">
        <f aca="false">Sens!I4495+Sens!I4496</f>
        <v>137.266077175767</v>
      </c>
      <c r="J4497" s="6" t="n">
        <f aca="false">Sens!J4495+Sens!J4496</f>
        <v>159.73624944562</v>
      </c>
      <c r="K4497" s="6" t="n">
        <f aca="false">Sens!K4495+Sens!K4496</f>
        <v>173.177911789639</v>
      </c>
    </row>
    <row r="4498" customFormat="false" ht="17.15" hidden="false" customHeight="false" outlineLevel="0" collapsed="false">
      <c r="A4498" s="0" t="s">
        <v>1002</v>
      </c>
      <c r="B4498" s="0" t="s">
        <v>98</v>
      </c>
      <c r="E4498" s="6" t="n">
        <f aca="false">Sens!E4485-Sens!E4484*Sens!E4497</f>
        <v>7.11980948252379</v>
      </c>
      <c r="F4498" s="6" t="n">
        <f aca="false">Sens!F4485-Sens!F4484*Sens!F4497</f>
        <v>14.9285774686221</v>
      </c>
      <c r="G4498" s="6" t="n">
        <f aca="false">Sens!G4485-Sens!G4484*Sens!G4497</f>
        <v>24.3287259450665</v>
      </c>
      <c r="H4498" s="6" t="n">
        <f aca="false">Sens!H4485-Sens!H4484*Sens!H4497</f>
        <v>34.2490044924938</v>
      </c>
      <c r="I4498" s="6" t="n">
        <f aca="false">Sens!I4485-Sens!I4484*Sens!I4497</f>
        <v>42.3701584415085</v>
      </c>
      <c r="J4498" s="6" t="n">
        <f aca="false">Sens!J4485-Sens!J4484*Sens!J4497</f>
        <v>48.6951861876726</v>
      </c>
      <c r="K4498" s="6" t="n">
        <f aca="false">Sens!K4485-Sens!K4484*Sens!K4497</f>
        <v>54.5772134841675</v>
      </c>
    </row>
    <row r="4499" customFormat="false" ht="17.15" hidden="false" customHeight="false" outlineLevel="0" collapsed="false">
      <c r="A4499" s="3" t="s">
        <v>1591</v>
      </c>
    </row>
    <row r="4500" customFormat="false" ht="15" hidden="false" customHeight="false" outlineLevel="0" collapsed="false">
      <c r="A4500" s="4" t="s">
        <v>43</v>
      </c>
      <c r="B4500" s="4" t="s">
        <v>65</v>
      </c>
      <c r="C4500" s="23" t="s">
        <v>938</v>
      </c>
      <c r="D4500" s="23" t="s">
        <v>939</v>
      </c>
      <c r="E4500" s="23" t="s">
        <v>940</v>
      </c>
      <c r="F4500" s="23" t="s">
        <v>941</v>
      </c>
      <c r="G4500" s="23" t="s">
        <v>942</v>
      </c>
      <c r="H4500" s="23" t="s">
        <v>943</v>
      </c>
      <c r="I4500" s="23" t="s">
        <v>944</v>
      </c>
      <c r="J4500" s="23" t="s">
        <v>945</v>
      </c>
      <c r="K4500" s="23" t="s">
        <v>946</v>
      </c>
      <c r="L4500" s="4" t="s">
        <v>47</v>
      </c>
    </row>
    <row r="4501" customFormat="false" ht="17.15" hidden="false" customHeight="false" outlineLevel="0" collapsed="false">
      <c r="A4501" s="0" t="s">
        <v>1021</v>
      </c>
      <c r="B4501" s="0" t="s">
        <v>98</v>
      </c>
      <c r="D4501" s="6" t="n">
        <f aca="false">Sens!D4479</f>
        <v>12.9359794422418</v>
      </c>
      <c r="E4501" s="6" t="n">
        <f aca="false">Sens!E4479</f>
        <v>27.8095064661409</v>
      </c>
      <c r="F4501" s="6" t="n">
        <f aca="false">Sens!F4479</f>
        <v>55.4118315060966</v>
      </c>
      <c r="G4501" s="6" t="n">
        <f aca="false">Sens!G4479</f>
        <v>91.2881100675143</v>
      </c>
      <c r="H4501" s="6" t="n">
        <f aca="false">Sens!H4479</f>
        <v>129.182572035966</v>
      </c>
      <c r="I4501" s="6" t="n">
        <f aca="false">Sens!I4479</f>
        <v>162.171836740988</v>
      </c>
      <c r="J4501" s="6" t="n">
        <f aca="false">Sens!J4479</f>
        <v>186.409707910096</v>
      </c>
      <c r="K4501" s="6" t="n">
        <f aca="false">Sens!K4479</f>
        <v>203.002549377754</v>
      </c>
    </row>
    <row r="4502" customFormat="false" ht="17.15" hidden="false" customHeight="false" outlineLevel="0" collapsed="false">
      <c r="A4502" s="0" t="s">
        <v>1022</v>
      </c>
      <c r="B4502" s="0" t="s">
        <v>98</v>
      </c>
      <c r="D4502" s="6" t="n">
        <f aca="false">Q!L6-Sens!D4501</f>
        <v>59.6740205577583</v>
      </c>
      <c r="E4502" s="6" t="n">
        <f aca="false">Q!M6-Sens!E4501</f>
        <v>74.1284935338591</v>
      </c>
      <c r="F4502" s="6" t="n">
        <f aca="false">Q!$I$6+(Sens!F4501+Sens!E4502*(1+Sens!F4503))*(1-Q!$E$6/Q!M6)-Sens!F4501</f>
        <v>91.2972164940844</v>
      </c>
      <c r="G4502" s="6" t="n">
        <f aca="false">Sens!F4502*(1+Sens!G4503)</f>
        <v>108.474719793879</v>
      </c>
      <c r="H4502" s="6" t="n">
        <f aca="false">Sens!G4502*(1+Sens!H4503)</f>
        <v>125.951292505701</v>
      </c>
      <c r="I4502" s="6" t="n">
        <f aca="false">Sens!H4502*(1+Sens!I4503)</f>
        <v>142.838165154212</v>
      </c>
      <c r="J4502" s="6" t="n">
        <f aca="false">Sens!I4502*(1+Sens!J4503)</f>
        <v>158.12717866615</v>
      </c>
      <c r="K4502" s="6" t="n">
        <f aca="false">Sens!J4502*(1+Sens!K4503)</f>
        <v>170.777352959442</v>
      </c>
      <c r="L4502" s="12" t="s">
        <v>1023</v>
      </c>
    </row>
    <row r="4503" customFormat="false" ht="15" hidden="false" customHeight="false" outlineLevel="0" collapsed="false">
      <c r="A4503" s="1" t="s">
        <v>1024</v>
      </c>
      <c r="B4503" s="0" t="s">
        <v>168</v>
      </c>
      <c r="E4503" s="7" t="n">
        <f aca="false">Sens!E4502/Sens!D4502-1</f>
        <v>0.242223883039864</v>
      </c>
      <c r="F4503" s="7" t="n">
        <f aca="false">Sens!$E$4503+(glt_azo-Sens!$E$4503)*MIN(1,(Sens!F4460-base_fy)/n_conv)</f>
        <v>0.215186569199887</v>
      </c>
      <c r="G4503" s="7" t="n">
        <f aca="false">Sens!$E$4503+(glt_azo-Sens!$E$4503)*MIN(1,(Sens!G4460-base_fy)/n_conv)</f>
        <v>0.18814925535991</v>
      </c>
      <c r="H4503" s="7" t="n">
        <f aca="false">Sens!$E$4503+(glt_azo-Sens!$E$4503)*MIN(1,(Sens!H4460-base_fy)/n_conv)</f>
        <v>0.161111941519932</v>
      </c>
      <c r="I4503" s="7" t="n">
        <f aca="false">Sens!$E$4503+(glt_azo-Sens!$E$4503)*MIN(1,(Sens!I4460-base_fy)/n_conv)</f>
        <v>0.134074627679955</v>
      </c>
      <c r="J4503" s="7" t="n">
        <f aca="false">Sens!$E$4503+(glt_azo-Sens!$E$4503)*MIN(1,(Sens!J4460-base_fy)/n_conv)</f>
        <v>0.107037313839977</v>
      </c>
      <c r="K4503" s="7" t="n">
        <f aca="false">Sens!$E$4503+(glt_azo-Sens!$E$4503)*MIN(1,(Sens!K4460-base_fy)/n_conv)</f>
        <v>0.08</v>
      </c>
    </row>
    <row r="4504" customFormat="false" ht="15" hidden="false" customHeight="false" outlineLevel="0" collapsed="false">
      <c r="A4504" s="0" t="s">
        <v>1025</v>
      </c>
      <c r="B4504" s="0" t="s">
        <v>98</v>
      </c>
      <c r="D4504" s="6" t="n">
        <f aca="false">Sens!D4501+Sens!D4502</f>
        <v>72.61</v>
      </c>
      <c r="E4504" s="6" t="n">
        <f aca="false">Sens!E4501+Sens!E4502</f>
        <v>101.938</v>
      </c>
      <c r="F4504" s="6" t="n">
        <f aca="false">Sens!F4501+Sens!F4502</f>
        <v>146.709048000181</v>
      </c>
      <c r="G4504" s="6" t="n">
        <f aca="false">Sens!G4501+Sens!G4502</f>
        <v>199.762829861393</v>
      </c>
      <c r="H4504" s="6" t="n">
        <f aca="false">Sens!H4501+Sens!H4502</f>
        <v>255.133864541667</v>
      </c>
      <c r="I4504" s="6" t="n">
        <f aca="false">Sens!I4501+Sens!I4502</f>
        <v>305.010001895201</v>
      </c>
      <c r="J4504" s="6" t="n">
        <f aca="false">Sens!J4501+Sens!J4502</f>
        <v>344.536886576247</v>
      </c>
      <c r="K4504" s="6" t="n">
        <f aca="false">Sens!K4501+Sens!K4502</f>
        <v>373.779902337196</v>
      </c>
    </row>
    <row r="4505" customFormat="false" ht="17.15" hidden="false" customHeight="false" outlineLevel="0" collapsed="false">
      <c r="A4505" s="0" t="s">
        <v>1026</v>
      </c>
      <c r="B4505" s="1" t="s">
        <v>610</v>
      </c>
      <c r="C4505" s="30" t="n">
        <f aca="false">cop_s24</f>
        <v>1</v>
      </c>
      <c r="D4505" s="30" t="n">
        <f aca="false">cop_s25</f>
        <v>5</v>
      </c>
      <c r="E4505" s="30" t="n">
        <f aca="false">cop_s26</f>
        <v>30</v>
      </c>
      <c r="F4505" s="30" t="n">
        <f aca="false">Sens!E4505+cop_add_B</f>
        <v>50</v>
      </c>
      <c r="G4505" s="30" t="n">
        <f aca="false">Sens!F4505+cop_add_B</f>
        <v>70</v>
      </c>
      <c r="H4505" s="30" t="n">
        <f aca="false">Sens!G4505+cop_add_B</f>
        <v>90</v>
      </c>
      <c r="I4505" s="30" t="n">
        <f aca="false">Sens!H4505+cop_add_B*cop_tail</f>
        <v>100</v>
      </c>
      <c r="J4505" s="30" t="n">
        <f aca="false">Sens!I4505+cop_add_B*cop_tail</f>
        <v>110</v>
      </c>
      <c r="K4505" s="30" t="n">
        <f aca="false">Sens!J4505+cop_add_B*cop_tail</f>
        <v>120</v>
      </c>
      <c r="L4505" s="12" t="s">
        <v>1027</v>
      </c>
    </row>
    <row r="4506" customFormat="false" ht="17.15" hidden="false" customHeight="false" outlineLevel="0" collapsed="false">
      <c r="A4506" s="0" t="s">
        <v>1028</v>
      </c>
      <c r="B4506" s="0" t="s">
        <v>98</v>
      </c>
      <c r="D4506" s="6" t="n">
        <f aca="false">(Sens!C4505+Sens!D4505)/2*cop_px*12/1000</f>
        <v>0.9</v>
      </c>
      <c r="E4506" s="6" t="n">
        <f aca="false">(Sens!D4505+Sens!E4505)/2*cop_px*12/1000</f>
        <v>5.25</v>
      </c>
      <c r="F4506" s="6" t="n">
        <f aca="false">(Sens!E4505+Sens!F4505)/2*cop_px*12/1000</f>
        <v>12</v>
      </c>
      <c r="G4506" s="6" t="n">
        <f aca="false">(Sens!F4505+Sens!G4505)/2*cop_px*12/1000</f>
        <v>18</v>
      </c>
      <c r="H4506" s="6" t="n">
        <f aca="false">(Sens!G4505+Sens!H4505)/2*cop_px*12/1000</f>
        <v>24</v>
      </c>
      <c r="I4506" s="6" t="n">
        <f aca="false">(Sens!H4505+Sens!I4505)/2*cop_px*12/1000</f>
        <v>28.5</v>
      </c>
      <c r="J4506" s="6" t="n">
        <f aca="false">(Sens!I4505+Sens!J4505)/2*cop_px*12/1000</f>
        <v>31.5</v>
      </c>
      <c r="K4506" s="6" t="n">
        <f aca="false">(Sens!J4505+Sens!K4505)/2*cop_px*12/1000</f>
        <v>34.5</v>
      </c>
      <c r="L4506" s="1" t="s">
        <v>1029</v>
      </c>
    </row>
    <row r="4507" customFormat="false" ht="17.15" hidden="false" customHeight="false" outlineLevel="0" collapsed="false">
      <c r="A4507" s="0" t="s">
        <v>1030</v>
      </c>
      <c r="B4507" s="0" t="s">
        <v>98</v>
      </c>
      <c r="D4507" s="6" t="n">
        <f aca="false">Q!L7-Sens!D4506</f>
        <v>83.705</v>
      </c>
      <c r="E4507" s="6" t="n">
        <f aca="false">Q!M7-Sens!E4506</f>
        <v>95.049</v>
      </c>
      <c r="F4507" s="6" t="n">
        <f aca="false">Q!$I$7+(Sens!E4507*(1+Sens!F4508)+Sens!F4506)*(1-Q!$E$7/Q!M7)-Sens!F4506</f>
        <v>106.584003697747</v>
      </c>
      <c r="G4507" s="6" t="n">
        <f aca="false">Sens!F4507*(1+Sens!G4508)</f>
        <v>118.700726545688</v>
      </c>
      <c r="H4507" s="6" t="n">
        <f aca="false">Sens!G4507*(1+Sens!H4508)</f>
        <v>130.898624783666</v>
      </c>
      <c r="I4507" s="6" t="n">
        <f aca="false">Sens!H4507*(1+Sens!I4508)</f>
        <v>142.920510030657</v>
      </c>
      <c r="J4507" s="6" t="n">
        <f aca="false">Sens!I4507*(1+Sens!J4508)</f>
        <v>154.485722618572</v>
      </c>
      <c r="K4507" s="6" t="n">
        <f aca="false">Sens!J4507*(1+Sens!K4508)</f>
        <v>165.299723201872</v>
      </c>
      <c r="L4507" s="12" t="s">
        <v>1031</v>
      </c>
    </row>
    <row r="4508" customFormat="false" ht="15" hidden="false" customHeight="false" outlineLevel="0" collapsed="false">
      <c r="A4508" s="1" t="s">
        <v>1024</v>
      </c>
      <c r="B4508" s="0" t="s">
        <v>168</v>
      </c>
      <c r="E4508" s="7" t="n">
        <f aca="false">Sens!E4507/Sens!D4507-1</f>
        <v>0.135523564900544</v>
      </c>
      <c r="F4508" s="7" t="n">
        <f aca="false">Sens!$E$4508+(glt_m365b-Sens!$E$4508)*MIN(1,(Sens!F4460-base_fy)/n_conv)</f>
        <v>0.124602970750453</v>
      </c>
      <c r="G4508" s="7" t="n">
        <f aca="false">Sens!$E$4508+(glt_m365b-Sens!$E$4508)*MIN(1,(Sens!G4460-base_fy)/n_conv)</f>
        <v>0.113682376600363</v>
      </c>
      <c r="H4508" s="7" t="n">
        <f aca="false">Sens!$E$4508+(glt_m365b-Sens!$E$4508)*MIN(1,(Sens!H4460-base_fy)/n_conv)</f>
        <v>0.102761782450272</v>
      </c>
      <c r="I4508" s="7" t="n">
        <f aca="false">Sens!$E$4508+(glt_m365b-Sens!$E$4508)*MIN(1,(Sens!I4460-base_fy)/n_conv)</f>
        <v>0.0918411883001813</v>
      </c>
      <c r="J4508" s="7" t="n">
        <f aca="false">Sens!$E$4508+(glt_m365b-Sens!$E$4508)*MIN(1,(Sens!J4460-base_fy)/n_conv)</f>
        <v>0.0809205941500906</v>
      </c>
      <c r="K4508" s="7" t="n">
        <f aca="false">Sens!$E$4508+(glt_m365b-Sens!$E$4508)*MIN(1,(Sens!K4460-base_fy)/n_conv)</f>
        <v>0.07</v>
      </c>
    </row>
    <row r="4509" customFormat="false" ht="15" hidden="false" customHeight="false" outlineLevel="0" collapsed="false">
      <c r="A4509" s="0" t="s">
        <v>1032</v>
      </c>
      <c r="B4509" s="0" t="s">
        <v>98</v>
      </c>
      <c r="D4509" s="6" t="n">
        <f aca="false">Sens!D4507+Sens!D4506</f>
        <v>84.605</v>
      </c>
      <c r="E4509" s="6" t="n">
        <f aca="false">Sens!E4507+Sens!E4506</f>
        <v>100.299</v>
      </c>
      <c r="F4509" s="6" t="n">
        <f aca="false">Sens!F4507+Sens!F4506</f>
        <v>118.584003697747</v>
      </c>
      <c r="G4509" s="6" t="n">
        <f aca="false">Sens!G4507+Sens!G4506</f>
        <v>136.700726545688</v>
      </c>
      <c r="H4509" s="6" t="n">
        <f aca="false">Sens!H4507+Sens!H4506</f>
        <v>154.898624783666</v>
      </c>
      <c r="I4509" s="6" t="n">
        <f aca="false">Sens!I4507+Sens!I4506</f>
        <v>171.420510030657</v>
      </c>
      <c r="J4509" s="6" t="n">
        <f aca="false">Sens!J4507+Sens!J4506</f>
        <v>185.985722618572</v>
      </c>
      <c r="K4509" s="6" t="n">
        <f aca="false">Sens!K4507+Sens!K4506</f>
        <v>199.799723201872</v>
      </c>
    </row>
    <row r="4510" customFormat="false" ht="17.15" hidden="false" customHeight="false" outlineLevel="0" collapsed="false">
      <c r="A4510" s="0" t="s">
        <v>1033</v>
      </c>
      <c r="B4510" s="0" t="s">
        <v>98</v>
      </c>
      <c r="D4510" s="6" t="n">
        <f aca="false">Q!L8</f>
        <v>35.391</v>
      </c>
      <c r="E4510" s="6" t="n">
        <f aca="false">Q!M8</f>
        <v>37.285</v>
      </c>
      <c r="F4510" s="6" t="n">
        <f aca="false">Q!$I$8+(Q!M8-Q!$E$8)*(1+Sens!F4511)</f>
        <v>38.3851437782675</v>
      </c>
      <c r="G4510" s="6" t="n">
        <f aca="false">Sens!F4510*(1+Sens!G4511)</f>
        <v>40.0105353288615</v>
      </c>
      <c r="H4510" s="6" t="n">
        <f aca="false">Sens!G4510*(1+Sens!H4511)</f>
        <v>41.4812512033683</v>
      </c>
      <c r="I4510" s="6" t="n">
        <f aca="false">Sens!H4510*(1+Sens!I4511)</f>
        <v>42.7743107216329</v>
      </c>
      <c r="J4510" s="6" t="n">
        <f aca="false">Sens!I4510*(1+Sens!J4511)</f>
        <v>43.8687373064601</v>
      </c>
      <c r="K4510" s="6" t="n">
        <f aca="false">Sens!J4510*(1+Sens!K4511)</f>
        <v>44.7461120525893</v>
      </c>
      <c r="L4510" s="12" t="s">
        <v>1034</v>
      </c>
    </row>
    <row r="4511" customFormat="false" ht="15" hidden="false" customHeight="false" outlineLevel="0" collapsed="false">
      <c r="A4511" s="1" t="s">
        <v>1024</v>
      </c>
      <c r="B4511" s="0" t="s">
        <v>168</v>
      </c>
      <c r="E4511" s="7" t="n">
        <f aca="false">Sens!E4510/Sens!D4510-1</f>
        <v>0.0535164307309768</v>
      </c>
      <c r="F4511" s="7" t="n">
        <f aca="false">Sens!$E$4511+(glt_lic-Sens!$E$4511)*MIN(1,(Sens!F4460-base_fy)/n_conv)</f>
        <v>0.0479303589424807</v>
      </c>
      <c r="G4511" s="7" t="n">
        <f aca="false">Sens!$E$4511+(glt_lic-Sens!$E$4511)*MIN(1,(Sens!G4460-base_fy)/n_conv)</f>
        <v>0.0423442871539845</v>
      </c>
      <c r="H4511" s="7" t="n">
        <f aca="false">Sens!$E$4511+(glt_lic-Sens!$E$4511)*MIN(1,(Sens!H4460-base_fy)/n_conv)</f>
        <v>0.0367582153654884</v>
      </c>
      <c r="I4511" s="7" t="n">
        <f aca="false">Sens!$E$4511+(glt_lic-Sens!$E$4511)*MIN(1,(Sens!I4460-base_fy)/n_conv)</f>
        <v>0.0311721435769923</v>
      </c>
      <c r="J4511" s="7" t="n">
        <f aca="false">Sens!$E$4511+(glt_lic-Sens!$E$4511)*MIN(1,(Sens!J4460-base_fy)/n_conv)</f>
        <v>0.0255860717884961</v>
      </c>
      <c r="K4511" s="7" t="n">
        <f aca="false">Sens!$E$4511+(glt_lic-Sens!$E$4511)*MIN(1,(Sens!K4460-base_fy)/n_conv)</f>
        <v>0.02</v>
      </c>
    </row>
    <row r="4512" customFormat="false" ht="17.15" hidden="false" customHeight="false" outlineLevel="0" collapsed="false">
      <c r="A4512" s="0" t="s">
        <v>1035</v>
      </c>
      <c r="B4512" s="0" t="s">
        <v>98</v>
      </c>
      <c r="D4512" s="6" t="n">
        <f aca="false">Q!L9</f>
        <v>18.417</v>
      </c>
      <c r="E4512" s="6" t="n">
        <f aca="false">Q!M9</f>
        <v>20.345</v>
      </c>
      <c r="F4512" s="6" t="n">
        <f aca="false">Q!$I$9+(Q!M9-Q!$E$9)*(1+Sens!F4513)</f>
        <v>22.3161797133988</v>
      </c>
      <c r="G4512" s="6" t="n">
        <f aca="false">Sens!F4512*(1+Sens!G4513)</f>
        <v>24.3943499673233</v>
      </c>
      <c r="H4512" s="6" t="n">
        <f aca="false">Sens!G4512*(1+Sens!H4513)</f>
        <v>26.5250243109019</v>
      </c>
      <c r="I4512" s="6" t="n">
        <f aca="false">Sens!H4512*(1+Sens!I4513)</f>
        <v>28.6884573538181</v>
      </c>
      <c r="J4512" s="6" t="n">
        <f aca="false">Sens!I4512*(1+Sens!J4513)</f>
        <v>30.8624968052127</v>
      </c>
      <c r="K4512" s="6" t="n">
        <f aca="false">Sens!J4512*(1+Sens!K4513)</f>
        <v>33.0228715815776</v>
      </c>
      <c r="L4512" s="12" t="s">
        <v>1034</v>
      </c>
    </row>
    <row r="4513" customFormat="false" ht="15" hidden="false" customHeight="false" outlineLevel="0" collapsed="false">
      <c r="A4513" s="1" t="s">
        <v>1024</v>
      </c>
      <c r="B4513" s="0" t="s">
        <v>168</v>
      </c>
      <c r="E4513" s="7" t="n">
        <f aca="false">Sens!E4512/Sens!D4512-1</f>
        <v>0.104685888038225</v>
      </c>
      <c r="F4513" s="7" t="n">
        <f aca="false">Sens!$E$4513+(glt_ind-Sens!$E$4513)*MIN(1,(Sens!F4460-base_fy)/n_conv)</f>
        <v>0.0989049066985211</v>
      </c>
      <c r="G4513" s="7" t="n">
        <f aca="false">Sens!$E$4513+(glt_ind-Sens!$E$4513)*MIN(1,(Sens!G4460-base_fy)/n_conv)</f>
        <v>0.0931239253588169</v>
      </c>
      <c r="H4513" s="7" t="n">
        <f aca="false">Sens!$E$4513+(glt_ind-Sens!$E$4513)*MIN(1,(Sens!H4460-base_fy)/n_conv)</f>
        <v>0.0873429440191127</v>
      </c>
      <c r="I4513" s="7" t="n">
        <f aca="false">Sens!$E$4513+(glt_ind-Sens!$E$4513)*MIN(1,(Sens!I4460-base_fy)/n_conv)</f>
        <v>0.0815619626794085</v>
      </c>
      <c r="J4513" s="7" t="n">
        <f aca="false">Sens!$E$4513+(glt_ind-Sens!$E$4513)*MIN(1,(Sens!J4460-base_fy)/n_conv)</f>
        <v>0.0757809813397042</v>
      </c>
      <c r="K4513" s="7" t="n">
        <f aca="false">Sens!$E$4513+(glt_ind-Sens!$E$4513)*MIN(1,(Sens!K4460-base_fy)/n_conv)</f>
        <v>0.07</v>
      </c>
    </row>
    <row r="4514" customFormat="false" ht="17.15" hidden="false" customHeight="false" outlineLevel="0" collapsed="false">
      <c r="A4514" s="0" t="s">
        <v>1036</v>
      </c>
      <c r="B4514" s="0" t="s">
        <v>98</v>
      </c>
      <c r="D4514" s="6" t="n">
        <f aca="false">Q!L10</f>
        <v>7.76</v>
      </c>
      <c r="E4514" s="6" t="n">
        <f aca="false">Q!M10</f>
        <v>8.26</v>
      </c>
      <c r="F4514" s="6" t="n">
        <f aca="false">Q!$I$10+(Q!M10-Q!$E$10)*(1+Sens!F4515)</f>
        <v>8.75372082474227</v>
      </c>
      <c r="G4514" s="6" t="n">
        <f aca="false">Sens!F4514*(1+Sens!G4515)</f>
        <v>9.33399324642364</v>
      </c>
      <c r="H4514" s="6" t="n">
        <f aca="false">Sens!G4514*(1+Sens!H4515)</f>
        <v>9.96139155535851</v>
      </c>
      <c r="I4514" s="6" t="n">
        <f aca="false">Sens!H4514*(1+Sens!I4515)</f>
        <v>10.6402039077391</v>
      </c>
      <c r="J4514" s="6" t="n">
        <f aca="false">Sens!I4514*(1+Sens!J4515)</f>
        <v>11.3751458271397</v>
      </c>
      <c r="K4514" s="6" t="n">
        <f aca="false">Sens!J4514*(1+Sens!K4515)</f>
        <v>12.1714060350394</v>
      </c>
      <c r="L4514" s="12" t="s">
        <v>1034</v>
      </c>
    </row>
    <row r="4515" customFormat="false" ht="15" hidden="false" customHeight="false" outlineLevel="0" collapsed="false">
      <c r="A4515" s="1" t="s">
        <v>1024</v>
      </c>
      <c r="B4515" s="0" t="s">
        <v>168</v>
      </c>
      <c r="E4515" s="7" t="n">
        <f aca="false">Sens!E4514/Sens!D4514-1</f>
        <v>0.0644329896907216</v>
      </c>
      <c r="F4515" s="7" t="n">
        <f aca="false">Sens!$E$4515+(glt_fro-Sens!$E$4515)*MIN(1,(Sens!F4460-base_fy)/n_conv)</f>
        <v>0.065360824742268</v>
      </c>
      <c r="G4515" s="7" t="n">
        <f aca="false">Sens!$E$4515+(glt_fro-Sens!$E$4515)*MIN(1,(Sens!G4460-base_fy)/n_conv)</f>
        <v>0.0662886597938144</v>
      </c>
      <c r="H4515" s="7" t="n">
        <f aca="false">Sens!$E$4515+(glt_fro-Sens!$E$4515)*MIN(1,(Sens!H4460-base_fy)/n_conv)</f>
        <v>0.0672164948453608</v>
      </c>
      <c r="I4515" s="7" t="n">
        <f aca="false">Sens!$E$4515+(glt_fro-Sens!$E$4515)*MIN(1,(Sens!I4460-base_fy)/n_conv)</f>
        <v>0.0681443298969072</v>
      </c>
      <c r="J4515" s="7" t="n">
        <f aca="false">Sens!$E$4515+(glt_fro-Sens!$E$4515)*MIN(1,(Sens!J4460-base_fy)/n_conv)</f>
        <v>0.0690721649484536</v>
      </c>
      <c r="K4515" s="7" t="n">
        <f aca="false">Sens!$E$4515+(glt_fro-Sens!$E$4515)*MIN(1,(Sens!K4460-base_fy)/n_conv)</f>
        <v>0.07</v>
      </c>
    </row>
    <row r="4516" customFormat="false" ht="15" hidden="false" customHeight="false" outlineLevel="0" collapsed="false">
      <c r="A4516" s="0" t="s">
        <v>852</v>
      </c>
      <c r="B4516" s="0" t="s">
        <v>98</v>
      </c>
      <c r="D4516" s="6" t="n">
        <f aca="false">Sens!D4504+Sens!D4509+Sens!D4510+Sens!D4512+Sens!D4514</f>
        <v>218.783</v>
      </c>
      <c r="E4516" s="6" t="n">
        <f aca="false">Sens!E4504+Sens!E4509+Sens!E4510+Sens!E4512+Sens!E4514</f>
        <v>268.127</v>
      </c>
      <c r="F4516" s="6" t="n">
        <f aca="false">Sens!F4504+Sens!F4509+Sens!F4510+Sens!F4512+Sens!F4514</f>
        <v>334.748096014336</v>
      </c>
      <c r="G4516" s="6" t="n">
        <f aca="false">Sens!G4504+Sens!G4509+Sens!G4510+Sens!G4512+Sens!G4514</f>
        <v>410.20243494969</v>
      </c>
      <c r="H4516" s="6" t="n">
        <f aca="false">Sens!H4504+Sens!H4509+Sens!H4510+Sens!H4512+Sens!H4514</f>
        <v>488.000156394961</v>
      </c>
      <c r="I4516" s="6" t="n">
        <f aca="false">Sens!I4504+Sens!I4509+Sens!I4510+Sens!I4512+Sens!I4514</f>
        <v>558.533483909048</v>
      </c>
      <c r="J4516" s="6" t="n">
        <f aca="false">Sens!J4504+Sens!J4509+Sens!J4510+Sens!J4512+Sens!J4514</f>
        <v>616.628989133631</v>
      </c>
      <c r="K4516" s="6" t="n">
        <f aca="false">Sens!K4504+Sens!K4509+Sens!K4510+Sens!K4512+Sens!K4514</f>
        <v>663.520015208274</v>
      </c>
    </row>
    <row r="4517" customFormat="false" ht="17.15" hidden="false" customHeight="false" outlineLevel="0" collapsed="false">
      <c r="A4517" s="0" t="s">
        <v>1037</v>
      </c>
      <c r="B4517" s="0" t="s">
        <v>98</v>
      </c>
      <c r="D4517" s="6" t="n">
        <f aca="false">Q!L13</f>
        <v>22.171</v>
      </c>
      <c r="E4517" s="6" t="n">
        <f aca="false">Q!M13</f>
        <v>24.835</v>
      </c>
      <c r="F4517" s="6" t="n">
        <f aca="false">Q!$I$13+(Q!M13-Q!$E$13)*(1+Sens!F4518)</f>
        <v>27.5591895660247</v>
      </c>
      <c r="G4517" s="6" t="n">
        <f aca="false">Sens!F4517*(1+Sens!G4518)</f>
        <v>30.4098563144583</v>
      </c>
      <c r="H4517" s="6" t="n">
        <f aca="false">Sens!G4517*(1+Sens!H4518)</f>
        <v>33.3011792571777</v>
      </c>
      <c r="I4517" s="6" t="n">
        <f aca="false">Sens!H4517*(1+Sens!I4518)</f>
        <v>36.189023797112</v>
      </c>
      <c r="J4517" s="6" t="n">
        <f aca="false">Sens!I4517*(1+Sens!J4518)</f>
        <v>39.0247773769199</v>
      </c>
      <c r="K4517" s="6" t="n">
        <f aca="false">Sens!J4517*(1+Sens!K4518)</f>
        <v>41.7565117933043</v>
      </c>
      <c r="L4517" s="12" t="s">
        <v>1034</v>
      </c>
    </row>
    <row r="4518" customFormat="false" ht="15" hidden="false" customHeight="false" outlineLevel="0" collapsed="false">
      <c r="A4518" s="1" t="s">
        <v>1024</v>
      </c>
      <c r="B4518" s="0" t="s">
        <v>168</v>
      </c>
      <c r="E4518" s="7" t="n">
        <f aca="false">Sens!E4517/Sens!D4517-1</f>
        <v>0.120156961796942</v>
      </c>
      <c r="F4518" s="7" t="n">
        <f aca="false">Sens!$E$4518+(glt_srch-Sens!$E$4518)*MIN(1,(Sens!F4460-base_fy)/n_conv)</f>
        <v>0.111797468164118</v>
      </c>
      <c r="G4518" s="7" t="n">
        <f aca="false">Sens!$E$4518+(glt_srch-Sens!$E$4518)*MIN(1,(Sens!G4460-base_fy)/n_conv)</f>
        <v>0.103437974531295</v>
      </c>
      <c r="H4518" s="7" t="n">
        <f aca="false">Sens!$E$4518+(glt_srch-Sens!$E$4518)*MIN(1,(Sens!H4460-base_fy)/n_conv)</f>
        <v>0.095078480898471</v>
      </c>
      <c r="I4518" s="7" t="n">
        <f aca="false">Sens!$E$4518+(glt_srch-Sens!$E$4518)*MIN(1,(Sens!I4460-base_fy)/n_conv)</f>
        <v>0.0867189872656474</v>
      </c>
      <c r="J4518" s="7" t="n">
        <f aca="false">Sens!$E$4518+(glt_srch-Sens!$E$4518)*MIN(1,(Sens!J4460-base_fy)/n_conv)</f>
        <v>0.0783594936328237</v>
      </c>
      <c r="K4518" s="7" t="n">
        <f aca="false">Sens!$E$4518+(glt_srch-Sens!$E$4518)*MIN(1,(Sens!K4460-base_fy)/n_conv)</f>
        <v>0.07</v>
      </c>
    </row>
    <row r="4519" customFormat="false" ht="17.15" hidden="false" customHeight="false" outlineLevel="0" collapsed="false">
      <c r="A4519" s="0" t="s">
        <v>1038</v>
      </c>
      <c r="B4519" s="0" t="s">
        <v>98</v>
      </c>
      <c r="D4519" s="6" t="n">
        <f aca="false">Q!L14</f>
        <v>23.455</v>
      </c>
      <c r="E4519" s="6" t="n">
        <f aca="false">Q!M14</f>
        <v>21.79</v>
      </c>
      <c r="F4519" s="6" t="n">
        <f aca="false">Q!$I$14+(Q!M14-Q!$E$14)*(1+Sens!F4520)</f>
        <v>20.7520981041711</v>
      </c>
      <c r="G4519" s="6" t="n">
        <f aca="false">Sens!F4519*(1+Sens!G4520)</f>
        <v>19.9083593495882</v>
      </c>
      <c r="H4519" s="6" t="n">
        <f aca="false">Sens!G4519*(1+Sens!H4520)</f>
        <v>19.4008256265831</v>
      </c>
      <c r="I4519" s="6" t="n">
        <f aca="false">Sens!H4519*(1+Sens!I4520)</f>
        <v>19.200434522122</v>
      </c>
      <c r="J4519" s="6" t="n">
        <f aca="false">Sens!I4519*(1+Sens!J4520)</f>
        <v>19.2932782348507</v>
      </c>
      <c r="K4519" s="6" t="n">
        <f aca="false">Sens!J4519*(1+Sens!K4520)</f>
        <v>19.6791437995477</v>
      </c>
      <c r="L4519" s="12" t="s">
        <v>1034</v>
      </c>
    </row>
    <row r="4520" customFormat="false" ht="15" hidden="false" customHeight="false" outlineLevel="0" collapsed="false">
      <c r="A4520" s="1" t="s">
        <v>1024</v>
      </c>
      <c r="B4520" s="0" t="s">
        <v>168</v>
      </c>
      <c r="E4520" s="7" t="n">
        <f aca="false">Sens!E4519/Sens!D4519-1</f>
        <v>-0.0709869963760392</v>
      </c>
      <c r="F4520" s="7" t="n">
        <f aca="false">Sens!$E$4520+(glt_xbox-Sens!$E$4520)*MIN(1,(Sens!F4460-base_fy)/n_conv)</f>
        <v>-0.0558224969800327</v>
      </c>
      <c r="G4520" s="7" t="n">
        <f aca="false">Sens!$E$4520+(glt_xbox-Sens!$E$4520)*MIN(1,(Sens!G4460-base_fy)/n_conv)</f>
        <v>-0.0406579975840262</v>
      </c>
      <c r="H4520" s="7" t="n">
        <f aca="false">Sens!$E$4520+(glt_xbox-Sens!$E$4520)*MIN(1,(Sens!H4460-base_fy)/n_conv)</f>
        <v>-0.0254934981880196</v>
      </c>
      <c r="I4520" s="7" t="n">
        <f aca="false">Sens!$E$4520+(glt_xbox-Sens!$E$4520)*MIN(1,(Sens!I4460-base_fy)/n_conv)</f>
        <v>-0.0103289987920131</v>
      </c>
      <c r="J4520" s="7" t="n">
        <f aca="false">Sens!$E$4520+(glt_xbox-Sens!$E$4520)*MIN(1,(Sens!J4460-base_fy)/n_conv)</f>
        <v>0.00483550060399347</v>
      </c>
      <c r="K4520" s="7" t="n">
        <f aca="false">Sens!$E$4520+(glt_xbox-Sens!$E$4520)*MIN(1,(Sens!K4460-base_fy)/n_conv)</f>
        <v>0.02</v>
      </c>
    </row>
    <row r="4521" customFormat="false" ht="17.15" hidden="false" customHeight="false" outlineLevel="0" collapsed="false">
      <c r="A4521" s="0" t="s">
        <v>1039</v>
      </c>
      <c r="B4521" s="0" t="s">
        <v>98</v>
      </c>
      <c r="D4521" s="6" t="n">
        <f aca="false">Q!L15</f>
        <v>17.315</v>
      </c>
      <c r="E4521" s="6" t="n">
        <f aca="false">Q!M15</f>
        <v>17.087</v>
      </c>
      <c r="F4521" s="6" t="n">
        <f aca="false">Q!$I$15+(Q!M15-Q!$E$15)*(1+Sens!F4522)</f>
        <v>15.9912273250553</v>
      </c>
      <c r="G4521" s="6" t="n">
        <f aca="false">Sens!F4521*(1+Sens!G4522)</f>
        <v>15.9574562664827</v>
      </c>
      <c r="H4521" s="6" t="n">
        <f aca="false">Sens!G4521*(1+Sens!H4522)</f>
        <v>16.0119687434196</v>
      </c>
      <c r="I4521" s="6" t="n">
        <f aca="false">Sens!H4521*(1+Sens!I4522)</f>
        <v>16.1551810001948</v>
      </c>
      <c r="J4521" s="6" t="n">
        <f aca="false">Sens!I4521*(1+Sens!J4522)</f>
        <v>16.3889793892005</v>
      </c>
      <c r="K4521" s="6" t="n">
        <f aca="false">Sens!J4521*(1+Sens!K4522)</f>
        <v>16.7167589769845</v>
      </c>
      <c r="L4521" s="12" t="s">
        <v>1034</v>
      </c>
    </row>
    <row r="4522" customFormat="false" ht="15" hidden="false" customHeight="false" outlineLevel="0" collapsed="false">
      <c r="A4522" s="1" t="s">
        <v>1024</v>
      </c>
      <c r="B4522" s="0" t="s">
        <v>168</v>
      </c>
      <c r="E4522" s="7" t="n">
        <f aca="false">Sens!E4521/Sens!D4521-1</f>
        <v>-0.0131677736066995</v>
      </c>
      <c r="F4522" s="7" t="n">
        <f aca="false">Sens!$E$4522+(glt_win-Sens!$E$4522)*MIN(1,(Sens!F4460-base_fy)/n_conv)</f>
        <v>-0.00763981133891627</v>
      </c>
      <c r="G4522" s="7" t="n">
        <f aca="false">Sens!$E$4522+(glt_win-Sens!$E$4522)*MIN(1,(Sens!G4460-base_fy)/n_conv)</f>
        <v>-0.00211184907113301</v>
      </c>
      <c r="H4522" s="7" t="n">
        <f aca="false">Sens!$E$4522+(glt_win-Sens!$E$4522)*MIN(1,(Sens!H4460-base_fy)/n_conv)</f>
        <v>0.00341611319665024</v>
      </c>
      <c r="I4522" s="7" t="n">
        <f aca="false">Sens!$E$4522+(glt_win-Sens!$E$4522)*MIN(1,(Sens!I4460-base_fy)/n_conv)</f>
        <v>0.00894407546443349</v>
      </c>
      <c r="J4522" s="7" t="n">
        <f aca="false">Sens!$E$4522+(glt_win-Sens!$E$4522)*MIN(1,(Sens!J4460-base_fy)/n_conv)</f>
        <v>0.0144720377322168</v>
      </c>
      <c r="K4522" s="7" t="n">
        <f aca="false">Sens!$E$4522+(glt_win-Sens!$E$4522)*MIN(1,(Sens!K4460-base_fy)/n_conv)</f>
        <v>0.02</v>
      </c>
    </row>
    <row r="4523" customFormat="false" ht="15" hidden="false" customHeight="false" outlineLevel="0" collapsed="false">
      <c r="A4523" s="0" t="s">
        <v>866</v>
      </c>
      <c r="B4523" s="0" t="s">
        <v>98</v>
      </c>
      <c r="D4523" s="6" t="n">
        <f aca="false">Sens!D4517+Sens!D4519+Sens!D4521</f>
        <v>62.941</v>
      </c>
      <c r="E4523" s="6" t="n">
        <f aca="false">Sens!E4517+Sens!E4519+Sens!E4521</f>
        <v>63.712</v>
      </c>
      <c r="F4523" s="6" t="n">
        <f aca="false">Sens!F4517+Sens!F4519+Sens!F4521</f>
        <v>64.3025149952511</v>
      </c>
      <c r="G4523" s="6" t="n">
        <f aca="false">Sens!G4517+Sens!G4519+Sens!G4521</f>
        <v>66.2756719305292</v>
      </c>
      <c r="H4523" s="6" t="n">
        <f aca="false">Sens!H4517+Sens!H4519+Sens!H4521</f>
        <v>68.7139736271804</v>
      </c>
      <c r="I4523" s="6" t="n">
        <f aca="false">Sens!I4517+Sens!I4519+Sens!I4521</f>
        <v>71.5446393194289</v>
      </c>
      <c r="J4523" s="6" t="n">
        <f aca="false">Sens!J4517+Sens!J4519+Sens!J4521</f>
        <v>74.707035000971</v>
      </c>
      <c r="K4523" s="6" t="n">
        <f aca="false">Sens!K4517+Sens!K4519+Sens!K4521</f>
        <v>78.1524145698365</v>
      </c>
    </row>
    <row r="4524" customFormat="false" ht="15" hidden="false" customHeight="false" outlineLevel="0" collapsed="false">
      <c r="A4524" s="1" t="s">
        <v>1040</v>
      </c>
      <c r="B4524" s="0" t="s">
        <v>98</v>
      </c>
      <c r="D4524" s="6" t="n">
        <f aca="false">Sens!D4516+Sens!D4523</f>
        <v>281.724</v>
      </c>
      <c r="E4524" s="6" t="n">
        <f aca="false">Sens!E4516+Sens!E4523</f>
        <v>331.839</v>
      </c>
      <c r="F4524" s="6" t="n">
        <f aca="false">Sens!F4516+Sens!F4523</f>
        <v>399.050611009588</v>
      </c>
      <c r="G4524" s="6" t="n">
        <f aca="false">Sens!G4516+Sens!G4523</f>
        <v>476.478106880219</v>
      </c>
      <c r="H4524" s="6" t="n">
        <f aca="false">Sens!H4516+Sens!H4523</f>
        <v>556.714130022142</v>
      </c>
      <c r="I4524" s="6" t="n">
        <f aca="false">Sens!I4516+Sens!I4523</f>
        <v>630.078123228477</v>
      </c>
      <c r="J4524" s="6" t="n">
        <f aca="false">Sens!J4516+Sens!J4523</f>
        <v>691.336024134602</v>
      </c>
      <c r="K4524" s="6" t="n">
        <f aca="false">Sens!K4516+Sens!K4523</f>
        <v>741.67242977811</v>
      </c>
    </row>
    <row r="4525" customFormat="false" ht="15" hidden="false" customHeight="false" outlineLevel="0" collapsed="false">
      <c r="A4525" s="26" t="s">
        <v>1041</v>
      </c>
      <c r="B4525" s="31" t="s">
        <v>98</v>
      </c>
      <c r="C4525" s="31"/>
      <c r="D4525" s="27" t="n">
        <f aca="false">(Sens!D4504+Sens!D4509+Sens!D4510+Sens!D4512+Sens!D4514-Sens!D4516)+(Sens!D4517+Sens!D4519+Sens!D4521-Sens!D4523)+(Sens!D4516-Q!L5)+(Sens!D4523-Q!L12)+(Sens!D4504-Q!L6)+(Sens!D4509-Q!L7)</f>
        <v>0</v>
      </c>
      <c r="E4525" s="27" t="n">
        <f aca="false">(Sens!E4504+Sens!E4509+Sens!E4510+Sens!E4512+Sens!E4514-Sens!E4516)+(Sens!E4517+Sens!E4519+Sens!E4521-Sens!E4523)+(Sens!E4516-Q!M5)+(Sens!E4523-Q!M12)+(Sens!E4504-Q!M6)+(Sens!E4509-Q!M7)</f>
        <v>0</v>
      </c>
      <c r="F4525" s="27" t="n">
        <f aca="false">(Sens!F4504+Sens!F4509+Sens!F4510+Sens!F4512+Sens!F4514-Sens!F4516)+(Sens!F4517+Sens!F4519+Sens!F4521-Sens!F4523)</f>
        <v>0</v>
      </c>
      <c r="G4525" s="27" t="n">
        <f aca="false">(Sens!G4504+Sens!G4509+Sens!G4510+Sens!G4512+Sens!G4514-Sens!G4516)+(Sens!G4517+Sens!G4519+Sens!G4521-Sens!G4523)</f>
        <v>0</v>
      </c>
      <c r="H4525" s="27" t="n">
        <f aca="false">(Sens!H4504+Sens!H4509+Sens!H4510+Sens!H4512+Sens!H4514-Sens!H4516)+(Sens!H4517+Sens!H4519+Sens!H4521-Sens!H4523)</f>
        <v>0</v>
      </c>
      <c r="I4525" s="27" t="n">
        <f aca="false">(Sens!I4504+Sens!I4509+Sens!I4510+Sens!I4512+Sens!I4514-Sens!I4516)+(Sens!I4517+Sens!I4519+Sens!I4521-Sens!I4523)</f>
        <v>0</v>
      </c>
      <c r="J4525" s="27" t="n">
        <f aca="false">(Sens!J4504+Sens!J4509+Sens!J4510+Sens!J4512+Sens!J4514-Sens!J4516)+(Sens!J4517+Sens!J4519+Sens!J4521-Sens!J4523)</f>
        <v>0</v>
      </c>
      <c r="K4525" s="27" t="n">
        <f aca="false">(Sens!K4504+Sens!K4509+Sens!K4510+Sens!K4512+Sens!K4514-Sens!K4516)+(Sens!K4517+Sens!K4519+Sens!K4521-Sens!K4523)</f>
        <v>0</v>
      </c>
    </row>
    <row r="4526" customFormat="false" ht="17.15" hidden="false" customHeight="false" outlineLevel="0" collapsed="false">
      <c r="A4526" s="3" t="s">
        <v>1592</v>
      </c>
    </row>
    <row r="4527" customFormat="false" ht="15" hidden="false" customHeight="false" outlineLevel="0" collapsed="false">
      <c r="A4527" s="4" t="s">
        <v>43</v>
      </c>
      <c r="B4527" s="4" t="s">
        <v>65</v>
      </c>
      <c r="C4527" s="23" t="s">
        <v>938</v>
      </c>
      <c r="D4527" s="23" t="s">
        <v>939</v>
      </c>
      <c r="E4527" s="23" t="s">
        <v>940</v>
      </c>
      <c r="F4527" s="23" t="s">
        <v>941</v>
      </c>
      <c r="G4527" s="23" t="s">
        <v>942</v>
      </c>
      <c r="H4527" s="23" t="s">
        <v>943</v>
      </c>
      <c r="I4527" s="23" t="s">
        <v>944</v>
      </c>
      <c r="J4527" s="23" t="s">
        <v>945</v>
      </c>
      <c r="K4527" s="23" t="s">
        <v>946</v>
      </c>
      <c r="L4527" s="4" t="s">
        <v>47</v>
      </c>
    </row>
    <row r="4528" customFormat="false" ht="15" hidden="false" customHeight="false" outlineLevel="0" collapsed="false">
      <c r="A4528" s="0" t="s">
        <v>1025</v>
      </c>
      <c r="B4528" s="0" t="s">
        <v>98</v>
      </c>
      <c r="D4528" s="6" t="n">
        <f aca="false">Sens!D4504</f>
        <v>72.61</v>
      </c>
      <c r="E4528" s="6" t="n">
        <f aca="false">Sens!E4504</f>
        <v>101.938</v>
      </c>
      <c r="F4528" s="6" t="n">
        <f aca="false">Sens!F4504</f>
        <v>146.709048000181</v>
      </c>
      <c r="G4528" s="6" t="n">
        <f aca="false">Sens!G4504</f>
        <v>199.762829861393</v>
      </c>
      <c r="H4528" s="6" t="n">
        <f aca="false">Sens!H4504</f>
        <v>255.133864541667</v>
      </c>
      <c r="I4528" s="6" t="n">
        <f aca="false">Sens!I4504</f>
        <v>305.010001895201</v>
      </c>
      <c r="J4528" s="6" t="n">
        <f aca="false">Sens!J4504</f>
        <v>344.536886576247</v>
      </c>
      <c r="K4528" s="6" t="n">
        <f aca="false">Sens!K4504</f>
        <v>373.779902337196</v>
      </c>
    </row>
    <row r="4529" customFormat="false" ht="17.15" hidden="false" customHeight="false" outlineLevel="0" collapsed="false">
      <c r="A4529" s="0" t="s">
        <v>1021</v>
      </c>
      <c r="B4529" s="0" t="s">
        <v>98</v>
      </c>
      <c r="D4529" s="6" t="n">
        <f aca="false">Sens!D4501</f>
        <v>12.9359794422418</v>
      </c>
      <c r="E4529" s="6" t="n">
        <f aca="false">Sens!E4501</f>
        <v>27.8095064661409</v>
      </c>
      <c r="F4529" s="6" t="n">
        <f aca="false">Sens!F4501</f>
        <v>55.4118315060966</v>
      </c>
      <c r="G4529" s="6" t="n">
        <f aca="false">Sens!G4501</f>
        <v>91.2881100675143</v>
      </c>
      <c r="H4529" s="6" t="n">
        <f aca="false">Sens!H4501</f>
        <v>129.182572035966</v>
      </c>
      <c r="I4529" s="6" t="n">
        <f aca="false">Sens!I4501</f>
        <v>162.171836740988</v>
      </c>
      <c r="J4529" s="6" t="n">
        <f aca="false">Sens!J4501</f>
        <v>186.409707910096</v>
      </c>
      <c r="K4529" s="6" t="n">
        <f aca="false">Sens!K4501</f>
        <v>203.002549377754</v>
      </c>
    </row>
    <row r="4530" customFormat="false" ht="17.15" hidden="false" customHeight="false" outlineLevel="0" collapsed="false">
      <c r="A4530" s="0" t="s">
        <v>1052</v>
      </c>
      <c r="B4530" s="0" t="s">
        <v>98</v>
      </c>
      <c r="D4530" s="6" t="n">
        <f aca="false">Sens!D4502</f>
        <v>59.6740205577583</v>
      </c>
      <c r="E4530" s="6" t="n">
        <f aca="false">Sens!E4502</f>
        <v>74.1284935338591</v>
      </c>
      <c r="F4530" s="6" t="n">
        <f aca="false">Sens!F4502</f>
        <v>91.2972164940844</v>
      </c>
      <c r="G4530" s="6" t="n">
        <f aca="false">Sens!G4502</f>
        <v>108.474719793879</v>
      </c>
      <c r="H4530" s="6" t="n">
        <f aca="false">Sens!H4502</f>
        <v>125.951292505701</v>
      </c>
      <c r="I4530" s="6" t="n">
        <f aca="false">Sens!I4502</f>
        <v>142.838165154212</v>
      </c>
      <c r="J4530" s="6" t="n">
        <f aca="false">Sens!J4502</f>
        <v>158.12717866615</v>
      </c>
      <c r="K4530" s="6" t="n">
        <f aca="false">Sens!K4502</f>
        <v>170.777352959442</v>
      </c>
    </row>
    <row r="4531" customFormat="false" ht="15" hidden="false" customHeight="false" outlineLevel="0" collapsed="false">
      <c r="A4531" s="0" t="s">
        <v>1032</v>
      </c>
      <c r="B4531" s="0" t="s">
        <v>98</v>
      </c>
      <c r="D4531" s="6" t="n">
        <f aca="false">Sens!D4509</f>
        <v>84.605</v>
      </c>
      <c r="E4531" s="6" t="n">
        <f aca="false">Sens!E4509</f>
        <v>100.299</v>
      </c>
      <c r="F4531" s="6" t="n">
        <f aca="false">Sens!F4509</f>
        <v>118.584003697747</v>
      </c>
      <c r="G4531" s="6" t="n">
        <f aca="false">Sens!G4509</f>
        <v>136.700726545688</v>
      </c>
      <c r="H4531" s="6" t="n">
        <f aca="false">Sens!H4509</f>
        <v>154.898624783666</v>
      </c>
      <c r="I4531" s="6" t="n">
        <f aca="false">Sens!I4509</f>
        <v>171.420510030657</v>
      </c>
      <c r="J4531" s="6" t="n">
        <f aca="false">Sens!J4509</f>
        <v>185.985722618572</v>
      </c>
      <c r="K4531" s="6" t="n">
        <f aca="false">Sens!K4509</f>
        <v>199.799723201872</v>
      </c>
    </row>
    <row r="4532" customFormat="false" ht="17.15" hidden="false" customHeight="false" outlineLevel="0" collapsed="false">
      <c r="A4532" s="0" t="s">
        <v>1053</v>
      </c>
      <c r="B4532" s="0" t="s">
        <v>98</v>
      </c>
      <c r="D4532" s="6" t="n">
        <f aca="false">Sens!D4507</f>
        <v>83.705</v>
      </c>
      <c r="E4532" s="6" t="n">
        <f aca="false">Sens!E4507</f>
        <v>95.049</v>
      </c>
      <c r="F4532" s="6" t="n">
        <f aca="false">Sens!F4507</f>
        <v>106.584003697747</v>
      </c>
      <c r="G4532" s="6" t="n">
        <f aca="false">Sens!G4507</f>
        <v>118.700726545688</v>
      </c>
      <c r="H4532" s="6" t="n">
        <f aca="false">Sens!H4507</f>
        <v>130.898624783666</v>
      </c>
      <c r="I4532" s="6" t="n">
        <f aca="false">Sens!I4507</f>
        <v>142.920510030657</v>
      </c>
      <c r="J4532" s="6" t="n">
        <f aca="false">Sens!J4507</f>
        <v>154.485722618572</v>
      </c>
      <c r="K4532" s="6" t="n">
        <f aca="false">Sens!K4507</f>
        <v>165.299723201872</v>
      </c>
    </row>
    <row r="4533" customFormat="false" ht="17.15" hidden="false" customHeight="false" outlineLevel="0" collapsed="false">
      <c r="A4533" s="0" t="s">
        <v>1054</v>
      </c>
      <c r="B4533" s="0" t="s">
        <v>98</v>
      </c>
      <c r="D4533" s="6" t="n">
        <f aca="false">Sens!D4506</f>
        <v>0.9</v>
      </c>
      <c r="E4533" s="6" t="n">
        <f aca="false">Sens!E4506</f>
        <v>5.25</v>
      </c>
      <c r="F4533" s="6" t="n">
        <f aca="false">Sens!F4506</f>
        <v>12</v>
      </c>
      <c r="G4533" s="6" t="n">
        <f aca="false">Sens!G4506</f>
        <v>18</v>
      </c>
      <c r="H4533" s="6" t="n">
        <f aca="false">Sens!H4506</f>
        <v>24</v>
      </c>
      <c r="I4533" s="6" t="n">
        <f aca="false">Sens!I4506</f>
        <v>28.5</v>
      </c>
      <c r="J4533" s="6" t="n">
        <f aca="false">Sens!J4506</f>
        <v>31.5</v>
      </c>
      <c r="K4533" s="6" t="n">
        <f aca="false">Sens!K4506</f>
        <v>34.5</v>
      </c>
    </row>
    <row r="4534" customFormat="false" ht="15" hidden="false" customHeight="false" outlineLevel="0" collapsed="false">
      <c r="A4534" s="0" t="s">
        <v>1033</v>
      </c>
      <c r="B4534" s="0" t="s">
        <v>98</v>
      </c>
      <c r="D4534" s="6" t="n">
        <f aca="false">Sens!D4510</f>
        <v>35.391</v>
      </c>
      <c r="E4534" s="6" t="n">
        <f aca="false">Sens!E4510</f>
        <v>37.285</v>
      </c>
      <c r="F4534" s="6" t="n">
        <f aca="false">Sens!F4510</f>
        <v>38.3851437782675</v>
      </c>
      <c r="G4534" s="6" t="n">
        <f aca="false">Sens!G4510</f>
        <v>40.0105353288615</v>
      </c>
      <c r="H4534" s="6" t="n">
        <f aca="false">Sens!H4510</f>
        <v>41.4812512033683</v>
      </c>
      <c r="I4534" s="6" t="n">
        <f aca="false">Sens!I4510</f>
        <v>42.7743107216329</v>
      </c>
      <c r="J4534" s="6" t="n">
        <f aca="false">Sens!J4510</f>
        <v>43.8687373064601</v>
      </c>
      <c r="K4534" s="6" t="n">
        <f aca="false">Sens!K4510</f>
        <v>44.7461120525893</v>
      </c>
    </row>
    <row r="4535" customFormat="false" ht="15" hidden="false" customHeight="false" outlineLevel="0" collapsed="false">
      <c r="A4535" s="0" t="s">
        <v>1035</v>
      </c>
      <c r="B4535" s="0" t="s">
        <v>98</v>
      </c>
      <c r="D4535" s="6" t="n">
        <f aca="false">Sens!D4512</f>
        <v>18.417</v>
      </c>
      <c r="E4535" s="6" t="n">
        <f aca="false">Sens!E4512</f>
        <v>20.345</v>
      </c>
      <c r="F4535" s="6" t="n">
        <f aca="false">Sens!F4512</f>
        <v>22.3161797133988</v>
      </c>
      <c r="G4535" s="6" t="n">
        <f aca="false">Sens!G4512</f>
        <v>24.3943499673233</v>
      </c>
      <c r="H4535" s="6" t="n">
        <f aca="false">Sens!H4512</f>
        <v>26.5250243109019</v>
      </c>
      <c r="I4535" s="6" t="n">
        <f aca="false">Sens!I4512</f>
        <v>28.6884573538181</v>
      </c>
      <c r="J4535" s="6" t="n">
        <f aca="false">Sens!J4512</f>
        <v>30.8624968052127</v>
      </c>
      <c r="K4535" s="6" t="n">
        <f aca="false">Sens!K4512</f>
        <v>33.0228715815776</v>
      </c>
    </row>
    <row r="4536" customFormat="false" ht="15" hidden="false" customHeight="false" outlineLevel="0" collapsed="false">
      <c r="A4536" s="0" t="s">
        <v>1036</v>
      </c>
      <c r="B4536" s="0" t="s">
        <v>98</v>
      </c>
      <c r="D4536" s="6" t="n">
        <f aca="false">Sens!D4514</f>
        <v>7.76</v>
      </c>
      <c r="E4536" s="6" t="n">
        <f aca="false">Sens!E4514</f>
        <v>8.26</v>
      </c>
      <c r="F4536" s="6" t="n">
        <f aca="false">Sens!F4514</f>
        <v>8.75372082474227</v>
      </c>
      <c r="G4536" s="6" t="n">
        <f aca="false">Sens!G4514</f>
        <v>9.33399324642364</v>
      </c>
      <c r="H4536" s="6" t="n">
        <f aca="false">Sens!H4514</f>
        <v>9.96139155535851</v>
      </c>
      <c r="I4536" s="6" t="n">
        <f aca="false">Sens!I4514</f>
        <v>10.6402039077391</v>
      </c>
      <c r="J4536" s="6" t="n">
        <f aca="false">Sens!J4514</f>
        <v>11.3751458271397</v>
      </c>
      <c r="K4536" s="6" t="n">
        <f aca="false">Sens!K4514</f>
        <v>12.1714060350394</v>
      </c>
    </row>
    <row r="4537" customFormat="false" ht="15" hidden="false" customHeight="false" outlineLevel="0" collapsed="false">
      <c r="A4537" s="0" t="s">
        <v>852</v>
      </c>
      <c r="B4537" s="0" t="s">
        <v>98</v>
      </c>
      <c r="D4537" s="6" t="n">
        <f aca="false">Sens!D4516</f>
        <v>218.783</v>
      </c>
      <c r="E4537" s="6" t="n">
        <f aca="false">Sens!E4516</f>
        <v>268.127</v>
      </c>
      <c r="F4537" s="6" t="n">
        <f aca="false">Sens!F4516</f>
        <v>334.748096014336</v>
      </c>
      <c r="G4537" s="6" t="n">
        <f aca="false">Sens!G4516</f>
        <v>410.20243494969</v>
      </c>
      <c r="H4537" s="6" t="n">
        <f aca="false">Sens!H4516</f>
        <v>488.000156394961</v>
      </c>
      <c r="I4537" s="6" t="n">
        <f aca="false">Sens!I4516</f>
        <v>558.533483909048</v>
      </c>
      <c r="J4537" s="6" t="n">
        <f aca="false">Sens!J4516</f>
        <v>616.628989133631</v>
      </c>
      <c r="K4537" s="6" t="n">
        <f aca="false">Sens!K4516</f>
        <v>663.520015208274</v>
      </c>
    </row>
    <row r="4538" customFormat="false" ht="15" hidden="false" customHeight="false" outlineLevel="0" collapsed="false">
      <c r="A4538" s="0" t="s">
        <v>1037</v>
      </c>
      <c r="B4538" s="0" t="s">
        <v>98</v>
      </c>
      <c r="D4538" s="6" t="n">
        <f aca="false">Sens!D4517</f>
        <v>22.171</v>
      </c>
      <c r="E4538" s="6" t="n">
        <f aca="false">Sens!E4517</f>
        <v>24.835</v>
      </c>
      <c r="F4538" s="6" t="n">
        <f aca="false">Sens!F4517</f>
        <v>27.5591895660247</v>
      </c>
      <c r="G4538" s="6" t="n">
        <f aca="false">Sens!G4517</f>
        <v>30.4098563144583</v>
      </c>
      <c r="H4538" s="6" t="n">
        <f aca="false">Sens!H4517</f>
        <v>33.3011792571777</v>
      </c>
      <c r="I4538" s="6" t="n">
        <f aca="false">Sens!I4517</f>
        <v>36.189023797112</v>
      </c>
      <c r="J4538" s="6" t="n">
        <f aca="false">Sens!J4517</f>
        <v>39.0247773769199</v>
      </c>
      <c r="K4538" s="6" t="n">
        <f aca="false">Sens!K4517</f>
        <v>41.7565117933043</v>
      </c>
    </row>
    <row r="4539" customFormat="false" ht="15" hidden="false" customHeight="false" outlineLevel="0" collapsed="false">
      <c r="A4539" s="0" t="s">
        <v>1038</v>
      </c>
      <c r="B4539" s="0" t="s">
        <v>98</v>
      </c>
      <c r="D4539" s="6" t="n">
        <f aca="false">Sens!D4519</f>
        <v>23.455</v>
      </c>
      <c r="E4539" s="6" t="n">
        <f aca="false">Sens!E4519</f>
        <v>21.79</v>
      </c>
      <c r="F4539" s="6" t="n">
        <f aca="false">Sens!F4519</f>
        <v>20.7520981041711</v>
      </c>
      <c r="G4539" s="6" t="n">
        <f aca="false">Sens!G4519</f>
        <v>19.9083593495882</v>
      </c>
      <c r="H4539" s="6" t="n">
        <f aca="false">Sens!H4519</f>
        <v>19.4008256265831</v>
      </c>
      <c r="I4539" s="6" t="n">
        <f aca="false">Sens!I4519</f>
        <v>19.200434522122</v>
      </c>
      <c r="J4539" s="6" t="n">
        <f aca="false">Sens!J4519</f>
        <v>19.2932782348507</v>
      </c>
      <c r="K4539" s="6" t="n">
        <f aca="false">Sens!K4519</f>
        <v>19.6791437995477</v>
      </c>
    </row>
    <row r="4540" customFormat="false" ht="15" hidden="false" customHeight="false" outlineLevel="0" collapsed="false">
      <c r="A4540" s="0" t="s">
        <v>1039</v>
      </c>
      <c r="B4540" s="0" t="s">
        <v>98</v>
      </c>
      <c r="D4540" s="6" t="n">
        <f aca="false">Sens!D4521</f>
        <v>17.315</v>
      </c>
      <c r="E4540" s="6" t="n">
        <f aca="false">Sens!E4521</f>
        <v>17.087</v>
      </c>
      <c r="F4540" s="6" t="n">
        <f aca="false">Sens!F4521</f>
        <v>15.9912273250553</v>
      </c>
      <c r="G4540" s="6" t="n">
        <f aca="false">Sens!G4521</f>
        <v>15.9574562664827</v>
      </c>
      <c r="H4540" s="6" t="n">
        <f aca="false">Sens!H4521</f>
        <v>16.0119687434196</v>
      </c>
      <c r="I4540" s="6" t="n">
        <f aca="false">Sens!I4521</f>
        <v>16.1551810001948</v>
      </c>
      <c r="J4540" s="6" t="n">
        <f aca="false">Sens!J4521</f>
        <v>16.3889793892005</v>
      </c>
      <c r="K4540" s="6" t="n">
        <f aca="false">Sens!K4521</f>
        <v>16.7167589769845</v>
      </c>
    </row>
    <row r="4541" customFormat="false" ht="15" hidden="false" customHeight="false" outlineLevel="0" collapsed="false">
      <c r="A4541" s="0" t="s">
        <v>866</v>
      </c>
      <c r="B4541" s="0" t="s">
        <v>98</v>
      </c>
      <c r="D4541" s="6" t="n">
        <f aca="false">Sens!D4523</f>
        <v>62.941</v>
      </c>
      <c r="E4541" s="6" t="n">
        <f aca="false">Sens!E4523</f>
        <v>63.712</v>
      </c>
      <c r="F4541" s="6" t="n">
        <f aca="false">Sens!F4523</f>
        <v>64.3025149952511</v>
      </c>
      <c r="G4541" s="6" t="n">
        <f aca="false">Sens!G4523</f>
        <v>66.2756719305292</v>
      </c>
      <c r="H4541" s="6" t="n">
        <f aca="false">Sens!H4523</f>
        <v>68.7139736271804</v>
      </c>
      <c r="I4541" s="6" t="n">
        <f aca="false">Sens!I4523</f>
        <v>71.5446393194289</v>
      </c>
      <c r="J4541" s="6" t="n">
        <f aca="false">Sens!J4523</f>
        <v>74.707035000971</v>
      </c>
      <c r="K4541" s="6" t="n">
        <f aca="false">Sens!K4523</f>
        <v>78.1524145698365</v>
      </c>
    </row>
    <row r="4542" customFormat="false" ht="15" hidden="false" customHeight="false" outlineLevel="0" collapsed="false">
      <c r="A4542" s="1" t="s">
        <v>1055</v>
      </c>
      <c r="B4542" s="0" t="s">
        <v>98</v>
      </c>
      <c r="D4542" s="6" t="n">
        <f aca="false">Sens!D4524</f>
        <v>281.724</v>
      </c>
      <c r="E4542" s="6" t="n">
        <f aca="false">Sens!E4524</f>
        <v>331.839</v>
      </c>
      <c r="F4542" s="6" t="n">
        <f aca="false">Sens!F4524</f>
        <v>399.050611009588</v>
      </c>
      <c r="G4542" s="6" t="n">
        <f aca="false">Sens!G4524</f>
        <v>476.478106880219</v>
      </c>
      <c r="H4542" s="6" t="n">
        <f aca="false">Sens!H4524</f>
        <v>556.714130022142</v>
      </c>
      <c r="I4542" s="6" t="n">
        <f aca="false">Sens!I4524</f>
        <v>630.078123228477</v>
      </c>
      <c r="J4542" s="6" t="n">
        <f aca="false">Sens!J4524</f>
        <v>691.336024134602</v>
      </c>
      <c r="K4542" s="6" t="n">
        <f aca="false">Sens!K4524</f>
        <v>741.67242977811</v>
      </c>
    </row>
    <row r="4543" customFormat="false" ht="15" hidden="false" customHeight="false" outlineLevel="0" collapsed="false">
      <c r="A4543" s="1" t="s">
        <v>1056</v>
      </c>
      <c r="B4543" s="0" t="s">
        <v>168</v>
      </c>
      <c r="E4543" s="7" t="n">
        <f aca="false">Sens!E4542/Sens!D4542-1</f>
        <v>0.177886867998467</v>
      </c>
      <c r="F4543" s="7" t="n">
        <f aca="false">Sens!F4542/Sens!E4542-1</f>
        <v>0.202542832547071</v>
      </c>
      <c r="G4543" s="7" t="n">
        <f aca="false">Sens!G4542/Sens!F4542-1</f>
        <v>0.194029262791359</v>
      </c>
      <c r="H4543" s="7" t="n">
        <f aca="false">Sens!H4542/Sens!G4542-1</f>
        <v>0.1683939345446</v>
      </c>
      <c r="I4543" s="7" t="n">
        <f aca="false">Sens!I4542/Sens!H4542-1</f>
        <v>0.131780368505138</v>
      </c>
      <c r="J4543" s="7" t="n">
        <f aca="false">Sens!J4542/Sens!I4542-1</f>
        <v>0.0972227072291352</v>
      </c>
      <c r="K4543" s="7" t="n">
        <f aca="false">Sens!K4542/Sens!J4542-1</f>
        <v>0.0728103322932123</v>
      </c>
    </row>
    <row r="4544" customFormat="false" ht="17.15" hidden="false" customHeight="false" outlineLevel="0" collapsed="false">
      <c r="A4544" s="26" t="s">
        <v>1057</v>
      </c>
      <c r="B4544" s="31" t="s">
        <v>98</v>
      </c>
      <c r="C4544" s="31"/>
      <c r="D4544" s="27" t="n">
        <f aca="false">(Sens!D4537+Sens!D4541-Sens!D4542)+(Sens!D4529+Sens!D4530-Sens!D4528)+(Sens!D4532+Sens!D4533-Sens!D4531)+(Sens!D4542-Q!L18)</f>
        <v>0</v>
      </c>
      <c r="E4544" s="27" t="n">
        <f aca="false">(Sens!E4537+Sens!E4541-Sens!E4542)+(Sens!E4529+Sens!E4530-Sens!E4528)+(Sens!E4532+Sens!E4533-Sens!E4531)+(Sens!E4542-Q!M18)</f>
        <v>0</v>
      </c>
      <c r="F4544" s="27" t="n">
        <f aca="false">(Sens!F4537+Sens!F4541-Sens!F4542)+(Sens!F4529+Sens!F4530-Sens!F4528)+(Sens!F4532+Sens!F4533-Sens!F4531)</f>
        <v>0</v>
      </c>
      <c r="G4544" s="27" t="n">
        <f aca="false">(Sens!G4537+Sens!G4541-Sens!G4542)+(Sens!G4529+Sens!G4530-Sens!G4528)+(Sens!G4532+Sens!G4533-Sens!G4531)</f>
        <v>0</v>
      </c>
      <c r="H4544" s="27" t="n">
        <f aca="false">(Sens!H4537+Sens!H4541-Sens!H4542)+(Sens!H4529+Sens!H4530-Sens!H4528)+(Sens!H4532+Sens!H4533-Sens!H4531)</f>
        <v>0</v>
      </c>
      <c r="I4544" s="27" t="n">
        <f aca="false">(Sens!I4537+Sens!I4541-Sens!I4542)+(Sens!I4529+Sens!I4530-Sens!I4528)+(Sens!I4532+Sens!I4533-Sens!I4531)</f>
        <v>0</v>
      </c>
      <c r="J4544" s="27" t="n">
        <f aca="false">(Sens!J4537+Sens!J4541-Sens!J4542)+(Sens!J4529+Sens!J4530-Sens!J4528)+(Sens!J4532+Sens!J4533-Sens!J4531)</f>
        <v>0</v>
      </c>
      <c r="K4544" s="27" t="n">
        <f aca="false">(Sens!K4537+Sens!K4541-Sens!K4542)+(Sens!K4529+Sens!K4530-Sens!K4528)+(Sens!K4532+Sens!K4533-Sens!K4531)</f>
        <v>0</v>
      </c>
    </row>
    <row r="4545" customFormat="false" ht="17.15" hidden="false" customHeight="false" outlineLevel="0" collapsed="false">
      <c r="A4545" s="0" t="s">
        <v>1058</v>
      </c>
      <c r="B4545" s="0" t="s">
        <v>168</v>
      </c>
      <c r="E4545" s="7" t="n">
        <f aca="false">(Q!M21+Sens!E4481+Sens!E4482+Sens!E4483+Sens!E4497-Sens!E4479)/(Q!M5-Sens!E4479)</f>
        <v>0.583491251973566</v>
      </c>
      <c r="F4545" s="7" t="n">
        <f aca="false">Sens!$E$4545+dm_seg</f>
        <v>0.583491251973566</v>
      </c>
      <c r="G4545" s="7" t="n">
        <f aca="false">Sens!$E$4545+dm_seg</f>
        <v>0.583491251973566</v>
      </c>
      <c r="H4545" s="7" t="n">
        <f aca="false">Sens!$E$4545+dm_seg</f>
        <v>0.583491251973566</v>
      </c>
      <c r="I4545" s="7" t="n">
        <f aca="false">Sens!$E$4545+dm_seg</f>
        <v>0.583491251973566</v>
      </c>
      <c r="J4545" s="7" t="n">
        <f aca="false">Sens!$E$4545+dm_seg</f>
        <v>0.583491251973566</v>
      </c>
      <c r="K4545" s="7" t="n">
        <f aca="false">Sens!$E$4545+dm_seg</f>
        <v>0.583491251973566</v>
      </c>
      <c r="L4545" s="12" t="s">
        <v>1059</v>
      </c>
    </row>
    <row r="4546" customFormat="false" ht="17.15" hidden="false" customHeight="false" outlineLevel="0" collapsed="false">
      <c r="A4546" s="0" t="s">
        <v>880</v>
      </c>
      <c r="B4546" s="0" t="s">
        <v>98</v>
      </c>
      <c r="D4546" s="6" t="n">
        <f aca="false">Q!L21</f>
        <v>110.814</v>
      </c>
      <c r="E4546" s="6" t="n">
        <f aca="false">Q!M21</f>
        <v>136.365</v>
      </c>
      <c r="F4546" s="6" t="n">
        <f aca="false">Q!$I$21+(Sens!F4545*(Sens!F4516-Sens!F4479)+Sens!F4479-(Sens!F4481+Sens!F4482+Sens!F4483)-Sens!F4497-Sens!F4580)*(Sens!F4516-Q!$I$5)/Sens!F4516</f>
        <v>159.845220963334</v>
      </c>
      <c r="G4546" s="6" t="n">
        <f aca="false">(Sens!G4545*(Sens!G4516-Sens!G4479)+Sens!G4479-(Sens!G4481+Sens!G4482+Sens!G4483)-Sens!G4497-Sens!G4580)</f>
        <v>170.253413476627</v>
      </c>
      <c r="H4546" s="6" t="n">
        <f aca="false">(Sens!H4545*(Sens!H4516-Sens!H4479)+Sens!H4479-(Sens!H4481+Sens!H4482+Sens!H4483)-Sens!H4497-Sens!H4580)</f>
        <v>184.807439415122</v>
      </c>
      <c r="I4546" s="6" t="n">
        <f aca="false">(Sens!I4545*(Sens!I4516-Sens!I4479)+Sens!I4479-(Sens!I4481+Sens!I4482+Sens!I4483)-Sens!I4497-Sens!I4580)</f>
        <v>198.256485230382</v>
      </c>
      <c r="J4546" s="6" t="n">
        <f aca="false">(Sens!J4545*(Sens!J4516-Sens!J4479)+Sens!J4479-(Sens!J4481+Sens!J4482+Sens!J4483)-Sens!J4497-Sens!J4580)</f>
        <v>212.395250786996</v>
      </c>
      <c r="K4546" s="6" t="n">
        <f aca="false">(Sens!K4545*(Sens!K4516-Sens!K4479)+Sens!K4479-(Sens!K4481+Sens!K4482+Sens!K4483)-Sens!K4497-Sens!K4580)</f>
        <v>228.81546109924</v>
      </c>
      <c r="L4546" s="1" t="s">
        <v>1060</v>
      </c>
    </row>
    <row r="4547" customFormat="false" ht="17.15" hidden="false" customHeight="false" outlineLevel="0" collapsed="false">
      <c r="A4547" s="0" t="s">
        <v>1061</v>
      </c>
      <c r="B4547" s="0" t="s">
        <v>168</v>
      </c>
      <c r="E4547" s="7" t="n">
        <f aca="false">Q!M22/Q!M12</f>
        <v>0.296207935710698</v>
      </c>
      <c r="F4547" s="7" t="n">
        <f aca="false">Sens!$E$4547+dm_seg</f>
        <v>0.296207935710698</v>
      </c>
      <c r="G4547" s="7" t="n">
        <f aca="false">Sens!$E$4547+dm_seg</f>
        <v>0.296207935710698</v>
      </c>
      <c r="H4547" s="7" t="n">
        <f aca="false">Sens!$E$4547+dm_seg</f>
        <v>0.296207935710698</v>
      </c>
      <c r="I4547" s="7" t="n">
        <f aca="false">Sens!$E$4547+dm_seg</f>
        <v>0.296207935710698</v>
      </c>
      <c r="J4547" s="7" t="n">
        <f aca="false">Sens!$E$4547+dm_seg</f>
        <v>0.296207935710698</v>
      </c>
      <c r="K4547" s="7" t="n">
        <f aca="false">Sens!$E$4547+dm_seg</f>
        <v>0.296207935710698</v>
      </c>
      <c r="L4547" s="12" t="s">
        <v>1062</v>
      </c>
    </row>
    <row r="4548" customFormat="false" ht="17.15" hidden="false" customHeight="false" outlineLevel="0" collapsed="false">
      <c r="A4548" s="0" t="s">
        <v>882</v>
      </c>
      <c r="B4548" s="0" t="s">
        <v>98</v>
      </c>
      <c r="D4548" s="6" t="n">
        <f aca="false">Q!L22</f>
        <v>17.714</v>
      </c>
      <c r="E4548" s="6" t="n">
        <f aca="false">Q!M22</f>
        <v>18.872</v>
      </c>
      <c r="F4548" s="6" t="n">
        <f aca="false">Q!$I$22+(Sens!F4523-Q!$I$12)*Sens!F4547</f>
        <v>19.8174315512051</v>
      </c>
      <c r="G4548" s="6" t="n">
        <f aca="false">Sens!G4523*Sens!G4547</f>
        <v>19.6313799703815</v>
      </c>
      <c r="H4548" s="6" t="n">
        <f aca="false">Sens!H4523*Sens!H4547</f>
        <v>20.3536242825865</v>
      </c>
      <c r="I4548" s="6" t="n">
        <f aca="false">Sens!I4523*Sens!I4547</f>
        <v>21.1920899239745</v>
      </c>
      <c r="J4548" s="6" t="n">
        <f aca="false">Sens!J4523*Sens!J4547</f>
        <v>22.1288166207045</v>
      </c>
      <c r="K4548" s="6" t="n">
        <f aca="false">Sens!K4523*Sens!K4547</f>
        <v>23.1493653905379</v>
      </c>
      <c r="L4548" s="12" t="s">
        <v>1063</v>
      </c>
    </row>
    <row r="4549" customFormat="false" ht="15" hidden="false" customHeight="false" outlineLevel="0" collapsed="false">
      <c r="A4549" s="1" t="s">
        <v>1064</v>
      </c>
      <c r="B4549" s="0" t="s">
        <v>98</v>
      </c>
      <c r="D4549" s="6" t="n">
        <f aca="false">Sens!D4546+Sens!D4548</f>
        <v>128.528</v>
      </c>
      <c r="E4549" s="6" t="n">
        <f aca="false">Sens!E4546+Sens!E4548</f>
        <v>155.237</v>
      </c>
      <c r="F4549" s="6" t="n">
        <f aca="false">Sens!F4546+Sens!F4548</f>
        <v>179.66265251454</v>
      </c>
      <c r="G4549" s="6" t="n">
        <f aca="false">Sens!G4546+Sens!G4548</f>
        <v>189.884793447009</v>
      </c>
      <c r="H4549" s="6" t="n">
        <f aca="false">Sens!H4546+Sens!H4548</f>
        <v>205.161063697709</v>
      </c>
      <c r="I4549" s="6" t="n">
        <f aca="false">Sens!I4546+Sens!I4548</f>
        <v>219.448575154356</v>
      </c>
      <c r="J4549" s="6" t="n">
        <f aca="false">Sens!J4546+Sens!J4548</f>
        <v>234.5240674077</v>
      </c>
      <c r="K4549" s="6" t="n">
        <f aca="false">Sens!K4546+Sens!K4548</f>
        <v>251.964826489778</v>
      </c>
    </row>
    <row r="4550" customFormat="false" ht="15" hidden="false" customHeight="false" outlineLevel="0" collapsed="false">
      <c r="A4550" s="26" t="s">
        <v>1065</v>
      </c>
      <c r="B4550" s="31" t="s">
        <v>98</v>
      </c>
      <c r="C4550" s="31"/>
      <c r="D4550" s="27" t="n">
        <f aca="false">Sens!D4549-Q!L23</f>
        <v>0</v>
      </c>
      <c r="E4550" s="27" t="n">
        <f aca="false">Sens!E4549-Q!M23</f>
        <v>0</v>
      </c>
      <c r="F4550" s="31"/>
      <c r="G4550" s="31"/>
      <c r="H4550" s="31"/>
      <c r="I4550" s="31"/>
      <c r="J4550" s="31"/>
      <c r="K4550" s="31"/>
    </row>
    <row r="4551" customFormat="false" ht="15" hidden="false" customHeight="false" outlineLevel="0" collapsed="false">
      <c r="A4551" s="1" t="s">
        <v>1066</v>
      </c>
      <c r="B4551" s="0" t="s">
        <v>168</v>
      </c>
      <c r="D4551" s="7" t="n">
        <f aca="false">Sens!D4549/Sens!D4542</f>
        <v>0.456219562408598</v>
      </c>
      <c r="E4551" s="7" t="n">
        <f aca="false">Sens!E4549/Sens!E4542</f>
        <v>0.467808184089272</v>
      </c>
      <c r="F4551" s="7" t="n">
        <f aca="false">Sens!F4549/Sens!F4542</f>
        <v>0.450225228474147</v>
      </c>
      <c r="G4551" s="7" t="n">
        <f aca="false">Sens!G4549/Sens!G4542</f>
        <v>0.398517352014966</v>
      </c>
      <c r="H4551" s="7" t="n">
        <f aca="false">Sens!H4549/Sens!H4542</f>
        <v>0.36852138760974</v>
      </c>
      <c r="I4551" s="7" t="n">
        <f aca="false">Sens!I4549/Sens!I4542</f>
        <v>0.348287882191365</v>
      </c>
      <c r="J4551" s="7" t="n">
        <f aca="false">Sens!J4549/Sens!J4542</f>
        <v>0.339233106941406</v>
      </c>
      <c r="K4551" s="7" t="n">
        <f aca="false">Sens!K4549/Sens!K4542</f>
        <v>0.339725216110783</v>
      </c>
    </row>
    <row r="4552" customFormat="false" ht="17.15" hidden="false" customHeight="false" outlineLevel="0" collapsed="false">
      <c r="A4552" s="1" t="s">
        <v>1067</v>
      </c>
      <c r="B4552" s="0" t="s">
        <v>98</v>
      </c>
      <c r="F4552" s="6" t="n">
        <f aca="false">Sens!F4567</f>
        <v>9.65523893923682</v>
      </c>
      <c r="G4552" s="6" t="n">
        <f aca="false">Sens!G4567</f>
        <v>25.115531357015</v>
      </c>
      <c r="H4552" s="6" t="n">
        <f aca="false">Sens!H4567</f>
        <v>42.4459312407815</v>
      </c>
      <c r="I4552" s="6" t="n">
        <f aca="false">Sens!I4567</f>
        <v>58.0888806379645</v>
      </c>
      <c r="J4552" s="6" t="n">
        <f aca="false">Sens!J4567</f>
        <v>69.5849435068506</v>
      </c>
      <c r="K4552" s="6" t="n">
        <f aca="false">Sens!K4567</f>
        <v>76.5466264177592</v>
      </c>
      <c r="L4552" s="1" t="s">
        <v>1068</v>
      </c>
    </row>
    <row r="4553" customFormat="false" ht="17.15" hidden="false" customHeight="false" outlineLevel="0" collapsed="false">
      <c r="A4553" s="1" t="s">
        <v>1069</v>
      </c>
      <c r="B4553" s="0" t="s">
        <v>98</v>
      </c>
      <c r="D4553" s="6" t="n">
        <f aca="false">Sens!D4549</f>
        <v>128.528</v>
      </c>
      <c r="E4553" s="6" t="n">
        <f aca="false">Sens!E4549</f>
        <v>155.237</v>
      </c>
      <c r="F4553" s="6" t="n">
        <f aca="false">Sens!F4549+Sens!F4552</f>
        <v>189.317891453776</v>
      </c>
      <c r="G4553" s="6" t="n">
        <f aca="false">Sens!G4549+Sens!G4552</f>
        <v>215.000324804024</v>
      </c>
      <c r="H4553" s="6" t="n">
        <f aca="false">Sens!H4549+Sens!H4552</f>
        <v>247.60699493849</v>
      </c>
      <c r="I4553" s="6" t="n">
        <f aca="false">Sens!I4549+Sens!I4552</f>
        <v>277.537455792321</v>
      </c>
      <c r="J4553" s="6" t="n">
        <f aca="false">Sens!J4549+Sens!J4552</f>
        <v>304.109010914551</v>
      </c>
      <c r="K4553" s="6" t="n">
        <f aca="false">Sens!K4549+Sens!K4552</f>
        <v>328.511452907537</v>
      </c>
    </row>
    <row r="4554" customFormat="false" ht="17.15" hidden="false" customHeight="false" outlineLevel="0" collapsed="false">
      <c r="A4554" s="1" t="s">
        <v>1070</v>
      </c>
      <c r="B4554" s="0" t="s">
        <v>98</v>
      </c>
      <c r="E4554" s="6" t="n">
        <f aca="false">Sens!E4497</f>
        <v>19.3175216725</v>
      </c>
      <c r="F4554" s="6" t="n">
        <f aca="false">Sens!F4497</f>
        <v>40.993411475437</v>
      </c>
      <c r="G4554" s="6" t="n">
        <f aca="false">Sens!G4497</f>
        <v>72.0472209870037</v>
      </c>
      <c r="H4554" s="6" t="n">
        <f aca="false">Sens!H4497</f>
        <v>106.403225017643</v>
      </c>
      <c r="I4554" s="6" t="n">
        <f aca="false">Sens!I4497</f>
        <v>137.266077175767</v>
      </c>
      <c r="J4554" s="6" t="n">
        <f aca="false">Sens!J4497</f>
        <v>159.73624944562</v>
      </c>
      <c r="K4554" s="6" t="n">
        <f aca="false">Sens!K4497</f>
        <v>173.177911789639</v>
      </c>
    </row>
    <row r="4555" customFormat="false" ht="17.15" hidden="false" customHeight="false" outlineLevel="0" collapsed="false">
      <c r="A4555" s="1" t="s">
        <v>1071</v>
      </c>
      <c r="B4555" s="0" t="s">
        <v>98</v>
      </c>
      <c r="E4555" s="6" t="n">
        <f aca="false">Sens!E4579</f>
        <v>19.2164783275</v>
      </c>
      <c r="F4555" s="6" t="n">
        <f aca="false">Sens!F4579</f>
        <v>20.869440090538</v>
      </c>
      <c r="G4555" s="6" t="n">
        <f aca="false">Sens!G4579</f>
        <v>22.918536826909</v>
      </c>
      <c r="H4555" s="6" t="n">
        <f aca="false">Sens!H4579</f>
        <v>25.3327376410743</v>
      </c>
      <c r="I4555" s="6" t="n">
        <f aca="false">Sens!I4579</f>
        <v>28.0482032450526</v>
      </c>
      <c r="J4555" s="6" t="n">
        <f aca="false">Sens!J4579</f>
        <v>30.9839543997182</v>
      </c>
      <c r="K4555" s="6" t="n">
        <f aca="false">Sens!K4579</f>
        <v>34.0578066658183</v>
      </c>
    </row>
    <row r="4556" customFormat="false" ht="17.15" hidden="false" customHeight="false" outlineLevel="0" collapsed="false">
      <c r="A4556" s="1" t="s">
        <v>1072</v>
      </c>
      <c r="B4556" s="0" t="s">
        <v>98</v>
      </c>
      <c r="D4556" s="6" t="n">
        <f aca="false">Q!L27</f>
        <v>-4.901</v>
      </c>
      <c r="E4556" s="6" t="n">
        <f aca="false">Q!M27</f>
        <v>10.697</v>
      </c>
      <c r="F4556" s="6" t="n">
        <f aca="false">Q!$I$27+oie_f*(q_per_yr-1)/q_per_yr</f>
        <v>-0.862</v>
      </c>
      <c r="G4556" s="6" t="n">
        <f aca="false">oie_f</f>
        <v>-1.2</v>
      </c>
      <c r="H4556" s="6" t="n">
        <f aca="false">oie_f</f>
        <v>-1.2</v>
      </c>
      <c r="I4556" s="6" t="n">
        <f aca="false">oie_f</f>
        <v>-1.2</v>
      </c>
      <c r="J4556" s="6" t="n">
        <f aca="false">oie_f</f>
        <v>-1.2</v>
      </c>
      <c r="K4556" s="6" t="n">
        <f aca="false">oie_f</f>
        <v>-1.2</v>
      </c>
      <c r="L4556" s="12" t="s">
        <v>1073</v>
      </c>
    </row>
    <row r="4557" customFormat="false" ht="15" hidden="false" customHeight="false" outlineLevel="0" collapsed="false">
      <c r="A4557" s="1" t="s">
        <v>1074</v>
      </c>
      <c r="B4557" s="0" t="s">
        <v>98</v>
      </c>
      <c r="D4557" s="6" t="n">
        <f aca="false">Sens!D4549+Sens!D4556</f>
        <v>123.627</v>
      </c>
      <c r="E4557" s="6" t="n">
        <f aca="false">Sens!E4549+Sens!E4556</f>
        <v>165.934</v>
      </c>
      <c r="F4557" s="6" t="n">
        <f aca="false">Sens!F4549+Sens!F4556</f>
        <v>178.80065251454</v>
      </c>
      <c r="G4557" s="6" t="n">
        <f aca="false">Sens!G4549+Sens!G4556</f>
        <v>188.684793447009</v>
      </c>
      <c r="H4557" s="6" t="n">
        <f aca="false">Sens!H4549+Sens!H4556</f>
        <v>203.961063697709</v>
      </c>
      <c r="I4557" s="6" t="n">
        <f aca="false">Sens!I4549+Sens!I4556</f>
        <v>218.248575154356</v>
      </c>
      <c r="J4557" s="6" t="n">
        <f aca="false">Sens!J4549+Sens!J4556</f>
        <v>233.3240674077</v>
      </c>
      <c r="K4557" s="6" t="n">
        <f aca="false">Sens!K4549+Sens!K4556</f>
        <v>250.764826489778</v>
      </c>
    </row>
    <row r="4558" customFormat="false" ht="15" hidden="false" customHeight="false" outlineLevel="0" collapsed="false">
      <c r="A4558" s="1" t="s">
        <v>1075</v>
      </c>
      <c r="B4558" s="0" t="s">
        <v>98</v>
      </c>
      <c r="D4558" s="6" t="n">
        <f aca="false">Q!L29</f>
        <v>21.795</v>
      </c>
      <c r="E4558" s="6" t="n">
        <f aca="false">Q!M29</f>
        <v>32.185</v>
      </c>
      <c r="F4558" s="6" t="n">
        <f aca="false">Q!$I$29+(Sens!F4557-Q!$I$28)*tax_f</f>
        <v>35.8935305029079</v>
      </c>
      <c r="G4558" s="6" t="n">
        <f aca="false">Sens!G4557*tax_f</f>
        <v>37.7369586894018</v>
      </c>
      <c r="H4558" s="6" t="n">
        <f aca="false">Sens!H4557*tax_f</f>
        <v>40.7922127395418</v>
      </c>
      <c r="I4558" s="6" t="n">
        <f aca="false">Sens!I4557*tax_f</f>
        <v>43.6497150308712</v>
      </c>
      <c r="J4558" s="6" t="n">
        <f aca="false">Sens!J4557*tax_f</f>
        <v>46.66481348154</v>
      </c>
      <c r="K4558" s="6" t="n">
        <f aca="false">Sens!K4557*tax_f</f>
        <v>50.1529652979556</v>
      </c>
    </row>
    <row r="4559" customFormat="false" ht="15" hidden="false" customHeight="false" outlineLevel="0" collapsed="false">
      <c r="A4559" s="1" t="s">
        <v>1076</v>
      </c>
      <c r="B4559" s="0" t="s">
        <v>98</v>
      </c>
      <c r="D4559" s="6" t="n">
        <f aca="false">Sens!D4557-Sens!D4558</f>
        <v>101.832</v>
      </c>
      <c r="E4559" s="6" t="n">
        <f aca="false">Sens!E4557-Sens!E4558</f>
        <v>133.749</v>
      </c>
      <c r="F4559" s="6" t="n">
        <f aca="false">Sens!F4557-Sens!F4558</f>
        <v>142.907122011632</v>
      </c>
      <c r="G4559" s="6" t="n">
        <f aca="false">Sens!G4557-Sens!G4558</f>
        <v>150.947834757607</v>
      </c>
      <c r="H4559" s="6" t="n">
        <f aca="false">Sens!H4557-Sens!H4558</f>
        <v>163.168850958167</v>
      </c>
      <c r="I4559" s="6" t="n">
        <f aca="false">Sens!I4557-Sens!I4558</f>
        <v>174.598860123485</v>
      </c>
      <c r="J4559" s="6" t="n">
        <f aca="false">Sens!J4557-Sens!J4558</f>
        <v>186.65925392616</v>
      </c>
      <c r="K4559" s="6" t="n">
        <f aca="false">Sens!K4557-Sens!K4558</f>
        <v>200.611861191822</v>
      </c>
    </row>
    <row r="4560" customFormat="false" ht="17.15" hidden="false" customHeight="false" outlineLevel="0" collapsed="false">
      <c r="A4560" s="1" t="s">
        <v>1077</v>
      </c>
      <c r="B4560" s="1" t="s">
        <v>81</v>
      </c>
      <c r="D4560" s="15" t="n">
        <f aca="false">Q!L31</f>
        <v>7.465</v>
      </c>
      <c r="E4560" s="15" t="n">
        <f aca="false">Q!M31</f>
        <v>7.453</v>
      </c>
      <c r="F4560" s="15" t="n">
        <f aca="false">Sens!F4604</f>
        <v>7.47152633880227</v>
      </c>
      <c r="G4560" s="15" t="n">
        <f aca="false">Sens!G4604</f>
        <v>7.51455267760454</v>
      </c>
      <c r="H4560" s="15" t="n">
        <f aca="false">Sens!H4604</f>
        <v>7.55730701152536</v>
      </c>
      <c r="I4560" s="15" t="n">
        <f aca="false">Sens!I4604</f>
        <v>7.58404277047285</v>
      </c>
      <c r="J4560" s="15" t="n">
        <f aca="false">Sens!J4604</f>
        <v>7.59819218163532</v>
      </c>
      <c r="K4560" s="15" t="n">
        <f aca="false">Sens!K4604</f>
        <v>7.61462682160057</v>
      </c>
    </row>
    <row r="4561" customFormat="false" ht="17.15" hidden="false" customHeight="false" outlineLevel="0" collapsed="false">
      <c r="A4561" s="0" t="s">
        <v>1078</v>
      </c>
      <c r="B4561" s="0" t="s">
        <v>75</v>
      </c>
      <c r="D4561" s="8" t="n">
        <f aca="false">Sens!D4559/Sens!D4560</f>
        <v>13.641259209645</v>
      </c>
      <c r="E4561" s="8" t="n">
        <f aca="false">Sens!E4559/Sens!E4560</f>
        <v>17.9456594659869</v>
      </c>
      <c r="F4561" s="8" t="n">
        <f aca="false">Sens!F4559/Sens!F4560</f>
        <v>19.1268979765841</v>
      </c>
      <c r="G4561" s="8" t="n">
        <f aca="false">Sens!G4559/Sens!G4560</f>
        <v>20.0874012377974</v>
      </c>
      <c r="H4561" s="8" t="n">
        <f aca="false">Sens!H4559/Sens!H4560</f>
        <v>21.5908723450463</v>
      </c>
      <c r="I4561" s="8" t="n">
        <f aca="false">Sens!I4559/Sens!I4560</f>
        <v>23.0218717651824</v>
      </c>
      <c r="J4561" s="8" t="n">
        <f aca="false">Sens!J4559/Sens!J4560</f>
        <v>24.5662717478128</v>
      </c>
      <c r="K4561" s="8" t="n">
        <f aca="false">Sens!K4559/Sens!K4560</f>
        <v>26.3455932761856</v>
      </c>
      <c r="L4561" s="1" t="s">
        <v>1079</v>
      </c>
    </row>
    <row r="4562" customFormat="false" ht="17.15" hidden="false" customHeight="false" outlineLevel="0" collapsed="false">
      <c r="A4562" s="1" t="s">
        <v>1080</v>
      </c>
      <c r="B4562" s="0" t="s">
        <v>98</v>
      </c>
      <c r="D4562" s="6" t="n">
        <f aca="false">Sens!D4559</f>
        <v>101.832</v>
      </c>
      <c r="E4562" s="6" t="n">
        <f aca="false">Sens!E4559</f>
        <v>133.749</v>
      </c>
      <c r="F4562" s="6" t="n">
        <f aca="false">Sens!F4559+Sens!F4552*(1-tax_f)</f>
        <v>150.631313163021</v>
      </c>
      <c r="G4562" s="6" t="n">
        <f aca="false">Sens!G4559+Sens!G4552*(1-tax_f)</f>
        <v>171.040259843219</v>
      </c>
      <c r="H4562" s="6" t="n">
        <f aca="false">Sens!H4559+Sens!H4552*(1-tax_f)</f>
        <v>197.125595950792</v>
      </c>
      <c r="I4562" s="6" t="n">
        <f aca="false">Sens!I4559+Sens!I4552*(1-tax_f)</f>
        <v>221.069964633857</v>
      </c>
      <c r="J4562" s="6" t="n">
        <f aca="false">Sens!J4559+Sens!J4552*(1-tax_f)</f>
        <v>242.327208731641</v>
      </c>
      <c r="K4562" s="6" t="n">
        <f aca="false">Sens!K4559+Sens!K4552*(1-tax_f)</f>
        <v>261.84916232603</v>
      </c>
    </row>
    <row r="4563" customFormat="false" ht="17.15" hidden="false" customHeight="false" outlineLevel="0" collapsed="false">
      <c r="A4563" s="0" t="s">
        <v>1081</v>
      </c>
      <c r="B4563" s="0" t="s">
        <v>75</v>
      </c>
      <c r="D4563" s="8" t="n">
        <f aca="false">Sens!D4562/Sens!D4560</f>
        <v>13.641259209645</v>
      </c>
      <c r="E4563" s="8" t="n">
        <f aca="false">Sens!E4562/Sens!E4560</f>
        <v>17.9456594659869</v>
      </c>
      <c r="F4563" s="8" t="n">
        <f aca="false">Sens!F4562/Sens!F4560</f>
        <v>20.1607150042073</v>
      </c>
      <c r="G4563" s="8" t="n">
        <f aca="false">Sens!G4562/Sens!G4560</f>
        <v>22.7612031189783</v>
      </c>
      <c r="H4563" s="8" t="n">
        <f aca="false">Sens!H4562/Sens!H4560</f>
        <v>26.0841058395754</v>
      </c>
      <c r="I4563" s="8" t="n">
        <f aca="false">Sens!I4562/Sens!I4560</f>
        <v>29.1493562634633</v>
      </c>
      <c r="J4563" s="8" t="n">
        <f aca="false">Sens!J4562/Sens!J4560</f>
        <v>31.8927453976935</v>
      </c>
      <c r="K4563" s="8" t="n">
        <f aca="false">Sens!K4562/Sens!K4560</f>
        <v>34.3876552929996</v>
      </c>
      <c r="L4563" s="1" t="s">
        <v>1082</v>
      </c>
    </row>
    <row r="4564" customFormat="false" ht="17.15" hidden="false" customHeight="false" outlineLevel="0" collapsed="false">
      <c r="A4564" s="0" t="s">
        <v>1083</v>
      </c>
      <c r="B4564" s="0" t="s">
        <v>168</v>
      </c>
      <c r="E4564" s="7" t="n">
        <f aca="false">Sens!E4563/Sens!D4563-1</f>
        <v>0.315542736208578</v>
      </c>
      <c r="F4564" s="7" t="n">
        <f aca="false">Sens!F4563/Sens!E4563-1</f>
        <v>0.123431269963567</v>
      </c>
      <c r="G4564" s="7" t="n">
        <f aca="false">Sens!G4563/Sens!F4563-1</f>
        <v>0.128987891264188</v>
      </c>
      <c r="H4564" s="7" t="n">
        <f aca="false">Sens!H4563/Sens!G4563-1</f>
        <v>0.145989766148452</v>
      </c>
      <c r="I4564" s="7" t="n">
        <f aca="false">Sens!I4563/Sens!H4563-1</f>
        <v>0.117514107738258</v>
      </c>
      <c r="J4564" s="7" t="n">
        <f aca="false">Sens!J4563/Sens!I4563-1</f>
        <v>0.0941149131882824</v>
      </c>
      <c r="K4564" s="7" t="n">
        <f aca="false">Sens!K4563/Sens!J4563-1</f>
        <v>0.0782281319527467</v>
      </c>
    </row>
    <row r="4565" customFormat="false" ht="17.15" hidden="false" customHeight="false" outlineLevel="0" collapsed="false">
      <c r="A4565" s="0" t="s">
        <v>1003</v>
      </c>
      <c r="B4565" s="0" t="s">
        <v>98</v>
      </c>
      <c r="E4565" s="6" t="n">
        <f aca="false">Sens!E4506</f>
        <v>5.25</v>
      </c>
      <c r="F4565" s="6" t="n">
        <f aca="false">Sens!F4506</f>
        <v>12</v>
      </c>
      <c r="G4565" s="6" t="n">
        <f aca="false">Sens!G4506</f>
        <v>18</v>
      </c>
      <c r="H4565" s="6" t="n">
        <f aca="false">Sens!H4506</f>
        <v>24</v>
      </c>
      <c r="I4565" s="6" t="n">
        <f aca="false">Sens!I4506</f>
        <v>28.5</v>
      </c>
      <c r="J4565" s="6" t="n">
        <f aca="false">Sens!J4506</f>
        <v>31.5</v>
      </c>
      <c r="K4565" s="6" t="n">
        <f aca="false">Sens!K4506</f>
        <v>34.5</v>
      </c>
    </row>
    <row r="4566" customFormat="false" ht="17.15" hidden="false" customHeight="false" outlineLevel="0" collapsed="false">
      <c r="A4566" s="1" t="s">
        <v>1004</v>
      </c>
      <c r="B4566" s="0" t="s">
        <v>98</v>
      </c>
      <c r="F4566" s="6" t="n">
        <f aca="false">MAX(0,((Sens!E4466+Sens!F4466)/2-(shadow_base*(Sens!$D$4466+Sens!$E$4466)/2+(1-shadow_base)*Sens!$E$4466))*Sens!F4475/1000-(Sens!F4565-Sens!$E$4565)*Sens!F4545)</f>
        <v>9.65523893923682</v>
      </c>
      <c r="G4566" s="6" t="n">
        <f aca="false">MAX(0,((Sens!F4466+Sens!G4466)/2-(shadow_base*(Sens!$D$4466+Sens!$E$4466)/2+(1-shadow_base)*Sens!$E$4466))*Sens!G4475/1000-(Sens!G4565-Sens!$E$4565)*Sens!G4545)</f>
        <v>25.115531357015</v>
      </c>
      <c r="H4566" s="6" t="n">
        <f aca="false">MAX(0,((Sens!G4466+Sens!H4466)/2-(shadow_base*(Sens!$D$4466+Sens!$E$4466)/2+(1-shadow_base)*Sens!$E$4466))*Sens!H4475/1000-(Sens!H4565-Sens!$E$4565)*Sens!H4545)</f>
        <v>42.4459312407815</v>
      </c>
      <c r="I4566" s="6" t="n">
        <f aca="false">MAX(0,((Sens!H4466+Sens!I4466)/2-(shadow_base*(Sens!$D$4466+Sens!$E$4466)/2+(1-shadow_base)*Sens!$E$4466))*Sens!I4475/1000-(Sens!I4565-Sens!$E$4565)*Sens!I4545)</f>
        <v>58.0888806379645</v>
      </c>
      <c r="J4566" s="6" t="n">
        <f aca="false">MAX(0,((Sens!I4466+Sens!J4466)/2-(shadow_base*(Sens!$D$4466+Sens!$E$4466)/2+(1-shadow_base)*Sens!$E$4466))*Sens!J4475/1000-(Sens!J4565-Sens!$E$4565)*Sens!J4545)</f>
        <v>69.5849435068506</v>
      </c>
      <c r="K4566" s="6" t="n">
        <f aca="false">MAX(0,((Sens!J4466+Sens!K4466)/2-(shadow_base*(Sens!$D$4466+Sens!$E$4466)/2+(1-shadow_base)*Sens!$E$4466))*Sens!K4475/1000-(Sens!K4565-Sens!$E$4565)*Sens!K4545)</f>
        <v>76.5466264177592</v>
      </c>
      <c r="L4566" s="1" t="s">
        <v>1005</v>
      </c>
    </row>
    <row r="4567" customFormat="false" ht="17.15" hidden="false" customHeight="false" outlineLevel="0" collapsed="false">
      <c r="A4567" s="1" t="s">
        <v>1006</v>
      </c>
      <c r="B4567" s="0" t="s">
        <v>98</v>
      </c>
      <c r="F4567" s="6" t="n">
        <f aca="false">IF(internal_ai_reading=2,1,0)*Sens!F4566</f>
        <v>9.65523893923682</v>
      </c>
      <c r="G4567" s="6" t="n">
        <f aca="false">IF(internal_ai_reading=2,1,0)*Sens!G4566</f>
        <v>25.115531357015</v>
      </c>
      <c r="H4567" s="6" t="n">
        <f aca="false">IF(internal_ai_reading=2,1,0)*Sens!H4566</f>
        <v>42.4459312407815</v>
      </c>
      <c r="I4567" s="6" t="n">
        <f aca="false">IF(internal_ai_reading=2,1,0)*Sens!I4566</f>
        <v>58.0888806379645</v>
      </c>
      <c r="J4567" s="6" t="n">
        <f aca="false">IF(internal_ai_reading=2,1,0)*Sens!J4566</f>
        <v>69.5849435068506</v>
      </c>
      <c r="K4567" s="6" t="n">
        <f aca="false">IF(internal_ai_reading=2,1,0)*Sens!K4566</f>
        <v>76.5466264177592</v>
      </c>
    </row>
    <row r="4568" customFormat="false" ht="17.15" hidden="false" customHeight="false" outlineLevel="0" collapsed="false">
      <c r="A4568" s="0" t="s">
        <v>1007</v>
      </c>
      <c r="B4568" s="0" t="s">
        <v>98</v>
      </c>
      <c r="F4568" s="6" t="n">
        <f aca="false">Sens!F4485+Sens!F4565*Sens!F4545+Sens!F4567-Sens!F4486-Sens!F4497</f>
        <v>8.46698873989203</v>
      </c>
      <c r="G4568" s="6" t="n">
        <f aca="false">Sens!G4485+Sens!G4565*Sens!G4545+Sens!G4567-Sens!G4486-Sens!G4497</f>
        <v>19.7880704226404</v>
      </c>
      <c r="H4568" s="6" t="n">
        <f aca="false">Sens!H4485+Sens!H4565*Sens!H4545+Sens!H4567-Sens!H4486-Sens!H4497</f>
        <v>31.8902407516597</v>
      </c>
      <c r="I4568" s="6" t="n">
        <f aca="false">Sens!I4485+Sens!I4565*Sens!I4545+Sens!I4567-Sens!I4486-Sens!I4497</f>
        <v>41.701314227733</v>
      </c>
      <c r="J4568" s="6" t="n">
        <f aca="false">Sens!J4485+Sens!J4565*Sens!J4545+Sens!J4567-Sens!J4486-Sens!J4497</f>
        <v>49.3309829834081</v>
      </c>
      <c r="K4568" s="6" t="n">
        <f aca="false">Sens!K4485+Sens!K4565*Sens!K4545+Sens!K4567-Sens!K4486-Sens!K4497</f>
        <v>56.7846241659571</v>
      </c>
    </row>
    <row r="4569" customFormat="false" ht="17.15" hidden="false" customHeight="false" outlineLevel="0" collapsed="false">
      <c r="A4569" s="0" t="s">
        <v>1008</v>
      </c>
      <c r="B4569" s="0" t="s">
        <v>98</v>
      </c>
      <c r="E4569" s="6" t="n">
        <f aca="false">Sens!E4465*(cxit_open+self_build*tk_cxfac)/1000*ai_net_open</f>
        <v>126.6980382</v>
      </c>
      <c r="F4569" s="6" t="n">
        <f aca="false">Sens!E4569+Sens!F4494-Sens!F4497</f>
        <v>254.158530766683</v>
      </c>
      <c r="G4569" s="6" t="n">
        <f aca="false">Sens!F4569+Sens!G4494-Sens!G4497</f>
        <v>374.055785428727</v>
      </c>
      <c r="H4569" s="6" t="n">
        <f aca="false">Sens!G4569+Sens!H4494-Sens!H4497</f>
        <v>493.619309235596</v>
      </c>
      <c r="I4569" s="6" t="n">
        <f aca="false">Sens!H4569+Sens!I4494-Sens!I4497</f>
        <v>539.84599668144</v>
      </c>
      <c r="J4569" s="6" t="n">
        <f aca="false">Sens!I4569+Sens!J4494-Sens!J4497</f>
        <v>552.48323695176</v>
      </c>
      <c r="K4569" s="6" t="n">
        <f aca="false">Sens!J4569+Sens!K4494-Sens!K4497</f>
        <v>560.787333150366</v>
      </c>
      <c r="L4569" s="1" t="s">
        <v>1009</v>
      </c>
    </row>
    <row r="4570" customFormat="false" ht="17.15" hidden="false" customHeight="false" outlineLevel="0" collapsed="false">
      <c r="A4570" s="0" t="s">
        <v>1010</v>
      </c>
      <c r="B4570" s="0" t="s">
        <v>168</v>
      </c>
      <c r="F4570" s="7" t="n">
        <f aca="false">Sens!F4568*(1-tax_f)/((Sens!E4569+Sens!F4569)/2)</f>
        <v>0.0355702988675833</v>
      </c>
      <c r="G4570" s="7" t="n">
        <f aca="false">Sens!G4568*(1-tax_f)/((Sens!F4569+Sens!G4569)/2)</f>
        <v>0.0503982667379653</v>
      </c>
      <c r="H4570" s="7" t="n">
        <f aca="false">Sens!H4568*(1-tax_f)/((Sens!G4569+Sens!H4569)/2)</f>
        <v>0.0588058658320662</v>
      </c>
      <c r="I4570" s="7" t="n">
        <f aca="false">Sens!I4568*(1-tax_f)/((Sens!H4569+Sens!I4569)/2)</f>
        <v>0.0645615313667135</v>
      </c>
      <c r="J4570" s="7" t="n">
        <f aca="false">Sens!J4568*(1-tax_f)/((Sens!I4569+Sens!J4569)/2)</f>
        <v>0.0722580430360955</v>
      </c>
      <c r="K4570" s="7" t="n">
        <f aca="false">Sens!K4568*(1-tax_f)/((Sens!J4569+Sens!K4569)/2)</f>
        <v>0.0816112462733985</v>
      </c>
    </row>
    <row r="4571" customFormat="false" ht="17.15" hidden="false" customHeight="false" outlineLevel="0" collapsed="false">
      <c r="A4571" s="1" t="s">
        <v>1011</v>
      </c>
      <c r="B4571" s="0" t="s">
        <v>168</v>
      </c>
      <c r="F4571" s="7" t="n">
        <f aca="false">(Sens!F4568-Sens!F4567)*(1-tax_f)/((Sens!E4569+Sens!F4569)/2)</f>
        <v>-0.0049919063339511</v>
      </c>
      <c r="G4571" s="7" t="n">
        <f aca="false">(Sens!G4568-Sens!G4567)*(1-tax_f)/((Sens!F4569+Sens!G4569)/2)</f>
        <v>-0.0135685183786035</v>
      </c>
      <c r="H4571" s="7" t="n">
        <f aca="false">(Sens!H4568-Sens!H4567)*(1-tax_f)/((Sens!G4569+Sens!H4569)/2)</f>
        <v>-0.0194647799463793</v>
      </c>
      <c r="I4571" s="7" t="n">
        <f aca="false">(Sens!I4568-Sens!I4567)*(1-tax_f)/((Sens!H4569+Sens!I4569)/2)</f>
        <v>-0.0253710561024632</v>
      </c>
      <c r="J4571" s="7" t="n">
        <f aca="false">(Sens!J4568-Sens!J4567)*(1-tax_f)/((Sens!I4569+Sens!J4569)/2)</f>
        <v>-0.0296671880965057</v>
      </c>
      <c r="K4571" s="7" t="n">
        <f aca="false">(Sens!K4568-Sens!K4567)*(1-tax_f)/((Sens!J4569+Sens!K4569)/2)</f>
        <v>-0.0284020834216274</v>
      </c>
    </row>
    <row r="4572" customFormat="false" ht="17.15" hidden="false" customHeight="false" outlineLevel="0" collapsed="false">
      <c r="A4572" s="1" t="s">
        <v>1012</v>
      </c>
      <c r="B4572" s="0" t="s">
        <v>168</v>
      </c>
      <c r="F4572" s="7" t="n">
        <f aca="false">(Sens!F4568-Sens!F4567+Sens!F4566)*(1-tax_f)/((Sens!E4569+Sens!F4569)/2)</f>
        <v>0.0355702988675833</v>
      </c>
      <c r="G4572" s="7" t="n">
        <f aca="false">(Sens!G4568-Sens!G4567+Sens!G4566)*(1-tax_f)/((Sens!F4569+Sens!G4569)/2)</f>
        <v>0.0503982667379653</v>
      </c>
      <c r="H4572" s="7" t="n">
        <f aca="false">(Sens!H4568-Sens!H4567+Sens!H4566)*(1-tax_f)/((Sens!G4569+Sens!H4569)/2)</f>
        <v>0.0588058658320662</v>
      </c>
      <c r="I4572" s="7" t="n">
        <f aca="false">(Sens!I4568-Sens!I4567+Sens!I4566)*(1-tax_f)/((Sens!H4569+Sens!I4569)/2)</f>
        <v>0.0645615313667135</v>
      </c>
      <c r="J4572" s="7" t="n">
        <f aca="false">(Sens!J4568-Sens!J4567+Sens!J4566)*(1-tax_f)/((Sens!I4569+Sens!J4569)/2)</f>
        <v>0.0722580430360955</v>
      </c>
      <c r="K4572" s="7" t="n">
        <f aca="false">(Sens!K4568-Sens!K4567+Sens!K4566)*(1-tax_f)/((Sens!J4569+Sens!K4569)/2)</f>
        <v>0.0816112462733985</v>
      </c>
    </row>
    <row r="4573" customFormat="false" ht="17.15" hidden="false" customHeight="false" outlineLevel="0" collapsed="false">
      <c r="A4573" s="1" t="s">
        <v>1013</v>
      </c>
      <c r="B4573" s="0" t="s">
        <v>168</v>
      </c>
      <c r="F4573" s="7" t="n">
        <f aca="false">Sens!F4498*(1-tax_f)/(Sens!F4484*(Sens!E4569+Sens!F4569)/2)</f>
        <v>0.104526331328181</v>
      </c>
      <c r="G4573" s="7" t="n">
        <f aca="false">Sens!G4498*(1-tax_f)/(Sens!G4484*(Sens!F4569+Sens!G4569)/2)</f>
        <v>0.103271448688217</v>
      </c>
      <c r="H4573" s="7" t="n">
        <f aca="false">Sens!H4498*(1-tax_f)/(Sens!H4484*(Sens!G4569+Sens!H4569)/2)</f>
        <v>0.105259075900966</v>
      </c>
      <c r="I4573" s="7" t="n">
        <f aca="false">Sens!I4498*(1-tax_f)/(Sens!I4484*(Sens!H4569+Sens!I4569)/2)</f>
        <v>0.109328381446824</v>
      </c>
      <c r="J4573" s="7" t="n">
        <f aca="false">Sens!J4498*(1-tax_f)/(Sens!J4484*(Sens!I4569+Sens!J4569)/2)</f>
        <v>0.118877922365848</v>
      </c>
      <c r="K4573" s="7" t="n">
        <f aca="false">Sens!K4498*(1-tax_f)/(Sens!K4484*(Sens!J4569+Sens!K4569)/2)</f>
        <v>0.130731234496236</v>
      </c>
    </row>
    <row r="4574" customFormat="false" ht="17.15" hidden="false" customHeight="false" outlineLevel="0" collapsed="false">
      <c r="A4574" s="0" t="s">
        <v>1014</v>
      </c>
      <c r="B4574" s="0" t="s">
        <v>253</v>
      </c>
      <c r="F4574" s="7" t="n">
        <f aca="false">Sens!F4570-wacc</f>
        <v>-0.067366292078014</v>
      </c>
      <c r="G4574" s="7" t="n">
        <f aca="false">Sens!G4570-wacc</f>
        <v>-0.052538324207632</v>
      </c>
      <c r="H4574" s="7" t="n">
        <f aca="false">Sens!H4570-wacc</f>
        <v>-0.0441307251135311</v>
      </c>
      <c r="I4574" s="7" t="n">
        <f aca="false">Sens!I4570-wacc</f>
        <v>-0.0383750595788838</v>
      </c>
      <c r="J4574" s="7" t="n">
        <f aca="false">Sens!J4570-wacc</f>
        <v>-0.0306785479095018</v>
      </c>
      <c r="K4574" s="7" t="n">
        <f aca="false">Sens!K4570-wacc</f>
        <v>-0.0213253446721988</v>
      </c>
    </row>
    <row r="4575" customFormat="false" ht="17.15" hidden="false" customHeight="false" outlineLevel="0" collapsed="false">
      <c r="A4575" s="0" t="s">
        <v>1015</v>
      </c>
      <c r="B4575" s="0" t="s">
        <v>98</v>
      </c>
      <c r="F4575" s="6" t="n">
        <f aca="false">Sens!F4568*(1-tax_f)-wacc*(Sens!E4569+Sens!F4569)/2</f>
        <v>-12.8284474324199</v>
      </c>
      <c r="G4575" s="6" t="n">
        <f aca="false">Sens!G4568*(1-tax_f)-wacc*(Sens!F4569+Sens!G4569)/2</f>
        <v>-16.5026637080751</v>
      </c>
      <c r="H4575" s="6" t="n">
        <f aca="false">Sens!H4568*(1-tax_f)-wacc*(Sens!G4569+Sens!H4569)/2</f>
        <v>-19.1455655452442</v>
      </c>
      <c r="I4575" s="6" t="n">
        <f aca="false">Sens!I4568*(1-tax_f)-wacc*(Sens!H4569+Sens!I4569)/2</f>
        <v>-19.8296463436378</v>
      </c>
      <c r="J4575" s="6" t="n">
        <f aca="false">Sens!J4568*(1-tax_f)-wacc*(Sens!I4569+Sens!J4569)/2</f>
        <v>-16.7555373634827</v>
      </c>
      <c r="K4575" s="6" t="n">
        <f aca="false">Sens!K4568*(1-tax_f)-wacc*(Sens!J4569+Sens!K4569)/2</f>
        <v>-11.8704393104215</v>
      </c>
    </row>
    <row r="4576" customFormat="false" ht="17.15" hidden="false" customHeight="false" outlineLevel="0" collapsed="false">
      <c r="A4576" s="3" t="s">
        <v>1593</v>
      </c>
    </row>
    <row r="4577" customFormat="false" ht="15" hidden="false" customHeight="false" outlineLevel="0" collapsed="false">
      <c r="A4577" s="4" t="s">
        <v>43</v>
      </c>
      <c r="B4577" s="4" t="s">
        <v>65</v>
      </c>
      <c r="C4577" s="23" t="s">
        <v>938</v>
      </c>
      <c r="D4577" s="23" t="s">
        <v>939</v>
      </c>
      <c r="E4577" s="23" t="s">
        <v>940</v>
      </c>
      <c r="F4577" s="23" t="s">
        <v>941</v>
      </c>
      <c r="G4577" s="23" t="s">
        <v>942</v>
      </c>
      <c r="H4577" s="23" t="s">
        <v>943</v>
      </c>
      <c r="I4577" s="23" t="s">
        <v>944</v>
      </c>
      <c r="J4577" s="23" t="s">
        <v>945</v>
      </c>
      <c r="K4577" s="23" t="s">
        <v>946</v>
      </c>
      <c r="L4577" s="4" t="s">
        <v>47</v>
      </c>
    </row>
    <row r="4578" customFormat="false" ht="15" hidden="false" customHeight="false" outlineLevel="0" collapsed="false">
      <c r="A4578" s="1" t="s">
        <v>1076</v>
      </c>
      <c r="B4578" s="0" t="s">
        <v>98</v>
      </c>
      <c r="F4578" s="6" t="n">
        <f aca="false">Sens!F4559</f>
        <v>142.907122011632</v>
      </c>
      <c r="G4578" s="6" t="n">
        <f aca="false">Sens!G4559</f>
        <v>150.947834757607</v>
      </c>
      <c r="H4578" s="6" t="n">
        <f aca="false">Sens!H4559</f>
        <v>163.168850958167</v>
      </c>
      <c r="I4578" s="6" t="n">
        <f aca="false">Sens!I4559</f>
        <v>174.598860123485</v>
      </c>
      <c r="J4578" s="6" t="n">
        <f aca="false">Sens!J4559</f>
        <v>186.65925392616</v>
      </c>
      <c r="K4578" s="6" t="n">
        <f aca="false">Sens!K4559</f>
        <v>200.611861191822</v>
      </c>
    </row>
    <row r="4579" customFormat="false" ht="17.15" hidden="false" customHeight="false" outlineLevel="0" collapsed="false">
      <c r="A4579" s="1" t="s">
        <v>1098</v>
      </c>
      <c r="B4579" s="0" t="s">
        <v>98</v>
      </c>
      <c r="E4579" s="6" t="n">
        <f aca="false">Q!M38-Sens!E4497</f>
        <v>19.2164783275</v>
      </c>
      <c r="F4579" s="6" t="n">
        <f aca="false">Sens!E4579*(1-1/life_nonai)+(Sens!F4587+Sens!F4588)/life_nonai</f>
        <v>20.869440090538</v>
      </c>
      <c r="G4579" s="6" t="n">
        <f aca="false">Sens!F4579*(1-1/life_nonai)+(Sens!G4587)/life_nonai</f>
        <v>22.918536826909</v>
      </c>
      <c r="H4579" s="6" t="n">
        <f aca="false">Sens!G4579*(1-1/life_nonai)+(Sens!H4587)/life_nonai</f>
        <v>25.3327376410743</v>
      </c>
      <c r="I4579" s="6" t="n">
        <f aca="false">Sens!H4579*(1-1/life_nonai)+(Sens!I4587)/life_nonai</f>
        <v>28.0482032450526</v>
      </c>
      <c r="J4579" s="6" t="n">
        <f aca="false">Sens!I4579*(1-1/life_nonai)+(Sens!J4587)/life_nonai</f>
        <v>30.9839543997182</v>
      </c>
      <c r="K4579" s="6" t="n">
        <f aca="false">Sens!J4579*(1-1/life_nonai)+(Sens!K4587)/life_nonai</f>
        <v>34.0578066658183</v>
      </c>
      <c r="L4579" s="12" t="s">
        <v>1099</v>
      </c>
    </row>
    <row r="4580" customFormat="false" ht="17.15" hidden="false" customHeight="false" outlineLevel="0" collapsed="false">
      <c r="A4580" s="1" t="s">
        <v>1100</v>
      </c>
      <c r="B4580" s="0" t="s">
        <v>98</v>
      </c>
      <c r="F4580" s="6" t="n">
        <f aca="false">Sens!$F$4588/life_nonai*(1-1/life_nonai)^(Sens!F4460-2027)</f>
        <v>1.94586576753864E-006</v>
      </c>
      <c r="G4580" s="6" t="n">
        <f aca="false">Sens!$F$4588/life_nonai*(1-1/life_nonai)^(Sens!G4460-2027)</f>
        <v>1.75127919078477E-006</v>
      </c>
      <c r="H4580" s="6" t="n">
        <f aca="false">Sens!$F$4588/life_nonai*(1-1/life_nonai)^(Sens!H4460-2027)</f>
        <v>1.57615127170629E-006</v>
      </c>
      <c r="I4580" s="6" t="n">
        <f aca="false">Sens!$F$4588/life_nonai*(1-1/life_nonai)^(Sens!I4460-2027)</f>
        <v>1.41853614453567E-006</v>
      </c>
      <c r="J4580" s="6" t="n">
        <f aca="false">Sens!$F$4588/life_nonai*(1-1/life_nonai)^(Sens!J4460-2027)</f>
        <v>1.2766825300821E-006</v>
      </c>
      <c r="K4580" s="6" t="n">
        <f aca="false">Sens!$F$4588/life_nonai*(1-1/life_nonai)^(Sens!K4460-2027)</f>
        <v>1.14901427707389E-006</v>
      </c>
      <c r="L4580" s="1" t="s">
        <v>1101</v>
      </c>
    </row>
    <row r="4581" customFormat="false" ht="17.15" hidden="false" customHeight="false" outlineLevel="0" collapsed="false">
      <c r="A4581" s="1" t="s">
        <v>1102</v>
      </c>
      <c r="B4581" s="0" t="s">
        <v>98</v>
      </c>
      <c r="E4581" s="6" t="n">
        <f aca="false">Sens!E4497+Sens!E4579</f>
        <v>38.534</v>
      </c>
      <c r="F4581" s="6" t="n">
        <f aca="false">Sens!F4497+Sens!F4579</f>
        <v>61.862851565975</v>
      </c>
      <c r="G4581" s="6" t="n">
        <f aca="false">Sens!G4497+Sens!G4579</f>
        <v>94.9657578139128</v>
      </c>
      <c r="H4581" s="6" t="n">
        <f aca="false">Sens!H4497+Sens!H4579</f>
        <v>131.735962658717</v>
      </c>
      <c r="I4581" s="6" t="n">
        <f aca="false">Sens!I4497+Sens!I4579</f>
        <v>165.31428042082</v>
      </c>
      <c r="J4581" s="6" t="n">
        <f aca="false">Sens!J4497+Sens!J4579</f>
        <v>190.720203845338</v>
      </c>
      <c r="K4581" s="6" t="n">
        <f aca="false">Sens!K4497+Sens!K4579</f>
        <v>207.235718455457</v>
      </c>
    </row>
    <row r="4582" customFormat="false" ht="17.15" hidden="false" customHeight="false" outlineLevel="0" collapsed="false">
      <c r="A4582" s="1" t="s">
        <v>1103</v>
      </c>
      <c r="B4582" s="0" t="s">
        <v>98</v>
      </c>
      <c r="F4582" s="6" t="n">
        <f aca="false">Sens!F4524*sbc_r</f>
        <v>14.9175438377464</v>
      </c>
      <c r="G4582" s="6" t="n">
        <f aca="false">Sens!G4524*sbc_r</f>
        <v>17.8119838712421</v>
      </c>
      <c r="H4582" s="6" t="n">
        <f aca="false">Sens!H4524*sbc_r</f>
        <v>20.8114139173655</v>
      </c>
      <c r="I4582" s="6" t="n">
        <f aca="false">Sens!I4524*sbc_r</f>
        <v>23.5539497125089</v>
      </c>
      <c r="J4582" s="6" t="n">
        <f aca="false">Sens!J4524*sbc_r</f>
        <v>25.843928469498</v>
      </c>
      <c r="K4582" s="6" t="n">
        <f aca="false">Sens!K4524*sbc_r</f>
        <v>27.7256334891241</v>
      </c>
    </row>
    <row r="4583" customFormat="false" ht="17.15" hidden="false" customHeight="false" outlineLevel="0" collapsed="false">
      <c r="A4583" s="1" t="s">
        <v>1104</v>
      </c>
      <c r="B4583" s="0" t="s">
        <v>98</v>
      </c>
      <c r="F4583" s="6" t="n">
        <f aca="false">wc27-wc26q1</f>
        <v>-4.677</v>
      </c>
      <c r="G4583" s="6" t="n">
        <f aca="false">wc_f</f>
        <v>0</v>
      </c>
      <c r="H4583" s="6" t="n">
        <f aca="false">wc_f</f>
        <v>0</v>
      </c>
      <c r="I4583" s="6" t="n">
        <f aca="false">wc_f</f>
        <v>0</v>
      </c>
      <c r="J4583" s="6" t="n">
        <f aca="false">wc_f</f>
        <v>0</v>
      </c>
      <c r="K4583" s="6" t="n">
        <f aca="false">wc_f</f>
        <v>0</v>
      </c>
      <c r="L4583" s="12" t="s">
        <v>1105</v>
      </c>
    </row>
    <row r="4584" customFormat="false" ht="17.15" hidden="false" customHeight="false" outlineLevel="0" collapsed="false">
      <c r="A4584" s="0" t="s">
        <v>1106</v>
      </c>
      <c r="B4584" s="0" t="s">
        <v>98</v>
      </c>
      <c r="F4584" s="6" t="n">
        <f aca="false">Q!$I$35-Q!$I$26-Q!$I$38-Q!$I$39</f>
        <v>6.493</v>
      </c>
      <c r="L4584" s="1" t="s">
        <v>1107</v>
      </c>
    </row>
    <row r="4585" customFormat="false" ht="15" hidden="false" customHeight="false" outlineLevel="0" collapsed="false">
      <c r="A4585" s="1" t="s">
        <v>904</v>
      </c>
      <c r="B4585" s="0" t="s">
        <v>98</v>
      </c>
      <c r="E4585" s="6" t="n">
        <f aca="false">Q!M35</f>
        <v>182.935</v>
      </c>
      <c r="F4585" s="6" t="n">
        <f aca="false">Sens!F4578+Sens!F4581+Sens!F4582+Sens!F4583+Sens!F4584</f>
        <v>221.503517415353</v>
      </c>
      <c r="G4585" s="6" t="n">
        <f aca="false">Sens!G4578+Sens!G4581+Sens!G4582+Sens!G4583</f>
        <v>263.725576442762</v>
      </c>
      <c r="H4585" s="6" t="n">
        <f aca="false">Sens!H4578+Sens!H4581+Sens!H4582+Sens!H4583</f>
        <v>315.71622753425</v>
      </c>
      <c r="I4585" s="6" t="n">
        <f aca="false">Sens!I4578+Sens!I4581+Sens!I4582+Sens!I4583</f>
        <v>363.467090256814</v>
      </c>
      <c r="J4585" s="6" t="n">
        <f aca="false">Sens!J4578+Sens!J4581+Sens!J4582+Sens!J4583</f>
        <v>403.223386240996</v>
      </c>
      <c r="K4585" s="6" t="n">
        <f aca="false">Sens!K4578+Sens!K4581+Sens!K4582+Sens!K4583</f>
        <v>435.573213136404</v>
      </c>
    </row>
    <row r="4586" customFormat="false" ht="17.15" hidden="false" customHeight="false" outlineLevel="0" collapsed="false">
      <c r="A4586" s="0" t="s">
        <v>1108</v>
      </c>
      <c r="B4586" s="0" t="s">
        <v>98</v>
      </c>
      <c r="F4586" s="6" t="n">
        <f aca="false">Sens!F4494</f>
        <v>168.45390404212</v>
      </c>
      <c r="G4586" s="6" t="n">
        <f aca="false">Sens!G4494</f>
        <v>191.944475649048</v>
      </c>
      <c r="H4586" s="6" t="n">
        <f aca="false">Sens!H4494</f>
        <v>225.966748824512</v>
      </c>
      <c r="I4586" s="6" t="n">
        <f aca="false">Sens!I4494</f>
        <v>183.49276462161</v>
      </c>
      <c r="J4586" s="6" t="n">
        <f aca="false">Sens!J4494</f>
        <v>172.37348971594</v>
      </c>
      <c r="K4586" s="6" t="n">
        <f aca="false">Sens!K4494</f>
        <v>181.482007988245</v>
      </c>
    </row>
    <row r="4587" customFormat="false" ht="17.15" hidden="false" customHeight="false" outlineLevel="0" collapsed="false">
      <c r="A4587" s="1" t="s">
        <v>1109</v>
      </c>
      <c r="B4587" s="0" t="s">
        <v>98</v>
      </c>
      <c r="E4587" s="6" t="n">
        <f aca="false">Sens!E4502*cx_azo+Sens!E4509*cx_m365+Sens!E4510*cx_lic+(Sens!E4512+Sens!E4514)*cx_ind+Sens!E4517*cx_srch+(Sens!E4519+Sens!E4521)*cx_dev</f>
        <v>30.1846587067718</v>
      </c>
      <c r="F4587" s="6" t="n">
        <f aca="false">Sens!F4502*cx_azo+Sens!F4509*cx_m365+Sens!F4510*cx_lic+(Sens!F4512+Sens!F4514)*cx_ind+Sens!F4517*cx_srch+(Sens!F4519+Sens!F4521)*cx_dev</f>
        <v>35.7460764992227</v>
      </c>
      <c r="G4587" s="6" t="n">
        <f aca="false">Sens!G4502*cx_azo+Sens!G4509*cx_m365+Sens!G4510*cx_lic+(Sens!G4512+Sens!G4514)*cx_ind+Sens!G4517*cx_srch+(Sens!G4519+Sens!G4521)*cx_dev</f>
        <v>41.360407454248</v>
      </c>
      <c r="H4587" s="6" t="n">
        <f aca="false">Sens!H4502*cx_azo+Sens!H4509*cx_m365+Sens!H4510*cx_lic+(Sens!H4512+Sens!H4514)*cx_ind+Sens!H4517*cx_srch+(Sens!H4519+Sens!H4521)*cx_dev</f>
        <v>47.0605449685615</v>
      </c>
      <c r="I4587" s="6" t="n">
        <f aca="false">Sens!I4502*cx_azo+Sens!I4509*cx_m365+Sens!I4510*cx_lic+(Sens!I4512+Sens!I4514)*cx_ind+Sens!I4517*cx_srch+(Sens!I4519+Sens!I4521)*cx_dev</f>
        <v>52.4873936808571</v>
      </c>
      <c r="J4587" s="6" t="n">
        <f aca="false">Sens!J4502*cx_azo+Sens!J4509*cx_m365+Sens!J4510*cx_lic+(Sens!J4512+Sens!J4514)*cx_ind+Sens!J4517*cx_srch+(Sens!J4519+Sens!J4521)*cx_dev</f>
        <v>57.4057147917091</v>
      </c>
      <c r="K4587" s="6" t="n">
        <f aca="false">Sens!K4502*cx_azo+Sens!K4509*cx_m365+Sens!K4510*cx_lic+(Sens!K4512+Sens!K4514)*cx_ind+Sens!K4517*cx_srch+(Sens!K4519+Sens!K4521)*cx_dev</f>
        <v>61.7224770607185</v>
      </c>
    </row>
    <row r="4588" customFormat="false" ht="17.15" hidden="false" customHeight="false" outlineLevel="0" collapsed="false">
      <c r="A4588" s="0" t="s">
        <v>1110</v>
      </c>
      <c r="B4588" s="0" t="s">
        <v>98</v>
      </c>
      <c r="F4588" s="6" t="n">
        <f aca="false">Sens!F4492</f>
        <v>1.94586576753863E-005</v>
      </c>
      <c r="L4588" s="1" t="s">
        <v>1111</v>
      </c>
    </row>
    <row r="4589" customFormat="false" ht="17.15" hidden="false" customHeight="false" outlineLevel="0" collapsed="false">
      <c r="A4589" s="1" t="s">
        <v>1112</v>
      </c>
      <c r="B4589" s="0" t="s">
        <v>98</v>
      </c>
      <c r="E4589" s="6" t="n">
        <f aca="false">Q!M43</f>
        <v>145.3</v>
      </c>
      <c r="F4589" s="6" t="n">
        <f aca="false">Sens!F4586+Sens!F4587+Sens!F4588</f>
        <v>204.2</v>
      </c>
      <c r="G4589" s="6" t="n">
        <f aca="false">Sens!G4586+Sens!G4587</f>
        <v>233.304883103296</v>
      </c>
      <c r="H4589" s="6" t="n">
        <f aca="false">Sens!H4586+Sens!H4587</f>
        <v>273.027293793074</v>
      </c>
      <c r="I4589" s="6" t="n">
        <f aca="false">Sens!I4586+Sens!I4587</f>
        <v>235.980158302467</v>
      </c>
      <c r="J4589" s="6" t="n">
        <f aca="false">Sens!J4586+Sens!J4587</f>
        <v>229.77920450765</v>
      </c>
      <c r="K4589" s="6" t="n">
        <f aca="false">Sens!K4586+Sens!K4587</f>
        <v>243.204485048964</v>
      </c>
      <c r="L4589" s="1" t="s">
        <v>1113</v>
      </c>
    </row>
    <row r="4590" customFormat="false" ht="15" hidden="false" customHeight="false" outlineLevel="0" collapsed="false">
      <c r="A4590" s="1" t="s">
        <v>1114</v>
      </c>
      <c r="B4590" s="0" t="s">
        <v>98</v>
      </c>
      <c r="E4590" s="6" t="n">
        <f aca="false">fl_liab</f>
        <v>66.594</v>
      </c>
      <c r="F4590" s="6" t="n">
        <f aca="false">Sens!E4590-Sens!F4591</f>
        <v>62.46973</v>
      </c>
      <c r="G4590" s="6" t="n">
        <f aca="false">Sens!F4590-Sens!G4591</f>
        <v>57.98686785</v>
      </c>
      <c r="H4590" s="6" t="n">
        <f aca="false">Sens!G4590-Sens!H4591</f>
        <v>53.92827690325</v>
      </c>
      <c r="I4590" s="6" t="n">
        <f aca="false">Sens!H4590-Sens!I4591</f>
        <v>49.7850493638962</v>
      </c>
      <c r="J4590" s="6" t="n">
        <f aca="false">Sens!I4590-Sens!J4591</f>
        <v>45.4823765852716</v>
      </c>
      <c r="K4590" s="6" t="n">
        <f aca="false">Sens!J4590-Sens!K4591</f>
        <v>40.9860835316088</v>
      </c>
    </row>
    <row r="4591" customFormat="false" ht="15" hidden="false" customHeight="false" outlineLevel="0" collapsed="false">
      <c r="A4591" s="1" t="s">
        <v>1115</v>
      </c>
      <c r="B4591" s="0" t="s">
        <v>98</v>
      </c>
      <c r="F4591" s="6" t="n">
        <f aca="false">fl_pay_27-Sens!E4590*fl_rate</f>
        <v>4.12427</v>
      </c>
      <c r="G4591" s="6" t="n">
        <f aca="false">fl_pay_28-Sens!F4590*fl_rate</f>
        <v>4.48286215</v>
      </c>
      <c r="H4591" s="6" t="n">
        <f aca="false">fl_pay_29-Sens!G4590*fl_rate</f>
        <v>4.05859094675</v>
      </c>
      <c r="I4591" s="6" t="n">
        <f aca="false">fl_pay_30-Sens!H4590*fl_rate</f>
        <v>4.14322753935375</v>
      </c>
      <c r="J4591" s="6" t="n">
        <f aca="false">fl_pay_31-Sens!I4590*fl_rate</f>
        <v>4.30267277862467</v>
      </c>
      <c r="K4591" s="6" t="n">
        <f aca="false">fl_pay_32-Sens!J4590*fl_rate</f>
        <v>4.49629305366278</v>
      </c>
    </row>
    <row r="4592" customFormat="false" ht="17.15" hidden="false" customHeight="false" outlineLevel="0" collapsed="false">
      <c r="A4592" s="1" t="s">
        <v>1116</v>
      </c>
      <c r="B4592" s="0" t="s">
        <v>98</v>
      </c>
      <c r="E4592" s="6" t="n">
        <f aca="false">Q!M35-Q!M36-Q!M44</f>
        <v>63.886</v>
      </c>
      <c r="F4592" s="6" t="n">
        <f aca="false">Sens!F4585-Sens!F4589-Sens!F4591</f>
        <v>13.179247415353</v>
      </c>
      <c r="G4592" s="6" t="n">
        <f aca="false">Sens!G4585-Sens!G4589-Sens!G4591</f>
        <v>25.9378311894659</v>
      </c>
      <c r="H4592" s="6" t="n">
        <f aca="false">Sens!H4585-Sens!H4589-Sens!H4591</f>
        <v>38.6303427944262</v>
      </c>
      <c r="I4592" s="6" t="n">
        <f aca="false">Sens!I4585-Sens!I4589-Sens!I4591</f>
        <v>123.343704414992</v>
      </c>
      <c r="J4592" s="6" t="n">
        <f aca="false">Sens!J4585-Sens!J4589-Sens!J4591</f>
        <v>169.141508954722</v>
      </c>
      <c r="K4592" s="6" t="n">
        <f aca="false">Sens!K4585-Sens!K4589-Sens!K4591</f>
        <v>187.872435033777</v>
      </c>
      <c r="L4592" s="12" t="s">
        <v>1117</v>
      </c>
    </row>
    <row r="4593" customFormat="false" ht="15" hidden="false" customHeight="false" outlineLevel="0" collapsed="false">
      <c r="A4593" s="1" t="s">
        <v>1118</v>
      </c>
      <c r="B4593" s="0" t="s">
        <v>75</v>
      </c>
      <c r="F4593" s="8" t="n">
        <f aca="false">dps_27</f>
        <v>3.85</v>
      </c>
      <c r="G4593" s="8" t="n">
        <f aca="false">Sens!F4593*(1+dps_g)</f>
        <v>4.158</v>
      </c>
      <c r="H4593" s="8" t="n">
        <f aca="false">Sens!G4593*(1+dps_g)</f>
        <v>4.49064</v>
      </c>
      <c r="I4593" s="8" t="n">
        <f aca="false">Sens!H4593*(1+dps_g)</f>
        <v>4.8498912</v>
      </c>
      <c r="J4593" s="8" t="n">
        <f aca="false">Sens!I4593*(1+dps_g)</f>
        <v>5.237882496</v>
      </c>
      <c r="K4593" s="8" t="n">
        <f aca="false">Sens!J4593*(1+dps_g)</f>
        <v>5.65691309568</v>
      </c>
    </row>
    <row r="4594" customFormat="false" ht="17.15" hidden="false" customHeight="false" outlineLevel="0" collapsed="false">
      <c r="A4594" s="1" t="s">
        <v>1119</v>
      </c>
      <c r="B4594" s="0" t="s">
        <v>98</v>
      </c>
      <c r="E4594" s="6" t="n">
        <f aca="false">Q!M41</f>
        <v>26.445</v>
      </c>
      <c r="F4594" s="6" t="n">
        <f aca="false">Sens!F4593*Sens!E4603</f>
        <v>28.59395</v>
      </c>
      <c r="G4594" s="6" t="n">
        <f aca="false">Sens!G4593*Sens!F4603</f>
        <v>31.0521630334797</v>
      </c>
      <c r="H4594" s="6" t="n">
        <f aca="false">Sens!H4593*Sens!G4603</f>
        <v>33.738414876158</v>
      </c>
      <c r="I4594" s="6" t="n">
        <f aca="false">Sens!I4593*Sens!H4603</f>
        <v>36.6339506979396</v>
      </c>
      <c r="J4594" s="6" t="n">
        <f aca="false">Sens!J4593*Sens!I4603</f>
        <v>39.6325646391674</v>
      </c>
      <c r="K4594" s="6" t="n">
        <f aca="false">Sens!K4593*Sens!J4603</f>
        <v>42.889924072679</v>
      </c>
      <c r="L4594" s="1" t="s">
        <v>1120</v>
      </c>
    </row>
    <row r="4595" customFormat="false" ht="15" hidden="false" customHeight="false" outlineLevel="0" collapsed="false">
      <c r="A4595" s="1" t="s">
        <v>1121</v>
      </c>
      <c r="B4595" s="0" t="s">
        <v>98</v>
      </c>
      <c r="E4595" s="6" t="n">
        <f aca="false">Sens!E4592-Sens!E4594</f>
        <v>37.441</v>
      </c>
      <c r="F4595" s="6" t="n">
        <f aca="false">Sens!F4592-Sens!F4594</f>
        <v>-15.414702584647</v>
      </c>
      <c r="G4595" s="6" t="n">
        <f aca="false">Sens!G4592-Sens!G4594</f>
        <v>-5.11433184401375</v>
      </c>
      <c r="H4595" s="6" t="n">
        <f aca="false">Sens!H4592-Sens!H4594</f>
        <v>4.8919279182682</v>
      </c>
      <c r="I4595" s="6" t="n">
        <f aca="false">Sens!I4592-Sens!I4594</f>
        <v>86.7097537170527</v>
      </c>
      <c r="J4595" s="6" t="n">
        <f aca="false">Sens!J4592-Sens!J4594</f>
        <v>129.508944315554</v>
      </c>
      <c r="K4595" s="6" t="n">
        <f aca="false">Sens!K4592-Sens!K4594</f>
        <v>144.982510961098</v>
      </c>
    </row>
    <row r="4596" customFormat="false" ht="15" hidden="false" customHeight="false" outlineLevel="0" collapsed="false">
      <c r="A4596" s="1" t="s">
        <v>1122</v>
      </c>
      <c r="B4596" s="0" t="s">
        <v>98</v>
      </c>
      <c r="F4596" s="6" t="n">
        <f aca="false">debt_mat_27</f>
        <v>9.25</v>
      </c>
      <c r="G4596" s="6" t="n">
        <f aca="false">debt_mat_28</f>
        <v>0</v>
      </c>
      <c r="H4596" s="6" t="n">
        <f aca="false">debt_mat_29</f>
        <v>2.001</v>
      </c>
      <c r="I4596" s="6" t="n">
        <f aca="false">debt_mat_30</f>
        <v>0</v>
      </c>
      <c r="J4596" s="6" t="n">
        <f aca="false">debt_mat_31</f>
        <v>0.5</v>
      </c>
      <c r="K4596" s="6" t="n">
        <f aca="false">debt_mat_32</f>
        <v>0</v>
      </c>
    </row>
    <row r="4597" customFormat="false" ht="15" hidden="false" customHeight="false" outlineLevel="0" collapsed="false">
      <c r="A4597" s="1" t="s">
        <v>1123</v>
      </c>
      <c r="B4597" s="0" t="s">
        <v>98</v>
      </c>
      <c r="E4597" s="6" t="n">
        <f aca="false">Q!M40</f>
        <v>22.271</v>
      </c>
      <c r="F4597" s="6" t="n">
        <f aca="false">MAX(0,MIN(bb_target,Sens!E4599+Sens!F4595-Sens!F4596-min_cash))</f>
        <v>2.17829741535304</v>
      </c>
      <c r="G4597" s="6" t="n">
        <f aca="false">MAX(0,MIN(bb_target,Sens!F4599+Sens!G4595-Sens!G4596-min_cash))</f>
        <v>0</v>
      </c>
      <c r="H4597" s="6" t="n">
        <f aca="false">MAX(0,MIN(bb_target,Sens!G4599+Sens!H4595-Sens!H4596-min_cash))</f>
        <v>2.8909279182682</v>
      </c>
      <c r="I4597" s="6" t="n">
        <f aca="false">MAX(0,MIN(bb_target,Sens!H4599+Sens!I4595-Sens!I4596-min_cash))</f>
        <v>22.271</v>
      </c>
      <c r="J4597" s="6" t="n">
        <f aca="false">MAX(0,MIN(bb_target,Sens!I4599+Sens!J4595-Sens!J4596-min_cash))</f>
        <v>22.271</v>
      </c>
      <c r="K4597" s="6" t="n">
        <f aca="false">MAX(0,MIN(bb_target,Sens!J4599+Sens!K4595-Sens!K4596-min_cash))</f>
        <v>22.271</v>
      </c>
    </row>
    <row r="4598" customFormat="false" ht="15" hidden="false" customHeight="false" outlineLevel="0" collapsed="false">
      <c r="A4598" s="1" t="s">
        <v>1124</v>
      </c>
      <c r="B4598" s="0" t="s">
        <v>98</v>
      </c>
      <c r="F4598" s="6" t="n">
        <f aca="false">MAX(0,min_cash-(Sens!E4599+Sens!F4595-Sens!F4596-Sens!F4597))</f>
        <v>0</v>
      </c>
      <c r="G4598" s="6" t="n">
        <f aca="false">MAX(0,min_cash-(Sens!F4599+Sens!G4595-Sens!G4596-Sens!G4597))</f>
        <v>5.11433184401375</v>
      </c>
      <c r="H4598" s="6" t="n">
        <f aca="false">MAX(0,min_cash-(Sens!G4599+Sens!H4595-Sens!H4596-Sens!H4597))</f>
        <v>0</v>
      </c>
      <c r="I4598" s="6" t="n">
        <f aca="false">MAX(0,min_cash-(Sens!H4599+Sens!I4595-Sens!I4596-Sens!I4597))</f>
        <v>0</v>
      </c>
      <c r="J4598" s="6" t="n">
        <f aca="false">MAX(0,min_cash-(Sens!I4599+Sens!J4595-Sens!J4596-Sens!J4597))</f>
        <v>0</v>
      </c>
      <c r="K4598" s="6" t="n">
        <f aca="false">MAX(0,min_cash-(Sens!J4599+Sens!K4595-Sens!K4596-Sens!K4597))</f>
        <v>0</v>
      </c>
    </row>
    <row r="4599" customFormat="false" ht="15" hidden="false" customHeight="false" outlineLevel="0" collapsed="false">
      <c r="A4599" s="1" t="s">
        <v>1125</v>
      </c>
      <c r="B4599" s="0" t="s">
        <v>98</v>
      </c>
      <c r="E4599" s="6" t="n">
        <f aca="false">cash_open</f>
        <v>76.843</v>
      </c>
      <c r="F4599" s="6" t="n">
        <f aca="false">Sens!E4599+Sens!F4595-Sens!F4596-Sens!F4597+Sens!F4598</f>
        <v>50</v>
      </c>
      <c r="G4599" s="6" t="n">
        <f aca="false">Sens!F4599+Sens!G4595-Sens!G4596-Sens!G4597+Sens!G4598</f>
        <v>50</v>
      </c>
      <c r="H4599" s="6" t="n">
        <f aca="false">Sens!G4599+Sens!H4595-Sens!H4596-Sens!H4597+Sens!H4598</f>
        <v>50</v>
      </c>
      <c r="I4599" s="6" t="n">
        <f aca="false">Sens!H4599+Sens!I4595-Sens!I4596-Sens!I4597+Sens!I4598</f>
        <v>114.438753717053</v>
      </c>
      <c r="J4599" s="6" t="n">
        <f aca="false">Sens!I4599+Sens!J4595-Sens!J4596-Sens!J4597+Sens!J4598</f>
        <v>221.176698032607</v>
      </c>
      <c r="K4599" s="6" t="n">
        <f aca="false">Sens!J4599+Sens!K4595-Sens!K4596-Sens!K4597+Sens!K4598</f>
        <v>343.888208993705</v>
      </c>
    </row>
    <row r="4600" customFormat="false" ht="15" hidden="false" customHeight="false" outlineLevel="0" collapsed="false">
      <c r="A4600" s="1" t="s">
        <v>1126</v>
      </c>
      <c r="B4600" s="0" t="s">
        <v>98</v>
      </c>
      <c r="E4600" s="6" t="n">
        <f aca="false">debt_face</f>
        <v>46.136</v>
      </c>
      <c r="F4600" s="6" t="n">
        <f aca="false">Sens!E4600-Sens!F4596+Sens!F4598</f>
        <v>36.886</v>
      </c>
      <c r="G4600" s="6" t="n">
        <f aca="false">Sens!F4600-Sens!G4596+Sens!G4598</f>
        <v>42.0003318440138</v>
      </c>
      <c r="H4600" s="6" t="n">
        <f aca="false">Sens!G4600-Sens!H4596+Sens!H4598</f>
        <v>39.9993318440138</v>
      </c>
      <c r="I4600" s="6" t="n">
        <f aca="false">Sens!H4600-Sens!I4596+Sens!I4598</f>
        <v>39.9993318440138</v>
      </c>
      <c r="J4600" s="6" t="n">
        <f aca="false">Sens!I4600-Sens!J4596+Sens!J4598</f>
        <v>39.4993318440138</v>
      </c>
      <c r="K4600" s="6" t="n">
        <f aca="false">Sens!J4600-Sens!K4596+Sens!K4598</f>
        <v>39.4993318440138</v>
      </c>
    </row>
    <row r="4601" customFormat="false" ht="15" hidden="false" customHeight="false" outlineLevel="0" collapsed="false">
      <c r="A4601" s="1" t="s">
        <v>1127</v>
      </c>
      <c r="B4601" s="0" t="s">
        <v>98</v>
      </c>
      <c r="E4601" s="6" t="n">
        <f aca="false">Sens!E4599-Sens!E4600</f>
        <v>30.707</v>
      </c>
      <c r="F4601" s="6" t="n">
        <f aca="false">Sens!F4599-Sens!F4600</f>
        <v>13.114</v>
      </c>
      <c r="G4601" s="6" t="n">
        <f aca="false">Sens!G4599-Sens!G4600</f>
        <v>7.99966815598625</v>
      </c>
      <c r="H4601" s="6" t="n">
        <f aca="false">Sens!H4599-Sens!H4600</f>
        <v>10.0006681559862</v>
      </c>
      <c r="I4601" s="6" t="n">
        <f aca="false">Sens!I4599-Sens!I4600</f>
        <v>74.439421873039</v>
      </c>
      <c r="J4601" s="6" t="n">
        <f aca="false">Sens!J4599-Sens!J4600</f>
        <v>181.677366188593</v>
      </c>
      <c r="K4601" s="6" t="n">
        <f aca="false">Sens!K4599-Sens!K4600</f>
        <v>304.388877149692</v>
      </c>
    </row>
    <row r="4602" customFormat="false" ht="15" hidden="false" customHeight="false" outlineLevel="0" collapsed="false">
      <c r="A4602" s="1" t="s">
        <v>1128</v>
      </c>
      <c r="B4602" s="0" t="s">
        <v>75</v>
      </c>
      <c r="F4602" s="30" t="n">
        <f aca="false">px*(1+bb_g)^(Sens!F4460-base_fy-mid_yr)</f>
        <v>551.84177959629</v>
      </c>
      <c r="G4602" s="30" t="n">
        <f aca="false">px*(1+bb_g)^(Sens!G4460-base_fy-mid_yr)</f>
        <v>595.989121963993</v>
      </c>
      <c r="H4602" s="30" t="n">
        <f aca="false">px*(1+bb_g)^(Sens!H4460-base_fy-mid_yr)</f>
        <v>643.668251721112</v>
      </c>
      <c r="I4602" s="30" t="n">
        <f aca="false">px*(1+bb_g)^(Sens!I4460-base_fy-mid_yr)</f>
        <v>695.161711858801</v>
      </c>
      <c r="J4602" s="30" t="n">
        <f aca="false">px*(1+bb_g)^(Sens!J4460-base_fy-mid_yr)</f>
        <v>750.774648807506</v>
      </c>
      <c r="K4602" s="30" t="n">
        <f aca="false">px*(1+bb_g)^(Sens!K4460-base_fy-mid_yr)</f>
        <v>810.836620712106</v>
      </c>
    </row>
    <row r="4603" customFormat="false" ht="15" hidden="false" customHeight="false" outlineLevel="0" collapsed="false">
      <c r="A4603" s="1" t="s">
        <v>1129</v>
      </c>
      <c r="B4603" s="1" t="s">
        <v>81</v>
      </c>
      <c r="E4603" s="15" t="n">
        <f aca="false">sh_out26</f>
        <v>7.427</v>
      </c>
      <c r="F4603" s="15" t="n">
        <f aca="false">Sens!E4603+sh_iss-Sens!F4597/Sens!F4602</f>
        <v>7.46805267760454</v>
      </c>
      <c r="G4603" s="15" t="n">
        <f aca="false">Sens!F4603+sh_iss-Sens!G4597/Sens!G4602</f>
        <v>7.51305267760454</v>
      </c>
      <c r="H4603" s="15" t="n">
        <f aca="false">Sens!G4603+sh_iss-Sens!H4597/Sens!H4602</f>
        <v>7.55356134544618</v>
      </c>
      <c r="I4603" s="15" t="n">
        <f aca="false">Sens!H4603+sh_iss-Sens!I4597/Sens!I4602</f>
        <v>7.56652419549952</v>
      </c>
      <c r="J4603" s="15" t="n">
        <f aca="false">Sens!I4603+sh_iss-Sens!J4597/Sens!J4602</f>
        <v>7.58186016777112</v>
      </c>
      <c r="K4603" s="15" t="n">
        <f aca="false">Sens!J4603+sh_iss-Sens!K4597/Sens!K4602</f>
        <v>7.59939347543002</v>
      </c>
    </row>
    <row r="4604" customFormat="false" ht="15" hidden="false" customHeight="false" outlineLevel="0" collapsed="false">
      <c r="A4604" s="1" t="s">
        <v>1130</v>
      </c>
      <c r="B4604" s="1" t="s">
        <v>81</v>
      </c>
      <c r="E4604" s="15" t="n">
        <f aca="false">sh_dil26</f>
        <v>7.453</v>
      </c>
      <c r="F4604" s="15" t="n">
        <f aca="false">(Sens!E4603+Sens!F4603)/2+dil_gap</f>
        <v>7.47152633880227</v>
      </c>
      <c r="G4604" s="15" t="n">
        <f aca="false">(Sens!F4603+Sens!G4603)/2+dil_gap</f>
        <v>7.51455267760454</v>
      </c>
      <c r="H4604" s="15" t="n">
        <f aca="false">(Sens!G4603+Sens!H4603)/2+dil_gap</f>
        <v>7.55730701152536</v>
      </c>
      <c r="I4604" s="15" t="n">
        <f aca="false">(Sens!H4603+Sens!I4603)/2+dil_gap</f>
        <v>7.58404277047285</v>
      </c>
      <c r="J4604" s="15" t="n">
        <f aca="false">(Sens!I4603+Sens!J4603)/2+dil_gap</f>
        <v>7.59819218163532</v>
      </c>
      <c r="K4604" s="15" t="n">
        <f aca="false">(Sens!J4603+Sens!K4603)/2+dil_gap</f>
        <v>7.61462682160057</v>
      </c>
    </row>
    <row r="4605" customFormat="false" ht="17.15" hidden="false" customHeight="false" outlineLevel="0" collapsed="false">
      <c r="A4605" s="1" t="s">
        <v>1131</v>
      </c>
      <c r="B4605" s="0" t="s">
        <v>98</v>
      </c>
      <c r="C4605" s="6" t="n">
        <f aca="false">SUM(Sens!F4595:J4595)</f>
        <v>200.581591522215</v>
      </c>
    </row>
    <row r="4606" customFormat="false" ht="15" hidden="false" customHeight="false" outlineLevel="0" collapsed="false">
      <c r="A4606" s="26" t="s">
        <v>1096</v>
      </c>
      <c r="B4606" s="31" t="s">
        <v>98</v>
      </c>
      <c r="C4606" s="27" t="n">
        <f aca="false">Sens!$C$4605-(Sens!F4595+Sens!G4595+Sens!H4595+Sens!I4595+Sens!J4595)</f>
        <v>0</v>
      </c>
      <c r="D4606" s="31"/>
      <c r="E4606" s="31"/>
      <c r="F4606" s="31"/>
      <c r="G4606" s="31"/>
      <c r="H4606" s="31"/>
      <c r="I4606" s="31"/>
      <c r="J4606" s="31"/>
      <c r="K4606" s="31"/>
    </row>
    <row r="4607" customFormat="false" ht="17.15" hidden="false" customHeight="false" outlineLevel="0" collapsed="false">
      <c r="A4607" s="1" t="s">
        <v>1090</v>
      </c>
      <c r="B4607" s="1" t="s">
        <v>1132</v>
      </c>
      <c r="C4607" s="33" t="str">
        <f aca="false">IF(SUM(Sens!F4598:J4598)&gt;0.05,"需要舉債 "&amp;TEXT(SUM(Sens!F4598:J4598),"0.0")&amp;" 十億美元","不需舉債")&amp;"；"&amp;IF(SUM(Sens!F4597:J4597)&lt;COUNT(Sens!F4597:J4597)*bb_target-0.05,"回購較每年 "&amp;TEXT(bb_target,"0.0")&amp;" 的目標少 "&amp;TEXT(COUNT(Sens!F4597:J4597)*bb_target-SUM(Sens!F4597:J4597),"0.0")&amp;" 十億美元（"&amp;TEXT(COUNTIF(Sens!F4597:J4597,"&lt;"&amp;(bb_target-0.05)),"0")&amp;" 年減少）","回購不減")</f>
        <v>需要舉債 5.1 十億美元；回購較每年 22.3 的目標少 61.7 十億美元（3 年減少）</v>
      </c>
    </row>
    <row r="4608" customFormat="false" ht="17.15" hidden="false" customHeight="false" outlineLevel="0" collapsed="false">
      <c r="A4608" s="3" t="s">
        <v>1594</v>
      </c>
    </row>
    <row r="4609" customFormat="false" ht="15" hidden="false" customHeight="false" outlineLevel="0" collapsed="false">
      <c r="A4609" s="4" t="s">
        <v>43</v>
      </c>
      <c r="B4609" s="4" t="s">
        <v>65</v>
      </c>
      <c r="C4609" s="23" t="s">
        <v>938</v>
      </c>
      <c r="D4609" s="23" t="s">
        <v>939</v>
      </c>
      <c r="E4609" s="23" t="s">
        <v>940</v>
      </c>
      <c r="F4609" s="23" t="s">
        <v>941</v>
      </c>
      <c r="G4609" s="23" t="s">
        <v>942</v>
      </c>
      <c r="H4609" s="23" t="s">
        <v>943</v>
      </c>
      <c r="I4609" s="23" t="s">
        <v>944</v>
      </c>
      <c r="J4609" s="23" t="s">
        <v>945</v>
      </c>
      <c r="K4609" s="23" t="s">
        <v>946</v>
      </c>
      <c r="L4609" s="4" t="s">
        <v>47</v>
      </c>
    </row>
    <row r="4610" customFormat="false" ht="17.15" hidden="false" customHeight="false" outlineLevel="0" collapsed="false">
      <c r="A4610" s="1" t="s">
        <v>1212</v>
      </c>
      <c r="B4610" s="1" t="s">
        <v>279</v>
      </c>
      <c r="F4610" s="8" t="n">
        <f aca="false">(1-v_off)*mid_yr</f>
        <v>0.373972602739726</v>
      </c>
      <c r="G4610" s="8" t="n">
        <f aca="false">Sens!G4460-base_fy-mid_yr-v_off</f>
        <v>1.24794520547945</v>
      </c>
      <c r="H4610" s="8" t="n">
        <f aca="false">Sens!H4460-base_fy-mid_yr-v_off</f>
        <v>2.24794520547945</v>
      </c>
      <c r="I4610" s="8" t="n">
        <f aca="false">Sens!I4460-base_fy-mid_yr-v_off</f>
        <v>3.24794520547945</v>
      </c>
      <c r="J4610" s="8" t="n">
        <f aca="false">Sens!J4460-base_fy-mid_yr-v_off</f>
        <v>4.24794520547945</v>
      </c>
      <c r="K4610" s="8" t="n">
        <f aca="false">Sens!K4460-base_fy-mid_yr-v_off</f>
        <v>5.24794520547945</v>
      </c>
      <c r="L4610" s="12" t="s">
        <v>1213</v>
      </c>
    </row>
    <row r="4611" customFormat="false" ht="15" hidden="false" customHeight="false" outlineLevel="0" collapsed="false">
      <c r="A4611" s="1" t="s">
        <v>1214</v>
      </c>
      <c r="B4611" s="1" t="s">
        <v>279</v>
      </c>
      <c r="F4611" s="8" t="n">
        <f aca="false">Sens!F4460-base_fy-v_off</f>
        <v>0.747945205479452</v>
      </c>
      <c r="G4611" s="8" t="n">
        <f aca="false">Sens!G4460-base_fy-v_off</f>
        <v>1.74794520547945</v>
      </c>
      <c r="H4611" s="8" t="n">
        <f aca="false">Sens!H4460-base_fy-v_off</f>
        <v>2.74794520547945</v>
      </c>
      <c r="I4611" s="8" t="n">
        <f aca="false">Sens!I4460-base_fy-v_off</f>
        <v>3.74794520547945</v>
      </c>
      <c r="J4611" s="8" t="n">
        <f aca="false">Sens!J4460-base_fy-v_off</f>
        <v>4.74794520547945</v>
      </c>
      <c r="K4611" s="8" t="n">
        <f aca="false">Sens!K4460-base_fy-v_off</f>
        <v>5.74794520547945</v>
      </c>
    </row>
    <row r="4612" customFormat="false" ht="15" hidden="false" customHeight="false" outlineLevel="0" collapsed="false">
      <c r="A4612" s="1" t="s">
        <v>1215</v>
      </c>
      <c r="B4612" s="0" t="s">
        <v>229</v>
      </c>
      <c r="F4612" s="15" t="n">
        <f aca="false">1/(1+wacc)^Sens!F4610</f>
        <v>0.964022703286649</v>
      </c>
      <c r="G4612" s="15" t="n">
        <f aca="false">1/(1+wacc)^Sens!G4610</f>
        <v>0.884910302296739</v>
      </c>
      <c r="H4612" s="15" t="n">
        <f aca="false">1/(1+wacc)^Sens!H4610</f>
        <v>0.802322009770358</v>
      </c>
      <c r="I4612" s="15" t="n">
        <f aca="false">1/(1+wacc)^Sens!I4610</f>
        <v>0.727441646561469</v>
      </c>
      <c r="J4612" s="15" t="n">
        <f aca="false">1/(1+wacc)^Sens!J4610</f>
        <v>0.659549834988973</v>
      </c>
      <c r="K4612" s="15" t="n">
        <f aca="false">1/(1+wacc)^Sens!K4610</f>
        <v>0.597994336576966</v>
      </c>
    </row>
    <row r="4613" customFormat="false" ht="17.15" hidden="false" customHeight="false" outlineLevel="0" collapsed="false">
      <c r="A4613" s="1" t="s">
        <v>1216</v>
      </c>
      <c r="B4613" s="0" t="s">
        <v>98</v>
      </c>
      <c r="F4613" s="6" t="n">
        <f aca="false">Q!$I$35-Q!$I$39-Q!$I$43</f>
        <v>9.666</v>
      </c>
      <c r="L4613" s="12" t="s">
        <v>1217</v>
      </c>
    </row>
    <row r="4614" customFormat="false" ht="17.15" hidden="false" customHeight="false" outlineLevel="0" collapsed="false">
      <c r="A4614" s="1" t="s">
        <v>1218</v>
      </c>
      <c r="B4614" s="0" t="s">
        <v>98</v>
      </c>
      <c r="F4614" s="6" t="n">
        <f aca="false">Sens!F4585-Sens!F4582-Sens!F4589+Sens!F4567*(1-tax_f)*(1-v_off)-Sens!F4613</f>
        <v>-1.50275468450482</v>
      </c>
      <c r="G4614" s="6" t="n">
        <f aca="false">Sens!G4585-Sens!G4582-Sens!G4589+Sens!G4567*(1-tax_f)</f>
        <v>32.7011345538358</v>
      </c>
      <c r="H4614" s="6" t="n">
        <f aca="false">Sens!H4585-Sens!H4582-Sens!H4589+Sens!H4567*(1-tax_f)</f>
        <v>55.8342648164359</v>
      </c>
      <c r="I4614" s="6" t="n">
        <f aca="false">Sens!I4585-Sens!I4582-Sens!I4589+Sens!I4567*(1-tax_f)</f>
        <v>150.404086752209</v>
      </c>
      <c r="J4614" s="6" t="n">
        <f aca="false">Sens!J4585-Sens!J4582-Sens!J4589+Sens!J4567*(1-tax_f)</f>
        <v>203.268208069329</v>
      </c>
      <c r="K4614" s="6" t="n">
        <f aca="false">Sens!K4585-Sens!K4582-Sens!K4589+Sens!K4567*(1-tax_f)</f>
        <v>225.880395732523</v>
      </c>
      <c r="L4614" s="1" t="s">
        <v>1219</v>
      </c>
    </row>
    <row r="4615" customFormat="false" ht="15" hidden="false" customHeight="false" outlineLevel="0" collapsed="false">
      <c r="A4615" s="1" t="s">
        <v>1220</v>
      </c>
      <c r="B4615" s="0" t="s">
        <v>98</v>
      </c>
      <c r="F4615" s="6" t="n">
        <f aca="false">Sens!F4614*Sens!F4612</f>
        <v>-1.44868963333301</v>
      </c>
      <c r="G4615" s="6" t="n">
        <f aca="false">Sens!G4614*Sens!G4612</f>
        <v>28.9375708634812</v>
      </c>
      <c r="H4615" s="6" t="n">
        <f aca="false">Sens!H4614*Sens!H4612</f>
        <v>44.7970595615732</v>
      </c>
      <c r="I4615" s="6" t="n">
        <f aca="false">Sens!I4614*Sens!I4612</f>
        <v>109.410196516601</v>
      </c>
      <c r="J4615" s="6" t="n">
        <f aca="false">Sens!J4614*Sens!J4612</f>
        <v>134.06551309063</v>
      </c>
      <c r="K4615" s="6" t="n">
        <f aca="false">Sens!K4614*Sens!K4612</f>
        <v>135.075197391813</v>
      </c>
    </row>
    <row r="4616" customFormat="false" ht="17.15" hidden="false" customHeight="false" outlineLevel="0" collapsed="false">
      <c r="A4616" s="1" t="s">
        <v>1221</v>
      </c>
      <c r="B4616" s="0" t="s">
        <v>98</v>
      </c>
      <c r="C4616" s="6" t="n">
        <f aca="false">SUM(Sens!F4615:K4615)</f>
        <v>450.836847790765</v>
      </c>
    </row>
    <row r="4617" customFormat="false" ht="17.15" hidden="false" customHeight="false" outlineLevel="0" collapsed="false">
      <c r="A4617" s="1" t="s">
        <v>1222</v>
      </c>
      <c r="B4617" s="0" t="s">
        <v>98</v>
      </c>
      <c r="C4617" s="6" t="n">
        <f aca="false">Sens!K4553*(1+g_tv)*(1-tax_f)</f>
        <v>270.693437195811</v>
      </c>
    </row>
    <row r="4618" customFormat="false" ht="17.15" hidden="false" customHeight="false" outlineLevel="0" collapsed="false">
      <c r="A4618" s="1" t="s">
        <v>1223</v>
      </c>
      <c r="B4618" s="0" t="s">
        <v>98</v>
      </c>
      <c r="C4618" s="6" t="n">
        <f aca="false">Sens!$C$4617*(1-g_tv/(wacc+ronic_prem))</f>
        <v>191.802121277196</v>
      </c>
    </row>
    <row r="4619" customFormat="false" ht="17.15" hidden="false" customHeight="false" outlineLevel="0" collapsed="false">
      <c r="A4619" s="1" t="s">
        <v>1224</v>
      </c>
      <c r="B4619" s="0" t="s">
        <v>98</v>
      </c>
      <c r="C4619" s="6" t="n">
        <f aca="false">Sens!$C$4618/(wacc-g_tv)</f>
        <v>2629.71053062049</v>
      </c>
    </row>
    <row r="4620" customFormat="false" ht="15" hidden="false" customHeight="false" outlineLevel="0" collapsed="false">
      <c r="A4620" s="1" t="s">
        <v>1225</v>
      </c>
      <c r="B4620" s="0" t="s">
        <v>98</v>
      </c>
      <c r="C4620" s="6" t="n">
        <f aca="false">Sens!$C$4619/(1+wacc)^Sens!K4611</f>
        <v>1497.37212440195</v>
      </c>
    </row>
    <row r="4621" customFormat="false" ht="17.15" hidden="false" customHeight="false" outlineLevel="0" collapsed="false">
      <c r="A4621" s="0" t="s">
        <v>1226</v>
      </c>
      <c r="B4621" s="0" t="s">
        <v>98</v>
      </c>
      <c r="C4621" s="6" t="n">
        <f aca="false">Sens!$C$4616+Sens!$C$4620</f>
        <v>1948.20897219271</v>
      </c>
    </row>
    <row r="4622" customFormat="false" ht="15" hidden="false" customHeight="false" outlineLevel="0" collapsed="false">
      <c r="A4622" s="1" t="s">
        <v>1141</v>
      </c>
      <c r="B4622" s="0" t="s">
        <v>168</v>
      </c>
      <c r="C4622" s="7" t="n">
        <f aca="false">Sens!$C$4620/Sens!$C$4621</f>
        <v>0.768589071179902</v>
      </c>
    </row>
    <row r="4623" customFormat="false" ht="17.15" hidden="false" customHeight="false" outlineLevel="0" collapsed="false">
      <c r="A4623" s="1" t="s">
        <v>1227</v>
      </c>
      <c r="B4623" s="0" t="s">
        <v>98</v>
      </c>
      <c r="C4623" s="6" t="n">
        <f aca="false">Sens!$C$4621+cash_val-debt_val-fl_val+oai_v</f>
        <v>2064.05997219271</v>
      </c>
    </row>
    <row r="4624" customFormat="false" ht="17.15" hidden="false" customHeight="false" outlineLevel="0" collapsed="false">
      <c r="A4624" s="0" t="s">
        <v>1149</v>
      </c>
      <c r="B4624" s="0" t="s">
        <v>75</v>
      </c>
      <c r="C4624" s="5" t="n">
        <f aca="false">Sens!$C$4623/shd_val</f>
        <v>277.203864113983</v>
      </c>
    </row>
    <row r="4625" customFormat="false" ht="15" hidden="false" customHeight="false" outlineLevel="0" collapsed="false">
      <c r="A4625" s="1" t="s">
        <v>1228</v>
      </c>
      <c r="B4625" s="0" t="s">
        <v>75</v>
      </c>
      <c r="C4625" s="8" t="n">
        <f aca="false">div_rem27+Sens!G4593*roll_div_q/q_per_yr</f>
        <v>3.9795</v>
      </c>
    </row>
    <row r="4626" customFormat="false" ht="17.15" hidden="false" customHeight="false" outlineLevel="0" collapsed="false">
      <c r="A4626" s="0" t="s">
        <v>1229</v>
      </c>
      <c r="B4626" s="0" t="s">
        <v>75</v>
      </c>
      <c r="C4626" s="5" t="n">
        <f aca="false">Sens!$C$4624*(1+wacc)^t_roll-Sens!$C$4625</f>
        <v>304.148065916538</v>
      </c>
    </row>
    <row r="4627" customFormat="false" ht="17.15" hidden="false" customHeight="false" outlineLevel="0" collapsed="false">
      <c r="A4627" s="1" t="s">
        <v>1230</v>
      </c>
      <c r="B4627" s="0" t="s">
        <v>168</v>
      </c>
      <c r="F4627" s="7" t="n">
        <f aca="false">Sens!F4579/(Sens!F4524-Sens!F4479)</f>
        <v>0.0607307479111973</v>
      </c>
      <c r="G4627" s="7" t="n">
        <f aca="false">Sens!G4579/(Sens!G4524-Sens!G4479)</f>
        <v>0.0594993042824343</v>
      </c>
      <c r="H4627" s="7" t="n">
        <f aca="false">Sens!H4579/(Sens!H4524-Sens!H4479)</f>
        <v>0.0592534917431602</v>
      </c>
      <c r="I4627" s="7" t="n">
        <f aca="false">Sens!I4579/(Sens!I4524-Sens!I4479)</f>
        <v>0.0599440615675562</v>
      </c>
      <c r="J4627" s="7" t="n">
        <f aca="false">Sens!J4579/(Sens!J4524-Sens!J4479)</f>
        <v>0.0613633185756589</v>
      </c>
      <c r="K4627" s="7" t="n">
        <f aca="false">Sens!K4579/(Sens!K4524-Sens!K4479)</f>
        <v>0.0632257490255542</v>
      </c>
    </row>
    <row r="4628" customFormat="false" ht="17.15" hidden="false" customHeight="false" outlineLevel="0" collapsed="false">
      <c r="A4628" s="0" t="s">
        <v>1231</v>
      </c>
      <c r="B4628" s="0" t="s">
        <v>98</v>
      </c>
      <c r="F4628" s="6" t="n">
        <f aca="false">Sens!F4509*(al_m365+Sens!F4627+sbc_r)</f>
        <v>82.7850741858189</v>
      </c>
      <c r="G4628" s="6" t="n">
        <f aca="false">Sens!G4509*(al_m365+Sens!G4627+sbc_r)</f>
        <v>95.2642607364098</v>
      </c>
      <c r="H4628" s="6" t="n">
        <f aca="false">Sens!H4509*(al_m365+Sens!H4627+sbc_r)</f>
        <v>107.907970437802</v>
      </c>
      <c r="I4628" s="6" t="n">
        <f aca="false">Sens!I4509*(al_m365+Sens!I4627+sbc_r)</f>
        <v>119.536089606907</v>
      </c>
      <c r="J4628" s="6" t="n">
        <f aca="false">Sens!J4509*(al_m365+Sens!J4627+sbc_r)</f>
        <v>129.956762014126</v>
      </c>
      <c r="K4628" s="6" t="n">
        <f aca="false">Sens!K4509*(al_m365+Sens!K4627+sbc_r)</f>
        <v>139.981351437731</v>
      </c>
      <c r="L4628" s="12" t="s">
        <v>1232</v>
      </c>
    </row>
    <row r="4629" customFormat="false" ht="17.15" hidden="false" customHeight="false" outlineLevel="0" collapsed="false">
      <c r="A4629" s="0" t="s">
        <v>1233</v>
      </c>
      <c r="B4629" s="0" t="s">
        <v>98</v>
      </c>
      <c r="F4629" s="6" t="n">
        <f aca="false">Sens!F4510*(al_lic+Sens!F4627+sbc_r)</f>
        <v>32.5549522675768</v>
      </c>
      <c r="G4629" s="6" t="n">
        <f aca="false">Sens!G4510*(al_lic+Sens!G4627+sbc_r)</f>
        <v>33.8841977958652</v>
      </c>
      <c r="H4629" s="6" t="n">
        <f aca="false">Sens!H4510*(al_lic+Sens!H4627+sbc_r)</f>
        <v>35.1195238242419</v>
      </c>
      <c r="I4629" s="6" t="n">
        <f aca="false">Sens!I4510*(al_lic+Sens!I4627+sbc_r)</f>
        <v>36.2438133114904</v>
      </c>
      <c r="J4629" s="6" t="n">
        <f aca="false">Sens!J4510*(al_lic+Sens!J4627+sbc_r)</f>
        <v>37.2334111336259</v>
      </c>
      <c r="K4629" s="6" t="n">
        <f aca="false">Sens!K4510*(al_lic+Sens!K4627+sbc_r)</f>
        <v>38.0614158778996</v>
      </c>
    </row>
    <row r="4630" customFormat="false" ht="17.15" hidden="false" customHeight="false" outlineLevel="0" collapsed="false">
      <c r="A4630" s="0" t="s">
        <v>1234</v>
      </c>
      <c r="B4630" s="0" t="s">
        <v>98</v>
      </c>
      <c r="F4630" s="6" t="n">
        <f aca="false">Sens!F4512*(al_ind+Sens!F4627+sbc_r)</f>
        <v>8.88436870884491</v>
      </c>
      <c r="G4630" s="6" t="n">
        <f aca="false">Sens!G4512*(al_ind+Sens!G4627+sbc_r)</f>
        <v>9.68167573050252</v>
      </c>
      <c r="H4630" s="6" t="n">
        <f aca="false">Sens!H4512*(al_ind+Sens!H4627+sbc_r)</f>
        <v>10.5207816082628</v>
      </c>
      <c r="I4630" s="6" t="n">
        <f aca="false">Sens!I4512*(al_ind+Sens!I4627+sbc_r)</f>
        <v>11.3986885881112</v>
      </c>
      <c r="J4630" s="6" t="n">
        <f aca="false">Sens!J4512*(al_ind+Sens!J4627+sbc_r)</f>
        <v>12.3062942101823</v>
      </c>
      <c r="K4630" s="6" t="n">
        <f aca="false">Sens!K4512*(al_ind+Sens!K4627+sbc_r)</f>
        <v>13.2292376064716</v>
      </c>
    </row>
    <row r="4631" customFormat="false" ht="17.15" hidden="false" customHeight="false" outlineLevel="0" collapsed="false">
      <c r="A4631" s="0" t="s">
        <v>1235</v>
      </c>
      <c r="B4631" s="0" t="s">
        <v>98</v>
      </c>
      <c r="F4631" s="6" t="n">
        <f aca="false">Sens!F4514*(al_fro+Sens!F4627+sbc_r)</f>
        <v>3.48497298283584</v>
      </c>
      <c r="G4631" s="6" t="n">
        <f aca="false">Sens!G4514*(al_fro+Sens!G4627+sbc_r)</f>
        <v>3.70449288477146</v>
      </c>
      <c r="H4631" s="6" t="n">
        <f aca="false">Sens!H4514*(al_fro+Sens!H4627+sbc_r)</f>
        <v>3.95104727671245</v>
      </c>
      <c r="I4631" s="6" t="n">
        <f aca="false">Sens!I4514*(al_fro+Sens!I4627+sbc_r)</f>
        <v>4.22763654951912</v>
      </c>
      <c r="J4631" s="6" t="n">
        <f aca="false">Sens!J4514*(al_fro+Sens!J4627+sbc_r)</f>
        <v>4.53579281404298</v>
      </c>
      <c r="K4631" s="6" t="n">
        <f aca="false">Sens!K4514*(al_fro+Sens!K4627+sbc_r)</f>
        <v>4.87596670824368</v>
      </c>
    </row>
    <row r="4632" customFormat="false" ht="17.15" hidden="false" customHeight="false" outlineLevel="0" collapsed="false">
      <c r="A4632" s="0" t="s">
        <v>1236</v>
      </c>
      <c r="B4632" s="0" t="s">
        <v>98</v>
      </c>
      <c r="F4632" s="6" t="n">
        <f aca="false">Sens!F4517*(al_srch+Sens!F4627+sbc_r)</f>
        <v>10.9716808417037</v>
      </c>
      <c r="G4632" s="6" t="n">
        <f aca="false">Sens!G4517*(al_srch+Sens!G4627+sbc_r)</f>
        <v>12.0691212613633</v>
      </c>
      <c r="H4632" s="6" t="n">
        <f aca="false">Sens!H4517*(al_srch+Sens!H4627+sbc_r)</f>
        <v>13.2084491292391</v>
      </c>
      <c r="I4632" s="6" t="n">
        <f aca="false">Sens!I4517*(al_srch+Sens!I4627+sbc_r)</f>
        <v>14.3788635088852</v>
      </c>
      <c r="J4632" s="6" t="n">
        <f aca="false">Sens!J4517*(al_srch+Sens!J4627+sbc_r)</f>
        <v>15.5609701612388</v>
      </c>
      <c r="K4632" s="6" t="n">
        <f aca="false">Sens!K4517*(al_srch+Sens!K4627+sbc_r)</f>
        <v>16.7280066715708</v>
      </c>
    </row>
    <row r="4633" customFormat="false" ht="17.15" hidden="false" customHeight="false" outlineLevel="0" collapsed="false">
      <c r="A4633" s="0" t="s">
        <v>1237</v>
      </c>
      <c r="B4633" s="0" t="s">
        <v>98</v>
      </c>
      <c r="F4633" s="6" t="n">
        <f aca="false">Sens!F4485-Sens!F4486+Sens!F4567</f>
        <v>42.4585051916462</v>
      </c>
      <c r="G4633" s="6" t="n">
        <f aca="false">Sens!G4485-Sens!G4486+Sens!G4567</f>
        <v>81.33244887412</v>
      </c>
      <c r="H4633" s="6" t="n">
        <f aca="false">Sens!H4485-Sens!H4486+Sens!H4567</f>
        <v>124.289675721937</v>
      </c>
      <c r="I4633" s="6" t="n">
        <f aca="false">Sens!I4485-Sens!I4486+Sens!I4567</f>
        <v>162.337890722254</v>
      </c>
      <c r="J4633" s="6" t="n">
        <f aca="false">Sens!J4485-Sens!J4486+Sens!J4567</f>
        <v>190.687257991861</v>
      </c>
      <c r="K4633" s="6" t="n">
        <f aca="false">Sens!K4485-Sens!K4486+Sens!K4567</f>
        <v>209.832087762508</v>
      </c>
    </row>
    <row r="4634" customFormat="false" ht="17.15" hidden="false" customHeight="false" outlineLevel="0" collapsed="false">
      <c r="A4634" s="0" t="s">
        <v>1238</v>
      </c>
      <c r="B4634" s="0" t="s">
        <v>98</v>
      </c>
      <c r="F4634" s="6" t="n">
        <f aca="false">Sens!F4546+Sens!F4567+Sens!F4497+Sens!F4627*(Sens!F4516-Sens!F4479)+sbc_r*Sens!F4516</f>
        <v>239.971921172641</v>
      </c>
      <c r="G4634" s="6" t="n">
        <f aca="false">Sens!G4546+Sens!G4567+Sens!G4497+Sens!G4627*(Sens!G4516-Sens!G4479)+sbc_r*Sens!G4516</f>
        <v>301.725774133572</v>
      </c>
      <c r="H4634" s="6" t="n">
        <f aca="false">Sens!H4546+Sens!H4567+Sens!H4497+Sens!H4627*(Sens!H4516-Sens!H4479)+sbc_r*Sens!H4516</f>
        <v>373.160498325326</v>
      </c>
      <c r="I4634" s="6" t="n">
        <f aca="false">Sens!I4546+Sens!I4567+Sens!I4497+Sens!I4627*(Sens!I4516-Sens!I4479)+sbc_r*Sens!I4516</f>
        <v>438.250396095724</v>
      </c>
      <c r="J4634" s="6" t="n">
        <f aca="false">Sens!J4546+Sens!J4567+Sens!J4497+Sens!J4627*(Sens!J4516-Sens!J4479)+sbc_r*Sens!J4516</f>
        <v>491.167312849362</v>
      </c>
      <c r="K4634" s="6" t="n">
        <f aca="false">Sens!K4546+Sens!K4567+Sens!K4497+Sens!K4627*(Sens!K4516-Sens!K4479)+sbc_r*Sens!K4516</f>
        <v>532.460655143038</v>
      </c>
    </row>
    <row r="4635" customFormat="false" ht="17.15" hidden="false" customHeight="false" outlineLevel="0" collapsed="false">
      <c r="A4635" s="0" t="s">
        <v>1239</v>
      </c>
      <c r="B4635" s="0" t="s">
        <v>98</v>
      </c>
      <c r="F4635" s="6" t="n">
        <f aca="false">Sens!F4634-Sens!F4628-Sens!F4629-Sens!F4630-Sens!F4631-Sens!F4633</f>
        <v>69.8040478359179</v>
      </c>
      <c r="G4635" s="6" t="n">
        <f aca="false">Sens!G4634-Sens!G4628-Sens!G4629-Sens!G4630-Sens!G4631-Sens!G4633</f>
        <v>77.8586981119033</v>
      </c>
      <c r="H4635" s="6" t="n">
        <f aca="false">Sens!H4634-Sens!H4628-Sens!H4629-Sens!H4630-Sens!H4631-Sens!H4633</f>
        <v>91.3714994563696</v>
      </c>
      <c r="I4635" s="6" t="n">
        <f aca="false">Sens!I4634-Sens!I4628-Sens!I4629-Sens!I4630-Sens!I4631-Sens!I4633</f>
        <v>104.506277317443</v>
      </c>
      <c r="J4635" s="6" t="n">
        <f aca="false">Sens!J4634-Sens!J4628-Sens!J4629-Sens!J4630-Sens!J4631-Sens!J4633</f>
        <v>116.447794685524</v>
      </c>
      <c r="K4635" s="6" t="n">
        <f aca="false">Sens!K4634-Sens!K4628-Sens!K4629-Sens!K4630-Sens!K4631-Sens!K4633</f>
        <v>126.480595750185</v>
      </c>
    </row>
    <row r="4636" customFormat="false" ht="17.15" hidden="false" customHeight="false" outlineLevel="0" collapsed="false">
      <c r="A4636" s="0" t="s">
        <v>1240</v>
      </c>
      <c r="B4636" s="0" t="s">
        <v>98</v>
      </c>
      <c r="F4636" s="6" t="n">
        <f aca="false">Sens!F4548+Sens!F4627*Sens!F4523+sbc_r*Sens!F4523</f>
        <v>26.1263656848572</v>
      </c>
      <c r="G4636" s="6" t="n">
        <f aca="false">Sens!G4548+Sens!G4627*Sens!G4523+sbc_r*Sens!G4523</f>
        <v>26.0522923556065</v>
      </c>
      <c r="H4636" s="6" t="n">
        <f aca="false">Sens!H4548+Sens!H4627*Sens!H4523+sbc_r*Sens!H4523</f>
        <v>26.9938731892468</v>
      </c>
      <c r="I4636" s="6" t="n">
        <f aca="false">Sens!I4548+Sens!I4627*Sens!I4523+sbc_r*Sens!I4523</f>
        <v>28.1552898299255</v>
      </c>
      <c r="J4636" s="6" t="n">
        <f aca="false">Sens!J4548+Sens!J4627*Sens!J4523+sbc_r*Sens!J4523</f>
        <v>29.5058303800244</v>
      </c>
      <c r="K4636" s="6" t="n">
        <f aca="false">Sens!K4548+Sens!K4627*Sens!K4523+sbc_r*Sens!K4523</f>
        <v>31.0121497090801</v>
      </c>
    </row>
    <row r="4637" customFormat="false" ht="17.15" hidden="false" customHeight="false" outlineLevel="0" collapsed="false">
      <c r="A4637" s="0" t="s">
        <v>1241</v>
      </c>
      <c r="B4637" s="0" t="s">
        <v>98</v>
      </c>
      <c r="F4637" s="6" t="n">
        <f aca="false">(Sens!F4636-Sens!F4632)*Sens!F4519/(Sens!F4519+Sens!F4521)</f>
        <v>8.55914653693163</v>
      </c>
      <c r="G4637" s="6" t="n">
        <f aca="false">(Sens!G4636-Sens!G4632)*Sens!G4519/(Sens!G4519+Sens!G4521)</f>
        <v>7.76176395849843</v>
      </c>
      <c r="H4637" s="6" t="n">
        <f aca="false">(Sens!H4636-Sens!H4632)*Sens!H4519/(Sens!H4519+Sens!H4521)</f>
        <v>7.55231585461276</v>
      </c>
      <c r="I4637" s="6" t="n">
        <f aca="false">(Sens!I4636-Sens!I4632)*Sens!I4519/(Sens!I4519+Sens!I4521)</f>
        <v>7.48150944675275</v>
      </c>
      <c r="J4637" s="6" t="n">
        <f aca="false">(Sens!J4636-Sens!J4632)*Sens!J4519/(Sens!J4519+Sens!J4521)</f>
        <v>7.53993962438599</v>
      </c>
      <c r="K4637" s="6" t="n">
        <f aca="false">(Sens!K4636-Sens!K4632)*Sens!K4519/(Sens!K4519+Sens!K4521)</f>
        <v>7.72338871807587</v>
      </c>
    </row>
    <row r="4638" customFormat="false" ht="17.15" hidden="false" customHeight="false" outlineLevel="0" collapsed="false">
      <c r="A4638" s="0" t="s">
        <v>1242</v>
      </c>
      <c r="B4638" s="0" t="s">
        <v>98</v>
      </c>
      <c r="F4638" s="6" t="n">
        <f aca="false">Sens!F4636-Sens!F4632-Sens!F4637</f>
        <v>6.59553830622183</v>
      </c>
      <c r="G4638" s="6" t="n">
        <f aca="false">Sens!G4636-Sens!G4632-Sens!G4637</f>
        <v>6.2214071357448</v>
      </c>
      <c r="H4638" s="6" t="n">
        <f aca="false">Sens!H4636-Sens!H4632-Sens!H4637</f>
        <v>6.23310820539494</v>
      </c>
      <c r="I4638" s="6" t="n">
        <f aca="false">Sens!I4636-Sens!I4632-Sens!I4637</f>
        <v>6.2949168742875</v>
      </c>
      <c r="J4638" s="6" t="n">
        <f aca="false">Sens!J4636-Sens!J4632-Sens!J4637</f>
        <v>6.40492059439965</v>
      </c>
      <c r="K4638" s="6" t="n">
        <f aca="false">Sens!K4636-Sens!K4632-Sens!K4637</f>
        <v>6.56075431943348</v>
      </c>
    </row>
    <row r="4639" customFormat="false" ht="17.15" hidden="false" customHeight="false" outlineLevel="0" collapsed="false">
      <c r="A4639" s="0" t="s">
        <v>1243</v>
      </c>
      <c r="B4639" s="0" t="s">
        <v>98</v>
      </c>
      <c r="F4639" s="6" t="n">
        <f aca="false">Sens!F4633-tax_f*(Sens!F4633-Sens!F4497)-Sens!F4494</f>
        <v>-126.288417593715</v>
      </c>
      <c r="G4639" s="6" t="n">
        <f aca="false">Sens!G4633-tax_f*(Sens!G4633-Sens!G4497)-Sens!G4494</f>
        <v>-112.469072352351</v>
      </c>
      <c r="H4639" s="6" t="n">
        <f aca="false">Sens!H4633-tax_f*(Sens!H4633-Sens!H4497)-Sens!H4494</f>
        <v>-105.254363243434</v>
      </c>
      <c r="I4639" s="6" t="n">
        <f aca="false">Sens!I4633-tax_f*(Sens!I4633-Sens!I4497)-Sens!I4494</f>
        <v>-26.169236608654</v>
      </c>
      <c r="J4639" s="6" t="n">
        <f aca="false">Sens!J4633-tax_f*(Sens!J4633-Sens!J4497)-Sens!J4494</f>
        <v>12.1235665666721</v>
      </c>
      <c r="K4639" s="6" t="n">
        <f aca="false">Sens!K4633-tax_f*(Sens!K4633-Sens!K4497)-Sens!K4494</f>
        <v>21.0192445796891</v>
      </c>
    </row>
    <row r="4640" customFormat="false" ht="17.15" hidden="false" customHeight="false" outlineLevel="0" collapsed="false">
      <c r="A4640" s="0" t="s">
        <v>1244</v>
      </c>
      <c r="B4640" s="0" t="s">
        <v>98</v>
      </c>
      <c r="G4640" s="6" t="n">
        <f aca="false">Sens!G4639/(1+wacc)^(Sens!G4610-Sens!F4611)</f>
        <v>-107.092200037616</v>
      </c>
      <c r="H4640" s="6" t="n">
        <f aca="false">Sens!H4639/(1+wacc)^(Sens!H4610-Sens!F4611)</f>
        <v>-90.8686949141886</v>
      </c>
      <c r="I4640" s="6" t="n">
        <f aca="false">Sens!I4639/(1+wacc)^(Sens!I4610-Sens!F4611)</f>
        <v>-20.4839964156782</v>
      </c>
      <c r="J4640" s="6" t="n">
        <f aca="false">Sens!J4639/(1+wacc)^(Sens!J4610-Sens!F4611)</f>
        <v>8.6040612546135</v>
      </c>
      <c r="K4640" s="6" t="n">
        <f aca="false">Sens!K4639/(1+wacc)^(Sens!K4610-Sens!F4611)</f>
        <v>13.525074026064</v>
      </c>
      <c r="L4640" s="1" t="s">
        <v>1245</v>
      </c>
    </row>
    <row r="4641" customFormat="false" ht="17.15" hidden="false" customHeight="false" outlineLevel="0" collapsed="false">
      <c r="A4641" s="0" t="s">
        <v>1246</v>
      </c>
      <c r="B4641" s="0" t="s">
        <v>98</v>
      </c>
      <c r="C4641" s="6" t="n">
        <f aca="false">(Sens!K4633-Sens!K4497)*(1-tax_f)*(1+g_tv)*(1-g_tv/(wacc+ronic_prem))/(wacc-g_tv)/(1+wacc)^(Sens!K4611-Sens!F4611)</f>
        <v>179.774531490755</v>
      </c>
    </row>
    <row r="4642" customFormat="false" ht="17.15" hidden="false" customHeight="false" outlineLevel="0" collapsed="false">
      <c r="A4642" s="1" t="s">
        <v>1247</v>
      </c>
      <c r="B4642" s="0" t="s">
        <v>98</v>
      </c>
      <c r="C4642" s="6" t="n">
        <f aca="false">(SUM(Sens!G4640:K4640)+Sens!$C$4641)*(1+wacc)^(t_roll-Sens!F4611)</f>
        <v>-17.0873004443422</v>
      </c>
      <c r="L4642" s="12" t="s">
        <v>1248</v>
      </c>
    </row>
    <row r="4643" customFormat="false" ht="17.15" hidden="false" customHeight="false" outlineLevel="0" collapsed="false">
      <c r="A4643" s="1" t="s">
        <v>1249</v>
      </c>
      <c r="B4643" s="0" t="s">
        <v>98</v>
      </c>
      <c r="C4643" s="6" t="n">
        <f aca="false">(w_ntm28*Sens!G4485+(1-w_ntm28)*Sens!H4485)*m_ai</f>
        <v>465.573568471239</v>
      </c>
    </row>
    <row r="4644" customFormat="false" ht="17.15" hidden="false" customHeight="false" outlineLevel="0" collapsed="false">
      <c r="A4644" s="1" t="s">
        <v>1250</v>
      </c>
      <c r="B4644" s="0" t="s">
        <v>98</v>
      </c>
      <c r="C4644" s="6" t="n">
        <f aca="false">(w_ntm28*Sens!G4635+(1-w_ntm28)*Sens!H4635)*m_cloud</f>
        <v>1137.40345379599</v>
      </c>
    </row>
    <row r="4645" customFormat="false" ht="17.15" hidden="false" customHeight="false" outlineLevel="0" collapsed="false">
      <c r="A4645" s="1" t="s">
        <v>1251</v>
      </c>
      <c r="B4645" s="0" t="s">
        <v>98</v>
      </c>
      <c r="C4645" s="6" t="n">
        <f aca="false">(w_ntm28*Sens!G4628+(1-w_ntm28)*Sens!H4628)*m_sw</f>
        <v>1073.74784546831</v>
      </c>
    </row>
    <row r="4646" customFormat="false" ht="17.15" hidden="false" customHeight="false" outlineLevel="0" collapsed="false">
      <c r="A4646" s="1" t="s">
        <v>1252</v>
      </c>
      <c r="B4646" s="0" t="s">
        <v>98</v>
      </c>
      <c r="C4646" s="6" t="n">
        <f aca="false">(w_ntm28*Sens!G4629+(1-w_ntm28)*Sens!H4629)*m_sw</f>
        <v>370.3355897098</v>
      </c>
    </row>
    <row r="4647" customFormat="false" ht="17.15" hidden="false" customHeight="false" outlineLevel="0" collapsed="false">
      <c r="A4647" s="1" t="s">
        <v>1253</v>
      </c>
      <c r="B4647" s="0" t="s">
        <v>98</v>
      </c>
      <c r="C4647" s="6" t="n">
        <f aca="false">(w_ntm28*Sens!G4630+(1-w_ntm28)*Sens!H4630)*m_sw</f>
        <v>107.54149848553</v>
      </c>
    </row>
    <row r="4648" customFormat="false" ht="17.15" hidden="false" customHeight="false" outlineLevel="0" collapsed="false">
      <c r="A4648" s="1" t="s">
        <v>1254</v>
      </c>
      <c r="B4648" s="0" t="s">
        <v>98</v>
      </c>
      <c r="C4648" s="6" t="n">
        <f aca="false">(w_ntm28*Sens!G4631+(1-w_ntm28)*Sens!H4631)*m_sw</f>
        <v>40.8839601197934</v>
      </c>
    </row>
    <row r="4649" customFormat="false" ht="17.15" hidden="false" customHeight="false" outlineLevel="0" collapsed="false">
      <c r="A4649" s="1" t="s">
        <v>1255</v>
      </c>
      <c r="B4649" s="0" t="s">
        <v>98</v>
      </c>
      <c r="C4649" s="6" t="n">
        <f aca="false">(w_ntm28*Sens!G4632+(1-w_ntm28)*Sens!H4632)*m_ads</f>
        <v>113.362059691463</v>
      </c>
    </row>
    <row r="4650" customFormat="false" ht="17.15" hidden="false" customHeight="false" outlineLevel="0" collapsed="false">
      <c r="A4650" s="1" t="s">
        <v>1256</v>
      </c>
      <c r="B4650" s="0" t="s">
        <v>98</v>
      </c>
      <c r="C4650" s="6" t="n">
        <f aca="false">(w_ntm28*Sens!G4637+(1-w_ntm28)*Sens!H4637)*m_game</f>
        <v>97.1613814088513</v>
      </c>
    </row>
    <row r="4651" customFormat="false" ht="17.15" hidden="false" customHeight="false" outlineLevel="0" collapsed="false">
      <c r="A4651" s="1" t="s">
        <v>1257</v>
      </c>
      <c r="B4651" s="0" t="s">
        <v>98</v>
      </c>
      <c r="C4651" s="6" t="n">
        <f aca="false">(w_ntm28*Sens!G4638+(1-w_ntm28)*Sens!H4638)*m_pc</f>
        <v>90.0794262880368</v>
      </c>
    </row>
    <row r="4652" customFormat="false" ht="17.15" hidden="false" customHeight="false" outlineLevel="0" collapsed="false">
      <c r="A4652" s="1" t="s">
        <v>1258</v>
      </c>
      <c r="B4652" s="0" t="s">
        <v>98</v>
      </c>
      <c r="C4652" s="6" t="n">
        <f aca="false">Sens!$C$4642+Sens!$C$4644+Sens!$C$4645+Sens!$C$4646+Sens!$C$4647+Sens!$C$4648+Sens!$C$4649+Sens!$C$4650+Sens!$C$4651</f>
        <v>3013.42791452343</v>
      </c>
    </row>
    <row r="4653" customFormat="false" ht="17.15" hidden="false" customHeight="false" outlineLevel="0" collapsed="false">
      <c r="A4653" s="1" t="s">
        <v>1259</v>
      </c>
      <c r="B4653" s="0" t="s">
        <v>98</v>
      </c>
      <c r="C4653" s="6" t="n">
        <f aca="false">(Sens!G4614-Sens!G4639)*t_stub</f>
        <v>48.1249179058867</v>
      </c>
      <c r="L4653" s="1" t="s">
        <v>1260</v>
      </c>
    </row>
    <row r="4654" customFormat="false" ht="17.15" hidden="false" customHeight="false" outlineLevel="0" collapsed="false">
      <c r="A4654" s="1" t="s">
        <v>1169</v>
      </c>
      <c r="B4654" s="0" t="s">
        <v>98</v>
      </c>
      <c r="C4654" s="6" t="n">
        <f aca="false">Sens!F4601+oai_v-Sens!F4590+Sens!$C$4653</f>
        <v>162.353187905887</v>
      </c>
      <c r="L4654" s="1" t="s">
        <v>1261</v>
      </c>
    </row>
    <row r="4655" customFormat="false" ht="17.15" hidden="false" customHeight="false" outlineLevel="0" collapsed="false">
      <c r="A4655" s="1" t="s">
        <v>1262</v>
      </c>
      <c r="B4655" s="0" t="s">
        <v>75</v>
      </c>
      <c r="C4655" s="5" t="n">
        <f aca="false">(Sens!$C$4652+Sens!$C$4654)/(Sens!F4603+dil_gap)-Sens!G4593*roll_div_q/q_per_yr</f>
        <v>422.847148838236</v>
      </c>
      <c r="L4655" s="1" t="s">
        <v>1263</v>
      </c>
    </row>
    <row r="4656" customFormat="false" ht="17.15" hidden="false" customHeight="false" outlineLevel="0" collapsed="false">
      <c r="A4656" s="1" t="s">
        <v>1264</v>
      </c>
      <c r="B4656" s="0" t="s">
        <v>75</v>
      </c>
      <c r="C4656" s="5" t="n">
        <f aca="false">w_dcf*Sens!$C$4626+(1-w_dcf)*Sens!$C$4655</f>
        <v>363.497607377387</v>
      </c>
    </row>
    <row r="4657" customFormat="false" ht="17.15" hidden="false" customHeight="false" outlineLevel="0" collapsed="false">
      <c r="A4657" s="3" t="s">
        <v>1595</v>
      </c>
    </row>
    <row r="4658" customFormat="false" ht="15" hidden="false" customHeight="false" outlineLevel="0" collapsed="false">
      <c r="A4658" s="4" t="s">
        <v>43</v>
      </c>
      <c r="B4658" s="4" t="s">
        <v>65</v>
      </c>
      <c r="C4658" s="23" t="s">
        <v>938</v>
      </c>
      <c r="D4658" s="23" t="s">
        <v>939</v>
      </c>
      <c r="E4658" s="23" t="s">
        <v>940</v>
      </c>
      <c r="F4658" s="23" t="s">
        <v>941</v>
      </c>
      <c r="G4658" s="23" t="s">
        <v>942</v>
      </c>
      <c r="H4658" s="23" t="s">
        <v>943</v>
      </c>
      <c r="I4658" s="23" t="s">
        <v>944</v>
      </c>
      <c r="J4658" s="23" t="s">
        <v>945</v>
      </c>
      <c r="K4658" s="23" t="s">
        <v>946</v>
      </c>
      <c r="L4658" s="4" t="s">
        <v>47</v>
      </c>
    </row>
    <row r="4659" customFormat="false" ht="17.15" hidden="false" customHeight="false" outlineLevel="0" collapsed="false">
      <c r="A4659" s="1" t="s">
        <v>947</v>
      </c>
      <c r="B4659" s="1" t="s">
        <v>279</v>
      </c>
      <c r="C4659" s="21" t="n">
        <v>2024</v>
      </c>
      <c r="D4659" s="21" t="n">
        <v>2025</v>
      </c>
      <c r="E4659" s="21" t="n">
        <v>2026</v>
      </c>
      <c r="F4659" s="21" t="n">
        <v>2027</v>
      </c>
      <c r="G4659" s="21" t="n">
        <v>2028</v>
      </c>
      <c r="H4659" s="21" t="n">
        <v>2029</v>
      </c>
      <c r="I4659" s="21" t="n">
        <v>2030</v>
      </c>
      <c r="J4659" s="21" t="n">
        <v>2031</v>
      </c>
      <c r="K4659" s="21" t="n">
        <v>2032</v>
      </c>
    </row>
    <row r="4660" customFormat="false" ht="17.15" hidden="false" customHeight="false" outlineLevel="0" collapsed="false">
      <c r="A4660" s="1" t="s">
        <v>948</v>
      </c>
      <c r="B4660" s="0" t="s">
        <v>456</v>
      </c>
      <c r="F4660" s="30" t="n">
        <f aca="false">pace</f>
        <v>2726.5351</v>
      </c>
      <c r="G4660" s="30" t="n">
        <f aca="false">pace</f>
        <v>2726.5351</v>
      </c>
      <c r="H4660" s="30" t="n">
        <f aca="false">pace</f>
        <v>2726.5351</v>
      </c>
      <c r="I4660" s="30" t="n">
        <f aca="false">pace+(g_tv*Sens!H4661-pace)*MIN(1,(Sens!I4659-pace_y0)/(pace_y1-pace_y0))</f>
        <v>1931.98611966667</v>
      </c>
      <c r="J4660" s="30" t="n">
        <f aca="false">pace+(g_tv*Sens!I4661-pace)*MIN(1,(Sens!J4659-pace_y0)/(pace_y1-pace_y0))</f>
        <v>1176.07686172667</v>
      </c>
      <c r="K4660" s="30" t="n">
        <f aca="false">pace+(g_tv*Sens!J4661-pace)*MIN(1,(Sens!K4659-pace_y0)/(pace_y1-pace_y0))</f>
        <v>436.1300484418</v>
      </c>
      <c r="L4660" s="12" t="s">
        <v>949</v>
      </c>
    </row>
    <row r="4661" customFormat="false" ht="17.15" hidden="false" customHeight="false" outlineLevel="0" collapsed="false">
      <c r="A4661" s="1" t="s">
        <v>950</v>
      </c>
      <c r="B4661" s="0" t="s">
        <v>456</v>
      </c>
      <c r="C4661" s="30" t="n">
        <f aca="false">mw_ext_24</f>
        <v>640</v>
      </c>
      <c r="D4661" s="30" t="n">
        <f aca="false">mw_ext_25</f>
        <v>1630</v>
      </c>
      <c r="E4661" s="30" t="n">
        <f aca="false">mw_ext_26</f>
        <v>3250</v>
      </c>
      <c r="F4661" s="30" t="n">
        <f aca="false">Sens!E4661+Sens!F4660</f>
        <v>5976.5351</v>
      </c>
      <c r="G4661" s="30" t="n">
        <f aca="false">Sens!F4661+Sens!G4660</f>
        <v>8703.0702</v>
      </c>
      <c r="H4661" s="30" t="n">
        <f aca="false">Sens!G4661+Sens!H4660</f>
        <v>11429.6053</v>
      </c>
      <c r="I4661" s="30" t="n">
        <f aca="false">Sens!H4661+Sens!I4660</f>
        <v>13361.5914196667</v>
      </c>
      <c r="J4661" s="30" t="n">
        <f aca="false">Sens!I4661+Sens!J4660</f>
        <v>14537.6682813933</v>
      </c>
      <c r="K4661" s="30" t="n">
        <f aca="false">Sens!J4661+Sens!K4660</f>
        <v>14973.7983298351</v>
      </c>
      <c r="L4661" s="1" t="s">
        <v>951</v>
      </c>
    </row>
    <row r="4662" customFormat="false" ht="17.15" hidden="false" customHeight="false" outlineLevel="0" collapsed="false">
      <c r="A4662" s="1" t="s">
        <v>952</v>
      </c>
      <c r="B4662" s="0" t="s">
        <v>456</v>
      </c>
      <c r="C4662" s="30" t="n">
        <f aca="false">rent_ext_24</f>
        <v>150</v>
      </c>
      <c r="D4662" s="30" t="n">
        <f aca="false">rent_ext_25</f>
        <v>400</v>
      </c>
      <c r="E4662" s="30" t="n">
        <f aca="false">rent_ext_26</f>
        <v>550</v>
      </c>
      <c r="F4662" s="30" t="n">
        <f aca="false">rent_ext_f</f>
        <v>756</v>
      </c>
      <c r="G4662" s="30" t="n">
        <f aca="false">rent_ext_f</f>
        <v>756</v>
      </c>
      <c r="H4662" s="30" t="n">
        <f aca="false">rent_ext_f</f>
        <v>756</v>
      </c>
      <c r="I4662" s="30" t="n">
        <f aca="false">rent_ext_f</f>
        <v>756</v>
      </c>
      <c r="J4662" s="30" t="n">
        <f aca="false">rent_ext_f</f>
        <v>756</v>
      </c>
      <c r="K4662" s="30" t="n">
        <f aca="false">rent_ext_f</f>
        <v>756</v>
      </c>
      <c r="L4662" s="1" t="s">
        <v>953</v>
      </c>
    </row>
    <row r="4663" customFormat="false" ht="17.15" hidden="false" customHeight="false" outlineLevel="0" collapsed="false">
      <c r="A4663" s="1" t="s">
        <v>954</v>
      </c>
      <c r="B4663" s="0" t="s">
        <v>456</v>
      </c>
      <c r="C4663" s="30" t="n">
        <f aca="false">Sens!C4661-Sens!C4662</f>
        <v>490</v>
      </c>
      <c r="D4663" s="30" t="n">
        <f aca="false">Sens!D4661-Sens!D4662</f>
        <v>1230</v>
      </c>
      <c r="E4663" s="30" t="n">
        <f aca="false">Sens!E4661-Sens!E4662</f>
        <v>2700</v>
      </c>
      <c r="F4663" s="30" t="n">
        <f aca="false">Sens!F4661-Sens!F4662</f>
        <v>5220.5351</v>
      </c>
      <c r="G4663" s="30" t="n">
        <f aca="false">Sens!G4661-Sens!G4662</f>
        <v>7947.0702</v>
      </c>
      <c r="H4663" s="30" t="n">
        <f aca="false">Sens!H4661-Sens!H4662</f>
        <v>10673.6053</v>
      </c>
      <c r="I4663" s="30" t="n">
        <f aca="false">Sens!I4661-Sens!I4662</f>
        <v>12605.5914196667</v>
      </c>
      <c r="J4663" s="30" t="n">
        <f aca="false">Sens!J4661-Sens!J4662</f>
        <v>13781.6682813933</v>
      </c>
      <c r="K4663" s="30" t="n">
        <f aca="false">Sens!K4661-Sens!K4662</f>
        <v>14217.7983298351</v>
      </c>
    </row>
    <row r="4664" customFormat="false" ht="17.15" hidden="false" customHeight="false" outlineLevel="0" collapsed="false">
      <c r="A4664" s="1" t="s">
        <v>955</v>
      </c>
      <c r="B4664" s="0" t="s">
        <v>456</v>
      </c>
      <c r="C4664" s="30" t="n">
        <f aca="false">Sens!C4663/ext_sh</f>
        <v>816.666666666667</v>
      </c>
      <c r="D4664" s="30" t="n">
        <f aca="false">Sens!D4663/ext_sh</f>
        <v>2050</v>
      </c>
      <c r="E4664" s="30" t="n">
        <f aca="false">Sens!E4663/ext_sh</f>
        <v>4500</v>
      </c>
      <c r="F4664" s="30" t="n">
        <f aca="false">Sens!F4663/ext_sh</f>
        <v>8700.89183333333</v>
      </c>
      <c r="G4664" s="30" t="n">
        <f aca="false">Sens!G4663/ext_sh</f>
        <v>13245.117</v>
      </c>
      <c r="H4664" s="30" t="n">
        <f aca="false">Sens!H4663/ext_sh</f>
        <v>17789.3421666667</v>
      </c>
      <c r="I4664" s="30" t="n">
        <f aca="false">Sens!I4663/ext_sh</f>
        <v>21009.3190327778</v>
      </c>
      <c r="J4664" s="30" t="n">
        <f aca="false">Sens!J4663/ext_sh</f>
        <v>22969.4471356556</v>
      </c>
      <c r="K4664" s="30" t="n">
        <f aca="false">Sens!K4663/ext_sh</f>
        <v>23696.3305497252</v>
      </c>
      <c r="L4664" s="1" t="s">
        <v>956</v>
      </c>
    </row>
    <row r="4665" customFormat="false" ht="17.15" hidden="false" customHeight="false" outlineLevel="0" collapsed="false">
      <c r="A4665" s="1" t="s">
        <v>957</v>
      </c>
      <c r="B4665" s="0" t="s">
        <v>456</v>
      </c>
      <c r="C4665" s="30" t="n">
        <f aca="false">Sens!C4664-Sens!C4663</f>
        <v>326.666666666667</v>
      </c>
      <c r="D4665" s="30" t="n">
        <f aca="false">Sens!D4664-Sens!D4663</f>
        <v>820</v>
      </c>
      <c r="E4665" s="30" t="n">
        <f aca="false">Sens!E4664-Sens!E4663</f>
        <v>1800</v>
      </c>
      <c r="F4665" s="30" t="n">
        <f aca="false">Sens!F4664-Sens!F4663</f>
        <v>3480.35673333333</v>
      </c>
      <c r="G4665" s="30" t="n">
        <f aca="false">Sens!G4664-Sens!G4663</f>
        <v>5298.0468</v>
      </c>
      <c r="H4665" s="30" t="n">
        <f aca="false">Sens!H4664-Sens!H4663</f>
        <v>7115.73686666667</v>
      </c>
      <c r="I4665" s="30" t="n">
        <f aca="false">Sens!I4664-Sens!I4663</f>
        <v>8403.72761311111</v>
      </c>
      <c r="J4665" s="30" t="n">
        <f aca="false">Sens!J4664-Sens!J4663</f>
        <v>9187.77885426222</v>
      </c>
      <c r="K4665" s="30" t="n">
        <f aca="false">Sens!K4664-Sens!K4663</f>
        <v>9478.53221989009</v>
      </c>
    </row>
    <row r="4666" customFormat="false" ht="17.15" hidden="false" customHeight="false" outlineLevel="0" collapsed="false">
      <c r="A4666" s="1" t="s">
        <v>958</v>
      </c>
      <c r="B4666" s="0" t="s">
        <v>456</v>
      </c>
      <c r="C4666" s="30" t="n">
        <f aca="false">Sens!C4664</f>
        <v>816.666666666667</v>
      </c>
      <c r="D4666" s="30" t="n">
        <f aca="false">Sens!D4664-Sens!C4664</f>
        <v>1233.33333333333</v>
      </c>
      <c r="E4666" s="30" t="n">
        <f aca="false">Sens!E4664-Sens!D4664</f>
        <v>2450</v>
      </c>
      <c r="F4666" s="30" t="n">
        <f aca="false">Sens!F4664-Sens!E4664</f>
        <v>4200.89183333333</v>
      </c>
      <c r="G4666" s="30" t="n">
        <f aca="false">Sens!G4664-Sens!F4664</f>
        <v>4544.22516666667</v>
      </c>
      <c r="H4666" s="30" t="n">
        <f aca="false">Sens!H4664-Sens!G4664</f>
        <v>4544.22516666667</v>
      </c>
      <c r="I4666" s="30" t="n">
        <f aca="false">Sens!I4664-Sens!H4664</f>
        <v>3219.97686611111</v>
      </c>
      <c r="J4666" s="30" t="n">
        <f aca="false">Sens!J4664-Sens!I4664</f>
        <v>1960.12810287778</v>
      </c>
      <c r="K4666" s="30" t="n">
        <f aca="false">Sens!K4664-Sens!J4664</f>
        <v>726.883414069667</v>
      </c>
    </row>
    <row r="4667" customFormat="false" ht="17.15" hidden="false" customHeight="false" outlineLevel="0" collapsed="false">
      <c r="A4667" s="1" t="s">
        <v>959</v>
      </c>
      <c r="B4667" s="0" t="s">
        <v>456</v>
      </c>
      <c r="D4667" s="30" t="n">
        <f aca="false">Sens!D4661-Sens!C4661</f>
        <v>990</v>
      </c>
      <c r="E4667" s="30" t="n">
        <f aca="false">Sens!E4661-Sens!D4661</f>
        <v>1620</v>
      </c>
      <c r="F4667" s="30" t="n">
        <f aca="false">Sens!F4661-Sens!E4661</f>
        <v>2726.5351</v>
      </c>
      <c r="G4667" s="30" t="n">
        <f aca="false">Sens!G4661-Sens!F4661</f>
        <v>2726.5351</v>
      </c>
      <c r="H4667" s="30" t="n">
        <f aca="false">Sens!H4661-Sens!G4661</f>
        <v>2726.5351</v>
      </c>
      <c r="I4667" s="30" t="n">
        <f aca="false">Sens!I4661-Sens!H4661</f>
        <v>1931.98611966667</v>
      </c>
      <c r="J4667" s="30" t="n">
        <f aca="false">Sens!J4661-Sens!I4661</f>
        <v>1176.07686172667</v>
      </c>
      <c r="K4667" s="30" t="n">
        <f aca="false">Sens!K4661-Sens!J4661</f>
        <v>436.130048441799</v>
      </c>
    </row>
    <row r="4668" customFormat="false" ht="17.15" hidden="false" customHeight="false" outlineLevel="0" collapsed="false">
      <c r="A4668" s="1" t="s">
        <v>960</v>
      </c>
      <c r="B4668" s="0" t="s">
        <v>456</v>
      </c>
      <c r="F4668" s="30" t="n">
        <f aca="false">Sens!F4687*ext_sh</f>
        <v>0</v>
      </c>
      <c r="G4668" s="30" t="n">
        <f aca="false">Sens!G4687*ext_sh</f>
        <v>0</v>
      </c>
      <c r="H4668" s="30" t="n">
        <f aca="false">Sens!H4687*ext_sh</f>
        <v>490</v>
      </c>
      <c r="I4668" s="30" t="n">
        <f aca="false">Sens!I4687*ext_sh</f>
        <v>740</v>
      </c>
      <c r="J4668" s="30" t="n">
        <f aca="false">Sens!J4687*ext_sh</f>
        <v>1470</v>
      </c>
      <c r="K4668" s="30" t="n">
        <f aca="false">Sens!K4687*ext_sh</f>
        <v>2520.5351</v>
      </c>
      <c r="L4668" s="1" t="s">
        <v>961</v>
      </c>
    </row>
    <row r="4669" customFormat="false" ht="17.15" hidden="false" customHeight="false" outlineLevel="0" collapsed="false">
      <c r="A4669" s="1" t="s">
        <v>962</v>
      </c>
      <c r="B4669" s="0" t="s">
        <v>456</v>
      </c>
      <c r="C4669" s="30" t="n">
        <f aca="false">mix_h*Sens!C4661</f>
        <v>128</v>
      </c>
      <c r="D4669" s="30" t="n">
        <f aca="false">mix_h*Sens!D4661</f>
        <v>326</v>
      </c>
      <c r="E4669" s="30" t="n">
        <f aca="false">mix_h*Sens!E4661</f>
        <v>650</v>
      </c>
      <c r="F4669" s="30" t="n">
        <f aca="false">Sens!E4669-Sens!F4668*mix_h</f>
        <v>650</v>
      </c>
      <c r="G4669" s="30" t="n">
        <f aca="false">Sens!F4669-Sens!G4668*mix_h</f>
        <v>650</v>
      </c>
      <c r="H4669" s="30" t="n">
        <f aca="false">Sens!G4669-Sens!H4668*mix_h</f>
        <v>552</v>
      </c>
      <c r="I4669" s="30" t="n">
        <f aca="false">Sens!H4669-Sens!I4668*mix_h</f>
        <v>404</v>
      </c>
      <c r="J4669" s="30" t="n">
        <f aca="false">Sens!I4669-Sens!J4668*mix_h</f>
        <v>110</v>
      </c>
      <c r="K4669" s="30" t="n">
        <f aca="false">Sens!J4669-Sens!K4668*mix_h</f>
        <v>-394.10702</v>
      </c>
    </row>
    <row r="4670" customFormat="false" ht="17.15" hidden="false" customHeight="false" outlineLevel="0" collapsed="false">
      <c r="A4670" s="1" t="s">
        <v>963</v>
      </c>
      <c r="B4670" s="0" t="s">
        <v>456</v>
      </c>
      <c r="C4670" s="30" t="n">
        <f aca="false">mix_g2*Sens!C4661</f>
        <v>288</v>
      </c>
      <c r="D4670" s="30" t="n">
        <f aca="false">mix_g2*Sens!D4661</f>
        <v>733.5</v>
      </c>
      <c r="E4670" s="30" t="n">
        <f aca="false">mix_g2*Sens!E4661</f>
        <v>1462.5</v>
      </c>
      <c r="F4670" s="30" t="n">
        <f aca="false">Sens!E4670-Sens!F4668*mix_g2</f>
        <v>1462.5</v>
      </c>
      <c r="G4670" s="30" t="n">
        <f aca="false">Sens!F4670-Sens!G4668*mix_g2</f>
        <v>1462.5</v>
      </c>
      <c r="H4670" s="30" t="n">
        <f aca="false">Sens!G4670-Sens!H4668*mix_g2</f>
        <v>1242</v>
      </c>
      <c r="I4670" s="30" t="n">
        <f aca="false">Sens!H4670-Sens!I4668*mix_g2</f>
        <v>909</v>
      </c>
      <c r="J4670" s="30" t="n">
        <f aca="false">Sens!I4670-Sens!J4668*mix_g2</f>
        <v>247.5</v>
      </c>
      <c r="K4670" s="30" t="n">
        <f aca="false">Sens!J4670-Sens!K4668*mix_g2</f>
        <v>-886.740795</v>
      </c>
    </row>
    <row r="4671" customFormat="false" ht="17.15" hidden="false" customHeight="false" outlineLevel="0" collapsed="false">
      <c r="A4671" s="1" t="s">
        <v>964</v>
      </c>
      <c r="B4671" s="0" t="s">
        <v>456</v>
      </c>
      <c r="C4671" s="30" t="n">
        <f aca="false">mix_g3*Sens!C4661</f>
        <v>224</v>
      </c>
      <c r="D4671" s="30" t="n">
        <f aca="false">mix_g3*Sens!D4661</f>
        <v>570.5</v>
      </c>
      <c r="E4671" s="30" t="n">
        <f aca="false">mix_g3*Sens!E4661</f>
        <v>1137.5</v>
      </c>
      <c r="F4671" s="30" t="n">
        <f aca="false">Sens!E4671+(Sens!F4667+Sens!F4668)*(a_g3_27-nonnv*a_mai)-Sens!F4668*mix_g3</f>
        <v>2773.42106</v>
      </c>
      <c r="G4671" s="30" t="n">
        <f aca="false">Sens!F4671+(Sens!G4667+Sens!G4668)*(a_g3_28-nonnv*a_mai)-Sens!G4668*mix_g3</f>
        <v>3318.72808</v>
      </c>
      <c r="H4671" s="30" t="n">
        <f aca="false">Sens!G4671+(Sens!H4667+Sens!H4668)*(a_g3_29-nonnv*a_mai)-Sens!H4668*mix_g3</f>
        <v>3147.22808</v>
      </c>
      <c r="I4671" s="30" t="n">
        <f aca="false">Sens!H4671+(Sens!I4667+Sens!I4668)*(a_g3_29-nonnv*a_mai)-Sens!I4668*mix_g3</f>
        <v>2888.22808</v>
      </c>
      <c r="J4671" s="30" t="n">
        <f aca="false">Sens!I4671+(Sens!J4667+Sens!J4668)*(a_g3_29-nonnv*a_mai)-Sens!J4668*mix_g3</f>
        <v>2373.72808</v>
      </c>
      <c r="K4671" s="30" t="n">
        <f aca="false">Sens!J4671+(Sens!K4667+Sens!K4668)*(a_g3_29-nonnv*a_mai)-Sens!K4668*mix_g3</f>
        <v>1491.540795</v>
      </c>
    </row>
    <row r="4672" customFormat="false" ht="17.15" hidden="false" customHeight="false" outlineLevel="0" collapsed="false">
      <c r="A4672" s="1" t="s">
        <v>965</v>
      </c>
      <c r="B4672" s="0" t="s">
        <v>456</v>
      </c>
      <c r="C4672" s="30" t="n">
        <v>0</v>
      </c>
      <c r="D4672" s="30" t="n">
        <v>0</v>
      </c>
      <c r="E4672" s="30" t="n">
        <v>0</v>
      </c>
      <c r="F4672" s="30" t="n">
        <f aca="false">Sens!E4672+(Sens!F4667+Sens!F4668)*nonnv*a_mai</f>
        <v>272.65351</v>
      </c>
      <c r="G4672" s="30" t="n">
        <f aca="false">Sens!F4672+(Sens!G4667+Sens!G4668)*nonnv*a_mai</f>
        <v>545.30702</v>
      </c>
      <c r="H4672" s="30" t="n">
        <f aca="false">Sens!G4672+(Sens!H4667+Sens!H4668)*nonnv*a_mai</f>
        <v>866.96053</v>
      </c>
      <c r="I4672" s="30" t="n">
        <f aca="false">Sens!H4672+(Sens!I4667+Sens!I4668)*nonnv*a_mai</f>
        <v>1134.15914196667</v>
      </c>
      <c r="J4672" s="30" t="n">
        <f aca="false">Sens!I4672+(Sens!J4667+Sens!J4668)*nonnv*a_mai</f>
        <v>1398.76682813933</v>
      </c>
      <c r="K4672" s="30" t="n">
        <f aca="false">Sens!J4672+(Sens!K4667+Sens!K4668)*nonnv*a_mai</f>
        <v>1694.43334298351</v>
      </c>
      <c r="L4672" s="12" t="s">
        <v>966</v>
      </c>
    </row>
    <row r="4673" customFormat="false" ht="17.15" hidden="false" customHeight="false" outlineLevel="0" collapsed="false">
      <c r="A4673" s="1" t="s">
        <v>967</v>
      </c>
      <c r="B4673" s="0" t="s">
        <v>456</v>
      </c>
      <c r="C4673" s="30" t="n">
        <v>0</v>
      </c>
      <c r="D4673" s="30" t="n">
        <v>0</v>
      </c>
      <c r="E4673" s="30" t="n">
        <v>0</v>
      </c>
      <c r="F4673" s="30" t="n">
        <f aca="false">Sens!E4673+(Sens!F4667+Sens!F4668)*(1-a_g3_27)</f>
        <v>817.96053</v>
      </c>
      <c r="G4673" s="30" t="n">
        <f aca="false">Sens!F4673+(Sens!G4667+Sens!G4668)*(1-a_g3_28)</f>
        <v>2726.5351</v>
      </c>
      <c r="H4673" s="30" t="n">
        <f aca="false">Sens!G4673+(Sens!H4667+Sens!H4668)*(1-a_g3_29)</f>
        <v>5621.41669</v>
      </c>
      <c r="I4673" s="30" t="n">
        <f aca="false">Sens!H4673+(Sens!I4667+Sens!I4668)*(1-a_g3_29)</f>
        <v>8026.2041977</v>
      </c>
      <c r="J4673" s="30" t="n">
        <f aca="false">Sens!I4673+(Sens!J4667+Sens!J4668)*(1-a_g3_29)</f>
        <v>10407.673373254</v>
      </c>
      <c r="K4673" s="30" t="n">
        <f aca="false">Sens!J4673+(Sens!K4667+Sens!K4668)*(1-a_g3_29)</f>
        <v>13068.6720068516</v>
      </c>
    </row>
    <row r="4674" customFormat="false" ht="17.15" hidden="false" customHeight="false" outlineLevel="0" collapsed="false">
      <c r="A4674" s="1" t="s">
        <v>968</v>
      </c>
      <c r="B4674" s="0" t="s">
        <v>403</v>
      </c>
      <c r="C4674" s="15" t="n">
        <f aca="false">(Sens!C4669*tk_hold_h100+Sens!C4670*tk_hold_gb200+Sens!C4671*tk_hold_gb300+Sens!C4673*tk_hold_vr200+Sens!C4672*nv_hold_mai*tk_hold_vr200)/Sens!C4661</f>
        <v>9.7235358126469</v>
      </c>
      <c r="D4674" s="15" t="n">
        <f aca="false">(Sens!D4669*tk_hold_h100+Sens!D4670*tk_hold_gb200+Sens!D4671*tk_hold_gb300+Sens!D4673*tk_hold_vr200+Sens!D4672*nv_hold_mai*tk_hold_vr200)/Sens!D4661</f>
        <v>9.7235358126469</v>
      </c>
      <c r="E4674" s="15" t="n">
        <f aca="false">(Sens!E4669*tk_hold_h100+Sens!E4670*tk_hold_gb200+Sens!E4671*tk_hold_gb300+Sens!E4673*tk_hold_vr200+Sens!E4672*nv_hold_mai*tk_hold_vr200)/Sens!E4661</f>
        <v>9.7235358126469</v>
      </c>
      <c r="F4674" s="15" t="n">
        <f aca="false">(Sens!F4669*tk_hold_h100+Sens!F4670*tk_hold_gb200+Sens!F4671*tk_hold_gb300+Sens!F4673*tk_hold_vr200+Sens!F4672*nv_hold_mai*tk_hold_vr200)/Sens!F4661</f>
        <v>10.2195353876665</v>
      </c>
      <c r="G4674" s="15" t="n">
        <f aca="false">(Sens!G4669*tk_hold_h100+Sens!G4670*tk_hold_gb200+Sens!G4671*tk_hold_gb300+Sens!G4673*tk_hold_vr200+Sens!G4672*nv_hold_mai*tk_hold_vr200)/Sens!G4661</f>
        <v>10.5725598017306</v>
      </c>
      <c r="H4674" s="15" t="n">
        <f aca="false">(Sens!H4669*tk_hold_h100+Sens!H4670*tk_hold_gb200+Sens!H4671*tk_hold_gb300+Sens!H4673*tk_hold_vr200+Sens!H4672*nv_hold_mai*tk_hold_vr200)/Sens!H4661</f>
        <v>10.902097500272</v>
      </c>
      <c r="I4674" s="15" t="n">
        <f aca="false">(Sens!I4669*tk_hold_h100+Sens!I4670*tk_hold_gb200+Sens!I4671*tk_hold_gb300+Sens!I4673*tk_hold_vr200+Sens!I4672*nv_hold_mai*tk_hold_vr200)/Sens!I4661</f>
        <v>11.1097716279125</v>
      </c>
      <c r="J4674" s="15" t="n">
        <f aca="false">(Sens!J4669*tk_hold_h100+Sens!J4670*tk_hold_gb200+Sens!J4671*tk_hold_gb300+Sens!J4673*tk_hold_vr200+Sens!J4672*nv_hold_mai*tk_hold_vr200)/Sens!J4661</f>
        <v>11.3417562963592</v>
      </c>
      <c r="K4674" s="15" t="n">
        <f aca="false">(Sens!K4669*tk_hold_h100+Sens!K4670*tk_hold_gb200+Sens!K4671*tk_hold_gb300+Sens!K4673*tk_hold_vr200+Sens!K4672*nv_hold_mai*tk_hold_vr200)/Sens!K4661</f>
        <v>11.6679459977291</v>
      </c>
      <c r="L4674" s="1" t="s">
        <v>969</v>
      </c>
    </row>
    <row r="4675" customFormat="false" ht="17.15" hidden="false" customHeight="false" outlineLevel="0" collapsed="false">
      <c r="A4675" s="1" t="s">
        <v>970</v>
      </c>
      <c r="B4675" s="0" t="s">
        <v>403</v>
      </c>
      <c r="C4675" s="15" t="n">
        <f aca="false">(Sens!C4669*tk_hold_h100+Sens!C4670*tk_hold_gb200+Sens!C4671*tk_hold_gb300+Sens!C4673*tk_hold_vr200+Sens!C4672*nv_out_mai*tk_hold_vr200)/Sens!C4661</f>
        <v>9.7235358126469</v>
      </c>
      <c r="D4675" s="15" t="n">
        <f aca="false">(Sens!D4669*tk_hold_h100+Sens!D4670*tk_hold_gb200+Sens!D4671*tk_hold_gb300+Sens!D4673*tk_hold_vr200+Sens!D4672*nv_out_mai*tk_hold_vr200)/Sens!D4661</f>
        <v>9.7235358126469</v>
      </c>
      <c r="E4675" s="15" t="n">
        <f aca="false">(Sens!E4669*tk_hold_h100+Sens!E4670*tk_hold_gb200+Sens!E4671*tk_hold_gb300+Sens!E4673*tk_hold_vr200+Sens!E4672*nv_out_mai*tk_hold_vr200)/Sens!E4661</f>
        <v>9.7235358126469</v>
      </c>
      <c r="F4675" s="15" t="n">
        <f aca="false">(Sens!F4669*tk_hold_h100+Sens!F4670*tk_hold_gb200+Sens!F4671*tk_hold_gb300+Sens!F4673*tk_hold_vr200+Sens!F4672*nv_out_mai*tk_hold_vr200)/Sens!F4661</f>
        <v>10.247422093969</v>
      </c>
      <c r="G4675" s="15" t="n">
        <f aca="false">(Sens!G4669*tk_hold_h100+Sens!G4670*tk_hold_gb200+Sens!G4671*tk_hold_gb300+Sens!G4673*tk_hold_vr200+Sens!G4672*nv_out_mai*tk_hold_vr200)/Sens!G4661</f>
        <v>10.6108602808053</v>
      </c>
      <c r="H4675" s="15" t="n">
        <f aca="false">(Sens!H4669*tk_hold_h100+Sens!H4670*tk_hold_gb200+Sens!H4671*tk_hold_gb300+Sens!H4673*tk_hold_vr200+Sens!H4672*nv_out_mai*tk_hold_vr200)/Sens!H4661</f>
        <v>10.9484639343852</v>
      </c>
      <c r="I4675" s="15" t="n">
        <f aca="false">(Sens!I4669*tk_hold_h100+Sens!I4670*tk_hold_gb200+Sens!I4671*tk_hold_gb300+Sens!I4673*tk_hold_vr200+Sens!I4672*nv_out_mai*tk_hold_vr200)/Sens!I4661</f>
        <v>11.1616577740653</v>
      </c>
      <c r="J4675" s="15" t="n">
        <f aca="false">(Sens!J4669*tk_hold_h100+Sens!J4670*tk_hold_gb200+Sens!J4671*tk_hold_gb300+Sens!J4673*tk_hold_vr200+Sens!J4672*nv_out_mai*tk_hold_vr200)/Sens!J4661</f>
        <v>11.4005710353138</v>
      </c>
      <c r="K4675" s="15" t="n">
        <f aca="false">(Sens!K4669*tk_hold_h100+Sens!K4670*tk_hold_gb200+Sens!K4671*tk_hold_gb300+Sens!K4673*tk_hold_vr200+Sens!K4672*nv_out_mai*tk_hold_vr200)/Sens!K4661</f>
        <v>11.7371176442531</v>
      </c>
      <c r="L4675" s="12" t="s">
        <v>971</v>
      </c>
    </row>
    <row r="4676" customFormat="false" ht="17.15" hidden="false" customHeight="false" outlineLevel="0" collapsed="false">
      <c r="A4676" s="0" t="s">
        <v>972</v>
      </c>
      <c r="B4676" s="0" t="s">
        <v>229</v>
      </c>
      <c r="C4676" s="15" t="n">
        <f aca="false">k_B</f>
        <v>1.17213932619116</v>
      </c>
      <c r="D4676" s="15" t="n">
        <f aca="false">k_B</f>
        <v>1.17213932619116</v>
      </c>
      <c r="E4676" s="15" t="n">
        <f aca="false">k_B</f>
        <v>1.17213932619116</v>
      </c>
      <c r="F4676" s="15" t="n">
        <f aca="false">(k_B+((ls_C*k_long+(1-ls_C)*k_spot)-k_B)*MIN(1,(Sens!F4659-base_fy)/k_ramp))</f>
        <v>1.07843258004497</v>
      </c>
      <c r="G4676" s="15" t="n">
        <f aca="false">(k_B+((ls_C*k_long+(1-ls_C)*k_spot)-k_B)*MIN(1,(Sens!G4659-base_fy)/k_ramp))</f>
        <v>0.984725833898784</v>
      </c>
      <c r="H4676" s="15" t="n">
        <f aca="false">(k_B+((ls_C*k_long+(1-ls_C)*k_spot)-k_B)*MIN(1,(Sens!H4659-base_fy)/k_ramp))</f>
        <v>0.891019087752599</v>
      </c>
      <c r="I4676" s="15" t="n">
        <f aca="false">(k_B+((ls_C*k_long+(1-ls_C)*k_spot)-k_B)*MIN(1,(Sens!I4659-base_fy)/k_ramp))</f>
        <v>0.891019087752599</v>
      </c>
      <c r="J4676" s="15" t="n">
        <f aca="false">(k_B+((ls_C*k_long+(1-ls_C)*k_spot)-k_B)*MIN(1,(Sens!J4659-base_fy)/k_ramp))</f>
        <v>0.891019087752599</v>
      </c>
      <c r="K4676" s="15" t="n">
        <f aca="false">(k_B+((ls_C*k_long+(1-ls_C)*k_spot)-k_B)*MIN(1,(Sens!K4659-base_fy)/k_ramp))</f>
        <v>0.891019087752599</v>
      </c>
      <c r="L4676" s="1" t="s">
        <v>973</v>
      </c>
    </row>
    <row r="4677" customFormat="false" ht="17.15" hidden="false" customHeight="false" outlineLevel="0" collapsed="false">
      <c r="A4677" s="1" t="s">
        <v>974</v>
      </c>
      <c r="B4677" s="0" t="s">
        <v>403</v>
      </c>
      <c r="C4677" s="15" t="n">
        <f aca="false">Sens!C4675*Sens!C4676*chip_f</f>
        <v>11.3973387156315</v>
      </c>
      <c r="D4677" s="15" t="n">
        <f aca="false">Sens!D4675*Sens!D4676*chip_f</f>
        <v>11.3973387156315</v>
      </c>
      <c r="E4677" s="15" t="n">
        <f aca="false">Sens!E4675*Sens!E4676*chip_f</f>
        <v>11.3973387156315</v>
      </c>
      <c r="F4677" s="15" t="n">
        <f aca="false">Sens!F4675*Sens!F4676*chip_f</f>
        <v>11.0511538476088</v>
      </c>
      <c r="G4677" s="15" t="n">
        <f aca="false">Sens!G4675*Sens!G4676*chip_f</f>
        <v>10.4487882383995</v>
      </c>
      <c r="H4677" s="15" t="n">
        <f aca="false">Sens!H4675*Sens!H4676*chip_f</f>
        <v>9.75529034710811</v>
      </c>
      <c r="I4677" s="15" t="n">
        <f aca="false">Sens!I4675*Sens!I4676*chip_f</f>
        <v>9.94525012765435</v>
      </c>
      <c r="J4677" s="15" t="n">
        <f aca="false">Sens!J4675*Sens!J4676*chip_f</f>
        <v>10.158126403744</v>
      </c>
      <c r="K4677" s="15" t="n">
        <f aca="false">Sens!K4675*Sens!K4676*chip_f</f>
        <v>10.4579958562273</v>
      </c>
      <c r="L4677" s="1" t="s">
        <v>975</v>
      </c>
    </row>
    <row r="4678" customFormat="false" ht="17.15" hidden="false" customHeight="false" outlineLevel="0" collapsed="false">
      <c r="A4678" s="0" t="s">
        <v>976</v>
      </c>
      <c r="B4678" s="0" t="s">
        <v>98</v>
      </c>
      <c r="D4678" s="6" t="n">
        <f aca="false">(Sens!C4661+Sens!D4661)/2*Sens!D4677/1000</f>
        <v>12.9359794422418</v>
      </c>
      <c r="E4678" s="6" t="n">
        <f aca="false">(Sens!D4661+Sens!E4661)/2*Sens!E4677/1000</f>
        <v>27.8095064661409</v>
      </c>
      <c r="F4678" s="6" t="n">
        <f aca="false">(Sens!E4661+Sens!F4661)/2*Sens!F4677/1000</f>
        <v>50.9819294352312</v>
      </c>
      <c r="G4678" s="6" t="n">
        <f aca="false">(Sens!F4661+Sens!G4661)/2*Sens!G4677/1000</f>
        <v>76.6920436014933</v>
      </c>
      <c r="H4678" s="6" t="n">
        <f aca="false">(Sens!G4661+Sens!H4661)/2*Sens!H4677/1000</f>
        <v>98.200047483305</v>
      </c>
      <c r="I4678" s="6" t="n">
        <f aca="false">(Sens!H4661+Sens!I4661)/2*Sens!I4677/1000</f>
        <v>123.277326170485</v>
      </c>
      <c r="J4678" s="6" t="n">
        <f aca="false">(Sens!I4661+Sens!J4661)/2*Sens!J4677/1000</f>
        <v>141.702103307125</v>
      </c>
      <c r="K4678" s="6" t="n">
        <f aca="false">(Sens!J4661+Sens!K4661)/2*Sens!K4677/1000</f>
        <v>154.315397765709</v>
      </c>
      <c r="L4678" s="12" t="s">
        <v>977</v>
      </c>
    </row>
    <row r="4679" customFormat="false" ht="17.15" hidden="false" customHeight="false" outlineLevel="0" collapsed="false">
      <c r="A4679" s="1" t="s">
        <v>978</v>
      </c>
      <c r="B4679" s="0" t="s">
        <v>403</v>
      </c>
      <c r="C4679" s="15" t="n">
        <f aca="false">(Sens!C4669*tk_opex_h100+Sens!C4670*tk_opex_gb200+Sens!C4671*tk_opex_gb300+(Sens!C4673+Sens!C4672)*tk_opex_vr200)/Sens!C4661</f>
        <v>1.88636041306092</v>
      </c>
      <c r="D4679" s="15" t="n">
        <f aca="false">(Sens!D4669*tk_opex_h100+Sens!D4670*tk_opex_gb200+Sens!D4671*tk_opex_gb300+(Sens!D4673+Sens!D4672)*tk_opex_vr200)/Sens!D4661</f>
        <v>1.88636041306092</v>
      </c>
      <c r="E4679" s="15" t="n">
        <f aca="false">(Sens!E4669*tk_opex_h100+Sens!E4670*tk_opex_gb200+Sens!E4671*tk_opex_gb300+(Sens!E4673+Sens!E4672)*tk_opex_vr200)/Sens!E4661</f>
        <v>1.88636041306092</v>
      </c>
      <c r="F4679" s="15" t="n">
        <f aca="false">(Sens!F4669*tk_opex_h100+Sens!F4670*tk_opex_gb200+Sens!F4671*tk_opex_gb300+(Sens!F4673+Sens!F4672)*tk_opex_vr200)/Sens!F4661</f>
        <v>1.95051159746876</v>
      </c>
      <c r="G4679" s="15" t="n">
        <f aca="false">(Sens!G4669*tk_opex_h100+Sens!G4670*tk_opex_gb200+Sens!G4671*tk_opex_gb300+(Sens!G4673+Sens!G4672)*tk_opex_vr200)/Sens!G4661</f>
        <v>1.98836003669956</v>
      </c>
      <c r="H4679" s="15" t="n">
        <f aca="false">(Sens!H4669*tk_opex_h100+Sens!H4670*tk_opex_gb200+Sens!H4671*tk_opex_gb300+(Sens!H4673+Sens!H4672)*tk_opex_vr200)/Sens!H4661</f>
        <v>2.02232025393885</v>
      </c>
      <c r="I4679" s="15" t="n">
        <f aca="false">(Sens!I4669*tk_opex_h100+Sens!I4670*tk_opex_gb200+Sens!I4671*tk_opex_gb300+(Sens!I4673+Sens!I4672)*tk_opex_vr200)/Sens!I4661</f>
        <v>2.04408335623333</v>
      </c>
      <c r="J4679" s="15" t="n">
        <f aca="false">(Sens!J4669*tk_opex_h100+Sens!J4670*tk_opex_gb200+Sens!J4671*tk_opex_gb300+(Sens!J4673+Sens!J4672)*tk_opex_vr200)/Sens!J4661</f>
        <v>2.0690255393673</v>
      </c>
      <c r="K4679" s="15" t="n">
        <f aca="false">(Sens!K4669*tk_opex_h100+Sens!K4670*tk_opex_gb200+Sens!K4671*tk_opex_gb300+(Sens!K4673+Sens!K4672)*tk_opex_vr200)/Sens!K4661</f>
        <v>2.1046052549011</v>
      </c>
      <c r="L4679" s="12" t="s">
        <v>979</v>
      </c>
    </row>
    <row r="4680" customFormat="false" ht="17.15" hidden="false" customHeight="false" outlineLevel="0" collapsed="false">
      <c r="A4680" s="0" t="s">
        <v>980</v>
      </c>
      <c r="B4680" s="0" t="s">
        <v>98</v>
      </c>
      <c r="D4680" s="6" t="n">
        <f aca="false">(Sens!C4664+Sens!D4664)/2*Sens!D4679/1000</f>
        <v>2.70378325872065</v>
      </c>
      <c r="E4680" s="6" t="n">
        <f aca="false">(Sens!D4664+Sens!E4664)/2*Sens!E4679/1000</f>
        <v>6.17783035277451</v>
      </c>
      <c r="F4680" s="6" t="n">
        <f aca="false">(Sens!E4664+Sens!F4664)/2*Sens!F4679/1000</f>
        <v>12.8742463089237</v>
      </c>
      <c r="G4680" s="6" t="n">
        <f aca="false">(Sens!F4664+Sens!G4664)/2*Sens!G4679/1000</f>
        <v>21.8182834646277</v>
      </c>
      <c r="H4680" s="6" t="n">
        <f aca="false">(Sens!G4664+Sens!H4664)/2*Sens!H4679/1000</f>
        <v>31.380807671394</v>
      </c>
      <c r="I4680" s="6" t="n">
        <f aca="false">(Sens!H4664+Sens!I4664)/2*Sens!I4679/1000</f>
        <v>39.6538488009602</v>
      </c>
      <c r="J4680" s="6" t="n">
        <f aca="false">(Sens!I4664+Sens!J4664)/2*Sens!J4679/1000</f>
        <v>45.4965951961756</v>
      </c>
      <c r="K4680" s="6" t="n">
        <f aca="false">(Sens!J4664+Sens!K4664)/2*Sens!K4679/1000</f>
        <v>49.1065204703494</v>
      </c>
    </row>
    <row r="4681" customFormat="false" ht="17.15" hidden="false" customHeight="false" outlineLevel="0" collapsed="false">
      <c r="A4681" s="0" t="s">
        <v>981</v>
      </c>
      <c r="B4681" s="0" t="s">
        <v>98</v>
      </c>
      <c r="D4681" s="6" t="n">
        <f aca="false">(Sens!C4662+Sens!D4662)/2*rent_mw/1000</f>
        <v>2.44475</v>
      </c>
      <c r="E4681" s="6" t="n">
        <f aca="false">(Sens!D4662+Sens!E4662)/2*rent_mw/1000</f>
        <v>4.22275</v>
      </c>
      <c r="F4681" s="6" t="n">
        <f aca="false">(Sens!E4662+Sens!F4662)/2*rent_mw/1000</f>
        <v>5.80517</v>
      </c>
      <c r="G4681" s="6" t="n">
        <f aca="false">(Sens!F4662+Sens!G4662)/2*rent_mw/1000</f>
        <v>6.72084</v>
      </c>
      <c r="H4681" s="6" t="n">
        <f aca="false">(Sens!G4662+Sens!H4662)/2*rent_mw/1000</f>
        <v>6.72084</v>
      </c>
      <c r="I4681" s="6" t="n">
        <f aca="false">(Sens!H4662+Sens!I4662)/2*rent_mw/1000</f>
        <v>6.72084</v>
      </c>
      <c r="J4681" s="6" t="n">
        <f aca="false">(Sens!I4662+Sens!J4662)/2*rent_mw/1000</f>
        <v>6.72084</v>
      </c>
      <c r="K4681" s="6" t="n">
        <f aca="false">(Sens!J4662+Sens!K4662)/2*rent_mw/1000</f>
        <v>6.72084</v>
      </c>
    </row>
    <row r="4682" customFormat="false" ht="17.15" hidden="false" customHeight="false" outlineLevel="0" collapsed="false">
      <c r="A4682" s="0" t="s">
        <v>982</v>
      </c>
      <c r="B4682" s="0" t="s">
        <v>98</v>
      </c>
      <c r="D4682" s="6" t="n">
        <f aca="false">(Sens!C4664+Sens!D4664)/2*(1-self_build)*fac_rent/1000</f>
        <v>0.853242375631075</v>
      </c>
      <c r="E4682" s="6" t="n">
        <f aca="false">(Sens!D4664+Sens!E4664)/2*(1-self_build)*fac_rent/1000</f>
        <v>1.94955961408728</v>
      </c>
      <c r="F4682" s="6" t="n">
        <f aca="false">(Sens!E4664+Sens!F4664)/2*(1-self_build)*fac_rent/1000</f>
        <v>3.92914894476356</v>
      </c>
      <c r="G4682" s="6" t="n">
        <f aca="false">(Sens!F4664+Sens!G4664)/2*(1-self_build)*fac_rent/1000</f>
        <v>6.53206908578159</v>
      </c>
      <c r="H4682" s="6" t="n">
        <f aca="false">(Sens!G4664+Sens!H4664)/2*(1-self_build)*fac_rent/1000</f>
        <v>9.23717988341591</v>
      </c>
      <c r="I4682" s="6" t="n">
        <f aca="false">(Sens!H4664+Sens!I4664)/2*(1-self_build)*fac_rent/1000</f>
        <v>11.5481378557393</v>
      </c>
      <c r="J4682" s="6" t="n">
        <f aca="false">(Sens!I4664+Sens!J4664)/2*(1-self_build)*fac_rent/1000</f>
        <v>13.0899582289108</v>
      </c>
      <c r="K4682" s="6" t="n">
        <f aca="false">(Sens!J4664+Sens!K4664)/2*(1-self_build)*fac_rent/1000</f>
        <v>13.8897275626556</v>
      </c>
      <c r="L4682" s="12" t="s">
        <v>983</v>
      </c>
    </row>
    <row r="4683" customFormat="false" ht="17.15" hidden="false" customHeight="false" outlineLevel="0" collapsed="false">
      <c r="A4683" s="1" t="s">
        <v>984</v>
      </c>
      <c r="B4683" s="0" t="s">
        <v>168</v>
      </c>
      <c r="D4683" s="7" t="n">
        <f aca="false">(Sens!C4663+Sens!D4663)/(Sens!C4664+Sens!D4664)</f>
        <v>0.6</v>
      </c>
      <c r="E4683" s="7" t="n">
        <f aca="false">(Sens!D4663+Sens!E4663)/(Sens!D4664+Sens!E4664)</f>
        <v>0.6</v>
      </c>
      <c r="F4683" s="7" t="n">
        <f aca="false">(Sens!E4663+Sens!F4663)/(Sens!E4664+Sens!F4664)</f>
        <v>0.6</v>
      </c>
      <c r="G4683" s="7" t="n">
        <f aca="false">(Sens!F4663+Sens!G4663)/(Sens!F4664+Sens!G4664)</f>
        <v>0.6</v>
      </c>
      <c r="H4683" s="7" t="n">
        <f aca="false">(Sens!G4663+Sens!H4663)/(Sens!G4664+Sens!H4664)</f>
        <v>0.6</v>
      </c>
      <c r="I4683" s="7" t="n">
        <f aca="false">(Sens!H4663+Sens!I4663)/(Sens!H4664+Sens!I4664)</f>
        <v>0.6</v>
      </c>
      <c r="J4683" s="7" t="n">
        <f aca="false">(Sens!I4663+Sens!J4663)/(Sens!I4664+Sens!J4664)</f>
        <v>0.6</v>
      </c>
      <c r="K4683" s="7" t="n">
        <f aca="false">(Sens!J4663+Sens!K4663)/(Sens!J4664+Sens!K4664)</f>
        <v>0.6</v>
      </c>
    </row>
    <row r="4684" customFormat="false" ht="17.15" hidden="false" customHeight="false" outlineLevel="0" collapsed="false">
      <c r="A4684" s="0" t="s">
        <v>985</v>
      </c>
      <c r="B4684" s="0" t="s">
        <v>98</v>
      </c>
      <c r="D4684" s="6" t="n">
        <f aca="false">Sens!D4678-Sens!D4683*(Sens!D4680+Sens!D4682)-Sens!D4681</f>
        <v>8.35701406163072</v>
      </c>
      <c r="E4684" s="6" t="n">
        <f aca="false">Sens!E4678-Sens!E4683*(Sens!E4680+Sens!E4682)-Sens!E4681</f>
        <v>18.7103224860238</v>
      </c>
      <c r="F4684" s="6" t="n">
        <f aca="false">Sens!F4678-Sens!F4683*(Sens!F4680+Sens!F4682)-Sens!F4681</f>
        <v>35.0947222830189</v>
      </c>
      <c r="G4684" s="6" t="n">
        <f aca="false">Sens!G4678-Sens!G4683*(Sens!G4680+Sens!G4682)-Sens!G4681</f>
        <v>52.9609920712477</v>
      </c>
      <c r="H4684" s="6" t="n">
        <f aca="false">Sens!H4678-Sens!H4683*(Sens!H4680+Sens!H4682)-Sens!H4681</f>
        <v>67.108414950419</v>
      </c>
      <c r="I4684" s="6" t="n">
        <f aca="false">Sens!I4678-Sens!I4683*(Sens!I4680+Sens!I4682)-Sens!I4681</f>
        <v>85.8352941764648</v>
      </c>
      <c r="J4684" s="6" t="n">
        <f aca="false">Sens!J4678-Sens!J4683*(Sens!J4680+Sens!J4682)-Sens!J4681</f>
        <v>99.8293312520729</v>
      </c>
      <c r="K4684" s="6" t="n">
        <f aca="false">Sens!K4678-Sens!K4683*(Sens!K4680+Sens!K4682)-Sens!K4681</f>
        <v>109.796808945906</v>
      </c>
    </row>
    <row r="4685" customFormat="false" ht="17.15" hidden="false" customHeight="false" outlineLevel="0" collapsed="false">
      <c r="A4685" s="1" t="s">
        <v>986</v>
      </c>
      <c r="B4685" s="0" t="s">
        <v>98</v>
      </c>
      <c r="D4685" s="6" t="n">
        <f aca="false">(1-Sens!D4683)*(Sens!D4680+Sens!D4682)</f>
        <v>1.42281025374069</v>
      </c>
      <c r="E4685" s="6" t="n">
        <f aca="false">(1-Sens!E4683)*(Sens!E4680+Sens!E4682)</f>
        <v>3.25095598674472</v>
      </c>
      <c r="F4685" s="6" t="n">
        <f aca="false">(1-Sens!F4683)*(Sens!F4680+Sens!F4682)</f>
        <v>6.72135810147489</v>
      </c>
      <c r="G4685" s="6" t="n">
        <f aca="false">(1-Sens!G4683)*(Sens!G4680+Sens!G4682)</f>
        <v>11.3401410201637</v>
      </c>
      <c r="H4685" s="6" t="n">
        <f aca="false">(1-Sens!H4683)*(Sens!H4680+Sens!H4682)</f>
        <v>16.247195021924</v>
      </c>
      <c r="I4685" s="6" t="n">
        <f aca="false">(1-Sens!I4683)*(Sens!I4680+Sens!I4682)</f>
        <v>20.4807946626798</v>
      </c>
      <c r="J4685" s="6" t="n">
        <f aca="false">(1-Sens!J4683)*(Sens!J4680+Sens!J4682)</f>
        <v>23.4346213700345</v>
      </c>
      <c r="K4685" s="6" t="n">
        <f aca="false">(1-Sens!K4683)*(Sens!K4680+Sens!K4682)</f>
        <v>25.198499213202</v>
      </c>
    </row>
    <row r="4686" customFormat="false" ht="17.15" hidden="false" customHeight="false" outlineLevel="0" collapsed="false">
      <c r="A4686" s="1" t="s">
        <v>987</v>
      </c>
      <c r="B4686" s="0" t="s">
        <v>414</v>
      </c>
      <c r="C4686" s="8" t="n">
        <f aca="false">cxit_open</f>
        <v>27.5918995</v>
      </c>
      <c r="D4686" s="8" t="n">
        <f aca="false">cxit_open</f>
        <v>27.5918995</v>
      </c>
      <c r="E4686" s="8" t="n">
        <f aca="false">cxit_open</f>
        <v>27.5918995</v>
      </c>
      <c r="F4686" s="8" t="n">
        <f aca="false">((a_g3_27-nonnv*a_mai)*tk_cxit_gb300+nonnv*a_mai*nv_hold_mai*tk_cxit_vr200+(1-a_g3_27)*tk_cxit_vr200)</f>
        <v>32.4975576</v>
      </c>
      <c r="G4686" s="8" t="n">
        <f aca="false">((a_g3_28-nonnv*a_mai)*tk_cxit_gb300+nonnv*a_mai*nv_hold_mai*tk_cxit_vr200+(1-a_g3_28)*tk_cxit_vr200)</f>
        <v>34.6372088</v>
      </c>
      <c r="H4686" s="8" t="n">
        <f aca="false">((a_g3_29-nonnv*a_mai)*tk_cxit_gb300+nonnv*a_mai*nv_hold_mai*tk_cxit_vr200+(1-a_g3_29)*tk_cxit_vr200)</f>
        <v>35.7070344</v>
      </c>
      <c r="I4686" s="8" t="n">
        <f aca="false">((a_g3_29-nonnv*a_mai)*tk_cxit_gb300+nonnv*a_mai*nv_hold_mai*tk_cxit_vr200+(1-a_g3_29)*tk_cxit_vr200)</f>
        <v>35.7070344</v>
      </c>
      <c r="J4686" s="8" t="n">
        <f aca="false">((a_g3_29-nonnv*a_mai)*tk_cxit_gb300+nonnv*a_mai*nv_hold_mai*tk_cxit_vr200+(1-a_g3_29)*tk_cxit_vr200)</f>
        <v>35.7070344</v>
      </c>
      <c r="K4686" s="8" t="n">
        <f aca="false">((a_g3_29-nonnv*a_mai)*tk_cxit_gb300+nonnv*a_mai*nv_hold_mai*tk_cxit_vr200+(1-a_g3_29)*tk_cxit_vr200)</f>
        <v>35.7070344</v>
      </c>
      <c r="L4686" s="12" t="s">
        <v>988</v>
      </c>
    </row>
    <row r="4687" customFormat="false" ht="17.15" hidden="false" customHeight="false" outlineLevel="0" collapsed="false">
      <c r="A4687" s="0" t="s">
        <v>989</v>
      </c>
      <c r="B4687" s="0" t="s">
        <v>456</v>
      </c>
      <c r="F4687" s="30" t="n">
        <f aca="false">Sens!C4666*IF(Sens!F4659-Sens!C4659=life_it_lo,1,0)+Sens!D4666*IF(Sens!F4659-Sens!D4659=life_it_lo,1,0)+Sens!E4666*IF(Sens!F4659-Sens!E4659=life_it_lo,1,0)</f>
        <v>0</v>
      </c>
      <c r="G4687" s="30" t="n">
        <f aca="false">Sens!C4666*IF(Sens!G4659-Sens!C4659=life_it_lo,1,0)+Sens!D4666*IF(Sens!G4659-Sens!D4659=life_it_lo,1,0)+Sens!E4666*IF(Sens!G4659-Sens!E4659=life_it_lo,1,0)+Sens!F4666*IF(Sens!G4659-Sens!F4659=life_it_lo,1,0)</f>
        <v>0</v>
      </c>
      <c r="H4687" s="30" t="n">
        <f aca="false">Sens!C4666*IF(Sens!H4659-Sens!C4659=life_it_lo,1,0)+Sens!D4666*IF(Sens!H4659-Sens!D4659=life_it_lo,1,0)+Sens!E4666*IF(Sens!H4659-Sens!E4659=life_it_lo,1,0)+Sens!F4666*IF(Sens!H4659-Sens!F4659=life_it_lo,1,0)+Sens!G4666*IF(Sens!H4659-Sens!G4659=life_it_lo,1,0)</f>
        <v>816.666666666667</v>
      </c>
      <c r="I4687" s="30" t="n">
        <f aca="false">Sens!C4666*IF(Sens!I4659-Sens!C4659=life_it_lo,1,0)+Sens!D4666*IF(Sens!I4659-Sens!D4659=life_it_lo,1,0)+Sens!E4666*IF(Sens!I4659-Sens!E4659=life_it_lo,1,0)+Sens!F4666*IF(Sens!I4659-Sens!F4659=life_it_lo,1,0)+Sens!G4666*IF(Sens!I4659-Sens!G4659=life_it_lo,1,0)+Sens!H4666*IF(Sens!I4659-Sens!H4659=life_it_lo,1,0)</f>
        <v>1233.33333333333</v>
      </c>
      <c r="J4687" s="30" t="n">
        <f aca="false">Sens!C4666*IF(Sens!J4659-Sens!C4659=life_it_lo,1,0)+Sens!D4666*IF(Sens!J4659-Sens!D4659=life_it_lo,1,0)+Sens!E4666*IF(Sens!J4659-Sens!E4659=life_it_lo,1,0)+Sens!F4666*IF(Sens!J4659-Sens!F4659=life_it_lo,1,0)+Sens!G4666*IF(Sens!J4659-Sens!G4659=life_it_lo,1,0)+Sens!H4666*IF(Sens!J4659-Sens!H4659=life_it_lo,1,0)+Sens!I4666*IF(Sens!J4659-Sens!I4659=life_it_lo,1,0)</f>
        <v>2450</v>
      </c>
      <c r="K4687" s="30" t="n">
        <f aca="false">Sens!C4666*IF(Sens!K4659-Sens!C4659=life_it_lo,1,0)+Sens!D4666*IF(Sens!K4659-Sens!D4659=life_it_lo,1,0)+Sens!E4666*IF(Sens!K4659-Sens!E4659=life_it_lo,1,0)+Sens!F4666*IF(Sens!K4659-Sens!F4659=life_it_lo,1,0)+Sens!G4666*IF(Sens!K4659-Sens!G4659=life_it_lo,1,0)+Sens!H4666*IF(Sens!K4659-Sens!H4659=life_it_lo,1,0)+Sens!I4666*IF(Sens!K4659-Sens!I4659=life_it_lo,1,0)+Sens!J4666*IF(Sens!K4659-Sens!J4659=life_it_lo,1,0)</f>
        <v>4200.89183333333</v>
      </c>
      <c r="L4687" s="1" t="s">
        <v>990</v>
      </c>
    </row>
    <row r="4688" customFormat="false" ht="17.15" hidden="false" customHeight="false" outlineLevel="0" collapsed="false">
      <c r="A4688" s="0" t="s">
        <v>991</v>
      </c>
      <c r="B4688" s="0" t="s">
        <v>98</v>
      </c>
      <c r="C4688" s="6" t="n">
        <f aca="false">Sens!C4666*Sens!C4686/1000</f>
        <v>22.5333845916667</v>
      </c>
      <c r="D4688" s="6" t="n">
        <f aca="false">Sens!D4666*Sens!D4686/1000</f>
        <v>34.0300093833333</v>
      </c>
      <c r="E4688" s="6" t="n">
        <f aca="false">Sens!E4666*Sens!E4686/1000</f>
        <v>67.600153775</v>
      </c>
      <c r="F4688" s="6" t="n">
        <f aca="false">(Sens!F4666+Sens!F4687)*Sens!F4686/1000</f>
        <v>136.51872432512</v>
      </c>
      <c r="G4688" s="6" t="n">
        <f aca="false">(Sens!G4666+Sens!G4687)*Sens!G4686/1000</f>
        <v>157.399275932048</v>
      </c>
      <c r="H4688" s="6" t="n">
        <f aca="false">(Sens!H4666+Sens!H4687)*Sens!H4686/1000</f>
        <v>191.421549107512</v>
      </c>
      <c r="I4688" s="6" t="n">
        <f aca="false">(Sens!I4666+Sens!I4687)*Sens!I4686/1000</f>
        <v>159.014500485434</v>
      </c>
      <c r="J4688" s="6" t="n">
        <f aca="false">(Sens!J4666+Sens!J4687)*Sens!J4686/1000</f>
        <v>157.472595877864</v>
      </c>
      <c r="K4688" s="6" t="n">
        <f aca="false">(Sens!K4666+Sens!K4687)*Sens!K4686/1000</f>
        <v>175.956240274487</v>
      </c>
    </row>
    <row r="4689" customFormat="false" ht="17.15" hidden="false" customHeight="false" outlineLevel="0" collapsed="false">
      <c r="A4689" s="0" t="s">
        <v>992</v>
      </c>
      <c r="B4689" s="0" t="s">
        <v>98</v>
      </c>
      <c r="C4689" s="6" t="n">
        <f aca="false">Sens!C4666*self_build*tk_cxfac/1000</f>
        <v>6.2083</v>
      </c>
      <c r="D4689" s="6" t="n">
        <f aca="false">Sens!D4666*self_build*tk_cxfac/1000</f>
        <v>9.3758</v>
      </c>
      <c r="E4689" s="6" t="n">
        <f aca="false">Sens!E4666*self_build*tk_cxfac/1000</f>
        <v>18.6249</v>
      </c>
      <c r="F4689" s="6" t="n">
        <f aca="false">Sens!F4666*self_build*tk_cxfac/1000</f>
        <v>31.935179717</v>
      </c>
      <c r="G4689" s="6" t="n">
        <f aca="false">Sens!G4666*self_build*tk_cxfac/1000</f>
        <v>34.545199717</v>
      </c>
      <c r="H4689" s="6" t="n">
        <f aca="false">Sens!H4666*self_build*tk_cxfac/1000</f>
        <v>34.545199717</v>
      </c>
      <c r="I4689" s="6" t="n">
        <f aca="false">Sens!I4666*self_build*tk_cxfac/1000</f>
        <v>24.4782641361767</v>
      </c>
      <c r="J4689" s="6" t="n">
        <f aca="false">Sens!J4666*self_build*tk_cxfac/1000</f>
        <v>14.9008938380769</v>
      </c>
      <c r="K4689" s="6" t="n">
        <f aca="false">Sens!K4666*self_build*tk_cxfac/1000</f>
        <v>5.52576771375761</v>
      </c>
    </row>
    <row r="4690" customFormat="false" ht="17.15" hidden="false" customHeight="false" outlineLevel="0" collapsed="false">
      <c r="A4690" s="0" t="s">
        <v>993</v>
      </c>
      <c r="B4690" s="0" t="s">
        <v>98</v>
      </c>
      <c r="F4690" s="15" t="n">
        <f aca="false">capex_floor27-Sens!F4688-Sens!F4689-Sens!F4786</f>
        <v>-0.0799631154216058</v>
      </c>
      <c r="L4690" s="12" t="s">
        <v>994</v>
      </c>
    </row>
    <row r="4691" customFormat="false" ht="17.15" hidden="false" customHeight="false" outlineLevel="0" collapsed="false">
      <c r="A4691" s="0" t="s">
        <v>995</v>
      </c>
      <c r="B4691" s="0" t="s">
        <v>98</v>
      </c>
      <c r="F4691" s="6" t="n">
        <f aca="false">MAX(0,Sens!F4690)</f>
        <v>0</v>
      </c>
    </row>
    <row r="4692" customFormat="false" ht="17.15" hidden="false" customHeight="false" outlineLevel="0" collapsed="false">
      <c r="A4692" s="0" t="s">
        <v>996</v>
      </c>
      <c r="B4692" s="0" t="s">
        <v>98</v>
      </c>
      <c r="C4692" s="6" t="n">
        <f aca="false">Sens!C4688</f>
        <v>22.5333845916667</v>
      </c>
      <c r="D4692" s="6" t="n">
        <f aca="false">Sens!D4688</f>
        <v>34.0300093833333</v>
      </c>
      <c r="E4692" s="6" t="n">
        <f aca="false">Sens!E4688</f>
        <v>67.600153775</v>
      </c>
      <c r="F4692" s="6" t="n">
        <f aca="false">Sens!F4688</f>
        <v>136.51872432512</v>
      </c>
      <c r="G4692" s="6" t="n">
        <f aca="false">Sens!G4688</f>
        <v>157.399275932048</v>
      </c>
      <c r="H4692" s="6" t="n">
        <f aca="false">Sens!H4688</f>
        <v>191.421549107512</v>
      </c>
      <c r="I4692" s="6" t="n">
        <f aca="false">Sens!I4688</f>
        <v>159.014500485434</v>
      </c>
      <c r="J4692" s="6" t="n">
        <f aca="false">Sens!J4688</f>
        <v>157.472595877864</v>
      </c>
      <c r="K4692" s="6" t="n">
        <f aca="false">Sens!K4688</f>
        <v>175.956240274487</v>
      </c>
    </row>
    <row r="4693" customFormat="false" ht="17.15" hidden="false" customHeight="false" outlineLevel="0" collapsed="false">
      <c r="A4693" s="0" t="s">
        <v>997</v>
      </c>
      <c r="B4693" s="0" t="s">
        <v>98</v>
      </c>
      <c r="C4693" s="6" t="n">
        <f aca="false">Sens!C4692+Sens!C4689</f>
        <v>28.7416845916667</v>
      </c>
      <c r="D4693" s="6" t="n">
        <f aca="false">Sens!D4692+Sens!D4689</f>
        <v>43.4058093833333</v>
      </c>
      <c r="E4693" s="6" t="n">
        <f aca="false">Sens!E4692+Sens!E4689</f>
        <v>86.225053775</v>
      </c>
      <c r="F4693" s="6" t="n">
        <f aca="false">Sens!F4692+Sens!F4689</f>
        <v>168.45390404212</v>
      </c>
      <c r="G4693" s="6" t="n">
        <f aca="false">Sens!G4692+Sens!G4689</f>
        <v>191.944475649048</v>
      </c>
      <c r="H4693" s="6" t="n">
        <f aca="false">Sens!H4692+Sens!H4689</f>
        <v>225.966748824512</v>
      </c>
      <c r="I4693" s="6" t="n">
        <f aca="false">Sens!I4692+Sens!I4689</f>
        <v>183.49276462161</v>
      </c>
      <c r="J4693" s="6" t="n">
        <f aca="false">Sens!J4692+Sens!J4689</f>
        <v>172.37348971594</v>
      </c>
      <c r="K4693" s="6" t="n">
        <f aca="false">Sens!K4692+Sens!K4689</f>
        <v>181.482007988245</v>
      </c>
      <c r="L4693" s="12" t="s">
        <v>998</v>
      </c>
    </row>
    <row r="4694" customFormat="false" ht="17.15" hidden="false" customHeight="false" outlineLevel="0" collapsed="false">
      <c r="A4694" s="0" t="s">
        <v>999</v>
      </c>
      <c r="B4694" s="0" t="s">
        <v>98</v>
      </c>
      <c r="E4694" s="6" t="n">
        <f aca="false">(Sens!C4692*IF(2&lt;life_it_lo,1,IF(2=life_it_lo,0.5,0))+Sens!D4692*IF(1&lt;life_it_lo,1,IF(1=life_it_lo,0.5,0))+Sens!E4692*0.5)/life_it_lo</f>
        <v>18.0726941725</v>
      </c>
      <c r="F4694" s="6" t="n">
        <f aca="false">(Sens!C4692*IF(3&lt;life_it_lo,1,IF(3=life_it_lo,0.5,0))+Sens!D4692*IF(2&lt;life_it_lo,1,IF(2=life_it_lo,0.5,0))+Sens!E4692*IF(1&lt;life_it_lo,1,IF(1=life_it_lo,0.5,0))+Sens!F4692*0.5)/life_it_lo</f>
        <v>38.484581982512</v>
      </c>
      <c r="G4694" s="6" t="n">
        <f aca="false">(Sens!C4692*IF(4&lt;life_it_lo,1,IF(4=life_it_lo,0.5,0))+Sens!D4692*IF(3&lt;life_it_lo,1,IF(3=life_it_lo,0.5,0))+Sens!E4692*IF(2&lt;life_it_lo,1,IF(2=life_it_lo,0.5,0))+Sens!F4692*IF(1&lt;life_it_lo,1,IF(1=life_it_lo,0.5,0))+Sens!G4692*0.5)/life_it_lo</f>
        <v>67.8763820082287</v>
      </c>
      <c r="H4694" s="6" t="n">
        <f aca="false">(Sens!C4692*IF(5&lt;life_it_lo,1,IF(5=life_it_lo,0.5,0))+Sens!D4692*IF(4&lt;life_it_lo,1,IF(4=life_it_lo,0.5,0))+Sens!E4692*IF(3&lt;life_it_lo,1,IF(3=life_it_lo,0.5,0))+Sens!F4692*IF(2&lt;life_it_lo,1,IF(2=life_it_lo,0.5,0))+Sens!G4692*IF(1&lt;life_it_lo,1,IF(1=life_it_lo,0.5,0))+Sens!H4692*0.5)/life_it_lo</f>
        <v>100.505126053018</v>
      </c>
      <c r="I4694" s="6" t="n">
        <f aca="false">(Sens!C4692*IF(6&lt;life_it_lo,1,IF(6=life_it_lo,0.5,0))+Sens!D4692*IF(5&lt;life_it_lo,1,IF(5=life_it_lo,0.5,0))+Sens!E4692*IF(4&lt;life_it_lo,1,IF(4=life_it_lo,0.5,0))+Sens!F4692*IF(3&lt;life_it_lo,1,IF(3=life_it_lo,0.5,0))+Sens!G4692*IF(2&lt;life_it_lo,1,IF(2=life_it_lo,0.5,0))+Sens!H4692*IF(1&lt;life_it_lo,1,IF(1=life_it_lo,0.5,0))+Sens!I4692*0.5)/life_it_lo</f>
        <v>129.892391614813</v>
      </c>
      <c r="J4694" s="6" t="n">
        <f aca="false">(Sens!C4692*IF(7&lt;life_it_lo,1,IF(7=life_it_lo,0.5,0))+Sens!D4692*IF(6&lt;life_it_lo,1,IF(6=life_it_lo,0.5,0))+Sens!E4692*IF(5&lt;life_it_lo,1,IF(5=life_it_lo,0.5,0))+Sens!F4692*IF(4&lt;life_it_lo,1,IF(4=life_it_lo,0.5,0))+Sens!G4692*IF(3&lt;life_it_lo,1,IF(3=life_it_lo,0.5,0))+Sens!H4692*IF(2&lt;life_it_lo,1,IF(2=life_it_lo,0.5,0))+Sens!I4692*IF(1&lt;life_it_lo,1,IF(1=life_it_lo,0.5,0))+Sens!J4692*0.5)/life_it_lo</f>
        <v>151.378084935309</v>
      </c>
      <c r="K4694" s="6" t="n">
        <f aca="false">(Sens!C4692*IF(8&lt;life_it_lo,1,IF(8=life_it_lo,0.5,0))+Sens!D4692*IF(7&lt;life_it_lo,1,IF(7=life_it_lo,0.5,0))+Sens!E4692*IF(6&lt;life_it_lo,1,IF(6=life_it_lo,0.5,0))+Sens!F4692*IF(5&lt;life_it_lo,1,IF(5=life_it_lo,0.5,0))+Sens!G4692*IF(4&lt;life_it_lo,1,IF(4=life_it_lo,0.5,0))+Sens!H4692*IF(3&lt;life_it_lo,1,IF(3=life_it_lo,0.5,0))+Sens!I4692*IF(2&lt;life_it_lo,1,IF(2=life_it_lo,0.5,0))+Sens!J4692*IF(1&lt;life_it_lo,1,IF(1=life_it_lo,0.5,0))+Sens!K4692*0.5)/life_it_lo</f>
        <v>164.309080740532</v>
      </c>
    </row>
    <row r="4695" customFormat="false" ht="17.15" hidden="false" customHeight="false" outlineLevel="0" collapsed="false">
      <c r="A4695" s="0" t="s">
        <v>1000</v>
      </c>
      <c r="B4695" s="0" t="s">
        <v>98</v>
      </c>
      <c r="E4695" s="6" t="n">
        <f aca="false">(Sens!C4689*IF(2&lt;life_fac,1,IF(2=life_fac,0.5,0))+Sens!D4689*IF(1&lt;life_fac,1,IF(1=life_fac,0.5,0))+Sens!E4689*0.5)/life_fac</f>
        <v>1.2448275</v>
      </c>
      <c r="F4695" s="6" t="n">
        <f aca="false">(Sens!C4689*IF(3&lt;life_fac,1,IF(3=life_fac,0.5,0))+Sens!D4689*IF(2&lt;life_fac,1,IF(2=life_fac,0.5,0))+Sens!E4689*IF(1&lt;life_fac,1,IF(1=life_fac,0.5,0))+Sens!F4689*0.5)/life_fac</f>
        <v>2.508829492925</v>
      </c>
      <c r="G4695" s="6" t="n">
        <f aca="false">(Sens!C4689*IF(4&lt;life_fac,1,IF(4=life_fac,0.5,0))+Sens!D4689*IF(3&lt;life_fac,1,IF(3=life_fac,0.5,0))+Sens!E4689*IF(2&lt;life_fac,1,IF(2=life_fac,0.5,0))+Sens!F4689*IF(1&lt;life_fac,1,IF(1=life_fac,0.5,0))+Sens!G4689*0.5)/life_fac</f>
        <v>4.170838978775</v>
      </c>
      <c r="H4695" s="6" t="n">
        <f aca="false">(Sens!C4689*IF(5&lt;life_fac,1,IF(5=life_fac,0.5,0))+Sens!D4689*IF(4&lt;life_fac,1,IF(4=life_fac,0.5,0))+Sens!E4689*IF(3&lt;life_fac,1,IF(3=life_fac,0.5,0))+Sens!F4689*IF(2&lt;life_fac,1,IF(2=life_fac,0.5,0))+Sens!G4689*IF(1&lt;life_fac,1,IF(1=life_fac,0.5,0))+Sens!H4689*0.5)/life_fac</f>
        <v>5.898098964625</v>
      </c>
      <c r="I4695" s="6" t="n">
        <f aca="false">(Sens!C4689*IF(6&lt;life_fac,1,IF(6=life_fac,0.5,0))+Sens!D4689*IF(5&lt;life_fac,1,IF(5=life_fac,0.5,0))+Sens!E4689*IF(4&lt;life_fac,1,IF(4=life_fac,0.5,0))+Sens!F4689*IF(3&lt;life_fac,1,IF(3=life_fac,0.5,0))+Sens!G4689*IF(2&lt;life_fac,1,IF(2=life_fac,0.5,0))+Sens!H4689*IF(1&lt;life_fac,1,IF(1=life_fac,0.5,0))+Sens!I4689*0.5)/life_fac</f>
        <v>7.37368556095442</v>
      </c>
      <c r="J4695" s="6" t="n">
        <f aca="false">(Sens!C4689*IF(7&lt;life_fac,1,IF(7=life_fac,0.5,0))+Sens!D4689*IF(6&lt;life_fac,1,IF(6=life_fac,0.5,0))+Sens!E4689*IF(5&lt;life_fac,1,IF(5=life_fac,0.5,0))+Sens!F4689*IF(4&lt;life_fac,1,IF(4=life_fac,0.5,0))+Sens!G4689*IF(3&lt;life_fac,1,IF(3=life_fac,0.5,0))+Sens!H4689*IF(2&lt;life_fac,1,IF(2=life_fac,0.5,0))+Sens!I4689*IF(1&lt;life_fac,1,IF(1=life_fac,0.5,0))+Sens!J4689*0.5)/life_fac</f>
        <v>8.35816451031075</v>
      </c>
      <c r="K4695" s="6" t="n">
        <f aca="false">(Sens!C4689*IF(8&lt;life_fac,1,IF(8=life_fac,0.5,0))+Sens!D4689*IF(7&lt;life_fac,1,IF(7=life_fac,0.5,0))+Sens!E4689*IF(6&lt;life_fac,1,IF(6=life_fac,0.5,0))+Sens!F4689*IF(5&lt;life_fac,1,IF(5=life_fac,0.5,0))+Sens!G4689*IF(4&lt;life_fac,1,IF(4=life_fac,0.5,0))+Sens!H4689*IF(3&lt;life_fac,1,IF(3=life_fac,0.5,0))+Sens!I4689*IF(2&lt;life_fac,1,IF(2=life_fac,0.5,0))+Sens!J4689*IF(1&lt;life_fac,1,IF(1=life_fac,0.5,0))+Sens!K4689*0.5)/life_fac</f>
        <v>8.86883104910662</v>
      </c>
    </row>
    <row r="4696" customFormat="false" ht="17.15" hidden="false" customHeight="false" outlineLevel="0" collapsed="false">
      <c r="A4696" s="0" t="s">
        <v>1001</v>
      </c>
      <c r="B4696" s="0" t="s">
        <v>98</v>
      </c>
      <c r="E4696" s="6" t="n">
        <f aca="false">Sens!E4694+Sens!E4695</f>
        <v>19.3175216725</v>
      </c>
      <c r="F4696" s="6" t="n">
        <f aca="false">Sens!F4694+Sens!F4695</f>
        <v>40.993411475437</v>
      </c>
      <c r="G4696" s="6" t="n">
        <f aca="false">Sens!G4694+Sens!G4695</f>
        <v>72.0472209870037</v>
      </c>
      <c r="H4696" s="6" t="n">
        <f aca="false">Sens!H4694+Sens!H4695</f>
        <v>106.403225017643</v>
      </c>
      <c r="I4696" s="6" t="n">
        <f aca="false">Sens!I4694+Sens!I4695</f>
        <v>137.266077175767</v>
      </c>
      <c r="J4696" s="6" t="n">
        <f aca="false">Sens!J4694+Sens!J4695</f>
        <v>159.73624944562</v>
      </c>
      <c r="K4696" s="6" t="n">
        <f aca="false">Sens!K4694+Sens!K4695</f>
        <v>173.177911789639</v>
      </c>
    </row>
    <row r="4697" customFormat="false" ht="17.15" hidden="false" customHeight="false" outlineLevel="0" collapsed="false">
      <c r="A4697" s="0" t="s">
        <v>1002</v>
      </c>
      <c r="B4697" s="0" t="s">
        <v>98</v>
      </c>
      <c r="E4697" s="6" t="n">
        <f aca="false">Sens!E4684-Sens!E4683*Sens!E4696</f>
        <v>7.11980948252379</v>
      </c>
      <c r="F4697" s="6" t="n">
        <f aca="false">Sens!F4684-Sens!F4683*Sens!F4696</f>
        <v>10.4986753977567</v>
      </c>
      <c r="G4697" s="6" t="n">
        <f aca="false">Sens!G4684-Sens!G4683*Sens!G4696</f>
        <v>9.73265947904547</v>
      </c>
      <c r="H4697" s="6" t="n">
        <f aca="false">Sens!H4684-Sens!H4683*Sens!H4696</f>
        <v>3.26647993983318</v>
      </c>
      <c r="I4697" s="6" t="n">
        <f aca="false">Sens!I4684-Sens!I4683*Sens!I4696</f>
        <v>3.47564787100455</v>
      </c>
      <c r="J4697" s="6" t="n">
        <f aca="false">Sens!J4684-Sens!J4683*Sens!J4696</f>
        <v>3.98758158470092</v>
      </c>
      <c r="K4697" s="6" t="n">
        <f aca="false">Sens!K4684-Sens!K4683*Sens!K4696</f>
        <v>5.89006187212263</v>
      </c>
    </row>
    <row r="4698" customFormat="false" ht="17.15" hidden="false" customHeight="false" outlineLevel="0" collapsed="false">
      <c r="A4698" s="3" t="s">
        <v>1596</v>
      </c>
    </row>
    <row r="4699" customFormat="false" ht="15" hidden="false" customHeight="false" outlineLevel="0" collapsed="false">
      <c r="A4699" s="4" t="s">
        <v>43</v>
      </c>
      <c r="B4699" s="4" t="s">
        <v>65</v>
      </c>
      <c r="C4699" s="23" t="s">
        <v>938</v>
      </c>
      <c r="D4699" s="23" t="s">
        <v>939</v>
      </c>
      <c r="E4699" s="23" t="s">
        <v>940</v>
      </c>
      <c r="F4699" s="23" t="s">
        <v>941</v>
      </c>
      <c r="G4699" s="23" t="s">
        <v>942</v>
      </c>
      <c r="H4699" s="23" t="s">
        <v>943</v>
      </c>
      <c r="I4699" s="23" t="s">
        <v>944</v>
      </c>
      <c r="J4699" s="23" t="s">
        <v>945</v>
      </c>
      <c r="K4699" s="23" t="s">
        <v>946</v>
      </c>
      <c r="L4699" s="4" t="s">
        <v>47</v>
      </c>
    </row>
    <row r="4700" customFormat="false" ht="17.15" hidden="false" customHeight="false" outlineLevel="0" collapsed="false">
      <c r="A4700" s="0" t="s">
        <v>1021</v>
      </c>
      <c r="B4700" s="0" t="s">
        <v>98</v>
      </c>
      <c r="D4700" s="6" t="n">
        <f aca="false">Sens!D4678</f>
        <v>12.9359794422418</v>
      </c>
      <c r="E4700" s="6" t="n">
        <f aca="false">Sens!E4678</f>
        <v>27.8095064661409</v>
      </c>
      <c r="F4700" s="6" t="n">
        <f aca="false">Sens!F4678</f>
        <v>50.9819294352312</v>
      </c>
      <c r="G4700" s="6" t="n">
        <f aca="false">Sens!G4678</f>
        <v>76.6920436014933</v>
      </c>
      <c r="H4700" s="6" t="n">
        <f aca="false">Sens!H4678</f>
        <v>98.200047483305</v>
      </c>
      <c r="I4700" s="6" t="n">
        <f aca="false">Sens!I4678</f>
        <v>123.277326170485</v>
      </c>
      <c r="J4700" s="6" t="n">
        <f aca="false">Sens!J4678</f>
        <v>141.702103307125</v>
      </c>
      <c r="K4700" s="6" t="n">
        <f aca="false">Sens!K4678</f>
        <v>154.315397765709</v>
      </c>
    </row>
    <row r="4701" customFormat="false" ht="17.15" hidden="false" customHeight="false" outlineLevel="0" collapsed="false">
      <c r="A4701" s="0" t="s">
        <v>1022</v>
      </c>
      <c r="B4701" s="0" t="s">
        <v>98</v>
      </c>
      <c r="D4701" s="6" t="n">
        <f aca="false">Q!L6-Sens!D4700</f>
        <v>59.6740205577583</v>
      </c>
      <c r="E4701" s="6" t="n">
        <f aca="false">Q!M6-Sens!E4700</f>
        <v>74.1284935338591</v>
      </c>
      <c r="F4701" s="6" t="n">
        <f aca="false">Q!$I$6+(Sens!F4700+Sens!E4701*(1+Sens!F4702))*(1-Q!$E$6/Q!M6)-Sens!F4700</f>
        <v>92.2699541184664</v>
      </c>
      <c r="G4701" s="6" t="n">
        <f aca="false">Sens!F4701*(1+Sens!G4702)</f>
        <v>109.630477277949</v>
      </c>
      <c r="H4701" s="6" t="n">
        <f aca="false">Sens!G4701*(1+Sens!H4702)</f>
        <v>127.293256321956</v>
      </c>
      <c r="I4701" s="6" t="n">
        <f aca="false">Sens!H4701*(1+Sens!I4702)</f>
        <v>144.360052269491</v>
      </c>
      <c r="J4701" s="6" t="n">
        <f aca="false">Sens!I4701*(1+Sens!J4702)</f>
        <v>159.811964490216</v>
      </c>
      <c r="K4701" s="6" t="n">
        <f aca="false">Sens!J4701*(1+Sens!K4702)</f>
        <v>172.596921649434</v>
      </c>
      <c r="L4701" s="12" t="s">
        <v>1023</v>
      </c>
    </row>
    <row r="4702" customFormat="false" ht="15" hidden="false" customHeight="false" outlineLevel="0" collapsed="false">
      <c r="A4702" s="1" t="s">
        <v>1024</v>
      </c>
      <c r="B4702" s="0" t="s">
        <v>168</v>
      </c>
      <c r="E4702" s="7" t="n">
        <f aca="false">Sens!E4701/Sens!D4701-1</f>
        <v>0.242223883039864</v>
      </c>
      <c r="F4702" s="7" t="n">
        <f aca="false">Sens!$E$4702+(glt_azo-Sens!$E$4702)*MIN(1,(Sens!F4659-base_fy)/n_conv)</f>
        <v>0.215186569199887</v>
      </c>
      <c r="G4702" s="7" t="n">
        <f aca="false">Sens!$E$4702+(glt_azo-Sens!$E$4702)*MIN(1,(Sens!G4659-base_fy)/n_conv)</f>
        <v>0.18814925535991</v>
      </c>
      <c r="H4702" s="7" t="n">
        <f aca="false">Sens!$E$4702+(glt_azo-Sens!$E$4702)*MIN(1,(Sens!H4659-base_fy)/n_conv)</f>
        <v>0.161111941519932</v>
      </c>
      <c r="I4702" s="7" t="n">
        <f aca="false">Sens!$E$4702+(glt_azo-Sens!$E$4702)*MIN(1,(Sens!I4659-base_fy)/n_conv)</f>
        <v>0.134074627679955</v>
      </c>
      <c r="J4702" s="7" t="n">
        <f aca="false">Sens!$E$4702+(glt_azo-Sens!$E$4702)*MIN(1,(Sens!J4659-base_fy)/n_conv)</f>
        <v>0.107037313839977</v>
      </c>
      <c r="K4702" s="7" t="n">
        <f aca="false">Sens!$E$4702+(glt_azo-Sens!$E$4702)*MIN(1,(Sens!K4659-base_fy)/n_conv)</f>
        <v>0.08</v>
      </c>
    </row>
    <row r="4703" customFormat="false" ht="15" hidden="false" customHeight="false" outlineLevel="0" collapsed="false">
      <c r="A4703" s="0" t="s">
        <v>1025</v>
      </c>
      <c r="B4703" s="0" t="s">
        <v>98</v>
      </c>
      <c r="D4703" s="6" t="n">
        <f aca="false">Sens!D4700+Sens!D4701</f>
        <v>72.61</v>
      </c>
      <c r="E4703" s="6" t="n">
        <f aca="false">Sens!E4700+Sens!E4701</f>
        <v>101.938</v>
      </c>
      <c r="F4703" s="6" t="n">
        <f aca="false">Sens!F4700+Sens!F4701</f>
        <v>143.251883553698</v>
      </c>
      <c r="G4703" s="6" t="n">
        <f aca="false">Sens!G4700+Sens!G4701</f>
        <v>186.322520879442</v>
      </c>
      <c r="H4703" s="6" t="n">
        <f aca="false">Sens!H4700+Sens!H4701</f>
        <v>225.493303805261</v>
      </c>
      <c r="I4703" s="6" t="n">
        <f aca="false">Sens!I4700+Sens!I4701</f>
        <v>267.637378439976</v>
      </c>
      <c r="J4703" s="6" t="n">
        <f aca="false">Sens!J4700+Sens!J4701</f>
        <v>301.514067797341</v>
      </c>
      <c r="K4703" s="6" t="n">
        <f aca="false">Sens!K4700+Sens!K4701</f>
        <v>326.912319415143</v>
      </c>
    </row>
    <row r="4704" customFormat="false" ht="17.15" hidden="false" customHeight="false" outlineLevel="0" collapsed="false">
      <c r="A4704" s="0" t="s">
        <v>1026</v>
      </c>
      <c r="B4704" s="1" t="s">
        <v>610</v>
      </c>
      <c r="C4704" s="30" t="n">
        <f aca="false">cop_s24</f>
        <v>1</v>
      </c>
      <c r="D4704" s="30" t="n">
        <f aca="false">cop_s25</f>
        <v>5</v>
      </c>
      <c r="E4704" s="30" t="n">
        <f aca="false">cop_s26</f>
        <v>30</v>
      </c>
      <c r="F4704" s="30" t="n">
        <f aca="false">Sens!E4704+cop_add_C</f>
        <v>40</v>
      </c>
      <c r="G4704" s="30" t="n">
        <f aca="false">Sens!F4704+cop_add_C</f>
        <v>50</v>
      </c>
      <c r="H4704" s="30" t="n">
        <f aca="false">Sens!G4704+cop_add_C</f>
        <v>60</v>
      </c>
      <c r="I4704" s="30" t="n">
        <f aca="false">Sens!H4704+cop_add_C*cop_tail</f>
        <v>65</v>
      </c>
      <c r="J4704" s="30" t="n">
        <f aca="false">Sens!I4704+cop_add_C*cop_tail</f>
        <v>70</v>
      </c>
      <c r="K4704" s="30" t="n">
        <f aca="false">Sens!J4704+cop_add_C*cop_tail</f>
        <v>75</v>
      </c>
      <c r="L4704" s="12" t="s">
        <v>1027</v>
      </c>
    </row>
    <row r="4705" customFormat="false" ht="17.15" hidden="false" customHeight="false" outlineLevel="0" collapsed="false">
      <c r="A4705" s="0" t="s">
        <v>1028</v>
      </c>
      <c r="B4705" s="0" t="s">
        <v>98</v>
      </c>
      <c r="D4705" s="6" t="n">
        <f aca="false">(Sens!C4704+Sens!D4704)/2*cop_px*12/1000</f>
        <v>0.9</v>
      </c>
      <c r="E4705" s="6" t="n">
        <f aca="false">(Sens!D4704+Sens!E4704)/2*cop_px*12/1000</f>
        <v>5.25</v>
      </c>
      <c r="F4705" s="6" t="n">
        <f aca="false">(Sens!E4704+Sens!F4704)/2*cop_px*12/1000</f>
        <v>10.5</v>
      </c>
      <c r="G4705" s="6" t="n">
        <f aca="false">(Sens!F4704+Sens!G4704)/2*cop_px*12/1000</f>
        <v>13.5</v>
      </c>
      <c r="H4705" s="6" t="n">
        <f aca="false">(Sens!G4704+Sens!H4704)/2*cop_px*12/1000</f>
        <v>16.5</v>
      </c>
      <c r="I4705" s="6" t="n">
        <f aca="false">(Sens!H4704+Sens!I4704)/2*cop_px*12/1000</f>
        <v>18.75</v>
      </c>
      <c r="J4705" s="6" t="n">
        <f aca="false">(Sens!I4704+Sens!J4704)/2*cop_px*12/1000</f>
        <v>20.25</v>
      </c>
      <c r="K4705" s="6" t="n">
        <f aca="false">(Sens!J4704+Sens!K4704)/2*cop_px*12/1000</f>
        <v>21.75</v>
      </c>
      <c r="L4705" s="1" t="s">
        <v>1029</v>
      </c>
    </row>
    <row r="4706" customFormat="false" ht="17.15" hidden="false" customHeight="false" outlineLevel="0" collapsed="false">
      <c r="A4706" s="0" t="s">
        <v>1030</v>
      </c>
      <c r="B4706" s="0" t="s">
        <v>98</v>
      </c>
      <c r="D4706" s="6" t="n">
        <f aca="false">Q!L7-Sens!D4705</f>
        <v>83.705</v>
      </c>
      <c r="E4706" s="6" t="n">
        <f aca="false">Q!M7-Sens!E4705</f>
        <v>95.049</v>
      </c>
      <c r="F4706" s="6" t="n">
        <f aca="false">Q!$I$7+(Sens!E4706*(1+Sens!F4707)+Sens!F4705)*(1-Q!$E$7/Q!M7)-Sens!F4705</f>
        <v>106.938354189776</v>
      </c>
      <c r="G4706" s="6" t="n">
        <f aca="false">Sens!F4706*(1+Sens!G4707)</f>
        <v>119.095360443801</v>
      </c>
      <c r="H4706" s="6" t="n">
        <f aca="false">Sens!G4706*(1+Sens!H4707)</f>
        <v>131.333811964563</v>
      </c>
      <c r="I4706" s="6" t="n">
        <f aca="false">Sens!H4706*(1+Sens!I4707)</f>
        <v>143.395665319381</v>
      </c>
      <c r="J4706" s="6" t="n">
        <f aca="false">Sens!I4706*(1+Sens!J4707)</f>
        <v>154.999327755573</v>
      </c>
      <c r="K4706" s="6" t="n">
        <f aca="false">Sens!J4706*(1+Sens!K4707)</f>
        <v>165.849280698463</v>
      </c>
      <c r="L4706" s="12" t="s">
        <v>1031</v>
      </c>
    </row>
    <row r="4707" customFormat="false" ht="15" hidden="false" customHeight="false" outlineLevel="0" collapsed="false">
      <c r="A4707" s="1" t="s">
        <v>1024</v>
      </c>
      <c r="B4707" s="0" t="s">
        <v>168</v>
      </c>
      <c r="E4707" s="7" t="n">
        <f aca="false">Sens!E4706/Sens!D4706-1</f>
        <v>0.135523564900544</v>
      </c>
      <c r="F4707" s="7" t="n">
        <f aca="false">Sens!$E$4707+(glt_m365b-Sens!$E$4707)*MIN(1,(Sens!F4659-base_fy)/n_conv)</f>
        <v>0.124602970750453</v>
      </c>
      <c r="G4707" s="7" t="n">
        <f aca="false">Sens!$E$4707+(glt_m365b-Sens!$E$4707)*MIN(1,(Sens!G4659-base_fy)/n_conv)</f>
        <v>0.113682376600363</v>
      </c>
      <c r="H4707" s="7" t="n">
        <f aca="false">Sens!$E$4707+(glt_m365b-Sens!$E$4707)*MIN(1,(Sens!H4659-base_fy)/n_conv)</f>
        <v>0.102761782450272</v>
      </c>
      <c r="I4707" s="7" t="n">
        <f aca="false">Sens!$E$4707+(glt_m365b-Sens!$E$4707)*MIN(1,(Sens!I4659-base_fy)/n_conv)</f>
        <v>0.0918411883001813</v>
      </c>
      <c r="J4707" s="7" t="n">
        <f aca="false">Sens!$E$4707+(glt_m365b-Sens!$E$4707)*MIN(1,(Sens!J4659-base_fy)/n_conv)</f>
        <v>0.0809205941500906</v>
      </c>
      <c r="K4707" s="7" t="n">
        <f aca="false">Sens!$E$4707+(glt_m365b-Sens!$E$4707)*MIN(1,(Sens!K4659-base_fy)/n_conv)</f>
        <v>0.07</v>
      </c>
    </row>
    <row r="4708" customFormat="false" ht="15" hidden="false" customHeight="false" outlineLevel="0" collapsed="false">
      <c r="A4708" s="0" t="s">
        <v>1032</v>
      </c>
      <c r="B4708" s="0" t="s">
        <v>98</v>
      </c>
      <c r="D4708" s="6" t="n">
        <f aca="false">Sens!D4706+Sens!D4705</f>
        <v>84.605</v>
      </c>
      <c r="E4708" s="6" t="n">
        <f aca="false">Sens!E4706+Sens!E4705</f>
        <v>100.299</v>
      </c>
      <c r="F4708" s="6" t="n">
        <f aca="false">Sens!F4706+Sens!F4705</f>
        <v>117.438354189776</v>
      </c>
      <c r="G4708" s="6" t="n">
        <f aca="false">Sens!G4706+Sens!G4705</f>
        <v>132.595360443801</v>
      </c>
      <c r="H4708" s="6" t="n">
        <f aca="false">Sens!H4706+Sens!H4705</f>
        <v>147.833811964563</v>
      </c>
      <c r="I4708" s="6" t="n">
        <f aca="false">Sens!I4706+Sens!I4705</f>
        <v>162.145665319381</v>
      </c>
      <c r="J4708" s="6" t="n">
        <f aca="false">Sens!J4706+Sens!J4705</f>
        <v>175.249327755573</v>
      </c>
      <c r="K4708" s="6" t="n">
        <f aca="false">Sens!K4706+Sens!K4705</f>
        <v>187.599280698463</v>
      </c>
    </row>
    <row r="4709" customFormat="false" ht="17.15" hidden="false" customHeight="false" outlineLevel="0" collapsed="false">
      <c r="A4709" s="0" t="s">
        <v>1033</v>
      </c>
      <c r="B4709" s="0" t="s">
        <v>98</v>
      </c>
      <c r="D4709" s="6" t="n">
        <f aca="false">Q!L8</f>
        <v>35.391</v>
      </c>
      <c r="E4709" s="6" t="n">
        <f aca="false">Q!M8</f>
        <v>37.285</v>
      </c>
      <c r="F4709" s="6" t="n">
        <f aca="false">Q!$I$8+(Q!M8-Q!$E$8)*(1+Sens!F4710)</f>
        <v>38.3851437782675</v>
      </c>
      <c r="G4709" s="6" t="n">
        <f aca="false">Sens!F4709*(1+Sens!G4710)</f>
        <v>40.0105353288615</v>
      </c>
      <c r="H4709" s="6" t="n">
        <f aca="false">Sens!G4709*(1+Sens!H4710)</f>
        <v>41.4812512033683</v>
      </c>
      <c r="I4709" s="6" t="n">
        <f aca="false">Sens!H4709*(1+Sens!I4710)</f>
        <v>42.7743107216329</v>
      </c>
      <c r="J4709" s="6" t="n">
        <f aca="false">Sens!I4709*(1+Sens!J4710)</f>
        <v>43.8687373064601</v>
      </c>
      <c r="K4709" s="6" t="n">
        <f aca="false">Sens!J4709*(1+Sens!K4710)</f>
        <v>44.7461120525893</v>
      </c>
      <c r="L4709" s="12" t="s">
        <v>1034</v>
      </c>
    </row>
    <row r="4710" customFormat="false" ht="15" hidden="false" customHeight="false" outlineLevel="0" collapsed="false">
      <c r="A4710" s="1" t="s">
        <v>1024</v>
      </c>
      <c r="B4710" s="0" t="s">
        <v>168</v>
      </c>
      <c r="E4710" s="7" t="n">
        <f aca="false">Sens!E4709/Sens!D4709-1</f>
        <v>0.0535164307309768</v>
      </c>
      <c r="F4710" s="7" t="n">
        <f aca="false">Sens!$E$4710+(glt_lic-Sens!$E$4710)*MIN(1,(Sens!F4659-base_fy)/n_conv)</f>
        <v>0.0479303589424807</v>
      </c>
      <c r="G4710" s="7" t="n">
        <f aca="false">Sens!$E$4710+(glt_lic-Sens!$E$4710)*MIN(1,(Sens!G4659-base_fy)/n_conv)</f>
        <v>0.0423442871539845</v>
      </c>
      <c r="H4710" s="7" t="n">
        <f aca="false">Sens!$E$4710+(glt_lic-Sens!$E$4710)*MIN(1,(Sens!H4659-base_fy)/n_conv)</f>
        <v>0.0367582153654884</v>
      </c>
      <c r="I4710" s="7" t="n">
        <f aca="false">Sens!$E$4710+(glt_lic-Sens!$E$4710)*MIN(1,(Sens!I4659-base_fy)/n_conv)</f>
        <v>0.0311721435769923</v>
      </c>
      <c r="J4710" s="7" t="n">
        <f aca="false">Sens!$E$4710+(glt_lic-Sens!$E$4710)*MIN(1,(Sens!J4659-base_fy)/n_conv)</f>
        <v>0.0255860717884961</v>
      </c>
      <c r="K4710" s="7" t="n">
        <f aca="false">Sens!$E$4710+(glt_lic-Sens!$E$4710)*MIN(1,(Sens!K4659-base_fy)/n_conv)</f>
        <v>0.02</v>
      </c>
    </row>
    <row r="4711" customFormat="false" ht="17.15" hidden="false" customHeight="false" outlineLevel="0" collapsed="false">
      <c r="A4711" s="0" t="s">
        <v>1035</v>
      </c>
      <c r="B4711" s="0" t="s">
        <v>98</v>
      </c>
      <c r="D4711" s="6" t="n">
        <f aca="false">Q!L9</f>
        <v>18.417</v>
      </c>
      <c r="E4711" s="6" t="n">
        <f aca="false">Q!M9</f>
        <v>20.345</v>
      </c>
      <c r="F4711" s="6" t="n">
        <f aca="false">Q!$I$9+(Q!M9-Q!$E$9)*(1+Sens!F4712)</f>
        <v>22.3161797133988</v>
      </c>
      <c r="G4711" s="6" t="n">
        <f aca="false">Sens!F4711*(1+Sens!G4712)</f>
        <v>24.3943499673233</v>
      </c>
      <c r="H4711" s="6" t="n">
        <f aca="false">Sens!G4711*(1+Sens!H4712)</f>
        <v>26.5250243109019</v>
      </c>
      <c r="I4711" s="6" t="n">
        <f aca="false">Sens!H4711*(1+Sens!I4712)</f>
        <v>28.6884573538181</v>
      </c>
      <c r="J4711" s="6" t="n">
        <f aca="false">Sens!I4711*(1+Sens!J4712)</f>
        <v>30.8624968052127</v>
      </c>
      <c r="K4711" s="6" t="n">
        <f aca="false">Sens!J4711*(1+Sens!K4712)</f>
        <v>33.0228715815776</v>
      </c>
      <c r="L4711" s="12" t="s">
        <v>1034</v>
      </c>
    </row>
    <row r="4712" customFormat="false" ht="15" hidden="false" customHeight="false" outlineLevel="0" collapsed="false">
      <c r="A4712" s="1" t="s">
        <v>1024</v>
      </c>
      <c r="B4712" s="0" t="s">
        <v>168</v>
      </c>
      <c r="E4712" s="7" t="n">
        <f aca="false">Sens!E4711/Sens!D4711-1</f>
        <v>0.104685888038225</v>
      </c>
      <c r="F4712" s="7" t="n">
        <f aca="false">Sens!$E$4712+(glt_ind-Sens!$E$4712)*MIN(1,(Sens!F4659-base_fy)/n_conv)</f>
        <v>0.0989049066985211</v>
      </c>
      <c r="G4712" s="7" t="n">
        <f aca="false">Sens!$E$4712+(glt_ind-Sens!$E$4712)*MIN(1,(Sens!G4659-base_fy)/n_conv)</f>
        <v>0.0931239253588169</v>
      </c>
      <c r="H4712" s="7" t="n">
        <f aca="false">Sens!$E$4712+(glt_ind-Sens!$E$4712)*MIN(1,(Sens!H4659-base_fy)/n_conv)</f>
        <v>0.0873429440191127</v>
      </c>
      <c r="I4712" s="7" t="n">
        <f aca="false">Sens!$E$4712+(glt_ind-Sens!$E$4712)*MIN(1,(Sens!I4659-base_fy)/n_conv)</f>
        <v>0.0815619626794085</v>
      </c>
      <c r="J4712" s="7" t="n">
        <f aca="false">Sens!$E$4712+(glt_ind-Sens!$E$4712)*MIN(1,(Sens!J4659-base_fy)/n_conv)</f>
        <v>0.0757809813397042</v>
      </c>
      <c r="K4712" s="7" t="n">
        <f aca="false">Sens!$E$4712+(glt_ind-Sens!$E$4712)*MIN(1,(Sens!K4659-base_fy)/n_conv)</f>
        <v>0.07</v>
      </c>
    </row>
    <row r="4713" customFormat="false" ht="17.15" hidden="false" customHeight="false" outlineLevel="0" collapsed="false">
      <c r="A4713" s="0" t="s">
        <v>1036</v>
      </c>
      <c r="B4713" s="0" t="s">
        <v>98</v>
      </c>
      <c r="D4713" s="6" t="n">
        <f aca="false">Q!L10</f>
        <v>7.76</v>
      </c>
      <c r="E4713" s="6" t="n">
        <f aca="false">Q!M10</f>
        <v>8.26</v>
      </c>
      <c r="F4713" s="6" t="n">
        <f aca="false">Q!$I$10+(Q!M10-Q!$E$10)*(1+Sens!F4714)</f>
        <v>8.75372082474227</v>
      </c>
      <c r="G4713" s="6" t="n">
        <f aca="false">Sens!F4713*(1+Sens!G4714)</f>
        <v>9.33399324642364</v>
      </c>
      <c r="H4713" s="6" t="n">
        <f aca="false">Sens!G4713*(1+Sens!H4714)</f>
        <v>9.96139155535851</v>
      </c>
      <c r="I4713" s="6" t="n">
        <f aca="false">Sens!H4713*(1+Sens!I4714)</f>
        <v>10.6402039077391</v>
      </c>
      <c r="J4713" s="6" t="n">
        <f aca="false">Sens!I4713*(1+Sens!J4714)</f>
        <v>11.3751458271397</v>
      </c>
      <c r="K4713" s="6" t="n">
        <f aca="false">Sens!J4713*(1+Sens!K4714)</f>
        <v>12.1714060350394</v>
      </c>
      <c r="L4713" s="12" t="s">
        <v>1034</v>
      </c>
    </row>
    <row r="4714" customFormat="false" ht="15" hidden="false" customHeight="false" outlineLevel="0" collapsed="false">
      <c r="A4714" s="1" t="s">
        <v>1024</v>
      </c>
      <c r="B4714" s="0" t="s">
        <v>168</v>
      </c>
      <c r="E4714" s="7" t="n">
        <f aca="false">Sens!E4713/Sens!D4713-1</f>
        <v>0.0644329896907216</v>
      </c>
      <c r="F4714" s="7" t="n">
        <f aca="false">Sens!$E$4714+(glt_fro-Sens!$E$4714)*MIN(1,(Sens!F4659-base_fy)/n_conv)</f>
        <v>0.065360824742268</v>
      </c>
      <c r="G4714" s="7" t="n">
        <f aca="false">Sens!$E$4714+(glt_fro-Sens!$E$4714)*MIN(1,(Sens!G4659-base_fy)/n_conv)</f>
        <v>0.0662886597938144</v>
      </c>
      <c r="H4714" s="7" t="n">
        <f aca="false">Sens!$E$4714+(glt_fro-Sens!$E$4714)*MIN(1,(Sens!H4659-base_fy)/n_conv)</f>
        <v>0.0672164948453608</v>
      </c>
      <c r="I4714" s="7" t="n">
        <f aca="false">Sens!$E$4714+(glt_fro-Sens!$E$4714)*MIN(1,(Sens!I4659-base_fy)/n_conv)</f>
        <v>0.0681443298969072</v>
      </c>
      <c r="J4714" s="7" t="n">
        <f aca="false">Sens!$E$4714+(glt_fro-Sens!$E$4714)*MIN(1,(Sens!J4659-base_fy)/n_conv)</f>
        <v>0.0690721649484536</v>
      </c>
      <c r="K4714" s="7" t="n">
        <f aca="false">Sens!$E$4714+(glt_fro-Sens!$E$4714)*MIN(1,(Sens!K4659-base_fy)/n_conv)</f>
        <v>0.07</v>
      </c>
    </row>
    <row r="4715" customFormat="false" ht="15" hidden="false" customHeight="false" outlineLevel="0" collapsed="false">
      <c r="A4715" s="0" t="s">
        <v>852</v>
      </c>
      <c r="B4715" s="0" t="s">
        <v>98</v>
      </c>
      <c r="D4715" s="6" t="n">
        <f aca="false">Sens!D4703+Sens!D4708+Sens!D4709+Sens!D4711+Sens!D4713</f>
        <v>218.783</v>
      </c>
      <c r="E4715" s="6" t="n">
        <f aca="false">Sens!E4703+Sens!E4708+Sens!E4709+Sens!E4711+Sens!E4713</f>
        <v>268.127</v>
      </c>
      <c r="F4715" s="6" t="n">
        <f aca="false">Sens!F4703+Sens!F4708+Sens!F4709+Sens!F4711+Sens!F4713</f>
        <v>330.145282059882</v>
      </c>
      <c r="G4715" s="6" t="n">
        <f aca="false">Sens!G4703+Sens!G4708+Sens!G4709+Sens!G4711+Sens!G4713</f>
        <v>392.656759865851</v>
      </c>
      <c r="H4715" s="6" t="n">
        <f aca="false">Sens!H4703+Sens!H4708+Sens!H4709+Sens!H4711+Sens!H4713</f>
        <v>451.294782839453</v>
      </c>
      <c r="I4715" s="6" t="n">
        <f aca="false">Sens!I4703+Sens!I4708+Sens!I4709+Sens!I4711+Sens!I4713</f>
        <v>511.886015742547</v>
      </c>
      <c r="J4715" s="6" t="n">
        <f aca="false">Sens!J4703+Sens!J4708+Sens!J4709+Sens!J4711+Sens!J4713</f>
        <v>562.869775491727</v>
      </c>
      <c r="K4715" s="6" t="n">
        <f aca="false">Sens!K4703+Sens!K4708+Sens!K4709+Sens!K4711+Sens!K4713</f>
        <v>604.451989782812</v>
      </c>
    </row>
    <row r="4716" customFormat="false" ht="17.15" hidden="false" customHeight="false" outlineLevel="0" collapsed="false">
      <c r="A4716" s="0" t="s">
        <v>1037</v>
      </c>
      <c r="B4716" s="0" t="s">
        <v>98</v>
      </c>
      <c r="D4716" s="6" t="n">
        <f aca="false">Q!L13</f>
        <v>22.171</v>
      </c>
      <c r="E4716" s="6" t="n">
        <f aca="false">Q!M13</f>
        <v>24.835</v>
      </c>
      <c r="F4716" s="6" t="n">
        <f aca="false">Q!$I$13+(Q!M13-Q!$E$13)*(1+Sens!F4717)</f>
        <v>27.5591895660247</v>
      </c>
      <c r="G4716" s="6" t="n">
        <f aca="false">Sens!F4716*(1+Sens!G4717)</f>
        <v>30.4098563144583</v>
      </c>
      <c r="H4716" s="6" t="n">
        <f aca="false">Sens!G4716*(1+Sens!H4717)</f>
        <v>33.3011792571777</v>
      </c>
      <c r="I4716" s="6" t="n">
        <f aca="false">Sens!H4716*(1+Sens!I4717)</f>
        <v>36.189023797112</v>
      </c>
      <c r="J4716" s="6" t="n">
        <f aca="false">Sens!I4716*(1+Sens!J4717)</f>
        <v>39.0247773769199</v>
      </c>
      <c r="K4716" s="6" t="n">
        <f aca="false">Sens!J4716*(1+Sens!K4717)</f>
        <v>41.7565117933043</v>
      </c>
      <c r="L4716" s="12" t="s">
        <v>1034</v>
      </c>
    </row>
    <row r="4717" customFormat="false" ht="15" hidden="false" customHeight="false" outlineLevel="0" collapsed="false">
      <c r="A4717" s="1" t="s">
        <v>1024</v>
      </c>
      <c r="B4717" s="0" t="s">
        <v>168</v>
      </c>
      <c r="E4717" s="7" t="n">
        <f aca="false">Sens!E4716/Sens!D4716-1</f>
        <v>0.120156961796942</v>
      </c>
      <c r="F4717" s="7" t="n">
        <f aca="false">Sens!$E$4717+(glt_srch-Sens!$E$4717)*MIN(1,(Sens!F4659-base_fy)/n_conv)</f>
        <v>0.111797468164118</v>
      </c>
      <c r="G4717" s="7" t="n">
        <f aca="false">Sens!$E$4717+(glt_srch-Sens!$E$4717)*MIN(1,(Sens!G4659-base_fy)/n_conv)</f>
        <v>0.103437974531295</v>
      </c>
      <c r="H4717" s="7" t="n">
        <f aca="false">Sens!$E$4717+(glt_srch-Sens!$E$4717)*MIN(1,(Sens!H4659-base_fy)/n_conv)</f>
        <v>0.095078480898471</v>
      </c>
      <c r="I4717" s="7" t="n">
        <f aca="false">Sens!$E$4717+(glt_srch-Sens!$E$4717)*MIN(1,(Sens!I4659-base_fy)/n_conv)</f>
        <v>0.0867189872656474</v>
      </c>
      <c r="J4717" s="7" t="n">
        <f aca="false">Sens!$E$4717+(glt_srch-Sens!$E$4717)*MIN(1,(Sens!J4659-base_fy)/n_conv)</f>
        <v>0.0783594936328237</v>
      </c>
      <c r="K4717" s="7" t="n">
        <f aca="false">Sens!$E$4717+(glt_srch-Sens!$E$4717)*MIN(1,(Sens!K4659-base_fy)/n_conv)</f>
        <v>0.07</v>
      </c>
    </row>
    <row r="4718" customFormat="false" ht="17.15" hidden="false" customHeight="false" outlineLevel="0" collapsed="false">
      <c r="A4718" s="0" t="s">
        <v>1038</v>
      </c>
      <c r="B4718" s="0" t="s">
        <v>98</v>
      </c>
      <c r="D4718" s="6" t="n">
        <f aca="false">Q!L14</f>
        <v>23.455</v>
      </c>
      <c r="E4718" s="6" t="n">
        <f aca="false">Q!M14</f>
        <v>21.79</v>
      </c>
      <c r="F4718" s="6" t="n">
        <f aca="false">Q!$I$14+(Q!M14-Q!$E$14)*(1+Sens!F4719)</f>
        <v>20.7520981041711</v>
      </c>
      <c r="G4718" s="6" t="n">
        <f aca="false">Sens!F4718*(1+Sens!G4719)</f>
        <v>19.9083593495882</v>
      </c>
      <c r="H4718" s="6" t="n">
        <f aca="false">Sens!G4718*(1+Sens!H4719)</f>
        <v>19.4008256265831</v>
      </c>
      <c r="I4718" s="6" t="n">
        <f aca="false">Sens!H4718*(1+Sens!I4719)</f>
        <v>19.200434522122</v>
      </c>
      <c r="J4718" s="6" t="n">
        <f aca="false">Sens!I4718*(1+Sens!J4719)</f>
        <v>19.2932782348507</v>
      </c>
      <c r="K4718" s="6" t="n">
        <f aca="false">Sens!J4718*(1+Sens!K4719)</f>
        <v>19.6791437995477</v>
      </c>
      <c r="L4718" s="12" t="s">
        <v>1034</v>
      </c>
    </row>
    <row r="4719" customFormat="false" ht="15" hidden="false" customHeight="false" outlineLevel="0" collapsed="false">
      <c r="A4719" s="1" t="s">
        <v>1024</v>
      </c>
      <c r="B4719" s="0" t="s">
        <v>168</v>
      </c>
      <c r="E4719" s="7" t="n">
        <f aca="false">Sens!E4718/Sens!D4718-1</f>
        <v>-0.0709869963760392</v>
      </c>
      <c r="F4719" s="7" t="n">
        <f aca="false">Sens!$E$4719+(glt_xbox-Sens!$E$4719)*MIN(1,(Sens!F4659-base_fy)/n_conv)</f>
        <v>-0.0558224969800327</v>
      </c>
      <c r="G4719" s="7" t="n">
        <f aca="false">Sens!$E$4719+(glt_xbox-Sens!$E$4719)*MIN(1,(Sens!G4659-base_fy)/n_conv)</f>
        <v>-0.0406579975840262</v>
      </c>
      <c r="H4719" s="7" t="n">
        <f aca="false">Sens!$E$4719+(glt_xbox-Sens!$E$4719)*MIN(1,(Sens!H4659-base_fy)/n_conv)</f>
        <v>-0.0254934981880196</v>
      </c>
      <c r="I4719" s="7" t="n">
        <f aca="false">Sens!$E$4719+(glt_xbox-Sens!$E$4719)*MIN(1,(Sens!I4659-base_fy)/n_conv)</f>
        <v>-0.0103289987920131</v>
      </c>
      <c r="J4719" s="7" t="n">
        <f aca="false">Sens!$E$4719+(glt_xbox-Sens!$E$4719)*MIN(1,(Sens!J4659-base_fy)/n_conv)</f>
        <v>0.00483550060399347</v>
      </c>
      <c r="K4719" s="7" t="n">
        <f aca="false">Sens!$E$4719+(glt_xbox-Sens!$E$4719)*MIN(1,(Sens!K4659-base_fy)/n_conv)</f>
        <v>0.02</v>
      </c>
    </row>
    <row r="4720" customFormat="false" ht="17.15" hidden="false" customHeight="false" outlineLevel="0" collapsed="false">
      <c r="A4720" s="0" t="s">
        <v>1039</v>
      </c>
      <c r="B4720" s="0" t="s">
        <v>98</v>
      </c>
      <c r="D4720" s="6" t="n">
        <f aca="false">Q!L15</f>
        <v>17.315</v>
      </c>
      <c r="E4720" s="6" t="n">
        <f aca="false">Q!M15</f>
        <v>17.087</v>
      </c>
      <c r="F4720" s="6" t="n">
        <f aca="false">Q!$I$15+(Q!M15-Q!$E$15)*(1+Sens!F4721)</f>
        <v>15.9912273250553</v>
      </c>
      <c r="G4720" s="6" t="n">
        <f aca="false">Sens!F4720*(1+Sens!G4721)</f>
        <v>15.9574562664827</v>
      </c>
      <c r="H4720" s="6" t="n">
        <f aca="false">Sens!G4720*(1+Sens!H4721)</f>
        <v>16.0119687434196</v>
      </c>
      <c r="I4720" s="6" t="n">
        <f aca="false">Sens!H4720*(1+Sens!I4721)</f>
        <v>16.1551810001948</v>
      </c>
      <c r="J4720" s="6" t="n">
        <f aca="false">Sens!I4720*(1+Sens!J4721)</f>
        <v>16.3889793892005</v>
      </c>
      <c r="K4720" s="6" t="n">
        <f aca="false">Sens!J4720*(1+Sens!K4721)</f>
        <v>16.7167589769845</v>
      </c>
      <c r="L4720" s="12" t="s">
        <v>1034</v>
      </c>
    </row>
    <row r="4721" customFormat="false" ht="15" hidden="false" customHeight="false" outlineLevel="0" collapsed="false">
      <c r="A4721" s="1" t="s">
        <v>1024</v>
      </c>
      <c r="B4721" s="0" t="s">
        <v>168</v>
      </c>
      <c r="E4721" s="7" t="n">
        <f aca="false">Sens!E4720/Sens!D4720-1</f>
        <v>-0.0131677736066995</v>
      </c>
      <c r="F4721" s="7" t="n">
        <f aca="false">Sens!$E$4721+(glt_win-Sens!$E$4721)*MIN(1,(Sens!F4659-base_fy)/n_conv)</f>
        <v>-0.00763981133891627</v>
      </c>
      <c r="G4721" s="7" t="n">
        <f aca="false">Sens!$E$4721+(glt_win-Sens!$E$4721)*MIN(1,(Sens!G4659-base_fy)/n_conv)</f>
        <v>-0.00211184907113301</v>
      </c>
      <c r="H4721" s="7" t="n">
        <f aca="false">Sens!$E$4721+(glt_win-Sens!$E$4721)*MIN(1,(Sens!H4659-base_fy)/n_conv)</f>
        <v>0.00341611319665024</v>
      </c>
      <c r="I4721" s="7" t="n">
        <f aca="false">Sens!$E$4721+(glt_win-Sens!$E$4721)*MIN(1,(Sens!I4659-base_fy)/n_conv)</f>
        <v>0.00894407546443349</v>
      </c>
      <c r="J4721" s="7" t="n">
        <f aca="false">Sens!$E$4721+(glt_win-Sens!$E$4721)*MIN(1,(Sens!J4659-base_fy)/n_conv)</f>
        <v>0.0144720377322168</v>
      </c>
      <c r="K4721" s="7" t="n">
        <f aca="false">Sens!$E$4721+(glt_win-Sens!$E$4721)*MIN(1,(Sens!K4659-base_fy)/n_conv)</f>
        <v>0.02</v>
      </c>
    </row>
    <row r="4722" customFormat="false" ht="15" hidden="false" customHeight="false" outlineLevel="0" collapsed="false">
      <c r="A4722" s="0" t="s">
        <v>866</v>
      </c>
      <c r="B4722" s="0" t="s">
        <v>98</v>
      </c>
      <c r="D4722" s="6" t="n">
        <f aca="false">Sens!D4716+Sens!D4718+Sens!D4720</f>
        <v>62.941</v>
      </c>
      <c r="E4722" s="6" t="n">
        <f aca="false">Sens!E4716+Sens!E4718+Sens!E4720</f>
        <v>63.712</v>
      </c>
      <c r="F4722" s="6" t="n">
        <f aca="false">Sens!F4716+Sens!F4718+Sens!F4720</f>
        <v>64.3025149952511</v>
      </c>
      <c r="G4722" s="6" t="n">
        <f aca="false">Sens!G4716+Sens!G4718+Sens!G4720</f>
        <v>66.2756719305292</v>
      </c>
      <c r="H4722" s="6" t="n">
        <f aca="false">Sens!H4716+Sens!H4718+Sens!H4720</f>
        <v>68.7139736271804</v>
      </c>
      <c r="I4722" s="6" t="n">
        <f aca="false">Sens!I4716+Sens!I4718+Sens!I4720</f>
        <v>71.5446393194289</v>
      </c>
      <c r="J4722" s="6" t="n">
        <f aca="false">Sens!J4716+Sens!J4718+Sens!J4720</f>
        <v>74.707035000971</v>
      </c>
      <c r="K4722" s="6" t="n">
        <f aca="false">Sens!K4716+Sens!K4718+Sens!K4720</f>
        <v>78.1524145698365</v>
      </c>
    </row>
    <row r="4723" customFormat="false" ht="15" hidden="false" customHeight="false" outlineLevel="0" collapsed="false">
      <c r="A4723" s="1" t="s">
        <v>1040</v>
      </c>
      <c r="B4723" s="0" t="s">
        <v>98</v>
      </c>
      <c r="D4723" s="6" t="n">
        <f aca="false">Sens!D4715+Sens!D4722</f>
        <v>281.724</v>
      </c>
      <c r="E4723" s="6" t="n">
        <f aca="false">Sens!E4715+Sens!E4722</f>
        <v>331.839</v>
      </c>
      <c r="F4723" s="6" t="n">
        <f aca="false">Sens!F4715+Sens!F4722</f>
        <v>394.447797055133</v>
      </c>
      <c r="G4723" s="6" t="n">
        <f aca="false">Sens!G4715+Sens!G4722</f>
        <v>458.93243179638</v>
      </c>
      <c r="H4723" s="6" t="n">
        <f aca="false">Sens!H4715+Sens!H4722</f>
        <v>520.008756466633</v>
      </c>
      <c r="I4723" s="6" t="n">
        <f aca="false">Sens!I4715+Sens!I4722</f>
        <v>583.430655061976</v>
      </c>
      <c r="J4723" s="6" t="n">
        <f aca="false">Sens!J4715+Sens!J4722</f>
        <v>637.576810492698</v>
      </c>
      <c r="K4723" s="6" t="n">
        <f aca="false">Sens!K4715+Sens!K4722</f>
        <v>682.604404352648</v>
      </c>
    </row>
    <row r="4724" customFormat="false" ht="15" hidden="false" customHeight="false" outlineLevel="0" collapsed="false">
      <c r="A4724" s="26" t="s">
        <v>1041</v>
      </c>
      <c r="B4724" s="31" t="s">
        <v>98</v>
      </c>
      <c r="C4724" s="31"/>
      <c r="D4724" s="27" t="n">
        <f aca="false">(Sens!D4703+Sens!D4708+Sens!D4709+Sens!D4711+Sens!D4713-Sens!D4715)+(Sens!D4716+Sens!D4718+Sens!D4720-Sens!D4722)+(Sens!D4715-Q!L5)+(Sens!D4722-Q!L12)+(Sens!D4703-Q!L6)+(Sens!D4708-Q!L7)</f>
        <v>0</v>
      </c>
      <c r="E4724" s="27" t="n">
        <f aca="false">(Sens!E4703+Sens!E4708+Sens!E4709+Sens!E4711+Sens!E4713-Sens!E4715)+(Sens!E4716+Sens!E4718+Sens!E4720-Sens!E4722)+(Sens!E4715-Q!M5)+(Sens!E4722-Q!M12)+(Sens!E4703-Q!M6)+(Sens!E4708-Q!M7)</f>
        <v>0</v>
      </c>
      <c r="F4724" s="27" t="n">
        <f aca="false">(Sens!F4703+Sens!F4708+Sens!F4709+Sens!F4711+Sens!F4713-Sens!F4715)+(Sens!F4716+Sens!F4718+Sens!F4720-Sens!F4722)</f>
        <v>0</v>
      </c>
      <c r="G4724" s="27" t="n">
        <f aca="false">(Sens!G4703+Sens!G4708+Sens!G4709+Sens!G4711+Sens!G4713-Sens!G4715)+(Sens!G4716+Sens!G4718+Sens!G4720-Sens!G4722)</f>
        <v>0</v>
      </c>
      <c r="H4724" s="27" t="n">
        <f aca="false">(Sens!H4703+Sens!H4708+Sens!H4709+Sens!H4711+Sens!H4713-Sens!H4715)+(Sens!H4716+Sens!H4718+Sens!H4720-Sens!H4722)</f>
        <v>0</v>
      </c>
      <c r="I4724" s="27" t="n">
        <f aca="false">(Sens!I4703+Sens!I4708+Sens!I4709+Sens!I4711+Sens!I4713-Sens!I4715)+(Sens!I4716+Sens!I4718+Sens!I4720-Sens!I4722)</f>
        <v>0</v>
      </c>
      <c r="J4724" s="27" t="n">
        <f aca="false">(Sens!J4703+Sens!J4708+Sens!J4709+Sens!J4711+Sens!J4713-Sens!J4715)+(Sens!J4716+Sens!J4718+Sens!J4720-Sens!J4722)</f>
        <v>0</v>
      </c>
      <c r="K4724" s="27" t="n">
        <f aca="false">(Sens!K4703+Sens!K4708+Sens!K4709+Sens!K4711+Sens!K4713-Sens!K4715)+(Sens!K4716+Sens!K4718+Sens!K4720-Sens!K4722)</f>
        <v>0</v>
      </c>
    </row>
    <row r="4725" customFormat="false" ht="17.15" hidden="false" customHeight="false" outlineLevel="0" collapsed="false">
      <c r="A4725" s="3" t="s">
        <v>1597</v>
      </c>
    </row>
    <row r="4726" customFormat="false" ht="15" hidden="false" customHeight="false" outlineLevel="0" collapsed="false">
      <c r="A4726" s="4" t="s">
        <v>43</v>
      </c>
      <c r="B4726" s="4" t="s">
        <v>65</v>
      </c>
      <c r="C4726" s="23" t="s">
        <v>938</v>
      </c>
      <c r="D4726" s="23" t="s">
        <v>939</v>
      </c>
      <c r="E4726" s="23" t="s">
        <v>940</v>
      </c>
      <c r="F4726" s="23" t="s">
        <v>941</v>
      </c>
      <c r="G4726" s="23" t="s">
        <v>942</v>
      </c>
      <c r="H4726" s="23" t="s">
        <v>943</v>
      </c>
      <c r="I4726" s="23" t="s">
        <v>944</v>
      </c>
      <c r="J4726" s="23" t="s">
        <v>945</v>
      </c>
      <c r="K4726" s="23" t="s">
        <v>946</v>
      </c>
      <c r="L4726" s="4" t="s">
        <v>47</v>
      </c>
    </row>
    <row r="4727" customFormat="false" ht="15" hidden="false" customHeight="false" outlineLevel="0" collapsed="false">
      <c r="A4727" s="0" t="s">
        <v>1025</v>
      </c>
      <c r="B4727" s="0" t="s">
        <v>98</v>
      </c>
      <c r="D4727" s="6" t="n">
        <f aca="false">Sens!D4703</f>
        <v>72.61</v>
      </c>
      <c r="E4727" s="6" t="n">
        <f aca="false">Sens!E4703</f>
        <v>101.938</v>
      </c>
      <c r="F4727" s="6" t="n">
        <f aca="false">Sens!F4703</f>
        <v>143.251883553698</v>
      </c>
      <c r="G4727" s="6" t="n">
        <f aca="false">Sens!G4703</f>
        <v>186.322520879442</v>
      </c>
      <c r="H4727" s="6" t="n">
        <f aca="false">Sens!H4703</f>
        <v>225.493303805261</v>
      </c>
      <c r="I4727" s="6" t="n">
        <f aca="false">Sens!I4703</f>
        <v>267.637378439976</v>
      </c>
      <c r="J4727" s="6" t="n">
        <f aca="false">Sens!J4703</f>
        <v>301.514067797341</v>
      </c>
      <c r="K4727" s="6" t="n">
        <f aca="false">Sens!K4703</f>
        <v>326.912319415143</v>
      </c>
    </row>
    <row r="4728" customFormat="false" ht="17.15" hidden="false" customHeight="false" outlineLevel="0" collapsed="false">
      <c r="A4728" s="0" t="s">
        <v>1021</v>
      </c>
      <c r="B4728" s="0" t="s">
        <v>98</v>
      </c>
      <c r="D4728" s="6" t="n">
        <f aca="false">Sens!D4700</f>
        <v>12.9359794422418</v>
      </c>
      <c r="E4728" s="6" t="n">
        <f aca="false">Sens!E4700</f>
        <v>27.8095064661409</v>
      </c>
      <c r="F4728" s="6" t="n">
        <f aca="false">Sens!F4700</f>
        <v>50.9819294352312</v>
      </c>
      <c r="G4728" s="6" t="n">
        <f aca="false">Sens!G4700</f>
        <v>76.6920436014933</v>
      </c>
      <c r="H4728" s="6" t="n">
        <f aca="false">Sens!H4700</f>
        <v>98.200047483305</v>
      </c>
      <c r="I4728" s="6" t="n">
        <f aca="false">Sens!I4700</f>
        <v>123.277326170485</v>
      </c>
      <c r="J4728" s="6" t="n">
        <f aca="false">Sens!J4700</f>
        <v>141.702103307125</v>
      </c>
      <c r="K4728" s="6" t="n">
        <f aca="false">Sens!K4700</f>
        <v>154.315397765709</v>
      </c>
    </row>
    <row r="4729" customFormat="false" ht="17.15" hidden="false" customHeight="false" outlineLevel="0" collapsed="false">
      <c r="A4729" s="0" t="s">
        <v>1052</v>
      </c>
      <c r="B4729" s="0" t="s">
        <v>98</v>
      </c>
      <c r="D4729" s="6" t="n">
        <f aca="false">Sens!D4701</f>
        <v>59.6740205577583</v>
      </c>
      <c r="E4729" s="6" t="n">
        <f aca="false">Sens!E4701</f>
        <v>74.1284935338591</v>
      </c>
      <c r="F4729" s="6" t="n">
        <f aca="false">Sens!F4701</f>
        <v>92.2699541184664</v>
      </c>
      <c r="G4729" s="6" t="n">
        <f aca="false">Sens!G4701</f>
        <v>109.630477277949</v>
      </c>
      <c r="H4729" s="6" t="n">
        <f aca="false">Sens!H4701</f>
        <v>127.293256321956</v>
      </c>
      <c r="I4729" s="6" t="n">
        <f aca="false">Sens!I4701</f>
        <v>144.360052269491</v>
      </c>
      <c r="J4729" s="6" t="n">
        <f aca="false">Sens!J4701</f>
        <v>159.811964490216</v>
      </c>
      <c r="K4729" s="6" t="n">
        <f aca="false">Sens!K4701</f>
        <v>172.596921649434</v>
      </c>
    </row>
    <row r="4730" customFormat="false" ht="15" hidden="false" customHeight="false" outlineLevel="0" collapsed="false">
      <c r="A4730" s="0" t="s">
        <v>1032</v>
      </c>
      <c r="B4730" s="0" t="s">
        <v>98</v>
      </c>
      <c r="D4730" s="6" t="n">
        <f aca="false">Sens!D4708</f>
        <v>84.605</v>
      </c>
      <c r="E4730" s="6" t="n">
        <f aca="false">Sens!E4708</f>
        <v>100.299</v>
      </c>
      <c r="F4730" s="6" t="n">
        <f aca="false">Sens!F4708</f>
        <v>117.438354189776</v>
      </c>
      <c r="G4730" s="6" t="n">
        <f aca="false">Sens!G4708</f>
        <v>132.595360443801</v>
      </c>
      <c r="H4730" s="6" t="n">
        <f aca="false">Sens!H4708</f>
        <v>147.833811964563</v>
      </c>
      <c r="I4730" s="6" t="n">
        <f aca="false">Sens!I4708</f>
        <v>162.145665319381</v>
      </c>
      <c r="J4730" s="6" t="n">
        <f aca="false">Sens!J4708</f>
        <v>175.249327755573</v>
      </c>
      <c r="K4730" s="6" t="n">
        <f aca="false">Sens!K4708</f>
        <v>187.599280698463</v>
      </c>
    </row>
    <row r="4731" customFormat="false" ht="17.15" hidden="false" customHeight="false" outlineLevel="0" collapsed="false">
      <c r="A4731" s="0" t="s">
        <v>1053</v>
      </c>
      <c r="B4731" s="0" t="s">
        <v>98</v>
      </c>
      <c r="D4731" s="6" t="n">
        <f aca="false">Sens!D4706</f>
        <v>83.705</v>
      </c>
      <c r="E4731" s="6" t="n">
        <f aca="false">Sens!E4706</f>
        <v>95.049</v>
      </c>
      <c r="F4731" s="6" t="n">
        <f aca="false">Sens!F4706</f>
        <v>106.938354189776</v>
      </c>
      <c r="G4731" s="6" t="n">
        <f aca="false">Sens!G4706</f>
        <v>119.095360443801</v>
      </c>
      <c r="H4731" s="6" t="n">
        <f aca="false">Sens!H4706</f>
        <v>131.333811964563</v>
      </c>
      <c r="I4731" s="6" t="n">
        <f aca="false">Sens!I4706</f>
        <v>143.395665319381</v>
      </c>
      <c r="J4731" s="6" t="n">
        <f aca="false">Sens!J4706</f>
        <v>154.999327755573</v>
      </c>
      <c r="K4731" s="6" t="n">
        <f aca="false">Sens!K4706</f>
        <v>165.849280698463</v>
      </c>
    </row>
    <row r="4732" customFormat="false" ht="17.15" hidden="false" customHeight="false" outlineLevel="0" collapsed="false">
      <c r="A4732" s="0" t="s">
        <v>1054</v>
      </c>
      <c r="B4732" s="0" t="s">
        <v>98</v>
      </c>
      <c r="D4732" s="6" t="n">
        <f aca="false">Sens!D4705</f>
        <v>0.9</v>
      </c>
      <c r="E4732" s="6" t="n">
        <f aca="false">Sens!E4705</f>
        <v>5.25</v>
      </c>
      <c r="F4732" s="6" t="n">
        <f aca="false">Sens!F4705</f>
        <v>10.5</v>
      </c>
      <c r="G4732" s="6" t="n">
        <f aca="false">Sens!G4705</f>
        <v>13.5</v>
      </c>
      <c r="H4732" s="6" t="n">
        <f aca="false">Sens!H4705</f>
        <v>16.5</v>
      </c>
      <c r="I4732" s="6" t="n">
        <f aca="false">Sens!I4705</f>
        <v>18.75</v>
      </c>
      <c r="J4732" s="6" t="n">
        <f aca="false">Sens!J4705</f>
        <v>20.25</v>
      </c>
      <c r="K4732" s="6" t="n">
        <f aca="false">Sens!K4705</f>
        <v>21.75</v>
      </c>
    </row>
    <row r="4733" customFormat="false" ht="15" hidden="false" customHeight="false" outlineLevel="0" collapsed="false">
      <c r="A4733" s="0" t="s">
        <v>1033</v>
      </c>
      <c r="B4733" s="0" t="s">
        <v>98</v>
      </c>
      <c r="D4733" s="6" t="n">
        <f aca="false">Sens!D4709</f>
        <v>35.391</v>
      </c>
      <c r="E4733" s="6" t="n">
        <f aca="false">Sens!E4709</f>
        <v>37.285</v>
      </c>
      <c r="F4733" s="6" t="n">
        <f aca="false">Sens!F4709</f>
        <v>38.3851437782675</v>
      </c>
      <c r="G4733" s="6" t="n">
        <f aca="false">Sens!G4709</f>
        <v>40.0105353288615</v>
      </c>
      <c r="H4733" s="6" t="n">
        <f aca="false">Sens!H4709</f>
        <v>41.4812512033683</v>
      </c>
      <c r="I4733" s="6" t="n">
        <f aca="false">Sens!I4709</f>
        <v>42.7743107216329</v>
      </c>
      <c r="J4733" s="6" t="n">
        <f aca="false">Sens!J4709</f>
        <v>43.8687373064601</v>
      </c>
      <c r="K4733" s="6" t="n">
        <f aca="false">Sens!K4709</f>
        <v>44.7461120525893</v>
      </c>
    </row>
    <row r="4734" customFormat="false" ht="15" hidden="false" customHeight="false" outlineLevel="0" collapsed="false">
      <c r="A4734" s="0" t="s">
        <v>1035</v>
      </c>
      <c r="B4734" s="0" t="s">
        <v>98</v>
      </c>
      <c r="D4734" s="6" t="n">
        <f aca="false">Sens!D4711</f>
        <v>18.417</v>
      </c>
      <c r="E4734" s="6" t="n">
        <f aca="false">Sens!E4711</f>
        <v>20.345</v>
      </c>
      <c r="F4734" s="6" t="n">
        <f aca="false">Sens!F4711</f>
        <v>22.3161797133988</v>
      </c>
      <c r="G4734" s="6" t="n">
        <f aca="false">Sens!G4711</f>
        <v>24.3943499673233</v>
      </c>
      <c r="H4734" s="6" t="n">
        <f aca="false">Sens!H4711</f>
        <v>26.5250243109019</v>
      </c>
      <c r="I4734" s="6" t="n">
        <f aca="false">Sens!I4711</f>
        <v>28.6884573538181</v>
      </c>
      <c r="J4734" s="6" t="n">
        <f aca="false">Sens!J4711</f>
        <v>30.8624968052127</v>
      </c>
      <c r="K4734" s="6" t="n">
        <f aca="false">Sens!K4711</f>
        <v>33.0228715815776</v>
      </c>
    </row>
    <row r="4735" customFormat="false" ht="15" hidden="false" customHeight="false" outlineLevel="0" collapsed="false">
      <c r="A4735" s="0" t="s">
        <v>1036</v>
      </c>
      <c r="B4735" s="0" t="s">
        <v>98</v>
      </c>
      <c r="D4735" s="6" t="n">
        <f aca="false">Sens!D4713</f>
        <v>7.76</v>
      </c>
      <c r="E4735" s="6" t="n">
        <f aca="false">Sens!E4713</f>
        <v>8.26</v>
      </c>
      <c r="F4735" s="6" t="n">
        <f aca="false">Sens!F4713</f>
        <v>8.75372082474227</v>
      </c>
      <c r="G4735" s="6" t="n">
        <f aca="false">Sens!G4713</f>
        <v>9.33399324642364</v>
      </c>
      <c r="H4735" s="6" t="n">
        <f aca="false">Sens!H4713</f>
        <v>9.96139155535851</v>
      </c>
      <c r="I4735" s="6" t="n">
        <f aca="false">Sens!I4713</f>
        <v>10.6402039077391</v>
      </c>
      <c r="J4735" s="6" t="n">
        <f aca="false">Sens!J4713</f>
        <v>11.3751458271397</v>
      </c>
      <c r="K4735" s="6" t="n">
        <f aca="false">Sens!K4713</f>
        <v>12.1714060350394</v>
      </c>
    </row>
    <row r="4736" customFormat="false" ht="15" hidden="false" customHeight="false" outlineLevel="0" collapsed="false">
      <c r="A4736" s="0" t="s">
        <v>852</v>
      </c>
      <c r="B4736" s="0" t="s">
        <v>98</v>
      </c>
      <c r="D4736" s="6" t="n">
        <f aca="false">Sens!D4715</f>
        <v>218.783</v>
      </c>
      <c r="E4736" s="6" t="n">
        <f aca="false">Sens!E4715</f>
        <v>268.127</v>
      </c>
      <c r="F4736" s="6" t="n">
        <f aca="false">Sens!F4715</f>
        <v>330.145282059882</v>
      </c>
      <c r="G4736" s="6" t="n">
        <f aca="false">Sens!G4715</f>
        <v>392.656759865851</v>
      </c>
      <c r="H4736" s="6" t="n">
        <f aca="false">Sens!H4715</f>
        <v>451.294782839453</v>
      </c>
      <c r="I4736" s="6" t="n">
        <f aca="false">Sens!I4715</f>
        <v>511.886015742547</v>
      </c>
      <c r="J4736" s="6" t="n">
        <f aca="false">Sens!J4715</f>
        <v>562.869775491727</v>
      </c>
      <c r="K4736" s="6" t="n">
        <f aca="false">Sens!K4715</f>
        <v>604.451989782812</v>
      </c>
    </row>
    <row r="4737" customFormat="false" ht="15" hidden="false" customHeight="false" outlineLevel="0" collapsed="false">
      <c r="A4737" s="0" t="s">
        <v>1037</v>
      </c>
      <c r="B4737" s="0" t="s">
        <v>98</v>
      </c>
      <c r="D4737" s="6" t="n">
        <f aca="false">Sens!D4716</f>
        <v>22.171</v>
      </c>
      <c r="E4737" s="6" t="n">
        <f aca="false">Sens!E4716</f>
        <v>24.835</v>
      </c>
      <c r="F4737" s="6" t="n">
        <f aca="false">Sens!F4716</f>
        <v>27.5591895660247</v>
      </c>
      <c r="G4737" s="6" t="n">
        <f aca="false">Sens!G4716</f>
        <v>30.4098563144583</v>
      </c>
      <c r="H4737" s="6" t="n">
        <f aca="false">Sens!H4716</f>
        <v>33.3011792571777</v>
      </c>
      <c r="I4737" s="6" t="n">
        <f aca="false">Sens!I4716</f>
        <v>36.189023797112</v>
      </c>
      <c r="J4737" s="6" t="n">
        <f aca="false">Sens!J4716</f>
        <v>39.0247773769199</v>
      </c>
      <c r="K4737" s="6" t="n">
        <f aca="false">Sens!K4716</f>
        <v>41.7565117933043</v>
      </c>
    </row>
    <row r="4738" customFormat="false" ht="15" hidden="false" customHeight="false" outlineLevel="0" collapsed="false">
      <c r="A4738" s="0" t="s">
        <v>1038</v>
      </c>
      <c r="B4738" s="0" t="s">
        <v>98</v>
      </c>
      <c r="D4738" s="6" t="n">
        <f aca="false">Sens!D4718</f>
        <v>23.455</v>
      </c>
      <c r="E4738" s="6" t="n">
        <f aca="false">Sens!E4718</f>
        <v>21.79</v>
      </c>
      <c r="F4738" s="6" t="n">
        <f aca="false">Sens!F4718</f>
        <v>20.7520981041711</v>
      </c>
      <c r="G4738" s="6" t="n">
        <f aca="false">Sens!G4718</f>
        <v>19.9083593495882</v>
      </c>
      <c r="H4738" s="6" t="n">
        <f aca="false">Sens!H4718</f>
        <v>19.4008256265831</v>
      </c>
      <c r="I4738" s="6" t="n">
        <f aca="false">Sens!I4718</f>
        <v>19.200434522122</v>
      </c>
      <c r="J4738" s="6" t="n">
        <f aca="false">Sens!J4718</f>
        <v>19.2932782348507</v>
      </c>
      <c r="K4738" s="6" t="n">
        <f aca="false">Sens!K4718</f>
        <v>19.6791437995477</v>
      </c>
    </row>
    <row r="4739" customFormat="false" ht="15" hidden="false" customHeight="false" outlineLevel="0" collapsed="false">
      <c r="A4739" s="0" t="s">
        <v>1039</v>
      </c>
      <c r="B4739" s="0" t="s">
        <v>98</v>
      </c>
      <c r="D4739" s="6" t="n">
        <f aca="false">Sens!D4720</f>
        <v>17.315</v>
      </c>
      <c r="E4739" s="6" t="n">
        <f aca="false">Sens!E4720</f>
        <v>17.087</v>
      </c>
      <c r="F4739" s="6" t="n">
        <f aca="false">Sens!F4720</f>
        <v>15.9912273250553</v>
      </c>
      <c r="G4739" s="6" t="n">
        <f aca="false">Sens!G4720</f>
        <v>15.9574562664827</v>
      </c>
      <c r="H4739" s="6" t="n">
        <f aca="false">Sens!H4720</f>
        <v>16.0119687434196</v>
      </c>
      <c r="I4739" s="6" t="n">
        <f aca="false">Sens!I4720</f>
        <v>16.1551810001948</v>
      </c>
      <c r="J4739" s="6" t="n">
        <f aca="false">Sens!J4720</f>
        <v>16.3889793892005</v>
      </c>
      <c r="K4739" s="6" t="n">
        <f aca="false">Sens!K4720</f>
        <v>16.7167589769845</v>
      </c>
    </row>
    <row r="4740" customFormat="false" ht="15" hidden="false" customHeight="false" outlineLevel="0" collapsed="false">
      <c r="A4740" s="0" t="s">
        <v>866</v>
      </c>
      <c r="B4740" s="0" t="s">
        <v>98</v>
      </c>
      <c r="D4740" s="6" t="n">
        <f aca="false">Sens!D4722</f>
        <v>62.941</v>
      </c>
      <c r="E4740" s="6" t="n">
        <f aca="false">Sens!E4722</f>
        <v>63.712</v>
      </c>
      <c r="F4740" s="6" t="n">
        <f aca="false">Sens!F4722</f>
        <v>64.3025149952511</v>
      </c>
      <c r="G4740" s="6" t="n">
        <f aca="false">Sens!G4722</f>
        <v>66.2756719305292</v>
      </c>
      <c r="H4740" s="6" t="n">
        <f aca="false">Sens!H4722</f>
        <v>68.7139736271804</v>
      </c>
      <c r="I4740" s="6" t="n">
        <f aca="false">Sens!I4722</f>
        <v>71.5446393194289</v>
      </c>
      <c r="J4740" s="6" t="n">
        <f aca="false">Sens!J4722</f>
        <v>74.707035000971</v>
      </c>
      <c r="K4740" s="6" t="n">
        <f aca="false">Sens!K4722</f>
        <v>78.1524145698365</v>
      </c>
    </row>
    <row r="4741" customFormat="false" ht="15" hidden="false" customHeight="false" outlineLevel="0" collapsed="false">
      <c r="A4741" s="1" t="s">
        <v>1055</v>
      </c>
      <c r="B4741" s="0" t="s">
        <v>98</v>
      </c>
      <c r="D4741" s="6" t="n">
        <f aca="false">Sens!D4723</f>
        <v>281.724</v>
      </c>
      <c r="E4741" s="6" t="n">
        <f aca="false">Sens!E4723</f>
        <v>331.839</v>
      </c>
      <c r="F4741" s="6" t="n">
        <f aca="false">Sens!F4723</f>
        <v>394.447797055133</v>
      </c>
      <c r="G4741" s="6" t="n">
        <f aca="false">Sens!G4723</f>
        <v>458.93243179638</v>
      </c>
      <c r="H4741" s="6" t="n">
        <f aca="false">Sens!H4723</f>
        <v>520.008756466633</v>
      </c>
      <c r="I4741" s="6" t="n">
        <f aca="false">Sens!I4723</f>
        <v>583.430655061976</v>
      </c>
      <c r="J4741" s="6" t="n">
        <f aca="false">Sens!J4723</f>
        <v>637.576810492698</v>
      </c>
      <c r="K4741" s="6" t="n">
        <f aca="false">Sens!K4723</f>
        <v>682.604404352648</v>
      </c>
    </row>
    <row r="4742" customFormat="false" ht="15" hidden="false" customHeight="false" outlineLevel="0" collapsed="false">
      <c r="A4742" s="1" t="s">
        <v>1056</v>
      </c>
      <c r="B4742" s="0" t="s">
        <v>168</v>
      </c>
      <c r="E4742" s="7" t="n">
        <f aca="false">Sens!E4741/Sens!D4741-1</f>
        <v>0.177886867998467</v>
      </c>
      <c r="F4742" s="7" t="n">
        <f aca="false">Sens!F4741/Sens!E4741-1</f>
        <v>0.188672208676897</v>
      </c>
      <c r="G4742" s="7" t="n">
        <f aca="false">Sens!G4741/Sens!F4741-1</f>
        <v>0.16348078306604</v>
      </c>
      <c r="H4742" s="7" t="n">
        <f aca="false">Sens!H4741/Sens!G4741-1</f>
        <v>0.133083479045454</v>
      </c>
      <c r="I4742" s="7" t="n">
        <f aca="false">Sens!I4741/Sens!H4741-1</f>
        <v>0.121963135825411</v>
      </c>
      <c r="J4742" s="7" t="n">
        <f aca="false">Sens!J4741/Sens!I4741-1</f>
        <v>0.0928064971576954</v>
      </c>
      <c r="K4742" s="7" t="n">
        <f aca="false">Sens!K4741/Sens!J4741-1</f>
        <v>0.0706230106222889</v>
      </c>
    </row>
    <row r="4743" customFormat="false" ht="17.15" hidden="false" customHeight="false" outlineLevel="0" collapsed="false">
      <c r="A4743" s="26" t="s">
        <v>1057</v>
      </c>
      <c r="B4743" s="31" t="s">
        <v>98</v>
      </c>
      <c r="C4743" s="31"/>
      <c r="D4743" s="27" t="n">
        <f aca="false">(Sens!D4736+Sens!D4740-Sens!D4741)+(Sens!D4728+Sens!D4729-Sens!D4727)+(Sens!D4731+Sens!D4732-Sens!D4730)+(Sens!D4741-Q!L18)</f>
        <v>0</v>
      </c>
      <c r="E4743" s="27" t="n">
        <f aca="false">(Sens!E4736+Sens!E4740-Sens!E4741)+(Sens!E4728+Sens!E4729-Sens!E4727)+(Sens!E4731+Sens!E4732-Sens!E4730)+(Sens!E4741-Q!M18)</f>
        <v>0</v>
      </c>
      <c r="F4743" s="27" t="n">
        <f aca="false">(Sens!F4736+Sens!F4740-Sens!F4741)+(Sens!F4728+Sens!F4729-Sens!F4727)+(Sens!F4731+Sens!F4732-Sens!F4730)</f>
        <v>0</v>
      </c>
      <c r="G4743" s="27" t="n">
        <f aca="false">(Sens!G4736+Sens!G4740-Sens!G4741)+(Sens!G4728+Sens!G4729-Sens!G4727)+(Sens!G4731+Sens!G4732-Sens!G4730)</f>
        <v>0</v>
      </c>
      <c r="H4743" s="27" t="n">
        <f aca="false">(Sens!H4736+Sens!H4740-Sens!H4741)+(Sens!H4728+Sens!H4729-Sens!H4727)+(Sens!H4731+Sens!H4732-Sens!H4730)</f>
        <v>0</v>
      </c>
      <c r="I4743" s="27" t="n">
        <f aca="false">(Sens!I4736+Sens!I4740-Sens!I4741)+(Sens!I4728+Sens!I4729-Sens!I4727)+(Sens!I4731+Sens!I4732-Sens!I4730)</f>
        <v>0</v>
      </c>
      <c r="J4743" s="27" t="n">
        <f aca="false">(Sens!J4736+Sens!J4740-Sens!J4741)+(Sens!J4728+Sens!J4729-Sens!J4727)+(Sens!J4731+Sens!J4732-Sens!J4730)</f>
        <v>0</v>
      </c>
      <c r="K4743" s="27" t="n">
        <f aca="false">(Sens!K4736+Sens!K4740-Sens!K4741)+(Sens!K4728+Sens!K4729-Sens!K4727)+(Sens!K4731+Sens!K4732-Sens!K4730)</f>
        <v>0</v>
      </c>
    </row>
    <row r="4744" customFormat="false" ht="17.15" hidden="false" customHeight="false" outlineLevel="0" collapsed="false">
      <c r="A4744" s="0" t="s">
        <v>1058</v>
      </c>
      <c r="B4744" s="0" t="s">
        <v>168</v>
      </c>
      <c r="E4744" s="7" t="n">
        <f aca="false">(Q!M21+Sens!E4680+Sens!E4681+Sens!E4682+Sens!E4696-Sens!E4678)/(Q!M5-Sens!E4678)</f>
        <v>0.583491251973566</v>
      </c>
      <c r="F4744" s="7" t="n">
        <f aca="false">Sens!$E$4744+dm_seg</f>
        <v>0.583491251973566</v>
      </c>
      <c r="G4744" s="7" t="n">
        <f aca="false">Sens!$E$4744+dm_seg</f>
        <v>0.583491251973566</v>
      </c>
      <c r="H4744" s="7" t="n">
        <f aca="false">Sens!$E$4744+dm_seg</f>
        <v>0.583491251973566</v>
      </c>
      <c r="I4744" s="7" t="n">
        <f aca="false">Sens!$E$4744+dm_seg</f>
        <v>0.583491251973566</v>
      </c>
      <c r="J4744" s="7" t="n">
        <f aca="false">Sens!$E$4744+dm_seg</f>
        <v>0.583491251973566</v>
      </c>
      <c r="K4744" s="7" t="n">
        <f aca="false">Sens!$E$4744+dm_seg</f>
        <v>0.583491251973566</v>
      </c>
      <c r="L4744" s="12" t="s">
        <v>1059</v>
      </c>
    </row>
    <row r="4745" customFormat="false" ht="17.15" hidden="false" customHeight="false" outlineLevel="0" collapsed="false">
      <c r="A4745" s="0" t="s">
        <v>880</v>
      </c>
      <c r="B4745" s="0" t="s">
        <v>98</v>
      </c>
      <c r="D4745" s="6" t="n">
        <f aca="false">Q!L21</f>
        <v>110.814</v>
      </c>
      <c r="E4745" s="6" t="n">
        <f aca="false">Q!M21</f>
        <v>136.365</v>
      </c>
      <c r="F4745" s="6" t="n">
        <f aca="false">Q!$I$21+(Sens!F4744*(Sens!F4715-Sens!F4678)+Sens!F4678-(Sens!F4680+Sens!F4681+Sens!F4682)-Sens!F4696-Sens!F4779)*(Sens!F4715-Q!$I$5)/Sens!F4715</f>
        <v>155.873221531739</v>
      </c>
      <c r="G4745" s="6" t="n">
        <f aca="false">(Sens!G4744*(Sens!G4715-Sens!G4678)+Sens!G4678-(Sens!G4680+Sens!G4681+Sens!G4682)-Sens!G4696-Sens!G4779)</f>
        <v>153.936277936643</v>
      </c>
      <c r="H4745" s="6" t="n">
        <f aca="false">(Sens!H4744*(Sens!H4715-Sens!H4678)+Sens!H4678-(Sens!H4680+Sens!H4681+Sens!H4682)-Sens!H4696-Sens!H4779)</f>
        <v>150.485684109086</v>
      </c>
      <c r="I4745" s="6" t="n">
        <f aca="false">(Sens!I4744*(Sens!I4715-Sens!I4678)+Sens!I4678-(Sens!I4680+Sens!I4681+Sens!I4682)-Sens!I4696-Sens!I4779)</f>
        <v>154.838193144228</v>
      </c>
      <c r="J4745" s="6" t="n">
        <f aca="false">(Sens!J4744*(Sens!J4715-Sens!J4678)+Sens!J4678-(Sens!J4680+Sens!J4681+Sens!J4682)-Sens!J4696-Sens!J4779)</f>
        <v>162.406112770204</v>
      </c>
      <c r="K4745" s="6" t="n">
        <f aca="false">(Sens!K4744*(Sens!K4715-Sens!K4678)+Sens!K4678-(Sens!K4680+Sens!K4681+Sens!K4682)-Sens!K4696-Sens!K4779)</f>
        <v>174.071161578239</v>
      </c>
      <c r="L4745" s="1" t="s">
        <v>1060</v>
      </c>
    </row>
    <row r="4746" customFormat="false" ht="17.15" hidden="false" customHeight="false" outlineLevel="0" collapsed="false">
      <c r="A4746" s="0" t="s">
        <v>1061</v>
      </c>
      <c r="B4746" s="0" t="s">
        <v>168</v>
      </c>
      <c r="E4746" s="7" t="n">
        <f aca="false">Q!M22/Q!M12</f>
        <v>0.296207935710698</v>
      </c>
      <c r="F4746" s="7" t="n">
        <f aca="false">Sens!$E$4746+dm_seg</f>
        <v>0.296207935710698</v>
      </c>
      <c r="G4746" s="7" t="n">
        <f aca="false">Sens!$E$4746+dm_seg</f>
        <v>0.296207935710698</v>
      </c>
      <c r="H4746" s="7" t="n">
        <f aca="false">Sens!$E$4746+dm_seg</f>
        <v>0.296207935710698</v>
      </c>
      <c r="I4746" s="7" t="n">
        <f aca="false">Sens!$E$4746+dm_seg</f>
        <v>0.296207935710698</v>
      </c>
      <c r="J4746" s="7" t="n">
        <f aca="false">Sens!$E$4746+dm_seg</f>
        <v>0.296207935710698</v>
      </c>
      <c r="K4746" s="7" t="n">
        <f aca="false">Sens!$E$4746+dm_seg</f>
        <v>0.296207935710698</v>
      </c>
      <c r="L4746" s="12" t="s">
        <v>1062</v>
      </c>
    </row>
    <row r="4747" customFormat="false" ht="17.15" hidden="false" customHeight="false" outlineLevel="0" collapsed="false">
      <c r="A4747" s="0" t="s">
        <v>882</v>
      </c>
      <c r="B4747" s="0" t="s">
        <v>98</v>
      </c>
      <c r="D4747" s="6" t="n">
        <f aca="false">Q!L22</f>
        <v>17.714</v>
      </c>
      <c r="E4747" s="6" t="n">
        <f aca="false">Q!M22</f>
        <v>18.872</v>
      </c>
      <c r="F4747" s="6" t="n">
        <f aca="false">Q!$I$22+(Sens!F4722-Q!$I$12)*Sens!F4746</f>
        <v>19.8174315512051</v>
      </c>
      <c r="G4747" s="6" t="n">
        <f aca="false">Sens!G4722*Sens!G4746</f>
        <v>19.6313799703815</v>
      </c>
      <c r="H4747" s="6" t="n">
        <f aca="false">Sens!H4722*Sens!H4746</f>
        <v>20.3536242825865</v>
      </c>
      <c r="I4747" s="6" t="n">
        <f aca="false">Sens!I4722*Sens!I4746</f>
        <v>21.1920899239745</v>
      </c>
      <c r="J4747" s="6" t="n">
        <f aca="false">Sens!J4722*Sens!J4746</f>
        <v>22.1288166207045</v>
      </c>
      <c r="K4747" s="6" t="n">
        <f aca="false">Sens!K4722*Sens!K4746</f>
        <v>23.1493653905379</v>
      </c>
      <c r="L4747" s="12" t="s">
        <v>1063</v>
      </c>
    </row>
    <row r="4748" customFormat="false" ht="15" hidden="false" customHeight="false" outlineLevel="0" collapsed="false">
      <c r="A4748" s="1" t="s">
        <v>1064</v>
      </c>
      <c r="B4748" s="0" t="s">
        <v>98</v>
      </c>
      <c r="D4748" s="6" t="n">
        <f aca="false">Sens!D4745+Sens!D4747</f>
        <v>128.528</v>
      </c>
      <c r="E4748" s="6" t="n">
        <f aca="false">Sens!E4745+Sens!E4747</f>
        <v>155.237</v>
      </c>
      <c r="F4748" s="6" t="n">
        <f aca="false">Sens!F4745+Sens!F4747</f>
        <v>175.690653082944</v>
      </c>
      <c r="G4748" s="6" t="n">
        <f aca="false">Sens!G4745+Sens!G4747</f>
        <v>173.567657907025</v>
      </c>
      <c r="H4748" s="6" t="n">
        <f aca="false">Sens!H4745+Sens!H4747</f>
        <v>170.839308391672</v>
      </c>
      <c r="I4748" s="6" t="n">
        <f aca="false">Sens!I4745+Sens!I4747</f>
        <v>176.030283068202</v>
      </c>
      <c r="J4748" s="6" t="n">
        <f aca="false">Sens!J4745+Sens!J4747</f>
        <v>184.534929390909</v>
      </c>
      <c r="K4748" s="6" t="n">
        <f aca="false">Sens!K4745+Sens!K4747</f>
        <v>197.220526968777</v>
      </c>
    </row>
    <row r="4749" customFormat="false" ht="15" hidden="false" customHeight="false" outlineLevel="0" collapsed="false">
      <c r="A4749" s="26" t="s">
        <v>1065</v>
      </c>
      <c r="B4749" s="31" t="s">
        <v>98</v>
      </c>
      <c r="C4749" s="31"/>
      <c r="D4749" s="27" t="n">
        <f aca="false">Sens!D4748-Q!L23</f>
        <v>0</v>
      </c>
      <c r="E4749" s="27" t="n">
        <f aca="false">Sens!E4748-Q!M23</f>
        <v>0</v>
      </c>
      <c r="F4749" s="31"/>
      <c r="G4749" s="31"/>
      <c r="H4749" s="31"/>
      <c r="I4749" s="31"/>
      <c r="J4749" s="31"/>
      <c r="K4749" s="31"/>
    </row>
    <row r="4750" customFormat="false" ht="15" hidden="false" customHeight="false" outlineLevel="0" collapsed="false">
      <c r="A4750" s="1" t="s">
        <v>1066</v>
      </c>
      <c r="B4750" s="0" t="s">
        <v>168</v>
      </c>
      <c r="D4750" s="7" t="n">
        <f aca="false">Sens!D4748/Sens!D4741</f>
        <v>0.456219562408598</v>
      </c>
      <c r="E4750" s="7" t="n">
        <f aca="false">Sens!E4748/Sens!E4741</f>
        <v>0.467808184089272</v>
      </c>
      <c r="F4750" s="7" t="n">
        <f aca="false">Sens!F4748/Sens!F4741</f>
        <v>0.445409137519882</v>
      </c>
      <c r="G4750" s="7" t="n">
        <f aca="false">Sens!G4748/Sens!G4741</f>
        <v>0.378198719204995</v>
      </c>
      <c r="H4750" s="7" t="n">
        <f aca="false">Sens!H4748/Sens!H4741</f>
        <v>0.328531599260933</v>
      </c>
      <c r="I4750" s="7" t="n">
        <f aca="false">Sens!I4748/Sens!I4741</f>
        <v>0.301715862101046</v>
      </c>
      <c r="J4750" s="7" t="n">
        <f aca="false">Sens!J4748/Sens!J4741</f>
        <v>0.289431683138392</v>
      </c>
      <c r="K4750" s="7" t="n">
        <f aca="false">Sens!K4748/Sens!K4741</f>
        <v>0.288923607452859</v>
      </c>
    </row>
    <row r="4751" customFormat="false" ht="17.15" hidden="false" customHeight="false" outlineLevel="0" collapsed="false">
      <c r="A4751" s="1" t="s">
        <v>1067</v>
      </c>
      <c r="B4751" s="0" t="s">
        <v>98</v>
      </c>
      <c r="F4751" s="6" t="n">
        <f aca="false">Sens!F4766</f>
        <v>10.5304758171972</v>
      </c>
      <c r="G4751" s="6" t="n">
        <f aca="false">Sens!G4766</f>
        <v>27.741241990896</v>
      </c>
      <c r="H4751" s="6" t="n">
        <f aca="false">Sens!H4766</f>
        <v>46.8221156305833</v>
      </c>
      <c r="I4751" s="6" t="n">
        <f aca="false">Sens!I4766</f>
        <v>63.7779203447068</v>
      </c>
      <c r="J4751" s="6" t="n">
        <f aca="false">Sens!J4766</f>
        <v>76.1492200915533</v>
      </c>
      <c r="K4751" s="6" t="n">
        <f aca="false">Sens!K4766</f>
        <v>83.9861398804221</v>
      </c>
      <c r="L4751" s="1" t="s">
        <v>1068</v>
      </c>
    </row>
    <row r="4752" customFormat="false" ht="17.15" hidden="false" customHeight="false" outlineLevel="0" collapsed="false">
      <c r="A4752" s="1" t="s">
        <v>1069</v>
      </c>
      <c r="B4752" s="0" t="s">
        <v>98</v>
      </c>
      <c r="D4752" s="6" t="n">
        <f aca="false">Sens!D4748</f>
        <v>128.528</v>
      </c>
      <c r="E4752" s="6" t="n">
        <f aca="false">Sens!E4748</f>
        <v>155.237</v>
      </c>
      <c r="F4752" s="6" t="n">
        <f aca="false">Sens!F4748+Sens!F4751</f>
        <v>186.221128900141</v>
      </c>
      <c r="G4752" s="6" t="n">
        <f aca="false">Sens!G4748+Sens!G4751</f>
        <v>201.308899897921</v>
      </c>
      <c r="H4752" s="6" t="n">
        <f aca="false">Sens!H4748+Sens!H4751</f>
        <v>217.661424022255</v>
      </c>
      <c r="I4752" s="6" t="n">
        <f aca="false">Sens!I4748+Sens!I4751</f>
        <v>239.808203412909</v>
      </c>
      <c r="J4752" s="6" t="n">
        <f aca="false">Sens!J4748+Sens!J4751</f>
        <v>260.684149482462</v>
      </c>
      <c r="K4752" s="6" t="n">
        <f aca="false">Sens!K4748+Sens!K4751</f>
        <v>281.206666849199</v>
      </c>
    </row>
    <row r="4753" customFormat="false" ht="17.15" hidden="false" customHeight="false" outlineLevel="0" collapsed="false">
      <c r="A4753" s="1" t="s">
        <v>1070</v>
      </c>
      <c r="B4753" s="0" t="s">
        <v>98</v>
      </c>
      <c r="E4753" s="6" t="n">
        <f aca="false">Sens!E4696</f>
        <v>19.3175216725</v>
      </c>
      <c r="F4753" s="6" t="n">
        <f aca="false">Sens!F4696</f>
        <v>40.993411475437</v>
      </c>
      <c r="G4753" s="6" t="n">
        <f aca="false">Sens!G4696</f>
        <v>72.0472209870037</v>
      </c>
      <c r="H4753" s="6" t="n">
        <f aca="false">Sens!H4696</f>
        <v>106.403225017643</v>
      </c>
      <c r="I4753" s="6" t="n">
        <f aca="false">Sens!I4696</f>
        <v>137.266077175767</v>
      </c>
      <c r="J4753" s="6" t="n">
        <f aca="false">Sens!J4696</f>
        <v>159.73624944562</v>
      </c>
      <c r="K4753" s="6" t="n">
        <f aca="false">Sens!K4696</f>
        <v>173.177911789639</v>
      </c>
    </row>
    <row r="4754" customFormat="false" ht="17.15" hidden="false" customHeight="false" outlineLevel="0" collapsed="false">
      <c r="A4754" s="1" t="s">
        <v>1071</v>
      </c>
      <c r="B4754" s="0" t="s">
        <v>98</v>
      </c>
      <c r="E4754" s="6" t="n">
        <f aca="false">Sens!E4778</f>
        <v>19.2164783275</v>
      </c>
      <c r="F4754" s="6" t="n">
        <f aca="false">Sens!F4778</f>
        <v>20.8774364020802</v>
      </c>
      <c r="G4754" s="6" t="n">
        <f aca="false">Sens!G4778</f>
        <v>22.9077949959595</v>
      </c>
      <c r="H4754" s="6" t="n">
        <f aca="false">Sens!H4778</f>
        <v>25.2792611413538</v>
      </c>
      <c r="I4754" s="6" t="n">
        <f aca="false">Sens!I4778</f>
        <v>27.9377636904969</v>
      </c>
      <c r="J4754" s="6" t="n">
        <f aca="false">Sens!J4778</f>
        <v>30.8108905684695</v>
      </c>
      <c r="K4754" s="6" t="n">
        <f aca="false">Sens!K4778</f>
        <v>33.8164361664601</v>
      </c>
    </row>
    <row r="4755" customFormat="false" ht="17.15" hidden="false" customHeight="false" outlineLevel="0" collapsed="false">
      <c r="A4755" s="1" t="s">
        <v>1072</v>
      </c>
      <c r="B4755" s="0" t="s">
        <v>98</v>
      </c>
      <c r="D4755" s="6" t="n">
        <f aca="false">Q!L27</f>
        <v>-4.901</v>
      </c>
      <c r="E4755" s="6" t="n">
        <f aca="false">Q!M27</f>
        <v>10.697</v>
      </c>
      <c r="F4755" s="6" t="n">
        <f aca="false">Q!$I$27+oie_f*(q_per_yr-1)/q_per_yr</f>
        <v>-0.862</v>
      </c>
      <c r="G4755" s="6" t="n">
        <f aca="false">oie_f</f>
        <v>-1.2</v>
      </c>
      <c r="H4755" s="6" t="n">
        <f aca="false">oie_f</f>
        <v>-1.2</v>
      </c>
      <c r="I4755" s="6" t="n">
        <f aca="false">oie_f</f>
        <v>-1.2</v>
      </c>
      <c r="J4755" s="6" t="n">
        <f aca="false">oie_f</f>
        <v>-1.2</v>
      </c>
      <c r="K4755" s="6" t="n">
        <f aca="false">oie_f</f>
        <v>-1.2</v>
      </c>
      <c r="L4755" s="12" t="s">
        <v>1073</v>
      </c>
    </row>
    <row r="4756" customFormat="false" ht="15" hidden="false" customHeight="false" outlineLevel="0" collapsed="false">
      <c r="A4756" s="1" t="s">
        <v>1074</v>
      </c>
      <c r="B4756" s="0" t="s">
        <v>98</v>
      </c>
      <c r="D4756" s="6" t="n">
        <f aca="false">Sens!D4748+Sens!D4755</f>
        <v>123.627</v>
      </c>
      <c r="E4756" s="6" t="n">
        <f aca="false">Sens!E4748+Sens!E4755</f>
        <v>165.934</v>
      </c>
      <c r="F4756" s="6" t="n">
        <f aca="false">Sens!F4748+Sens!F4755</f>
        <v>174.828653082944</v>
      </c>
      <c r="G4756" s="6" t="n">
        <f aca="false">Sens!G4748+Sens!G4755</f>
        <v>172.367657907025</v>
      </c>
      <c r="H4756" s="6" t="n">
        <f aca="false">Sens!H4748+Sens!H4755</f>
        <v>169.639308391672</v>
      </c>
      <c r="I4756" s="6" t="n">
        <f aca="false">Sens!I4748+Sens!I4755</f>
        <v>174.830283068202</v>
      </c>
      <c r="J4756" s="6" t="n">
        <f aca="false">Sens!J4748+Sens!J4755</f>
        <v>183.334929390909</v>
      </c>
      <c r="K4756" s="6" t="n">
        <f aca="false">Sens!K4748+Sens!K4755</f>
        <v>196.020526968777</v>
      </c>
    </row>
    <row r="4757" customFormat="false" ht="15" hidden="false" customHeight="false" outlineLevel="0" collapsed="false">
      <c r="A4757" s="1" t="s">
        <v>1075</v>
      </c>
      <c r="B4757" s="0" t="s">
        <v>98</v>
      </c>
      <c r="D4757" s="6" t="n">
        <f aca="false">Q!L29</f>
        <v>21.795</v>
      </c>
      <c r="E4757" s="6" t="n">
        <f aca="false">Q!M29</f>
        <v>32.185</v>
      </c>
      <c r="F4757" s="6" t="n">
        <f aca="false">Q!$I$29+(Sens!F4756-Q!$I$28)*tax_f</f>
        <v>35.0991306165889</v>
      </c>
      <c r="G4757" s="6" t="n">
        <f aca="false">Sens!G4756*tax_f</f>
        <v>34.4735315814049</v>
      </c>
      <c r="H4757" s="6" t="n">
        <f aca="false">Sens!H4756*tax_f</f>
        <v>33.9278616783344</v>
      </c>
      <c r="I4757" s="6" t="n">
        <f aca="false">Sens!I4756*tax_f</f>
        <v>34.9660566136405</v>
      </c>
      <c r="J4757" s="6" t="n">
        <f aca="false">Sens!J4756*tax_f</f>
        <v>36.6669858781818</v>
      </c>
      <c r="K4757" s="6" t="n">
        <f aca="false">Sens!K4756*tax_f</f>
        <v>39.2041053937554</v>
      </c>
    </row>
    <row r="4758" customFormat="false" ht="15" hidden="false" customHeight="false" outlineLevel="0" collapsed="false">
      <c r="A4758" s="1" t="s">
        <v>1076</v>
      </c>
      <c r="B4758" s="0" t="s">
        <v>98</v>
      </c>
      <c r="D4758" s="6" t="n">
        <f aca="false">Sens!D4756-Sens!D4757</f>
        <v>101.832</v>
      </c>
      <c r="E4758" s="6" t="n">
        <f aca="false">Sens!E4756-Sens!E4757</f>
        <v>133.749</v>
      </c>
      <c r="F4758" s="6" t="n">
        <f aca="false">Sens!F4756-Sens!F4757</f>
        <v>139.729522466355</v>
      </c>
      <c r="G4758" s="6" t="n">
        <f aca="false">Sens!G4756-Sens!G4757</f>
        <v>137.89412632562</v>
      </c>
      <c r="H4758" s="6" t="n">
        <f aca="false">Sens!H4756-Sens!H4757</f>
        <v>135.711446713338</v>
      </c>
      <c r="I4758" s="6" t="n">
        <f aca="false">Sens!I4756-Sens!I4757</f>
        <v>139.864226454562</v>
      </c>
      <c r="J4758" s="6" t="n">
        <f aca="false">Sens!J4756-Sens!J4757</f>
        <v>146.667943512727</v>
      </c>
      <c r="K4758" s="6" t="n">
        <f aca="false">Sens!K4756-Sens!K4757</f>
        <v>156.816421575022</v>
      </c>
    </row>
    <row r="4759" customFormat="false" ht="17.15" hidden="false" customHeight="false" outlineLevel="0" collapsed="false">
      <c r="A4759" s="1" t="s">
        <v>1077</v>
      </c>
      <c r="B4759" s="1" t="s">
        <v>81</v>
      </c>
      <c r="D4759" s="15" t="n">
        <f aca="false">Q!L31</f>
        <v>7.465</v>
      </c>
      <c r="E4759" s="15" t="n">
        <f aca="false">Q!M31</f>
        <v>7.453</v>
      </c>
      <c r="F4759" s="15" t="n">
        <f aca="false">Sens!F4803</f>
        <v>7.4735</v>
      </c>
      <c r="G4759" s="15" t="n">
        <f aca="false">Sens!G4803</f>
        <v>7.5185</v>
      </c>
      <c r="H4759" s="15" t="n">
        <f aca="false">Sens!H4803</f>
        <v>7.5635</v>
      </c>
      <c r="I4759" s="15" t="n">
        <f aca="false">Sens!I4803</f>
        <v>7.59248142502667</v>
      </c>
      <c r="J4759" s="15" t="n">
        <f aca="false">Sens!J4803</f>
        <v>7.60663083618914</v>
      </c>
      <c r="K4759" s="15" t="n">
        <f aca="false">Sens!K4803</f>
        <v>7.62306547615439</v>
      </c>
    </row>
    <row r="4760" customFormat="false" ht="17.15" hidden="false" customHeight="false" outlineLevel="0" collapsed="false">
      <c r="A4760" s="0" t="s">
        <v>1078</v>
      </c>
      <c r="B4760" s="0" t="s">
        <v>75</v>
      </c>
      <c r="D4760" s="8" t="n">
        <f aca="false">Sens!D4758/Sens!D4759</f>
        <v>13.641259209645</v>
      </c>
      <c r="E4760" s="8" t="n">
        <f aca="false">Sens!E4758/Sens!E4759</f>
        <v>17.9456594659869</v>
      </c>
      <c r="F4760" s="8" t="n">
        <f aca="false">Sens!F4758/Sens!F4759</f>
        <v>18.696664543568</v>
      </c>
      <c r="G4760" s="8" t="n">
        <f aca="false">Sens!G4758/Sens!G4759</f>
        <v>18.3406432567161</v>
      </c>
      <c r="H4760" s="8" t="n">
        <f aca="false">Sens!H4758/Sens!H4759</f>
        <v>17.942942647364</v>
      </c>
      <c r="I4760" s="8" t="n">
        <f aca="false">Sens!I4758/Sens!I4759</f>
        <v>18.4214117394526</v>
      </c>
      <c r="J4760" s="8" t="n">
        <f aca="false">Sens!J4758/Sens!J4759</f>
        <v>19.2815908476776</v>
      </c>
      <c r="K4760" s="8" t="n">
        <f aca="false">Sens!K4758/Sens!K4759</f>
        <v>20.5713071815475</v>
      </c>
      <c r="L4760" s="1" t="s">
        <v>1079</v>
      </c>
    </row>
    <row r="4761" customFormat="false" ht="17.15" hidden="false" customHeight="false" outlineLevel="0" collapsed="false">
      <c r="A4761" s="1" t="s">
        <v>1080</v>
      </c>
      <c r="B4761" s="0" t="s">
        <v>98</v>
      </c>
      <c r="D4761" s="6" t="n">
        <f aca="false">Sens!D4758</f>
        <v>101.832</v>
      </c>
      <c r="E4761" s="6" t="n">
        <f aca="false">Sens!E4758</f>
        <v>133.749</v>
      </c>
      <c r="F4761" s="6" t="n">
        <f aca="false">Sens!F4758+Sens!F4751*(1-tax_f)</f>
        <v>148.153903120113</v>
      </c>
      <c r="G4761" s="6" t="n">
        <f aca="false">Sens!G4758+Sens!G4751*(1-tax_f)</f>
        <v>160.087119918336</v>
      </c>
      <c r="H4761" s="6" t="n">
        <f aca="false">Sens!H4758+Sens!H4751*(1-tax_f)</f>
        <v>173.169139217804</v>
      </c>
      <c r="I4761" s="6" t="n">
        <f aca="false">Sens!I4758+Sens!I4751*(1-tax_f)</f>
        <v>190.886562730327</v>
      </c>
      <c r="J4761" s="6" t="n">
        <f aca="false">Sens!J4758+Sens!J4751*(1-tax_f)</f>
        <v>207.58731958597</v>
      </c>
      <c r="K4761" s="6" t="n">
        <f aca="false">Sens!K4758+Sens!K4751*(1-tax_f)</f>
        <v>224.005333479359</v>
      </c>
    </row>
    <row r="4762" customFormat="false" ht="17.15" hidden="false" customHeight="false" outlineLevel="0" collapsed="false">
      <c r="A4762" s="0" t="s">
        <v>1081</v>
      </c>
      <c r="B4762" s="0" t="s">
        <v>75</v>
      </c>
      <c r="D4762" s="8" t="n">
        <f aca="false">Sens!D4761/Sens!D4759</f>
        <v>13.641259209645</v>
      </c>
      <c r="E4762" s="8" t="n">
        <f aca="false">Sens!E4761/Sens!E4759</f>
        <v>17.9456594659869</v>
      </c>
      <c r="F4762" s="8" t="n">
        <f aca="false">Sens!F4761/Sens!F4759</f>
        <v>19.8238981896184</v>
      </c>
      <c r="G4762" s="8" t="n">
        <f aca="false">Sens!G4761/Sens!G4759</f>
        <v>21.2924280000448</v>
      </c>
      <c r="H4762" s="8" t="n">
        <f aca="false">Sens!H4761/Sens!H4759</f>
        <v>22.8953710871692</v>
      </c>
      <c r="I4762" s="8" t="n">
        <f aca="false">Sens!I4761/Sens!I4759</f>
        <v>25.1415251542294</v>
      </c>
      <c r="J4762" s="8" t="n">
        <f aca="false">Sens!J4761/Sens!J4759</f>
        <v>27.2903107902065</v>
      </c>
      <c r="K4762" s="8" t="n">
        <f aca="false">Sens!K4761/Sens!K4759</f>
        <v>29.3852039156777</v>
      </c>
      <c r="L4762" s="1" t="s">
        <v>1082</v>
      </c>
    </row>
    <row r="4763" customFormat="false" ht="17.15" hidden="false" customHeight="false" outlineLevel="0" collapsed="false">
      <c r="A4763" s="0" t="s">
        <v>1083</v>
      </c>
      <c r="B4763" s="0" t="s">
        <v>168</v>
      </c>
      <c r="E4763" s="7" t="n">
        <f aca="false">Sens!E4762/Sens!D4762-1</f>
        <v>0.315542736208578</v>
      </c>
      <c r="F4763" s="7" t="n">
        <f aca="false">Sens!F4762/Sens!E4762-1</f>
        <v>0.104662563512445</v>
      </c>
      <c r="G4763" s="7" t="n">
        <f aca="false">Sens!G4762/Sens!F4762-1</f>
        <v>0.0740787607149538</v>
      </c>
      <c r="H4763" s="7" t="n">
        <f aca="false">Sens!H4762/Sens!G4762-1</f>
        <v>0.0752823063260371</v>
      </c>
      <c r="I4763" s="7" t="n">
        <f aca="false">Sens!I4762/Sens!H4762-1</f>
        <v>0.0981051610174131</v>
      </c>
      <c r="J4763" s="7" t="n">
        <f aca="false">Sens!J4762/Sens!I4762-1</f>
        <v>0.08546759286859</v>
      </c>
      <c r="K4763" s="7" t="n">
        <f aca="false">Sens!K4762/Sens!J4762-1</f>
        <v>0.0767632564383618</v>
      </c>
    </row>
    <row r="4764" customFormat="false" ht="17.15" hidden="false" customHeight="false" outlineLevel="0" collapsed="false">
      <c r="A4764" s="0" t="s">
        <v>1003</v>
      </c>
      <c r="B4764" s="0" t="s">
        <v>98</v>
      </c>
      <c r="E4764" s="6" t="n">
        <f aca="false">Sens!E4705</f>
        <v>5.25</v>
      </c>
      <c r="F4764" s="6" t="n">
        <f aca="false">Sens!F4705</f>
        <v>10.5</v>
      </c>
      <c r="G4764" s="6" t="n">
        <f aca="false">Sens!G4705</f>
        <v>13.5</v>
      </c>
      <c r="H4764" s="6" t="n">
        <f aca="false">Sens!H4705</f>
        <v>16.5</v>
      </c>
      <c r="I4764" s="6" t="n">
        <f aca="false">Sens!I4705</f>
        <v>18.75</v>
      </c>
      <c r="J4764" s="6" t="n">
        <f aca="false">Sens!J4705</f>
        <v>20.25</v>
      </c>
      <c r="K4764" s="6" t="n">
        <f aca="false">Sens!K4705</f>
        <v>21.75</v>
      </c>
    </row>
    <row r="4765" customFormat="false" ht="17.15" hidden="false" customHeight="false" outlineLevel="0" collapsed="false">
      <c r="A4765" s="1" t="s">
        <v>1004</v>
      </c>
      <c r="B4765" s="0" t="s">
        <v>98</v>
      </c>
      <c r="F4765" s="6" t="n">
        <f aca="false">MAX(0,((Sens!E4665+Sens!F4665)/2-(shadow_base*(Sens!$D$4665+Sens!$E$4665)/2+(1-shadow_base)*Sens!$E$4665))*Sens!F4674/1000-(Sens!F4764-Sens!$E$4764)*Sens!F4744)</f>
        <v>10.5304758171972</v>
      </c>
      <c r="G4765" s="6" t="n">
        <f aca="false">MAX(0,((Sens!F4665+Sens!G4665)/2-(shadow_base*(Sens!$D$4665+Sens!$E$4665)/2+(1-shadow_base)*Sens!$E$4665))*Sens!G4674/1000-(Sens!G4764-Sens!$E$4764)*Sens!G4744)</f>
        <v>27.741241990896</v>
      </c>
      <c r="H4765" s="6" t="n">
        <f aca="false">MAX(0,((Sens!G4665+Sens!H4665)/2-(shadow_base*(Sens!$D$4665+Sens!$E$4665)/2+(1-shadow_base)*Sens!$E$4665))*Sens!H4674/1000-(Sens!H4764-Sens!$E$4764)*Sens!H4744)</f>
        <v>46.8221156305833</v>
      </c>
      <c r="I4765" s="6" t="n">
        <f aca="false">MAX(0,((Sens!H4665+Sens!I4665)/2-(shadow_base*(Sens!$D$4665+Sens!$E$4665)/2+(1-shadow_base)*Sens!$E$4665))*Sens!I4674/1000-(Sens!I4764-Sens!$E$4764)*Sens!I4744)</f>
        <v>63.7779203447068</v>
      </c>
      <c r="J4765" s="6" t="n">
        <f aca="false">MAX(0,((Sens!I4665+Sens!J4665)/2-(shadow_base*(Sens!$D$4665+Sens!$E$4665)/2+(1-shadow_base)*Sens!$E$4665))*Sens!J4674/1000-(Sens!J4764-Sens!$E$4764)*Sens!J4744)</f>
        <v>76.1492200915533</v>
      </c>
      <c r="K4765" s="6" t="n">
        <f aca="false">MAX(0,((Sens!J4665+Sens!K4665)/2-(shadow_base*(Sens!$D$4665+Sens!$E$4665)/2+(1-shadow_base)*Sens!$E$4665))*Sens!K4674/1000-(Sens!K4764-Sens!$E$4764)*Sens!K4744)</f>
        <v>83.9861398804221</v>
      </c>
      <c r="L4765" s="1" t="s">
        <v>1005</v>
      </c>
    </row>
    <row r="4766" customFormat="false" ht="17.15" hidden="false" customHeight="false" outlineLevel="0" collapsed="false">
      <c r="A4766" s="1" t="s">
        <v>1006</v>
      </c>
      <c r="B4766" s="0" t="s">
        <v>98</v>
      </c>
      <c r="F4766" s="6" t="n">
        <f aca="false">IF(internal_ai_reading=2,1,0)*Sens!F4765</f>
        <v>10.5304758171972</v>
      </c>
      <c r="G4766" s="6" t="n">
        <f aca="false">IF(internal_ai_reading=2,1,0)*Sens!G4765</f>
        <v>27.741241990896</v>
      </c>
      <c r="H4766" s="6" t="n">
        <f aca="false">IF(internal_ai_reading=2,1,0)*Sens!H4765</f>
        <v>46.8221156305833</v>
      </c>
      <c r="I4766" s="6" t="n">
        <f aca="false">IF(internal_ai_reading=2,1,0)*Sens!I4765</f>
        <v>63.7779203447068</v>
      </c>
      <c r="J4766" s="6" t="n">
        <f aca="false">IF(internal_ai_reading=2,1,0)*Sens!J4765</f>
        <v>76.1492200915533</v>
      </c>
      <c r="K4766" s="6" t="n">
        <f aca="false">IF(internal_ai_reading=2,1,0)*Sens!K4765</f>
        <v>83.9861398804221</v>
      </c>
    </row>
    <row r="4767" customFormat="false" ht="17.15" hidden="false" customHeight="false" outlineLevel="0" collapsed="false">
      <c r="A4767" s="0" t="s">
        <v>1007</v>
      </c>
      <c r="B4767" s="0" t="s">
        <v>98</v>
      </c>
      <c r="F4767" s="6" t="n">
        <f aca="false">Sens!F4684+Sens!F4764*Sens!F4744+Sens!F4766-Sens!F4685-Sens!F4696</f>
        <v>4.03708666902662</v>
      </c>
      <c r="G4767" s="6" t="n">
        <f aca="false">Sens!G4684+Sens!G4764*Sens!G4744+Sens!G4766-Sens!G4685-Sens!G4696</f>
        <v>5.19200395661943</v>
      </c>
      <c r="H4767" s="6" t="n">
        <f aca="false">Sens!H4684+Sens!H4764*Sens!H4744+Sens!H4766-Sens!H4685-Sens!H4696</f>
        <v>0.90771619899904</v>
      </c>
      <c r="I4767" s="6" t="n">
        <f aca="false">Sens!I4684+Sens!I4764*Sens!I4744+Sens!I4766-Sens!I4685-Sens!I4696</f>
        <v>2.80680365722913</v>
      </c>
      <c r="J4767" s="6" t="n">
        <f aca="false">Sens!J4684+Sens!J4764*Sens!J4744+Sens!J4766-Sens!J4685-Sens!J4696</f>
        <v>4.62337838043644</v>
      </c>
      <c r="K4767" s="6" t="n">
        <f aca="false">Sens!K4684+Sens!K4764*Sens!K4744+Sens!K4766-Sens!K4685-Sens!K4696</f>
        <v>8.0974725539123</v>
      </c>
    </row>
    <row r="4768" customFormat="false" ht="17.15" hidden="false" customHeight="false" outlineLevel="0" collapsed="false">
      <c r="A4768" s="0" t="s">
        <v>1008</v>
      </c>
      <c r="B4768" s="0" t="s">
        <v>98</v>
      </c>
      <c r="E4768" s="6" t="n">
        <f aca="false">Sens!E4664*(cxit_open+self_build*tk_cxfac)/1000*ai_net_open</f>
        <v>126.6980382</v>
      </c>
      <c r="F4768" s="6" t="n">
        <f aca="false">Sens!E4768+Sens!F4693-Sens!F4696</f>
        <v>254.158530766683</v>
      </c>
      <c r="G4768" s="6" t="n">
        <f aca="false">Sens!F4768+Sens!G4693-Sens!G4696</f>
        <v>374.055785428727</v>
      </c>
      <c r="H4768" s="6" t="n">
        <f aca="false">Sens!G4768+Sens!H4693-Sens!H4696</f>
        <v>493.619309235596</v>
      </c>
      <c r="I4768" s="6" t="n">
        <f aca="false">Sens!H4768+Sens!I4693-Sens!I4696</f>
        <v>539.84599668144</v>
      </c>
      <c r="J4768" s="6" t="n">
        <f aca="false">Sens!I4768+Sens!J4693-Sens!J4696</f>
        <v>552.48323695176</v>
      </c>
      <c r="K4768" s="6" t="n">
        <f aca="false">Sens!J4768+Sens!K4693-Sens!K4696</f>
        <v>560.787333150366</v>
      </c>
      <c r="L4768" s="1" t="s">
        <v>1009</v>
      </c>
    </row>
    <row r="4769" customFormat="false" ht="17.15" hidden="false" customHeight="false" outlineLevel="0" collapsed="false">
      <c r="A4769" s="0" t="s">
        <v>1010</v>
      </c>
      <c r="B4769" s="0" t="s">
        <v>168</v>
      </c>
      <c r="F4769" s="7" t="n">
        <f aca="false">Sens!F4767*(1-tax_f)/((Sens!E4768+Sens!F4768)/2)</f>
        <v>0.0169600295669514</v>
      </c>
      <c r="G4769" s="7" t="n">
        <f aca="false">Sens!G4767*(1-tax_f)/((Sens!F4768+Sens!G4768)/2)</f>
        <v>0.0132235227953753</v>
      </c>
      <c r="H4769" s="7" t="n">
        <f aca="false">Sens!H4767*(1-tax_f)/((Sens!G4768+Sens!H4768)/2)</f>
        <v>0.00167383612521497</v>
      </c>
      <c r="I4769" s="7" t="n">
        <f aca="false">Sens!I4767*(1-tax_f)/((Sens!H4768+Sens!I4768)/2)</f>
        <v>0.00434546358339688</v>
      </c>
      <c r="J4769" s="7" t="n">
        <f aca="false">Sens!J4767*(1-tax_f)/((Sens!I4768+Sens!J4768)/2)</f>
        <v>0.00677213900436754</v>
      </c>
      <c r="K4769" s="7" t="n">
        <f aca="false">Sens!K4767*(1-tax_f)/((Sens!J4768+Sens!K4768)/2)</f>
        <v>0.0116377423729715</v>
      </c>
    </row>
    <row r="4770" customFormat="false" ht="17.15" hidden="false" customHeight="false" outlineLevel="0" collapsed="false">
      <c r="A4770" s="1" t="s">
        <v>1011</v>
      </c>
      <c r="B4770" s="0" t="s">
        <v>168</v>
      </c>
      <c r="F4770" s="7" t="n">
        <f aca="false">(Sens!F4767-Sens!F4766)*(1-tax_f)/((Sens!E4768+Sens!F4768)/2)</f>
        <v>-0.027279095291072</v>
      </c>
      <c r="G4770" s="7" t="n">
        <f aca="false">(Sens!G4767-Sens!G4766)*(1-tax_f)/((Sens!F4768+Sens!G4768)/2)</f>
        <v>-0.0574306887390641</v>
      </c>
      <c r="H4770" s="7" t="n">
        <f aca="false">(Sens!H4767-Sens!H4766)*(1-tax_f)/((Sens!G4768+Sens!H4768)/2)</f>
        <v>-0.0846665296057107</v>
      </c>
      <c r="I4770" s="7" t="n">
        <f aca="false">(Sens!I4767-Sens!I4766)*(1-tax_f)/((Sens!H4768+Sens!I4768)/2)</f>
        <v>-0.0943948346803968</v>
      </c>
      <c r="J4770" s="7" t="n">
        <f aca="false">(Sens!J4767-Sens!J4766)*(1-tax_f)/((Sens!I4768+Sens!J4768)/2)</f>
        <v>-0.104768180887317</v>
      </c>
      <c r="K4770" s="7" t="n">
        <f aca="false">(Sens!K4767-Sens!K4766)*(1-tax_f)/((Sens!J4768+Sens!K4768)/2)</f>
        <v>-0.109067706434813</v>
      </c>
    </row>
    <row r="4771" customFormat="false" ht="17.15" hidden="false" customHeight="false" outlineLevel="0" collapsed="false">
      <c r="A4771" s="1" t="s">
        <v>1012</v>
      </c>
      <c r="B4771" s="0" t="s">
        <v>168</v>
      </c>
      <c r="F4771" s="7" t="n">
        <f aca="false">(Sens!F4767-Sens!F4766+Sens!F4765)*(1-tax_f)/((Sens!E4768+Sens!F4768)/2)</f>
        <v>0.0169600295669514</v>
      </c>
      <c r="G4771" s="7" t="n">
        <f aca="false">(Sens!G4767-Sens!G4766+Sens!G4765)*(1-tax_f)/((Sens!F4768+Sens!G4768)/2)</f>
        <v>0.0132235227953753</v>
      </c>
      <c r="H4771" s="7" t="n">
        <f aca="false">(Sens!H4767-Sens!H4766+Sens!H4765)*(1-tax_f)/((Sens!G4768+Sens!H4768)/2)</f>
        <v>0.00167383612521497</v>
      </c>
      <c r="I4771" s="7" t="n">
        <f aca="false">(Sens!I4767-Sens!I4766+Sens!I4765)*(1-tax_f)/((Sens!H4768+Sens!I4768)/2)</f>
        <v>0.00434546358339688</v>
      </c>
      <c r="J4771" s="7" t="n">
        <f aca="false">(Sens!J4767-Sens!J4766+Sens!J4765)*(1-tax_f)/((Sens!I4768+Sens!J4768)/2)</f>
        <v>0.00677213900436754</v>
      </c>
      <c r="K4771" s="7" t="n">
        <f aca="false">(Sens!K4767-Sens!K4766+Sens!K4765)*(1-tax_f)/((Sens!J4768+Sens!K4768)/2)</f>
        <v>0.0116377423729715</v>
      </c>
    </row>
    <row r="4772" customFormat="false" ht="17.15" hidden="false" customHeight="false" outlineLevel="0" collapsed="false">
      <c r="A4772" s="1" t="s">
        <v>1013</v>
      </c>
      <c r="B4772" s="0" t="s">
        <v>168</v>
      </c>
      <c r="F4772" s="7" t="n">
        <f aca="false">Sens!F4697*(1-tax_f)/(Sens!F4683*(Sens!E4768+Sens!F4768)/2)</f>
        <v>0.0735092158271276</v>
      </c>
      <c r="G4772" s="7" t="n">
        <f aca="false">Sens!G4697*(1-tax_f)/(Sens!G4683*(Sens!F4768+Sens!G4768)/2)</f>
        <v>0.0413135421172332</v>
      </c>
      <c r="H4772" s="7" t="n">
        <f aca="false">Sens!H4697*(1-tax_f)/(Sens!H4683*(Sens!G4768+Sens!H4768)/2)</f>
        <v>0.0100390263895478</v>
      </c>
      <c r="I4772" s="7" t="n">
        <f aca="false">Sens!I4697*(1-tax_f)/(Sens!I4683*(Sens!H4768+Sens!I4768)/2)</f>
        <v>0.00896826847462924</v>
      </c>
      <c r="J4772" s="7" t="n">
        <f aca="false">Sens!J4697*(1-tax_f)/(Sens!J4683*(Sens!I4768+Sens!J4768)/2)</f>
        <v>0.00973474897963455</v>
      </c>
      <c r="K4772" s="7" t="n">
        <f aca="false">Sens!K4697*(1-tax_f)/(Sens!K4683*(Sens!J4768+Sens!K4768)/2)</f>
        <v>0.0141087279955248</v>
      </c>
    </row>
    <row r="4773" customFormat="false" ht="17.15" hidden="false" customHeight="false" outlineLevel="0" collapsed="false">
      <c r="A4773" s="0" t="s">
        <v>1014</v>
      </c>
      <c r="B4773" s="0" t="s">
        <v>253</v>
      </c>
      <c r="F4773" s="7" t="n">
        <f aca="false">Sens!F4769-wacc</f>
        <v>-0.0859765613786459</v>
      </c>
      <c r="G4773" s="7" t="n">
        <f aca="false">Sens!G4769-wacc</f>
        <v>-0.089713068150222</v>
      </c>
      <c r="H4773" s="7" t="n">
        <f aca="false">Sens!H4769-wacc</f>
        <v>-0.101262754820382</v>
      </c>
      <c r="I4773" s="7" t="n">
        <f aca="false">Sens!I4769-wacc</f>
        <v>-0.0985911273622004</v>
      </c>
      <c r="J4773" s="7" t="n">
        <f aca="false">Sens!J4769-wacc</f>
        <v>-0.0961644519412297</v>
      </c>
      <c r="K4773" s="7" t="n">
        <f aca="false">Sens!K4769-wacc</f>
        <v>-0.0912988485726258</v>
      </c>
    </row>
    <row r="4774" customFormat="false" ht="17.15" hidden="false" customHeight="false" outlineLevel="0" collapsed="false">
      <c r="A4774" s="0" t="s">
        <v>1015</v>
      </c>
      <c r="B4774" s="0" t="s">
        <v>98</v>
      </c>
      <c r="F4774" s="6" t="n">
        <f aca="false">Sens!F4767*(1-tax_f)-wacc*(Sens!E4768+Sens!F4768)/2</f>
        <v>-16.3723690891122</v>
      </c>
      <c r="G4774" s="6" t="n">
        <f aca="false">Sens!G4767*(1-tax_f)-wacc*(Sens!F4768+Sens!G4768)/2</f>
        <v>-28.179516880892</v>
      </c>
      <c r="H4774" s="6" t="n">
        <f aca="false">Sens!H4767*(1-tax_f)-wacc*(Sens!G4768+Sens!H4768)/2</f>
        <v>-43.9315851873727</v>
      </c>
      <c r="I4774" s="6" t="n">
        <f aca="false">Sens!I4767*(1-tax_f)-wacc*(Sens!H4768+Sens!I4768)/2</f>
        <v>-50.945254800041</v>
      </c>
      <c r="J4774" s="6" t="n">
        <f aca="false">Sens!J4767*(1-tax_f)-wacc*(Sens!I4768+Sens!J4768)/2</f>
        <v>-52.5216210458601</v>
      </c>
      <c r="K4774" s="6" t="n">
        <f aca="false">Sens!K4767*(1-tax_f)-wacc*(Sens!J4768+Sens!K4768)/2</f>
        <v>-50.8201606000574</v>
      </c>
    </row>
    <row r="4775" customFormat="false" ht="17.15" hidden="false" customHeight="false" outlineLevel="0" collapsed="false">
      <c r="A4775" s="3" t="s">
        <v>1598</v>
      </c>
    </row>
    <row r="4776" customFormat="false" ht="15" hidden="false" customHeight="false" outlineLevel="0" collapsed="false">
      <c r="A4776" s="4" t="s">
        <v>43</v>
      </c>
      <c r="B4776" s="4" t="s">
        <v>65</v>
      </c>
      <c r="C4776" s="23" t="s">
        <v>938</v>
      </c>
      <c r="D4776" s="23" t="s">
        <v>939</v>
      </c>
      <c r="E4776" s="23" t="s">
        <v>940</v>
      </c>
      <c r="F4776" s="23" t="s">
        <v>941</v>
      </c>
      <c r="G4776" s="23" t="s">
        <v>942</v>
      </c>
      <c r="H4776" s="23" t="s">
        <v>943</v>
      </c>
      <c r="I4776" s="23" t="s">
        <v>944</v>
      </c>
      <c r="J4776" s="23" t="s">
        <v>945</v>
      </c>
      <c r="K4776" s="23" t="s">
        <v>946</v>
      </c>
      <c r="L4776" s="4" t="s">
        <v>47</v>
      </c>
    </row>
    <row r="4777" customFormat="false" ht="15" hidden="false" customHeight="false" outlineLevel="0" collapsed="false">
      <c r="A4777" s="1" t="s">
        <v>1076</v>
      </c>
      <c r="B4777" s="0" t="s">
        <v>98</v>
      </c>
      <c r="F4777" s="6" t="n">
        <f aca="false">Sens!F4758</f>
        <v>139.729522466355</v>
      </c>
      <c r="G4777" s="6" t="n">
        <f aca="false">Sens!G4758</f>
        <v>137.89412632562</v>
      </c>
      <c r="H4777" s="6" t="n">
        <f aca="false">Sens!H4758</f>
        <v>135.711446713338</v>
      </c>
      <c r="I4777" s="6" t="n">
        <f aca="false">Sens!I4758</f>
        <v>139.864226454562</v>
      </c>
      <c r="J4777" s="6" t="n">
        <f aca="false">Sens!J4758</f>
        <v>146.667943512727</v>
      </c>
      <c r="K4777" s="6" t="n">
        <f aca="false">Sens!K4758</f>
        <v>156.816421575022</v>
      </c>
    </row>
    <row r="4778" customFormat="false" ht="17.15" hidden="false" customHeight="false" outlineLevel="0" collapsed="false">
      <c r="A4778" s="1" t="s">
        <v>1098</v>
      </c>
      <c r="B4778" s="0" t="s">
        <v>98</v>
      </c>
      <c r="E4778" s="6" t="n">
        <f aca="false">Q!M38-Sens!E4696</f>
        <v>19.2164783275</v>
      </c>
      <c r="F4778" s="6" t="n">
        <f aca="false">Sens!E4778*(1-1/life_nonai)+(Sens!F4786+Sens!F4787)/life_nonai</f>
        <v>20.8774364020802</v>
      </c>
      <c r="G4778" s="6" t="n">
        <f aca="false">Sens!F4778*(1-1/life_nonai)+(Sens!G4786)/life_nonai</f>
        <v>22.9077949959595</v>
      </c>
      <c r="H4778" s="6" t="n">
        <f aca="false">Sens!G4778*(1-1/life_nonai)+(Sens!H4786)/life_nonai</f>
        <v>25.2792611413538</v>
      </c>
      <c r="I4778" s="6" t="n">
        <f aca="false">Sens!H4778*(1-1/life_nonai)+(Sens!I4786)/life_nonai</f>
        <v>27.9377636904969</v>
      </c>
      <c r="J4778" s="6" t="n">
        <f aca="false">Sens!I4778*(1-1/life_nonai)+(Sens!J4786)/life_nonai</f>
        <v>30.8108905684695</v>
      </c>
      <c r="K4778" s="6" t="n">
        <f aca="false">Sens!J4778*(1-1/life_nonai)+(Sens!K4786)/life_nonai</f>
        <v>33.8164361664601</v>
      </c>
      <c r="L4778" s="12" t="s">
        <v>1099</v>
      </c>
    </row>
    <row r="4779" customFormat="false" ht="17.15" hidden="false" customHeight="false" outlineLevel="0" collapsed="false">
      <c r="A4779" s="1" t="s">
        <v>1100</v>
      </c>
      <c r="B4779" s="0" t="s">
        <v>98</v>
      </c>
      <c r="F4779" s="6" t="n">
        <f aca="false">Sens!$F$4787/life_nonai*(1-1/life_nonai)^(Sens!F4659-2027)</f>
        <v>0</v>
      </c>
      <c r="G4779" s="6" t="n">
        <f aca="false">Sens!$F$4787/life_nonai*(1-1/life_nonai)^(Sens!G4659-2027)</f>
        <v>0</v>
      </c>
      <c r="H4779" s="6" t="n">
        <f aca="false">Sens!$F$4787/life_nonai*(1-1/life_nonai)^(Sens!H4659-2027)</f>
        <v>0</v>
      </c>
      <c r="I4779" s="6" t="n">
        <f aca="false">Sens!$F$4787/life_nonai*(1-1/life_nonai)^(Sens!I4659-2027)</f>
        <v>0</v>
      </c>
      <c r="J4779" s="6" t="n">
        <f aca="false">Sens!$F$4787/life_nonai*(1-1/life_nonai)^(Sens!J4659-2027)</f>
        <v>0</v>
      </c>
      <c r="K4779" s="6" t="n">
        <f aca="false">Sens!$F$4787/life_nonai*(1-1/life_nonai)^(Sens!K4659-2027)</f>
        <v>0</v>
      </c>
      <c r="L4779" s="1" t="s">
        <v>1101</v>
      </c>
    </row>
    <row r="4780" customFormat="false" ht="17.15" hidden="false" customHeight="false" outlineLevel="0" collapsed="false">
      <c r="A4780" s="1" t="s">
        <v>1102</v>
      </c>
      <c r="B4780" s="0" t="s">
        <v>98</v>
      </c>
      <c r="E4780" s="6" t="n">
        <f aca="false">Sens!E4696+Sens!E4778</f>
        <v>38.534</v>
      </c>
      <c r="F4780" s="6" t="n">
        <f aca="false">Sens!F4696+Sens!F4778</f>
        <v>61.8708478775172</v>
      </c>
      <c r="G4780" s="6" t="n">
        <f aca="false">Sens!G4696+Sens!G4778</f>
        <v>94.9550159829632</v>
      </c>
      <c r="H4780" s="6" t="n">
        <f aca="false">Sens!H4696+Sens!H4778</f>
        <v>131.682486158997</v>
      </c>
      <c r="I4780" s="6" t="n">
        <f aca="false">Sens!I4696+Sens!I4778</f>
        <v>165.203840866264</v>
      </c>
      <c r="J4780" s="6" t="n">
        <f aca="false">Sens!J4696+Sens!J4778</f>
        <v>190.547140014089</v>
      </c>
      <c r="K4780" s="6" t="n">
        <f aca="false">Sens!K4696+Sens!K4778</f>
        <v>206.994347956099</v>
      </c>
    </row>
    <row r="4781" customFormat="false" ht="17.15" hidden="false" customHeight="false" outlineLevel="0" collapsed="false">
      <c r="A4781" s="1" t="s">
        <v>1103</v>
      </c>
      <c r="B4781" s="0" t="s">
        <v>98</v>
      </c>
      <c r="F4781" s="6" t="n">
        <f aca="false">Sens!F4723*sbc_r</f>
        <v>14.7454787486369</v>
      </c>
      <c r="G4781" s="6" t="n">
        <f aca="false">Sens!G4723*sbc_r</f>
        <v>17.1560811611477</v>
      </c>
      <c r="H4781" s="6" t="n">
        <f aca="false">Sens!H4723*sbc_r</f>
        <v>19.4392721288594</v>
      </c>
      <c r="I4781" s="6" t="n">
        <f aca="false">Sens!I4723*sbc_r</f>
        <v>21.8101467158586</v>
      </c>
      <c r="J4781" s="6" t="n">
        <f aca="false">Sens!J4723*sbc_r</f>
        <v>23.8342700350529</v>
      </c>
      <c r="K4781" s="6" t="n">
        <f aca="false">Sens!K4723*sbc_r</f>
        <v>25.5175179409129</v>
      </c>
    </row>
    <row r="4782" customFormat="false" ht="17.15" hidden="false" customHeight="false" outlineLevel="0" collapsed="false">
      <c r="A4782" s="1" t="s">
        <v>1104</v>
      </c>
      <c r="B4782" s="0" t="s">
        <v>98</v>
      </c>
      <c r="F4782" s="6" t="n">
        <f aca="false">wc27-wc26q1</f>
        <v>-4.677</v>
      </c>
      <c r="G4782" s="6" t="n">
        <f aca="false">wc_f</f>
        <v>0</v>
      </c>
      <c r="H4782" s="6" t="n">
        <f aca="false">wc_f</f>
        <v>0</v>
      </c>
      <c r="I4782" s="6" t="n">
        <f aca="false">wc_f</f>
        <v>0</v>
      </c>
      <c r="J4782" s="6" t="n">
        <f aca="false">wc_f</f>
        <v>0</v>
      </c>
      <c r="K4782" s="6" t="n">
        <f aca="false">wc_f</f>
        <v>0</v>
      </c>
      <c r="L4782" s="12" t="s">
        <v>1105</v>
      </c>
    </row>
    <row r="4783" customFormat="false" ht="17.15" hidden="false" customHeight="false" outlineLevel="0" collapsed="false">
      <c r="A4783" s="0" t="s">
        <v>1106</v>
      </c>
      <c r="B4783" s="0" t="s">
        <v>98</v>
      </c>
      <c r="F4783" s="6" t="n">
        <f aca="false">Q!$I$35-Q!$I$26-Q!$I$38-Q!$I$39</f>
        <v>6.493</v>
      </c>
      <c r="L4783" s="1" t="s">
        <v>1107</v>
      </c>
    </row>
    <row r="4784" customFormat="false" ht="15" hidden="false" customHeight="false" outlineLevel="0" collapsed="false">
      <c r="A4784" s="1" t="s">
        <v>904</v>
      </c>
      <c r="B4784" s="0" t="s">
        <v>98</v>
      </c>
      <c r="E4784" s="6" t="n">
        <f aca="false">Q!M35</f>
        <v>182.935</v>
      </c>
      <c r="F4784" s="6" t="n">
        <f aca="false">Sens!F4777+Sens!F4780+Sens!F4781+Sens!F4782+Sens!F4783</f>
        <v>218.16184909251</v>
      </c>
      <c r="G4784" s="6" t="n">
        <f aca="false">Sens!G4777+Sens!G4780+Sens!G4781+Sens!G4782</f>
        <v>250.005223469731</v>
      </c>
      <c r="H4784" s="6" t="n">
        <f aca="false">Sens!H4777+Sens!H4780+Sens!H4781+Sens!H4782</f>
        <v>286.833205001194</v>
      </c>
      <c r="I4784" s="6" t="n">
        <f aca="false">Sens!I4777+Sens!I4780+Sens!I4781+Sens!I4782</f>
        <v>326.878214036685</v>
      </c>
      <c r="J4784" s="6" t="n">
        <f aca="false">Sens!J4777+Sens!J4780+Sens!J4781+Sens!J4782</f>
        <v>361.049353561869</v>
      </c>
      <c r="K4784" s="6" t="n">
        <f aca="false">Sens!K4777+Sens!K4780+Sens!K4781+Sens!K4782</f>
        <v>389.328287472033</v>
      </c>
    </row>
    <row r="4785" customFormat="false" ht="17.15" hidden="false" customHeight="false" outlineLevel="0" collapsed="false">
      <c r="A4785" s="0" t="s">
        <v>1108</v>
      </c>
      <c r="B4785" s="0" t="s">
        <v>98</v>
      </c>
      <c r="F4785" s="6" t="n">
        <f aca="false">Sens!F4693</f>
        <v>168.45390404212</v>
      </c>
      <c r="G4785" s="6" t="n">
        <f aca="false">Sens!G4693</f>
        <v>191.944475649048</v>
      </c>
      <c r="H4785" s="6" t="n">
        <f aca="false">Sens!H4693</f>
        <v>225.966748824512</v>
      </c>
      <c r="I4785" s="6" t="n">
        <f aca="false">Sens!I4693</f>
        <v>183.49276462161</v>
      </c>
      <c r="J4785" s="6" t="n">
        <f aca="false">Sens!J4693</f>
        <v>172.37348971594</v>
      </c>
      <c r="K4785" s="6" t="n">
        <f aca="false">Sens!K4693</f>
        <v>181.482007988245</v>
      </c>
    </row>
    <row r="4786" customFormat="false" ht="17.15" hidden="false" customHeight="false" outlineLevel="0" collapsed="false">
      <c r="A4786" s="1" t="s">
        <v>1109</v>
      </c>
      <c r="B4786" s="0" t="s">
        <v>98</v>
      </c>
      <c r="E4786" s="6" t="n">
        <f aca="false">Sens!E4701*cx_azo+Sens!E4708*cx_m365+Sens!E4709*cx_lic+(Sens!E4711+Sens!E4713)*cx_ind+Sens!E4716*cx_srch+(Sens!E4718+Sens!E4720)*cx_dev</f>
        <v>30.1846587067718</v>
      </c>
      <c r="F4786" s="6" t="n">
        <f aca="false">Sens!F4701*cx_azo+Sens!F4708*cx_m365+Sens!F4709*cx_lic+(Sens!F4711+Sens!F4713)*cx_ind+Sens!F4716*cx_srch+(Sens!F4718+Sens!F4720)*cx_dev</f>
        <v>35.826059073302</v>
      </c>
      <c r="G4786" s="6" t="n">
        <f aca="false">Sens!G4701*cx_azo+Sens!G4708*cx_m365+Sens!G4709*cx_lic+(Sens!G4711+Sens!G4713)*cx_ind+Sens!G4716*cx_srch+(Sens!G4718+Sens!G4720)*cx_dev</f>
        <v>41.1810223408732</v>
      </c>
      <c r="H4786" s="6" t="n">
        <f aca="false">Sens!H4701*cx_azo+Sens!H4708*cx_m365+Sens!H4709*cx_lic+(Sens!H4711+Sens!H4713)*cx_ind+Sens!H4716*cx_srch+(Sens!H4718+Sens!H4720)*cx_dev</f>
        <v>46.6224564499022</v>
      </c>
      <c r="I4786" s="6" t="n">
        <f aca="false">Sens!I4701*cx_azo+Sens!I4708*cx_m365+Sens!I4709*cx_lic+(Sens!I4711+Sens!I4713)*cx_ind+Sens!I4716*cx_srch+(Sens!I4718+Sens!I4720)*cx_dev</f>
        <v>51.8642866327854</v>
      </c>
      <c r="J4786" s="6" t="n">
        <f aca="false">Sens!J4701*cx_azo+Sens!J4708*cx_m365+Sens!J4709*cx_lic+(Sens!J4711+Sens!J4713)*cx_ind+Sens!J4716*cx_srch+(Sens!J4718+Sens!J4720)*cx_dev</f>
        <v>56.6690324702225</v>
      </c>
      <c r="K4786" s="6" t="n">
        <f aca="false">Sens!K4701*cx_azo+Sens!K4708*cx_m365+Sens!K4709*cx_lic+(Sens!K4711+Sens!K4713)*cx_ind+Sens!K4716*cx_srch+(Sens!K4718+Sens!K4720)*cx_dev</f>
        <v>60.866346548376</v>
      </c>
    </row>
    <row r="4787" customFormat="false" ht="17.15" hidden="false" customHeight="false" outlineLevel="0" collapsed="false">
      <c r="A4787" s="0" t="s">
        <v>1110</v>
      </c>
      <c r="B4787" s="0" t="s">
        <v>98</v>
      </c>
      <c r="F4787" s="6" t="n">
        <f aca="false">Sens!F4691</f>
        <v>0</v>
      </c>
      <c r="L4787" s="1" t="s">
        <v>1111</v>
      </c>
    </row>
    <row r="4788" customFormat="false" ht="17.15" hidden="false" customHeight="false" outlineLevel="0" collapsed="false">
      <c r="A4788" s="1" t="s">
        <v>1112</v>
      </c>
      <c r="B4788" s="0" t="s">
        <v>98</v>
      </c>
      <c r="E4788" s="6" t="n">
        <f aca="false">Q!M43</f>
        <v>145.3</v>
      </c>
      <c r="F4788" s="6" t="n">
        <f aca="false">Sens!F4785+Sens!F4786+Sens!F4787</f>
        <v>204.279963115422</v>
      </c>
      <c r="G4788" s="6" t="n">
        <f aca="false">Sens!G4785+Sens!G4786</f>
        <v>233.125497989921</v>
      </c>
      <c r="H4788" s="6" t="n">
        <f aca="false">Sens!H4785+Sens!H4786</f>
        <v>272.589205274415</v>
      </c>
      <c r="I4788" s="6" t="n">
        <f aca="false">Sens!I4785+Sens!I4786</f>
        <v>235.357051254396</v>
      </c>
      <c r="J4788" s="6" t="n">
        <f aca="false">Sens!J4785+Sens!J4786</f>
        <v>229.042522186163</v>
      </c>
      <c r="K4788" s="6" t="n">
        <f aca="false">Sens!K4785+Sens!K4786</f>
        <v>242.348354536621</v>
      </c>
      <c r="L4788" s="1" t="s">
        <v>1113</v>
      </c>
    </row>
    <row r="4789" customFormat="false" ht="15" hidden="false" customHeight="false" outlineLevel="0" collapsed="false">
      <c r="A4789" s="1" t="s">
        <v>1114</v>
      </c>
      <c r="B4789" s="0" t="s">
        <v>98</v>
      </c>
      <c r="E4789" s="6" t="n">
        <f aca="false">fl_liab</f>
        <v>66.594</v>
      </c>
      <c r="F4789" s="6" t="n">
        <f aca="false">Sens!E4789-Sens!F4790</f>
        <v>62.46973</v>
      </c>
      <c r="G4789" s="6" t="n">
        <f aca="false">Sens!F4789-Sens!G4790</f>
        <v>57.98686785</v>
      </c>
      <c r="H4789" s="6" t="n">
        <f aca="false">Sens!G4789-Sens!H4790</f>
        <v>53.92827690325</v>
      </c>
      <c r="I4789" s="6" t="n">
        <f aca="false">Sens!H4789-Sens!I4790</f>
        <v>49.7850493638962</v>
      </c>
      <c r="J4789" s="6" t="n">
        <f aca="false">Sens!I4789-Sens!J4790</f>
        <v>45.4823765852716</v>
      </c>
      <c r="K4789" s="6" t="n">
        <f aca="false">Sens!J4789-Sens!K4790</f>
        <v>40.9860835316088</v>
      </c>
    </row>
    <row r="4790" customFormat="false" ht="15" hidden="false" customHeight="false" outlineLevel="0" collapsed="false">
      <c r="A4790" s="1" t="s">
        <v>1115</v>
      </c>
      <c r="B4790" s="0" t="s">
        <v>98</v>
      </c>
      <c r="F4790" s="6" t="n">
        <f aca="false">fl_pay_27-Sens!E4789*fl_rate</f>
        <v>4.12427</v>
      </c>
      <c r="G4790" s="6" t="n">
        <f aca="false">fl_pay_28-Sens!F4789*fl_rate</f>
        <v>4.48286215</v>
      </c>
      <c r="H4790" s="6" t="n">
        <f aca="false">fl_pay_29-Sens!G4789*fl_rate</f>
        <v>4.05859094675</v>
      </c>
      <c r="I4790" s="6" t="n">
        <f aca="false">fl_pay_30-Sens!H4789*fl_rate</f>
        <v>4.14322753935375</v>
      </c>
      <c r="J4790" s="6" t="n">
        <f aca="false">fl_pay_31-Sens!I4789*fl_rate</f>
        <v>4.30267277862467</v>
      </c>
      <c r="K4790" s="6" t="n">
        <f aca="false">fl_pay_32-Sens!J4789*fl_rate</f>
        <v>4.49629305366278</v>
      </c>
    </row>
    <row r="4791" customFormat="false" ht="17.15" hidden="false" customHeight="false" outlineLevel="0" collapsed="false">
      <c r="A4791" s="1" t="s">
        <v>1116</v>
      </c>
      <c r="B4791" s="0" t="s">
        <v>98</v>
      </c>
      <c r="E4791" s="6" t="n">
        <f aca="false">Q!M35-Q!M36-Q!M44</f>
        <v>63.886</v>
      </c>
      <c r="F4791" s="6" t="n">
        <f aca="false">Sens!F4784-Sens!F4788-Sens!F4790</f>
        <v>9.7576159770879</v>
      </c>
      <c r="G4791" s="6" t="n">
        <f aca="false">Sens!G4784-Sens!G4788-Sens!G4790</f>
        <v>12.3968633298093</v>
      </c>
      <c r="H4791" s="6" t="n">
        <f aca="false">Sens!H4784-Sens!H4788-Sens!H4790</f>
        <v>10.1854087800296</v>
      </c>
      <c r="I4791" s="6" t="n">
        <f aca="false">Sens!I4784-Sens!I4788-Sens!I4790</f>
        <v>87.3779352429351</v>
      </c>
      <c r="J4791" s="6" t="n">
        <f aca="false">Sens!J4784-Sens!J4788-Sens!J4790</f>
        <v>127.704158597082</v>
      </c>
      <c r="K4791" s="6" t="n">
        <f aca="false">Sens!K4784-Sens!K4788-Sens!K4790</f>
        <v>142.48363988175</v>
      </c>
      <c r="L4791" s="12" t="s">
        <v>1117</v>
      </c>
    </row>
    <row r="4792" customFormat="false" ht="15" hidden="false" customHeight="false" outlineLevel="0" collapsed="false">
      <c r="A4792" s="1" t="s">
        <v>1118</v>
      </c>
      <c r="B4792" s="0" t="s">
        <v>75</v>
      </c>
      <c r="F4792" s="8" t="n">
        <f aca="false">dps_27</f>
        <v>3.85</v>
      </c>
      <c r="G4792" s="8" t="n">
        <f aca="false">Sens!F4792*(1+dps_g)</f>
        <v>4.158</v>
      </c>
      <c r="H4792" s="8" t="n">
        <f aca="false">Sens!G4792*(1+dps_g)</f>
        <v>4.49064</v>
      </c>
      <c r="I4792" s="8" t="n">
        <f aca="false">Sens!H4792*(1+dps_g)</f>
        <v>4.8498912</v>
      </c>
      <c r="J4792" s="8" t="n">
        <f aca="false">Sens!I4792*(1+dps_g)</f>
        <v>5.237882496</v>
      </c>
      <c r="K4792" s="8" t="n">
        <f aca="false">Sens!J4792*(1+dps_g)</f>
        <v>5.65691309568</v>
      </c>
    </row>
    <row r="4793" customFormat="false" ht="17.15" hidden="false" customHeight="false" outlineLevel="0" collapsed="false">
      <c r="A4793" s="1" t="s">
        <v>1119</v>
      </c>
      <c r="B4793" s="0" t="s">
        <v>98</v>
      </c>
      <c r="E4793" s="6" t="n">
        <f aca="false">Q!M41</f>
        <v>26.445</v>
      </c>
      <c r="F4793" s="6" t="n">
        <f aca="false">Sens!F4792*Sens!E4802</f>
        <v>28.59395</v>
      </c>
      <c r="G4793" s="6" t="n">
        <f aca="false">Sens!G4792*Sens!F4802</f>
        <v>31.068576</v>
      </c>
      <c r="H4793" s="6" t="n">
        <f aca="false">Sens!H4792*Sens!G4802</f>
        <v>33.75614088</v>
      </c>
      <c r="I4793" s="6" t="n">
        <f aca="false">Sens!I4792*Sens!H4802</f>
        <v>36.6748772544</v>
      </c>
      <c r="J4793" s="6" t="n">
        <f aca="false">Sens!J4792*Sens!I4802</f>
        <v>39.6767653201446</v>
      </c>
      <c r="K4793" s="6" t="n">
        <f aca="false">Sens!K4792*Sens!J4802</f>
        <v>42.9376608081345</v>
      </c>
      <c r="L4793" s="1" t="s">
        <v>1120</v>
      </c>
    </row>
    <row r="4794" customFormat="false" ht="15" hidden="false" customHeight="false" outlineLevel="0" collapsed="false">
      <c r="A4794" s="1" t="s">
        <v>1121</v>
      </c>
      <c r="B4794" s="0" t="s">
        <v>98</v>
      </c>
      <c r="E4794" s="6" t="n">
        <f aca="false">Sens!E4791-Sens!E4793</f>
        <v>37.441</v>
      </c>
      <c r="F4794" s="6" t="n">
        <f aca="false">Sens!F4791-Sens!F4793</f>
        <v>-18.8363340229121</v>
      </c>
      <c r="G4794" s="6" t="n">
        <f aca="false">Sens!G4791-Sens!G4793</f>
        <v>-18.6717126701907</v>
      </c>
      <c r="H4794" s="6" t="n">
        <f aca="false">Sens!H4791-Sens!H4793</f>
        <v>-23.5707320999704</v>
      </c>
      <c r="I4794" s="6" t="n">
        <f aca="false">Sens!I4791-Sens!I4793</f>
        <v>50.7030579885351</v>
      </c>
      <c r="J4794" s="6" t="n">
        <f aca="false">Sens!J4791-Sens!J4793</f>
        <v>88.0273932769372</v>
      </c>
      <c r="K4794" s="6" t="n">
        <f aca="false">Sens!K4791-Sens!K4793</f>
        <v>99.5459790736151</v>
      </c>
    </row>
    <row r="4795" customFormat="false" ht="15" hidden="false" customHeight="false" outlineLevel="0" collapsed="false">
      <c r="A4795" s="1" t="s">
        <v>1122</v>
      </c>
      <c r="B4795" s="0" t="s">
        <v>98</v>
      </c>
      <c r="F4795" s="6" t="n">
        <f aca="false">debt_mat_27</f>
        <v>9.25</v>
      </c>
      <c r="G4795" s="6" t="n">
        <f aca="false">debt_mat_28</f>
        <v>0</v>
      </c>
      <c r="H4795" s="6" t="n">
        <f aca="false">debt_mat_29</f>
        <v>2.001</v>
      </c>
      <c r="I4795" s="6" t="n">
        <f aca="false">debt_mat_30</f>
        <v>0</v>
      </c>
      <c r="J4795" s="6" t="n">
        <f aca="false">debt_mat_31</f>
        <v>0.5</v>
      </c>
      <c r="K4795" s="6" t="n">
        <f aca="false">debt_mat_32</f>
        <v>0</v>
      </c>
    </row>
    <row r="4796" customFormat="false" ht="15" hidden="false" customHeight="false" outlineLevel="0" collapsed="false">
      <c r="A4796" s="1" t="s">
        <v>1123</v>
      </c>
      <c r="B4796" s="0" t="s">
        <v>98</v>
      </c>
      <c r="E4796" s="6" t="n">
        <f aca="false">Q!M40</f>
        <v>22.271</v>
      </c>
      <c r="F4796" s="6" t="n">
        <f aca="false">MAX(0,MIN(bb_target,Sens!E4798+Sens!F4794-Sens!F4795-min_cash))</f>
        <v>0</v>
      </c>
      <c r="G4796" s="6" t="n">
        <f aca="false">MAX(0,MIN(bb_target,Sens!F4798+Sens!G4794-Sens!G4795-min_cash))</f>
        <v>0</v>
      </c>
      <c r="H4796" s="6" t="n">
        <f aca="false">MAX(0,MIN(bb_target,Sens!G4798+Sens!H4794-Sens!H4795-min_cash))</f>
        <v>0</v>
      </c>
      <c r="I4796" s="6" t="n">
        <f aca="false">MAX(0,MIN(bb_target,Sens!H4798+Sens!I4794-Sens!I4795-min_cash))</f>
        <v>22.271</v>
      </c>
      <c r="J4796" s="6" t="n">
        <f aca="false">MAX(0,MIN(bb_target,Sens!I4798+Sens!J4794-Sens!J4795-min_cash))</f>
        <v>22.271</v>
      </c>
      <c r="K4796" s="6" t="n">
        <f aca="false">MAX(0,MIN(bb_target,Sens!J4798+Sens!K4794-Sens!K4795-min_cash))</f>
        <v>22.271</v>
      </c>
    </row>
    <row r="4797" customFormat="false" ht="15" hidden="false" customHeight="false" outlineLevel="0" collapsed="false">
      <c r="A4797" s="1" t="s">
        <v>1124</v>
      </c>
      <c r="B4797" s="0" t="s">
        <v>98</v>
      </c>
      <c r="F4797" s="6" t="n">
        <f aca="false">MAX(0,min_cash-(Sens!E4798+Sens!F4794-Sens!F4795-Sens!F4796))</f>
        <v>1.24333402291209</v>
      </c>
      <c r="G4797" s="6" t="n">
        <f aca="false">MAX(0,min_cash-(Sens!F4798+Sens!G4794-Sens!G4795-Sens!G4796))</f>
        <v>18.6717126701907</v>
      </c>
      <c r="H4797" s="6" t="n">
        <f aca="false">MAX(0,min_cash-(Sens!G4798+Sens!H4794-Sens!H4795-Sens!H4796))</f>
        <v>25.5717320999704</v>
      </c>
      <c r="I4797" s="6" t="n">
        <f aca="false">MAX(0,min_cash-(Sens!H4798+Sens!I4794-Sens!I4795-Sens!I4796))</f>
        <v>0</v>
      </c>
      <c r="J4797" s="6" t="n">
        <f aca="false">MAX(0,min_cash-(Sens!I4798+Sens!J4794-Sens!J4795-Sens!J4796))</f>
        <v>0</v>
      </c>
      <c r="K4797" s="6" t="n">
        <f aca="false">MAX(0,min_cash-(Sens!J4798+Sens!K4794-Sens!K4795-Sens!K4796))</f>
        <v>0</v>
      </c>
    </row>
    <row r="4798" customFormat="false" ht="15" hidden="false" customHeight="false" outlineLevel="0" collapsed="false">
      <c r="A4798" s="1" t="s">
        <v>1125</v>
      </c>
      <c r="B4798" s="0" t="s">
        <v>98</v>
      </c>
      <c r="E4798" s="6" t="n">
        <f aca="false">cash_open</f>
        <v>76.843</v>
      </c>
      <c r="F4798" s="6" t="n">
        <f aca="false">Sens!E4798+Sens!F4794-Sens!F4795-Sens!F4796+Sens!F4797</f>
        <v>50</v>
      </c>
      <c r="G4798" s="6" t="n">
        <f aca="false">Sens!F4798+Sens!G4794-Sens!G4795-Sens!G4796+Sens!G4797</f>
        <v>50</v>
      </c>
      <c r="H4798" s="6" t="n">
        <f aca="false">Sens!G4798+Sens!H4794-Sens!H4795-Sens!H4796+Sens!H4797</f>
        <v>50</v>
      </c>
      <c r="I4798" s="6" t="n">
        <f aca="false">Sens!H4798+Sens!I4794-Sens!I4795-Sens!I4796+Sens!I4797</f>
        <v>78.4320579885351</v>
      </c>
      <c r="J4798" s="6" t="n">
        <f aca="false">Sens!I4798+Sens!J4794-Sens!J4795-Sens!J4796+Sens!J4797</f>
        <v>143.688451265472</v>
      </c>
      <c r="K4798" s="6" t="n">
        <f aca="false">Sens!J4798+Sens!K4794-Sens!K4795-Sens!K4796+Sens!K4797</f>
        <v>220.963430339087</v>
      </c>
    </row>
    <row r="4799" customFormat="false" ht="15" hidden="false" customHeight="false" outlineLevel="0" collapsed="false">
      <c r="A4799" s="1" t="s">
        <v>1126</v>
      </c>
      <c r="B4799" s="0" t="s">
        <v>98</v>
      </c>
      <c r="E4799" s="6" t="n">
        <f aca="false">debt_face</f>
        <v>46.136</v>
      </c>
      <c r="F4799" s="6" t="n">
        <f aca="false">Sens!E4799-Sens!F4795+Sens!F4797</f>
        <v>38.1293340229121</v>
      </c>
      <c r="G4799" s="6" t="n">
        <f aca="false">Sens!F4799-Sens!G4795+Sens!G4797</f>
        <v>56.8010466931029</v>
      </c>
      <c r="H4799" s="6" t="n">
        <f aca="false">Sens!G4799-Sens!H4795+Sens!H4797</f>
        <v>80.3717787930733</v>
      </c>
      <c r="I4799" s="6" t="n">
        <f aca="false">Sens!H4799-Sens!I4795+Sens!I4797</f>
        <v>80.3717787930733</v>
      </c>
      <c r="J4799" s="6" t="n">
        <f aca="false">Sens!I4799-Sens!J4795+Sens!J4797</f>
        <v>79.8717787930733</v>
      </c>
      <c r="K4799" s="6" t="n">
        <f aca="false">Sens!J4799-Sens!K4795+Sens!K4797</f>
        <v>79.8717787930733</v>
      </c>
    </row>
    <row r="4800" customFormat="false" ht="15" hidden="false" customHeight="false" outlineLevel="0" collapsed="false">
      <c r="A4800" s="1" t="s">
        <v>1127</v>
      </c>
      <c r="B4800" s="0" t="s">
        <v>98</v>
      </c>
      <c r="E4800" s="6" t="n">
        <f aca="false">Sens!E4798-Sens!E4799</f>
        <v>30.707</v>
      </c>
      <c r="F4800" s="6" t="n">
        <f aca="false">Sens!F4798-Sens!F4799</f>
        <v>11.8706659770879</v>
      </c>
      <c r="G4800" s="6" t="n">
        <f aca="false">Sens!G4798-Sens!G4799</f>
        <v>-6.80104669310285</v>
      </c>
      <c r="H4800" s="6" t="n">
        <f aca="false">Sens!H4798-Sens!H4799</f>
        <v>-30.3717787930733</v>
      </c>
      <c r="I4800" s="6" t="n">
        <f aca="false">Sens!I4798-Sens!I4799</f>
        <v>-1.93972080453823</v>
      </c>
      <c r="J4800" s="6" t="n">
        <f aca="false">Sens!J4798-Sens!J4799</f>
        <v>63.8166724723989</v>
      </c>
      <c r="K4800" s="6" t="n">
        <f aca="false">Sens!K4798-Sens!K4799</f>
        <v>141.091651546014</v>
      </c>
    </row>
    <row r="4801" customFormat="false" ht="15" hidden="false" customHeight="false" outlineLevel="0" collapsed="false">
      <c r="A4801" s="1" t="s">
        <v>1128</v>
      </c>
      <c r="B4801" s="0" t="s">
        <v>75</v>
      </c>
      <c r="F4801" s="30" t="n">
        <f aca="false">px*(1+bb_g)^(Sens!F4659-base_fy-mid_yr)</f>
        <v>551.84177959629</v>
      </c>
      <c r="G4801" s="30" t="n">
        <f aca="false">px*(1+bb_g)^(Sens!G4659-base_fy-mid_yr)</f>
        <v>595.989121963993</v>
      </c>
      <c r="H4801" s="30" t="n">
        <f aca="false">px*(1+bb_g)^(Sens!H4659-base_fy-mid_yr)</f>
        <v>643.668251721112</v>
      </c>
      <c r="I4801" s="30" t="n">
        <f aca="false">px*(1+bb_g)^(Sens!I4659-base_fy-mid_yr)</f>
        <v>695.161711858801</v>
      </c>
      <c r="J4801" s="30" t="n">
        <f aca="false">px*(1+bb_g)^(Sens!J4659-base_fy-mid_yr)</f>
        <v>750.774648807506</v>
      </c>
      <c r="K4801" s="30" t="n">
        <f aca="false">px*(1+bb_g)^(Sens!K4659-base_fy-mid_yr)</f>
        <v>810.836620712106</v>
      </c>
    </row>
    <row r="4802" customFormat="false" ht="15" hidden="false" customHeight="false" outlineLevel="0" collapsed="false">
      <c r="A4802" s="1" t="s">
        <v>1129</v>
      </c>
      <c r="B4802" s="1" t="s">
        <v>81</v>
      </c>
      <c r="E4802" s="15" t="n">
        <f aca="false">sh_out26</f>
        <v>7.427</v>
      </c>
      <c r="F4802" s="15" t="n">
        <f aca="false">Sens!E4802+sh_iss-Sens!F4796/Sens!F4801</f>
        <v>7.472</v>
      </c>
      <c r="G4802" s="15" t="n">
        <f aca="false">Sens!F4802+sh_iss-Sens!G4796/Sens!G4801</f>
        <v>7.517</v>
      </c>
      <c r="H4802" s="15" t="n">
        <f aca="false">Sens!G4802+sh_iss-Sens!H4796/Sens!H4801</f>
        <v>7.562</v>
      </c>
      <c r="I4802" s="15" t="n">
        <f aca="false">Sens!H4802+sh_iss-Sens!I4796/Sens!I4801</f>
        <v>7.57496285005334</v>
      </c>
      <c r="J4802" s="15" t="n">
        <f aca="false">Sens!I4802+sh_iss-Sens!J4796/Sens!J4801</f>
        <v>7.59029882232494</v>
      </c>
      <c r="K4802" s="15" t="n">
        <f aca="false">Sens!J4802+sh_iss-Sens!K4796/Sens!K4801</f>
        <v>7.60783212998384</v>
      </c>
    </row>
    <row r="4803" customFormat="false" ht="15" hidden="false" customHeight="false" outlineLevel="0" collapsed="false">
      <c r="A4803" s="1" t="s">
        <v>1130</v>
      </c>
      <c r="B4803" s="1" t="s">
        <v>81</v>
      </c>
      <c r="E4803" s="15" t="n">
        <f aca="false">sh_dil26</f>
        <v>7.453</v>
      </c>
      <c r="F4803" s="15" t="n">
        <f aca="false">(Sens!E4802+Sens!F4802)/2+dil_gap</f>
        <v>7.4735</v>
      </c>
      <c r="G4803" s="15" t="n">
        <f aca="false">(Sens!F4802+Sens!G4802)/2+dil_gap</f>
        <v>7.5185</v>
      </c>
      <c r="H4803" s="15" t="n">
        <f aca="false">(Sens!G4802+Sens!H4802)/2+dil_gap</f>
        <v>7.5635</v>
      </c>
      <c r="I4803" s="15" t="n">
        <f aca="false">(Sens!H4802+Sens!I4802)/2+dil_gap</f>
        <v>7.59248142502667</v>
      </c>
      <c r="J4803" s="15" t="n">
        <f aca="false">(Sens!I4802+Sens!J4802)/2+dil_gap</f>
        <v>7.60663083618914</v>
      </c>
      <c r="K4803" s="15" t="n">
        <f aca="false">(Sens!J4802+Sens!K4802)/2+dil_gap</f>
        <v>7.62306547615439</v>
      </c>
    </row>
    <row r="4804" customFormat="false" ht="17.15" hidden="false" customHeight="false" outlineLevel="0" collapsed="false">
      <c r="A4804" s="1" t="s">
        <v>1131</v>
      </c>
      <c r="B4804" s="0" t="s">
        <v>98</v>
      </c>
      <c r="C4804" s="6" t="n">
        <f aca="false">SUM(Sens!F4794:J4794)</f>
        <v>77.6516724723989</v>
      </c>
    </row>
    <row r="4805" customFormat="false" ht="15" hidden="false" customHeight="false" outlineLevel="0" collapsed="false">
      <c r="A4805" s="26" t="s">
        <v>1096</v>
      </c>
      <c r="B4805" s="31" t="s">
        <v>98</v>
      </c>
      <c r="C4805" s="27" t="n">
        <f aca="false">Sens!$C$4804-(Sens!F4794+Sens!G4794+Sens!H4794+Sens!I4794+Sens!J4794)</f>
        <v>0</v>
      </c>
      <c r="D4805" s="31"/>
      <c r="E4805" s="31"/>
      <c r="F4805" s="31"/>
      <c r="G4805" s="31"/>
      <c r="H4805" s="31"/>
      <c r="I4805" s="31"/>
      <c r="J4805" s="31"/>
      <c r="K4805" s="31"/>
    </row>
    <row r="4806" customFormat="false" ht="17.15" hidden="false" customHeight="false" outlineLevel="0" collapsed="false">
      <c r="A4806" s="1" t="s">
        <v>1090</v>
      </c>
      <c r="B4806" s="1" t="s">
        <v>1132</v>
      </c>
      <c r="C4806" s="33" t="str">
        <f aca="false">IF(SUM(Sens!F4797:J4797)&gt;0.05,"需要舉債 "&amp;TEXT(SUM(Sens!F4797:J4797),"0.0")&amp;" 十億美元","不需舉債")&amp;"；"&amp;IF(SUM(Sens!F4796:J4796)&lt;COUNT(Sens!F4796:J4796)*bb_target-0.05,"回購較每年 "&amp;TEXT(bb_target,"0.0")&amp;" 的目標少 "&amp;TEXT(COUNT(Sens!F4796:J4796)*bb_target-SUM(Sens!F4796:J4796),"0.0")&amp;" 十億美元（"&amp;TEXT(COUNTIF(Sens!F4796:J4796,"&lt;"&amp;(bb_target-0.05)),"0")&amp;" 年減少）","回購不減")</f>
        <v>需要舉債 45.5 十億美元；回購較每年 22.3 的目標少 66.8 十億美元（3 年減少）</v>
      </c>
    </row>
    <row r="4807" customFormat="false" ht="17.15" hidden="false" customHeight="false" outlineLevel="0" collapsed="false">
      <c r="A4807" s="3" t="s">
        <v>1599</v>
      </c>
    </row>
    <row r="4808" customFormat="false" ht="15" hidden="false" customHeight="false" outlineLevel="0" collapsed="false">
      <c r="A4808" s="4" t="s">
        <v>43</v>
      </c>
      <c r="B4808" s="4" t="s">
        <v>65</v>
      </c>
      <c r="C4808" s="23" t="s">
        <v>938</v>
      </c>
      <c r="D4808" s="23" t="s">
        <v>939</v>
      </c>
      <c r="E4808" s="23" t="s">
        <v>940</v>
      </c>
      <c r="F4808" s="23" t="s">
        <v>941</v>
      </c>
      <c r="G4808" s="23" t="s">
        <v>942</v>
      </c>
      <c r="H4808" s="23" t="s">
        <v>943</v>
      </c>
      <c r="I4808" s="23" t="s">
        <v>944</v>
      </c>
      <c r="J4808" s="23" t="s">
        <v>945</v>
      </c>
      <c r="K4808" s="23" t="s">
        <v>946</v>
      </c>
      <c r="L4808" s="4" t="s">
        <v>47</v>
      </c>
    </row>
    <row r="4809" customFormat="false" ht="17.15" hidden="false" customHeight="false" outlineLevel="0" collapsed="false">
      <c r="A4809" s="1" t="s">
        <v>1212</v>
      </c>
      <c r="B4809" s="1" t="s">
        <v>279</v>
      </c>
      <c r="F4809" s="8" t="n">
        <f aca="false">(1-v_off)*mid_yr</f>
        <v>0.373972602739726</v>
      </c>
      <c r="G4809" s="8" t="n">
        <f aca="false">Sens!G4659-base_fy-mid_yr-v_off</f>
        <v>1.24794520547945</v>
      </c>
      <c r="H4809" s="8" t="n">
        <f aca="false">Sens!H4659-base_fy-mid_yr-v_off</f>
        <v>2.24794520547945</v>
      </c>
      <c r="I4809" s="8" t="n">
        <f aca="false">Sens!I4659-base_fy-mid_yr-v_off</f>
        <v>3.24794520547945</v>
      </c>
      <c r="J4809" s="8" t="n">
        <f aca="false">Sens!J4659-base_fy-mid_yr-v_off</f>
        <v>4.24794520547945</v>
      </c>
      <c r="K4809" s="8" t="n">
        <f aca="false">Sens!K4659-base_fy-mid_yr-v_off</f>
        <v>5.24794520547945</v>
      </c>
      <c r="L4809" s="12" t="s">
        <v>1213</v>
      </c>
    </row>
    <row r="4810" customFormat="false" ht="15" hidden="false" customHeight="false" outlineLevel="0" collapsed="false">
      <c r="A4810" s="1" t="s">
        <v>1214</v>
      </c>
      <c r="B4810" s="1" t="s">
        <v>279</v>
      </c>
      <c r="F4810" s="8" t="n">
        <f aca="false">Sens!F4659-base_fy-v_off</f>
        <v>0.747945205479452</v>
      </c>
      <c r="G4810" s="8" t="n">
        <f aca="false">Sens!G4659-base_fy-v_off</f>
        <v>1.74794520547945</v>
      </c>
      <c r="H4810" s="8" t="n">
        <f aca="false">Sens!H4659-base_fy-v_off</f>
        <v>2.74794520547945</v>
      </c>
      <c r="I4810" s="8" t="n">
        <f aca="false">Sens!I4659-base_fy-v_off</f>
        <v>3.74794520547945</v>
      </c>
      <c r="J4810" s="8" t="n">
        <f aca="false">Sens!J4659-base_fy-v_off</f>
        <v>4.74794520547945</v>
      </c>
      <c r="K4810" s="8" t="n">
        <f aca="false">Sens!K4659-base_fy-v_off</f>
        <v>5.74794520547945</v>
      </c>
    </row>
    <row r="4811" customFormat="false" ht="15" hidden="false" customHeight="false" outlineLevel="0" collapsed="false">
      <c r="A4811" s="1" t="s">
        <v>1215</v>
      </c>
      <c r="B4811" s="0" t="s">
        <v>229</v>
      </c>
      <c r="F4811" s="15" t="n">
        <f aca="false">1/(1+wacc)^Sens!F4809</f>
        <v>0.964022703286649</v>
      </c>
      <c r="G4811" s="15" t="n">
        <f aca="false">1/(1+wacc)^Sens!G4809</f>
        <v>0.884910302296739</v>
      </c>
      <c r="H4811" s="15" t="n">
        <f aca="false">1/(1+wacc)^Sens!H4809</f>
        <v>0.802322009770358</v>
      </c>
      <c r="I4811" s="15" t="n">
        <f aca="false">1/(1+wacc)^Sens!I4809</f>
        <v>0.727441646561469</v>
      </c>
      <c r="J4811" s="15" t="n">
        <f aca="false">1/(1+wacc)^Sens!J4809</f>
        <v>0.659549834988973</v>
      </c>
      <c r="K4811" s="15" t="n">
        <f aca="false">1/(1+wacc)^Sens!K4809</f>
        <v>0.597994336576966</v>
      </c>
    </row>
    <row r="4812" customFormat="false" ht="17.15" hidden="false" customHeight="false" outlineLevel="0" collapsed="false">
      <c r="A4812" s="1" t="s">
        <v>1216</v>
      </c>
      <c r="B4812" s="0" t="s">
        <v>98</v>
      </c>
      <c r="F4812" s="6" t="n">
        <f aca="false">Q!$I$35-Q!$I$39-Q!$I$43</f>
        <v>9.666</v>
      </c>
      <c r="L4812" s="12" t="s">
        <v>1217</v>
      </c>
    </row>
    <row r="4813" customFormat="false" ht="17.15" hidden="false" customHeight="false" outlineLevel="0" collapsed="false">
      <c r="A4813" s="1" t="s">
        <v>1218</v>
      </c>
      <c r="B4813" s="0" t="s">
        <v>98</v>
      </c>
      <c r="F4813" s="6" t="n">
        <f aca="false">Sens!F4784-Sens!F4781-Sens!F4788+Sens!F4766*(1-tax_f)*(1-v_off)-Sens!F4812</f>
        <v>-4.22861765243705</v>
      </c>
      <c r="G4813" s="6" t="n">
        <f aca="false">Sens!G4784-Sens!G4781-Sens!G4788+Sens!G4766*(1-tax_f)</f>
        <v>21.9166379113784</v>
      </c>
      <c r="H4813" s="6" t="n">
        <f aca="false">Sens!H4784-Sens!H4781-Sens!H4788+Sens!H4766*(1-tax_f)</f>
        <v>32.2624201023867</v>
      </c>
      <c r="I4813" s="6" t="n">
        <f aca="false">Sens!I4784-Sens!I4781-Sens!I4788+Sens!I4766*(1-tax_f)</f>
        <v>120.733352342196</v>
      </c>
      <c r="J4813" s="6" t="n">
        <f aca="false">Sens!J4784-Sens!J4781-Sens!J4788+Sens!J4766*(1-tax_f)</f>
        <v>169.091937413896</v>
      </c>
      <c r="K4813" s="6" t="n">
        <f aca="false">Sens!K4784-Sens!K4781-Sens!K4788+Sens!K4766*(1-tax_f)</f>
        <v>188.651326898837</v>
      </c>
      <c r="L4813" s="1" t="s">
        <v>1219</v>
      </c>
    </row>
    <row r="4814" customFormat="false" ht="15" hidden="false" customHeight="false" outlineLevel="0" collapsed="false">
      <c r="A4814" s="1" t="s">
        <v>1220</v>
      </c>
      <c r="B4814" s="0" t="s">
        <v>98</v>
      </c>
      <c r="F4814" s="6" t="n">
        <f aca="false">Sens!F4813*Sens!F4811</f>
        <v>-4.07648342046801</v>
      </c>
      <c r="G4814" s="6" t="n">
        <f aca="false">Sens!G4813*Sens!G4811</f>
        <v>19.394258679486</v>
      </c>
      <c r="H4814" s="6" t="n">
        <f aca="false">Sens!H4813*Sens!H4811</f>
        <v>25.8848497366025</v>
      </c>
      <c r="I4814" s="6" t="n">
        <f aca="false">Sens!I4813*Sens!I4811</f>
        <v>87.8264686226927</v>
      </c>
      <c r="J4814" s="6" t="n">
        <f aca="false">Sens!J4813*Sens!J4811</f>
        <v>111.524559419301</v>
      </c>
      <c r="K4814" s="6" t="n">
        <f aca="false">Sens!K4813*Sens!K4811</f>
        <v>112.812425073234</v>
      </c>
    </row>
    <row r="4815" customFormat="false" ht="17.15" hidden="false" customHeight="false" outlineLevel="0" collapsed="false">
      <c r="A4815" s="1" t="s">
        <v>1221</v>
      </c>
      <c r="B4815" s="0" t="s">
        <v>98</v>
      </c>
      <c r="C4815" s="6" t="n">
        <f aca="false">SUM(Sens!F4814:K4814)</f>
        <v>353.366078110849</v>
      </c>
    </row>
    <row r="4816" customFormat="false" ht="17.15" hidden="false" customHeight="false" outlineLevel="0" collapsed="false">
      <c r="A4816" s="1" t="s">
        <v>1222</v>
      </c>
      <c r="B4816" s="0" t="s">
        <v>98</v>
      </c>
      <c r="C4816" s="6" t="n">
        <f aca="false">Sens!K4752*(1+g_tv)*(1-tax_f)</f>
        <v>231.71429348374</v>
      </c>
    </row>
    <row r="4817" customFormat="false" ht="17.15" hidden="false" customHeight="false" outlineLevel="0" collapsed="false">
      <c r="A4817" s="1" t="s">
        <v>1223</v>
      </c>
      <c r="B4817" s="0" t="s">
        <v>98</v>
      </c>
      <c r="C4817" s="6" t="n">
        <f aca="false">Sens!$C$4816*(1-g_tv/(wacc+ronic_prem))</f>
        <v>164.183119771313</v>
      </c>
    </row>
    <row r="4818" customFormat="false" ht="17.15" hidden="false" customHeight="false" outlineLevel="0" collapsed="false">
      <c r="A4818" s="1" t="s">
        <v>1224</v>
      </c>
      <c r="B4818" s="0" t="s">
        <v>98</v>
      </c>
      <c r="C4818" s="6" t="n">
        <f aca="false">Sens!$C$4817/(wacc-g_tv)</f>
        <v>2251.03912374758</v>
      </c>
    </row>
    <row r="4819" customFormat="false" ht="15" hidden="false" customHeight="false" outlineLevel="0" collapsed="false">
      <c r="A4819" s="1" t="s">
        <v>1225</v>
      </c>
      <c r="B4819" s="0" t="s">
        <v>98</v>
      </c>
      <c r="C4819" s="6" t="n">
        <f aca="false">Sens!$C$4818/(1+wacc)^Sens!K4810</f>
        <v>1281.75447281739</v>
      </c>
    </row>
    <row r="4820" customFormat="false" ht="17.15" hidden="false" customHeight="false" outlineLevel="0" collapsed="false">
      <c r="A4820" s="0" t="s">
        <v>1226</v>
      </c>
      <c r="B4820" s="0" t="s">
        <v>98</v>
      </c>
      <c r="C4820" s="6" t="n">
        <f aca="false">Sens!$C$4815+Sens!$C$4819</f>
        <v>1635.12055092824</v>
      </c>
    </row>
    <row r="4821" customFormat="false" ht="15" hidden="false" customHeight="false" outlineLevel="0" collapsed="false">
      <c r="A4821" s="1" t="s">
        <v>1141</v>
      </c>
      <c r="B4821" s="0" t="s">
        <v>168</v>
      </c>
      <c r="C4821" s="7" t="n">
        <f aca="false">Sens!$C$4819/Sens!$C$4820</f>
        <v>0.783889892454568</v>
      </c>
    </row>
    <row r="4822" customFormat="false" ht="17.15" hidden="false" customHeight="false" outlineLevel="0" collapsed="false">
      <c r="A4822" s="1" t="s">
        <v>1227</v>
      </c>
      <c r="B4822" s="0" t="s">
        <v>98</v>
      </c>
      <c r="C4822" s="6" t="n">
        <f aca="false">Sens!$C$4820+cash_val-debt_val-fl_val+oai_v</f>
        <v>1750.97155092824</v>
      </c>
    </row>
    <row r="4823" customFormat="false" ht="17.15" hidden="false" customHeight="false" outlineLevel="0" collapsed="false">
      <c r="A4823" s="0" t="s">
        <v>1149</v>
      </c>
      <c r="B4823" s="0" t="s">
        <v>75</v>
      </c>
      <c r="C4823" s="5" t="n">
        <f aca="false">Sens!$C$4822/shd_val</f>
        <v>235.155996632856</v>
      </c>
    </row>
    <row r="4824" customFormat="false" ht="15" hidden="false" customHeight="false" outlineLevel="0" collapsed="false">
      <c r="A4824" s="1" t="s">
        <v>1228</v>
      </c>
      <c r="B4824" s="0" t="s">
        <v>75</v>
      </c>
      <c r="C4824" s="8" t="n">
        <f aca="false">div_rem27+Sens!G4792*roll_div_q/q_per_yr</f>
        <v>3.9795</v>
      </c>
    </row>
    <row r="4825" customFormat="false" ht="17.15" hidden="false" customHeight="false" outlineLevel="0" collapsed="false">
      <c r="A4825" s="0" t="s">
        <v>1229</v>
      </c>
      <c r="B4825" s="0" t="s">
        <v>75</v>
      </c>
      <c r="C4825" s="5" t="n">
        <f aca="false">Sens!$C$4823*(1+wacc)^t_roll-Sens!$C$4824</f>
        <v>257.409514488505</v>
      </c>
    </row>
    <row r="4826" customFormat="false" ht="17.15" hidden="false" customHeight="false" outlineLevel="0" collapsed="false">
      <c r="A4826" s="1" t="s">
        <v>1230</v>
      </c>
      <c r="B4826" s="0" t="s">
        <v>168</v>
      </c>
      <c r="F4826" s="7" t="n">
        <f aca="false">Sens!F4778/(Sens!F4723-Sens!F4678)</f>
        <v>0.060784602984726</v>
      </c>
      <c r="G4826" s="7" t="n">
        <f aca="false">Sens!G4778/(Sens!G4723-Sens!G4678)</f>
        <v>0.0599303362581347</v>
      </c>
      <c r="H4826" s="7" t="n">
        <f aca="false">Sens!H4778/(Sens!H4723-Sens!H4678)</f>
        <v>0.0599306287494243</v>
      </c>
      <c r="I4826" s="7" t="n">
        <f aca="false">Sens!I4778/(Sens!I4723-Sens!I4678)</f>
        <v>0.0607140314681607</v>
      </c>
      <c r="J4826" s="7" t="n">
        <f aca="false">Sens!J4778/(Sens!J4723-Sens!J4678)</f>
        <v>0.062134426543637</v>
      </c>
      <c r="K4826" s="7" t="n">
        <f aca="false">Sens!K4778/(Sens!K4723-Sens!K4678)</f>
        <v>0.0640112433626707</v>
      </c>
    </row>
    <row r="4827" customFormat="false" ht="17.15" hidden="false" customHeight="false" outlineLevel="0" collapsed="false">
      <c r="A4827" s="0" t="s">
        <v>1231</v>
      </c>
      <c r="B4827" s="0" t="s">
        <v>98</v>
      </c>
      <c r="F4827" s="6" t="n">
        <f aca="false">Sens!F4708*(al_m365+Sens!F4826+sbc_r)</f>
        <v>81.9916056393623</v>
      </c>
      <c r="G4827" s="6" t="n">
        <f aca="false">Sens!G4708*(al_m365+Sens!G4826+sbc_r)</f>
        <v>92.4604582866569</v>
      </c>
      <c r="H4827" s="6" t="n">
        <f aca="false">Sens!H4708*(al_m365+Sens!H4826+sbc_r)</f>
        <v>103.086470689427</v>
      </c>
      <c r="I4827" s="6" t="n">
        <f aca="false">Sens!I4708*(al_m365+Sens!I4826+sbc_r)</f>
        <v>113.193340518253</v>
      </c>
      <c r="J4827" s="6" t="n">
        <f aca="false">Sens!J4708*(al_m365+Sens!J4826+sbc_r)</f>
        <v>122.589886225279</v>
      </c>
      <c r="K4827" s="6" t="n">
        <f aca="false">Sens!K4708*(al_m365+Sens!K4826+sbc_r)</f>
        <v>131.580977899848</v>
      </c>
      <c r="L4827" s="12" t="s">
        <v>1232</v>
      </c>
    </row>
    <row r="4828" customFormat="false" ht="17.15" hidden="false" customHeight="false" outlineLevel="0" collapsed="false">
      <c r="A4828" s="0" t="s">
        <v>1233</v>
      </c>
      <c r="B4828" s="0" t="s">
        <v>98</v>
      </c>
      <c r="F4828" s="6" t="n">
        <f aca="false">Sens!F4709*(al_lic+Sens!F4826+sbc_r)</f>
        <v>32.5570195023174</v>
      </c>
      <c r="G4828" s="6" t="n">
        <f aca="false">Sens!G4709*(al_lic+Sens!G4826+sbc_r)</f>
        <v>33.9014436159569</v>
      </c>
      <c r="H4828" s="6" t="n">
        <f aca="false">Sens!H4709*(al_lic+Sens!H4826+sbc_r)</f>
        <v>35.1476123144978</v>
      </c>
      <c r="I4828" s="6" t="n">
        <f aca="false">Sens!I4709*(al_lic+Sens!I4826+sbc_r)</f>
        <v>36.2767482432652</v>
      </c>
      <c r="J4828" s="6" t="n">
        <f aca="false">Sens!J4709*(al_lic+Sens!J4826+sbc_r)</f>
        <v>37.2672386665081</v>
      </c>
      <c r="K4828" s="6" t="n">
        <f aca="false">Sens!K4709*(al_lic+Sens!K4826+sbc_r)</f>
        <v>38.0965636955249</v>
      </c>
    </row>
    <row r="4829" customFormat="false" ht="17.15" hidden="false" customHeight="false" outlineLevel="0" collapsed="false">
      <c r="A4829" s="0" t="s">
        <v>1234</v>
      </c>
      <c r="B4829" s="0" t="s">
        <v>98</v>
      </c>
      <c r="F4829" s="6" t="n">
        <f aca="false">Sens!F4711*(al_ind+Sens!F4826+sbc_r)</f>
        <v>8.88557054834426</v>
      </c>
      <c r="G4829" s="6" t="n">
        <f aca="false">Sens!G4711*(al_ind+Sens!G4826+sbc_r)</f>
        <v>9.69219047536486</v>
      </c>
      <c r="H4829" s="6" t="n">
        <f aca="false">Sens!H4711*(al_ind+Sens!H4826+sbc_r)</f>
        <v>10.5387426838158</v>
      </c>
      <c r="I4829" s="6" t="n">
        <f aca="false">Sens!I4711*(al_ind+Sens!I4826+sbc_r)</f>
        <v>11.4207778367684</v>
      </c>
      <c r="J4829" s="6" t="n">
        <f aca="false">Sens!J4711*(al_ind+Sens!J4826+sbc_r)</f>
        <v>12.3300925273805</v>
      </c>
      <c r="K4829" s="6" t="n">
        <f aca="false">Sens!K4711*(al_ind+Sens!K4826+sbc_r)</f>
        <v>13.2551768850942</v>
      </c>
    </row>
    <row r="4830" customFormat="false" ht="17.15" hidden="false" customHeight="false" outlineLevel="0" collapsed="false">
      <c r="A4830" s="0" t="s">
        <v>1235</v>
      </c>
      <c r="B4830" s="0" t="s">
        <v>98</v>
      </c>
      <c r="F4830" s="6" t="n">
        <f aca="false">Sens!F4713*(al_fro+Sens!F4826+sbc_r)</f>
        <v>3.48544441511451</v>
      </c>
      <c r="G4830" s="6" t="n">
        <f aca="false">Sens!G4713*(al_fro+Sens!G4826+sbc_r)</f>
        <v>3.70851613432164</v>
      </c>
      <c r="H4830" s="6" t="n">
        <f aca="false">Sens!H4713*(al_fro+Sens!H4826+sbc_r)</f>
        <v>3.95779250356847</v>
      </c>
      <c r="I4830" s="6" t="n">
        <f aca="false">Sens!I4713*(al_fro+Sens!I4826+sbc_r)</f>
        <v>4.23582918626438</v>
      </c>
      <c r="J4830" s="6" t="n">
        <f aca="false">Sens!J4713*(al_fro+Sens!J4826+sbc_r)</f>
        <v>4.5445642796272</v>
      </c>
      <c r="K4830" s="6" t="n">
        <f aca="false">Sens!K4713*(al_fro+Sens!K4826+sbc_r)</f>
        <v>4.88552727875895</v>
      </c>
    </row>
    <row r="4831" customFormat="false" ht="17.15" hidden="false" customHeight="false" outlineLevel="0" collapsed="false">
      <c r="A4831" s="0" t="s">
        <v>1236</v>
      </c>
      <c r="B4831" s="0" t="s">
        <v>98</v>
      </c>
      <c r="F4831" s="6" t="n">
        <f aca="false">Sens!F4716*(al_srch+Sens!F4826+sbc_r)</f>
        <v>10.9731650438842</v>
      </c>
      <c r="G4831" s="6" t="n">
        <f aca="false">Sens!G4716*(al_srch+Sens!G4826+sbc_r)</f>
        <v>12.0822288818113</v>
      </c>
      <c r="H4831" s="6" t="n">
        <f aca="false">Sens!H4716*(al_srch+Sens!H4826+sbc_r)</f>
        <v>13.2309985900664</v>
      </c>
      <c r="I4831" s="6" t="n">
        <f aca="false">Sens!I4716*(al_srch+Sens!I4826+sbc_r)</f>
        <v>14.4067279679412</v>
      </c>
      <c r="J4831" s="6" t="n">
        <f aca="false">Sens!J4716*(al_srch+Sens!J4826+sbc_r)</f>
        <v>15.5910624780227</v>
      </c>
      <c r="K4831" s="6" t="n">
        <f aca="false">Sens!K4716*(al_srch+Sens!K4826+sbc_r)</f>
        <v>16.7608061751221</v>
      </c>
    </row>
    <row r="4832" customFormat="false" ht="17.15" hidden="false" customHeight="false" outlineLevel="0" collapsed="false">
      <c r="A4832" s="0" t="s">
        <v>1237</v>
      </c>
      <c r="B4832" s="0" t="s">
        <v>98</v>
      </c>
      <c r="F4832" s="6" t="n">
        <f aca="false">Sens!F4684-Sens!F4685+Sens!F4766</f>
        <v>38.9038399987411</v>
      </c>
      <c r="G4832" s="6" t="n">
        <f aca="false">Sens!G4684-Sens!G4685+Sens!G4766</f>
        <v>69.36209304198</v>
      </c>
      <c r="H4832" s="6" t="n">
        <f aca="false">Sens!H4684-Sens!H4685+Sens!H4766</f>
        <v>97.6833355590783</v>
      </c>
      <c r="I4832" s="6" t="n">
        <f aca="false">Sens!I4684-Sens!I4685+Sens!I4766</f>
        <v>129.132419858492</v>
      </c>
      <c r="J4832" s="6" t="n">
        <f aca="false">Sens!J4684-Sens!J4685+Sens!J4766</f>
        <v>152.543929973592</v>
      </c>
      <c r="K4832" s="6" t="n">
        <f aca="false">Sens!K4684-Sens!K4685+Sens!K4766</f>
        <v>168.584449613126</v>
      </c>
    </row>
    <row r="4833" customFormat="false" ht="17.15" hidden="false" customHeight="false" outlineLevel="0" collapsed="false">
      <c r="A4833" s="0" t="s">
        <v>1238</v>
      </c>
      <c r="B4833" s="0" t="s">
        <v>98</v>
      </c>
      <c r="F4833" s="6" t="n">
        <f aca="false">Sens!F4745+Sens!F4766+Sens!F4696+Sens!F4826*(Sens!F4715-Sens!F4678)+sbc_r*Sens!F4715</f>
        <v>236.707626824765</v>
      </c>
      <c r="G4833" s="6" t="n">
        <f aca="false">Sens!G4745+Sens!G4766+Sens!G4696+Sens!G4826*(Sens!G4715-Sens!G4678)+sbc_r*Sens!G4715</f>
        <v>287.339137752612</v>
      </c>
      <c r="H4833" s="6" t="n">
        <f aca="false">Sens!H4745+Sens!H4766+Sens!H4696+Sens!H4826*(Sens!H4715-Sens!H4678)+sbc_r*Sens!H4715</f>
        <v>341.742780346475</v>
      </c>
      <c r="I4833" s="6" t="n">
        <f aca="false">Sens!I4745+Sens!I4766+Sens!I4696+Sens!I4826*(Sens!I4715-Sens!I4678)+sbc_r*Sens!I4715</f>
        <v>398.611813946281</v>
      </c>
      <c r="J4833" s="6" t="n">
        <f aca="false">Sens!J4745+Sens!J4766+Sens!J4696+Sens!J4826*(Sens!J4715-Sens!J4678)+sbc_r*Sens!J4715</f>
        <v>445.502121961627</v>
      </c>
      <c r="K4833" s="6" t="n">
        <f aca="false">Sens!K4745+Sens!K4766+Sens!K4696+Sens!K4826*(Sens!K4715-Sens!K4678)+sbc_r*Sens!K4715</f>
        <v>482.644994758054</v>
      </c>
    </row>
    <row r="4834" customFormat="false" ht="17.15" hidden="false" customHeight="false" outlineLevel="0" collapsed="false">
      <c r="A4834" s="0" t="s">
        <v>1239</v>
      </c>
      <c r="B4834" s="0" t="s">
        <v>98</v>
      </c>
      <c r="F4834" s="6" t="n">
        <f aca="false">Sens!F4833-Sens!F4827-Sens!F4828-Sens!F4829-Sens!F4830-Sens!F4832</f>
        <v>70.8841467208856</v>
      </c>
      <c r="G4834" s="6" t="n">
        <f aca="false">Sens!G4833-Sens!G4827-Sens!G4828-Sens!G4829-Sens!G4830-Sens!G4832</f>
        <v>78.2144361983317</v>
      </c>
      <c r="H4834" s="6" t="n">
        <f aca="false">Sens!H4833-Sens!H4827-Sens!H4828-Sens!H4829-Sens!H4830-Sens!H4832</f>
        <v>91.3288265960866</v>
      </c>
      <c r="I4834" s="6" t="n">
        <f aca="false">Sens!I4833-Sens!I4827-Sens!I4828-Sens!I4829-Sens!I4830-Sens!I4832</f>
        <v>104.352698303238</v>
      </c>
      <c r="J4834" s="6" t="n">
        <f aca="false">Sens!J4833-Sens!J4827-Sens!J4828-Sens!J4829-Sens!J4830-Sens!J4832</f>
        <v>116.22641028924</v>
      </c>
      <c r="K4834" s="6" t="n">
        <f aca="false">Sens!K4833-Sens!K4827-Sens!K4828-Sens!K4829-Sens!K4830-Sens!K4832</f>
        <v>126.242299385702</v>
      </c>
    </row>
    <row r="4835" customFormat="false" ht="17.15" hidden="false" customHeight="false" outlineLevel="0" collapsed="false">
      <c r="A4835" s="0" t="s">
        <v>1240</v>
      </c>
      <c r="B4835" s="0" t="s">
        <v>98</v>
      </c>
      <c r="F4835" s="6" t="n">
        <f aca="false">Sens!F4747+Sens!F4826*Sens!F4722+sbc_r*Sens!F4722</f>
        <v>26.1298287015303</v>
      </c>
      <c r="G4835" s="6" t="n">
        <f aca="false">Sens!G4747+Sens!G4826*Sens!G4722+sbc_r*Sens!G4722</f>
        <v>26.0808592894196</v>
      </c>
      <c r="H4835" s="6" t="n">
        <f aca="false">Sens!H4747+Sens!H4826*Sens!H4722+sbc_r*Sens!H4722</f>
        <v>27.0404019636373</v>
      </c>
      <c r="I4835" s="6" t="n">
        <f aca="false">Sens!I4747+Sens!I4826*Sens!I4722+sbc_r*Sens!I4722</f>
        <v>28.210377048751</v>
      </c>
      <c r="J4835" s="6" t="n">
        <f aca="false">Sens!J4747+Sens!J4826*Sens!J4722+sbc_r*Sens!J4722</f>
        <v>29.5634375699777</v>
      </c>
      <c r="K4835" s="6" t="n">
        <f aca="false">Sens!K4747+Sens!K4826*Sens!K4722+sbc_r*Sens!K4722</f>
        <v>31.0735379881567</v>
      </c>
    </row>
    <row r="4836" customFormat="false" ht="17.15" hidden="false" customHeight="false" outlineLevel="0" collapsed="false">
      <c r="A4836" s="0" t="s">
        <v>1241</v>
      </c>
      <c r="B4836" s="0" t="s">
        <v>98</v>
      </c>
      <c r="F4836" s="6" t="n">
        <f aca="false">(Sens!F4835-Sens!F4831)*Sens!F4718/(Sens!F4718+Sens!F4720)</f>
        <v>8.5602641427009</v>
      </c>
      <c r="G4836" s="6" t="n">
        <f aca="false">(Sens!G4835-Sens!G4831)*Sens!G4718/(Sens!G4718+Sens!G4720)</f>
        <v>7.77034509796184</v>
      </c>
      <c r="H4836" s="6" t="n">
        <f aca="false">(Sens!H4835-Sens!H4831)*Sens!H4718/(Sens!H4718+Sens!H4720)</f>
        <v>7.5654528715966</v>
      </c>
      <c r="I4836" s="6" t="n">
        <f aca="false">(Sens!I4835-Sens!I4831)*Sens!I4718/(Sens!I4718+Sens!I4720)</f>
        <v>7.49629320341332</v>
      </c>
      <c r="J4836" s="6" t="n">
        <f aca="false">(Sens!J4835-Sens!J4831)*Sens!J4718/(Sens!J4718+Sens!J4720)</f>
        <v>7.5548168249613</v>
      </c>
      <c r="K4836" s="6" t="n">
        <f aca="false">(Sens!K4835-Sens!K4831)*Sens!K4718/(Sens!K4718+Sens!K4720)</f>
        <v>7.73884657408972</v>
      </c>
    </row>
    <row r="4837" customFormat="false" ht="17.15" hidden="false" customHeight="false" outlineLevel="0" collapsed="false">
      <c r="A4837" s="0" t="s">
        <v>1242</v>
      </c>
      <c r="B4837" s="0" t="s">
        <v>98</v>
      </c>
      <c r="F4837" s="6" t="n">
        <f aca="false">Sens!F4835-Sens!F4831-Sens!F4836</f>
        <v>6.59639951494523</v>
      </c>
      <c r="G4837" s="6" t="n">
        <f aca="false">Sens!G4835-Sens!G4831-Sens!G4836</f>
        <v>6.22828530964649</v>
      </c>
      <c r="H4837" s="6" t="n">
        <f aca="false">Sens!H4835-Sens!H4831-Sens!H4836</f>
        <v>6.24395050197426</v>
      </c>
      <c r="I4837" s="6" t="n">
        <f aca="false">Sens!I4835-Sens!I4831-Sens!I4836</f>
        <v>6.30735587739647</v>
      </c>
      <c r="J4837" s="6" t="n">
        <f aca="false">Sens!J4835-Sens!J4831-Sens!J4836</f>
        <v>6.4175582669937</v>
      </c>
      <c r="K4837" s="6" t="n">
        <f aca="false">Sens!K4835-Sens!K4831-Sens!K4836</f>
        <v>6.57388523894485</v>
      </c>
    </row>
    <row r="4838" customFormat="false" ht="17.15" hidden="false" customHeight="false" outlineLevel="0" collapsed="false">
      <c r="A4838" s="0" t="s">
        <v>1243</v>
      </c>
      <c r="B4838" s="0" t="s">
        <v>98</v>
      </c>
      <c r="F4838" s="6" t="n">
        <f aca="false">Sens!F4832-tax_f*(Sens!F4832-Sens!F4696)-Sens!F4693</f>
        <v>-129.132149748039</v>
      </c>
      <c r="G4838" s="6" t="n">
        <f aca="false">Sens!G4832-tax_f*(Sens!G4832-Sens!G4696)-Sens!G4693</f>
        <v>-122.045357018063</v>
      </c>
      <c r="H4838" s="6" t="n">
        <f aca="false">Sens!H4832-tax_f*(Sens!H4832-Sens!H4696)-Sens!H4693</f>
        <v>-126.539435373721</v>
      </c>
      <c r="I4838" s="6" t="n">
        <f aca="false">Sens!I4832-tax_f*(Sens!I4832-Sens!I4696)-Sens!I4693</f>
        <v>-52.7336132996634</v>
      </c>
      <c r="J4838" s="6" t="n">
        <f aca="false">Sens!J4832-tax_f*(Sens!J4832-Sens!J4696)-Sens!J4693</f>
        <v>-18.3910958479432</v>
      </c>
      <c r="K4838" s="6" t="n">
        <f aca="false">Sens!K4832-tax_f*(Sens!K4832-Sens!K4696)-Sens!K4693</f>
        <v>-11.9788659398164</v>
      </c>
    </row>
    <row r="4839" customFormat="false" ht="17.15" hidden="false" customHeight="false" outlineLevel="0" collapsed="false">
      <c r="A4839" s="0" t="s">
        <v>1244</v>
      </c>
      <c r="B4839" s="0" t="s">
        <v>98</v>
      </c>
      <c r="G4839" s="6" t="n">
        <f aca="false">Sens!G4838/(1+wacc)^(Sens!G4809-Sens!F4810)</f>
        <v>-116.210665866379</v>
      </c>
      <c r="H4839" s="6" t="n">
        <f aca="false">Sens!H4838/(1+wacc)^(Sens!H4809-Sens!F4810)</f>
        <v>-109.244624101658</v>
      </c>
      <c r="I4839" s="6" t="n">
        <f aca="false">Sens!I4838/(1+wacc)^(Sens!I4809-Sens!F4810)</f>
        <v>-41.2772891303542</v>
      </c>
      <c r="J4839" s="6" t="n">
        <f aca="false">Sens!J4838/(1+wacc)^(Sens!J4809-Sens!F4810)</f>
        <v>-13.0521092407056</v>
      </c>
      <c r="K4839" s="6" t="n">
        <f aca="false">Sens!K4838/(1+wacc)^(Sens!K4809-Sens!F4810)</f>
        <v>-7.70793869256698</v>
      </c>
      <c r="L4839" s="1" t="s">
        <v>1245</v>
      </c>
    </row>
    <row r="4840" customFormat="false" ht="17.15" hidden="false" customHeight="false" outlineLevel="0" collapsed="false">
      <c r="A4840" s="0" t="s">
        <v>1246</v>
      </c>
      <c r="B4840" s="0" t="s">
        <v>98</v>
      </c>
      <c r="C4840" s="6" t="n">
        <f aca="false">(Sens!K4832-Sens!K4696)*(1-tax_f)*(1+g_tv)*(1-g_tv/(wacc+ronic_prem))/(wacc-g_tv)/(1+wacc)^(Sens!K4810-Sens!F4810)</f>
        <v>-22.5291522394153</v>
      </c>
    </row>
    <row r="4841" customFormat="false" ht="17.15" hidden="false" customHeight="false" outlineLevel="0" collapsed="false">
      <c r="A4841" s="1" t="s">
        <v>1247</v>
      </c>
      <c r="B4841" s="0" t="s">
        <v>98</v>
      </c>
      <c r="C4841" s="6" t="n">
        <f aca="false">(SUM(Sens!G4839:K4839)+Sens!$C$4840)*(1+wacc)^(t_roll-Sens!F4810)</f>
        <v>-320.256535780269</v>
      </c>
      <c r="L4841" s="12" t="s">
        <v>1248</v>
      </c>
    </row>
    <row r="4842" customFormat="false" ht="17.15" hidden="false" customHeight="false" outlineLevel="0" collapsed="false">
      <c r="A4842" s="1" t="s">
        <v>1249</v>
      </c>
      <c r="B4842" s="0" t="s">
        <v>98</v>
      </c>
      <c r="C4842" s="6" t="n">
        <f aca="false">(w_ntm28*Sens!G4684+(1-w_ntm28)*Sens!H4684)*m_ai</f>
        <v>345.673197559002</v>
      </c>
    </row>
    <row r="4843" customFormat="false" ht="17.15" hidden="false" customHeight="false" outlineLevel="0" collapsed="false">
      <c r="A4843" s="1" t="s">
        <v>1250</v>
      </c>
      <c r="B4843" s="0" t="s">
        <v>98</v>
      </c>
      <c r="C4843" s="6" t="n">
        <f aca="false">(w_ntm28*Sens!G4834+(1-w_ntm28)*Sens!H4834)*m_cloud</f>
        <v>1140.50954945447</v>
      </c>
    </row>
    <row r="4844" customFormat="false" ht="17.15" hidden="false" customHeight="false" outlineLevel="0" collapsed="false">
      <c r="A4844" s="1" t="s">
        <v>1251</v>
      </c>
      <c r="B4844" s="0" t="s">
        <v>98</v>
      </c>
      <c r="C4844" s="6" t="n">
        <f aca="false">(w_ntm28*Sens!G4827+(1-w_ntm28)*Sens!H4827)*m_sw</f>
        <v>1036.30257161642</v>
      </c>
    </row>
    <row r="4845" customFormat="false" ht="17.15" hidden="false" customHeight="false" outlineLevel="0" collapsed="false">
      <c r="A4845" s="1" t="s">
        <v>1252</v>
      </c>
      <c r="B4845" s="0" t="s">
        <v>98</v>
      </c>
      <c r="C4845" s="6" t="n">
        <f aca="false">(w_ntm28*Sens!G4828+(1-w_ntm28)*Sens!H4828)*m_sw</f>
        <v>370.560343472359</v>
      </c>
    </row>
    <row r="4846" customFormat="false" ht="17.15" hidden="false" customHeight="false" outlineLevel="0" collapsed="false">
      <c r="A4846" s="1" t="s">
        <v>1253</v>
      </c>
      <c r="B4846" s="0" t="s">
        <v>98</v>
      </c>
      <c r="C4846" s="6" t="n">
        <f aca="false">(w_ntm28*Sens!G4829+(1-w_ntm28)*Sens!H4829)*m_sw</f>
        <v>107.681497304221</v>
      </c>
    </row>
    <row r="4847" customFormat="false" ht="17.15" hidden="false" customHeight="false" outlineLevel="0" collapsed="false">
      <c r="A4847" s="1" t="s">
        <v>1254</v>
      </c>
      <c r="B4847" s="0" t="s">
        <v>98</v>
      </c>
      <c r="C4847" s="6" t="n">
        <f aca="false">(w_ntm28*Sens!G4830+(1-w_ntm28)*Sens!H4830)*m_sw</f>
        <v>40.9370760987391</v>
      </c>
    </row>
    <row r="4848" customFormat="false" ht="17.15" hidden="false" customHeight="false" outlineLevel="0" collapsed="false">
      <c r="A4848" s="1" t="s">
        <v>1255</v>
      </c>
      <c r="B4848" s="0" t="s">
        <v>98</v>
      </c>
      <c r="C4848" s="6" t="n">
        <f aca="false">(w_ntm28*Sens!G4831+(1-w_ntm28)*Sens!H4831)*m_ads</f>
        <v>113.509749072382</v>
      </c>
    </row>
    <row r="4849" customFormat="false" ht="17.15" hidden="false" customHeight="false" outlineLevel="0" collapsed="false">
      <c r="A4849" s="1" t="s">
        <v>1256</v>
      </c>
      <c r="B4849" s="0" t="s">
        <v>98</v>
      </c>
      <c r="C4849" s="6" t="n">
        <f aca="false">(w_ntm28*Sens!G4836+(1-w_ntm28)*Sens!H4836)*m_game</f>
        <v>97.2886787015617</v>
      </c>
    </row>
    <row r="4850" customFormat="false" ht="17.15" hidden="false" customHeight="false" outlineLevel="0" collapsed="false">
      <c r="A4850" s="1" t="s">
        <v>1257</v>
      </c>
      <c r="B4850" s="0" t="s">
        <v>98</v>
      </c>
      <c r="C4850" s="6" t="n">
        <f aca="false">(w_ntm28*Sens!G4837+(1-w_ntm28)*Sens!H4837)*m_pc</f>
        <v>90.1978118277298</v>
      </c>
    </row>
    <row r="4851" customFormat="false" ht="17.15" hidden="false" customHeight="false" outlineLevel="0" collapsed="false">
      <c r="A4851" s="1" t="s">
        <v>1258</v>
      </c>
      <c r="B4851" s="0" t="s">
        <v>98</v>
      </c>
      <c r="C4851" s="6" t="n">
        <f aca="false">Sens!$C$4841+Sens!$C$4843+Sens!$C$4844+Sens!$C$4845+Sens!$C$4846+Sens!$C$4847+Sens!$C$4848+Sens!$C$4849+Sens!$C$4850</f>
        <v>2676.73074176761</v>
      </c>
    </row>
    <row r="4852" customFormat="false" ht="17.15" hidden="false" customHeight="false" outlineLevel="0" collapsed="false">
      <c r="A4852" s="1" t="s">
        <v>1259</v>
      </c>
      <c r="B4852" s="0" t="s">
        <v>98</v>
      </c>
      <c r="C4852" s="6" t="n">
        <f aca="false">(Sens!G4813-Sens!G4838)*t_stub</f>
        <v>47.7243873601711</v>
      </c>
      <c r="L4852" s="1" t="s">
        <v>1260</v>
      </c>
    </row>
    <row r="4853" customFormat="false" ht="17.15" hidden="false" customHeight="false" outlineLevel="0" collapsed="false">
      <c r="A4853" s="1" t="s">
        <v>1169</v>
      </c>
      <c r="B4853" s="0" t="s">
        <v>98</v>
      </c>
      <c r="C4853" s="6" t="n">
        <f aca="false">Sens!F4800+oai_v-Sens!F4789+Sens!$C$4852</f>
        <v>160.709323337259</v>
      </c>
      <c r="L4853" s="1" t="s">
        <v>1261</v>
      </c>
    </row>
    <row r="4854" customFormat="false" ht="17.15" hidden="false" customHeight="false" outlineLevel="0" collapsed="false">
      <c r="A4854" s="1" t="s">
        <v>1262</v>
      </c>
      <c r="B4854" s="0" t="s">
        <v>75</v>
      </c>
      <c r="C4854" s="5" t="n">
        <f aca="false">(Sens!$C$4851+Sens!$C$4853)/(Sens!F4802+dil_gap)-Sens!G4792*roll_div_q/q_per_yr</f>
        <v>377.487723199689</v>
      </c>
      <c r="L4854" s="1" t="s">
        <v>1263</v>
      </c>
    </row>
    <row r="4855" customFormat="false" ht="17.15" hidden="false" customHeight="false" outlineLevel="0" collapsed="false">
      <c r="A4855" s="1" t="s">
        <v>1264</v>
      </c>
      <c r="B4855" s="0" t="s">
        <v>75</v>
      </c>
      <c r="C4855" s="5" t="n">
        <f aca="false">w_dcf*Sens!$C$4825+(1-w_dcf)*Sens!$C$4854</f>
        <v>317.448618844097</v>
      </c>
    </row>
    <row r="4856" customFormat="false" ht="17.15" hidden="false" customHeight="false" outlineLevel="0" collapsed="false">
      <c r="A4856" s="3" t="s">
        <v>1600</v>
      </c>
    </row>
    <row r="4857" customFormat="false" ht="15" hidden="false" customHeight="false" outlineLevel="0" collapsed="false">
      <c r="A4857" s="4" t="s">
        <v>43</v>
      </c>
      <c r="B4857" s="4" t="s">
        <v>65</v>
      </c>
      <c r="C4857" s="23" t="s">
        <v>938</v>
      </c>
      <c r="D4857" s="23" t="s">
        <v>939</v>
      </c>
      <c r="E4857" s="23" t="s">
        <v>940</v>
      </c>
      <c r="F4857" s="23" t="s">
        <v>941</v>
      </c>
      <c r="G4857" s="23" t="s">
        <v>942</v>
      </c>
      <c r="H4857" s="23" t="s">
        <v>943</v>
      </c>
      <c r="I4857" s="23" t="s">
        <v>944</v>
      </c>
      <c r="J4857" s="23" t="s">
        <v>945</v>
      </c>
      <c r="K4857" s="23" t="s">
        <v>946</v>
      </c>
      <c r="L4857" s="4" t="s">
        <v>47</v>
      </c>
    </row>
    <row r="4858" customFormat="false" ht="17.15" hidden="false" customHeight="false" outlineLevel="0" collapsed="false">
      <c r="A4858" s="1" t="s">
        <v>947</v>
      </c>
      <c r="B4858" s="1" t="s">
        <v>279</v>
      </c>
      <c r="C4858" s="21" t="n">
        <v>2024</v>
      </c>
      <c r="D4858" s="21" t="n">
        <v>2025</v>
      </c>
      <c r="E4858" s="21" t="n">
        <v>2026</v>
      </c>
      <c r="F4858" s="21" t="n">
        <v>2027</v>
      </c>
      <c r="G4858" s="21" t="n">
        <v>2028</v>
      </c>
      <c r="H4858" s="21" t="n">
        <v>2029</v>
      </c>
      <c r="I4858" s="21" t="n">
        <v>2030</v>
      </c>
      <c r="J4858" s="21" t="n">
        <v>2031</v>
      </c>
      <c r="K4858" s="21" t="n">
        <v>2032</v>
      </c>
    </row>
    <row r="4859" customFormat="false" ht="17.15" hidden="false" customHeight="false" outlineLevel="0" collapsed="false">
      <c r="A4859" s="1" t="s">
        <v>948</v>
      </c>
      <c r="B4859" s="0" t="s">
        <v>456</v>
      </c>
      <c r="F4859" s="30" t="n">
        <f aca="false">pace</f>
        <v>2726.5351</v>
      </c>
      <c r="G4859" s="30" t="n">
        <f aca="false">pace</f>
        <v>2726.5351</v>
      </c>
      <c r="H4859" s="30" t="n">
        <f aca="false">pace</f>
        <v>2726.5351</v>
      </c>
      <c r="I4859" s="30" t="n">
        <f aca="false">pace+(g_tv*Sens!H4860-pace)*MIN(1,(Sens!I4858-pace_y0)/(pace_y1-pace_y0))</f>
        <v>1931.98611966667</v>
      </c>
      <c r="J4859" s="30" t="n">
        <f aca="false">pace+(g_tv*Sens!I4860-pace)*MIN(1,(Sens!J4858-pace_y0)/(pace_y1-pace_y0))</f>
        <v>1176.07686172667</v>
      </c>
      <c r="K4859" s="30" t="n">
        <f aca="false">pace+(g_tv*Sens!J4860-pace)*MIN(1,(Sens!K4858-pace_y0)/(pace_y1-pace_y0))</f>
        <v>436.1300484418</v>
      </c>
      <c r="L4859" s="12" t="s">
        <v>949</v>
      </c>
    </row>
    <row r="4860" customFormat="false" ht="17.15" hidden="false" customHeight="false" outlineLevel="0" collapsed="false">
      <c r="A4860" s="1" t="s">
        <v>950</v>
      </c>
      <c r="B4860" s="0" t="s">
        <v>456</v>
      </c>
      <c r="C4860" s="30" t="n">
        <f aca="false">mw_ext_24</f>
        <v>640</v>
      </c>
      <c r="D4860" s="30" t="n">
        <f aca="false">mw_ext_25</f>
        <v>1630</v>
      </c>
      <c r="E4860" s="30" t="n">
        <f aca="false">mw_ext_26</f>
        <v>3250</v>
      </c>
      <c r="F4860" s="30" t="n">
        <f aca="false">Sens!E4860+Sens!F4859</f>
        <v>5976.5351</v>
      </c>
      <c r="G4860" s="30" t="n">
        <f aca="false">Sens!F4860+Sens!G4859</f>
        <v>8703.0702</v>
      </c>
      <c r="H4860" s="30" t="n">
        <f aca="false">Sens!G4860+Sens!H4859</f>
        <v>11429.6053</v>
      </c>
      <c r="I4860" s="30" t="n">
        <f aca="false">Sens!H4860+Sens!I4859</f>
        <v>13361.5914196667</v>
      </c>
      <c r="J4860" s="30" t="n">
        <f aca="false">Sens!I4860+Sens!J4859</f>
        <v>14537.6682813933</v>
      </c>
      <c r="K4860" s="30" t="n">
        <f aca="false">Sens!J4860+Sens!K4859</f>
        <v>14973.7983298351</v>
      </c>
      <c r="L4860" s="1" t="s">
        <v>951</v>
      </c>
    </row>
    <row r="4861" customFormat="false" ht="17.15" hidden="false" customHeight="false" outlineLevel="0" collapsed="false">
      <c r="A4861" s="1" t="s">
        <v>952</v>
      </c>
      <c r="B4861" s="0" t="s">
        <v>456</v>
      </c>
      <c r="C4861" s="30" t="n">
        <f aca="false">rent_ext_24</f>
        <v>150</v>
      </c>
      <c r="D4861" s="30" t="n">
        <f aca="false">rent_ext_25</f>
        <v>400</v>
      </c>
      <c r="E4861" s="30" t="n">
        <f aca="false">rent_ext_26</f>
        <v>550</v>
      </c>
      <c r="F4861" s="30" t="n">
        <f aca="false">rent_ext_f</f>
        <v>756</v>
      </c>
      <c r="G4861" s="30" t="n">
        <f aca="false">rent_ext_f</f>
        <v>756</v>
      </c>
      <c r="H4861" s="30" t="n">
        <f aca="false">rent_ext_f</f>
        <v>756</v>
      </c>
      <c r="I4861" s="30" t="n">
        <f aca="false">rent_ext_f</f>
        <v>756</v>
      </c>
      <c r="J4861" s="30" t="n">
        <f aca="false">rent_ext_f</f>
        <v>756</v>
      </c>
      <c r="K4861" s="30" t="n">
        <f aca="false">rent_ext_f</f>
        <v>756</v>
      </c>
      <c r="L4861" s="1" t="s">
        <v>953</v>
      </c>
    </row>
    <row r="4862" customFormat="false" ht="17.15" hidden="false" customHeight="false" outlineLevel="0" collapsed="false">
      <c r="A4862" s="1" t="s">
        <v>954</v>
      </c>
      <c r="B4862" s="0" t="s">
        <v>456</v>
      </c>
      <c r="C4862" s="30" t="n">
        <f aca="false">Sens!C4860-Sens!C4861</f>
        <v>490</v>
      </c>
      <c r="D4862" s="30" t="n">
        <f aca="false">Sens!D4860-Sens!D4861</f>
        <v>1230</v>
      </c>
      <c r="E4862" s="30" t="n">
        <f aca="false">Sens!E4860-Sens!E4861</f>
        <v>2700</v>
      </c>
      <c r="F4862" s="30" t="n">
        <f aca="false">Sens!F4860-Sens!F4861</f>
        <v>5220.5351</v>
      </c>
      <c r="G4862" s="30" t="n">
        <f aca="false">Sens!G4860-Sens!G4861</f>
        <v>7947.0702</v>
      </c>
      <c r="H4862" s="30" t="n">
        <f aca="false">Sens!H4860-Sens!H4861</f>
        <v>10673.6053</v>
      </c>
      <c r="I4862" s="30" t="n">
        <f aca="false">Sens!I4860-Sens!I4861</f>
        <v>12605.5914196667</v>
      </c>
      <c r="J4862" s="30" t="n">
        <f aca="false">Sens!J4860-Sens!J4861</f>
        <v>13781.6682813933</v>
      </c>
      <c r="K4862" s="30" t="n">
        <f aca="false">Sens!K4860-Sens!K4861</f>
        <v>14217.7983298351</v>
      </c>
    </row>
    <row r="4863" customFormat="false" ht="17.15" hidden="false" customHeight="false" outlineLevel="0" collapsed="false">
      <c r="A4863" s="1" t="s">
        <v>955</v>
      </c>
      <c r="B4863" s="0" t="s">
        <v>456</v>
      </c>
      <c r="C4863" s="30" t="n">
        <f aca="false">Sens!C4862/ext_sh</f>
        <v>816.666666666667</v>
      </c>
      <c r="D4863" s="30" t="n">
        <f aca="false">Sens!D4862/ext_sh</f>
        <v>2050</v>
      </c>
      <c r="E4863" s="30" t="n">
        <f aca="false">Sens!E4862/ext_sh</f>
        <v>4500</v>
      </c>
      <c r="F4863" s="30" t="n">
        <f aca="false">Sens!F4862/ext_sh</f>
        <v>8700.89183333333</v>
      </c>
      <c r="G4863" s="30" t="n">
        <f aca="false">Sens!G4862/ext_sh</f>
        <v>13245.117</v>
      </c>
      <c r="H4863" s="30" t="n">
        <f aca="false">Sens!H4862/ext_sh</f>
        <v>17789.3421666667</v>
      </c>
      <c r="I4863" s="30" t="n">
        <f aca="false">Sens!I4862/ext_sh</f>
        <v>21009.3190327778</v>
      </c>
      <c r="J4863" s="30" t="n">
        <f aca="false">Sens!J4862/ext_sh</f>
        <v>22969.4471356556</v>
      </c>
      <c r="K4863" s="30" t="n">
        <f aca="false">Sens!K4862/ext_sh</f>
        <v>23696.3305497252</v>
      </c>
      <c r="L4863" s="1" t="s">
        <v>956</v>
      </c>
    </row>
    <row r="4864" customFormat="false" ht="17.15" hidden="false" customHeight="false" outlineLevel="0" collapsed="false">
      <c r="A4864" s="1" t="s">
        <v>957</v>
      </c>
      <c r="B4864" s="0" t="s">
        <v>456</v>
      </c>
      <c r="C4864" s="30" t="n">
        <f aca="false">Sens!C4863-Sens!C4862</f>
        <v>326.666666666667</v>
      </c>
      <c r="D4864" s="30" t="n">
        <f aca="false">Sens!D4863-Sens!D4862</f>
        <v>820</v>
      </c>
      <c r="E4864" s="30" t="n">
        <f aca="false">Sens!E4863-Sens!E4862</f>
        <v>1800</v>
      </c>
      <c r="F4864" s="30" t="n">
        <f aca="false">Sens!F4863-Sens!F4862</f>
        <v>3480.35673333333</v>
      </c>
      <c r="G4864" s="30" t="n">
        <f aca="false">Sens!G4863-Sens!G4862</f>
        <v>5298.0468</v>
      </c>
      <c r="H4864" s="30" t="n">
        <f aca="false">Sens!H4863-Sens!H4862</f>
        <v>7115.73686666667</v>
      </c>
      <c r="I4864" s="30" t="n">
        <f aca="false">Sens!I4863-Sens!I4862</f>
        <v>8403.72761311111</v>
      </c>
      <c r="J4864" s="30" t="n">
        <f aca="false">Sens!J4863-Sens!J4862</f>
        <v>9187.77885426222</v>
      </c>
      <c r="K4864" s="30" t="n">
        <f aca="false">Sens!K4863-Sens!K4862</f>
        <v>9478.53221989009</v>
      </c>
    </row>
    <row r="4865" customFormat="false" ht="17.15" hidden="false" customHeight="false" outlineLevel="0" collapsed="false">
      <c r="A4865" s="1" t="s">
        <v>958</v>
      </c>
      <c r="B4865" s="0" t="s">
        <v>456</v>
      </c>
      <c r="C4865" s="30" t="n">
        <f aca="false">Sens!C4863</f>
        <v>816.666666666667</v>
      </c>
      <c r="D4865" s="30" t="n">
        <f aca="false">Sens!D4863-Sens!C4863</f>
        <v>1233.33333333333</v>
      </c>
      <c r="E4865" s="30" t="n">
        <f aca="false">Sens!E4863-Sens!D4863</f>
        <v>2450</v>
      </c>
      <c r="F4865" s="30" t="n">
        <f aca="false">Sens!F4863-Sens!E4863</f>
        <v>4200.89183333333</v>
      </c>
      <c r="G4865" s="30" t="n">
        <f aca="false">Sens!G4863-Sens!F4863</f>
        <v>4544.22516666667</v>
      </c>
      <c r="H4865" s="30" t="n">
        <f aca="false">Sens!H4863-Sens!G4863</f>
        <v>4544.22516666667</v>
      </c>
      <c r="I4865" s="30" t="n">
        <f aca="false">Sens!I4863-Sens!H4863</f>
        <v>3219.97686611111</v>
      </c>
      <c r="J4865" s="30" t="n">
        <f aca="false">Sens!J4863-Sens!I4863</f>
        <v>1960.12810287778</v>
      </c>
      <c r="K4865" s="30" t="n">
        <f aca="false">Sens!K4863-Sens!J4863</f>
        <v>726.883414069667</v>
      </c>
    </row>
    <row r="4866" customFormat="false" ht="17.15" hidden="false" customHeight="false" outlineLevel="0" collapsed="false">
      <c r="A4866" s="1" t="s">
        <v>959</v>
      </c>
      <c r="B4866" s="0" t="s">
        <v>456</v>
      </c>
      <c r="D4866" s="30" t="n">
        <f aca="false">Sens!D4860-Sens!C4860</f>
        <v>990</v>
      </c>
      <c r="E4866" s="30" t="n">
        <f aca="false">Sens!E4860-Sens!D4860</f>
        <v>1620</v>
      </c>
      <c r="F4866" s="30" t="n">
        <f aca="false">Sens!F4860-Sens!E4860</f>
        <v>2726.5351</v>
      </c>
      <c r="G4866" s="30" t="n">
        <f aca="false">Sens!G4860-Sens!F4860</f>
        <v>2726.5351</v>
      </c>
      <c r="H4866" s="30" t="n">
        <f aca="false">Sens!H4860-Sens!G4860</f>
        <v>2726.5351</v>
      </c>
      <c r="I4866" s="30" t="n">
        <f aca="false">Sens!I4860-Sens!H4860</f>
        <v>1931.98611966667</v>
      </c>
      <c r="J4866" s="30" t="n">
        <f aca="false">Sens!J4860-Sens!I4860</f>
        <v>1176.07686172667</v>
      </c>
      <c r="K4866" s="30" t="n">
        <f aca="false">Sens!K4860-Sens!J4860</f>
        <v>436.130048441799</v>
      </c>
    </row>
    <row r="4867" customFormat="false" ht="17.15" hidden="false" customHeight="false" outlineLevel="0" collapsed="false">
      <c r="A4867" s="1" t="s">
        <v>960</v>
      </c>
      <c r="B4867" s="0" t="s">
        <v>456</v>
      </c>
      <c r="F4867" s="30" t="n">
        <f aca="false">Sens!F4886*ext_sh</f>
        <v>0</v>
      </c>
      <c r="G4867" s="30" t="n">
        <f aca="false">Sens!G4886*ext_sh</f>
        <v>0</v>
      </c>
      <c r="H4867" s="30" t="n">
        <f aca="false">Sens!H4886*ext_sh</f>
        <v>0</v>
      </c>
      <c r="I4867" s="30" t="n">
        <f aca="false">Sens!I4886*ext_sh</f>
        <v>0</v>
      </c>
      <c r="J4867" s="30" t="n">
        <f aca="false">Sens!J4886*ext_sh</f>
        <v>490</v>
      </c>
      <c r="K4867" s="30" t="n">
        <f aca="false">Sens!K4886*ext_sh</f>
        <v>740</v>
      </c>
      <c r="L4867" s="1" t="s">
        <v>961</v>
      </c>
    </row>
    <row r="4868" customFormat="false" ht="17.15" hidden="false" customHeight="false" outlineLevel="0" collapsed="false">
      <c r="A4868" s="1" t="s">
        <v>962</v>
      </c>
      <c r="B4868" s="0" t="s">
        <v>456</v>
      </c>
      <c r="C4868" s="30" t="n">
        <f aca="false">mix_h*Sens!C4860</f>
        <v>128</v>
      </c>
      <c r="D4868" s="30" t="n">
        <f aca="false">mix_h*Sens!D4860</f>
        <v>326</v>
      </c>
      <c r="E4868" s="30" t="n">
        <f aca="false">mix_h*Sens!E4860</f>
        <v>650</v>
      </c>
      <c r="F4868" s="30" t="n">
        <f aca="false">Sens!E4868-Sens!F4867*mix_h</f>
        <v>650</v>
      </c>
      <c r="G4868" s="30" t="n">
        <f aca="false">Sens!F4868-Sens!G4867*mix_h</f>
        <v>650</v>
      </c>
      <c r="H4868" s="30" t="n">
        <f aca="false">Sens!G4868-Sens!H4867*mix_h</f>
        <v>650</v>
      </c>
      <c r="I4868" s="30" t="n">
        <f aca="false">Sens!H4868-Sens!I4867*mix_h</f>
        <v>650</v>
      </c>
      <c r="J4868" s="30" t="n">
        <f aca="false">Sens!I4868-Sens!J4867*mix_h</f>
        <v>552</v>
      </c>
      <c r="K4868" s="30" t="n">
        <f aca="false">Sens!J4868-Sens!K4867*mix_h</f>
        <v>404</v>
      </c>
    </row>
    <row r="4869" customFormat="false" ht="17.15" hidden="false" customHeight="false" outlineLevel="0" collapsed="false">
      <c r="A4869" s="1" t="s">
        <v>963</v>
      </c>
      <c r="B4869" s="0" t="s">
        <v>456</v>
      </c>
      <c r="C4869" s="30" t="n">
        <f aca="false">mix_g2*Sens!C4860</f>
        <v>288</v>
      </c>
      <c r="D4869" s="30" t="n">
        <f aca="false">mix_g2*Sens!D4860</f>
        <v>733.5</v>
      </c>
      <c r="E4869" s="30" t="n">
        <f aca="false">mix_g2*Sens!E4860</f>
        <v>1462.5</v>
      </c>
      <c r="F4869" s="30" t="n">
        <f aca="false">Sens!E4869-Sens!F4867*mix_g2</f>
        <v>1462.5</v>
      </c>
      <c r="G4869" s="30" t="n">
        <f aca="false">Sens!F4869-Sens!G4867*mix_g2</f>
        <v>1462.5</v>
      </c>
      <c r="H4869" s="30" t="n">
        <f aca="false">Sens!G4869-Sens!H4867*mix_g2</f>
        <v>1462.5</v>
      </c>
      <c r="I4869" s="30" t="n">
        <f aca="false">Sens!H4869-Sens!I4867*mix_g2</f>
        <v>1462.5</v>
      </c>
      <c r="J4869" s="30" t="n">
        <f aca="false">Sens!I4869-Sens!J4867*mix_g2</f>
        <v>1242</v>
      </c>
      <c r="K4869" s="30" t="n">
        <f aca="false">Sens!J4869-Sens!K4867*mix_g2</f>
        <v>909</v>
      </c>
    </row>
    <row r="4870" customFormat="false" ht="17.15" hidden="false" customHeight="false" outlineLevel="0" collapsed="false">
      <c r="A4870" s="1" t="s">
        <v>964</v>
      </c>
      <c r="B4870" s="0" t="s">
        <v>456</v>
      </c>
      <c r="C4870" s="30" t="n">
        <f aca="false">mix_g3*Sens!C4860</f>
        <v>224</v>
      </c>
      <c r="D4870" s="30" t="n">
        <f aca="false">mix_g3*Sens!D4860</f>
        <v>570.5</v>
      </c>
      <c r="E4870" s="30" t="n">
        <f aca="false">mix_g3*Sens!E4860</f>
        <v>1137.5</v>
      </c>
      <c r="F4870" s="30" t="n">
        <f aca="false">Sens!E4870+(Sens!F4866+Sens!F4867)*(a_g3_27-nonnv*a_mai)-Sens!F4867*mix_g3</f>
        <v>2773.42106</v>
      </c>
      <c r="G4870" s="30" t="n">
        <f aca="false">Sens!F4870+(Sens!G4866+Sens!G4867)*(a_g3_28-nonnv*a_mai)-Sens!G4867*mix_g3</f>
        <v>3318.72808</v>
      </c>
      <c r="H4870" s="30" t="n">
        <f aca="false">Sens!G4870+(Sens!H4866+Sens!H4867)*(a_g3_29-nonnv*a_mai)-Sens!H4867*mix_g3</f>
        <v>3318.72808</v>
      </c>
      <c r="I4870" s="30" t="n">
        <f aca="false">Sens!H4870+(Sens!I4866+Sens!I4867)*(a_g3_29-nonnv*a_mai)-Sens!I4867*mix_g3</f>
        <v>3318.72808</v>
      </c>
      <c r="J4870" s="30" t="n">
        <f aca="false">Sens!I4870+(Sens!J4866+Sens!J4867)*(a_g3_29-nonnv*a_mai)-Sens!J4867*mix_g3</f>
        <v>3147.22808</v>
      </c>
      <c r="K4870" s="30" t="n">
        <f aca="false">Sens!J4870+(Sens!K4866+Sens!K4867)*(a_g3_29-nonnv*a_mai)-Sens!K4867*mix_g3</f>
        <v>2888.22808</v>
      </c>
    </row>
    <row r="4871" customFormat="false" ht="17.15" hidden="false" customHeight="false" outlineLevel="0" collapsed="false">
      <c r="A4871" s="1" t="s">
        <v>965</v>
      </c>
      <c r="B4871" s="0" t="s">
        <v>456</v>
      </c>
      <c r="C4871" s="30" t="n">
        <v>0</v>
      </c>
      <c r="D4871" s="30" t="n">
        <v>0</v>
      </c>
      <c r="E4871" s="30" t="n">
        <v>0</v>
      </c>
      <c r="F4871" s="30" t="n">
        <f aca="false">Sens!E4871+(Sens!F4866+Sens!F4867)*nonnv*a_mai</f>
        <v>272.65351</v>
      </c>
      <c r="G4871" s="30" t="n">
        <f aca="false">Sens!F4871+(Sens!G4866+Sens!G4867)*nonnv*a_mai</f>
        <v>545.30702</v>
      </c>
      <c r="H4871" s="30" t="n">
        <f aca="false">Sens!G4871+(Sens!H4866+Sens!H4867)*nonnv*a_mai</f>
        <v>817.96053</v>
      </c>
      <c r="I4871" s="30" t="n">
        <f aca="false">Sens!H4871+(Sens!I4866+Sens!I4867)*nonnv*a_mai</f>
        <v>1011.15914196667</v>
      </c>
      <c r="J4871" s="30" t="n">
        <f aca="false">Sens!I4871+(Sens!J4866+Sens!J4867)*nonnv*a_mai</f>
        <v>1177.76682813933</v>
      </c>
      <c r="K4871" s="30" t="n">
        <f aca="false">Sens!J4871+(Sens!K4866+Sens!K4867)*nonnv*a_mai</f>
        <v>1295.37983298351</v>
      </c>
      <c r="L4871" s="12" t="s">
        <v>966</v>
      </c>
    </row>
    <row r="4872" customFormat="false" ht="17.15" hidden="false" customHeight="false" outlineLevel="0" collapsed="false">
      <c r="A4872" s="1" t="s">
        <v>967</v>
      </c>
      <c r="B4872" s="0" t="s">
        <v>456</v>
      </c>
      <c r="C4872" s="30" t="n">
        <v>0</v>
      </c>
      <c r="D4872" s="30" t="n">
        <v>0</v>
      </c>
      <c r="E4872" s="30" t="n">
        <v>0</v>
      </c>
      <c r="F4872" s="30" t="n">
        <f aca="false">Sens!E4872+(Sens!F4866+Sens!F4867)*(1-a_g3_27)</f>
        <v>817.96053</v>
      </c>
      <c r="G4872" s="30" t="n">
        <f aca="false">Sens!F4872+(Sens!G4866+Sens!G4867)*(1-a_g3_28)</f>
        <v>2726.5351</v>
      </c>
      <c r="H4872" s="30" t="n">
        <f aca="false">Sens!G4872+(Sens!H4866+Sens!H4867)*(1-a_g3_29)</f>
        <v>5180.41669</v>
      </c>
      <c r="I4872" s="30" t="n">
        <f aca="false">Sens!H4872+(Sens!I4866+Sens!I4867)*(1-a_g3_29)</f>
        <v>6919.2041977</v>
      </c>
      <c r="J4872" s="30" t="n">
        <f aca="false">Sens!I4872+(Sens!J4866+Sens!J4867)*(1-a_g3_29)</f>
        <v>8418.673373254</v>
      </c>
      <c r="K4872" s="30" t="n">
        <f aca="false">Sens!J4872+(Sens!K4866+Sens!K4867)*(1-a_g3_29)</f>
        <v>9477.19041685162</v>
      </c>
    </row>
    <row r="4873" customFormat="false" ht="17.15" hidden="false" customHeight="false" outlineLevel="0" collapsed="false">
      <c r="A4873" s="1" t="s">
        <v>968</v>
      </c>
      <c r="B4873" s="0" t="s">
        <v>403</v>
      </c>
      <c r="C4873" s="15" t="n">
        <f aca="false">(Sens!C4868*tk_hold_h100+Sens!C4869*tk_hold_gb200+Sens!C4870*tk_hold_gb300+Sens!C4872*tk_hold_vr200+Sens!C4871*nv_hold_mai*tk_hold_vr200)/Sens!C4860</f>
        <v>9.7235358126469</v>
      </c>
      <c r="D4873" s="15" t="n">
        <f aca="false">(Sens!D4868*tk_hold_h100+Sens!D4869*tk_hold_gb200+Sens!D4870*tk_hold_gb300+Sens!D4872*tk_hold_vr200+Sens!D4871*nv_hold_mai*tk_hold_vr200)/Sens!D4860</f>
        <v>9.7235358126469</v>
      </c>
      <c r="E4873" s="15" t="n">
        <f aca="false">(Sens!E4868*tk_hold_h100+Sens!E4869*tk_hold_gb200+Sens!E4870*tk_hold_gb300+Sens!E4872*tk_hold_vr200+Sens!E4871*nv_hold_mai*tk_hold_vr200)/Sens!E4860</f>
        <v>9.7235358126469</v>
      </c>
      <c r="F4873" s="15" t="n">
        <f aca="false">(Sens!F4868*tk_hold_h100+Sens!F4869*tk_hold_gb200+Sens!F4870*tk_hold_gb300+Sens!F4872*tk_hold_vr200+Sens!F4871*nv_hold_mai*tk_hold_vr200)/Sens!F4860</f>
        <v>10.2195353876665</v>
      </c>
      <c r="G4873" s="15" t="n">
        <f aca="false">(Sens!G4868*tk_hold_h100+Sens!G4869*tk_hold_gb200+Sens!G4870*tk_hold_gb300+Sens!G4872*tk_hold_vr200+Sens!G4871*nv_hold_mai*tk_hold_vr200)/Sens!G4860</f>
        <v>10.5725598017306</v>
      </c>
      <c r="H4873" s="15" t="n">
        <f aca="false">(Sens!H4868*tk_hold_h100+Sens!H4869*tk_hold_gb200+Sens!H4870*tk_hold_gb300+Sens!H4872*tk_hold_vr200+Sens!H4871*nv_hold_mai*tk_hold_vr200)/Sens!H4860</f>
        <v>10.8210427149036</v>
      </c>
      <c r="I4873" s="15" t="n">
        <f aca="false">(Sens!I4868*tk_hold_h100+Sens!I4869*tk_hold_gb200+Sens!I4870*tk_hold_gb300+Sens!I4872*tk_hold_vr200+Sens!I4871*nv_hold_mai*tk_hold_vr200)/Sens!I4860</f>
        <v>10.9357269541711</v>
      </c>
      <c r="J4873" s="15" t="n">
        <f aca="false">(Sens!J4868*tk_hold_h100+Sens!J4869*tk_hold_gb200+Sens!J4870*tk_hold_gb300+Sens!J4872*tk_hold_vr200+Sens!J4871*nv_hold_mai*tk_hold_vr200)/Sens!J4860</f>
        <v>11.0543400376237</v>
      </c>
      <c r="K4873" s="15" t="n">
        <f aca="false">(Sens!K4868*tk_hold_h100+Sens!K4869*tk_hold_gb200+Sens!K4870*tk_hold_gb300+Sens!K4872*tk_hold_vr200+Sens!K4871*nv_hold_mai*tk_hold_vr200)/Sens!K4860</f>
        <v>11.1640824170085</v>
      </c>
      <c r="L4873" s="1" t="s">
        <v>969</v>
      </c>
    </row>
    <row r="4874" customFormat="false" ht="17.15" hidden="false" customHeight="false" outlineLevel="0" collapsed="false">
      <c r="A4874" s="1" t="s">
        <v>970</v>
      </c>
      <c r="B4874" s="0" t="s">
        <v>403</v>
      </c>
      <c r="C4874" s="15" t="n">
        <f aca="false">(Sens!C4868*tk_hold_h100+Sens!C4869*tk_hold_gb200+Sens!C4870*tk_hold_gb300+Sens!C4872*tk_hold_vr200+Sens!C4871*nv_out_mai*tk_hold_vr200)/Sens!C4860</f>
        <v>9.7235358126469</v>
      </c>
      <c r="D4874" s="15" t="n">
        <f aca="false">(Sens!D4868*tk_hold_h100+Sens!D4869*tk_hold_gb200+Sens!D4870*tk_hold_gb300+Sens!D4872*tk_hold_vr200+Sens!D4871*nv_out_mai*tk_hold_vr200)/Sens!D4860</f>
        <v>9.7235358126469</v>
      </c>
      <c r="E4874" s="15" t="n">
        <f aca="false">(Sens!E4868*tk_hold_h100+Sens!E4869*tk_hold_gb200+Sens!E4870*tk_hold_gb300+Sens!E4872*tk_hold_vr200+Sens!E4871*nv_out_mai*tk_hold_vr200)/Sens!E4860</f>
        <v>9.7235358126469</v>
      </c>
      <c r="F4874" s="15" t="n">
        <f aca="false">(Sens!F4868*tk_hold_h100+Sens!F4869*tk_hold_gb200+Sens!F4870*tk_hold_gb300+Sens!F4872*tk_hold_vr200+Sens!F4871*nv_out_mai*tk_hold_vr200)/Sens!F4860</f>
        <v>10.247422093969</v>
      </c>
      <c r="G4874" s="15" t="n">
        <f aca="false">(Sens!G4868*tk_hold_h100+Sens!G4869*tk_hold_gb200+Sens!G4870*tk_hold_gb300+Sens!G4872*tk_hold_vr200+Sens!G4871*nv_out_mai*tk_hold_vr200)/Sens!G4860</f>
        <v>10.6108602808053</v>
      </c>
      <c r="H4874" s="15" t="n">
        <f aca="false">(Sens!H4868*tk_hold_h100+Sens!H4869*tk_hold_gb200+Sens!H4870*tk_hold_gb300+Sens!H4872*tk_hold_vr200+Sens!H4871*nv_out_mai*tk_hold_vr200)/Sens!H4860</f>
        <v>10.8647885507393</v>
      </c>
      <c r="I4874" s="15" t="n">
        <f aca="false">(Sens!I4868*tk_hold_h100+Sens!I4869*tk_hold_gb200+Sens!I4870*tk_hold_gb300+Sens!I4872*tk_hold_vr200+Sens!I4871*nv_out_mai*tk_hold_vr200)/Sens!I4860</f>
        <v>10.9819860275961</v>
      </c>
      <c r="J4874" s="15" t="n">
        <f aca="false">(Sens!J4868*tk_hold_h100+Sens!J4869*tk_hold_gb200+Sens!J4870*tk_hold_gb300+Sens!J4872*tk_hold_vr200+Sens!J4871*nv_out_mai*tk_hold_vr200)/Sens!J4860</f>
        <v>11.1038622647405</v>
      </c>
      <c r="K4874" s="15" t="n">
        <f aca="false">(Sens!K4868*tk_hold_h100+Sens!K4869*tk_hold_gb200+Sens!K4870*tk_hold_gb300+Sens!K4872*tk_hold_vr200+Sens!K4871*nv_out_mai*tk_hold_vr200)/Sens!K4860</f>
        <v>11.21696355057</v>
      </c>
      <c r="L4874" s="12" t="s">
        <v>971</v>
      </c>
    </row>
    <row r="4875" customFormat="false" ht="17.15" hidden="false" customHeight="false" outlineLevel="0" collapsed="false">
      <c r="A4875" s="0" t="s">
        <v>972</v>
      </c>
      <c r="B4875" s="0" t="s">
        <v>229</v>
      </c>
      <c r="C4875" s="15" t="n">
        <f aca="false">k_B</f>
        <v>1.17213932619116</v>
      </c>
      <c r="D4875" s="15" t="n">
        <f aca="false">k_B</f>
        <v>1.17213932619116</v>
      </c>
      <c r="E4875" s="15" t="n">
        <f aca="false">k_B</f>
        <v>1.17213932619116</v>
      </c>
      <c r="F4875" s="15" t="n">
        <f aca="false">(k_B+((ls_A*k_long+(1-ls_A)*k_spot)-k_B)*MIN(1,(Sens!F4858-base_fy)/k_ramp))</f>
        <v>1.25022828131298</v>
      </c>
      <c r="G4875" s="15" t="n">
        <f aca="false">(k_B+((ls_A*k_long+(1-ls_A)*k_spot)-k_B)*MIN(1,(Sens!G4858-base_fy)/k_ramp))</f>
        <v>1.3283172364348</v>
      </c>
      <c r="H4875" s="15" t="n">
        <f aca="false">(k_B+((ls_A*k_long+(1-ls_A)*k_spot)-k_B)*MIN(1,(Sens!H4858-base_fy)/k_ramp))</f>
        <v>1.40640619155662</v>
      </c>
      <c r="I4875" s="15" t="n">
        <f aca="false">(k_B+((ls_A*k_long+(1-ls_A)*k_spot)-k_B)*MIN(1,(Sens!I4858-base_fy)/k_ramp))</f>
        <v>1.40640619155662</v>
      </c>
      <c r="J4875" s="15" t="n">
        <f aca="false">(k_B+((ls_A*k_long+(1-ls_A)*k_spot)-k_B)*MIN(1,(Sens!J4858-base_fy)/k_ramp))</f>
        <v>1.40640619155662</v>
      </c>
      <c r="K4875" s="15" t="n">
        <f aca="false">(k_B+((ls_A*k_long+(1-ls_A)*k_spot)-k_B)*MIN(1,(Sens!K4858-base_fy)/k_ramp))</f>
        <v>1.40640619155662</v>
      </c>
      <c r="L4875" s="1" t="s">
        <v>973</v>
      </c>
    </row>
    <row r="4876" customFormat="false" ht="17.15" hidden="false" customHeight="false" outlineLevel="0" collapsed="false">
      <c r="A4876" s="1" t="s">
        <v>974</v>
      </c>
      <c r="B4876" s="0" t="s">
        <v>403</v>
      </c>
      <c r="C4876" s="15" t="n">
        <f aca="false">Sens!C4874*Sens!C4875*chip_f</f>
        <v>11.3973387156315</v>
      </c>
      <c r="D4876" s="15" t="n">
        <f aca="false">Sens!D4874*Sens!D4875*chip_f</f>
        <v>11.3973387156315</v>
      </c>
      <c r="E4876" s="15" t="n">
        <f aca="false">Sens!E4874*Sens!E4875*chip_f</f>
        <v>11.3973387156315</v>
      </c>
      <c r="F4876" s="15" t="n">
        <f aca="false">Sens!F4874*Sens!F4875*chip_f</f>
        <v>12.8116169124314</v>
      </c>
      <c r="G4876" s="15" t="n">
        <f aca="false">Sens!G4874*Sens!G4875*chip_f</f>
        <v>14.094588604395</v>
      </c>
      <c r="H4876" s="15" t="n">
        <f aca="false">Sens!H4874*Sens!H4875*chip_f</f>
        <v>15.2803058877132</v>
      </c>
      <c r="I4876" s="15" t="n">
        <f aca="false">Sens!I4874*Sens!I4875*chip_f</f>
        <v>15.4451331447994</v>
      </c>
      <c r="J4876" s="15" t="n">
        <f aca="false">Sens!J4874*Sens!J4875*chip_f</f>
        <v>15.6165406393229</v>
      </c>
      <c r="K4876" s="15" t="n">
        <f aca="false">Sens!K4874*Sens!K4875*chip_f</f>
        <v>15.7756069879866</v>
      </c>
      <c r="L4876" s="1" t="s">
        <v>975</v>
      </c>
    </row>
    <row r="4877" customFormat="false" ht="17.15" hidden="false" customHeight="false" outlineLevel="0" collapsed="false">
      <c r="A4877" s="0" t="s">
        <v>976</v>
      </c>
      <c r="B4877" s="0" t="s">
        <v>98</v>
      </c>
      <c r="D4877" s="6" t="n">
        <f aca="false">(Sens!C4860+Sens!D4860)/2*Sens!D4876/1000</f>
        <v>12.9359794422418</v>
      </c>
      <c r="E4877" s="6" t="n">
        <f aca="false">(Sens!D4860+Sens!E4860)/2*Sens!E4876/1000</f>
        <v>27.8095064661409</v>
      </c>
      <c r="F4877" s="6" t="n">
        <f aca="false">(Sens!E4860+Sens!F4860)/2*Sens!F4876/1000</f>
        <v>59.1034165651511</v>
      </c>
      <c r="G4877" s="6" t="n">
        <f aca="false">(Sens!F4860+Sens!G4860)/2*Sens!G4876/1000</f>
        <v>103.451498789198</v>
      </c>
      <c r="H4877" s="6" t="n">
        <f aca="false">(Sens!G4860+Sens!H4860)/2*Sens!H4876/1000</f>
        <v>153.816719989035</v>
      </c>
      <c r="I4877" s="6" t="n">
        <f aca="false">(Sens!H4860+Sens!I4860)/2*Sens!I4876/1000</f>
        <v>191.451667077083</v>
      </c>
      <c r="J4877" s="6" t="n">
        <f aca="false">(Sens!I4860+Sens!J4860)/2*Sens!J4876/1000</f>
        <v>217.844961464314</v>
      </c>
      <c r="K4877" s="6" t="n">
        <f aca="false">(Sens!J4860+Sens!K4860)/2*Sens!K4876/1000</f>
        <v>232.780649448914</v>
      </c>
      <c r="L4877" s="12" t="s">
        <v>977</v>
      </c>
    </row>
    <row r="4878" customFormat="false" ht="17.15" hidden="false" customHeight="false" outlineLevel="0" collapsed="false">
      <c r="A4878" s="1" t="s">
        <v>978</v>
      </c>
      <c r="B4878" s="0" t="s">
        <v>403</v>
      </c>
      <c r="C4878" s="15" t="n">
        <f aca="false">(Sens!C4868*tk_opex_h100+Sens!C4869*tk_opex_gb200+Sens!C4870*tk_opex_gb300+(Sens!C4872+Sens!C4871)*tk_opex_vr200)/Sens!C4860</f>
        <v>1.88636041306092</v>
      </c>
      <c r="D4878" s="15" t="n">
        <f aca="false">(Sens!D4868*tk_opex_h100+Sens!D4869*tk_opex_gb200+Sens!D4870*tk_opex_gb300+(Sens!D4872+Sens!D4871)*tk_opex_vr200)/Sens!D4860</f>
        <v>1.88636041306092</v>
      </c>
      <c r="E4878" s="15" t="n">
        <f aca="false">(Sens!E4868*tk_opex_h100+Sens!E4869*tk_opex_gb200+Sens!E4870*tk_opex_gb300+(Sens!E4872+Sens!E4871)*tk_opex_vr200)/Sens!E4860</f>
        <v>1.88636041306092</v>
      </c>
      <c r="F4878" s="15" t="n">
        <f aca="false">(Sens!F4868*tk_opex_h100+Sens!F4869*tk_opex_gb200+Sens!F4870*tk_opex_gb300+(Sens!F4872+Sens!F4871)*tk_opex_vr200)/Sens!F4860</f>
        <v>1.95051159746876</v>
      </c>
      <c r="G4878" s="15" t="n">
        <f aca="false">(Sens!G4868*tk_opex_h100+Sens!G4869*tk_opex_gb200+Sens!G4870*tk_opex_gb300+(Sens!G4872+Sens!G4871)*tk_opex_vr200)/Sens!G4860</f>
        <v>1.98836003669956</v>
      </c>
      <c r="H4878" s="15" t="n">
        <f aca="false">(Sens!H4868*tk_opex_h100+Sens!H4869*tk_opex_gb200+Sens!H4870*tk_opex_gb300+(Sens!H4872+Sens!H4871)*tk_opex_vr200)/Sens!H4860</f>
        <v>2.01344013834343</v>
      </c>
      <c r="I4878" s="15" t="n">
        <f aca="false">(Sens!I4868*tk_opex_h100+Sens!I4869*tk_opex_gb200+Sens!I4870*tk_opex_gb300+(Sens!I4872+Sens!I4871)*tk_opex_vr200)/Sens!I4860</f>
        <v>2.0250155514817</v>
      </c>
      <c r="J4878" s="15" t="n">
        <f aca="false">(Sens!J4868*tk_opex_h100+Sens!J4869*tk_opex_gb200+Sens!J4870*tk_opex_gb300+(Sens!J4872+Sens!J4871)*tk_opex_vr200)/Sens!J4860</f>
        <v>2.03753708880915</v>
      </c>
      <c r="K4878" s="15" t="n">
        <f aca="false">(Sens!K4868*tk_opex_h100+Sens!K4869*tk_opex_gb200+Sens!K4870*tk_opex_gb300+(Sens!K4872+Sens!K4871)*tk_opex_vr200)/Sens!K4860</f>
        <v>2.04940349450181</v>
      </c>
      <c r="L4878" s="12" t="s">
        <v>979</v>
      </c>
    </row>
    <row r="4879" customFormat="false" ht="17.15" hidden="false" customHeight="false" outlineLevel="0" collapsed="false">
      <c r="A4879" s="0" t="s">
        <v>980</v>
      </c>
      <c r="B4879" s="0" t="s">
        <v>98</v>
      </c>
      <c r="D4879" s="6" t="n">
        <f aca="false">(Sens!C4863+Sens!D4863)/2*Sens!D4878/1000</f>
        <v>2.70378325872065</v>
      </c>
      <c r="E4879" s="6" t="n">
        <f aca="false">(Sens!D4863+Sens!E4863)/2*Sens!E4878/1000</f>
        <v>6.17783035277451</v>
      </c>
      <c r="F4879" s="6" t="n">
        <f aca="false">(Sens!E4863+Sens!F4863)/2*Sens!F4878/1000</f>
        <v>12.8742463089237</v>
      </c>
      <c r="G4879" s="6" t="n">
        <f aca="false">(Sens!F4863+Sens!G4863)/2*Sens!G4878/1000</f>
        <v>21.8182834646277</v>
      </c>
      <c r="H4879" s="6" t="n">
        <f aca="false">(Sens!G4863+Sens!H4863)/2*Sens!H4878/1000</f>
        <v>31.2430128789734</v>
      </c>
      <c r="I4879" s="6" t="n">
        <f aca="false">(Sens!H4863+Sens!I4863)/2*Sens!I4878/1000</f>
        <v>39.2839461527723</v>
      </c>
      <c r="J4879" s="6" t="n">
        <f aca="false">(Sens!I4863+Sens!J4863)/2*Sens!J4878/1000</f>
        <v>44.8041835941241</v>
      </c>
      <c r="K4879" s="6" t="n">
        <f aca="false">(Sens!J4863+Sens!K4863)/2*Sens!K4878/1000</f>
        <v>47.8185039310321</v>
      </c>
    </row>
    <row r="4880" customFormat="false" ht="17.15" hidden="false" customHeight="false" outlineLevel="0" collapsed="false">
      <c r="A4880" s="0" t="s">
        <v>981</v>
      </c>
      <c r="B4880" s="0" t="s">
        <v>98</v>
      </c>
      <c r="D4880" s="6" t="n">
        <f aca="false">(Sens!C4861+Sens!D4861)/2*rent_mw/1000</f>
        <v>2.44475</v>
      </c>
      <c r="E4880" s="6" t="n">
        <f aca="false">(Sens!D4861+Sens!E4861)/2*rent_mw/1000</f>
        <v>4.22275</v>
      </c>
      <c r="F4880" s="6" t="n">
        <f aca="false">(Sens!E4861+Sens!F4861)/2*rent_mw/1000</f>
        <v>5.80517</v>
      </c>
      <c r="G4880" s="6" t="n">
        <f aca="false">(Sens!F4861+Sens!G4861)/2*rent_mw/1000</f>
        <v>6.72084</v>
      </c>
      <c r="H4880" s="6" t="n">
        <f aca="false">(Sens!G4861+Sens!H4861)/2*rent_mw/1000</f>
        <v>6.72084</v>
      </c>
      <c r="I4880" s="6" t="n">
        <f aca="false">(Sens!H4861+Sens!I4861)/2*rent_mw/1000</f>
        <v>6.72084</v>
      </c>
      <c r="J4880" s="6" t="n">
        <f aca="false">(Sens!I4861+Sens!J4861)/2*rent_mw/1000</f>
        <v>6.72084</v>
      </c>
      <c r="K4880" s="6" t="n">
        <f aca="false">(Sens!J4861+Sens!K4861)/2*rent_mw/1000</f>
        <v>6.72084</v>
      </c>
    </row>
    <row r="4881" customFormat="false" ht="17.15" hidden="false" customHeight="false" outlineLevel="0" collapsed="false">
      <c r="A4881" s="0" t="s">
        <v>982</v>
      </c>
      <c r="B4881" s="0" t="s">
        <v>98</v>
      </c>
      <c r="D4881" s="6" t="n">
        <f aca="false">(Sens!C4863+Sens!D4863)/2*(1-self_build)*fac_rent/1000</f>
        <v>0.853242375631075</v>
      </c>
      <c r="E4881" s="6" t="n">
        <f aca="false">(Sens!D4863+Sens!E4863)/2*(1-self_build)*fac_rent/1000</f>
        <v>1.94955961408728</v>
      </c>
      <c r="F4881" s="6" t="n">
        <f aca="false">(Sens!E4863+Sens!F4863)/2*(1-self_build)*fac_rent/1000</f>
        <v>3.92914894476356</v>
      </c>
      <c r="G4881" s="6" t="n">
        <f aca="false">(Sens!F4863+Sens!G4863)/2*(1-self_build)*fac_rent/1000</f>
        <v>6.53206908578159</v>
      </c>
      <c r="H4881" s="6" t="n">
        <f aca="false">(Sens!G4863+Sens!H4863)/2*(1-self_build)*fac_rent/1000</f>
        <v>9.23717988341591</v>
      </c>
      <c r="I4881" s="6" t="n">
        <f aca="false">(Sens!H4863+Sens!I4863)/2*(1-self_build)*fac_rent/1000</f>
        <v>11.5481378557393</v>
      </c>
      <c r="J4881" s="6" t="n">
        <f aca="false">(Sens!I4863+Sens!J4863)/2*(1-self_build)*fac_rent/1000</f>
        <v>13.0899582289108</v>
      </c>
      <c r="K4881" s="6" t="n">
        <f aca="false">(Sens!J4863+Sens!K4863)/2*(1-self_build)*fac_rent/1000</f>
        <v>13.8897275626556</v>
      </c>
      <c r="L4881" s="12" t="s">
        <v>983</v>
      </c>
    </row>
    <row r="4882" customFormat="false" ht="17.15" hidden="false" customHeight="false" outlineLevel="0" collapsed="false">
      <c r="A4882" s="1" t="s">
        <v>984</v>
      </c>
      <c r="B4882" s="0" t="s">
        <v>168</v>
      </c>
      <c r="D4882" s="7" t="n">
        <f aca="false">(Sens!C4862+Sens!D4862)/(Sens!C4863+Sens!D4863)</f>
        <v>0.6</v>
      </c>
      <c r="E4882" s="7" t="n">
        <f aca="false">(Sens!D4862+Sens!E4862)/(Sens!D4863+Sens!E4863)</f>
        <v>0.6</v>
      </c>
      <c r="F4882" s="7" t="n">
        <f aca="false">(Sens!E4862+Sens!F4862)/(Sens!E4863+Sens!F4863)</f>
        <v>0.6</v>
      </c>
      <c r="G4882" s="7" t="n">
        <f aca="false">(Sens!F4862+Sens!G4862)/(Sens!F4863+Sens!G4863)</f>
        <v>0.6</v>
      </c>
      <c r="H4882" s="7" t="n">
        <f aca="false">(Sens!G4862+Sens!H4862)/(Sens!G4863+Sens!H4863)</f>
        <v>0.6</v>
      </c>
      <c r="I4882" s="7" t="n">
        <f aca="false">(Sens!H4862+Sens!I4862)/(Sens!H4863+Sens!I4863)</f>
        <v>0.6</v>
      </c>
      <c r="J4882" s="7" t="n">
        <f aca="false">(Sens!I4862+Sens!J4862)/(Sens!I4863+Sens!J4863)</f>
        <v>0.6</v>
      </c>
      <c r="K4882" s="7" t="n">
        <f aca="false">(Sens!J4862+Sens!K4862)/(Sens!J4863+Sens!K4863)</f>
        <v>0.6</v>
      </c>
    </row>
    <row r="4883" customFormat="false" ht="17.15" hidden="false" customHeight="false" outlineLevel="0" collapsed="false">
      <c r="A4883" s="0" t="s">
        <v>985</v>
      </c>
      <c r="B4883" s="0" t="s">
        <v>98</v>
      </c>
      <c r="D4883" s="6" t="n">
        <f aca="false">Sens!D4877-Sens!D4882*(Sens!D4879+Sens!D4881)-Sens!D4880</f>
        <v>8.35701406163072</v>
      </c>
      <c r="E4883" s="6" t="n">
        <f aca="false">Sens!E4877-Sens!E4882*(Sens!E4879+Sens!E4881)-Sens!E4880</f>
        <v>18.7103224860238</v>
      </c>
      <c r="F4883" s="6" t="n">
        <f aca="false">Sens!F4877-Sens!F4882*(Sens!F4879+Sens!F4881)-Sens!F4880</f>
        <v>43.2162094129388</v>
      </c>
      <c r="G4883" s="6" t="n">
        <f aca="false">Sens!G4877-Sens!G4882*(Sens!G4879+Sens!G4881)-Sens!G4880</f>
        <v>79.7204472589529</v>
      </c>
      <c r="H4883" s="6" t="n">
        <f aca="false">Sens!H4877-Sens!H4882*(Sens!H4879+Sens!H4881)-Sens!H4880</f>
        <v>122.807764331602</v>
      </c>
      <c r="I4883" s="6" t="n">
        <f aca="false">Sens!I4877-Sens!I4882*(Sens!I4879+Sens!I4881)-Sens!I4880</f>
        <v>154.231576671976</v>
      </c>
      <c r="J4883" s="6" t="n">
        <f aca="false">Sens!J4877-Sens!J4882*(Sens!J4879+Sens!J4881)-Sens!J4880</f>
        <v>176.387636370493</v>
      </c>
      <c r="K4883" s="6" t="n">
        <f aca="false">Sens!K4877-Sens!K4882*(Sens!K4879+Sens!K4881)-Sens!K4880</f>
        <v>189.034870552701</v>
      </c>
    </row>
    <row r="4884" customFormat="false" ht="17.15" hidden="false" customHeight="false" outlineLevel="0" collapsed="false">
      <c r="A4884" s="1" t="s">
        <v>986</v>
      </c>
      <c r="B4884" s="0" t="s">
        <v>98</v>
      </c>
      <c r="D4884" s="6" t="n">
        <f aca="false">(1-Sens!D4882)*(Sens!D4879+Sens!D4881)</f>
        <v>1.42281025374069</v>
      </c>
      <c r="E4884" s="6" t="n">
        <f aca="false">(1-Sens!E4882)*(Sens!E4879+Sens!E4881)</f>
        <v>3.25095598674472</v>
      </c>
      <c r="F4884" s="6" t="n">
        <f aca="false">(1-Sens!F4882)*(Sens!F4879+Sens!F4881)</f>
        <v>6.72135810147489</v>
      </c>
      <c r="G4884" s="6" t="n">
        <f aca="false">(1-Sens!G4882)*(Sens!G4879+Sens!G4881)</f>
        <v>11.3401410201637</v>
      </c>
      <c r="H4884" s="6" t="n">
        <f aca="false">(1-Sens!H4882)*(Sens!H4879+Sens!H4881)</f>
        <v>16.1920771049557</v>
      </c>
      <c r="I4884" s="6" t="n">
        <f aca="false">(1-Sens!I4882)*(Sens!I4879+Sens!I4881)</f>
        <v>20.3328336034046</v>
      </c>
      <c r="J4884" s="6" t="n">
        <f aca="false">(1-Sens!J4882)*(Sens!J4879+Sens!J4881)</f>
        <v>23.157656729214</v>
      </c>
      <c r="K4884" s="6" t="n">
        <f aca="false">(1-Sens!K4882)*(Sens!K4879+Sens!K4881)</f>
        <v>24.6832925974751</v>
      </c>
    </row>
    <row r="4885" customFormat="false" ht="17.15" hidden="false" customHeight="false" outlineLevel="0" collapsed="false">
      <c r="A4885" s="1" t="s">
        <v>987</v>
      </c>
      <c r="B4885" s="0" t="s">
        <v>414</v>
      </c>
      <c r="C4885" s="8" t="n">
        <f aca="false">cxit_open</f>
        <v>27.5918995</v>
      </c>
      <c r="D4885" s="8" t="n">
        <f aca="false">cxit_open</f>
        <v>27.5918995</v>
      </c>
      <c r="E4885" s="8" t="n">
        <f aca="false">cxit_open</f>
        <v>27.5918995</v>
      </c>
      <c r="F4885" s="8" t="n">
        <f aca="false">((a_g3_27-nonnv*a_mai)*tk_cxit_gb300+nonnv*a_mai*nv_hold_mai*tk_cxit_vr200+(1-a_g3_27)*tk_cxit_vr200)</f>
        <v>32.4975576</v>
      </c>
      <c r="G4885" s="8" t="n">
        <f aca="false">((a_g3_28-nonnv*a_mai)*tk_cxit_gb300+nonnv*a_mai*nv_hold_mai*tk_cxit_vr200+(1-a_g3_28)*tk_cxit_vr200)</f>
        <v>34.6372088</v>
      </c>
      <c r="H4885" s="8" t="n">
        <f aca="false">((a_g3_29-nonnv*a_mai)*tk_cxit_gb300+nonnv*a_mai*nv_hold_mai*tk_cxit_vr200+(1-a_g3_29)*tk_cxit_vr200)</f>
        <v>35.7070344</v>
      </c>
      <c r="I4885" s="8" t="n">
        <f aca="false">((a_g3_29-nonnv*a_mai)*tk_cxit_gb300+nonnv*a_mai*nv_hold_mai*tk_cxit_vr200+(1-a_g3_29)*tk_cxit_vr200)</f>
        <v>35.7070344</v>
      </c>
      <c r="J4885" s="8" t="n">
        <f aca="false">((a_g3_29-nonnv*a_mai)*tk_cxit_gb300+nonnv*a_mai*nv_hold_mai*tk_cxit_vr200+(1-a_g3_29)*tk_cxit_vr200)</f>
        <v>35.7070344</v>
      </c>
      <c r="K4885" s="8" t="n">
        <f aca="false">((a_g3_29-nonnv*a_mai)*tk_cxit_gb300+nonnv*a_mai*nv_hold_mai*tk_cxit_vr200+(1-a_g3_29)*tk_cxit_vr200)</f>
        <v>35.7070344</v>
      </c>
      <c r="L4885" s="12" t="s">
        <v>988</v>
      </c>
    </row>
    <row r="4886" customFormat="false" ht="17.15" hidden="false" customHeight="false" outlineLevel="0" collapsed="false">
      <c r="A4886" s="0" t="s">
        <v>989</v>
      </c>
      <c r="B4886" s="0" t="s">
        <v>456</v>
      </c>
      <c r="F4886" s="30" t="n">
        <f aca="false">Sens!C4865*IF(Sens!F4858-Sens!C4858=life_it_hi,1,0)+Sens!D4865*IF(Sens!F4858-Sens!D4858=life_it_hi,1,0)+Sens!E4865*IF(Sens!F4858-Sens!E4858=life_it_hi,1,0)</f>
        <v>0</v>
      </c>
      <c r="G4886" s="30" t="n">
        <f aca="false">Sens!C4865*IF(Sens!G4858-Sens!C4858=life_it_hi,1,0)+Sens!D4865*IF(Sens!G4858-Sens!D4858=life_it_hi,1,0)+Sens!E4865*IF(Sens!G4858-Sens!E4858=life_it_hi,1,0)+Sens!F4865*IF(Sens!G4858-Sens!F4858=life_it_hi,1,0)</f>
        <v>0</v>
      </c>
      <c r="H4886" s="30" t="n">
        <f aca="false">Sens!C4865*IF(Sens!H4858-Sens!C4858=life_it_hi,1,0)+Sens!D4865*IF(Sens!H4858-Sens!D4858=life_it_hi,1,0)+Sens!E4865*IF(Sens!H4858-Sens!E4858=life_it_hi,1,0)+Sens!F4865*IF(Sens!H4858-Sens!F4858=life_it_hi,1,0)+Sens!G4865*IF(Sens!H4858-Sens!G4858=life_it_hi,1,0)</f>
        <v>0</v>
      </c>
      <c r="I4886" s="30" t="n">
        <f aca="false">Sens!C4865*IF(Sens!I4858-Sens!C4858=life_it_hi,1,0)+Sens!D4865*IF(Sens!I4858-Sens!D4858=life_it_hi,1,0)+Sens!E4865*IF(Sens!I4858-Sens!E4858=life_it_hi,1,0)+Sens!F4865*IF(Sens!I4858-Sens!F4858=life_it_hi,1,0)+Sens!G4865*IF(Sens!I4858-Sens!G4858=life_it_hi,1,0)+Sens!H4865*IF(Sens!I4858-Sens!H4858=life_it_hi,1,0)</f>
        <v>0</v>
      </c>
      <c r="J4886" s="30" t="n">
        <f aca="false">Sens!C4865*IF(Sens!J4858-Sens!C4858=life_it_hi,1,0)+Sens!D4865*IF(Sens!J4858-Sens!D4858=life_it_hi,1,0)+Sens!E4865*IF(Sens!J4858-Sens!E4858=life_it_hi,1,0)+Sens!F4865*IF(Sens!J4858-Sens!F4858=life_it_hi,1,0)+Sens!G4865*IF(Sens!J4858-Sens!G4858=life_it_hi,1,0)+Sens!H4865*IF(Sens!J4858-Sens!H4858=life_it_hi,1,0)+Sens!I4865*IF(Sens!J4858-Sens!I4858=life_it_hi,1,0)</f>
        <v>816.666666666667</v>
      </c>
      <c r="K4886" s="30" t="n">
        <f aca="false">Sens!C4865*IF(Sens!K4858-Sens!C4858=life_it_hi,1,0)+Sens!D4865*IF(Sens!K4858-Sens!D4858=life_it_hi,1,0)+Sens!E4865*IF(Sens!K4858-Sens!E4858=life_it_hi,1,0)+Sens!F4865*IF(Sens!K4858-Sens!F4858=life_it_hi,1,0)+Sens!G4865*IF(Sens!K4858-Sens!G4858=life_it_hi,1,0)+Sens!H4865*IF(Sens!K4858-Sens!H4858=life_it_hi,1,0)+Sens!I4865*IF(Sens!K4858-Sens!I4858=life_it_hi,1,0)+Sens!J4865*IF(Sens!K4858-Sens!J4858=life_it_hi,1,0)</f>
        <v>1233.33333333333</v>
      </c>
      <c r="L4886" s="1" t="s">
        <v>990</v>
      </c>
    </row>
    <row r="4887" customFormat="false" ht="17.15" hidden="false" customHeight="false" outlineLevel="0" collapsed="false">
      <c r="A4887" s="0" t="s">
        <v>991</v>
      </c>
      <c r="B4887" s="0" t="s">
        <v>98</v>
      </c>
      <c r="C4887" s="6" t="n">
        <f aca="false">Sens!C4865*Sens!C4885/1000</f>
        <v>22.5333845916667</v>
      </c>
      <c r="D4887" s="6" t="n">
        <f aca="false">Sens!D4865*Sens!D4885/1000</f>
        <v>34.0300093833333</v>
      </c>
      <c r="E4887" s="6" t="n">
        <f aca="false">Sens!E4865*Sens!E4885/1000</f>
        <v>67.600153775</v>
      </c>
      <c r="F4887" s="6" t="n">
        <f aca="false">(Sens!F4865+Sens!F4886)*Sens!F4885/1000</f>
        <v>136.51872432512</v>
      </c>
      <c r="G4887" s="6" t="n">
        <f aca="false">(Sens!G4865+Sens!G4886)*Sens!G4885/1000</f>
        <v>157.399275932048</v>
      </c>
      <c r="H4887" s="6" t="n">
        <f aca="false">(Sens!H4865+Sens!H4886)*Sens!H4885/1000</f>
        <v>162.260804347512</v>
      </c>
      <c r="I4887" s="6" t="n">
        <f aca="false">(Sens!I4865+Sens!I4886)*Sens!I4885/1000</f>
        <v>114.975824725434</v>
      </c>
      <c r="J4887" s="6" t="n">
        <f aca="false">(Sens!J4865+Sens!J4886)*Sens!J4885/1000</f>
        <v>99.1511063578636</v>
      </c>
      <c r="K4887" s="6" t="n">
        <f aca="false">(Sens!K4865+Sens!K4886)*Sens!K4885/1000</f>
        <v>69.993526830975</v>
      </c>
    </row>
    <row r="4888" customFormat="false" ht="17.15" hidden="false" customHeight="false" outlineLevel="0" collapsed="false">
      <c r="A4888" s="0" t="s">
        <v>992</v>
      </c>
      <c r="B4888" s="0" t="s">
        <v>98</v>
      </c>
      <c r="C4888" s="6" t="n">
        <f aca="false">Sens!C4865*self_build*tk_cxfac/1000</f>
        <v>6.2083</v>
      </c>
      <c r="D4888" s="6" t="n">
        <f aca="false">Sens!D4865*self_build*tk_cxfac/1000</f>
        <v>9.3758</v>
      </c>
      <c r="E4888" s="6" t="n">
        <f aca="false">Sens!E4865*self_build*tk_cxfac/1000</f>
        <v>18.6249</v>
      </c>
      <c r="F4888" s="6" t="n">
        <f aca="false">Sens!F4865*self_build*tk_cxfac/1000</f>
        <v>31.935179717</v>
      </c>
      <c r="G4888" s="6" t="n">
        <f aca="false">Sens!G4865*self_build*tk_cxfac/1000</f>
        <v>34.545199717</v>
      </c>
      <c r="H4888" s="6" t="n">
        <f aca="false">Sens!H4865*self_build*tk_cxfac/1000</f>
        <v>34.545199717</v>
      </c>
      <c r="I4888" s="6" t="n">
        <f aca="false">Sens!I4865*self_build*tk_cxfac/1000</f>
        <v>24.4782641361767</v>
      </c>
      <c r="J4888" s="6" t="n">
        <f aca="false">Sens!J4865*self_build*tk_cxfac/1000</f>
        <v>14.9008938380769</v>
      </c>
      <c r="K4888" s="6" t="n">
        <f aca="false">Sens!K4865*self_build*tk_cxfac/1000</f>
        <v>5.52576771375761</v>
      </c>
    </row>
    <row r="4889" customFormat="false" ht="17.15" hidden="false" customHeight="false" outlineLevel="0" collapsed="false">
      <c r="A4889" s="0" t="s">
        <v>993</v>
      </c>
      <c r="B4889" s="0" t="s">
        <v>98</v>
      </c>
      <c r="F4889" s="15" t="n">
        <f aca="false">capex_floor27-Sens!F4887-Sens!F4888-Sens!F4985</f>
        <v>0.0475774452575593</v>
      </c>
      <c r="L4889" s="12" t="s">
        <v>994</v>
      </c>
    </row>
    <row r="4890" customFormat="false" ht="17.15" hidden="false" customHeight="false" outlineLevel="0" collapsed="false">
      <c r="A4890" s="0" t="s">
        <v>995</v>
      </c>
      <c r="B4890" s="0" t="s">
        <v>98</v>
      </c>
      <c r="F4890" s="6" t="n">
        <f aca="false">MAX(0,Sens!F4889)</f>
        <v>0.0475774452575593</v>
      </c>
    </row>
    <row r="4891" customFormat="false" ht="17.15" hidden="false" customHeight="false" outlineLevel="0" collapsed="false">
      <c r="A4891" s="0" t="s">
        <v>996</v>
      </c>
      <c r="B4891" s="0" t="s">
        <v>98</v>
      </c>
      <c r="C4891" s="6" t="n">
        <f aca="false">Sens!C4887</f>
        <v>22.5333845916667</v>
      </c>
      <c r="D4891" s="6" t="n">
        <f aca="false">Sens!D4887</f>
        <v>34.0300093833333</v>
      </c>
      <c r="E4891" s="6" t="n">
        <f aca="false">Sens!E4887</f>
        <v>67.600153775</v>
      </c>
      <c r="F4891" s="6" t="n">
        <f aca="false">Sens!F4887</f>
        <v>136.51872432512</v>
      </c>
      <c r="G4891" s="6" t="n">
        <f aca="false">Sens!G4887</f>
        <v>157.399275932048</v>
      </c>
      <c r="H4891" s="6" t="n">
        <f aca="false">Sens!H4887</f>
        <v>162.260804347512</v>
      </c>
      <c r="I4891" s="6" t="n">
        <f aca="false">Sens!I4887</f>
        <v>114.975824725434</v>
      </c>
      <c r="J4891" s="6" t="n">
        <f aca="false">Sens!J4887</f>
        <v>99.1511063578636</v>
      </c>
      <c r="K4891" s="6" t="n">
        <f aca="false">Sens!K4887</f>
        <v>69.993526830975</v>
      </c>
    </row>
    <row r="4892" customFormat="false" ht="17.15" hidden="false" customHeight="false" outlineLevel="0" collapsed="false">
      <c r="A4892" s="0" t="s">
        <v>997</v>
      </c>
      <c r="B4892" s="0" t="s">
        <v>98</v>
      </c>
      <c r="C4892" s="6" t="n">
        <f aca="false">Sens!C4891+Sens!C4888</f>
        <v>28.7416845916667</v>
      </c>
      <c r="D4892" s="6" t="n">
        <f aca="false">Sens!D4891+Sens!D4888</f>
        <v>43.4058093833333</v>
      </c>
      <c r="E4892" s="6" t="n">
        <f aca="false">Sens!E4891+Sens!E4888</f>
        <v>86.225053775</v>
      </c>
      <c r="F4892" s="6" t="n">
        <f aca="false">Sens!F4891+Sens!F4888</f>
        <v>168.45390404212</v>
      </c>
      <c r="G4892" s="6" t="n">
        <f aca="false">Sens!G4891+Sens!G4888</f>
        <v>191.944475649048</v>
      </c>
      <c r="H4892" s="6" t="n">
        <f aca="false">Sens!H4891+Sens!H4888</f>
        <v>196.806004064512</v>
      </c>
      <c r="I4892" s="6" t="n">
        <f aca="false">Sens!I4891+Sens!I4888</f>
        <v>139.45408886161</v>
      </c>
      <c r="J4892" s="6" t="n">
        <f aca="false">Sens!J4891+Sens!J4888</f>
        <v>114.05200019594</v>
      </c>
      <c r="K4892" s="6" t="n">
        <f aca="false">Sens!K4891+Sens!K4888</f>
        <v>75.5192945447327</v>
      </c>
      <c r="L4892" s="12" t="s">
        <v>998</v>
      </c>
    </row>
    <row r="4893" customFormat="false" ht="17.15" hidden="false" customHeight="false" outlineLevel="0" collapsed="false">
      <c r="A4893" s="0" t="s">
        <v>999</v>
      </c>
      <c r="B4893" s="0" t="s">
        <v>98</v>
      </c>
      <c r="E4893" s="6" t="n">
        <f aca="false">(Sens!C4891*IF(2&lt;life_it_hi,1,IF(2=life_it_hi,0.5,0))+Sens!D4891*IF(1&lt;life_it_hi,1,IF(1=life_it_hi,0.5,0))+Sens!E4891*0.5)/life_it_hi</f>
        <v>12.9090672660714</v>
      </c>
      <c r="F4893" s="6" t="n">
        <f aca="false">(Sens!C4891*IF(3&lt;life_it_hi,1,IF(3=life_it_hi,0.5,0))+Sens!D4891*IF(2&lt;life_it_hi,1,IF(2=life_it_hi,0.5,0))+Sens!E4891*IF(1&lt;life_it_hi,1,IF(1=life_it_hi,0.5,0))+Sens!F4891*0.5)/life_it_hi</f>
        <v>27.4889871303657</v>
      </c>
      <c r="G4893" s="6" t="n">
        <f aca="false">(Sens!C4891*IF(4&lt;life_it_hi,1,IF(4=life_it_hi,0.5,0))+Sens!D4891*IF(3&lt;life_it_hi,1,IF(3=life_it_hi,0.5,0))+Sens!E4891*IF(2&lt;life_it_hi,1,IF(2=life_it_hi,0.5,0))+Sens!F4891*IF(1&lt;life_it_hi,1,IF(1=life_it_hi,0.5,0))+Sens!G4891*0.5)/life_it_hi</f>
        <v>48.4831300058777</v>
      </c>
      <c r="H4893" s="6" t="n">
        <f aca="false">(Sens!C4891*IF(5&lt;life_it_hi,1,IF(5=life_it_hi,0.5,0))+Sens!D4891*IF(4&lt;life_it_hi,1,IF(4=life_it_hi,0.5,0))+Sens!E4891*IF(3&lt;life_it_hi,1,IF(3=life_it_hi,0.5,0))+Sens!F4891*IF(2&lt;life_it_hi,1,IF(2=life_it_hi,0.5,0))+Sens!G4891*IF(1&lt;life_it_hi,1,IF(1=life_it_hi,0.5,0))+Sens!H4891*0.5)/life_it_hi</f>
        <v>71.3159928829891</v>
      </c>
      <c r="I4893" s="6" t="n">
        <f aca="false">(Sens!C4891*IF(6&lt;life_it_hi,1,IF(6=life_it_hi,0.5,0))+Sens!D4891*IF(5&lt;life_it_hi,1,IF(5=life_it_hi,0.5,0))+Sens!E4891*IF(4&lt;life_it_hi,1,IF(4=life_it_hi,0.5,0))+Sens!F4891*IF(3&lt;life_it_hi,1,IF(3=life_it_hi,0.5,0))+Sens!G4891*IF(2&lt;life_it_hi,1,IF(2=life_it_hi,0.5,0))+Sens!H4891*IF(1&lt;life_it_hi,1,IF(1=life_it_hi,0.5,0))+Sens!I4891*0.5)/life_it_hi</f>
        <v>91.1186092453424</v>
      </c>
      <c r="J4893" s="6" t="n">
        <f aca="false">(Sens!C4891*IF(7&lt;life_it_hi,1,IF(7=life_it_hi,0.5,0))+Sens!D4891*IF(6&lt;life_it_hi,1,IF(6=life_it_hi,0.5,0))+Sens!E4891*IF(5&lt;life_it_hi,1,IF(5=life_it_hi,0.5,0))+Sens!F4891*IF(4&lt;life_it_hi,1,IF(4=life_it_hi,0.5,0))+Sens!G4891*IF(3&lt;life_it_hi,1,IF(3=life_it_hi,0.5,0))+Sens!H4891*IF(2&lt;life_it_hi,1,IF(2=life_it_hi,0.5,0))+Sens!I4891*IF(1&lt;life_it_hi,1,IF(1=life_it_hi,0.5,0))+Sens!J4891*0.5)/life_it_hi</f>
        <v>104.803862566173</v>
      </c>
      <c r="K4893" s="6" t="n">
        <f aca="false">(Sens!C4891*IF(8&lt;life_it_hi,1,IF(8=life_it_hi,0.5,0))+Sens!D4891*IF(7&lt;life_it_hi,1,IF(7=life_it_hi,0.5,0))+Sens!E4891*IF(6&lt;life_it_hi,1,IF(6=life_it_hi,0.5,0))+Sens!F4891*IF(5&lt;life_it_hi,1,IF(5=life_it_hi,0.5,0))+Sens!G4891*IF(4&lt;life_it_hi,1,IF(4=life_it_hi,0.5,0))+Sens!H4891*IF(3&lt;life_it_hi,1,IF(3=life_it_hi,0.5,0))+Sens!I4891*IF(2&lt;life_it_hi,1,IF(2=life_it_hi,0.5,0))+Sens!J4891*IF(1&lt;life_it_hi,1,IF(1=life_it_hi,0.5,0))+Sens!K4891*0.5)/life_it_hi</f>
        <v>112.845379652876</v>
      </c>
    </row>
    <row r="4894" customFormat="false" ht="17.15" hidden="false" customHeight="false" outlineLevel="0" collapsed="false">
      <c r="A4894" s="0" t="s">
        <v>1000</v>
      </c>
      <c r="B4894" s="0" t="s">
        <v>98</v>
      </c>
      <c r="E4894" s="6" t="n">
        <f aca="false">(Sens!C4888*IF(2&lt;life_fac,1,IF(2=life_fac,0.5,0))+Sens!D4888*IF(1&lt;life_fac,1,IF(1=life_fac,0.5,0))+Sens!E4888*0.5)/life_fac</f>
        <v>1.2448275</v>
      </c>
      <c r="F4894" s="6" t="n">
        <f aca="false">(Sens!C4888*IF(3&lt;life_fac,1,IF(3=life_fac,0.5,0))+Sens!D4888*IF(2&lt;life_fac,1,IF(2=life_fac,0.5,0))+Sens!E4888*IF(1&lt;life_fac,1,IF(1=life_fac,0.5,0))+Sens!F4888*0.5)/life_fac</f>
        <v>2.508829492925</v>
      </c>
      <c r="G4894" s="6" t="n">
        <f aca="false">(Sens!C4888*IF(4&lt;life_fac,1,IF(4=life_fac,0.5,0))+Sens!D4888*IF(3&lt;life_fac,1,IF(3=life_fac,0.5,0))+Sens!E4888*IF(2&lt;life_fac,1,IF(2=life_fac,0.5,0))+Sens!F4888*IF(1&lt;life_fac,1,IF(1=life_fac,0.5,0))+Sens!G4888*0.5)/life_fac</f>
        <v>4.170838978775</v>
      </c>
      <c r="H4894" s="6" t="n">
        <f aca="false">(Sens!C4888*IF(5&lt;life_fac,1,IF(5=life_fac,0.5,0))+Sens!D4888*IF(4&lt;life_fac,1,IF(4=life_fac,0.5,0))+Sens!E4888*IF(3&lt;life_fac,1,IF(3=life_fac,0.5,0))+Sens!F4888*IF(2&lt;life_fac,1,IF(2=life_fac,0.5,0))+Sens!G4888*IF(1&lt;life_fac,1,IF(1=life_fac,0.5,0))+Sens!H4888*0.5)/life_fac</f>
        <v>5.898098964625</v>
      </c>
      <c r="I4894" s="6" t="n">
        <f aca="false">(Sens!C4888*IF(6&lt;life_fac,1,IF(6=life_fac,0.5,0))+Sens!D4888*IF(5&lt;life_fac,1,IF(5=life_fac,0.5,0))+Sens!E4888*IF(4&lt;life_fac,1,IF(4=life_fac,0.5,0))+Sens!F4888*IF(3&lt;life_fac,1,IF(3=life_fac,0.5,0))+Sens!G4888*IF(2&lt;life_fac,1,IF(2=life_fac,0.5,0))+Sens!H4888*IF(1&lt;life_fac,1,IF(1=life_fac,0.5,0))+Sens!I4888*0.5)/life_fac</f>
        <v>7.37368556095442</v>
      </c>
      <c r="J4894" s="6" t="n">
        <f aca="false">(Sens!C4888*IF(7&lt;life_fac,1,IF(7=life_fac,0.5,0))+Sens!D4888*IF(6&lt;life_fac,1,IF(6=life_fac,0.5,0))+Sens!E4888*IF(5&lt;life_fac,1,IF(5=life_fac,0.5,0))+Sens!F4888*IF(4&lt;life_fac,1,IF(4=life_fac,0.5,0))+Sens!G4888*IF(3&lt;life_fac,1,IF(3=life_fac,0.5,0))+Sens!H4888*IF(2&lt;life_fac,1,IF(2=life_fac,0.5,0))+Sens!I4888*IF(1&lt;life_fac,1,IF(1=life_fac,0.5,0))+Sens!J4888*0.5)/life_fac</f>
        <v>8.35816451031075</v>
      </c>
      <c r="K4894" s="6" t="n">
        <f aca="false">(Sens!C4888*IF(8&lt;life_fac,1,IF(8=life_fac,0.5,0))+Sens!D4888*IF(7&lt;life_fac,1,IF(7=life_fac,0.5,0))+Sens!E4888*IF(6&lt;life_fac,1,IF(6=life_fac,0.5,0))+Sens!F4888*IF(5&lt;life_fac,1,IF(5=life_fac,0.5,0))+Sens!G4888*IF(4&lt;life_fac,1,IF(4=life_fac,0.5,0))+Sens!H4888*IF(3&lt;life_fac,1,IF(3=life_fac,0.5,0))+Sens!I4888*IF(2&lt;life_fac,1,IF(2=life_fac,0.5,0))+Sens!J4888*IF(1&lt;life_fac,1,IF(1=life_fac,0.5,0))+Sens!K4888*0.5)/life_fac</f>
        <v>8.86883104910662</v>
      </c>
    </row>
    <row r="4895" customFormat="false" ht="17.15" hidden="false" customHeight="false" outlineLevel="0" collapsed="false">
      <c r="A4895" s="0" t="s">
        <v>1001</v>
      </c>
      <c r="B4895" s="0" t="s">
        <v>98</v>
      </c>
      <c r="E4895" s="6" t="n">
        <f aca="false">Sens!E4893+Sens!E4894</f>
        <v>14.1538947660714</v>
      </c>
      <c r="F4895" s="6" t="n">
        <f aca="false">Sens!F4893+Sens!F4894</f>
        <v>29.9978166232907</v>
      </c>
      <c r="G4895" s="6" t="n">
        <f aca="false">Sens!G4893+Sens!G4894</f>
        <v>52.6539689846527</v>
      </c>
      <c r="H4895" s="6" t="n">
        <f aca="false">Sens!H4893+Sens!H4894</f>
        <v>77.2140918476141</v>
      </c>
      <c r="I4895" s="6" t="n">
        <f aca="false">Sens!I4893+Sens!I4894</f>
        <v>98.4922948062968</v>
      </c>
      <c r="J4895" s="6" t="n">
        <f aca="false">Sens!J4893+Sens!J4894</f>
        <v>113.162027076484</v>
      </c>
      <c r="K4895" s="6" t="n">
        <f aca="false">Sens!K4893+Sens!K4894</f>
        <v>121.714210701983</v>
      </c>
    </row>
    <row r="4896" customFormat="false" ht="17.15" hidden="false" customHeight="false" outlineLevel="0" collapsed="false">
      <c r="A4896" s="0" t="s">
        <v>1002</v>
      </c>
      <c r="B4896" s="0" t="s">
        <v>98</v>
      </c>
      <c r="E4896" s="6" t="n">
        <f aca="false">Sens!E4883-Sens!E4882*Sens!E4895</f>
        <v>10.2179856263809</v>
      </c>
      <c r="F4896" s="6" t="n">
        <f aca="false">Sens!F4883-Sens!F4882*Sens!F4895</f>
        <v>25.2175194389644</v>
      </c>
      <c r="G4896" s="6" t="n">
        <f aca="false">Sens!G4883-Sens!G4882*Sens!G4895</f>
        <v>48.1280658681613</v>
      </c>
      <c r="H4896" s="6" t="n">
        <f aca="false">Sens!H4883-Sens!H4882*Sens!H4895</f>
        <v>76.4793092230331</v>
      </c>
      <c r="I4896" s="6" t="n">
        <f aca="false">Sens!I4883-Sens!I4882*Sens!I4895</f>
        <v>95.1361997881983</v>
      </c>
      <c r="J4896" s="6" t="n">
        <f aca="false">Sens!J4883-Sens!J4882*Sens!J4895</f>
        <v>108.490420124602</v>
      </c>
      <c r="K4896" s="6" t="n">
        <f aca="false">Sens!K4883-Sens!K4882*Sens!K4895</f>
        <v>116.006344131512</v>
      </c>
    </row>
    <row r="4897" customFormat="false" ht="17.15" hidden="false" customHeight="false" outlineLevel="0" collapsed="false">
      <c r="A4897" s="3" t="s">
        <v>1601</v>
      </c>
    </row>
    <row r="4898" customFormat="false" ht="15" hidden="false" customHeight="false" outlineLevel="0" collapsed="false">
      <c r="A4898" s="4" t="s">
        <v>43</v>
      </c>
      <c r="B4898" s="4" t="s">
        <v>65</v>
      </c>
      <c r="C4898" s="23" t="s">
        <v>938</v>
      </c>
      <c r="D4898" s="23" t="s">
        <v>939</v>
      </c>
      <c r="E4898" s="23" t="s">
        <v>940</v>
      </c>
      <c r="F4898" s="23" t="s">
        <v>941</v>
      </c>
      <c r="G4898" s="23" t="s">
        <v>942</v>
      </c>
      <c r="H4898" s="23" t="s">
        <v>943</v>
      </c>
      <c r="I4898" s="23" t="s">
        <v>944</v>
      </c>
      <c r="J4898" s="23" t="s">
        <v>945</v>
      </c>
      <c r="K4898" s="23" t="s">
        <v>946</v>
      </c>
      <c r="L4898" s="4" t="s">
        <v>47</v>
      </c>
    </row>
    <row r="4899" customFormat="false" ht="17.15" hidden="false" customHeight="false" outlineLevel="0" collapsed="false">
      <c r="A4899" s="0" t="s">
        <v>1021</v>
      </c>
      <c r="B4899" s="0" t="s">
        <v>98</v>
      </c>
      <c r="D4899" s="6" t="n">
        <f aca="false">Sens!D4877</f>
        <v>12.9359794422418</v>
      </c>
      <c r="E4899" s="6" t="n">
        <f aca="false">Sens!E4877</f>
        <v>27.8095064661409</v>
      </c>
      <c r="F4899" s="6" t="n">
        <f aca="false">Sens!F4877</f>
        <v>59.1034165651511</v>
      </c>
      <c r="G4899" s="6" t="n">
        <f aca="false">Sens!G4877</f>
        <v>103.451498789198</v>
      </c>
      <c r="H4899" s="6" t="n">
        <f aca="false">Sens!H4877</f>
        <v>153.816719989035</v>
      </c>
      <c r="I4899" s="6" t="n">
        <f aca="false">Sens!I4877</f>
        <v>191.451667077083</v>
      </c>
      <c r="J4899" s="6" t="n">
        <f aca="false">Sens!J4877</f>
        <v>217.844961464314</v>
      </c>
      <c r="K4899" s="6" t="n">
        <f aca="false">Sens!K4877</f>
        <v>232.780649448914</v>
      </c>
    </row>
    <row r="4900" customFormat="false" ht="17.15" hidden="false" customHeight="false" outlineLevel="0" collapsed="false">
      <c r="A4900" s="0" t="s">
        <v>1022</v>
      </c>
      <c r="B4900" s="0" t="s">
        <v>98</v>
      </c>
      <c r="D4900" s="6" t="n">
        <f aca="false">Q!L6-Sens!D4899</f>
        <v>59.6740205577583</v>
      </c>
      <c r="E4900" s="6" t="n">
        <f aca="false">Q!M6-Sens!E4899</f>
        <v>74.1284935338591</v>
      </c>
      <c r="F4900" s="6" t="n">
        <f aca="false">Q!$I$6+(Sens!F4899+Sens!E4900*(1+Sens!F4901))*(1-Q!$E$6/Q!M6)-Sens!F4899</f>
        <v>90.4866018070994</v>
      </c>
      <c r="G4900" s="6" t="n">
        <f aca="false">Sens!F4900*(1+Sens!G4901)</f>
        <v>107.511588557154</v>
      </c>
      <c r="H4900" s="6" t="n">
        <f aca="false">Sens!G4900*(1+Sens!H4901)</f>
        <v>124.832989325489</v>
      </c>
      <c r="I4900" s="6" t="n">
        <f aca="false">Sens!H4900*(1+Sens!I4901)</f>
        <v>141.56992589148</v>
      </c>
      <c r="J4900" s="6" t="n">
        <f aca="false">Sens!I4900*(1+Sens!J4901)</f>
        <v>156.723190479428</v>
      </c>
      <c r="K4900" s="6" t="n">
        <f aca="false">Sens!J4900*(1+Sens!K4901)</f>
        <v>169.261045717783</v>
      </c>
      <c r="L4900" s="12" t="s">
        <v>1023</v>
      </c>
    </row>
    <row r="4901" customFormat="false" ht="15" hidden="false" customHeight="false" outlineLevel="0" collapsed="false">
      <c r="A4901" s="1" t="s">
        <v>1024</v>
      </c>
      <c r="B4901" s="0" t="s">
        <v>168</v>
      </c>
      <c r="E4901" s="7" t="n">
        <f aca="false">Sens!E4900/Sens!D4900-1</f>
        <v>0.242223883039864</v>
      </c>
      <c r="F4901" s="7" t="n">
        <f aca="false">Sens!$E$4901+(glt_azo-Sens!$E$4901)*MIN(1,(Sens!F4858-base_fy)/n_conv)</f>
        <v>0.215186569199887</v>
      </c>
      <c r="G4901" s="7" t="n">
        <f aca="false">Sens!$E$4901+(glt_azo-Sens!$E$4901)*MIN(1,(Sens!G4858-base_fy)/n_conv)</f>
        <v>0.18814925535991</v>
      </c>
      <c r="H4901" s="7" t="n">
        <f aca="false">Sens!$E$4901+(glt_azo-Sens!$E$4901)*MIN(1,(Sens!H4858-base_fy)/n_conv)</f>
        <v>0.161111941519932</v>
      </c>
      <c r="I4901" s="7" t="n">
        <f aca="false">Sens!$E$4901+(glt_azo-Sens!$E$4901)*MIN(1,(Sens!I4858-base_fy)/n_conv)</f>
        <v>0.134074627679955</v>
      </c>
      <c r="J4901" s="7" t="n">
        <f aca="false">Sens!$E$4901+(glt_azo-Sens!$E$4901)*MIN(1,(Sens!J4858-base_fy)/n_conv)</f>
        <v>0.107037313839977</v>
      </c>
      <c r="K4901" s="7" t="n">
        <f aca="false">Sens!$E$4901+(glt_azo-Sens!$E$4901)*MIN(1,(Sens!K4858-base_fy)/n_conv)</f>
        <v>0.08</v>
      </c>
    </row>
    <row r="4902" customFormat="false" ht="15" hidden="false" customHeight="false" outlineLevel="0" collapsed="false">
      <c r="A4902" s="0" t="s">
        <v>1025</v>
      </c>
      <c r="B4902" s="0" t="s">
        <v>98</v>
      </c>
      <c r="D4902" s="6" t="n">
        <f aca="false">Sens!D4899+Sens!D4900</f>
        <v>72.61</v>
      </c>
      <c r="E4902" s="6" t="n">
        <f aca="false">Sens!E4899+Sens!E4900</f>
        <v>101.938</v>
      </c>
      <c r="F4902" s="6" t="n">
        <f aca="false">Sens!F4899+Sens!F4900</f>
        <v>149.59001837225</v>
      </c>
      <c r="G4902" s="6" t="n">
        <f aca="false">Sens!G4899+Sens!G4900</f>
        <v>210.963087346352</v>
      </c>
      <c r="H4902" s="6" t="n">
        <f aca="false">Sens!H4899+Sens!H4900</f>
        <v>278.649709314524</v>
      </c>
      <c r="I4902" s="6" t="n">
        <f aca="false">Sens!I4899+Sens!I4900</f>
        <v>333.021592968563</v>
      </c>
      <c r="J4902" s="6" t="n">
        <f aca="false">Sens!J4899+Sens!J4900</f>
        <v>374.568151943742</v>
      </c>
      <c r="K4902" s="6" t="n">
        <f aca="false">Sens!K4899+Sens!K4900</f>
        <v>402.041695166696</v>
      </c>
    </row>
    <row r="4903" customFormat="false" ht="17.15" hidden="false" customHeight="false" outlineLevel="0" collapsed="false">
      <c r="A4903" s="0" t="s">
        <v>1026</v>
      </c>
      <c r="B4903" s="1" t="s">
        <v>610</v>
      </c>
      <c r="C4903" s="30" t="n">
        <f aca="false">cop_s24</f>
        <v>1</v>
      </c>
      <c r="D4903" s="30" t="n">
        <f aca="false">cop_s25</f>
        <v>5</v>
      </c>
      <c r="E4903" s="30" t="n">
        <f aca="false">cop_s26</f>
        <v>30</v>
      </c>
      <c r="F4903" s="30" t="n">
        <f aca="false">Sens!E4903+cop_add_A</f>
        <v>60</v>
      </c>
      <c r="G4903" s="30" t="n">
        <f aca="false">Sens!F4903+cop_add_A</f>
        <v>90</v>
      </c>
      <c r="H4903" s="30" t="n">
        <f aca="false">Sens!G4903+cop_add_A</f>
        <v>120</v>
      </c>
      <c r="I4903" s="30" t="n">
        <f aca="false">Sens!H4903+cop_add_A*cop_tail</f>
        <v>135</v>
      </c>
      <c r="J4903" s="30" t="n">
        <f aca="false">Sens!I4903+cop_add_A*cop_tail</f>
        <v>150</v>
      </c>
      <c r="K4903" s="30" t="n">
        <f aca="false">Sens!J4903+cop_add_A*cop_tail</f>
        <v>165</v>
      </c>
      <c r="L4903" s="12" t="s">
        <v>1027</v>
      </c>
    </row>
    <row r="4904" customFormat="false" ht="17.15" hidden="false" customHeight="false" outlineLevel="0" collapsed="false">
      <c r="A4904" s="0" t="s">
        <v>1028</v>
      </c>
      <c r="B4904" s="0" t="s">
        <v>98</v>
      </c>
      <c r="D4904" s="6" t="n">
        <f aca="false">(Sens!C4903+Sens!D4903)/2*cop_px*12/1000</f>
        <v>0.9</v>
      </c>
      <c r="E4904" s="6" t="n">
        <f aca="false">(Sens!D4903+Sens!E4903)/2*cop_px*12/1000</f>
        <v>5.25</v>
      </c>
      <c r="F4904" s="6" t="n">
        <f aca="false">(Sens!E4903+Sens!F4903)/2*cop_px*12/1000</f>
        <v>13.5</v>
      </c>
      <c r="G4904" s="6" t="n">
        <f aca="false">(Sens!F4903+Sens!G4903)/2*cop_px*12/1000</f>
        <v>22.5</v>
      </c>
      <c r="H4904" s="6" t="n">
        <f aca="false">(Sens!G4903+Sens!H4903)/2*cop_px*12/1000</f>
        <v>31.5</v>
      </c>
      <c r="I4904" s="6" t="n">
        <f aca="false">(Sens!H4903+Sens!I4903)/2*cop_px*12/1000</f>
        <v>38.25</v>
      </c>
      <c r="J4904" s="6" t="n">
        <f aca="false">(Sens!I4903+Sens!J4903)/2*cop_px*12/1000</f>
        <v>42.75</v>
      </c>
      <c r="K4904" s="6" t="n">
        <f aca="false">(Sens!J4903+Sens!K4903)/2*cop_px*12/1000</f>
        <v>47.25</v>
      </c>
      <c r="L4904" s="1" t="s">
        <v>1029</v>
      </c>
    </row>
    <row r="4905" customFormat="false" ht="17.15" hidden="false" customHeight="false" outlineLevel="0" collapsed="false">
      <c r="A4905" s="0" t="s">
        <v>1030</v>
      </c>
      <c r="B4905" s="0" t="s">
        <v>98</v>
      </c>
      <c r="D4905" s="6" t="n">
        <f aca="false">Q!L7-Sens!D4904</f>
        <v>83.705</v>
      </c>
      <c r="E4905" s="6" t="n">
        <f aca="false">Q!M7-Sens!E4904</f>
        <v>95.049</v>
      </c>
      <c r="F4905" s="6" t="n">
        <f aca="false">Q!$I$7+(Sens!E4905*(1+Sens!F4906)+Sens!F4904)*(1-Q!$E$7/Q!M7)-Sens!F4904</f>
        <v>106.229653205718</v>
      </c>
      <c r="G4905" s="6" t="n">
        <f aca="false">Sens!F4905*(1+Sens!G4906)</f>
        <v>118.306092647576</v>
      </c>
      <c r="H4905" s="6" t="n">
        <f aca="false">Sens!G4905*(1+Sens!H4906)</f>
        <v>130.463437602768</v>
      </c>
      <c r="I4905" s="6" t="n">
        <f aca="false">Sens!H4905*(1+Sens!I4906)</f>
        <v>142.445354741933</v>
      </c>
      <c r="J4905" s="6" t="n">
        <f aca="false">Sens!I4905*(1+Sens!J4906)</f>
        <v>153.972117481571</v>
      </c>
      <c r="K4905" s="6" t="n">
        <f aca="false">Sens!J4905*(1+Sens!K4906)</f>
        <v>164.75016570528</v>
      </c>
      <c r="L4905" s="12" t="s">
        <v>1031</v>
      </c>
    </row>
    <row r="4906" customFormat="false" ht="15" hidden="false" customHeight="false" outlineLevel="0" collapsed="false">
      <c r="A4906" s="1" t="s">
        <v>1024</v>
      </c>
      <c r="B4906" s="0" t="s">
        <v>168</v>
      </c>
      <c r="E4906" s="7" t="n">
        <f aca="false">Sens!E4905/Sens!D4905-1</f>
        <v>0.135523564900544</v>
      </c>
      <c r="F4906" s="7" t="n">
        <f aca="false">Sens!$E$4906+(glt_m365b-Sens!$E$4906)*MIN(1,(Sens!F4858-base_fy)/n_conv)</f>
        <v>0.124602970750453</v>
      </c>
      <c r="G4906" s="7" t="n">
        <f aca="false">Sens!$E$4906+(glt_m365b-Sens!$E$4906)*MIN(1,(Sens!G4858-base_fy)/n_conv)</f>
        <v>0.113682376600363</v>
      </c>
      <c r="H4906" s="7" t="n">
        <f aca="false">Sens!$E$4906+(glt_m365b-Sens!$E$4906)*MIN(1,(Sens!H4858-base_fy)/n_conv)</f>
        <v>0.102761782450272</v>
      </c>
      <c r="I4906" s="7" t="n">
        <f aca="false">Sens!$E$4906+(glt_m365b-Sens!$E$4906)*MIN(1,(Sens!I4858-base_fy)/n_conv)</f>
        <v>0.0918411883001813</v>
      </c>
      <c r="J4906" s="7" t="n">
        <f aca="false">Sens!$E$4906+(glt_m365b-Sens!$E$4906)*MIN(1,(Sens!J4858-base_fy)/n_conv)</f>
        <v>0.0809205941500906</v>
      </c>
      <c r="K4906" s="7" t="n">
        <f aca="false">Sens!$E$4906+(glt_m365b-Sens!$E$4906)*MIN(1,(Sens!K4858-base_fy)/n_conv)</f>
        <v>0.07</v>
      </c>
    </row>
    <row r="4907" customFormat="false" ht="15" hidden="false" customHeight="false" outlineLevel="0" collapsed="false">
      <c r="A4907" s="0" t="s">
        <v>1032</v>
      </c>
      <c r="B4907" s="0" t="s">
        <v>98</v>
      </c>
      <c r="D4907" s="6" t="n">
        <f aca="false">Sens!D4905+Sens!D4904</f>
        <v>84.605</v>
      </c>
      <c r="E4907" s="6" t="n">
        <f aca="false">Sens!E4905+Sens!E4904</f>
        <v>100.299</v>
      </c>
      <c r="F4907" s="6" t="n">
        <f aca="false">Sens!F4905+Sens!F4904</f>
        <v>119.729653205718</v>
      </c>
      <c r="G4907" s="6" t="n">
        <f aca="false">Sens!G4905+Sens!G4904</f>
        <v>140.806092647576</v>
      </c>
      <c r="H4907" s="6" t="n">
        <f aca="false">Sens!H4905+Sens!H4904</f>
        <v>161.963437602768</v>
      </c>
      <c r="I4907" s="6" t="n">
        <f aca="false">Sens!I4905+Sens!I4904</f>
        <v>180.695354741933</v>
      </c>
      <c r="J4907" s="6" t="n">
        <f aca="false">Sens!J4905+Sens!J4904</f>
        <v>196.722117481571</v>
      </c>
      <c r="K4907" s="6" t="n">
        <f aca="false">Sens!K4905+Sens!K4904</f>
        <v>212.00016570528</v>
      </c>
    </row>
    <row r="4908" customFormat="false" ht="17.15" hidden="false" customHeight="false" outlineLevel="0" collapsed="false">
      <c r="A4908" s="0" t="s">
        <v>1033</v>
      </c>
      <c r="B4908" s="0" t="s">
        <v>98</v>
      </c>
      <c r="D4908" s="6" t="n">
        <f aca="false">Q!L8</f>
        <v>35.391</v>
      </c>
      <c r="E4908" s="6" t="n">
        <f aca="false">Q!M8</f>
        <v>37.285</v>
      </c>
      <c r="F4908" s="6" t="n">
        <f aca="false">Q!$I$8+(Q!M8-Q!$E$8)*(1+Sens!F4909)</f>
        <v>38.3851437782675</v>
      </c>
      <c r="G4908" s="6" t="n">
        <f aca="false">Sens!F4908*(1+Sens!G4909)</f>
        <v>40.0105353288615</v>
      </c>
      <c r="H4908" s="6" t="n">
        <f aca="false">Sens!G4908*(1+Sens!H4909)</f>
        <v>41.4812512033683</v>
      </c>
      <c r="I4908" s="6" t="n">
        <f aca="false">Sens!H4908*(1+Sens!I4909)</f>
        <v>42.7743107216329</v>
      </c>
      <c r="J4908" s="6" t="n">
        <f aca="false">Sens!I4908*(1+Sens!J4909)</f>
        <v>43.8687373064601</v>
      </c>
      <c r="K4908" s="6" t="n">
        <f aca="false">Sens!J4908*(1+Sens!K4909)</f>
        <v>44.7461120525893</v>
      </c>
      <c r="L4908" s="12" t="s">
        <v>1034</v>
      </c>
    </row>
    <row r="4909" customFormat="false" ht="15" hidden="false" customHeight="false" outlineLevel="0" collapsed="false">
      <c r="A4909" s="1" t="s">
        <v>1024</v>
      </c>
      <c r="B4909" s="0" t="s">
        <v>168</v>
      </c>
      <c r="E4909" s="7" t="n">
        <f aca="false">Sens!E4908/Sens!D4908-1</f>
        <v>0.0535164307309768</v>
      </c>
      <c r="F4909" s="7" t="n">
        <f aca="false">Sens!$E$4909+(glt_lic-Sens!$E$4909)*MIN(1,(Sens!F4858-base_fy)/n_conv)</f>
        <v>0.0479303589424807</v>
      </c>
      <c r="G4909" s="7" t="n">
        <f aca="false">Sens!$E$4909+(glt_lic-Sens!$E$4909)*MIN(1,(Sens!G4858-base_fy)/n_conv)</f>
        <v>0.0423442871539845</v>
      </c>
      <c r="H4909" s="7" t="n">
        <f aca="false">Sens!$E$4909+(glt_lic-Sens!$E$4909)*MIN(1,(Sens!H4858-base_fy)/n_conv)</f>
        <v>0.0367582153654884</v>
      </c>
      <c r="I4909" s="7" t="n">
        <f aca="false">Sens!$E$4909+(glt_lic-Sens!$E$4909)*MIN(1,(Sens!I4858-base_fy)/n_conv)</f>
        <v>0.0311721435769923</v>
      </c>
      <c r="J4909" s="7" t="n">
        <f aca="false">Sens!$E$4909+(glt_lic-Sens!$E$4909)*MIN(1,(Sens!J4858-base_fy)/n_conv)</f>
        <v>0.0255860717884961</v>
      </c>
      <c r="K4909" s="7" t="n">
        <f aca="false">Sens!$E$4909+(glt_lic-Sens!$E$4909)*MIN(1,(Sens!K4858-base_fy)/n_conv)</f>
        <v>0.02</v>
      </c>
    </row>
    <row r="4910" customFormat="false" ht="17.15" hidden="false" customHeight="false" outlineLevel="0" collapsed="false">
      <c r="A4910" s="0" t="s">
        <v>1035</v>
      </c>
      <c r="B4910" s="0" t="s">
        <v>98</v>
      </c>
      <c r="D4910" s="6" t="n">
        <f aca="false">Q!L9</f>
        <v>18.417</v>
      </c>
      <c r="E4910" s="6" t="n">
        <f aca="false">Q!M9</f>
        <v>20.345</v>
      </c>
      <c r="F4910" s="6" t="n">
        <f aca="false">Q!$I$9+(Q!M9-Q!$E$9)*(1+Sens!F4911)</f>
        <v>22.3161797133988</v>
      </c>
      <c r="G4910" s="6" t="n">
        <f aca="false">Sens!F4910*(1+Sens!G4911)</f>
        <v>24.3943499673233</v>
      </c>
      <c r="H4910" s="6" t="n">
        <f aca="false">Sens!G4910*(1+Sens!H4911)</f>
        <v>26.5250243109019</v>
      </c>
      <c r="I4910" s="6" t="n">
        <f aca="false">Sens!H4910*(1+Sens!I4911)</f>
        <v>28.6884573538181</v>
      </c>
      <c r="J4910" s="6" t="n">
        <f aca="false">Sens!I4910*(1+Sens!J4911)</f>
        <v>30.8624968052127</v>
      </c>
      <c r="K4910" s="6" t="n">
        <f aca="false">Sens!J4910*(1+Sens!K4911)</f>
        <v>33.0228715815776</v>
      </c>
      <c r="L4910" s="12" t="s">
        <v>1034</v>
      </c>
    </row>
    <row r="4911" customFormat="false" ht="15" hidden="false" customHeight="false" outlineLevel="0" collapsed="false">
      <c r="A4911" s="1" t="s">
        <v>1024</v>
      </c>
      <c r="B4911" s="0" t="s">
        <v>168</v>
      </c>
      <c r="E4911" s="7" t="n">
        <f aca="false">Sens!E4910/Sens!D4910-1</f>
        <v>0.104685888038225</v>
      </c>
      <c r="F4911" s="7" t="n">
        <f aca="false">Sens!$E$4911+(glt_ind-Sens!$E$4911)*MIN(1,(Sens!F4858-base_fy)/n_conv)</f>
        <v>0.0989049066985211</v>
      </c>
      <c r="G4911" s="7" t="n">
        <f aca="false">Sens!$E$4911+(glt_ind-Sens!$E$4911)*MIN(1,(Sens!G4858-base_fy)/n_conv)</f>
        <v>0.0931239253588169</v>
      </c>
      <c r="H4911" s="7" t="n">
        <f aca="false">Sens!$E$4911+(glt_ind-Sens!$E$4911)*MIN(1,(Sens!H4858-base_fy)/n_conv)</f>
        <v>0.0873429440191127</v>
      </c>
      <c r="I4911" s="7" t="n">
        <f aca="false">Sens!$E$4911+(glt_ind-Sens!$E$4911)*MIN(1,(Sens!I4858-base_fy)/n_conv)</f>
        <v>0.0815619626794085</v>
      </c>
      <c r="J4911" s="7" t="n">
        <f aca="false">Sens!$E$4911+(glt_ind-Sens!$E$4911)*MIN(1,(Sens!J4858-base_fy)/n_conv)</f>
        <v>0.0757809813397042</v>
      </c>
      <c r="K4911" s="7" t="n">
        <f aca="false">Sens!$E$4911+(glt_ind-Sens!$E$4911)*MIN(1,(Sens!K4858-base_fy)/n_conv)</f>
        <v>0.07</v>
      </c>
    </row>
    <row r="4912" customFormat="false" ht="17.15" hidden="false" customHeight="false" outlineLevel="0" collapsed="false">
      <c r="A4912" s="0" t="s">
        <v>1036</v>
      </c>
      <c r="B4912" s="0" t="s">
        <v>98</v>
      </c>
      <c r="D4912" s="6" t="n">
        <f aca="false">Q!L10</f>
        <v>7.76</v>
      </c>
      <c r="E4912" s="6" t="n">
        <f aca="false">Q!M10</f>
        <v>8.26</v>
      </c>
      <c r="F4912" s="6" t="n">
        <f aca="false">Q!$I$10+(Q!M10-Q!$E$10)*(1+Sens!F4913)</f>
        <v>8.75372082474227</v>
      </c>
      <c r="G4912" s="6" t="n">
        <f aca="false">Sens!F4912*(1+Sens!G4913)</f>
        <v>9.33399324642364</v>
      </c>
      <c r="H4912" s="6" t="n">
        <f aca="false">Sens!G4912*(1+Sens!H4913)</f>
        <v>9.96139155535851</v>
      </c>
      <c r="I4912" s="6" t="n">
        <f aca="false">Sens!H4912*(1+Sens!I4913)</f>
        <v>10.6402039077391</v>
      </c>
      <c r="J4912" s="6" t="n">
        <f aca="false">Sens!I4912*(1+Sens!J4913)</f>
        <v>11.3751458271397</v>
      </c>
      <c r="K4912" s="6" t="n">
        <f aca="false">Sens!J4912*(1+Sens!K4913)</f>
        <v>12.1714060350394</v>
      </c>
      <c r="L4912" s="12" t="s">
        <v>1034</v>
      </c>
    </row>
    <row r="4913" customFormat="false" ht="15" hidden="false" customHeight="false" outlineLevel="0" collapsed="false">
      <c r="A4913" s="1" t="s">
        <v>1024</v>
      </c>
      <c r="B4913" s="0" t="s">
        <v>168</v>
      </c>
      <c r="E4913" s="7" t="n">
        <f aca="false">Sens!E4912/Sens!D4912-1</f>
        <v>0.0644329896907216</v>
      </c>
      <c r="F4913" s="7" t="n">
        <f aca="false">Sens!$E$4913+(glt_fro-Sens!$E$4913)*MIN(1,(Sens!F4858-base_fy)/n_conv)</f>
        <v>0.065360824742268</v>
      </c>
      <c r="G4913" s="7" t="n">
        <f aca="false">Sens!$E$4913+(glt_fro-Sens!$E$4913)*MIN(1,(Sens!G4858-base_fy)/n_conv)</f>
        <v>0.0662886597938144</v>
      </c>
      <c r="H4913" s="7" t="n">
        <f aca="false">Sens!$E$4913+(glt_fro-Sens!$E$4913)*MIN(1,(Sens!H4858-base_fy)/n_conv)</f>
        <v>0.0672164948453608</v>
      </c>
      <c r="I4913" s="7" t="n">
        <f aca="false">Sens!$E$4913+(glt_fro-Sens!$E$4913)*MIN(1,(Sens!I4858-base_fy)/n_conv)</f>
        <v>0.0681443298969072</v>
      </c>
      <c r="J4913" s="7" t="n">
        <f aca="false">Sens!$E$4913+(glt_fro-Sens!$E$4913)*MIN(1,(Sens!J4858-base_fy)/n_conv)</f>
        <v>0.0690721649484536</v>
      </c>
      <c r="K4913" s="7" t="n">
        <f aca="false">Sens!$E$4913+(glt_fro-Sens!$E$4913)*MIN(1,(Sens!K4858-base_fy)/n_conv)</f>
        <v>0.07</v>
      </c>
    </row>
    <row r="4914" customFormat="false" ht="15" hidden="false" customHeight="false" outlineLevel="0" collapsed="false">
      <c r="A4914" s="0" t="s">
        <v>852</v>
      </c>
      <c r="B4914" s="0" t="s">
        <v>98</v>
      </c>
      <c r="D4914" s="6" t="n">
        <f aca="false">Sens!D4902+Sens!D4907+Sens!D4908+Sens!D4910+Sens!D4912</f>
        <v>218.783</v>
      </c>
      <c r="E4914" s="6" t="n">
        <f aca="false">Sens!E4902+Sens!E4907+Sens!E4908+Sens!E4910+Sens!E4912</f>
        <v>268.127</v>
      </c>
      <c r="F4914" s="6" t="n">
        <f aca="false">Sens!F4902+Sens!F4907+Sens!F4908+Sens!F4910+Sens!F4912</f>
        <v>338.774715894377</v>
      </c>
      <c r="G4914" s="6" t="n">
        <f aca="false">Sens!G4902+Sens!G4907+Sens!G4908+Sens!G4910+Sens!G4912</f>
        <v>425.508058536537</v>
      </c>
      <c r="H4914" s="6" t="n">
        <f aca="false">Sens!H4902+Sens!H4907+Sens!H4908+Sens!H4910+Sens!H4912</f>
        <v>518.580813986921</v>
      </c>
      <c r="I4914" s="6" t="n">
        <f aca="false">Sens!I4902+Sens!I4907+Sens!I4908+Sens!I4910+Sens!I4912</f>
        <v>595.819919693686</v>
      </c>
      <c r="J4914" s="6" t="n">
        <f aca="false">Sens!J4902+Sens!J4907+Sens!J4908+Sens!J4910+Sens!J4912</f>
        <v>657.396649364125</v>
      </c>
      <c r="K4914" s="6" t="n">
        <f aca="false">Sens!K4902+Sens!K4907+Sens!K4908+Sens!K4910+Sens!K4912</f>
        <v>703.982250541183</v>
      </c>
    </row>
    <row r="4915" customFormat="false" ht="17.15" hidden="false" customHeight="false" outlineLevel="0" collapsed="false">
      <c r="A4915" s="0" t="s">
        <v>1037</v>
      </c>
      <c r="B4915" s="0" t="s">
        <v>98</v>
      </c>
      <c r="D4915" s="6" t="n">
        <f aca="false">Q!L13</f>
        <v>22.171</v>
      </c>
      <c r="E4915" s="6" t="n">
        <f aca="false">Q!M13</f>
        <v>24.835</v>
      </c>
      <c r="F4915" s="6" t="n">
        <f aca="false">Q!$I$13+(Q!M13-Q!$E$13)*(1+Sens!F4916)</f>
        <v>27.5591895660247</v>
      </c>
      <c r="G4915" s="6" t="n">
        <f aca="false">Sens!F4915*(1+Sens!G4916)</f>
        <v>30.4098563144583</v>
      </c>
      <c r="H4915" s="6" t="n">
        <f aca="false">Sens!G4915*(1+Sens!H4916)</f>
        <v>33.3011792571777</v>
      </c>
      <c r="I4915" s="6" t="n">
        <f aca="false">Sens!H4915*(1+Sens!I4916)</f>
        <v>36.189023797112</v>
      </c>
      <c r="J4915" s="6" t="n">
        <f aca="false">Sens!I4915*(1+Sens!J4916)</f>
        <v>39.0247773769199</v>
      </c>
      <c r="K4915" s="6" t="n">
        <f aca="false">Sens!J4915*(1+Sens!K4916)</f>
        <v>41.7565117933043</v>
      </c>
      <c r="L4915" s="12" t="s">
        <v>1034</v>
      </c>
    </row>
    <row r="4916" customFormat="false" ht="15" hidden="false" customHeight="false" outlineLevel="0" collapsed="false">
      <c r="A4916" s="1" t="s">
        <v>1024</v>
      </c>
      <c r="B4916" s="0" t="s">
        <v>168</v>
      </c>
      <c r="E4916" s="7" t="n">
        <f aca="false">Sens!E4915/Sens!D4915-1</f>
        <v>0.120156961796942</v>
      </c>
      <c r="F4916" s="7" t="n">
        <f aca="false">Sens!$E$4916+(glt_srch-Sens!$E$4916)*MIN(1,(Sens!F4858-base_fy)/n_conv)</f>
        <v>0.111797468164118</v>
      </c>
      <c r="G4916" s="7" t="n">
        <f aca="false">Sens!$E$4916+(glt_srch-Sens!$E$4916)*MIN(1,(Sens!G4858-base_fy)/n_conv)</f>
        <v>0.103437974531295</v>
      </c>
      <c r="H4916" s="7" t="n">
        <f aca="false">Sens!$E$4916+(glt_srch-Sens!$E$4916)*MIN(1,(Sens!H4858-base_fy)/n_conv)</f>
        <v>0.095078480898471</v>
      </c>
      <c r="I4916" s="7" t="n">
        <f aca="false">Sens!$E$4916+(glt_srch-Sens!$E$4916)*MIN(1,(Sens!I4858-base_fy)/n_conv)</f>
        <v>0.0867189872656474</v>
      </c>
      <c r="J4916" s="7" t="n">
        <f aca="false">Sens!$E$4916+(glt_srch-Sens!$E$4916)*MIN(1,(Sens!J4858-base_fy)/n_conv)</f>
        <v>0.0783594936328237</v>
      </c>
      <c r="K4916" s="7" t="n">
        <f aca="false">Sens!$E$4916+(glt_srch-Sens!$E$4916)*MIN(1,(Sens!K4858-base_fy)/n_conv)</f>
        <v>0.07</v>
      </c>
    </row>
    <row r="4917" customFormat="false" ht="17.15" hidden="false" customHeight="false" outlineLevel="0" collapsed="false">
      <c r="A4917" s="0" t="s">
        <v>1038</v>
      </c>
      <c r="B4917" s="0" t="s">
        <v>98</v>
      </c>
      <c r="D4917" s="6" t="n">
        <f aca="false">Q!L14</f>
        <v>23.455</v>
      </c>
      <c r="E4917" s="6" t="n">
        <f aca="false">Q!M14</f>
        <v>21.79</v>
      </c>
      <c r="F4917" s="6" t="n">
        <f aca="false">Q!$I$14+(Q!M14-Q!$E$14)*(1+Sens!F4918)</f>
        <v>20.7520981041711</v>
      </c>
      <c r="G4917" s="6" t="n">
        <f aca="false">Sens!F4917*(1+Sens!G4918)</f>
        <v>19.9083593495882</v>
      </c>
      <c r="H4917" s="6" t="n">
        <f aca="false">Sens!G4917*(1+Sens!H4918)</f>
        <v>19.4008256265831</v>
      </c>
      <c r="I4917" s="6" t="n">
        <f aca="false">Sens!H4917*(1+Sens!I4918)</f>
        <v>19.200434522122</v>
      </c>
      <c r="J4917" s="6" t="n">
        <f aca="false">Sens!I4917*(1+Sens!J4918)</f>
        <v>19.2932782348507</v>
      </c>
      <c r="K4917" s="6" t="n">
        <f aca="false">Sens!J4917*(1+Sens!K4918)</f>
        <v>19.6791437995477</v>
      </c>
      <c r="L4917" s="12" t="s">
        <v>1034</v>
      </c>
    </row>
    <row r="4918" customFormat="false" ht="15" hidden="false" customHeight="false" outlineLevel="0" collapsed="false">
      <c r="A4918" s="1" t="s">
        <v>1024</v>
      </c>
      <c r="B4918" s="0" t="s">
        <v>168</v>
      </c>
      <c r="E4918" s="7" t="n">
        <f aca="false">Sens!E4917/Sens!D4917-1</f>
        <v>-0.0709869963760392</v>
      </c>
      <c r="F4918" s="7" t="n">
        <f aca="false">Sens!$E$4918+(glt_xbox-Sens!$E$4918)*MIN(1,(Sens!F4858-base_fy)/n_conv)</f>
        <v>-0.0558224969800327</v>
      </c>
      <c r="G4918" s="7" t="n">
        <f aca="false">Sens!$E$4918+(glt_xbox-Sens!$E$4918)*MIN(1,(Sens!G4858-base_fy)/n_conv)</f>
        <v>-0.0406579975840262</v>
      </c>
      <c r="H4918" s="7" t="n">
        <f aca="false">Sens!$E$4918+(glt_xbox-Sens!$E$4918)*MIN(1,(Sens!H4858-base_fy)/n_conv)</f>
        <v>-0.0254934981880196</v>
      </c>
      <c r="I4918" s="7" t="n">
        <f aca="false">Sens!$E$4918+(glt_xbox-Sens!$E$4918)*MIN(1,(Sens!I4858-base_fy)/n_conv)</f>
        <v>-0.0103289987920131</v>
      </c>
      <c r="J4918" s="7" t="n">
        <f aca="false">Sens!$E$4918+(glt_xbox-Sens!$E$4918)*MIN(1,(Sens!J4858-base_fy)/n_conv)</f>
        <v>0.00483550060399347</v>
      </c>
      <c r="K4918" s="7" t="n">
        <f aca="false">Sens!$E$4918+(glt_xbox-Sens!$E$4918)*MIN(1,(Sens!K4858-base_fy)/n_conv)</f>
        <v>0.02</v>
      </c>
    </row>
    <row r="4919" customFormat="false" ht="17.15" hidden="false" customHeight="false" outlineLevel="0" collapsed="false">
      <c r="A4919" s="0" t="s">
        <v>1039</v>
      </c>
      <c r="B4919" s="0" t="s">
        <v>98</v>
      </c>
      <c r="D4919" s="6" t="n">
        <f aca="false">Q!L15</f>
        <v>17.315</v>
      </c>
      <c r="E4919" s="6" t="n">
        <f aca="false">Q!M15</f>
        <v>17.087</v>
      </c>
      <c r="F4919" s="6" t="n">
        <f aca="false">Q!$I$15+(Q!M15-Q!$E$15)*(1+Sens!F4920)</f>
        <v>15.9912273250553</v>
      </c>
      <c r="G4919" s="6" t="n">
        <f aca="false">Sens!F4919*(1+Sens!G4920)</f>
        <v>15.9574562664827</v>
      </c>
      <c r="H4919" s="6" t="n">
        <f aca="false">Sens!G4919*(1+Sens!H4920)</f>
        <v>16.0119687434196</v>
      </c>
      <c r="I4919" s="6" t="n">
        <f aca="false">Sens!H4919*(1+Sens!I4920)</f>
        <v>16.1551810001948</v>
      </c>
      <c r="J4919" s="6" t="n">
        <f aca="false">Sens!I4919*(1+Sens!J4920)</f>
        <v>16.3889793892005</v>
      </c>
      <c r="K4919" s="6" t="n">
        <f aca="false">Sens!J4919*(1+Sens!K4920)</f>
        <v>16.7167589769845</v>
      </c>
      <c r="L4919" s="12" t="s">
        <v>1034</v>
      </c>
    </row>
    <row r="4920" customFormat="false" ht="15" hidden="false" customHeight="false" outlineLevel="0" collapsed="false">
      <c r="A4920" s="1" t="s">
        <v>1024</v>
      </c>
      <c r="B4920" s="0" t="s">
        <v>168</v>
      </c>
      <c r="E4920" s="7" t="n">
        <f aca="false">Sens!E4919/Sens!D4919-1</f>
        <v>-0.0131677736066995</v>
      </c>
      <c r="F4920" s="7" t="n">
        <f aca="false">Sens!$E$4920+(glt_win-Sens!$E$4920)*MIN(1,(Sens!F4858-base_fy)/n_conv)</f>
        <v>-0.00763981133891627</v>
      </c>
      <c r="G4920" s="7" t="n">
        <f aca="false">Sens!$E$4920+(glt_win-Sens!$E$4920)*MIN(1,(Sens!G4858-base_fy)/n_conv)</f>
        <v>-0.00211184907113301</v>
      </c>
      <c r="H4920" s="7" t="n">
        <f aca="false">Sens!$E$4920+(glt_win-Sens!$E$4920)*MIN(1,(Sens!H4858-base_fy)/n_conv)</f>
        <v>0.00341611319665024</v>
      </c>
      <c r="I4920" s="7" t="n">
        <f aca="false">Sens!$E$4920+(glt_win-Sens!$E$4920)*MIN(1,(Sens!I4858-base_fy)/n_conv)</f>
        <v>0.00894407546443349</v>
      </c>
      <c r="J4920" s="7" t="n">
        <f aca="false">Sens!$E$4920+(glt_win-Sens!$E$4920)*MIN(1,(Sens!J4858-base_fy)/n_conv)</f>
        <v>0.0144720377322168</v>
      </c>
      <c r="K4920" s="7" t="n">
        <f aca="false">Sens!$E$4920+(glt_win-Sens!$E$4920)*MIN(1,(Sens!K4858-base_fy)/n_conv)</f>
        <v>0.02</v>
      </c>
    </row>
    <row r="4921" customFormat="false" ht="15" hidden="false" customHeight="false" outlineLevel="0" collapsed="false">
      <c r="A4921" s="0" t="s">
        <v>866</v>
      </c>
      <c r="B4921" s="0" t="s">
        <v>98</v>
      </c>
      <c r="D4921" s="6" t="n">
        <f aca="false">Sens!D4915+Sens!D4917+Sens!D4919</f>
        <v>62.941</v>
      </c>
      <c r="E4921" s="6" t="n">
        <f aca="false">Sens!E4915+Sens!E4917+Sens!E4919</f>
        <v>63.712</v>
      </c>
      <c r="F4921" s="6" t="n">
        <f aca="false">Sens!F4915+Sens!F4917+Sens!F4919</f>
        <v>64.3025149952511</v>
      </c>
      <c r="G4921" s="6" t="n">
        <f aca="false">Sens!G4915+Sens!G4917+Sens!G4919</f>
        <v>66.2756719305292</v>
      </c>
      <c r="H4921" s="6" t="n">
        <f aca="false">Sens!H4915+Sens!H4917+Sens!H4919</f>
        <v>68.7139736271804</v>
      </c>
      <c r="I4921" s="6" t="n">
        <f aca="false">Sens!I4915+Sens!I4917+Sens!I4919</f>
        <v>71.5446393194289</v>
      </c>
      <c r="J4921" s="6" t="n">
        <f aca="false">Sens!J4915+Sens!J4917+Sens!J4919</f>
        <v>74.707035000971</v>
      </c>
      <c r="K4921" s="6" t="n">
        <f aca="false">Sens!K4915+Sens!K4917+Sens!K4919</f>
        <v>78.1524145698365</v>
      </c>
    </row>
    <row r="4922" customFormat="false" ht="15" hidden="false" customHeight="false" outlineLevel="0" collapsed="false">
      <c r="A4922" s="1" t="s">
        <v>1040</v>
      </c>
      <c r="B4922" s="0" t="s">
        <v>98</v>
      </c>
      <c r="D4922" s="6" t="n">
        <f aca="false">Sens!D4914+Sens!D4921</f>
        <v>281.724</v>
      </c>
      <c r="E4922" s="6" t="n">
        <f aca="false">Sens!E4914+Sens!E4921</f>
        <v>331.839</v>
      </c>
      <c r="F4922" s="6" t="n">
        <f aca="false">Sens!F4914+Sens!F4921</f>
        <v>403.077230889628</v>
      </c>
      <c r="G4922" s="6" t="n">
        <f aca="false">Sens!G4914+Sens!G4921</f>
        <v>491.783730467066</v>
      </c>
      <c r="H4922" s="6" t="n">
        <f aca="false">Sens!H4914+Sens!H4921</f>
        <v>587.294787614101</v>
      </c>
      <c r="I4922" s="6" t="n">
        <f aca="false">Sens!I4914+Sens!I4921</f>
        <v>667.364559013115</v>
      </c>
      <c r="J4922" s="6" t="n">
        <f aca="false">Sens!J4914+Sens!J4921</f>
        <v>732.103684365096</v>
      </c>
      <c r="K4922" s="6" t="n">
        <f aca="false">Sens!K4914+Sens!K4921</f>
        <v>782.13466511102</v>
      </c>
    </row>
    <row r="4923" customFormat="false" ht="15" hidden="false" customHeight="false" outlineLevel="0" collapsed="false">
      <c r="A4923" s="26" t="s">
        <v>1041</v>
      </c>
      <c r="B4923" s="31" t="s">
        <v>98</v>
      </c>
      <c r="C4923" s="31"/>
      <c r="D4923" s="27" t="n">
        <f aca="false">(Sens!D4902+Sens!D4907+Sens!D4908+Sens!D4910+Sens!D4912-Sens!D4914)+(Sens!D4915+Sens!D4917+Sens!D4919-Sens!D4921)+(Sens!D4914-Q!L5)+(Sens!D4921-Q!L12)+(Sens!D4902-Q!L6)+(Sens!D4907-Q!L7)</f>
        <v>0</v>
      </c>
      <c r="E4923" s="27" t="n">
        <f aca="false">(Sens!E4902+Sens!E4907+Sens!E4908+Sens!E4910+Sens!E4912-Sens!E4914)+(Sens!E4915+Sens!E4917+Sens!E4919-Sens!E4921)+(Sens!E4914-Q!M5)+(Sens!E4921-Q!M12)+(Sens!E4902-Q!M6)+(Sens!E4907-Q!M7)</f>
        <v>0</v>
      </c>
      <c r="F4923" s="27" t="n">
        <f aca="false">(Sens!F4902+Sens!F4907+Sens!F4908+Sens!F4910+Sens!F4912-Sens!F4914)+(Sens!F4915+Sens!F4917+Sens!F4919-Sens!F4921)</f>
        <v>0</v>
      </c>
      <c r="G4923" s="27" t="n">
        <f aca="false">(Sens!G4902+Sens!G4907+Sens!G4908+Sens!G4910+Sens!G4912-Sens!G4914)+(Sens!G4915+Sens!G4917+Sens!G4919-Sens!G4921)</f>
        <v>0</v>
      </c>
      <c r="H4923" s="27" t="n">
        <f aca="false">(Sens!H4902+Sens!H4907+Sens!H4908+Sens!H4910+Sens!H4912-Sens!H4914)+(Sens!H4915+Sens!H4917+Sens!H4919-Sens!H4921)</f>
        <v>0</v>
      </c>
      <c r="I4923" s="27" t="n">
        <f aca="false">(Sens!I4902+Sens!I4907+Sens!I4908+Sens!I4910+Sens!I4912-Sens!I4914)+(Sens!I4915+Sens!I4917+Sens!I4919-Sens!I4921)</f>
        <v>0</v>
      </c>
      <c r="J4923" s="27" t="n">
        <f aca="false">(Sens!J4902+Sens!J4907+Sens!J4908+Sens!J4910+Sens!J4912-Sens!J4914)+(Sens!J4915+Sens!J4917+Sens!J4919-Sens!J4921)</f>
        <v>0</v>
      </c>
      <c r="K4923" s="27" t="n">
        <f aca="false">(Sens!K4902+Sens!K4907+Sens!K4908+Sens!K4910+Sens!K4912-Sens!K4914)+(Sens!K4915+Sens!K4917+Sens!K4919-Sens!K4921)</f>
        <v>0</v>
      </c>
    </row>
    <row r="4924" customFormat="false" ht="17.15" hidden="false" customHeight="false" outlineLevel="0" collapsed="false">
      <c r="A4924" s="3" t="s">
        <v>1602</v>
      </c>
    </row>
    <row r="4925" customFormat="false" ht="15" hidden="false" customHeight="false" outlineLevel="0" collapsed="false">
      <c r="A4925" s="4" t="s">
        <v>43</v>
      </c>
      <c r="B4925" s="4" t="s">
        <v>65</v>
      </c>
      <c r="C4925" s="23" t="s">
        <v>938</v>
      </c>
      <c r="D4925" s="23" t="s">
        <v>939</v>
      </c>
      <c r="E4925" s="23" t="s">
        <v>940</v>
      </c>
      <c r="F4925" s="23" t="s">
        <v>941</v>
      </c>
      <c r="G4925" s="23" t="s">
        <v>942</v>
      </c>
      <c r="H4925" s="23" t="s">
        <v>943</v>
      </c>
      <c r="I4925" s="23" t="s">
        <v>944</v>
      </c>
      <c r="J4925" s="23" t="s">
        <v>945</v>
      </c>
      <c r="K4925" s="23" t="s">
        <v>946</v>
      </c>
      <c r="L4925" s="4" t="s">
        <v>47</v>
      </c>
    </row>
    <row r="4926" customFormat="false" ht="15" hidden="false" customHeight="false" outlineLevel="0" collapsed="false">
      <c r="A4926" s="0" t="s">
        <v>1025</v>
      </c>
      <c r="B4926" s="0" t="s">
        <v>98</v>
      </c>
      <c r="D4926" s="6" t="n">
        <f aca="false">Sens!D4902</f>
        <v>72.61</v>
      </c>
      <c r="E4926" s="6" t="n">
        <f aca="false">Sens!E4902</f>
        <v>101.938</v>
      </c>
      <c r="F4926" s="6" t="n">
        <f aca="false">Sens!F4902</f>
        <v>149.59001837225</v>
      </c>
      <c r="G4926" s="6" t="n">
        <f aca="false">Sens!G4902</f>
        <v>210.963087346352</v>
      </c>
      <c r="H4926" s="6" t="n">
        <f aca="false">Sens!H4902</f>
        <v>278.649709314524</v>
      </c>
      <c r="I4926" s="6" t="n">
        <f aca="false">Sens!I4902</f>
        <v>333.021592968563</v>
      </c>
      <c r="J4926" s="6" t="n">
        <f aca="false">Sens!J4902</f>
        <v>374.568151943742</v>
      </c>
      <c r="K4926" s="6" t="n">
        <f aca="false">Sens!K4902</f>
        <v>402.041695166696</v>
      </c>
    </row>
    <row r="4927" customFormat="false" ht="17.15" hidden="false" customHeight="false" outlineLevel="0" collapsed="false">
      <c r="A4927" s="0" t="s">
        <v>1021</v>
      </c>
      <c r="B4927" s="0" t="s">
        <v>98</v>
      </c>
      <c r="D4927" s="6" t="n">
        <f aca="false">Sens!D4899</f>
        <v>12.9359794422418</v>
      </c>
      <c r="E4927" s="6" t="n">
        <f aca="false">Sens!E4899</f>
        <v>27.8095064661409</v>
      </c>
      <c r="F4927" s="6" t="n">
        <f aca="false">Sens!F4899</f>
        <v>59.1034165651511</v>
      </c>
      <c r="G4927" s="6" t="n">
        <f aca="false">Sens!G4899</f>
        <v>103.451498789198</v>
      </c>
      <c r="H4927" s="6" t="n">
        <f aca="false">Sens!H4899</f>
        <v>153.816719989035</v>
      </c>
      <c r="I4927" s="6" t="n">
        <f aca="false">Sens!I4899</f>
        <v>191.451667077083</v>
      </c>
      <c r="J4927" s="6" t="n">
        <f aca="false">Sens!J4899</f>
        <v>217.844961464314</v>
      </c>
      <c r="K4927" s="6" t="n">
        <f aca="false">Sens!K4899</f>
        <v>232.780649448914</v>
      </c>
    </row>
    <row r="4928" customFormat="false" ht="17.15" hidden="false" customHeight="false" outlineLevel="0" collapsed="false">
      <c r="A4928" s="0" t="s">
        <v>1052</v>
      </c>
      <c r="B4928" s="0" t="s">
        <v>98</v>
      </c>
      <c r="D4928" s="6" t="n">
        <f aca="false">Sens!D4900</f>
        <v>59.6740205577583</v>
      </c>
      <c r="E4928" s="6" t="n">
        <f aca="false">Sens!E4900</f>
        <v>74.1284935338591</v>
      </c>
      <c r="F4928" s="6" t="n">
        <f aca="false">Sens!F4900</f>
        <v>90.4866018070994</v>
      </c>
      <c r="G4928" s="6" t="n">
        <f aca="false">Sens!G4900</f>
        <v>107.511588557154</v>
      </c>
      <c r="H4928" s="6" t="n">
        <f aca="false">Sens!H4900</f>
        <v>124.832989325489</v>
      </c>
      <c r="I4928" s="6" t="n">
        <f aca="false">Sens!I4900</f>
        <v>141.56992589148</v>
      </c>
      <c r="J4928" s="6" t="n">
        <f aca="false">Sens!J4900</f>
        <v>156.723190479428</v>
      </c>
      <c r="K4928" s="6" t="n">
        <f aca="false">Sens!K4900</f>
        <v>169.261045717783</v>
      </c>
    </row>
    <row r="4929" customFormat="false" ht="15" hidden="false" customHeight="false" outlineLevel="0" collapsed="false">
      <c r="A4929" s="0" t="s">
        <v>1032</v>
      </c>
      <c r="B4929" s="0" t="s">
        <v>98</v>
      </c>
      <c r="D4929" s="6" t="n">
        <f aca="false">Sens!D4907</f>
        <v>84.605</v>
      </c>
      <c r="E4929" s="6" t="n">
        <f aca="false">Sens!E4907</f>
        <v>100.299</v>
      </c>
      <c r="F4929" s="6" t="n">
        <f aca="false">Sens!F4907</f>
        <v>119.729653205718</v>
      </c>
      <c r="G4929" s="6" t="n">
        <f aca="false">Sens!G4907</f>
        <v>140.806092647576</v>
      </c>
      <c r="H4929" s="6" t="n">
        <f aca="false">Sens!H4907</f>
        <v>161.963437602768</v>
      </c>
      <c r="I4929" s="6" t="n">
        <f aca="false">Sens!I4907</f>
        <v>180.695354741933</v>
      </c>
      <c r="J4929" s="6" t="n">
        <f aca="false">Sens!J4907</f>
        <v>196.722117481571</v>
      </c>
      <c r="K4929" s="6" t="n">
        <f aca="false">Sens!K4907</f>
        <v>212.00016570528</v>
      </c>
    </row>
    <row r="4930" customFormat="false" ht="17.15" hidden="false" customHeight="false" outlineLevel="0" collapsed="false">
      <c r="A4930" s="0" t="s">
        <v>1053</v>
      </c>
      <c r="B4930" s="0" t="s">
        <v>98</v>
      </c>
      <c r="D4930" s="6" t="n">
        <f aca="false">Sens!D4905</f>
        <v>83.705</v>
      </c>
      <c r="E4930" s="6" t="n">
        <f aca="false">Sens!E4905</f>
        <v>95.049</v>
      </c>
      <c r="F4930" s="6" t="n">
        <f aca="false">Sens!F4905</f>
        <v>106.229653205718</v>
      </c>
      <c r="G4930" s="6" t="n">
        <f aca="false">Sens!G4905</f>
        <v>118.306092647576</v>
      </c>
      <c r="H4930" s="6" t="n">
        <f aca="false">Sens!H4905</f>
        <v>130.463437602768</v>
      </c>
      <c r="I4930" s="6" t="n">
        <f aca="false">Sens!I4905</f>
        <v>142.445354741933</v>
      </c>
      <c r="J4930" s="6" t="n">
        <f aca="false">Sens!J4905</f>
        <v>153.972117481571</v>
      </c>
      <c r="K4930" s="6" t="n">
        <f aca="false">Sens!K4905</f>
        <v>164.75016570528</v>
      </c>
    </row>
    <row r="4931" customFormat="false" ht="17.15" hidden="false" customHeight="false" outlineLevel="0" collapsed="false">
      <c r="A4931" s="0" t="s">
        <v>1054</v>
      </c>
      <c r="B4931" s="0" t="s">
        <v>98</v>
      </c>
      <c r="D4931" s="6" t="n">
        <f aca="false">Sens!D4904</f>
        <v>0.9</v>
      </c>
      <c r="E4931" s="6" t="n">
        <f aca="false">Sens!E4904</f>
        <v>5.25</v>
      </c>
      <c r="F4931" s="6" t="n">
        <f aca="false">Sens!F4904</f>
        <v>13.5</v>
      </c>
      <c r="G4931" s="6" t="n">
        <f aca="false">Sens!G4904</f>
        <v>22.5</v>
      </c>
      <c r="H4931" s="6" t="n">
        <f aca="false">Sens!H4904</f>
        <v>31.5</v>
      </c>
      <c r="I4931" s="6" t="n">
        <f aca="false">Sens!I4904</f>
        <v>38.25</v>
      </c>
      <c r="J4931" s="6" t="n">
        <f aca="false">Sens!J4904</f>
        <v>42.75</v>
      </c>
      <c r="K4931" s="6" t="n">
        <f aca="false">Sens!K4904</f>
        <v>47.25</v>
      </c>
    </row>
    <row r="4932" customFormat="false" ht="15" hidden="false" customHeight="false" outlineLevel="0" collapsed="false">
      <c r="A4932" s="0" t="s">
        <v>1033</v>
      </c>
      <c r="B4932" s="0" t="s">
        <v>98</v>
      </c>
      <c r="D4932" s="6" t="n">
        <f aca="false">Sens!D4908</f>
        <v>35.391</v>
      </c>
      <c r="E4932" s="6" t="n">
        <f aca="false">Sens!E4908</f>
        <v>37.285</v>
      </c>
      <c r="F4932" s="6" t="n">
        <f aca="false">Sens!F4908</f>
        <v>38.3851437782675</v>
      </c>
      <c r="G4932" s="6" t="n">
        <f aca="false">Sens!G4908</f>
        <v>40.0105353288615</v>
      </c>
      <c r="H4932" s="6" t="n">
        <f aca="false">Sens!H4908</f>
        <v>41.4812512033683</v>
      </c>
      <c r="I4932" s="6" t="n">
        <f aca="false">Sens!I4908</f>
        <v>42.7743107216329</v>
      </c>
      <c r="J4932" s="6" t="n">
        <f aca="false">Sens!J4908</f>
        <v>43.8687373064601</v>
      </c>
      <c r="K4932" s="6" t="n">
        <f aca="false">Sens!K4908</f>
        <v>44.7461120525893</v>
      </c>
    </row>
    <row r="4933" customFormat="false" ht="15" hidden="false" customHeight="false" outlineLevel="0" collapsed="false">
      <c r="A4933" s="0" t="s">
        <v>1035</v>
      </c>
      <c r="B4933" s="0" t="s">
        <v>98</v>
      </c>
      <c r="D4933" s="6" t="n">
        <f aca="false">Sens!D4910</f>
        <v>18.417</v>
      </c>
      <c r="E4933" s="6" t="n">
        <f aca="false">Sens!E4910</f>
        <v>20.345</v>
      </c>
      <c r="F4933" s="6" t="n">
        <f aca="false">Sens!F4910</f>
        <v>22.3161797133988</v>
      </c>
      <c r="G4933" s="6" t="n">
        <f aca="false">Sens!G4910</f>
        <v>24.3943499673233</v>
      </c>
      <c r="H4933" s="6" t="n">
        <f aca="false">Sens!H4910</f>
        <v>26.5250243109019</v>
      </c>
      <c r="I4933" s="6" t="n">
        <f aca="false">Sens!I4910</f>
        <v>28.6884573538181</v>
      </c>
      <c r="J4933" s="6" t="n">
        <f aca="false">Sens!J4910</f>
        <v>30.8624968052127</v>
      </c>
      <c r="K4933" s="6" t="n">
        <f aca="false">Sens!K4910</f>
        <v>33.0228715815776</v>
      </c>
    </row>
    <row r="4934" customFormat="false" ht="15" hidden="false" customHeight="false" outlineLevel="0" collapsed="false">
      <c r="A4934" s="0" t="s">
        <v>1036</v>
      </c>
      <c r="B4934" s="0" t="s">
        <v>98</v>
      </c>
      <c r="D4934" s="6" t="n">
        <f aca="false">Sens!D4912</f>
        <v>7.76</v>
      </c>
      <c r="E4934" s="6" t="n">
        <f aca="false">Sens!E4912</f>
        <v>8.26</v>
      </c>
      <c r="F4934" s="6" t="n">
        <f aca="false">Sens!F4912</f>
        <v>8.75372082474227</v>
      </c>
      <c r="G4934" s="6" t="n">
        <f aca="false">Sens!G4912</f>
        <v>9.33399324642364</v>
      </c>
      <c r="H4934" s="6" t="n">
        <f aca="false">Sens!H4912</f>
        <v>9.96139155535851</v>
      </c>
      <c r="I4934" s="6" t="n">
        <f aca="false">Sens!I4912</f>
        <v>10.6402039077391</v>
      </c>
      <c r="J4934" s="6" t="n">
        <f aca="false">Sens!J4912</f>
        <v>11.3751458271397</v>
      </c>
      <c r="K4934" s="6" t="n">
        <f aca="false">Sens!K4912</f>
        <v>12.1714060350394</v>
      </c>
    </row>
    <row r="4935" customFormat="false" ht="15" hidden="false" customHeight="false" outlineLevel="0" collapsed="false">
      <c r="A4935" s="0" t="s">
        <v>852</v>
      </c>
      <c r="B4935" s="0" t="s">
        <v>98</v>
      </c>
      <c r="D4935" s="6" t="n">
        <f aca="false">Sens!D4914</f>
        <v>218.783</v>
      </c>
      <c r="E4935" s="6" t="n">
        <f aca="false">Sens!E4914</f>
        <v>268.127</v>
      </c>
      <c r="F4935" s="6" t="n">
        <f aca="false">Sens!F4914</f>
        <v>338.774715894377</v>
      </c>
      <c r="G4935" s="6" t="n">
        <f aca="false">Sens!G4914</f>
        <v>425.508058536537</v>
      </c>
      <c r="H4935" s="6" t="n">
        <f aca="false">Sens!H4914</f>
        <v>518.580813986921</v>
      </c>
      <c r="I4935" s="6" t="n">
        <f aca="false">Sens!I4914</f>
        <v>595.819919693686</v>
      </c>
      <c r="J4935" s="6" t="n">
        <f aca="false">Sens!J4914</f>
        <v>657.396649364125</v>
      </c>
      <c r="K4935" s="6" t="n">
        <f aca="false">Sens!K4914</f>
        <v>703.982250541183</v>
      </c>
    </row>
    <row r="4936" customFormat="false" ht="15" hidden="false" customHeight="false" outlineLevel="0" collapsed="false">
      <c r="A4936" s="0" t="s">
        <v>1037</v>
      </c>
      <c r="B4936" s="0" t="s">
        <v>98</v>
      </c>
      <c r="D4936" s="6" t="n">
        <f aca="false">Sens!D4915</f>
        <v>22.171</v>
      </c>
      <c r="E4936" s="6" t="n">
        <f aca="false">Sens!E4915</f>
        <v>24.835</v>
      </c>
      <c r="F4936" s="6" t="n">
        <f aca="false">Sens!F4915</f>
        <v>27.5591895660247</v>
      </c>
      <c r="G4936" s="6" t="n">
        <f aca="false">Sens!G4915</f>
        <v>30.4098563144583</v>
      </c>
      <c r="H4936" s="6" t="n">
        <f aca="false">Sens!H4915</f>
        <v>33.3011792571777</v>
      </c>
      <c r="I4936" s="6" t="n">
        <f aca="false">Sens!I4915</f>
        <v>36.189023797112</v>
      </c>
      <c r="J4936" s="6" t="n">
        <f aca="false">Sens!J4915</f>
        <v>39.0247773769199</v>
      </c>
      <c r="K4936" s="6" t="n">
        <f aca="false">Sens!K4915</f>
        <v>41.7565117933043</v>
      </c>
    </row>
    <row r="4937" customFormat="false" ht="15" hidden="false" customHeight="false" outlineLevel="0" collapsed="false">
      <c r="A4937" s="0" t="s">
        <v>1038</v>
      </c>
      <c r="B4937" s="0" t="s">
        <v>98</v>
      </c>
      <c r="D4937" s="6" t="n">
        <f aca="false">Sens!D4917</f>
        <v>23.455</v>
      </c>
      <c r="E4937" s="6" t="n">
        <f aca="false">Sens!E4917</f>
        <v>21.79</v>
      </c>
      <c r="F4937" s="6" t="n">
        <f aca="false">Sens!F4917</f>
        <v>20.7520981041711</v>
      </c>
      <c r="G4937" s="6" t="n">
        <f aca="false">Sens!G4917</f>
        <v>19.9083593495882</v>
      </c>
      <c r="H4937" s="6" t="n">
        <f aca="false">Sens!H4917</f>
        <v>19.4008256265831</v>
      </c>
      <c r="I4937" s="6" t="n">
        <f aca="false">Sens!I4917</f>
        <v>19.200434522122</v>
      </c>
      <c r="J4937" s="6" t="n">
        <f aca="false">Sens!J4917</f>
        <v>19.2932782348507</v>
      </c>
      <c r="K4937" s="6" t="n">
        <f aca="false">Sens!K4917</f>
        <v>19.6791437995477</v>
      </c>
    </row>
    <row r="4938" customFormat="false" ht="15" hidden="false" customHeight="false" outlineLevel="0" collapsed="false">
      <c r="A4938" s="0" t="s">
        <v>1039</v>
      </c>
      <c r="B4938" s="0" t="s">
        <v>98</v>
      </c>
      <c r="D4938" s="6" t="n">
        <f aca="false">Sens!D4919</f>
        <v>17.315</v>
      </c>
      <c r="E4938" s="6" t="n">
        <f aca="false">Sens!E4919</f>
        <v>17.087</v>
      </c>
      <c r="F4938" s="6" t="n">
        <f aca="false">Sens!F4919</f>
        <v>15.9912273250553</v>
      </c>
      <c r="G4938" s="6" t="n">
        <f aca="false">Sens!G4919</f>
        <v>15.9574562664827</v>
      </c>
      <c r="H4938" s="6" t="n">
        <f aca="false">Sens!H4919</f>
        <v>16.0119687434196</v>
      </c>
      <c r="I4938" s="6" t="n">
        <f aca="false">Sens!I4919</f>
        <v>16.1551810001948</v>
      </c>
      <c r="J4938" s="6" t="n">
        <f aca="false">Sens!J4919</f>
        <v>16.3889793892005</v>
      </c>
      <c r="K4938" s="6" t="n">
        <f aca="false">Sens!K4919</f>
        <v>16.7167589769845</v>
      </c>
    </row>
    <row r="4939" customFormat="false" ht="15" hidden="false" customHeight="false" outlineLevel="0" collapsed="false">
      <c r="A4939" s="0" t="s">
        <v>866</v>
      </c>
      <c r="B4939" s="0" t="s">
        <v>98</v>
      </c>
      <c r="D4939" s="6" t="n">
        <f aca="false">Sens!D4921</f>
        <v>62.941</v>
      </c>
      <c r="E4939" s="6" t="n">
        <f aca="false">Sens!E4921</f>
        <v>63.712</v>
      </c>
      <c r="F4939" s="6" t="n">
        <f aca="false">Sens!F4921</f>
        <v>64.3025149952511</v>
      </c>
      <c r="G4939" s="6" t="n">
        <f aca="false">Sens!G4921</f>
        <v>66.2756719305292</v>
      </c>
      <c r="H4939" s="6" t="n">
        <f aca="false">Sens!H4921</f>
        <v>68.7139736271804</v>
      </c>
      <c r="I4939" s="6" t="n">
        <f aca="false">Sens!I4921</f>
        <v>71.5446393194289</v>
      </c>
      <c r="J4939" s="6" t="n">
        <f aca="false">Sens!J4921</f>
        <v>74.707035000971</v>
      </c>
      <c r="K4939" s="6" t="n">
        <f aca="false">Sens!K4921</f>
        <v>78.1524145698365</v>
      </c>
    </row>
    <row r="4940" customFormat="false" ht="15" hidden="false" customHeight="false" outlineLevel="0" collapsed="false">
      <c r="A4940" s="1" t="s">
        <v>1055</v>
      </c>
      <c r="B4940" s="0" t="s">
        <v>98</v>
      </c>
      <c r="D4940" s="6" t="n">
        <f aca="false">Sens!D4922</f>
        <v>281.724</v>
      </c>
      <c r="E4940" s="6" t="n">
        <f aca="false">Sens!E4922</f>
        <v>331.839</v>
      </c>
      <c r="F4940" s="6" t="n">
        <f aca="false">Sens!F4922</f>
        <v>403.077230889628</v>
      </c>
      <c r="G4940" s="6" t="n">
        <f aca="false">Sens!G4922</f>
        <v>491.783730467066</v>
      </c>
      <c r="H4940" s="6" t="n">
        <f aca="false">Sens!H4922</f>
        <v>587.294787614101</v>
      </c>
      <c r="I4940" s="6" t="n">
        <f aca="false">Sens!I4922</f>
        <v>667.364559013115</v>
      </c>
      <c r="J4940" s="6" t="n">
        <f aca="false">Sens!J4922</f>
        <v>732.103684365096</v>
      </c>
      <c r="K4940" s="6" t="n">
        <f aca="false">Sens!K4922</f>
        <v>782.13466511102</v>
      </c>
    </row>
    <row r="4941" customFormat="false" ht="15" hidden="false" customHeight="false" outlineLevel="0" collapsed="false">
      <c r="A4941" s="1" t="s">
        <v>1056</v>
      </c>
      <c r="B4941" s="0" t="s">
        <v>168</v>
      </c>
      <c r="E4941" s="7" t="n">
        <f aca="false">Sens!E4940/Sens!D4940-1</f>
        <v>0.177886867998467</v>
      </c>
      <c r="F4941" s="7" t="n">
        <f aca="false">Sens!F4940/Sens!E4940-1</f>
        <v>0.21467709006364</v>
      </c>
      <c r="G4941" s="7" t="n">
        <f aca="false">Sens!G4940/Sens!F4940-1</f>
        <v>0.220073208753704</v>
      </c>
      <c r="H4941" s="7" t="n">
        <f aca="false">Sens!H4940/Sens!G4940-1</f>
        <v>0.194213535808362</v>
      </c>
      <c r="I4941" s="7" t="n">
        <f aca="false">Sens!I4940/Sens!H4940-1</f>
        <v>0.13633659465002</v>
      </c>
      <c r="J4941" s="7" t="n">
        <f aca="false">Sens!J4940/Sens!I4940-1</f>
        <v>0.0970071372200467</v>
      </c>
      <c r="K4941" s="7" t="n">
        <f aca="false">Sens!K4940/Sens!J4940-1</f>
        <v>0.068338654502623</v>
      </c>
    </row>
    <row r="4942" customFormat="false" ht="17.15" hidden="false" customHeight="false" outlineLevel="0" collapsed="false">
      <c r="A4942" s="26" t="s">
        <v>1057</v>
      </c>
      <c r="B4942" s="31" t="s">
        <v>98</v>
      </c>
      <c r="C4942" s="31"/>
      <c r="D4942" s="27" t="n">
        <f aca="false">(Sens!D4935+Sens!D4939-Sens!D4940)+(Sens!D4927+Sens!D4928-Sens!D4926)+(Sens!D4930+Sens!D4931-Sens!D4929)+(Sens!D4940-Q!L18)</f>
        <v>0</v>
      </c>
      <c r="E4942" s="27" t="n">
        <f aca="false">(Sens!E4935+Sens!E4939-Sens!E4940)+(Sens!E4927+Sens!E4928-Sens!E4926)+(Sens!E4930+Sens!E4931-Sens!E4929)+(Sens!E4940-Q!M18)</f>
        <v>0</v>
      </c>
      <c r="F4942" s="27" t="n">
        <f aca="false">(Sens!F4935+Sens!F4939-Sens!F4940)+(Sens!F4927+Sens!F4928-Sens!F4926)+(Sens!F4930+Sens!F4931-Sens!F4929)</f>
        <v>0</v>
      </c>
      <c r="G4942" s="27" t="n">
        <f aca="false">(Sens!G4935+Sens!G4939-Sens!G4940)+(Sens!G4927+Sens!G4928-Sens!G4926)+(Sens!G4930+Sens!G4931-Sens!G4929)</f>
        <v>0</v>
      </c>
      <c r="H4942" s="27" t="n">
        <f aca="false">(Sens!H4935+Sens!H4939-Sens!H4940)+(Sens!H4927+Sens!H4928-Sens!H4926)+(Sens!H4930+Sens!H4931-Sens!H4929)</f>
        <v>0</v>
      </c>
      <c r="I4942" s="27" t="n">
        <f aca="false">(Sens!I4935+Sens!I4939-Sens!I4940)+(Sens!I4927+Sens!I4928-Sens!I4926)+(Sens!I4930+Sens!I4931-Sens!I4929)</f>
        <v>0</v>
      </c>
      <c r="J4942" s="27" t="n">
        <f aca="false">(Sens!J4935+Sens!J4939-Sens!J4940)+(Sens!J4927+Sens!J4928-Sens!J4926)+(Sens!J4930+Sens!J4931-Sens!J4929)</f>
        <v>0</v>
      </c>
      <c r="K4942" s="27" t="n">
        <f aca="false">(Sens!K4935+Sens!K4939-Sens!K4940)+(Sens!K4927+Sens!K4928-Sens!K4926)+(Sens!K4930+Sens!K4931-Sens!K4929)</f>
        <v>0</v>
      </c>
    </row>
    <row r="4943" customFormat="false" ht="17.15" hidden="false" customHeight="false" outlineLevel="0" collapsed="false">
      <c r="A4943" s="0" t="s">
        <v>1058</v>
      </c>
      <c r="B4943" s="0" t="s">
        <v>168</v>
      </c>
      <c r="E4943" s="7" t="n">
        <f aca="false">(Q!M21+Sens!E4879+Sens!E4880+Sens!E4881+Sens!E4895-Sens!E4877)/(Q!M5-Sens!E4877)</f>
        <v>0.562004564381674</v>
      </c>
      <c r="F4943" s="7" t="n">
        <f aca="false">Sens!$E$4943+dm_seg</f>
        <v>0.562004564381674</v>
      </c>
      <c r="G4943" s="7" t="n">
        <f aca="false">Sens!$E$4943+dm_seg</f>
        <v>0.562004564381674</v>
      </c>
      <c r="H4943" s="7" t="n">
        <f aca="false">Sens!$E$4943+dm_seg</f>
        <v>0.562004564381674</v>
      </c>
      <c r="I4943" s="7" t="n">
        <f aca="false">Sens!$E$4943+dm_seg</f>
        <v>0.562004564381674</v>
      </c>
      <c r="J4943" s="7" t="n">
        <f aca="false">Sens!$E$4943+dm_seg</f>
        <v>0.562004564381674</v>
      </c>
      <c r="K4943" s="7" t="n">
        <f aca="false">Sens!$E$4943+dm_seg</f>
        <v>0.562004564381674</v>
      </c>
      <c r="L4943" s="12" t="s">
        <v>1059</v>
      </c>
    </row>
    <row r="4944" customFormat="false" ht="17.15" hidden="false" customHeight="false" outlineLevel="0" collapsed="false">
      <c r="A4944" s="0" t="s">
        <v>880</v>
      </c>
      <c r="B4944" s="0" t="s">
        <v>98</v>
      </c>
      <c r="D4944" s="6" t="n">
        <f aca="false">Q!L21</f>
        <v>110.814</v>
      </c>
      <c r="E4944" s="6" t="n">
        <f aca="false">Q!M21</f>
        <v>136.365</v>
      </c>
      <c r="F4944" s="6" t="n">
        <f aca="false">Q!$I$21+(Sens!F4943*(Sens!F4914-Sens!F4877)+Sens!F4877-(Sens!F4879+Sens!F4880+Sens!F4881)-Sens!F4895-Sens!F4978)*(Sens!F4914-Q!$I$5)/Sens!F4914</f>
        <v>167.125627158122</v>
      </c>
      <c r="G4944" s="6" t="n">
        <f aca="false">(Sens!G4943*(Sens!G4914-Sens!G4877)+Sens!G4877-(Sens!G4879+Sens!G4880+Sens!G4881)-Sens!G4895-Sens!G4978)</f>
        <v>196.719311851127</v>
      </c>
      <c r="H4944" s="6" t="n">
        <f aca="false">(Sens!H4943*(Sens!H4914-Sens!H4877)+Sens!H4877-(Sens!H4879+Sens!H4880+Sens!H4881)-Sens!H4895-Sens!H4978)</f>
        <v>234.396827355324</v>
      </c>
      <c r="I4944" s="6" t="n">
        <f aca="false">(Sens!I4943*(Sens!I4914-Sens!I4877)+Sens!I4877-(Sens!I4879+Sens!I4880+Sens!I4881)-Sens!I4895-Sens!I4978)</f>
        <v>262.659783528088</v>
      </c>
      <c r="J4944" s="6" t="n">
        <f aca="false">(Sens!J4943*(Sens!J4914-Sens!J4877)+Sens!J4877-(Sens!J4879+Sens!J4880+Sens!J4881)-Sens!J4895-Sens!J4978)</f>
        <v>287.094885889975</v>
      </c>
      <c r="K4944" s="6" t="n">
        <f aca="false">(Sens!K4943*(Sens!K4914-Sens!K4877)+Sens!K4877-(Sens!K4879+Sens!K4880+Sens!K4881)-Sens!K4895-Sens!K4978)</f>
        <v>307.452008410487</v>
      </c>
      <c r="L4944" s="1" t="s">
        <v>1060</v>
      </c>
    </row>
    <row r="4945" customFormat="false" ht="17.15" hidden="false" customHeight="false" outlineLevel="0" collapsed="false">
      <c r="A4945" s="0" t="s">
        <v>1061</v>
      </c>
      <c r="B4945" s="0" t="s">
        <v>168</v>
      </c>
      <c r="E4945" s="7" t="n">
        <f aca="false">Q!M22/Q!M12</f>
        <v>0.296207935710698</v>
      </c>
      <c r="F4945" s="7" t="n">
        <f aca="false">Sens!$E$4945+dm_seg</f>
        <v>0.296207935710698</v>
      </c>
      <c r="G4945" s="7" t="n">
        <f aca="false">Sens!$E$4945+dm_seg</f>
        <v>0.296207935710698</v>
      </c>
      <c r="H4945" s="7" t="n">
        <f aca="false">Sens!$E$4945+dm_seg</f>
        <v>0.296207935710698</v>
      </c>
      <c r="I4945" s="7" t="n">
        <f aca="false">Sens!$E$4945+dm_seg</f>
        <v>0.296207935710698</v>
      </c>
      <c r="J4945" s="7" t="n">
        <f aca="false">Sens!$E$4945+dm_seg</f>
        <v>0.296207935710698</v>
      </c>
      <c r="K4945" s="7" t="n">
        <f aca="false">Sens!$E$4945+dm_seg</f>
        <v>0.296207935710698</v>
      </c>
      <c r="L4945" s="12" t="s">
        <v>1062</v>
      </c>
    </row>
    <row r="4946" customFormat="false" ht="17.15" hidden="false" customHeight="false" outlineLevel="0" collapsed="false">
      <c r="A4946" s="0" t="s">
        <v>882</v>
      </c>
      <c r="B4946" s="0" t="s">
        <v>98</v>
      </c>
      <c r="D4946" s="6" t="n">
        <f aca="false">Q!L22</f>
        <v>17.714</v>
      </c>
      <c r="E4946" s="6" t="n">
        <f aca="false">Q!M22</f>
        <v>18.872</v>
      </c>
      <c r="F4946" s="6" t="n">
        <f aca="false">Q!$I$22+(Sens!F4921-Q!$I$12)*Sens!F4945</f>
        <v>19.8174315512051</v>
      </c>
      <c r="G4946" s="6" t="n">
        <f aca="false">Sens!G4921*Sens!G4945</f>
        <v>19.6313799703815</v>
      </c>
      <c r="H4946" s="6" t="n">
        <f aca="false">Sens!H4921*Sens!H4945</f>
        <v>20.3536242825865</v>
      </c>
      <c r="I4946" s="6" t="n">
        <f aca="false">Sens!I4921*Sens!I4945</f>
        <v>21.1920899239745</v>
      </c>
      <c r="J4946" s="6" t="n">
        <f aca="false">Sens!J4921*Sens!J4945</f>
        <v>22.1288166207045</v>
      </c>
      <c r="K4946" s="6" t="n">
        <f aca="false">Sens!K4921*Sens!K4945</f>
        <v>23.1493653905379</v>
      </c>
      <c r="L4946" s="12" t="s">
        <v>1063</v>
      </c>
    </row>
    <row r="4947" customFormat="false" ht="15" hidden="false" customHeight="false" outlineLevel="0" collapsed="false">
      <c r="A4947" s="1" t="s">
        <v>1064</v>
      </c>
      <c r="B4947" s="0" t="s">
        <v>98</v>
      </c>
      <c r="D4947" s="6" t="n">
        <f aca="false">Sens!D4944+Sens!D4946</f>
        <v>128.528</v>
      </c>
      <c r="E4947" s="6" t="n">
        <f aca="false">Sens!E4944+Sens!E4946</f>
        <v>155.237</v>
      </c>
      <c r="F4947" s="6" t="n">
        <f aca="false">Sens!F4944+Sens!F4946</f>
        <v>186.943058709327</v>
      </c>
      <c r="G4947" s="6" t="n">
        <f aca="false">Sens!G4944+Sens!G4946</f>
        <v>216.350691821508</v>
      </c>
      <c r="H4947" s="6" t="n">
        <f aca="false">Sens!H4944+Sens!H4946</f>
        <v>254.75045163791</v>
      </c>
      <c r="I4947" s="6" t="n">
        <f aca="false">Sens!I4944+Sens!I4946</f>
        <v>283.851873452063</v>
      </c>
      <c r="J4947" s="6" t="n">
        <f aca="false">Sens!J4944+Sens!J4946</f>
        <v>309.223702510679</v>
      </c>
      <c r="K4947" s="6" t="n">
        <f aca="false">Sens!K4944+Sens!K4946</f>
        <v>330.601373801025</v>
      </c>
    </row>
    <row r="4948" customFormat="false" ht="15" hidden="false" customHeight="false" outlineLevel="0" collapsed="false">
      <c r="A4948" s="26" t="s">
        <v>1065</v>
      </c>
      <c r="B4948" s="31" t="s">
        <v>98</v>
      </c>
      <c r="C4948" s="31"/>
      <c r="D4948" s="27" t="n">
        <f aca="false">Sens!D4947-Q!L23</f>
        <v>0</v>
      </c>
      <c r="E4948" s="27" t="n">
        <f aca="false">Sens!E4947-Q!M23</f>
        <v>0</v>
      </c>
      <c r="F4948" s="31"/>
      <c r="G4948" s="31"/>
      <c r="H4948" s="31"/>
      <c r="I4948" s="31"/>
      <c r="J4948" s="31"/>
      <c r="K4948" s="31"/>
    </row>
    <row r="4949" customFormat="false" ht="15" hidden="false" customHeight="false" outlineLevel="0" collapsed="false">
      <c r="A4949" s="1" t="s">
        <v>1066</v>
      </c>
      <c r="B4949" s="0" t="s">
        <v>168</v>
      </c>
      <c r="D4949" s="7" t="n">
        <f aca="false">Sens!D4947/Sens!D4940</f>
        <v>0.456219562408598</v>
      </c>
      <c r="E4949" s="7" t="n">
        <f aca="false">Sens!E4947/Sens!E4940</f>
        <v>0.467808184089272</v>
      </c>
      <c r="F4949" s="7" t="n">
        <f aca="false">Sens!F4947/Sens!F4940</f>
        <v>0.463789676972641</v>
      </c>
      <c r="G4949" s="7" t="n">
        <f aca="false">Sens!G4947/Sens!G4940</f>
        <v>0.439930559752418</v>
      </c>
      <c r="H4949" s="7" t="n">
        <f aca="false">Sens!H4947/Sens!H4940</f>
        <v>0.433769304632925</v>
      </c>
      <c r="I4949" s="7" t="n">
        <f aca="false">Sens!I4947/Sens!I4940</f>
        <v>0.425332555675143</v>
      </c>
      <c r="J4949" s="7" t="n">
        <f aca="false">Sens!J4947/Sens!J4940</f>
        <v>0.422376924354435</v>
      </c>
      <c r="K4949" s="7" t="n">
        <f aca="false">Sens!K4947/Sens!K4940</f>
        <v>0.422691115159942</v>
      </c>
    </row>
    <row r="4950" customFormat="false" ht="17.15" hidden="false" customHeight="false" outlineLevel="0" collapsed="false">
      <c r="A4950" s="1" t="s">
        <v>1067</v>
      </c>
      <c r="B4950" s="0" t="s">
        <v>98</v>
      </c>
      <c r="F4950" s="6" t="n">
        <f aca="false">Sens!F4965</f>
        <v>8.95726723390958</v>
      </c>
      <c r="G4950" s="6" t="n">
        <f aca="false">Sens!G4965</f>
        <v>22.8604660840941</v>
      </c>
      <c r="H4950" s="6" t="n">
        <f aca="false">Sens!H4965</f>
        <v>38.2368558837439</v>
      </c>
      <c r="I4950" s="6" t="n">
        <f aca="false">Sens!I4965</f>
        <v>51.9863600783443</v>
      </c>
      <c r="J4950" s="6" t="n">
        <f aca="false">Sens!J4965</f>
        <v>61.6748905186012</v>
      </c>
      <c r="K4950" s="6" t="n">
        <f aca="false">Sens!K4965</f>
        <v>65.9669779563659</v>
      </c>
      <c r="L4950" s="1" t="s">
        <v>1068</v>
      </c>
    </row>
    <row r="4951" customFormat="false" ht="17.15" hidden="false" customHeight="false" outlineLevel="0" collapsed="false">
      <c r="A4951" s="1" t="s">
        <v>1069</v>
      </c>
      <c r="B4951" s="0" t="s">
        <v>98</v>
      </c>
      <c r="D4951" s="6" t="n">
        <f aca="false">Sens!D4947</f>
        <v>128.528</v>
      </c>
      <c r="E4951" s="6" t="n">
        <f aca="false">Sens!E4947</f>
        <v>155.237</v>
      </c>
      <c r="F4951" s="6" t="n">
        <f aca="false">Sens!F4947+Sens!F4950</f>
        <v>195.900325943237</v>
      </c>
      <c r="G4951" s="6" t="n">
        <f aca="false">Sens!G4947+Sens!G4950</f>
        <v>239.211157905603</v>
      </c>
      <c r="H4951" s="6" t="n">
        <f aca="false">Sens!H4947+Sens!H4950</f>
        <v>292.987307521654</v>
      </c>
      <c r="I4951" s="6" t="n">
        <f aca="false">Sens!I4947+Sens!I4950</f>
        <v>335.838233530407</v>
      </c>
      <c r="J4951" s="6" t="n">
        <f aca="false">Sens!J4947+Sens!J4950</f>
        <v>370.89859302928</v>
      </c>
      <c r="K4951" s="6" t="n">
        <f aca="false">Sens!K4947+Sens!K4950</f>
        <v>396.568351757391</v>
      </c>
    </row>
    <row r="4952" customFormat="false" ht="17.15" hidden="false" customHeight="false" outlineLevel="0" collapsed="false">
      <c r="A4952" s="1" t="s">
        <v>1070</v>
      </c>
      <c r="B4952" s="0" t="s">
        <v>98</v>
      </c>
      <c r="E4952" s="6" t="n">
        <f aca="false">Sens!E4895</f>
        <v>14.1538947660714</v>
      </c>
      <c r="F4952" s="6" t="n">
        <f aca="false">Sens!F4895</f>
        <v>29.9978166232907</v>
      </c>
      <c r="G4952" s="6" t="n">
        <f aca="false">Sens!G4895</f>
        <v>52.6539689846527</v>
      </c>
      <c r="H4952" s="6" t="n">
        <f aca="false">Sens!H4895</f>
        <v>77.2140918476141</v>
      </c>
      <c r="I4952" s="6" t="n">
        <f aca="false">Sens!I4895</f>
        <v>98.4922948062968</v>
      </c>
      <c r="J4952" s="6" t="n">
        <f aca="false">Sens!J4895</f>
        <v>113.162027076484</v>
      </c>
      <c r="K4952" s="6" t="n">
        <f aca="false">Sens!K4895</f>
        <v>121.714210701983</v>
      </c>
    </row>
    <row r="4953" customFormat="false" ht="17.15" hidden="false" customHeight="false" outlineLevel="0" collapsed="false">
      <c r="A4953" s="1" t="s">
        <v>1071</v>
      </c>
      <c r="B4953" s="0" t="s">
        <v>98</v>
      </c>
      <c r="E4953" s="6" t="n">
        <f aca="false">Sens!E4977</f>
        <v>24.3801052339286</v>
      </c>
      <c r="F4953" s="6" t="n">
        <f aca="false">Sens!F4977</f>
        <v>25.5167043063238</v>
      </c>
      <c r="G4953" s="6" t="n">
        <f aca="false">Sens!G4977</f>
        <v>27.1228656574006</v>
      </c>
      <c r="H4953" s="6" t="n">
        <f aca="false">Sens!H4977</f>
        <v>29.1649156531034</v>
      </c>
      <c r="I4953" s="6" t="n">
        <f aca="false">Sens!I4977</f>
        <v>31.5645471177369</v>
      </c>
      <c r="J4953" s="6" t="n">
        <f aca="false">Sens!J4977</f>
        <v>34.2279480700297</v>
      </c>
      <c r="K4953" s="6" t="n">
        <f aca="false">Sens!K4977</f>
        <v>37.0690792492995</v>
      </c>
    </row>
    <row r="4954" customFormat="false" ht="17.15" hidden="false" customHeight="false" outlineLevel="0" collapsed="false">
      <c r="A4954" s="1" t="s">
        <v>1072</v>
      </c>
      <c r="B4954" s="0" t="s">
        <v>98</v>
      </c>
      <c r="D4954" s="6" t="n">
        <f aca="false">Q!L27</f>
        <v>-4.901</v>
      </c>
      <c r="E4954" s="6" t="n">
        <f aca="false">Q!M27</f>
        <v>10.697</v>
      </c>
      <c r="F4954" s="6" t="n">
        <f aca="false">Q!$I$27+oie_f*(q_per_yr-1)/q_per_yr</f>
        <v>-0.862</v>
      </c>
      <c r="G4954" s="6" t="n">
        <f aca="false">oie_f</f>
        <v>-1.2</v>
      </c>
      <c r="H4954" s="6" t="n">
        <f aca="false">oie_f</f>
        <v>-1.2</v>
      </c>
      <c r="I4954" s="6" t="n">
        <f aca="false">oie_f</f>
        <v>-1.2</v>
      </c>
      <c r="J4954" s="6" t="n">
        <f aca="false">oie_f</f>
        <v>-1.2</v>
      </c>
      <c r="K4954" s="6" t="n">
        <f aca="false">oie_f</f>
        <v>-1.2</v>
      </c>
      <c r="L4954" s="12" t="s">
        <v>1073</v>
      </c>
    </row>
    <row r="4955" customFormat="false" ht="15" hidden="false" customHeight="false" outlineLevel="0" collapsed="false">
      <c r="A4955" s="1" t="s">
        <v>1074</v>
      </c>
      <c r="B4955" s="0" t="s">
        <v>98</v>
      </c>
      <c r="D4955" s="6" t="n">
        <f aca="false">Sens!D4947+Sens!D4954</f>
        <v>123.627</v>
      </c>
      <c r="E4955" s="6" t="n">
        <f aca="false">Sens!E4947+Sens!E4954</f>
        <v>165.934</v>
      </c>
      <c r="F4955" s="6" t="n">
        <f aca="false">Sens!F4947+Sens!F4954</f>
        <v>186.081058709327</v>
      </c>
      <c r="G4955" s="6" t="n">
        <f aca="false">Sens!G4947+Sens!G4954</f>
        <v>215.150691821508</v>
      </c>
      <c r="H4955" s="6" t="n">
        <f aca="false">Sens!H4947+Sens!H4954</f>
        <v>253.55045163791</v>
      </c>
      <c r="I4955" s="6" t="n">
        <f aca="false">Sens!I4947+Sens!I4954</f>
        <v>282.651873452063</v>
      </c>
      <c r="J4955" s="6" t="n">
        <f aca="false">Sens!J4947+Sens!J4954</f>
        <v>308.023702510679</v>
      </c>
      <c r="K4955" s="6" t="n">
        <f aca="false">Sens!K4947+Sens!K4954</f>
        <v>329.401373801025</v>
      </c>
    </row>
    <row r="4956" customFormat="false" ht="15" hidden="false" customHeight="false" outlineLevel="0" collapsed="false">
      <c r="A4956" s="1" t="s">
        <v>1075</v>
      </c>
      <c r="B4956" s="0" t="s">
        <v>98</v>
      </c>
      <c r="D4956" s="6" t="n">
        <f aca="false">Q!L29</f>
        <v>21.795</v>
      </c>
      <c r="E4956" s="6" t="n">
        <f aca="false">Q!M29</f>
        <v>32.185</v>
      </c>
      <c r="F4956" s="6" t="n">
        <f aca="false">Q!$I$29+(Sens!F4955-Q!$I$28)*tax_f</f>
        <v>37.3496117418654</v>
      </c>
      <c r="G4956" s="6" t="n">
        <f aca="false">Sens!G4955*tax_f</f>
        <v>43.0301383643017</v>
      </c>
      <c r="H4956" s="6" t="n">
        <f aca="false">Sens!H4955*tax_f</f>
        <v>50.710090327582</v>
      </c>
      <c r="I4956" s="6" t="n">
        <f aca="false">Sens!I4955*tax_f</f>
        <v>56.5303746904125</v>
      </c>
      <c r="J4956" s="6" t="n">
        <f aca="false">Sens!J4955*tax_f</f>
        <v>61.6047405021358</v>
      </c>
      <c r="K4956" s="6" t="n">
        <f aca="false">Sens!K4955*tax_f</f>
        <v>65.880274760205</v>
      </c>
    </row>
    <row r="4957" customFormat="false" ht="15" hidden="false" customHeight="false" outlineLevel="0" collapsed="false">
      <c r="A4957" s="1" t="s">
        <v>1076</v>
      </c>
      <c r="B4957" s="0" t="s">
        <v>98</v>
      </c>
      <c r="D4957" s="6" t="n">
        <f aca="false">Sens!D4955-Sens!D4956</f>
        <v>101.832</v>
      </c>
      <c r="E4957" s="6" t="n">
        <f aca="false">Sens!E4955-Sens!E4956</f>
        <v>133.749</v>
      </c>
      <c r="F4957" s="6" t="n">
        <f aca="false">Sens!F4955-Sens!F4956</f>
        <v>148.731446967462</v>
      </c>
      <c r="G4957" s="6" t="n">
        <f aca="false">Sens!G4955-Sens!G4956</f>
        <v>172.120553457207</v>
      </c>
      <c r="H4957" s="6" t="n">
        <f aca="false">Sens!H4955-Sens!H4956</f>
        <v>202.840361310328</v>
      </c>
      <c r="I4957" s="6" t="n">
        <f aca="false">Sens!I4955-Sens!I4956</f>
        <v>226.12149876165</v>
      </c>
      <c r="J4957" s="6" t="n">
        <f aca="false">Sens!J4955-Sens!J4956</f>
        <v>246.418962008543</v>
      </c>
      <c r="K4957" s="6" t="n">
        <f aca="false">Sens!K4955-Sens!K4956</f>
        <v>263.52109904082</v>
      </c>
    </row>
    <row r="4958" customFormat="false" ht="17.15" hidden="false" customHeight="false" outlineLevel="0" collapsed="false">
      <c r="A4958" s="1" t="s">
        <v>1077</v>
      </c>
      <c r="B4958" s="1" t="s">
        <v>81</v>
      </c>
      <c r="D4958" s="15" t="n">
        <f aca="false">Q!L31</f>
        <v>7.465</v>
      </c>
      <c r="E4958" s="15" t="n">
        <f aca="false">Q!M31</f>
        <v>7.453</v>
      </c>
      <c r="F4958" s="15" t="n">
        <f aca="false">Sens!F5002</f>
        <v>7.47186473309375</v>
      </c>
      <c r="G4958" s="15" t="n">
        <f aca="false">Sens!G5002</f>
        <v>7.51420519998782</v>
      </c>
      <c r="H4958" s="15" t="n">
        <f aca="false">Sens!H5002</f>
        <v>7.54088087281693</v>
      </c>
      <c r="I4958" s="15" t="n">
        <f aca="false">Sens!I5002</f>
        <v>7.5525622368724</v>
      </c>
      <c r="J4958" s="15" t="n">
        <f aca="false">Sens!J5002</f>
        <v>7.56671164803487</v>
      </c>
      <c r="K4958" s="15" t="n">
        <f aca="false">Sens!K5002</f>
        <v>7.58314628800013</v>
      </c>
    </row>
    <row r="4959" customFormat="false" ht="17.15" hidden="false" customHeight="false" outlineLevel="0" collapsed="false">
      <c r="A4959" s="0" t="s">
        <v>1078</v>
      </c>
      <c r="B4959" s="0" t="s">
        <v>75</v>
      </c>
      <c r="D4959" s="8" t="n">
        <f aca="false">Sens!D4957/Sens!D4958</f>
        <v>13.641259209645</v>
      </c>
      <c r="E4959" s="8" t="n">
        <f aca="false">Sens!E4957/Sens!E4958</f>
        <v>17.9456594659869</v>
      </c>
      <c r="F4959" s="8" t="n">
        <f aca="false">Sens!F4957/Sens!F4958</f>
        <v>19.9055325919797</v>
      </c>
      <c r="G4959" s="8" t="n">
        <f aca="false">Sens!G4957/Sens!G4958</f>
        <v>22.9060225102032</v>
      </c>
      <c r="H4959" s="8" t="n">
        <f aca="false">Sens!H4957/Sens!H4958</f>
        <v>26.8987621912341</v>
      </c>
      <c r="I4959" s="8" t="n">
        <f aca="false">Sens!I4957/Sens!I4958</f>
        <v>29.9397067736432</v>
      </c>
      <c r="J4959" s="8" t="n">
        <f aca="false">Sens!J4957/Sens!J4958</f>
        <v>32.5661890489166</v>
      </c>
      <c r="K4959" s="8" t="n">
        <f aca="false">Sens!K4957/Sens!K4958</f>
        <v>34.7508921801794</v>
      </c>
      <c r="L4959" s="1" t="s">
        <v>1079</v>
      </c>
    </row>
    <row r="4960" customFormat="false" ht="17.15" hidden="false" customHeight="false" outlineLevel="0" collapsed="false">
      <c r="A4960" s="1" t="s">
        <v>1080</v>
      </c>
      <c r="B4960" s="0" t="s">
        <v>98</v>
      </c>
      <c r="D4960" s="6" t="n">
        <f aca="false">Sens!D4957</f>
        <v>101.832</v>
      </c>
      <c r="E4960" s="6" t="n">
        <f aca="false">Sens!E4957</f>
        <v>133.749</v>
      </c>
      <c r="F4960" s="6" t="n">
        <f aca="false">Sens!F4957+Sens!F4950*(1-tax_f)</f>
        <v>155.897260754589</v>
      </c>
      <c r="G4960" s="6" t="n">
        <f aca="false">Sens!G4957+Sens!G4950*(1-tax_f)</f>
        <v>190.408926324482</v>
      </c>
      <c r="H4960" s="6" t="n">
        <f aca="false">Sens!H4957+Sens!H4950*(1-tax_f)</f>
        <v>233.429846017323</v>
      </c>
      <c r="I4960" s="6" t="n">
        <f aca="false">Sens!I4957+Sens!I4950*(1-tax_f)</f>
        <v>267.710586824326</v>
      </c>
      <c r="J4960" s="6" t="n">
        <f aca="false">Sens!J4957+Sens!J4950*(1-tax_f)</f>
        <v>295.758874423424</v>
      </c>
      <c r="K4960" s="6" t="n">
        <f aca="false">Sens!K4957+Sens!K4950*(1-tax_f)</f>
        <v>316.294681405913</v>
      </c>
    </row>
    <row r="4961" customFormat="false" ht="17.15" hidden="false" customHeight="false" outlineLevel="0" collapsed="false">
      <c r="A4961" s="0" t="s">
        <v>1081</v>
      </c>
      <c r="B4961" s="0" t="s">
        <v>75</v>
      </c>
      <c r="D4961" s="8" t="n">
        <f aca="false">Sens!D4960/Sens!D4958</f>
        <v>13.641259209645</v>
      </c>
      <c r="E4961" s="8" t="n">
        <f aca="false">Sens!E4960/Sens!E4958</f>
        <v>17.9456594659869</v>
      </c>
      <c r="F4961" s="8" t="n">
        <f aca="false">Sens!F4960/Sens!F4958</f>
        <v>20.8645721414231</v>
      </c>
      <c r="G4961" s="8" t="n">
        <f aca="false">Sens!G4960/Sens!G4958</f>
        <v>25.3398624680613</v>
      </c>
      <c r="H4961" s="8" t="n">
        <f aca="false">Sens!H4960/Sens!H4958</f>
        <v>30.9552491219934</v>
      </c>
      <c r="I4961" s="8" t="n">
        <f aca="false">Sens!I4960/Sens!I4958</f>
        <v>35.4463264820691</v>
      </c>
      <c r="J4961" s="8" t="n">
        <f aca="false">Sens!J4960/Sens!J4958</f>
        <v>39.0868435564391</v>
      </c>
      <c r="K4961" s="8" t="n">
        <f aca="false">Sens!K4960/Sens!K4958</f>
        <v>41.7102175526312</v>
      </c>
      <c r="L4961" s="1" t="s">
        <v>1082</v>
      </c>
    </row>
    <row r="4962" customFormat="false" ht="17.15" hidden="false" customHeight="false" outlineLevel="0" collapsed="false">
      <c r="A4962" s="0" t="s">
        <v>1083</v>
      </c>
      <c r="B4962" s="0" t="s">
        <v>168</v>
      </c>
      <c r="E4962" s="7" t="n">
        <f aca="false">Sens!E4961/Sens!D4961-1</f>
        <v>0.315542736208578</v>
      </c>
      <c r="F4962" s="7" t="n">
        <f aca="false">Sens!F4961/Sens!E4961-1</f>
        <v>0.162652851012165</v>
      </c>
      <c r="G4962" s="7" t="n">
        <f aca="false">Sens!G4961/Sens!F4961-1</f>
        <v>0.214492312437755</v>
      </c>
      <c r="H4962" s="7" t="n">
        <f aca="false">Sens!H4961/Sens!G4961-1</f>
        <v>0.221602886006579</v>
      </c>
      <c r="I4962" s="7" t="n">
        <f aca="false">Sens!I4961/Sens!H4961-1</f>
        <v>0.145082901525896</v>
      </c>
      <c r="J4962" s="7" t="n">
        <f aca="false">Sens!J4961/Sens!I4961-1</f>
        <v>0.102705059612073</v>
      </c>
      <c r="K4962" s="7" t="n">
        <f aca="false">Sens!K4961/Sens!J4961-1</f>
        <v>0.067116547602625</v>
      </c>
    </row>
    <row r="4963" customFormat="false" ht="17.15" hidden="false" customHeight="false" outlineLevel="0" collapsed="false">
      <c r="A4963" s="0" t="s">
        <v>1003</v>
      </c>
      <c r="B4963" s="0" t="s">
        <v>98</v>
      </c>
      <c r="E4963" s="6" t="n">
        <f aca="false">Sens!E4904</f>
        <v>5.25</v>
      </c>
      <c r="F4963" s="6" t="n">
        <f aca="false">Sens!F4904</f>
        <v>13.5</v>
      </c>
      <c r="G4963" s="6" t="n">
        <f aca="false">Sens!G4904</f>
        <v>22.5</v>
      </c>
      <c r="H4963" s="6" t="n">
        <f aca="false">Sens!H4904</f>
        <v>31.5</v>
      </c>
      <c r="I4963" s="6" t="n">
        <f aca="false">Sens!I4904</f>
        <v>38.25</v>
      </c>
      <c r="J4963" s="6" t="n">
        <f aca="false">Sens!J4904</f>
        <v>42.75</v>
      </c>
      <c r="K4963" s="6" t="n">
        <f aca="false">Sens!K4904</f>
        <v>47.25</v>
      </c>
    </row>
    <row r="4964" customFormat="false" ht="17.15" hidden="false" customHeight="false" outlineLevel="0" collapsed="false">
      <c r="A4964" s="1" t="s">
        <v>1004</v>
      </c>
      <c r="B4964" s="0" t="s">
        <v>98</v>
      </c>
      <c r="F4964" s="6" t="n">
        <f aca="false">MAX(0,((Sens!E4864+Sens!F4864)/2-(shadow_base*(Sens!$D$4864+Sens!$E$4864)/2+(1-shadow_base)*Sens!$E$4864))*Sens!F4873/1000-(Sens!F4963-Sens!$E$4963)*Sens!F4943)</f>
        <v>8.95726723390958</v>
      </c>
      <c r="G4964" s="6" t="n">
        <f aca="false">MAX(0,((Sens!F4864+Sens!G4864)/2-(shadow_base*(Sens!$D$4864+Sens!$E$4864)/2+(1-shadow_base)*Sens!$E$4864))*Sens!G4873/1000-(Sens!G4963-Sens!$E$4963)*Sens!G4943)</f>
        <v>22.8604660840941</v>
      </c>
      <c r="H4964" s="6" t="n">
        <f aca="false">MAX(0,((Sens!G4864+Sens!H4864)/2-(shadow_base*(Sens!$D$4864+Sens!$E$4864)/2+(1-shadow_base)*Sens!$E$4864))*Sens!H4873/1000-(Sens!H4963-Sens!$E$4963)*Sens!H4943)</f>
        <v>38.2368558837439</v>
      </c>
      <c r="I4964" s="6" t="n">
        <f aca="false">MAX(0,((Sens!H4864+Sens!I4864)/2-(shadow_base*(Sens!$D$4864+Sens!$E$4864)/2+(1-shadow_base)*Sens!$E$4864))*Sens!I4873/1000-(Sens!I4963-Sens!$E$4963)*Sens!I4943)</f>
        <v>51.9863600783443</v>
      </c>
      <c r="J4964" s="6" t="n">
        <f aca="false">MAX(0,((Sens!I4864+Sens!J4864)/2-(shadow_base*(Sens!$D$4864+Sens!$E$4864)/2+(1-shadow_base)*Sens!$E$4864))*Sens!J4873/1000-(Sens!J4963-Sens!$E$4963)*Sens!J4943)</f>
        <v>61.6748905186012</v>
      </c>
      <c r="K4964" s="6" t="n">
        <f aca="false">MAX(0,((Sens!J4864+Sens!K4864)/2-(shadow_base*(Sens!$D$4864+Sens!$E$4864)/2+(1-shadow_base)*Sens!$E$4864))*Sens!K4873/1000-(Sens!K4963-Sens!$E$4963)*Sens!K4943)</f>
        <v>65.9669779563659</v>
      </c>
      <c r="L4964" s="1" t="s">
        <v>1005</v>
      </c>
    </row>
    <row r="4965" customFormat="false" ht="17.15" hidden="false" customHeight="false" outlineLevel="0" collapsed="false">
      <c r="A4965" s="1" t="s">
        <v>1006</v>
      </c>
      <c r="B4965" s="0" t="s">
        <v>98</v>
      </c>
      <c r="F4965" s="6" t="n">
        <f aca="false">IF(internal_ai_reading=2,1,0)*Sens!F4964</f>
        <v>8.95726723390958</v>
      </c>
      <c r="G4965" s="6" t="n">
        <f aca="false">IF(internal_ai_reading=2,1,0)*Sens!G4964</f>
        <v>22.8604660840941</v>
      </c>
      <c r="H4965" s="6" t="n">
        <f aca="false">IF(internal_ai_reading=2,1,0)*Sens!H4964</f>
        <v>38.2368558837439</v>
      </c>
      <c r="I4965" s="6" t="n">
        <f aca="false">IF(internal_ai_reading=2,1,0)*Sens!I4964</f>
        <v>51.9863600783443</v>
      </c>
      <c r="J4965" s="6" t="n">
        <f aca="false">IF(internal_ai_reading=2,1,0)*Sens!J4964</f>
        <v>61.6748905186012</v>
      </c>
      <c r="K4965" s="6" t="n">
        <f aca="false">IF(internal_ai_reading=2,1,0)*Sens!K4964</f>
        <v>65.9669779563659</v>
      </c>
    </row>
    <row r="4966" customFormat="false" ht="17.15" hidden="false" customHeight="false" outlineLevel="0" collapsed="false">
      <c r="A4966" s="0" t="s">
        <v>1007</v>
      </c>
      <c r="B4966" s="0" t="s">
        <v>98</v>
      </c>
      <c r="F4966" s="6" t="n">
        <f aca="false">Sens!F4883+Sens!F4963*Sens!F4943+Sens!F4965-Sens!F4884-Sens!F4895</f>
        <v>23.0413635412354</v>
      </c>
      <c r="G4966" s="6" t="n">
        <f aca="false">Sens!G4883+Sens!G4963*Sens!G4943+Sens!G4965-Sens!G4884-Sens!G4895</f>
        <v>51.2319060368182</v>
      </c>
      <c r="H4966" s="6" t="n">
        <f aca="false">Sens!H4883+Sens!H4963*Sens!H4943+Sens!H4965-Sens!H4884-Sens!H4895</f>
        <v>85.3415950407983</v>
      </c>
      <c r="I4966" s="6" t="n">
        <f aca="false">Sens!I4883+Sens!I4963*Sens!I4943+Sens!I4965-Sens!I4884-Sens!I4895</f>
        <v>108.889482928218</v>
      </c>
      <c r="J4966" s="6" t="n">
        <f aca="false">Sens!J4883+Sens!J4963*Sens!J4943+Sens!J4965-Sens!J4884-Sens!J4895</f>
        <v>125.768538210713</v>
      </c>
      <c r="K4966" s="6" t="n">
        <f aca="false">Sens!K4883+Sens!K4963*Sens!K4943+Sens!K4965-Sens!K4884-Sens!K4895</f>
        <v>135.159060876644</v>
      </c>
    </row>
    <row r="4967" customFormat="false" ht="17.15" hidden="false" customHeight="false" outlineLevel="0" collapsed="false">
      <c r="A4967" s="0" t="s">
        <v>1008</v>
      </c>
      <c r="B4967" s="0" t="s">
        <v>98</v>
      </c>
      <c r="E4967" s="6" t="n">
        <f aca="false">Sens!E4863*(cxit_open+self_build*tk_cxfac)/1000*ai_net_open</f>
        <v>126.6980382</v>
      </c>
      <c r="F4967" s="6" t="n">
        <f aca="false">Sens!E4967+Sens!F4892-Sens!F4895</f>
        <v>265.154125618829</v>
      </c>
      <c r="G4967" s="6" t="n">
        <f aca="false">Sens!F4967+Sens!G4892-Sens!G4895</f>
        <v>404.444632283224</v>
      </c>
      <c r="H4967" s="6" t="n">
        <f aca="false">Sens!G4967+Sens!H4892-Sens!H4895</f>
        <v>524.036544500123</v>
      </c>
      <c r="I4967" s="6" t="n">
        <f aca="false">Sens!H4967+Sens!I4892-Sens!I4895</f>
        <v>564.998338555436</v>
      </c>
      <c r="J4967" s="6" t="n">
        <f aca="false">Sens!I4967+Sens!J4892-Sens!J4895</f>
        <v>565.888311674893</v>
      </c>
      <c r="K4967" s="6" t="n">
        <f aca="false">Sens!J4967+Sens!K4892-Sens!K4895</f>
        <v>519.693395517643</v>
      </c>
      <c r="L4967" s="1" t="s">
        <v>1009</v>
      </c>
    </row>
    <row r="4968" customFormat="false" ht="17.15" hidden="false" customHeight="false" outlineLevel="0" collapsed="false">
      <c r="A4968" s="0" t="s">
        <v>1010</v>
      </c>
      <c r="B4968" s="0" t="s">
        <v>168</v>
      </c>
      <c r="F4968" s="7" t="n">
        <f aca="false">Sens!F4966*(1-tax_f)/((Sens!E4967+Sens!F4967)/2)</f>
        <v>0.0940818631871114</v>
      </c>
      <c r="G4968" s="7" t="n">
        <f aca="false">Sens!G4966*(1-tax_f)/((Sens!F4967+Sens!G4967)/2)</f>
        <v>0.122418162655701</v>
      </c>
      <c r="H4968" s="7" t="n">
        <f aca="false">Sens!H4966*(1-tax_f)/((Sens!G4967+Sens!H4967)/2)</f>
        <v>0.147064426807588</v>
      </c>
      <c r="I4968" s="7" t="n">
        <f aca="false">Sens!I4966*(1-tax_f)/((Sens!H4967+Sens!I4967)/2)</f>
        <v>0.159979423428865</v>
      </c>
      <c r="J4968" s="7" t="n">
        <f aca="false">Sens!J4966*(1-tax_f)/((Sens!I4967+Sens!J4967)/2)</f>
        <v>0.177939726405078</v>
      </c>
      <c r="K4968" s="7" t="n">
        <f aca="false">Sens!K4966*(1-tax_f)/((Sens!J4967+Sens!K4967)/2)</f>
        <v>0.199206099338109</v>
      </c>
    </row>
    <row r="4969" customFormat="false" ht="17.15" hidden="false" customHeight="false" outlineLevel="0" collapsed="false">
      <c r="A4969" s="1" t="s">
        <v>1011</v>
      </c>
      <c r="B4969" s="0" t="s">
        <v>168</v>
      </c>
      <c r="F4969" s="7" t="n">
        <f aca="false">(Sens!F4966-Sens!F4965)*(1-tax_f)/((Sens!E4967+Sens!F4967)/2)</f>
        <v>0.0575077954708961</v>
      </c>
      <c r="G4969" s="7" t="n">
        <f aca="false">(Sens!G4966-Sens!G4965)*(1-tax_f)/((Sens!F4967+Sens!G4967)/2)</f>
        <v>0.0677932917118684</v>
      </c>
      <c r="H4969" s="7" t="n">
        <f aca="false">(Sens!H4966-Sens!H4965)*(1-tax_f)/((Sens!G4967+Sens!H4967)/2)</f>
        <v>0.0811729785544952</v>
      </c>
      <c r="I4969" s="7" t="n">
        <f aca="false">(Sens!I4966-Sens!I4965)*(1-tax_f)/((Sens!H4967+Sens!I4967)/2)</f>
        <v>0.0836015429591649</v>
      </c>
      <c r="J4969" s="7" t="n">
        <f aca="false">(Sens!J4966-Sens!J4965)*(1-tax_f)/((Sens!I4967+Sens!J4967)/2)</f>
        <v>0.0906809150912621</v>
      </c>
      <c r="K4969" s="7" t="n">
        <f aca="false">(Sens!K4966-Sens!K4965)*(1-tax_f)/((Sens!J4967+Sens!K4967)/2)</f>
        <v>0.101979733021431</v>
      </c>
    </row>
    <row r="4970" customFormat="false" ht="17.15" hidden="false" customHeight="false" outlineLevel="0" collapsed="false">
      <c r="A4970" s="1" t="s">
        <v>1012</v>
      </c>
      <c r="B4970" s="0" t="s">
        <v>168</v>
      </c>
      <c r="F4970" s="7" t="n">
        <f aca="false">(Sens!F4966-Sens!F4965+Sens!F4964)*(1-tax_f)/((Sens!E4967+Sens!F4967)/2)</f>
        <v>0.0940818631871114</v>
      </c>
      <c r="G4970" s="7" t="n">
        <f aca="false">(Sens!G4966-Sens!G4965+Sens!G4964)*(1-tax_f)/((Sens!F4967+Sens!G4967)/2)</f>
        <v>0.122418162655701</v>
      </c>
      <c r="H4970" s="7" t="n">
        <f aca="false">(Sens!H4966-Sens!H4965+Sens!H4964)*(1-tax_f)/((Sens!G4967+Sens!H4967)/2)</f>
        <v>0.147064426807588</v>
      </c>
      <c r="I4970" s="7" t="n">
        <f aca="false">(Sens!I4966-Sens!I4965+Sens!I4964)*(1-tax_f)/((Sens!H4967+Sens!I4967)/2)</f>
        <v>0.159979423428865</v>
      </c>
      <c r="J4970" s="7" t="n">
        <f aca="false">(Sens!J4966-Sens!J4965+Sens!J4964)*(1-tax_f)/((Sens!I4967+Sens!J4967)/2)</f>
        <v>0.177939726405078</v>
      </c>
      <c r="K4970" s="7" t="n">
        <f aca="false">(Sens!K4966-Sens!K4965+Sens!K4964)*(1-tax_f)/((Sens!J4967+Sens!K4967)/2)</f>
        <v>0.199206099338109</v>
      </c>
    </row>
    <row r="4971" customFormat="false" ht="17.15" hidden="false" customHeight="false" outlineLevel="0" collapsed="false">
      <c r="A4971" s="1" t="s">
        <v>1013</v>
      </c>
      <c r="B4971" s="0" t="s">
        <v>168</v>
      </c>
      <c r="F4971" s="7" t="n">
        <f aca="false">Sens!F4896*(1-tax_f)/(Sens!F4882*(Sens!E4967+Sens!F4967)/2)</f>
        <v>0.171612472031662</v>
      </c>
      <c r="G4971" s="7" t="n">
        <f aca="false">Sens!G4896*(1-tax_f)/(Sens!G4882*(Sens!F4967+Sens!G4967)/2)</f>
        <v>0.19166927576729</v>
      </c>
      <c r="H4971" s="7" t="n">
        <f aca="false">Sens!H4896*(1-tax_f)/(Sens!H4882*(Sens!G4967+Sens!H4967)/2)</f>
        <v>0.219654237150296</v>
      </c>
      <c r="I4971" s="7" t="n">
        <f aca="false">Sens!I4896*(1-tax_f)/(Sens!I4882*(Sens!H4967+Sens!I4967)/2)</f>
        <v>0.232955377936765</v>
      </c>
      <c r="J4971" s="7" t="n">
        <f aca="false">Sens!J4896*(1-tax_f)/(Sens!J4882*(Sens!I4967+Sens!J4967)/2)</f>
        <v>0.255823859040175</v>
      </c>
      <c r="K4971" s="7" t="n">
        <f aca="false">Sens!K4896*(1-tax_f)/(Sens!K4882*(Sens!J4967+Sens!K4967)/2)</f>
        <v>0.284962660081467</v>
      </c>
    </row>
    <row r="4972" customFormat="false" ht="17.15" hidden="false" customHeight="false" outlineLevel="0" collapsed="false">
      <c r="A4972" s="0" t="s">
        <v>1014</v>
      </c>
      <c r="B4972" s="0" t="s">
        <v>253</v>
      </c>
      <c r="F4972" s="7" t="n">
        <f aca="false">Sens!F4968-wacc</f>
        <v>-0.00885472775848589</v>
      </c>
      <c r="G4972" s="7" t="n">
        <f aca="false">Sens!G4968-wacc</f>
        <v>0.0194815717101041</v>
      </c>
      <c r="H4972" s="7" t="n">
        <f aca="false">Sens!H4968-wacc</f>
        <v>0.0441278358619902</v>
      </c>
      <c r="I4972" s="7" t="n">
        <f aca="false">Sens!I4968-wacc</f>
        <v>0.0570428324832674</v>
      </c>
      <c r="J4972" s="7" t="n">
        <f aca="false">Sens!J4968-wacc</f>
        <v>0.075003135459481</v>
      </c>
      <c r="K4972" s="7" t="n">
        <f aca="false">Sens!K4968-wacc</f>
        <v>0.0962695083925114</v>
      </c>
    </row>
    <row r="4973" customFormat="false" ht="17.15" hidden="false" customHeight="false" outlineLevel="0" collapsed="false">
      <c r="A4973" s="0" t="s">
        <v>1015</v>
      </c>
      <c r="B4973" s="0" t="s">
        <v>98</v>
      </c>
      <c r="F4973" s="6" t="n">
        <f aca="false">Sens!F4966*(1-tax_f)-wacc*(Sens!E4967+Sens!F4967)/2</f>
        <v>-1.73487211609467</v>
      </c>
      <c r="G4973" s="6" t="n">
        <f aca="false">Sens!G4966*(1-tax_f)-wacc*(Sens!F4967+Sens!G4967)/2</f>
        <v>6.52241810953274</v>
      </c>
      <c r="H4973" s="6" t="n">
        <f aca="false">Sens!H4966*(1-tax_f)-wacc*(Sens!G4967+Sens!H4967)/2</f>
        <v>20.4859324850215</v>
      </c>
      <c r="I4973" s="6" t="n">
        <f aca="false">Sens!I4966*(1-tax_f)-wacc*(Sens!H4967+Sens!I4967)/2</f>
        <v>31.0608172012864</v>
      </c>
      <c r="J4973" s="6" t="n">
        <f aca="false">Sens!J4966*(1-tax_f)-wacc*(Sens!I4967+Sens!J4967)/2</f>
        <v>42.410022308272</v>
      </c>
      <c r="K4973" s="6" t="n">
        <f aca="false">Sens!K4966*(1-tax_f)-wacc*(Sens!J4967+Sens!K4967)/2</f>
        <v>52.2542086356643</v>
      </c>
    </row>
    <row r="4974" customFormat="false" ht="17.15" hidden="false" customHeight="false" outlineLevel="0" collapsed="false">
      <c r="A4974" s="3" t="s">
        <v>1603</v>
      </c>
    </row>
    <row r="4975" customFormat="false" ht="15" hidden="false" customHeight="false" outlineLevel="0" collapsed="false">
      <c r="A4975" s="4" t="s">
        <v>43</v>
      </c>
      <c r="B4975" s="4" t="s">
        <v>65</v>
      </c>
      <c r="C4975" s="23" t="s">
        <v>938</v>
      </c>
      <c r="D4975" s="23" t="s">
        <v>939</v>
      </c>
      <c r="E4975" s="23" t="s">
        <v>940</v>
      </c>
      <c r="F4975" s="23" t="s">
        <v>941</v>
      </c>
      <c r="G4975" s="23" t="s">
        <v>942</v>
      </c>
      <c r="H4975" s="23" t="s">
        <v>943</v>
      </c>
      <c r="I4975" s="23" t="s">
        <v>944</v>
      </c>
      <c r="J4975" s="23" t="s">
        <v>945</v>
      </c>
      <c r="K4975" s="23" t="s">
        <v>946</v>
      </c>
      <c r="L4975" s="4" t="s">
        <v>47</v>
      </c>
    </row>
    <row r="4976" customFormat="false" ht="15" hidden="false" customHeight="false" outlineLevel="0" collapsed="false">
      <c r="A4976" s="1" t="s">
        <v>1076</v>
      </c>
      <c r="B4976" s="0" t="s">
        <v>98</v>
      </c>
      <c r="F4976" s="6" t="n">
        <f aca="false">Sens!F4957</f>
        <v>148.731446967462</v>
      </c>
      <c r="G4976" s="6" t="n">
        <f aca="false">Sens!G4957</f>
        <v>172.120553457207</v>
      </c>
      <c r="H4976" s="6" t="n">
        <f aca="false">Sens!H4957</f>
        <v>202.840361310328</v>
      </c>
      <c r="I4976" s="6" t="n">
        <f aca="false">Sens!I4957</f>
        <v>226.12149876165</v>
      </c>
      <c r="J4976" s="6" t="n">
        <f aca="false">Sens!J4957</f>
        <v>246.418962008543</v>
      </c>
      <c r="K4976" s="6" t="n">
        <f aca="false">Sens!K4957</f>
        <v>263.52109904082</v>
      </c>
    </row>
    <row r="4977" customFormat="false" ht="17.15" hidden="false" customHeight="false" outlineLevel="0" collapsed="false">
      <c r="A4977" s="1" t="s">
        <v>1098</v>
      </c>
      <c r="B4977" s="0" t="s">
        <v>98</v>
      </c>
      <c r="E4977" s="6" t="n">
        <f aca="false">Q!M38-Sens!E4895</f>
        <v>24.3801052339286</v>
      </c>
      <c r="F4977" s="6" t="n">
        <f aca="false">Sens!E4977*(1-1/life_nonai)+(Sens!F4985+Sens!F4986)/life_nonai</f>
        <v>25.5167043063238</v>
      </c>
      <c r="G4977" s="6" t="n">
        <f aca="false">Sens!F4977*(1-1/life_nonai)+(Sens!G4985)/life_nonai</f>
        <v>27.1228656574006</v>
      </c>
      <c r="H4977" s="6" t="n">
        <f aca="false">Sens!G4977*(1-1/life_nonai)+(Sens!H4985)/life_nonai</f>
        <v>29.1649156531034</v>
      </c>
      <c r="I4977" s="6" t="n">
        <f aca="false">Sens!H4977*(1-1/life_nonai)+(Sens!I4985)/life_nonai</f>
        <v>31.5645471177369</v>
      </c>
      <c r="J4977" s="6" t="n">
        <f aca="false">Sens!I4977*(1-1/life_nonai)+(Sens!J4985)/life_nonai</f>
        <v>34.2279480700297</v>
      </c>
      <c r="K4977" s="6" t="n">
        <f aca="false">Sens!J4977*(1-1/life_nonai)+(Sens!K4985)/life_nonai</f>
        <v>37.0690792492995</v>
      </c>
      <c r="L4977" s="12" t="s">
        <v>1099</v>
      </c>
    </row>
    <row r="4978" customFormat="false" ht="17.15" hidden="false" customHeight="false" outlineLevel="0" collapsed="false">
      <c r="A4978" s="1" t="s">
        <v>1100</v>
      </c>
      <c r="B4978" s="0" t="s">
        <v>98</v>
      </c>
      <c r="F4978" s="6" t="n">
        <f aca="false">Sens!$F$4986/life_nonai*(1-1/life_nonai)^(Sens!F4858-2027)</f>
        <v>0.00475774452575592</v>
      </c>
      <c r="G4978" s="6" t="n">
        <f aca="false">Sens!$F$4986/life_nonai*(1-1/life_nonai)^(Sens!G4858-2027)</f>
        <v>0.00428197007318033</v>
      </c>
      <c r="H4978" s="6" t="n">
        <f aca="false">Sens!$F$4986/life_nonai*(1-1/life_nonai)^(Sens!H4858-2027)</f>
        <v>0.0038537730658623</v>
      </c>
      <c r="I4978" s="6" t="n">
        <f aca="false">Sens!$F$4986/life_nonai*(1-1/life_nonai)^(Sens!I4858-2027)</f>
        <v>0.00346839575927607</v>
      </c>
      <c r="J4978" s="6" t="n">
        <f aca="false">Sens!$F$4986/life_nonai*(1-1/life_nonai)^(Sens!J4858-2027)</f>
        <v>0.00312155618334846</v>
      </c>
      <c r="K4978" s="6" t="n">
        <f aca="false">Sens!$F$4986/life_nonai*(1-1/life_nonai)^(Sens!K4858-2027)</f>
        <v>0.00280940056501362</v>
      </c>
      <c r="L4978" s="1" t="s">
        <v>1101</v>
      </c>
    </row>
    <row r="4979" customFormat="false" ht="17.15" hidden="false" customHeight="false" outlineLevel="0" collapsed="false">
      <c r="A4979" s="1" t="s">
        <v>1102</v>
      </c>
      <c r="B4979" s="0" t="s">
        <v>98</v>
      </c>
      <c r="E4979" s="6" t="n">
        <f aca="false">Sens!E4895+Sens!E4977</f>
        <v>38.534</v>
      </c>
      <c r="F4979" s="6" t="n">
        <f aca="false">Sens!F4895+Sens!F4977</f>
        <v>55.5145209296144</v>
      </c>
      <c r="G4979" s="6" t="n">
        <f aca="false">Sens!G4895+Sens!G4977</f>
        <v>79.7768346420532</v>
      </c>
      <c r="H4979" s="6" t="n">
        <f aca="false">Sens!H4895+Sens!H4977</f>
        <v>106.379007500718</v>
      </c>
      <c r="I4979" s="6" t="n">
        <f aca="false">Sens!I4895+Sens!I4977</f>
        <v>130.056841924034</v>
      </c>
      <c r="J4979" s="6" t="n">
        <f aca="false">Sens!J4895+Sens!J4977</f>
        <v>147.389975146514</v>
      </c>
      <c r="K4979" s="6" t="n">
        <f aca="false">Sens!K4895+Sens!K4977</f>
        <v>158.783289951282</v>
      </c>
    </row>
    <row r="4980" customFormat="false" ht="17.15" hidden="false" customHeight="false" outlineLevel="0" collapsed="false">
      <c r="A4980" s="1" t="s">
        <v>1103</v>
      </c>
      <c r="B4980" s="0" t="s">
        <v>98</v>
      </c>
      <c r="F4980" s="6" t="n">
        <f aca="false">Sens!F4922*sbc_r</f>
        <v>15.0680693022395</v>
      </c>
      <c r="G4980" s="6" t="n">
        <f aca="false">Sens!G4922*sbc_r</f>
        <v>18.3841476633065</v>
      </c>
      <c r="H4980" s="6" t="n">
        <f aca="false">Sens!H4922*sbc_r</f>
        <v>21.9545979838202</v>
      </c>
      <c r="I4980" s="6" t="n">
        <f aca="false">Sens!I4922*sbc_r</f>
        <v>24.9478131098445</v>
      </c>
      <c r="J4980" s="6" t="n">
        <f aca="false">Sens!J4922*sbc_r</f>
        <v>27.3679290395313</v>
      </c>
      <c r="K4980" s="6" t="n">
        <f aca="false">Sens!K4922*sbc_r</f>
        <v>29.2382164866161</v>
      </c>
    </row>
    <row r="4981" customFormat="false" ht="17.15" hidden="false" customHeight="false" outlineLevel="0" collapsed="false">
      <c r="A4981" s="1" t="s">
        <v>1104</v>
      </c>
      <c r="B4981" s="0" t="s">
        <v>98</v>
      </c>
      <c r="F4981" s="6" t="n">
        <f aca="false">wc27-wc26q1</f>
        <v>-4.677</v>
      </c>
      <c r="G4981" s="6" t="n">
        <f aca="false">wc_f</f>
        <v>0</v>
      </c>
      <c r="H4981" s="6" t="n">
        <f aca="false">wc_f</f>
        <v>0</v>
      </c>
      <c r="I4981" s="6" t="n">
        <f aca="false">wc_f</f>
        <v>0</v>
      </c>
      <c r="J4981" s="6" t="n">
        <f aca="false">wc_f</f>
        <v>0</v>
      </c>
      <c r="K4981" s="6" t="n">
        <f aca="false">wc_f</f>
        <v>0</v>
      </c>
      <c r="L4981" s="12" t="s">
        <v>1105</v>
      </c>
    </row>
    <row r="4982" customFormat="false" ht="17.15" hidden="false" customHeight="false" outlineLevel="0" collapsed="false">
      <c r="A4982" s="0" t="s">
        <v>1106</v>
      </c>
      <c r="B4982" s="0" t="s">
        <v>98</v>
      </c>
      <c r="F4982" s="6" t="n">
        <f aca="false">Q!$I$35-Q!$I$26-Q!$I$38-Q!$I$39</f>
        <v>6.493</v>
      </c>
      <c r="L4982" s="1" t="s">
        <v>1107</v>
      </c>
    </row>
    <row r="4983" customFormat="false" ht="15" hidden="false" customHeight="false" outlineLevel="0" collapsed="false">
      <c r="A4983" s="1" t="s">
        <v>904</v>
      </c>
      <c r="B4983" s="0" t="s">
        <v>98</v>
      </c>
      <c r="E4983" s="6" t="n">
        <f aca="false">Q!M35</f>
        <v>182.935</v>
      </c>
      <c r="F4983" s="6" t="n">
        <f aca="false">Sens!F4976+Sens!F4979+Sens!F4980+Sens!F4981+Sens!F4982</f>
        <v>221.130037199316</v>
      </c>
      <c r="G4983" s="6" t="n">
        <f aca="false">Sens!G4976+Sens!G4979+Sens!G4980+Sens!G4981</f>
        <v>270.281535762567</v>
      </c>
      <c r="H4983" s="6" t="n">
        <f aca="false">Sens!H4976+Sens!H4979+Sens!H4980+Sens!H4981</f>
        <v>331.173966794866</v>
      </c>
      <c r="I4983" s="6" t="n">
        <f aca="false">Sens!I4976+Sens!I4979+Sens!I4980+Sens!I4981</f>
        <v>381.126153795528</v>
      </c>
      <c r="J4983" s="6" t="n">
        <f aca="false">Sens!J4976+Sens!J4979+Sens!J4980+Sens!J4981</f>
        <v>421.176866194588</v>
      </c>
      <c r="K4983" s="6" t="n">
        <f aca="false">Sens!K4976+Sens!K4979+Sens!K4980+Sens!K4981</f>
        <v>451.542605478718</v>
      </c>
    </row>
    <row r="4984" customFormat="false" ht="17.15" hidden="false" customHeight="false" outlineLevel="0" collapsed="false">
      <c r="A4984" s="0" t="s">
        <v>1108</v>
      </c>
      <c r="B4984" s="0" t="s">
        <v>98</v>
      </c>
      <c r="F4984" s="6" t="n">
        <f aca="false">Sens!F4892</f>
        <v>168.45390404212</v>
      </c>
      <c r="G4984" s="6" t="n">
        <f aca="false">Sens!G4892</f>
        <v>191.944475649048</v>
      </c>
      <c r="H4984" s="6" t="n">
        <f aca="false">Sens!H4892</f>
        <v>196.806004064512</v>
      </c>
      <c r="I4984" s="6" t="n">
        <f aca="false">Sens!I4892</f>
        <v>139.45408886161</v>
      </c>
      <c r="J4984" s="6" t="n">
        <f aca="false">Sens!J4892</f>
        <v>114.05200019594</v>
      </c>
      <c r="K4984" s="6" t="n">
        <f aca="false">Sens!K4892</f>
        <v>75.5192945447327</v>
      </c>
    </row>
    <row r="4985" customFormat="false" ht="17.15" hidden="false" customHeight="false" outlineLevel="0" collapsed="false">
      <c r="A4985" s="1" t="s">
        <v>1109</v>
      </c>
      <c r="B4985" s="0" t="s">
        <v>98</v>
      </c>
      <c r="E4985" s="6" t="n">
        <f aca="false">Sens!E4900*cx_azo+Sens!E4907*cx_m365+Sens!E4908*cx_lic+(Sens!E4910+Sens!E4912)*cx_ind+Sens!E4915*cx_srch+(Sens!E4917+Sens!E4919)*cx_dev</f>
        <v>30.1846587067718</v>
      </c>
      <c r="F4985" s="6" t="n">
        <f aca="false">Sens!F4900*cx_azo+Sens!F4907*cx_m365+Sens!F4908*cx_lic+(Sens!F4910+Sens!F4912)*cx_ind+Sens!F4915*cx_srch+(Sens!F4917+Sens!F4919)*cx_dev</f>
        <v>35.6985185126228</v>
      </c>
      <c r="G4985" s="6" t="n">
        <f aca="false">Sens!G4900*cx_azo+Sens!G4907*cx_m365+Sens!G4908*cx_lic+(Sens!G4910+Sens!G4912)*cx_ind+Sens!G4915*cx_srch+(Sens!G4917+Sens!G4919)*cx_dev</f>
        <v>41.5783178170917</v>
      </c>
      <c r="H4985" s="6" t="n">
        <f aca="false">Sens!H4900*cx_azo+Sens!H4907*cx_m365+Sens!H4908*cx_lic+(Sens!H4910+Sens!H4912)*cx_ind+Sens!H4915*cx_srch+(Sens!H4917+Sens!H4919)*cx_dev</f>
        <v>47.5433656144293</v>
      </c>
      <c r="I4985" s="6" t="n">
        <f aca="false">Sens!I4900*cx_azo+Sens!I4907*cx_m365+Sens!I4908*cx_lic+(Sens!I4910+Sens!I4912)*cx_ind+Sens!I4915*cx_srch+(Sens!I4917+Sens!I4919)*cx_dev</f>
        <v>53.1612302994382</v>
      </c>
      <c r="J4985" s="6" t="n">
        <f aca="false">Sens!J4900*cx_azo+Sens!J4907*cx_m365+Sens!J4908*cx_lic+(Sens!J4910+Sens!J4912)*cx_ind+Sens!J4915*cx_srch+(Sens!J4917+Sens!J4919)*cx_dev</f>
        <v>58.1985566406647</v>
      </c>
      <c r="K4985" s="6" t="n">
        <f aca="false">Sens!K4900*cx_azo+Sens!K4907*cx_m365+Sens!K4908*cx_lic+(Sens!K4910+Sens!K4912)*cx_ind+Sens!K4915*cx_srch+(Sens!K4917+Sens!K4919)*cx_dev</f>
        <v>62.6392598627275</v>
      </c>
    </row>
    <row r="4986" customFormat="false" ht="17.15" hidden="false" customHeight="false" outlineLevel="0" collapsed="false">
      <c r="A4986" s="0" t="s">
        <v>1110</v>
      </c>
      <c r="B4986" s="0" t="s">
        <v>98</v>
      </c>
      <c r="F4986" s="6" t="n">
        <f aca="false">Sens!F4890</f>
        <v>0.0475774452575593</v>
      </c>
      <c r="L4986" s="1" t="s">
        <v>1111</v>
      </c>
    </row>
    <row r="4987" customFormat="false" ht="17.15" hidden="false" customHeight="false" outlineLevel="0" collapsed="false">
      <c r="A4987" s="1" t="s">
        <v>1112</v>
      </c>
      <c r="B4987" s="0" t="s">
        <v>98</v>
      </c>
      <c r="E4987" s="6" t="n">
        <f aca="false">Q!M43</f>
        <v>145.3</v>
      </c>
      <c r="F4987" s="6" t="n">
        <f aca="false">Sens!F4984+Sens!F4985+Sens!F4986</f>
        <v>204.2</v>
      </c>
      <c r="G4987" s="6" t="n">
        <f aca="false">Sens!G4984+Sens!G4985</f>
        <v>233.52279346614</v>
      </c>
      <c r="H4987" s="6" t="n">
        <f aca="false">Sens!H4984+Sens!H4985</f>
        <v>244.349369678942</v>
      </c>
      <c r="I4987" s="6" t="n">
        <f aca="false">Sens!I4984+Sens!I4985</f>
        <v>192.615319161049</v>
      </c>
      <c r="J4987" s="6" t="n">
        <f aca="false">Sens!J4984+Sens!J4985</f>
        <v>172.250556836605</v>
      </c>
      <c r="K4987" s="6" t="n">
        <f aca="false">Sens!K4984+Sens!K4985</f>
        <v>138.15855440746</v>
      </c>
      <c r="L4987" s="1" t="s">
        <v>1113</v>
      </c>
    </row>
    <row r="4988" customFormat="false" ht="15" hidden="false" customHeight="false" outlineLevel="0" collapsed="false">
      <c r="A4988" s="1" t="s">
        <v>1114</v>
      </c>
      <c r="B4988" s="0" t="s">
        <v>98</v>
      </c>
      <c r="E4988" s="6" t="n">
        <f aca="false">fl_liab</f>
        <v>66.594</v>
      </c>
      <c r="F4988" s="6" t="n">
        <f aca="false">Sens!E4988-Sens!F4989</f>
        <v>62.46973</v>
      </c>
      <c r="G4988" s="6" t="n">
        <f aca="false">Sens!F4988-Sens!G4989</f>
        <v>57.98686785</v>
      </c>
      <c r="H4988" s="6" t="n">
        <f aca="false">Sens!G4988-Sens!H4989</f>
        <v>53.92827690325</v>
      </c>
      <c r="I4988" s="6" t="n">
        <f aca="false">Sens!H4988-Sens!I4989</f>
        <v>49.7850493638962</v>
      </c>
      <c r="J4988" s="6" t="n">
        <f aca="false">Sens!I4988-Sens!J4989</f>
        <v>45.4823765852716</v>
      </c>
      <c r="K4988" s="6" t="n">
        <f aca="false">Sens!J4988-Sens!K4989</f>
        <v>40.9860835316088</v>
      </c>
    </row>
    <row r="4989" customFormat="false" ht="15" hidden="false" customHeight="false" outlineLevel="0" collapsed="false">
      <c r="A4989" s="1" t="s">
        <v>1115</v>
      </c>
      <c r="B4989" s="0" t="s">
        <v>98</v>
      </c>
      <c r="F4989" s="6" t="n">
        <f aca="false">fl_pay_27-Sens!E4988*fl_rate</f>
        <v>4.12427</v>
      </c>
      <c r="G4989" s="6" t="n">
        <f aca="false">fl_pay_28-Sens!F4988*fl_rate</f>
        <v>4.48286215</v>
      </c>
      <c r="H4989" s="6" t="n">
        <f aca="false">fl_pay_29-Sens!G4988*fl_rate</f>
        <v>4.05859094675</v>
      </c>
      <c r="I4989" s="6" t="n">
        <f aca="false">fl_pay_30-Sens!H4988*fl_rate</f>
        <v>4.14322753935375</v>
      </c>
      <c r="J4989" s="6" t="n">
        <f aca="false">fl_pay_31-Sens!I4988*fl_rate</f>
        <v>4.30267277862467</v>
      </c>
      <c r="K4989" s="6" t="n">
        <f aca="false">fl_pay_32-Sens!J4988*fl_rate</f>
        <v>4.49629305366278</v>
      </c>
    </row>
    <row r="4990" customFormat="false" ht="17.15" hidden="false" customHeight="false" outlineLevel="0" collapsed="false">
      <c r="A4990" s="1" t="s">
        <v>1116</v>
      </c>
      <c r="B4990" s="0" t="s">
        <v>98</v>
      </c>
      <c r="E4990" s="6" t="n">
        <f aca="false">Q!M35-Q!M36-Q!M44</f>
        <v>63.886</v>
      </c>
      <c r="F4990" s="6" t="n">
        <f aca="false">Sens!F4983-Sens!F4987-Sens!F4989</f>
        <v>12.8057671993156</v>
      </c>
      <c r="G4990" s="6" t="n">
        <f aca="false">Sens!G4983-Sens!G4987-Sens!G4989</f>
        <v>32.2758801464266</v>
      </c>
      <c r="H4990" s="6" t="n">
        <f aca="false">Sens!H4983-Sens!H4987-Sens!H4989</f>
        <v>82.7660061691744</v>
      </c>
      <c r="I4990" s="6" t="n">
        <f aca="false">Sens!I4983-Sens!I4987-Sens!I4989</f>
        <v>184.367607095126</v>
      </c>
      <c r="J4990" s="6" t="n">
        <f aca="false">Sens!J4983-Sens!J4987-Sens!J4989</f>
        <v>244.623636579358</v>
      </c>
      <c r="K4990" s="6" t="n">
        <f aca="false">Sens!K4983-Sens!K4987-Sens!K4989</f>
        <v>308.887758017595</v>
      </c>
      <c r="L4990" s="12" t="s">
        <v>1117</v>
      </c>
    </row>
    <row r="4991" customFormat="false" ht="15" hidden="false" customHeight="false" outlineLevel="0" collapsed="false">
      <c r="A4991" s="1" t="s">
        <v>1118</v>
      </c>
      <c r="B4991" s="0" t="s">
        <v>75</v>
      </c>
      <c r="F4991" s="8" t="n">
        <f aca="false">dps_27</f>
        <v>3.85</v>
      </c>
      <c r="G4991" s="8" t="n">
        <f aca="false">Sens!F4991*(1+dps_g)</f>
        <v>4.158</v>
      </c>
      <c r="H4991" s="8" t="n">
        <f aca="false">Sens!G4991*(1+dps_g)</f>
        <v>4.49064</v>
      </c>
      <c r="I4991" s="8" t="n">
        <f aca="false">Sens!H4991*(1+dps_g)</f>
        <v>4.8498912</v>
      </c>
      <c r="J4991" s="8" t="n">
        <f aca="false">Sens!I4991*(1+dps_g)</f>
        <v>5.237882496</v>
      </c>
      <c r="K4991" s="8" t="n">
        <f aca="false">Sens!J4991*(1+dps_g)</f>
        <v>5.65691309568</v>
      </c>
    </row>
    <row r="4992" customFormat="false" ht="17.15" hidden="false" customHeight="false" outlineLevel="0" collapsed="false">
      <c r="A4992" s="1" t="s">
        <v>1119</v>
      </c>
      <c r="B4992" s="0" t="s">
        <v>98</v>
      </c>
      <c r="E4992" s="6" t="n">
        <f aca="false">Q!M41</f>
        <v>26.445</v>
      </c>
      <c r="F4992" s="6" t="n">
        <f aca="false">Sens!F4991*Sens!E5001</f>
        <v>28.59395</v>
      </c>
      <c r="G4992" s="6" t="n">
        <f aca="false">Sens!G4991*Sens!F5001</f>
        <v>31.0549771204077</v>
      </c>
      <c r="H4992" s="6" t="n">
        <f aca="false">Sens!H4991*Sens!G5001</f>
        <v>33.7322548685063</v>
      </c>
      <c r="I4992" s="6" t="n">
        <f aca="false">Sens!I4991*Sens!H5001</f>
        <v>36.4812735350595</v>
      </c>
      <c r="J4992" s="6" t="n">
        <f aca="false">Sens!J4991*Sens!I5001</f>
        <v>39.4676733032569</v>
      </c>
      <c r="K4992" s="6" t="n">
        <f aca="false">Sens!K4991*Sens!J5001</f>
        <v>42.7118414298957</v>
      </c>
      <c r="L4992" s="1" t="s">
        <v>1120</v>
      </c>
    </row>
    <row r="4993" customFormat="false" ht="15" hidden="false" customHeight="false" outlineLevel="0" collapsed="false">
      <c r="A4993" s="1" t="s">
        <v>1121</v>
      </c>
      <c r="B4993" s="0" t="s">
        <v>98</v>
      </c>
      <c r="E4993" s="6" t="n">
        <f aca="false">Sens!E4990-Sens!E4992</f>
        <v>37.441</v>
      </c>
      <c r="F4993" s="6" t="n">
        <f aca="false">Sens!F4990-Sens!F4992</f>
        <v>-15.7881828006844</v>
      </c>
      <c r="G4993" s="6" t="n">
        <f aca="false">Sens!G4990-Sens!G4992</f>
        <v>1.22090302601893</v>
      </c>
      <c r="H4993" s="6" t="n">
        <f aca="false">Sens!H4990-Sens!H4992</f>
        <v>49.033751300668</v>
      </c>
      <c r="I4993" s="6" t="n">
        <f aca="false">Sens!I4990-Sens!I4992</f>
        <v>147.886333560067</v>
      </c>
      <c r="J4993" s="6" t="n">
        <f aca="false">Sens!J4990-Sens!J4992</f>
        <v>205.155963276102</v>
      </c>
      <c r="K4993" s="6" t="n">
        <f aca="false">Sens!K4990-Sens!K4992</f>
        <v>266.175916587699</v>
      </c>
    </row>
    <row r="4994" customFormat="false" ht="15" hidden="false" customHeight="false" outlineLevel="0" collapsed="false">
      <c r="A4994" s="1" t="s">
        <v>1122</v>
      </c>
      <c r="B4994" s="0" t="s">
        <v>98</v>
      </c>
      <c r="F4994" s="6" t="n">
        <f aca="false">debt_mat_27</f>
        <v>9.25</v>
      </c>
      <c r="G4994" s="6" t="n">
        <f aca="false">debt_mat_28</f>
        <v>0</v>
      </c>
      <c r="H4994" s="6" t="n">
        <f aca="false">debt_mat_29</f>
        <v>2.001</v>
      </c>
      <c r="I4994" s="6" t="n">
        <f aca="false">debt_mat_30</f>
        <v>0</v>
      </c>
      <c r="J4994" s="6" t="n">
        <f aca="false">debt_mat_31</f>
        <v>0.5</v>
      </c>
      <c r="K4994" s="6" t="n">
        <f aca="false">debt_mat_32</f>
        <v>0</v>
      </c>
    </row>
    <row r="4995" customFormat="false" ht="15" hidden="false" customHeight="false" outlineLevel="0" collapsed="false">
      <c r="A4995" s="1" t="s">
        <v>1123</v>
      </c>
      <c r="B4995" s="0" t="s">
        <v>98</v>
      </c>
      <c r="E4995" s="6" t="n">
        <f aca="false">Q!M40</f>
        <v>22.271</v>
      </c>
      <c r="F4995" s="6" t="n">
        <f aca="false">MAX(0,MIN(bb_target,Sens!E4997+Sens!F4993-Sens!F4994-min_cash))</f>
        <v>1.80481719931559</v>
      </c>
      <c r="G4995" s="6" t="n">
        <f aca="false">MAX(0,MIN(bb_target,Sens!F4997+Sens!G4993-Sens!G4994-min_cash))</f>
        <v>1.22090302601893</v>
      </c>
      <c r="H4995" s="6" t="n">
        <f aca="false">MAX(0,MIN(bb_target,Sens!G4997+Sens!H4993-Sens!H4994-min_cash))</f>
        <v>22.271</v>
      </c>
      <c r="I4995" s="6" t="n">
        <f aca="false">MAX(0,MIN(bb_target,Sens!H4997+Sens!I4993-Sens!I4994-min_cash))</f>
        <v>22.271</v>
      </c>
      <c r="J4995" s="6" t="n">
        <f aca="false">MAX(0,MIN(bb_target,Sens!I4997+Sens!J4993-Sens!J4994-min_cash))</f>
        <v>22.271</v>
      </c>
      <c r="K4995" s="6" t="n">
        <f aca="false">MAX(0,MIN(bb_target,Sens!J4997+Sens!K4993-Sens!K4994-min_cash))</f>
        <v>22.271</v>
      </c>
    </row>
    <row r="4996" customFormat="false" ht="15" hidden="false" customHeight="false" outlineLevel="0" collapsed="false">
      <c r="A4996" s="1" t="s">
        <v>1124</v>
      </c>
      <c r="B4996" s="0" t="s">
        <v>98</v>
      </c>
      <c r="F4996" s="6" t="n">
        <f aca="false">MAX(0,min_cash-(Sens!E4997+Sens!F4993-Sens!F4994-Sens!F4995))</f>
        <v>0</v>
      </c>
      <c r="G4996" s="6" t="n">
        <f aca="false">MAX(0,min_cash-(Sens!F4997+Sens!G4993-Sens!G4994-Sens!G4995))</f>
        <v>0</v>
      </c>
      <c r="H4996" s="6" t="n">
        <f aca="false">MAX(0,min_cash-(Sens!G4997+Sens!H4993-Sens!H4994-Sens!H4995))</f>
        <v>0</v>
      </c>
      <c r="I4996" s="6" t="n">
        <f aca="false">MAX(0,min_cash-(Sens!H4997+Sens!I4993-Sens!I4994-Sens!I4995))</f>
        <v>0</v>
      </c>
      <c r="J4996" s="6" t="n">
        <f aca="false">MAX(0,min_cash-(Sens!I4997+Sens!J4993-Sens!J4994-Sens!J4995))</f>
        <v>0</v>
      </c>
      <c r="K4996" s="6" t="n">
        <f aca="false">MAX(0,min_cash-(Sens!J4997+Sens!K4993-Sens!K4994-Sens!K4995))</f>
        <v>0</v>
      </c>
    </row>
    <row r="4997" customFormat="false" ht="15" hidden="false" customHeight="false" outlineLevel="0" collapsed="false">
      <c r="A4997" s="1" t="s">
        <v>1125</v>
      </c>
      <c r="B4997" s="0" t="s">
        <v>98</v>
      </c>
      <c r="E4997" s="6" t="n">
        <f aca="false">cash_open</f>
        <v>76.843</v>
      </c>
      <c r="F4997" s="6" t="n">
        <f aca="false">Sens!E4997+Sens!F4993-Sens!F4994-Sens!F4995+Sens!F4996</f>
        <v>50</v>
      </c>
      <c r="G4997" s="6" t="n">
        <f aca="false">Sens!F4997+Sens!G4993-Sens!G4994-Sens!G4995+Sens!G4996</f>
        <v>50</v>
      </c>
      <c r="H4997" s="6" t="n">
        <f aca="false">Sens!G4997+Sens!H4993-Sens!H4994-Sens!H4995+Sens!H4996</f>
        <v>74.761751300668</v>
      </c>
      <c r="I4997" s="6" t="n">
        <f aca="false">Sens!H4997+Sens!I4993-Sens!I4994-Sens!I4995+Sens!I4996</f>
        <v>200.377084860735</v>
      </c>
      <c r="J4997" s="6" t="n">
        <f aca="false">Sens!I4997+Sens!J4993-Sens!J4994-Sens!J4995+Sens!J4996</f>
        <v>382.762048136836</v>
      </c>
      <c r="K4997" s="6" t="n">
        <f aca="false">Sens!J4997+Sens!K4993-Sens!K4994-Sens!K4995+Sens!K4996</f>
        <v>626.666964724536</v>
      </c>
    </row>
    <row r="4998" customFormat="false" ht="15" hidden="false" customHeight="false" outlineLevel="0" collapsed="false">
      <c r="A4998" s="1" t="s">
        <v>1126</v>
      </c>
      <c r="B4998" s="0" t="s">
        <v>98</v>
      </c>
      <c r="E4998" s="6" t="n">
        <f aca="false">debt_face</f>
        <v>46.136</v>
      </c>
      <c r="F4998" s="6" t="n">
        <f aca="false">Sens!E4998-Sens!F4994+Sens!F4996</f>
        <v>36.886</v>
      </c>
      <c r="G4998" s="6" t="n">
        <f aca="false">Sens!F4998-Sens!G4994+Sens!G4996</f>
        <v>36.886</v>
      </c>
      <c r="H4998" s="6" t="n">
        <f aca="false">Sens!G4998-Sens!H4994+Sens!H4996</f>
        <v>34.885</v>
      </c>
      <c r="I4998" s="6" t="n">
        <f aca="false">Sens!H4998-Sens!I4994+Sens!I4996</f>
        <v>34.885</v>
      </c>
      <c r="J4998" s="6" t="n">
        <f aca="false">Sens!I4998-Sens!J4994+Sens!J4996</f>
        <v>34.385</v>
      </c>
      <c r="K4998" s="6" t="n">
        <f aca="false">Sens!J4998-Sens!K4994+Sens!K4996</f>
        <v>34.385</v>
      </c>
    </row>
    <row r="4999" customFormat="false" ht="15" hidden="false" customHeight="false" outlineLevel="0" collapsed="false">
      <c r="A4999" s="1" t="s">
        <v>1127</v>
      </c>
      <c r="B4999" s="0" t="s">
        <v>98</v>
      </c>
      <c r="E4999" s="6" t="n">
        <f aca="false">Sens!E4997-Sens!E4998</f>
        <v>30.707</v>
      </c>
      <c r="F4999" s="6" t="n">
        <f aca="false">Sens!F4997-Sens!F4998</f>
        <v>13.114</v>
      </c>
      <c r="G4999" s="6" t="n">
        <f aca="false">Sens!G4997-Sens!G4998</f>
        <v>13.114</v>
      </c>
      <c r="H4999" s="6" t="n">
        <f aca="false">Sens!H4997-Sens!H4998</f>
        <v>39.876751300668</v>
      </c>
      <c r="I4999" s="6" t="n">
        <f aca="false">Sens!I4997-Sens!I4998</f>
        <v>165.492084860735</v>
      </c>
      <c r="J4999" s="6" t="n">
        <f aca="false">Sens!J4997-Sens!J4998</f>
        <v>348.377048136836</v>
      </c>
      <c r="K4999" s="6" t="n">
        <f aca="false">Sens!K4997-Sens!K4998</f>
        <v>592.281964724536</v>
      </c>
    </row>
    <row r="5000" customFormat="false" ht="15" hidden="false" customHeight="false" outlineLevel="0" collapsed="false">
      <c r="A5000" s="1" t="s">
        <v>1128</v>
      </c>
      <c r="B5000" s="0" t="s">
        <v>75</v>
      </c>
      <c r="F5000" s="30" t="n">
        <f aca="false">px*(1+bb_g)^(Sens!F4858-base_fy-mid_yr)</f>
        <v>551.84177959629</v>
      </c>
      <c r="G5000" s="30" t="n">
        <f aca="false">px*(1+bb_g)^(Sens!G4858-base_fy-mid_yr)</f>
        <v>595.989121963993</v>
      </c>
      <c r="H5000" s="30" t="n">
        <f aca="false">px*(1+bb_g)^(Sens!H4858-base_fy-mid_yr)</f>
        <v>643.668251721112</v>
      </c>
      <c r="I5000" s="30" t="n">
        <f aca="false">px*(1+bb_g)^(Sens!I4858-base_fy-mid_yr)</f>
        <v>695.161711858801</v>
      </c>
      <c r="J5000" s="30" t="n">
        <f aca="false">px*(1+bb_g)^(Sens!J4858-base_fy-mid_yr)</f>
        <v>750.774648807506</v>
      </c>
      <c r="K5000" s="30" t="n">
        <f aca="false">px*(1+bb_g)^(Sens!K4858-base_fy-mid_yr)</f>
        <v>810.836620712106</v>
      </c>
    </row>
    <row r="5001" customFormat="false" ht="15" hidden="false" customHeight="false" outlineLevel="0" collapsed="false">
      <c r="A5001" s="1" t="s">
        <v>1129</v>
      </c>
      <c r="B5001" s="1" t="s">
        <v>81</v>
      </c>
      <c r="E5001" s="15" t="n">
        <f aca="false">sh_out26</f>
        <v>7.427</v>
      </c>
      <c r="F5001" s="15" t="n">
        <f aca="false">Sens!E5001+sh_iss-Sens!F4995/Sens!F5000</f>
        <v>7.46872946618751</v>
      </c>
      <c r="G5001" s="15" t="n">
        <f aca="false">Sens!F5001+sh_iss-Sens!G4995/Sens!G5000</f>
        <v>7.51168093378813</v>
      </c>
      <c r="H5001" s="15" t="n">
        <f aca="false">Sens!G5001+sh_iss-Sens!H4995/Sens!H5000</f>
        <v>7.52208081184573</v>
      </c>
      <c r="I5001" s="15" t="n">
        <f aca="false">Sens!H5001+sh_iss-Sens!I4995/Sens!I5000</f>
        <v>7.53504366189907</v>
      </c>
      <c r="J5001" s="15" t="n">
        <f aca="false">Sens!I5001+sh_iss-Sens!J4995/Sens!J5000</f>
        <v>7.55037963417068</v>
      </c>
      <c r="K5001" s="15" t="n">
        <f aca="false">Sens!J5001+sh_iss-Sens!K4995/Sens!K5000</f>
        <v>7.56791294182957</v>
      </c>
    </row>
    <row r="5002" customFormat="false" ht="15" hidden="false" customHeight="false" outlineLevel="0" collapsed="false">
      <c r="A5002" s="1" t="s">
        <v>1130</v>
      </c>
      <c r="B5002" s="1" t="s">
        <v>81</v>
      </c>
      <c r="E5002" s="15" t="n">
        <f aca="false">sh_dil26</f>
        <v>7.453</v>
      </c>
      <c r="F5002" s="15" t="n">
        <f aca="false">(Sens!E5001+Sens!F5001)/2+dil_gap</f>
        <v>7.47186473309375</v>
      </c>
      <c r="G5002" s="15" t="n">
        <f aca="false">(Sens!F5001+Sens!G5001)/2+dil_gap</f>
        <v>7.51420519998782</v>
      </c>
      <c r="H5002" s="15" t="n">
        <f aca="false">(Sens!G5001+Sens!H5001)/2+dil_gap</f>
        <v>7.54088087281693</v>
      </c>
      <c r="I5002" s="15" t="n">
        <f aca="false">(Sens!H5001+Sens!I5001)/2+dil_gap</f>
        <v>7.5525622368724</v>
      </c>
      <c r="J5002" s="15" t="n">
        <f aca="false">(Sens!I5001+Sens!J5001)/2+dil_gap</f>
        <v>7.56671164803487</v>
      </c>
      <c r="K5002" s="15" t="n">
        <f aca="false">(Sens!J5001+Sens!K5001)/2+dil_gap</f>
        <v>7.58314628800013</v>
      </c>
    </row>
    <row r="5003" customFormat="false" ht="17.15" hidden="false" customHeight="false" outlineLevel="0" collapsed="false">
      <c r="A5003" s="1" t="s">
        <v>1131</v>
      </c>
      <c r="B5003" s="0" t="s">
        <v>98</v>
      </c>
      <c r="C5003" s="6" t="n">
        <f aca="false">SUM(Sens!F4993:J4993)</f>
        <v>387.508768362171</v>
      </c>
    </row>
    <row r="5004" customFormat="false" ht="15" hidden="false" customHeight="false" outlineLevel="0" collapsed="false">
      <c r="A5004" s="26" t="s">
        <v>1096</v>
      </c>
      <c r="B5004" s="31" t="s">
        <v>98</v>
      </c>
      <c r="C5004" s="27" t="n">
        <f aca="false">Sens!$C$5003-(Sens!F4993+Sens!G4993+Sens!H4993+Sens!I4993+Sens!J4993)</f>
        <v>0</v>
      </c>
      <c r="D5004" s="31"/>
      <c r="E5004" s="31"/>
      <c r="F5004" s="31"/>
      <c r="G5004" s="31"/>
      <c r="H5004" s="31"/>
      <c r="I5004" s="31"/>
      <c r="J5004" s="31"/>
      <c r="K5004" s="31"/>
    </row>
    <row r="5005" customFormat="false" ht="17.15" hidden="false" customHeight="false" outlineLevel="0" collapsed="false">
      <c r="A5005" s="1" t="s">
        <v>1090</v>
      </c>
      <c r="B5005" s="1" t="s">
        <v>1132</v>
      </c>
      <c r="C5005" s="33" t="str">
        <f aca="false">IF(SUM(Sens!F4996:J4996)&gt;0.05,"需要舉債 "&amp;TEXT(SUM(Sens!F4996:J4996),"0.0")&amp;" 十億美元","不需舉債")&amp;"；"&amp;IF(SUM(Sens!F4995:J4995)&lt;COUNT(Sens!F4995:J4995)*bb_target-0.05,"回購較每年 "&amp;TEXT(bb_target,"0.0")&amp;" 的目標少 "&amp;TEXT(COUNT(Sens!F4995:J4995)*bb_target-SUM(Sens!F4995:J4995),"0.0")&amp;" 十億美元（"&amp;TEXT(COUNTIF(Sens!F4995:J4995,"&lt;"&amp;(bb_target-0.05)),"0")&amp;" 年減少）","回購不減")</f>
        <v>不需舉債；回購較每年 22.3 的目標少 41.5 十億美元（2 年減少）</v>
      </c>
    </row>
    <row r="5006" customFormat="false" ht="17.15" hidden="false" customHeight="false" outlineLevel="0" collapsed="false">
      <c r="A5006" s="3" t="s">
        <v>1604</v>
      </c>
    </row>
    <row r="5007" customFormat="false" ht="15" hidden="false" customHeight="false" outlineLevel="0" collapsed="false">
      <c r="A5007" s="4" t="s">
        <v>43</v>
      </c>
      <c r="B5007" s="4" t="s">
        <v>65</v>
      </c>
      <c r="C5007" s="23" t="s">
        <v>938</v>
      </c>
      <c r="D5007" s="23" t="s">
        <v>939</v>
      </c>
      <c r="E5007" s="23" t="s">
        <v>940</v>
      </c>
      <c r="F5007" s="23" t="s">
        <v>941</v>
      </c>
      <c r="G5007" s="23" t="s">
        <v>942</v>
      </c>
      <c r="H5007" s="23" t="s">
        <v>943</v>
      </c>
      <c r="I5007" s="23" t="s">
        <v>944</v>
      </c>
      <c r="J5007" s="23" t="s">
        <v>945</v>
      </c>
      <c r="K5007" s="23" t="s">
        <v>946</v>
      </c>
      <c r="L5007" s="4" t="s">
        <v>47</v>
      </c>
    </row>
    <row r="5008" customFormat="false" ht="17.15" hidden="false" customHeight="false" outlineLevel="0" collapsed="false">
      <c r="A5008" s="1" t="s">
        <v>1212</v>
      </c>
      <c r="B5008" s="1" t="s">
        <v>279</v>
      </c>
      <c r="F5008" s="8" t="n">
        <f aca="false">(1-v_off)*mid_yr</f>
        <v>0.373972602739726</v>
      </c>
      <c r="G5008" s="8" t="n">
        <f aca="false">Sens!G4858-base_fy-mid_yr-v_off</f>
        <v>1.24794520547945</v>
      </c>
      <c r="H5008" s="8" t="n">
        <f aca="false">Sens!H4858-base_fy-mid_yr-v_off</f>
        <v>2.24794520547945</v>
      </c>
      <c r="I5008" s="8" t="n">
        <f aca="false">Sens!I4858-base_fy-mid_yr-v_off</f>
        <v>3.24794520547945</v>
      </c>
      <c r="J5008" s="8" t="n">
        <f aca="false">Sens!J4858-base_fy-mid_yr-v_off</f>
        <v>4.24794520547945</v>
      </c>
      <c r="K5008" s="8" t="n">
        <f aca="false">Sens!K4858-base_fy-mid_yr-v_off</f>
        <v>5.24794520547945</v>
      </c>
      <c r="L5008" s="12" t="s">
        <v>1213</v>
      </c>
    </row>
    <row r="5009" customFormat="false" ht="15" hidden="false" customHeight="false" outlineLevel="0" collapsed="false">
      <c r="A5009" s="1" t="s">
        <v>1214</v>
      </c>
      <c r="B5009" s="1" t="s">
        <v>279</v>
      </c>
      <c r="F5009" s="8" t="n">
        <f aca="false">Sens!F4858-base_fy-v_off</f>
        <v>0.747945205479452</v>
      </c>
      <c r="G5009" s="8" t="n">
        <f aca="false">Sens!G4858-base_fy-v_off</f>
        <v>1.74794520547945</v>
      </c>
      <c r="H5009" s="8" t="n">
        <f aca="false">Sens!H4858-base_fy-v_off</f>
        <v>2.74794520547945</v>
      </c>
      <c r="I5009" s="8" t="n">
        <f aca="false">Sens!I4858-base_fy-v_off</f>
        <v>3.74794520547945</v>
      </c>
      <c r="J5009" s="8" t="n">
        <f aca="false">Sens!J4858-base_fy-v_off</f>
        <v>4.74794520547945</v>
      </c>
      <c r="K5009" s="8" t="n">
        <f aca="false">Sens!K4858-base_fy-v_off</f>
        <v>5.74794520547945</v>
      </c>
    </row>
    <row r="5010" customFormat="false" ht="15" hidden="false" customHeight="false" outlineLevel="0" collapsed="false">
      <c r="A5010" s="1" t="s">
        <v>1215</v>
      </c>
      <c r="B5010" s="0" t="s">
        <v>229</v>
      </c>
      <c r="F5010" s="15" t="n">
        <f aca="false">1/(1+wacc)^Sens!F5008</f>
        <v>0.964022703286649</v>
      </c>
      <c r="G5010" s="15" t="n">
        <f aca="false">1/(1+wacc)^Sens!G5008</f>
        <v>0.884910302296739</v>
      </c>
      <c r="H5010" s="15" t="n">
        <f aca="false">1/(1+wacc)^Sens!H5008</f>
        <v>0.802322009770358</v>
      </c>
      <c r="I5010" s="15" t="n">
        <f aca="false">1/(1+wacc)^Sens!I5008</f>
        <v>0.727441646561469</v>
      </c>
      <c r="J5010" s="15" t="n">
        <f aca="false">1/(1+wacc)^Sens!J5008</f>
        <v>0.659549834988973</v>
      </c>
      <c r="K5010" s="15" t="n">
        <f aca="false">1/(1+wacc)^Sens!K5008</f>
        <v>0.597994336576966</v>
      </c>
    </row>
    <row r="5011" customFormat="false" ht="17.15" hidden="false" customHeight="false" outlineLevel="0" collapsed="false">
      <c r="A5011" s="1" t="s">
        <v>1216</v>
      </c>
      <c r="B5011" s="0" t="s">
        <v>98</v>
      </c>
      <c r="F5011" s="6" t="n">
        <f aca="false">Q!$I$35-Q!$I$39-Q!$I$43</f>
        <v>9.666</v>
      </c>
      <c r="L5011" s="12" t="s">
        <v>1217</v>
      </c>
    </row>
    <row r="5012" customFormat="false" ht="17.15" hidden="false" customHeight="false" outlineLevel="0" collapsed="false">
      <c r="A5012" s="1" t="s">
        <v>1218</v>
      </c>
      <c r="B5012" s="0" t="s">
        <v>98</v>
      </c>
      <c r="F5012" s="6" t="n">
        <f aca="false">Sens!F4983-Sens!F4980-Sens!F4987+Sens!F4965*(1-tax_f)*(1-v_off)-Sens!F5011</f>
        <v>-2.44439603748316</v>
      </c>
      <c r="G5012" s="6" t="n">
        <f aca="false">Sens!G4983-Sens!G4980-Sens!G4987+Sens!G4965*(1-tax_f)</f>
        <v>36.6629675003954</v>
      </c>
      <c r="H5012" s="6" t="n">
        <f aca="false">Sens!H4983-Sens!H4980-Sens!H4987+Sens!H4965*(1-tax_f)</f>
        <v>95.4594838390992</v>
      </c>
      <c r="I5012" s="6" t="n">
        <f aca="false">Sens!I4983-Sens!I4980-Sens!I4987+Sens!I4965*(1-tax_f)</f>
        <v>205.152109587311</v>
      </c>
      <c r="J5012" s="6" t="n">
        <f aca="false">Sens!J4983-Sens!J4980-Sens!J4987+Sens!J4965*(1-tax_f)</f>
        <v>270.898292733333</v>
      </c>
      <c r="K5012" s="6" t="n">
        <f aca="false">Sens!K4983-Sens!K4980-Sens!K4987+Sens!K4965*(1-tax_f)</f>
        <v>336.919416949734</v>
      </c>
      <c r="L5012" s="1" t="s">
        <v>1219</v>
      </c>
    </row>
    <row r="5013" customFormat="false" ht="15" hidden="false" customHeight="false" outlineLevel="0" collapsed="false">
      <c r="A5013" s="1" t="s">
        <v>1220</v>
      </c>
      <c r="B5013" s="0" t="s">
        <v>98</v>
      </c>
      <c r="F5013" s="6" t="n">
        <f aca="false">Sens!F5012*Sens!F5010</f>
        <v>-2.35645327595769</v>
      </c>
      <c r="G5013" s="6" t="n">
        <f aca="false">Sens!G5012*Sens!G5010</f>
        <v>32.4434376538704</v>
      </c>
      <c r="H5013" s="6" t="n">
        <f aca="false">Sens!H5012*Sens!H5010</f>
        <v>76.5892449254271</v>
      </c>
      <c r="I5013" s="6" t="n">
        <f aca="false">Sens!I5012*Sens!I5010</f>
        <v>149.236188393752</v>
      </c>
      <c r="J5013" s="6" t="n">
        <f aca="false">Sens!J5012*Sens!J5010</f>
        <v>178.670924271064</v>
      </c>
      <c r="K5013" s="6" t="n">
        <f aca="false">Sens!K5012*Sens!K5010</f>
        <v>201.475903218755</v>
      </c>
    </row>
    <row r="5014" customFormat="false" ht="17.15" hidden="false" customHeight="false" outlineLevel="0" collapsed="false">
      <c r="A5014" s="1" t="s">
        <v>1221</v>
      </c>
      <c r="B5014" s="0" t="s">
        <v>98</v>
      </c>
      <c r="C5014" s="6" t="n">
        <f aca="false">SUM(Sens!F5013:K5013)</f>
        <v>636.05924518691</v>
      </c>
    </row>
    <row r="5015" customFormat="false" ht="17.15" hidden="false" customHeight="false" outlineLevel="0" collapsed="false">
      <c r="A5015" s="1" t="s">
        <v>1222</v>
      </c>
      <c r="B5015" s="0" t="s">
        <v>98</v>
      </c>
      <c r="C5015" s="6" t="n">
        <f aca="false">Sens!K4951*(1+g_tv)*(1-tax_f)</f>
        <v>326.77232184809</v>
      </c>
    </row>
    <row r="5016" customFormat="false" ht="17.15" hidden="false" customHeight="false" outlineLevel="0" collapsed="false">
      <c r="A5016" s="1" t="s">
        <v>1223</v>
      </c>
      <c r="B5016" s="0" t="s">
        <v>98</v>
      </c>
      <c r="C5016" s="6" t="n">
        <f aca="false">Sens!$C$5015*(1-g_tv/(wacc+ronic_prem))</f>
        <v>231.537288655435</v>
      </c>
    </row>
    <row r="5017" customFormat="false" ht="17.15" hidden="false" customHeight="false" outlineLevel="0" collapsed="false">
      <c r="A5017" s="1" t="s">
        <v>1224</v>
      </c>
      <c r="B5017" s="0" t="s">
        <v>98</v>
      </c>
      <c r="C5017" s="6" t="n">
        <f aca="false">Sens!$C$5016/(wacc-g_tv)</f>
        <v>3174.50110642183</v>
      </c>
    </row>
    <row r="5018" customFormat="false" ht="15" hidden="false" customHeight="false" outlineLevel="0" collapsed="false">
      <c r="A5018" s="1" t="s">
        <v>1225</v>
      </c>
      <c r="B5018" s="0" t="s">
        <v>98</v>
      </c>
      <c r="C5018" s="6" t="n">
        <f aca="false">Sens!$C$5017/(1+wacc)^Sens!K5009</f>
        <v>1807.57897505838</v>
      </c>
    </row>
    <row r="5019" customFormat="false" ht="17.15" hidden="false" customHeight="false" outlineLevel="0" collapsed="false">
      <c r="A5019" s="0" t="s">
        <v>1226</v>
      </c>
      <c r="B5019" s="0" t="s">
        <v>98</v>
      </c>
      <c r="C5019" s="6" t="n">
        <f aca="false">Sens!$C$5014+Sens!$C$5018</f>
        <v>2443.63822024529</v>
      </c>
    </row>
    <row r="5020" customFormat="false" ht="15" hidden="false" customHeight="false" outlineLevel="0" collapsed="false">
      <c r="A5020" s="1" t="s">
        <v>1141</v>
      </c>
      <c r="B5020" s="0" t="s">
        <v>168</v>
      </c>
      <c r="C5020" s="7" t="n">
        <f aca="false">Sens!$C$5018/Sens!$C$5019</f>
        <v>0.739708095937759</v>
      </c>
    </row>
    <row r="5021" customFormat="false" ht="17.15" hidden="false" customHeight="false" outlineLevel="0" collapsed="false">
      <c r="A5021" s="1" t="s">
        <v>1227</v>
      </c>
      <c r="B5021" s="0" t="s">
        <v>98</v>
      </c>
      <c r="C5021" s="6" t="n">
        <f aca="false">Sens!$C$5019+cash_val-debt_val-fl_val+oai_v</f>
        <v>2559.48922024529</v>
      </c>
    </row>
    <row r="5022" customFormat="false" ht="17.15" hidden="false" customHeight="false" outlineLevel="0" collapsed="false">
      <c r="A5022" s="0" t="s">
        <v>1149</v>
      </c>
      <c r="B5022" s="0" t="s">
        <v>75</v>
      </c>
      <c r="C5022" s="5" t="n">
        <f aca="false">Sens!$C$5021/shd_val</f>
        <v>343.740158507291</v>
      </c>
    </row>
    <row r="5023" customFormat="false" ht="15" hidden="false" customHeight="false" outlineLevel="0" collapsed="false">
      <c r="A5023" s="1" t="s">
        <v>1228</v>
      </c>
      <c r="B5023" s="0" t="s">
        <v>75</v>
      </c>
      <c r="C5023" s="8" t="n">
        <f aca="false">div_rem27+Sens!G4991*roll_div_q/q_per_yr</f>
        <v>3.9795</v>
      </c>
    </row>
    <row r="5024" customFormat="false" ht="17.15" hidden="false" customHeight="false" outlineLevel="0" collapsed="false">
      <c r="A5024" s="0" t="s">
        <v>1229</v>
      </c>
      <c r="B5024" s="0" t="s">
        <v>75</v>
      </c>
      <c r="C5024" s="5" t="n">
        <f aca="false">Sens!$C$5022*(1+wacc)^t_roll-Sens!$C$5023</f>
        <v>378.106870574781</v>
      </c>
    </row>
    <row r="5025" customFormat="false" ht="17.15" hidden="false" customHeight="false" outlineLevel="0" collapsed="false">
      <c r="A5025" s="1" t="s">
        <v>1230</v>
      </c>
      <c r="B5025" s="0" t="s">
        <v>168</v>
      </c>
      <c r="F5025" s="7" t="n">
        <f aca="false">Sens!F4977/(Sens!F4922-Sens!F4877)</f>
        <v>0.0741821128344769</v>
      </c>
      <c r="G5025" s="7" t="n">
        <f aca="false">Sens!G4977/(Sens!G4922-Sens!G4877)</f>
        <v>0.0698444873870262</v>
      </c>
      <c r="H5025" s="7" t="n">
        <f aca="false">Sens!H4977/(Sens!H4922-Sens!H4877)</f>
        <v>0.0672811794444221</v>
      </c>
      <c r="I5025" s="7" t="n">
        <f aca="false">Sens!I4977/(Sens!I4922-Sens!I4877)</f>
        <v>0.0663242111163057</v>
      </c>
      <c r="J5025" s="7" t="n">
        <f aca="false">Sens!J4977/(Sens!J4922-Sens!J4877)</f>
        <v>0.0665578366409808</v>
      </c>
      <c r="K5025" s="7" t="n">
        <f aca="false">Sens!K4977/(Sens!K4922-Sens!K4877)</f>
        <v>0.067477579470539</v>
      </c>
    </row>
    <row r="5026" customFormat="false" ht="17.15" hidden="false" customHeight="false" outlineLevel="0" collapsed="false">
      <c r="A5026" s="0" t="s">
        <v>1231</v>
      </c>
      <c r="B5026" s="0" t="s">
        <v>98</v>
      </c>
      <c r="F5026" s="6" t="n">
        <f aca="false">Sens!F4907*(al_m365+Sens!F5025+sbc_r)</f>
        <v>85.1953946408833</v>
      </c>
      <c r="G5026" s="6" t="n">
        <f aca="false">Sens!G4907*(al_m365+Sens!G5025+sbc_r)</f>
        <v>99.5818808370247</v>
      </c>
      <c r="H5026" s="6" t="n">
        <f aca="false">Sens!H4907*(al_m365+Sens!H5025+sbc_r)</f>
        <v>114.129765827134</v>
      </c>
      <c r="I5026" s="6" t="n">
        <f aca="false">Sens!I4907*(al_m365+Sens!I5025+sbc_r)</f>
        <v>127.156549363388</v>
      </c>
      <c r="J5026" s="6" t="n">
        <f aca="false">Sens!J4907*(al_m365+Sens!J5025+sbc_r)</f>
        <v>138.480650549095</v>
      </c>
      <c r="K5026" s="6" t="n">
        <f aca="false">Sens!K4907*(al_m365+Sens!K5025+sbc_r)</f>
        <v>149.430471907137</v>
      </c>
      <c r="L5026" s="12" t="s">
        <v>1232</v>
      </c>
    </row>
    <row r="5027" customFormat="false" ht="17.15" hidden="false" customHeight="false" outlineLevel="0" collapsed="false">
      <c r="A5027" s="0" t="s">
        <v>1233</v>
      </c>
      <c r="B5027" s="0" t="s">
        <v>98</v>
      </c>
      <c r="F5027" s="6" t="n">
        <f aca="false">Sens!F4908*(al_lic+Sens!F5025+sbc_r)</f>
        <v>33.0712848441709</v>
      </c>
      <c r="G5027" s="6" t="n">
        <f aca="false">Sens!G4908*(al_lic+Sens!G5025+sbc_r)</f>
        <v>34.298114109955</v>
      </c>
      <c r="H5027" s="6" t="n">
        <f aca="false">Sens!H4908*(al_lic+Sens!H5025+sbc_r)</f>
        <v>35.4525223543601</v>
      </c>
      <c r="I5027" s="6" t="n">
        <f aca="false">Sens!I4908*(al_lic+Sens!I5025+sbc_r)</f>
        <v>36.5167198107392</v>
      </c>
      <c r="J5027" s="6" t="n">
        <f aca="false">Sens!J4908*(al_lic+Sens!J5025+sbc_r)</f>
        <v>37.4612880820672</v>
      </c>
      <c r="K5027" s="6" t="n">
        <f aca="false">Sens!K4908*(al_lic+Sens!K5025+sbc_r)</f>
        <v>38.2516687594195</v>
      </c>
    </row>
    <row r="5028" customFormat="false" ht="17.15" hidden="false" customHeight="false" outlineLevel="0" collapsed="false">
      <c r="A5028" s="0" t="s">
        <v>1234</v>
      </c>
      <c r="B5028" s="0" t="s">
        <v>98</v>
      </c>
      <c r="F5028" s="6" t="n">
        <f aca="false">Sens!F4910*(al_ind+Sens!F5025+sbc_r)</f>
        <v>9.18455178586333</v>
      </c>
      <c r="G5028" s="6" t="n">
        <f aca="false">Sens!G4910*(al_ind+Sens!G5025+sbc_r)</f>
        <v>9.93403974763197</v>
      </c>
      <c r="H5028" s="6" t="n">
        <f aca="false">Sens!H4910*(al_ind+Sens!H5025+sbc_r)</f>
        <v>10.7337162196991</v>
      </c>
      <c r="I5028" s="6" t="n">
        <f aca="false">Sens!I4910*(al_ind+Sens!I5025+sbc_r)</f>
        <v>11.5817252363515</v>
      </c>
      <c r="J5028" s="6" t="n">
        <f aca="false">Sens!J4910*(al_ind+Sens!J5025+sbc_r)</f>
        <v>12.4666100073779</v>
      </c>
      <c r="K5028" s="6" t="n">
        <f aca="false">Sens!K4910*(al_ind+Sens!K5025+sbc_r)</f>
        <v>13.3696452572429</v>
      </c>
    </row>
    <row r="5029" customFormat="false" ht="17.15" hidden="false" customHeight="false" outlineLevel="0" collapsed="false">
      <c r="A5029" s="0" t="s">
        <v>1235</v>
      </c>
      <c r="B5029" s="0" t="s">
        <v>98</v>
      </c>
      <c r="F5029" s="6" t="n">
        <f aca="false">Sens!F4912*(al_fro+Sens!F5025+sbc_r)</f>
        <v>3.60272247608596</v>
      </c>
      <c r="G5029" s="6" t="n">
        <f aca="false">Sens!G4912*(al_fro+Sens!G5025+sbc_r)</f>
        <v>3.80105475400273</v>
      </c>
      <c r="H5029" s="6" t="n">
        <f aca="false">Sens!H4912*(al_fro+Sens!H5025+sbc_r)</f>
        <v>4.03101421718885</v>
      </c>
      <c r="I5029" s="6" t="n">
        <f aca="false">Sens!I4912*(al_fro+Sens!I5025+sbc_r)</f>
        <v>4.29552264167969</v>
      </c>
      <c r="J5029" s="6" t="n">
        <f aca="false">Sens!J4912*(al_fro+Sens!J5025+sbc_r)</f>
        <v>4.59488121453772</v>
      </c>
      <c r="K5029" s="6" t="n">
        <f aca="false">Sens!K4912*(al_fro+Sens!K5025+sbc_r)</f>
        <v>4.92771746298173</v>
      </c>
    </row>
    <row r="5030" customFormat="false" ht="17.15" hidden="false" customHeight="false" outlineLevel="0" collapsed="false">
      <c r="A5030" s="0" t="s">
        <v>1236</v>
      </c>
      <c r="B5030" s="0" t="s">
        <v>98</v>
      </c>
      <c r="F5030" s="6" t="n">
        <f aca="false">Sens!F4915*(al_srch+Sens!F5025+sbc_r)</f>
        <v>11.3423895575461</v>
      </c>
      <c r="G5030" s="6" t="n">
        <f aca="false">Sens!G4915*(al_srch+Sens!G5025+sbc_r)</f>
        <v>12.3837167931207</v>
      </c>
      <c r="H5030" s="6" t="n">
        <f aca="false">Sens!H4915*(al_srch+Sens!H5025+sbc_r)</f>
        <v>13.4757805963995</v>
      </c>
      <c r="I5030" s="6" t="n">
        <f aca="false">Sens!I4915*(al_srch+Sens!I5025+sbc_r)</f>
        <v>14.609754892734</v>
      </c>
      <c r="J5030" s="6" t="n">
        <f aca="false">Sens!J4915*(al_srch+Sens!J5025+sbc_r)</f>
        <v>15.7636850723184</v>
      </c>
      <c r="K5030" s="6" t="n">
        <f aca="false">Sens!K4915*(al_srch+Sens!K5025+sbc_r)</f>
        <v>16.9055482796899</v>
      </c>
    </row>
    <row r="5031" customFormat="false" ht="17.15" hidden="false" customHeight="false" outlineLevel="0" collapsed="false">
      <c r="A5031" s="0" t="s">
        <v>1237</v>
      </c>
      <c r="B5031" s="0" t="s">
        <v>98</v>
      </c>
      <c r="F5031" s="6" t="n">
        <f aca="false">Sens!F4883-Sens!F4884+Sens!F4965</f>
        <v>45.4521185453735</v>
      </c>
      <c r="G5031" s="6" t="n">
        <f aca="false">Sens!G4883-Sens!G4884+Sens!G4965</f>
        <v>91.2407723228832</v>
      </c>
      <c r="H5031" s="6" t="n">
        <f aca="false">Sens!H4883-Sens!H4884+Sens!H4965</f>
        <v>144.85254311039</v>
      </c>
      <c r="I5031" s="6" t="n">
        <f aca="false">Sens!I4883-Sens!I4884+Sens!I4965</f>
        <v>185.885103146916</v>
      </c>
      <c r="J5031" s="6" t="n">
        <f aca="false">Sens!J4883-Sens!J4884+Sens!J4965</f>
        <v>214.90487015988</v>
      </c>
      <c r="K5031" s="6" t="n">
        <f aca="false">Sens!K4883-Sens!K4884+Sens!K4965</f>
        <v>230.318555911592</v>
      </c>
    </row>
    <row r="5032" customFormat="false" ht="17.15" hidden="false" customHeight="false" outlineLevel="0" collapsed="false">
      <c r="A5032" s="0" t="s">
        <v>1238</v>
      </c>
      <c r="B5032" s="0" t="s">
        <v>98</v>
      </c>
      <c r="F5032" s="6" t="n">
        <f aca="false">Sens!F4944+Sens!F4965+Sens!F4895+Sens!F5025*(Sens!F4914-Sens!F4877)+sbc_r*Sens!F4914</f>
        <v>239.491593895548</v>
      </c>
      <c r="G5032" s="6" t="n">
        <f aca="false">Sens!G4944+Sens!G4965+Sens!G4895+Sens!G5025*(Sens!G4914-Sens!G4877)+sbc_r*Sens!G4914</f>
        <v>310.634213893855</v>
      </c>
      <c r="H5032" s="6" t="n">
        <f aca="false">Sens!H4944+Sens!H4965+Sens!H4895+Sens!H5025*(Sens!H4914-Sens!H4877)+sbc_r*Sens!H4914</f>
        <v>393.775425495953</v>
      </c>
      <c r="I5032" s="6" t="n">
        <f aca="false">Sens!I4944+Sens!I4965+Sens!I4895+Sens!I5025*(Sens!I4914-Sens!I4877)+sbc_r*Sens!I4914</f>
        <v>462.23113323609</v>
      </c>
      <c r="J5032" s="6" t="n">
        <f aca="false">Sens!J4944+Sens!J4965+Sens!J4895+Sens!J5025*(Sens!J4914-Sens!J4877)+sbc_r*Sens!J4914</f>
        <v>515.762599792382</v>
      </c>
      <c r="K5032" s="6" t="n">
        <f aca="false">Sens!K4944+Sens!K4965+Sens!K4895+Sens!K5025*(Sens!K4914-Sens!K4877)+sbc_r*Sens!K4914</f>
        <v>553.245417670592</v>
      </c>
    </row>
    <row r="5033" customFormat="false" ht="17.15" hidden="false" customHeight="false" outlineLevel="0" collapsed="false">
      <c r="A5033" s="0" t="s">
        <v>1239</v>
      </c>
      <c r="B5033" s="0" t="s">
        <v>98</v>
      </c>
      <c r="F5033" s="6" t="n">
        <f aca="false">Sens!F5032-Sens!F5026-Sens!F5027-Sens!F5028-Sens!F5029-Sens!F5031</f>
        <v>62.9855216031707</v>
      </c>
      <c r="G5033" s="6" t="n">
        <f aca="false">Sens!G5032-Sens!G5026-Sens!G5027-Sens!G5028-Sens!G5029-Sens!G5031</f>
        <v>71.7783521223569</v>
      </c>
      <c r="H5033" s="6" t="n">
        <f aca="false">Sens!H5032-Sens!H5026-Sens!H5027-Sens!H5028-Sens!H5029-Sens!H5031</f>
        <v>84.5758637671819</v>
      </c>
      <c r="I5033" s="6" t="n">
        <f aca="false">Sens!I5032-Sens!I5026-Sens!I5027-Sens!I5028-Sens!I5029-Sens!I5031</f>
        <v>96.7955130370162</v>
      </c>
      <c r="J5033" s="6" t="n">
        <f aca="false">Sens!J5032-Sens!J5026-Sens!J5027-Sens!J5028-Sens!J5029-Sens!J5031</f>
        <v>107.854299779424</v>
      </c>
      <c r="K5033" s="6" t="n">
        <f aca="false">Sens!K5032-Sens!K5026-Sens!K5027-Sens!K5028-Sens!K5029-Sens!K5031</f>
        <v>116.947358372219</v>
      </c>
    </row>
    <row r="5034" customFormat="false" ht="17.15" hidden="false" customHeight="false" outlineLevel="0" collapsed="false">
      <c r="A5034" s="0" t="s">
        <v>1240</v>
      </c>
      <c r="B5034" s="0" t="s">
        <v>98</v>
      </c>
      <c r="F5034" s="6" t="n">
        <f aca="false">Sens!F4946+Sens!F5025*Sens!F4921+sbc_r*Sens!F4921</f>
        <v>26.9913222795429</v>
      </c>
      <c r="G5034" s="6" t="n">
        <f aca="false">Sens!G4946+Sens!G5025*Sens!G4921+sbc_r*Sens!G4921</f>
        <v>26.7379263171077</v>
      </c>
      <c r="H5034" s="6" t="n">
        <f aca="false">Sens!H4946+Sens!H5025*Sens!H4921+sbc_r*Sens!H4921</f>
        <v>27.5454875102386</v>
      </c>
      <c r="I5034" s="6" t="n">
        <f aca="false">Sens!I4946+Sens!I5025*Sens!I4921+sbc_r*Sens!I4921</f>
        <v>28.6117553281948</v>
      </c>
      <c r="J5034" s="6" t="n">
        <f aca="false">Sens!J4946+Sens!J5025*Sens!J4921+sbc_r*Sens!J4921</f>
        <v>29.8938974229436</v>
      </c>
      <c r="K5034" s="6" t="n">
        <f aca="false">Sens!K4946+Sens!K5025*Sens!K4921+sbc_r*Sens!K4921</f>
        <v>31.3444405246972</v>
      </c>
    </row>
    <row r="5035" customFormat="false" ht="17.15" hidden="false" customHeight="false" outlineLevel="0" collapsed="false">
      <c r="A5035" s="0" t="s">
        <v>1241</v>
      </c>
      <c r="B5035" s="0" t="s">
        <v>98</v>
      </c>
      <c r="F5035" s="6" t="n">
        <f aca="false">(Sens!F5034-Sens!F5030)*Sens!F4917/(Sens!F4917+Sens!F4919)</f>
        <v>8.83829058145453</v>
      </c>
      <c r="G5035" s="6" t="n">
        <f aca="false">(Sens!G5034-Sens!G5030)*Sens!G4917/(Sens!G4917+Sens!G4919)</f>
        <v>7.96771958128193</v>
      </c>
      <c r="H5035" s="6" t="n">
        <f aca="false">(Sens!H5034-Sens!H5030)*Sens!H4917/(Sens!H4917+Sens!H4919)</f>
        <v>7.70805962388961</v>
      </c>
      <c r="I5035" s="6" t="n">
        <f aca="false">(Sens!I5034-Sens!I5030)*Sens!I4917/(Sens!I4917+Sens!I4919)</f>
        <v>7.60401109040486</v>
      </c>
      <c r="J5035" s="6" t="n">
        <f aca="false">(Sens!J5034-Sens!J5030)*Sens!J4917/(Sens!J4917+Sens!J4919)</f>
        <v>7.64015890671621</v>
      </c>
      <c r="K5035" s="6" t="n">
        <f aca="false">(Sens!K5034-Sens!K5030)*Sens!K4917/(Sens!K4917+Sens!K4919)</f>
        <v>7.80706110081402</v>
      </c>
    </row>
    <row r="5036" customFormat="false" ht="17.15" hidden="false" customHeight="false" outlineLevel="0" collapsed="false">
      <c r="A5036" s="0" t="s">
        <v>1242</v>
      </c>
      <c r="B5036" s="0" t="s">
        <v>98</v>
      </c>
      <c r="F5036" s="6" t="n">
        <f aca="false">Sens!F5034-Sens!F5030-Sens!F5035</f>
        <v>6.81064214054226</v>
      </c>
      <c r="G5036" s="6" t="n">
        <f aca="false">Sens!G5034-Sens!G5030-Sens!G5035</f>
        <v>6.38648994270508</v>
      </c>
      <c r="H5036" s="6" t="n">
        <f aca="false">Sens!H5034-Sens!H5030-Sens!H5035</f>
        <v>6.36164728994949</v>
      </c>
      <c r="I5036" s="6" t="n">
        <f aca="false">Sens!I5034-Sens!I5030-Sens!I5035</f>
        <v>6.39798934505586</v>
      </c>
      <c r="J5036" s="6" t="n">
        <f aca="false">Sens!J5034-Sens!J5030-Sens!J5035</f>
        <v>6.49005344390905</v>
      </c>
      <c r="K5036" s="6" t="n">
        <f aca="false">Sens!K5034-Sens!K5030-Sens!K5035</f>
        <v>6.6318311441933</v>
      </c>
    </row>
    <row r="5037" customFormat="false" ht="17.15" hidden="false" customHeight="false" outlineLevel="0" collapsed="false">
      <c r="A5037" s="0" t="s">
        <v>1243</v>
      </c>
      <c r="B5037" s="0" t="s">
        <v>98</v>
      </c>
      <c r="F5037" s="6" t="n">
        <f aca="false">Sens!F5031-tax_f*(Sens!F5031-Sens!F4895)-Sens!F4892</f>
        <v>-126.092645881163</v>
      </c>
      <c r="G5037" s="6" t="n">
        <f aca="false">Sens!G5031-tax_f*(Sens!G5031-Sens!G4895)-Sens!G4892</f>
        <v>-108.421063993811</v>
      </c>
      <c r="H5037" s="6" t="n">
        <f aca="false">Sens!H5031-tax_f*(Sens!H5031-Sens!H4895)-Sens!H4892</f>
        <v>-65.4811512066778</v>
      </c>
      <c r="I5037" s="6" t="n">
        <f aca="false">Sens!I5031-tax_f*(Sens!I5031-Sens!I4895)-Sens!I4892</f>
        <v>28.9524526171819</v>
      </c>
      <c r="J5037" s="6" t="n">
        <f aca="false">Sens!J5031-tax_f*(Sens!J5031-Sens!J4895)-Sens!J4892</f>
        <v>80.5043013472603</v>
      </c>
      <c r="K5037" s="6" t="n">
        <f aca="false">Sens!K5031-tax_f*(Sens!K5031-Sens!K4895)-Sens!K4892</f>
        <v>133.078392324938</v>
      </c>
    </row>
    <row r="5038" customFormat="false" ht="17.15" hidden="false" customHeight="false" outlineLevel="0" collapsed="false">
      <c r="A5038" s="0" t="s">
        <v>1244</v>
      </c>
      <c r="B5038" s="0" t="s">
        <v>98</v>
      </c>
      <c r="G5038" s="6" t="n">
        <f aca="false">Sens!G5037/(1+wacc)^(Sens!G5008-Sens!F5009)</f>
        <v>-103.237717095598</v>
      </c>
      <c r="H5038" s="6" t="n">
        <f aca="false">Sens!H5037/(1+wacc)^(Sens!H5008-Sens!F5009)</f>
        <v>-56.5314973011406</v>
      </c>
      <c r="I5038" s="6" t="n">
        <f aca="false">Sens!I5037/(1+wacc)^(Sens!I5008-Sens!F5009)</f>
        <v>22.6625615605204</v>
      </c>
      <c r="J5038" s="6" t="n">
        <f aca="false">Sens!J5037/(1+wacc)^(Sens!J5008-Sens!F5009)</f>
        <v>57.1336773087744</v>
      </c>
      <c r="K5038" s="6" t="n">
        <f aca="false">Sens!K5037/(1+wacc)^(Sens!K5008-Sens!F5009)</f>
        <v>85.6308180172952</v>
      </c>
      <c r="L5038" s="1" t="s">
        <v>1245</v>
      </c>
    </row>
    <row r="5039" customFormat="false" ht="17.15" hidden="false" customHeight="false" outlineLevel="0" collapsed="false">
      <c r="A5039" s="0" t="s">
        <v>1246</v>
      </c>
      <c r="B5039" s="0" t="s">
        <v>98</v>
      </c>
      <c r="C5039" s="6" t="n">
        <f aca="false">(Sens!K5031-Sens!K4895)*(1-tax_f)*(1+g_tv)*(1-g_tv/(wacc+ronic_prem))/(wacc-g_tv)/(1+wacc)^(Sens!K5009-Sens!F5009)</f>
        <v>532.662234512362</v>
      </c>
    </row>
    <row r="5040" customFormat="false" ht="17.15" hidden="false" customHeight="false" outlineLevel="0" collapsed="false">
      <c r="A5040" s="1" t="s">
        <v>1247</v>
      </c>
      <c r="B5040" s="0" t="s">
        <v>98</v>
      </c>
      <c r="C5040" s="6" t="n">
        <f aca="false">(SUM(Sens!G5038:K5038)+Sens!$C$5039)*(1+wacc)^(t_roll-Sens!F5009)</f>
        <v>556.091650744805</v>
      </c>
      <c r="L5040" s="12" t="s">
        <v>1248</v>
      </c>
    </row>
    <row r="5041" customFormat="false" ht="17.15" hidden="false" customHeight="false" outlineLevel="0" collapsed="false">
      <c r="A5041" s="1" t="s">
        <v>1249</v>
      </c>
      <c r="B5041" s="0" t="s">
        <v>98</v>
      </c>
      <c r="C5041" s="6" t="n">
        <f aca="false">(w_ntm28*Sens!G4883+(1-w_ntm28)*Sens!H4883)*m_ai</f>
        <v>563.316843258668</v>
      </c>
    </row>
    <row r="5042" customFormat="false" ht="17.15" hidden="false" customHeight="false" outlineLevel="0" collapsed="false">
      <c r="A5042" s="1" t="s">
        <v>1250</v>
      </c>
      <c r="B5042" s="0" t="s">
        <v>98</v>
      </c>
      <c r="C5042" s="6" t="n">
        <f aca="false">(w_ntm28*Sens!G5033+(1-w_ntm28)*Sens!H5033)*m_cloud</f>
        <v>1050.12310937694</v>
      </c>
    </row>
    <row r="5043" customFormat="false" ht="17.15" hidden="false" customHeight="false" outlineLevel="0" collapsed="false">
      <c r="A5043" s="1" t="s">
        <v>1251</v>
      </c>
      <c r="B5043" s="0" t="s">
        <v>98</v>
      </c>
      <c r="C5043" s="6" t="n">
        <f aca="false">(w_ntm28*Sens!G5026+(1-w_ntm28)*Sens!H5026)*m_sw</f>
        <v>1127.13926905954</v>
      </c>
    </row>
    <row r="5044" customFormat="false" ht="17.15" hidden="false" customHeight="false" outlineLevel="0" collapsed="false">
      <c r="A5044" s="1" t="s">
        <v>1252</v>
      </c>
      <c r="B5044" s="0" t="s">
        <v>98</v>
      </c>
      <c r="C5044" s="6" t="n">
        <f aca="false">(w_ntm28*Sens!G5027+(1-w_ntm28)*Sens!H5027)*m_sw</f>
        <v>374.518572345731</v>
      </c>
    </row>
    <row r="5045" customFormat="false" ht="17.15" hidden="false" customHeight="false" outlineLevel="0" collapsed="false">
      <c r="A5045" s="1" t="s">
        <v>1253</v>
      </c>
      <c r="B5045" s="0" t="s">
        <v>98</v>
      </c>
      <c r="C5045" s="6" t="n">
        <f aca="false">(w_ntm28*Sens!G5028+(1-w_ntm28)*Sens!H5028)*m_sw</f>
        <v>110.127028473875</v>
      </c>
    </row>
    <row r="5046" customFormat="false" ht="17.15" hidden="false" customHeight="false" outlineLevel="0" collapsed="false">
      <c r="A5046" s="1" t="s">
        <v>1254</v>
      </c>
      <c r="B5046" s="0" t="s">
        <v>98</v>
      </c>
      <c r="C5046" s="6" t="n">
        <f aca="false">(w_ntm28*Sens!G5029+(1-w_ntm28)*Sens!H5029)*m_sw</f>
        <v>41.8679049440219</v>
      </c>
    </row>
    <row r="5047" customFormat="false" ht="17.15" hidden="false" customHeight="false" outlineLevel="0" collapsed="false">
      <c r="A5047" s="1" t="s">
        <v>1255</v>
      </c>
      <c r="B5047" s="0" t="s">
        <v>98</v>
      </c>
      <c r="C5047" s="6" t="n">
        <f aca="false">(w_ntm28*Sens!G5030+(1-w_ntm28)*Sens!H5030)*m_ads</f>
        <v>116.08646587504</v>
      </c>
    </row>
    <row r="5048" customFormat="false" ht="17.15" hidden="false" customHeight="false" outlineLevel="0" collapsed="false">
      <c r="A5048" s="1" t="s">
        <v>1256</v>
      </c>
      <c r="B5048" s="0" t="s">
        <v>98</v>
      </c>
      <c r="C5048" s="6" t="n">
        <f aca="false">(w_ntm28*Sens!G5035+(1-w_ntm28)*Sens!H5035)*m_game</f>
        <v>99.5541048008407</v>
      </c>
    </row>
    <row r="5049" customFormat="false" ht="17.15" hidden="false" customHeight="false" outlineLevel="0" collapsed="false">
      <c r="A5049" s="1" t="s">
        <v>1257</v>
      </c>
      <c r="B5049" s="0" t="s">
        <v>98</v>
      </c>
      <c r="C5049" s="6" t="n">
        <f aca="false">(w_ntm28*Sens!G5036+(1-w_ntm28)*Sens!H5036)*m_pc</f>
        <v>92.2943265058882</v>
      </c>
    </row>
    <row r="5050" customFormat="false" ht="17.15" hidden="false" customHeight="false" outlineLevel="0" collapsed="false">
      <c r="A5050" s="1" t="s">
        <v>1258</v>
      </c>
      <c r="B5050" s="0" t="s">
        <v>98</v>
      </c>
      <c r="C5050" s="6" t="n">
        <f aca="false">Sens!$C$5040+Sens!$C$5042+Sens!$C$5043+Sens!$C$5044+Sens!$C$5045+Sens!$C$5046+Sens!$C$5047+Sens!$C$5048+Sens!$C$5049</f>
        <v>3567.80243212668</v>
      </c>
    </row>
    <row r="5051" customFormat="false" ht="17.15" hidden="false" customHeight="false" outlineLevel="0" collapsed="false">
      <c r="A5051" s="1" t="s">
        <v>1259</v>
      </c>
      <c r="B5051" s="0" t="s">
        <v>98</v>
      </c>
      <c r="C5051" s="6" t="n">
        <f aca="false">(Sens!G5012-Sens!G5037)*t_stub</f>
        <v>48.0963501665725</v>
      </c>
      <c r="L5051" s="1" t="s">
        <v>1260</v>
      </c>
    </row>
    <row r="5052" customFormat="false" ht="17.15" hidden="false" customHeight="false" outlineLevel="0" collapsed="false">
      <c r="A5052" s="1" t="s">
        <v>1169</v>
      </c>
      <c r="B5052" s="0" t="s">
        <v>98</v>
      </c>
      <c r="C5052" s="6" t="n">
        <f aca="false">Sens!F4999+oai_v-Sens!F4988+Sens!$C$5051</f>
        <v>162.324620166573</v>
      </c>
      <c r="L5052" s="1" t="s">
        <v>1261</v>
      </c>
    </row>
    <row r="5053" customFormat="false" ht="17.15" hidden="false" customHeight="false" outlineLevel="0" collapsed="false">
      <c r="A5053" s="1" t="s">
        <v>1262</v>
      </c>
      <c r="B5053" s="0" t="s">
        <v>75</v>
      </c>
      <c r="C5053" s="5" t="n">
        <f aca="false">(Sens!$C$5050+Sens!$C$5052)/(Sens!F5001+dil_gap)-Sens!G4991*roll_div_q/q_per_yr</f>
        <v>496.793375072592</v>
      </c>
      <c r="L5053" s="1" t="s">
        <v>1263</v>
      </c>
    </row>
    <row r="5054" customFormat="false" ht="17.15" hidden="false" customHeight="false" outlineLevel="0" collapsed="false">
      <c r="A5054" s="1" t="s">
        <v>1264</v>
      </c>
      <c r="B5054" s="0" t="s">
        <v>75</v>
      </c>
      <c r="C5054" s="5" t="n">
        <f aca="false">w_dcf*Sens!$C$5024+(1-w_dcf)*Sens!$C$5053</f>
        <v>437.450122823686</v>
      </c>
    </row>
    <row r="5055" customFormat="false" ht="17.15" hidden="false" customHeight="false" outlineLevel="0" collapsed="false">
      <c r="A5055" s="3" t="s">
        <v>1605</v>
      </c>
    </row>
    <row r="5056" customFormat="false" ht="15" hidden="false" customHeight="false" outlineLevel="0" collapsed="false">
      <c r="A5056" s="4" t="s">
        <v>43</v>
      </c>
      <c r="B5056" s="4" t="s">
        <v>65</v>
      </c>
      <c r="C5056" s="23" t="s">
        <v>938</v>
      </c>
      <c r="D5056" s="23" t="s">
        <v>939</v>
      </c>
      <c r="E5056" s="23" t="s">
        <v>940</v>
      </c>
      <c r="F5056" s="23" t="s">
        <v>941</v>
      </c>
      <c r="G5056" s="23" t="s">
        <v>942</v>
      </c>
      <c r="H5056" s="23" t="s">
        <v>943</v>
      </c>
      <c r="I5056" s="23" t="s">
        <v>944</v>
      </c>
      <c r="J5056" s="23" t="s">
        <v>945</v>
      </c>
      <c r="K5056" s="23" t="s">
        <v>946</v>
      </c>
      <c r="L5056" s="4" t="s">
        <v>47</v>
      </c>
    </row>
    <row r="5057" customFormat="false" ht="17.15" hidden="false" customHeight="false" outlineLevel="0" collapsed="false">
      <c r="A5057" s="1" t="s">
        <v>947</v>
      </c>
      <c r="B5057" s="1" t="s">
        <v>279</v>
      </c>
      <c r="C5057" s="21" t="n">
        <v>2024</v>
      </c>
      <c r="D5057" s="21" t="n">
        <v>2025</v>
      </c>
      <c r="E5057" s="21" t="n">
        <v>2026</v>
      </c>
      <c r="F5057" s="21" t="n">
        <v>2027</v>
      </c>
      <c r="G5057" s="21" t="n">
        <v>2028</v>
      </c>
      <c r="H5057" s="21" t="n">
        <v>2029</v>
      </c>
      <c r="I5057" s="21" t="n">
        <v>2030</v>
      </c>
      <c r="J5057" s="21" t="n">
        <v>2031</v>
      </c>
      <c r="K5057" s="21" t="n">
        <v>2032</v>
      </c>
    </row>
    <row r="5058" customFormat="false" ht="17.15" hidden="false" customHeight="false" outlineLevel="0" collapsed="false">
      <c r="A5058" s="1" t="s">
        <v>948</v>
      </c>
      <c r="B5058" s="0" t="s">
        <v>456</v>
      </c>
      <c r="F5058" s="30" t="n">
        <f aca="false">pace</f>
        <v>2726.5351</v>
      </c>
      <c r="G5058" s="30" t="n">
        <f aca="false">pace</f>
        <v>2726.5351</v>
      </c>
      <c r="H5058" s="30" t="n">
        <f aca="false">pace</f>
        <v>2726.5351</v>
      </c>
      <c r="I5058" s="30" t="n">
        <f aca="false">pace+(g_tv*Sens!H5059-pace)*MIN(1,(Sens!I5057-pace_y0)/(pace_y1-pace_y0))</f>
        <v>1931.98611966667</v>
      </c>
      <c r="J5058" s="30" t="n">
        <f aca="false">pace+(g_tv*Sens!I5059-pace)*MIN(1,(Sens!J5057-pace_y0)/(pace_y1-pace_y0))</f>
        <v>1176.07686172667</v>
      </c>
      <c r="K5058" s="30" t="n">
        <f aca="false">pace+(g_tv*Sens!J5059-pace)*MIN(1,(Sens!K5057-pace_y0)/(pace_y1-pace_y0))</f>
        <v>436.1300484418</v>
      </c>
      <c r="L5058" s="12" t="s">
        <v>949</v>
      </c>
    </row>
    <row r="5059" customFormat="false" ht="17.15" hidden="false" customHeight="false" outlineLevel="0" collapsed="false">
      <c r="A5059" s="1" t="s">
        <v>950</v>
      </c>
      <c r="B5059" s="0" t="s">
        <v>456</v>
      </c>
      <c r="C5059" s="30" t="n">
        <f aca="false">mw_ext_24</f>
        <v>640</v>
      </c>
      <c r="D5059" s="30" t="n">
        <f aca="false">mw_ext_25</f>
        <v>1630</v>
      </c>
      <c r="E5059" s="30" t="n">
        <f aca="false">mw_ext_26</f>
        <v>3250</v>
      </c>
      <c r="F5059" s="30" t="n">
        <f aca="false">Sens!E5059+Sens!F5058</f>
        <v>5976.5351</v>
      </c>
      <c r="G5059" s="30" t="n">
        <f aca="false">Sens!F5059+Sens!G5058</f>
        <v>8703.0702</v>
      </c>
      <c r="H5059" s="30" t="n">
        <f aca="false">Sens!G5059+Sens!H5058</f>
        <v>11429.6053</v>
      </c>
      <c r="I5059" s="30" t="n">
        <f aca="false">Sens!H5059+Sens!I5058</f>
        <v>13361.5914196667</v>
      </c>
      <c r="J5059" s="30" t="n">
        <f aca="false">Sens!I5059+Sens!J5058</f>
        <v>14537.6682813933</v>
      </c>
      <c r="K5059" s="30" t="n">
        <f aca="false">Sens!J5059+Sens!K5058</f>
        <v>14973.7983298351</v>
      </c>
      <c r="L5059" s="1" t="s">
        <v>951</v>
      </c>
    </row>
    <row r="5060" customFormat="false" ht="17.15" hidden="false" customHeight="false" outlineLevel="0" collapsed="false">
      <c r="A5060" s="1" t="s">
        <v>952</v>
      </c>
      <c r="B5060" s="0" t="s">
        <v>456</v>
      </c>
      <c r="C5060" s="30" t="n">
        <f aca="false">rent_ext_24</f>
        <v>150</v>
      </c>
      <c r="D5060" s="30" t="n">
        <f aca="false">rent_ext_25</f>
        <v>400</v>
      </c>
      <c r="E5060" s="30" t="n">
        <f aca="false">rent_ext_26</f>
        <v>550</v>
      </c>
      <c r="F5060" s="30" t="n">
        <f aca="false">rent_ext_f</f>
        <v>756</v>
      </c>
      <c r="G5060" s="30" t="n">
        <f aca="false">rent_ext_f</f>
        <v>756</v>
      </c>
      <c r="H5060" s="30" t="n">
        <f aca="false">rent_ext_f</f>
        <v>756</v>
      </c>
      <c r="I5060" s="30" t="n">
        <f aca="false">rent_ext_f</f>
        <v>756</v>
      </c>
      <c r="J5060" s="30" t="n">
        <f aca="false">rent_ext_f</f>
        <v>756</v>
      </c>
      <c r="K5060" s="30" t="n">
        <f aca="false">rent_ext_f</f>
        <v>756</v>
      </c>
      <c r="L5060" s="1" t="s">
        <v>953</v>
      </c>
    </row>
    <row r="5061" customFormat="false" ht="17.15" hidden="false" customHeight="false" outlineLevel="0" collapsed="false">
      <c r="A5061" s="1" t="s">
        <v>954</v>
      </c>
      <c r="B5061" s="0" t="s">
        <v>456</v>
      </c>
      <c r="C5061" s="30" t="n">
        <f aca="false">Sens!C5059-Sens!C5060</f>
        <v>490</v>
      </c>
      <c r="D5061" s="30" t="n">
        <f aca="false">Sens!D5059-Sens!D5060</f>
        <v>1230</v>
      </c>
      <c r="E5061" s="30" t="n">
        <f aca="false">Sens!E5059-Sens!E5060</f>
        <v>2700</v>
      </c>
      <c r="F5061" s="30" t="n">
        <f aca="false">Sens!F5059-Sens!F5060</f>
        <v>5220.5351</v>
      </c>
      <c r="G5061" s="30" t="n">
        <f aca="false">Sens!G5059-Sens!G5060</f>
        <v>7947.0702</v>
      </c>
      <c r="H5061" s="30" t="n">
        <f aca="false">Sens!H5059-Sens!H5060</f>
        <v>10673.6053</v>
      </c>
      <c r="I5061" s="30" t="n">
        <f aca="false">Sens!I5059-Sens!I5060</f>
        <v>12605.5914196667</v>
      </c>
      <c r="J5061" s="30" t="n">
        <f aca="false">Sens!J5059-Sens!J5060</f>
        <v>13781.6682813933</v>
      </c>
      <c r="K5061" s="30" t="n">
        <f aca="false">Sens!K5059-Sens!K5060</f>
        <v>14217.7983298351</v>
      </c>
    </row>
    <row r="5062" customFormat="false" ht="17.15" hidden="false" customHeight="false" outlineLevel="0" collapsed="false">
      <c r="A5062" s="1" t="s">
        <v>955</v>
      </c>
      <c r="B5062" s="0" t="s">
        <v>456</v>
      </c>
      <c r="C5062" s="30" t="n">
        <f aca="false">Sens!C5061/ext_sh</f>
        <v>816.666666666667</v>
      </c>
      <c r="D5062" s="30" t="n">
        <f aca="false">Sens!D5061/ext_sh</f>
        <v>2050</v>
      </c>
      <c r="E5062" s="30" t="n">
        <f aca="false">Sens!E5061/ext_sh</f>
        <v>4500</v>
      </c>
      <c r="F5062" s="30" t="n">
        <f aca="false">Sens!F5061/ext_sh</f>
        <v>8700.89183333333</v>
      </c>
      <c r="G5062" s="30" t="n">
        <f aca="false">Sens!G5061/ext_sh</f>
        <v>13245.117</v>
      </c>
      <c r="H5062" s="30" t="n">
        <f aca="false">Sens!H5061/ext_sh</f>
        <v>17789.3421666667</v>
      </c>
      <c r="I5062" s="30" t="n">
        <f aca="false">Sens!I5061/ext_sh</f>
        <v>21009.3190327778</v>
      </c>
      <c r="J5062" s="30" t="n">
        <f aca="false">Sens!J5061/ext_sh</f>
        <v>22969.4471356556</v>
      </c>
      <c r="K5062" s="30" t="n">
        <f aca="false">Sens!K5061/ext_sh</f>
        <v>23696.3305497252</v>
      </c>
      <c r="L5062" s="1" t="s">
        <v>956</v>
      </c>
    </row>
    <row r="5063" customFormat="false" ht="17.15" hidden="false" customHeight="false" outlineLevel="0" collapsed="false">
      <c r="A5063" s="1" t="s">
        <v>957</v>
      </c>
      <c r="B5063" s="0" t="s">
        <v>456</v>
      </c>
      <c r="C5063" s="30" t="n">
        <f aca="false">Sens!C5062-Sens!C5061</f>
        <v>326.666666666667</v>
      </c>
      <c r="D5063" s="30" t="n">
        <f aca="false">Sens!D5062-Sens!D5061</f>
        <v>820</v>
      </c>
      <c r="E5063" s="30" t="n">
        <f aca="false">Sens!E5062-Sens!E5061</f>
        <v>1800</v>
      </c>
      <c r="F5063" s="30" t="n">
        <f aca="false">Sens!F5062-Sens!F5061</f>
        <v>3480.35673333333</v>
      </c>
      <c r="G5063" s="30" t="n">
        <f aca="false">Sens!G5062-Sens!G5061</f>
        <v>5298.0468</v>
      </c>
      <c r="H5063" s="30" t="n">
        <f aca="false">Sens!H5062-Sens!H5061</f>
        <v>7115.73686666667</v>
      </c>
      <c r="I5063" s="30" t="n">
        <f aca="false">Sens!I5062-Sens!I5061</f>
        <v>8403.72761311111</v>
      </c>
      <c r="J5063" s="30" t="n">
        <f aca="false">Sens!J5062-Sens!J5061</f>
        <v>9187.77885426222</v>
      </c>
      <c r="K5063" s="30" t="n">
        <f aca="false">Sens!K5062-Sens!K5061</f>
        <v>9478.53221989009</v>
      </c>
    </row>
    <row r="5064" customFormat="false" ht="17.15" hidden="false" customHeight="false" outlineLevel="0" collapsed="false">
      <c r="A5064" s="1" t="s">
        <v>958</v>
      </c>
      <c r="B5064" s="0" t="s">
        <v>456</v>
      </c>
      <c r="C5064" s="30" t="n">
        <f aca="false">Sens!C5062</f>
        <v>816.666666666667</v>
      </c>
      <c r="D5064" s="30" t="n">
        <f aca="false">Sens!D5062-Sens!C5062</f>
        <v>1233.33333333333</v>
      </c>
      <c r="E5064" s="30" t="n">
        <f aca="false">Sens!E5062-Sens!D5062</f>
        <v>2450</v>
      </c>
      <c r="F5064" s="30" t="n">
        <f aca="false">Sens!F5062-Sens!E5062</f>
        <v>4200.89183333333</v>
      </c>
      <c r="G5064" s="30" t="n">
        <f aca="false">Sens!G5062-Sens!F5062</f>
        <v>4544.22516666667</v>
      </c>
      <c r="H5064" s="30" t="n">
        <f aca="false">Sens!H5062-Sens!G5062</f>
        <v>4544.22516666667</v>
      </c>
      <c r="I5064" s="30" t="n">
        <f aca="false">Sens!I5062-Sens!H5062</f>
        <v>3219.97686611111</v>
      </c>
      <c r="J5064" s="30" t="n">
        <f aca="false">Sens!J5062-Sens!I5062</f>
        <v>1960.12810287778</v>
      </c>
      <c r="K5064" s="30" t="n">
        <f aca="false">Sens!K5062-Sens!J5062</f>
        <v>726.883414069667</v>
      </c>
    </row>
    <row r="5065" customFormat="false" ht="17.15" hidden="false" customHeight="false" outlineLevel="0" collapsed="false">
      <c r="A5065" s="1" t="s">
        <v>959</v>
      </c>
      <c r="B5065" s="0" t="s">
        <v>456</v>
      </c>
      <c r="D5065" s="30" t="n">
        <f aca="false">Sens!D5059-Sens!C5059</f>
        <v>990</v>
      </c>
      <c r="E5065" s="30" t="n">
        <f aca="false">Sens!E5059-Sens!D5059</f>
        <v>1620</v>
      </c>
      <c r="F5065" s="30" t="n">
        <f aca="false">Sens!F5059-Sens!E5059</f>
        <v>2726.5351</v>
      </c>
      <c r="G5065" s="30" t="n">
        <f aca="false">Sens!G5059-Sens!F5059</f>
        <v>2726.5351</v>
      </c>
      <c r="H5065" s="30" t="n">
        <f aca="false">Sens!H5059-Sens!G5059</f>
        <v>2726.5351</v>
      </c>
      <c r="I5065" s="30" t="n">
        <f aca="false">Sens!I5059-Sens!H5059</f>
        <v>1931.98611966667</v>
      </c>
      <c r="J5065" s="30" t="n">
        <f aca="false">Sens!J5059-Sens!I5059</f>
        <v>1176.07686172667</v>
      </c>
      <c r="K5065" s="30" t="n">
        <f aca="false">Sens!K5059-Sens!J5059</f>
        <v>436.130048441799</v>
      </c>
    </row>
    <row r="5066" customFormat="false" ht="17.15" hidden="false" customHeight="false" outlineLevel="0" collapsed="false">
      <c r="A5066" s="1" t="s">
        <v>960</v>
      </c>
      <c r="B5066" s="0" t="s">
        <v>456</v>
      </c>
      <c r="F5066" s="30" t="n">
        <f aca="false">Sens!F5085*ext_sh</f>
        <v>0</v>
      </c>
      <c r="G5066" s="30" t="n">
        <f aca="false">Sens!G5085*ext_sh</f>
        <v>0</v>
      </c>
      <c r="H5066" s="30" t="n">
        <f aca="false">Sens!H5085*ext_sh</f>
        <v>0</v>
      </c>
      <c r="I5066" s="30" t="n">
        <f aca="false">Sens!I5085*ext_sh</f>
        <v>0</v>
      </c>
      <c r="J5066" s="30" t="n">
        <f aca="false">Sens!J5085*ext_sh</f>
        <v>490</v>
      </c>
      <c r="K5066" s="30" t="n">
        <f aca="false">Sens!K5085*ext_sh</f>
        <v>740</v>
      </c>
      <c r="L5066" s="1" t="s">
        <v>961</v>
      </c>
    </row>
    <row r="5067" customFormat="false" ht="17.15" hidden="false" customHeight="false" outlineLevel="0" collapsed="false">
      <c r="A5067" s="1" t="s">
        <v>962</v>
      </c>
      <c r="B5067" s="0" t="s">
        <v>456</v>
      </c>
      <c r="C5067" s="30" t="n">
        <f aca="false">mix_h*Sens!C5059</f>
        <v>128</v>
      </c>
      <c r="D5067" s="30" t="n">
        <f aca="false">mix_h*Sens!D5059</f>
        <v>326</v>
      </c>
      <c r="E5067" s="30" t="n">
        <f aca="false">mix_h*Sens!E5059</f>
        <v>650</v>
      </c>
      <c r="F5067" s="30" t="n">
        <f aca="false">Sens!E5067-Sens!F5066*mix_h</f>
        <v>650</v>
      </c>
      <c r="G5067" s="30" t="n">
        <f aca="false">Sens!F5067-Sens!G5066*mix_h</f>
        <v>650</v>
      </c>
      <c r="H5067" s="30" t="n">
        <f aca="false">Sens!G5067-Sens!H5066*mix_h</f>
        <v>650</v>
      </c>
      <c r="I5067" s="30" t="n">
        <f aca="false">Sens!H5067-Sens!I5066*mix_h</f>
        <v>650</v>
      </c>
      <c r="J5067" s="30" t="n">
        <f aca="false">Sens!I5067-Sens!J5066*mix_h</f>
        <v>552</v>
      </c>
      <c r="K5067" s="30" t="n">
        <f aca="false">Sens!J5067-Sens!K5066*mix_h</f>
        <v>404</v>
      </c>
    </row>
    <row r="5068" customFormat="false" ht="17.15" hidden="false" customHeight="false" outlineLevel="0" collapsed="false">
      <c r="A5068" s="1" t="s">
        <v>963</v>
      </c>
      <c r="B5068" s="0" t="s">
        <v>456</v>
      </c>
      <c r="C5068" s="30" t="n">
        <f aca="false">mix_g2*Sens!C5059</f>
        <v>288</v>
      </c>
      <c r="D5068" s="30" t="n">
        <f aca="false">mix_g2*Sens!D5059</f>
        <v>733.5</v>
      </c>
      <c r="E5068" s="30" t="n">
        <f aca="false">mix_g2*Sens!E5059</f>
        <v>1462.5</v>
      </c>
      <c r="F5068" s="30" t="n">
        <f aca="false">Sens!E5068-Sens!F5066*mix_g2</f>
        <v>1462.5</v>
      </c>
      <c r="G5068" s="30" t="n">
        <f aca="false">Sens!F5068-Sens!G5066*mix_g2</f>
        <v>1462.5</v>
      </c>
      <c r="H5068" s="30" t="n">
        <f aca="false">Sens!G5068-Sens!H5066*mix_g2</f>
        <v>1462.5</v>
      </c>
      <c r="I5068" s="30" t="n">
        <f aca="false">Sens!H5068-Sens!I5066*mix_g2</f>
        <v>1462.5</v>
      </c>
      <c r="J5068" s="30" t="n">
        <f aca="false">Sens!I5068-Sens!J5066*mix_g2</f>
        <v>1242</v>
      </c>
      <c r="K5068" s="30" t="n">
        <f aca="false">Sens!J5068-Sens!K5066*mix_g2</f>
        <v>909</v>
      </c>
    </row>
    <row r="5069" customFormat="false" ht="17.15" hidden="false" customHeight="false" outlineLevel="0" collapsed="false">
      <c r="A5069" s="1" t="s">
        <v>964</v>
      </c>
      <c r="B5069" s="0" t="s">
        <v>456</v>
      </c>
      <c r="C5069" s="30" t="n">
        <f aca="false">mix_g3*Sens!C5059</f>
        <v>224</v>
      </c>
      <c r="D5069" s="30" t="n">
        <f aca="false">mix_g3*Sens!D5059</f>
        <v>570.5</v>
      </c>
      <c r="E5069" s="30" t="n">
        <f aca="false">mix_g3*Sens!E5059</f>
        <v>1137.5</v>
      </c>
      <c r="F5069" s="30" t="n">
        <f aca="false">Sens!E5069+(Sens!F5065+Sens!F5066)*(a_g3_27-nonnv*a_mai)-Sens!F5066*mix_g3</f>
        <v>2773.42106</v>
      </c>
      <c r="G5069" s="30" t="n">
        <f aca="false">Sens!F5069+(Sens!G5065+Sens!G5066)*(a_g3_28-nonnv*a_mai)-Sens!G5066*mix_g3</f>
        <v>3318.72808</v>
      </c>
      <c r="H5069" s="30" t="n">
        <f aca="false">Sens!G5069+(Sens!H5065+Sens!H5066)*(a_g3_29-nonnv*a_mai)-Sens!H5066*mix_g3</f>
        <v>3318.72808</v>
      </c>
      <c r="I5069" s="30" t="n">
        <f aca="false">Sens!H5069+(Sens!I5065+Sens!I5066)*(a_g3_29-nonnv*a_mai)-Sens!I5066*mix_g3</f>
        <v>3318.72808</v>
      </c>
      <c r="J5069" s="30" t="n">
        <f aca="false">Sens!I5069+(Sens!J5065+Sens!J5066)*(a_g3_29-nonnv*a_mai)-Sens!J5066*mix_g3</f>
        <v>3147.22808</v>
      </c>
      <c r="K5069" s="30" t="n">
        <f aca="false">Sens!J5069+(Sens!K5065+Sens!K5066)*(a_g3_29-nonnv*a_mai)-Sens!K5066*mix_g3</f>
        <v>2888.22808</v>
      </c>
    </row>
    <row r="5070" customFormat="false" ht="17.15" hidden="false" customHeight="false" outlineLevel="0" collapsed="false">
      <c r="A5070" s="1" t="s">
        <v>965</v>
      </c>
      <c r="B5070" s="0" t="s">
        <v>456</v>
      </c>
      <c r="C5070" s="30" t="n">
        <v>0</v>
      </c>
      <c r="D5070" s="30" t="n">
        <v>0</v>
      </c>
      <c r="E5070" s="30" t="n">
        <v>0</v>
      </c>
      <c r="F5070" s="30" t="n">
        <f aca="false">Sens!E5070+(Sens!F5065+Sens!F5066)*nonnv*a_mai</f>
        <v>272.65351</v>
      </c>
      <c r="G5070" s="30" t="n">
        <f aca="false">Sens!F5070+(Sens!G5065+Sens!G5066)*nonnv*a_mai</f>
        <v>545.30702</v>
      </c>
      <c r="H5070" s="30" t="n">
        <f aca="false">Sens!G5070+(Sens!H5065+Sens!H5066)*nonnv*a_mai</f>
        <v>817.96053</v>
      </c>
      <c r="I5070" s="30" t="n">
        <f aca="false">Sens!H5070+(Sens!I5065+Sens!I5066)*nonnv*a_mai</f>
        <v>1011.15914196667</v>
      </c>
      <c r="J5070" s="30" t="n">
        <f aca="false">Sens!I5070+(Sens!J5065+Sens!J5066)*nonnv*a_mai</f>
        <v>1177.76682813933</v>
      </c>
      <c r="K5070" s="30" t="n">
        <f aca="false">Sens!J5070+(Sens!K5065+Sens!K5066)*nonnv*a_mai</f>
        <v>1295.37983298351</v>
      </c>
      <c r="L5070" s="12" t="s">
        <v>966</v>
      </c>
    </row>
    <row r="5071" customFormat="false" ht="17.15" hidden="false" customHeight="false" outlineLevel="0" collapsed="false">
      <c r="A5071" s="1" t="s">
        <v>967</v>
      </c>
      <c r="B5071" s="0" t="s">
        <v>456</v>
      </c>
      <c r="C5071" s="30" t="n">
        <v>0</v>
      </c>
      <c r="D5071" s="30" t="n">
        <v>0</v>
      </c>
      <c r="E5071" s="30" t="n">
        <v>0</v>
      </c>
      <c r="F5071" s="30" t="n">
        <f aca="false">Sens!E5071+(Sens!F5065+Sens!F5066)*(1-a_g3_27)</f>
        <v>817.96053</v>
      </c>
      <c r="G5071" s="30" t="n">
        <f aca="false">Sens!F5071+(Sens!G5065+Sens!G5066)*(1-a_g3_28)</f>
        <v>2726.5351</v>
      </c>
      <c r="H5071" s="30" t="n">
        <f aca="false">Sens!G5071+(Sens!H5065+Sens!H5066)*(1-a_g3_29)</f>
        <v>5180.41669</v>
      </c>
      <c r="I5071" s="30" t="n">
        <f aca="false">Sens!H5071+(Sens!I5065+Sens!I5066)*(1-a_g3_29)</f>
        <v>6919.2041977</v>
      </c>
      <c r="J5071" s="30" t="n">
        <f aca="false">Sens!I5071+(Sens!J5065+Sens!J5066)*(1-a_g3_29)</f>
        <v>8418.673373254</v>
      </c>
      <c r="K5071" s="30" t="n">
        <f aca="false">Sens!J5071+(Sens!K5065+Sens!K5066)*(1-a_g3_29)</f>
        <v>9477.19041685162</v>
      </c>
    </row>
    <row r="5072" customFormat="false" ht="17.15" hidden="false" customHeight="false" outlineLevel="0" collapsed="false">
      <c r="A5072" s="1" t="s">
        <v>968</v>
      </c>
      <c r="B5072" s="0" t="s">
        <v>403</v>
      </c>
      <c r="C5072" s="15" t="n">
        <f aca="false">(Sens!C5067*tk_hold_h100+Sens!C5068*tk_hold_gb200+Sens!C5069*tk_hold_gb300+Sens!C5071*tk_hold_vr200+Sens!C5070*nv_hold_mai*tk_hold_vr200)/Sens!C5059</f>
        <v>9.7235358126469</v>
      </c>
      <c r="D5072" s="15" t="n">
        <f aca="false">(Sens!D5067*tk_hold_h100+Sens!D5068*tk_hold_gb200+Sens!D5069*tk_hold_gb300+Sens!D5071*tk_hold_vr200+Sens!D5070*nv_hold_mai*tk_hold_vr200)/Sens!D5059</f>
        <v>9.7235358126469</v>
      </c>
      <c r="E5072" s="15" t="n">
        <f aca="false">(Sens!E5067*tk_hold_h100+Sens!E5068*tk_hold_gb200+Sens!E5069*tk_hold_gb300+Sens!E5071*tk_hold_vr200+Sens!E5070*nv_hold_mai*tk_hold_vr200)/Sens!E5059</f>
        <v>9.7235358126469</v>
      </c>
      <c r="F5072" s="15" t="n">
        <f aca="false">(Sens!F5067*tk_hold_h100+Sens!F5068*tk_hold_gb200+Sens!F5069*tk_hold_gb300+Sens!F5071*tk_hold_vr200+Sens!F5070*nv_hold_mai*tk_hold_vr200)/Sens!F5059</f>
        <v>10.2195353876665</v>
      </c>
      <c r="G5072" s="15" t="n">
        <f aca="false">(Sens!G5067*tk_hold_h100+Sens!G5068*tk_hold_gb200+Sens!G5069*tk_hold_gb300+Sens!G5071*tk_hold_vr200+Sens!G5070*nv_hold_mai*tk_hold_vr200)/Sens!G5059</f>
        <v>10.5725598017306</v>
      </c>
      <c r="H5072" s="15" t="n">
        <f aca="false">(Sens!H5067*tk_hold_h100+Sens!H5068*tk_hold_gb200+Sens!H5069*tk_hold_gb300+Sens!H5071*tk_hold_vr200+Sens!H5070*nv_hold_mai*tk_hold_vr200)/Sens!H5059</f>
        <v>10.8210427149036</v>
      </c>
      <c r="I5072" s="15" t="n">
        <f aca="false">(Sens!I5067*tk_hold_h100+Sens!I5068*tk_hold_gb200+Sens!I5069*tk_hold_gb300+Sens!I5071*tk_hold_vr200+Sens!I5070*nv_hold_mai*tk_hold_vr200)/Sens!I5059</f>
        <v>10.9357269541711</v>
      </c>
      <c r="J5072" s="15" t="n">
        <f aca="false">(Sens!J5067*tk_hold_h100+Sens!J5068*tk_hold_gb200+Sens!J5069*tk_hold_gb300+Sens!J5071*tk_hold_vr200+Sens!J5070*nv_hold_mai*tk_hold_vr200)/Sens!J5059</f>
        <v>11.0543400376237</v>
      </c>
      <c r="K5072" s="15" t="n">
        <f aca="false">(Sens!K5067*tk_hold_h100+Sens!K5068*tk_hold_gb200+Sens!K5069*tk_hold_gb300+Sens!K5071*tk_hold_vr200+Sens!K5070*nv_hold_mai*tk_hold_vr200)/Sens!K5059</f>
        <v>11.1640824170085</v>
      </c>
      <c r="L5072" s="1" t="s">
        <v>969</v>
      </c>
    </row>
    <row r="5073" customFormat="false" ht="17.15" hidden="false" customHeight="false" outlineLevel="0" collapsed="false">
      <c r="A5073" s="1" t="s">
        <v>970</v>
      </c>
      <c r="B5073" s="0" t="s">
        <v>403</v>
      </c>
      <c r="C5073" s="15" t="n">
        <f aca="false">(Sens!C5067*tk_hold_h100+Sens!C5068*tk_hold_gb200+Sens!C5069*tk_hold_gb300+Sens!C5071*tk_hold_vr200+Sens!C5070*nv_out_mai*tk_hold_vr200)/Sens!C5059</f>
        <v>9.7235358126469</v>
      </c>
      <c r="D5073" s="15" t="n">
        <f aca="false">(Sens!D5067*tk_hold_h100+Sens!D5068*tk_hold_gb200+Sens!D5069*tk_hold_gb300+Sens!D5071*tk_hold_vr200+Sens!D5070*nv_out_mai*tk_hold_vr200)/Sens!D5059</f>
        <v>9.7235358126469</v>
      </c>
      <c r="E5073" s="15" t="n">
        <f aca="false">(Sens!E5067*tk_hold_h100+Sens!E5068*tk_hold_gb200+Sens!E5069*tk_hold_gb300+Sens!E5071*tk_hold_vr200+Sens!E5070*nv_out_mai*tk_hold_vr200)/Sens!E5059</f>
        <v>9.7235358126469</v>
      </c>
      <c r="F5073" s="15" t="n">
        <f aca="false">(Sens!F5067*tk_hold_h100+Sens!F5068*tk_hold_gb200+Sens!F5069*tk_hold_gb300+Sens!F5071*tk_hold_vr200+Sens!F5070*nv_out_mai*tk_hold_vr200)/Sens!F5059</f>
        <v>10.247422093969</v>
      </c>
      <c r="G5073" s="15" t="n">
        <f aca="false">(Sens!G5067*tk_hold_h100+Sens!G5068*tk_hold_gb200+Sens!G5069*tk_hold_gb300+Sens!G5071*tk_hold_vr200+Sens!G5070*nv_out_mai*tk_hold_vr200)/Sens!G5059</f>
        <v>10.6108602808053</v>
      </c>
      <c r="H5073" s="15" t="n">
        <f aca="false">(Sens!H5067*tk_hold_h100+Sens!H5068*tk_hold_gb200+Sens!H5069*tk_hold_gb300+Sens!H5071*tk_hold_vr200+Sens!H5070*nv_out_mai*tk_hold_vr200)/Sens!H5059</f>
        <v>10.8647885507393</v>
      </c>
      <c r="I5073" s="15" t="n">
        <f aca="false">(Sens!I5067*tk_hold_h100+Sens!I5068*tk_hold_gb200+Sens!I5069*tk_hold_gb300+Sens!I5071*tk_hold_vr200+Sens!I5070*nv_out_mai*tk_hold_vr200)/Sens!I5059</f>
        <v>10.9819860275961</v>
      </c>
      <c r="J5073" s="15" t="n">
        <f aca="false">(Sens!J5067*tk_hold_h100+Sens!J5068*tk_hold_gb200+Sens!J5069*tk_hold_gb300+Sens!J5071*tk_hold_vr200+Sens!J5070*nv_out_mai*tk_hold_vr200)/Sens!J5059</f>
        <v>11.1038622647405</v>
      </c>
      <c r="K5073" s="15" t="n">
        <f aca="false">(Sens!K5067*tk_hold_h100+Sens!K5068*tk_hold_gb200+Sens!K5069*tk_hold_gb300+Sens!K5071*tk_hold_vr200+Sens!K5070*nv_out_mai*tk_hold_vr200)/Sens!K5059</f>
        <v>11.21696355057</v>
      </c>
      <c r="L5073" s="12" t="s">
        <v>971</v>
      </c>
    </row>
    <row r="5074" customFormat="false" ht="17.15" hidden="false" customHeight="false" outlineLevel="0" collapsed="false">
      <c r="A5074" s="0" t="s">
        <v>972</v>
      </c>
      <c r="B5074" s="0" t="s">
        <v>229</v>
      </c>
      <c r="C5074" s="15" t="n">
        <f aca="false">k_B</f>
        <v>1.17213932619116</v>
      </c>
      <c r="D5074" s="15" t="n">
        <f aca="false">k_B</f>
        <v>1.17213932619116</v>
      </c>
      <c r="E5074" s="15" t="n">
        <f aca="false">k_B</f>
        <v>1.17213932619116</v>
      </c>
      <c r="F5074" s="15" t="n">
        <f aca="false">(k_B+((ls_B*k_long+(1-ls_B)*k_spot)-k_B)*MIN(1,(Sens!F5057-base_fy)/k_ramp))</f>
        <v>1.17213932619116</v>
      </c>
      <c r="G5074" s="15" t="n">
        <f aca="false">(k_B+((ls_B*k_long+(1-ls_B)*k_spot)-k_B)*MIN(1,(Sens!G5057-base_fy)/k_ramp))</f>
        <v>1.17213932619116</v>
      </c>
      <c r="H5074" s="15" t="n">
        <f aca="false">(k_B+((ls_B*k_long+(1-ls_B)*k_spot)-k_B)*MIN(1,(Sens!H5057-base_fy)/k_ramp))</f>
        <v>1.17213932619116</v>
      </c>
      <c r="I5074" s="15" t="n">
        <f aca="false">(k_B+((ls_B*k_long+(1-ls_B)*k_spot)-k_B)*MIN(1,(Sens!I5057-base_fy)/k_ramp))</f>
        <v>1.17213932619116</v>
      </c>
      <c r="J5074" s="15" t="n">
        <f aca="false">(k_B+((ls_B*k_long+(1-ls_B)*k_spot)-k_B)*MIN(1,(Sens!J5057-base_fy)/k_ramp))</f>
        <v>1.17213932619116</v>
      </c>
      <c r="K5074" s="15" t="n">
        <f aca="false">(k_B+((ls_B*k_long+(1-ls_B)*k_spot)-k_B)*MIN(1,(Sens!K5057-base_fy)/k_ramp))</f>
        <v>1.17213932619116</v>
      </c>
      <c r="L5074" s="1" t="s">
        <v>973</v>
      </c>
    </row>
    <row r="5075" customFormat="false" ht="17.15" hidden="false" customHeight="false" outlineLevel="0" collapsed="false">
      <c r="A5075" s="1" t="s">
        <v>974</v>
      </c>
      <c r="B5075" s="0" t="s">
        <v>403</v>
      </c>
      <c r="C5075" s="15" t="n">
        <f aca="false">Sens!C5073*Sens!C5074*chip_f</f>
        <v>11.3973387156315</v>
      </c>
      <c r="D5075" s="15" t="n">
        <f aca="false">Sens!D5073*Sens!D5074*chip_f</f>
        <v>11.3973387156315</v>
      </c>
      <c r="E5075" s="15" t="n">
        <f aca="false">Sens!E5073*Sens!E5074*chip_f</f>
        <v>11.3973387156315</v>
      </c>
      <c r="F5075" s="15" t="n">
        <f aca="false">Sens!F5073*Sens!F5074*chip_f</f>
        <v>12.0114064284211</v>
      </c>
      <c r="G5075" s="15" t="n">
        <f aca="false">Sens!G5073*Sens!G5074*chip_f</f>
        <v>12.4374066198516</v>
      </c>
      <c r="H5075" s="15" t="n">
        <f aca="false">Sens!H5073*Sens!H5074*chip_f</f>
        <v>12.735045931073</v>
      </c>
      <c r="I5075" s="15" t="n">
        <f aca="false">Sens!I5073*Sens!I5074*chip_f</f>
        <v>12.8724177026272</v>
      </c>
      <c r="J5075" s="15" t="n">
        <f aca="false">Sens!J5073*Sens!J5074*chip_f</f>
        <v>13.0152736331123</v>
      </c>
      <c r="K5075" s="15" t="n">
        <f aca="false">Sens!K5073*Sens!K5074*chip_f</f>
        <v>13.1478440980759</v>
      </c>
      <c r="L5075" s="1" t="s">
        <v>975</v>
      </c>
    </row>
    <row r="5076" customFormat="false" ht="17.15" hidden="false" customHeight="false" outlineLevel="0" collapsed="false">
      <c r="A5076" s="0" t="s">
        <v>976</v>
      </c>
      <c r="B5076" s="0" t="s">
        <v>98</v>
      </c>
      <c r="D5076" s="6" t="n">
        <f aca="false">(Sens!C5059+Sens!D5059)/2*Sens!D5075/1000</f>
        <v>12.9359794422418</v>
      </c>
      <c r="E5076" s="6" t="n">
        <f aca="false">(Sens!D5059+Sens!E5059)/2*Sens!E5075/1000</f>
        <v>27.8095064661409</v>
      </c>
      <c r="F5076" s="6" t="n">
        <f aca="false">(Sens!E5059+Sens!F5059)/2*Sens!F5075/1000</f>
        <v>55.4118315060966</v>
      </c>
      <c r="G5076" s="6" t="n">
        <f aca="false">(Sens!F5059+Sens!G5059)/2*Sens!G5075/1000</f>
        <v>91.2881100675143</v>
      </c>
      <c r="H5076" s="6" t="n">
        <f aca="false">(Sens!G5059+Sens!H5059)/2*Sens!H5075/1000</f>
        <v>128.195273603944</v>
      </c>
      <c r="I5076" s="6" t="n">
        <f aca="false">(Sens!H5059+Sens!I5059)/2*Sens!I5075/1000</f>
        <v>159.561319761775</v>
      </c>
      <c r="J5076" s="6" t="n">
        <f aca="false">(Sens!I5059+Sens!J5059)/2*Sens!J5075/1000</f>
        <v>181.558249585279</v>
      </c>
      <c r="K5076" s="6" t="n">
        <f aca="false">(Sens!J5059+Sens!K5059)/2*Sens!K5075/1000</f>
        <v>194.006081055002</v>
      </c>
      <c r="L5076" s="12" t="s">
        <v>977</v>
      </c>
    </row>
    <row r="5077" customFormat="false" ht="17.15" hidden="false" customHeight="false" outlineLevel="0" collapsed="false">
      <c r="A5077" s="1" t="s">
        <v>978</v>
      </c>
      <c r="B5077" s="0" t="s">
        <v>403</v>
      </c>
      <c r="C5077" s="15" t="n">
        <f aca="false">(Sens!C5067*tk_opex_h100+Sens!C5068*tk_opex_gb200+Sens!C5069*tk_opex_gb300+(Sens!C5071+Sens!C5070)*tk_opex_vr200)/Sens!C5059</f>
        <v>1.88636041306092</v>
      </c>
      <c r="D5077" s="15" t="n">
        <f aca="false">(Sens!D5067*tk_opex_h100+Sens!D5068*tk_opex_gb200+Sens!D5069*tk_opex_gb300+(Sens!D5071+Sens!D5070)*tk_opex_vr200)/Sens!D5059</f>
        <v>1.88636041306092</v>
      </c>
      <c r="E5077" s="15" t="n">
        <f aca="false">(Sens!E5067*tk_opex_h100+Sens!E5068*tk_opex_gb200+Sens!E5069*tk_opex_gb300+(Sens!E5071+Sens!E5070)*tk_opex_vr200)/Sens!E5059</f>
        <v>1.88636041306092</v>
      </c>
      <c r="F5077" s="15" t="n">
        <f aca="false">(Sens!F5067*tk_opex_h100+Sens!F5068*tk_opex_gb200+Sens!F5069*tk_opex_gb300+(Sens!F5071+Sens!F5070)*tk_opex_vr200)/Sens!F5059</f>
        <v>1.95051159746876</v>
      </c>
      <c r="G5077" s="15" t="n">
        <f aca="false">(Sens!G5067*tk_opex_h100+Sens!G5068*tk_opex_gb200+Sens!G5069*tk_opex_gb300+(Sens!G5071+Sens!G5070)*tk_opex_vr200)/Sens!G5059</f>
        <v>1.98836003669956</v>
      </c>
      <c r="H5077" s="15" t="n">
        <f aca="false">(Sens!H5067*tk_opex_h100+Sens!H5068*tk_opex_gb200+Sens!H5069*tk_opex_gb300+(Sens!H5071+Sens!H5070)*tk_opex_vr200)/Sens!H5059</f>
        <v>2.01344013834343</v>
      </c>
      <c r="I5077" s="15" t="n">
        <f aca="false">(Sens!I5067*tk_opex_h100+Sens!I5068*tk_opex_gb200+Sens!I5069*tk_opex_gb300+(Sens!I5071+Sens!I5070)*tk_opex_vr200)/Sens!I5059</f>
        <v>2.0250155514817</v>
      </c>
      <c r="J5077" s="15" t="n">
        <f aca="false">(Sens!J5067*tk_opex_h100+Sens!J5068*tk_opex_gb200+Sens!J5069*tk_opex_gb300+(Sens!J5071+Sens!J5070)*tk_opex_vr200)/Sens!J5059</f>
        <v>2.03753708880915</v>
      </c>
      <c r="K5077" s="15" t="n">
        <f aca="false">(Sens!K5067*tk_opex_h100+Sens!K5068*tk_opex_gb200+Sens!K5069*tk_opex_gb300+(Sens!K5071+Sens!K5070)*tk_opex_vr200)/Sens!K5059</f>
        <v>2.04940349450181</v>
      </c>
      <c r="L5077" s="12" t="s">
        <v>979</v>
      </c>
    </row>
    <row r="5078" customFormat="false" ht="17.15" hidden="false" customHeight="false" outlineLevel="0" collapsed="false">
      <c r="A5078" s="0" t="s">
        <v>980</v>
      </c>
      <c r="B5078" s="0" t="s">
        <v>98</v>
      </c>
      <c r="D5078" s="6" t="n">
        <f aca="false">(Sens!C5062+Sens!D5062)/2*Sens!D5077/1000</f>
        <v>2.70378325872065</v>
      </c>
      <c r="E5078" s="6" t="n">
        <f aca="false">(Sens!D5062+Sens!E5062)/2*Sens!E5077/1000</f>
        <v>6.17783035277451</v>
      </c>
      <c r="F5078" s="6" t="n">
        <f aca="false">(Sens!E5062+Sens!F5062)/2*Sens!F5077/1000</f>
        <v>12.8742463089237</v>
      </c>
      <c r="G5078" s="6" t="n">
        <f aca="false">(Sens!F5062+Sens!G5062)/2*Sens!G5077/1000</f>
        <v>21.8182834646277</v>
      </c>
      <c r="H5078" s="6" t="n">
        <f aca="false">(Sens!G5062+Sens!H5062)/2*Sens!H5077/1000</f>
        <v>31.2430128789734</v>
      </c>
      <c r="I5078" s="6" t="n">
        <f aca="false">(Sens!H5062+Sens!I5062)/2*Sens!I5077/1000</f>
        <v>39.2839461527723</v>
      </c>
      <c r="J5078" s="6" t="n">
        <f aca="false">(Sens!I5062+Sens!J5062)/2*Sens!J5077/1000</f>
        <v>44.8041835941241</v>
      </c>
      <c r="K5078" s="6" t="n">
        <f aca="false">(Sens!J5062+Sens!K5062)/2*Sens!K5077/1000</f>
        <v>47.8185039310321</v>
      </c>
    </row>
    <row r="5079" customFormat="false" ht="17.15" hidden="false" customHeight="false" outlineLevel="0" collapsed="false">
      <c r="A5079" s="0" t="s">
        <v>981</v>
      </c>
      <c r="B5079" s="0" t="s">
        <v>98</v>
      </c>
      <c r="D5079" s="6" t="n">
        <f aca="false">(Sens!C5060+Sens!D5060)/2*rent_mw/1000</f>
        <v>2.44475</v>
      </c>
      <c r="E5079" s="6" t="n">
        <f aca="false">(Sens!D5060+Sens!E5060)/2*rent_mw/1000</f>
        <v>4.22275</v>
      </c>
      <c r="F5079" s="6" t="n">
        <f aca="false">(Sens!E5060+Sens!F5060)/2*rent_mw/1000</f>
        <v>5.80517</v>
      </c>
      <c r="G5079" s="6" t="n">
        <f aca="false">(Sens!F5060+Sens!G5060)/2*rent_mw/1000</f>
        <v>6.72084</v>
      </c>
      <c r="H5079" s="6" t="n">
        <f aca="false">(Sens!G5060+Sens!H5060)/2*rent_mw/1000</f>
        <v>6.72084</v>
      </c>
      <c r="I5079" s="6" t="n">
        <f aca="false">(Sens!H5060+Sens!I5060)/2*rent_mw/1000</f>
        <v>6.72084</v>
      </c>
      <c r="J5079" s="6" t="n">
        <f aca="false">(Sens!I5060+Sens!J5060)/2*rent_mw/1000</f>
        <v>6.72084</v>
      </c>
      <c r="K5079" s="6" t="n">
        <f aca="false">(Sens!J5060+Sens!K5060)/2*rent_mw/1000</f>
        <v>6.72084</v>
      </c>
    </row>
    <row r="5080" customFormat="false" ht="17.15" hidden="false" customHeight="false" outlineLevel="0" collapsed="false">
      <c r="A5080" s="0" t="s">
        <v>982</v>
      </c>
      <c r="B5080" s="0" t="s">
        <v>98</v>
      </c>
      <c r="D5080" s="6" t="n">
        <f aca="false">(Sens!C5062+Sens!D5062)/2*(1-self_build)*fac_rent/1000</f>
        <v>0.853242375631075</v>
      </c>
      <c r="E5080" s="6" t="n">
        <f aca="false">(Sens!D5062+Sens!E5062)/2*(1-self_build)*fac_rent/1000</f>
        <v>1.94955961408728</v>
      </c>
      <c r="F5080" s="6" t="n">
        <f aca="false">(Sens!E5062+Sens!F5062)/2*(1-self_build)*fac_rent/1000</f>
        <v>3.92914894476356</v>
      </c>
      <c r="G5080" s="6" t="n">
        <f aca="false">(Sens!F5062+Sens!G5062)/2*(1-self_build)*fac_rent/1000</f>
        <v>6.53206908578159</v>
      </c>
      <c r="H5080" s="6" t="n">
        <f aca="false">(Sens!G5062+Sens!H5062)/2*(1-self_build)*fac_rent/1000</f>
        <v>9.23717988341591</v>
      </c>
      <c r="I5080" s="6" t="n">
        <f aca="false">(Sens!H5062+Sens!I5062)/2*(1-self_build)*fac_rent/1000</f>
        <v>11.5481378557393</v>
      </c>
      <c r="J5080" s="6" t="n">
        <f aca="false">(Sens!I5062+Sens!J5062)/2*(1-self_build)*fac_rent/1000</f>
        <v>13.0899582289108</v>
      </c>
      <c r="K5080" s="6" t="n">
        <f aca="false">(Sens!J5062+Sens!K5062)/2*(1-self_build)*fac_rent/1000</f>
        <v>13.8897275626556</v>
      </c>
      <c r="L5080" s="12" t="s">
        <v>983</v>
      </c>
    </row>
    <row r="5081" customFormat="false" ht="17.15" hidden="false" customHeight="false" outlineLevel="0" collapsed="false">
      <c r="A5081" s="1" t="s">
        <v>984</v>
      </c>
      <c r="B5081" s="0" t="s">
        <v>168</v>
      </c>
      <c r="D5081" s="7" t="n">
        <f aca="false">(Sens!C5061+Sens!D5061)/(Sens!C5062+Sens!D5062)</f>
        <v>0.6</v>
      </c>
      <c r="E5081" s="7" t="n">
        <f aca="false">(Sens!D5061+Sens!E5061)/(Sens!D5062+Sens!E5062)</f>
        <v>0.6</v>
      </c>
      <c r="F5081" s="7" t="n">
        <f aca="false">(Sens!E5061+Sens!F5061)/(Sens!E5062+Sens!F5062)</f>
        <v>0.6</v>
      </c>
      <c r="G5081" s="7" t="n">
        <f aca="false">(Sens!F5061+Sens!G5061)/(Sens!F5062+Sens!G5062)</f>
        <v>0.6</v>
      </c>
      <c r="H5081" s="7" t="n">
        <f aca="false">(Sens!G5061+Sens!H5061)/(Sens!G5062+Sens!H5062)</f>
        <v>0.6</v>
      </c>
      <c r="I5081" s="7" t="n">
        <f aca="false">(Sens!H5061+Sens!I5061)/(Sens!H5062+Sens!I5062)</f>
        <v>0.6</v>
      </c>
      <c r="J5081" s="7" t="n">
        <f aca="false">(Sens!I5061+Sens!J5061)/(Sens!I5062+Sens!J5062)</f>
        <v>0.6</v>
      </c>
      <c r="K5081" s="7" t="n">
        <f aca="false">(Sens!J5061+Sens!K5061)/(Sens!J5062+Sens!K5062)</f>
        <v>0.6</v>
      </c>
    </row>
    <row r="5082" customFormat="false" ht="17.15" hidden="false" customHeight="false" outlineLevel="0" collapsed="false">
      <c r="A5082" s="0" t="s">
        <v>985</v>
      </c>
      <c r="B5082" s="0" t="s">
        <v>98</v>
      </c>
      <c r="D5082" s="6" t="n">
        <f aca="false">Sens!D5076-Sens!D5081*(Sens!D5078+Sens!D5080)-Sens!D5079</f>
        <v>8.35701406163072</v>
      </c>
      <c r="E5082" s="6" t="n">
        <f aca="false">Sens!E5076-Sens!E5081*(Sens!E5078+Sens!E5080)-Sens!E5079</f>
        <v>18.7103224860238</v>
      </c>
      <c r="F5082" s="6" t="n">
        <f aca="false">Sens!F5076-Sens!F5081*(Sens!F5078+Sens!F5080)-Sens!F5079</f>
        <v>39.5246243538843</v>
      </c>
      <c r="G5082" s="6" t="n">
        <f aca="false">Sens!G5076-Sens!G5081*(Sens!G5078+Sens!G5080)-Sens!G5079</f>
        <v>67.5570585372687</v>
      </c>
      <c r="H5082" s="6" t="n">
        <f aca="false">Sens!H5076-Sens!H5081*(Sens!H5078+Sens!H5080)-Sens!H5079</f>
        <v>97.1863179465102</v>
      </c>
      <c r="I5082" s="6" t="n">
        <f aca="false">Sens!I5076-Sens!I5081*(Sens!I5078+Sens!I5080)-Sens!I5079</f>
        <v>122.341229356668</v>
      </c>
      <c r="J5082" s="6" t="n">
        <f aca="false">Sens!J5076-Sens!J5081*(Sens!J5078+Sens!J5080)-Sens!J5079</f>
        <v>140.100924491458</v>
      </c>
      <c r="K5082" s="6" t="n">
        <f aca="false">Sens!K5076-Sens!K5081*(Sens!K5078+Sens!K5080)-Sens!K5079</f>
        <v>150.260302158789</v>
      </c>
    </row>
    <row r="5083" customFormat="false" ht="17.15" hidden="false" customHeight="false" outlineLevel="0" collapsed="false">
      <c r="A5083" s="1" t="s">
        <v>986</v>
      </c>
      <c r="B5083" s="0" t="s">
        <v>98</v>
      </c>
      <c r="D5083" s="6" t="n">
        <f aca="false">(1-Sens!D5081)*(Sens!D5078+Sens!D5080)</f>
        <v>1.42281025374069</v>
      </c>
      <c r="E5083" s="6" t="n">
        <f aca="false">(1-Sens!E5081)*(Sens!E5078+Sens!E5080)</f>
        <v>3.25095598674472</v>
      </c>
      <c r="F5083" s="6" t="n">
        <f aca="false">(1-Sens!F5081)*(Sens!F5078+Sens!F5080)</f>
        <v>6.72135810147489</v>
      </c>
      <c r="G5083" s="6" t="n">
        <f aca="false">(1-Sens!G5081)*(Sens!G5078+Sens!G5080)</f>
        <v>11.3401410201637</v>
      </c>
      <c r="H5083" s="6" t="n">
        <f aca="false">(1-Sens!H5081)*(Sens!H5078+Sens!H5080)</f>
        <v>16.1920771049557</v>
      </c>
      <c r="I5083" s="6" t="n">
        <f aca="false">(1-Sens!I5081)*(Sens!I5078+Sens!I5080)</f>
        <v>20.3328336034046</v>
      </c>
      <c r="J5083" s="6" t="n">
        <f aca="false">(1-Sens!J5081)*(Sens!J5078+Sens!J5080)</f>
        <v>23.157656729214</v>
      </c>
      <c r="K5083" s="6" t="n">
        <f aca="false">(1-Sens!K5081)*(Sens!K5078+Sens!K5080)</f>
        <v>24.6832925974751</v>
      </c>
    </row>
    <row r="5084" customFormat="false" ht="17.15" hidden="false" customHeight="false" outlineLevel="0" collapsed="false">
      <c r="A5084" s="1" t="s">
        <v>987</v>
      </c>
      <c r="B5084" s="0" t="s">
        <v>414</v>
      </c>
      <c r="C5084" s="8" t="n">
        <f aca="false">cxit_open</f>
        <v>27.5918995</v>
      </c>
      <c r="D5084" s="8" t="n">
        <f aca="false">cxit_open</f>
        <v>27.5918995</v>
      </c>
      <c r="E5084" s="8" t="n">
        <f aca="false">cxit_open</f>
        <v>27.5918995</v>
      </c>
      <c r="F5084" s="8" t="n">
        <f aca="false">((a_g3_27-nonnv*a_mai)*tk_cxit_gb300+nonnv*a_mai*nv_hold_mai*tk_cxit_vr200+(1-a_g3_27)*tk_cxit_vr200)</f>
        <v>32.4975576</v>
      </c>
      <c r="G5084" s="8" t="n">
        <f aca="false">((a_g3_28-nonnv*a_mai)*tk_cxit_gb300+nonnv*a_mai*nv_hold_mai*tk_cxit_vr200+(1-a_g3_28)*tk_cxit_vr200)</f>
        <v>34.6372088</v>
      </c>
      <c r="H5084" s="8" t="n">
        <f aca="false">((a_g3_29-nonnv*a_mai)*tk_cxit_gb300+nonnv*a_mai*nv_hold_mai*tk_cxit_vr200+(1-a_g3_29)*tk_cxit_vr200)</f>
        <v>35.7070344</v>
      </c>
      <c r="I5084" s="8" t="n">
        <f aca="false">((a_g3_29-nonnv*a_mai)*tk_cxit_gb300+nonnv*a_mai*nv_hold_mai*tk_cxit_vr200+(1-a_g3_29)*tk_cxit_vr200)</f>
        <v>35.7070344</v>
      </c>
      <c r="J5084" s="8" t="n">
        <f aca="false">((a_g3_29-nonnv*a_mai)*tk_cxit_gb300+nonnv*a_mai*nv_hold_mai*tk_cxit_vr200+(1-a_g3_29)*tk_cxit_vr200)</f>
        <v>35.7070344</v>
      </c>
      <c r="K5084" s="8" t="n">
        <f aca="false">((a_g3_29-nonnv*a_mai)*tk_cxit_gb300+nonnv*a_mai*nv_hold_mai*tk_cxit_vr200+(1-a_g3_29)*tk_cxit_vr200)</f>
        <v>35.7070344</v>
      </c>
      <c r="L5084" s="12" t="s">
        <v>988</v>
      </c>
    </row>
    <row r="5085" customFormat="false" ht="17.15" hidden="false" customHeight="false" outlineLevel="0" collapsed="false">
      <c r="A5085" s="0" t="s">
        <v>989</v>
      </c>
      <c r="B5085" s="0" t="s">
        <v>456</v>
      </c>
      <c r="F5085" s="30" t="n">
        <f aca="false">Sens!C5064*IF(Sens!F5057-Sens!C5057=life_it_hi,1,0)+Sens!D5064*IF(Sens!F5057-Sens!D5057=life_it_hi,1,0)+Sens!E5064*IF(Sens!F5057-Sens!E5057=life_it_hi,1,0)</f>
        <v>0</v>
      </c>
      <c r="G5085" s="30" t="n">
        <f aca="false">Sens!C5064*IF(Sens!G5057-Sens!C5057=life_it_hi,1,0)+Sens!D5064*IF(Sens!G5057-Sens!D5057=life_it_hi,1,0)+Sens!E5064*IF(Sens!G5057-Sens!E5057=life_it_hi,1,0)+Sens!F5064*IF(Sens!G5057-Sens!F5057=life_it_hi,1,0)</f>
        <v>0</v>
      </c>
      <c r="H5085" s="30" t="n">
        <f aca="false">Sens!C5064*IF(Sens!H5057-Sens!C5057=life_it_hi,1,0)+Sens!D5064*IF(Sens!H5057-Sens!D5057=life_it_hi,1,0)+Sens!E5064*IF(Sens!H5057-Sens!E5057=life_it_hi,1,0)+Sens!F5064*IF(Sens!H5057-Sens!F5057=life_it_hi,1,0)+Sens!G5064*IF(Sens!H5057-Sens!G5057=life_it_hi,1,0)</f>
        <v>0</v>
      </c>
      <c r="I5085" s="30" t="n">
        <f aca="false">Sens!C5064*IF(Sens!I5057-Sens!C5057=life_it_hi,1,0)+Sens!D5064*IF(Sens!I5057-Sens!D5057=life_it_hi,1,0)+Sens!E5064*IF(Sens!I5057-Sens!E5057=life_it_hi,1,0)+Sens!F5064*IF(Sens!I5057-Sens!F5057=life_it_hi,1,0)+Sens!G5064*IF(Sens!I5057-Sens!G5057=life_it_hi,1,0)+Sens!H5064*IF(Sens!I5057-Sens!H5057=life_it_hi,1,0)</f>
        <v>0</v>
      </c>
      <c r="J5085" s="30" t="n">
        <f aca="false">Sens!C5064*IF(Sens!J5057-Sens!C5057=life_it_hi,1,0)+Sens!D5064*IF(Sens!J5057-Sens!D5057=life_it_hi,1,0)+Sens!E5064*IF(Sens!J5057-Sens!E5057=life_it_hi,1,0)+Sens!F5064*IF(Sens!J5057-Sens!F5057=life_it_hi,1,0)+Sens!G5064*IF(Sens!J5057-Sens!G5057=life_it_hi,1,0)+Sens!H5064*IF(Sens!J5057-Sens!H5057=life_it_hi,1,0)+Sens!I5064*IF(Sens!J5057-Sens!I5057=life_it_hi,1,0)</f>
        <v>816.666666666667</v>
      </c>
      <c r="K5085" s="30" t="n">
        <f aca="false">Sens!C5064*IF(Sens!K5057-Sens!C5057=life_it_hi,1,0)+Sens!D5064*IF(Sens!K5057-Sens!D5057=life_it_hi,1,0)+Sens!E5064*IF(Sens!K5057-Sens!E5057=life_it_hi,1,0)+Sens!F5064*IF(Sens!K5057-Sens!F5057=life_it_hi,1,0)+Sens!G5064*IF(Sens!K5057-Sens!G5057=life_it_hi,1,0)+Sens!H5064*IF(Sens!K5057-Sens!H5057=life_it_hi,1,0)+Sens!I5064*IF(Sens!K5057-Sens!I5057=life_it_hi,1,0)+Sens!J5064*IF(Sens!K5057-Sens!J5057=life_it_hi,1,0)</f>
        <v>1233.33333333333</v>
      </c>
      <c r="L5085" s="1" t="s">
        <v>990</v>
      </c>
    </row>
    <row r="5086" customFormat="false" ht="17.15" hidden="false" customHeight="false" outlineLevel="0" collapsed="false">
      <c r="A5086" s="0" t="s">
        <v>991</v>
      </c>
      <c r="B5086" s="0" t="s">
        <v>98</v>
      </c>
      <c r="C5086" s="6" t="n">
        <f aca="false">Sens!C5064*Sens!C5084/1000</f>
        <v>22.5333845916667</v>
      </c>
      <c r="D5086" s="6" t="n">
        <f aca="false">Sens!D5064*Sens!D5084/1000</f>
        <v>34.0300093833333</v>
      </c>
      <c r="E5086" s="6" t="n">
        <f aca="false">Sens!E5064*Sens!E5084/1000</f>
        <v>67.600153775</v>
      </c>
      <c r="F5086" s="6" t="n">
        <f aca="false">(Sens!F5064+Sens!F5085)*Sens!F5084/1000</f>
        <v>136.51872432512</v>
      </c>
      <c r="G5086" s="6" t="n">
        <f aca="false">(Sens!G5064+Sens!G5085)*Sens!G5084/1000</f>
        <v>157.399275932048</v>
      </c>
      <c r="H5086" s="6" t="n">
        <f aca="false">(Sens!H5064+Sens!H5085)*Sens!H5084/1000</f>
        <v>162.260804347512</v>
      </c>
      <c r="I5086" s="6" t="n">
        <f aca="false">(Sens!I5064+Sens!I5085)*Sens!I5084/1000</f>
        <v>114.975824725434</v>
      </c>
      <c r="J5086" s="6" t="n">
        <f aca="false">(Sens!J5064+Sens!J5085)*Sens!J5084/1000</f>
        <v>99.1511063578636</v>
      </c>
      <c r="K5086" s="6" t="n">
        <f aca="false">(Sens!K5064+Sens!K5085)*Sens!K5084/1000</f>
        <v>69.993526830975</v>
      </c>
    </row>
    <row r="5087" customFormat="false" ht="17.15" hidden="false" customHeight="false" outlineLevel="0" collapsed="false">
      <c r="A5087" s="0" t="s">
        <v>992</v>
      </c>
      <c r="B5087" s="0" t="s">
        <v>98</v>
      </c>
      <c r="C5087" s="6" t="n">
        <f aca="false">Sens!C5064*self_build*tk_cxfac/1000</f>
        <v>6.2083</v>
      </c>
      <c r="D5087" s="6" t="n">
        <f aca="false">Sens!D5064*self_build*tk_cxfac/1000</f>
        <v>9.3758</v>
      </c>
      <c r="E5087" s="6" t="n">
        <f aca="false">Sens!E5064*self_build*tk_cxfac/1000</f>
        <v>18.6249</v>
      </c>
      <c r="F5087" s="6" t="n">
        <f aca="false">Sens!F5064*self_build*tk_cxfac/1000</f>
        <v>31.935179717</v>
      </c>
      <c r="G5087" s="6" t="n">
        <f aca="false">Sens!G5064*self_build*tk_cxfac/1000</f>
        <v>34.545199717</v>
      </c>
      <c r="H5087" s="6" t="n">
        <f aca="false">Sens!H5064*self_build*tk_cxfac/1000</f>
        <v>34.545199717</v>
      </c>
      <c r="I5087" s="6" t="n">
        <f aca="false">Sens!I5064*self_build*tk_cxfac/1000</f>
        <v>24.4782641361767</v>
      </c>
      <c r="J5087" s="6" t="n">
        <f aca="false">Sens!J5064*self_build*tk_cxfac/1000</f>
        <v>14.9008938380769</v>
      </c>
      <c r="K5087" s="6" t="n">
        <f aca="false">Sens!K5064*self_build*tk_cxfac/1000</f>
        <v>5.52576771375761</v>
      </c>
    </row>
    <row r="5088" customFormat="false" ht="17.15" hidden="false" customHeight="false" outlineLevel="0" collapsed="false">
      <c r="A5088" s="0" t="s">
        <v>993</v>
      </c>
      <c r="B5088" s="0" t="s">
        <v>98</v>
      </c>
      <c r="F5088" s="15" t="n">
        <f aca="false">capex_floor27-Sens!F5086-Sens!F5087-Sens!F5184</f>
        <v>1.94586576753863E-005</v>
      </c>
      <c r="L5088" s="12" t="s">
        <v>994</v>
      </c>
    </row>
    <row r="5089" customFormat="false" ht="17.15" hidden="false" customHeight="false" outlineLevel="0" collapsed="false">
      <c r="A5089" s="0" t="s">
        <v>995</v>
      </c>
      <c r="B5089" s="0" t="s">
        <v>98</v>
      </c>
      <c r="F5089" s="6" t="n">
        <f aca="false">MAX(0,Sens!F5088)</f>
        <v>1.94586576753863E-005</v>
      </c>
    </row>
    <row r="5090" customFormat="false" ht="17.15" hidden="false" customHeight="false" outlineLevel="0" collapsed="false">
      <c r="A5090" s="0" t="s">
        <v>996</v>
      </c>
      <c r="B5090" s="0" t="s">
        <v>98</v>
      </c>
      <c r="C5090" s="6" t="n">
        <f aca="false">Sens!C5086</f>
        <v>22.5333845916667</v>
      </c>
      <c r="D5090" s="6" t="n">
        <f aca="false">Sens!D5086</f>
        <v>34.0300093833333</v>
      </c>
      <c r="E5090" s="6" t="n">
        <f aca="false">Sens!E5086</f>
        <v>67.600153775</v>
      </c>
      <c r="F5090" s="6" t="n">
        <f aca="false">Sens!F5086</f>
        <v>136.51872432512</v>
      </c>
      <c r="G5090" s="6" t="n">
        <f aca="false">Sens!G5086</f>
        <v>157.399275932048</v>
      </c>
      <c r="H5090" s="6" t="n">
        <f aca="false">Sens!H5086</f>
        <v>162.260804347512</v>
      </c>
      <c r="I5090" s="6" t="n">
        <f aca="false">Sens!I5086</f>
        <v>114.975824725434</v>
      </c>
      <c r="J5090" s="6" t="n">
        <f aca="false">Sens!J5086</f>
        <v>99.1511063578636</v>
      </c>
      <c r="K5090" s="6" t="n">
        <f aca="false">Sens!K5086</f>
        <v>69.993526830975</v>
      </c>
    </row>
    <row r="5091" customFormat="false" ht="17.15" hidden="false" customHeight="false" outlineLevel="0" collapsed="false">
      <c r="A5091" s="0" t="s">
        <v>997</v>
      </c>
      <c r="B5091" s="0" t="s">
        <v>98</v>
      </c>
      <c r="C5091" s="6" t="n">
        <f aca="false">Sens!C5090+Sens!C5087</f>
        <v>28.7416845916667</v>
      </c>
      <c r="D5091" s="6" t="n">
        <f aca="false">Sens!D5090+Sens!D5087</f>
        <v>43.4058093833333</v>
      </c>
      <c r="E5091" s="6" t="n">
        <f aca="false">Sens!E5090+Sens!E5087</f>
        <v>86.225053775</v>
      </c>
      <c r="F5091" s="6" t="n">
        <f aca="false">Sens!F5090+Sens!F5087</f>
        <v>168.45390404212</v>
      </c>
      <c r="G5091" s="6" t="n">
        <f aca="false">Sens!G5090+Sens!G5087</f>
        <v>191.944475649048</v>
      </c>
      <c r="H5091" s="6" t="n">
        <f aca="false">Sens!H5090+Sens!H5087</f>
        <v>196.806004064512</v>
      </c>
      <c r="I5091" s="6" t="n">
        <f aca="false">Sens!I5090+Sens!I5087</f>
        <v>139.45408886161</v>
      </c>
      <c r="J5091" s="6" t="n">
        <f aca="false">Sens!J5090+Sens!J5087</f>
        <v>114.05200019594</v>
      </c>
      <c r="K5091" s="6" t="n">
        <f aca="false">Sens!K5090+Sens!K5087</f>
        <v>75.5192945447327</v>
      </c>
      <c r="L5091" s="12" t="s">
        <v>998</v>
      </c>
    </row>
    <row r="5092" customFormat="false" ht="17.15" hidden="false" customHeight="false" outlineLevel="0" collapsed="false">
      <c r="A5092" s="0" t="s">
        <v>999</v>
      </c>
      <c r="B5092" s="0" t="s">
        <v>98</v>
      </c>
      <c r="E5092" s="6" t="n">
        <f aca="false">(Sens!C5090*IF(2&lt;life_it_hi,1,IF(2=life_it_hi,0.5,0))+Sens!D5090*IF(1&lt;life_it_hi,1,IF(1=life_it_hi,0.5,0))+Sens!E5090*0.5)/life_it_hi</f>
        <v>12.9090672660714</v>
      </c>
      <c r="F5092" s="6" t="n">
        <f aca="false">(Sens!C5090*IF(3&lt;life_it_hi,1,IF(3=life_it_hi,0.5,0))+Sens!D5090*IF(2&lt;life_it_hi,1,IF(2=life_it_hi,0.5,0))+Sens!E5090*IF(1&lt;life_it_hi,1,IF(1=life_it_hi,0.5,0))+Sens!F5090*0.5)/life_it_hi</f>
        <v>27.4889871303657</v>
      </c>
      <c r="G5092" s="6" t="n">
        <f aca="false">(Sens!C5090*IF(4&lt;life_it_hi,1,IF(4=life_it_hi,0.5,0))+Sens!D5090*IF(3&lt;life_it_hi,1,IF(3=life_it_hi,0.5,0))+Sens!E5090*IF(2&lt;life_it_hi,1,IF(2=life_it_hi,0.5,0))+Sens!F5090*IF(1&lt;life_it_hi,1,IF(1=life_it_hi,0.5,0))+Sens!G5090*0.5)/life_it_hi</f>
        <v>48.4831300058777</v>
      </c>
      <c r="H5092" s="6" t="n">
        <f aca="false">(Sens!C5090*IF(5&lt;life_it_hi,1,IF(5=life_it_hi,0.5,0))+Sens!D5090*IF(4&lt;life_it_hi,1,IF(4=life_it_hi,0.5,0))+Sens!E5090*IF(3&lt;life_it_hi,1,IF(3=life_it_hi,0.5,0))+Sens!F5090*IF(2&lt;life_it_hi,1,IF(2=life_it_hi,0.5,0))+Sens!G5090*IF(1&lt;life_it_hi,1,IF(1=life_it_hi,0.5,0))+Sens!H5090*0.5)/life_it_hi</f>
        <v>71.3159928829891</v>
      </c>
      <c r="I5092" s="6" t="n">
        <f aca="false">(Sens!C5090*IF(6&lt;life_it_hi,1,IF(6=life_it_hi,0.5,0))+Sens!D5090*IF(5&lt;life_it_hi,1,IF(5=life_it_hi,0.5,0))+Sens!E5090*IF(4&lt;life_it_hi,1,IF(4=life_it_hi,0.5,0))+Sens!F5090*IF(3&lt;life_it_hi,1,IF(3=life_it_hi,0.5,0))+Sens!G5090*IF(2&lt;life_it_hi,1,IF(2=life_it_hi,0.5,0))+Sens!H5090*IF(1&lt;life_it_hi,1,IF(1=life_it_hi,0.5,0))+Sens!I5090*0.5)/life_it_hi</f>
        <v>91.1186092453424</v>
      </c>
      <c r="J5092" s="6" t="n">
        <f aca="false">(Sens!C5090*IF(7&lt;life_it_hi,1,IF(7=life_it_hi,0.5,0))+Sens!D5090*IF(6&lt;life_it_hi,1,IF(6=life_it_hi,0.5,0))+Sens!E5090*IF(5&lt;life_it_hi,1,IF(5=life_it_hi,0.5,0))+Sens!F5090*IF(4&lt;life_it_hi,1,IF(4=life_it_hi,0.5,0))+Sens!G5090*IF(3&lt;life_it_hi,1,IF(3=life_it_hi,0.5,0))+Sens!H5090*IF(2&lt;life_it_hi,1,IF(2=life_it_hi,0.5,0))+Sens!I5090*IF(1&lt;life_it_hi,1,IF(1=life_it_hi,0.5,0))+Sens!J5090*0.5)/life_it_hi</f>
        <v>104.803862566173</v>
      </c>
      <c r="K5092" s="6" t="n">
        <f aca="false">(Sens!C5090*IF(8&lt;life_it_hi,1,IF(8=life_it_hi,0.5,0))+Sens!D5090*IF(7&lt;life_it_hi,1,IF(7=life_it_hi,0.5,0))+Sens!E5090*IF(6&lt;life_it_hi,1,IF(6=life_it_hi,0.5,0))+Sens!F5090*IF(5&lt;life_it_hi,1,IF(5=life_it_hi,0.5,0))+Sens!G5090*IF(4&lt;life_it_hi,1,IF(4=life_it_hi,0.5,0))+Sens!H5090*IF(3&lt;life_it_hi,1,IF(3=life_it_hi,0.5,0))+Sens!I5090*IF(2&lt;life_it_hi,1,IF(2=life_it_hi,0.5,0))+Sens!J5090*IF(1&lt;life_it_hi,1,IF(1=life_it_hi,0.5,0))+Sens!K5090*0.5)/life_it_hi</f>
        <v>112.845379652876</v>
      </c>
    </row>
    <row r="5093" customFormat="false" ht="17.15" hidden="false" customHeight="false" outlineLevel="0" collapsed="false">
      <c r="A5093" s="0" t="s">
        <v>1000</v>
      </c>
      <c r="B5093" s="0" t="s">
        <v>98</v>
      </c>
      <c r="E5093" s="6" t="n">
        <f aca="false">(Sens!C5087*IF(2&lt;life_fac,1,IF(2=life_fac,0.5,0))+Sens!D5087*IF(1&lt;life_fac,1,IF(1=life_fac,0.5,0))+Sens!E5087*0.5)/life_fac</f>
        <v>1.2448275</v>
      </c>
      <c r="F5093" s="6" t="n">
        <f aca="false">(Sens!C5087*IF(3&lt;life_fac,1,IF(3=life_fac,0.5,0))+Sens!D5087*IF(2&lt;life_fac,1,IF(2=life_fac,0.5,0))+Sens!E5087*IF(1&lt;life_fac,1,IF(1=life_fac,0.5,0))+Sens!F5087*0.5)/life_fac</f>
        <v>2.508829492925</v>
      </c>
      <c r="G5093" s="6" t="n">
        <f aca="false">(Sens!C5087*IF(4&lt;life_fac,1,IF(4=life_fac,0.5,0))+Sens!D5087*IF(3&lt;life_fac,1,IF(3=life_fac,0.5,0))+Sens!E5087*IF(2&lt;life_fac,1,IF(2=life_fac,0.5,0))+Sens!F5087*IF(1&lt;life_fac,1,IF(1=life_fac,0.5,0))+Sens!G5087*0.5)/life_fac</f>
        <v>4.170838978775</v>
      </c>
      <c r="H5093" s="6" t="n">
        <f aca="false">(Sens!C5087*IF(5&lt;life_fac,1,IF(5=life_fac,0.5,0))+Sens!D5087*IF(4&lt;life_fac,1,IF(4=life_fac,0.5,0))+Sens!E5087*IF(3&lt;life_fac,1,IF(3=life_fac,0.5,0))+Sens!F5087*IF(2&lt;life_fac,1,IF(2=life_fac,0.5,0))+Sens!G5087*IF(1&lt;life_fac,1,IF(1=life_fac,0.5,0))+Sens!H5087*0.5)/life_fac</f>
        <v>5.898098964625</v>
      </c>
      <c r="I5093" s="6" t="n">
        <f aca="false">(Sens!C5087*IF(6&lt;life_fac,1,IF(6=life_fac,0.5,0))+Sens!D5087*IF(5&lt;life_fac,1,IF(5=life_fac,0.5,0))+Sens!E5087*IF(4&lt;life_fac,1,IF(4=life_fac,0.5,0))+Sens!F5087*IF(3&lt;life_fac,1,IF(3=life_fac,0.5,0))+Sens!G5087*IF(2&lt;life_fac,1,IF(2=life_fac,0.5,0))+Sens!H5087*IF(1&lt;life_fac,1,IF(1=life_fac,0.5,0))+Sens!I5087*0.5)/life_fac</f>
        <v>7.37368556095442</v>
      </c>
      <c r="J5093" s="6" t="n">
        <f aca="false">(Sens!C5087*IF(7&lt;life_fac,1,IF(7=life_fac,0.5,0))+Sens!D5087*IF(6&lt;life_fac,1,IF(6=life_fac,0.5,0))+Sens!E5087*IF(5&lt;life_fac,1,IF(5=life_fac,0.5,0))+Sens!F5087*IF(4&lt;life_fac,1,IF(4=life_fac,0.5,0))+Sens!G5087*IF(3&lt;life_fac,1,IF(3=life_fac,0.5,0))+Sens!H5087*IF(2&lt;life_fac,1,IF(2=life_fac,0.5,0))+Sens!I5087*IF(1&lt;life_fac,1,IF(1=life_fac,0.5,0))+Sens!J5087*0.5)/life_fac</f>
        <v>8.35816451031075</v>
      </c>
      <c r="K5093" s="6" t="n">
        <f aca="false">(Sens!C5087*IF(8&lt;life_fac,1,IF(8=life_fac,0.5,0))+Sens!D5087*IF(7&lt;life_fac,1,IF(7=life_fac,0.5,0))+Sens!E5087*IF(6&lt;life_fac,1,IF(6=life_fac,0.5,0))+Sens!F5087*IF(5&lt;life_fac,1,IF(5=life_fac,0.5,0))+Sens!G5087*IF(4&lt;life_fac,1,IF(4=life_fac,0.5,0))+Sens!H5087*IF(3&lt;life_fac,1,IF(3=life_fac,0.5,0))+Sens!I5087*IF(2&lt;life_fac,1,IF(2=life_fac,0.5,0))+Sens!J5087*IF(1&lt;life_fac,1,IF(1=life_fac,0.5,0))+Sens!K5087*0.5)/life_fac</f>
        <v>8.86883104910662</v>
      </c>
    </row>
    <row r="5094" customFormat="false" ht="17.15" hidden="false" customHeight="false" outlineLevel="0" collapsed="false">
      <c r="A5094" s="0" t="s">
        <v>1001</v>
      </c>
      <c r="B5094" s="0" t="s">
        <v>98</v>
      </c>
      <c r="E5094" s="6" t="n">
        <f aca="false">Sens!E5092+Sens!E5093</f>
        <v>14.1538947660714</v>
      </c>
      <c r="F5094" s="6" t="n">
        <f aca="false">Sens!F5092+Sens!F5093</f>
        <v>29.9978166232907</v>
      </c>
      <c r="G5094" s="6" t="n">
        <f aca="false">Sens!G5092+Sens!G5093</f>
        <v>52.6539689846527</v>
      </c>
      <c r="H5094" s="6" t="n">
        <f aca="false">Sens!H5092+Sens!H5093</f>
        <v>77.2140918476141</v>
      </c>
      <c r="I5094" s="6" t="n">
        <f aca="false">Sens!I5092+Sens!I5093</f>
        <v>98.4922948062968</v>
      </c>
      <c r="J5094" s="6" t="n">
        <f aca="false">Sens!J5092+Sens!J5093</f>
        <v>113.162027076484</v>
      </c>
      <c r="K5094" s="6" t="n">
        <f aca="false">Sens!K5092+Sens!K5093</f>
        <v>121.714210701983</v>
      </c>
    </row>
    <row r="5095" customFormat="false" ht="17.15" hidden="false" customHeight="false" outlineLevel="0" collapsed="false">
      <c r="A5095" s="0" t="s">
        <v>1002</v>
      </c>
      <c r="B5095" s="0" t="s">
        <v>98</v>
      </c>
      <c r="E5095" s="6" t="n">
        <f aca="false">Sens!E5082-Sens!E5081*Sens!E5094</f>
        <v>10.2179856263809</v>
      </c>
      <c r="F5095" s="6" t="n">
        <f aca="false">Sens!F5082-Sens!F5081*Sens!F5094</f>
        <v>21.5259343799099</v>
      </c>
      <c r="G5095" s="6" t="n">
        <f aca="false">Sens!G5082-Sens!G5081*Sens!G5094</f>
        <v>35.9646771464771</v>
      </c>
      <c r="H5095" s="6" t="n">
        <f aca="false">Sens!H5082-Sens!H5081*Sens!H5094</f>
        <v>50.8578628379417</v>
      </c>
      <c r="I5095" s="6" t="n">
        <f aca="false">Sens!I5082-Sens!I5081*Sens!I5094</f>
        <v>63.24585247289</v>
      </c>
      <c r="J5095" s="6" t="n">
        <f aca="false">Sens!J5082-Sens!J5081*Sens!J5094</f>
        <v>72.2037082455681</v>
      </c>
      <c r="K5095" s="6" t="n">
        <f aca="false">Sens!K5082-Sens!K5081*Sens!K5094</f>
        <v>77.2317757375995</v>
      </c>
    </row>
    <row r="5096" customFormat="false" ht="17.15" hidden="false" customHeight="false" outlineLevel="0" collapsed="false">
      <c r="A5096" s="3" t="s">
        <v>1606</v>
      </c>
    </row>
    <row r="5097" customFormat="false" ht="15" hidden="false" customHeight="false" outlineLevel="0" collapsed="false">
      <c r="A5097" s="4" t="s">
        <v>43</v>
      </c>
      <c r="B5097" s="4" t="s">
        <v>65</v>
      </c>
      <c r="C5097" s="23" t="s">
        <v>938</v>
      </c>
      <c r="D5097" s="23" t="s">
        <v>939</v>
      </c>
      <c r="E5097" s="23" t="s">
        <v>940</v>
      </c>
      <c r="F5097" s="23" t="s">
        <v>941</v>
      </c>
      <c r="G5097" s="23" t="s">
        <v>942</v>
      </c>
      <c r="H5097" s="23" t="s">
        <v>943</v>
      </c>
      <c r="I5097" s="23" t="s">
        <v>944</v>
      </c>
      <c r="J5097" s="23" t="s">
        <v>945</v>
      </c>
      <c r="K5097" s="23" t="s">
        <v>946</v>
      </c>
      <c r="L5097" s="4" t="s">
        <v>47</v>
      </c>
    </row>
    <row r="5098" customFormat="false" ht="17.15" hidden="false" customHeight="false" outlineLevel="0" collapsed="false">
      <c r="A5098" s="0" t="s">
        <v>1021</v>
      </c>
      <c r="B5098" s="0" t="s">
        <v>98</v>
      </c>
      <c r="D5098" s="6" t="n">
        <f aca="false">Sens!D5076</f>
        <v>12.9359794422418</v>
      </c>
      <c r="E5098" s="6" t="n">
        <f aca="false">Sens!E5076</f>
        <v>27.8095064661409</v>
      </c>
      <c r="F5098" s="6" t="n">
        <f aca="false">Sens!F5076</f>
        <v>55.4118315060966</v>
      </c>
      <c r="G5098" s="6" t="n">
        <f aca="false">Sens!G5076</f>
        <v>91.2881100675143</v>
      </c>
      <c r="H5098" s="6" t="n">
        <f aca="false">Sens!H5076</f>
        <v>128.195273603944</v>
      </c>
      <c r="I5098" s="6" t="n">
        <f aca="false">Sens!I5076</f>
        <v>159.561319761775</v>
      </c>
      <c r="J5098" s="6" t="n">
        <f aca="false">Sens!J5076</f>
        <v>181.558249585279</v>
      </c>
      <c r="K5098" s="6" t="n">
        <f aca="false">Sens!K5076</f>
        <v>194.006081055002</v>
      </c>
    </row>
    <row r="5099" customFormat="false" ht="17.15" hidden="false" customHeight="false" outlineLevel="0" collapsed="false">
      <c r="A5099" s="0" t="s">
        <v>1022</v>
      </c>
      <c r="B5099" s="0" t="s">
        <v>98</v>
      </c>
      <c r="D5099" s="6" t="n">
        <f aca="false">Q!L6-Sens!D5098</f>
        <v>59.6740205577583</v>
      </c>
      <c r="E5099" s="6" t="n">
        <f aca="false">Q!M6-Sens!E5098</f>
        <v>74.1284935338591</v>
      </c>
      <c r="F5099" s="6" t="n">
        <f aca="false">Q!$I$6+(Sens!F5098+Sens!E5099*(1+Sens!F5100))*(1-Q!$E$6/Q!M6)-Sens!F5098</f>
        <v>91.2972164940844</v>
      </c>
      <c r="G5099" s="6" t="n">
        <f aca="false">Sens!F5099*(1+Sens!G5100)</f>
        <v>108.474719793879</v>
      </c>
      <c r="H5099" s="6" t="n">
        <f aca="false">Sens!G5099*(1+Sens!H5100)</f>
        <v>125.951292505701</v>
      </c>
      <c r="I5099" s="6" t="n">
        <f aca="false">Sens!H5099*(1+Sens!I5100)</f>
        <v>142.838165154212</v>
      </c>
      <c r="J5099" s="6" t="n">
        <f aca="false">Sens!I5099*(1+Sens!J5100)</f>
        <v>158.12717866615</v>
      </c>
      <c r="K5099" s="6" t="n">
        <f aca="false">Sens!J5099*(1+Sens!K5100)</f>
        <v>170.777352959442</v>
      </c>
      <c r="L5099" s="12" t="s">
        <v>1023</v>
      </c>
    </row>
    <row r="5100" customFormat="false" ht="15" hidden="false" customHeight="false" outlineLevel="0" collapsed="false">
      <c r="A5100" s="1" t="s">
        <v>1024</v>
      </c>
      <c r="B5100" s="0" t="s">
        <v>168</v>
      </c>
      <c r="E5100" s="7" t="n">
        <f aca="false">Sens!E5099/Sens!D5099-1</f>
        <v>0.242223883039864</v>
      </c>
      <c r="F5100" s="7" t="n">
        <f aca="false">Sens!$E$5100+(glt_azo-Sens!$E$5100)*MIN(1,(Sens!F5057-base_fy)/n_conv)</f>
        <v>0.215186569199887</v>
      </c>
      <c r="G5100" s="7" t="n">
        <f aca="false">Sens!$E$5100+(glt_azo-Sens!$E$5100)*MIN(1,(Sens!G5057-base_fy)/n_conv)</f>
        <v>0.18814925535991</v>
      </c>
      <c r="H5100" s="7" t="n">
        <f aca="false">Sens!$E$5100+(glt_azo-Sens!$E$5100)*MIN(1,(Sens!H5057-base_fy)/n_conv)</f>
        <v>0.161111941519932</v>
      </c>
      <c r="I5100" s="7" t="n">
        <f aca="false">Sens!$E$5100+(glt_azo-Sens!$E$5100)*MIN(1,(Sens!I5057-base_fy)/n_conv)</f>
        <v>0.134074627679955</v>
      </c>
      <c r="J5100" s="7" t="n">
        <f aca="false">Sens!$E$5100+(glt_azo-Sens!$E$5100)*MIN(1,(Sens!J5057-base_fy)/n_conv)</f>
        <v>0.107037313839977</v>
      </c>
      <c r="K5100" s="7" t="n">
        <f aca="false">Sens!$E$5100+(glt_azo-Sens!$E$5100)*MIN(1,(Sens!K5057-base_fy)/n_conv)</f>
        <v>0.08</v>
      </c>
    </row>
    <row r="5101" customFormat="false" ht="15" hidden="false" customHeight="false" outlineLevel="0" collapsed="false">
      <c r="A5101" s="0" t="s">
        <v>1025</v>
      </c>
      <c r="B5101" s="0" t="s">
        <v>98</v>
      </c>
      <c r="D5101" s="6" t="n">
        <f aca="false">Sens!D5098+Sens!D5099</f>
        <v>72.61</v>
      </c>
      <c r="E5101" s="6" t="n">
        <f aca="false">Sens!E5098+Sens!E5099</f>
        <v>101.938</v>
      </c>
      <c r="F5101" s="6" t="n">
        <f aca="false">Sens!F5098+Sens!F5099</f>
        <v>146.709048000181</v>
      </c>
      <c r="G5101" s="6" t="n">
        <f aca="false">Sens!G5098+Sens!G5099</f>
        <v>199.762829861393</v>
      </c>
      <c r="H5101" s="6" t="n">
        <f aca="false">Sens!H5098+Sens!H5099</f>
        <v>254.146566109645</v>
      </c>
      <c r="I5101" s="6" t="n">
        <f aca="false">Sens!I5098+Sens!I5099</f>
        <v>302.399484915987</v>
      </c>
      <c r="J5101" s="6" t="n">
        <f aca="false">Sens!J5098+Sens!J5099</f>
        <v>339.685428251429</v>
      </c>
      <c r="K5101" s="6" t="n">
        <f aca="false">Sens!K5098+Sens!K5099</f>
        <v>364.783434014444</v>
      </c>
    </row>
    <row r="5102" customFormat="false" ht="17.15" hidden="false" customHeight="false" outlineLevel="0" collapsed="false">
      <c r="A5102" s="0" t="s">
        <v>1026</v>
      </c>
      <c r="B5102" s="1" t="s">
        <v>610</v>
      </c>
      <c r="C5102" s="30" t="n">
        <f aca="false">cop_s24</f>
        <v>1</v>
      </c>
      <c r="D5102" s="30" t="n">
        <f aca="false">cop_s25</f>
        <v>5</v>
      </c>
      <c r="E5102" s="30" t="n">
        <f aca="false">cop_s26</f>
        <v>30</v>
      </c>
      <c r="F5102" s="30" t="n">
        <f aca="false">Sens!E5102+cop_add_B</f>
        <v>50</v>
      </c>
      <c r="G5102" s="30" t="n">
        <f aca="false">Sens!F5102+cop_add_B</f>
        <v>70</v>
      </c>
      <c r="H5102" s="30" t="n">
        <f aca="false">Sens!G5102+cop_add_B</f>
        <v>90</v>
      </c>
      <c r="I5102" s="30" t="n">
        <f aca="false">Sens!H5102+cop_add_B*cop_tail</f>
        <v>100</v>
      </c>
      <c r="J5102" s="30" t="n">
        <f aca="false">Sens!I5102+cop_add_B*cop_tail</f>
        <v>110</v>
      </c>
      <c r="K5102" s="30" t="n">
        <f aca="false">Sens!J5102+cop_add_B*cop_tail</f>
        <v>120</v>
      </c>
      <c r="L5102" s="12" t="s">
        <v>1027</v>
      </c>
    </row>
    <row r="5103" customFormat="false" ht="17.15" hidden="false" customHeight="false" outlineLevel="0" collapsed="false">
      <c r="A5103" s="0" t="s">
        <v>1028</v>
      </c>
      <c r="B5103" s="0" t="s">
        <v>98</v>
      </c>
      <c r="D5103" s="6" t="n">
        <f aca="false">(Sens!C5102+Sens!D5102)/2*cop_px*12/1000</f>
        <v>0.9</v>
      </c>
      <c r="E5103" s="6" t="n">
        <f aca="false">(Sens!D5102+Sens!E5102)/2*cop_px*12/1000</f>
        <v>5.25</v>
      </c>
      <c r="F5103" s="6" t="n">
        <f aca="false">(Sens!E5102+Sens!F5102)/2*cop_px*12/1000</f>
        <v>12</v>
      </c>
      <c r="G5103" s="6" t="n">
        <f aca="false">(Sens!F5102+Sens!G5102)/2*cop_px*12/1000</f>
        <v>18</v>
      </c>
      <c r="H5103" s="6" t="n">
        <f aca="false">(Sens!G5102+Sens!H5102)/2*cop_px*12/1000</f>
        <v>24</v>
      </c>
      <c r="I5103" s="6" t="n">
        <f aca="false">(Sens!H5102+Sens!I5102)/2*cop_px*12/1000</f>
        <v>28.5</v>
      </c>
      <c r="J5103" s="6" t="n">
        <f aca="false">(Sens!I5102+Sens!J5102)/2*cop_px*12/1000</f>
        <v>31.5</v>
      </c>
      <c r="K5103" s="6" t="n">
        <f aca="false">(Sens!J5102+Sens!K5102)/2*cop_px*12/1000</f>
        <v>34.5</v>
      </c>
      <c r="L5103" s="1" t="s">
        <v>1029</v>
      </c>
    </row>
    <row r="5104" customFormat="false" ht="17.15" hidden="false" customHeight="false" outlineLevel="0" collapsed="false">
      <c r="A5104" s="0" t="s">
        <v>1030</v>
      </c>
      <c r="B5104" s="0" t="s">
        <v>98</v>
      </c>
      <c r="D5104" s="6" t="n">
        <f aca="false">Q!L7-Sens!D5103</f>
        <v>83.705</v>
      </c>
      <c r="E5104" s="6" t="n">
        <f aca="false">Q!M7-Sens!E5103</f>
        <v>95.049</v>
      </c>
      <c r="F5104" s="6" t="n">
        <f aca="false">Q!$I$7+(Sens!E5104*(1+Sens!F5105)+Sens!F5103)*(1-Q!$E$7/Q!M7)-Sens!F5103</f>
        <v>106.584003697747</v>
      </c>
      <c r="G5104" s="6" t="n">
        <f aca="false">Sens!F5104*(1+Sens!G5105)</f>
        <v>118.700726545688</v>
      </c>
      <c r="H5104" s="6" t="n">
        <f aca="false">Sens!G5104*(1+Sens!H5105)</f>
        <v>130.898624783666</v>
      </c>
      <c r="I5104" s="6" t="n">
        <f aca="false">Sens!H5104*(1+Sens!I5105)</f>
        <v>142.920510030657</v>
      </c>
      <c r="J5104" s="6" t="n">
        <f aca="false">Sens!I5104*(1+Sens!J5105)</f>
        <v>154.485722618572</v>
      </c>
      <c r="K5104" s="6" t="n">
        <f aca="false">Sens!J5104*(1+Sens!K5105)</f>
        <v>165.299723201872</v>
      </c>
      <c r="L5104" s="12" t="s">
        <v>1031</v>
      </c>
    </row>
    <row r="5105" customFormat="false" ht="15" hidden="false" customHeight="false" outlineLevel="0" collapsed="false">
      <c r="A5105" s="1" t="s">
        <v>1024</v>
      </c>
      <c r="B5105" s="0" t="s">
        <v>168</v>
      </c>
      <c r="E5105" s="7" t="n">
        <f aca="false">Sens!E5104/Sens!D5104-1</f>
        <v>0.135523564900544</v>
      </c>
      <c r="F5105" s="7" t="n">
        <f aca="false">Sens!$E$5105+(glt_m365b-Sens!$E$5105)*MIN(1,(Sens!F5057-base_fy)/n_conv)</f>
        <v>0.124602970750453</v>
      </c>
      <c r="G5105" s="7" t="n">
        <f aca="false">Sens!$E$5105+(glt_m365b-Sens!$E$5105)*MIN(1,(Sens!G5057-base_fy)/n_conv)</f>
        <v>0.113682376600363</v>
      </c>
      <c r="H5105" s="7" t="n">
        <f aca="false">Sens!$E$5105+(glt_m365b-Sens!$E$5105)*MIN(1,(Sens!H5057-base_fy)/n_conv)</f>
        <v>0.102761782450272</v>
      </c>
      <c r="I5105" s="7" t="n">
        <f aca="false">Sens!$E$5105+(glt_m365b-Sens!$E$5105)*MIN(1,(Sens!I5057-base_fy)/n_conv)</f>
        <v>0.0918411883001813</v>
      </c>
      <c r="J5105" s="7" t="n">
        <f aca="false">Sens!$E$5105+(glt_m365b-Sens!$E$5105)*MIN(1,(Sens!J5057-base_fy)/n_conv)</f>
        <v>0.0809205941500906</v>
      </c>
      <c r="K5105" s="7" t="n">
        <f aca="false">Sens!$E$5105+(glt_m365b-Sens!$E$5105)*MIN(1,(Sens!K5057-base_fy)/n_conv)</f>
        <v>0.07</v>
      </c>
    </row>
    <row r="5106" customFormat="false" ht="15" hidden="false" customHeight="false" outlineLevel="0" collapsed="false">
      <c r="A5106" s="0" t="s">
        <v>1032</v>
      </c>
      <c r="B5106" s="0" t="s">
        <v>98</v>
      </c>
      <c r="D5106" s="6" t="n">
        <f aca="false">Sens!D5104+Sens!D5103</f>
        <v>84.605</v>
      </c>
      <c r="E5106" s="6" t="n">
        <f aca="false">Sens!E5104+Sens!E5103</f>
        <v>100.299</v>
      </c>
      <c r="F5106" s="6" t="n">
        <f aca="false">Sens!F5104+Sens!F5103</f>
        <v>118.584003697747</v>
      </c>
      <c r="G5106" s="6" t="n">
        <f aca="false">Sens!G5104+Sens!G5103</f>
        <v>136.700726545688</v>
      </c>
      <c r="H5106" s="6" t="n">
        <f aca="false">Sens!H5104+Sens!H5103</f>
        <v>154.898624783666</v>
      </c>
      <c r="I5106" s="6" t="n">
        <f aca="false">Sens!I5104+Sens!I5103</f>
        <v>171.420510030657</v>
      </c>
      <c r="J5106" s="6" t="n">
        <f aca="false">Sens!J5104+Sens!J5103</f>
        <v>185.985722618572</v>
      </c>
      <c r="K5106" s="6" t="n">
        <f aca="false">Sens!K5104+Sens!K5103</f>
        <v>199.799723201872</v>
      </c>
    </row>
    <row r="5107" customFormat="false" ht="17.15" hidden="false" customHeight="false" outlineLevel="0" collapsed="false">
      <c r="A5107" s="0" t="s">
        <v>1033</v>
      </c>
      <c r="B5107" s="0" t="s">
        <v>98</v>
      </c>
      <c r="D5107" s="6" t="n">
        <f aca="false">Q!L8</f>
        <v>35.391</v>
      </c>
      <c r="E5107" s="6" t="n">
        <f aca="false">Q!M8</f>
        <v>37.285</v>
      </c>
      <c r="F5107" s="6" t="n">
        <f aca="false">Q!$I$8+(Q!M8-Q!$E$8)*(1+Sens!F5108)</f>
        <v>38.3851437782675</v>
      </c>
      <c r="G5107" s="6" t="n">
        <f aca="false">Sens!F5107*(1+Sens!G5108)</f>
        <v>40.0105353288615</v>
      </c>
      <c r="H5107" s="6" t="n">
        <f aca="false">Sens!G5107*(1+Sens!H5108)</f>
        <v>41.4812512033683</v>
      </c>
      <c r="I5107" s="6" t="n">
        <f aca="false">Sens!H5107*(1+Sens!I5108)</f>
        <v>42.7743107216329</v>
      </c>
      <c r="J5107" s="6" t="n">
        <f aca="false">Sens!I5107*(1+Sens!J5108)</f>
        <v>43.8687373064601</v>
      </c>
      <c r="K5107" s="6" t="n">
        <f aca="false">Sens!J5107*(1+Sens!K5108)</f>
        <v>44.7461120525893</v>
      </c>
      <c r="L5107" s="12" t="s">
        <v>1034</v>
      </c>
    </row>
    <row r="5108" customFormat="false" ht="15" hidden="false" customHeight="false" outlineLevel="0" collapsed="false">
      <c r="A5108" s="1" t="s">
        <v>1024</v>
      </c>
      <c r="B5108" s="0" t="s">
        <v>168</v>
      </c>
      <c r="E5108" s="7" t="n">
        <f aca="false">Sens!E5107/Sens!D5107-1</f>
        <v>0.0535164307309768</v>
      </c>
      <c r="F5108" s="7" t="n">
        <f aca="false">Sens!$E$5108+(glt_lic-Sens!$E$5108)*MIN(1,(Sens!F5057-base_fy)/n_conv)</f>
        <v>0.0479303589424807</v>
      </c>
      <c r="G5108" s="7" t="n">
        <f aca="false">Sens!$E$5108+(glt_lic-Sens!$E$5108)*MIN(1,(Sens!G5057-base_fy)/n_conv)</f>
        <v>0.0423442871539845</v>
      </c>
      <c r="H5108" s="7" t="n">
        <f aca="false">Sens!$E$5108+(glt_lic-Sens!$E$5108)*MIN(1,(Sens!H5057-base_fy)/n_conv)</f>
        <v>0.0367582153654884</v>
      </c>
      <c r="I5108" s="7" t="n">
        <f aca="false">Sens!$E$5108+(glt_lic-Sens!$E$5108)*MIN(1,(Sens!I5057-base_fy)/n_conv)</f>
        <v>0.0311721435769923</v>
      </c>
      <c r="J5108" s="7" t="n">
        <f aca="false">Sens!$E$5108+(glt_lic-Sens!$E$5108)*MIN(1,(Sens!J5057-base_fy)/n_conv)</f>
        <v>0.0255860717884961</v>
      </c>
      <c r="K5108" s="7" t="n">
        <f aca="false">Sens!$E$5108+(glt_lic-Sens!$E$5108)*MIN(1,(Sens!K5057-base_fy)/n_conv)</f>
        <v>0.02</v>
      </c>
    </row>
    <row r="5109" customFormat="false" ht="17.15" hidden="false" customHeight="false" outlineLevel="0" collapsed="false">
      <c r="A5109" s="0" t="s">
        <v>1035</v>
      </c>
      <c r="B5109" s="0" t="s">
        <v>98</v>
      </c>
      <c r="D5109" s="6" t="n">
        <f aca="false">Q!L9</f>
        <v>18.417</v>
      </c>
      <c r="E5109" s="6" t="n">
        <f aca="false">Q!M9</f>
        <v>20.345</v>
      </c>
      <c r="F5109" s="6" t="n">
        <f aca="false">Q!$I$9+(Q!M9-Q!$E$9)*(1+Sens!F5110)</f>
        <v>22.3161797133988</v>
      </c>
      <c r="G5109" s="6" t="n">
        <f aca="false">Sens!F5109*(1+Sens!G5110)</f>
        <v>24.3943499673233</v>
      </c>
      <c r="H5109" s="6" t="n">
        <f aca="false">Sens!G5109*(1+Sens!H5110)</f>
        <v>26.5250243109019</v>
      </c>
      <c r="I5109" s="6" t="n">
        <f aca="false">Sens!H5109*(1+Sens!I5110)</f>
        <v>28.6884573538181</v>
      </c>
      <c r="J5109" s="6" t="n">
        <f aca="false">Sens!I5109*(1+Sens!J5110)</f>
        <v>30.8624968052127</v>
      </c>
      <c r="K5109" s="6" t="n">
        <f aca="false">Sens!J5109*(1+Sens!K5110)</f>
        <v>33.0228715815776</v>
      </c>
      <c r="L5109" s="12" t="s">
        <v>1034</v>
      </c>
    </row>
    <row r="5110" customFormat="false" ht="15" hidden="false" customHeight="false" outlineLevel="0" collapsed="false">
      <c r="A5110" s="1" t="s">
        <v>1024</v>
      </c>
      <c r="B5110" s="0" t="s">
        <v>168</v>
      </c>
      <c r="E5110" s="7" t="n">
        <f aca="false">Sens!E5109/Sens!D5109-1</f>
        <v>0.104685888038225</v>
      </c>
      <c r="F5110" s="7" t="n">
        <f aca="false">Sens!$E$5110+(glt_ind-Sens!$E$5110)*MIN(1,(Sens!F5057-base_fy)/n_conv)</f>
        <v>0.0989049066985211</v>
      </c>
      <c r="G5110" s="7" t="n">
        <f aca="false">Sens!$E$5110+(glt_ind-Sens!$E$5110)*MIN(1,(Sens!G5057-base_fy)/n_conv)</f>
        <v>0.0931239253588169</v>
      </c>
      <c r="H5110" s="7" t="n">
        <f aca="false">Sens!$E$5110+(glt_ind-Sens!$E$5110)*MIN(1,(Sens!H5057-base_fy)/n_conv)</f>
        <v>0.0873429440191127</v>
      </c>
      <c r="I5110" s="7" t="n">
        <f aca="false">Sens!$E$5110+(glt_ind-Sens!$E$5110)*MIN(1,(Sens!I5057-base_fy)/n_conv)</f>
        <v>0.0815619626794085</v>
      </c>
      <c r="J5110" s="7" t="n">
        <f aca="false">Sens!$E$5110+(glt_ind-Sens!$E$5110)*MIN(1,(Sens!J5057-base_fy)/n_conv)</f>
        <v>0.0757809813397042</v>
      </c>
      <c r="K5110" s="7" t="n">
        <f aca="false">Sens!$E$5110+(glt_ind-Sens!$E$5110)*MIN(1,(Sens!K5057-base_fy)/n_conv)</f>
        <v>0.07</v>
      </c>
    </row>
    <row r="5111" customFormat="false" ht="17.15" hidden="false" customHeight="false" outlineLevel="0" collapsed="false">
      <c r="A5111" s="0" t="s">
        <v>1036</v>
      </c>
      <c r="B5111" s="0" t="s">
        <v>98</v>
      </c>
      <c r="D5111" s="6" t="n">
        <f aca="false">Q!L10</f>
        <v>7.76</v>
      </c>
      <c r="E5111" s="6" t="n">
        <f aca="false">Q!M10</f>
        <v>8.26</v>
      </c>
      <c r="F5111" s="6" t="n">
        <f aca="false">Q!$I$10+(Q!M10-Q!$E$10)*(1+Sens!F5112)</f>
        <v>8.75372082474227</v>
      </c>
      <c r="G5111" s="6" t="n">
        <f aca="false">Sens!F5111*(1+Sens!G5112)</f>
        <v>9.33399324642364</v>
      </c>
      <c r="H5111" s="6" t="n">
        <f aca="false">Sens!G5111*(1+Sens!H5112)</f>
        <v>9.96139155535851</v>
      </c>
      <c r="I5111" s="6" t="n">
        <f aca="false">Sens!H5111*(1+Sens!I5112)</f>
        <v>10.6402039077391</v>
      </c>
      <c r="J5111" s="6" t="n">
        <f aca="false">Sens!I5111*(1+Sens!J5112)</f>
        <v>11.3751458271397</v>
      </c>
      <c r="K5111" s="6" t="n">
        <f aca="false">Sens!J5111*(1+Sens!K5112)</f>
        <v>12.1714060350394</v>
      </c>
      <c r="L5111" s="12" t="s">
        <v>1034</v>
      </c>
    </row>
    <row r="5112" customFormat="false" ht="15" hidden="false" customHeight="false" outlineLevel="0" collapsed="false">
      <c r="A5112" s="1" t="s">
        <v>1024</v>
      </c>
      <c r="B5112" s="0" t="s">
        <v>168</v>
      </c>
      <c r="E5112" s="7" t="n">
        <f aca="false">Sens!E5111/Sens!D5111-1</f>
        <v>0.0644329896907216</v>
      </c>
      <c r="F5112" s="7" t="n">
        <f aca="false">Sens!$E$5112+(glt_fro-Sens!$E$5112)*MIN(1,(Sens!F5057-base_fy)/n_conv)</f>
        <v>0.065360824742268</v>
      </c>
      <c r="G5112" s="7" t="n">
        <f aca="false">Sens!$E$5112+(glt_fro-Sens!$E$5112)*MIN(1,(Sens!G5057-base_fy)/n_conv)</f>
        <v>0.0662886597938144</v>
      </c>
      <c r="H5112" s="7" t="n">
        <f aca="false">Sens!$E$5112+(glt_fro-Sens!$E$5112)*MIN(1,(Sens!H5057-base_fy)/n_conv)</f>
        <v>0.0672164948453608</v>
      </c>
      <c r="I5112" s="7" t="n">
        <f aca="false">Sens!$E$5112+(glt_fro-Sens!$E$5112)*MIN(1,(Sens!I5057-base_fy)/n_conv)</f>
        <v>0.0681443298969072</v>
      </c>
      <c r="J5112" s="7" t="n">
        <f aca="false">Sens!$E$5112+(glt_fro-Sens!$E$5112)*MIN(1,(Sens!J5057-base_fy)/n_conv)</f>
        <v>0.0690721649484536</v>
      </c>
      <c r="K5112" s="7" t="n">
        <f aca="false">Sens!$E$5112+(glt_fro-Sens!$E$5112)*MIN(1,(Sens!K5057-base_fy)/n_conv)</f>
        <v>0.07</v>
      </c>
    </row>
    <row r="5113" customFormat="false" ht="15" hidden="false" customHeight="false" outlineLevel="0" collapsed="false">
      <c r="A5113" s="0" t="s">
        <v>852</v>
      </c>
      <c r="B5113" s="0" t="s">
        <v>98</v>
      </c>
      <c r="D5113" s="6" t="n">
        <f aca="false">Sens!D5101+Sens!D5106+Sens!D5107+Sens!D5109+Sens!D5111</f>
        <v>218.783</v>
      </c>
      <c r="E5113" s="6" t="n">
        <f aca="false">Sens!E5101+Sens!E5106+Sens!E5107+Sens!E5109+Sens!E5111</f>
        <v>268.127</v>
      </c>
      <c r="F5113" s="6" t="n">
        <f aca="false">Sens!F5101+Sens!F5106+Sens!F5107+Sens!F5109+Sens!F5111</f>
        <v>334.748096014336</v>
      </c>
      <c r="G5113" s="6" t="n">
        <f aca="false">Sens!G5101+Sens!G5106+Sens!G5107+Sens!G5109+Sens!G5111</f>
        <v>410.20243494969</v>
      </c>
      <c r="H5113" s="6" t="n">
        <f aca="false">Sens!H5101+Sens!H5106+Sens!H5107+Sens!H5109+Sens!H5111</f>
        <v>487.012857962939</v>
      </c>
      <c r="I5113" s="6" t="n">
        <f aca="false">Sens!I5101+Sens!I5106+Sens!I5107+Sens!I5109+Sens!I5111</f>
        <v>555.922966929834</v>
      </c>
      <c r="J5113" s="6" t="n">
        <f aca="false">Sens!J5101+Sens!J5106+Sens!J5107+Sens!J5109+Sens!J5111</f>
        <v>611.777530808814</v>
      </c>
      <c r="K5113" s="6" t="n">
        <f aca="false">Sens!K5101+Sens!K5106+Sens!K5107+Sens!K5109+Sens!K5111</f>
        <v>654.523546885522</v>
      </c>
    </row>
    <row r="5114" customFormat="false" ht="17.15" hidden="false" customHeight="false" outlineLevel="0" collapsed="false">
      <c r="A5114" s="0" t="s">
        <v>1037</v>
      </c>
      <c r="B5114" s="0" t="s">
        <v>98</v>
      </c>
      <c r="D5114" s="6" t="n">
        <f aca="false">Q!L13</f>
        <v>22.171</v>
      </c>
      <c r="E5114" s="6" t="n">
        <f aca="false">Q!M13</f>
        <v>24.835</v>
      </c>
      <c r="F5114" s="6" t="n">
        <f aca="false">Q!$I$13+(Q!M13-Q!$E$13)*(1+Sens!F5115)</f>
        <v>27.5591895660247</v>
      </c>
      <c r="G5114" s="6" t="n">
        <f aca="false">Sens!F5114*(1+Sens!G5115)</f>
        <v>30.4098563144583</v>
      </c>
      <c r="H5114" s="6" t="n">
        <f aca="false">Sens!G5114*(1+Sens!H5115)</f>
        <v>33.3011792571777</v>
      </c>
      <c r="I5114" s="6" t="n">
        <f aca="false">Sens!H5114*(1+Sens!I5115)</f>
        <v>36.189023797112</v>
      </c>
      <c r="J5114" s="6" t="n">
        <f aca="false">Sens!I5114*(1+Sens!J5115)</f>
        <v>39.0247773769199</v>
      </c>
      <c r="K5114" s="6" t="n">
        <f aca="false">Sens!J5114*(1+Sens!K5115)</f>
        <v>41.7565117933043</v>
      </c>
      <c r="L5114" s="12" t="s">
        <v>1034</v>
      </c>
    </row>
    <row r="5115" customFormat="false" ht="15" hidden="false" customHeight="false" outlineLevel="0" collapsed="false">
      <c r="A5115" s="1" t="s">
        <v>1024</v>
      </c>
      <c r="B5115" s="0" t="s">
        <v>168</v>
      </c>
      <c r="E5115" s="7" t="n">
        <f aca="false">Sens!E5114/Sens!D5114-1</f>
        <v>0.120156961796942</v>
      </c>
      <c r="F5115" s="7" t="n">
        <f aca="false">Sens!$E$5115+(glt_srch-Sens!$E$5115)*MIN(1,(Sens!F5057-base_fy)/n_conv)</f>
        <v>0.111797468164118</v>
      </c>
      <c r="G5115" s="7" t="n">
        <f aca="false">Sens!$E$5115+(glt_srch-Sens!$E$5115)*MIN(1,(Sens!G5057-base_fy)/n_conv)</f>
        <v>0.103437974531295</v>
      </c>
      <c r="H5115" s="7" t="n">
        <f aca="false">Sens!$E$5115+(glt_srch-Sens!$E$5115)*MIN(1,(Sens!H5057-base_fy)/n_conv)</f>
        <v>0.095078480898471</v>
      </c>
      <c r="I5115" s="7" t="n">
        <f aca="false">Sens!$E$5115+(glt_srch-Sens!$E$5115)*MIN(1,(Sens!I5057-base_fy)/n_conv)</f>
        <v>0.0867189872656474</v>
      </c>
      <c r="J5115" s="7" t="n">
        <f aca="false">Sens!$E$5115+(glt_srch-Sens!$E$5115)*MIN(1,(Sens!J5057-base_fy)/n_conv)</f>
        <v>0.0783594936328237</v>
      </c>
      <c r="K5115" s="7" t="n">
        <f aca="false">Sens!$E$5115+(glt_srch-Sens!$E$5115)*MIN(1,(Sens!K5057-base_fy)/n_conv)</f>
        <v>0.07</v>
      </c>
    </row>
    <row r="5116" customFormat="false" ht="17.15" hidden="false" customHeight="false" outlineLevel="0" collapsed="false">
      <c r="A5116" s="0" t="s">
        <v>1038</v>
      </c>
      <c r="B5116" s="0" t="s">
        <v>98</v>
      </c>
      <c r="D5116" s="6" t="n">
        <f aca="false">Q!L14</f>
        <v>23.455</v>
      </c>
      <c r="E5116" s="6" t="n">
        <f aca="false">Q!M14</f>
        <v>21.79</v>
      </c>
      <c r="F5116" s="6" t="n">
        <f aca="false">Q!$I$14+(Q!M14-Q!$E$14)*(1+Sens!F5117)</f>
        <v>20.7520981041711</v>
      </c>
      <c r="G5116" s="6" t="n">
        <f aca="false">Sens!F5116*(1+Sens!G5117)</f>
        <v>19.9083593495882</v>
      </c>
      <c r="H5116" s="6" t="n">
        <f aca="false">Sens!G5116*(1+Sens!H5117)</f>
        <v>19.4008256265831</v>
      </c>
      <c r="I5116" s="6" t="n">
        <f aca="false">Sens!H5116*(1+Sens!I5117)</f>
        <v>19.200434522122</v>
      </c>
      <c r="J5116" s="6" t="n">
        <f aca="false">Sens!I5116*(1+Sens!J5117)</f>
        <v>19.2932782348507</v>
      </c>
      <c r="K5116" s="6" t="n">
        <f aca="false">Sens!J5116*(1+Sens!K5117)</f>
        <v>19.6791437995477</v>
      </c>
      <c r="L5116" s="12" t="s">
        <v>1034</v>
      </c>
    </row>
    <row r="5117" customFormat="false" ht="15" hidden="false" customHeight="false" outlineLevel="0" collapsed="false">
      <c r="A5117" s="1" t="s">
        <v>1024</v>
      </c>
      <c r="B5117" s="0" t="s">
        <v>168</v>
      </c>
      <c r="E5117" s="7" t="n">
        <f aca="false">Sens!E5116/Sens!D5116-1</f>
        <v>-0.0709869963760392</v>
      </c>
      <c r="F5117" s="7" t="n">
        <f aca="false">Sens!$E$5117+(glt_xbox-Sens!$E$5117)*MIN(1,(Sens!F5057-base_fy)/n_conv)</f>
        <v>-0.0558224969800327</v>
      </c>
      <c r="G5117" s="7" t="n">
        <f aca="false">Sens!$E$5117+(glt_xbox-Sens!$E$5117)*MIN(1,(Sens!G5057-base_fy)/n_conv)</f>
        <v>-0.0406579975840262</v>
      </c>
      <c r="H5117" s="7" t="n">
        <f aca="false">Sens!$E$5117+(glt_xbox-Sens!$E$5117)*MIN(1,(Sens!H5057-base_fy)/n_conv)</f>
        <v>-0.0254934981880196</v>
      </c>
      <c r="I5117" s="7" t="n">
        <f aca="false">Sens!$E$5117+(glt_xbox-Sens!$E$5117)*MIN(1,(Sens!I5057-base_fy)/n_conv)</f>
        <v>-0.0103289987920131</v>
      </c>
      <c r="J5117" s="7" t="n">
        <f aca="false">Sens!$E$5117+(glt_xbox-Sens!$E$5117)*MIN(1,(Sens!J5057-base_fy)/n_conv)</f>
        <v>0.00483550060399347</v>
      </c>
      <c r="K5117" s="7" t="n">
        <f aca="false">Sens!$E$5117+(glt_xbox-Sens!$E$5117)*MIN(1,(Sens!K5057-base_fy)/n_conv)</f>
        <v>0.02</v>
      </c>
    </row>
    <row r="5118" customFormat="false" ht="17.15" hidden="false" customHeight="false" outlineLevel="0" collapsed="false">
      <c r="A5118" s="0" t="s">
        <v>1039</v>
      </c>
      <c r="B5118" s="0" t="s">
        <v>98</v>
      </c>
      <c r="D5118" s="6" t="n">
        <f aca="false">Q!L15</f>
        <v>17.315</v>
      </c>
      <c r="E5118" s="6" t="n">
        <f aca="false">Q!M15</f>
        <v>17.087</v>
      </c>
      <c r="F5118" s="6" t="n">
        <f aca="false">Q!$I$15+(Q!M15-Q!$E$15)*(1+Sens!F5119)</f>
        <v>15.9912273250553</v>
      </c>
      <c r="G5118" s="6" t="n">
        <f aca="false">Sens!F5118*(1+Sens!G5119)</f>
        <v>15.9574562664827</v>
      </c>
      <c r="H5118" s="6" t="n">
        <f aca="false">Sens!G5118*(1+Sens!H5119)</f>
        <v>16.0119687434196</v>
      </c>
      <c r="I5118" s="6" t="n">
        <f aca="false">Sens!H5118*(1+Sens!I5119)</f>
        <v>16.1551810001948</v>
      </c>
      <c r="J5118" s="6" t="n">
        <f aca="false">Sens!I5118*(1+Sens!J5119)</f>
        <v>16.3889793892005</v>
      </c>
      <c r="K5118" s="6" t="n">
        <f aca="false">Sens!J5118*(1+Sens!K5119)</f>
        <v>16.7167589769845</v>
      </c>
      <c r="L5118" s="12" t="s">
        <v>1034</v>
      </c>
    </row>
    <row r="5119" customFormat="false" ht="15" hidden="false" customHeight="false" outlineLevel="0" collapsed="false">
      <c r="A5119" s="1" t="s">
        <v>1024</v>
      </c>
      <c r="B5119" s="0" t="s">
        <v>168</v>
      </c>
      <c r="E5119" s="7" t="n">
        <f aca="false">Sens!E5118/Sens!D5118-1</f>
        <v>-0.0131677736066995</v>
      </c>
      <c r="F5119" s="7" t="n">
        <f aca="false">Sens!$E$5119+(glt_win-Sens!$E$5119)*MIN(1,(Sens!F5057-base_fy)/n_conv)</f>
        <v>-0.00763981133891627</v>
      </c>
      <c r="G5119" s="7" t="n">
        <f aca="false">Sens!$E$5119+(glt_win-Sens!$E$5119)*MIN(1,(Sens!G5057-base_fy)/n_conv)</f>
        <v>-0.00211184907113301</v>
      </c>
      <c r="H5119" s="7" t="n">
        <f aca="false">Sens!$E$5119+(glt_win-Sens!$E$5119)*MIN(1,(Sens!H5057-base_fy)/n_conv)</f>
        <v>0.00341611319665024</v>
      </c>
      <c r="I5119" s="7" t="n">
        <f aca="false">Sens!$E$5119+(glt_win-Sens!$E$5119)*MIN(1,(Sens!I5057-base_fy)/n_conv)</f>
        <v>0.00894407546443349</v>
      </c>
      <c r="J5119" s="7" t="n">
        <f aca="false">Sens!$E$5119+(glt_win-Sens!$E$5119)*MIN(1,(Sens!J5057-base_fy)/n_conv)</f>
        <v>0.0144720377322168</v>
      </c>
      <c r="K5119" s="7" t="n">
        <f aca="false">Sens!$E$5119+(glt_win-Sens!$E$5119)*MIN(1,(Sens!K5057-base_fy)/n_conv)</f>
        <v>0.02</v>
      </c>
    </row>
    <row r="5120" customFormat="false" ht="15" hidden="false" customHeight="false" outlineLevel="0" collapsed="false">
      <c r="A5120" s="0" t="s">
        <v>866</v>
      </c>
      <c r="B5120" s="0" t="s">
        <v>98</v>
      </c>
      <c r="D5120" s="6" t="n">
        <f aca="false">Sens!D5114+Sens!D5116+Sens!D5118</f>
        <v>62.941</v>
      </c>
      <c r="E5120" s="6" t="n">
        <f aca="false">Sens!E5114+Sens!E5116+Sens!E5118</f>
        <v>63.712</v>
      </c>
      <c r="F5120" s="6" t="n">
        <f aca="false">Sens!F5114+Sens!F5116+Sens!F5118</f>
        <v>64.3025149952511</v>
      </c>
      <c r="G5120" s="6" t="n">
        <f aca="false">Sens!G5114+Sens!G5116+Sens!G5118</f>
        <v>66.2756719305292</v>
      </c>
      <c r="H5120" s="6" t="n">
        <f aca="false">Sens!H5114+Sens!H5116+Sens!H5118</f>
        <v>68.7139736271804</v>
      </c>
      <c r="I5120" s="6" t="n">
        <f aca="false">Sens!I5114+Sens!I5116+Sens!I5118</f>
        <v>71.5446393194289</v>
      </c>
      <c r="J5120" s="6" t="n">
        <f aca="false">Sens!J5114+Sens!J5116+Sens!J5118</f>
        <v>74.707035000971</v>
      </c>
      <c r="K5120" s="6" t="n">
        <f aca="false">Sens!K5114+Sens!K5116+Sens!K5118</f>
        <v>78.1524145698365</v>
      </c>
    </row>
    <row r="5121" customFormat="false" ht="15" hidden="false" customHeight="false" outlineLevel="0" collapsed="false">
      <c r="A5121" s="1" t="s">
        <v>1040</v>
      </c>
      <c r="B5121" s="0" t="s">
        <v>98</v>
      </c>
      <c r="D5121" s="6" t="n">
        <f aca="false">Sens!D5113+Sens!D5120</f>
        <v>281.724</v>
      </c>
      <c r="E5121" s="6" t="n">
        <f aca="false">Sens!E5113+Sens!E5120</f>
        <v>331.839</v>
      </c>
      <c r="F5121" s="6" t="n">
        <f aca="false">Sens!F5113+Sens!F5120</f>
        <v>399.050611009588</v>
      </c>
      <c r="G5121" s="6" t="n">
        <f aca="false">Sens!G5113+Sens!G5120</f>
        <v>476.478106880219</v>
      </c>
      <c r="H5121" s="6" t="n">
        <f aca="false">Sens!H5113+Sens!H5120</f>
        <v>555.72683159012</v>
      </c>
      <c r="I5121" s="6" t="n">
        <f aca="false">Sens!I5113+Sens!I5120</f>
        <v>627.467606249263</v>
      </c>
      <c r="J5121" s="6" t="n">
        <f aca="false">Sens!J5113+Sens!J5120</f>
        <v>686.484565809785</v>
      </c>
      <c r="K5121" s="6" t="n">
        <f aca="false">Sens!K5113+Sens!K5120</f>
        <v>732.675961455358</v>
      </c>
    </row>
    <row r="5122" customFormat="false" ht="15" hidden="false" customHeight="false" outlineLevel="0" collapsed="false">
      <c r="A5122" s="26" t="s">
        <v>1041</v>
      </c>
      <c r="B5122" s="31" t="s">
        <v>98</v>
      </c>
      <c r="C5122" s="31"/>
      <c r="D5122" s="27" t="n">
        <f aca="false">(Sens!D5101+Sens!D5106+Sens!D5107+Sens!D5109+Sens!D5111-Sens!D5113)+(Sens!D5114+Sens!D5116+Sens!D5118-Sens!D5120)+(Sens!D5113-Q!L5)+(Sens!D5120-Q!L12)+(Sens!D5101-Q!L6)+(Sens!D5106-Q!L7)</f>
        <v>0</v>
      </c>
      <c r="E5122" s="27" t="n">
        <f aca="false">(Sens!E5101+Sens!E5106+Sens!E5107+Sens!E5109+Sens!E5111-Sens!E5113)+(Sens!E5114+Sens!E5116+Sens!E5118-Sens!E5120)+(Sens!E5113-Q!M5)+(Sens!E5120-Q!M12)+(Sens!E5101-Q!M6)+(Sens!E5106-Q!M7)</f>
        <v>0</v>
      </c>
      <c r="F5122" s="27" t="n">
        <f aca="false">(Sens!F5101+Sens!F5106+Sens!F5107+Sens!F5109+Sens!F5111-Sens!F5113)+(Sens!F5114+Sens!F5116+Sens!F5118-Sens!F5120)</f>
        <v>0</v>
      </c>
      <c r="G5122" s="27" t="n">
        <f aca="false">(Sens!G5101+Sens!G5106+Sens!G5107+Sens!G5109+Sens!G5111-Sens!G5113)+(Sens!G5114+Sens!G5116+Sens!G5118-Sens!G5120)</f>
        <v>0</v>
      </c>
      <c r="H5122" s="27" t="n">
        <f aca="false">(Sens!H5101+Sens!H5106+Sens!H5107+Sens!H5109+Sens!H5111-Sens!H5113)+(Sens!H5114+Sens!H5116+Sens!H5118-Sens!H5120)</f>
        <v>0</v>
      </c>
      <c r="I5122" s="27" t="n">
        <f aca="false">(Sens!I5101+Sens!I5106+Sens!I5107+Sens!I5109+Sens!I5111-Sens!I5113)+(Sens!I5114+Sens!I5116+Sens!I5118-Sens!I5120)</f>
        <v>0</v>
      </c>
      <c r="J5122" s="27" t="n">
        <f aca="false">(Sens!J5101+Sens!J5106+Sens!J5107+Sens!J5109+Sens!J5111-Sens!J5113)+(Sens!J5114+Sens!J5116+Sens!J5118-Sens!J5120)</f>
        <v>0</v>
      </c>
      <c r="K5122" s="27" t="n">
        <f aca="false">(Sens!K5101+Sens!K5106+Sens!K5107+Sens!K5109+Sens!K5111-Sens!K5113)+(Sens!K5114+Sens!K5116+Sens!K5118-Sens!K5120)</f>
        <v>0</v>
      </c>
    </row>
    <row r="5123" customFormat="false" ht="17.15" hidden="false" customHeight="false" outlineLevel="0" collapsed="false">
      <c r="A5123" s="3" t="s">
        <v>1607</v>
      </c>
    </row>
    <row r="5124" customFormat="false" ht="15" hidden="false" customHeight="false" outlineLevel="0" collapsed="false">
      <c r="A5124" s="4" t="s">
        <v>43</v>
      </c>
      <c r="B5124" s="4" t="s">
        <v>65</v>
      </c>
      <c r="C5124" s="23" t="s">
        <v>938</v>
      </c>
      <c r="D5124" s="23" t="s">
        <v>939</v>
      </c>
      <c r="E5124" s="23" t="s">
        <v>940</v>
      </c>
      <c r="F5124" s="23" t="s">
        <v>941</v>
      </c>
      <c r="G5124" s="23" t="s">
        <v>942</v>
      </c>
      <c r="H5124" s="23" t="s">
        <v>943</v>
      </c>
      <c r="I5124" s="23" t="s">
        <v>944</v>
      </c>
      <c r="J5124" s="23" t="s">
        <v>945</v>
      </c>
      <c r="K5124" s="23" t="s">
        <v>946</v>
      </c>
      <c r="L5124" s="4" t="s">
        <v>47</v>
      </c>
    </row>
    <row r="5125" customFormat="false" ht="15" hidden="false" customHeight="false" outlineLevel="0" collapsed="false">
      <c r="A5125" s="0" t="s">
        <v>1025</v>
      </c>
      <c r="B5125" s="0" t="s">
        <v>98</v>
      </c>
      <c r="D5125" s="6" t="n">
        <f aca="false">Sens!D5101</f>
        <v>72.61</v>
      </c>
      <c r="E5125" s="6" t="n">
        <f aca="false">Sens!E5101</f>
        <v>101.938</v>
      </c>
      <c r="F5125" s="6" t="n">
        <f aca="false">Sens!F5101</f>
        <v>146.709048000181</v>
      </c>
      <c r="G5125" s="6" t="n">
        <f aca="false">Sens!G5101</f>
        <v>199.762829861393</v>
      </c>
      <c r="H5125" s="6" t="n">
        <f aca="false">Sens!H5101</f>
        <v>254.146566109645</v>
      </c>
      <c r="I5125" s="6" t="n">
        <f aca="false">Sens!I5101</f>
        <v>302.399484915987</v>
      </c>
      <c r="J5125" s="6" t="n">
        <f aca="false">Sens!J5101</f>
        <v>339.685428251429</v>
      </c>
      <c r="K5125" s="6" t="n">
        <f aca="false">Sens!K5101</f>
        <v>364.783434014444</v>
      </c>
    </row>
    <row r="5126" customFormat="false" ht="17.15" hidden="false" customHeight="false" outlineLevel="0" collapsed="false">
      <c r="A5126" s="0" t="s">
        <v>1021</v>
      </c>
      <c r="B5126" s="0" t="s">
        <v>98</v>
      </c>
      <c r="D5126" s="6" t="n">
        <f aca="false">Sens!D5098</f>
        <v>12.9359794422418</v>
      </c>
      <c r="E5126" s="6" t="n">
        <f aca="false">Sens!E5098</f>
        <v>27.8095064661409</v>
      </c>
      <c r="F5126" s="6" t="n">
        <f aca="false">Sens!F5098</f>
        <v>55.4118315060966</v>
      </c>
      <c r="G5126" s="6" t="n">
        <f aca="false">Sens!G5098</f>
        <v>91.2881100675143</v>
      </c>
      <c r="H5126" s="6" t="n">
        <f aca="false">Sens!H5098</f>
        <v>128.195273603944</v>
      </c>
      <c r="I5126" s="6" t="n">
        <f aca="false">Sens!I5098</f>
        <v>159.561319761775</v>
      </c>
      <c r="J5126" s="6" t="n">
        <f aca="false">Sens!J5098</f>
        <v>181.558249585279</v>
      </c>
      <c r="K5126" s="6" t="n">
        <f aca="false">Sens!K5098</f>
        <v>194.006081055002</v>
      </c>
    </row>
    <row r="5127" customFormat="false" ht="17.15" hidden="false" customHeight="false" outlineLevel="0" collapsed="false">
      <c r="A5127" s="0" t="s">
        <v>1052</v>
      </c>
      <c r="B5127" s="0" t="s">
        <v>98</v>
      </c>
      <c r="D5127" s="6" t="n">
        <f aca="false">Sens!D5099</f>
        <v>59.6740205577583</v>
      </c>
      <c r="E5127" s="6" t="n">
        <f aca="false">Sens!E5099</f>
        <v>74.1284935338591</v>
      </c>
      <c r="F5127" s="6" t="n">
        <f aca="false">Sens!F5099</f>
        <v>91.2972164940844</v>
      </c>
      <c r="G5127" s="6" t="n">
        <f aca="false">Sens!G5099</f>
        <v>108.474719793879</v>
      </c>
      <c r="H5127" s="6" t="n">
        <f aca="false">Sens!H5099</f>
        <v>125.951292505701</v>
      </c>
      <c r="I5127" s="6" t="n">
        <f aca="false">Sens!I5099</f>
        <v>142.838165154212</v>
      </c>
      <c r="J5127" s="6" t="n">
        <f aca="false">Sens!J5099</f>
        <v>158.12717866615</v>
      </c>
      <c r="K5127" s="6" t="n">
        <f aca="false">Sens!K5099</f>
        <v>170.777352959442</v>
      </c>
    </row>
    <row r="5128" customFormat="false" ht="15" hidden="false" customHeight="false" outlineLevel="0" collapsed="false">
      <c r="A5128" s="0" t="s">
        <v>1032</v>
      </c>
      <c r="B5128" s="0" t="s">
        <v>98</v>
      </c>
      <c r="D5128" s="6" t="n">
        <f aca="false">Sens!D5106</f>
        <v>84.605</v>
      </c>
      <c r="E5128" s="6" t="n">
        <f aca="false">Sens!E5106</f>
        <v>100.299</v>
      </c>
      <c r="F5128" s="6" t="n">
        <f aca="false">Sens!F5106</f>
        <v>118.584003697747</v>
      </c>
      <c r="G5128" s="6" t="n">
        <f aca="false">Sens!G5106</f>
        <v>136.700726545688</v>
      </c>
      <c r="H5128" s="6" t="n">
        <f aca="false">Sens!H5106</f>
        <v>154.898624783666</v>
      </c>
      <c r="I5128" s="6" t="n">
        <f aca="false">Sens!I5106</f>
        <v>171.420510030657</v>
      </c>
      <c r="J5128" s="6" t="n">
        <f aca="false">Sens!J5106</f>
        <v>185.985722618572</v>
      </c>
      <c r="K5128" s="6" t="n">
        <f aca="false">Sens!K5106</f>
        <v>199.799723201872</v>
      </c>
    </row>
    <row r="5129" customFormat="false" ht="17.15" hidden="false" customHeight="false" outlineLevel="0" collapsed="false">
      <c r="A5129" s="0" t="s">
        <v>1053</v>
      </c>
      <c r="B5129" s="0" t="s">
        <v>98</v>
      </c>
      <c r="D5129" s="6" t="n">
        <f aca="false">Sens!D5104</f>
        <v>83.705</v>
      </c>
      <c r="E5129" s="6" t="n">
        <f aca="false">Sens!E5104</f>
        <v>95.049</v>
      </c>
      <c r="F5129" s="6" t="n">
        <f aca="false">Sens!F5104</f>
        <v>106.584003697747</v>
      </c>
      <c r="G5129" s="6" t="n">
        <f aca="false">Sens!G5104</f>
        <v>118.700726545688</v>
      </c>
      <c r="H5129" s="6" t="n">
        <f aca="false">Sens!H5104</f>
        <v>130.898624783666</v>
      </c>
      <c r="I5129" s="6" t="n">
        <f aca="false">Sens!I5104</f>
        <v>142.920510030657</v>
      </c>
      <c r="J5129" s="6" t="n">
        <f aca="false">Sens!J5104</f>
        <v>154.485722618572</v>
      </c>
      <c r="K5129" s="6" t="n">
        <f aca="false">Sens!K5104</f>
        <v>165.299723201872</v>
      </c>
    </row>
    <row r="5130" customFormat="false" ht="17.15" hidden="false" customHeight="false" outlineLevel="0" collapsed="false">
      <c r="A5130" s="0" t="s">
        <v>1054</v>
      </c>
      <c r="B5130" s="0" t="s">
        <v>98</v>
      </c>
      <c r="D5130" s="6" t="n">
        <f aca="false">Sens!D5103</f>
        <v>0.9</v>
      </c>
      <c r="E5130" s="6" t="n">
        <f aca="false">Sens!E5103</f>
        <v>5.25</v>
      </c>
      <c r="F5130" s="6" t="n">
        <f aca="false">Sens!F5103</f>
        <v>12</v>
      </c>
      <c r="G5130" s="6" t="n">
        <f aca="false">Sens!G5103</f>
        <v>18</v>
      </c>
      <c r="H5130" s="6" t="n">
        <f aca="false">Sens!H5103</f>
        <v>24</v>
      </c>
      <c r="I5130" s="6" t="n">
        <f aca="false">Sens!I5103</f>
        <v>28.5</v>
      </c>
      <c r="J5130" s="6" t="n">
        <f aca="false">Sens!J5103</f>
        <v>31.5</v>
      </c>
      <c r="K5130" s="6" t="n">
        <f aca="false">Sens!K5103</f>
        <v>34.5</v>
      </c>
    </row>
    <row r="5131" customFormat="false" ht="15" hidden="false" customHeight="false" outlineLevel="0" collapsed="false">
      <c r="A5131" s="0" t="s">
        <v>1033</v>
      </c>
      <c r="B5131" s="0" t="s">
        <v>98</v>
      </c>
      <c r="D5131" s="6" t="n">
        <f aca="false">Sens!D5107</f>
        <v>35.391</v>
      </c>
      <c r="E5131" s="6" t="n">
        <f aca="false">Sens!E5107</f>
        <v>37.285</v>
      </c>
      <c r="F5131" s="6" t="n">
        <f aca="false">Sens!F5107</f>
        <v>38.3851437782675</v>
      </c>
      <c r="G5131" s="6" t="n">
        <f aca="false">Sens!G5107</f>
        <v>40.0105353288615</v>
      </c>
      <c r="H5131" s="6" t="n">
        <f aca="false">Sens!H5107</f>
        <v>41.4812512033683</v>
      </c>
      <c r="I5131" s="6" t="n">
        <f aca="false">Sens!I5107</f>
        <v>42.7743107216329</v>
      </c>
      <c r="J5131" s="6" t="n">
        <f aca="false">Sens!J5107</f>
        <v>43.8687373064601</v>
      </c>
      <c r="K5131" s="6" t="n">
        <f aca="false">Sens!K5107</f>
        <v>44.7461120525893</v>
      </c>
    </row>
    <row r="5132" customFormat="false" ht="15" hidden="false" customHeight="false" outlineLevel="0" collapsed="false">
      <c r="A5132" s="0" t="s">
        <v>1035</v>
      </c>
      <c r="B5132" s="0" t="s">
        <v>98</v>
      </c>
      <c r="D5132" s="6" t="n">
        <f aca="false">Sens!D5109</f>
        <v>18.417</v>
      </c>
      <c r="E5132" s="6" t="n">
        <f aca="false">Sens!E5109</f>
        <v>20.345</v>
      </c>
      <c r="F5132" s="6" t="n">
        <f aca="false">Sens!F5109</f>
        <v>22.3161797133988</v>
      </c>
      <c r="G5132" s="6" t="n">
        <f aca="false">Sens!G5109</f>
        <v>24.3943499673233</v>
      </c>
      <c r="H5132" s="6" t="n">
        <f aca="false">Sens!H5109</f>
        <v>26.5250243109019</v>
      </c>
      <c r="I5132" s="6" t="n">
        <f aca="false">Sens!I5109</f>
        <v>28.6884573538181</v>
      </c>
      <c r="J5132" s="6" t="n">
        <f aca="false">Sens!J5109</f>
        <v>30.8624968052127</v>
      </c>
      <c r="K5132" s="6" t="n">
        <f aca="false">Sens!K5109</f>
        <v>33.0228715815776</v>
      </c>
    </row>
    <row r="5133" customFormat="false" ht="15" hidden="false" customHeight="false" outlineLevel="0" collapsed="false">
      <c r="A5133" s="0" t="s">
        <v>1036</v>
      </c>
      <c r="B5133" s="0" t="s">
        <v>98</v>
      </c>
      <c r="D5133" s="6" t="n">
        <f aca="false">Sens!D5111</f>
        <v>7.76</v>
      </c>
      <c r="E5133" s="6" t="n">
        <f aca="false">Sens!E5111</f>
        <v>8.26</v>
      </c>
      <c r="F5133" s="6" t="n">
        <f aca="false">Sens!F5111</f>
        <v>8.75372082474227</v>
      </c>
      <c r="G5133" s="6" t="n">
        <f aca="false">Sens!G5111</f>
        <v>9.33399324642364</v>
      </c>
      <c r="H5133" s="6" t="n">
        <f aca="false">Sens!H5111</f>
        <v>9.96139155535851</v>
      </c>
      <c r="I5133" s="6" t="n">
        <f aca="false">Sens!I5111</f>
        <v>10.6402039077391</v>
      </c>
      <c r="J5133" s="6" t="n">
        <f aca="false">Sens!J5111</f>
        <v>11.3751458271397</v>
      </c>
      <c r="K5133" s="6" t="n">
        <f aca="false">Sens!K5111</f>
        <v>12.1714060350394</v>
      </c>
    </row>
    <row r="5134" customFormat="false" ht="15" hidden="false" customHeight="false" outlineLevel="0" collapsed="false">
      <c r="A5134" s="0" t="s">
        <v>852</v>
      </c>
      <c r="B5134" s="0" t="s">
        <v>98</v>
      </c>
      <c r="D5134" s="6" t="n">
        <f aca="false">Sens!D5113</f>
        <v>218.783</v>
      </c>
      <c r="E5134" s="6" t="n">
        <f aca="false">Sens!E5113</f>
        <v>268.127</v>
      </c>
      <c r="F5134" s="6" t="n">
        <f aca="false">Sens!F5113</f>
        <v>334.748096014336</v>
      </c>
      <c r="G5134" s="6" t="n">
        <f aca="false">Sens!G5113</f>
        <v>410.20243494969</v>
      </c>
      <c r="H5134" s="6" t="n">
        <f aca="false">Sens!H5113</f>
        <v>487.012857962939</v>
      </c>
      <c r="I5134" s="6" t="n">
        <f aca="false">Sens!I5113</f>
        <v>555.922966929834</v>
      </c>
      <c r="J5134" s="6" t="n">
        <f aca="false">Sens!J5113</f>
        <v>611.777530808814</v>
      </c>
      <c r="K5134" s="6" t="n">
        <f aca="false">Sens!K5113</f>
        <v>654.523546885522</v>
      </c>
    </row>
    <row r="5135" customFormat="false" ht="15" hidden="false" customHeight="false" outlineLevel="0" collapsed="false">
      <c r="A5135" s="0" t="s">
        <v>1037</v>
      </c>
      <c r="B5135" s="0" t="s">
        <v>98</v>
      </c>
      <c r="D5135" s="6" t="n">
        <f aca="false">Sens!D5114</f>
        <v>22.171</v>
      </c>
      <c r="E5135" s="6" t="n">
        <f aca="false">Sens!E5114</f>
        <v>24.835</v>
      </c>
      <c r="F5135" s="6" t="n">
        <f aca="false">Sens!F5114</f>
        <v>27.5591895660247</v>
      </c>
      <c r="G5135" s="6" t="n">
        <f aca="false">Sens!G5114</f>
        <v>30.4098563144583</v>
      </c>
      <c r="H5135" s="6" t="n">
        <f aca="false">Sens!H5114</f>
        <v>33.3011792571777</v>
      </c>
      <c r="I5135" s="6" t="n">
        <f aca="false">Sens!I5114</f>
        <v>36.189023797112</v>
      </c>
      <c r="J5135" s="6" t="n">
        <f aca="false">Sens!J5114</f>
        <v>39.0247773769199</v>
      </c>
      <c r="K5135" s="6" t="n">
        <f aca="false">Sens!K5114</f>
        <v>41.7565117933043</v>
      </c>
    </row>
    <row r="5136" customFormat="false" ht="15" hidden="false" customHeight="false" outlineLevel="0" collapsed="false">
      <c r="A5136" s="0" t="s">
        <v>1038</v>
      </c>
      <c r="B5136" s="0" t="s">
        <v>98</v>
      </c>
      <c r="D5136" s="6" t="n">
        <f aca="false">Sens!D5116</f>
        <v>23.455</v>
      </c>
      <c r="E5136" s="6" t="n">
        <f aca="false">Sens!E5116</f>
        <v>21.79</v>
      </c>
      <c r="F5136" s="6" t="n">
        <f aca="false">Sens!F5116</f>
        <v>20.7520981041711</v>
      </c>
      <c r="G5136" s="6" t="n">
        <f aca="false">Sens!G5116</f>
        <v>19.9083593495882</v>
      </c>
      <c r="H5136" s="6" t="n">
        <f aca="false">Sens!H5116</f>
        <v>19.4008256265831</v>
      </c>
      <c r="I5136" s="6" t="n">
        <f aca="false">Sens!I5116</f>
        <v>19.200434522122</v>
      </c>
      <c r="J5136" s="6" t="n">
        <f aca="false">Sens!J5116</f>
        <v>19.2932782348507</v>
      </c>
      <c r="K5136" s="6" t="n">
        <f aca="false">Sens!K5116</f>
        <v>19.6791437995477</v>
      </c>
    </row>
    <row r="5137" customFormat="false" ht="15" hidden="false" customHeight="false" outlineLevel="0" collapsed="false">
      <c r="A5137" s="0" t="s">
        <v>1039</v>
      </c>
      <c r="B5137" s="0" t="s">
        <v>98</v>
      </c>
      <c r="D5137" s="6" t="n">
        <f aca="false">Sens!D5118</f>
        <v>17.315</v>
      </c>
      <c r="E5137" s="6" t="n">
        <f aca="false">Sens!E5118</f>
        <v>17.087</v>
      </c>
      <c r="F5137" s="6" t="n">
        <f aca="false">Sens!F5118</f>
        <v>15.9912273250553</v>
      </c>
      <c r="G5137" s="6" t="n">
        <f aca="false">Sens!G5118</f>
        <v>15.9574562664827</v>
      </c>
      <c r="H5137" s="6" t="n">
        <f aca="false">Sens!H5118</f>
        <v>16.0119687434196</v>
      </c>
      <c r="I5137" s="6" t="n">
        <f aca="false">Sens!I5118</f>
        <v>16.1551810001948</v>
      </c>
      <c r="J5137" s="6" t="n">
        <f aca="false">Sens!J5118</f>
        <v>16.3889793892005</v>
      </c>
      <c r="K5137" s="6" t="n">
        <f aca="false">Sens!K5118</f>
        <v>16.7167589769845</v>
      </c>
    </row>
    <row r="5138" customFormat="false" ht="15" hidden="false" customHeight="false" outlineLevel="0" collapsed="false">
      <c r="A5138" s="0" t="s">
        <v>866</v>
      </c>
      <c r="B5138" s="0" t="s">
        <v>98</v>
      </c>
      <c r="D5138" s="6" t="n">
        <f aca="false">Sens!D5120</f>
        <v>62.941</v>
      </c>
      <c r="E5138" s="6" t="n">
        <f aca="false">Sens!E5120</f>
        <v>63.712</v>
      </c>
      <c r="F5138" s="6" t="n">
        <f aca="false">Sens!F5120</f>
        <v>64.3025149952511</v>
      </c>
      <c r="G5138" s="6" t="n">
        <f aca="false">Sens!G5120</f>
        <v>66.2756719305292</v>
      </c>
      <c r="H5138" s="6" t="n">
        <f aca="false">Sens!H5120</f>
        <v>68.7139736271804</v>
      </c>
      <c r="I5138" s="6" t="n">
        <f aca="false">Sens!I5120</f>
        <v>71.5446393194289</v>
      </c>
      <c r="J5138" s="6" t="n">
        <f aca="false">Sens!J5120</f>
        <v>74.707035000971</v>
      </c>
      <c r="K5138" s="6" t="n">
        <f aca="false">Sens!K5120</f>
        <v>78.1524145698365</v>
      </c>
    </row>
    <row r="5139" customFormat="false" ht="15" hidden="false" customHeight="false" outlineLevel="0" collapsed="false">
      <c r="A5139" s="1" t="s">
        <v>1055</v>
      </c>
      <c r="B5139" s="0" t="s">
        <v>98</v>
      </c>
      <c r="D5139" s="6" t="n">
        <f aca="false">Sens!D5121</f>
        <v>281.724</v>
      </c>
      <c r="E5139" s="6" t="n">
        <f aca="false">Sens!E5121</f>
        <v>331.839</v>
      </c>
      <c r="F5139" s="6" t="n">
        <f aca="false">Sens!F5121</f>
        <v>399.050611009588</v>
      </c>
      <c r="G5139" s="6" t="n">
        <f aca="false">Sens!G5121</f>
        <v>476.478106880219</v>
      </c>
      <c r="H5139" s="6" t="n">
        <f aca="false">Sens!H5121</f>
        <v>555.72683159012</v>
      </c>
      <c r="I5139" s="6" t="n">
        <f aca="false">Sens!I5121</f>
        <v>627.467606249263</v>
      </c>
      <c r="J5139" s="6" t="n">
        <f aca="false">Sens!J5121</f>
        <v>686.484565809785</v>
      </c>
      <c r="K5139" s="6" t="n">
        <f aca="false">Sens!K5121</f>
        <v>732.675961455358</v>
      </c>
    </row>
    <row r="5140" customFormat="false" ht="15" hidden="false" customHeight="false" outlineLevel="0" collapsed="false">
      <c r="A5140" s="1" t="s">
        <v>1056</v>
      </c>
      <c r="B5140" s="0" t="s">
        <v>168</v>
      </c>
      <c r="E5140" s="7" t="n">
        <f aca="false">Sens!E5139/Sens!D5139-1</f>
        <v>0.177886867998467</v>
      </c>
      <c r="F5140" s="7" t="n">
        <f aca="false">Sens!F5139/Sens!E5139-1</f>
        <v>0.202542832547071</v>
      </c>
      <c r="G5140" s="7" t="n">
        <f aca="false">Sens!G5139/Sens!F5139-1</f>
        <v>0.194029262791359</v>
      </c>
      <c r="H5140" s="7" t="n">
        <f aca="false">Sens!H5139/Sens!G5139-1</f>
        <v>0.166321859421387</v>
      </c>
      <c r="I5140" s="7" t="n">
        <f aca="false">Sens!I5139/Sens!H5139-1</f>
        <v>0.129093595236115</v>
      </c>
      <c r="J5140" s="7" t="n">
        <f aca="false">Sens!J5139/Sens!I5139-1</f>
        <v>0.0940557870601482</v>
      </c>
      <c r="K5140" s="7" t="n">
        <f aca="false">Sens!K5139/Sens!J5139-1</f>
        <v>0.0672868669539362</v>
      </c>
    </row>
    <row r="5141" customFormat="false" ht="17.15" hidden="false" customHeight="false" outlineLevel="0" collapsed="false">
      <c r="A5141" s="26" t="s">
        <v>1057</v>
      </c>
      <c r="B5141" s="31" t="s">
        <v>98</v>
      </c>
      <c r="C5141" s="31"/>
      <c r="D5141" s="27" t="n">
        <f aca="false">(Sens!D5134+Sens!D5138-Sens!D5139)+(Sens!D5126+Sens!D5127-Sens!D5125)+(Sens!D5129+Sens!D5130-Sens!D5128)+(Sens!D5139-Q!L18)</f>
        <v>0</v>
      </c>
      <c r="E5141" s="27" t="n">
        <f aca="false">(Sens!E5134+Sens!E5138-Sens!E5139)+(Sens!E5126+Sens!E5127-Sens!E5125)+(Sens!E5129+Sens!E5130-Sens!E5128)+(Sens!E5139-Q!M18)</f>
        <v>0</v>
      </c>
      <c r="F5141" s="27" t="n">
        <f aca="false">(Sens!F5134+Sens!F5138-Sens!F5139)+(Sens!F5126+Sens!F5127-Sens!F5125)+(Sens!F5129+Sens!F5130-Sens!F5128)</f>
        <v>0</v>
      </c>
      <c r="G5141" s="27" t="n">
        <f aca="false">(Sens!G5134+Sens!G5138-Sens!G5139)+(Sens!G5126+Sens!G5127-Sens!G5125)+(Sens!G5129+Sens!G5130-Sens!G5128)</f>
        <v>0</v>
      </c>
      <c r="H5141" s="27" t="n">
        <f aca="false">(Sens!H5134+Sens!H5138-Sens!H5139)+(Sens!H5126+Sens!H5127-Sens!H5125)+(Sens!H5129+Sens!H5130-Sens!H5128)</f>
        <v>0</v>
      </c>
      <c r="I5141" s="27" t="n">
        <f aca="false">(Sens!I5134+Sens!I5138-Sens!I5139)+(Sens!I5126+Sens!I5127-Sens!I5125)+(Sens!I5129+Sens!I5130-Sens!I5128)</f>
        <v>0</v>
      </c>
      <c r="J5141" s="27" t="n">
        <f aca="false">(Sens!J5134+Sens!J5138-Sens!J5139)+(Sens!J5126+Sens!J5127-Sens!J5125)+(Sens!J5129+Sens!J5130-Sens!J5128)</f>
        <v>0</v>
      </c>
      <c r="K5141" s="27" t="n">
        <f aca="false">(Sens!K5134+Sens!K5138-Sens!K5139)+(Sens!K5126+Sens!K5127-Sens!K5125)+(Sens!K5129+Sens!K5130-Sens!K5128)</f>
        <v>0</v>
      </c>
    </row>
    <row r="5142" customFormat="false" ht="17.15" hidden="false" customHeight="false" outlineLevel="0" collapsed="false">
      <c r="A5142" s="0" t="s">
        <v>1058</v>
      </c>
      <c r="B5142" s="0" t="s">
        <v>168</v>
      </c>
      <c r="E5142" s="7" t="n">
        <f aca="false">(Q!M21+Sens!E5078+Sens!E5079+Sens!E5080+Sens!E5094-Sens!E5076)/(Q!M5-Sens!E5076)</f>
        <v>0.562004564381674</v>
      </c>
      <c r="F5142" s="7" t="n">
        <f aca="false">Sens!$E$5142+dm_seg</f>
        <v>0.562004564381674</v>
      </c>
      <c r="G5142" s="7" t="n">
        <f aca="false">Sens!$E$5142+dm_seg</f>
        <v>0.562004564381674</v>
      </c>
      <c r="H5142" s="7" t="n">
        <f aca="false">Sens!$E$5142+dm_seg</f>
        <v>0.562004564381674</v>
      </c>
      <c r="I5142" s="7" t="n">
        <f aca="false">Sens!$E$5142+dm_seg</f>
        <v>0.562004564381674</v>
      </c>
      <c r="J5142" s="7" t="n">
        <f aca="false">Sens!$E$5142+dm_seg</f>
        <v>0.562004564381674</v>
      </c>
      <c r="K5142" s="7" t="n">
        <f aca="false">Sens!$E$5142+dm_seg</f>
        <v>0.562004564381674</v>
      </c>
      <c r="L5142" s="12" t="s">
        <v>1059</v>
      </c>
    </row>
    <row r="5143" customFormat="false" ht="17.15" hidden="false" customHeight="false" outlineLevel="0" collapsed="false">
      <c r="A5143" s="0" t="s">
        <v>880</v>
      </c>
      <c r="B5143" s="0" t="s">
        <v>98</v>
      </c>
      <c r="D5143" s="6" t="n">
        <f aca="false">Q!L21</f>
        <v>110.814</v>
      </c>
      <c r="E5143" s="6" t="n">
        <f aca="false">Q!M21</f>
        <v>136.365</v>
      </c>
      <c r="F5143" s="6" t="n">
        <f aca="false">Q!$I$21+(Sens!F5142*(Sens!F5113-Sens!F5076)+Sens!F5076-(Sens!F5078+Sens!F5079+Sens!F5080)-Sens!F5094-Sens!F5177)*(Sens!F5113-Q!$I$5)/Sens!F5113</f>
        <v>163.693220153398</v>
      </c>
      <c r="G5143" s="6" t="n">
        <f aca="false">(Sens!G5142*(Sens!G5113-Sens!G5076)+Sens!G5076-(Sens!G5078+Sens!G5079+Sens!G5080)-Sens!G5094-Sens!G5177)</f>
        <v>182.794253011656</v>
      </c>
      <c r="H5143" s="6" t="n">
        <f aca="false">(Sens!H5142*(Sens!H5113-Sens!H5076)+Sens!H5076-(Sens!H5078+Sens!H5079+Sens!H5080)-Sens!H5094-Sens!H5177)</f>
        <v>205.437267607951</v>
      </c>
      <c r="I5143" s="6" t="n">
        <f aca="false">(Sens!I5142*(Sens!I5113-Sens!I5076)+Sens!I5076-(Sens!I5078+Sens!I5079+Sens!I5080)-Sens!I5094-Sens!I5177)</f>
        <v>226.273154382719</v>
      </c>
      <c r="J5143" s="6" t="n">
        <f aca="false">(Sens!J5142*(Sens!J5113-Sens!J5076)+Sens!J5076-(Sens!J5078+Sens!J5079+Sens!J5080)-Sens!J5094-Sens!J5177)</f>
        <v>245.566439141708</v>
      </c>
      <c r="K5143" s="6" t="n">
        <f aca="false">(Sens!K5142*(Sens!K5113-Sens!K5076)+Sens!K5076-(Sens!K5078+Sens!K5079+Sens!K5080)-Sens!K5094-Sens!K5177)</f>
        <v>262.675715484551</v>
      </c>
      <c r="L5143" s="1" t="s">
        <v>1060</v>
      </c>
    </row>
    <row r="5144" customFormat="false" ht="17.15" hidden="false" customHeight="false" outlineLevel="0" collapsed="false">
      <c r="A5144" s="0" t="s">
        <v>1061</v>
      </c>
      <c r="B5144" s="0" t="s">
        <v>168</v>
      </c>
      <c r="E5144" s="7" t="n">
        <f aca="false">Q!M22/Q!M12</f>
        <v>0.296207935710698</v>
      </c>
      <c r="F5144" s="7" t="n">
        <f aca="false">Sens!$E$5144+dm_seg</f>
        <v>0.296207935710698</v>
      </c>
      <c r="G5144" s="7" t="n">
        <f aca="false">Sens!$E$5144+dm_seg</f>
        <v>0.296207935710698</v>
      </c>
      <c r="H5144" s="7" t="n">
        <f aca="false">Sens!$E$5144+dm_seg</f>
        <v>0.296207935710698</v>
      </c>
      <c r="I5144" s="7" t="n">
        <f aca="false">Sens!$E$5144+dm_seg</f>
        <v>0.296207935710698</v>
      </c>
      <c r="J5144" s="7" t="n">
        <f aca="false">Sens!$E$5144+dm_seg</f>
        <v>0.296207935710698</v>
      </c>
      <c r="K5144" s="7" t="n">
        <f aca="false">Sens!$E$5144+dm_seg</f>
        <v>0.296207935710698</v>
      </c>
      <c r="L5144" s="12" t="s">
        <v>1062</v>
      </c>
    </row>
    <row r="5145" customFormat="false" ht="17.15" hidden="false" customHeight="false" outlineLevel="0" collapsed="false">
      <c r="A5145" s="0" t="s">
        <v>882</v>
      </c>
      <c r="B5145" s="0" t="s">
        <v>98</v>
      </c>
      <c r="D5145" s="6" t="n">
        <f aca="false">Q!L22</f>
        <v>17.714</v>
      </c>
      <c r="E5145" s="6" t="n">
        <f aca="false">Q!M22</f>
        <v>18.872</v>
      </c>
      <c r="F5145" s="6" t="n">
        <f aca="false">Q!$I$22+(Sens!F5120-Q!$I$12)*Sens!F5144</f>
        <v>19.8174315512051</v>
      </c>
      <c r="G5145" s="6" t="n">
        <f aca="false">Sens!G5120*Sens!G5144</f>
        <v>19.6313799703815</v>
      </c>
      <c r="H5145" s="6" t="n">
        <f aca="false">Sens!H5120*Sens!H5144</f>
        <v>20.3536242825865</v>
      </c>
      <c r="I5145" s="6" t="n">
        <f aca="false">Sens!I5120*Sens!I5144</f>
        <v>21.1920899239745</v>
      </c>
      <c r="J5145" s="6" t="n">
        <f aca="false">Sens!J5120*Sens!J5144</f>
        <v>22.1288166207045</v>
      </c>
      <c r="K5145" s="6" t="n">
        <f aca="false">Sens!K5120*Sens!K5144</f>
        <v>23.1493653905379</v>
      </c>
      <c r="L5145" s="12" t="s">
        <v>1063</v>
      </c>
    </row>
    <row r="5146" customFormat="false" ht="15" hidden="false" customHeight="false" outlineLevel="0" collapsed="false">
      <c r="A5146" s="1" t="s">
        <v>1064</v>
      </c>
      <c r="B5146" s="0" t="s">
        <v>98</v>
      </c>
      <c r="D5146" s="6" t="n">
        <f aca="false">Sens!D5143+Sens!D5145</f>
        <v>128.528</v>
      </c>
      <c r="E5146" s="6" t="n">
        <f aca="false">Sens!E5143+Sens!E5145</f>
        <v>155.237</v>
      </c>
      <c r="F5146" s="6" t="n">
        <f aca="false">Sens!F5143+Sens!F5145</f>
        <v>183.510651704603</v>
      </c>
      <c r="G5146" s="6" t="n">
        <f aca="false">Sens!G5143+Sens!G5145</f>
        <v>202.425632982038</v>
      </c>
      <c r="H5146" s="6" t="n">
        <f aca="false">Sens!H5143+Sens!H5145</f>
        <v>225.790891890537</v>
      </c>
      <c r="I5146" s="6" t="n">
        <f aca="false">Sens!I5143+Sens!I5145</f>
        <v>247.465244306693</v>
      </c>
      <c r="J5146" s="6" t="n">
        <f aca="false">Sens!J5143+Sens!J5145</f>
        <v>267.695255762412</v>
      </c>
      <c r="K5146" s="6" t="n">
        <f aca="false">Sens!K5143+Sens!K5145</f>
        <v>285.825080875089</v>
      </c>
    </row>
    <row r="5147" customFormat="false" ht="15" hidden="false" customHeight="false" outlineLevel="0" collapsed="false">
      <c r="A5147" s="26" t="s">
        <v>1065</v>
      </c>
      <c r="B5147" s="31" t="s">
        <v>98</v>
      </c>
      <c r="C5147" s="31"/>
      <c r="D5147" s="27" t="n">
        <f aca="false">Sens!D5146-Q!L23</f>
        <v>0</v>
      </c>
      <c r="E5147" s="27" t="n">
        <f aca="false">Sens!E5146-Q!M23</f>
        <v>0</v>
      </c>
      <c r="F5147" s="31"/>
      <c r="G5147" s="31"/>
      <c r="H5147" s="31"/>
      <c r="I5147" s="31"/>
      <c r="J5147" s="31"/>
      <c r="K5147" s="31"/>
    </row>
    <row r="5148" customFormat="false" ht="15" hidden="false" customHeight="false" outlineLevel="0" collapsed="false">
      <c r="A5148" s="1" t="s">
        <v>1066</v>
      </c>
      <c r="B5148" s="0" t="s">
        <v>168</v>
      </c>
      <c r="D5148" s="7" t="n">
        <f aca="false">Sens!D5146/Sens!D5139</f>
        <v>0.456219562408598</v>
      </c>
      <c r="E5148" s="7" t="n">
        <f aca="false">Sens!E5146/Sens!E5139</f>
        <v>0.467808184089272</v>
      </c>
      <c r="F5148" s="7" t="n">
        <f aca="false">Sens!F5146/Sens!F5139</f>
        <v>0.459868113571673</v>
      </c>
      <c r="G5148" s="7" t="n">
        <f aca="false">Sens!G5146/Sens!G5139</f>
        <v>0.424837217196476</v>
      </c>
      <c r="H5148" s="7" t="n">
        <f aca="false">Sens!H5146/Sens!H5139</f>
        <v>0.406298344898112</v>
      </c>
      <c r="I5148" s="7" t="n">
        <f aca="false">Sens!I5146/Sens!I5139</f>
        <v>0.394387282852633</v>
      </c>
      <c r="J5148" s="7" t="n">
        <f aca="false">Sens!J5146/Sens!J5139</f>
        <v>0.389950873034758</v>
      </c>
      <c r="K5148" s="7" t="n">
        <f aca="false">Sens!K5146/Sens!K5139</f>
        <v>0.390111175897375</v>
      </c>
    </row>
    <row r="5149" customFormat="false" ht="17.15" hidden="false" customHeight="false" outlineLevel="0" collapsed="false">
      <c r="A5149" s="1" t="s">
        <v>1067</v>
      </c>
      <c r="B5149" s="0" t="s">
        <v>98</v>
      </c>
      <c r="F5149" s="6" t="n">
        <f aca="false">Sens!F5164</f>
        <v>9.80027408048209</v>
      </c>
      <c r="G5149" s="6" t="n">
        <f aca="false">Sens!G5164</f>
        <v>25.3894866238116</v>
      </c>
      <c r="H5149" s="6" t="n">
        <f aca="false">Sens!H5164</f>
        <v>42.4518901166064</v>
      </c>
      <c r="I5149" s="6" t="n">
        <f aca="false">Sens!I5164</f>
        <v>57.4659045810656</v>
      </c>
      <c r="J5149" s="6" t="n">
        <f aca="false">Sens!J5164</f>
        <v>67.997441867895</v>
      </c>
      <c r="K5149" s="6" t="n">
        <f aca="false">Sens!K5164</f>
        <v>73.1325361522323</v>
      </c>
      <c r="L5149" s="1" t="s">
        <v>1068</v>
      </c>
    </row>
    <row r="5150" customFormat="false" ht="17.15" hidden="false" customHeight="false" outlineLevel="0" collapsed="false">
      <c r="A5150" s="1" t="s">
        <v>1069</v>
      </c>
      <c r="B5150" s="0" t="s">
        <v>98</v>
      </c>
      <c r="D5150" s="6" t="n">
        <f aca="false">Sens!D5146</f>
        <v>128.528</v>
      </c>
      <c r="E5150" s="6" t="n">
        <f aca="false">Sens!E5146</f>
        <v>155.237</v>
      </c>
      <c r="F5150" s="6" t="n">
        <f aca="false">Sens!F5146+Sens!F5149</f>
        <v>193.310925785085</v>
      </c>
      <c r="G5150" s="6" t="n">
        <f aca="false">Sens!G5146+Sens!G5149</f>
        <v>227.815119605849</v>
      </c>
      <c r="H5150" s="6" t="n">
        <f aca="false">Sens!H5146+Sens!H5149</f>
        <v>268.242782007144</v>
      </c>
      <c r="I5150" s="6" t="n">
        <f aca="false">Sens!I5146+Sens!I5149</f>
        <v>304.931148887759</v>
      </c>
      <c r="J5150" s="6" t="n">
        <f aca="false">Sens!J5146+Sens!J5149</f>
        <v>335.692697630307</v>
      </c>
      <c r="K5150" s="6" t="n">
        <f aca="false">Sens!K5146+Sens!K5149</f>
        <v>358.957617027322</v>
      </c>
    </row>
    <row r="5151" customFormat="false" ht="17.15" hidden="false" customHeight="false" outlineLevel="0" collapsed="false">
      <c r="A5151" s="1" t="s">
        <v>1070</v>
      </c>
      <c r="B5151" s="0" t="s">
        <v>98</v>
      </c>
      <c r="E5151" s="6" t="n">
        <f aca="false">Sens!E5094</f>
        <v>14.1538947660714</v>
      </c>
      <c r="F5151" s="6" t="n">
        <f aca="false">Sens!F5094</f>
        <v>29.9978166232907</v>
      </c>
      <c r="G5151" s="6" t="n">
        <f aca="false">Sens!G5094</f>
        <v>52.6539689846527</v>
      </c>
      <c r="H5151" s="6" t="n">
        <f aca="false">Sens!H5094</f>
        <v>77.2140918476141</v>
      </c>
      <c r="I5151" s="6" t="n">
        <f aca="false">Sens!I5094</f>
        <v>98.4922948062968</v>
      </c>
      <c r="J5151" s="6" t="n">
        <f aca="false">Sens!J5094</f>
        <v>113.162027076484</v>
      </c>
      <c r="K5151" s="6" t="n">
        <f aca="false">Sens!K5094</f>
        <v>121.714210701983</v>
      </c>
    </row>
    <row r="5152" customFormat="false" ht="17.15" hidden="false" customHeight="false" outlineLevel="0" collapsed="false">
      <c r="A5152" s="1" t="s">
        <v>1071</v>
      </c>
      <c r="B5152" s="0" t="s">
        <v>98</v>
      </c>
      <c r="E5152" s="6" t="n">
        <f aca="false">Sens!E5176</f>
        <v>24.3801052339286</v>
      </c>
      <c r="F5152" s="6" t="n">
        <f aca="false">Sens!F5176</f>
        <v>25.5167043063238</v>
      </c>
      <c r="G5152" s="6" t="n">
        <f aca="false">Sens!G5176</f>
        <v>27.1010746211162</v>
      </c>
      <c r="H5152" s="6" t="n">
        <f aca="false">Sens!H5176</f>
        <v>29.0970216558607</v>
      </c>
      <c r="I5152" s="6" t="n">
        <f aca="false">Sens!I5176</f>
        <v>31.4360588583604</v>
      </c>
      <c r="J5152" s="6" t="n">
        <f aca="false">Sens!J5176</f>
        <v>34.0330244516952</v>
      </c>
      <c r="K5152" s="6" t="n">
        <f aca="false">Sens!K5176</f>
        <v>36.8019697125976</v>
      </c>
    </row>
    <row r="5153" customFormat="false" ht="17.15" hidden="false" customHeight="false" outlineLevel="0" collapsed="false">
      <c r="A5153" s="1" t="s">
        <v>1072</v>
      </c>
      <c r="B5153" s="0" t="s">
        <v>98</v>
      </c>
      <c r="D5153" s="6" t="n">
        <f aca="false">Q!L27</f>
        <v>-4.901</v>
      </c>
      <c r="E5153" s="6" t="n">
        <f aca="false">Q!M27</f>
        <v>10.697</v>
      </c>
      <c r="F5153" s="6" t="n">
        <f aca="false">Q!$I$27+oie_f*(q_per_yr-1)/q_per_yr</f>
        <v>-0.862</v>
      </c>
      <c r="G5153" s="6" t="n">
        <f aca="false">oie_f</f>
        <v>-1.2</v>
      </c>
      <c r="H5153" s="6" t="n">
        <f aca="false">oie_f</f>
        <v>-1.2</v>
      </c>
      <c r="I5153" s="6" t="n">
        <f aca="false">oie_f</f>
        <v>-1.2</v>
      </c>
      <c r="J5153" s="6" t="n">
        <f aca="false">oie_f</f>
        <v>-1.2</v>
      </c>
      <c r="K5153" s="6" t="n">
        <f aca="false">oie_f</f>
        <v>-1.2</v>
      </c>
      <c r="L5153" s="12" t="s">
        <v>1073</v>
      </c>
    </row>
    <row r="5154" customFormat="false" ht="15" hidden="false" customHeight="false" outlineLevel="0" collapsed="false">
      <c r="A5154" s="1" t="s">
        <v>1074</v>
      </c>
      <c r="B5154" s="0" t="s">
        <v>98</v>
      </c>
      <c r="D5154" s="6" t="n">
        <f aca="false">Sens!D5146+Sens!D5153</f>
        <v>123.627</v>
      </c>
      <c r="E5154" s="6" t="n">
        <f aca="false">Sens!E5146+Sens!E5153</f>
        <v>165.934</v>
      </c>
      <c r="F5154" s="6" t="n">
        <f aca="false">Sens!F5146+Sens!F5153</f>
        <v>182.648651704603</v>
      </c>
      <c r="G5154" s="6" t="n">
        <f aca="false">Sens!G5146+Sens!G5153</f>
        <v>201.225632982038</v>
      </c>
      <c r="H5154" s="6" t="n">
        <f aca="false">Sens!H5146+Sens!H5153</f>
        <v>224.590891890537</v>
      </c>
      <c r="I5154" s="6" t="n">
        <f aca="false">Sens!I5146+Sens!I5153</f>
        <v>246.265244306693</v>
      </c>
      <c r="J5154" s="6" t="n">
        <f aca="false">Sens!J5146+Sens!J5153</f>
        <v>266.495255762412</v>
      </c>
      <c r="K5154" s="6" t="n">
        <f aca="false">Sens!K5146+Sens!K5153</f>
        <v>284.625080875089</v>
      </c>
    </row>
    <row r="5155" customFormat="false" ht="15" hidden="false" customHeight="false" outlineLevel="0" collapsed="false">
      <c r="A5155" s="1" t="s">
        <v>1075</v>
      </c>
      <c r="B5155" s="0" t="s">
        <v>98</v>
      </c>
      <c r="D5155" s="6" t="n">
        <f aca="false">Q!L29</f>
        <v>21.795</v>
      </c>
      <c r="E5155" s="6" t="n">
        <f aca="false">Q!M29</f>
        <v>32.185</v>
      </c>
      <c r="F5155" s="6" t="n">
        <f aca="false">Q!$I$29+(Sens!F5154-Q!$I$28)*tax_f</f>
        <v>36.6631303409205</v>
      </c>
      <c r="G5155" s="6" t="n">
        <f aca="false">Sens!G5154*tax_f</f>
        <v>40.2451265964075</v>
      </c>
      <c r="H5155" s="6" t="n">
        <f aca="false">Sens!H5154*tax_f</f>
        <v>44.9181783781075</v>
      </c>
      <c r="I5155" s="6" t="n">
        <f aca="false">Sens!I5154*tax_f</f>
        <v>49.2530488613386</v>
      </c>
      <c r="J5155" s="6" t="n">
        <f aca="false">Sens!J5154*tax_f</f>
        <v>53.2990511524824</v>
      </c>
      <c r="K5155" s="6" t="n">
        <f aca="false">Sens!K5154*tax_f</f>
        <v>56.9250161750179</v>
      </c>
    </row>
    <row r="5156" customFormat="false" ht="15" hidden="false" customHeight="false" outlineLevel="0" collapsed="false">
      <c r="A5156" s="1" t="s">
        <v>1076</v>
      </c>
      <c r="B5156" s="0" t="s">
        <v>98</v>
      </c>
      <c r="D5156" s="6" t="n">
        <f aca="false">Sens!D5154-Sens!D5155</f>
        <v>101.832</v>
      </c>
      <c r="E5156" s="6" t="n">
        <f aca="false">Sens!E5154-Sens!E5155</f>
        <v>133.749</v>
      </c>
      <c r="F5156" s="6" t="n">
        <f aca="false">Sens!F5154-Sens!F5155</f>
        <v>145.985521363682</v>
      </c>
      <c r="G5156" s="6" t="n">
        <f aca="false">Sens!G5154-Sens!G5155</f>
        <v>160.98050638563</v>
      </c>
      <c r="H5156" s="6" t="n">
        <f aca="false">Sens!H5154-Sens!H5155</f>
        <v>179.67271351243</v>
      </c>
      <c r="I5156" s="6" t="n">
        <f aca="false">Sens!I5154-Sens!I5155</f>
        <v>197.012195445354</v>
      </c>
      <c r="J5156" s="6" t="n">
        <f aca="false">Sens!J5154-Sens!J5155</f>
        <v>213.19620460993</v>
      </c>
      <c r="K5156" s="6" t="n">
        <f aca="false">Sens!K5154-Sens!K5155</f>
        <v>227.700064700071</v>
      </c>
    </row>
    <row r="5157" customFormat="false" ht="17.15" hidden="false" customHeight="false" outlineLevel="0" collapsed="false">
      <c r="A5157" s="1" t="s">
        <v>1077</v>
      </c>
      <c r="B5157" s="1" t="s">
        <v>81</v>
      </c>
      <c r="D5157" s="15" t="n">
        <f aca="false">Q!L31</f>
        <v>7.465</v>
      </c>
      <c r="E5157" s="15" t="n">
        <f aca="false">Q!M31</f>
        <v>7.453</v>
      </c>
      <c r="F5157" s="15" t="n">
        <f aca="false">Sens!F5201</f>
        <v>7.4735</v>
      </c>
      <c r="G5157" s="15" t="n">
        <f aca="false">Sens!G5201</f>
        <v>7.5185</v>
      </c>
      <c r="H5157" s="15" t="n">
        <f aca="false">Sens!H5201</f>
        <v>7.5461999390288</v>
      </c>
      <c r="I5157" s="15" t="n">
        <f aca="false">Sens!I5201</f>
        <v>7.55788130308427</v>
      </c>
      <c r="J5157" s="15" t="n">
        <f aca="false">Sens!J5201</f>
        <v>7.57203071424674</v>
      </c>
      <c r="K5157" s="15" t="n">
        <f aca="false">Sens!K5201</f>
        <v>7.58846535421199</v>
      </c>
    </row>
    <row r="5158" customFormat="false" ht="17.15" hidden="false" customHeight="false" outlineLevel="0" collapsed="false">
      <c r="A5158" s="0" t="s">
        <v>1078</v>
      </c>
      <c r="B5158" s="0" t="s">
        <v>75</v>
      </c>
      <c r="D5158" s="8" t="n">
        <f aca="false">Sens!D5156/Sens!D5157</f>
        <v>13.641259209645</v>
      </c>
      <c r="E5158" s="8" t="n">
        <f aca="false">Sens!E5156/Sens!E5157</f>
        <v>17.9456594659869</v>
      </c>
      <c r="F5158" s="8" t="n">
        <f aca="false">Sens!F5156/Sens!F5157</f>
        <v>19.5337554510848</v>
      </c>
      <c r="G5158" s="8" t="n">
        <f aca="false">Sens!G5156/Sens!G5157</f>
        <v>21.411253093786</v>
      </c>
      <c r="H5158" s="8" t="n">
        <f aca="false">Sens!H5156/Sens!H5157</f>
        <v>23.8096942784628</v>
      </c>
      <c r="I5158" s="8" t="n">
        <f aca="false">Sens!I5156/Sens!I5157</f>
        <v>26.067119546447</v>
      </c>
      <c r="J5158" s="8" t="n">
        <f aca="false">Sens!J5156/Sens!J5157</f>
        <v>28.1557501092543</v>
      </c>
      <c r="K5158" s="8" t="n">
        <f aca="false">Sens!K5156/Sens!K5157</f>
        <v>30.0060755464458</v>
      </c>
      <c r="L5158" s="1" t="s">
        <v>1079</v>
      </c>
    </row>
    <row r="5159" customFormat="false" ht="17.15" hidden="false" customHeight="false" outlineLevel="0" collapsed="false">
      <c r="A5159" s="1" t="s">
        <v>1080</v>
      </c>
      <c r="B5159" s="0" t="s">
        <v>98</v>
      </c>
      <c r="D5159" s="6" t="n">
        <f aca="false">Sens!D5156</f>
        <v>101.832</v>
      </c>
      <c r="E5159" s="6" t="n">
        <f aca="false">Sens!E5156</f>
        <v>133.749</v>
      </c>
      <c r="F5159" s="6" t="n">
        <f aca="false">Sens!F5156+Sens!F5149*(1-tax_f)</f>
        <v>153.825740628068</v>
      </c>
      <c r="G5159" s="6" t="n">
        <f aca="false">Sens!G5156+Sens!G5149*(1-tax_f)</f>
        <v>181.292095684679</v>
      </c>
      <c r="H5159" s="6" t="n">
        <f aca="false">Sens!H5156+Sens!H5149*(1-tax_f)</f>
        <v>213.634225605715</v>
      </c>
      <c r="I5159" s="6" t="n">
        <f aca="false">Sens!I5156+Sens!I5149*(1-tax_f)</f>
        <v>242.984919110207</v>
      </c>
      <c r="J5159" s="6" t="n">
        <f aca="false">Sens!J5156+Sens!J5149*(1-tax_f)</f>
        <v>267.594158104246</v>
      </c>
      <c r="K5159" s="6" t="n">
        <f aca="false">Sens!K5156+Sens!K5149*(1-tax_f)</f>
        <v>286.206093621857</v>
      </c>
    </row>
    <row r="5160" customFormat="false" ht="17.15" hidden="false" customHeight="false" outlineLevel="0" collapsed="false">
      <c r="A5160" s="0" t="s">
        <v>1081</v>
      </c>
      <c r="B5160" s="0" t="s">
        <v>75</v>
      </c>
      <c r="D5160" s="8" t="n">
        <f aca="false">Sens!D5159/Sens!D5157</f>
        <v>13.641259209645</v>
      </c>
      <c r="E5160" s="8" t="n">
        <f aca="false">Sens!E5159/Sens!E5157</f>
        <v>17.9456594659869</v>
      </c>
      <c r="F5160" s="8" t="n">
        <f aca="false">Sens!F5159/Sens!F5157</f>
        <v>20.5828247311257</v>
      </c>
      <c r="G5160" s="8" t="n">
        <f aca="false">Sens!G5159/Sens!G5157</f>
        <v>24.112801181709</v>
      </c>
      <c r="H5160" s="8" t="n">
        <f aca="false">Sens!H5159/Sens!H5157</f>
        <v>28.310172978694</v>
      </c>
      <c r="I5160" s="8" t="n">
        <f aca="false">Sens!I5159/Sens!I5157</f>
        <v>32.1498723473003</v>
      </c>
      <c r="J5160" s="8" t="n">
        <f aca="false">Sens!J5159/Sens!J5157</f>
        <v>35.3398141400521</v>
      </c>
      <c r="K5160" s="8" t="n">
        <f aca="false">Sens!K5159/Sens!K5157</f>
        <v>37.7159386334943</v>
      </c>
      <c r="L5160" s="1" t="s">
        <v>1082</v>
      </c>
    </row>
    <row r="5161" customFormat="false" ht="17.15" hidden="false" customHeight="false" outlineLevel="0" collapsed="false">
      <c r="A5161" s="0" t="s">
        <v>1083</v>
      </c>
      <c r="B5161" s="0" t="s">
        <v>168</v>
      </c>
      <c r="E5161" s="7" t="n">
        <f aca="false">Sens!E5160/Sens!D5160-1</f>
        <v>0.315542736208578</v>
      </c>
      <c r="F5161" s="7" t="n">
        <f aca="false">Sens!F5160/Sens!E5160-1</f>
        <v>0.146952819991773</v>
      </c>
      <c r="G5161" s="7" t="n">
        <f aca="false">Sens!G5160/Sens!F5160-1</f>
        <v>0.171501069299067</v>
      </c>
      <c r="H5161" s="7" t="n">
        <f aca="false">Sens!H5160/Sens!G5160-1</f>
        <v>0.174072342958183</v>
      </c>
      <c r="I5161" s="7" t="n">
        <f aca="false">Sens!I5160/Sens!H5160-1</f>
        <v>0.135629668229017</v>
      </c>
      <c r="J5161" s="7" t="n">
        <f aca="false">Sens!J5160/Sens!I5160-1</f>
        <v>0.0992209784938585</v>
      </c>
      <c r="K5161" s="7" t="n">
        <f aca="false">Sens!K5160/Sens!J5160-1</f>
        <v>0.0672364739674531</v>
      </c>
    </row>
    <row r="5162" customFormat="false" ht="17.15" hidden="false" customHeight="false" outlineLevel="0" collapsed="false">
      <c r="A5162" s="0" t="s">
        <v>1003</v>
      </c>
      <c r="B5162" s="0" t="s">
        <v>98</v>
      </c>
      <c r="E5162" s="6" t="n">
        <f aca="false">Sens!E5103</f>
        <v>5.25</v>
      </c>
      <c r="F5162" s="6" t="n">
        <f aca="false">Sens!F5103</f>
        <v>12</v>
      </c>
      <c r="G5162" s="6" t="n">
        <f aca="false">Sens!G5103</f>
        <v>18</v>
      </c>
      <c r="H5162" s="6" t="n">
        <f aca="false">Sens!H5103</f>
        <v>24</v>
      </c>
      <c r="I5162" s="6" t="n">
        <f aca="false">Sens!I5103</f>
        <v>28.5</v>
      </c>
      <c r="J5162" s="6" t="n">
        <f aca="false">Sens!J5103</f>
        <v>31.5</v>
      </c>
      <c r="K5162" s="6" t="n">
        <f aca="false">Sens!K5103</f>
        <v>34.5</v>
      </c>
    </row>
    <row r="5163" customFormat="false" ht="17.15" hidden="false" customHeight="false" outlineLevel="0" collapsed="false">
      <c r="A5163" s="1" t="s">
        <v>1004</v>
      </c>
      <c r="B5163" s="0" t="s">
        <v>98</v>
      </c>
      <c r="F5163" s="6" t="n">
        <f aca="false">MAX(0,((Sens!E5063+Sens!F5063)/2-(shadow_base*(Sens!$D$5063+Sens!$E$5063)/2+(1-shadow_base)*Sens!$E$5063))*Sens!F5072/1000-(Sens!F5162-Sens!$E$5162)*Sens!F5142)</f>
        <v>9.80027408048209</v>
      </c>
      <c r="G5163" s="6" t="n">
        <f aca="false">MAX(0,((Sens!F5063+Sens!G5063)/2-(shadow_base*(Sens!$D$5063+Sens!$E$5063)/2+(1-shadow_base)*Sens!$E$5063))*Sens!G5072/1000-(Sens!G5162-Sens!$E$5162)*Sens!G5142)</f>
        <v>25.3894866238116</v>
      </c>
      <c r="H5163" s="6" t="n">
        <f aca="false">MAX(0,((Sens!G5063+Sens!H5063)/2-(shadow_base*(Sens!$D$5063+Sens!$E$5063)/2+(1-shadow_base)*Sens!$E$5063))*Sens!H5072/1000-(Sens!H5162-Sens!$E$5162)*Sens!H5142)</f>
        <v>42.4518901166064</v>
      </c>
      <c r="I5163" s="6" t="n">
        <f aca="false">MAX(0,((Sens!H5063+Sens!I5063)/2-(shadow_base*(Sens!$D$5063+Sens!$E$5063)/2+(1-shadow_base)*Sens!$E$5063))*Sens!I5072/1000-(Sens!I5162-Sens!$E$5162)*Sens!I5142)</f>
        <v>57.4659045810656</v>
      </c>
      <c r="J5163" s="6" t="n">
        <f aca="false">MAX(0,((Sens!I5063+Sens!J5063)/2-(shadow_base*(Sens!$D$5063+Sens!$E$5063)/2+(1-shadow_base)*Sens!$E$5063))*Sens!J5072/1000-(Sens!J5162-Sens!$E$5162)*Sens!J5142)</f>
        <v>67.997441867895</v>
      </c>
      <c r="K5163" s="6" t="n">
        <f aca="false">MAX(0,((Sens!J5063+Sens!K5063)/2-(shadow_base*(Sens!$D$5063+Sens!$E$5063)/2+(1-shadow_base)*Sens!$E$5063))*Sens!K5072/1000-(Sens!K5162-Sens!$E$5162)*Sens!K5142)</f>
        <v>73.1325361522323</v>
      </c>
      <c r="L5163" s="1" t="s">
        <v>1005</v>
      </c>
    </row>
    <row r="5164" customFormat="false" ht="17.15" hidden="false" customHeight="false" outlineLevel="0" collapsed="false">
      <c r="A5164" s="1" t="s">
        <v>1006</v>
      </c>
      <c r="B5164" s="0" t="s">
        <v>98</v>
      </c>
      <c r="F5164" s="6" t="n">
        <f aca="false">IF(internal_ai_reading=2,1,0)*Sens!F5163</f>
        <v>9.80027408048209</v>
      </c>
      <c r="G5164" s="6" t="n">
        <f aca="false">IF(internal_ai_reading=2,1,0)*Sens!G5163</f>
        <v>25.3894866238116</v>
      </c>
      <c r="H5164" s="6" t="n">
        <f aca="false">IF(internal_ai_reading=2,1,0)*Sens!H5163</f>
        <v>42.4518901166064</v>
      </c>
      <c r="I5164" s="6" t="n">
        <f aca="false">IF(internal_ai_reading=2,1,0)*Sens!I5163</f>
        <v>57.4659045810656</v>
      </c>
      <c r="J5164" s="6" t="n">
        <f aca="false">IF(internal_ai_reading=2,1,0)*Sens!J5163</f>
        <v>67.997441867895</v>
      </c>
      <c r="K5164" s="6" t="n">
        <f aca="false">IF(internal_ai_reading=2,1,0)*Sens!K5163</f>
        <v>73.1325361522323</v>
      </c>
    </row>
    <row r="5165" customFormat="false" ht="17.15" hidden="false" customHeight="false" outlineLevel="0" collapsed="false">
      <c r="A5165" s="0" t="s">
        <v>1007</v>
      </c>
      <c r="B5165" s="0" t="s">
        <v>98</v>
      </c>
      <c r="F5165" s="6" t="n">
        <f aca="false">Sens!F5082+Sens!F5162*Sens!F5142+Sens!F5164-Sens!F5083-Sens!F5094</f>
        <v>19.3497784821809</v>
      </c>
      <c r="G5165" s="6" t="n">
        <f aca="false">Sens!G5082+Sens!G5162*Sens!G5142+Sens!G5164-Sens!G5083-Sens!G5094</f>
        <v>39.0685173151341</v>
      </c>
      <c r="H5165" s="6" t="n">
        <f aca="false">Sens!H5082+Sens!H5162*Sens!H5142+Sens!H5164-Sens!H5083-Sens!H5094</f>
        <v>59.7201486557069</v>
      </c>
      <c r="I5165" s="6" t="n">
        <f aca="false">Sens!I5082+Sens!I5162*Sens!I5142+Sens!I5164-Sens!I5083-Sens!I5094</f>
        <v>76.99913561291</v>
      </c>
      <c r="J5165" s="6" t="n">
        <f aca="false">Sens!J5082+Sens!J5162*Sens!J5142+Sens!J5164-Sens!J5083-Sens!J5094</f>
        <v>89.4818263316784</v>
      </c>
      <c r="K5165" s="6" t="n">
        <f aca="false">Sens!K5082+Sens!K5162*Sens!K5142+Sens!K5164-Sens!K5083-Sens!K5094</f>
        <v>96.3844924827315</v>
      </c>
    </row>
    <row r="5166" customFormat="false" ht="17.15" hidden="false" customHeight="false" outlineLevel="0" collapsed="false">
      <c r="A5166" s="0" t="s">
        <v>1008</v>
      </c>
      <c r="B5166" s="0" t="s">
        <v>98</v>
      </c>
      <c r="E5166" s="6" t="n">
        <f aca="false">Sens!E5062*(cxit_open+self_build*tk_cxfac)/1000*ai_net_open</f>
        <v>126.6980382</v>
      </c>
      <c r="F5166" s="6" t="n">
        <f aca="false">Sens!E5166+Sens!F5091-Sens!F5094</f>
        <v>265.154125618829</v>
      </c>
      <c r="G5166" s="6" t="n">
        <f aca="false">Sens!F5166+Sens!G5091-Sens!G5094</f>
        <v>404.444632283224</v>
      </c>
      <c r="H5166" s="6" t="n">
        <f aca="false">Sens!G5166+Sens!H5091-Sens!H5094</f>
        <v>524.036544500123</v>
      </c>
      <c r="I5166" s="6" t="n">
        <f aca="false">Sens!H5166+Sens!I5091-Sens!I5094</f>
        <v>564.998338555436</v>
      </c>
      <c r="J5166" s="6" t="n">
        <f aca="false">Sens!I5166+Sens!J5091-Sens!J5094</f>
        <v>565.888311674893</v>
      </c>
      <c r="K5166" s="6" t="n">
        <f aca="false">Sens!J5166+Sens!K5091-Sens!K5094</f>
        <v>519.693395517643</v>
      </c>
      <c r="L5166" s="1" t="s">
        <v>1009</v>
      </c>
    </row>
    <row r="5167" customFormat="false" ht="17.15" hidden="false" customHeight="false" outlineLevel="0" collapsed="false">
      <c r="A5167" s="0" t="s">
        <v>1010</v>
      </c>
      <c r="B5167" s="0" t="s">
        <v>168</v>
      </c>
      <c r="F5167" s="7" t="n">
        <f aca="false">Sens!F5165*(1-tax_f)/((Sens!E5166+Sens!F5166)/2)</f>
        <v>0.0790084843982218</v>
      </c>
      <c r="G5167" s="7" t="n">
        <f aca="false">Sens!G5165*(1-tax_f)/((Sens!F5166+Sens!G5166)/2)</f>
        <v>0.0933538585108281</v>
      </c>
      <c r="H5167" s="7" t="n">
        <f aca="false">Sens!H5165*(1-tax_f)/((Sens!G5166+Sens!H5166)/2)</f>
        <v>0.102912412484402</v>
      </c>
      <c r="I5167" s="7" t="n">
        <f aca="false">Sens!I5165*(1-tax_f)/((Sens!H5166+Sens!I5166)/2)</f>
        <v>0.113126419454069</v>
      </c>
      <c r="J5167" s="7" t="n">
        <f aca="false">Sens!J5165*(1-tax_f)/((Sens!I5166+Sens!J5166)/2)</f>
        <v>0.126600594411054</v>
      </c>
      <c r="K5167" s="7" t="n">
        <f aca="false">Sens!K5165*(1-tax_f)/((Sens!J5166+Sens!K5166)/2)</f>
        <v>0.142057651626419</v>
      </c>
    </row>
    <row r="5168" customFormat="false" ht="17.15" hidden="false" customHeight="false" outlineLevel="0" collapsed="false">
      <c r="A5168" s="1" t="s">
        <v>1011</v>
      </c>
      <c r="B5168" s="0" t="s">
        <v>168</v>
      </c>
      <c r="F5168" s="7" t="n">
        <f aca="false">(Sens!F5165-Sens!F5164)*(1-tax_f)/((Sens!E5166+Sens!F5166)/2)</f>
        <v>0.038992274264389</v>
      </c>
      <c r="G5168" s="7" t="n">
        <f aca="false">(Sens!G5165-Sens!G5164)*(1-tax_f)/((Sens!F5166+Sens!G5166)/2)</f>
        <v>0.0326859165251281</v>
      </c>
      <c r="H5168" s="7" t="n">
        <f aca="false">(Sens!H5165-Sens!H5164)*(1-tax_f)/((Sens!G5166+Sens!H5166)/2)</f>
        <v>0.0297574300410485</v>
      </c>
      <c r="I5168" s="7" t="n">
        <f aca="false">(Sens!I5165-Sens!I5164)*(1-tax_f)/((Sens!H5166+Sens!I5166)/2)</f>
        <v>0.0286980427690823</v>
      </c>
      <c r="J5168" s="7" t="n">
        <f aca="false">(Sens!J5165-Sens!J5164)*(1-tax_f)/((Sens!I5166+Sens!J5166)/2)</f>
        <v>0.0303965168702382</v>
      </c>
      <c r="K5168" s="7" t="n">
        <f aca="false">(Sens!K5165-Sens!K5164)*(1-tax_f)/((Sens!J5166+Sens!K5166)/2)</f>
        <v>0.0342702257069265</v>
      </c>
    </row>
    <row r="5169" customFormat="false" ht="17.15" hidden="false" customHeight="false" outlineLevel="0" collapsed="false">
      <c r="A5169" s="1" t="s">
        <v>1012</v>
      </c>
      <c r="B5169" s="0" t="s">
        <v>168</v>
      </c>
      <c r="F5169" s="7" t="n">
        <f aca="false">(Sens!F5165-Sens!F5164+Sens!F5163)*(1-tax_f)/((Sens!E5166+Sens!F5166)/2)</f>
        <v>0.0790084843982218</v>
      </c>
      <c r="G5169" s="7" t="n">
        <f aca="false">(Sens!G5165-Sens!G5164+Sens!G5163)*(1-tax_f)/((Sens!F5166+Sens!G5166)/2)</f>
        <v>0.0933538585108281</v>
      </c>
      <c r="H5169" s="7" t="n">
        <f aca="false">(Sens!H5165-Sens!H5164+Sens!H5163)*(1-tax_f)/((Sens!G5166+Sens!H5166)/2)</f>
        <v>0.102912412484402</v>
      </c>
      <c r="I5169" s="7" t="n">
        <f aca="false">(Sens!I5165-Sens!I5164+Sens!I5163)*(1-tax_f)/((Sens!H5166+Sens!I5166)/2)</f>
        <v>0.113126419454069</v>
      </c>
      <c r="J5169" s="7" t="n">
        <f aca="false">(Sens!J5165-Sens!J5164+Sens!J5163)*(1-tax_f)/((Sens!I5166+Sens!J5166)/2)</f>
        <v>0.126600594411054</v>
      </c>
      <c r="K5169" s="7" t="n">
        <f aca="false">(Sens!K5165-Sens!K5164+Sens!K5163)*(1-tax_f)/((Sens!J5166+Sens!K5166)/2)</f>
        <v>0.142057651626419</v>
      </c>
    </row>
    <row r="5170" customFormat="false" ht="17.15" hidden="false" customHeight="false" outlineLevel="0" collapsed="false">
      <c r="A5170" s="1" t="s">
        <v>1013</v>
      </c>
      <c r="B5170" s="0" t="s">
        <v>168</v>
      </c>
      <c r="F5170" s="7" t="n">
        <f aca="false">Sens!F5095*(1-tax_f)/(Sens!F5081*(Sens!E5166+Sens!F5166)/2)</f>
        <v>0.146490174050179</v>
      </c>
      <c r="G5170" s="7" t="n">
        <f aca="false">Sens!G5095*(1-tax_f)/(Sens!G5081*(Sens!F5166+Sens!G5166)/2)</f>
        <v>0.143228768859168</v>
      </c>
      <c r="H5170" s="7" t="n">
        <f aca="false">Sens!H5095*(1-tax_f)/(Sens!H5081*(Sens!G5166+Sens!H5166)/2)</f>
        <v>0.146067546611654</v>
      </c>
      <c r="I5170" s="7" t="n">
        <f aca="false">Sens!I5095*(1-tax_f)/(Sens!I5081*(Sens!H5166+Sens!I5166)/2)</f>
        <v>0.154867037978773</v>
      </c>
      <c r="J5170" s="7" t="n">
        <f aca="false">Sens!J5095*(1-tax_f)/(Sens!J5081*(Sens!I5166+Sens!J5166)/2)</f>
        <v>0.170258639050135</v>
      </c>
      <c r="K5170" s="7" t="n">
        <f aca="false">Sens!K5095*(1-tax_f)/(Sens!K5081*(Sens!J5166+Sens!K5166)/2)</f>
        <v>0.18971524722865</v>
      </c>
    </row>
    <row r="5171" customFormat="false" ht="17.15" hidden="false" customHeight="false" outlineLevel="0" collapsed="false">
      <c r="A5171" s="0" t="s">
        <v>1014</v>
      </c>
      <c r="B5171" s="0" t="s">
        <v>253</v>
      </c>
      <c r="F5171" s="7" t="n">
        <f aca="false">Sens!F5167-wacc</f>
        <v>-0.0239281065473755</v>
      </c>
      <c r="G5171" s="7" t="n">
        <f aca="false">Sens!G5167-wacc</f>
        <v>-0.00958273243476919</v>
      </c>
      <c r="H5171" s="7" t="n">
        <f aca="false">Sens!H5167-wacc</f>
        <v>-2.41784611949708E-005</v>
      </c>
      <c r="I5171" s="7" t="n">
        <f aca="false">Sens!I5167-wacc</f>
        <v>0.0101898285084716</v>
      </c>
      <c r="J5171" s="7" t="n">
        <f aca="false">Sens!J5167-wacc</f>
        <v>0.0236640034654568</v>
      </c>
      <c r="K5171" s="7" t="n">
        <f aca="false">Sens!K5167-wacc</f>
        <v>0.0391210606808217</v>
      </c>
    </row>
    <row r="5172" customFormat="false" ht="17.15" hidden="false" customHeight="false" outlineLevel="0" collapsed="false">
      <c r="A5172" s="0" t="s">
        <v>1015</v>
      </c>
      <c r="B5172" s="0" t="s">
        <v>98</v>
      </c>
      <c r="F5172" s="6" t="n">
        <f aca="false">Sens!F5165*(1-tax_f)-wacc*(Sens!E5166+Sens!F5166)/2</f>
        <v>-4.68814016333828</v>
      </c>
      <c r="G5172" s="6" t="n">
        <f aca="false">Sens!G5165*(1-tax_f)-wacc*(Sens!F5166+Sens!G5166)/2</f>
        <v>-3.20829286781459</v>
      </c>
      <c r="H5172" s="6" t="n">
        <f aca="false">Sens!H5165*(1-tax_f)-wacc*(Sens!G5166+Sens!H5166)/2</f>
        <v>-0.0112246230515609</v>
      </c>
      <c r="I5172" s="6" t="n">
        <f aca="false">Sens!I5165*(1-tax_f)-wacc*(Sens!H5166+Sens!I5166)/2</f>
        <v>5.54853934903981</v>
      </c>
      <c r="J5172" s="6" t="n">
        <f aca="false">Sens!J5165*(1-tax_f)-wacc*(Sens!I5166+Sens!J5166)/2</f>
        <v>13.3806528050446</v>
      </c>
      <c r="K5172" s="6" t="n">
        <f aca="false">Sens!K5165*(1-tax_f)-wacc*(Sens!J5166+Sens!K5166)/2</f>
        <v>21.2345539205346</v>
      </c>
    </row>
    <row r="5173" customFormat="false" ht="17.15" hidden="false" customHeight="false" outlineLevel="0" collapsed="false">
      <c r="A5173" s="3" t="s">
        <v>1608</v>
      </c>
    </row>
    <row r="5174" customFormat="false" ht="15" hidden="false" customHeight="false" outlineLevel="0" collapsed="false">
      <c r="A5174" s="4" t="s">
        <v>43</v>
      </c>
      <c r="B5174" s="4" t="s">
        <v>65</v>
      </c>
      <c r="C5174" s="23" t="s">
        <v>938</v>
      </c>
      <c r="D5174" s="23" t="s">
        <v>939</v>
      </c>
      <c r="E5174" s="23" t="s">
        <v>940</v>
      </c>
      <c r="F5174" s="23" t="s">
        <v>941</v>
      </c>
      <c r="G5174" s="23" t="s">
        <v>942</v>
      </c>
      <c r="H5174" s="23" t="s">
        <v>943</v>
      </c>
      <c r="I5174" s="23" t="s">
        <v>944</v>
      </c>
      <c r="J5174" s="23" t="s">
        <v>945</v>
      </c>
      <c r="K5174" s="23" t="s">
        <v>946</v>
      </c>
      <c r="L5174" s="4" t="s">
        <v>47</v>
      </c>
    </row>
    <row r="5175" customFormat="false" ht="15" hidden="false" customHeight="false" outlineLevel="0" collapsed="false">
      <c r="A5175" s="1" t="s">
        <v>1076</v>
      </c>
      <c r="B5175" s="0" t="s">
        <v>98</v>
      </c>
      <c r="F5175" s="6" t="n">
        <f aca="false">Sens!F5156</f>
        <v>145.985521363682</v>
      </c>
      <c r="G5175" s="6" t="n">
        <f aca="false">Sens!G5156</f>
        <v>160.98050638563</v>
      </c>
      <c r="H5175" s="6" t="n">
        <f aca="false">Sens!H5156</f>
        <v>179.67271351243</v>
      </c>
      <c r="I5175" s="6" t="n">
        <f aca="false">Sens!I5156</f>
        <v>197.012195445354</v>
      </c>
      <c r="J5175" s="6" t="n">
        <f aca="false">Sens!J5156</f>
        <v>213.19620460993</v>
      </c>
      <c r="K5175" s="6" t="n">
        <f aca="false">Sens!K5156</f>
        <v>227.700064700071</v>
      </c>
    </row>
    <row r="5176" customFormat="false" ht="17.15" hidden="false" customHeight="false" outlineLevel="0" collapsed="false">
      <c r="A5176" s="1" t="s">
        <v>1098</v>
      </c>
      <c r="B5176" s="0" t="s">
        <v>98</v>
      </c>
      <c r="E5176" s="6" t="n">
        <f aca="false">Q!M38-Sens!E5094</f>
        <v>24.3801052339286</v>
      </c>
      <c r="F5176" s="6" t="n">
        <f aca="false">Sens!E5176*(1-1/life_nonai)+(Sens!F5184+Sens!F5185)/life_nonai</f>
        <v>25.5167043063238</v>
      </c>
      <c r="G5176" s="6" t="n">
        <f aca="false">Sens!F5176*(1-1/life_nonai)+(Sens!G5184)/life_nonai</f>
        <v>27.1010746211162</v>
      </c>
      <c r="H5176" s="6" t="n">
        <f aca="false">Sens!G5176*(1-1/life_nonai)+(Sens!H5184)/life_nonai</f>
        <v>29.0970216558607</v>
      </c>
      <c r="I5176" s="6" t="n">
        <f aca="false">Sens!H5176*(1-1/life_nonai)+(Sens!I5184)/life_nonai</f>
        <v>31.4360588583604</v>
      </c>
      <c r="J5176" s="6" t="n">
        <f aca="false">Sens!I5176*(1-1/life_nonai)+(Sens!J5184)/life_nonai</f>
        <v>34.0330244516952</v>
      </c>
      <c r="K5176" s="6" t="n">
        <f aca="false">Sens!J5176*(1-1/life_nonai)+(Sens!K5184)/life_nonai</f>
        <v>36.8019697125976</v>
      </c>
      <c r="L5176" s="12" t="s">
        <v>1099</v>
      </c>
    </row>
    <row r="5177" customFormat="false" ht="17.15" hidden="false" customHeight="false" outlineLevel="0" collapsed="false">
      <c r="A5177" s="1" t="s">
        <v>1100</v>
      </c>
      <c r="B5177" s="0" t="s">
        <v>98</v>
      </c>
      <c r="F5177" s="6" t="n">
        <f aca="false">Sens!$F$5185/life_nonai*(1-1/life_nonai)^(Sens!F5057-2027)</f>
        <v>1.94586576753864E-006</v>
      </c>
      <c r="G5177" s="6" t="n">
        <f aca="false">Sens!$F$5185/life_nonai*(1-1/life_nonai)^(Sens!G5057-2027)</f>
        <v>1.75127919078477E-006</v>
      </c>
      <c r="H5177" s="6" t="n">
        <f aca="false">Sens!$F$5185/life_nonai*(1-1/life_nonai)^(Sens!H5057-2027)</f>
        <v>1.57615127170629E-006</v>
      </c>
      <c r="I5177" s="6" t="n">
        <f aca="false">Sens!$F$5185/life_nonai*(1-1/life_nonai)^(Sens!I5057-2027)</f>
        <v>1.41853614453567E-006</v>
      </c>
      <c r="J5177" s="6" t="n">
        <f aca="false">Sens!$F$5185/life_nonai*(1-1/life_nonai)^(Sens!J5057-2027)</f>
        <v>1.2766825300821E-006</v>
      </c>
      <c r="K5177" s="6" t="n">
        <f aca="false">Sens!$F$5185/life_nonai*(1-1/life_nonai)^(Sens!K5057-2027)</f>
        <v>1.14901427707389E-006</v>
      </c>
      <c r="L5177" s="1" t="s">
        <v>1101</v>
      </c>
    </row>
    <row r="5178" customFormat="false" ht="17.15" hidden="false" customHeight="false" outlineLevel="0" collapsed="false">
      <c r="A5178" s="1" t="s">
        <v>1102</v>
      </c>
      <c r="B5178" s="0" t="s">
        <v>98</v>
      </c>
      <c r="E5178" s="6" t="n">
        <f aca="false">Sens!E5094+Sens!E5176</f>
        <v>38.534</v>
      </c>
      <c r="F5178" s="6" t="n">
        <f aca="false">Sens!F5094+Sens!F5176</f>
        <v>55.5145209296144</v>
      </c>
      <c r="G5178" s="6" t="n">
        <f aca="false">Sens!G5094+Sens!G5176</f>
        <v>79.7550436057689</v>
      </c>
      <c r="H5178" s="6" t="n">
        <f aca="false">Sens!H5094+Sens!H5176</f>
        <v>106.311113503475</v>
      </c>
      <c r="I5178" s="6" t="n">
        <f aca="false">Sens!I5094+Sens!I5176</f>
        <v>129.928353664657</v>
      </c>
      <c r="J5178" s="6" t="n">
        <f aca="false">Sens!J5094+Sens!J5176</f>
        <v>147.195051528179</v>
      </c>
      <c r="K5178" s="6" t="n">
        <f aca="false">Sens!K5094+Sens!K5176</f>
        <v>158.51618041458</v>
      </c>
    </row>
    <row r="5179" customFormat="false" ht="17.15" hidden="false" customHeight="false" outlineLevel="0" collapsed="false">
      <c r="A5179" s="1" t="s">
        <v>1103</v>
      </c>
      <c r="B5179" s="0" t="s">
        <v>98</v>
      </c>
      <c r="F5179" s="6" t="n">
        <f aca="false">Sens!F5121*sbc_r</f>
        <v>14.9175438377464</v>
      </c>
      <c r="G5179" s="6" t="n">
        <f aca="false">Sens!G5121*sbc_r</f>
        <v>17.8119838712421</v>
      </c>
      <c r="H5179" s="6" t="n">
        <f aca="false">Sens!H5121*sbc_r</f>
        <v>20.7745061486909</v>
      </c>
      <c r="I5179" s="6" t="n">
        <f aca="false">Sens!I5121*sbc_r</f>
        <v>23.4563618366802</v>
      </c>
      <c r="J5179" s="6" t="n">
        <f aca="false">Sens!J5121*sbc_r</f>
        <v>25.6625684107967</v>
      </c>
      <c r="K5179" s="6" t="n">
        <f aca="false">Sens!K5121*sbc_r</f>
        <v>27.3893222371503</v>
      </c>
    </row>
    <row r="5180" customFormat="false" ht="17.15" hidden="false" customHeight="false" outlineLevel="0" collapsed="false">
      <c r="A5180" s="1" t="s">
        <v>1104</v>
      </c>
      <c r="B5180" s="0" t="s">
        <v>98</v>
      </c>
      <c r="F5180" s="6" t="n">
        <f aca="false">wc27-wc26q1</f>
        <v>-4.677</v>
      </c>
      <c r="G5180" s="6" t="n">
        <f aca="false">wc_f</f>
        <v>0</v>
      </c>
      <c r="H5180" s="6" t="n">
        <f aca="false">wc_f</f>
        <v>0</v>
      </c>
      <c r="I5180" s="6" t="n">
        <f aca="false">wc_f</f>
        <v>0</v>
      </c>
      <c r="J5180" s="6" t="n">
        <f aca="false">wc_f</f>
        <v>0</v>
      </c>
      <c r="K5180" s="6" t="n">
        <f aca="false">wc_f</f>
        <v>0</v>
      </c>
      <c r="L5180" s="12" t="s">
        <v>1105</v>
      </c>
    </row>
    <row r="5181" customFormat="false" ht="17.15" hidden="false" customHeight="false" outlineLevel="0" collapsed="false">
      <c r="A5181" s="0" t="s">
        <v>1106</v>
      </c>
      <c r="B5181" s="0" t="s">
        <v>98</v>
      </c>
      <c r="F5181" s="6" t="n">
        <f aca="false">Q!$I$35-Q!$I$26-Q!$I$38-Q!$I$39</f>
        <v>6.493</v>
      </c>
      <c r="L5181" s="1" t="s">
        <v>1107</v>
      </c>
    </row>
    <row r="5182" customFormat="false" ht="15" hidden="false" customHeight="false" outlineLevel="0" collapsed="false">
      <c r="A5182" s="1" t="s">
        <v>904</v>
      </c>
      <c r="B5182" s="0" t="s">
        <v>98</v>
      </c>
      <c r="E5182" s="6" t="n">
        <f aca="false">Q!M35</f>
        <v>182.935</v>
      </c>
      <c r="F5182" s="6" t="n">
        <f aca="false">Sens!F5175+Sens!F5178+Sens!F5179+Sens!F5180+Sens!F5181</f>
        <v>218.233586131043</v>
      </c>
      <c r="G5182" s="6" t="n">
        <f aca="false">Sens!G5175+Sens!G5178+Sens!G5179+Sens!G5180</f>
        <v>258.547533862641</v>
      </c>
      <c r="H5182" s="6" t="n">
        <f aca="false">Sens!H5175+Sens!H5178+Sens!H5179+Sens!H5180</f>
        <v>306.758333164596</v>
      </c>
      <c r="I5182" s="6" t="n">
        <f aca="false">Sens!I5175+Sens!I5178+Sens!I5179+Sens!I5180</f>
        <v>350.396910946692</v>
      </c>
      <c r="J5182" s="6" t="n">
        <f aca="false">Sens!J5175+Sens!J5178+Sens!J5179+Sens!J5180</f>
        <v>386.053824548905</v>
      </c>
      <c r="K5182" s="6" t="n">
        <f aca="false">Sens!K5175+Sens!K5178+Sens!K5179+Sens!K5180</f>
        <v>413.605567351802</v>
      </c>
    </row>
    <row r="5183" customFormat="false" ht="17.15" hidden="false" customHeight="false" outlineLevel="0" collapsed="false">
      <c r="A5183" s="0" t="s">
        <v>1108</v>
      </c>
      <c r="B5183" s="0" t="s">
        <v>98</v>
      </c>
      <c r="F5183" s="6" t="n">
        <f aca="false">Sens!F5091</f>
        <v>168.45390404212</v>
      </c>
      <c r="G5183" s="6" t="n">
        <f aca="false">Sens!G5091</f>
        <v>191.944475649048</v>
      </c>
      <c r="H5183" s="6" t="n">
        <f aca="false">Sens!H5091</f>
        <v>196.806004064512</v>
      </c>
      <c r="I5183" s="6" t="n">
        <f aca="false">Sens!I5091</f>
        <v>139.45408886161</v>
      </c>
      <c r="J5183" s="6" t="n">
        <f aca="false">Sens!J5091</f>
        <v>114.05200019594</v>
      </c>
      <c r="K5183" s="6" t="n">
        <f aca="false">Sens!K5091</f>
        <v>75.5192945447327</v>
      </c>
    </row>
    <row r="5184" customFormat="false" ht="17.15" hidden="false" customHeight="false" outlineLevel="0" collapsed="false">
      <c r="A5184" s="1" t="s">
        <v>1109</v>
      </c>
      <c r="B5184" s="0" t="s">
        <v>98</v>
      </c>
      <c r="E5184" s="6" t="n">
        <f aca="false">Sens!E5099*cx_azo+Sens!E5106*cx_m365+Sens!E5107*cx_lic+(Sens!E5109+Sens!E5111)*cx_ind+Sens!E5114*cx_srch+(Sens!E5116+Sens!E5118)*cx_dev</f>
        <v>30.1846587067718</v>
      </c>
      <c r="F5184" s="6" t="n">
        <f aca="false">Sens!F5099*cx_azo+Sens!F5106*cx_m365+Sens!F5107*cx_lic+(Sens!F5109+Sens!F5111)*cx_ind+Sens!F5114*cx_srch+(Sens!F5116+Sens!F5118)*cx_dev</f>
        <v>35.7460764992227</v>
      </c>
      <c r="G5184" s="6" t="n">
        <f aca="false">Sens!G5099*cx_azo+Sens!G5106*cx_m365+Sens!G5107*cx_lic+(Sens!G5109+Sens!G5111)*cx_ind+Sens!G5114*cx_srch+(Sens!G5116+Sens!G5118)*cx_dev</f>
        <v>41.360407454248</v>
      </c>
      <c r="H5184" s="6" t="n">
        <f aca="false">Sens!H5099*cx_azo+Sens!H5106*cx_m365+Sens!H5107*cx_lic+(Sens!H5109+Sens!H5111)*cx_ind+Sens!H5114*cx_srch+(Sens!H5116+Sens!H5118)*cx_dev</f>
        <v>47.0605449685615</v>
      </c>
      <c r="I5184" s="6" t="n">
        <f aca="false">Sens!I5099*cx_azo+Sens!I5106*cx_m365+Sens!I5107*cx_lic+(Sens!I5109+Sens!I5111)*cx_ind+Sens!I5114*cx_srch+(Sens!I5116+Sens!I5118)*cx_dev</f>
        <v>52.4873936808571</v>
      </c>
      <c r="J5184" s="6" t="n">
        <f aca="false">Sens!J5099*cx_azo+Sens!J5106*cx_m365+Sens!J5107*cx_lic+(Sens!J5109+Sens!J5111)*cx_ind+Sens!J5114*cx_srch+(Sens!J5116+Sens!J5118)*cx_dev</f>
        <v>57.4057147917091</v>
      </c>
      <c r="K5184" s="6" t="n">
        <f aca="false">Sens!K5099*cx_azo+Sens!K5106*cx_m365+Sens!K5107*cx_lic+(Sens!K5109+Sens!K5111)*cx_ind+Sens!K5114*cx_srch+(Sens!K5116+Sens!K5118)*cx_dev</f>
        <v>61.7224770607185</v>
      </c>
    </row>
    <row r="5185" customFormat="false" ht="17.15" hidden="false" customHeight="false" outlineLevel="0" collapsed="false">
      <c r="A5185" s="0" t="s">
        <v>1110</v>
      </c>
      <c r="B5185" s="0" t="s">
        <v>98</v>
      </c>
      <c r="F5185" s="6" t="n">
        <f aca="false">Sens!F5089</f>
        <v>1.94586576753863E-005</v>
      </c>
      <c r="L5185" s="1" t="s">
        <v>1111</v>
      </c>
    </row>
    <row r="5186" customFormat="false" ht="17.15" hidden="false" customHeight="false" outlineLevel="0" collapsed="false">
      <c r="A5186" s="1" t="s">
        <v>1112</v>
      </c>
      <c r="B5186" s="0" t="s">
        <v>98</v>
      </c>
      <c r="E5186" s="6" t="n">
        <f aca="false">Q!M43</f>
        <v>145.3</v>
      </c>
      <c r="F5186" s="6" t="n">
        <f aca="false">Sens!F5183+Sens!F5184+Sens!F5185</f>
        <v>204.2</v>
      </c>
      <c r="G5186" s="6" t="n">
        <f aca="false">Sens!G5183+Sens!G5184</f>
        <v>233.304883103296</v>
      </c>
      <c r="H5186" s="6" t="n">
        <f aca="false">Sens!H5183+Sens!H5184</f>
        <v>243.866549033074</v>
      </c>
      <c r="I5186" s="6" t="n">
        <f aca="false">Sens!I5183+Sens!I5184</f>
        <v>191.941482542467</v>
      </c>
      <c r="J5186" s="6" t="n">
        <f aca="false">Sens!J5183+Sens!J5184</f>
        <v>171.45771498765</v>
      </c>
      <c r="K5186" s="6" t="n">
        <f aca="false">Sens!K5183+Sens!K5184</f>
        <v>137.241771605451</v>
      </c>
      <c r="L5186" s="1" t="s">
        <v>1113</v>
      </c>
    </row>
    <row r="5187" customFormat="false" ht="15" hidden="false" customHeight="false" outlineLevel="0" collapsed="false">
      <c r="A5187" s="1" t="s">
        <v>1114</v>
      </c>
      <c r="B5187" s="0" t="s">
        <v>98</v>
      </c>
      <c r="E5187" s="6" t="n">
        <f aca="false">fl_liab</f>
        <v>66.594</v>
      </c>
      <c r="F5187" s="6" t="n">
        <f aca="false">Sens!E5187-Sens!F5188</f>
        <v>62.46973</v>
      </c>
      <c r="G5187" s="6" t="n">
        <f aca="false">Sens!F5187-Sens!G5188</f>
        <v>57.98686785</v>
      </c>
      <c r="H5187" s="6" t="n">
        <f aca="false">Sens!G5187-Sens!H5188</f>
        <v>53.92827690325</v>
      </c>
      <c r="I5187" s="6" t="n">
        <f aca="false">Sens!H5187-Sens!I5188</f>
        <v>49.7850493638962</v>
      </c>
      <c r="J5187" s="6" t="n">
        <f aca="false">Sens!I5187-Sens!J5188</f>
        <v>45.4823765852716</v>
      </c>
      <c r="K5187" s="6" t="n">
        <f aca="false">Sens!J5187-Sens!K5188</f>
        <v>40.9860835316088</v>
      </c>
    </row>
    <row r="5188" customFormat="false" ht="15" hidden="false" customHeight="false" outlineLevel="0" collapsed="false">
      <c r="A5188" s="1" t="s">
        <v>1115</v>
      </c>
      <c r="B5188" s="0" t="s">
        <v>98</v>
      </c>
      <c r="F5188" s="6" t="n">
        <f aca="false">fl_pay_27-Sens!E5187*fl_rate</f>
        <v>4.12427</v>
      </c>
      <c r="G5188" s="6" t="n">
        <f aca="false">fl_pay_28-Sens!F5187*fl_rate</f>
        <v>4.48286215</v>
      </c>
      <c r="H5188" s="6" t="n">
        <f aca="false">fl_pay_29-Sens!G5187*fl_rate</f>
        <v>4.05859094675</v>
      </c>
      <c r="I5188" s="6" t="n">
        <f aca="false">fl_pay_30-Sens!H5187*fl_rate</f>
        <v>4.14322753935375</v>
      </c>
      <c r="J5188" s="6" t="n">
        <f aca="false">fl_pay_31-Sens!I5187*fl_rate</f>
        <v>4.30267277862467</v>
      </c>
      <c r="K5188" s="6" t="n">
        <f aca="false">fl_pay_32-Sens!J5187*fl_rate</f>
        <v>4.49629305366278</v>
      </c>
    </row>
    <row r="5189" customFormat="false" ht="17.15" hidden="false" customHeight="false" outlineLevel="0" collapsed="false">
      <c r="A5189" s="1" t="s">
        <v>1116</v>
      </c>
      <c r="B5189" s="0" t="s">
        <v>98</v>
      </c>
      <c r="E5189" s="6" t="n">
        <f aca="false">Q!M35-Q!M36-Q!M44</f>
        <v>63.886</v>
      </c>
      <c r="F5189" s="6" t="n">
        <f aca="false">Sens!F5182-Sens!F5186-Sens!F5188</f>
        <v>9.90931613104299</v>
      </c>
      <c r="G5189" s="6" t="n">
        <f aca="false">Sens!G5182-Sens!G5186-Sens!G5188</f>
        <v>20.7597886093449</v>
      </c>
      <c r="H5189" s="6" t="n">
        <f aca="false">Sens!H5182-Sens!H5186-Sens!H5188</f>
        <v>58.8331931847719</v>
      </c>
      <c r="I5189" s="6" t="n">
        <f aca="false">Sens!I5182-Sens!I5186-Sens!I5188</f>
        <v>154.312200864871</v>
      </c>
      <c r="J5189" s="6" t="n">
        <f aca="false">Sens!J5182-Sens!J5186-Sens!J5188</f>
        <v>210.293436782631</v>
      </c>
      <c r="K5189" s="6" t="n">
        <f aca="false">Sens!K5182-Sens!K5186-Sens!K5188</f>
        <v>271.867502692688</v>
      </c>
      <c r="L5189" s="12" t="s">
        <v>1117</v>
      </c>
    </row>
    <row r="5190" customFormat="false" ht="15" hidden="false" customHeight="false" outlineLevel="0" collapsed="false">
      <c r="A5190" s="1" t="s">
        <v>1118</v>
      </c>
      <c r="B5190" s="0" t="s">
        <v>75</v>
      </c>
      <c r="F5190" s="8" t="n">
        <f aca="false">dps_27</f>
        <v>3.85</v>
      </c>
      <c r="G5190" s="8" t="n">
        <f aca="false">Sens!F5190*(1+dps_g)</f>
        <v>4.158</v>
      </c>
      <c r="H5190" s="8" t="n">
        <f aca="false">Sens!G5190*(1+dps_g)</f>
        <v>4.49064</v>
      </c>
      <c r="I5190" s="8" t="n">
        <f aca="false">Sens!H5190*(1+dps_g)</f>
        <v>4.8498912</v>
      </c>
      <c r="J5190" s="8" t="n">
        <f aca="false">Sens!I5190*(1+dps_g)</f>
        <v>5.237882496</v>
      </c>
      <c r="K5190" s="8" t="n">
        <f aca="false">Sens!J5190*(1+dps_g)</f>
        <v>5.65691309568</v>
      </c>
    </row>
    <row r="5191" customFormat="false" ht="17.15" hidden="false" customHeight="false" outlineLevel="0" collapsed="false">
      <c r="A5191" s="1" t="s">
        <v>1119</v>
      </c>
      <c r="B5191" s="0" t="s">
        <v>98</v>
      </c>
      <c r="E5191" s="6" t="n">
        <f aca="false">Q!M41</f>
        <v>26.445</v>
      </c>
      <c r="F5191" s="6" t="n">
        <f aca="false">Sens!F5190*Sens!E5200</f>
        <v>28.59395</v>
      </c>
      <c r="G5191" s="6" t="n">
        <f aca="false">Sens!G5190*Sens!F5200</f>
        <v>31.068576</v>
      </c>
      <c r="H5191" s="6" t="n">
        <f aca="false">Sens!H5190*Sens!G5200</f>
        <v>33.75614088</v>
      </c>
      <c r="I5191" s="6" t="n">
        <f aca="false">Sens!I5190*Sens!H5200</f>
        <v>36.5070704274727</v>
      </c>
      <c r="J5191" s="6" t="n">
        <f aca="false">Sens!J5190*Sens!I5200</f>
        <v>39.4955339470631</v>
      </c>
      <c r="K5191" s="6" t="n">
        <f aca="false">Sens!K5190*Sens!J5200</f>
        <v>42.7419309252064</v>
      </c>
      <c r="L5191" s="1" t="s">
        <v>1120</v>
      </c>
    </row>
    <row r="5192" customFormat="false" ht="15" hidden="false" customHeight="false" outlineLevel="0" collapsed="false">
      <c r="A5192" s="1" t="s">
        <v>1121</v>
      </c>
      <c r="B5192" s="0" t="s">
        <v>98</v>
      </c>
      <c r="E5192" s="6" t="n">
        <f aca="false">Sens!E5189-Sens!E5191</f>
        <v>37.441</v>
      </c>
      <c r="F5192" s="6" t="n">
        <f aca="false">Sens!F5189-Sens!F5191</f>
        <v>-18.684633868957</v>
      </c>
      <c r="G5192" s="6" t="n">
        <f aca="false">Sens!G5189-Sens!G5191</f>
        <v>-10.3087873906551</v>
      </c>
      <c r="H5192" s="6" t="n">
        <f aca="false">Sens!H5189-Sens!H5191</f>
        <v>25.0770523047719</v>
      </c>
      <c r="I5192" s="6" t="n">
        <f aca="false">Sens!I5189-Sens!I5191</f>
        <v>117.805130437398</v>
      </c>
      <c r="J5192" s="6" t="n">
        <f aca="false">Sens!J5189-Sens!J5191</f>
        <v>170.797902835568</v>
      </c>
      <c r="K5192" s="6" t="n">
        <f aca="false">Sens!K5189-Sens!K5191</f>
        <v>229.125571767482</v>
      </c>
    </row>
    <row r="5193" customFormat="false" ht="15" hidden="false" customHeight="false" outlineLevel="0" collapsed="false">
      <c r="A5193" s="1" t="s">
        <v>1122</v>
      </c>
      <c r="B5193" s="0" t="s">
        <v>98</v>
      </c>
      <c r="F5193" s="6" t="n">
        <f aca="false">debt_mat_27</f>
        <v>9.25</v>
      </c>
      <c r="G5193" s="6" t="n">
        <f aca="false">debt_mat_28</f>
        <v>0</v>
      </c>
      <c r="H5193" s="6" t="n">
        <f aca="false">debt_mat_29</f>
        <v>2.001</v>
      </c>
      <c r="I5193" s="6" t="n">
        <f aca="false">debt_mat_30</f>
        <v>0</v>
      </c>
      <c r="J5193" s="6" t="n">
        <f aca="false">debt_mat_31</f>
        <v>0.5</v>
      </c>
      <c r="K5193" s="6" t="n">
        <f aca="false">debt_mat_32</f>
        <v>0</v>
      </c>
    </row>
    <row r="5194" customFormat="false" ht="15" hidden="false" customHeight="false" outlineLevel="0" collapsed="false">
      <c r="A5194" s="1" t="s">
        <v>1123</v>
      </c>
      <c r="B5194" s="0" t="s">
        <v>98</v>
      </c>
      <c r="E5194" s="6" t="n">
        <f aca="false">Q!M40</f>
        <v>22.271</v>
      </c>
      <c r="F5194" s="6" t="n">
        <f aca="false">MAX(0,MIN(bb_target,Sens!E5196+Sens!F5192-Sens!F5193-min_cash))</f>
        <v>0</v>
      </c>
      <c r="G5194" s="6" t="n">
        <f aca="false">MAX(0,MIN(bb_target,Sens!F5196+Sens!G5192-Sens!G5193-min_cash))</f>
        <v>0</v>
      </c>
      <c r="H5194" s="6" t="n">
        <f aca="false">MAX(0,MIN(bb_target,Sens!G5196+Sens!H5192-Sens!H5193-min_cash))</f>
        <v>22.271</v>
      </c>
      <c r="I5194" s="6" t="n">
        <f aca="false">MAX(0,MIN(bb_target,Sens!H5196+Sens!I5192-Sens!I5193-min_cash))</f>
        <v>22.271</v>
      </c>
      <c r="J5194" s="6" t="n">
        <f aca="false">MAX(0,MIN(bb_target,Sens!I5196+Sens!J5192-Sens!J5193-min_cash))</f>
        <v>22.271</v>
      </c>
      <c r="K5194" s="6" t="n">
        <f aca="false">MAX(0,MIN(bb_target,Sens!J5196+Sens!K5192-Sens!K5193-min_cash))</f>
        <v>22.271</v>
      </c>
    </row>
    <row r="5195" customFormat="false" ht="15" hidden="false" customHeight="false" outlineLevel="0" collapsed="false">
      <c r="A5195" s="1" t="s">
        <v>1124</v>
      </c>
      <c r="B5195" s="0" t="s">
        <v>98</v>
      </c>
      <c r="F5195" s="6" t="n">
        <f aca="false">MAX(0,min_cash-(Sens!E5196+Sens!F5192-Sens!F5193-Sens!F5194))</f>
        <v>1.091633868957</v>
      </c>
      <c r="G5195" s="6" t="n">
        <f aca="false">MAX(0,min_cash-(Sens!F5196+Sens!G5192-Sens!G5193-Sens!G5194))</f>
        <v>10.3087873906551</v>
      </c>
      <c r="H5195" s="6" t="n">
        <f aca="false">MAX(0,min_cash-(Sens!G5196+Sens!H5192-Sens!H5193-Sens!H5194))</f>
        <v>0</v>
      </c>
      <c r="I5195" s="6" t="n">
        <f aca="false">MAX(0,min_cash-(Sens!H5196+Sens!I5192-Sens!I5193-Sens!I5194))</f>
        <v>0</v>
      </c>
      <c r="J5195" s="6" t="n">
        <f aca="false">MAX(0,min_cash-(Sens!I5196+Sens!J5192-Sens!J5193-Sens!J5194))</f>
        <v>0</v>
      </c>
      <c r="K5195" s="6" t="n">
        <f aca="false">MAX(0,min_cash-(Sens!J5196+Sens!K5192-Sens!K5193-Sens!K5194))</f>
        <v>0</v>
      </c>
    </row>
    <row r="5196" customFormat="false" ht="15" hidden="false" customHeight="false" outlineLevel="0" collapsed="false">
      <c r="A5196" s="1" t="s">
        <v>1125</v>
      </c>
      <c r="B5196" s="0" t="s">
        <v>98</v>
      </c>
      <c r="E5196" s="6" t="n">
        <f aca="false">cash_open</f>
        <v>76.843</v>
      </c>
      <c r="F5196" s="6" t="n">
        <f aca="false">Sens!E5196+Sens!F5192-Sens!F5193-Sens!F5194+Sens!F5195</f>
        <v>50</v>
      </c>
      <c r="G5196" s="6" t="n">
        <f aca="false">Sens!F5196+Sens!G5192-Sens!G5193-Sens!G5194+Sens!G5195</f>
        <v>50</v>
      </c>
      <c r="H5196" s="6" t="n">
        <f aca="false">Sens!G5196+Sens!H5192-Sens!H5193-Sens!H5194+Sens!H5195</f>
        <v>50.8050523047719</v>
      </c>
      <c r="I5196" s="6" t="n">
        <f aca="false">Sens!H5196+Sens!I5192-Sens!I5193-Sens!I5194+Sens!I5195</f>
        <v>146.33918274217</v>
      </c>
      <c r="J5196" s="6" t="n">
        <f aca="false">Sens!I5196+Sens!J5192-Sens!J5193-Sens!J5194+Sens!J5195</f>
        <v>294.366085577738</v>
      </c>
      <c r="K5196" s="6" t="n">
        <f aca="false">Sens!J5196+Sens!K5192-Sens!K5193-Sens!K5194+Sens!K5195</f>
        <v>501.220657345219</v>
      </c>
    </row>
    <row r="5197" customFormat="false" ht="15" hidden="false" customHeight="false" outlineLevel="0" collapsed="false">
      <c r="A5197" s="1" t="s">
        <v>1126</v>
      </c>
      <c r="B5197" s="0" t="s">
        <v>98</v>
      </c>
      <c r="E5197" s="6" t="n">
        <f aca="false">debt_face</f>
        <v>46.136</v>
      </c>
      <c r="F5197" s="6" t="n">
        <f aca="false">Sens!E5197-Sens!F5193+Sens!F5195</f>
        <v>37.977633868957</v>
      </c>
      <c r="G5197" s="6" t="n">
        <f aca="false">Sens!F5197-Sens!G5193+Sens!G5195</f>
        <v>48.2864212596121</v>
      </c>
      <c r="H5197" s="6" t="n">
        <f aca="false">Sens!G5197-Sens!H5193+Sens!H5195</f>
        <v>46.2854212596121</v>
      </c>
      <c r="I5197" s="6" t="n">
        <f aca="false">Sens!H5197-Sens!I5193+Sens!I5195</f>
        <v>46.2854212596121</v>
      </c>
      <c r="J5197" s="6" t="n">
        <f aca="false">Sens!I5197-Sens!J5193+Sens!J5195</f>
        <v>45.7854212596121</v>
      </c>
      <c r="K5197" s="6" t="n">
        <f aca="false">Sens!J5197-Sens!K5193+Sens!K5195</f>
        <v>45.7854212596121</v>
      </c>
    </row>
    <row r="5198" customFormat="false" ht="15" hidden="false" customHeight="false" outlineLevel="0" collapsed="false">
      <c r="A5198" s="1" t="s">
        <v>1127</v>
      </c>
      <c r="B5198" s="0" t="s">
        <v>98</v>
      </c>
      <c r="E5198" s="6" t="n">
        <f aca="false">Sens!E5196-Sens!E5197</f>
        <v>30.707</v>
      </c>
      <c r="F5198" s="6" t="n">
        <f aca="false">Sens!F5196-Sens!F5197</f>
        <v>12.022366131043</v>
      </c>
      <c r="G5198" s="6" t="n">
        <f aca="false">Sens!G5196-Sens!G5197</f>
        <v>1.71357874038788</v>
      </c>
      <c r="H5198" s="6" t="n">
        <f aca="false">Sens!H5196-Sens!H5197</f>
        <v>4.51963104515976</v>
      </c>
      <c r="I5198" s="6" t="n">
        <f aca="false">Sens!I5196-Sens!I5197</f>
        <v>100.053761482558</v>
      </c>
      <c r="J5198" s="6" t="n">
        <f aca="false">Sens!J5196-Sens!J5197</f>
        <v>248.580664318126</v>
      </c>
      <c r="K5198" s="6" t="n">
        <f aca="false">Sens!K5196-Sens!K5197</f>
        <v>455.435236085607</v>
      </c>
    </row>
    <row r="5199" customFormat="false" ht="15" hidden="false" customHeight="false" outlineLevel="0" collapsed="false">
      <c r="A5199" s="1" t="s">
        <v>1128</v>
      </c>
      <c r="B5199" s="0" t="s">
        <v>75</v>
      </c>
      <c r="F5199" s="30" t="n">
        <f aca="false">px*(1+bb_g)^(Sens!F5057-base_fy-mid_yr)</f>
        <v>551.84177959629</v>
      </c>
      <c r="G5199" s="30" t="n">
        <f aca="false">px*(1+bb_g)^(Sens!G5057-base_fy-mid_yr)</f>
        <v>595.989121963993</v>
      </c>
      <c r="H5199" s="30" t="n">
        <f aca="false">px*(1+bb_g)^(Sens!H5057-base_fy-mid_yr)</f>
        <v>643.668251721112</v>
      </c>
      <c r="I5199" s="30" t="n">
        <f aca="false">px*(1+bb_g)^(Sens!I5057-base_fy-mid_yr)</f>
        <v>695.161711858801</v>
      </c>
      <c r="J5199" s="30" t="n">
        <f aca="false">px*(1+bb_g)^(Sens!J5057-base_fy-mid_yr)</f>
        <v>750.774648807506</v>
      </c>
      <c r="K5199" s="30" t="n">
        <f aca="false">px*(1+bb_g)^(Sens!K5057-base_fy-mid_yr)</f>
        <v>810.836620712106</v>
      </c>
    </row>
    <row r="5200" customFormat="false" ht="15" hidden="false" customHeight="false" outlineLevel="0" collapsed="false">
      <c r="A5200" s="1" t="s">
        <v>1129</v>
      </c>
      <c r="B5200" s="1" t="s">
        <v>81</v>
      </c>
      <c r="E5200" s="15" t="n">
        <f aca="false">sh_out26</f>
        <v>7.427</v>
      </c>
      <c r="F5200" s="15" t="n">
        <f aca="false">Sens!E5200+sh_iss-Sens!F5194/Sens!F5199</f>
        <v>7.472</v>
      </c>
      <c r="G5200" s="15" t="n">
        <f aca="false">Sens!F5200+sh_iss-Sens!G5194/Sens!G5199</f>
        <v>7.517</v>
      </c>
      <c r="H5200" s="15" t="n">
        <f aca="false">Sens!G5200+sh_iss-Sens!H5194/Sens!H5199</f>
        <v>7.5273998780576</v>
      </c>
      <c r="I5200" s="15" t="n">
        <f aca="false">Sens!H5200+sh_iss-Sens!I5194/Sens!I5199</f>
        <v>7.54036272811094</v>
      </c>
      <c r="J5200" s="15" t="n">
        <f aca="false">Sens!I5200+sh_iss-Sens!J5194/Sens!J5199</f>
        <v>7.55569870038255</v>
      </c>
      <c r="K5200" s="15" t="n">
        <f aca="false">Sens!J5200+sh_iss-Sens!K5194/Sens!K5199</f>
        <v>7.57323200804144</v>
      </c>
    </row>
    <row r="5201" customFormat="false" ht="15" hidden="false" customHeight="false" outlineLevel="0" collapsed="false">
      <c r="A5201" s="1" t="s">
        <v>1130</v>
      </c>
      <c r="B5201" s="1" t="s">
        <v>81</v>
      </c>
      <c r="E5201" s="15" t="n">
        <f aca="false">sh_dil26</f>
        <v>7.453</v>
      </c>
      <c r="F5201" s="15" t="n">
        <f aca="false">(Sens!E5200+Sens!F5200)/2+dil_gap</f>
        <v>7.4735</v>
      </c>
      <c r="G5201" s="15" t="n">
        <f aca="false">(Sens!F5200+Sens!G5200)/2+dil_gap</f>
        <v>7.5185</v>
      </c>
      <c r="H5201" s="15" t="n">
        <f aca="false">(Sens!G5200+Sens!H5200)/2+dil_gap</f>
        <v>7.5461999390288</v>
      </c>
      <c r="I5201" s="15" t="n">
        <f aca="false">(Sens!H5200+Sens!I5200)/2+dil_gap</f>
        <v>7.55788130308427</v>
      </c>
      <c r="J5201" s="15" t="n">
        <f aca="false">(Sens!I5200+Sens!J5200)/2+dil_gap</f>
        <v>7.57203071424674</v>
      </c>
      <c r="K5201" s="15" t="n">
        <f aca="false">(Sens!J5200+Sens!K5200)/2+dil_gap</f>
        <v>7.58846535421199</v>
      </c>
    </row>
    <row r="5202" customFormat="false" ht="17.15" hidden="false" customHeight="false" outlineLevel="0" collapsed="false">
      <c r="A5202" s="1" t="s">
        <v>1131</v>
      </c>
      <c r="B5202" s="0" t="s">
        <v>98</v>
      </c>
      <c r="C5202" s="6" t="n">
        <f aca="false">SUM(Sens!F5192:J5192)</f>
        <v>284.686664318126</v>
      </c>
    </row>
    <row r="5203" customFormat="false" ht="15" hidden="false" customHeight="false" outlineLevel="0" collapsed="false">
      <c r="A5203" s="26" t="s">
        <v>1096</v>
      </c>
      <c r="B5203" s="31" t="s">
        <v>98</v>
      </c>
      <c r="C5203" s="27" t="n">
        <f aca="false">Sens!$C$5202-(Sens!F5192+Sens!G5192+Sens!H5192+Sens!I5192+Sens!J5192)</f>
        <v>0</v>
      </c>
      <c r="D5203" s="31"/>
      <c r="E5203" s="31"/>
      <c r="F5203" s="31"/>
      <c r="G5203" s="31"/>
      <c r="H5203" s="31"/>
      <c r="I5203" s="31"/>
      <c r="J5203" s="31"/>
      <c r="K5203" s="31"/>
    </row>
    <row r="5204" customFormat="false" ht="17.15" hidden="false" customHeight="false" outlineLevel="0" collapsed="false">
      <c r="A5204" s="1" t="s">
        <v>1090</v>
      </c>
      <c r="B5204" s="1" t="s">
        <v>1132</v>
      </c>
      <c r="C5204" s="33" t="str">
        <f aca="false">IF(SUM(Sens!F5195:J5195)&gt;0.05,"需要舉債 "&amp;TEXT(SUM(Sens!F5195:J5195),"0.0")&amp;" 十億美元","不需舉債")&amp;"；"&amp;IF(SUM(Sens!F5194:J5194)&lt;COUNT(Sens!F5194:J5194)*bb_target-0.05,"回購較每年 "&amp;TEXT(bb_target,"0.0")&amp;" 的目標少 "&amp;TEXT(COUNT(Sens!F5194:J5194)*bb_target-SUM(Sens!F5194:J5194),"0.0")&amp;" 十億美元（"&amp;TEXT(COUNTIF(Sens!F5194:J5194,"&lt;"&amp;(bb_target-0.05)),"0")&amp;" 年減少）","回購不減")</f>
        <v>需要舉債 11.4 十億美元；回購較每年 22.3 的目標少 44.5 十億美元（2 年減少）</v>
      </c>
    </row>
    <row r="5205" customFormat="false" ht="17.15" hidden="false" customHeight="false" outlineLevel="0" collapsed="false">
      <c r="A5205" s="3" t="s">
        <v>1609</v>
      </c>
    </row>
    <row r="5206" customFormat="false" ht="15" hidden="false" customHeight="false" outlineLevel="0" collapsed="false">
      <c r="A5206" s="4" t="s">
        <v>43</v>
      </c>
      <c r="B5206" s="4" t="s">
        <v>65</v>
      </c>
      <c r="C5206" s="23" t="s">
        <v>938</v>
      </c>
      <c r="D5206" s="23" t="s">
        <v>939</v>
      </c>
      <c r="E5206" s="23" t="s">
        <v>940</v>
      </c>
      <c r="F5206" s="23" t="s">
        <v>941</v>
      </c>
      <c r="G5206" s="23" t="s">
        <v>942</v>
      </c>
      <c r="H5206" s="23" t="s">
        <v>943</v>
      </c>
      <c r="I5206" s="23" t="s">
        <v>944</v>
      </c>
      <c r="J5206" s="23" t="s">
        <v>945</v>
      </c>
      <c r="K5206" s="23" t="s">
        <v>946</v>
      </c>
      <c r="L5206" s="4" t="s">
        <v>47</v>
      </c>
    </row>
    <row r="5207" customFormat="false" ht="17.15" hidden="false" customHeight="false" outlineLevel="0" collapsed="false">
      <c r="A5207" s="1" t="s">
        <v>1212</v>
      </c>
      <c r="B5207" s="1" t="s">
        <v>279</v>
      </c>
      <c r="F5207" s="8" t="n">
        <f aca="false">(1-v_off)*mid_yr</f>
        <v>0.373972602739726</v>
      </c>
      <c r="G5207" s="8" t="n">
        <f aca="false">Sens!G5057-base_fy-mid_yr-v_off</f>
        <v>1.24794520547945</v>
      </c>
      <c r="H5207" s="8" t="n">
        <f aca="false">Sens!H5057-base_fy-mid_yr-v_off</f>
        <v>2.24794520547945</v>
      </c>
      <c r="I5207" s="8" t="n">
        <f aca="false">Sens!I5057-base_fy-mid_yr-v_off</f>
        <v>3.24794520547945</v>
      </c>
      <c r="J5207" s="8" t="n">
        <f aca="false">Sens!J5057-base_fy-mid_yr-v_off</f>
        <v>4.24794520547945</v>
      </c>
      <c r="K5207" s="8" t="n">
        <f aca="false">Sens!K5057-base_fy-mid_yr-v_off</f>
        <v>5.24794520547945</v>
      </c>
      <c r="L5207" s="12" t="s">
        <v>1213</v>
      </c>
    </row>
    <row r="5208" customFormat="false" ht="15" hidden="false" customHeight="false" outlineLevel="0" collapsed="false">
      <c r="A5208" s="1" t="s">
        <v>1214</v>
      </c>
      <c r="B5208" s="1" t="s">
        <v>279</v>
      </c>
      <c r="F5208" s="8" t="n">
        <f aca="false">Sens!F5057-base_fy-v_off</f>
        <v>0.747945205479452</v>
      </c>
      <c r="G5208" s="8" t="n">
        <f aca="false">Sens!G5057-base_fy-v_off</f>
        <v>1.74794520547945</v>
      </c>
      <c r="H5208" s="8" t="n">
        <f aca="false">Sens!H5057-base_fy-v_off</f>
        <v>2.74794520547945</v>
      </c>
      <c r="I5208" s="8" t="n">
        <f aca="false">Sens!I5057-base_fy-v_off</f>
        <v>3.74794520547945</v>
      </c>
      <c r="J5208" s="8" t="n">
        <f aca="false">Sens!J5057-base_fy-v_off</f>
        <v>4.74794520547945</v>
      </c>
      <c r="K5208" s="8" t="n">
        <f aca="false">Sens!K5057-base_fy-v_off</f>
        <v>5.74794520547945</v>
      </c>
    </row>
    <row r="5209" customFormat="false" ht="15" hidden="false" customHeight="false" outlineLevel="0" collapsed="false">
      <c r="A5209" s="1" t="s">
        <v>1215</v>
      </c>
      <c r="B5209" s="0" t="s">
        <v>229</v>
      </c>
      <c r="F5209" s="15" t="n">
        <f aca="false">1/(1+wacc)^Sens!F5207</f>
        <v>0.964022703286649</v>
      </c>
      <c r="G5209" s="15" t="n">
        <f aca="false">1/(1+wacc)^Sens!G5207</f>
        <v>0.884910302296739</v>
      </c>
      <c r="H5209" s="15" t="n">
        <f aca="false">1/(1+wacc)^Sens!H5207</f>
        <v>0.802322009770358</v>
      </c>
      <c r="I5209" s="15" t="n">
        <f aca="false">1/(1+wacc)^Sens!I5207</f>
        <v>0.727441646561469</v>
      </c>
      <c r="J5209" s="15" t="n">
        <f aca="false">1/(1+wacc)^Sens!J5207</f>
        <v>0.659549834988973</v>
      </c>
      <c r="K5209" s="15" t="n">
        <f aca="false">1/(1+wacc)^Sens!K5207</f>
        <v>0.597994336576966</v>
      </c>
    </row>
    <row r="5210" customFormat="false" ht="17.15" hidden="false" customHeight="false" outlineLevel="0" collapsed="false">
      <c r="A5210" s="1" t="s">
        <v>1216</v>
      </c>
      <c r="B5210" s="0" t="s">
        <v>98</v>
      </c>
      <c r="F5210" s="6" t="n">
        <f aca="false">Q!$I$35-Q!$I$39-Q!$I$43</f>
        <v>9.666</v>
      </c>
      <c r="L5210" s="12" t="s">
        <v>1217</v>
      </c>
    </row>
    <row r="5211" customFormat="false" ht="17.15" hidden="false" customHeight="false" outlineLevel="0" collapsed="false">
      <c r="A5211" s="1" t="s">
        <v>1218</v>
      </c>
      <c r="B5211" s="0" t="s">
        <v>98</v>
      </c>
      <c r="F5211" s="6" t="n">
        <f aca="false">Sens!F5182-Sens!F5179-Sens!F5186+Sens!F5164*(1-tax_f)*(1-v_off)-Sens!F5210</f>
        <v>-4.68590329799852</v>
      </c>
      <c r="G5211" s="6" t="n">
        <f aca="false">Sens!G5182-Sens!G5179-Sens!G5186+Sens!G5164*(1-tax_f)</f>
        <v>27.7422561871521</v>
      </c>
      <c r="H5211" s="6" t="n">
        <f aca="false">Sens!H5182-Sens!H5179-Sens!H5186+Sens!H5164*(1-tax_f)</f>
        <v>76.0787900761162</v>
      </c>
      <c r="I5211" s="6" t="n">
        <f aca="false">Sens!I5182-Sens!I5179-Sens!I5186+Sens!I5164*(1-tax_f)</f>
        <v>180.971790232397</v>
      </c>
      <c r="J5211" s="6" t="n">
        <f aca="false">Sens!J5182-Sens!J5179-Sens!J5186+Sens!J5164*(1-tax_f)</f>
        <v>243.331494644775</v>
      </c>
      <c r="K5211" s="6" t="n">
        <f aca="false">Sens!K5182-Sens!K5179-Sens!K5186+Sens!K5164*(1-tax_f)</f>
        <v>307.480502430986</v>
      </c>
      <c r="L5211" s="1" t="s">
        <v>1219</v>
      </c>
    </row>
    <row r="5212" customFormat="false" ht="15" hidden="false" customHeight="false" outlineLevel="0" collapsed="false">
      <c r="A5212" s="1" t="s">
        <v>1220</v>
      </c>
      <c r="B5212" s="0" t="s">
        <v>98</v>
      </c>
      <c r="F5212" s="6" t="n">
        <f aca="false">Sens!F5211*Sens!F5209</f>
        <v>-4.51731716467636</v>
      </c>
      <c r="G5212" s="6" t="n">
        <f aca="false">Sens!G5211*Sens!G5209</f>
        <v>24.5494083089663</v>
      </c>
      <c r="H5212" s="6" t="n">
        <f aca="false">Sens!H5211*Sens!H5209</f>
        <v>61.0396877547667</v>
      </c>
      <c r="I5212" s="6" t="n">
        <f aca="false">Sens!I5211*Sens!I5209</f>
        <v>131.646417067831</v>
      </c>
      <c r="J5212" s="6" t="n">
        <f aca="false">Sens!J5211*Sens!J5209</f>
        <v>160.489247140582</v>
      </c>
      <c r="K5212" s="6" t="n">
        <f aca="false">Sens!K5211*Sens!K5209</f>
        <v>183.87159906157</v>
      </c>
    </row>
    <row r="5213" customFormat="false" ht="17.15" hidden="false" customHeight="false" outlineLevel="0" collapsed="false">
      <c r="A5213" s="1" t="s">
        <v>1221</v>
      </c>
      <c r="B5213" s="0" t="s">
        <v>98</v>
      </c>
      <c r="C5213" s="6" t="n">
        <f aca="false">SUM(Sens!F5212:K5212)</f>
        <v>557.079042169039</v>
      </c>
    </row>
    <row r="5214" customFormat="false" ht="17.15" hidden="false" customHeight="false" outlineLevel="0" collapsed="false">
      <c r="A5214" s="1" t="s">
        <v>1222</v>
      </c>
      <c r="B5214" s="0" t="s">
        <v>98</v>
      </c>
      <c r="C5214" s="6" t="n">
        <f aca="false">Sens!K5150*(1+g_tv)*(1-tax_f)</f>
        <v>295.781076430513</v>
      </c>
    </row>
    <row r="5215" customFormat="false" ht="17.15" hidden="false" customHeight="false" outlineLevel="0" collapsed="false">
      <c r="A5215" s="1" t="s">
        <v>1223</v>
      </c>
      <c r="B5215" s="0" t="s">
        <v>98</v>
      </c>
      <c r="C5215" s="6" t="n">
        <f aca="false">Sens!$C$5214*(1-g_tv/(wacc+ronic_prem))</f>
        <v>209.578179954127</v>
      </c>
    </row>
    <row r="5216" customFormat="false" ht="17.15" hidden="false" customHeight="false" outlineLevel="0" collapsed="false">
      <c r="A5216" s="1" t="s">
        <v>1224</v>
      </c>
      <c r="B5216" s="0" t="s">
        <v>98</v>
      </c>
      <c r="C5216" s="6" t="n">
        <f aca="false">Sens!$C$5215/(wacc-g_tv)</f>
        <v>2873.42988254619</v>
      </c>
    </row>
    <row r="5217" customFormat="false" ht="15" hidden="false" customHeight="false" outlineLevel="0" collapsed="false">
      <c r="A5217" s="1" t="s">
        <v>1225</v>
      </c>
      <c r="B5217" s="0" t="s">
        <v>98</v>
      </c>
      <c r="C5217" s="6" t="n">
        <f aca="false">Sens!$C$5216/(1+wacc)^Sens!K5208</f>
        <v>1636.14730878118</v>
      </c>
    </row>
    <row r="5218" customFormat="false" ht="17.15" hidden="false" customHeight="false" outlineLevel="0" collapsed="false">
      <c r="A5218" s="0" t="s">
        <v>1226</v>
      </c>
      <c r="B5218" s="0" t="s">
        <v>98</v>
      </c>
      <c r="C5218" s="6" t="n">
        <f aca="false">Sens!$C$5213+Sens!$C$5217</f>
        <v>2193.22635095022</v>
      </c>
    </row>
    <row r="5219" customFormat="false" ht="15" hidden="false" customHeight="false" outlineLevel="0" collapsed="false">
      <c r="A5219" s="1" t="s">
        <v>1141</v>
      </c>
      <c r="B5219" s="0" t="s">
        <v>168</v>
      </c>
      <c r="C5219" s="7" t="n">
        <f aca="false">Sens!$C$5217/Sens!$C$5218</f>
        <v>0.746000205620508</v>
      </c>
    </row>
    <row r="5220" customFormat="false" ht="17.15" hidden="false" customHeight="false" outlineLevel="0" collapsed="false">
      <c r="A5220" s="1" t="s">
        <v>1227</v>
      </c>
      <c r="B5220" s="0" t="s">
        <v>98</v>
      </c>
      <c r="C5220" s="6" t="n">
        <f aca="false">Sens!$C$5218+cash_val-debt_val-fl_val+oai_v</f>
        <v>2309.07735095022</v>
      </c>
    </row>
    <row r="5221" customFormat="false" ht="17.15" hidden="false" customHeight="false" outlineLevel="0" collapsed="false">
      <c r="A5221" s="0" t="s">
        <v>1149</v>
      </c>
      <c r="B5221" s="0" t="s">
        <v>75</v>
      </c>
      <c r="C5221" s="5" t="n">
        <f aca="false">Sens!$C$5220/shd_val</f>
        <v>310.109770474109</v>
      </c>
    </row>
    <row r="5222" customFormat="false" ht="15" hidden="false" customHeight="false" outlineLevel="0" collapsed="false">
      <c r="A5222" s="1" t="s">
        <v>1228</v>
      </c>
      <c r="B5222" s="0" t="s">
        <v>75</v>
      </c>
      <c r="C5222" s="8" t="n">
        <f aca="false">div_rem27+Sens!G5190*roll_div_q/q_per_yr</f>
        <v>3.9795</v>
      </c>
    </row>
    <row r="5223" customFormat="false" ht="17.15" hidden="false" customHeight="false" outlineLevel="0" collapsed="false">
      <c r="A5223" s="0" t="s">
        <v>1229</v>
      </c>
      <c r="B5223" s="0" t="s">
        <v>75</v>
      </c>
      <c r="C5223" s="5" t="n">
        <f aca="false">Sens!$C$5221*(1+wacc)^t_roll-Sens!$C$5222</f>
        <v>340.724817338928</v>
      </c>
    </row>
    <row r="5224" customFormat="false" ht="17.15" hidden="false" customHeight="false" outlineLevel="0" collapsed="false">
      <c r="A5224" s="1" t="s">
        <v>1230</v>
      </c>
      <c r="B5224" s="0" t="s">
        <v>168</v>
      </c>
      <c r="F5224" s="7" t="n">
        <f aca="false">Sens!F5176/(Sens!F5121-Sens!F5076)</f>
        <v>0.074254437590518</v>
      </c>
      <c r="G5224" s="7" t="n">
        <f aca="false">Sens!G5176/(Sens!G5121-Sens!G5076)</f>
        <v>0.0703576802236997</v>
      </c>
      <c r="H5224" s="7" t="n">
        <f aca="false">Sens!H5176/(Sens!H5121-Sens!H5076)</f>
        <v>0.0680581845067015</v>
      </c>
      <c r="I5224" s="7" t="n">
        <f aca="false">Sens!I5176/(Sens!I5121-Sens!I5076)</f>
        <v>0.0671845191359723</v>
      </c>
      <c r="J5224" s="7" t="n">
        <f aca="false">Sens!J5176/(Sens!J5121-Sens!J5076)</f>
        <v>0.0674019621440431</v>
      </c>
      <c r="K5224" s="7" t="n">
        <f aca="false">Sens!K5176/(Sens!K5121-Sens!K5076)</f>
        <v>0.0683200807241072</v>
      </c>
    </row>
    <row r="5225" customFormat="false" ht="17.15" hidden="false" customHeight="false" outlineLevel="0" collapsed="false">
      <c r="A5225" s="0" t="s">
        <v>1231</v>
      </c>
      <c r="B5225" s="0" t="s">
        <v>98</v>
      </c>
      <c r="F5225" s="6" t="n">
        <f aca="false">Sens!F5106*(al_m365+Sens!F5224+sbc_r)</f>
        <v>84.3887674527587</v>
      </c>
      <c r="G5225" s="6" t="n">
        <f aca="false">Sens!G5106*(al_m365+Sens!G5224+sbc_r)</f>
        <v>96.748608616687</v>
      </c>
      <c r="H5225" s="6" t="n">
        <f aca="false">Sens!H5106*(al_m365+Sens!H5224+sbc_r)</f>
        <v>109.271805238518</v>
      </c>
      <c r="I5225" s="6" t="n">
        <f aca="false">Sens!I5106*(al_m365+Sens!I5224+sbc_r)</f>
        <v>120.77725253614</v>
      </c>
      <c r="J5225" s="6" t="n">
        <f aca="false">Sens!J5106*(al_m365+Sens!J5224+sbc_r)</f>
        <v>131.079863501828</v>
      </c>
      <c r="K5225" s="6" t="n">
        <f aca="false">Sens!K5106*(al_m365+Sens!K5224+sbc_r)</f>
        <v>140.999197501</v>
      </c>
      <c r="L5225" s="12" t="s">
        <v>1232</v>
      </c>
    </row>
    <row r="5226" customFormat="false" ht="17.15" hidden="false" customHeight="false" outlineLevel="0" collapsed="false">
      <c r="A5226" s="0" t="s">
        <v>1233</v>
      </c>
      <c r="B5226" s="0" t="s">
        <v>98</v>
      </c>
      <c r="F5226" s="6" t="n">
        <f aca="false">Sens!F5107*(al_lic+Sens!F5224+sbc_r)</f>
        <v>33.0740610403302</v>
      </c>
      <c r="G5226" s="6" t="n">
        <f aca="false">Sens!G5107*(al_lic+Sens!G5224+sbc_r)</f>
        <v>34.3186472300773</v>
      </c>
      <c r="H5226" s="6" t="n">
        <f aca="false">Sens!H5107*(al_lic+Sens!H5224+sbc_r)</f>
        <v>35.4847534965348</v>
      </c>
      <c r="I5226" s="6" t="n">
        <f aca="false">Sens!I5107*(al_lic+Sens!I5224+sbc_r)</f>
        <v>36.5535188932887</v>
      </c>
      <c r="J5226" s="6" t="n">
        <f aca="false">Sens!J5107*(al_lic+Sens!J5224+sbc_r)</f>
        <v>37.4983188020147</v>
      </c>
      <c r="K5226" s="6" t="n">
        <f aca="false">Sens!K5107*(al_lic+Sens!K5224+sbc_r)</f>
        <v>38.2893674149161</v>
      </c>
    </row>
    <row r="5227" customFormat="false" ht="17.15" hidden="false" customHeight="false" outlineLevel="0" collapsed="false">
      <c r="A5227" s="0" t="s">
        <v>1234</v>
      </c>
      <c r="B5227" s="0" t="s">
        <v>98</v>
      </c>
      <c r="F5227" s="6" t="n">
        <f aca="false">Sens!F5109*(al_ind+Sens!F5224+sbc_r)</f>
        <v>9.18616579811687</v>
      </c>
      <c r="G5227" s="6" t="n">
        <f aca="false">Sens!G5109*(al_ind+Sens!G5224+sbc_r)</f>
        <v>9.94655875329051</v>
      </c>
      <c r="H5227" s="6" t="n">
        <f aca="false">Sens!H5109*(al_ind+Sens!H5224+sbc_r)</f>
        <v>10.7543262978658</v>
      </c>
      <c r="I5227" s="6" t="n">
        <f aca="false">Sens!I5109*(al_ind+Sens!I5224+sbc_r)</f>
        <v>11.6064061462848</v>
      </c>
      <c r="J5227" s="6" t="n">
        <f aca="false">Sens!J5109*(al_ind+Sens!J5224+sbc_r)</f>
        <v>12.4926618280194</v>
      </c>
      <c r="K5227" s="6" t="n">
        <f aca="false">Sens!K5109*(al_ind+Sens!K5224+sbc_r)</f>
        <v>13.3974670679468</v>
      </c>
    </row>
    <row r="5228" customFormat="false" ht="17.15" hidden="false" customHeight="false" outlineLevel="0" collapsed="false">
      <c r="A5228" s="0" t="s">
        <v>1235</v>
      </c>
      <c r="B5228" s="0" t="s">
        <v>98</v>
      </c>
      <c r="F5228" s="6" t="n">
        <f aca="false">Sens!F5111*(al_fro+Sens!F5224+sbc_r)</f>
        <v>3.60335558680906</v>
      </c>
      <c r="G5228" s="6" t="n">
        <f aca="false">Sens!G5111*(al_fro+Sens!G5224+sbc_r)</f>
        <v>3.80584489247436</v>
      </c>
      <c r="H5228" s="6" t="n">
        <f aca="false">Sens!H5111*(al_fro+Sens!H5224+sbc_r)</f>
        <v>4.03875426885471</v>
      </c>
      <c r="I5228" s="6" t="n">
        <f aca="false">Sens!I5111*(al_fro+Sens!I5224+sbc_r)</f>
        <v>4.3046764944324</v>
      </c>
      <c r="J5228" s="6" t="n">
        <f aca="false">Sens!J5111*(al_fro+Sens!J5224+sbc_r)</f>
        <v>4.60448326523147</v>
      </c>
      <c r="K5228" s="6" t="n">
        <f aca="false">Sens!K5111*(al_fro+Sens!K5224+sbc_r)</f>
        <v>4.93797188782394</v>
      </c>
    </row>
    <row r="5229" customFormat="false" ht="17.15" hidden="false" customHeight="false" outlineLevel="0" collapsed="false">
      <c r="A5229" s="0" t="s">
        <v>1236</v>
      </c>
      <c r="B5229" s="0" t="s">
        <v>98</v>
      </c>
      <c r="F5229" s="6" t="n">
        <f aca="false">Sens!F5114*(al_srch+Sens!F5224+sbc_r)</f>
        <v>11.3443827692082</v>
      </c>
      <c r="G5229" s="6" t="n">
        <f aca="false">Sens!G5114*(al_srch+Sens!G5224+sbc_r)</f>
        <v>12.3993229135456</v>
      </c>
      <c r="H5229" s="6" t="n">
        <f aca="false">Sens!H5114*(al_srch+Sens!H5224+sbc_r)</f>
        <v>13.5016557812622</v>
      </c>
      <c r="I5229" s="6" t="n">
        <f aca="false">Sens!I5114*(al_srch+Sens!I5224+sbc_r)</f>
        <v>14.6408886001306</v>
      </c>
      <c r="J5229" s="6" t="n">
        <f aca="false">Sens!J5114*(al_srch+Sens!J5224+sbc_r)</f>
        <v>15.7966268821535</v>
      </c>
      <c r="K5229" s="6" t="n">
        <f aca="false">Sens!K5114*(al_srch+Sens!K5224+sbc_r)</f>
        <v>16.9407281932204</v>
      </c>
    </row>
    <row r="5230" customFormat="false" ht="17.15" hidden="false" customHeight="false" outlineLevel="0" collapsed="false">
      <c r="A5230" s="0" t="s">
        <v>1237</v>
      </c>
      <c r="B5230" s="0" t="s">
        <v>98</v>
      </c>
      <c r="F5230" s="6" t="n">
        <f aca="false">Sens!F5082-Sens!F5083+Sens!F5164</f>
        <v>42.6035403328915</v>
      </c>
      <c r="G5230" s="6" t="n">
        <f aca="false">Sens!G5082-Sens!G5083+Sens!G5164</f>
        <v>81.6064041409166</v>
      </c>
      <c r="H5230" s="6" t="n">
        <f aca="false">Sens!H5082-Sens!H5083+Sens!H5164</f>
        <v>123.446130958161</v>
      </c>
      <c r="I5230" s="6" t="n">
        <f aca="false">Sens!I5082-Sens!I5083+Sens!I5164</f>
        <v>159.474300334329</v>
      </c>
      <c r="J5230" s="6" t="n">
        <f aca="false">Sens!J5082-Sens!J5083+Sens!J5164</f>
        <v>184.94070963014</v>
      </c>
      <c r="K5230" s="6" t="n">
        <f aca="false">Sens!K5082-Sens!K5083+Sens!K5164</f>
        <v>198.709545713546</v>
      </c>
    </row>
    <row r="5231" customFormat="false" ht="17.15" hidden="false" customHeight="false" outlineLevel="0" collapsed="false">
      <c r="A5231" s="0" t="s">
        <v>1238</v>
      </c>
      <c r="B5231" s="0" t="s">
        <v>98</v>
      </c>
      <c r="F5231" s="6" t="n">
        <f aca="false">Sens!F5143+Sens!F5164+Sens!F5094+Sens!F5224*(Sens!F5113-Sens!F5076)+sbc_r*Sens!F5113</f>
        <v>236.747017609193</v>
      </c>
      <c r="G5231" s="6" t="n">
        <f aca="false">Sens!G5143+Sens!G5164+Sens!G5094+Sens!G5224*(Sens!G5113-Sens!G5076)+sbc_r*Sens!G5113</f>
        <v>298.610208565672</v>
      </c>
      <c r="H5231" s="6" t="n">
        <f aca="false">Sens!H5143+Sens!H5164+Sens!H5094+Sens!H5224*(Sens!H5113-Sens!H5076)+sbc_r*Sens!H5113</f>
        <v>367.729523043713</v>
      </c>
      <c r="I5231" s="6" t="n">
        <f aca="false">Sens!I5143+Sens!I5164+Sens!I5094+Sens!I5224*(Sens!I5113-Sens!I5076)+sbc_r*Sens!I5113</f>
        <v>429.642558633931</v>
      </c>
      <c r="J5231" s="6" t="n">
        <f aca="false">Sens!J5143+Sens!J5164+Sens!J5094+Sens!J5224*(Sens!J5113-Sens!J5076)+sbc_r*Sens!J5113</f>
        <v>478.593358032837</v>
      </c>
      <c r="K5231" s="6" t="n">
        <f aca="false">Sens!K5143+Sens!K5164+Sens!K5094+Sens!K5224*(Sens!K5113-Sens!K5076)+sbc_r*Sens!K5113</f>
        <v>513.45283564711</v>
      </c>
    </row>
    <row r="5232" customFormat="false" ht="17.15" hidden="false" customHeight="false" outlineLevel="0" collapsed="false">
      <c r="A5232" s="0" t="s">
        <v>1239</v>
      </c>
      <c r="B5232" s="0" t="s">
        <v>98</v>
      </c>
      <c r="F5232" s="6" t="n">
        <f aca="false">Sens!F5231-Sens!F5225-Sens!F5226-Sens!F5227-Sens!F5228-Sens!F5230</f>
        <v>63.8911273982865</v>
      </c>
      <c r="G5232" s="6" t="n">
        <f aca="false">Sens!G5231-Sens!G5225-Sens!G5226-Sens!G5227-Sens!G5228-Sens!G5230</f>
        <v>72.1841449322262</v>
      </c>
      <c r="H5232" s="6" t="n">
        <f aca="false">Sens!H5231-Sens!H5225-Sens!H5226-Sens!H5227-Sens!H5228-Sens!H5230</f>
        <v>84.7337527837794</v>
      </c>
      <c r="I5232" s="6" t="n">
        <f aca="false">Sens!I5231-Sens!I5225-Sens!I5226-Sens!I5227-Sens!I5228-Sens!I5230</f>
        <v>96.9264042294554</v>
      </c>
      <c r="J5232" s="6" t="n">
        <f aca="false">Sens!J5231-Sens!J5225-Sens!J5226-Sens!J5227-Sens!J5228-Sens!J5230</f>
        <v>107.977321005604</v>
      </c>
      <c r="K5232" s="6" t="n">
        <f aca="false">Sens!K5231-Sens!K5225-Sens!K5226-Sens!K5227-Sens!K5228-Sens!K5230</f>
        <v>117.119286061877</v>
      </c>
    </row>
    <row r="5233" customFormat="false" ht="17.15" hidden="false" customHeight="false" outlineLevel="0" collapsed="false">
      <c r="A5233" s="0" t="s">
        <v>1240</v>
      </c>
      <c r="B5233" s="0" t="s">
        <v>98</v>
      </c>
      <c r="F5233" s="6" t="n">
        <f aca="false">Sens!F5145+Sens!F5224*Sens!F5120+sbc_r*Sens!F5120</f>
        <v>26.9959729432528</v>
      </c>
      <c r="G5233" s="6" t="n">
        <f aca="false">Sens!G5145+Sens!G5224*Sens!G5120+sbc_r*Sens!G5120</f>
        <v>26.7719385171882</v>
      </c>
      <c r="H5233" s="6" t="n">
        <f aca="false">Sens!H5145+Sens!H5224*Sens!H5120+sbc_r*Sens!H5120</f>
        <v>27.5988786155963</v>
      </c>
      <c r="I5233" s="6" t="n">
        <f aca="false">Sens!I5145+Sens!I5224*Sens!I5120+sbc_r*Sens!I5120</f>
        <v>28.6733057551654</v>
      </c>
      <c r="J5233" s="6" t="n">
        <f aca="false">Sens!J5145+Sens!J5224*Sens!J5120+sbc_r*Sens!J5120</f>
        <v>29.9569595364461</v>
      </c>
      <c r="K5233" s="6" t="n">
        <f aca="false">Sens!K5145+Sens!K5224*Sens!K5120+sbc_r*Sens!K5120</f>
        <v>31.4102840319417</v>
      </c>
    </row>
    <row r="5234" customFormat="false" ht="17.15" hidden="false" customHeight="false" outlineLevel="0" collapsed="false">
      <c r="A5234" s="0" t="s">
        <v>1241</v>
      </c>
      <c r="B5234" s="0" t="s">
        <v>98</v>
      </c>
      <c r="F5234" s="6" t="n">
        <f aca="false">(Sens!F5233-Sens!F5229)*Sens!F5116/(Sens!F5116+Sens!F5118)</f>
        <v>8.83979147188726</v>
      </c>
      <c r="G5234" s="6" t="n">
        <f aca="false">(Sens!G5233-Sens!G5229)*Sens!G5116/(Sens!G5116+Sens!G5118)</f>
        <v>7.97793640869007</v>
      </c>
      <c r="H5234" s="6" t="n">
        <f aca="false">(Sens!H5233-Sens!H5229)*Sens!H5116/(Sens!H5116+Sens!H5118)</f>
        <v>7.72313416361387</v>
      </c>
      <c r="I5234" s="6" t="n">
        <f aca="false">(Sens!I5233-Sens!I5229)*Sens!I5116/(Sens!I5116+Sens!I5118)</f>
        <v>7.62052937820533</v>
      </c>
      <c r="J5234" s="6" t="n">
        <f aca="false">(Sens!J5233-Sens!J5229)*Sens!J5116/(Sens!J5116+Sens!J5118)</f>
        <v>7.65644485491192</v>
      </c>
      <c r="K5234" s="6" t="n">
        <f aca="false">(Sens!K5233-Sens!K5229)*Sens!K5116/(Sens!K5116+Sens!K5118)</f>
        <v>7.82364080413429</v>
      </c>
    </row>
    <row r="5235" customFormat="false" ht="17.15" hidden="false" customHeight="false" outlineLevel="0" collapsed="false">
      <c r="A5235" s="0" t="s">
        <v>1242</v>
      </c>
      <c r="B5235" s="0" t="s">
        <v>98</v>
      </c>
      <c r="F5235" s="6" t="n">
        <f aca="false">Sens!F5233-Sens!F5229-Sens!F5234</f>
        <v>6.81179870215735</v>
      </c>
      <c r="G5235" s="6" t="n">
        <f aca="false">Sens!G5233-Sens!G5229-Sens!G5234</f>
        <v>6.39467919495257</v>
      </c>
      <c r="H5235" s="6" t="n">
        <f aca="false">Sens!H5233-Sens!H5229-Sens!H5234</f>
        <v>6.37408867072018</v>
      </c>
      <c r="I5235" s="6" t="n">
        <f aca="false">Sens!I5233-Sens!I5229-Sens!I5234</f>
        <v>6.41188777682949</v>
      </c>
      <c r="J5235" s="6" t="n">
        <f aca="false">Sens!J5233-Sens!J5229-Sens!J5234</f>
        <v>6.50388779938063</v>
      </c>
      <c r="K5235" s="6" t="n">
        <f aca="false">Sens!K5233-Sens!K5229-Sens!K5234</f>
        <v>6.64591503458701</v>
      </c>
    </row>
    <row r="5236" customFormat="false" ht="17.15" hidden="false" customHeight="false" outlineLevel="0" collapsed="false">
      <c r="A5236" s="0" t="s">
        <v>1243</v>
      </c>
      <c r="B5236" s="0" t="s">
        <v>98</v>
      </c>
      <c r="F5236" s="6" t="n">
        <f aca="false">Sens!F5230-tax_f*(Sens!F5230-Sens!F5094)-Sens!F5091</f>
        <v>-128.371508451148</v>
      </c>
      <c r="G5236" s="6" t="n">
        <f aca="false">Sens!G5230-tax_f*(Sens!G5230-Sens!G5094)-Sens!G5091</f>
        <v>-116.128558539384</v>
      </c>
      <c r="H5236" s="6" t="n">
        <f aca="false">Sens!H5230-tax_f*(Sens!H5230-Sens!H5094)-Sens!H5091</f>
        <v>-82.6062809284608</v>
      </c>
      <c r="I5236" s="6" t="n">
        <f aca="false">Sens!I5230-tax_f*(Sens!I5230-Sens!I5094)-Sens!I5091</f>
        <v>7.82381036711234</v>
      </c>
      <c r="J5236" s="6" t="n">
        <f aca="false">Sens!J5230-tax_f*(Sens!J5230-Sens!J5094)-Sens!J5091</f>
        <v>56.532972923468</v>
      </c>
      <c r="K5236" s="6" t="n">
        <f aca="false">Sens!K5230-tax_f*(Sens!K5230-Sens!K5094)-Sens!K5091</f>
        <v>107.791184166501</v>
      </c>
    </row>
    <row r="5237" customFormat="false" ht="17.15" hidden="false" customHeight="false" outlineLevel="0" collapsed="false">
      <c r="A5237" s="0" t="s">
        <v>1244</v>
      </c>
      <c r="B5237" s="0" t="s">
        <v>98</v>
      </c>
      <c r="G5237" s="6" t="n">
        <f aca="false">Sens!G5236/(1+wacc)^(Sens!G5207-Sens!F5208)</f>
        <v>-110.5767351065</v>
      </c>
      <c r="H5237" s="6" t="n">
        <f aca="false">Sens!H5236/(1+wacc)^(Sens!H5207-Sens!F5208)</f>
        <v>-71.3160453246324</v>
      </c>
      <c r="I5237" s="6" t="n">
        <f aca="false">Sens!I5236/(1+wacc)^(Sens!I5207-Sens!F5208)</f>
        <v>6.12409547567302</v>
      </c>
      <c r="J5237" s="6" t="n">
        <f aca="false">Sens!J5236/(1+wacc)^(Sens!J5207-Sens!F5208)</f>
        <v>40.1212926298505</v>
      </c>
      <c r="K5237" s="6" t="n">
        <f aca="false">Sens!K5236/(1+wacc)^(Sens!K5207-Sens!F5208)</f>
        <v>69.359473870806</v>
      </c>
      <c r="L5237" s="1" t="s">
        <v>1245</v>
      </c>
    </row>
    <row r="5238" customFormat="false" ht="17.15" hidden="false" customHeight="false" outlineLevel="0" collapsed="false">
      <c r="A5238" s="0" t="s">
        <v>1246</v>
      </c>
      <c r="B5238" s="0" t="s">
        <v>98</v>
      </c>
      <c r="C5238" s="6" t="n">
        <f aca="false">(Sens!K5230-Sens!K5094)*(1-tax_f)*(1+g_tv)*(1-g_tv/(wacc+ronic_prem))/(wacc-g_tv)/(1+wacc)^(Sens!K5208-Sens!F5208)</f>
        <v>377.632286398229</v>
      </c>
    </row>
    <row r="5239" customFormat="false" ht="17.15" hidden="false" customHeight="false" outlineLevel="0" collapsed="false">
      <c r="A5239" s="1" t="s">
        <v>1247</v>
      </c>
      <c r="B5239" s="0" t="s">
        <v>98</v>
      </c>
      <c r="C5239" s="6" t="n">
        <f aca="false">(SUM(Sens!G5237:K5237)+Sens!$C$5238)*(1+wacc)^(t_roll-Sens!F5208)</f>
        <v>321.622787104494</v>
      </c>
      <c r="L5239" s="12" t="s">
        <v>1248</v>
      </c>
    </row>
    <row r="5240" customFormat="false" ht="17.15" hidden="false" customHeight="false" outlineLevel="0" collapsed="false">
      <c r="A5240" s="1" t="s">
        <v>1249</v>
      </c>
      <c r="B5240" s="0" t="s">
        <v>98</v>
      </c>
      <c r="C5240" s="6" t="n">
        <f aca="false">(w_ntm28*Sens!G5082+(1-w_ntm28)*Sens!H5082)*m_ai</f>
        <v>463.789109510335</v>
      </c>
    </row>
    <row r="5241" customFormat="false" ht="17.15" hidden="false" customHeight="false" outlineLevel="0" collapsed="false">
      <c r="A5241" s="1" t="s">
        <v>1250</v>
      </c>
      <c r="B5241" s="0" t="s">
        <v>98</v>
      </c>
      <c r="C5241" s="6" t="n">
        <f aca="false">(w_ntm28*Sens!G5232+(1-w_ntm28)*Sens!H5232)*m_cloud</f>
        <v>1054.60479984286</v>
      </c>
    </row>
    <row r="5242" customFormat="false" ht="17.15" hidden="false" customHeight="false" outlineLevel="0" collapsed="false">
      <c r="A5242" s="1" t="s">
        <v>1251</v>
      </c>
      <c r="B5242" s="0" t="s">
        <v>98</v>
      </c>
      <c r="C5242" s="6" t="n">
        <f aca="false">(w_ntm28*Sens!G5225+(1-w_ntm28)*Sens!H5225)*m_sw</f>
        <v>1089.35089859965</v>
      </c>
    </row>
    <row r="5243" customFormat="false" ht="17.15" hidden="false" customHeight="false" outlineLevel="0" collapsed="false">
      <c r="A5243" s="1" t="s">
        <v>1252</v>
      </c>
      <c r="B5243" s="0" t="s">
        <v>98</v>
      </c>
      <c r="C5243" s="6" t="n">
        <f aca="false">(w_ntm28*Sens!G5226+(1-w_ntm28)*Sens!H5226)*m_sw</f>
        <v>374.781866033681</v>
      </c>
    </row>
    <row r="5244" customFormat="false" ht="17.15" hidden="false" customHeight="false" outlineLevel="0" collapsed="false">
      <c r="A5244" s="1" t="s">
        <v>1253</v>
      </c>
      <c r="B5244" s="0" t="s">
        <v>98</v>
      </c>
      <c r="C5244" s="6" t="n">
        <f aca="false">(w_ntm28*Sens!G5227+(1-w_ntm28)*Sens!H5227)*m_sw</f>
        <v>110.290962584221</v>
      </c>
    </row>
    <row r="5245" customFormat="false" ht="17.15" hidden="false" customHeight="false" outlineLevel="0" collapsed="false">
      <c r="A5245" s="1" t="s">
        <v>1254</v>
      </c>
      <c r="B5245" s="0" t="s">
        <v>98</v>
      </c>
      <c r="C5245" s="6" t="n">
        <f aca="false">(w_ntm28*Sens!G5228+(1-w_ntm28)*Sens!H5228)*m_sw</f>
        <v>41.9301126518434</v>
      </c>
    </row>
    <row r="5246" customFormat="false" ht="17.15" hidden="false" customHeight="false" outlineLevel="0" collapsed="false">
      <c r="A5246" s="1" t="s">
        <v>1255</v>
      </c>
      <c r="B5246" s="0" t="s">
        <v>98</v>
      </c>
      <c r="C5246" s="6" t="n">
        <f aca="false">(w_ntm28*Sens!G5229+(1-w_ntm28)*Sens!H5229)*m_ads</f>
        <v>116.259394183463</v>
      </c>
    </row>
    <row r="5247" customFormat="false" ht="17.15" hidden="false" customHeight="false" outlineLevel="0" collapsed="false">
      <c r="A5247" s="1" t="s">
        <v>1256</v>
      </c>
      <c r="B5247" s="0" t="s">
        <v>98</v>
      </c>
      <c r="C5247" s="6" t="n">
        <f aca="false">(w_ntm28*Sens!G5234+(1-w_ntm28)*Sens!H5234)*m_game</f>
        <v>99.703314149598</v>
      </c>
    </row>
    <row r="5248" customFormat="false" ht="17.15" hidden="false" customHeight="false" outlineLevel="0" collapsed="false">
      <c r="A5248" s="1" t="s">
        <v>1257</v>
      </c>
      <c r="B5248" s="0" t="s">
        <v>98</v>
      </c>
      <c r="C5248" s="6" t="n">
        <f aca="false">(w_ntm28*Sens!G5235+(1-w_ntm28)*Sens!H5235)*m_pc</f>
        <v>92.4330534680127</v>
      </c>
    </row>
    <row r="5249" customFormat="false" ht="17.15" hidden="false" customHeight="false" outlineLevel="0" collapsed="false">
      <c r="A5249" s="1" t="s">
        <v>1258</v>
      </c>
      <c r="B5249" s="0" t="s">
        <v>98</v>
      </c>
      <c r="C5249" s="6" t="n">
        <f aca="false">Sens!$C$5239+Sens!$C$5241+Sens!$C$5242+Sens!$C$5243+Sens!$C$5244+Sens!$C$5245+Sens!$C$5246+Sens!$C$5247+Sens!$C$5248</f>
        <v>3300.97718861783</v>
      </c>
    </row>
    <row r="5250" customFormat="false" ht="17.15" hidden="false" customHeight="false" outlineLevel="0" collapsed="false">
      <c r="A5250" s="1" t="s">
        <v>1259</v>
      </c>
      <c r="B5250" s="0" t="s">
        <v>98</v>
      </c>
      <c r="C5250" s="6" t="n">
        <f aca="false">(Sens!G5211-Sens!G5236)*t_stub</f>
        <v>47.694160498386</v>
      </c>
      <c r="L5250" s="1" t="s">
        <v>1260</v>
      </c>
    </row>
    <row r="5251" customFormat="false" ht="17.15" hidden="false" customHeight="false" outlineLevel="0" collapsed="false">
      <c r="A5251" s="1" t="s">
        <v>1169</v>
      </c>
      <c r="B5251" s="0" t="s">
        <v>98</v>
      </c>
      <c r="C5251" s="6" t="n">
        <f aca="false">Sens!F5198+oai_v-Sens!F5187+Sens!$C$5250</f>
        <v>160.830796629429</v>
      </c>
      <c r="L5251" s="1" t="s">
        <v>1261</v>
      </c>
    </row>
    <row r="5252" customFormat="false" ht="17.15" hidden="false" customHeight="false" outlineLevel="0" collapsed="false">
      <c r="A5252" s="1" t="s">
        <v>1262</v>
      </c>
      <c r="B5252" s="0" t="s">
        <v>75</v>
      </c>
      <c r="C5252" s="5" t="n">
        <f aca="false">(Sens!$C$5249+Sens!$C$5251)/(Sens!F5200+dil_gap)-Sens!G5190*roll_div_q/q_per_yr</f>
        <v>460.781202407585</v>
      </c>
      <c r="L5252" s="1" t="s">
        <v>1263</v>
      </c>
    </row>
    <row r="5253" customFormat="false" ht="17.15" hidden="false" customHeight="false" outlineLevel="0" collapsed="false">
      <c r="A5253" s="1" t="s">
        <v>1264</v>
      </c>
      <c r="B5253" s="0" t="s">
        <v>75</v>
      </c>
      <c r="C5253" s="5" t="n">
        <f aca="false">w_dcf*Sens!$C$5223+(1-w_dcf)*Sens!$C$5252</f>
        <v>400.753009873257</v>
      </c>
    </row>
    <row r="5254" customFormat="false" ht="17.15" hidden="false" customHeight="false" outlineLevel="0" collapsed="false">
      <c r="A5254" s="3" t="s">
        <v>1610</v>
      </c>
    </row>
    <row r="5255" customFormat="false" ht="15" hidden="false" customHeight="false" outlineLevel="0" collapsed="false">
      <c r="A5255" s="4" t="s">
        <v>43</v>
      </c>
      <c r="B5255" s="4" t="s">
        <v>65</v>
      </c>
      <c r="C5255" s="23" t="s">
        <v>938</v>
      </c>
      <c r="D5255" s="23" t="s">
        <v>939</v>
      </c>
      <c r="E5255" s="23" t="s">
        <v>940</v>
      </c>
      <c r="F5255" s="23" t="s">
        <v>941</v>
      </c>
      <c r="G5255" s="23" t="s">
        <v>942</v>
      </c>
      <c r="H5255" s="23" t="s">
        <v>943</v>
      </c>
      <c r="I5255" s="23" t="s">
        <v>944</v>
      </c>
      <c r="J5255" s="23" t="s">
        <v>945</v>
      </c>
      <c r="K5255" s="23" t="s">
        <v>946</v>
      </c>
      <c r="L5255" s="4" t="s">
        <v>47</v>
      </c>
    </row>
    <row r="5256" customFormat="false" ht="17.15" hidden="false" customHeight="false" outlineLevel="0" collapsed="false">
      <c r="A5256" s="1" t="s">
        <v>947</v>
      </c>
      <c r="B5256" s="1" t="s">
        <v>279</v>
      </c>
      <c r="C5256" s="21" t="n">
        <v>2024</v>
      </c>
      <c r="D5256" s="21" t="n">
        <v>2025</v>
      </c>
      <c r="E5256" s="21" t="n">
        <v>2026</v>
      </c>
      <c r="F5256" s="21" t="n">
        <v>2027</v>
      </c>
      <c r="G5256" s="21" t="n">
        <v>2028</v>
      </c>
      <c r="H5256" s="21" t="n">
        <v>2029</v>
      </c>
      <c r="I5256" s="21" t="n">
        <v>2030</v>
      </c>
      <c r="J5256" s="21" t="n">
        <v>2031</v>
      </c>
      <c r="K5256" s="21" t="n">
        <v>2032</v>
      </c>
    </row>
    <row r="5257" customFormat="false" ht="17.15" hidden="false" customHeight="false" outlineLevel="0" collapsed="false">
      <c r="A5257" s="1" t="s">
        <v>948</v>
      </c>
      <c r="B5257" s="0" t="s">
        <v>456</v>
      </c>
      <c r="F5257" s="30" t="n">
        <f aca="false">pace</f>
        <v>2726.5351</v>
      </c>
      <c r="G5257" s="30" t="n">
        <f aca="false">pace</f>
        <v>2726.5351</v>
      </c>
      <c r="H5257" s="30" t="n">
        <f aca="false">pace</f>
        <v>2726.5351</v>
      </c>
      <c r="I5257" s="30" t="n">
        <f aca="false">pace+(g_tv*Sens!H5258-pace)*MIN(1,(Sens!I5256-pace_y0)/(pace_y1-pace_y0))</f>
        <v>1931.98611966667</v>
      </c>
      <c r="J5257" s="30" t="n">
        <f aca="false">pace+(g_tv*Sens!I5258-pace)*MIN(1,(Sens!J5256-pace_y0)/(pace_y1-pace_y0))</f>
        <v>1176.07686172667</v>
      </c>
      <c r="K5257" s="30" t="n">
        <f aca="false">pace+(g_tv*Sens!J5258-pace)*MIN(1,(Sens!K5256-pace_y0)/(pace_y1-pace_y0))</f>
        <v>436.1300484418</v>
      </c>
      <c r="L5257" s="12" t="s">
        <v>949</v>
      </c>
    </row>
    <row r="5258" customFormat="false" ht="17.15" hidden="false" customHeight="false" outlineLevel="0" collapsed="false">
      <c r="A5258" s="1" t="s">
        <v>950</v>
      </c>
      <c r="B5258" s="0" t="s">
        <v>456</v>
      </c>
      <c r="C5258" s="30" t="n">
        <f aca="false">mw_ext_24</f>
        <v>640</v>
      </c>
      <c r="D5258" s="30" t="n">
        <f aca="false">mw_ext_25</f>
        <v>1630</v>
      </c>
      <c r="E5258" s="30" t="n">
        <f aca="false">mw_ext_26</f>
        <v>3250</v>
      </c>
      <c r="F5258" s="30" t="n">
        <f aca="false">Sens!E5258+Sens!F5257</f>
        <v>5976.5351</v>
      </c>
      <c r="G5258" s="30" t="n">
        <f aca="false">Sens!F5258+Sens!G5257</f>
        <v>8703.0702</v>
      </c>
      <c r="H5258" s="30" t="n">
        <f aca="false">Sens!G5258+Sens!H5257</f>
        <v>11429.6053</v>
      </c>
      <c r="I5258" s="30" t="n">
        <f aca="false">Sens!H5258+Sens!I5257</f>
        <v>13361.5914196667</v>
      </c>
      <c r="J5258" s="30" t="n">
        <f aca="false">Sens!I5258+Sens!J5257</f>
        <v>14537.6682813933</v>
      </c>
      <c r="K5258" s="30" t="n">
        <f aca="false">Sens!J5258+Sens!K5257</f>
        <v>14973.7983298351</v>
      </c>
      <c r="L5258" s="1" t="s">
        <v>951</v>
      </c>
    </row>
    <row r="5259" customFormat="false" ht="17.15" hidden="false" customHeight="false" outlineLevel="0" collapsed="false">
      <c r="A5259" s="1" t="s">
        <v>952</v>
      </c>
      <c r="B5259" s="0" t="s">
        <v>456</v>
      </c>
      <c r="C5259" s="30" t="n">
        <f aca="false">rent_ext_24</f>
        <v>150</v>
      </c>
      <c r="D5259" s="30" t="n">
        <f aca="false">rent_ext_25</f>
        <v>400</v>
      </c>
      <c r="E5259" s="30" t="n">
        <f aca="false">rent_ext_26</f>
        <v>550</v>
      </c>
      <c r="F5259" s="30" t="n">
        <f aca="false">rent_ext_f</f>
        <v>756</v>
      </c>
      <c r="G5259" s="30" t="n">
        <f aca="false">rent_ext_f</f>
        <v>756</v>
      </c>
      <c r="H5259" s="30" t="n">
        <f aca="false">rent_ext_f</f>
        <v>756</v>
      </c>
      <c r="I5259" s="30" t="n">
        <f aca="false">rent_ext_f</f>
        <v>756</v>
      </c>
      <c r="J5259" s="30" t="n">
        <f aca="false">rent_ext_f</f>
        <v>756</v>
      </c>
      <c r="K5259" s="30" t="n">
        <f aca="false">rent_ext_f</f>
        <v>756</v>
      </c>
      <c r="L5259" s="1" t="s">
        <v>953</v>
      </c>
    </row>
    <row r="5260" customFormat="false" ht="17.15" hidden="false" customHeight="false" outlineLevel="0" collapsed="false">
      <c r="A5260" s="1" t="s">
        <v>954</v>
      </c>
      <c r="B5260" s="0" t="s">
        <v>456</v>
      </c>
      <c r="C5260" s="30" t="n">
        <f aca="false">Sens!C5258-Sens!C5259</f>
        <v>490</v>
      </c>
      <c r="D5260" s="30" t="n">
        <f aca="false">Sens!D5258-Sens!D5259</f>
        <v>1230</v>
      </c>
      <c r="E5260" s="30" t="n">
        <f aca="false">Sens!E5258-Sens!E5259</f>
        <v>2700</v>
      </c>
      <c r="F5260" s="30" t="n">
        <f aca="false">Sens!F5258-Sens!F5259</f>
        <v>5220.5351</v>
      </c>
      <c r="G5260" s="30" t="n">
        <f aca="false">Sens!G5258-Sens!G5259</f>
        <v>7947.0702</v>
      </c>
      <c r="H5260" s="30" t="n">
        <f aca="false">Sens!H5258-Sens!H5259</f>
        <v>10673.6053</v>
      </c>
      <c r="I5260" s="30" t="n">
        <f aca="false">Sens!I5258-Sens!I5259</f>
        <v>12605.5914196667</v>
      </c>
      <c r="J5260" s="30" t="n">
        <f aca="false">Sens!J5258-Sens!J5259</f>
        <v>13781.6682813933</v>
      </c>
      <c r="K5260" s="30" t="n">
        <f aca="false">Sens!K5258-Sens!K5259</f>
        <v>14217.7983298351</v>
      </c>
    </row>
    <row r="5261" customFormat="false" ht="17.15" hidden="false" customHeight="false" outlineLevel="0" collapsed="false">
      <c r="A5261" s="1" t="s">
        <v>955</v>
      </c>
      <c r="B5261" s="0" t="s">
        <v>456</v>
      </c>
      <c r="C5261" s="30" t="n">
        <f aca="false">Sens!C5260/ext_sh</f>
        <v>816.666666666667</v>
      </c>
      <c r="D5261" s="30" t="n">
        <f aca="false">Sens!D5260/ext_sh</f>
        <v>2050</v>
      </c>
      <c r="E5261" s="30" t="n">
        <f aca="false">Sens!E5260/ext_sh</f>
        <v>4500</v>
      </c>
      <c r="F5261" s="30" t="n">
        <f aca="false">Sens!F5260/ext_sh</f>
        <v>8700.89183333333</v>
      </c>
      <c r="G5261" s="30" t="n">
        <f aca="false">Sens!G5260/ext_sh</f>
        <v>13245.117</v>
      </c>
      <c r="H5261" s="30" t="n">
        <f aca="false">Sens!H5260/ext_sh</f>
        <v>17789.3421666667</v>
      </c>
      <c r="I5261" s="30" t="n">
        <f aca="false">Sens!I5260/ext_sh</f>
        <v>21009.3190327778</v>
      </c>
      <c r="J5261" s="30" t="n">
        <f aca="false">Sens!J5260/ext_sh</f>
        <v>22969.4471356556</v>
      </c>
      <c r="K5261" s="30" t="n">
        <f aca="false">Sens!K5260/ext_sh</f>
        <v>23696.3305497252</v>
      </c>
      <c r="L5261" s="1" t="s">
        <v>956</v>
      </c>
    </row>
    <row r="5262" customFormat="false" ht="17.15" hidden="false" customHeight="false" outlineLevel="0" collapsed="false">
      <c r="A5262" s="1" t="s">
        <v>957</v>
      </c>
      <c r="B5262" s="0" t="s">
        <v>456</v>
      </c>
      <c r="C5262" s="30" t="n">
        <f aca="false">Sens!C5261-Sens!C5260</f>
        <v>326.666666666667</v>
      </c>
      <c r="D5262" s="30" t="n">
        <f aca="false">Sens!D5261-Sens!D5260</f>
        <v>820</v>
      </c>
      <c r="E5262" s="30" t="n">
        <f aca="false">Sens!E5261-Sens!E5260</f>
        <v>1800</v>
      </c>
      <c r="F5262" s="30" t="n">
        <f aca="false">Sens!F5261-Sens!F5260</f>
        <v>3480.35673333333</v>
      </c>
      <c r="G5262" s="30" t="n">
        <f aca="false">Sens!G5261-Sens!G5260</f>
        <v>5298.0468</v>
      </c>
      <c r="H5262" s="30" t="n">
        <f aca="false">Sens!H5261-Sens!H5260</f>
        <v>7115.73686666667</v>
      </c>
      <c r="I5262" s="30" t="n">
        <f aca="false">Sens!I5261-Sens!I5260</f>
        <v>8403.72761311111</v>
      </c>
      <c r="J5262" s="30" t="n">
        <f aca="false">Sens!J5261-Sens!J5260</f>
        <v>9187.77885426222</v>
      </c>
      <c r="K5262" s="30" t="n">
        <f aca="false">Sens!K5261-Sens!K5260</f>
        <v>9478.53221989009</v>
      </c>
    </row>
    <row r="5263" customFormat="false" ht="17.15" hidden="false" customHeight="false" outlineLevel="0" collapsed="false">
      <c r="A5263" s="1" t="s">
        <v>958</v>
      </c>
      <c r="B5263" s="0" t="s">
        <v>456</v>
      </c>
      <c r="C5263" s="30" t="n">
        <f aca="false">Sens!C5261</f>
        <v>816.666666666667</v>
      </c>
      <c r="D5263" s="30" t="n">
        <f aca="false">Sens!D5261-Sens!C5261</f>
        <v>1233.33333333333</v>
      </c>
      <c r="E5263" s="30" t="n">
        <f aca="false">Sens!E5261-Sens!D5261</f>
        <v>2450</v>
      </c>
      <c r="F5263" s="30" t="n">
        <f aca="false">Sens!F5261-Sens!E5261</f>
        <v>4200.89183333333</v>
      </c>
      <c r="G5263" s="30" t="n">
        <f aca="false">Sens!G5261-Sens!F5261</f>
        <v>4544.22516666667</v>
      </c>
      <c r="H5263" s="30" t="n">
        <f aca="false">Sens!H5261-Sens!G5261</f>
        <v>4544.22516666667</v>
      </c>
      <c r="I5263" s="30" t="n">
        <f aca="false">Sens!I5261-Sens!H5261</f>
        <v>3219.97686611111</v>
      </c>
      <c r="J5263" s="30" t="n">
        <f aca="false">Sens!J5261-Sens!I5261</f>
        <v>1960.12810287778</v>
      </c>
      <c r="K5263" s="30" t="n">
        <f aca="false">Sens!K5261-Sens!J5261</f>
        <v>726.883414069667</v>
      </c>
    </row>
    <row r="5264" customFormat="false" ht="17.15" hidden="false" customHeight="false" outlineLevel="0" collapsed="false">
      <c r="A5264" s="1" t="s">
        <v>959</v>
      </c>
      <c r="B5264" s="0" t="s">
        <v>456</v>
      </c>
      <c r="D5264" s="30" t="n">
        <f aca="false">Sens!D5258-Sens!C5258</f>
        <v>990</v>
      </c>
      <c r="E5264" s="30" t="n">
        <f aca="false">Sens!E5258-Sens!D5258</f>
        <v>1620</v>
      </c>
      <c r="F5264" s="30" t="n">
        <f aca="false">Sens!F5258-Sens!E5258</f>
        <v>2726.5351</v>
      </c>
      <c r="G5264" s="30" t="n">
        <f aca="false">Sens!G5258-Sens!F5258</f>
        <v>2726.5351</v>
      </c>
      <c r="H5264" s="30" t="n">
        <f aca="false">Sens!H5258-Sens!G5258</f>
        <v>2726.5351</v>
      </c>
      <c r="I5264" s="30" t="n">
        <f aca="false">Sens!I5258-Sens!H5258</f>
        <v>1931.98611966667</v>
      </c>
      <c r="J5264" s="30" t="n">
        <f aca="false">Sens!J5258-Sens!I5258</f>
        <v>1176.07686172667</v>
      </c>
      <c r="K5264" s="30" t="n">
        <f aca="false">Sens!K5258-Sens!J5258</f>
        <v>436.130048441799</v>
      </c>
    </row>
    <row r="5265" customFormat="false" ht="17.15" hidden="false" customHeight="false" outlineLevel="0" collapsed="false">
      <c r="A5265" s="1" t="s">
        <v>960</v>
      </c>
      <c r="B5265" s="0" t="s">
        <v>456</v>
      </c>
      <c r="F5265" s="30" t="n">
        <f aca="false">Sens!F5284*ext_sh</f>
        <v>0</v>
      </c>
      <c r="G5265" s="30" t="n">
        <f aca="false">Sens!G5284*ext_sh</f>
        <v>0</v>
      </c>
      <c r="H5265" s="30" t="n">
        <f aca="false">Sens!H5284*ext_sh</f>
        <v>0</v>
      </c>
      <c r="I5265" s="30" t="n">
        <f aca="false">Sens!I5284*ext_sh</f>
        <v>0</v>
      </c>
      <c r="J5265" s="30" t="n">
        <f aca="false">Sens!J5284*ext_sh</f>
        <v>490</v>
      </c>
      <c r="K5265" s="30" t="n">
        <f aca="false">Sens!K5284*ext_sh</f>
        <v>740</v>
      </c>
      <c r="L5265" s="1" t="s">
        <v>961</v>
      </c>
    </row>
    <row r="5266" customFormat="false" ht="17.15" hidden="false" customHeight="false" outlineLevel="0" collapsed="false">
      <c r="A5266" s="1" t="s">
        <v>962</v>
      </c>
      <c r="B5266" s="0" t="s">
        <v>456</v>
      </c>
      <c r="C5266" s="30" t="n">
        <f aca="false">mix_h*Sens!C5258</f>
        <v>128</v>
      </c>
      <c r="D5266" s="30" t="n">
        <f aca="false">mix_h*Sens!D5258</f>
        <v>326</v>
      </c>
      <c r="E5266" s="30" t="n">
        <f aca="false">mix_h*Sens!E5258</f>
        <v>650</v>
      </c>
      <c r="F5266" s="30" t="n">
        <f aca="false">Sens!E5266-Sens!F5265*mix_h</f>
        <v>650</v>
      </c>
      <c r="G5266" s="30" t="n">
        <f aca="false">Sens!F5266-Sens!G5265*mix_h</f>
        <v>650</v>
      </c>
      <c r="H5266" s="30" t="n">
        <f aca="false">Sens!G5266-Sens!H5265*mix_h</f>
        <v>650</v>
      </c>
      <c r="I5266" s="30" t="n">
        <f aca="false">Sens!H5266-Sens!I5265*mix_h</f>
        <v>650</v>
      </c>
      <c r="J5266" s="30" t="n">
        <f aca="false">Sens!I5266-Sens!J5265*mix_h</f>
        <v>552</v>
      </c>
      <c r="K5266" s="30" t="n">
        <f aca="false">Sens!J5266-Sens!K5265*mix_h</f>
        <v>404</v>
      </c>
    </row>
    <row r="5267" customFormat="false" ht="17.15" hidden="false" customHeight="false" outlineLevel="0" collapsed="false">
      <c r="A5267" s="1" t="s">
        <v>963</v>
      </c>
      <c r="B5267" s="0" t="s">
        <v>456</v>
      </c>
      <c r="C5267" s="30" t="n">
        <f aca="false">mix_g2*Sens!C5258</f>
        <v>288</v>
      </c>
      <c r="D5267" s="30" t="n">
        <f aca="false">mix_g2*Sens!D5258</f>
        <v>733.5</v>
      </c>
      <c r="E5267" s="30" t="n">
        <f aca="false">mix_g2*Sens!E5258</f>
        <v>1462.5</v>
      </c>
      <c r="F5267" s="30" t="n">
        <f aca="false">Sens!E5267-Sens!F5265*mix_g2</f>
        <v>1462.5</v>
      </c>
      <c r="G5267" s="30" t="n">
        <f aca="false">Sens!F5267-Sens!G5265*mix_g2</f>
        <v>1462.5</v>
      </c>
      <c r="H5267" s="30" t="n">
        <f aca="false">Sens!G5267-Sens!H5265*mix_g2</f>
        <v>1462.5</v>
      </c>
      <c r="I5267" s="30" t="n">
        <f aca="false">Sens!H5267-Sens!I5265*mix_g2</f>
        <v>1462.5</v>
      </c>
      <c r="J5267" s="30" t="n">
        <f aca="false">Sens!I5267-Sens!J5265*mix_g2</f>
        <v>1242</v>
      </c>
      <c r="K5267" s="30" t="n">
        <f aca="false">Sens!J5267-Sens!K5265*mix_g2</f>
        <v>909</v>
      </c>
    </row>
    <row r="5268" customFormat="false" ht="17.15" hidden="false" customHeight="false" outlineLevel="0" collapsed="false">
      <c r="A5268" s="1" t="s">
        <v>964</v>
      </c>
      <c r="B5268" s="0" t="s">
        <v>456</v>
      </c>
      <c r="C5268" s="30" t="n">
        <f aca="false">mix_g3*Sens!C5258</f>
        <v>224</v>
      </c>
      <c r="D5268" s="30" t="n">
        <f aca="false">mix_g3*Sens!D5258</f>
        <v>570.5</v>
      </c>
      <c r="E5268" s="30" t="n">
        <f aca="false">mix_g3*Sens!E5258</f>
        <v>1137.5</v>
      </c>
      <c r="F5268" s="30" t="n">
        <f aca="false">Sens!E5268+(Sens!F5264+Sens!F5265)*(a_g3_27-nonnv*a_mai)-Sens!F5265*mix_g3</f>
        <v>2773.42106</v>
      </c>
      <c r="G5268" s="30" t="n">
        <f aca="false">Sens!F5268+(Sens!G5264+Sens!G5265)*(a_g3_28-nonnv*a_mai)-Sens!G5265*mix_g3</f>
        <v>3318.72808</v>
      </c>
      <c r="H5268" s="30" t="n">
        <f aca="false">Sens!G5268+(Sens!H5264+Sens!H5265)*(a_g3_29-nonnv*a_mai)-Sens!H5265*mix_g3</f>
        <v>3318.72808</v>
      </c>
      <c r="I5268" s="30" t="n">
        <f aca="false">Sens!H5268+(Sens!I5264+Sens!I5265)*(a_g3_29-nonnv*a_mai)-Sens!I5265*mix_g3</f>
        <v>3318.72808</v>
      </c>
      <c r="J5268" s="30" t="n">
        <f aca="false">Sens!I5268+(Sens!J5264+Sens!J5265)*(a_g3_29-nonnv*a_mai)-Sens!J5265*mix_g3</f>
        <v>3147.22808</v>
      </c>
      <c r="K5268" s="30" t="n">
        <f aca="false">Sens!J5268+(Sens!K5264+Sens!K5265)*(a_g3_29-nonnv*a_mai)-Sens!K5265*mix_g3</f>
        <v>2888.22808</v>
      </c>
    </row>
    <row r="5269" customFormat="false" ht="17.15" hidden="false" customHeight="false" outlineLevel="0" collapsed="false">
      <c r="A5269" s="1" t="s">
        <v>965</v>
      </c>
      <c r="B5269" s="0" t="s">
        <v>456</v>
      </c>
      <c r="C5269" s="30" t="n">
        <v>0</v>
      </c>
      <c r="D5269" s="30" t="n">
        <v>0</v>
      </c>
      <c r="E5269" s="30" t="n">
        <v>0</v>
      </c>
      <c r="F5269" s="30" t="n">
        <f aca="false">Sens!E5269+(Sens!F5264+Sens!F5265)*nonnv*a_mai</f>
        <v>272.65351</v>
      </c>
      <c r="G5269" s="30" t="n">
        <f aca="false">Sens!F5269+(Sens!G5264+Sens!G5265)*nonnv*a_mai</f>
        <v>545.30702</v>
      </c>
      <c r="H5269" s="30" t="n">
        <f aca="false">Sens!G5269+(Sens!H5264+Sens!H5265)*nonnv*a_mai</f>
        <v>817.96053</v>
      </c>
      <c r="I5269" s="30" t="n">
        <f aca="false">Sens!H5269+(Sens!I5264+Sens!I5265)*nonnv*a_mai</f>
        <v>1011.15914196667</v>
      </c>
      <c r="J5269" s="30" t="n">
        <f aca="false">Sens!I5269+(Sens!J5264+Sens!J5265)*nonnv*a_mai</f>
        <v>1177.76682813933</v>
      </c>
      <c r="K5269" s="30" t="n">
        <f aca="false">Sens!J5269+(Sens!K5264+Sens!K5265)*nonnv*a_mai</f>
        <v>1295.37983298351</v>
      </c>
      <c r="L5269" s="12" t="s">
        <v>966</v>
      </c>
    </row>
    <row r="5270" customFormat="false" ht="17.15" hidden="false" customHeight="false" outlineLevel="0" collapsed="false">
      <c r="A5270" s="1" t="s">
        <v>967</v>
      </c>
      <c r="B5270" s="0" t="s">
        <v>456</v>
      </c>
      <c r="C5270" s="30" t="n">
        <v>0</v>
      </c>
      <c r="D5270" s="30" t="n">
        <v>0</v>
      </c>
      <c r="E5270" s="30" t="n">
        <v>0</v>
      </c>
      <c r="F5270" s="30" t="n">
        <f aca="false">Sens!E5270+(Sens!F5264+Sens!F5265)*(1-a_g3_27)</f>
        <v>817.96053</v>
      </c>
      <c r="G5270" s="30" t="n">
        <f aca="false">Sens!F5270+(Sens!G5264+Sens!G5265)*(1-a_g3_28)</f>
        <v>2726.5351</v>
      </c>
      <c r="H5270" s="30" t="n">
        <f aca="false">Sens!G5270+(Sens!H5264+Sens!H5265)*(1-a_g3_29)</f>
        <v>5180.41669</v>
      </c>
      <c r="I5270" s="30" t="n">
        <f aca="false">Sens!H5270+(Sens!I5264+Sens!I5265)*(1-a_g3_29)</f>
        <v>6919.2041977</v>
      </c>
      <c r="J5270" s="30" t="n">
        <f aca="false">Sens!I5270+(Sens!J5264+Sens!J5265)*(1-a_g3_29)</f>
        <v>8418.673373254</v>
      </c>
      <c r="K5270" s="30" t="n">
        <f aca="false">Sens!J5270+(Sens!K5264+Sens!K5265)*(1-a_g3_29)</f>
        <v>9477.19041685162</v>
      </c>
    </row>
    <row r="5271" customFormat="false" ht="17.15" hidden="false" customHeight="false" outlineLevel="0" collapsed="false">
      <c r="A5271" s="1" t="s">
        <v>968</v>
      </c>
      <c r="B5271" s="0" t="s">
        <v>403</v>
      </c>
      <c r="C5271" s="15" t="n">
        <f aca="false">(Sens!C5266*tk_hold_h100+Sens!C5267*tk_hold_gb200+Sens!C5268*tk_hold_gb300+Sens!C5270*tk_hold_vr200+Sens!C5269*nv_hold_mai*tk_hold_vr200)/Sens!C5258</f>
        <v>9.7235358126469</v>
      </c>
      <c r="D5271" s="15" t="n">
        <f aca="false">(Sens!D5266*tk_hold_h100+Sens!D5267*tk_hold_gb200+Sens!D5268*tk_hold_gb300+Sens!D5270*tk_hold_vr200+Sens!D5269*nv_hold_mai*tk_hold_vr200)/Sens!D5258</f>
        <v>9.7235358126469</v>
      </c>
      <c r="E5271" s="15" t="n">
        <f aca="false">(Sens!E5266*tk_hold_h100+Sens!E5267*tk_hold_gb200+Sens!E5268*tk_hold_gb300+Sens!E5270*tk_hold_vr200+Sens!E5269*nv_hold_mai*tk_hold_vr200)/Sens!E5258</f>
        <v>9.7235358126469</v>
      </c>
      <c r="F5271" s="15" t="n">
        <f aca="false">(Sens!F5266*tk_hold_h100+Sens!F5267*tk_hold_gb200+Sens!F5268*tk_hold_gb300+Sens!F5270*tk_hold_vr200+Sens!F5269*nv_hold_mai*tk_hold_vr200)/Sens!F5258</f>
        <v>10.2195353876665</v>
      </c>
      <c r="G5271" s="15" t="n">
        <f aca="false">(Sens!G5266*tk_hold_h100+Sens!G5267*tk_hold_gb200+Sens!G5268*tk_hold_gb300+Sens!G5270*tk_hold_vr200+Sens!G5269*nv_hold_mai*tk_hold_vr200)/Sens!G5258</f>
        <v>10.5725598017306</v>
      </c>
      <c r="H5271" s="15" t="n">
        <f aca="false">(Sens!H5266*tk_hold_h100+Sens!H5267*tk_hold_gb200+Sens!H5268*tk_hold_gb300+Sens!H5270*tk_hold_vr200+Sens!H5269*nv_hold_mai*tk_hold_vr200)/Sens!H5258</f>
        <v>10.8210427149036</v>
      </c>
      <c r="I5271" s="15" t="n">
        <f aca="false">(Sens!I5266*tk_hold_h100+Sens!I5267*tk_hold_gb200+Sens!I5268*tk_hold_gb300+Sens!I5270*tk_hold_vr200+Sens!I5269*nv_hold_mai*tk_hold_vr200)/Sens!I5258</f>
        <v>10.9357269541711</v>
      </c>
      <c r="J5271" s="15" t="n">
        <f aca="false">(Sens!J5266*tk_hold_h100+Sens!J5267*tk_hold_gb200+Sens!J5268*tk_hold_gb300+Sens!J5270*tk_hold_vr200+Sens!J5269*nv_hold_mai*tk_hold_vr200)/Sens!J5258</f>
        <v>11.0543400376237</v>
      </c>
      <c r="K5271" s="15" t="n">
        <f aca="false">(Sens!K5266*tk_hold_h100+Sens!K5267*tk_hold_gb200+Sens!K5268*tk_hold_gb300+Sens!K5270*tk_hold_vr200+Sens!K5269*nv_hold_mai*tk_hold_vr200)/Sens!K5258</f>
        <v>11.1640824170085</v>
      </c>
      <c r="L5271" s="1" t="s">
        <v>969</v>
      </c>
    </row>
    <row r="5272" customFormat="false" ht="17.15" hidden="false" customHeight="false" outlineLevel="0" collapsed="false">
      <c r="A5272" s="1" t="s">
        <v>970</v>
      </c>
      <c r="B5272" s="0" t="s">
        <v>403</v>
      </c>
      <c r="C5272" s="15" t="n">
        <f aca="false">(Sens!C5266*tk_hold_h100+Sens!C5267*tk_hold_gb200+Sens!C5268*tk_hold_gb300+Sens!C5270*tk_hold_vr200+Sens!C5269*nv_out_mai*tk_hold_vr200)/Sens!C5258</f>
        <v>9.7235358126469</v>
      </c>
      <c r="D5272" s="15" t="n">
        <f aca="false">(Sens!D5266*tk_hold_h100+Sens!D5267*tk_hold_gb200+Sens!D5268*tk_hold_gb300+Sens!D5270*tk_hold_vr200+Sens!D5269*nv_out_mai*tk_hold_vr200)/Sens!D5258</f>
        <v>9.7235358126469</v>
      </c>
      <c r="E5272" s="15" t="n">
        <f aca="false">(Sens!E5266*tk_hold_h100+Sens!E5267*tk_hold_gb200+Sens!E5268*tk_hold_gb300+Sens!E5270*tk_hold_vr200+Sens!E5269*nv_out_mai*tk_hold_vr200)/Sens!E5258</f>
        <v>9.7235358126469</v>
      </c>
      <c r="F5272" s="15" t="n">
        <f aca="false">(Sens!F5266*tk_hold_h100+Sens!F5267*tk_hold_gb200+Sens!F5268*tk_hold_gb300+Sens!F5270*tk_hold_vr200+Sens!F5269*nv_out_mai*tk_hold_vr200)/Sens!F5258</f>
        <v>10.247422093969</v>
      </c>
      <c r="G5272" s="15" t="n">
        <f aca="false">(Sens!G5266*tk_hold_h100+Sens!G5267*tk_hold_gb200+Sens!G5268*tk_hold_gb300+Sens!G5270*tk_hold_vr200+Sens!G5269*nv_out_mai*tk_hold_vr200)/Sens!G5258</f>
        <v>10.6108602808053</v>
      </c>
      <c r="H5272" s="15" t="n">
        <f aca="false">(Sens!H5266*tk_hold_h100+Sens!H5267*tk_hold_gb200+Sens!H5268*tk_hold_gb300+Sens!H5270*tk_hold_vr200+Sens!H5269*nv_out_mai*tk_hold_vr200)/Sens!H5258</f>
        <v>10.8647885507393</v>
      </c>
      <c r="I5272" s="15" t="n">
        <f aca="false">(Sens!I5266*tk_hold_h100+Sens!I5267*tk_hold_gb200+Sens!I5268*tk_hold_gb300+Sens!I5270*tk_hold_vr200+Sens!I5269*nv_out_mai*tk_hold_vr200)/Sens!I5258</f>
        <v>10.9819860275961</v>
      </c>
      <c r="J5272" s="15" t="n">
        <f aca="false">(Sens!J5266*tk_hold_h100+Sens!J5267*tk_hold_gb200+Sens!J5268*tk_hold_gb300+Sens!J5270*tk_hold_vr200+Sens!J5269*nv_out_mai*tk_hold_vr200)/Sens!J5258</f>
        <v>11.1038622647405</v>
      </c>
      <c r="K5272" s="15" t="n">
        <f aca="false">(Sens!K5266*tk_hold_h100+Sens!K5267*tk_hold_gb200+Sens!K5268*tk_hold_gb300+Sens!K5270*tk_hold_vr200+Sens!K5269*nv_out_mai*tk_hold_vr200)/Sens!K5258</f>
        <v>11.21696355057</v>
      </c>
      <c r="L5272" s="12" t="s">
        <v>971</v>
      </c>
    </row>
    <row r="5273" customFormat="false" ht="17.15" hidden="false" customHeight="false" outlineLevel="0" collapsed="false">
      <c r="A5273" s="0" t="s">
        <v>972</v>
      </c>
      <c r="B5273" s="0" t="s">
        <v>229</v>
      </c>
      <c r="C5273" s="15" t="n">
        <f aca="false">k_B</f>
        <v>1.17213932619116</v>
      </c>
      <c r="D5273" s="15" t="n">
        <f aca="false">k_B</f>
        <v>1.17213932619116</v>
      </c>
      <c r="E5273" s="15" t="n">
        <f aca="false">k_B</f>
        <v>1.17213932619116</v>
      </c>
      <c r="F5273" s="15" t="n">
        <f aca="false">(k_B+((ls_C*k_long+(1-ls_C)*k_spot)-k_B)*MIN(1,(Sens!F5256-base_fy)/k_ramp))</f>
        <v>1.07843258004497</v>
      </c>
      <c r="G5273" s="15" t="n">
        <f aca="false">(k_B+((ls_C*k_long+(1-ls_C)*k_spot)-k_B)*MIN(1,(Sens!G5256-base_fy)/k_ramp))</f>
        <v>0.984725833898784</v>
      </c>
      <c r="H5273" s="15" t="n">
        <f aca="false">(k_B+((ls_C*k_long+(1-ls_C)*k_spot)-k_B)*MIN(1,(Sens!H5256-base_fy)/k_ramp))</f>
        <v>0.891019087752599</v>
      </c>
      <c r="I5273" s="15" t="n">
        <f aca="false">(k_B+((ls_C*k_long+(1-ls_C)*k_spot)-k_B)*MIN(1,(Sens!I5256-base_fy)/k_ramp))</f>
        <v>0.891019087752599</v>
      </c>
      <c r="J5273" s="15" t="n">
        <f aca="false">(k_B+((ls_C*k_long+(1-ls_C)*k_spot)-k_B)*MIN(1,(Sens!J5256-base_fy)/k_ramp))</f>
        <v>0.891019087752599</v>
      </c>
      <c r="K5273" s="15" t="n">
        <f aca="false">(k_B+((ls_C*k_long+(1-ls_C)*k_spot)-k_B)*MIN(1,(Sens!K5256-base_fy)/k_ramp))</f>
        <v>0.891019087752599</v>
      </c>
      <c r="L5273" s="1" t="s">
        <v>973</v>
      </c>
    </row>
    <row r="5274" customFormat="false" ht="17.15" hidden="false" customHeight="false" outlineLevel="0" collapsed="false">
      <c r="A5274" s="1" t="s">
        <v>974</v>
      </c>
      <c r="B5274" s="0" t="s">
        <v>403</v>
      </c>
      <c r="C5274" s="15" t="n">
        <f aca="false">Sens!C5272*Sens!C5273*chip_f</f>
        <v>11.3973387156315</v>
      </c>
      <c r="D5274" s="15" t="n">
        <f aca="false">Sens!D5272*Sens!D5273*chip_f</f>
        <v>11.3973387156315</v>
      </c>
      <c r="E5274" s="15" t="n">
        <f aca="false">Sens!E5272*Sens!E5273*chip_f</f>
        <v>11.3973387156315</v>
      </c>
      <c r="F5274" s="15" t="n">
        <f aca="false">Sens!F5272*Sens!F5273*chip_f</f>
        <v>11.0511538476088</v>
      </c>
      <c r="G5274" s="15" t="n">
        <f aca="false">Sens!G5272*Sens!G5273*chip_f</f>
        <v>10.4487882383995</v>
      </c>
      <c r="H5274" s="15" t="n">
        <f aca="false">Sens!H5272*Sens!H5273*chip_f</f>
        <v>9.68073398310464</v>
      </c>
      <c r="I5274" s="15" t="n">
        <f aca="false">Sens!I5272*Sens!I5273*chip_f</f>
        <v>9.78515917202047</v>
      </c>
      <c r="J5274" s="15" t="n">
        <f aca="false">Sens!J5272*Sens!J5273*chip_f</f>
        <v>9.89375322565957</v>
      </c>
      <c r="K5274" s="15" t="n">
        <f aca="false">Sens!K5272*Sens!K5273*chip_f</f>
        <v>9.99452863018304</v>
      </c>
      <c r="L5274" s="1" t="s">
        <v>975</v>
      </c>
    </row>
    <row r="5275" customFormat="false" ht="17.15" hidden="false" customHeight="false" outlineLevel="0" collapsed="false">
      <c r="A5275" s="0" t="s">
        <v>976</v>
      </c>
      <c r="B5275" s="0" t="s">
        <v>98</v>
      </c>
      <c r="D5275" s="6" t="n">
        <f aca="false">(Sens!C5258+Sens!D5258)/2*Sens!D5274/1000</f>
        <v>12.9359794422418</v>
      </c>
      <c r="E5275" s="6" t="n">
        <f aca="false">(Sens!D5258+Sens!E5258)/2*Sens!E5274/1000</f>
        <v>27.8095064661409</v>
      </c>
      <c r="F5275" s="6" t="n">
        <f aca="false">(Sens!E5258+Sens!F5258)/2*Sens!F5274/1000</f>
        <v>50.9819294352312</v>
      </c>
      <c r="G5275" s="6" t="n">
        <f aca="false">(Sens!F5258+Sens!G5258)/2*Sens!G5274/1000</f>
        <v>76.6920436014933</v>
      </c>
      <c r="H5275" s="6" t="n">
        <f aca="false">(Sens!G5258+Sens!H5258)/2*Sens!H5274/1000</f>
        <v>97.4495379418341</v>
      </c>
      <c r="I5275" s="6" t="n">
        <f aca="false">(Sens!H5258+Sens!I5258)/2*Sens!I5274/1000</f>
        <v>121.292902983405</v>
      </c>
      <c r="J5275" s="6" t="n">
        <f aca="false">(Sens!I5258+Sens!J5258)/2*Sens!J5274/1000</f>
        <v>138.014195330438</v>
      </c>
      <c r="K5275" s="6" t="n">
        <f aca="false">(Sens!J5258+Sens!K5258)/2*Sens!K5274/1000</f>
        <v>147.476598982307</v>
      </c>
      <c r="L5275" s="12" t="s">
        <v>977</v>
      </c>
    </row>
    <row r="5276" customFormat="false" ht="17.15" hidden="false" customHeight="false" outlineLevel="0" collapsed="false">
      <c r="A5276" s="1" t="s">
        <v>978</v>
      </c>
      <c r="B5276" s="0" t="s">
        <v>403</v>
      </c>
      <c r="C5276" s="15" t="n">
        <f aca="false">(Sens!C5266*tk_opex_h100+Sens!C5267*tk_opex_gb200+Sens!C5268*tk_opex_gb300+(Sens!C5270+Sens!C5269)*tk_opex_vr200)/Sens!C5258</f>
        <v>1.88636041306092</v>
      </c>
      <c r="D5276" s="15" t="n">
        <f aca="false">(Sens!D5266*tk_opex_h100+Sens!D5267*tk_opex_gb200+Sens!D5268*tk_opex_gb300+(Sens!D5270+Sens!D5269)*tk_opex_vr200)/Sens!D5258</f>
        <v>1.88636041306092</v>
      </c>
      <c r="E5276" s="15" t="n">
        <f aca="false">(Sens!E5266*tk_opex_h100+Sens!E5267*tk_opex_gb200+Sens!E5268*tk_opex_gb300+(Sens!E5270+Sens!E5269)*tk_opex_vr200)/Sens!E5258</f>
        <v>1.88636041306092</v>
      </c>
      <c r="F5276" s="15" t="n">
        <f aca="false">(Sens!F5266*tk_opex_h100+Sens!F5267*tk_opex_gb200+Sens!F5268*tk_opex_gb300+(Sens!F5270+Sens!F5269)*tk_opex_vr200)/Sens!F5258</f>
        <v>1.95051159746876</v>
      </c>
      <c r="G5276" s="15" t="n">
        <f aca="false">(Sens!G5266*tk_opex_h100+Sens!G5267*tk_opex_gb200+Sens!G5268*tk_opex_gb300+(Sens!G5270+Sens!G5269)*tk_opex_vr200)/Sens!G5258</f>
        <v>1.98836003669956</v>
      </c>
      <c r="H5276" s="15" t="n">
        <f aca="false">(Sens!H5266*tk_opex_h100+Sens!H5267*tk_opex_gb200+Sens!H5268*tk_opex_gb300+(Sens!H5270+Sens!H5269)*tk_opex_vr200)/Sens!H5258</f>
        <v>2.01344013834343</v>
      </c>
      <c r="I5276" s="15" t="n">
        <f aca="false">(Sens!I5266*tk_opex_h100+Sens!I5267*tk_opex_gb200+Sens!I5268*tk_opex_gb300+(Sens!I5270+Sens!I5269)*tk_opex_vr200)/Sens!I5258</f>
        <v>2.0250155514817</v>
      </c>
      <c r="J5276" s="15" t="n">
        <f aca="false">(Sens!J5266*tk_opex_h100+Sens!J5267*tk_opex_gb200+Sens!J5268*tk_opex_gb300+(Sens!J5270+Sens!J5269)*tk_opex_vr200)/Sens!J5258</f>
        <v>2.03753708880915</v>
      </c>
      <c r="K5276" s="15" t="n">
        <f aca="false">(Sens!K5266*tk_opex_h100+Sens!K5267*tk_opex_gb200+Sens!K5268*tk_opex_gb300+(Sens!K5270+Sens!K5269)*tk_opex_vr200)/Sens!K5258</f>
        <v>2.04940349450181</v>
      </c>
      <c r="L5276" s="12" t="s">
        <v>979</v>
      </c>
    </row>
    <row r="5277" customFormat="false" ht="17.15" hidden="false" customHeight="false" outlineLevel="0" collapsed="false">
      <c r="A5277" s="0" t="s">
        <v>980</v>
      </c>
      <c r="B5277" s="0" t="s">
        <v>98</v>
      </c>
      <c r="D5277" s="6" t="n">
        <f aca="false">(Sens!C5261+Sens!D5261)/2*Sens!D5276/1000</f>
        <v>2.70378325872065</v>
      </c>
      <c r="E5277" s="6" t="n">
        <f aca="false">(Sens!D5261+Sens!E5261)/2*Sens!E5276/1000</f>
        <v>6.17783035277451</v>
      </c>
      <c r="F5277" s="6" t="n">
        <f aca="false">(Sens!E5261+Sens!F5261)/2*Sens!F5276/1000</f>
        <v>12.8742463089237</v>
      </c>
      <c r="G5277" s="6" t="n">
        <f aca="false">(Sens!F5261+Sens!G5261)/2*Sens!G5276/1000</f>
        <v>21.8182834646277</v>
      </c>
      <c r="H5277" s="6" t="n">
        <f aca="false">(Sens!G5261+Sens!H5261)/2*Sens!H5276/1000</f>
        <v>31.2430128789734</v>
      </c>
      <c r="I5277" s="6" t="n">
        <f aca="false">(Sens!H5261+Sens!I5261)/2*Sens!I5276/1000</f>
        <v>39.2839461527723</v>
      </c>
      <c r="J5277" s="6" t="n">
        <f aca="false">(Sens!I5261+Sens!J5261)/2*Sens!J5276/1000</f>
        <v>44.8041835941241</v>
      </c>
      <c r="K5277" s="6" t="n">
        <f aca="false">(Sens!J5261+Sens!K5261)/2*Sens!K5276/1000</f>
        <v>47.8185039310321</v>
      </c>
    </row>
    <row r="5278" customFormat="false" ht="17.15" hidden="false" customHeight="false" outlineLevel="0" collapsed="false">
      <c r="A5278" s="0" t="s">
        <v>981</v>
      </c>
      <c r="B5278" s="0" t="s">
        <v>98</v>
      </c>
      <c r="D5278" s="6" t="n">
        <f aca="false">(Sens!C5259+Sens!D5259)/2*rent_mw/1000</f>
        <v>2.44475</v>
      </c>
      <c r="E5278" s="6" t="n">
        <f aca="false">(Sens!D5259+Sens!E5259)/2*rent_mw/1000</f>
        <v>4.22275</v>
      </c>
      <c r="F5278" s="6" t="n">
        <f aca="false">(Sens!E5259+Sens!F5259)/2*rent_mw/1000</f>
        <v>5.80517</v>
      </c>
      <c r="G5278" s="6" t="n">
        <f aca="false">(Sens!F5259+Sens!G5259)/2*rent_mw/1000</f>
        <v>6.72084</v>
      </c>
      <c r="H5278" s="6" t="n">
        <f aca="false">(Sens!G5259+Sens!H5259)/2*rent_mw/1000</f>
        <v>6.72084</v>
      </c>
      <c r="I5278" s="6" t="n">
        <f aca="false">(Sens!H5259+Sens!I5259)/2*rent_mw/1000</f>
        <v>6.72084</v>
      </c>
      <c r="J5278" s="6" t="n">
        <f aca="false">(Sens!I5259+Sens!J5259)/2*rent_mw/1000</f>
        <v>6.72084</v>
      </c>
      <c r="K5278" s="6" t="n">
        <f aca="false">(Sens!J5259+Sens!K5259)/2*rent_mw/1000</f>
        <v>6.72084</v>
      </c>
    </row>
    <row r="5279" customFormat="false" ht="17.15" hidden="false" customHeight="false" outlineLevel="0" collapsed="false">
      <c r="A5279" s="0" t="s">
        <v>982</v>
      </c>
      <c r="B5279" s="0" t="s">
        <v>98</v>
      </c>
      <c r="D5279" s="6" t="n">
        <f aca="false">(Sens!C5261+Sens!D5261)/2*(1-self_build)*fac_rent/1000</f>
        <v>0.853242375631075</v>
      </c>
      <c r="E5279" s="6" t="n">
        <f aca="false">(Sens!D5261+Sens!E5261)/2*(1-self_build)*fac_rent/1000</f>
        <v>1.94955961408728</v>
      </c>
      <c r="F5279" s="6" t="n">
        <f aca="false">(Sens!E5261+Sens!F5261)/2*(1-self_build)*fac_rent/1000</f>
        <v>3.92914894476356</v>
      </c>
      <c r="G5279" s="6" t="n">
        <f aca="false">(Sens!F5261+Sens!G5261)/2*(1-self_build)*fac_rent/1000</f>
        <v>6.53206908578159</v>
      </c>
      <c r="H5279" s="6" t="n">
        <f aca="false">(Sens!G5261+Sens!H5261)/2*(1-self_build)*fac_rent/1000</f>
        <v>9.23717988341591</v>
      </c>
      <c r="I5279" s="6" t="n">
        <f aca="false">(Sens!H5261+Sens!I5261)/2*(1-self_build)*fac_rent/1000</f>
        <v>11.5481378557393</v>
      </c>
      <c r="J5279" s="6" t="n">
        <f aca="false">(Sens!I5261+Sens!J5261)/2*(1-self_build)*fac_rent/1000</f>
        <v>13.0899582289108</v>
      </c>
      <c r="K5279" s="6" t="n">
        <f aca="false">(Sens!J5261+Sens!K5261)/2*(1-self_build)*fac_rent/1000</f>
        <v>13.8897275626556</v>
      </c>
      <c r="L5279" s="12" t="s">
        <v>983</v>
      </c>
    </row>
    <row r="5280" customFormat="false" ht="17.15" hidden="false" customHeight="false" outlineLevel="0" collapsed="false">
      <c r="A5280" s="1" t="s">
        <v>984</v>
      </c>
      <c r="B5280" s="0" t="s">
        <v>168</v>
      </c>
      <c r="D5280" s="7" t="n">
        <f aca="false">(Sens!C5260+Sens!D5260)/(Sens!C5261+Sens!D5261)</f>
        <v>0.6</v>
      </c>
      <c r="E5280" s="7" t="n">
        <f aca="false">(Sens!D5260+Sens!E5260)/(Sens!D5261+Sens!E5261)</f>
        <v>0.6</v>
      </c>
      <c r="F5280" s="7" t="n">
        <f aca="false">(Sens!E5260+Sens!F5260)/(Sens!E5261+Sens!F5261)</f>
        <v>0.6</v>
      </c>
      <c r="G5280" s="7" t="n">
        <f aca="false">(Sens!F5260+Sens!G5260)/(Sens!F5261+Sens!G5261)</f>
        <v>0.6</v>
      </c>
      <c r="H5280" s="7" t="n">
        <f aca="false">(Sens!G5260+Sens!H5260)/(Sens!G5261+Sens!H5261)</f>
        <v>0.6</v>
      </c>
      <c r="I5280" s="7" t="n">
        <f aca="false">(Sens!H5260+Sens!I5260)/(Sens!H5261+Sens!I5261)</f>
        <v>0.6</v>
      </c>
      <c r="J5280" s="7" t="n">
        <f aca="false">(Sens!I5260+Sens!J5260)/(Sens!I5261+Sens!J5261)</f>
        <v>0.6</v>
      </c>
      <c r="K5280" s="7" t="n">
        <f aca="false">(Sens!J5260+Sens!K5260)/(Sens!J5261+Sens!K5261)</f>
        <v>0.6</v>
      </c>
    </row>
    <row r="5281" customFormat="false" ht="17.15" hidden="false" customHeight="false" outlineLevel="0" collapsed="false">
      <c r="A5281" s="0" t="s">
        <v>985</v>
      </c>
      <c r="B5281" s="0" t="s">
        <v>98</v>
      </c>
      <c r="D5281" s="6" t="n">
        <f aca="false">Sens!D5275-Sens!D5280*(Sens!D5277+Sens!D5279)-Sens!D5278</f>
        <v>8.35701406163072</v>
      </c>
      <c r="E5281" s="6" t="n">
        <f aca="false">Sens!E5275-Sens!E5280*(Sens!E5277+Sens!E5279)-Sens!E5278</f>
        <v>18.7103224860238</v>
      </c>
      <c r="F5281" s="6" t="n">
        <f aca="false">Sens!F5275-Sens!F5280*(Sens!F5277+Sens!F5279)-Sens!F5278</f>
        <v>35.0947222830189</v>
      </c>
      <c r="G5281" s="6" t="n">
        <f aca="false">Sens!G5275-Sens!G5280*(Sens!G5277+Sens!G5279)-Sens!G5278</f>
        <v>52.9609920712477</v>
      </c>
      <c r="H5281" s="6" t="n">
        <f aca="false">Sens!H5275-Sens!H5280*(Sens!H5277+Sens!H5279)-Sens!H5278</f>
        <v>66.4405822844005</v>
      </c>
      <c r="I5281" s="6" t="n">
        <f aca="false">Sens!I5275-Sens!I5280*(Sens!I5277+Sens!I5279)-Sens!I5278</f>
        <v>84.0728125782981</v>
      </c>
      <c r="J5281" s="6" t="n">
        <f aca="false">Sens!J5275-Sens!J5280*(Sens!J5277+Sens!J5279)-Sens!J5278</f>
        <v>96.5568702366173</v>
      </c>
      <c r="K5281" s="6" t="n">
        <f aca="false">Sens!K5275-Sens!K5280*(Sens!K5277+Sens!K5279)-Sens!K5278</f>
        <v>103.730820086094</v>
      </c>
    </row>
    <row r="5282" customFormat="false" ht="17.15" hidden="false" customHeight="false" outlineLevel="0" collapsed="false">
      <c r="A5282" s="1" t="s">
        <v>986</v>
      </c>
      <c r="B5282" s="0" t="s">
        <v>98</v>
      </c>
      <c r="D5282" s="6" t="n">
        <f aca="false">(1-Sens!D5280)*(Sens!D5277+Sens!D5279)</f>
        <v>1.42281025374069</v>
      </c>
      <c r="E5282" s="6" t="n">
        <f aca="false">(1-Sens!E5280)*(Sens!E5277+Sens!E5279)</f>
        <v>3.25095598674472</v>
      </c>
      <c r="F5282" s="6" t="n">
        <f aca="false">(1-Sens!F5280)*(Sens!F5277+Sens!F5279)</f>
        <v>6.72135810147489</v>
      </c>
      <c r="G5282" s="6" t="n">
        <f aca="false">(1-Sens!G5280)*(Sens!G5277+Sens!G5279)</f>
        <v>11.3401410201637</v>
      </c>
      <c r="H5282" s="6" t="n">
        <f aca="false">(1-Sens!H5280)*(Sens!H5277+Sens!H5279)</f>
        <v>16.1920771049557</v>
      </c>
      <c r="I5282" s="6" t="n">
        <f aca="false">(1-Sens!I5280)*(Sens!I5277+Sens!I5279)</f>
        <v>20.3328336034046</v>
      </c>
      <c r="J5282" s="6" t="n">
        <f aca="false">(1-Sens!J5280)*(Sens!J5277+Sens!J5279)</f>
        <v>23.157656729214</v>
      </c>
      <c r="K5282" s="6" t="n">
        <f aca="false">(1-Sens!K5280)*(Sens!K5277+Sens!K5279)</f>
        <v>24.6832925974751</v>
      </c>
    </row>
    <row r="5283" customFormat="false" ht="17.15" hidden="false" customHeight="false" outlineLevel="0" collapsed="false">
      <c r="A5283" s="1" t="s">
        <v>987</v>
      </c>
      <c r="B5283" s="0" t="s">
        <v>414</v>
      </c>
      <c r="C5283" s="8" t="n">
        <f aca="false">cxit_open</f>
        <v>27.5918995</v>
      </c>
      <c r="D5283" s="8" t="n">
        <f aca="false">cxit_open</f>
        <v>27.5918995</v>
      </c>
      <c r="E5283" s="8" t="n">
        <f aca="false">cxit_open</f>
        <v>27.5918995</v>
      </c>
      <c r="F5283" s="8" t="n">
        <f aca="false">((a_g3_27-nonnv*a_mai)*tk_cxit_gb300+nonnv*a_mai*nv_hold_mai*tk_cxit_vr200+(1-a_g3_27)*tk_cxit_vr200)</f>
        <v>32.4975576</v>
      </c>
      <c r="G5283" s="8" t="n">
        <f aca="false">((a_g3_28-nonnv*a_mai)*tk_cxit_gb300+nonnv*a_mai*nv_hold_mai*tk_cxit_vr200+(1-a_g3_28)*tk_cxit_vr200)</f>
        <v>34.6372088</v>
      </c>
      <c r="H5283" s="8" t="n">
        <f aca="false">((a_g3_29-nonnv*a_mai)*tk_cxit_gb300+nonnv*a_mai*nv_hold_mai*tk_cxit_vr200+(1-a_g3_29)*tk_cxit_vr200)</f>
        <v>35.7070344</v>
      </c>
      <c r="I5283" s="8" t="n">
        <f aca="false">((a_g3_29-nonnv*a_mai)*tk_cxit_gb300+nonnv*a_mai*nv_hold_mai*tk_cxit_vr200+(1-a_g3_29)*tk_cxit_vr200)</f>
        <v>35.7070344</v>
      </c>
      <c r="J5283" s="8" t="n">
        <f aca="false">((a_g3_29-nonnv*a_mai)*tk_cxit_gb300+nonnv*a_mai*nv_hold_mai*tk_cxit_vr200+(1-a_g3_29)*tk_cxit_vr200)</f>
        <v>35.7070344</v>
      </c>
      <c r="K5283" s="8" t="n">
        <f aca="false">((a_g3_29-nonnv*a_mai)*tk_cxit_gb300+nonnv*a_mai*nv_hold_mai*tk_cxit_vr200+(1-a_g3_29)*tk_cxit_vr200)</f>
        <v>35.7070344</v>
      </c>
      <c r="L5283" s="12" t="s">
        <v>988</v>
      </c>
    </row>
    <row r="5284" customFormat="false" ht="17.15" hidden="false" customHeight="false" outlineLevel="0" collapsed="false">
      <c r="A5284" s="0" t="s">
        <v>989</v>
      </c>
      <c r="B5284" s="0" t="s">
        <v>456</v>
      </c>
      <c r="F5284" s="30" t="n">
        <f aca="false">Sens!C5263*IF(Sens!F5256-Sens!C5256=life_it_hi,1,0)+Sens!D5263*IF(Sens!F5256-Sens!D5256=life_it_hi,1,0)+Sens!E5263*IF(Sens!F5256-Sens!E5256=life_it_hi,1,0)</f>
        <v>0</v>
      </c>
      <c r="G5284" s="30" t="n">
        <f aca="false">Sens!C5263*IF(Sens!G5256-Sens!C5256=life_it_hi,1,0)+Sens!D5263*IF(Sens!G5256-Sens!D5256=life_it_hi,1,0)+Sens!E5263*IF(Sens!G5256-Sens!E5256=life_it_hi,1,0)+Sens!F5263*IF(Sens!G5256-Sens!F5256=life_it_hi,1,0)</f>
        <v>0</v>
      </c>
      <c r="H5284" s="30" t="n">
        <f aca="false">Sens!C5263*IF(Sens!H5256-Sens!C5256=life_it_hi,1,0)+Sens!D5263*IF(Sens!H5256-Sens!D5256=life_it_hi,1,0)+Sens!E5263*IF(Sens!H5256-Sens!E5256=life_it_hi,1,0)+Sens!F5263*IF(Sens!H5256-Sens!F5256=life_it_hi,1,0)+Sens!G5263*IF(Sens!H5256-Sens!G5256=life_it_hi,1,0)</f>
        <v>0</v>
      </c>
      <c r="I5284" s="30" t="n">
        <f aca="false">Sens!C5263*IF(Sens!I5256-Sens!C5256=life_it_hi,1,0)+Sens!D5263*IF(Sens!I5256-Sens!D5256=life_it_hi,1,0)+Sens!E5263*IF(Sens!I5256-Sens!E5256=life_it_hi,1,0)+Sens!F5263*IF(Sens!I5256-Sens!F5256=life_it_hi,1,0)+Sens!G5263*IF(Sens!I5256-Sens!G5256=life_it_hi,1,0)+Sens!H5263*IF(Sens!I5256-Sens!H5256=life_it_hi,1,0)</f>
        <v>0</v>
      </c>
      <c r="J5284" s="30" t="n">
        <f aca="false">Sens!C5263*IF(Sens!J5256-Sens!C5256=life_it_hi,1,0)+Sens!D5263*IF(Sens!J5256-Sens!D5256=life_it_hi,1,0)+Sens!E5263*IF(Sens!J5256-Sens!E5256=life_it_hi,1,0)+Sens!F5263*IF(Sens!J5256-Sens!F5256=life_it_hi,1,0)+Sens!G5263*IF(Sens!J5256-Sens!G5256=life_it_hi,1,0)+Sens!H5263*IF(Sens!J5256-Sens!H5256=life_it_hi,1,0)+Sens!I5263*IF(Sens!J5256-Sens!I5256=life_it_hi,1,0)</f>
        <v>816.666666666667</v>
      </c>
      <c r="K5284" s="30" t="n">
        <f aca="false">Sens!C5263*IF(Sens!K5256-Sens!C5256=life_it_hi,1,0)+Sens!D5263*IF(Sens!K5256-Sens!D5256=life_it_hi,1,0)+Sens!E5263*IF(Sens!K5256-Sens!E5256=life_it_hi,1,0)+Sens!F5263*IF(Sens!K5256-Sens!F5256=life_it_hi,1,0)+Sens!G5263*IF(Sens!K5256-Sens!G5256=life_it_hi,1,0)+Sens!H5263*IF(Sens!K5256-Sens!H5256=life_it_hi,1,0)+Sens!I5263*IF(Sens!K5256-Sens!I5256=life_it_hi,1,0)+Sens!J5263*IF(Sens!K5256-Sens!J5256=life_it_hi,1,0)</f>
        <v>1233.33333333333</v>
      </c>
      <c r="L5284" s="1" t="s">
        <v>990</v>
      </c>
    </row>
    <row r="5285" customFormat="false" ht="17.15" hidden="false" customHeight="false" outlineLevel="0" collapsed="false">
      <c r="A5285" s="0" t="s">
        <v>991</v>
      </c>
      <c r="B5285" s="0" t="s">
        <v>98</v>
      </c>
      <c r="C5285" s="6" t="n">
        <f aca="false">Sens!C5263*Sens!C5283/1000</f>
        <v>22.5333845916667</v>
      </c>
      <c r="D5285" s="6" t="n">
        <f aca="false">Sens!D5263*Sens!D5283/1000</f>
        <v>34.0300093833333</v>
      </c>
      <c r="E5285" s="6" t="n">
        <f aca="false">Sens!E5263*Sens!E5283/1000</f>
        <v>67.600153775</v>
      </c>
      <c r="F5285" s="6" t="n">
        <f aca="false">(Sens!F5263+Sens!F5284)*Sens!F5283/1000</f>
        <v>136.51872432512</v>
      </c>
      <c r="G5285" s="6" t="n">
        <f aca="false">(Sens!G5263+Sens!G5284)*Sens!G5283/1000</f>
        <v>157.399275932048</v>
      </c>
      <c r="H5285" s="6" t="n">
        <f aca="false">(Sens!H5263+Sens!H5284)*Sens!H5283/1000</f>
        <v>162.260804347512</v>
      </c>
      <c r="I5285" s="6" t="n">
        <f aca="false">(Sens!I5263+Sens!I5284)*Sens!I5283/1000</f>
        <v>114.975824725434</v>
      </c>
      <c r="J5285" s="6" t="n">
        <f aca="false">(Sens!J5263+Sens!J5284)*Sens!J5283/1000</f>
        <v>99.1511063578636</v>
      </c>
      <c r="K5285" s="6" t="n">
        <f aca="false">(Sens!K5263+Sens!K5284)*Sens!K5283/1000</f>
        <v>69.993526830975</v>
      </c>
    </row>
    <row r="5286" customFormat="false" ht="17.15" hidden="false" customHeight="false" outlineLevel="0" collapsed="false">
      <c r="A5286" s="0" t="s">
        <v>992</v>
      </c>
      <c r="B5286" s="0" t="s">
        <v>98</v>
      </c>
      <c r="C5286" s="6" t="n">
        <f aca="false">Sens!C5263*self_build*tk_cxfac/1000</f>
        <v>6.2083</v>
      </c>
      <c r="D5286" s="6" t="n">
        <f aca="false">Sens!D5263*self_build*tk_cxfac/1000</f>
        <v>9.3758</v>
      </c>
      <c r="E5286" s="6" t="n">
        <f aca="false">Sens!E5263*self_build*tk_cxfac/1000</f>
        <v>18.6249</v>
      </c>
      <c r="F5286" s="6" t="n">
        <f aca="false">Sens!F5263*self_build*tk_cxfac/1000</f>
        <v>31.935179717</v>
      </c>
      <c r="G5286" s="6" t="n">
        <f aca="false">Sens!G5263*self_build*tk_cxfac/1000</f>
        <v>34.545199717</v>
      </c>
      <c r="H5286" s="6" t="n">
        <f aca="false">Sens!H5263*self_build*tk_cxfac/1000</f>
        <v>34.545199717</v>
      </c>
      <c r="I5286" s="6" t="n">
        <f aca="false">Sens!I5263*self_build*tk_cxfac/1000</f>
        <v>24.4782641361767</v>
      </c>
      <c r="J5286" s="6" t="n">
        <f aca="false">Sens!J5263*self_build*tk_cxfac/1000</f>
        <v>14.9008938380769</v>
      </c>
      <c r="K5286" s="6" t="n">
        <f aca="false">Sens!K5263*self_build*tk_cxfac/1000</f>
        <v>5.52576771375761</v>
      </c>
    </row>
    <row r="5287" customFormat="false" ht="17.15" hidden="false" customHeight="false" outlineLevel="0" collapsed="false">
      <c r="A5287" s="0" t="s">
        <v>993</v>
      </c>
      <c r="B5287" s="0" t="s">
        <v>98</v>
      </c>
      <c r="F5287" s="15" t="n">
        <f aca="false">capex_floor27-Sens!F5285-Sens!F5286-Sens!F5383</f>
        <v>-0.0799631154216058</v>
      </c>
      <c r="L5287" s="12" t="s">
        <v>994</v>
      </c>
    </row>
    <row r="5288" customFormat="false" ht="17.15" hidden="false" customHeight="false" outlineLevel="0" collapsed="false">
      <c r="A5288" s="0" t="s">
        <v>995</v>
      </c>
      <c r="B5288" s="0" t="s">
        <v>98</v>
      </c>
      <c r="F5288" s="6" t="n">
        <f aca="false">MAX(0,Sens!F5287)</f>
        <v>0</v>
      </c>
    </row>
    <row r="5289" customFormat="false" ht="17.15" hidden="false" customHeight="false" outlineLevel="0" collapsed="false">
      <c r="A5289" s="0" t="s">
        <v>996</v>
      </c>
      <c r="B5289" s="0" t="s">
        <v>98</v>
      </c>
      <c r="C5289" s="6" t="n">
        <f aca="false">Sens!C5285</f>
        <v>22.5333845916667</v>
      </c>
      <c r="D5289" s="6" t="n">
        <f aca="false">Sens!D5285</f>
        <v>34.0300093833333</v>
      </c>
      <c r="E5289" s="6" t="n">
        <f aca="false">Sens!E5285</f>
        <v>67.600153775</v>
      </c>
      <c r="F5289" s="6" t="n">
        <f aca="false">Sens!F5285</f>
        <v>136.51872432512</v>
      </c>
      <c r="G5289" s="6" t="n">
        <f aca="false">Sens!G5285</f>
        <v>157.399275932048</v>
      </c>
      <c r="H5289" s="6" t="n">
        <f aca="false">Sens!H5285</f>
        <v>162.260804347512</v>
      </c>
      <c r="I5289" s="6" t="n">
        <f aca="false">Sens!I5285</f>
        <v>114.975824725434</v>
      </c>
      <c r="J5289" s="6" t="n">
        <f aca="false">Sens!J5285</f>
        <v>99.1511063578636</v>
      </c>
      <c r="K5289" s="6" t="n">
        <f aca="false">Sens!K5285</f>
        <v>69.993526830975</v>
      </c>
    </row>
    <row r="5290" customFormat="false" ht="17.15" hidden="false" customHeight="false" outlineLevel="0" collapsed="false">
      <c r="A5290" s="0" t="s">
        <v>997</v>
      </c>
      <c r="B5290" s="0" t="s">
        <v>98</v>
      </c>
      <c r="C5290" s="6" t="n">
        <f aca="false">Sens!C5289+Sens!C5286</f>
        <v>28.7416845916667</v>
      </c>
      <c r="D5290" s="6" t="n">
        <f aca="false">Sens!D5289+Sens!D5286</f>
        <v>43.4058093833333</v>
      </c>
      <c r="E5290" s="6" t="n">
        <f aca="false">Sens!E5289+Sens!E5286</f>
        <v>86.225053775</v>
      </c>
      <c r="F5290" s="6" t="n">
        <f aca="false">Sens!F5289+Sens!F5286</f>
        <v>168.45390404212</v>
      </c>
      <c r="G5290" s="6" t="n">
        <f aca="false">Sens!G5289+Sens!G5286</f>
        <v>191.944475649048</v>
      </c>
      <c r="H5290" s="6" t="n">
        <f aca="false">Sens!H5289+Sens!H5286</f>
        <v>196.806004064512</v>
      </c>
      <c r="I5290" s="6" t="n">
        <f aca="false">Sens!I5289+Sens!I5286</f>
        <v>139.45408886161</v>
      </c>
      <c r="J5290" s="6" t="n">
        <f aca="false">Sens!J5289+Sens!J5286</f>
        <v>114.05200019594</v>
      </c>
      <c r="K5290" s="6" t="n">
        <f aca="false">Sens!K5289+Sens!K5286</f>
        <v>75.5192945447327</v>
      </c>
      <c r="L5290" s="12" t="s">
        <v>998</v>
      </c>
    </row>
    <row r="5291" customFormat="false" ht="17.15" hidden="false" customHeight="false" outlineLevel="0" collapsed="false">
      <c r="A5291" s="0" t="s">
        <v>999</v>
      </c>
      <c r="B5291" s="0" t="s">
        <v>98</v>
      </c>
      <c r="E5291" s="6" t="n">
        <f aca="false">(Sens!C5289*IF(2&lt;life_it_hi,1,IF(2=life_it_hi,0.5,0))+Sens!D5289*IF(1&lt;life_it_hi,1,IF(1=life_it_hi,0.5,0))+Sens!E5289*0.5)/life_it_hi</f>
        <v>12.9090672660714</v>
      </c>
      <c r="F5291" s="6" t="n">
        <f aca="false">(Sens!C5289*IF(3&lt;life_it_hi,1,IF(3=life_it_hi,0.5,0))+Sens!D5289*IF(2&lt;life_it_hi,1,IF(2=life_it_hi,0.5,0))+Sens!E5289*IF(1&lt;life_it_hi,1,IF(1=life_it_hi,0.5,0))+Sens!F5289*0.5)/life_it_hi</f>
        <v>27.4889871303657</v>
      </c>
      <c r="G5291" s="6" t="n">
        <f aca="false">(Sens!C5289*IF(4&lt;life_it_hi,1,IF(4=life_it_hi,0.5,0))+Sens!D5289*IF(3&lt;life_it_hi,1,IF(3=life_it_hi,0.5,0))+Sens!E5289*IF(2&lt;life_it_hi,1,IF(2=life_it_hi,0.5,0))+Sens!F5289*IF(1&lt;life_it_hi,1,IF(1=life_it_hi,0.5,0))+Sens!G5289*0.5)/life_it_hi</f>
        <v>48.4831300058777</v>
      </c>
      <c r="H5291" s="6" t="n">
        <f aca="false">(Sens!C5289*IF(5&lt;life_it_hi,1,IF(5=life_it_hi,0.5,0))+Sens!D5289*IF(4&lt;life_it_hi,1,IF(4=life_it_hi,0.5,0))+Sens!E5289*IF(3&lt;life_it_hi,1,IF(3=life_it_hi,0.5,0))+Sens!F5289*IF(2&lt;life_it_hi,1,IF(2=life_it_hi,0.5,0))+Sens!G5289*IF(1&lt;life_it_hi,1,IF(1=life_it_hi,0.5,0))+Sens!H5289*0.5)/life_it_hi</f>
        <v>71.3159928829891</v>
      </c>
      <c r="I5291" s="6" t="n">
        <f aca="false">(Sens!C5289*IF(6&lt;life_it_hi,1,IF(6=life_it_hi,0.5,0))+Sens!D5289*IF(5&lt;life_it_hi,1,IF(5=life_it_hi,0.5,0))+Sens!E5289*IF(4&lt;life_it_hi,1,IF(4=life_it_hi,0.5,0))+Sens!F5289*IF(3&lt;life_it_hi,1,IF(3=life_it_hi,0.5,0))+Sens!G5289*IF(2&lt;life_it_hi,1,IF(2=life_it_hi,0.5,0))+Sens!H5289*IF(1&lt;life_it_hi,1,IF(1=life_it_hi,0.5,0))+Sens!I5289*0.5)/life_it_hi</f>
        <v>91.1186092453424</v>
      </c>
      <c r="J5291" s="6" t="n">
        <f aca="false">(Sens!C5289*IF(7&lt;life_it_hi,1,IF(7=life_it_hi,0.5,0))+Sens!D5289*IF(6&lt;life_it_hi,1,IF(6=life_it_hi,0.5,0))+Sens!E5289*IF(5&lt;life_it_hi,1,IF(5=life_it_hi,0.5,0))+Sens!F5289*IF(4&lt;life_it_hi,1,IF(4=life_it_hi,0.5,0))+Sens!G5289*IF(3&lt;life_it_hi,1,IF(3=life_it_hi,0.5,0))+Sens!H5289*IF(2&lt;life_it_hi,1,IF(2=life_it_hi,0.5,0))+Sens!I5289*IF(1&lt;life_it_hi,1,IF(1=life_it_hi,0.5,0))+Sens!J5289*0.5)/life_it_hi</f>
        <v>104.803862566173</v>
      </c>
      <c r="K5291" s="6" t="n">
        <f aca="false">(Sens!C5289*IF(8&lt;life_it_hi,1,IF(8=life_it_hi,0.5,0))+Sens!D5289*IF(7&lt;life_it_hi,1,IF(7=life_it_hi,0.5,0))+Sens!E5289*IF(6&lt;life_it_hi,1,IF(6=life_it_hi,0.5,0))+Sens!F5289*IF(5&lt;life_it_hi,1,IF(5=life_it_hi,0.5,0))+Sens!G5289*IF(4&lt;life_it_hi,1,IF(4=life_it_hi,0.5,0))+Sens!H5289*IF(3&lt;life_it_hi,1,IF(3=life_it_hi,0.5,0))+Sens!I5289*IF(2&lt;life_it_hi,1,IF(2=life_it_hi,0.5,0))+Sens!J5289*IF(1&lt;life_it_hi,1,IF(1=life_it_hi,0.5,0))+Sens!K5289*0.5)/life_it_hi</f>
        <v>112.845379652876</v>
      </c>
    </row>
    <row r="5292" customFormat="false" ht="17.15" hidden="false" customHeight="false" outlineLevel="0" collapsed="false">
      <c r="A5292" s="0" t="s">
        <v>1000</v>
      </c>
      <c r="B5292" s="0" t="s">
        <v>98</v>
      </c>
      <c r="E5292" s="6" t="n">
        <f aca="false">(Sens!C5286*IF(2&lt;life_fac,1,IF(2=life_fac,0.5,0))+Sens!D5286*IF(1&lt;life_fac,1,IF(1=life_fac,0.5,0))+Sens!E5286*0.5)/life_fac</f>
        <v>1.2448275</v>
      </c>
      <c r="F5292" s="6" t="n">
        <f aca="false">(Sens!C5286*IF(3&lt;life_fac,1,IF(3=life_fac,0.5,0))+Sens!D5286*IF(2&lt;life_fac,1,IF(2=life_fac,0.5,0))+Sens!E5286*IF(1&lt;life_fac,1,IF(1=life_fac,0.5,0))+Sens!F5286*0.5)/life_fac</f>
        <v>2.508829492925</v>
      </c>
      <c r="G5292" s="6" t="n">
        <f aca="false">(Sens!C5286*IF(4&lt;life_fac,1,IF(4=life_fac,0.5,0))+Sens!D5286*IF(3&lt;life_fac,1,IF(3=life_fac,0.5,0))+Sens!E5286*IF(2&lt;life_fac,1,IF(2=life_fac,0.5,0))+Sens!F5286*IF(1&lt;life_fac,1,IF(1=life_fac,0.5,0))+Sens!G5286*0.5)/life_fac</f>
        <v>4.170838978775</v>
      </c>
      <c r="H5292" s="6" t="n">
        <f aca="false">(Sens!C5286*IF(5&lt;life_fac,1,IF(5=life_fac,0.5,0))+Sens!D5286*IF(4&lt;life_fac,1,IF(4=life_fac,0.5,0))+Sens!E5286*IF(3&lt;life_fac,1,IF(3=life_fac,0.5,0))+Sens!F5286*IF(2&lt;life_fac,1,IF(2=life_fac,0.5,0))+Sens!G5286*IF(1&lt;life_fac,1,IF(1=life_fac,0.5,0))+Sens!H5286*0.5)/life_fac</f>
        <v>5.898098964625</v>
      </c>
      <c r="I5292" s="6" t="n">
        <f aca="false">(Sens!C5286*IF(6&lt;life_fac,1,IF(6=life_fac,0.5,0))+Sens!D5286*IF(5&lt;life_fac,1,IF(5=life_fac,0.5,0))+Sens!E5286*IF(4&lt;life_fac,1,IF(4=life_fac,0.5,0))+Sens!F5286*IF(3&lt;life_fac,1,IF(3=life_fac,0.5,0))+Sens!G5286*IF(2&lt;life_fac,1,IF(2=life_fac,0.5,0))+Sens!H5286*IF(1&lt;life_fac,1,IF(1=life_fac,0.5,0))+Sens!I5286*0.5)/life_fac</f>
        <v>7.37368556095442</v>
      </c>
      <c r="J5292" s="6" t="n">
        <f aca="false">(Sens!C5286*IF(7&lt;life_fac,1,IF(7=life_fac,0.5,0))+Sens!D5286*IF(6&lt;life_fac,1,IF(6=life_fac,0.5,0))+Sens!E5286*IF(5&lt;life_fac,1,IF(5=life_fac,0.5,0))+Sens!F5286*IF(4&lt;life_fac,1,IF(4=life_fac,0.5,0))+Sens!G5286*IF(3&lt;life_fac,1,IF(3=life_fac,0.5,0))+Sens!H5286*IF(2&lt;life_fac,1,IF(2=life_fac,0.5,0))+Sens!I5286*IF(1&lt;life_fac,1,IF(1=life_fac,0.5,0))+Sens!J5286*0.5)/life_fac</f>
        <v>8.35816451031075</v>
      </c>
      <c r="K5292" s="6" t="n">
        <f aca="false">(Sens!C5286*IF(8&lt;life_fac,1,IF(8=life_fac,0.5,0))+Sens!D5286*IF(7&lt;life_fac,1,IF(7=life_fac,0.5,0))+Sens!E5286*IF(6&lt;life_fac,1,IF(6=life_fac,0.5,0))+Sens!F5286*IF(5&lt;life_fac,1,IF(5=life_fac,0.5,0))+Sens!G5286*IF(4&lt;life_fac,1,IF(4=life_fac,0.5,0))+Sens!H5286*IF(3&lt;life_fac,1,IF(3=life_fac,0.5,0))+Sens!I5286*IF(2&lt;life_fac,1,IF(2=life_fac,0.5,0))+Sens!J5286*IF(1&lt;life_fac,1,IF(1=life_fac,0.5,0))+Sens!K5286*0.5)/life_fac</f>
        <v>8.86883104910662</v>
      </c>
    </row>
    <row r="5293" customFormat="false" ht="17.15" hidden="false" customHeight="false" outlineLevel="0" collapsed="false">
      <c r="A5293" s="0" t="s">
        <v>1001</v>
      </c>
      <c r="B5293" s="0" t="s">
        <v>98</v>
      </c>
      <c r="E5293" s="6" t="n">
        <f aca="false">Sens!E5291+Sens!E5292</f>
        <v>14.1538947660714</v>
      </c>
      <c r="F5293" s="6" t="n">
        <f aca="false">Sens!F5291+Sens!F5292</f>
        <v>29.9978166232907</v>
      </c>
      <c r="G5293" s="6" t="n">
        <f aca="false">Sens!G5291+Sens!G5292</f>
        <v>52.6539689846527</v>
      </c>
      <c r="H5293" s="6" t="n">
        <f aca="false">Sens!H5291+Sens!H5292</f>
        <v>77.2140918476141</v>
      </c>
      <c r="I5293" s="6" t="n">
        <f aca="false">Sens!I5291+Sens!I5292</f>
        <v>98.4922948062968</v>
      </c>
      <c r="J5293" s="6" t="n">
        <f aca="false">Sens!J5291+Sens!J5292</f>
        <v>113.162027076484</v>
      </c>
      <c r="K5293" s="6" t="n">
        <f aca="false">Sens!K5291+Sens!K5292</f>
        <v>121.714210701983</v>
      </c>
    </row>
    <row r="5294" customFormat="false" ht="17.15" hidden="false" customHeight="false" outlineLevel="0" collapsed="false">
      <c r="A5294" s="0" t="s">
        <v>1002</v>
      </c>
      <c r="B5294" s="0" t="s">
        <v>98</v>
      </c>
      <c r="E5294" s="6" t="n">
        <f aca="false">Sens!E5281-Sens!E5280*Sens!E5293</f>
        <v>10.2179856263809</v>
      </c>
      <c r="F5294" s="6" t="n">
        <f aca="false">Sens!F5281-Sens!F5280*Sens!F5293</f>
        <v>17.0960323090444</v>
      </c>
      <c r="G5294" s="6" t="n">
        <f aca="false">Sens!G5281-Sens!G5280*Sens!G5293</f>
        <v>21.3686106804561</v>
      </c>
      <c r="H5294" s="6" t="n">
        <f aca="false">Sens!H5281-Sens!H5280*Sens!H5293</f>
        <v>20.112127175832</v>
      </c>
      <c r="I5294" s="6" t="n">
        <f aca="false">Sens!I5281-Sens!I5280*Sens!I5293</f>
        <v>24.97743569452</v>
      </c>
      <c r="J5294" s="6" t="n">
        <f aca="false">Sens!J5281-Sens!J5280*Sens!J5293</f>
        <v>28.659653990727</v>
      </c>
      <c r="K5294" s="6" t="n">
        <f aca="false">Sens!K5281-Sens!K5280*Sens!K5293</f>
        <v>30.7022936649047</v>
      </c>
    </row>
    <row r="5295" customFormat="false" ht="17.15" hidden="false" customHeight="false" outlineLevel="0" collapsed="false">
      <c r="A5295" s="3" t="s">
        <v>1611</v>
      </c>
    </row>
    <row r="5296" customFormat="false" ht="15" hidden="false" customHeight="false" outlineLevel="0" collapsed="false">
      <c r="A5296" s="4" t="s">
        <v>43</v>
      </c>
      <c r="B5296" s="4" t="s">
        <v>65</v>
      </c>
      <c r="C5296" s="23" t="s">
        <v>938</v>
      </c>
      <c r="D5296" s="23" t="s">
        <v>939</v>
      </c>
      <c r="E5296" s="23" t="s">
        <v>940</v>
      </c>
      <c r="F5296" s="23" t="s">
        <v>941</v>
      </c>
      <c r="G5296" s="23" t="s">
        <v>942</v>
      </c>
      <c r="H5296" s="23" t="s">
        <v>943</v>
      </c>
      <c r="I5296" s="23" t="s">
        <v>944</v>
      </c>
      <c r="J5296" s="23" t="s">
        <v>945</v>
      </c>
      <c r="K5296" s="23" t="s">
        <v>946</v>
      </c>
      <c r="L5296" s="4" t="s">
        <v>47</v>
      </c>
    </row>
    <row r="5297" customFormat="false" ht="17.15" hidden="false" customHeight="false" outlineLevel="0" collapsed="false">
      <c r="A5297" s="0" t="s">
        <v>1021</v>
      </c>
      <c r="B5297" s="0" t="s">
        <v>98</v>
      </c>
      <c r="D5297" s="6" t="n">
        <f aca="false">Sens!D5275</f>
        <v>12.9359794422418</v>
      </c>
      <c r="E5297" s="6" t="n">
        <f aca="false">Sens!E5275</f>
        <v>27.8095064661409</v>
      </c>
      <c r="F5297" s="6" t="n">
        <f aca="false">Sens!F5275</f>
        <v>50.9819294352312</v>
      </c>
      <c r="G5297" s="6" t="n">
        <f aca="false">Sens!G5275</f>
        <v>76.6920436014933</v>
      </c>
      <c r="H5297" s="6" t="n">
        <f aca="false">Sens!H5275</f>
        <v>97.4495379418341</v>
      </c>
      <c r="I5297" s="6" t="n">
        <f aca="false">Sens!I5275</f>
        <v>121.292902983405</v>
      </c>
      <c r="J5297" s="6" t="n">
        <f aca="false">Sens!J5275</f>
        <v>138.014195330438</v>
      </c>
      <c r="K5297" s="6" t="n">
        <f aca="false">Sens!K5275</f>
        <v>147.476598982307</v>
      </c>
    </row>
    <row r="5298" customFormat="false" ht="17.15" hidden="false" customHeight="false" outlineLevel="0" collapsed="false">
      <c r="A5298" s="0" t="s">
        <v>1022</v>
      </c>
      <c r="B5298" s="0" t="s">
        <v>98</v>
      </c>
      <c r="D5298" s="6" t="n">
        <f aca="false">Q!L6-Sens!D5297</f>
        <v>59.6740205577583</v>
      </c>
      <c r="E5298" s="6" t="n">
        <f aca="false">Q!M6-Sens!E5297</f>
        <v>74.1284935338591</v>
      </c>
      <c r="F5298" s="6" t="n">
        <f aca="false">Q!$I$6+(Sens!F5297+Sens!E5298*(1+Sens!F5299))*(1-Q!$E$6/Q!M6)-Sens!F5297</f>
        <v>92.2699541184664</v>
      </c>
      <c r="G5298" s="6" t="n">
        <f aca="false">Sens!F5298*(1+Sens!G5299)</f>
        <v>109.630477277949</v>
      </c>
      <c r="H5298" s="6" t="n">
        <f aca="false">Sens!G5298*(1+Sens!H5299)</f>
        <v>127.293256321956</v>
      </c>
      <c r="I5298" s="6" t="n">
        <f aca="false">Sens!H5298*(1+Sens!I5299)</f>
        <v>144.360052269491</v>
      </c>
      <c r="J5298" s="6" t="n">
        <f aca="false">Sens!I5298*(1+Sens!J5299)</f>
        <v>159.811964490216</v>
      </c>
      <c r="K5298" s="6" t="n">
        <f aca="false">Sens!J5298*(1+Sens!K5299)</f>
        <v>172.596921649434</v>
      </c>
      <c r="L5298" s="12" t="s">
        <v>1023</v>
      </c>
    </row>
    <row r="5299" customFormat="false" ht="15" hidden="false" customHeight="false" outlineLevel="0" collapsed="false">
      <c r="A5299" s="1" t="s">
        <v>1024</v>
      </c>
      <c r="B5299" s="0" t="s">
        <v>168</v>
      </c>
      <c r="E5299" s="7" t="n">
        <f aca="false">Sens!E5298/Sens!D5298-1</f>
        <v>0.242223883039864</v>
      </c>
      <c r="F5299" s="7" t="n">
        <f aca="false">Sens!$E$5299+(glt_azo-Sens!$E$5299)*MIN(1,(Sens!F5256-base_fy)/n_conv)</f>
        <v>0.215186569199887</v>
      </c>
      <c r="G5299" s="7" t="n">
        <f aca="false">Sens!$E$5299+(glt_azo-Sens!$E$5299)*MIN(1,(Sens!G5256-base_fy)/n_conv)</f>
        <v>0.18814925535991</v>
      </c>
      <c r="H5299" s="7" t="n">
        <f aca="false">Sens!$E$5299+(glt_azo-Sens!$E$5299)*MIN(1,(Sens!H5256-base_fy)/n_conv)</f>
        <v>0.161111941519932</v>
      </c>
      <c r="I5299" s="7" t="n">
        <f aca="false">Sens!$E$5299+(glt_azo-Sens!$E$5299)*MIN(1,(Sens!I5256-base_fy)/n_conv)</f>
        <v>0.134074627679955</v>
      </c>
      <c r="J5299" s="7" t="n">
        <f aca="false">Sens!$E$5299+(glt_azo-Sens!$E$5299)*MIN(1,(Sens!J5256-base_fy)/n_conv)</f>
        <v>0.107037313839977</v>
      </c>
      <c r="K5299" s="7" t="n">
        <f aca="false">Sens!$E$5299+(glt_azo-Sens!$E$5299)*MIN(1,(Sens!K5256-base_fy)/n_conv)</f>
        <v>0.08</v>
      </c>
    </row>
    <row r="5300" customFormat="false" ht="15" hidden="false" customHeight="false" outlineLevel="0" collapsed="false">
      <c r="A5300" s="0" t="s">
        <v>1025</v>
      </c>
      <c r="B5300" s="0" t="s">
        <v>98</v>
      </c>
      <c r="D5300" s="6" t="n">
        <f aca="false">Sens!D5297+Sens!D5298</f>
        <v>72.61</v>
      </c>
      <c r="E5300" s="6" t="n">
        <f aca="false">Sens!E5297+Sens!E5298</f>
        <v>101.938</v>
      </c>
      <c r="F5300" s="6" t="n">
        <f aca="false">Sens!F5297+Sens!F5298</f>
        <v>143.251883553698</v>
      </c>
      <c r="G5300" s="6" t="n">
        <f aca="false">Sens!G5297+Sens!G5298</f>
        <v>186.322520879442</v>
      </c>
      <c r="H5300" s="6" t="n">
        <f aca="false">Sens!H5297+Sens!H5298</f>
        <v>224.74279426379</v>
      </c>
      <c r="I5300" s="6" t="n">
        <f aca="false">Sens!I5297+Sens!I5298</f>
        <v>265.652955252896</v>
      </c>
      <c r="J5300" s="6" t="n">
        <f aca="false">Sens!J5297+Sens!J5298</f>
        <v>297.826159820655</v>
      </c>
      <c r="K5300" s="6" t="n">
        <f aca="false">Sens!K5297+Sens!K5298</f>
        <v>320.073520631741</v>
      </c>
    </row>
    <row r="5301" customFormat="false" ht="17.15" hidden="false" customHeight="false" outlineLevel="0" collapsed="false">
      <c r="A5301" s="0" t="s">
        <v>1026</v>
      </c>
      <c r="B5301" s="1" t="s">
        <v>610</v>
      </c>
      <c r="C5301" s="30" t="n">
        <f aca="false">cop_s24</f>
        <v>1</v>
      </c>
      <c r="D5301" s="30" t="n">
        <f aca="false">cop_s25</f>
        <v>5</v>
      </c>
      <c r="E5301" s="30" t="n">
        <f aca="false">cop_s26</f>
        <v>30</v>
      </c>
      <c r="F5301" s="30" t="n">
        <f aca="false">Sens!E5301+cop_add_C</f>
        <v>40</v>
      </c>
      <c r="G5301" s="30" t="n">
        <f aca="false">Sens!F5301+cop_add_C</f>
        <v>50</v>
      </c>
      <c r="H5301" s="30" t="n">
        <f aca="false">Sens!G5301+cop_add_C</f>
        <v>60</v>
      </c>
      <c r="I5301" s="30" t="n">
        <f aca="false">Sens!H5301+cop_add_C*cop_tail</f>
        <v>65</v>
      </c>
      <c r="J5301" s="30" t="n">
        <f aca="false">Sens!I5301+cop_add_C*cop_tail</f>
        <v>70</v>
      </c>
      <c r="K5301" s="30" t="n">
        <f aca="false">Sens!J5301+cop_add_C*cop_tail</f>
        <v>75</v>
      </c>
      <c r="L5301" s="12" t="s">
        <v>1027</v>
      </c>
    </row>
    <row r="5302" customFormat="false" ht="17.15" hidden="false" customHeight="false" outlineLevel="0" collapsed="false">
      <c r="A5302" s="0" t="s">
        <v>1028</v>
      </c>
      <c r="B5302" s="0" t="s">
        <v>98</v>
      </c>
      <c r="D5302" s="6" t="n">
        <f aca="false">(Sens!C5301+Sens!D5301)/2*cop_px*12/1000</f>
        <v>0.9</v>
      </c>
      <c r="E5302" s="6" t="n">
        <f aca="false">(Sens!D5301+Sens!E5301)/2*cop_px*12/1000</f>
        <v>5.25</v>
      </c>
      <c r="F5302" s="6" t="n">
        <f aca="false">(Sens!E5301+Sens!F5301)/2*cop_px*12/1000</f>
        <v>10.5</v>
      </c>
      <c r="G5302" s="6" t="n">
        <f aca="false">(Sens!F5301+Sens!G5301)/2*cop_px*12/1000</f>
        <v>13.5</v>
      </c>
      <c r="H5302" s="6" t="n">
        <f aca="false">(Sens!G5301+Sens!H5301)/2*cop_px*12/1000</f>
        <v>16.5</v>
      </c>
      <c r="I5302" s="6" t="n">
        <f aca="false">(Sens!H5301+Sens!I5301)/2*cop_px*12/1000</f>
        <v>18.75</v>
      </c>
      <c r="J5302" s="6" t="n">
        <f aca="false">(Sens!I5301+Sens!J5301)/2*cop_px*12/1000</f>
        <v>20.25</v>
      </c>
      <c r="K5302" s="6" t="n">
        <f aca="false">(Sens!J5301+Sens!K5301)/2*cop_px*12/1000</f>
        <v>21.75</v>
      </c>
      <c r="L5302" s="1" t="s">
        <v>1029</v>
      </c>
    </row>
    <row r="5303" customFormat="false" ht="17.15" hidden="false" customHeight="false" outlineLevel="0" collapsed="false">
      <c r="A5303" s="0" t="s">
        <v>1030</v>
      </c>
      <c r="B5303" s="0" t="s">
        <v>98</v>
      </c>
      <c r="D5303" s="6" t="n">
        <f aca="false">Q!L7-Sens!D5302</f>
        <v>83.705</v>
      </c>
      <c r="E5303" s="6" t="n">
        <f aca="false">Q!M7-Sens!E5302</f>
        <v>95.049</v>
      </c>
      <c r="F5303" s="6" t="n">
        <f aca="false">Q!$I$7+(Sens!E5303*(1+Sens!F5304)+Sens!F5302)*(1-Q!$E$7/Q!M7)-Sens!F5302</f>
        <v>106.938354189776</v>
      </c>
      <c r="G5303" s="6" t="n">
        <f aca="false">Sens!F5303*(1+Sens!G5304)</f>
        <v>119.095360443801</v>
      </c>
      <c r="H5303" s="6" t="n">
        <f aca="false">Sens!G5303*(1+Sens!H5304)</f>
        <v>131.333811964563</v>
      </c>
      <c r="I5303" s="6" t="n">
        <f aca="false">Sens!H5303*(1+Sens!I5304)</f>
        <v>143.395665319381</v>
      </c>
      <c r="J5303" s="6" t="n">
        <f aca="false">Sens!I5303*(1+Sens!J5304)</f>
        <v>154.999327755573</v>
      </c>
      <c r="K5303" s="6" t="n">
        <f aca="false">Sens!J5303*(1+Sens!K5304)</f>
        <v>165.849280698463</v>
      </c>
      <c r="L5303" s="12" t="s">
        <v>1031</v>
      </c>
    </row>
    <row r="5304" customFormat="false" ht="15" hidden="false" customHeight="false" outlineLevel="0" collapsed="false">
      <c r="A5304" s="1" t="s">
        <v>1024</v>
      </c>
      <c r="B5304" s="0" t="s">
        <v>168</v>
      </c>
      <c r="E5304" s="7" t="n">
        <f aca="false">Sens!E5303/Sens!D5303-1</f>
        <v>0.135523564900544</v>
      </c>
      <c r="F5304" s="7" t="n">
        <f aca="false">Sens!$E$5304+(glt_m365b-Sens!$E$5304)*MIN(1,(Sens!F5256-base_fy)/n_conv)</f>
        <v>0.124602970750453</v>
      </c>
      <c r="G5304" s="7" t="n">
        <f aca="false">Sens!$E$5304+(glt_m365b-Sens!$E$5304)*MIN(1,(Sens!G5256-base_fy)/n_conv)</f>
        <v>0.113682376600363</v>
      </c>
      <c r="H5304" s="7" t="n">
        <f aca="false">Sens!$E$5304+(glt_m365b-Sens!$E$5304)*MIN(1,(Sens!H5256-base_fy)/n_conv)</f>
        <v>0.102761782450272</v>
      </c>
      <c r="I5304" s="7" t="n">
        <f aca="false">Sens!$E$5304+(glt_m365b-Sens!$E$5304)*MIN(1,(Sens!I5256-base_fy)/n_conv)</f>
        <v>0.0918411883001813</v>
      </c>
      <c r="J5304" s="7" t="n">
        <f aca="false">Sens!$E$5304+(glt_m365b-Sens!$E$5304)*MIN(1,(Sens!J5256-base_fy)/n_conv)</f>
        <v>0.0809205941500906</v>
      </c>
      <c r="K5304" s="7" t="n">
        <f aca="false">Sens!$E$5304+(glt_m365b-Sens!$E$5304)*MIN(1,(Sens!K5256-base_fy)/n_conv)</f>
        <v>0.07</v>
      </c>
    </row>
    <row r="5305" customFormat="false" ht="15" hidden="false" customHeight="false" outlineLevel="0" collapsed="false">
      <c r="A5305" s="0" t="s">
        <v>1032</v>
      </c>
      <c r="B5305" s="0" t="s">
        <v>98</v>
      </c>
      <c r="D5305" s="6" t="n">
        <f aca="false">Sens!D5303+Sens!D5302</f>
        <v>84.605</v>
      </c>
      <c r="E5305" s="6" t="n">
        <f aca="false">Sens!E5303+Sens!E5302</f>
        <v>100.299</v>
      </c>
      <c r="F5305" s="6" t="n">
        <f aca="false">Sens!F5303+Sens!F5302</f>
        <v>117.438354189776</v>
      </c>
      <c r="G5305" s="6" t="n">
        <f aca="false">Sens!G5303+Sens!G5302</f>
        <v>132.595360443801</v>
      </c>
      <c r="H5305" s="6" t="n">
        <f aca="false">Sens!H5303+Sens!H5302</f>
        <v>147.833811964563</v>
      </c>
      <c r="I5305" s="6" t="n">
        <f aca="false">Sens!I5303+Sens!I5302</f>
        <v>162.145665319381</v>
      </c>
      <c r="J5305" s="6" t="n">
        <f aca="false">Sens!J5303+Sens!J5302</f>
        <v>175.249327755573</v>
      </c>
      <c r="K5305" s="6" t="n">
        <f aca="false">Sens!K5303+Sens!K5302</f>
        <v>187.599280698463</v>
      </c>
    </row>
    <row r="5306" customFormat="false" ht="17.15" hidden="false" customHeight="false" outlineLevel="0" collapsed="false">
      <c r="A5306" s="0" t="s">
        <v>1033</v>
      </c>
      <c r="B5306" s="0" t="s">
        <v>98</v>
      </c>
      <c r="D5306" s="6" t="n">
        <f aca="false">Q!L8</f>
        <v>35.391</v>
      </c>
      <c r="E5306" s="6" t="n">
        <f aca="false">Q!M8</f>
        <v>37.285</v>
      </c>
      <c r="F5306" s="6" t="n">
        <f aca="false">Q!$I$8+(Q!M8-Q!$E$8)*(1+Sens!F5307)</f>
        <v>38.3851437782675</v>
      </c>
      <c r="G5306" s="6" t="n">
        <f aca="false">Sens!F5306*(1+Sens!G5307)</f>
        <v>40.0105353288615</v>
      </c>
      <c r="H5306" s="6" t="n">
        <f aca="false">Sens!G5306*(1+Sens!H5307)</f>
        <v>41.4812512033683</v>
      </c>
      <c r="I5306" s="6" t="n">
        <f aca="false">Sens!H5306*(1+Sens!I5307)</f>
        <v>42.7743107216329</v>
      </c>
      <c r="J5306" s="6" t="n">
        <f aca="false">Sens!I5306*(1+Sens!J5307)</f>
        <v>43.8687373064601</v>
      </c>
      <c r="K5306" s="6" t="n">
        <f aca="false">Sens!J5306*(1+Sens!K5307)</f>
        <v>44.7461120525893</v>
      </c>
      <c r="L5306" s="12" t="s">
        <v>1034</v>
      </c>
    </row>
    <row r="5307" customFormat="false" ht="15" hidden="false" customHeight="false" outlineLevel="0" collapsed="false">
      <c r="A5307" s="1" t="s">
        <v>1024</v>
      </c>
      <c r="B5307" s="0" t="s">
        <v>168</v>
      </c>
      <c r="E5307" s="7" t="n">
        <f aca="false">Sens!E5306/Sens!D5306-1</f>
        <v>0.0535164307309768</v>
      </c>
      <c r="F5307" s="7" t="n">
        <f aca="false">Sens!$E$5307+(glt_lic-Sens!$E$5307)*MIN(1,(Sens!F5256-base_fy)/n_conv)</f>
        <v>0.0479303589424807</v>
      </c>
      <c r="G5307" s="7" t="n">
        <f aca="false">Sens!$E$5307+(glt_lic-Sens!$E$5307)*MIN(1,(Sens!G5256-base_fy)/n_conv)</f>
        <v>0.0423442871539845</v>
      </c>
      <c r="H5307" s="7" t="n">
        <f aca="false">Sens!$E$5307+(glt_lic-Sens!$E$5307)*MIN(1,(Sens!H5256-base_fy)/n_conv)</f>
        <v>0.0367582153654884</v>
      </c>
      <c r="I5307" s="7" t="n">
        <f aca="false">Sens!$E$5307+(glt_lic-Sens!$E$5307)*MIN(1,(Sens!I5256-base_fy)/n_conv)</f>
        <v>0.0311721435769923</v>
      </c>
      <c r="J5307" s="7" t="n">
        <f aca="false">Sens!$E$5307+(glt_lic-Sens!$E$5307)*MIN(1,(Sens!J5256-base_fy)/n_conv)</f>
        <v>0.0255860717884961</v>
      </c>
      <c r="K5307" s="7" t="n">
        <f aca="false">Sens!$E$5307+(glt_lic-Sens!$E$5307)*MIN(1,(Sens!K5256-base_fy)/n_conv)</f>
        <v>0.02</v>
      </c>
    </row>
    <row r="5308" customFormat="false" ht="17.15" hidden="false" customHeight="false" outlineLevel="0" collapsed="false">
      <c r="A5308" s="0" t="s">
        <v>1035</v>
      </c>
      <c r="B5308" s="0" t="s">
        <v>98</v>
      </c>
      <c r="D5308" s="6" t="n">
        <f aca="false">Q!L9</f>
        <v>18.417</v>
      </c>
      <c r="E5308" s="6" t="n">
        <f aca="false">Q!M9</f>
        <v>20.345</v>
      </c>
      <c r="F5308" s="6" t="n">
        <f aca="false">Q!$I$9+(Q!M9-Q!$E$9)*(1+Sens!F5309)</f>
        <v>22.3161797133988</v>
      </c>
      <c r="G5308" s="6" t="n">
        <f aca="false">Sens!F5308*(1+Sens!G5309)</f>
        <v>24.3943499673233</v>
      </c>
      <c r="H5308" s="6" t="n">
        <f aca="false">Sens!G5308*(1+Sens!H5309)</f>
        <v>26.5250243109019</v>
      </c>
      <c r="I5308" s="6" t="n">
        <f aca="false">Sens!H5308*(1+Sens!I5309)</f>
        <v>28.6884573538181</v>
      </c>
      <c r="J5308" s="6" t="n">
        <f aca="false">Sens!I5308*(1+Sens!J5309)</f>
        <v>30.8624968052127</v>
      </c>
      <c r="K5308" s="6" t="n">
        <f aca="false">Sens!J5308*(1+Sens!K5309)</f>
        <v>33.0228715815776</v>
      </c>
      <c r="L5308" s="12" t="s">
        <v>1034</v>
      </c>
    </row>
    <row r="5309" customFormat="false" ht="15" hidden="false" customHeight="false" outlineLevel="0" collapsed="false">
      <c r="A5309" s="1" t="s">
        <v>1024</v>
      </c>
      <c r="B5309" s="0" t="s">
        <v>168</v>
      </c>
      <c r="E5309" s="7" t="n">
        <f aca="false">Sens!E5308/Sens!D5308-1</f>
        <v>0.104685888038225</v>
      </c>
      <c r="F5309" s="7" t="n">
        <f aca="false">Sens!$E$5309+(glt_ind-Sens!$E$5309)*MIN(1,(Sens!F5256-base_fy)/n_conv)</f>
        <v>0.0989049066985211</v>
      </c>
      <c r="G5309" s="7" t="n">
        <f aca="false">Sens!$E$5309+(glt_ind-Sens!$E$5309)*MIN(1,(Sens!G5256-base_fy)/n_conv)</f>
        <v>0.0931239253588169</v>
      </c>
      <c r="H5309" s="7" t="n">
        <f aca="false">Sens!$E$5309+(glt_ind-Sens!$E$5309)*MIN(1,(Sens!H5256-base_fy)/n_conv)</f>
        <v>0.0873429440191127</v>
      </c>
      <c r="I5309" s="7" t="n">
        <f aca="false">Sens!$E$5309+(glt_ind-Sens!$E$5309)*MIN(1,(Sens!I5256-base_fy)/n_conv)</f>
        <v>0.0815619626794085</v>
      </c>
      <c r="J5309" s="7" t="n">
        <f aca="false">Sens!$E$5309+(glt_ind-Sens!$E$5309)*MIN(1,(Sens!J5256-base_fy)/n_conv)</f>
        <v>0.0757809813397042</v>
      </c>
      <c r="K5309" s="7" t="n">
        <f aca="false">Sens!$E$5309+(glt_ind-Sens!$E$5309)*MIN(1,(Sens!K5256-base_fy)/n_conv)</f>
        <v>0.07</v>
      </c>
    </row>
    <row r="5310" customFormat="false" ht="17.15" hidden="false" customHeight="false" outlineLevel="0" collapsed="false">
      <c r="A5310" s="0" t="s">
        <v>1036</v>
      </c>
      <c r="B5310" s="0" t="s">
        <v>98</v>
      </c>
      <c r="D5310" s="6" t="n">
        <f aca="false">Q!L10</f>
        <v>7.76</v>
      </c>
      <c r="E5310" s="6" t="n">
        <f aca="false">Q!M10</f>
        <v>8.26</v>
      </c>
      <c r="F5310" s="6" t="n">
        <f aca="false">Q!$I$10+(Q!M10-Q!$E$10)*(1+Sens!F5311)</f>
        <v>8.75372082474227</v>
      </c>
      <c r="G5310" s="6" t="n">
        <f aca="false">Sens!F5310*(1+Sens!G5311)</f>
        <v>9.33399324642364</v>
      </c>
      <c r="H5310" s="6" t="n">
        <f aca="false">Sens!G5310*(1+Sens!H5311)</f>
        <v>9.96139155535851</v>
      </c>
      <c r="I5310" s="6" t="n">
        <f aca="false">Sens!H5310*(1+Sens!I5311)</f>
        <v>10.6402039077391</v>
      </c>
      <c r="J5310" s="6" t="n">
        <f aca="false">Sens!I5310*(1+Sens!J5311)</f>
        <v>11.3751458271397</v>
      </c>
      <c r="K5310" s="6" t="n">
        <f aca="false">Sens!J5310*(1+Sens!K5311)</f>
        <v>12.1714060350394</v>
      </c>
      <c r="L5310" s="12" t="s">
        <v>1034</v>
      </c>
    </row>
    <row r="5311" customFormat="false" ht="15" hidden="false" customHeight="false" outlineLevel="0" collapsed="false">
      <c r="A5311" s="1" t="s">
        <v>1024</v>
      </c>
      <c r="B5311" s="0" t="s">
        <v>168</v>
      </c>
      <c r="E5311" s="7" t="n">
        <f aca="false">Sens!E5310/Sens!D5310-1</f>
        <v>0.0644329896907216</v>
      </c>
      <c r="F5311" s="7" t="n">
        <f aca="false">Sens!$E$5311+(glt_fro-Sens!$E$5311)*MIN(1,(Sens!F5256-base_fy)/n_conv)</f>
        <v>0.065360824742268</v>
      </c>
      <c r="G5311" s="7" t="n">
        <f aca="false">Sens!$E$5311+(glt_fro-Sens!$E$5311)*MIN(1,(Sens!G5256-base_fy)/n_conv)</f>
        <v>0.0662886597938144</v>
      </c>
      <c r="H5311" s="7" t="n">
        <f aca="false">Sens!$E$5311+(glt_fro-Sens!$E$5311)*MIN(1,(Sens!H5256-base_fy)/n_conv)</f>
        <v>0.0672164948453608</v>
      </c>
      <c r="I5311" s="7" t="n">
        <f aca="false">Sens!$E$5311+(glt_fro-Sens!$E$5311)*MIN(1,(Sens!I5256-base_fy)/n_conv)</f>
        <v>0.0681443298969072</v>
      </c>
      <c r="J5311" s="7" t="n">
        <f aca="false">Sens!$E$5311+(glt_fro-Sens!$E$5311)*MIN(1,(Sens!J5256-base_fy)/n_conv)</f>
        <v>0.0690721649484536</v>
      </c>
      <c r="K5311" s="7" t="n">
        <f aca="false">Sens!$E$5311+(glt_fro-Sens!$E$5311)*MIN(1,(Sens!K5256-base_fy)/n_conv)</f>
        <v>0.07</v>
      </c>
    </row>
    <row r="5312" customFormat="false" ht="15" hidden="false" customHeight="false" outlineLevel="0" collapsed="false">
      <c r="A5312" s="0" t="s">
        <v>852</v>
      </c>
      <c r="B5312" s="0" t="s">
        <v>98</v>
      </c>
      <c r="D5312" s="6" t="n">
        <f aca="false">Sens!D5300+Sens!D5305+Sens!D5306+Sens!D5308+Sens!D5310</f>
        <v>218.783</v>
      </c>
      <c r="E5312" s="6" t="n">
        <f aca="false">Sens!E5300+Sens!E5305+Sens!E5306+Sens!E5308+Sens!E5310</f>
        <v>268.127</v>
      </c>
      <c r="F5312" s="6" t="n">
        <f aca="false">Sens!F5300+Sens!F5305+Sens!F5306+Sens!F5308+Sens!F5310</f>
        <v>330.145282059882</v>
      </c>
      <c r="G5312" s="6" t="n">
        <f aca="false">Sens!G5300+Sens!G5305+Sens!G5306+Sens!G5308+Sens!G5310</f>
        <v>392.656759865851</v>
      </c>
      <c r="H5312" s="6" t="n">
        <f aca="false">Sens!H5300+Sens!H5305+Sens!H5306+Sens!H5308+Sens!H5310</f>
        <v>450.544273297982</v>
      </c>
      <c r="I5312" s="6" t="n">
        <f aca="false">Sens!I5300+Sens!I5305+Sens!I5306+Sens!I5308+Sens!I5310</f>
        <v>509.901592555468</v>
      </c>
      <c r="J5312" s="6" t="n">
        <f aca="false">Sens!J5300+Sens!J5305+Sens!J5306+Sens!J5308+Sens!J5310</f>
        <v>559.18186751504</v>
      </c>
      <c r="K5312" s="6" t="n">
        <f aca="false">Sens!K5300+Sens!K5305+Sens!K5306+Sens!K5308+Sens!K5310</f>
        <v>597.61319099941</v>
      </c>
    </row>
    <row r="5313" customFormat="false" ht="17.15" hidden="false" customHeight="false" outlineLevel="0" collapsed="false">
      <c r="A5313" s="0" t="s">
        <v>1037</v>
      </c>
      <c r="B5313" s="0" t="s">
        <v>98</v>
      </c>
      <c r="D5313" s="6" t="n">
        <f aca="false">Q!L13</f>
        <v>22.171</v>
      </c>
      <c r="E5313" s="6" t="n">
        <f aca="false">Q!M13</f>
        <v>24.835</v>
      </c>
      <c r="F5313" s="6" t="n">
        <f aca="false">Q!$I$13+(Q!M13-Q!$E$13)*(1+Sens!F5314)</f>
        <v>27.5591895660247</v>
      </c>
      <c r="G5313" s="6" t="n">
        <f aca="false">Sens!F5313*(1+Sens!G5314)</f>
        <v>30.4098563144583</v>
      </c>
      <c r="H5313" s="6" t="n">
        <f aca="false">Sens!G5313*(1+Sens!H5314)</f>
        <v>33.3011792571777</v>
      </c>
      <c r="I5313" s="6" t="n">
        <f aca="false">Sens!H5313*(1+Sens!I5314)</f>
        <v>36.189023797112</v>
      </c>
      <c r="J5313" s="6" t="n">
        <f aca="false">Sens!I5313*(1+Sens!J5314)</f>
        <v>39.0247773769199</v>
      </c>
      <c r="K5313" s="6" t="n">
        <f aca="false">Sens!J5313*(1+Sens!K5314)</f>
        <v>41.7565117933043</v>
      </c>
      <c r="L5313" s="12" t="s">
        <v>1034</v>
      </c>
    </row>
    <row r="5314" customFormat="false" ht="15" hidden="false" customHeight="false" outlineLevel="0" collapsed="false">
      <c r="A5314" s="1" t="s">
        <v>1024</v>
      </c>
      <c r="B5314" s="0" t="s">
        <v>168</v>
      </c>
      <c r="E5314" s="7" t="n">
        <f aca="false">Sens!E5313/Sens!D5313-1</f>
        <v>0.120156961796942</v>
      </c>
      <c r="F5314" s="7" t="n">
        <f aca="false">Sens!$E$5314+(glt_srch-Sens!$E$5314)*MIN(1,(Sens!F5256-base_fy)/n_conv)</f>
        <v>0.111797468164118</v>
      </c>
      <c r="G5314" s="7" t="n">
        <f aca="false">Sens!$E$5314+(glt_srch-Sens!$E$5314)*MIN(1,(Sens!G5256-base_fy)/n_conv)</f>
        <v>0.103437974531295</v>
      </c>
      <c r="H5314" s="7" t="n">
        <f aca="false">Sens!$E$5314+(glt_srch-Sens!$E$5314)*MIN(1,(Sens!H5256-base_fy)/n_conv)</f>
        <v>0.095078480898471</v>
      </c>
      <c r="I5314" s="7" t="n">
        <f aca="false">Sens!$E$5314+(glt_srch-Sens!$E$5314)*MIN(1,(Sens!I5256-base_fy)/n_conv)</f>
        <v>0.0867189872656474</v>
      </c>
      <c r="J5314" s="7" t="n">
        <f aca="false">Sens!$E$5314+(glt_srch-Sens!$E$5314)*MIN(1,(Sens!J5256-base_fy)/n_conv)</f>
        <v>0.0783594936328237</v>
      </c>
      <c r="K5314" s="7" t="n">
        <f aca="false">Sens!$E$5314+(glt_srch-Sens!$E$5314)*MIN(1,(Sens!K5256-base_fy)/n_conv)</f>
        <v>0.07</v>
      </c>
    </row>
    <row r="5315" customFormat="false" ht="17.15" hidden="false" customHeight="false" outlineLevel="0" collapsed="false">
      <c r="A5315" s="0" t="s">
        <v>1038</v>
      </c>
      <c r="B5315" s="0" t="s">
        <v>98</v>
      </c>
      <c r="D5315" s="6" t="n">
        <f aca="false">Q!L14</f>
        <v>23.455</v>
      </c>
      <c r="E5315" s="6" t="n">
        <f aca="false">Q!M14</f>
        <v>21.79</v>
      </c>
      <c r="F5315" s="6" t="n">
        <f aca="false">Q!$I$14+(Q!M14-Q!$E$14)*(1+Sens!F5316)</f>
        <v>20.7520981041711</v>
      </c>
      <c r="G5315" s="6" t="n">
        <f aca="false">Sens!F5315*(1+Sens!G5316)</f>
        <v>19.9083593495882</v>
      </c>
      <c r="H5315" s="6" t="n">
        <f aca="false">Sens!G5315*(1+Sens!H5316)</f>
        <v>19.4008256265831</v>
      </c>
      <c r="I5315" s="6" t="n">
        <f aca="false">Sens!H5315*(1+Sens!I5316)</f>
        <v>19.200434522122</v>
      </c>
      <c r="J5315" s="6" t="n">
        <f aca="false">Sens!I5315*(1+Sens!J5316)</f>
        <v>19.2932782348507</v>
      </c>
      <c r="K5315" s="6" t="n">
        <f aca="false">Sens!J5315*(1+Sens!K5316)</f>
        <v>19.6791437995477</v>
      </c>
      <c r="L5315" s="12" t="s">
        <v>1034</v>
      </c>
    </row>
    <row r="5316" customFormat="false" ht="15" hidden="false" customHeight="false" outlineLevel="0" collapsed="false">
      <c r="A5316" s="1" t="s">
        <v>1024</v>
      </c>
      <c r="B5316" s="0" t="s">
        <v>168</v>
      </c>
      <c r="E5316" s="7" t="n">
        <f aca="false">Sens!E5315/Sens!D5315-1</f>
        <v>-0.0709869963760392</v>
      </c>
      <c r="F5316" s="7" t="n">
        <f aca="false">Sens!$E$5316+(glt_xbox-Sens!$E$5316)*MIN(1,(Sens!F5256-base_fy)/n_conv)</f>
        <v>-0.0558224969800327</v>
      </c>
      <c r="G5316" s="7" t="n">
        <f aca="false">Sens!$E$5316+(glt_xbox-Sens!$E$5316)*MIN(1,(Sens!G5256-base_fy)/n_conv)</f>
        <v>-0.0406579975840262</v>
      </c>
      <c r="H5316" s="7" t="n">
        <f aca="false">Sens!$E$5316+(glt_xbox-Sens!$E$5316)*MIN(1,(Sens!H5256-base_fy)/n_conv)</f>
        <v>-0.0254934981880196</v>
      </c>
      <c r="I5316" s="7" t="n">
        <f aca="false">Sens!$E$5316+(glt_xbox-Sens!$E$5316)*MIN(1,(Sens!I5256-base_fy)/n_conv)</f>
        <v>-0.0103289987920131</v>
      </c>
      <c r="J5316" s="7" t="n">
        <f aca="false">Sens!$E$5316+(glt_xbox-Sens!$E$5316)*MIN(1,(Sens!J5256-base_fy)/n_conv)</f>
        <v>0.00483550060399347</v>
      </c>
      <c r="K5316" s="7" t="n">
        <f aca="false">Sens!$E$5316+(glt_xbox-Sens!$E$5316)*MIN(1,(Sens!K5256-base_fy)/n_conv)</f>
        <v>0.02</v>
      </c>
    </row>
    <row r="5317" customFormat="false" ht="17.15" hidden="false" customHeight="false" outlineLevel="0" collapsed="false">
      <c r="A5317" s="0" t="s">
        <v>1039</v>
      </c>
      <c r="B5317" s="0" t="s">
        <v>98</v>
      </c>
      <c r="D5317" s="6" t="n">
        <f aca="false">Q!L15</f>
        <v>17.315</v>
      </c>
      <c r="E5317" s="6" t="n">
        <f aca="false">Q!M15</f>
        <v>17.087</v>
      </c>
      <c r="F5317" s="6" t="n">
        <f aca="false">Q!$I$15+(Q!M15-Q!$E$15)*(1+Sens!F5318)</f>
        <v>15.9912273250553</v>
      </c>
      <c r="G5317" s="6" t="n">
        <f aca="false">Sens!F5317*(1+Sens!G5318)</f>
        <v>15.9574562664827</v>
      </c>
      <c r="H5317" s="6" t="n">
        <f aca="false">Sens!G5317*(1+Sens!H5318)</f>
        <v>16.0119687434196</v>
      </c>
      <c r="I5317" s="6" t="n">
        <f aca="false">Sens!H5317*(1+Sens!I5318)</f>
        <v>16.1551810001948</v>
      </c>
      <c r="J5317" s="6" t="n">
        <f aca="false">Sens!I5317*(1+Sens!J5318)</f>
        <v>16.3889793892005</v>
      </c>
      <c r="K5317" s="6" t="n">
        <f aca="false">Sens!J5317*(1+Sens!K5318)</f>
        <v>16.7167589769845</v>
      </c>
      <c r="L5317" s="12" t="s">
        <v>1034</v>
      </c>
    </row>
    <row r="5318" customFormat="false" ht="15" hidden="false" customHeight="false" outlineLevel="0" collapsed="false">
      <c r="A5318" s="1" t="s">
        <v>1024</v>
      </c>
      <c r="B5318" s="0" t="s">
        <v>168</v>
      </c>
      <c r="E5318" s="7" t="n">
        <f aca="false">Sens!E5317/Sens!D5317-1</f>
        <v>-0.0131677736066995</v>
      </c>
      <c r="F5318" s="7" t="n">
        <f aca="false">Sens!$E$5318+(glt_win-Sens!$E$5318)*MIN(1,(Sens!F5256-base_fy)/n_conv)</f>
        <v>-0.00763981133891627</v>
      </c>
      <c r="G5318" s="7" t="n">
        <f aca="false">Sens!$E$5318+(glt_win-Sens!$E$5318)*MIN(1,(Sens!G5256-base_fy)/n_conv)</f>
        <v>-0.00211184907113301</v>
      </c>
      <c r="H5318" s="7" t="n">
        <f aca="false">Sens!$E$5318+(glt_win-Sens!$E$5318)*MIN(1,(Sens!H5256-base_fy)/n_conv)</f>
        <v>0.00341611319665024</v>
      </c>
      <c r="I5318" s="7" t="n">
        <f aca="false">Sens!$E$5318+(glt_win-Sens!$E$5318)*MIN(1,(Sens!I5256-base_fy)/n_conv)</f>
        <v>0.00894407546443349</v>
      </c>
      <c r="J5318" s="7" t="n">
        <f aca="false">Sens!$E$5318+(glt_win-Sens!$E$5318)*MIN(1,(Sens!J5256-base_fy)/n_conv)</f>
        <v>0.0144720377322168</v>
      </c>
      <c r="K5318" s="7" t="n">
        <f aca="false">Sens!$E$5318+(glt_win-Sens!$E$5318)*MIN(1,(Sens!K5256-base_fy)/n_conv)</f>
        <v>0.02</v>
      </c>
    </row>
    <row r="5319" customFormat="false" ht="15" hidden="false" customHeight="false" outlineLevel="0" collapsed="false">
      <c r="A5319" s="0" t="s">
        <v>866</v>
      </c>
      <c r="B5319" s="0" t="s">
        <v>98</v>
      </c>
      <c r="D5319" s="6" t="n">
        <f aca="false">Sens!D5313+Sens!D5315+Sens!D5317</f>
        <v>62.941</v>
      </c>
      <c r="E5319" s="6" t="n">
        <f aca="false">Sens!E5313+Sens!E5315+Sens!E5317</f>
        <v>63.712</v>
      </c>
      <c r="F5319" s="6" t="n">
        <f aca="false">Sens!F5313+Sens!F5315+Sens!F5317</f>
        <v>64.3025149952511</v>
      </c>
      <c r="G5319" s="6" t="n">
        <f aca="false">Sens!G5313+Sens!G5315+Sens!G5317</f>
        <v>66.2756719305292</v>
      </c>
      <c r="H5319" s="6" t="n">
        <f aca="false">Sens!H5313+Sens!H5315+Sens!H5317</f>
        <v>68.7139736271804</v>
      </c>
      <c r="I5319" s="6" t="n">
        <f aca="false">Sens!I5313+Sens!I5315+Sens!I5317</f>
        <v>71.5446393194289</v>
      </c>
      <c r="J5319" s="6" t="n">
        <f aca="false">Sens!J5313+Sens!J5315+Sens!J5317</f>
        <v>74.707035000971</v>
      </c>
      <c r="K5319" s="6" t="n">
        <f aca="false">Sens!K5313+Sens!K5315+Sens!K5317</f>
        <v>78.1524145698365</v>
      </c>
    </row>
    <row r="5320" customFormat="false" ht="15" hidden="false" customHeight="false" outlineLevel="0" collapsed="false">
      <c r="A5320" s="1" t="s">
        <v>1040</v>
      </c>
      <c r="B5320" s="0" t="s">
        <v>98</v>
      </c>
      <c r="D5320" s="6" t="n">
        <f aca="false">Sens!D5312+Sens!D5319</f>
        <v>281.724</v>
      </c>
      <c r="E5320" s="6" t="n">
        <f aca="false">Sens!E5312+Sens!E5319</f>
        <v>331.839</v>
      </c>
      <c r="F5320" s="6" t="n">
        <f aca="false">Sens!F5312+Sens!F5319</f>
        <v>394.447797055133</v>
      </c>
      <c r="G5320" s="6" t="n">
        <f aca="false">Sens!G5312+Sens!G5319</f>
        <v>458.93243179638</v>
      </c>
      <c r="H5320" s="6" t="n">
        <f aca="false">Sens!H5312+Sens!H5319</f>
        <v>519.258246925162</v>
      </c>
      <c r="I5320" s="6" t="n">
        <f aca="false">Sens!I5312+Sens!I5319</f>
        <v>581.446231874896</v>
      </c>
      <c r="J5320" s="6" t="n">
        <f aca="false">Sens!J5312+Sens!J5319</f>
        <v>633.888902516011</v>
      </c>
      <c r="K5320" s="6" t="n">
        <f aca="false">Sens!K5312+Sens!K5319</f>
        <v>675.765605569246</v>
      </c>
    </row>
    <row r="5321" customFormat="false" ht="15" hidden="false" customHeight="false" outlineLevel="0" collapsed="false">
      <c r="A5321" s="26" t="s">
        <v>1041</v>
      </c>
      <c r="B5321" s="31" t="s">
        <v>98</v>
      </c>
      <c r="C5321" s="31"/>
      <c r="D5321" s="27" t="n">
        <f aca="false">(Sens!D5300+Sens!D5305+Sens!D5306+Sens!D5308+Sens!D5310-Sens!D5312)+(Sens!D5313+Sens!D5315+Sens!D5317-Sens!D5319)+(Sens!D5312-Q!L5)+(Sens!D5319-Q!L12)+(Sens!D5300-Q!L6)+(Sens!D5305-Q!L7)</f>
        <v>0</v>
      </c>
      <c r="E5321" s="27" t="n">
        <f aca="false">(Sens!E5300+Sens!E5305+Sens!E5306+Sens!E5308+Sens!E5310-Sens!E5312)+(Sens!E5313+Sens!E5315+Sens!E5317-Sens!E5319)+(Sens!E5312-Q!M5)+(Sens!E5319-Q!M12)+(Sens!E5300-Q!M6)+(Sens!E5305-Q!M7)</f>
        <v>0</v>
      </c>
      <c r="F5321" s="27" t="n">
        <f aca="false">(Sens!F5300+Sens!F5305+Sens!F5306+Sens!F5308+Sens!F5310-Sens!F5312)+(Sens!F5313+Sens!F5315+Sens!F5317-Sens!F5319)</f>
        <v>0</v>
      </c>
      <c r="G5321" s="27" t="n">
        <f aca="false">(Sens!G5300+Sens!G5305+Sens!G5306+Sens!G5308+Sens!G5310-Sens!G5312)+(Sens!G5313+Sens!G5315+Sens!G5317-Sens!G5319)</f>
        <v>0</v>
      </c>
      <c r="H5321" s="27" t="n">
        <f aca="false">(Sens!H5300+Sens!H5305+Sens!H5306+Sens!H5308+Sens!H5310-Sens!H5312)+(Sens!H5313+Sens!H5315+Sens!H5317-Sens!H5319)</f>
        <v>0</v>
      </c>
      <c r="I5321" s="27" t="n">
        <f aca="false">(Sens!I5300+Sens!I5305+Sens!I5306+Sens!I5308+Sens!I5310-Sens!I5312)+(Sens!I5313+Sens!I5315+Sens!I5317-Sens!I5319)</f>
        <v>0</v>
      </c>
      <c r="J5321" s="27" t="n">
        <f aca="false">(Sens!J5300+Sens!J5305+Sens!J5306+Sens!J5308+Sens!J5310-Sens!J5312)+(Sens!J5313+Sens!J5315+Sens!J5317-Sens!J5319)</f>
        <v>0</v>
      </c>
      <c r="K5321" s="27" t="n">
        <f aca="false">(Sens!K5300+Sens!K5305+Sens!K5306+Sens!K5308+Sens!K5310-Sens!K5312)+(Sens!K5313+Sens!K5315+Sens!K5317-Sens!K5319)</f>
        <v>0</v>
      </c>
    </row>
    <row r="5322" customFormat="false" ht="17.15" hidden="false" customHeight="false" outlineLevel="0" collapsed="false">
      <c r="A5322" s="3" t="s">
        <v>1612</v>
      </c>
    </row>
    <row r="5323" customFormat="false" ht="15" hidden="false" customHeight="false" outlineLevel="0" collapsed="false">
      <c r="A5323" s="4" t="s">
        <v>43</v>
      </c>
      <c r="B5323" s="4" t="s">
        <v>65</v>
      </c>
      <c r="C5323" s="23" t="s">
        <v>938</v>
      </c>
      <c r="D5323" s="23" t="s">
        <v>939</v>
      </c>
      <c r="E5323" s="23" t="s">
        <v>940</v>
      </c>
      <c r="F5323" s="23" t="s">
        <v>941</v>
      </c>
      <c r="G5323" s="23" t="s">
        <v>942</v>
      </c>
      <c r="H5323" s="23" t="s">
        <v>943</v>
      </c>
      <c r="I5323" s="23" t="s">
        <v>944</v>
      </c>
      <c r="J5323" s="23" t="s">
        <v>945</v>
      </c>
      <c r="K5323" s="23" t="s">
        <v>946</v>
      </c>
      <c r="L5323" s="4" t="s">
        <v>47</v>
      </c>
    </row>
    <row r="5324" customFormat="false" ht="15" hidden="false" customHeight="false" outlineLevel="0" collapsed="false">
      <c r="A5324" s="0" t="s">
        <v>1025</v>
      </c>
      <c r="B5324" s="0" t="s">
        <v>98</v>
      </c>
      <c r="D5324" s="6" t="n">
        <f aca="false">Sens!D5300</f>
        <v>72.61</v>
      </c>
      <c r="E5324" s="6" t="n">
        <f aca="false">Sens!E5300</f>
        <v>101.938</v>
      </c>
      <c r="F5324" s="6" t="n">
        <f aca="false">Sens!F5300</f>
        <v>143.251883553698</v>
      </c>
      <c r="G5324" s="6" t="n">
        <f aca="false">Sens!G5300</f>
        <v>186.322520879442</v>
      </c>
      <c r="H5324" s="6" t="n">
        <f aca="false">Sens!H5300</f>
        <v>224.74279426379</v>
      </c>
      <c r="I5324" s="6" t="n">
        <f aca="false">Sens!I5300</f>
        <v>265.652955252896</v>
      </c>
      <c r="J5324" s="6" t="n">
        <f aca="false">Sens!J5300</f>
        <v>297.826159820655</v>
      </c>
      <c r="K5324" s="6" t="n">
        <f aca="false">Sens!K5300</f>
        <v>320.073520631741</v>
      </c>
    </row>
    <row r="5325" customFormat="false" ht="17.15" hidden="false" customHeight="false" outlineLevel="0" collapsed="false">
      <c r="A5325" s="0" t="s">
        <v>1021</v>
      </c>
      <c r="B5325" s="0" t="s">
        <v>98</v>
      </c>
      <c r="D5325" s="6" t="n">
        <f aca="false">Sens!D5297</f>
        <v>12.9359794422418</v>
      </c>
      <c r="E5325" s="6" t="n">
        <f aca="false">Sens!E5297</f>
        <v>27.8095064661409</v>
      </c>
      <c r="F5325" s="6" t="n">
        <f aca="false">Sens!F5297</f>
        <v>50.9819294352312</v>
      </c>
      <c r="G5325" s="6" t="n">
        <f aca="false">Sens!G5297</f>
        <v>76.6920436014933</v>
      </c>
      <c r="H5325" s="6" t="n">
        <f aca="false">Sens!H5297</f>
        <v>97.4495379418341</v>
      </c>
      <c r="I5325" s="6" t="n">
        <f aca="false">Sens!I5297</f>
        <v>121.292902983405</v>
      </c>
      <c r="J5325" s="6" t="n">
        <f aca="false">Sens!J5297</f>
        <v>138.014195330438</v>
      </c>
      <c r="K5325" s="6" t="n">
        <f aca="false">Sens!K5297</f>
        <v>147.476598982307</v>
      </c>
    </row>
    <row r="5326" customFormat="false" ht="17.15" hidden="false" customHeight="false" outlineLevel="0" collapsed="false">
      <c r="A5326" s="0" t="s">
        <v>1052</v>
      </c>
      <c r="B5326" s="0" t="s">
        <v>98</v>
      </c>
      <c r="D5326" s="6" t="n">
        <f aca="false">Sens!D5298</f>
        <v>59.6740205577583</v>
      </c>
      <c r="E5326" s="6" t="n">
        <f aca="false">Sens!E5298</f>
        <v>74.1284935338591</v>
      </c>
      <c r="F5326" s="6" t="n">
        <f aca="false">Sens!F5298</f>
        <v>92.2699541184664</v>
      </c>
      <c r="G5326" s="6" t="n">
        <f aca="false">Sens!G5298</f>
        <v>109.630477277949</v>
      </c>
      <c r="H5326" s="6" t="n">
        <f aca="false">Sens!H5298</f>
        <v>127.293256321956</v>
      </c>
      <c r="I5326" s="6" t="n">
        <f aca="false">Sens!I5298</f>
        <v>144.360052269491</v>
      </c>
      <c r="J5326" s="6" t="n">
        <f aca="false">Sens!J5298</f>
        <v>159.811964490216</v>
      </c>
      <c r="K5326" s="6" t="n">
        <f aca="false">Sens!K5298</f>
        <v>172.596921649434</v>
      </c>
    </row>
    <row r="5327" customFormat="false" ht="15" hidden="false" customHeight="false" outlineLevel="0" collapsed="false">
      <c r="A5327" s="0" t="s">
        <v>1032</v>
      </c>
      <c r="B5327" s="0" t="s">
        <v>98</v>
      </c>
      <c r="D5327" s="6" t="n">
        <f aca="false">Sens!D5305</f>
        <v>84.605</v>
      </c>
      <c r="E5327" s="6" t="n">
        <f aca="false">Sens!E5305</f>
        <v>100.299</v>
      </c>
      <c r="F5327" s="6" t="n">
        <f aca="false">Sens!F5305</f>
        <v>117.438354189776</v>
      </c>
      <c r="G5327" s="6" t="n">
        <f aca="false">Sens!G5305</f>
        <v>132.595360443801</v>
      </c>
      <c r="H5327" s="6" t="n">
        <f aca="false">Sens!H5305</f>
        <v>147.833811964563</v>
      </c>
      <c r="I5327" s="6" t="n">
        <f aca="false">Sens!I5305</f>
        <v>162.145665319381</v>
      </c>
      <c r="J5327" s="6" t="n">
        <f aca="false">Sens!J5305</f>
        <v>175.249327755573</v>
      </c>
      <c r="K5327" s="6" t="n">
        <f aca="false">Sens!K5305</f>
        <v>187.599280698463</v>
      </c>
    </row>
    <row r="5328" customFormat="false" ht="17.15" hidden="false" customHeight="false" outlineLevel="0" collapsed="false">
      <c r="A5328" s="0" t="s">
        <v>1053</v>
      </c>
      <c r="B5328" s="0" t="s">
        <v>98</v>
      </c>
      <c r="D5328" s="6" t="n">
        <f aca="false">Sens!D5303</f>
        <v>83.705</v>
      </c>
      <c r="E5328" s="6" t="n">
        <f aca="false">Sens!E5303</f>
        <v>95.049</v>
      </c>
      <c r="F5328" s="6" t="n">
        <f aca="false">Sens!F5303</f>
        <v>106.938354189776</v>
      </c>
      <c r="G5328" s="6" t="n">
        <f aca="false">Sens!G5303</f>
        <v>119.095360443801</v>
      </c>
      <c r="H5328" s="6" t="n">
        <f aca="false">Sens!H5303</f>
        <v>131.333811964563</v>
      </c>
      <c r="I5328" s="6" t="n">
        <f aca="false">Sens!I5303</f>
        <v>143.395665319381</v>
      </c>
      <c r="J5328" s="6" t="n">
        <f aca="false">Sens!J5303</f>
        <v>154.999327755573</v>
      </c>
      <c r="K5328" s="6" t="n">
        <f aca="false">Sens!K5303</f>
        <v>165.849280698463</v>
      </c>
    </row>
    <row r="5329" customFormat="false" ht="17.15" hidden="false" customHeight="false" outlineLevel="0" collapsed="false">
      <c r="A5329" s="0" t="s">
        <v>1054</v>
      </c>
      <c r="B5329" s="0" t="s">
        <v>98</v>
      </c>
      <c r="D5329" s="6" t="n">
        <f aca="false">Sens!D5302</f>
        <v>0.9</v>
      </c>
      <c r="E5329" s="6" t="n">
        <f aca="false">Sens!E5302</f>
        <v>5.25</v>
      </c>
      <c r="F5329" s="6" t="n">
        <f aca="false">Sens!F5302</f>
        <v>10.5</v>
      </c>
      <c r="G5329" s="6" t="n">
        <f aca="false">Sens!G5302</f>
        <v>13.5</v>
      </c>
      <c r="H5329" s="6" t="n">
        <f aca="false">Sens!H5302</f>
        <v>16.5</v>
      </c>
      <c r="I5329" s="6" t="n">
        <f aca="false">Sens!I5302</f>
        <v>18.75</v>
      </c>
      <c r="J5329" s="6" t="n">
        <f aca="false">Sens!J5302</f>
        <v>20.25</v>
      </c>
      <c r="K5329" s="6" t="n">
        <f aca="false">Sens!K5302</f>
        <v>21.75</v>
      </c>
    </row>
    <row r="5330" customFormat="false" ht="15" hidden="false" customHeight="false" outlineLevel="0" collapsed="false">
      <c r="A5330" s="0" t="s">
        <v>1033</v>
      </c>
      <c r="B5330" s="0" t="s">
        <v>98</v>
      </c>
      <c r="D5330" s="6" t="n">
        <f aca="false">Sens!D5306</f>
        <v>35.391</v>
      </c>
      <c r="E5330" s="6" t="n">
        <f aca="false">Sens!E5306</f>
        <v>37.285</v>
      </c>
      <c r="F5330" s="6" t="n">
        <f aca="false">Sens!F5306</f>
        <v>38.3851437782675</v>
      </c>
      <c r="G5330" s="6" t="n">
        <f aca="false">Sens!G5306</f>
        <v>40.0105353288615</v>
      </c>
      <c r="H5330" s="6" t="n">
        <f aca="false">Sens!H5306</f>
        <v>41.4812512033683</v>
      </c>
      <c r="I5330" s="6" t="n">
        <f aca="false">Sens!I5306</f>
        <v>42.7743107216329</v>
      </c>
      <c r="J5330" s="6" t="n">
        <f aca="false">Sens!J5306</f>
        <v>43.8687373064601</v>
      </c>
      <c r="K5330" s="6" t="n">
        <f aca="false">Sens!K5306</f>
        <v>44.7461120525893</v>
      </c>
    </row>
    <row r="5331" customFormat="false" ht="15" hidden="false" customHeight="false" outlineLevel="0" collapsed="false">
      <c r="A5331" s="0" t="s">
        <v>1035</v>
      </c>
      <c r="B5331" s="0" t="s">
        <v>98</v>
      </c>
      <c r="D5331" s="6" t="n">
        <f aca="false">Sens!D5308</f>
        <v>18.417</v>
      </c>
      <c r="E5331" s="6" t="n">
        <f aca="false">Sens!E5308</f>
        <v>20.345</v>
      </c>
      <c r="F5331" s="6" t="n">
        <f aca="false">Sens!F5308</f>
        <v>22.3161797133988</v>
      </c>
      <c r="G5331" s="6" t="n">
        <f aca="false">Sens!G5308</f>
        <v>24.3943499673233</v>
      </c>
      <c r="H5331" s="6" t="n">
        <f aca="false">Sens!H5308</f>
        <v>26.5250243109019</v>
      </c>
      <c r="I5331" s="6" t="n">
        <f aca="false">Sens!I5308</f>
        <v>28.6884573538181</v>
      </c>
      <c r="J5331" s="6" t="n">
        <f aca="false">Sens!J5308</f>
        <v>30.8624968052127</v>
      </c>
      <c r="K5331" s="6" t="n">
        <f aca="false">Sens!K5308</f>
        <v>33.0228715815776</v>
      </c>
    </row>
    <row r="5332" customFormat="false" ht="15" hidden="false" customHeight="false" outlineLevel="0" collapsed="false">
      <c r="A5332" s="0" t="s">
        <v>1036</v>
      </c>
      <c r="B5332" s="0" t="s">
        <v>98</v>
      </c>
      <c r="D5332" s="6" t="n">
        <f aca="false">Sens!D5310</f>
        <v>7.76</v>
      </c>
      <c r="E5332" s="6" t="n">
        <f aca="false">Sens!E5310</f>
        <v>8.26</v>
      </c>
      <c r="F5332" s="6" t="n">
        <f aca="false">Sens!F5310</f>
        <v>8.75372082474227</v>
      </c>
      <c r="G5332" s="6" t="n">
        <f aca="false">Sens!G5310</f>
        <v>9.33399324642364</v>
      </c>
      <c r="H5332" s="6" t="n">
        <f aca="false">Sens!H5310</f>
        <v>9.96139155535851</v>
      </c>
      <c r="I5332" s="6" t="n">
        <f aca="false">Sens!I5310</f>
        <v>10.6402039077391</v>
      </c>
      <c r="J5332" s="6" t="n">
        <f aca="false">Sens!J5310</f>
        <v>11.3751458271397</v>
      </c>
      <c r="K5332" s="6" t="n">
        <f aca="false">Sens!K5310</f>
        <v>12.1714060350394</v>
      </c>
    </row>
    <row r="5333" customFormat="false" ht="15" hidden="false" customHeight="false" outlineLevel="0" collapsed="false">
      <c r="A5333" s="0" t="s">
        <v>852</v>
      </c>
      <c r="B5333" s="0" t="s">
        <v>98</v>
      </c>
      <c r="D5333" s="6" t="n">
        <f aca="false">Sens!D5312</f>
        <v>218.783</v>
      </c>
      <c r="E5333" s="6" t="n">
        <f aca="false">Sens!E5312</f>
        <v>268.127</v>
      </c>
      <c r="F5333" s="6" t="n">
        <f aca="false">Sens!F5312</f>
        <v>330.145282059882</v>
      </c>
      <c r="G5333" s="6" t="n">
        <f aca="false">Sens!G5312</f>
        <v>392.656759865851</v>
      </c>
      <c r="H5333" s="6" t="n">
        <f aca="false">Sens!H5312</f>
        <v>450.544273297982</v>
      </c>
      <c r="I5333" s="6" t="n">
        <f aca="false">Sens!I5312</f>
        <v>509.901592555468</v>
      </c>
      <c r="J5333" s="6" t="n">
        <f aca="false">Sens!J5312</f>
        <v>559.18186751504</v>
      </c>
      <c r="K5333" s="6" t="n">
        <f aca="false">Sens!K5312</f>
        <v>597.61319099941</v>
      </c>
    </row>
    <row r="5334" customFormat="false" ht="15" hidden="false" customHeight="false" outlineLevel="0" collapsed="false">
      <c r="A5334" s="0" t="s">
        <v>1037</v>
      </c>
      <c r="B5334" s="0" t="s">
        <v>98</v>
      </c>
      <c r="D5334" s="6" t="n">
        <f aca="false">Sens!D5313</f>
        <v>22.171</v>
      </c>
      <c r="E5334" s="6" t="n">
        <f aca="false">Sens!E5313</f>
        <v>24.835</v>
      </c>
      <c r="F5334" s="6" t="n">
        <f aca="false">Sens!F5313</f>
        <v>27.5591895660247</v>
      </c>
      <c r="G5334" s="6" t="n">
        <f aca="false">Sens!G5313</f>
        <v>30.4098563144583</v>
      </c>
      <c r="H5334" s="6" t="n">
        <f aca="false">Sens!H5313</f>
        <v>33.3011792571777</v>
      </c>
      <c r="I5334" s="6" t="n">
        <f aca="false">Sens!I5313</f>
        <v>36.189023797112</v>
      </c>
      <c r="J5334" s="6" t="n">
        <f aca="false">Sens!J5313</f>
        <v>39.0247773769199</v>
      </c>
      <c r="K5334" s="6" t="n">
        <f aca="false">Sens!K5313</f>
        <v>41.7565117933043</v>
      </c>
    </row>
    <row r="5335" customFormat="false" ht="15" hidden="false" customHeight="false" outlineLevel="0" collapsed="false">
      <c r="A5335" s="0" t="s">
        <v>1038</v>
      </c>
      <c r="B5335" s="0" t="s">
        <v>98</v>
      </c>
      <c r="D5335" s="6" t="n">
        <f aca="false">Sens!D5315</f>
        <v>23.455</v>
      </c>
      <c r="E5335" s="6" t="n">
        <f aca="false">Sens!E5315</f>
        <v>21.79</v>
      </c>
      <c r="F5335" s="6" t="n">
        <f aca="false">Sens!F5315</f>
        <v>20.7520981041711</v>
      </c>
      <c r="G5335" s="6" t="n">
        <f aca="false">Sens!G5315</f>
        <v>19.9083593495882</v>
      </c>
      <c r="H5335" s="6" t="n">
        <f aca="false">Sens!H5315</f>
        <v>19.4008256265831</v>
      </c>
      <c r="I5335" s="6" t="n">
        <f aca="false">Sens!I5315</f>
        <v>19.200434522122</v>
      </c>
      <c r="J5335" s="6" t="n">
        <f aca="false">Sens!J5315</f>
        <v>19.2932782348507</v>
      </c>
      <c r="K5335" s="6" t="n">
        <f aca="false">Sens!K5315</f>
        <v>19.6791437995477</v>
      </c>
    </row>
    <row r="5336" customFormat="false" ht="15" hidden="false" customHeight="false" outlineLevel="0" collapsed="false">
      <c r="A5336" s="0" t="s">
        <v>1039</v>
      </c>
      <c r="B5336" s="0" t="s">
        <v>98</v>
      </c>
      <c r="D5336" s="6" t="n">
        <f aca="false">Sens!D5317</f>
        <v>17.315</v>
      </c>
      <c r="E5336" s="6" t="n">
        <f aca="false">Sens!E5317</f>
        <v>17.087</v>
      </c>
      <c r="F5336" s="6" t="n">
        <f aca="false">Sens!F5317</f>
        <v>15.9912273250553</v>
      </c>
      <c r="G5336" s="6" t="n">
        <f aca="false">Sens!G5317</f>
        <v>15.9574562664827</v>
      </c>
      <c r="H5336" s="6" t="n">
        <f aca="false">Sens!H5317</f>
        <v>16.0119687434196</v>
      </c>
      <c r="I5336" s="6" t="n">
        <f aca="false">Sens!I5317</f>
        <v>16.1551810001948</v>
      </c>
      <c r="J5336" s="6" t="n">
        <f aca="false">Sens!J5317</f>
        <v>16.3889793892005</v>
      </c>
      <c r="K5336" s="6" t="n">
        <f aca="false">Sens!K5317</f>
        <v>16.7167589769845</v>
      </c>
    </row>
    <row r="5337" customFormat="false" ht="15" hidden="false" customHeight="false" outlineLevel="0" collapsed="false">
      <c r="A5337" s="0" t="s">
        <v>866</v>
      </c>
      <c r="B5337" s="0" t="s">
        <v>98</v>
      </c>
      <c r="D5337" s="6" t="n">
        <f aca="false">Sens!D5319</f>
        <v>62.941</v>
      </c>
      <c r="E5337" s="6" t="n">
        <f aca="false">Sens!E5319</f>
        <v>63.712</v>
      </c>
      <c r="F5337" s="6" t="n">
        <f aca="false">Sens!F5319</f>
        <v>64.3025149952511</v>
      </c>
      <c r="G5337" s="6" t="n">
        <f aca="false">Sens!G5319</f>
        <v>66.2756719305292</v>
      </c>
      <c r="H5337" s="6" t="n">
        <f aca="false">Sens!H5319</f>
        <v>68.7139736271804</v>
      </c>
      <c r="I5337" s="6" t="n">
        <f aca="false">Sens!I5319</f>
        <v>71.5446393194289</v>
      </c>
      <c r="J5337" s="6" t="n">
        <f aca="false">Sens!J5319</f>
        <v>74.707035000971</v>
      </c>
      <c r="K5337" s="6" t="n">
        <f aca="false">Sens!K5319</f>
        <v>78.1524145698365</v>
      </c>
    </row>
    <row r="5338" customFormat="false" ht="15" hidden="false" customHeight="false" outlineLevel="0" collapsed="false">
      <c r="A5338" s="1" t="s">
        <v>1055</v>
      </c>
      <c r="B5338" s="0" t="s">
        <v>98</v>
      </c>
      <c r="D5338" s="6" t="n">
        <f aca="false">Sens!D5320</f>
        <v>281.724</v>
      </c>
      <c r="E5338" s="6" t="n">
        <f aca="false">Sens!E5320</f>
        <v>331.839</v>
      </c>
      <c r="F5338" s="6" t="n">
        <f aca="false">Sens!F5320</f>
        <v>394.447797055133</v>
      </c>
      <c r="G5338" s="6" t="n">
        <f aca="false">Sens!G5320</f>
        <v>458.93243179638</v>
      </c>
      <c r="H5338" s="6" t="n">
        <f aca="false">Sens!H5320</f>
        <v>519.258246925162</v>
      </c>
      <c r="I5338" s="6" t="n">
        <f aca="false">Sens!I5320</f>
        <v>581.446231874896</v>
      </c>
      <c r="J5338" s="6" t="n">
        <f aca="false">Sens!J5320</f>
        <v>633.888902516011</v>
      </c>
      <c r="K5338" s="6" t="n">
        <f aca="false">Sens!K5320</f>
        <v>675.765605569246</v>
      </c>
    </row>
    <row r="5339" customFormat="false" ht="15" hidden="false" customHeight="false" outlineLevel="0" collapsed="false">
      <c r="A5339" s="1" t="s">
        <v>1056</v>
      </c>
      <c r="B5339" s="0" t="s">
        <v>168</v>
      </c>
      <c r="E5339" s="7" t="n">
        <f aca="false">Sens!E5338/Sens!D5338-1</f>
        <v>0.177886867998467</v>
      </c>
      <c r="F5339" s="7" t="n">
        <f aca="false">Sens!F5338/Sens!E5338-1</f>
        <v>0.188672208676897</v>
      </c>
      <c r="G5339" s="7" t="n">
        <f aca="false">Sens!G5338/Sens!F5338-1</f>
        <v>0.16348078306604</v>
      </c>
      <c r="H5339" s="7" t="n">
        <f aca="false">Sens!H5338/Sens!G5338-1</f>
        <v>0.131448141271366</v>
      </c>
      <c r="I5339" s="7" t="n">
        <f aca="false">Sens!I5338/Sens!H5338-1</f>
        <v>0.119763114631277</v>
      </c>
      <c r="J5339" s="7" t="n">
        <f aca="false">Sens!J5338/Sens!I5338-1</f>
        <v>0.0901934998736018</v>
      </c>
      <c r="K5339" s="7" t="n">
        <f aca="false">Sens!K5338/Sens!J5338-1</f>
        <v>0.0660631585235514</v>
      </c>
    </row>
    <row r="5340" customFormat="false" ht="17.15" hidden="false" customHeight="false" outlineLevel="0" collapsed="false">
      <c r="A5340" s="26" t="s">
        <v>1057</v>
      </c>
      <c r="B5340" s="31" t="s">
        <v>98</v>
      </c>
      <c r="C5340" s="31"/>
      <c r="D5340" s="27" t="n">
        <f aca="false">(Sens!D5333+Sens!D5337-Sens!D5338)+(Sens!D5325+Sens!D5326-Sens!D5324)+(Sens!D5328+Sens!D5329-Sens!D5327)+(Sens!D5338-Q!L18)</f>
        <v>0</v>
      </c>
      <c r="E5340" s="27" t="n">
        <f aca="false">(Sens!E5333+Sens!E5337-Sens!E5338)+(Sens!E5325+Sens!E5326-Sens!E5324)+(Sens!E5328+Sens!E5329-Sens!E5327)+(Sens!E5338-Q!M18)</f>
        <v>0</v>
      </c>
      <c r="F5340" s="27" t="n">
        <f aca="false">(Sens!F5333+Sens!F5337-Sens!F5338)+(Sens!F5325+Sens!F5326-Sens!F5324)+(Sens!F5328+Sens!F5329-Sens!F5327)</f>
        <v>0</v>
      </c>
      <c r="G5340" s="27" t="n">
        <f aca="false">(Sens!G5333+Sens!G5337-Sens!G5338)+(Sens!G5325+Sens!G5326-Sens!G5324)+(Sens!G5328+Sens!G5329-Sens!G5327)</f>
        <v>0</v>
      </c>
      <c r="H5340" s="27" t="n">
        <f aca="false">(Sens!H5333+Sens!H5337-Sens!H5338)+(Sens!H5325+Sens!H5326-Sens!H5324)+(Sens!H5328+Sens!H5329-Sens!H5327)</f>
        <v>0</v>
      </c>
      <c r="I5340" s="27" t="n">
        <f aca="false">(Sens!I5333+Sens!I5337-Sens!I5338)+(Sens!I5325+Sens!I5326-Sens!I5324)+(Sens!I5328+Sens!I5329-Sens!I5327)</f>
        <v>0</v>
      </c>
      <c r="J5340" s="27" t="n">
        <f aca="false">(Sens!J5333+Sens!J5337-Sens!J5338)+(Sens!J5325+Sens!J5326-Sens!J5324)+(Sens!J5328+Sens!J5329-Sens!J5327)</f>
        <v>0</v>
      </c>
      <c r="K5340" s="27" t="n">
        <f aca="false">(Sens!K5333+Sens!K5337-Sens!K5338)+(Sens!K5325+Sens!K5326-Sens!K5324)+(Sens!K5328+Sens!K5329-Sens!K5327)</f>
        <v>0</v>
      </c>
    </row>
    <row r="5341" customFormat="false" ht="17.15" hidden="false" customHeight="false" outlineLevel="0" collapsed="false">
      <c r="A5341" s="0" t="s">
        <v>1058</v>
      </c>
      <c r="B5341" s="0" t="s">
        <v>168</v>
      </c>
      <c r="E5341" s="7" t="n">
        <f aca="false">(Q!M21+Sens!E5277+Sens!E5278+Sens!E5279+Sens!E5293-Sens!E5275)/(Q!M5-Sens!E5275)</f>
        <v>0.562004564381674</v>
      </c>
      <c r="F5341" s="7" t="n">
        <f aca="false">Sens!$E$5341+dm_seg</f>
        <v>0.562004564381674</v>
      </c>
      <c r="G5341" s="7" t="n">
        <f aca="false">Sens!$E$5341+dm_seg</f>
        <v>0.562004564381674</v>
      </c>
      <c r="H5341" s="7" t="n">
        <f aca="false">Sens!$E$5341+dm_seg</f>
        <v>0.562004564381674</v>
      </c>
      <c r="I5341" s="7" t="n">
        <f aca="false">Sens!$E$5341+dm_seg</f>
        <v>0.562004564381674</v>
      </c>
      <c r="J5341" s="7" t="n">
        <f aca="false">Sens!$E$5341+dm_seg</f>
        <v>0.562004564381674</v>
      </c>
      <c r="K5341" s="7" t="n">
        <f aca="false">Sens!$E$5341+dm_seg</f>
        <v>0.562004564381674</v>
      </c>
      <c r="L5341" s="12" t="s">
        <v>1059</v>
      </c>
    </row>
    <row r="5342" customFormat="false" ht="17.15" hidden="false" customHeight="false" outlineLevel="0" collapsed="false">
      <c r="A5342" s="0" t="s">
        <v>880</v>
      </c>
      <c r="B5342" s="0" t="s">
        <v>98</v>
      </c>
      <c r="D5342" s="6" t="n">
        <f aca="false">Q!L21</f>
        <v>110.814</v>
      </c>
      <c r="E5342" s="6" t="n">
        <f aca="false">Q!M21</f>
        <v>136.365</v>
      </c>
      <c r="F5342" s="6" t="n">
        <f aca="false">Q!$I$21+(Sens!F5341*(Sens!F5312-Sens!F5275)+Sens!F5275-(Sens!F5277+Sens!F5278+Sens!F5279)-Sens!F5293-Sens!F5376)*(Sens!F5312-Q!$I$5)/Sens!F5312</f>
        <v>159.708100317364</v>
      </c>
      <c r="G5342" s="6" t="n">
        <f aca="false">(Sens!G5341*(Sens!G5312-Sens!G5275)+Sens!G5275-(Sens!G5277+Sens!G5278+Sens!G5279)-Sens!G5293-Sens!G5376)</f>
        <v>166.540494790561</v>
      </c>
      <c r="H5342" s="6" t="n">
        <f aca="false">(Sens!H5341*(Sens!H5312-Sens!H5275)+Sens!H5275-(Sens!H5277+Sens!H5278+Sens!H5279)-Sens!H5293-Sens!H5376)</f>
        <v>171.475266261125</v>
      </c>
      <c r="I5342" s="6" t="n">
        <f aca="false">(Sens!I5341*(Sens!I5312-Sens!I5275)+Sens!I5275-(Sens!I5277+Sens!I5278+Sens!I5279)-Sens!I5293-Sens!I5376)</f>
        <v>183.647541466477</v>
      </c>
      <c r="J5342" s="6" t="n">
        <f aca="false">(Sens!J5341*(Sens!J5312-Sens!J5275)+Sens!J5275-(Sens!J5277+Sens!J5278+Sens!J5279)-Sens!J5293-Sens!J5376)</f>
        <v>196.93534056867</v>
      </c>
      <c r="K5342" s="6" t="n">
        <f aca="false">(Sens!K5341*(Sens!K5312-Sens!K5275)+Sens!K5275-(Sens!K5277+Sens!K5278+Sens!K5279)-Sens!K5293-Sens!K5376)</f>
        <v>210.31213609546</v>
      </c>
      <c r="L5342" s="1" t="s">
        <v>1060</v>
      </c>
    </row>
    <row r="5343" customFormat="false" ht="17.15" hidden="false" customHeight="false" outlineLevel="0" collapsed="false">
      <c r="A5343" s="0" t="s">
        <v>1061</v>
      </c>
      <c r="B5343" s="0" t="s">
        <v>168</v>
      </c>
      <c r="E5343" s="7" t="n">
        <f aca="false">Q!M22/Q!M12</f>
        <v>0.296207935710698</v>
      </c>
      <c r="F5343" s="7" t="n">
        <f aca="false">Sens!$E$5343+dm_seg</f>
        <v>0.296207935710698</v>
      </c>
      <c r="G5343" s="7" t="n">
        <f aca="false">Sens!$E$5343+dm_seg</f>
        <v>0.296207935710698</v>
      </c>
      <c r="H5343" s="7" t="n">
        <f aca="false">Sens!$E$5343+dm_seg</f>
        <v>0.296207935710698</v>
      </c>
      <c r="I5343" s="7" t="n">
        <f aca="false">Sens!$E$5343+dm_seg</f>
        <v>0.296207935710698</v>
      </c>
      <c r="J5343" s="7" t="n">
        <f aca="false">Sens!$E$5343+dm_seg</f>
        <v>0.296207935710698</v>
      </c>
      <c r="K5343" s="7" t="n">
        <f aca="false">Sens!$E$5343+dm_seg</f>
        <v>0.296207935710698</v>
      </c>
      <c r="L5343" s="12" t="s">
        <v>1062</v>
      </c>
    </row>
    <row r="5344" customFormat="false" ht="17.15" hidden="false" customHeight="false" outlineLevel="0" collapsed="false">
      <c r="A5344" s="0" t="s">
        <v>882</v>
      </c>
      <c r="B5344" s="0" t="s">
        <v>98</v>
      </c>
      <c r="D5344" s="6" t="n">
        <f aca="false">Q!L22</f>
        <v>17.714</v>
      </c>
      <c r="E5344" s="6" t="n">
        <f aca="false">Q!M22</f>
        <v>18.872</v>
      </c>
      <c r="F5344" s="6" t="n">
        <f aca="false">Q!$I$22+(Sens!F5319-Q!$I$12)*Sens!F5343</f>
        <v>19.8174315512051</v>
      </c>
      <c r="G5344" s="6" t="n">
        <f aca="false">Sens!G5319*Sens!G5343</f>
        <v>19.6313799703815</v>
      </c>
      <c r="H5344" s="6" t="n">
        <f aca="false">Sens!H5319*Sens!H5343</f>
        <v>20.3536242825865</v>
      </c>
      <c r="I5344" s="6" t="n">
        <f aca="false">Sens!I5319*Sens!I5343</f>
        <v>21.1920899239745</v>
      </c>
      <c r="J5344" s="6" t="n">
        <f aca="false">Sens!J5319*Sens!J5343</f>
        <v>22.1288166207045</v>
      </c>
      <c r="K5344" s="6" t="n">
        <f aca="false">Sens!K5319*Sens!K5343</f>
        <v>23.1493653905379</v>
      </c>
      <c r="L5344" s="12" t="s">
        <v>1063</v>
      </c>
    </row>
    <row r="5345" customFormat="false" ht="15" hidden="false" customHeight="false" outlineLevel="0" collapsed="false">
      <c r="A5345" s="1" t="s">
        <v>1064</v>
      </c>
      <c r="B5345" s="0" t="s">
        <v>98</v>
      </c>
      <c r="D5345" s="6" t="n">
        <f aca="false">Sens!D5342+Sens!D5344</f>
        <v>128.528</v>
      </c>
      <c r="E5345" s="6" t="n">
        <f aca="false">Sens!E5342+Sens!E5344</f>
        <v>155.237</v>
      </c>
      <c r="F5345" s="6" t="n">
        <f aca="false">Sens!F5342+Sens!F5344</f>
        <v>179.525531868569</v>
      </c>
      <c r="G5345" s="6" t="n">
        <f aca="false">Sens!G5342+Sens!G5344</f>
        <v>186.171874760943</v>
      </c>
      <c r="H5345" s="6" t="n">
        <f aca="false">Sens!H5342+Sens!H5344</f>
        <v>191.828890543712</v>
      </c>
      <c r="I5345" s="6" t="n">
        <f aca="false">Sens!I5342+Sens!I5344</f>
        <v>204.839631390451</v>
      </c>
      <c r="J5345" s="6" t="n">
        <f aca="false">Sens!J5342+Sens!J5344</f>
        <v>219.064157189375</v>
      </c>
      <c r="K5345" s="6" t="n">
        <f aca="false">Sens!K5342+Sens!K5344</f>
        <v>233.461501485998</v>
      </c>
    </row>
    <row r="5346" customFormat="false" ht="15" hidden="false" customHeight="false" outlineLevel="0" collapsed="false">
      <c r="A5346" s="26" t="s">
        <v>1065</v>
      </c>
      <c r="B5346" s="31" t="s">
        <v>98</v>
      </c>
      <c r="C5346" s="31"/>
      <c r="D5346" s="27" t="n">
        <f aca="false">Sens!D5345-Q!L23</f>
        <v>0</v>
      </c>
      <c r="E5346" s="27" t="n">
        <f aca="false">Sens!E5345-Q!M23</f>
        <v>0</v>
      </c>
      <c r="F5346" s="31"/>
      <c r="G5346" s="31"/>
      <c r="H5346" s="31"/>
      <c r="I5346" s="31"/>
      <c r="J5346" s="31"/>
      <c r="K5346" s="31"/>
    </row>
    <row r="5347" customFormat="false" ht="15" hidden="false" customHeight="false" outlineLevel="0" collapsed="false">
      <c r="A5347" s="1" t="s">
        <v>1066</v>
      </c>
      <c r="B5347" s="0" t="s">
        <v>168</v>
      </c>
      <c r="D5347" s="7" t="n">
        <f aca="false">Sens!D5345/Sens!D5338</f>
        <v>0.456219562408598</v>
      </c>
      <c r="E5347" s="7" t="n">
        <f aca="false">Sens!E5345/Sens!E5338</f>
        <v>0.467808184089272</v>
      </c>
      <c r="F5347" s="7" t="n">
        <f aca="false">Sens!F5345/Sens!F5338</f>
        <v>0.455131282792983</v>
      </c>
      <c r="G5347" s="7" t="n">
        <f aca="false">Sens!G5345/Sens!G5338</f>
        <v>0.405662929578147</v>
      </c>
      <c r="H5347" s="7" t="n">
        <f aca="false">Sens!H5345/Sens!H5338</f>
        <v>0.369428683472328</v>
      </c>
      <c r="I5347" s="7" t="n">
        <f aca="false">Sens!I5345/Sens!I5338</f>
        <v>0.352293333693019</v>
      </c>
      <c r="J5347" s="7" t="n">
        <f aca="false">Sens!J5345/Sens!J5338</f>
        <v>0.345587620038579</v>
      </c>
      <c r="K5347" s="7" t="n">
        <f aca="false">Sens!K5345/Sens!K5338</f>
        <v>0.345477040503321</v>
      </c>
    </row>
    <row r="5348" customFormat="false" ht="17.15" hidden="false" customHeight="false" outlineLevel="0" collapsed="false">
      <c r="A5348" s="1" t="s">
        <v>1067</v>
      </c>
      <c r="B5348" s="0" t="s">
        <v>98</v>
      </c>
      <c r="F5348" s="6" t="n">
        <f aca="false">Sens!F5363</f>
        <v>10.6432809270546</v>
      </c>
      <c r="G5348" s="6" t="n">
        <f aca="false">Sens!G5363</f>
        <v>27.9185071635291</v>
      </c>
      <c r="H5348" s="6" t="n">
        <f aca="false">Sens!H5363</f>
        <v>46.666924349469</v>
      </c>
      <c r="I5348" s="6" t="n">
        <f aca="false">Sens!I5363</f>
        <v>62.945449083787</v>
      </c>
      <c r="J5348" s="6" t="n">
        <f aca="false">Sens!J5363</f>
        <v>74.3199932171889</v>
      </c>
      <c r="K5348" s="6" t="n">
        <f aca="false">Sens!K5363</f>
        <v>80.2980943480986</v>
      </c>
      <c r="L5348" s="1" t="s">
        <v>1068</v>
      </c>
    </row>
    <row r="5349" customFormat="false" ht="17.15" hidden="false" customHeight="false" outlineLevel="0" collapsed="false">
      <c r="A5349" s="1" t="s">
        <v>1069</v>
      </c>
      <c r="B5349" s="0" t="s">
        <v>98</v>
      </c>
      <c r="D5349" s="6" t="n">
        <f aca="false">Sens!D5345</f>
        <v>128.528</v>
      </c>
      <c r="E5349" s="6" t="n">
        <f aca="false">Sens!E5345</f>
        <v>155.237</v>
      </c>
      <c r="F5349" s="6" t="n">
        <f aca="false">Sens!F5345+Sens!F5348</f>
        <v>190.168812795624</v>
      </c>
      <c r="G5349" s="6" t="n">
        <f aca="false">Sens!G5345+Sens!G5348</f>
        <v>214.090381924472</v>
      </c>
      <c r="H5349" s="6" t="n">
        <f aca="false">Sens!H5345+Sens!H5348</f>
        <v>238.495814893181</v>
      </c>
      <c r="I5349" s="6" t="n">
        <f aca="false">Sens!I5345+Sens!I5348</f>
        <v>267.785080474238</v>
      </c>
      <c r="J5349" s="6" t="n">
        <f aca="false">Sens!J5345+Sens!J5348</f>
        <v>293.384150406564</v>
      </c>
      <c r="K5349" s="6" t="n">
        <f aca="false">Sens!K5345+Sens!K5348</f>
        <v>313.759595834097</v>
      </c>
    </row>
    <row r="5350" customFormat="false" ht="17.15" hidden="false" customHeight="false" outlineLevel="0" collapsed="false">
      <c r="A5350" s="1" t="s">
        <v>1070</v>
      </c>
      <c r="B5350" s="0" t="s">
        <v>98</v>
      </c>
      <c r="E5350" s="6" t="n">
        <f aca="false">Sens!E5293</f>
        <v>14.1538947660714</v>
      </c>
      <c r="F5350" s="6" t="n">
        <f aca="false">Sens!F5293</f>
        <v>29.9978166232907</v>
      </c>
      <c r="G5350" s="6" t="n">
        <f aca="false">Sens!G5293</f>
        <v>52.6539689846527</v>
      </c>
      <c r="H5350" s="6" t="n">
        <f aca="false">Sens!H5293</f>
        <v>77.2140918476141</v>
      </c>
      <c r="I5350" s="6" t="n">
        <f aca="false">Sens!I5293</f>
        <v>98.4922948062968</v>
      </c>
      <c r="J5350" s="6" t="n">
        <f aca="false">Sens!J5293</f>
        <v>113.162027076484</v>
      </c>
      <c r="K5350" s="6" t="n">
        <f aca="false">Sens!K5293</f>
        <v>121.714210701983</v>
      </c>
    </row>
    <row r="5351" customFormat="false" ht="17.15" hidden="false" customHeight="false" outlineLevel="0" collapsed="false">
      <c r="A5351" s="1" t="s">
        <v>1071</v>
      </c>
      <c r="B5351" s="0" t="s">
        <v>98</v>
      </c>
      <c r="E5351" s="6" t="n">
        <f aca="false">Sens!E5375</f>
        <v>24.3801052339286</v>
      </c>
      <c r="F5351" s="6" t="n">
        <f aca="false">Sens!F5375</f>
        <v>25.5247006178659</v>
      </c>
      <c r="G5351" s="6" t="n">
        <f aca="false">Sens!G5375</f>
        <v>27.0903327901666</v>
      </c>
      <c r="H5351" s="6" t="n">
        <f aca="false">Sens!H5375</f>
        <v>29.0435451561402</v>
      </c>
      <c r="I5351" s="6" t="n">
        <f aca="false">Sens!I5375</f>
        <v>31.3256193038047</v>
      </c>
      <c r="J5351" s="6" t="n">
        <f aca="false">Sens!J5375</f>
        <v>33.8599606204465</v>
      </c>
      <c r="K5351" s="6" t="n">
        <f aca="false">Sens!K5375</f>
        <v>36.5605992132394</v>
      </c>
    </row>
    <row r="5352" customFormat="false" ht="17.15" hidden="false" customHeight="false" outlineLevel="0" collapsed="false">
      <c r="A5352" s="1" t="s">
        <v>1072</v>
      </c>
      <c r="B5352" s="0" t="s">
        <v>98</v>
      </c>
      <c r="D5352" s="6" t="n">
        <f aca="false">Q!L27</f>
        <v>-4.901</v>
      </c>
      <c r="E5352" s="6" t="n">
        <f aca="false">Q!M27</f>
        <v>10.697</v>
      </c>
      <c r="F5352" s="6" t="n">
        <f aca="false">Q!$I$27+oie_f*(q_per_yr-1)/q_per_yr</f>
        <v>-0.862</v>
      </c>
      <c r="G5352" s="6" t="n">
        <f aca="false">oie_f</f>
        <v>-1.2</v>
      </c>
      <c r="H5352" s="6" t="n">
        <f aca="false">oie_f</f>
        <v>-1.2</v>
      </c>
      <c r="I5352" s="6" t="n">
        <f aca="false">oie_f</f>
        <v>-1.2</v>
      </c>
      <c r="J5352" s="6" t="n">
        <f aca="false">oie_f</f>
        <v>-1.2</v>
      </c>
      <c r="K5352" s="6" t="n">
        <f aca="false">oie_f</f>
        <v>-1.2</v>
      </c>
      <c r="L5352" s="12" t="s">
        <v>1073</v>
      </c>
    </row>
    <row r="5353" customFormat="false" ht="15" hidden="false" customHeight="false" outlineLevel="0" collapsed="false">
      <c r="A5353" s="1" t="s">
        <v>1074</v>
      </c>
      <c r="B5353" s="0" t="s">
        <v>98</v>
      </c>
      <c r="D5353" s="6" t="n">
        <f aca="false">Sens!D5345+Sens!D5352</f>
        <v>123.627</v>
      </c>
      <c r="E5353" s="6" t="n">
        <f aca="false">Sens!E5345+Sens!E5352</f>
        <v>165.934</v>
      </c>
      <c r="F5353" s="6" t="n">
        <f aca="false">Sens!F5345+Sens!F5352</f>
        <v>178.663531868569</v>
      </c>
      <c r="G5353" s="6" t="n">
        <f aca="false">Sens!G5345+Sens!G5352</f>
        <v>184.971874760943</v>
      </c>
      <c r="H5353" s="6" t="n">
        <f aca="false">Sens!H5345+Sens!H5352</f>
        <v>190.628890543712</v>
      </c>
      <c r="I5353" s="6" t="n">
        <f aca="false">Sens!I5345+Sens!I5352</f>
        <v>203.639631390451</v>
      </c>
      <c r="J5353" s="6" t="n">
        <f aca="false">Sens!J5345+Sens!J5352</f>
        <v>217.864157189375</v>
      </c>
      <c r="K5353" s="6" t="n">
        <f aca="false">Sens!K5345+Sens!K5352</f>
        <v>232.261501485998</v>
      </c>
    </row>
    <row r="5354" customFormat="false" ht="15" hidden="false" customHeight="false" outlineLevel="0" collapsed="false">
      <c r="A5354" s="1" t="s">
        <v>1075</v>
      </c>
      <c r="B5354" s="0" t="s">
        <v>98</v>
      </c>
      <c r="D5354" s="6" t="n">
        <f aca="false">Q!L29</f>
        <v>21.795</v>
      </c>
      <c r="E5354" s="6" t="n">
        <f aca="false">Q!M29</f>
        <v>32.185</v>
      </c>
      <c r="F5354" s="6" t="n">
        <f aca="false">Q!$I$29+(Sens!F5353-Q!$I$28)*tax_f</f>
        <v>35.8661063737138</v>
      </c>
      <c r="G5354" s="6" t="n">
        <f aca="false">Sens!G5353*tax_f</f>
        <v>36.9943749521885</v>
      </c>
      <c r="H5354" s="6" t="n">
        <f aca="false">Sens!H5353*tax_f</f>
        <v>38.1257781087423</v>
      </c>
      <c r="I5354" s="6" t="n">
        <f aca="false">Sens!I5353*tax_f</f>
        <v>40.7279262780903</v>
      </c>
      <c r="J5354" s="6" t="n">
        <f aca="false">Sens!J5353*tax_f</f>
        <v>43.572831437875</v>
      </c>
      <c r="K5354" s="6" t="n">
        <f aca="false">Sens!K5353*tax_f</f>
        <v>46.4523002971996</v>
      </c>
    </row>
    <row r="5355" customFormat="false" ht="15" hidden="false" customHeight="false" outlineLevel="0" collapsed="false">
      <c r="A5355" s="1" t="s">
        <v>1076</v>
      </c>
      <c r="B5355" s="0" t="s">
        <v>98</v>
      </c>
      <c r="D5355" s="6" t="n">
        <f aca="false">Sens!D5353-Sens!D5354</f>
        <v>101.832</v>
      </c>
      <c r="E5355" s="6" t="n">
        <f aca="false">Sens!E5353-Sens!E5354</f>
        <v>133.749</v>
      </c>
      <c r="F5355" s="6" t="n">
        <f aca="false">Sens!F5353-Sens!F5354</f>
        <v>142.797425494855</v>
      </c>
      <c r="G5355" s="6" t="n">
        <f aca="false">Sens!G5353-Sens!G5354</f>
        <v>147.977499808754</v>
      </c>
      <c r="H5355" s="6" t="n">
        <f aca="false">Sens!H5353-Sens!H5354</f>
        <v>152.503112434969</v>
      </c>
      <c r="I5355" s="6" t="n">
        <f aca="false">Sens!I5353-Sens!I5354</f>
        <v>162.911705112361</v>
      </c>
      <c r="J5355" s="6" t="n">
        <f aca="false">Sens!J5353-Sens!J5354</f>
        <v>174.2913257515</v>
      </c>
      <c r="K5355" s="6" t="n">
        <f aca="false">Sens!K5353-Sens!K5354</f>
        <v>185.809201188798</v>
      </c>
    </row>
    <row r="5356" customFormat="false" ht="17.15" hidden="false" customHeight="false" outlineLevel="0" collapsed="false">
      <c r="A5356" s="1" t="s">
        <v>1077</v>
      </c>
      <c r="B5356" s="1" t="s">
        <v>81</v>
      </c>
      <c r="D5356" s="15" t="n">
        <f aca="false">Q!L31</f>
        <v>7.465</v>
      </c>
      <c r="E5356" s="15" t="n">
        <f aca="false">Q!M31</f>
        <v>7.453</v>
      </c>
      <c r="F5356" s="15" t="n">
        <f aca="false">Sens!F5400</f>
        <v>7.4735</v>
      </c>
      <c r="G5356" s="15" t="n">
        <f aca="false">Sens!G5400</f>
        <v>7.5185</v>
      </c>
      <c r="H5356" s="15" t="n">
        <f aca="false">Sens!H5400</f>
        <v>7.5635</v>
      </c>
      <c r="I5356" s="15" t="n">
        <f aca="false">Sens!I5400</f>
        <v>7.59248142502667</v>
      </c>
      <c r="J5356" s="15" t="n">
        <f aca="false">Sens!J5400</f>
        <v>7.60663083618914</v>
      </c>
      <c r="K5356" s="15" t="n">
        <f aca="false">Sens!K5400</f>
        <v>7.62306547615439</v>
      </c>
    </row>
    <row r="5357" customFormat="false" ht="17.15" hidden="false" customHeight="false" outlineLevel="0" collapsed="false">
      <c r="A5357" s="0" t="s">
        <v>1078</v>
      </c>
      <c r="B5357" s="0" t="s">
        <v>75</v>
      </c>
      <c r="D5357" s="8" t="n">
        <f aca="false">Sens!D5355/Sens!D5356</f>
        <v>13.641259209645</v>
      </c>
      <c r="E5357" s="8" t="n">
        <f aca="false">Sens!E5355/Sens!E5356</f>
        <v>17.9456594659869</v>
      </c>
      <c r="F5357" s="8" t="n">
        <f aca="false">Sens!F5355/Sens!F5356</f>
        <v>19.1071687288225</v>
      </c>
      <c r="G5357" s="8" t="n">
        <f aca="false">Sens!G5355/Sens!G5356</f>
        <v>19.681784905068</v>
      </c>
      <c r="H5357" s="8" t="n">
        <f aca="false">Sens!H5355/Sens!H5356</f>
        <v>20.1630346314496</v>
      </c>
      <c r="I5357" s="8" t="n">
        <f aca="false">Sens!I5355/Sens!I5356</f>
        <v>21.4569777642609</v>
      </c>
      <c r="J5357" s="8" t="n">
        <f aca="false">Sens!J5355/Sens!J5356</f>
        <v>22.9130780111341</v>
      </c>
      <c r="K5357" s="8" t="n">
        <f aca="false">Sens!K5355/Sens!K5356</f>
        <v>24.3746038611403</v>
      </c>
      <c r="L5357" s="1" t="s">
        <v>1079</v>
      </c>
    </row>
    <row r="5358" customFormat="false" ht="17.15" hidden="false" customHeight="false" outlineLevel="0" collapsed="false">
      <c r="A5358" s="1" t="s">
        <v>1080</v>
      </c>
      <c r="B5358" s="0" t="s">
        <v>98</v>
      </c>
      <c r="D5358" s="6" t="n">
        <f aca="false">Sens!D5355</f>
        <v>101.832</v>
      </c>
      <c r="E5358" s="6" t="n">
        <f aca="false">Sens!E5355</f>
        <v>133.749</v>
      </c>
      <c r="F5358" s="6" t="n">
        <f aca="false">Sens!F5355+Sens!F5348*(1-tax_f)</f>
        <v>151.312050236499</v>
      </c>
      <c r="G5358" s="6" t="n">
        <f aca="false">Sens!G5355+Sens!G5348*(1-tax_f)</f>
        <v>170.312305539577</v>
      </c>
      <c r="H5358" s="6" t="n">
        <f aca="false">Sens!H5355+Sens!H5348*(1-tax_f)</f>
        <v>189.836651914544</v>
      </c>
      <c r="I5358" s="6" t="n">
        <f aca="false">Sens!I5355+Sens!I5348*(1-tax_f)</f>
        <v>213.268064379391</v>
      </c>
      <c r="J5358" s="6" t="n">
        <f aca="false">Sens!J5355+Sens!J5348*(1-tax_f)</f>
        <v>233.747320325251</v>
      </c>
      <c r="K5358" s="6" t="n">
        <f aca="false">Sens!K5355+Sens!K5348*(1-tax_f)</f>
        <v>250.047676667277</v>
      </c>
    </row>
    <row r="5359" customFormat="false" ht="17.15" hidden="false" customHeight="false" outlineLevel="0" collapsed="false">
      <c r="A5359" s="0" t="s">
        <v>1081</v>
      </c>
      <c r="B5359" s="0" t="s">
        <v>75</v>
      </c>
      <c r="D5359" s="8" t="n">
        <f aca="false">Sens!D5358/Sens!D5356</f>
        <v>13.641259209645</v>
      </c>
      <c r="E5359" s="8" t="n">
        <f aca="false">Sens!E5358/Sens!E5356</f>
        <v>17.9456594659869</v>
      </c>
      <c r="F5359" s="8" t="n">
        <f aca="false">Sens!F5358/Sens!F5356</f>
        <v>20.2464775856692</v>
      </c>
      <c r="G5359" s="8" t="n">
        <f aca="false">Sens!G5358/Sens!G5356</f>
        <v>22.6524314078044</v>
      </c>
      <c r="H5359" s="8" t="n">
        <f aca="false">Sens!H5358/Sens!H5356</f>
        <v>25.0990483128901</v>
      </c>
      <c r="I5359" s="8" t="n">
        <f aca="false">Sens!I5358/Sens!I5356</f>
        <v>28.0893758496935</v>
      </c>
      <c r="J5359" s="8" t="n">
        <f aca="false">Sens!J5358/Sens!J5356</f>
        <v>30.7294156058133</v>
      </c>
      <c r="K5359" s="8" t="n">
        <f aca="false">Sens!K5358/Sens!K5356</f>
        <v>32.801459917857</v>
      </c>
      <c r="L5359" s="1" t="s">
        <v>1082</v>
      </c>
    </row>
    <row r="5360" customFormat="false" ht="17.15" hidden="false" customHeight="false" outlineLevel="0" collapsed="false">
      <c r="A5360" s="0" t="s">
        <v>1083</v>
      </c>
      <c r="B5360" s="0" t="s">
        <v>168</v>
      </c>
      <c r="E5360" s="7" t="n">
        <f aca="false">Sens!E5359/Sens!D5359-1</f>
        <v>0.315542736208578</v>
      </c>
      <c r="F5360" s="7" t="n">
        <f aca="false">Sens!F5359/Sens!E5359-1</f>
        <v>0.128210285280582</v>
      </c>
      <c r="G5360" s="7" t="n">
        <f aca="false">Sens!G5359/Sens!F5359-1</f>
        <v>0.118833205033066</v>
      </c>
      <c r="H5360" s="7" t="n">
        <f aca="false">Sens!H5359/Sens!G5359-1</f>
        <v>0.108006812206604</v>
      </c>
      <c r="I5360" s="7" t="n">
        <f aca="false">Sens!I5359/Sens!H5359-1</f>
        <v>0.119141072582727</v>
      </c>
      <c r="J5360" s="7" t="n">
        <f aca="false">Sens!J5359/Sens!I5359-1</f>
        <v>0.0939871277399196</v>
      </c>
      <c r="K5360" s="7" t="n">
        <f aca="false">Sens!K5359/Sens!J5359-1</f>
        <v>0.0674286923846248</v>
      </c>
    </row>
    <row r="5361" customFormat="false" ht="17.15" hidden="false" customHeight="false" outlineLevel="0" collapsed="false">
      <c r="A5361" s="0" t="s">
        <v>1003</v>
      </c>
      <c r="B5361" s="0" t="s">
        <v>98</v>
      </c>
      <c r="E5361" s="6" t="n">
        <f aca="false">Sens!E5302</f>
        <v>5.25</v>
      </c>
      <c r="F5361" s="6" t="n">
        <f aca="false">Sens!F5302</f>
        <v>10.5</v>
      </c>
      <c r="G5361" s="6" t="n">
        <f aca="false">Sens!G5302</f>
        <v>13.5</v>
      </c>
      <c r="H5361" s="6" t="n">
        <f aca="false">Sens!H5302</f>
        <v>16.5</v>
      </c>
      <c r="I5361" s="6" t="n">
        <f aca="false">Sens!I5302</f>
        <v>18.75</v>
      </c>
      <c r="J5361" s="6" t="n">
        <f aca="false">Sens!J5302</f>
        <v>20.25</v>
      </c>
      <c r="K5361" s="6" t="n">
        <f aca="false">Sens!K5302</f>
        <v>21.75</v>
      </c>
    </row>
    <row r="5362" customFormat="false" ht="17.15" hidden="false" customHeight="false" outlineLevel="0" collapsed="false">
      <c r="A5362" s="1" t="s">
        <v>1004</v>
      </c>
      <c r="B5362" s="0" t="s">
        <v>98</v>
      </c>
      <c r="F5362" s="6" t="n">
        <f aca="false">MAX(0,((Sens!E5262+Sens!F5262)/2-(shadow_base*(Sens!$D$5262+Sens!$E$5262)/2+(1-shadow_base)*Sens!$E$5262))*Sens!F5271/1000-(Sens!F5361-Sens!$E$5361)*Sens!F5341)</f>
        <v>10.6432809270546</v>
      </c>
      <c r="G5362" s="6" t="n">
        <f aca="false">MAX(0,((Sens!F5262+Sens!G5262)/2-(shadow_base*(Sens!$D$5262+Sens!$E$5262)/2+(1-shadow_base)*Sens!$E$5262))*Sens!G5271/1000-(Sens!G5361-Sens!$E$5361)*Sens!G5341)</f>
        <v>27.9185071635291</v>
      </c>
      <c r="H5362" s="6" t="n">
        <f aca="false">MAX(0,((Sens!G5262+Sens!H5262)/2-(shadow_base*(Sens!$D$5262+Sens!$E$5262)/2+(1-shadow_base)*Sens!$E$5262))*Sens!H5271/1000-(Sens!H5361-Sens!$E$5361)*Sens!H5341)</f>
        <v>46.666924349469</v>
      </c>
      <c r="I5362" s="6" t="n">
        <f aca="false">MAX(0,((Sens!H5262+Sens!I5262)/2-(shadow_base*(Sens!$D$5262+Sens!$E$5262)/2+(1-shadow_base)*Sens!$E$5262))*Sens!I5271/1000-(Sens!I5361-Sens!$E$5361)*Sens!I5341)</f>
        <v>62.945449083787</v>
      </c>
      <c r="J5362" s="6" t="n">
        <f aca="false">MAX(0,((Sens!I5262+Sens!J5262)/2-(shadow_base*(Sens!$D$5262+Sens!$E$5262)/2+(1-shadow_base)*Sens!$E$5262))*Sens!J5271/1000-(Sens!J5361-Sens!$E$5361)*Sens!J5341)</f>
        <v>74.3199932171889</v>
      </c>
      <c r="K5362" s="6" t="n">
        <f aca="false">MAX(0,((Sens!J5262+Sens!K5262)/2-(shadow_base*(Sens!$D$5262+Sens!$E$5262)/2+(1-shadow_base)*Sens!$E$5262))*Sens!K5271/1000-(Sens!K5361-Sens!$E$5361)*Sens!K5341)</f>
        <v>80.2980943480986</v>
      </c>
      <c r="L5362" s="1" t="s">
        <v>1005</v>
      </c>
    </row>
    <row r="5363" customFormat="false" ht="17.15" hidden="false" customHeight="false" outlineLevel="0" collapsed="false">
      <c r="A5363" s="1" t="s">
        <v>1006</v>
      </c>
      <c r="B5363" s="0" t="s">
        <v>98</v>
      </c>
      <c r="F5363" s="6" t="n">
        <f aca="false">IF(internal_ai_reading=2,1,0)*Sens!F5362</f>
        <v>10.6432809270546</v>
      </c>
      <c r="G5363" s="6" t="n">
        <f aca="false">IF(internal_ai_reading=2,1,0)*Sens!G5362</f>
        <v>27.9185071635291</v>
      </c>
      <c r="H5363" s="6" t="n">
        <f aca="false">IF(internal_ai_reading=2,1,0)*Sens!H5362</f>
        <v>46.666924349469</v>
      </c>
      <c r="I5363" s="6" t="n">
        <f aca="false">IF(internal_ai_reading=2,1,0)*Sens!I5362</f>
        <v>62.945449083787</v>
      </c>
      <c r="J5363" s="6" t="n">
        <f aca="false">IF(internal_ai_reading=2,1,0)*Sens!J5362</f>
        <v>74.3199932171889</v>
      </c>
      <c r="K5363" s="6" t="n">
        <f aca="false">IF(internal_ai_reading=2,1,0)*Sens!K5362</f>
        <v>80.2980943480986</v>
      </c>
    </row>
    <row r="5364" customFormat="false" ht="17.15" hidden="false" customHeight="false" outlineLevel="0" collapsed="false">
      <c r="A5364" s="0" t="s">
        <v>1007</v>
      </c>
      <c r="B5364" s="0" t="s">
        <v>98</v>
      </c>
      <c r="F5364" s="6" t="n">
        <f aca="false">Sens!F5281+Sens!F5361*Sens!F5341+Sens!F5363-Sens!F5282-Sens!F5293</f>
        <v>14.9198764113155</v>
      </c>
      <c r="G5364" s="6" t="n">
        <f aca="false">Sens!G5281+Sens!G5361*Sens!G5341+Sens!G5363-Sens!G5282-Sens!G5293</f>
        <v>24.4724508491131</v>
      </c>
      <c r="H5364" s="6" t="n">
        <f aca="false">Sens!H5281+Sens!H5361*Sens!H5341+Sens!H5363-Sens!H5282-Sens!H5293</f>
        <v>28.9744129935972</v>
      </c>
      <c r="I5364" s="6" t="n">
        <f aca="false">Sens!I5281+Sens!I5361*Sens!I5341+Sens!I5363-Sens!I5282-Sens!I5293</f>
        <v>38.7307188345401</v>
      </c>
      <c r="J5364" s="6" t="n">
        <f aca="false">Sens!J5281+Sens!J5361*Sens!J5341+Sens!J5363-Sens!J5282-Sens!J5293</f>
        <v>45.9377720768372</v>
      </c>
      <c r="K5364" s="6" t="n">
        <f aca="false">Sens!K5281+Sens!K5361*Sens!K5341+Sens!K5363-Sens!K5282-Sens!K5293</f>
        <v>49.8550104100367</v>
      </c>
    </row>
    <row r="5365" customFormat="false" ht="17.15" hidden="false" customHeight="false" outlineLevel="0" collapsed="false">
      <c r="A5365" s="0" t="s">
        <v>1008</v>
      </c>
      <c r="B5365" s="0" t="s">
        <v>98</v>
      </c>
      <c r="E5365" s="6" t="n">
        <f aca="false">Sens!E5261*(cxit_open+self_build*tk_cxfac)/1000*ai_net_open</f>
        <v>126.6980382</v>
      </c>
      <c r="F5365" s="6" t="n">
        <f aca="false">Sens!E5365+Sens!F5290-Sens!F5293</f>
        <v>265.154125618829</v>
      </c>
      <c r="G5365" s="6" t="n">
        <f aca="false">Sens!F5365+Sens!G5290-Sens!G5293</f>
        <v>404.444632283224</v>
      </c>
      <c r="H5365" s="6" t="n">
        <f aca="false">Sens!G5365+Sens!H5290-Sens!H5293</f>
        <v>524.036544500123</v>
      </c>
      <c r="I5365" s="6" t="n">
        <f aca="false">Sens!H5365+Sens!I5290-Sens!I5293</f>
        <v>564.998338555436</v>
      </c>
      <c r="J5365" s="6" t="n">
        <f aca="false">Sens!I5365+Sens!J5290-Sens!J5293</f>
        <v>565.888311674893</v>
      </c>
      <c r="K5365" s="6" t="n">
        <f aca="false">Sens!J5365+Sens!K5290-Sens!K5293</f>
        <v>519.693395517643</v>
      </c>
      <c r="L5365" s="1" t="s">
        <v>1009</v>
      </c>
    </row>
    <row r="5366" customFormat="false" ht="17.15" hidden="false" customHeight="false" outlineLevel="0" collapsed="false">
      <c r="A5366" s="0" t="s">
        <v>1010</v>
      </c>
      <c r="B5366" s="0" t="s">
        <v>168</v>
      </c>
      <c r="F5366" s="7" t="n">
        <f aca="false">Sens!F5364*(1-tax_f)/((Sens!E5365+Sens!F5365)/2)</f>
        <v>0.0609204298515543</v>
      </c>
      <c r="G5366" s="7" t="n">
        <f aca="false">Sens!G5364*(1-tax_f)/((Sens!F5365+Sens!G5365)/2)</f>
        <v>0.0584766935369801</v>
      </c>
      <c r="H5366" s="7" t="n">
        <f aca="false">Sens!H5364*(1-tax_f)/((Sens!G5365+Sens!H5365)/2)</f>
        <v>0.04992999529658</v>
      </c>
      <c r="I5366" s="7" t="n">
        <f aca="false">Sens!I5364*(1-tax_f)/((Sens!H5365+Sens!I5365)/2)</f>
        <v>0.0569028146843141</v>
      </c>
      <c r="J5366" s="7" t="n">
        <f aca="false">Sens!J5364*(1-tax_f)/((Sens!I5365+Sens!J5365)/2)</f>
        <v>0.0649936360182249</v>
      </c>
      <c r="K5366" s="7" t="n">
        <f aca="false">Sens!K5364*(1-tax_f)/((Sens!J5365+Sens!K5365)/2)</f>
        <v>0.073479514372391</v>
      </c>
    </row>
    <row r="5367" customFormat="false" ht="17.15" hidden="false" customHeight="false" outlineLevel="0" collapsed="false">
      <c r="A5367" s="1" t="s">
        <v>1011</v>
      </c>
      <c r="B5367" s="0" t="s">
        <v>168</v>
      </c>
      <c r="F5367" s="7" t="n">
        <f aca="false">(Sens!F5364-Sens!F5363)*(1-tax_f)/((Sens!E5365+Sens!F5365)/2)</f>
        <v>0.0174620773001039</v>
      </c>
      <c r="G5367" s="7" t="n">
        <f aca="false">(Sens!G5364-Sens!G5363)*(1-tax_f)/((Sens!F5365+Sens!G5365)/2)</f>
        <v>-0.00823431949058702</v>
      </c>
      <c r="H5367" s="7" t="n">
        <f aca="false">(Sens!H5364-Sens!H5363)*(1-tax_f)/((Sens!G5365+Sens!H5365)/2)</f>
        <v>-0.0304885213370354</v>
      </c>
      <c r="I5367" s="7" t="n">
        <f aca="false">(Sens!I5364-Sens!I5363)*(1-tax_f)/((Sens!H5365+Sens!I5365)/2)</f>
        <v>-0.0355760582159594</v>
      </c>
      <c r="J5367" s="7" t="n">
        <f aca="false">(Sens!J5364-Sens!J5363)*(1-tax_f)/((Sens!I5365+Sens!J5365)/2)</f>
        <v>-0.0401557077495907</v>
      </c>
      <c r="K5367" s="7" t="n">
        <f aca="false">(Sens!K5364-Sens!K5363)*(1-tax_f)/((Sens!J5365+Sens!K5365)/2)</f>
        <v>-0.0448689711499166</v>
      </c>
    </row>
    <row r="5368" customFormat="false" ht="17.15" hidden="false" customHeight="false" outlineLevel="0" collapsed="false">
      <c r="A5368" s="1" t="s">
        <v>1012</v>
      </c>
      <c r="B5368" s="0" t="s">
        <v>168</v>
      </c>
      <c r="F5368" s="7" t="n">
        <f aca="false">(Sens!F5364-Sens!F5363+Sens!F5362)*(1-tax_f)/((Sens!E5365+Sens!F5365)/2)</f>
        <v>0.0609204298515543</v>
      </c>
      <c r="G5368" s="7" t="n">
        <f aca="false">(Sens!G5364-Sens!G5363+Sens!G5362)*(1-tax_f)/((Sens!F5365+Sens!G5365)/2)</f>
        <v>0.0584766935369801</v>
      </c>
      <c r="H5368" s="7" t="n">
        <f aca="false">(Sens!H5364-Sens!H5363+Sens!H5362)*(1-tax_f)/((Sens!G5365+Sens!H5365)/2)</f>
        <v>0.04992999529658</v>
      </c>
      <c r="I5368" s="7" t="n">
        <f aca="false">(Sens!I5364-Sens!I5363+Sens!I5362)*(1-tax_f)/((Sens!H5365+Sens!I5365)/2)</f>
        <v>0.0569028146843141</v>
      </c>
      <c r="J5368" s="7" t="n">
        <f aca="false">(Sens!J5364-Sens!J5363+Sens!J5362)*(1-tax_f)/((Sens!I5365+Sens!J5365)/2)</f>
        <v>0.0649936360182249</v>
      </c>
      <c r="K5368" s="7" t="n">
        <f aca="false">(Sens!K5364-Sens!K5363+Sens!K5362)*(1-tax_f)/((Sens!J5365+Sens!K5365)/2)</f>
        <v>0.073479514372391</v>
      </c>
    </row>
    <row r="5369" customFormat="false" ht="17.15" hidden="false" customHeight="false" outlineLevel="0" collapsed="false">
      <c r="A5369" s="1" t="s">
        <v>1013</v>
      </c>
      <c r="B5369" s="0" t="s">
        <v>168</v>
      </c>
      <c r="F5369" s="7" t="n">
        <f aca="false">Sens!F5294*(1-tax_f)/(Sens!F5280*(Sens!E5365+Sens!F5365)/2)</f>
        <v>0.1163434164724</v>
      </c>
      <c r="G5369" s="7" t="n">
        <f aca="false">Sens!G5294*(1-tax_f)/(Sens!G5280*(Sens!F5365+Sens!G5365)/2)</f>
        <v>0.0851001605694211</v>
      </c>
      <c r="H5369" s="7" t="n">
        <f aca="false">Sens!H5294*(1-tax_f)/(Sens!H5280*(Sens!G5365+Sens!H5365)/2)</f>
        <v>0.0577635179652832</v>
      </c>
      <c r="I5369" s="7" t="n">
        <f aca="false">Sens!I5294*(1-tax_f)/(Sens!I5280*(Sens!H5365+Sens!I5365)/2)</f>
        <v>0.0611610300291811</v>
      </c>
      <c r="J5369" s="7" t="n">
        <f aca="false">Sens!J5294*(1-tax_f)/(Sens!J5280*(Sens!I5365+Sens!J5365)/2)</f>
        <v>0.0675803750620862</v>
      </c>
      <c r="K5369" s="7" t="n">
        <f aca="false">Sens!K5294*(1-tax_f)/(Sens!K5280*(Sens!J5365+Sens!K5365)/2)</f>
        <v>0.0754183518052703</v>
      </c>
    </row>
    <row r="5370" customFormat="false" ht="17.15" hidden="false" customHeight="false" outlineLevel="0" collapsed="false">
      <c r="A5370" s="0" t="s">
        <v>1014</v>
      </c>
      <c r="B5370" s="0" t="s">
        <v>253</v>
      </c>
      <c r="F5370" s="7" t="n">
        <f aca="false">Sens!F5366-wacc</f>
        <v>-0.0420161610940429</v>
      </c>
      <c r="G5370" s="7" t="n">
        <f aca="false">Sens!G5366-wacc</f>
        <v>-0.0444598974086172</v>
      </c>
      <c r="H5370" s="7" t="n">
        <f aca="false">Sens!H5366-wacc</f>
        <v>-0.0530065956490173</v>
      </c>
      <c r="I5370" s="7" t="n">
        <f aca="false">Sens!I5366-wacc</f>
        <v>-0.0460337762612832</v>
      </c>
      <c r="J5370" s="7" t="n">
        <f aca="false">Sens!J5366-wacc</f>
        <v>-0.0379429549273724</v>
      </c>
      <c r="K5370" s="7" t="n">
        <f aca="false">Sens!K5366-wacc</f>
        <v>-0.0294570765732063</v>
      </c>
    </row>
    <row r="5371" customFormat="false" ht="17.15" hidden="false" customHeight="false" outlineLevel="0" collapsed="false">
      <c r="A5371" s="0" t="s">
        <v>1015</v>
      </c>
      <c r="B5371" s="0" t="s">
        <v>98</v>
      </c>
      <c r="F5371" s="6" t="n">
        <f aca="false">Sens!F5364*(1-tax_f)-wacc*(Sens!E5365+Sens!F5365)/2</f>
        <v>-8.23206182003061</v>
      </c>
      <c r="G5371" s="6" t="n">
        <f aca="false">Sens!G5364*(1-tax_f)-wacc*(Sens!F5365+Sens!G5365)/2</f>
        <v>-14.8851460406314</v>
      </c>
      <c r="H5371" s="6" t="n">
        <f aca="false">Sens!H5364*(1-tax_f)-wacc*(Sens!G5365+Sens!H5365)/2</f>
        <v>-24.6078131527393</v>
      </c>
      <c r="I5371" s="6" t="n">
        <f aca="false">Sens!I5364*(1-tax_f)-wacc*(Sens!H5365+Sens!I5365)/2</f>
        <v>-25.0661940736562</v>
      </c>
      <c r="J5371" s="6" t="n">
        <f aca="false">Sens!J5364*(1-tax_f)-wacc*(Sens!I5365+Sens!J5365)/2</f>
        <v>-21.4545905988283</v>
      </c>
      <c r="K5371" s="6" t="n">
        <f aca="false">Sens!K5364*(1-tax_f)-wacc*(Sens!J5365+Sens!K5365)/2</f>
        <v>-15.9890317376213</v>
      </c>
    </row>
    <row r="5372" customFormat="false" ht="17.15" hidden="false" customHeight="false" outlineLevel="0" collapsed="false">
      <c r="A5372" s="3" t="s">
        <v>1613</v>
      </c>
    </row>
    <row r="5373" customFormat="false" ht="15" hidden="false" customHeight="false" outlineLevel="0" collapsed="false">
      <c r="A5373" s="4" t="s">
        <v>43</v>
      </c>
      <c r="B5373" s="4" t="s">
        <v>65</v>
      </c>
      <c r="C5373" s="23" t="s">
        <v>938</v>
      </c>
      <c r="D5373" s="23" t="s">
        <v>939</v>
      </c>
      <c r="E5373" s="23" t="s">
        <v>940</v>
      </c>
      <c r="F5373" s="23" t="s">
        <v>941</v>
      </c>
      <c r="G5373" s="23" t="s">
        <v>942</v>
      </c>
      <c r="H5373" s="23" t="s">
        <v>943</v>
      </c>
      <c r="I5373" s="23" t="s">
        <v>944</v>
      </c>
      <c r="J5373" s="23" t="s">
        <v>945</v>
      </c>
      <c r="K5373" s="23" t="s">
        <v>946</v>
      </c>
      <c r="L5373" s="4" t="s">
        <v>47</v>
      </c>
    </row>
    <row r="5374" customFormat="false" ht="15" hidden="false" customHeight="false" outlineLevel="0" collapsed="false">
      <c r="A5374" s="1" t="s">
        <v>1076</v>
      </c>
      <c r="B5374" s="0" t="s">
        <v>98</v>
      </c>
      <c r="F5374" s="6" t="n">
        <f aca="false">Sens!F5355</f>
        <v>142.797425494855</v>
      </c>
      <c r="G5374" s="6" t="n">
        <f aca="false">Sens!G5355</f>
        <v>147.977499808754</v>
      </c>
      <c r="H5374" s="6" t="n">
        <f aca="false">Sens!H5355</f>
        <v>152.503112434969</v>
      </c>
      <c r="I5374" s="6" t="n">
        <f aca="false">Sens!I5355</f>
        <v>162.911705112361</v>
      </c>
      <c r="J5374" s="6" t="n">
        <f aca="false">Sens!J5355</f>
        <v>174.2913257515</v>
      </c>
      <c r="K5374" s="6" t="n">
        <f aca="false">Sens!K5355</f>
        <v>185.809201188798</v>
      </c>
    </row>
    <row r="5375" customFormat="false" ht="17.15" hidden="false" customHeight="false" outlineLevel="0" collapsed="false">
      <c r="A5375" s="1" t="s">
        <v>1098</v>
      </c>
      <c r="B5375" s="0" t="s">
        <v>98</v>
      </c>
      <c r="E5375" s="6" t="n">
        <f aca="false">Q!M38-Sens!E5293</f>
        <v>24.3801052339286</v>
      </c>
      <c r="F5375" s="6" t="n">
        <f aca="false">Sens!E5375*(1-1/life_nonai)+(Sens!F5383+Sens!F5384)/life_nonai</f>
        <v>25.5247006178659</v>
      </c>
      <c r="G5375" s="6" t="n">
        <f aca="false">Sens!F5375*(1-1/life_nonai)+(Sens!G5383)/life_nonai</f>
        <v>27.0903327901666</v>
      </c>
      <c r="H5375" s="6" t="n">
        <f aca="false">Sens!G5375*(1-1/life_nonai)+(Sens!H5383)/life_nonai</f>
        <v>29.0435451561402</v>
      </c>
      <c r="I5375" s="6" t="n">
        <f aca="false">Sens!H5375*(1-1/life_nonai)+(Sens!I5383)/life_nonai</f>
        <v>31.3256193038047</v>
      </c>
      <c r="J5375" s="6" t="n">
        <f aca="false">Sens!I5375*(1-1/life_nonai)+(Sens!J5383)/life_nonai</f>
        <v>33.8599606204465</v>
      </c>
      <c r="K5375" s="6" t="n">
        <f aca="false">Sens!J5375*(1-1/life_nonai)+(Sens!K5383)/life_nonai</f>
        <v>36.5605992132394</v>
      </c>
      <c r="L5375" s="12" t="s">
        <v>1099</v>
      </c>
    </row>
    <row r="5376" customFormat="false" ht="17.15" hidden="false" customHeight="false" outlineLevel="0" collapsed="false">
      <c r="A5376" s="1" t="s">
        <v>1100</v>
      </c>
      <c r="B5376" s="0" t="s">
        <v>98</v>
      </c>
      <c r="F5376" s="6" t="n">
        <f aca="false">Sens!$F$5384/life_nonai*(1-1/life_nonai)^(Sens!F5256-2027)</f>
        <v>0</v>
      </c>
      <c r="G5376" s="6" t="n">
        <f aca="false">Sens!$F$5384/life_nonai*(1-1/life_nonai)^(Sens!G5256-2027)</f>
        <v>0</v>
      </c>
      <c r="H5376" s="6" t="n">
        <f aca="false">Sens!$F$5384/life_nonai*(1-1/life_nonai)^(Sens!H5256-2027)</f>
        <v>0</v>
      </c>
      <c r="I5376" s="6" t="n">
        <f aca="false">Sens!$F$5384/life_nonai*(1-1/life_nonai)^(Sens!I5256-2027)</f>
        <v>0</v>
      </c>
      <c r="J5376" s="6" t="n">
        <f aca="false">Sens!$F$5384/life_nonai*(1-1/life_nonai)^(Sens!J5256-2027)</f>
        <v>0</v>
      </c>
      <c r="K5376" s="6" t="n">
        <f aca="false">Sens!$F$5384/life_nonai*(1-1/life_nonai)^(Sens!K5256-2027)</f>
        <v>0</v>
      </c>
      <c r="L5376" s="1" t="s">
        <v>1101</v>
      </c>
    </row>
    <row r="5377" customFormat="false" ht="17.15" hidden="false" customHeight="false" outlineLevel="0" collapsed="false">
      <c r="A5377" s="1" t="s">
        <v>1102</v>
      </c>
      <c r="B5377" s="0" t="s">
        <v>98</v>
      </c>
      <c r="E5377" s="6" t="n">
        <f aca="false">Sens!E5293+Sens!E5375</f>
        <v>38.534</v>
      </c>
      <c r="F5377" s="6" t="n">
        <f aca="false">Sens!F5293+Sens!F5375</f>
        <v>55.5225172411566</v>
      </c>
      <c r="G5377" s="6" t="n">
        <f aca="false">Sens!G5293+Sens!G5375</f>
        <v>79.7443017748193</v>
      </c>
      <c r="H5377" s="6" t="n">
        <f aca="false">Sens!H5293+Sens!H5375</f>
        <v>106.257637003754</v>
      </c>
      <c r="I5377" s="6" t="n">
        <f aca="false">Sens!I5293+Sens!I5375</f>
        <v>129.817914110102</v>
      </c>
      <c r="J5377" s="6" t="n">
        <f aca="false">Sens!J5293+Sens!J5375</f>
        <v>147.02198769693</v>
      </c>
      <c r="K5377" s="6" t="n">
        <f aca="false">Sens!K5293+Sens!K5375</f>
        <v>158.274809915222</v>
      </c>
    </row>
    <row r="5378" customFormat="false" ht="17.15" hidden="false" customHeight="false" outlineLevel="0" collapsed="false">
      <c r="A5378" s="1" t="s">
        <v>1103</v>
      </c>
      <c r="B5378" s="0" t="s">
        <v>98</v>
      </c>
      <c r="F5378" s="6" t="n">
        <f aca="false">Sens!F5320*sbc_r</f>
        <v>14.7454787486369</v>
      </c>
      <c r="G5378" s="6" t="n">
        <f aca="false">Sens!G5320*sbc_r</f>
        <v>17.1560811611477</v>
      </c>
      <c r="H5378" s="6" t="n">
        <f aca="false">Sens!H5320*sbc_r</f>
        <v>19.4112161412813</v>
      </c>
      <c r="I5378" s="6" t="n">
        <f aca="false">Sens!I5320*sbc_r</f>
        <v>21.735963845142</v>
      </c>
      <c r="J5378" s="6" t="n">
        <f aca="false">Sens!J5320*sbc_r</f>
        <v>23.6964064974615</v>
      </c>
      <c r="K5378" s="6" t="n">
        <f aca="false">Sens!K5320*sbc_r</f>
        <v>25.2618659563418</v>
      </c>
    </row>
    <row r="5379" customFormat="false" ht="17.15" hidden="false" customHeight="false" outlineLevel="0" collapsed="false">
      <c r="A5379" s="1" t="s">
        <v>1104</v>
      </c>
      <c r="B5379" s="0" t="s">
        <v>98</v>
      </c>
      <c r="F5379" s="6" t="n">
        <f aca="false">wc27-wc26q1</f>
        <v>-4.677</v>
      </c>
      <c r="G5379" s="6" t="n">
        <f aca="false">wc_f</f>
        <v>0</v>
      </c>
      <c r="H5379" s="6" t="n">
        <f aca="false">wc_f</f>
        <v>0</v>
      </c>
      <c r="I5379" s="6" t="n">
        <f aca="false">wc_f</f>
        <v>0</v>
      </c>
      <c r="J5379" s="6" t="n">
        <f aca="false">wc_f</f>
        <v>0</v>
      </c>
      <c r="K5379" s="6" t="n">
        <f aca="false">wc_f</f>
        <v>0</v>
      </c>
      <c r="L5379" s="12" t="s">
        <v>1105</v>
      </c>
    </row>
    <row r="5380" customFormat="false" ht="17.15" hidden="false" customHeight="false" outlineLevel="0" collapsed="false">
      <c r="A5380" s="0" t="s">
        <v>1106</v>
      </c>
      <c r="B5380" s="0" t="s">
        <v>98</v>
      </c>
      <c r="F5380" s="6" t="n">
        <f aca="false">Q!$I$35-Q!$I$26-Q!$I$38-Q!$I$39</f>
        <v>6.493</v>
      </c>
      <c r="L5380" s="1" t="s">
        <v>1107</v>
      </c>
    </row>
    <row r="5381" customFormat="false" ht="15" hidden="false" customHeight="false" outlineLevel="0" collapsed="false">
      <c r="A5381" s="1" t="s">
        <v>904</v>
      </c>
      <c r="B5381" s="0" t="s">
        <v>98</v>
      </c>
      <c r="E5381" s="6" t="n">
        <f aca="false">Q!M35</f>
        <v>182.935</v>
      </c>
      <c r="F5381" s="6" t="n">
        <f aca="false">Sens!F5374+Sens!F5377+Sens!F5378+Sens!F5379+Sens!F5380</f>
        <v>214.881421484649</v>
      </c>
      <c r="G5381" s="6" t="n">
        <f aca="false">Sens!G5374+Sens!G5377+Sens!G5378+Sens!G5379</f>
        <v>244.877882744721</v>
      </c>
      <c r="H5381" s="6" t="n">
        <f aca="false">Sens!H5374+Sens!H5377+Sens!H5378+Sens!H5379</f>
        <v>278.171965580005</v>
      </c>
      <c r="I5381" s="6" t="n">
        <f aca="false">Sens!I5374+Sens!I5377+Sens!I5378+Sens!I5379</f>
        <v>314.465583067605</v>
      </c>
      <c r="J5381" s="6" t="n">
        <f aca="false">Sens!J5374+Sens!J5377+Sens!J5378+Sens!J5379</f>
        <v>345.009719945892</v>
      </c>
      <c r="K5381" s="6" t="n">
        <f aca="false">Sens!K5374+Sens!K5377+Sens!K5378+Sens!K5379</f>
        <v>369.345877060362</v>
      </c>
    </row>
    <row r="5382" customFormat="false" ht="17.15" hidden="false" customHeight="false" outlineLevel="0" collapsed="false">
      <c r="A5382" s="0" t="s">
        <v>1108</v>
      </c>
      <c r="B5382" s="0" t="s">
        <v>98</v>
      </c>
      <c r="F5382" s="6" t="n">
        <f aca="false">Sens!F5290</f>
        <v>168.45390404212</v>
      </c>
      <c r="G5382" s="6" t="n">
        <f aca="false">Sens!G5290</f>
        <v>191.944475649048</v>
      </c>
      <c r="H5382" s="6" t="n">
        <f aca="false">Sens!H5290</f>
        <v>196.806004064512</v>
      </c>
      <c r="I5382" s="6" t="n">
        <f aca="false">Sens!I5290</f>
        <v>139.45408886161</v>
      </c>
      <c r="J5382" s="6" t="n">
        <f aca="false">Sens!J5290</f>
        <v>114.05200019594</v>
      </c>
      <c r="K5382" s="6" t="n">
        <f aca="false">Sens!K5290</f>
        <v>75.5192945447327</v>
      </c>
    </row>
    <row r="5383" customFormat="false" ht="17.15" hidden="false" customHeight="false" outlineLevel="0" collapsed="false">
      <c r="A5383" s="1" t="s">
        <v>1109</v>
      </c>
      <c r="B5383" s="0" t="s">
        <v>98</v>
      </c>
      <c r="E5383" s="6" t="n">
        <f aca="false">Sens!E5298*cx_azo+Sens!E5305*cx_m365+Sens!E5306*cx_lic+(Sens!E5308+Sens!E5310)*cx_ind+Sens!E5313*cx_srch+(Sens!E5315+Sens!E5317)*cx_dev</f>
        <v>30.1846587067718</v>
      </c>
      <c r="F5383" s="6" t="n">
        <f aca="false">Sens!F5298*cx_azo+Sens!F5305*cx_m365+Sens!F5306*cx_lic+(Sens!F5308+Sens!F5310)*cx_ind+Sens!F5313*cx_srch+(Sens!F5315+Sens!F5317)*cx_dev</f>
        <v>35.826059073302</v>
      </c>
      <c r="G5383" s="6" t="n">
        <f aca="false">Sens!G5298*cx_azo+Sens!G5305*cx_m365+Sens!G5306*cx_lic+(Sens!G5308+Sens!G5310)*cx_ind+Sens!G5313*cx_srch+(Sens!G5315+Sens!G5317)*cx_dev</f>
        <v>41.1810223408732</v>
      </c>
      <c r="H5383" s="6" t="n">
        <f aca="false">Sens!H5298*cx_azo+Sens!H5305*cx_m365+Sens!H5306*cx_lic+(Sens!H5308+Sens!H5310)*cx_ind+Sens!H5313*cx_srch+(Sens!H5315+Sens!H5317)*cx_dev</f>
        <v>46.6224564499022</v>
      </c>
      <c r="I5383" s="6" t="n">
        <f aca="false">Sens!I5298*cx_azo+Sens!I5305*cx_m365+Sens!I5306*cx_lic+(Sens!I5308+Sens!I5310)*cx_ind+Sens!I5313*cx_srch+(Sens!I5315+Sens!I5317)*cx_dev</f>
        <v>51.8642866327854</v>
      </c>
      <c r="J5383" s="6" t="n">
        <f aca="false">Sens!J5298*cx_azo+Sens!J5305*cx_m365+Sens!J5306*cx_lic+(Sens!J5308+Sens!J5310)*cx_ind+Sens!J5313*cx_srch+(Sens!J5315+Sens!J5317)*cx_dev</f>
        <v>56.6690324702225</v>
      </c>
      <c r="K5383" s="6" t="n">
        <f aca="false">Sens!K5298*cx_azo+Sens!K5305*cx_m365+Sens!K5306*cx_lic+(Sens!K5308+Sens!K5310)*cx_ind+Sens!K5313*cx_srch+(Sens!K5315+Sens!K5317)*cx_dev</f>
        <v>60.866346548376</v>
      </c>
    </row>
    <row r="5384" customFormat="false" ht="17.15" hidden="false" customHeight="false" outlineLevel="0" collapsed="false">
      <c r="A5384" s="0" t="s">
        <v>1110</v>
      </c>
      <c r="B5384" s="0" t="s">
        <v>98</v>
      </c>
      <c r="F5384" s="6" t="n">
        <f aca="false">Sens!F5288</f>
        <v>0</v>
      </c>
      <c r="L5384" s="1" t="s">
        <v>1111</v>
      </c>
    </row>
    <row r="5385" customFormat="false" ht="17.15" hidden="false" customHeight="false" outlineLevel="0" collapsed="false">
      <c r="A5385" s="1" t="s">
        <v>1112</v>
      </c>
      <c r="B5385" s="0" t="s">
        <v>98</v>
      </c>
      <c r="E5385" s="6" t="n">
        <f aca="false">Q!M43</f>
        <v>145.3</v>
      </c>
      <c r="F5385" s="6" t="n">
        <f aca="false">Sens!F5382+Sens!F5383+Sens!F5384</f>
        <v>204.279963115422</v>
      </c>
      <c r="G5385" s="6" t="n">
        <f aca="false">Sens!G5382+Sens!G5383</f>
        <v>233.125497989921</v>
      </c>
      <c r="H5385" s="6" t="n">
        <f aca="false">Sens!H5382+Sens!H5383</f>
        <v>243.428460514415</v>
      </c>
      <c r="I5385" s="6" t="n">
        <f aca="false">Sens!I5382+Sens!I5383</f>
        <v>191.318375494396</v>
      </c>
      <c r="J5385" s="6" t="n">
        <f aca="false">Sens!J5382+Sens!J5383</f>
        <v>170.721032666163</v>
      </c>
      <c r="K5385" s="6" t="n">
        <f aca="false">Sens!K5382+Sens!K5383</f>
        <v>136.385641093109</v>
      </c>
      <c r="L5385" s="1" t="s">
        <v>1113</v>
      </c>
    </row>
    <row r="5386" customFormat="false" ht="15" hidden="false" customHeight="false" outlineLevel="0" collapsed="false">
      <c r="A5386" s="1" t="s">
        <v>1114</v>
      </c>
      <c r="B5386" s="0" t="s">
        <v>98</v>
      </c>
      <c r="E5386" s="6" t="n">
        <f aca="false">fl_liab</f>
        <v>66.594</v>
      </c>
      <c r="F5386" s="6" t="n">
        <f aca="false">Sens!E5386-Sens!F5387</f>
        <v>62.46973</v>
      </c>
      <c r="G5386" s="6" t="n">
        <f aca="false">Sens!F5386-Sens!G5387</f>
        <v>57.98686785</v>
      </c>
      <c r="H5386" s="6" t="n">
        <f aca="false">Sens!G5386-Sens!H5387</f>
        <v>53.92827690325</v>
      </c>
      <c r="I5386" s="6" t="n">
        <f aca="false">Sens!H5386-Sens!I5387</f>
        <v>49.7850493638962</v>
      </c>
      <c r="J5386" s="6" t="n">
        <f aca="false">Sens!I5386-Sens!J5387</f>
        <v>45.4823765852716</v>
      </c>
      <c r="K5386" s="6" t="n">
        <f aca="false">Sens!J5386-Sens!K5387</f>
        <v>40.9860835316088</v>
      </c>
    </row>
    <row r="5387" customFormat="false" ht="15" hidden="false" customHeight="false" outlineLevel="0" collapsed="false">
      <c r="A5387" s="1" t="s">
        <v>1115</v>
      </c>
      <c r="B5387" s="0" t="s">
        <v>98</v>
      </c>
      <c r="F5387" s="6" t="n">
        <f aca="false">fl_pay_27-Sens!E5386*fl_rate</f>
        <v>4.12427</v>
      </c>
      <c r="G5387" s="6" t="n">
        <f aca="false">fl_pay_28-Sens!F5386*fl_rate</f>
        <v>4.48286215</v>
      </c>
      <c r="H5387" s="6" t="n">
        <f aca="false">fl_pay_29-Sens!G5386*fl_rate</f>
        <v>4.05859094675</v>
      </c>
      <c r="I5387" s="6" t="n">
        <f aca="false">fl_pay_30-Sens!H5386*fl_rate</f>
        <v>4.14322753935375</v>
      </c>
      <c r="J5387" s="6" t="n">
        <f aca="false">fl_pay_31-Sens!I5386*fl_rate</f>
        <v>4.30267277862467</v>
      </c>
      <c r="K5387" s="6" t="n">
        <f aca="false">fl_pay_32-Sens!J5386*fl_rate</f>
        <v>4.49629305366278</v>
      </c>
    </row>
    <row r="5388" customFormat="false" ht="17.15" hidden="false" customHeight="false" outlineLevel="0" collapsed="false">
      <c r="A5388" s="1" t="s">
        <v>1116</v>
      </c>
      <c r="B5388" s="0" t="s">
        <v>98</v>
      </c>
      <c r="E5388" s="6" t="n">
        <f aca="false">Q!M35-Q!M36-Q!M44</f>
        <v>63.886</v>
      </c>
      <c r="F5388" s="6" t="n">
        <f aca="false">Sens!F5381-Sens!F5385-Sens!F5387</f>
        <v>6.47718836922706</v>
      </c>
      <c r="G5388" s="6" t="n">
        <f aca="false">Sens!G5381-Sens!G5385-Sens!G5387</f>
        <v>7.26952260479978</v>
      </c>
      <c r="H5388" s="6" t="n">
        <f aca="false">Sens!H5381-Sens!H5385-Sens!H5387</f>
        <v>30.6849141188403</v>
      </c>
      <c r="I5388" s="6" t="n">
        <f aca="false">Sens!I5381-Sens!I5385-Sens!I5387</f>
        <v>119.003980033855</v>
      </c>
      <c r="J5388" s="6" t="n">
        <f aca="false">Sens!J5381-Sens!J5385-Sens!J5387</f>
        <v>169.986014501104</v>
      </c>
      <c r="K5388" s="6" t="n">
        <f aca="false">Sens!K5381-Sens!K5385-Sens!K5387</f>
        <v>228.463942913591</v>
      </c>
      <c r="L5388" s="12" t="s">
        <v>1117</v>
      </c>
    </row>
    <row r="5389" customFormat="false" ht="15" hidden="false" customHeight="false" outlineLevel="0" collapsed="false">
      <c r="A5389" s="1" t="s">
        <v>1118</v>
      </c>
      <c r="B5389" s="0" t="s">
        <v>75</v>
      </c>
      <c r="F5389" s="8" t="n">
        <f aca="false">dps_27</f>
        <v>3.85</v>
      </c>
      <c r="G5389" s="8" t="n">
        <f aca="false">Sens!F5389*(1+dps_g)</f>
        <v>4.158</v>
      </c>
      <c r="H5389" s="8" t="n">
        <f aca="false">Sens!G5389*(1+dps_g)</f>
        <v>4.49064</v>
      </c>
      <c r="I5389" s="8" t="n">
        <f aca="false">Sens!H5389*(1+dps_g)</f>
        <v>4.8498912</v>
      </c>
      <c r="J5389" s="8" t="n">
        <f aca="false">Sens!I5389*(1+dps_g)</f>
        <v>5.237882496</v>
      </c>
      <c r="K5389" s="8" t="n">
        <f aca="false">Sens!J5389*(1+dps_g)</f>
        <v>5.65691309568</v>
      </c>
    </row>
    <row r="5390" customFormat="false" ht="17.15" hidden="false" customHeight="false" outlineLevel="0" collapsed="false">
      <c r="A5390" s="1" t="s">
        <v>1119</v>
      </c>
      <c r="B5390" s="0" t="s">
        <v>98</v>
      </c>
      <c r="E5390" s="6" t="n">
        <f aca="false">Q!M41</f>
        <v>26.445</v>
      </c>
      <c r="F5390" s="6" t="n">
        <f aca="false">Sens!F5389*Sens!E5399</f>
        <v>28.59395</v>
      </c>
      <c r="G5390" s="6" t="n">
        <f aca="false">Sens!G5389*Sens!F5399</f>
        <v>31.068576</v>
      </c>
      <c r="H5390" s="6" t="n">
        <f aca="false">Sens!H5389*Sens!G5399</f>
        <v>33.75614088</v>
      </c>
      <c r="I5390" s="6" t="n">
        <f aca="false">Sens!I5389*Sens!H5399</f>
        <v>36.6748772544</v>
      </c>
      <c r="J5390" s="6" t="n">
        <f aca="false">Sens!J5389*Sens!I5399</f>
        <v>39.6767653201446</v>
      </c>
      <c r="K5390" s="6" t="n">
        <f aca="false">Sens!K5389*Sens!J5399</f>
        <v>42.9376608081345</v>
      </c>
      <c r="L5390" s="1" t="s">
        <v>1120</v>
      </c>
    </row>
    <row r="5391" customFormat="false" ht="15" hidden="false" customHeight="false" outlineLevel="0" collapsed="false">
      <c r="A5391" s="1" t="s">
        <v>1121</v>
      </c>
      <c r="B5391" s="0" t="s">
        <v>98</v>
      </c>
      <c r="E5391" s="6" t="n">
        <f aca="false">Sens!E5388-Sens!E5390</f>
        <v>37.441</v>
      </c>
      <c r="F5391" s="6" t="n">
        <f aca="false">Sens!F5388-Sens!F5390</f>
        <v>-22.1167616307729</v>
      </c>
      <c r="G5391" s="6" t="n">
        <f aca="false">Sens!G5388-Sens!G5390</f>
        <v>-23.7990533952002</v>
      </c>
      <c r="H5391" s="6" t="n">
        <f aca="false">Sens!H5388-Sens!H5390</f>
        <v>-3.07122676115966</v>
      </c>
      <c r="I5391" s="6" t="n">
        <f aca="false">Sens!I5388-Sens!I5390</f>
        <v>82.3291027794553</v>
      </c>
      <c r="J5391" s="6" t="n">
        <f aca="false">Sens!J5388-Sens!J5390</f>
        <v>130.30924918096</v>
      </c>
      <c r="K5391" s="6" t="n">
        <f aca="false">Sens!K5388-Sens!K5390</f>
        <v>185.526282105456</v>
      </c>
    </row>
    <row r="5392" customFormat="false" ht="15" hidden="false" customHeight="false" outlineLevel="0" collapsed="false">
      <c r="A5392" s="1" t="s">
        <v>1122</v>
      </c>
      <c r="B5392" s="0" t="s">
        <v>98</v>
      </c>
      <c r="F5392" s="6" t="n">
        <f aca="false">debt_mat_27</f>
        <v>9.25</v>
      </c>
      <c r="G5392" s="6" t="n">
        <f aca="false">debt_mat_28</f>
        <v>0</v>
      </c>
      <c r="H5392" s="6" t="n">
        <f aca="false">debt_mat_29</f>
        <v>2.001</v>
      </c>
      <c r="I5392" s="6" t="n">
        <f aca="false">debt_mat_30</f>
        <v>0</v>
      </c>
      <c r="J5392" s="6" t="n">
        <f aca="false">debt_mat_31</f>
        <v>0.5</v>
      </c>
      <c r="K5392" s="6" t="n">
        <f aca="false">debt_mat_32</f>
        <v>0</v>
      </c>
    </row>
    <row r="5393" customFormat="false" ht="15" hidden="false" customHeight="false" outlineLevel="0" collapsed="false">
      <c r="A5393" s="1" t="s">
        <v>1123</v>
      </c>
      <c r="B5393" s="0" t="s">
        <v>98</v>
      </c>
      <c r="E5393" s="6" t="n">
        <f aca="false">Q!M40</f>
        <v>22.271</v>
      </c>
      <c r="F5393" s="6" t="n">
        <f aca="false">MAX(0,MIN(bb_target,Sens!E5395+Sens!F5391-Sens!F5392-min_cash))</f>
        <v>0</v>
      </c>
      <c r="G5393" s="6" t="n">
        <f aca="false">MAX(0,MIN(bb_target,Sens!F5395+Sens!G5391-Sens!G5392-min_cash))</f>
        <v>0</v>
      </c>
      <c r="H5393" s="6" t="n">
        <f aca="false">MAX(0,MIN(bb_target,Sens!G5395+Sens!H5391-Sens!H5392-min_cash))</f>
        <v>0</v>
      </c>
      <c r="I5393" s="6" t="n">
        <f aca="false">MAX(0,MIN(bb_target,Sens!H5395+Sens!I5391-Sens!I5392-min_cash))</f>
        <v>22.271</v>
      </c>
      <c r="J5393" s="6" t="n">
        <f aca="false">MAX(0,MIN(bb_target,Sens!I5395+Sens!J5391-Sens!J5392-min_cash))</f>
        <v>22.271</v>
      </c>
      <c r="K5393" s="6" t="n">
        <f aca="false">MAX(0,MIN(bb_target,Sens!J5395+Sens!K5391-Sens!K5392-min_cash))</f>
        <v>22.271</v>
      </c>
    </row>
    <row r="5394" customFormat="false" ht="15" hidden="false" customHeight="false" outlineLevel="0" collapsed="false">
      <c r="A5394" s="1" t="s">
        <v>1124</v>
      </c>
      <c r="B5394" s="0" t="s">
        <v>98</v>
      </c>
      <c r="F5394" s="6" t="n">
        <f aca="false">MAX(0,min_cash-(Sens!E5395+Sens!F5391-Sens!F5392-Sens!F5393))</f>
        <v>4.52376163077294</v>
      </c>
      <c r="G5394" s="6" t="n">
        <f aca="false">MAX(0,min_cash-(Sens!F5395+Sens!G5391-Sens!G5392-Sens!G5393))</f>
        <v>23.7990533952002</v>
      </c>
      <c r="H5394" s="6" t="n">
        <f aca="false">MAX(0,min_cash-(Sens!G5395+Sens!H5391-Sens!H5392-Sens!H5393))</f>
        <v>5.07222676115966</v>
      </c>
      <c r="I5394" s="6" t="n">
        <f aca="false">MAX(0,min_cash-(Sens!H5395+Sens!I5391-Sens!I5392-Sens!I5393))</f>
        <v>0</v>
      </c>
      <c r="J5394" s="6" t="n">
        <f aca="false">MAX(0,min_cash-(Sens!I5395+Sens!J5391-Sens!J5392-Sens!J5393))</f>
        <v>0</v>
      </c>
      <c r="K5394" s="6" t="n">
        <f aca="false">MAX(0,min_cash-(Sens!J5395+Sens!K5391-Sens!K5392-Sens!K5393))</f>
        <v>0</v>
      </c>
    </row>
    <row r="5395" customFormat="false" ht="15" hidden="false" customHeight="false" outlineLevel="0" collapsed="false">
      <c r="A5395" s="1" t="s">
        <v>1125</v>
      </c>
      <c r="B5395" s="0" t="s">
        <v>98</v>
      </c>
      <c r="E5395" s="6" t="n">
        <f aca="false">cash_open</f>
        <v>76.843</v>
      </c>
      <c r="F5395" s="6" t="n">
        <f aca="false">Sens!E5395+Sens!F5391-Sens!F5392-Sens!F5393+Sens!F5394</f>
        <v>50</v>
      </c>
      <c r="G5395" s="6" t="n">
        <f aca="false">Sens!F5395+Sens!G5391-Sens!G5392-Sens!G5393+Sens!G5394</f>
        <v>50</v>
      </c>
      <c r="H5395" s="6" t="n">
        <f aca="false">Sens!G5395+Sens!H5391-Sens!H5392-Sens!H5393+Sens!H5394</f>
        <v>50</v>
      </c>
      <c r="I5395" s="6" t="n">
        <f aca="false">Sens!H5395+Sens!I5391-Sens!I5392-Sens!I5393+Sens!I5394</f>
        <v>110.058102779455</v>
      </c>
      <c r="J5395" s="6" t="n">
        <f aca="false">Sens!I5395+Sens!J5391-Sens!J5392-Sens!J5393+Sens!J5394</f>
        <v>217.596351960415</v>
      </c>
      <c r="K5395" s="6" t="n">
        <f aca="false">Sens!J5395+Sens!K5391-Sens!K5392-Sens!K5393+Sens!K5394</f>
        <v>380.851634065871</v>
      </c>
    </row>
    <row r="5396" customFormat="false" ht="15" hidden="false" customHeight="false" outlineLevel="0" collapsed="false">
      <c r="A5396" s="1" t="s">
        <v>1126</v>
      </c>
      <c r="B5396" s="0" t="s">
        <v>98</v>
      </c>
      <c r="E5396" s="6" t="n">
        <f aca="false">debt_face</f>
        <v>46.136</v>
      </c>
      <c r="F5396" s="6" t="n">
        <f aca="false">Sens!E5396-Sens!F5392+Sens!F5394</f>
        <v>41.4097616307729</v>
      </c>
      <c r="G5396" s="6" t="n">
        <f aca="false">Sens!F5396-Sens!G5392+Sens!G5394</f>
        <v>65.2088150259732</v>
      </c>
      <c r="H5396" s="6" t="n">
        <f aca="false">Sens!G5396-Sens!H5392+Sens!H5394</f>
        <v>68.2800417871328</v>
      </c>
      <c r="I5396" s="6" t="n">
        <f aca="false">Sens!H5396-Sens!I5392+Sens!I5394</f>
        <v>68.2800417871328</v>
      </c>
      <c r="J5396" s="6" t="n">
        <f aca="false">Sens!I5396-Sens!J5392+Sens!J5394</f>
        <v>67.7800417871328</v>
      </c>
      <c r="K5396" s="6" t="n">
        <f aca="false">Sens!J5396-Sens!K5392+Sens!K5394</f>
        <v>67.7800417871328</v>
      </c>
    </row>
    <row r="5397" customFormat="false" ht="15" hidden="false" customHeight="false" outlineLevel="0" collapsed="false">
      <c r="A5397" s="1" t="s">
        <v>1127</v>
      </c>
      <c r="B5397" s="0" t="s">
        <v>98</v>
      </c>
      <c r="E5397" s="6" t="n">
        <f aca="false">Sens!E5395-Sens!E5396</f>
        <v>30.707</v>
      </c>
      <c r="F5397" s="6" t="n">
        <f aca="false">Sens!F5395-Sens!F5396</f>
        <v>8.59023836922706</v>
      </c>
      <c r="G5397" s="6" t="n">
        <f aca="false">Sens!G5395-Sens!G5396</f>
        <v>-15.2088150259732</v>
      </c>
      <c r="H5397" s="6" t="n">
        <f aca="false">Sens!H5395-Sens!H5396</f>
        <v>-18.2800417871328</v>
      </c>
      <c r="I5397" s="6" t="n">
        <f aca="false">Sens!I5395-Sens!I5396</f>
        <v>41.7780609923224</v>
      </c>
      <c r="J5397" s="6" t="n">
        <f aca="false">Sens!J5395-Sens!J5396</f>
        <v>149.816310173282</v>
      </c>
      <c r="K5397" s="6" t="n">
        <f aca="false">Sens!K5395-Sens!K5396</f>
        <v>313.071592278738</v>
      </c>
    </row>
    <row r="5398" customFormat="false" ht="15" hidden="false" customHeight="false" outlineLevel="0" collapsed="false">
      <c r="A5398" s="1" t="s">
        <v>1128</v>
      </c>
      <c r="B5398" s="0" t="s">
        <v>75</v>
      </c>
      <c r="F5398" s="30" t="n">
        <f aca="false">px*(1+bb_g)^(Sens!F5256-base_fy-mid_yr)</f>
        <v>551.84177959629</v>
      </c>
      <c r="G5398" s="30" t="n">
        <f aca="false">px*(1+bb_g)^(Sens!G5256-base_fy-mid_yr)</f>
        <v>595.989121963993</v>
      </c>
      <c r="H5398" s="30" t="n">
        <f aca="false">px*(1+bb_g)^(Sens!H5256-base_fy-mid_yr)</f>
        <v>643.668251721112</v>
      </c>
      <c r="I5398" s="30" t="n">
        <f aca="false">px*(1+bb_g)^(Sens!I5256-base_fy-mid_yr)</f>
        <v>695.161711858801</v>
      </c>
      <c r="J5398" s="30" t="n">
        <f aca="false">px*(1+bb_g)^(Sens!J5256-base_fy-mid_yr)</f>
        <v>750.774648807506</v>
      </c>
      <c r="K5398" s="30" t="n">
        <f aca="false">px*(1+bb_g)^(Sens!K5256-base_fy-mid_yr)</f>
        <v>810.836620712106</v>
      </c>
    </row>
    <row r="5399" customFormat="false" ht="15" hidden="false" customHeight="false" outlineLevel="0" collapsed="false">
      <c r="A5399" s="1" t="s">
        <v>1129</v>
      </c>
      <c r="B5399" s="1" t="s">
        <v>81</v>
      </c>
      <c r="E5399" s="15" t="n">
        <f aca="false">sh_out26</f>
        <v>7.427</v>
      </c>
      <c r="F5399" s="15" t="n">
        <f aca="false">Sens!E5399+sh_iss-Sens!F5393/Sens!F5398</f>
        <v>7.472</v>
      </c>
      <c r="G5399" s="15" t="n">
        <f aca="false">Sens!F5399+sh_iss-Sens!G5393/Sens!G5398</f>
        <v>7.517</v>
      </c>
      <c r="H5399" s="15" t="n">
        <f aca="false">Sens!G5399+sh_iss-Sens!H5393/Sens!H5398</f>
        <v>7.562</v>
      </c>
      <c r="I5399" s="15" t="n">
        <f aca="false">Sens!H5399+sh_iss-Sens!I5393/Sens!I5398</f>
        <v>7.57496285005334</v>
      </c>
      <c r="J5399" s="15" t="n">
        <f aca="false">Sens!I5399+sh_iss-Sens!J5393/Sens!J5398</f>
        <v>7.59029882232494</v>
      </c>
      <c r="K5399" s="15" t="n">
        <f aca="false">Sens!J5399+sh_iss-Sens!K5393/Sens!K5398</f>
        <v>7.60783212998384</v>
      </c>
    </row>
    <row r="5400" customFormat="false" ht="15" hidden="false" customHeight="false" outlineLevel="0" collapsed="false">
      <c r="A5400" s="1" t="s">
        <v>1130</v>
      </c>
      <c r="B5400" s="1" t="s">
        <v>81</v>
      </c>
      <c r="E5400" s="15" t="n">
        <f aca="false">sh_dil26</f>
        <v>7.453</v>
      </c>
      <c r="F5400" s="15" t="n">
        <f aca="false">(Sens!E5399+Sens!F5399)/2+dil_gap</f>
        <v>7.4735</v>
      </c>
      <c r="G5400" s="15" t="n">
        <f aca="false">(Sens!F5399+Sens!G5399)/2+dil_gap</f>
        <v>7.5185</v>
      </c>
      <c r="H5400" s="15" t="n">
        <f aca="false">(Sens!G5399+Sens!H5399)/2+dil_gap</f>
        <v>7.5635</v>
      </c>
      <c r="I5400" s="15" t="n">
        <f aca="false">(Sens!H5399+Sens!I5399)/2+dil_gap</f>
        <v>7.59248142502667</v>
      </c>
      <c r="J5400" s="15" t="n">
        <f aca="false">(Sens!I5399+Sens!J5399)/2+dil_gap</f>
        <v>7.60663083618914</v>
      </c>
      <c r="K5400" s="15" t="n">
        <f aca="false">(Sens!J5399+Sens!K5399)/2+dil_gap</f>
        <v>7.62306547615439</v>
      </c>
    </row>
    <row r="5401" customFormat="false" ht="17.15" hidden="false" customHeight="false" outlineLevel="0" collapsed="false">
      <c r="A5401" s="1" t="s">
        <v>1131</v>
      </c>
      <c r="B5401" s="0" t="s">
        <v>98</v>
      </c>
      <c r="C5401" s="6" t="n">
        <f aca="false">SUM(Sens!F5391:J5391)</f>
        <v>163.651310173282</v>
      </c>
    </row>
    <row r="5402" customFormat="false" ht="15" hidden="false" customHeight="false" outlineLevel="0" collapsed="false">
      <c r="A5402" s="26" t="s">
        <v>1096</v>
      </c>
      <c r="B5402" s="31" t="s">
        <v>98</v>
      </c>
      <c r="C5402" s="27" t="n">
        <f aca="false">Sens!$C$5401-(Sens!F5391+Sens!G5391+Sens!H5391+Sens!I5391+Sens!J5391)</f>
        <v>0</v>
      </c>
      <c r="D5402" s="31"/>
      <c r="E5402" s="31"/>
      <c r="F5402" s="31"/>
      <c r="G5402" s="31"/>
      <c r="H5402" s="31"/>
      <c r="I5402" s="31"/>
      <c r="J5402" s="31"/>
      <c r="K5402" s="31"/>
    </row>
    <row r="5403" customFormat="false" ht="17.15" hidden="false" customHeight="false" outlineLevel="0" collapsed="false">
      <c r="A5403" s="1" t="s">
        <v>1090</v>
      </c>
      <c r="B5403" s="1" t="s">
        <v>1132</v>
      </c>
      <c r="C5403" s="33" t="str">
        <f aca="false">IF(SUM(Sens!F5394:J5394)&gt;0.05,"需要舉債 "&amp;TEXT(SUM(Sens!F5394:J5394),"0.0")&amp;" 十億美元","不需舉債")&amp;"；"&amp;IF(SUM(Sens!F5393:J5393)&lt;COUNT(Sens!F5393:J5393)*bb_target-0.05,"回購較每年 "&amp;TEXT(bb_target,"0.0")&amp;" 的目標少 "&amp;TEXT(COUNT(Sens!F5393:J5393)*bb_target-SUM(Sens!F5393:J5393),"0.0")&amp;" 十億美元（"&amp;TEXT(COUNTIF(Sens!F5393:J5393,"&lt;"&amp;(bb_target-0.05)),"0")&amp;" 年減少）","回購不減")</f>
        <v>需要舉債 33.4 十億美元；回購較每年 22.3 的目標少 66.8 十億美元（3 年減少）</v>
      </c>
    </row>
    <row r="5404" customFormat="false" ht="17.15" hidden="false" customHeight="false" outlineLevel="0" collapsed="false">
      <c r="A5404" s="3" t="s">
        <v>1614</v>
      </c>
    </row>
    <row r="5405" customFormat="false" ht="15" hidden="false" customHeight="false" outlineLevel="0" collapsed="false">
      <c r="A5405" s="4" t="s">
        <v>43</v>
      </c>
      <c r="B5405" s="4" t="s">
        <v>65</v>
      </c>
      <c r="C5405" s="23" t="s">
        <v>938</v>
      </c>
      <c r="D5405" s="23" t="s">
        <v>939</v>
      </c>
      <c r="E5405" s="23" t="s">
        <v>940</v>
      </c>
      <c r="F5405" s="23" t="s">
        <v>941</v>
      </c>
      <c r="G5405" s="23" t="s">
        <v>942</v>
      </c>
      <c r="H5405" s="23" t="s">
        <v>943</v>
      </c>
      <c r="I5405" s="23" t="s">
        <v>944</v>
      </c>
      <c r="J5405" s="23" t="s">
        <v>945</v>
      </c>
      <c r="K5405" s="23" t="s">
        <v>946</v>
      </c>
      <c r="L5405" s="4" t="s">
        <v>47</v>
      </c>
    </row>
    <row r="5406" customFormat="false" ht="17.15" hidden="false" customHeight="false" outlineLevel="0" collapsed="false">
      <c r="A5406" s="1" t="s">
        <v>1212</v>
      </c>
      <c r="B5406" s="1" t="s">
        <v>279</v>
      </c>
      <c r="F5406" s="8" t="n">
        <f aca="false">(1-v_off)*mid_yr</f>
        <v>0.373972602739726</v>
      </c>
      <c r="G5406" s="8" t="n">
        <f aca="false">Sens!G5256-base_fy-mid_yr-v_off</f>
        <v>1.24794520547945</v>
      </c>
      <c r="H5406" s="8" t="n">
        <f aca="false">Sens!H5256-base_fy-mid_yr-v_off</f>
        <v>2.24794520547945</v>
      </c>
      <c r="I5406" s="8" t="n">
        <f aca="false">Sens!I5256-base_fy-mid_yr-v_off</f>
        <v>3.24794520547945</v>
      </c>
      <c r="J5406" s="8" t="n">
        <f aca="false">Sens!J5256-base_fy-mid_yr-v_off</f>
        <v>4.24794520547945</v>
      </c>
      <c r="K5406" s="8" t="n">
        <f aca="false">Sens!K5256-base_fy-mid_yr-v_off</f>
        <v>5.24794520547945</v>
      </c>
      <c r="L5406" s="12" t="s">
        <v>1213</v>
      </c>
    </row>
    <row r="5407" customFormat="false" ht="15" hidden="false" customHeight="false" outlineLevel="0" collapsed="false">
      <c r="A5407" s="1" t="s">
        <v>1214</v>
      </c>
      <c r="B5407" s="1" t="s">
        <v>279</v>
      </c>
      <c r="F5407" s="8" t="n">
        <f aca="false">Sens!F5256-base_fy-v_off</f>
        <v>0.747945205479452</v>
      </c>
      <c r="G5407" s="8" t="n">
        <f aca="false">Sens!G5256-base_fy-v_off</f>
        <v>1.74794520547945</v>
      </c>
      <c r="H5407" s="8" t="n">
        <f aca="false">Sens!H5256-base_fy-v_off</f>
        <v>2.74794520547945</v>
      </c>
      <c r="I5407" s="8" t="n">
        <f aca="false">Sens!I5256-base_fy-v_off</f>
        <v>3.74794520547945</v>
      </c>
      <c r="J5407" s="8" t="n">
        <f aca="false">Sens!J5256-base_fy-v_off</f>
        <v>4.74794520547945</v>
      </c>
      <c r="K5407" s="8" t="n">
        <f aca="false">Sens!K5256-base_fy-v_off</f>
        <v>5.74794520547945</v>
      </c>
    </row>
    <row r="5408" customFormat="false" ht="15" hidden="false" customHeight="false" outlineLevel="0" collapsed="false">
      <c r="A5408" s="1" t="s">
        <v>1215</v>
      </c>
      <c r="B5408" s="0" t="s">
        <v>229</v>
      </c>
      <c r="F5408" s="15" t="n">
        <f aca="false">1/(1+wacc)^Sens!F5406</f>
        <v>0.964022703286649</v>
      </c>
      <c r="G5408" s="15" t="n">
        <f aca="false">1/(1+wacc)^Sens!G5406</f>
        <v>0.884910302296739</v>
      </c>
      <c r="H5408" s="15" t="n">
        <f aca="false">1/(1+wacc)^Sens!H5406</f>
        <v>0.802322009770358</v>
      </c>
      <c r="I5408" s="15" t="n">
        <f aca="false">1/(1+wacc)^Sens!I5406</f>
        <v>0.727441646561469</v>
      </c>
      <c r="J5408" s="15" t="n">
        <f aca="false">1/(1+wacc)^Sens!J5406</f>
        <v>0.659549834988973</v>
      </c>
      <c r="K5408" s="15" t="n">
        <f aca="false">1/(1+wacc)^Sens!K5406</f>
        <v>0.597994336576966</v>
      </c>
    </row>
    <row r="5409" customFormat="false" ht="17.15" hidden="false" customHeight="false" outlineLevel="0" collapsed="false">
      <c r="A5409" s="1" t="s">
        <v>1216</v>
      </c>
      <c r="B5409" s="0" t="s">
        <v>98</v>
      </c>
      <c r="F5409" s="6" t="n">
        <f aca="false">Q!$I$35-Q!$I$39-Q!$I$43</f>
        <v>9.666</v>
      </c>
      <c r="L5409" s="12" t="s">
        <v>1217</v>
      </c>
    </row>
    <row r="5410" customFormat="false" ht="17.15" hidden="false" customHeight="false" outlineLevel="0" collapsed="false">
      <c r="A5410" s="1" t="s">
        <v>1218</v>
      </c>
      <c r="B5410" s="0" t="s">
        <v>98</v>
      </c>
      <c r="F5410" s="6" t="n">
        <f aca="false">Sens!F5381-Sens!F5378-Sens!F5385+Sens!F5363*(1-tax_f)*(1-v_off)-Sens!F5409</f>
        <v>-7.44154762744074</v>
      </c>
      <c r="G5410" s="6" t="n">
        <f aca="false">Sens!G5381-Sens!G5378-Sens!G5385+Sens!G5363*(1-tax_f)</f>
        <v>16.9311093244754</v>
      </c>
      <c r="H5410" s="6" t="n">
        <f aca="false">Sens!H5381-Sens!H5378-Sens!H5385+Sens!H5363*(1-tax_f)</f>
        <v>52.6658284038843</v>
      </c>
      <c r="I5410" s="6" t="n">
        <f aca="false">Sens!I5381-Sens!I5378-Sens!I5385+Sens!I5363*(1-tax_f)</f>
        <v>151.767602995097</v>
      </c>
      <c r="J5410" s="6" t="n">
        <f aca="false">Sens!J5381-Sens!J5378-Sens!J5385+Sens!J5363*(1-tax_f)</f>
        <v>210.048275356019</v>
      </c>
      <c r="K5410" s="6" t="n">
        <f aca="false">Sens!K5381-Sens!K5378-Sens!K5385+Sens!K5363*(1-tax_f)</f>
        <v>271.936845489391</v>
      </c>
      <c r="L5410" s="1" t="s">
        <v>1219</v>
      </c>
    </row>
    <row r="5411" customFormat="false" ht="15" hidden="false" customHeight="false" outlineLevel="0" collapsed="false">
      <c r="A5411" s="1" t="s">
        <v>1220</v>
      </c>
      <c r="B5411" s="0" t="s">
        <v>98</v>
      </c>
      <c r="F5411" s="6" t="n">
        <f aca="false">Sens!F5410*Sens!F5408</f>
        <v>-7.17382086044177</v>
      </c>
      <c r="G5411" s="6" t="n">
        <f aca="false">Sens!G5410*Sens!G5408</f>
        <v>14.9825130705406</v>
      </c>
      <c r="H5411" s="6" t="n">
        <f aca="false">Sens!H5410*Sens!H5408</f>
        <v>42.2549532912252</v>
      </c>
      <c r="I5411" s="6" t="n">
        <f aca="false">Sens!I5410*Sens!I5408</f>
        <v>110.40207501744</v>
      </c>
      <c r="J5411" s="6" t="n">
        <f aca="false">Sens!J5410*Sens!J5408</f>
        <v>138.53730535078</v>
      </c>
      <c r="K5411" s="6" t="n">
        <f aca="false">Sens!K5410*Sens!K5408</f>
        <v>162.616693509261</v>
      </c>
    </row>
    <row r="5412" customFormat="false" ht="17.15" hidden="false" customHeight="false" outlineLevel="0" collapsed="false">
      <c r="A5412" s="1" t="s">
        <v>1221</v>
      </c>
      <c r="B5412" s="0" t="s">
        <v>98</v>
      </c>
      <c r="C5412" s="6" t="n">
        <f aca="false">SUM(Sens!F5411:K5411)</f>
        <v>461.619719378806</v>
      </c>
    </row>
    <row r="5413" customFormat="false" ht="17.15" hidden="false" customHeight="false" outlineLevel="0" collapsed="false">
      <c r="A5413" s="1" t="s">
        <v>1222</v>
      </c>
      <c r="B5413" s="0" t="s">
        <v>98</v>
      </c>
      <c r="C5413" s="6" t="n">
        <f aca="false">Sens!K5349*(1+g_tv)*(1-tax_f)</f>
        <v>258.537906967296</v>
      </c>
    </row>
    <row r="5414" customFormat="false" ht="17.15" hidden="false" customHeight="false" outlineLevel="0" collapsed="false">
      <c r="A5414" s="1" t="s">
        <v>1223</v>
      </c>
      <c r="B5414" s="0" t="s">
        <v>98</v>
      </c>
      <c r="C5414" s="6" t="n">
        <f aca="false">Sens!$C$5413*(1-g_tv/(wacc+ronic_prem))</f>
        <v>183.189217664791</v>
      </c>
    </row>
    <row r="5415" customFormat="false" ht="17.15" hidden="false" customHeight="false" outlineLevel="0" collapsed="false">
      <c r="A5415" s="1" t="s">
        <v>1224</v>
      </c>
      <c r="B5415" s="0" t="s">
        <v>98</v>
      </c>
      <c r="C5415" s="6" t="n">
        <f aca="false">Sens!$C$5414/(wacc-g_tv)</f>
        <v>2511.62297675017</v>
      </c>
    </row>
    <row r="5416" customFormat="false" ht="15" hidden="false" customHeight="false" outlineLevel="0" collapsed="false">
      <c r="A5416" s="1" t="s">
        <v>1225</v>
      </c>
      <c r="B5416" s="0" t="s">
        <v>98</v>
      </c>
      <c r="C5416" s="6" t="n">
        <f aca="false">Sens!$C$5415/(1+wacc)^Sens!K5407</f>
        <v>1430.13239997399</v>
      </c>
    </row>
    <row r="5417" customFormat="false" ht="17.15" hidden="false" customHeight="false" outlineLevel="0" collapsed="false">
      <c r="A5417" s="0" t="s">
        <v>1226</v>
      </c>
      <c r="B5417" s="0" t="s">
        <v>98</v>
      </c>
      <c r="C5417" s="6" t="n">
        <f aca="false">Sens!$C$5412+Sens!$C$5416</f>
        <v>1891.7521193528</v>
      </c>
    </row>
    <row r="5418" customFormat="false" ht="15" hidden="false" customHeight="false" outlineLevel="0" collapsed="false">
      <c r="A5418" s="1" t="s">
        <v>1141</v>
      </c>
      <c r="B5418" s="0" t="s">
        <v>168</v>
      </c>
      <c r="C5418" s="7" t="n">
        <f aca="false">Sens!$C$5416/Sens!$C$5417</f>
        <v>0.755982977549546</v>
      </c>
    </row>
    <row r="5419" customFormat="false" ht="17.15" hidden="false" customHeight="false" outlineLevel="0" collapsed="false">
      <c r="A5419" s="1" t="s">
        <v>1227</v>
      </c>
      <c r="B5419" s="0" t="s">
        <v>98</v>
      </c>
      <c r="C5419" s="6" t="n">
        <f aca="false">Sens!$C$5417+cash_val-debt_val-fl_val+oai_v</f>
        <v>2007.6031193528</v>
      </c>
    </row>
    <row r="5420" customFormat="false" ht="17.15" hidden="false" customHeight="false" outlineLevel="0" collapsed="false">
      <c r="A5420" s="0" t="s">
        <v>1149</v>
      </c>
      <c r="B5420" s="0" t="s">
        <v>75</v>
      </c>
      <c r="C5420" s="5" t="n">
        <f aca="false">Sens!$C$5419/shd_val</f>
        <v>269.621692096803</v>
      </c>
    </row>
    <row r="5421" customFormat="false" ht="15" hidden="false" customHeight="false" outlineLevel="0" collapsed="false">
      <c r="A5421" s="1" t="s">
        <v>1228</v>
      </c>
      <c r="B5421" s="0" t="s">
        <v>75</v>
      </c>
      <c r="C5421" s="8" t="n">
        <f aca="false">div_rem27+Sens!G5389*roll_div_q/q_per_yr</f>
        <v>3.9795</v>
      </c>
    </row>
    <row r="5422" customFormat="false" ht="17.15" hidden="false" customHeight="false" outlineLevel="0" collapsed="false">
      <c r="A5422" s="0" t="s">
        <v>1229</v>
      </c>
      <c r="B5422" s="0" t="s">
        <v>75</v>
      </c>
      <c r="C5422" s="5" t="n">
        <f aca="false">Sens!$C$5420*(1+wacc)^t_roll-Sens!$C$5421</f>
        <v>295.720058552782</v>
      </c>
    </row>
    <row r="5423" customFormat="false" ht="17.15" hidden="false" customHeight="false" outlineLevel="0" collapsed="false">
      <c r="A5423" s="1" t="s">
        <v>1230</v>
      </c>
      <c r="B5423" s="0" t="s">
        <v>168</v>
      </c>
      <c r="F5423" s="7" t="n">
        <f aca="false">Sens!F5375/(Sens!F5320-Sens!F5275)</f>
        <v>0.0743151009290768</v>
      </c>
      <c r="G5423" s="7" t="n">
        <f aca="false">Sens!G5375/(Sens!G5320-Sens!G5275)</f>
        <v>0.0708725022965248</v>
      </c>
      <c r="H5423" s="7" t="n">
        <f aca="false">Sens!H5375/(Sens!H5320-Sens!H5275)</f>
        <v>0.0688547783333894</v>
      </c>
      <c r="I5423" s="7" t="n">
        <f aca="false">Sens!I5375/(Sens!I5320-Sens!I5275)</f>
        <v>0.0680764808966352</v>
      </c>
      <c r="J5423" s="7" t="n">
        <f aca="false">Sens!J5375/(Sens!J5320-Sens!J5275)</f>
        <v>0.0682832984417069</v>
      </c>
      <c r="K5423" s="7" t="n">
        <f aca="false">Sens!K5375/(Sens!K5320-Sens!K5275)</f>
        <v>0.069205678629284</v>
      </c>
    </row>
    <row r="5424" customFormat="false" ht="17.15" hidden="false" customHeight="false" outlineLevel="0" collapsed="false">
      <c r="A5424" s="0" t="s">
        <v>1231</v>
      </c>
      <c r="B5424" s="0" t="s">
        <v>98</v>
      </c>
      <c r="F5424" s="6" t="n">
        <f aca="false">Sens!F5305*(al_m365+Sens!F5423+sbc_r)</f>
        <v>83.580605049315</v>
      </c>
      <c r="G5424" s="6" t="n">
        <f aca="false">Sens!G5305*(al_m365+Sens!G5423+sbc_r)</f>
        <v>93.9113387365532</v>
      </c>
      <c r="H5424" s="6" t="n">
        <f aca="false">Sens!H5305*(al_m365+Sens!H5423+sbc_r)</f>
        <v>104.405761740967</v>
      </c>
      <c r="I5424" s="6" t="n">
        <f aca="false">Sens!I5305*(al_m365+Sens!I5423+sbc_r)</f>
        <v>114.387129779213</v>
      </c>
      <c r="J5424" s="6" t="n">
        <f aca="false">Sens!J5305*(al_m365+Sens!J5423+sbc_r)</f>
        <v>123.667471891871</v>
      </c>
      <c r="K5424" s="6" t="n">
        <f aca="false">Sens!K5305*(al_m365+Sens!K5423+sbc_r)</f>
        <v>132.555450219499</v>
      </c>
      <c r="L5424" s="12" t="s">
        <v>1232</v>
      </c>
    </row>
    <row r="5425" customFormat="false" ht="17.15" hidden="false" customHeight="false" outlineLevel="0" collapsed="false">
      <c r="A5425" s="0" t="s">
        <v>1233</v>
      </c>
      <c r="B5425" s="0" t="s">
        <v>98</v>
      </c>
      <c r="F5425" s="6" t="n">
        <f aca="false">Sens!F5306*(al_lic+Sens!F5423+sbc_r)</f>
        <v>33.0763896113029</v>
      </c>
      <c r="G5425" s="6" t="n">
        <f aca="false">Sens!G5306*(al_lic+Sens!G5423+sbc_r)</f>
        <v>34.3392455368101</v>
      </c>
      <c r="H5425" s="6" t="n">
        <f aca="false">Sens!H5306*(al_lic+Sens!H5423+sbc_r)</f>
        <v>35.5177972051667</v>
      </c>
      <c r="I5425" s="6" t="n">
        <f aca="false">Sens!I5306*(al_lic+Sens!I5423+sbc_r)</f>
        <v>36.5916719427911</v>
      </c>
      <c r="J5425" s="6" t="n">
        <f aca="false">Sens!J5306*(al_lic+Sens!J5423+sbc_r)</f>
        <v>37.5369819125356</v>
      </c>
      <c r="K5425" s="6" t="n">
        <f aca="false">Sens!K5306*(al_lic+Sens!K5423+sbc_r)</f>
        <v>38.3289944780147</v>
      </c>
    </row>
    <row r="5426" customFormat="false" ht="17.15" hidden="false" customHeight="false" outlineLevel="0" collapsed="false">
      <c r="A5426" s="0" t="s">
        <v>1234</v>
      </c>
      <c r="B5426" s="0" t="s">
        <v>98</v>
      </c>
      <c r="F5426" s="6" t="n">
        <f aca="false">Sens!F5308*(al_ind+Sens!F5423+sbc_r)</f>
        <v>9.18751957208216</v>
      </c>
      <c r="G5426" s="6" t="n">
        <f aca="false">Sens!G5308*(al_ind+Sens!G5423+sbc_r)</f>
        <v>9.95911750310591</v>
      </c>
      <c r="H5426" s="6" t="n">
        <f aca="false">Sens!H5308*(al_ind+Sens!H5423+sbc_r)</f>
        <v>10.7754559684846</v>
      </c>
      <c r="I5426" s="6" t="n">
        <f aca="false">Sens!I5308*(al_ind+Sens!I5423+sbc_r)</f>
        <v>11.6319951532168</v>
      </c>
      <c r="J5426" s="6" t="n">
        <f aca="false">Sens!J5308*(al_ind+Sens!J5423+sbc_r)</f>
        <v>12.5198620666903</v>
      </c>
      <c r="K5426" s="6" t="n">
        <f aca="false">Sens!K5308*(al_ind+Sens!K5423+sbc_r)</f>
        <v>13.4267120538424</v>
      </c>
    </row>
    <row r="5427" customFormat="false" ht="17.15" hidden="false" customHeight="false" outlineLevel="0" collapsed="false">
      <c r="A5427" s="0" t="s">
        <v>1235</v>
      </c>
      <c r="B5427" s="0" t="s">
        <v>98</v>
      </c>
      <c r="F5427" s="6" t="n">
        <f aca="false">Sens!F5310*(al_fro+Sens!F5423+sbc_r)</f>
        <v>3.6038866167391</v>
      </c>
      <c r="G5427" s="6" t="n">
        <f aca="false">Sens!G5310*(al_fro+Sens!G5423+sbc_r)</f>
        <v>3.81065023822522</v>
      </c>
      <c r="H5427" s="6" t="n">
        <f aca="false">Sens!H5310*(al_fro+Sens!H5423+sbc_r)</f>
        <v>4.04668945187293</v>
      </c>
      <c r="I5427" s="6" t="n">
        <f aca="false">Sens!I5310*(al_fro+Sens!I5423+sbc_r)</f>
        <v>4.31416714944376</v>
      </c>
      <c r="J5427" s="6" t="n">
        <f aca="false">Sens!J5310*(al_fro+Sens!J5423+sbc_r)</f>
        <v>4.61450859414014</v>
      </c>
      <c r="K5427" s="6" t="n">
        <f aca="false">Sens!K5310*(al_fro+Sens!K5423+sbc_r)</f>
        <v>4.94875085951163</v>
      </c>
    </row>
    <row r="5428" customFormat="false" ht="17.15" hidden="false" customHeight="false" outlineLevel="0" collapsed="false">
      <c r="A5428" s="0" t="s">
        <v>1236</v>
      </c>
      <c r="B5428" s="0" t="s">
        <v>98</v>
      </c>
      <c r="F5428" s="6" t="n">
        <f aca="false">Sens!F5313*(al_srch+Sens!F5423+sbc_r)</f>
        <v>11.3460546016552</v>
      </c>
      <c r="G5428" s="6" t="n">
        <f aca="false">Sens!G5313*(al_srch+Sens!G5423+sbc_r)</f>
        <v>12.4149785788077</v>
      </c>
      <c r="H5428" s="6" t="n">
        <f aca="false">Sens!H5313*(al_srch+Sens!H5423+sbc_r)</f>
        <v>13.5281832950799</v>
      </c>
      <c r="I5428" s="6" t="n">
        <f aca="false">Sens!I5313*(al_srch+Sens!I5423+sbc_r)</f>
        <v>14.6731678255133</v>
      </c>
      <c r="J5428" s="6" t="n">
        <f aca="false">Sens!J5313*(al_srch+Sens!J5423+sbc_r)</f>
        <v>15.8310208349641</v>
      </c>
      <c r="K5428" s="6" t="n">
        <f aca="false">Sens!K5313*(al_srch+Sens!K5423+sbc_r)</f>
        <v>16.977707672592</v>
      </c>
    </row>
    <row r="5429" customFormat="false" ht="17.15" hidden="false" customHeight="false" outlineLevel="0" collapsed="false">
      <c r="A5429" s="0" t="s">
        <v>1237</v>
      </c>
      <c r="B5429" s="0" t="s">
        <v>98</v>
      </c>
      <c r="F5429" s="6" t="n">
        <f aca="false">Sens!F5281-Sens!F5282+Sens!F5363</f>
        <v>39.0166451085986</v>
      </c>
      <c r="G5429" s="6" t="n">
        <f aca="false">Sens!G5281-Sens!G5282+Sens!G5363</f>
        <v>69.5393582146131</v>
      </c>
      <c r="H5429" s="6" t="n">
        <f aca="false">Sens!H5281-Sens!H5282+Sens!H5363</f>
        <v>96.9154295289138</v>
      </c>
      <c r="I5429" s="6" t="n">
        <f aca="false">Sens!I5281-Sens!I5282+Sens!I5363</f>
        <v>126.68542805868</v>
      </c>
      <c r="J5429" s="6" t="n">
        <f aca="false">Sens!J5281-Sens!J5282+Sens!J5363</f>
        <v>147.719206724592</v>
      </c>
      <c r="K5429" s="6" t="n">
        <f aca="false">Sens!K5281-Sens!K5282+Sens!K5363</f>
        <v>159.345621836718</v>
      </c>
    </row>
    <row r="5430" customFormat="false" ht="17.15" hidden="false" customHeight="false" outlineLevel="0" collapsed="false">
      <c r="A5430" s="0" t="s">
        <v>1238</v>
      </c>
      <c r="B5430" s="0" t="s">
        <v>98</v>
      </c>
      <c r="F5430" s="6" t="n">
        <f aca="false">Sens!F5342+Sens!F5363+Sens!F5293+Sens!F5423*(Sens!F5312-Sens!F5275)+sbc_r*Sens!F5312</f>
        <v>233.436935036927</v>
      </c>
      <c r="G5430" s="6" t="n">
        <f aca="false">Sens!G5342+Sens!G5363+Sens!G5293+Sens!G5423*(Sens!G5312-Sens!G5275)+sbc_r*Sens!G5312</f>
        <v>284.184706164449</v>
      </c>
      <c r="H5430" s="6" t="n">
        <f aca="false">Sens!H5342+Sens!H5363+Sens!H5293+Sens!H5423*(Sens!H5312-Sens!H5275)+sbc_r*Sens!H5312</f>
        <v>336.511052295421</v>
      </c>
      <c r="I5430" s="6" t="n">
        <f aca="false">Sens!I5342+Sens!I5363+Sens!I5293+Sens!I5423*(Sens!I5312-Sens!I5275)+sbc_r*Sens!I5312</f>
        <v>390.601837591863</v>
      </c>
      <c r="J5430" s="6" t="n">
        <f aca="false">Sens!J5342+Sens!J5363+Sens!J5293+Sens!J5423*(Sens!J5312-Sens!J5275)+sbc_r*Sens!J5312</f>
        <v>434.079743042872</v>
      </c>
      <c r="K5430" s="6" t="n">
        <f aca="false">Sens!K5342+Sens!K5363+Sens!K5293+Sens!K5423*(Sens!K5312-Sens!K5275)+sbc_r*Sens!K5312</f>
        <v>465.816776059091</v>
      </c>
    </row>
    <row r="5431" customFormat="false" ht="17.15" hidden="false" customHeight="false" outlineLevel="0" collapsed="false">
      <c r="A5431" s="0" t="s">
        <v>1239</v>
      </c>
      <c r="B5431" s="0" t="s">
        <v>98</v>
      </c>
      <c r="F5431" s="6" t="n">
        <f aca="false">Sens!F5430-Sens!F5424-Sens!F5425-Sens!F5426-Sens!F5427-Sens!F5429</f>
        <v>64.9718890788892</v>
      </c>
      <c r="G5431" s="6" t="n">
        <f aca="false">Sens!G5430-Sens!G5424-Sens!G5425-Sens!G5426-Sens!G5427-Sens!G5429</f>
        <v>72.6249959351419</v>
      </c>
      <c r="H5431" s="6" t="n">
        <f aca="false">Sens!H5430-Sens!H5424-Sens!H5425-Sens!H5426-Sens!H5427-Sens!H5429</f>
        <v>84.8499184000162</v>
      </c>
      <c r="I5431" s="6" t="n">
        <f aca="false">Sens!I5430-Sens!I5424-Sens!I5425-Sens!I5426-Sens!I5427-Sens!I5429</f>
        <v>96.9914455085177</v>
      </c>
      <c r="J5431" s="6" t="n">
        <f aca="false">Sens!J5430-Sens!J5424-Sens!J5425-Sens!J5426-Sens!J5427-Sens!J5429</f>
        <v>108.021711853043</v>
      </c>
      <c r="K5431" s="6" t="n">
        <f aca="false">Sens!K5430-Sens!K5424-Sens!K5425-Sens!K5426-Sens!K5427-Sens!K5429</f>
        <v>117.211246611506</v>
      </c>
    </row>
    <row r="5432" customFormat="false" ht="17.15" hidden="false" customHeight="false" outlineLevel="0" collapsed="false">
      <c r="A5432" s="0" t="s">
        <v>1240</v>
      </c>
      <c r="B5432" s="0" t="s">
        <v>98</v>
      </c>
      <c r="F5432" s="6" t="n">
        <f aca="false">Sens!F5344+Sens!F5423*Sens!F5319+sbc_r*Sens!F5319</f>
        <v>26.9998737484901</v>
      </c>
      <c r="G5432" s="6" t="n">
        <f aca="false">Sens!G5344+Sens!G5423*Sens!G5319+sbc_r*Sens!G5319</f>
        <v>26.8060586959893</v>
      </c>
      <c r="H5432" s="6" t="n">
        <f aca="false">Sens!H5344+Sens!H5423*Sens!H5319+sbc_r*Sens!H5319</f>
        <v>27.6536157427949</v>
      </c>
      <c r="I5432" s="6" t="n">
        <f aca="false">Sens!I5344+Sens!I5423*Sens!I5319+sbc_r*Sens!I5319</f>
        <v>28.7371208376188</v>
      </c>
      <c r="J5432" s="6" t="n">
        <f aca="false">Sens!J5344+Sens!J5423*Sens!J5319+sbc_r*Sens!J5319</f>
        <v>30.0228015580833</v>
      </c>
      <c r="K5432" s="6" t="n">
        <f aca="false">Sens!K5344+Sens!K5423*Sens!K5319+sbc_r*Sens!K5319</f>
        <v>31.4794956465692</v>
      </c>
    </row>
    <row r="5433" customFormat="false" ht="17.15" hidden="false" customHeight="false" outlineLevel="0" collapsed="false">
      <c r="A5433" s="0" t="s">
        <v>1241</v>
      </c>
      <c r="B5433" s="0" t="s">
        <v>98</v>
      </c>
      <c r="F5433" s="6" t="n">
        <f aca="false">(Sens!F5432-Sens!F5428)*Sens!F5315/(Sens!F5315+Sens!F5317)</f>
        <v>8.84105036344036</v>
      </c>
      <c r="G5433" s="6" t="n">
        <f aca="false">(Sens!G5432-Sens!G5428)*Sens!G5315/(Sens!G5315+Sens!G5317)</f>
        <v>7.98818567151697</v>
      </c>
      <c r="H5433" s="6" t="n">
        <f aca="false">(Sens!H5432-Sens!H5428)*Sens!H5315/(Sens!H5315+Sens!H5317)</f>
        <v>7.73858874154065</v>
      </c>
      <c r="I5433" s="6" t="n">
        <f aca="false">(Sens!I5432-Sens!I5428)*Sens!I5315/(Sens!I5315+Sens!I5317)</f>
        <v>7.63765543158718</v>
      </c>
      <c r="J5433" s="6" t="n">
        <f aca="false">(Sens!J5432-Sens!J5428)*Sens!J5315/(Sens!J5315+Sens!J5317)</f>
        <v>7.67344872132122</v>
      </c>
      <c r="K5433" s="6" t="n">
        <f aca="false">(Sens!K5432-Sens!K5428)*Sens!K5315/(Sens!K5315+Sens!K5317)</f>
        <v>7.84106861265884</v>
      </c>
    </row>
    <row r="5434" customFormat="false" ht="17.15" hidden="false" customHeight="false" outlineLevel="0" collapsed="false">
      <c r="A5434" s="0" t="s">
        <v>1242</v>
      </c>
      <c r="B5434" s="0" t="s">
        <v>98</v>
      </c>
      <c r="F5434" s="6" t="n">
        <f aca="false">Sens!F5432-Sens!F5428-Sens!F5433</f>
        <v>6.81276878339454</v>
      </c>
      <c r="G5434" s="6" t="n">
        <f aca="false">Sens!G5432-Sens!G5428-Sens!G5433</f>
        <v>6.40289444566469</v>
      </c>
      <c r="H5434" s="6" t="n">
        <f aca="false">Sens!H5432-Sens!H5428-Sens!H5433</f>
        <v>6.38684370617431</v>
      </c>
      <c r="I5434" s="6" t="n">
        <f aca="false">Sens!I5432-Sens!I5428-Sens!I5433</f>
        <v>6.42629758051826</v>
      </c>
      <c r="J5434" s="6" t="n">
        <f aca="false">Sens!J5432-Sens!J5428-Sens!J5433</f>
        <v>6.518332001798</v>
      </c>
      <c r="K5434" s="6" t="n">
        <f aca="false">Sens!K5432-Sens!K5428-Sens!K5433</f>
        <v>6.66071936131837</v>
      </c>
    </row>
    <row r="5435" customFormat="false" ht="17.15" hidden="false" customHeight="false" outlineLevel="0" collapsed="false">
      <c r="A5435" s="0" t="s">
        <v>1243</v>
      </c>
      <c r="B5435" s="0" t="s">
        <v>98</v>
      </c>
      <c r="F5435" s="6" t="n">
        <f aca="false">Sens!F5429-tax_f*(Sens!F5429-Sens!F5293)-Sens!F5290</f>
        <v>-131.241024630583</v>
      </c>
      <c r="G5435" s="6" t="n">
        <f aca="false">Sens!G5429-tax_f*(Sens!G5429-Sens!G5293)-Sens!G5290</f>
        <v>-125.782195280427</v>
      </c>
      <c r="H5435" s="6" t="n">
        <f aca="false">Sens!H5429-tax_f*(Sens!H5429-Sens!H5293)-Sens!H5290</f>
        <v>-103.830842071858</v>
      </c>
      <c r="I5435" s="6" t="n">
        <f aca="false">Sens!I5429-tax_f*(Sens!I5429-Sens!I5293)-Sens!I5290</f>
        <v>-18.4072874534066</v>
      </c>
      <c r="J5435" s="6" t="n">
        <f aca="false">Sens!J5429-tax_f*(Sens!J5429-Sens!J5293)-Sens!J5290</f>
        <v>26.7557705990302</v>
      </c>
      <c r="K5435" s="6" t="n">
        <f aca="false">Sens!K5429-tax_f*(Sens!K5429-Sens!K5293)-Sens!K5290</f>
        <v>76.3000450650381</v>
      </c>
    </row>
    <row r="5436" customFormat="false" ht="17.15" hidden="false" customHeight="false" outlineLevel="0" collapsed="false">
      <c r="A5436" s="0" t="s">
        <v>1244</v>
      </c>
      <c r="B5436" s="0" t="s">
        <v>98</v>
      </c>
      <c r="G5436" s="6" t="n">
        <f aca="false">Sens!G5435/(1+wacc)^(Sens!G5406-Sens!F5407)</f>
        <v>-119.768854996343</v>
      </c>
      <c r="H5436" s="6" t="n">
        <f aca="false">Sens!H5435/(1+wacc)^(Sens!H5406-Sens!F5407)</f>
        <v>-89.639733880577</v>
      </c>
      <c r="I5436" s="6" t="n">
        <f aca="false">Sens!I5435/(1+wacc)^(Sens!I5406-Sens!F5407)</f>
        <v>-14.4083228661415</v>
      </c>
      <c r="J5436" s="6" t="n">
        <f aca="false">Sens!J5435/(1+wacc)^(Sens!J5406-Sens!F5407)</f>
        <v>18.9884954961429</v>
      </c>
      <c r="K5436" s="6" t="n">
        <f aca="false">Sens!K5435/(1+wacc)^(Sens!K5406-Sens!F5407)</f>
        <v>49.0961391968316</v>
      </c>
      <c r="L5436" s="1" t="s">
        <v>1245</v>
      </c>
    </row>
    <row r="5437" customFormat="false" ht="17.15" hidden="false" customHeight="false" outlineLevel="0" collapsed="false">
      <c r="A5437" s="0" t="s">
        <v>1246</v>
      </c>
      <c r="B5437" s="0" t="s">
        <v>98</v>
      </c>
      <c r="C5437" s="6" t="n">
        <f aca="false">(Sens!K5429-Sens!K5293)*(1-tax_f)*(1+g_tv)*(1-g_tv/(wacc+ronic_prem))/(wacc-g_tv)/(1+wacc)^(Sens!K5407-Sens!F5407)</f>
        <v>184.56749133006</v>
      </c>
    </row>
    <row r="5438" customFormat="false" ht="17.15" hidden="false" customHeight="false" outlineLevel="0" collapsed="false">
      <c r="A5438" s="1" t="s">
        <v>1247</v>
      </c>
      <c r="B5438" s="0" t="s">
        <v>98</v>
      </c>
      <c r="C5438" s="6" t="n">
        <f aca="false">(SUM(Sens!G5436:K5436)+Sens!$C$5437)*(1+wacc)^(t_roll-Sens!F5407)</f>
        <v>29.7871519075152</v>
      </c>
      <c r="L5438" s="12" t="s">
        <v>1248</v>
      </c>
    </row>
    <row r="5439" customFormat="false" ht="17.15" hidden="false" customHeight="false" outlineLevel="0" collapsed="false">
      <c r="A5439" s="1" t="s">
        <v>1249</v>
      </c>
      <c r="B5439" s="0" t="s">
        <v>98</v>
      </c>
      <c r="C5439" s="6" t="n">
        <f aca="false">(w_ntm28*Sens!G5281+(1-w_ntm28)*Sens!H5281)*m_ai</f>
        <v>344.355829012336</v>
      </c>
    </row>
    <row r="5440" customFormat="false" ht="17.15" hidden="false" customHeight="false" outlineLevel="0" collapsed="false">
      <c r="A5440" s="1" t="s">
        <v>1250</v>
      </c>
      <c r="B5440" s="0" t="s">
        <v>98</v>
      </c>
      <c r="C5440" s="6" t="n">
        <f aca="false">(w_ntm28*Sens!G5431+(1-w_ntm28)*Sens!H5431)*m_cloud</f>
        <v>1059.22213263393</v>
      </c>
    </row>
    <row r="5441" customFormat="false" ht="17.15" hidden="false" customHeight="false" outlineLevel="0" collapsed="false">
      <c r="A5441" s="1" t="s">
        <v>1251</v>
      </c>
      <c r="B5441" s="0" t="s">
        <v>98</v>
      </c>
      <c r="C5441" s="6" t="n">
        <f aca="false">(w_ntm28*Sens!G5424+(1-w_ntm28)*Sens!H5424)*m_sw</f>
        <v>1051.50484798141</v>
      </c>
    </row>
    <row r="5442" customFormat="false" ht="17.15" hidden="false" customHeight="false" outlineLevel="0" collapsed="false">
      <c r="A5442" s="1" t="s">
        <v>1252</v>
      </c>
      <c r="B5442" s="0" t="s">
        <v>98</v>
      </c>
      <c r="C5442" s="6" t="n">
        <f aca="false">(w_ntm28*Sens!G5425+(1-w_ntm28)*Sens!H5425)*m_sw</f>
        <v>375.048517447385</v>
      </c>
    </row>
    <row r="5443" customFormat="false" ht="17.15" hidden="false" customHeight="false" outlineLevel="0" collapsed="false">
      <c r="A5443" s="1" t="s">
        <v>1253</v>
      </c>
      <c r="B5443" s="0" t="s">
        <v>98</v>
      </c>
      <c r="C5443" s="6" t="n">
        <f aca="false">(w_ntm28*Sens!G5426+(1-w_ntm28)*Sens!H5426)*m_sw</f>
        <v>110.457029721573</v>
      </c>
    </row>
    <row r="5444" customFormat="false" ht="17.15" hidden="false" customHeight="false" outlineLevel="0" collapsed="false">
      <c r="A5444" s="1" t="s">
        <v>1254</v>
      </c>
      <c r="B5444" s="0" t="s">
        <v>98</v>
      </c>
      <c r="C5444" s="6" t="n">
        <f aca="false">(w_ntm28*Sens!G5427+(1-w_ntm28)*Sens!H5427)*m_sw</f>
        <v>41.993123451976</v>
      </c>
    </row>
    <row r="5445" customFormat="false" ht="17.15" hidden="false" customHeight="false" outlineLevel="0" collapsed="false">
      <c r="A5445" s="1" t="s">
        <v>1255</v>
      </c>
      <c r="B5445" s="0" t="s">
        <v>98</v>
      </c>
      <c r="C5445" s="6" t="n">
        <f aca="false">(w_ntm28*Sens!G5428+(1-w_ntm28)*Sens!H5428)*m_ads</f>
        <v>116.434579225072</v>
      </c>
    </row>
    <row r="5446" customFormat="false" ht="17.15" hidden="false" customHeight="false" outlineLevel="0" collapsed="false">
      <c r="A5446" s="1" t="s">
        <v>1256</v>
      </c>
      <c r="B5446" s="0" t="s">
        <v>98</v>
      </c>
      <c r="C5446" s="6" t="n">
        <f aca="false">(w_ntm28*Sens!G5433+(1-w_ntm28)*Sens!H5433)*m_game</f>
        <v>99.854376518733</v>
      </c>
    </row>
    <row r="5447" customFormat="false" ht="17.15" hidden="false" customHeight="false" outlineLevel="0" collapsed="false">
      <c r="A5447" s="1" t="s">
        <v>1257</v>
      </c>
      <c r="B5447" s="0" t="s">
        <v>98</v>
      </c>
      <c r="C5447" s="6" t="n">
        <f aca="false">(w_ntm28*Sens!G5434+(1-w_ntm28)*Sens!H5434)*m_pc</f>
        <v>92.5735250834226</v>
      </c>
    </row>
    <row r="5448" customFormat="false" ht="17.15" hidden="false" customHeight="false" outlineLevel="0" collapsed="false">
      <c r="A5448" s="1" t="s">
        <v>1258</v>
      </c>
      <c r="B5448" s="0" t="s">
        <v>98</v>
      </c>
      <c r="C5448" s="6" t="n">
        <f aca="false">Sens!$C$5438+Sens!$C$5440+Sens!$C$5441+Sens!$C$5442+Sens!$C$5443+Sens!$C$5444+Sens!$C$5445+Sens!$C$5446+Sens!$C$5447</f>
        <v>2976.87528397101</v>
      </c>
    </row>
    <row r="5449" customFormat="false" ht="17.15" hidden="false" customHeight="false" outlineLevel="0" collapsed="false">
      <c r="A5449" s="1" t="s">
        <v>1259</v>
      </c>
      <c r="B5449" s="0" t="s">
        <v>98</v>
      </c>
      <c r="C5449" s="6" t="n">
        <f aca="false">(Sens!G5410-Sens!G5435)*t_stub</f>
        <v>47.3104379649129</v>
      </c>
      <c r="L5449" s="1" t="s">
        <v>1260</v>
      </c>
    </row>
    <row r="5450" customFormat="false" ht="17.15" hidden="false" customHeight="false" outlineLevel="0" collapsed="false">
      <c r="A5450" s="1" t="s">
        <v>1169</v>
      </c>
      <c r="B5450" s="0" t="s">
        <v>98</v>
      </c>
      <c r="C5450" s="6" t="n">
        <f aca="false">Sens!F5397+oai_v-Sens!F5386+Sens!$C$5449</f>
        <v>157.01494633414</v>
      </c>
      <c r="L5450" s="1" t="s">
        <v>1261</v>
      </c>
    </row>
    <row r="5451" customFormat="false" ht="17.15" hidden="false" customHeight="false" outlineLevel="0" collapsed="false">
      <c r="A5451" s="1" t="s">
        <v>1262</v>
      </c>
      <c r="B5451" s="0" t="s">
        <v>75</v>
      </c>
      <c r="C5451" s="5" t="n">
        <f aca="false">(Sens!$C$5448+Sens!$C$5450)/(Sens!F5399+dil_gap)-Sens!G5389*roll_div_q/q_per_yr</f>
        <v>417.035504042843</v>
      </c>
      <c r="L5451" s="1" t="s">
        <v>1263</v>
      </c>
    </row>
    <row r="5452" customFormat="false" ht="17.15" hidden="false" customHeight="false" outlineLevel="0" collapsed="false">
      <c r="A5452" s="1" t="s">
        <v>1264</v>
      </c>
      <c r="B5452" s="0" t="s">
        <v>75</v>
      </c>
      <c r="C5452" s="5" t="n">
        <f aca="false">w_dcf*Sens!$C$5422+(1-w_dcf)*Sens!$C$5451</f>
        <v>356.377781297813</v>
      </c>
    </row>
    <row r="5453" customFormat="false" ht="17.15" hidden="false" customHeight="false" outlineLevel="0" collapsed="false">
      <c r="A5453" s="3" t="s">
        <v>1615</v>
      </c>
    </row>
    <row r="5454" customFormat="false" ht="15" hidden="false" customHeight="false" outlineLevel="0" collapsed="false">
      <c r="A5454" s="4" t="s">
        <v>43</v>
      </c>
      <c r="B5454" s="4" t="s">
        <v>65</v>
      </c>
      <c r="C5454" s="23" t="s">
        <v>938</v>
      </c>
      <c r="D5454" s="23" t="s">
        <v>939</v>
      </c>
      <c r="E5454" s="23" t="s">
        <v>940</v>
      </c>
      <c r="F5454" s="23" t="s">
        <v>941</v>
      </c>
      <c r="G5454" s="23" t="s">
        <v>942</v>
      </c>
      <c r="H5454" s="23" t="s">
        <v>943</v>
      </c>
      <c r="I5454" s="23" t="s">
        <v>944</v>
      </c>
      <c r="J5454" s="23" t="s">
        <v>945</v>
      </c>
      <c r="K5454" s="23" t="s">
        <v>946</v>
      </c>
      <c r="L5454" s="4" t="s">
        <v>47</v>
      </c>
    </row>
    <row r="5455" customFormat="false" ht="17.15" hidden="false" customHeight="false" outlineLevel="0" collapsed="false">
      <c r="A5455" s="1" t="s">
        <v>947</v>
      </c>
      <c r="B5455" s="1" t="s">
        <v>279</v>
      </c>
      <c r="C5455" s="21" t="n">
        <v>2024</v>
      </c>
      <c r="D5455" s="21" t="n">
        <v>2025</v>
      </c>
      <c r="E5455" s="21" t="n">
        <v>2026</v>
      </c>
      <c r="F5455" s="21" t="n">
        <v>2027</v>
      </c>
      <c r="G5455" s="21" t="n">
        <v>2028</v>
      </c>
      <c r="H5455" s="21" t="n">
        <v>2029</v>
      </c>
      <c r="I5455" s="21" t="n">
        <v>2030</v>
      </c>
      <c r="J5455" s="21" t="n">
        <v>2031</v>
      </c>
      <c r="K5455" s="21" t="n">
        <v>2032</v>
      </c>
    </row>
    <row r="5456" customFormat="false" ht="17.15" hidden="false" customHeight="false" outlineLevel="0" collapsed="false">
      <c r="A5456" s="1" t="s">
        <v>948</v>
      </c>
      <c r="B5456" s="0" t="s">
        <v>456</v>
      </c>
      <c r="F5456" s="30" t="n">
        <f aca="false">pace</f>
        <v>2726.5351</v>
      </c>
      <c r="G5456" s="30" t="n">
        <f aca="false">pace</f>
        <v>2726.5351</v>
      </c>
      <c r="H5456" s="30" t="n">
        <f aca="false">pace</f>
        <v>2726.5351</v>
      </c>
      <c r="I5456" s="30" t="n">
        <f aca="false">pace+(g_tv*Sens!H5457-pace)*MIN(1,(Sens!I5455-pace_y0)/(pace_y1-pace_y0))</f>
        <v>1931.98611966667</v>
      </c>
      <c r="J5456" s="30" t="n">
        <f aca="false">pace+(g_tv*Sens!I5457-pace)*MIN(1,(Sens!J5455-pace_y0)/(pace_y1-pace_y0))</f>
        <v>1176.07686172667</v>
      </c>
      <c r="K5456" s="30" t="n">
        <f aca="false">pace+(g_tv*Sens!J5457-pace)*MIN(1,(Sens!K5455-pace_y0)/(pace_y1-pace_y0))</f>
        <v>436.1300484418</v>
      </c>
      <c r="L5456" s="12" t="s">
        <v>949</v>
      </c>
    </row>
    <row r="5457" customFormat="false" ht="17.15" hidden="false" customHeight="false" outlineLevel="0" collapsed="false">
      <c r="A5457" s="1" t="s">
        <v>950</v>
      </c>
      <c r="B5457" s="0" t="s">
        <v>456</v>
      </c>
      <c r="C5457" s="30" t="n">
        <f aca="false">mw_ext_24</f>
        <v>640</v>
      </c>
      <c r="D5457" s="30" t="n">
        <f aca="false">mw_ext_25</f>
        <v>1630</v>
      </c>
      <c r="E5457" s="30" t="n">
        <f aca="false">mw_ext_26</f>
        <v>3250</v>
      </c>
      <c r="F5457" s="30" t="n">
        <f aca="false">Sens!E5457+Sens!F5456</f>
        <v>5976.5351</v>
      </c>
      <c r="G5457" s="30" t="n">
        <f aca="false">Sens!F5457+Sens!G5456</f>
        <v>8703.0702</v>
      </c>
      <c r="H5457" s="30" t="n">
        <f aca="false">Sens!G5457+Sens!H5456</f>
        <v>11429.6053</v>
      </c>
      <c r="I5457" s="30" t="n">
        <f aca="false">Sens!H5457+Sens!I5456</f>
        <v>13361.5914196667</v>
      </c>
      <c r="J5457" s="30" t="n">
        <f aca="false">Sens!I5457+Sens!J5456</f>
        <v>14537.6682813933</v>
      </c>
      <c r="K5457" s="30" t="n">
        <f aca="false">Sens!J5457+Sens!K5456</f>
        <v>14973.7983298351</v>
      </c>
      <c r="L5457" s="1" t="s">
        <v>951</v>
      </c>
    </row>
    <row r="5458" customFormat="false" ht="17.15" hidden="false" customHeight="false" outlineLevel="0" collapsed="false">
      <c r="A5458" s="1" t="s">
        <v>952</v>
      </c>
      <c r="B5458" s="0" t="s">
        <v>456</v>
      </c>
      <c r="C5458" s="30" t="n">
        <f aca="false">rent_ext_24</f>
        <v>150</v>
      </c>
      <c r="D5458" s="30" t="n">
        <f aca="false">rent_ext_25</f>
        <v>400</v>
      </c>
      <c r="E5458" s="30" t="n">
        <f aca="false">rent_ext_26</f>
        <v>550</v>
      </c>
      <c r="F5458" s="30" t="n">
        <f aca="false">rent_ext_f</f>
        <v>756</v>
      </c>
      <c r="G5458" s="30" t="n">
        <f aca="false">rent_ext_f</f>
        <v>756</v>
      </c>
      <c r="H5458" s="30" t="n">
        <f aca="false">rent_ext_f</f>
        <v>756</v>
      </c>
      <c r="I5458" s="30" t="n">
        <f aca="false">rent_ext_f</f>
        <v>756</v>
      </c>
      <c r="J5458" s="30" t="n">
        <f aca="false">rent_ext_f</f>
        <v>756</v>
      </c>
      <c r="K5458" s="30" t="n">
        <f aca="false">rent_ext_f</f>
        <v>756</v>
      </c>
      <c r="L5458" s="1" t="s">
        <v>953</v>
      </c>
    </row>
    <row r="5459" customFormat="false" ht="17.15" hidden="false" customHeight="false" outlineLevel="0" collapsed="false">
      <c r="A5459" s="1" t="s">
        <v>954</v>
      </c>
      <c r="B5459" s="0" t="s">
        <v>456</v>
      </c>
      <c r="C5459" s="30" t="n">
        <f aca="false">Sens!C5457-Sens!C5458</f>
        <v>490</v>
      </c>
      <c r="D5459" s="30" t="n">
        <f aca="false">Sens!D5457-Sens!D5458</f>
        <v>1230</v>
      </c>
      <c r="E5459" s="30" t="n">
        <f aca="false">Sens!E5457-Sens!E5458</f>
        <v>2700</v>
      </c>
      <c r="F5459" s="30" t="n">
        <f aca="false">Sens!F5457-Sens!F5458</f>
        <v>5220.5351</v>
      </c>
      <c r="G5459" s="30" t="n">
        <f aca="false">Sens!G5457-Sens!G5458</f>
        <v>7947.0702</v>
      </c>
      <c r="H5459" s="30" t="n">
        <f aca="false">Sens!H5457-Sens!H5458</f>
        <v>10673.6053</v>
      </c>
      <c r="I5459" s="30" t="n">
        <f aca="false">Sens!I5457-Sens!I5458</f>
        <v>12605.5914196667</v>
      </c>
      <c r="J5459" s="30" t="n">
        <f aca="false">Sens!J5457-Sens!J5458</f>
        <v>13781.6682813933</v>
      </c>
      <c r="K5459" s="30" t="n">
        <f aca="false">Sens!K5457-Sens!K5458</f>
        <v>14217.7983298351</v>
      </c>
    </row>
    <row r="5460" customFormat="false" ht="17.15" hidden="false" customHeight="false" outlineLevel="0" collapsed="false">
      <c r="A5460" s="1" t="s">
        <v>955</v>
      </c>
      <c r="B5460" s="0" t="s">
        <v>456</v>
      </c>
      <c r="C5460" s="30" t="n">
        <f aca="false">Sens!C5459/ext_sh</f>
        <v>816.666666666667</v>
      </c>
      <c r="D5460" s="30" t="n">
        <f aca="false">Sens!D5459/ext_sh</f>
        <v>2050</v>
      </c>
      <c r="E5460" s="30" t="n">
        <f aca="false">Sens!E5459/ext_sh</f>
        <v>4500</v>
      </c>
      <c r="F5460" s="30" t="n">
        <f aca="false">Sens!F5459/ext_sh</f>
        <v>8700.89183333333</v>
      </c>
      <c r="G5460" s="30" t="n">
        <f aca="false">Sens!G5459/ext_sh</f>
        <v>13245.117</v>
      </c>
      <c r="H5460" s="30" t="n">
        <f aca="false">Sens!H5459/ext_sh</f>
        <v>17789.3421666667</v>
      </c>
      <c r="I5460" s="30" t="n">
        <f aca="false">Sens!I5459/ext_sh</f>
        <v>21009.3190327778</v>
      </c>
      <c r="J5460" s="30" t="n">
        <f aca="false">Sens!J5459/ext_sh</f>
        <v>22969.4471356556</v>
      </c>
      <c r="K5460" s="30" t="n">
        <f aca="false">Sens!K5459/ext_sh</f>
        <v>23696.3305497252</v>
      </c>
      <c r="L5460" s="1" t="s">
        <v>956</v>
      </c>
    </row>
    <row r="5461" customFormat="false" ht="17.15" hidden="false" customHeight="false" outlineLevel="0" collapsed="false">
      <c r="A5461" s="1" t="s">
        <v>957</v>
      </c>
      <c r="B5461" s="0" t="s">
        <v>456</v>
      </c>
      <c r="C5461" s="30" t="n">
        <f aca="false">Sens!C5460-Sens!C5459</f>
        <v>326.666666666667</v>
      </c>
      <c r="D5461" s="30" t="n">
        <f aca="false">Sens!D5460-Sens!D5459</f>
        <v>820</v>
      </c>
      <c r="E5461" s="30" t="n">
        <f aca="false">Sens!E5460-Sens!E5459</f>
        <v>1800</v>
      </c>
      <c r="F5461" s="30" t="n">
        <f aca="false">Sens!F5460-Sens!F5459</f>
        <v>3480.35673333333</v>
      </c>
      <c r="G5461" s="30" t="n">
        <f aca="false">Sens!G5460-Sens!G5459</f>
        <v>5298.0468</v>
      </c>
      <c r="H5461" s="30" t="n">
        <f aca="false">Sens!H5460-Sens!H5459</f>
        <v>7115.73686666667</v>
      </c>
      <c r="I5461" s="30" t="n">
        <f aca="false">Sens!I5460-Sens!I5459</f>
        <v>8403.72761311111</v>
      </c>
      <c r="J5461" s="30" t="n">
        <f aca="false">Sens!J5460-Sens!J5459</f>
        <v>9187.77885426222</v>
      </c>
      <c r="K5461" s="30" t="n">
        <f aca="false">Sens!K5460-Sens!K5459</f>
        <v>9478.53221989009</v>
      </c>
    </row>
    <row r="5462" customFormat="false" ht="17.15" hidden="false" customHeight="false" outlineLevel="0" collapsed="false">
      <c r="A5462" s="1" t="s">
        <v>958</v>
      </c>
      <c r="B5462" s="0" t="s">
        <v>456</v>
      </c>
      <c r="C5462" s="30" t="n">
        <f aca="false">Sens!C5460</f>
        <v>816.666666666667</v>
      </c>
      <c r="D5462" s="30" t="n">
        <f aca="false">Sens!D5460-Sens!C5460</f>
        <v>1233.33333333333</v>
      </c>
      <c r="E5462" s="30" t="n">
        <f aca="false">Sens!E5460-Sens!D5460</f>
        <v>2450</v>
      </c>
      <c r="F5462" s="30" t="n">
        <f aca="false">Sens!F5460-Sens!E5460</f>
        <v>4200.89183333333</v>
      </c>
      <c r="G5462" s="30" t="n">
        <f aca="false">Sens!G5460-Sens!F5460</f>
        <v>4544.22516666667</v>
      </c>
      <c r="H5462" s="30" t="n">
        <f aca="false">Sens!H5460-Sens!G5460</f>
        <v>4544.22516666667</v>
      </c>
      <c r="I5462" s="30" t="n">
        <f aca="false">Sens!I5460-Sens!H5460</f>
        <v>3219.97686611111</v>
      </c>
      <c r="J5462" s="30" t="n">
        <f aca="false">Sens!J5460-Sens!I5460</f>
        <v>1960.12810287778</v>
      </c>
      <c r="K5462" s="30" t="n">
        <f aca="false">Sens!K5460-Sens!J5460</f>
        <v>726.883414069667</v>
      </c>
    </row>
    <row r="5463" customFormat="false" ht="17.15" hidden="false" customHeight="false" outlineLevel="0" collapsed="false">
      <c r="A5463" s="1" t="s">
        <v>959</v>
      </c>
      <c r="B5463" s="0" t="s">
        <v>456</v>
      </c>
      <c r="D5463" s="30" t="n">
        <f aca="false">Sens!D5457-Sens!C5457</f>
        <v>990</v>
      </c>
      <c r="E5463" s="30" t="n">
        <f aca="false">Sens!E5457-Sens!D5457</f>
        <v>1620</v>
      </c>
      <c r="F5463" s="30" t="n">
        <f aca="false">Sens!F5457-Sens!E5457</f>
        <v>2726.5351</v>
      </c>
      <c r="G5463" s="30" t="n">
        <f aca="false">Sens!G5457-Sens!F5457</f>
        <v>2726.5351</v>
      </c>
      <c r="H5463" s="30" t="n">
        <f aca="false">Sens!H5457-Sens!G5457</f>
        <v>2726.5351</v>
      </c>
      <c r="I5463" s="30" t="n">
        <f aca="false">Sens!I5457-Sens!H5457</f>
        <v>1931.98611966667</v>
      </c>
      <c r="J5463" s="30" t="n">
        <f aca="false">Sens!J5457-Sens!I5457</f>
        <v>1176.07686172667</v>
      </c>
      <c r="K5463" s="30" t="n">
        <f aca="false">Sens!K5457-Sens!J5457</f>
        <v>436.130048441799</v>
      </c>
    </row>
    <row r="5464" customFormat="false" ht="17.15" hidden="false" customHeight="false" outlineLevel="0" collapsed="false">
      <c r="A5464" s="1" t="s">
        <v>960</v>
      </c>
      <c r="B5464" s="0" t="s">
        <v>456</v>
      </c>
      <c r="F5464" s="30" t="n">
        <f aca="false">Sens!F5483*ext_sh</f>
        <v>0</v>
      </c>
      <c r="G5464" s="30" t="n">
        <f aca="false">Sens!G5483*ext_sh</f>
        <v>0</v>
      </c>
      <c r="H5464" s="30" t="n">
        <f aca="false">Sens!H5483*ext_sh</f>
        <v>0</v>
      </c>
      <c r="I5464" s="30" t="n">
        <f aca="false">Sens!I5483*ext_sh</f>
        <v>490</v>
      </c>
      <c r="J5464" s="30" t="n">
        <f aca="false">Sens!J5483*ext_sh</f>
        <v>740</v>
      </c>
      <c r="K5464" s="30" t="n">
        <f aca="false">Sens!K5483*ext_sh</f>
        <v>1470</v>
      </c>
      <c r="L5464" s="1" t="s">
        <v>961</v>
      </c>
    </row>
    <row r="5465" customFormat="false" ht="17.15" hidden="false" customHeight="false" outlineLevel="0" collapsed="false">
      <c r="A5465" s="1" t="s">
        <v>962</v>
      </c>
      <c r="B5465" s="0" t="s">
        <v>456</v>
      </c>
      <c r="C5465" s="30" t="n">
        <f aca="false">mix_h*Sens!C5457</f>
        <v>128</v>
      </c>
      <c r="D5465" s="30" t="n">
        <f aca="false">mix_h*Sens!D5457</f>
        <v>326</v>
      </c>
      <c r="E5465" s="30" t="n">
        <f aca="false">mix_h*Sens!E5457</f>
        <v>650</v>
      </c>
      <c r="F5465" s="30" t="n">
        <f aca="false">Sens!E5465-Sens!F5464*mix_h</f>
        <v>650</v>
      </c>
      <c r="G5465" s="30" t="n">
        <f aca="false">Sens!F5465-Sens!G5464*mix_h</f>
        <v>650</v>
      </c>
      <c r="H5465" s="30" t="n">
        <f aca="false">Sens!G5465-Sens!H5464*mix_h</f>
        <v>650</v>
      </c>
      <c r="I5465" s="30" t="n">
        <f aca="false">Sens!H5465-Sens!I5464*mix_h</f>
        <v>552</v>
      </c>
      <c r="J5465" s="30" t="n">
        <f aca="false">Sens!I5465-Sens!J5464*mix_h</f>
        <v>404</v>
      </c>
      <c r="K5465" s="30" t="n">
        <f aca="false">Sens!J5465-Sens!K5464*mix_h</f>
        <v>110</v>
      </c>
    </row>
    <row r="5466" customFormat="false" ht="17.15" hidden="false" customHeight="false" outlineLevel="0" collapsed="false">
      <c r="A5466" s="1" t="s">
        <v>963</v>
      </c>
      <c r="B5466" s="0" t="s">
        <v>456</v>
      </c>
      <c r="C5466" s="30" t="n">
        <f aca="false">mix_g2*Sens!C5457</f>
        <v>288</v>
      </c>
      <c r="D5466" s="30" t="n">
        <f aca="false">mix_g2*Sens!D5457</f>
        <v>733.5</v>
      </c>
      <c r="E5466" s="30" t="n">
        <f aca="false">mix_g2*Sens!E5457</f>
        <v>1462.5</v>
      </c>
      <c r="F5466" s="30" t="n">
        <f aca="false">Sens!E5466-Sens!F5464*mix_g2</f>
        <v>1462.5</v>
      </c>
      <c r="G5466" s="30" t="n">
        <f aca="false">Sens!F5466-Sens!G5464*mix_g2</f>
        <v>1462.5</v>
      </c>
      <c r="H5466" s="30" t="n">
        <f aca="false">Sens!G5466-Sens!H5464*mix_g2</f>
        <v>1462.5</v>
      </c>
      <c r="I5466" s="30" t="n">
        <f aca="false">Sens!H5466-Sens!I5464*mix_g2</f>
        <v>1242</v>
      </c>
      <c r="J5466" s="30" t="n">
        <f aca="false">Sens!I5466-Sens!J5464*mix_g2</f>
        <v>909</v>
      </c>
      <c r="K5466" s="30" t="n">
        <f aca="false">Sens!J5466-Sens!K5464*mix_g2</f>
        <v>247.5</v>
      </c>
    </row>
    <row r="5467" customFormat="false" ht="17.15" hidden="false" customHeight="false" outlineLevel="0" collapsed="false">
      <c r="A5467" s="1" t="s">
        <v>964</v>
      </c>
      <c r="B5467" s="0" t="s">
        <v>456</v>
      </c>
      <c r="C5467" s="30" t="n">
        <f aca="false">mix_g3*Sens!C5457</f>
        <v>224</v>
      </c>
      <c r="D5467" s="30" t="n">
        <f aca="false">mix_g3*Sens!D5457</f>
        <v>570.5</v>
      </c>
      <c r="E5467" s="30" t="n">
        <f aca="false">mix_g3*Sens!E5457</f>
        <v>1137.5</v>
      </c>
      <c r="F5467" s="30" t="n">
        <f aca="false">Sens!E5467+(Sens!F5463+Sens!F5464)*(a_g3_27-nonnv*a_mai)-Sens!F5464*mix_g3</f>
        <v>2773.42106</v>
      </c>
      <c r="G5467" s="30" t="n">
        <f aca="false">Sens!F5467+(Sens!G5463+Sens!G5464)*(a_g3_28-nonnv*a_mai)-Sens!G5464*mix_g3</f>
        <v>3318.72808</v>
      </c>
      <c r="H5467" s="30" t="n">
        <f aca="false">Sens!G5467+(Sens!H5463+Sens!H5464)*(a_g3_29-nonnv*a_mai)-Sens!H5464*mix_g3</f>
        <v>3318.72808</v>
      </c>
      <c r="I5467" s="30" t="n">
        <f aca="false">Sens!H5467+(Sens!I5463+Sens!I5464)*(a_g3_29-nonnv*a_mai)-Sens!I5464*mix_g3</f>
        <v>3147.22808</v>
      </c>
      <c r="J5467" s="30" t="n">
        <f aca="false">Sens!I5467+(Sens!J5463+Sens!J5464)*(a_g3_29-nonnv*a_mai)-Sens!J5464*mix_g3</f>
        <v>2888.22808</v>
      </c>
      <c r="K5467" s="30" t="n">
        <f aca="false">Sens!J5467+(Sens!K5463+Sens!K5464)*(a_g3_29-nonnv*a_mai)-Sens!K5464*mix_g3</f>
        <v>2373.72808</v>
      </c>
    </row>
    <row r="5468" customFormat="false" ht="17.15" hidden="false" customHeight="false" outlineLevel="0" collapsed="false">
      <c r="A5468" s="1" t="s">
        <v>965</v>
      </c>
      <c r="B5468" s="0" t="s">
        <v>456</v>
      </c>
      <c r="C5468" s="30" t="n">
        <v>0</v>
      </c>
      <c r="D5468" s="30" t="n">
        <v>0</v>
      </c>
      <c r="E5468" s="30" t="n">
        <v>0</v>
      </c>
      <c r="F5468" s="30" t="n">
        <f aca="false">Sens!E5468+(Sens!F5463+Sens!F5464)*nonnv*a_mai</f>
        <v>272.65351</v>
      </c>
      <c r="G5468" s="30" t="n">
        <f aca="false">Sens!F5468+(Sens!G5463+Sens!G5464)*nonnv*a_mai</f>
        <v>545.30702</v>
      </c>
      <c r="H5468" s="30" t="n">
        <f aca="false">Sens!G5468+(Sens!H5463+Sens!H5464)*nonnv*a_mai</f>
        <v>817.96053</v>
      </c>
      <c r="I5468" s="30" t="n">
        <f aca="false">Sens!H5468+(Sens!I5463+Sens!I5464)*nonnv*a_mai</f>
        <v>1060.15914196667</v>
      </c>
      <c r="J5468" s="30" t="n">
        <f aca="false">Sens!I5468+(Sens!J5463+Sens!J5464)*nonnv*a_mai</f>
        <v>1251.76682813933</v>
      </c>
      <c r="K5468" s="30" t="n">
        <f aca="false">Sens!J5468+(Sens!K5463+Sens!K5464)*nonnv*a_mai</f>
        <v>1442.37983298351</v>
      </c>
      <c r="L5468" s="12" t="s">
        <v>966</v>
      </c>
    </row>
    <row r="5469" customFormat="false" ht="17.15" hidden="false" customHeight="false" outlineLevel="0" collapsed="false">
      <c r="A5469" s="1" t="s">
        <v>967</v>
      </c>
      <c r="B5469" s="0" t="s">
        <v>456</v>
      </c>
      <c r="C5469" s="30" t="n">
        <v>0</v>
      </c>
      <c r="D5469" s="30" t="n">
        <v>0</v>
      </c>
      <c r="E5469" s="30" t="n">
        <v>0</v>
      </c>
      <c r="F5469" s="30" t="n">
        <f aca="false">Sens!E5469+(Sens!F5463+Sens!F5464)*(1-a_g3_27)</f>
        <v>817.96053</v>
      </c>
      <c r="G5469" s="30" t="n">
        <f aca="false">Sens!F5469+(Sens!G5463+Sens!G5464)*(1-a_g3_28)</f>
        <v>2726.5351</v>
      </c>
      <c r="H5469" s="30" t="n">
        <f aca="false">Sens!G5469+(Sens!H5463+Sens!H5464)*(1-a_g3_29)</f>
        <v>5180.41669</v>
      </c>
      <c r="I5469" s="30" t="n">
        <f aca="false">Sens!H5469+(Sens!I5463+Sens!I5464)*(1-a_g3_29)</f>
        <v>7360.2041977</v>
      </c>
      <c r="J5469" s="30" t="n">
        <f aca="false">Sens!I5469+(Sens!J5463+Sens!J5464)*(1-a_g3_29)</f>
        <v>9084.673373254</v>
      </c>
      <c r="K5469" s="30" t="n">
        <f aca="false">Sens!J5469+(Sens!K5463+Sens!K5464)*(1-a_g3_29)</f>
        <v>10800.1904168516</v>
      </c>
    </row>
    <row r="5470" customFormat="false" ht="17.15" hidden="false" customHeight="false" outlineLevel="0" collapsed="false">
      <c r="A5470" s="1" t="s">
        <v>968</v>
      </c>
      <c r="B5470" s="0" t="s">
        <v>403</v>
      </c>
      <c r="C5470" s="15" t="n">
        <f aca="false">(Sens!C5465*tk_hold_h100+Sens!C5466*tk_hold_gb200+Sens!C5467*tk_hold_gb300+Sens!C5469*tk_hold_vr200+Sens!C5468*nv_hold_mai*tk_hold_vr200)/Sens!C5457</f>
        <v>9.7235358126469</v>
      </c>
      <c r="D5470" s="15" t="n">
        <f aca="false">(Sens!D5465*tk_hold_h100+Sens!D5466*tk_hold_gb200+Sens!D5467*tk_hold_gb300+Sens!D5469*tk_hold_vr200+Sens!D5468*nv_hold_mai*tk_hold_vr200)/Sens!D5457</f>
        <v>9.7235358126469</v>
      </c>
      <c r="E5470" s="15" t="n">
        <f aca="false">(Sens!E5465*tk_hold_h100+Sens!E5466*tk_hold_gb200+Sens!E5467*tk_hold_gb300+Sens!E5469*tk_hold_vr200+Sens!E5468*nv_hold_mai*tk_hold_vr200)/Sens!E5457</f>
        <v>9.7235358126469</v>
      </c>
      <c r="F5470" s="15" t="n">
        <f aca="false">(Sens!F5465*tk_hold_h100+Sens!F5466*tk_hold_gb200+Sens!F5467*tk_hold_gb300+Sens!F5469*tk_hold_vr200+Sens!F5468*nv_hold_mai*tk_hold_vr200)/Sens!F5457</f>
        <v>10.2195353876665</v>
      </c>
      <c r="G5470" s="15" t="n">
        <f aca="false">(Sens!G5465*tk_hold_h100+Sens!G5466*tk_hold_gb200+Sens!G5467*tk_hold_gb300+Sens!G5469*tk_hold_vr200+Sens!G5468*nv_hold_mai*tk_hold_vr200)/Sens!G5457</f>
        <v>10.5725598017306</v>
      </c>
      <c r="H5470" s="15" t="n">
        <f aca="false">(Sens!H5465*tk_hold_h100+Sens!H5466*tk_hold_gb200+Sens!H5467*tk_hold_gb300+Sens!H5469*tk_hold_vr200+Sens!H5468*nv_hold_mai*tk_hold_vr200)/Sens!H5457</f>
        <v>10.8210427149036</v>
      </c>
      <c r="I5470" s="15" t="n">
        <f aca="false">(Sens!I5465*tk_hold_h100+Sens!I5466*tk_hold_gb200+Sens!I5467*tk_hold_gb300+Sens!I5469*tk_hold_vr200+Sens!I5468*nv_hold_mai*tk_hold_vr200)/Sens!I5457</f>
        <v>11.0050618241982</v>
      </c>
      <c r="J5470" s="15" t="n">
        <f aca="false">(Sens!J5465*tk_hold_h100+Sens!J5466*tk_hold_gb200+Sens!J5467*tk_hold_gb300+Sens!J5469*tk_hold_vr200+Sens!J5468*nv_hold_mai*tk_hold_vr200)/Sens!J5457</f>
        <v>11.1505789658881</v>
      </c>
      <c r="K5470" s="15" t="n">
        <f aca="false">(Sens!K5465*tk_hold_h100+Sens!K5466*tk_hold_gb200+Sens!K5467*tk_hold_gb300+Sens!K5469*tk_hold_vr200+Sens!K5468*nv_hold_mai*tk_hold_vr200)/Sens!K5457</f>
        <v>11.3496914757183</v>
      </c>
      <c r="L5470" s="1" t="s">
        <v>969</v>
      </c>
    </row>
    <row r="5471" customFormat="false" ht="17.15" hidden="false" customHeight="false" outlineLevel="0" collapsed="false">
      <c r="A5471" s="1" t="s">
        <v>970</v>
      </c>
      <c r="B5471" s="0" t="s">
        <v>403</v>
      </c>
      <c r="C5471" s="15" t="n">
        <f aca="false">(Sens!C5465*tk_hold_h100+Sens!C5466*tk_hold_gb200+Sens!C5467*tk_hold_gb300+Sens!C5469*tk_hold_vr200+Sens!C5468*nv_out_mai_lo*tk_hold_vr200)/Sens!C5457</f>
        <v>9.7235358126469</v>
      </c>
      <c r="D5471" s="15" t="n">
        <f aca="false">(Sens!D5465*tk_hold_h100+Sens!D5466*tk_hold_gb200+Sens!D5467*tk_hold_gb300+Sens!D5469*tk_hold_vr200+Sens!D5468*nv_out_mai_lo*tk_hold_vr200)/Sens!D5457</f>
        <v>9.7235358126469</v>
      </c>
      <c r="E5471" s="15" t="n">
        <f aca="false">(Sens!E5465*tk_hold_h100+Sens!E5466*tk_hold_gb200+Sens!E5467*tk_hold_gb300+Sens!E5469*tk_hold_vr200+Sens!E5468*nv_out_mai_lo*tk_hold_vr200)/Sens!E5457</f>
        <v>9.7235358126469</v>
      </c>
      <c r="F5471" s="15" t="n">
        <f aca="false">(Sens!F5465*tk_hold_h100+Sens!F5466*tk_hold_gb200+Sens!F5467*tk_hold_gb300+Sens!F5469*tk_hold_vr200+Sens!F5468*nv_out_mai_lo*tk_hold_vr200)/Sens!F5457</f>
        <v>10.0801018561541</v>
      </c>
      <c r="G5471" s="15" t="n">
        <f aca="false">(Sens!G5465*tk_hold_h100+Sens!G5466*tk_hold_gb200+Sens!G5467*tk_hold_gb300+Sens!G5469*tk_hold_vr200+Sens!G5468*nv_out_mai_lo*tk_hold_vr200)/Sens!G5457</f>
        <v>10.3810574063574</v>
      </c>
      <c r="H5471" s="15" t="n">
        <f aca="false">(Sens!H5465*tk_hold_h100+Sens!H5466*tk_hold_gb200+Sens!H5467*tk_hold_gb300+Sens!H5469*tk_hold_vr200+Sens!H5468*nv_out_mai_lo*tk_hold_vr200)/Sens!H5457</f>
        <v>10.6023135357252</v>
      </c>
      <c r="I5471" s="15" t="n">
        <f aca="false">(Sens!I5465*tk_hold_h100+Sens!I5466*tk_hold_gb200+Sens!I5467*tk_hold_gb300+Sens!I5469*tk_hold_vr200+Sens!I5468*nv_out_mai_lo*tk_hold_vr200)/Sens!I5457</f>
        <v>10.7625580601765</v>
      </c>
      <c r="J5471" s="15" t="n">
        <f aca="false">(Sens!J5465*tk_hold_h100+Sens!J5466*tk_hold_gb200+Sens!J5467*tk_hold_gb300+Sens!J5469*tk_hold_vr200+Sens!J5468*nv_out_mai_lo*tk_hold_vr200)/Sens!J5457</f>
        <v>10.8874102312998</v>
      </c>
      <c r="K5471" s="15" t="n">
        <f aca="false">(Sens!K5465*tk_hold_h100+Sens!K5466*tk_hold_gb200+Sens!K5467*tk_hold_gb300+Sens!K5469*tk_hold_vr200+Sens!K5468*nv_out_mai_lo*tk_hold_vr200)/Sens!K5457</f>
        <v>11.0552809921972</v>
      </c>
      <c r="L5471" s="12" t="s">
        <v>971</v>
      </c>
    </row>
    <row r="5472" customFormat="false" ht="17.15" hidden="false" customHeight="false" outlineLevel="0" collapsed="false">
      <c r="A5472" s="0" t="s">
        <v>972</v>
      </c>
      <c r="B5472" s="0" t="s">
        <v>229</v>
      </c>
      <c r="C5472" s="15" t="n">
        <f aca="false">k_B</f>
        <v>1.17213932619116</v>
      </c>
      <c r="D5472" s="15" t="n">
        <f aca="false">k_B</f>
        <v>1.17213932619116</v>
      </c>
      <c r="E5472" s="15" t="n">
        <f aca="false">k_B</f>
        <v>1.17213932619116</v>
      </c>
      <c r="F5472" s="15" t="n">
        <f aca="false">(k_B+((ls_A*k_long+(1-ls_A)*k_spot)-k_B)*MIN(1,(Sens!F5455-base_fy)/k_ramp))</f>
        <v>1.25022828131298</v>
      </c>
      <c r="G5472" s="15" t="n">
        <f aca="false">(k_B+((ls_A*k_long+(1-ls_A)*k_spot)-k_B)*MIN(1,(Sens!G5455-base_fy)/k_ramp))</f>
        <v>1.3283172364348</v>
      </c>
      <c r="H5472" s="15" t="n">
        <f aca="false">(k_B+((ls_A*k_long+(1-ls_A)*k_spot)-k_B)*MIN(1,(Sens!H5455-base_fy)/k_ramp))</f>
        <v>1.40640619155662</v>
      </c>
      <c r="I5472" s="15" t="n">
        <f aca="false">(k_B+((ls_A*k_long+(1-ls_A)*k_spot)-k_B)*MIN(1,(Sens!I5455-base_fy)/k_ramp))</f>
        <v>1.40640619155662</v>
      </c>
      <c r="J5472" s="15" t="n">
        <f aca="false">(k_B+((ls_A*k_long+(1-ls_A)*k_spot)-k_B)*MIN(1,(Sens!J5455-base_fy)/k_ramp))</f>
        <v>1.40640619155662</v>
      </c>
      <c r="K5472" s="15" t="n">
        <f aca="false">(k_B+((ls_A*k_long+(1-ls_A)*k_spot)-k_B)*MIN(1,(Sens!K5455-base_fy)/k_ramp))</f>
        <v>1.40640619155662</v>
      </c>
      <c r="L5472" s="1" t="s">
        <v>973</v>
      </c>
    </row>
    <row r="5473" customFormat="false" ht="17.15" hidden="false" customHeight="false" outlineLevel="0" collapsed="false">
      <c r="A5473" s="1" t="s">
        <v>974</v>
      </c>
      <c r="B5473" s="0" t="s">
        <v>403</v>
      </c>
      <c r="C5473" s="15" t="n">
        <f aca="false">Sens!C5471*Sens!C5472*chip_f</f>
        <v>11.3973387156315</v>
      </c>
      <c r="D5473" s="15" t="n">
        <f aca="false">Sens!D5471*Sens!D5472*chip_f</f>
        <v>11.3973387156315</v>
      </c>
      <c r="E5473" s="15" t="n">
        <f aca="false">Sens!E5471*Sens!E5472*chip_f</f>
        <v>11.3973387156315</v>
      </c>
      <c r="F5473" s="15" t="n">
        <f aca="false">Sens!F5471*Sens!F5472*chip_f</f>
        <v>12.6024284190793</v>
      </c>
      <c r="G5473" s="15" t="n">
        <f aca="false">Sens!G5471*Sens!G5472*chip_f</f>
        <v>13.7893374852836</v>
      </c>
      <c r="H5473" s="15" t="n">
        <f aca="false">Sens!H5471*Sens!H5472*chip_f</f>
        <v>14.9111594014685</v>
      </c>
      <c r="I5473" s="15" t="n">
        <f aca="false">Sens!I5471*Sens!I5472*chip_f</f>
        <v>15.1365282928197</v>
      </c>
      <c r="J5473" s="15" t="n">
        <f aca="false">Sens!J5471*Sens!J5472*chip_f</f>
        <v>15.3121211593168</v>
      </c>
      <c r="K5473" s="15" t="n">
        <f aca="false">Sens!K5471*Sens!K5472*chip_f</f>
        <v>15.5482156368243</v>
      </c>
      <c r="L5473" s="1" t="s">
        <v>975</v>
      </c>
    </row>
    <row r="5474" customFormat="false" ht="17.15" hidden="false" customHeight="false" outlineLevel="0" collapsed="false">
      <c r="A5474" s="0" t="s">
        <v>976</v>
      </c>
      <c r="B5474" s="0" t="s">
        <v>98</v>
      </c>
      <c r="D5474" s="6" t="n">
        <f aca="false">(Sens!C5457+Sens!D5457)/2*Sens!D5473/1000</f>
        <v>12.9359794422418</v>
      </c>
      <c r="E5474" s="6" t="n">
        <f aca="false">(Sens!D5457+Sens!E5457)/2*Sens!E5473/1000</f>
        <v>27.8095064661409</v>
      </c>
      <c r="F5474" s="6" t="n">
        <f aca="false">(Sens!E5457+Sens!F5457)/2*Sens!F5473/1000</f>
        <v>58.1383740769362</v>
      </c>
      <c r="G5474" s="6" t="n">
        <f aca="false">(Sens!F5457+Sens!G5457)/2*Sens!G5473/1000</f>
        <v>101.211015816229</v>
      </c>
      <c r="H5474" s="6" t="n">
        <f aca="false">(Sens!G5457+Sens!H5457)/2*Sens!H5473/1000</f>
        <v>150.10076677927</v>
      </c>
      <c r="I5474" s="6" t="n">
        <f aca="false">(Sens!H5457+Sens!I5457)/2*Sens!I5473/1000</f>
        <v>187.626325280047</v>
      </c>
      <c r="J5474" s="6" t="n">
        <f aca="false">(Sens!I5457+Sens!J5457)/2*Sens!J5473/1000</f>
        <v>213.598422398938</v>
      </c>
      <c r="K5474" s="6" t="n">
        <f aca="false">(Sens!J5457+Sens!K5457)/2*Sens!K5473/1000</f>
        <v>229.42532331516</v>
      </c>
      <c r="L5474" s="12" t="s">
        <v>977</v>
      </c>
    </row>
    <row r="5475" customFormat="false" ht="17.15" hidden="false" customHeight="false" outlineLevel="0" collapsed="false">
      <c r="A5475" s="1" t="s">
        <v>978</v>
      </c>
      <c r="B5475" s="0" t="s">
        <v>403</v>
      </c>
      <c r="C5475" s="15" t="n">
        <f aca="false">(Sens!C5465*tk_opex_h100+Sens!C5466*tk_opex_gb200+Sens!C5467*tk_opex_gb300+(Sens!C5469+Sens!C5468)*tk_opex_vr200)/Sens!C5457</f>
        <v>1.88636041306092</v>
      </c>
      <c r="D5475" s="15" t="n">
        <f aca="false">(Sens!D5465*tk_opex_h100+Sens!D5466*tk_opex_gb200+Sens!D5467*tk_opex_gb300+(Sens!D5469+Sens!D5468)*tk_opex_vr200)/Sens!D5457</f>
        <v>1.88636041306092</v>
      </c>
      <c r="E5475" s="15" t="n">
        <f aca="false">(Sens!E5465*tk_opex_h100+Sens!E5466*tk_opex_gb200+Sens!E5467*tk_opex_gb300+(Sens!E5469+Sens!E5468)*tk_opex_vr200)/Sens!E5457</f>
        <v>1.88636041306092</v>
      </c>
      <c r="F5475" s="15" t="n">
        <f aca="false">(Sens!F5465*tk_opex_h100+Sens!F5466*tk_opex_gb200+Sens!F5467*tk_opex_gb300+(Sens!F5469+Sens!F5468)*tk_opex_vr200)/Sens!F5457</f>
        <v>1.95051159746876</v>
      </c>
      <c r="G5475" s="15" t="n">
        <f aca="false">(Sens!G5465*tk_opex_h100+Sens!G5466*tk_opex_gb200+Sens!G5467*tk_opex_gb300+(Sens!G5469+Sens!G5468)*tk_opex_vr200)/Sens!G5457</f>
        <v>1.98836003669956</v>
      </c>
      <c r="H5475" s="15" t="n">
        <f aca="false">(Sens!H5465*tk_opex_h100+Sens!H5466*tk_opex_gb200+Sens!H5467*tk_opex_gb300+(Sens!H5469+Sens!H5468)*tk_opex_vr200)/Sens!H5457</f>
        <v>2.01344013834343</v>
      </c>
      <c r="I5475" s="15" t="n">
        <f aca="false">(Sens!I5465*tk_opex_h100+Sens!I5466*tk_opex_gb200+Sens!I5467*tk_opex_gb300+(Sens!I5469+Sens!I5468)*tk_opex_vr200)/Sens!I5457</f>
        <v>2.03261166882178</v>
      </c>
      <c r="J5475" s="15" t="n">
        <f aca="false">(Sens!J5465*tk_opex_h100+Sens!J5466*tk_opex_gb200+Sens!J5467*tk_opex_gb300+(Sens!J5469+Sens!J5468)*tk_opex_vr200)/Sens!J5457</f>
        <v>2.04808073288745</v>
      </c>
      <c r="K5475" s="15" t="n">
        <f aca="false">(Sens!K5465*tk_opex_h100+Sens!K5466*tk_opex_gb200+Sens!K5467*tk_opex_gb300+(Sens!K5469+Sens!K5468)*tk_opex_vr200)/Sens!K5457</f>
        <v>2.06973825807449</v>
      </c>
      <c r="L5475" s="12" t="s">
        <v>979</v>
      </c>
    </row>
    <row r="5476" customFormat="false" ht="17.15" hidden="false" customHeight="false" outlineLevel="0" collapsed="false">
      <c r="A5476" s="0" t="s">
        <v>980</v>
      </c>
      <c r="B5476" s="0" t="s">
        <v>98</v>
      </c>
      <c r="D5476" s="6" t="n">
        <f aca="false">(Sens!C5460+Sens!D5460)/2*Sens!D5475/1000</f>
        <v>2.70378325872065</v>
      </c>
      <c r="E5476" s="6" t="n">
        <f aca="false">(Sens!D5460+Sens!E5460)/2*Sens!E5475/1000</f>
        <v>6.17783035277451</v>
      </c>
      <c r="F5476" s="6" t="n">
        <f aca="false">(Sens!E5460+Sens!F5460)/2*Sens!F5475/1000</f>
        <v>12.8742463089237</v>
      </c>
      <c r="G5476" s="6" t="n">
        <f aca="false">(Sens!F5460+Sens!G5460)/2*Sens!G5475/1000</f>
        <v>21.8182834646277</v>
      </c>
      <c r="H5476" s="6" t="n">
        <f aca="false">(Sens!G5460+Sens!H5460)/2*Sens!H5475/1000</f>
        <v>31.2430128789734</v>
      </c>
      <c r="I5476" s="6" t="n">
        <f aca="false">(Sens!H5460+Sens!I5460)/2*Sens!I5475/1000</f>
        <v>39.4313057443268</v>
      </c>
      <c r="J5476" s="6" t="n">
        <f aca="false">(Sens!I5460+Sens!J5460)/2*Sens!J5475/1000</f>
        <v>45.0360318228653</v>
      </c>
      <c r="K5476" s="6" t="n">
        <f aca="false">(Sens!J5460+Sens!K5460)/2*Sens!K5475/1000</f>
        <v>48.2929727091156</v>
      </c>
    </row>
    <row r="5477" customFormat="false" ht="17.15" hidden="false" customHeight="false" outlineLevel="0" collapsed="false">
      <c r="A5477" s="0" t="s">
        <v>981</v>
      </c>
      <c r="B5477" s="0" t="s">
        <v>98</v>
      </c>
      <c r="D5477" s="6" t="n">
        <f aca="false">(Sens!C5458+Sens!D5458)/2*rent_mw/1000</f>
        <v>2.44475</v>
      </c>
      <c r="E5477" s="6" t="n">
        <f aca="false">(Sens!D5458+Sens!E5458)/2*rent_mw/1000</f>
        <v>4.22275</v>
      </c>
      <c r="F5477" s="6" t="n">
        <f aca="false">(Sens!E5458+Sens!F5458)/2*rent_mw/1000</f>
        <v>5.80517</v>
      </c>
      <c r="G5477" s="6" t="n">
        <f aca="false">(Sens!F5458+Sens!G5458)/2*rent_mw/1000</f>
        <v>6.72084</v>
      </c>
      <c r="H5477" s="6" t="n">
        <f aca="false">(Sens!G5458+Sens!H5458)/2*rent_mw/1000</f>
        <v>6.72084</v>
      </c>
      <c r="I5477" s="6" t="n">
        <f aca="false">(Sens!H5458+Sens!I5458)/2*rent_mw/1000</f>
        <v>6.72084</v>
      </c>
      <c r="J5477" s="6" t="n">
        <f aca="false">(Sens!I5458+Sens!J5458)/2*rent_mw/1000</f>
        <v>6.72084</v>
      </c>
      <c r="K5477" s="6" t="n">
        <f aca="false">(Sens!J5458+Sens!K5458)/2*rent_mw/1000</f>
        <v>6.72084</v>
      </c>
    </row>
    <row r="5478" customFormat="false" ht="17.15" hidden="false" customHeight="false" outlineLevel="0" collapsed="false">
      <c r="A5478" s="0" t="s">
        <v>982</v>
      </c>
      <c r="B5478" s="0" t="s">
        <v>98</v>
      </c>
      <c r="D5478" s="6" t="n">
        <f aca="false">(Sens!C5460+Sens!D5460)/2*(1-self_build)*fac_rent/1000</f>
        <v>0.853242375631075</v>
      </c>
      <c r="E5478" s="6" t="n">
        <f aca="false">(Sens!D5460+Sens!E5460)/2*(1-self_build)*fac_rent/1000</f>
        <v>1.94955961408728</v>
      </c>
      <c r="F5478" s="6" t="n">
        <f aca="false">(Sens!E5460+Sens!F5460)/2*(1-self_build)*fac_rent/1000</f>
        <v>3.92914894476356</v>
      </c>
      <c r="G5478" s="6" t="n">
        <f aca="false">(Sens!F5460+Sens!G5460)/2*(1-self_build)*fac_rent/1000</f>
        <v>6.53206908578159</v>
      </c>
      <c r="H5478" s="6" t="n">
        <f aca="false">(Sens!G5460+Sens!H5460)/2*(1-self_build)*fac_rent/1000</f>
        <v>9.23717988341591</v>
      </c>
      <c r="I5478" s="6" t="n">
        <f aca="false">(Sens!H5460+Sens!I5460)/2*(1-self_build)*fac_rent/1000</f>
        <v>11.5481378557393</v>
      </c>
      <c r="J5478" s="6" t="n">
        <f aca="false">(Sens!I5460+Sens!J5460)/2*(1-self_build)*fac_rent/1000</f>
        <v>13.0899582289108</v>
      </c>
      <c r="K5478" s="6" t="n">
        <f aca="false">(Sens!J5460+Sens!K5460)/2*(1-self_build)*fac_rent/1000</f>
        <v>13.8897275626556</v>
      </c>
      <c r="L5478" s="12" t="s">
        <v>983</v>
      </c>
    </row>
    <row r="5479" customFormat="false" ht="17.15" hidden="false" customHeight="false" outlineLevel="0" collapsed="false">
      <c r="A5479" s="1" t="s">
        <v>984</v>
      </c>
      <c r="B5479" s="0" t="s">
        <v>168</v>
      </c>
      <c r="D5479" s="7" t="n">
        <f aca="false">(Sens!C5459+Sens!D5459)/(Sens!C5460+Sens!D5460)</f>
        <v>0.6</v>
      </c>
      <c r="E5479" s="7" t="n">
        <f aca="false">(Sens!D5459+Sens!E5459)/(Sens!D5460+Sens!E5460)</f>
        <v>0.6</v>
      </c>
      <c r="F5479" s="7" t="n">
        <f aca="false">(Sens!E5459+Sens!F5459)/(Sens!E5460+Sens!F5460)</f>
        <v>0.6</v>
      </c>
      <c r="G5479" s="7" t="n">
        <f aca="false">(Sens!F5459+Sens!G5459)/(Sens!F5460+Sens!G5460)</f>
        <v>0.6</v>
      </c>
      <c r="H5479" s="7" t="n">
        <f aca="false">(Sens!G5459+Sens!H5459)/(Sens!G5460+Sens!H5460)</f>
        <v>0.6</v>
      </c>
      <c r="I5479" s="7" t="n">
        <f aca="false">(Sens!H5459+Sens!I5459)/(Sens!H5460+Sens!I5460)</f>
        <v>0.6</v>
      </c>
      <c r="J5479" s="7" t="n">
        <f aca="false">(Sens!I5459+Sens!J5459)/(Sens!I5460+Sens!J5460)</f>
        <v>0.6</v>
      </c>
      <c r="K5479" s="7" t="n">
        <f aca="false">(Sens!J5459+Sens!K5459)/(Sens!J5460+Sens!K5460)</f>
        <v>0.6</v>
      </c>
    </row>
    <row r="5480" customFormat="false" ht="17.15" hidden="false" customHeight="false" outlineLevel="0" collapsed="false">
      <c r="A5480" s="0" t="s">
        <v>985</v>
      </c>
      <c r="B5480" s="0" t="s">
        <v>98</v>
      </c>
      <c r="D5480" s="6" t="n">
        <f aca="false">Sens!D5474-Sens!D5479*(Sens!D5476+Sens!D5478)-Sens!D5477</f>
        <v>8.35701406163072</v>
      </c>
      <c r="E5480" s="6" t="n">
        <f aca="false">Sens!E5474-Sens!E5479*(Sens!E5476+Sens!E5478)-Sens!E5477</f>
        <v>18.7103224860238</v>
      </c>
      <c r="F5480" s="6" t="n">
        <f aca="false">Sens!F5474-Sens!F5479*(Sens!F5476+Sens!F5478)-Sens!F5477</f>
        <v>42.2511669247238</v>
      </c>
      <c r="G5480" s="6" t="n">
        <f aca="false">Sens!G5474-Sens!G5479*(Sens!G5476+Sens!G5478)-Sens!G5477</f>
        <v>77.4799642859835</v>
      </c>
      <c r="H5480" s="6" t="n">
        <f aca="false">Sens!H5474-Sens!H5479*(Sens!H5476+Sens!H5478)-Sens!H5477</f>
        <v>119.091811121836</v>
      </c>
      <c r="I5480" s="6" t="n">
        <f aca="false">Sens!I5474-Sens!I5479*(Sens!I5476+Sens!I5478)-Sens!I5477</f>
        <v>150.317819120008</v>
      </c>
      <c r="J5480" s="6" t="n">
        <f aca="false">Sens!J5474-Sens!J5479*(Sens!J5476+Sens!J5478)-Sens!J5477</f>
        <v>172.001988367873</v>
      </c>
      <c r="K5480" s="6" t="n">
        <f aca="false">Sens!K5474-Sens!K5479*(Sens!K5476+Sens!K5478)-Sens!K5477</f>
        <v>185.394863152097</v>
      </c>
    </row>
    <row r="5481" customFormat="false" ht="17.15" hidden="false" customHeight="false" outlineLevel="0" collapsed="false">
      <c r="A5481" s="1" t="s">
        <v>986</v>
      </c>
      <c r="B5481" s="0" t="s">
        <v>98</v>
      </c>
      <c r="D5481" s="6" t="n">
        <f aca="false">(1-Sens!D5479)*(Sens!D5476+Sens!D5478)</f>
        <v>1.42281025374069</v>
      </c>
      <c r="E5481" s="6" t="n">
        <f aca="false">(1-Sens!E5479)*(Sens!E5476+Sens!E5478)</f>
        <v>3.25095598674472</v>
      </c>
      <c r="F5481" s="6" t="n">
        <f aca="false">(1-Sens!F5479)*(Sens!F5476+Sens!F5478)</f>
        <v>6.72135810147489</v>
      </c>
      <c r="G5481" s="6" t="n">
        <f aca="false">(1-Sens!G5479)*(Sens!G5476+Sens!G5478)</f>
        <v>11.3401410201637</v>
      </c>
      <c r="H5481" s="6" t="n">
        <f aca="false">(1-Sens!H5479)*(Sens!H5476+Sens!H5478)</f>
        <v>16.1920771049557</v>
      </c>
      <c r="I5481" s="6" t="n">
        <f aca="false">(1-Sens!I5479)*(Sens!I5476+Sens!I5478)</f>
        <v>20.3917774400264</v>
      </c>
      <c r="J5481" s="6" t="n">
        <f aca="false">(1-Sens!J5479)*(Sens!J5476+Sens!J5478)</f>
        <v>23.2503960207104</v>
      </c>
      <c r="K5481" s="6" t="n">
        <f aca="false">(1-Sens!K5479)*(Sens!K5476+Sens!K5478)</f>
        <v>24.8730801087085</v>
      </c>
    </row>
    <row r="5482" customFormat="false" ht="17.15" hidden="false" customHeight="false" outlineLevel="0" collapsed="false">
      <c r="A5482" s="1" t="s">
        <v>987</v>
      </c>
      <c r="B5482" s="0" t="s">
        <v>414</v>
      </c>
      <c r="C5482" s="8" t="n">
        <f aca="false">cxit_open</f>
        <v>27.5918995</v>
      </c>
      <c r="D5482" s="8" t="n">
        <f aca="false">cxit_open</f>
        <v>27.5918995</v>
      </c>
      <c r="E5482" s="8" t="n">
        <f aca="false">cxit_open</f>
        <v>27.5918995</v>
      </c>
      <c r="F5482" s="8" t="n">
        <f aca="false">((a_g3_27-nonnv*a_mai)*tk_cxit_gb300+nonnv*a_mai*nv_hold_mai*tk_cxit_vr200+(1-a_g3_27)*tk_cxit_vr200)</f>
        <v>32.4975576</v>
      </c>
      <c r="G5482" s="8" t="n">
        <f aca="false">((a_g3_28-nonnv*a_mai)*tk_cxit_gb300+nonnv*a_mai*nv_hold_mai*tk_cxit_vr200+(1-a_g3_28)*tk_cxit_vr200)</f>
        <v>34.6372088</v>
      </c>
      <c r="H5482" s="8" t="n">
        <f aca="false">((a_g3_29-nonnv*a_mai)*tk_cxit_gb300+nonnv*a_mai*nv_hold_mai*tk_cxit_vr200+(1-a_g3_29)*tk_cxit_vr200)</f>
        <v>35.7070344</v>
      </c>
      <c r="I5482" s="8" t="n">
        <f aca="false">((a_g3_29-nonnv*a_mai)*tk_cxit_gb300+nonnv*a_mai*nv_hold_mai*tk_cxit_vr200+(1-a_g3_29)*tk_cxit_vr200)</f>
        <v>35.7070344</v>
      </c>
      <c r="J5482" s="8" t="n">
        <f aca="false">((a_g3_29-nonnv*a_mai)*tk_cxit_gb300+nonnv*a_mai*nv_hold_mai*tk_cxit_vr200+(1-a_g3_29)*tk_cxit_vr200)</f>
        <v>35.7070344</v>
      </c>
      <c r="K5482" s="8" t="n">
        <f aca="false">((a_g3_29-nonnv*a_mai)*tk_cxit_gb300+nonnv*a_mai*nv_hold_mai*tk_cxit_vr200+(1-a_g3_29)*tk_cxit_vr200)</f>
        <v>35.7070344</v>
      </c>
      <c r="L5482" s="12" t="s">
        <v>988</v>
      </c>
    </row>
    <row r="5483" customFormat="false" ht="17.15" hidden="false" customHeight="false" outlineLevel="0" collapsed="false">
      <c r="A5483" s="0" t="s">
        <v>989</v>
      </c>
      <c r="B5483" s="0" t="s">
        <v>456</v>
      </c>
      <c r="F5483" s="30" t="n">
        <f aca="false">Sens!C5462*IF(Sens!F5455-Sens!C5455=life_it,1,0)+Sens!D5462*IF(Sens!F5455-Sens!D5455=life_it,1,0)+Sens!E5462*IF(Sens!F5455-Sens!E5455=life_it,1,0)</f>
        <v>0</v>
      </c>
      <c r="G5483" s="30" t="n">
        <f aca="false">Sens!C5462*IF(Sens!G5455-Sens!C5455=life_it,1,0)+Sens!D5462*IF(Sens!G5455-Sens!D5455=life_it,1,0)+Sens!E5462*IF(Sens!G5455-Sens!E5455=life_it,1,0)+Sens!F5462*IF(Sens!G5455-Sens!F5455=life_it,1,0)</f>
        <v>0</v>
      </c>
      <c r="H5483" s="30" t="n">
        <f aca="false">Sens!C5462*IF(Sens!H5455-Sens!C5455=life_it,1,0)+Sens!D5462*IF(Sens!H5455-Sens!D5455=life_it,1,0)+Sens!E5462*IF(Sens!H5455-Sens!E5455=life_it,1,0)+Sens!F5462*IF(Sens!H5455-Sens!F5455=life_it,1,0)+Sens!G5462*IF(Sens!H5455-Sens!G5455=life_it,1,0)</f>
        <v>0</v>
      </c>
      <c r="I5483" s="30" t="n">
        <f aca="false">Sens!C5462*IF(Sens!I5455-Sens!C5455=life_it,1,0)+Sens!D5462*IF(Sens!I5455-Sens!D5455=life_it,1,0)+Sens!E5462*IF(Sens!I5455-Sens!E5455=life_it,1,0)+Sens!F5462*IF(Sens!I5455-Sens!F5455=life_it,1,0)+Sens!G5462*IF(Sens!I5455-Sens!G5455=life_it,1,0)+Sens!H5462*IF(Sens!I5455-Sens!H5455=life_it,1,0)</f>
        <v>816.666666666667</v>
      </c>
      <c r="J5483" s="30" t="n">
        <f aca="false">Sens!C5462*IF(Sens!J5455-Sens!C5455=life_it,1,0)+Sens!D5462*IF(Sens!J5455-Sens!D5455=life_it,1,0)+Sens!E5462*IF(Sens!J5455-Sens!E5455=life_it,1,0)+Sens!F5462*IF(Sens!J5455-Sens!F5455=life_it,1,0)+Sens!G5462*IF(Sens!J5455-Sens!G5455=life_it,1,0)+Sens!H5462*IF(Sens!J5455-Sens!H5455=life_it,1,0)+Sens!I5462*IF(Sens!J5455-Sens!I5455=life_it,1,0)</f>
        <v>1233.33333333333</v>
      </c>
      <c r="K5483" s="30" t="n">
        <f aca="false">Sens!C5462*IF(Sens!K5455-Sens!C5455=life_it,1,0)+Sens!D5462*IF(Sens!K5455-Sens!D5455=life_it,1,0)+Sens!E5462*IF(Sens!K5455-Sens!E5455=life_it,1,0)+Sens!F5462*IF(Sens!K5455-Sens!F5455=life_it,1,0)+Sens!G5462*IF(Sens!K5455-Sens!G5455=life_it,1,0)+Sens!H5462*IF(Sens!K5455-Sens!H5455=life_it,1,0)+Sens!I5462*IF(Sens!K5455-Sens!I5455=life_it,1,0)+Sens!J5462*IF(Sens!K5455-Sens!J5455=life_it,1,0)</f>
        <v>2450</v>
      </c>
      <c r="L5483" s="1" t="s">
        <v>990</v>
      </c>
    </row>
    <row r="5484" customFormat="false" ht="17.15" hidden="false" customHeight="false" outlineLevel="0" collapsed="false">
      <c r="A5484" s="0" t="s">
        <v>991</v>
      </c>
      <c r="B5484" s="0" t="s">
        <v>98</v>
      </c>
      <c r="C5484" s="6" t="n">
        <f aca="false">Sens!C5462*Sens!C5482/1000</f>
        <v>22.5333845916667</v>
      </c>
      <c r="D5484" s="6" t="n">
        <f aca="false">Sens!D5462*Sens!D5482/1000</f>
        <v>34.0300093833333</v>
      </c>
      <c r="E5484" s="6" t="n">
        <f aca="false">Sens!E5462*Sens!E5482/1000</f>
        <v>67.600153775</v>
      </c>
      <c r="F5484" s="6" t="n">
        <f aca="false">(Sens!F5462+Sens!F5483)*Sens!F5482/1000</f>
        <v>136.51872432512</v>
      </c>
      <c r="G5484" s="6" t="n">
        <f aca="false">(Sens!G5462+Sens!G5483)*Sens!G5482/1000</f>
        <v>157.399275932048</v>
      </c>
      <c r="H5484" s="6" t="n">
        <f aca="false">(Sens!H5462+Sens!H5483)*Sens!H5482/1000</f>
        <v>162.260804347512</v>
      </c>
      <c r="I5484" s="6" t="n">
        <f aca="false">(Sens!I5462+Sens!I5483)*Sens!I5482/1000</f>
        <v>144.136569485434</v>
      </c>
      <c r="J5484" s="6" t="n">
        <f aca="false">(Sens!J5462+Sens!J5483)*Sens!J5482/1000</f>
        <v>114.029037357864</v>
      </c>
      <c r="K5484" s="6" t="n">
        <f aca="false">(Sens!K5462+Sens!K5483)*Sens!K5482/1000</f>
        <v>113.437085350975</v>
      </c>
    </row>
    <row r="5485" customFormat="false" ht="17.15" hidden="false" customHeight="false" outlineLevel="0" collapsed="false">
      <c r="A5485" s="0" t="s">
        <v>992</v>
      </c>
      <c r="B5485" s="0" t="s">
        <v>98</v>
      </c>
      <c r="C5485" s="6" t="n">
        <f aca="false">Sens!C5462*self_build*tk_cxfac/1000</f>
        <v>6.2083</v>
      </c>
      <c r="D5485" s="6" t="n">
        <f aca="false">Sens!D5462*self_build*tk_cxfac/1000</f>
        <v>9.3758</v>
      </c>
      <c r="E5485" s="6" t="n">
        <f aca="false">Sens!E5462*self_build*tk_cxfac/1000</f>
        <v>18.6249</v>
      </c>
      <c r="F5485" s="6" t="n">
        <f aca="false">Sens!F5462*self_build*tk_cxfac/1000</f>
        <v>31.935179717</v>
      </c>
      <c r="G5485" s="6" t="n">
        <f aca="false">Sens!G5462*self_build*tk_cxfac/1000</f>
        <v>34.545199717</v>
      </c>
      <c r="H5485" s="6" t="n">
        <f aca="false">Sens!H5462*self_build*tk_cxfac/1000</f>
        <v>34.545199717</v>
      </c>
      <c r="I5485" s="6" t="n">
        <f aca="false">Sens!I5462*self_build*tk_cxfac/1000</f>
        <v>24.4782641361767</v>
      </c>
      <c r="J5485" s="6" t="n">
        <f aca="false">Sens!J5462*self_build*tk_cxfac/1000</f>
        <v>14.9008938380769</v>
      </c>
      <c r="K5485" s="6" t="n">
        <f aca="false">Sens!K5462*self_build*tk_cxfac/1000</f>
        <v>5.52576771375761</v>
      </c>
    </row>
    <row r="5486" customFormat="false" ht="17.15" hidden="false" customHeight="false" outlineLevel="0" collapsed="false">
      <c r="A5486" s="0" t="s">
        <v>993</v>
      </c>
      <c r="B5486" s="0" t="s">
        <v>98</v>
      </c>
      <c r="F5486" s="15" t="n">
        <f aca="false">capex_floor27-Sens!F5484-Sens!F5485-Sens!F5582</f>
        <v>0.0051957798213067</v>
      </c>
      <c r="L5486" s="12" t="s">
        <v>994</v>
      </c>
    </row>
    <row r="5487" customFormat="false" ht="17.15" hidden="false" customHeight="false" outlineLevel="0" collapsed="false">
      <c r="A5487" s="0" t="s">
        <v>995</v>
      </c>
      <c r="B5487" s="0" t="s">
        <v>98</v>
      </c>
      <c r="F5487" s="6" t="n">
        <f aca="false">MAX(0,Sens!F5486)</f>
        <v>0.0051957798213067</v>
      </c>
    </row>
    <row r="5488" customFormat="false" ht="17.15" hidden="false" customHeight="false" outlineLevel="0" collapsed="false">
      <c r="A5488" s="0" t="s">
        <v>996</v>
      </c>
      <c r="B5488" s="0" t="s">
        <v>98</v>
      </c>
      <c r="C5488" s="6" t="n">
        <f aca="false">Sens!C5484</f>
        <v>22.5333845916667</v>
      </c>
      <c r="D5488" s="6" t="n">
        <f aca="false">Sens!D5484</f>
        <v>34.0300093833333</v>
      </c>
      <c r="E5488" s="6" t="n">
        <f aca="false">Sens!E5484</f>
        <v>67.600153775</v>
      </c>
      <c r="F5488" s="6" t="n">
        <f aca="false">Sens!F5484</f>
        <v>136.51872432512</v>
      </c>
      <c r="G5488" s="6" t="n">
        <f aca="false">Sens!G5484</f>
        <v>157.399275932048</v>
      </c>
      <c r="H5488" s="6" t="n">
        <f aca="false">Sens!H5484</f>
        <v>162.260804347512</v>
      </c>
      <c r="I5488" s="6" t="n">
        <f aca="false">Sens!I5484</f>
        <v>144.136569485434</v>
      </c>
      <c r="J5488" s="6" t="n">
        <f aca="false">Sens!J5484</f>
        <v>114.029037357864</v>
      </c>
      <c r="K5488" s="6" t="n">
        <f aca="false">Sens!K5484</f>
        <v>113.437085350975</v>
      </c>
    </row>
    <row r="5489" customFormat="false" ht="17.15" hidden="false" customHeight="false" outlineLevel="0" collapsed="false">
      <c r="A5489" s="0" t="s">
        <v>997</v>
      </c>
      <c r="B5489" s="0" t="s">
        <v>98</v>
      </c>
      <c r="C5489" s="6" t="n">
        <f aca="false">Sens!C5488+Sens!C5485</f>
        <v>28.7416845916667</v>
      </c>
      <c r="D5489" s="6" t="n">
        <f aca="false">Sens!D5488+Sens!D5485</f>
        <v>43.4058093833333</v>
      </c>
      <c r="E5489" s="6" t="n">
        <f aca="false">Sens!E5488+Sens!E5485</f>
        <v>86.225053775</v>
      </c>
      <c r="F5489" s="6" t="n">
        <f aca="false">Sens!F5488+Sens!F5485</f>
        <v>168.45390404212</v>
      </c>
      <c r="G5489" s="6" t="n">
        <f aca="false">Sens!G5488+Sens!G5485</f>
        <v>191.944475649048</v>
      </c>
      <c r="H5489" s="6" t="n">
        <f aca="false">Sens!H5488+Sens!H5485</f>
        <v>196.806004064512</v>
      </c>
      <c r="I5489" s="6" t="n">
        <f aca="false">Sens!I5488+Sens!I5485</f>
        <v>168.61483362161</v>
      </c>
      <c r="J5489" s="6" t="n">
        <f aca="false">Sens!J5488+Sens!J5485</f>
        <v>128.92993119594</v>
      </c>
      <c r="K5489" s="6" t="n">
        <f aca="false">Sens!K5488+Sens!K5485</f>
        <v>118.962853064733</v>
      </c>
      <c r="L5489" s="12" t="s">
        <v>998</v>
      </c>
    </row>
    <row r="5490" customFormat="false" ht="17.15" hidden="false" customHeight="false" outlineLevel="0" collapsed="false">
      <c r="A5490" s="0" t="s">
        <v>999</v>
      </c>
      <c r="B5490" s="0" t="s">
        <v>98</v>
      </c>
      <c r="E5490" s="6" t="n">
        <f aca="false">(Sens!C5488*IF(2&lt;life_it,1,IF(2=life_it,0.5,0))+Sens!D5488*IF(1&lt;life_it,1,IF(1=life_it,0.5,0))+Sens!E5488*0.5)/life_it</f>
        <v>15.0605784770833</v>
      </c>
      <c r="F5490" s="6" t="n">
        <f aca="false">(Sens!C5488*IF(3&lt;life_it,1,IF(3=life_it,0.5,0))+Sens!D5488*IF(2&lt;life_it,1,IF(2=life_it,0.5,0))+Sens!E5488*IF(1&lt;life_it,1,IF(1=life_it,0.5,0))+Sens!F5488*0.5)/life_it</f>
        <v>32.0704849854266</v>
      </c>
      <c r="G5490" s="6" t="n">
        <f aca="false">(Sens!C5488*IF(4&lt;life_it,1,IF(4=life_it,0.5,0))+Sens!D5488*IF(3&lt;life_it,1,IF(3=life_it,0.5,0))+Sens!E5488*IF(2&lt;life_it,1,IF(2=life_it,0.5,0))+Sens!F5488*IF(1&lt;life_it,1,IF(1=life_it,0.5,0))+Sens!G5488*0.5)/life_it</f>
        <v>56.5636516735239</v>
      </c>
      <c r="H5490" s="6" t="n">
        <f aca="false">(Sens!C5488*IF(5&lt;life_it,1,IF(5=life_it,0.5,0))+Sens!D5488*IF(4&lt;life_it,1,IF(4=life_it,0.5,0))+Sens!E5488*IF(3&lt;life_it,1,IF(3=life_it,0.5,0))+Sens!F5488*IF(2&lt;life_it,1,IF(2=life_it,0.5,0))+Sens!G5488*IF(1&lt;life_it,1,IF(1=life_it,0.5,0))+Sens!H5488*0.5)/life_it</f>
        <v>83.2019916968207</v>
      </c>
      <c r="I5490" s="6" t="n">
        <f aca="false">(Sens!C5488*IF(6&lt;life_it,1,IF(6=life_it,0.5,0))+Sens!D5488*IF(5&lt;life_it,1,IF(5=life_it,0.5,0))+Sens!E5488*IF(4&lt;life_it,1,IF(4=life_it,0.5,0))+Sens!F5488*IF(3&lt;life_it,1,IF(3=life_it,0.5,0))+Sens!G5488*IF(2&lt;life_it,1,IF(2=life_it,0.5,0))+Sens!H5488*IF(1&lt;life_it,1,IF(1=life_it,0.5,0))+Sens!I5488*0.5)/life_it</f>
        <v>106.857324133594</v>
      </c>
      <c r="J5490" s="6" t="n">
        <f aca="false">(Sens!C5488*IF(7&lt;life_it,1,IF(7=life_it,0.5,0))+Sens!D5488*IF(6&lt;life_it,1,IF(6=life_it,0.5,0))+Sens!E5488*IF(5&lt;life_it,1,IF(5=life_it,0.5,0))+Sens!F5488*IF(4&lt;life_it,1,IF(4=life_it,0.5,0))+Sens!G5488*IF(3&lt;life_it,1,IF(3=life_it,0.5,0))+Sens!H5488*IF(2&lt;life_it,1,IF(2=life_it,0.5,0))+Sens!I5488*IF(1&lt;life_it,1,IF(1=life_it,0.5,0))+Sens!J5488*0.5)/life_it</f>
        <v>123.657508539285</v>
      </c>
      <c r="K5490" s="6" t="n">
        <f aca="false">(Sens!C5488*IF(8&lt;life_it,1,IF(8=life_it,0.5,0))+Sens!D5488*IF(7&lt;life_it,1,IF(7=life_it,0.5,0))+Sens!E5488*IF(6&lt;life_it,1,IF(6=life_it,0.5,0))+Sens!F5488*IF(5&lt;life_it,1,IF(5=life_it,0.5,0))+Sens!G5488*IF(4&lt;life_it,1,IF(4=life_it,0.5,0))+Sens!H5488*IF(3&lt;life_it,1,IF(3=life_it,0.5,0))+Sens!I5488*IF(2&lt;life_it,1,IF(2=life_it,0.5,0))+Sens!J5488*IF(1&lt;life_it,1,IF(1=life_it,0.5,0))+Sens!K5488*0.5)/life_it</f>
        <v>134.143838501827</v>
      </c>
    </row>
    <row r="5491" customFormat="false" ht="17.15" hidden="false" customHeight="false" outlineLevel="0" collapsed="false">
      <c r="A5491" s="0" t="s">
        <v>1000</v>
      </c>
      <c r="B5491" s="0" t="s">
        <v>98</v>
      </c>
      <c r="E5491" s="6" t="n">
        <f aca="false">(Sens!C5485*IF(2&lt;life_fac,1,IF(2=life_fac,0.5,0))+Sens!D5485*IF(1&lt;life_fac,1,IF(1=life_fac,0.5,0))+Sens!E5485*0.5)/life_fac</f>
        <v>1.2448275</v>
      </c>
      <c r="F5491" s="6" t="n">
        <f aca="false">(Sens!C5485*IF(3&lt;life_fac,1,IF(3=life_fac,0.5,0))+Sens!D5485*IF(2&lt;life_fac,1,IF(2=life_fac,0.5,0))+Sens!E5485*IF(1&lt;life_fac,1,IF(1=life_fac,0.5,0))+Sens!F5485*0.5)/life_fac</f>
        <v>2.508829492925</v>
      </c>
      <c r="G5491" s="6" t="n">
        <f aca="false">(Sens!C5485*IF(4&lt;life_fac,1,IF(4=life_fac,0.5,0))+Sens!D5485*IF(3&lt;life_fac,1,IF(3=life_fac,0.5,0))+Sens!E5485*IF(2&lt;life_fac,1,IF(2=life_fac,0.5,0))+Sens!F5485*IF(1&lt;life_fac,1,IF(1=life_fac,0.5,0))+Sens!G5485*0.5)/life_fac</f>
        <v>4.170838978775</v>
      </c>
      <c r="H5491" s="6" t="n">
        <f aca="false">(Sens!C5485*IF(5&lt;life_fac,1,IF(5=life_fac,0.5,0))+Sens!D5485*IF(4&lt;life_fac,1,IF(4=life_fac,0.5,0))+Sens!E5485*IF(3&lt;life_fac,1,IF(3=life_fac,0.5,0))+Sens!F5485*IF(2&lt;life_fac,1,IF(2=life_fac,0.5,0))+Sens!G5485*IF(1&lt;life_fac,1,IF(1=life_fac,0.5,0))+Sens!H5485*0.5)/life_fac</f>
        <v>5.898098964625</v>
      </c>
      <c r="I5491" s="6" t="n">
        <f aca="false">(Sens!C5485*IF(6&lt;life_fac,1,IF(6=life_fac,0.5,0))+Sens!D5485*IF(5&lt;life_fac,1,IF(5=life_fac,0.5,0))+Sens!E5485*IF(4&lt;life_fac,1,IF(4=life_fac,0.5,0))+Sens!F5485*IF(3&lt;life_fac,1,IF(3=life_fac,0.5,0))+Sens!G5485*IF(2&lt;life_fac,1,IF(2=life_fac,0.5,0))+Sens!H5485*IF(1&lt;life_fac,1,IF(1=life_fac,0.5,0))+Sens!I5485*0.5)/life_fac</f>
        <v>7.37368556095442</v>
      </c>
      <c r="J5491" s="6" t="n">
        <f aca="false">(Sens!C5485*IF(7&lt;life_fac,1,IF(7=life_fac,0.5,0))+Sens!D5485*IF(6&lt;life_fac,1,IF(6=life_fac,0.5,0))+Sens!E5485*IF(5&lt;life_fac,1,IF(5=life_fac,0.5,0))+Sens!F5485*IF(4&lt;life_fac,1,IF(4=life_fac,0.5,0))+Sens!G5485*IF(3&lt;life_fac,1,IF(3=life_fac,0.5,0))+Sens!H5485*IF(2&lt;life_fac,1,IF(2=life_fac,0.5,0))+Sens!I5485*IF(1&lt;life_fac,1,IF(1=life_fac,0.5,0))+Sens!J5485*0.5)/life_fac</f>
        <v>8.35816451031075</v>
      </c>
      <c r="K5491" s="6" t="n">
        <f aca="false">(Sens!C5485*IF(8&lt;life_fac,1,IF(8=life_fac,0.5,0))+Sens!D5485*IF(7&lt;life_fac,1,IF(7=life_fac,0.5,0))+Sens!E5485*IF(6&lt;life_fac,1,IF(6=life_fac,0.5,0))+Sens!F5485*IF(5&lt;life_fac,1,IF(5=life_fac,0.5,0))+Sens!G5485*IF(4&lt;life_fac,1,IF(4=life_fac,0.5,0))+Sens!H5485*IF(3&lt;life_fac,1,IF(3=life_fac,0.5,0))+Sens!I5485*IF(2&lt;life_fac,1,IF(2=life_fac,0.5,0))+Sens!J5485*IF(1&lt;life_fac,1,IF(1=life_fac,0.5,0))+Sens!K5485*0.5)/life_fac</f>
        <v>8.86883104910662</v>
      </c>
    </row>
    <row r="5492" customFormat="false" ht="17.15" hidden="false" customHeight="false" outlineLevel="0" collapsed="false">
      <c r="A5492" s="0" t="s">
        <v>1001</v>
      </c>
      <c r="B5492" s="0" t="s">
        <v>98</v>
      </c>
      <c r="E5492" s="6" t="n">
        <f aca="false">Sens!E5490+Sens!E5491</f>
        <v>16.3054059770833</v>
      </c>
      <c r="F5492" s="6" t="n">
        <f aca="false">Sens!F5490+Sens!F5491</f>
        <v>34.5793144783516</v>
      </c>
      <c r="G5492" s="6" t="n">
        <f aca="false">Sens!G5490+Sens!G5491</f>
        <v>60.7344906522989</v>
      </c>
      <c r="H5492" s="6" t="n">
        <f aca="false">Sens!H5490+Sens!H5491</f>
        <v>89.1000906614457</v>
      </c>
      <c r="I5492" s="6" t="n">
        <f aca="false">Sens!I5490+Sens!I5491</f>
        <v>114.231009694548</v>
      </c>
      <c r="J5492" s="6" t="n">
        <f aca="false">Sens!J5490+Sens!J5491</f>
        <v>132.015673049596</v>
      </c>
      <c r="K5492" s="6" t="n">
        <f aca="false">Sens!K5490+Sens!K5491</f>
        <v>143.012669550934</v>
      </c>
    </row>
    <row r="5493" customFormat="false" ht="17.15" hidden="false" customHeight="false" outlineLevel="0" collapsed="false">
      <c r="A5493" s="0" t="s">
        <v>1002</v>
      </c>
      <c r="B5493" s="0" t="s">
        <v>98</v>
      </c>
      <c r="E5493" s="6" t="n">
        <f aca="false">Sens!E5480-Sens!E5479*Sens!E5492</f>
        <v>8.92707889977379</v>
      </c>
      <c r="F5493" s="6" t="n">
        <f aca="false">Sens!F5480-Sens!F5479*Sens!F5492</f>
        <v>21.5035782377129</v>
      </c>
      <c r="G5493" s="6" t="n">
        <f aca="false">Sens!G5480-Sens!G5479*Sens!G5492</f>
        <v>41.0392698946041</v>
      </c>
      <c r="H5493" s="6" t="n">
        <f aca="false">Sens!H5480-Sens!H5479*Sens!H5492</f>
        <v>65.6317567249687</v>
      </c>
      <c r="I5493" s="6" t="n">
        <f aca="false">Sens!I5480-Sens!I5479*Sens!I5492</f>
        <v>81.7792133032787</v>
      </c>
      <c r="J5493" s="6" t="n">
        <f aca="false">Sens!J5480-Sens!J5479*Sens!J5492</f>
        <v>92.7925845381148</v>
      </c>
      <c r="K5493" s="6" t="n">
        <f aca="false">Sens!K5480-Sens!K5479*Sens!K5492</f>
        <v>99.587261421537</v>
      </c>
    </row>
    <row r="5494" customFormat="false" ht="17.15" hidden="false" customHeight="false" outlineLevel="0" collapsed="false">
      <c r="A5494" s="3" t="s">
        <v>1616</v>
      </c>
    </row>
    <row r="5495" customFormat="false" ht="15" hidden="false" customHeight="false" outlineLevel="0" collapsed="false">
      <c r="A5495" s="4" t="s">
        <v>43</v>
      </c>
      <c r="B5495" s="4" t="s">
        <v>65</v>
      </c>
      <c r="C5495" s="23" t="s">
        <v>938</v>
      </c>
      <c r="D5495" s="23" t="s">
        <v>939</v>
      </c>
      <c r="E5495" s="23" t="s">
        <v>940</v>
      </c>
      <c r="F5495" s="23" t="s">
        <v>941</v>
      </c>
      <c r="G5495" s="23" t="s">
        <v>942</v>
      </c>
      <c r="H5495" s="23" t="s">
        <v>943</v>
      </c>
      <c r="I5495" s="23" t="s">
        <v>944</v>
      </c>
      <c r="J5495" s="23" t="s">
        <v>945</v>
      </c>
      <c r="K5495" s="23" t="s">
        <v>946</v>
      </c>
      <c r="L5495" s="4" t="s">
        <v>47</v>
      </c>
    </row>
    <row r="5496" customFormat="false" ht="17.15" hidden="false" customHeight="false" outlineLevel="0" collapsed="false">
      <c r="A5496" s="0" t="s">
        <v>1021</v>
      </c>
      <c r="B5496" s="0" t="s">
        <v>98</v>
      </c>
      <c r="D5496" s="6" t="n">
        <f aca="false">Sens!D5474</f>
        <v>12.9359794422418</v>
      </c>
      <c r="E5496" s="6" t="n">
        <f aca="false">Sens!E5474</f>
        <v>27.8095064661409</v>
      </c>
      <c r="F5496" s="6" t="n">
        <f aca="false">Sens!F5474</f>
        <v>58.1383740769362</v>
      </c>
      <c r="G5496" s="6" t="n">
        <f aca="false">Sens!G5474</f>
        <v>101.211015816229</v>
      </c>
      <c r="H5496" s="6" t="n">
        <f aca="false">Sens!H5474</f>
        <v>150.10076677927</v>
      </c>
      <c r="I5496" s="6" t="n">
        <f aca="false">Sens!I5474</f>
        <v>187.626325280047</v>
      </c>
      <c r="J5496" s="6" t="n">
        <f aca="false">Sens!J5474</f>
        <v>213.598422398938</v>
      </c>
      <c r="K5496" s="6" t="n">
        <f aca="false">Sens!K5474</f>
        <v>229.42532331516</v>
      </c>
    </row>
    <row r="5497" customFormat="false" ht="17.15" hidden="false" customHeight="false" outlineLevel="0" collapsed="false">
      <c r="A5497" s="0" t="s">
        <v>1022</v>
      </c>
      <c r="B5497" s="0" t="s">
        <v>98</v>
      </c>
      <c r="D5497" s="6" t="n">
        <f aca="false">Q!L6-Sens!D5496</f>
        <v>59.6740205577583</v>
      </c>
      <c r="E5497" s="6" t="n">
        <f aca="false">Q!M6-Sens!E5496</f>
        <v>74.1284935338591</v>
      </c>
      <c r="F5497" s="6" t="n">
        <f aca="false">Q!$I$6+(Sens!F5496+Sens!E5497*(1+Sens!F5498))*(1-Q!$E$6/Q!M6)-Sens!F5496</f>
        <v>90.6985101342806</v>
      </c>
      <c r="G5497" s="6" t="n">
        <f aca="false">Sens!F5497*(1+Sens!G5498)</f>
        <v>107.763367278299</v>
      </c>
      <c r="H5497" s="6" t="n">
        <f aca="false">Sens!G5497*(1+Sens!H5498)</f>
        <v>125.125332605231</v>
      </c>
      <c r="I5497" s="6" t="n">
        <f aca="false">Sens!H5497*(1+Sens!I5498)</f>
        <v>141.901464987608</v>
      </c>
      <c r="J5497" s="6" t="n">
        <f aca="false">Sens!I5497*(1+Sens!J5498)</f>
        <v>157.090216629839</v>
      </c>
      <c r="K5497" s="6" t="n">
        <f aca="false">Sens!J5497*(1+Sens!K5498)</f>
        <v>169.657433960226</v>
      </c>
      <c r="L5497" s="12" t="s">
        <v>1023</v>
      </c>
    </row>
    <row r="5498" customFormat="false" ht="15" hidden="false" customHeight="false" outlineLevel="0" collapsed="false">
      <c r="A5498" s="1" t="s">
        <v>1024</v>
      </c>
      <c r="B5498" s="0" t="s">
        <v>168</v>
      </c>
      <c r="E5498" s="7" t="n">
        <f aca="false">Sens!E5497/Sens!D5497-1</f>
        <v>0.242223883039864</v>
      </c>
      <c r="F5498" s="7" t="n">
        <f aca="false">Sens!$E$5498+(glt_azo-Sens!$E$5498)*MIN(1,(Sens!F5455-base_fy)/n_conv)</f>
        <v>0.215186569199887</v>
      </c>
      <c r="G5498" s="7" t="n">
        <f aca="false">Sens!$E$5498+(glt_azo-Sens!$E$5498)*MIN(1,(Sens!G5455-base_fy)/n_conv)</f>
        <v>0.18814925535991</v>
      </c>
      <c r="H5498" s="7" t="n">
        <f aca="false">Sens!$E$5498+(glt_azo-Sens!$E$5498)*MIN(1,(Sens!H5455-base_fy)/n_conv)</f>
        <v>0.161111941519932</v>
      </c>
      <c r="I5498" s="7" t="n">
        <f aca="false">Sens!$E$5498+(glt_azo-Sens!$E$5498)*MIN(1,(Sens!I5455-base_fy)/n_conv)</f>
        <v>0.134074627679955</v>
      </c>
      <c r="J5498" s="7" t="n">
        <f aca="false">Sens!$E$5498+(glt_azo-Sens!$E$5498)*MIN(1,(Sens!J5455-base_fy)/n_conv)</f>
        <v>0.107037313839977</v>
      </c>
      <c r="K5498" s="7" t="n">
        <f aca="false">Sens!$E$5498+(glt_azo-Sens!$E$5498)*MIN(1,(Sens!K5455-base_fy)/n_conv)</f>
        <v>0.08</v>
      </c>
    </row>
    <row r="5499" customFormat="false" ht="15" hidden="false" customHeight="false" outlineLevel="0" collapsed="false">
      <c r="A5499" s="0" t="s">
        <v>1025</v>
      </c>
      <c r="B5499" s="0" t="s">
        <v>98</v>
      </c>
      <c r="D5499" s="6" t="n">
        <f aca="false">Sens!D5496+Sens!D5497</f>
        <v>72.61</v>
      </c>
      <c r="E5499" s="6" t="n">
        <f aca="false">Sens!E5496+Sens!E5497</f>
        <v>101.938</v>
      </c>
      <c r="F5499" s="6" t="n">
        <f aca="false">Sens!F5496+Sens!F5497</f>
        <v>148.836884211217</v>
      </c>
      <c r="G5499" s="6" t="n">
        <f aca="false">Sens!G5496+Sens!G5497</f>
        <v>208.974383094528</v>
      </c>
      <c r="H5499" s="6" t="n">
        <f aca="false">Sens!H5496+Sens!H5497</f>
        <v>275.226099384501</v>
      </c>
      <c r="I5499" s="6" t="n">
        <f aca="false">Sens!I5496+Sens!I5497</f>
        <v>329.527790267655</v>
      </c>
      <c r="J5499" s="6" t="n">
        <f aca="false">Sens!J5496+Sens!J5497</f>
        <v>370.688639028777</v>
      </c>
      <c r="K5499" s="6" t="n">
        <f aca="false">Sens!K5496+Sens!K5497</f>
        <v>399.082757275386</v>
      </c>
    </row>
    <row r="5500" customFormat="false" ht="17.15" hidden="false" customHeight="false" outlineLevel="0" collapsed="false">
      <c r="A5500" s="0" t="s">
        <v>1026</v>
      </c>
      <c r="B5500" s="1" t="s">
        <v>610</v>
      </c>
      <c r="C5500" s="30" t="n">
        <f aca="false">cop_s24</f>
        <v>1</v>
      </c>
      <c r="D5500" s="30" t="n">
        <f aca="false">cop_s25</f>
        <v>5</v>
      </c>
      <c r="E5500" s="30" t="n">
        <f aca="false">cop_s26</f>
        <v>30</v>
      </c>
      <c r="F5500" s="30" t="n">
        <f aca="false">Sens!E5500+cop_add_A</f>
        <v>60</v>
      </c>
      <c r="G5500" s="30" t="n">
        <f aca="false">Sens!F5500+cop_add_A</f>
        <v>90</v>
      </c>
      <c r="H5500" s="30" t="n">
        <f aca="false">Sens!G5500+cop_add_A</f>
        <v>120</v>
      </c>
      <c r="I5500" s="30" t="n">
        <f aca="false">Sens!H5500+cop_add_A*cop_tail</f>
        <v>135</v>
      </c>
      <c r="J5500" s="30" t="n">
        <f aca="false">Sens!I5500+cop_add_A*cop_tail</f>
        <v>150</v>
      </c>
      <c r="K5500" s="30" t="n">
        <f aca="false">Sens!J5500+cop_add_A*cop_tail</f>
        <v>165</v>
      </c>
      <c r="L5500" s="12" t="s">
        <v>1027</v>
      </c>
    </row>
    <row r="5501" customFormat="false" ht="17.15" hidden="false" customHeight="false" outlineLevel="0" collapsed="false">
      <c r="A5501" s="0" t="s">
        <v>1028</v>
      </c>
      <c r="B5501" s="0" t="s">
        <v>98</v>
      </c>
      <c r="D5501" s="6" t="n">
        <f aca="false">(Sens!C5500+Sens!D5500)/2*cop_px*12/1000</f>
        <v>0.9</v>
      </c>
      <c r="E5501" s="6" t="n">
        <f aca="false">(Sens!D5500+Sens!E5500)/2*cop_px*12/1000</f>
        <v>5.25</v>
      </c>
      <c r="F5501" s="6" t="n">
        <f aca="false">(Sens!E5500+Sens!F5500)/2*cop_px*12/1000</f>
        <v>13.5</v>
      </c>
      <c r="G5501" s="6" t="n">
        <f aca="false">(Sens!F5500+Sens!G5500)/2*cop_px*12/1000</f>
        <v>22.5</v>
      </c>
      <c r="H5501" s="6" t="n">
        <f aca="false">(Sens!G5500+Sens!H5500)/2*cop_px*12/1000</f>
        <v>31.5</v>
      </c>
      <c r="I5501" s="6" t="n">
        <f aca="false">(Sens!H5500+Sens!I5500)/2*cop_px*12/1000</f>
        <v>38.25</v>
      </c>
      <c r="J5501" s="6" t="n">
        <f aca="false">(Sens!I5500+Sens!J5500)/2*cop_px*12/1000</f>
        <v>42.75</v>
      </c>
      <c r="K5501" s="6" t="n">
        <f aca="false">(Sens!J5500+Sens!K5500)/2*cop_px*12/1000</f>
        <v>47.25</v>
      </c>
      <c r="L5501" s="1" t="s">
        <v>1029</v>
      </c>
    </row>
    <row r="5502" customFormat="false" ht="17.15" hidden="false" customHeight="false" outlineLevel="0" collapsed="false">
      <c r="A5502" s="0" t="s">
        <v>1030</v>
      </c>
      <c r="B5502" s="0" t="s">
        <v>98</v>
      </c>
      <c r="D5502" s="6" t="n">
        <f aca="false">Q!L7-Sens!D5501</f>
        <v>83.705</v>
      </c>
      <c r="E5502" s="6" t="n">
        <f aca="false">Q!M7-Sens!E5501</f>
        <v>95.049</v>
      </c>
      <c r="F5502" s="6" t="n">
        <f aca="false">Q!$I$7+(Sens!E5502*(1+Sens!F5503)+Sens!F5501)*(1-Q!$E$7/Q!M7)-Sens!F5501</f>
        <v>106.229653205718</v>
      </c>
      <c r="G5502" s="6" t="n">
        <f aca="false">Sens!F5502*(1+Sens!G5503)</f>
        <v>118.306092647576</v>
      </c>
      <c r="H5502" s="6" t="n">
        <f aca="false">Sens!G5502*(1+Sens!H5503)</f>
        <v>130.463437602768</v>
      </c>
      <c r="I5502" s="6" t="n">
        <f aca="false">Sens!H5502*(1+Sens!I5503)</f>
        <v>142.445354741933</v>
      </c>
      <c r="J5502" s="6" t="n">
        <f aca="false">Sens!I5502*(1+Sens!J5503)</f>
        <v>153.972117481571</v>
      </c>
      <c r="K5502" s="6" t="n">
        <f aca="false">Sens!J5502*(1+Sens!K5503)</f>
        <v>164.75016570528</v>
      </c>
      <c r="L5502" s="12" t="s">
        <v>1031</v>
      </c>
    </row>
    <row r="5503" customFormat="false" ht="15" hidden="false" customHeight="false" outlineLevel="0" collapsed="false">
      <c r="A5503" s="1" t="s">
        <v>1024</v>
      </c>
      <c r="B5503" s="0" t="s">
        <v>168</v>
      </c>
      <c r="E5503" s="7" t="n">
        <f aca="false">Sens!E5502/Sens!D5502-1</f>
        <v>0.135523564900544</v>
      </c>
      <c r="F5503" s="7" t="n">
        <f aca="false">Sens!$E$5503+(glt_m365b-Sens!$E$5503)*MIN(1,(Sens!F5455-base_fy)/n_conv)</f>
        <v>0.124602970750453</v>
      </c>
      <c r="G5503" s="7" t="n">
        <f aca="false">Sens!$E$5503+(glt_m365b-Sens!$E$5503)*MIN(1,(Sens!G5455-base_fy)/n_conv)</f>
        <v>0.113682376600363</v>
      </c>
      <c r="H5503" s="7" t="n">
        <f aca="false">Sens!$E$5503+(glt_m365b-Sens!$E$5503)*MIN(1,(Sens!H5455-base_fy)/n_conv)</f>
        <v>0.102761782450272</v>
      </c>
      <c r="I5503" s="7" t="n">
        <f aca="false">Sens!$E$5503+(glt_m365b-Sens!$E$5503)*MIN(1,(Sens!I5455-base_fy)/n_conv)</f>
        <v>0.0918411883001813</v>
      </c>
      <c r="J5503" s="7" t="n">
        <f aca="false">Sens!$E$5503+(glt_m365b-Sens!$E$5503)*MIN(1,(Sens!J5455-base_fy)/n_conv)</f>
        <v>0.0809205941500906</v>
      </c>
      <c r="K5503" s="7" t="n">
        <f aca="false">Sens!$E$5503+(glt_m365b-Sens!$E$5503)*MIN(1,(Sens!K5455-base_fy)/n_conv)</f>
        <v>0.07</v>
      </c>
    </row>
    <row r="5504" customFormat="false" ht="15" hidden="false" customHeight="false" outlineLevel="0" collapsed="false">
      <c r="A5504" s="0" t="s">
        <v>1032</v>
      </c>
      <c r="B5504" s="0" t="s">
        <v>98</v>
      </c>
      <c r="D5504" s="6" t="n">
        <f aca="false">Sens!D5502+Sens!D5501</f>
        <v>84.605</v>
      </c>
      <c r="E5504" s="6" t="n">
        <f aca="false">Sens!E5502+Sens!E5501</f>
        <v>100.299</v>
      </c>
      <c r="F5504" s="6" t="n">
        <f aca="false">Sens!F5502+Sens!F5501</f>
        <v>119.729653205718</v>
      </c>
      <c r="G5504" s="6" t="n">
        <f aca="false">Sens!G5502+Sens!G5501</f>
        <v>140.806092647576</v>
      </c>
      <c r="H5504" s="6" t="n">
        <f aca="false">Sens!H5502+Sens!H5501</f>
        <v>161.963437602768</v>
      </c>
      <c r="I5504" s="6" t="n">
        <f aca="false">Sens!I5502+Sens!I5501</f>
        <v>180.695354741933</v>
      </c>
      <c r="J5504" s="6" t="n">
        <f aca="false">Sens!J5502+Sens!J5501</f>
        <v>196.722117481571</v>
      </c>
      <c r="K5504" s="6" t="n">
        <f aca="false">Sens!K5502+Sens!K5501</f>
        <v>212.00016570528</v>
      </c>
    </row>
    <row r="5505" customFormat="false" ht="17.15" hidden="false" customHeight="false" outlineLevel="0" collapsed="false">
      <c r="A5505" s="0" t="s">
        <v>1033</v>
      </c>
      <c r="B5505" s="0" t="s">
        <v>98</v>
      </c>
      <c r="D5505" s="6" t="n">
        <f aca="false">Q!L8</f>
        <v>35.391</v>
      </c>
      <c r="E5505" s="6" t="n">
        <f aca="false">Q!M8</f>
        <v>37.285</v>
      </c>
      <c r="F5505" s="6" t="n">
        <f aca="false">Q!$I$8+(Q!M8-Q!$E$8)*(1+Sens!F5506)</f>
        <v>38.3851437782675</v>
      </c>
      <c r="G5505" s="6" t="n">
        <f aca="false">Sens!F5505*(1+Sens!G5506)</f>
        <v>40.0105353288615</v>
      </c>
      <c r="H5505" s="6" t="n">
        <f aca="false">Sens!G5505*(1+Sens!H5506)</f>
        <v>41.4812512033683</v>
      </c>
      <c r="I5505" s="6" t="n">
        <f aca="false">Sens!H5505*(1+Sens!I5506)</f>
        <v>42.7743107216329</v>
      </c>
      <c r="J5505" s="6" t="n">
        <f aca="false">Sens!I5505*(1+Sens!J5506)</f>
        <v>43.8687373064601</v>
      </c>
      <c r="K5505" s="6" t="n">
        <f aca="false">Sens!J5505*(1+Sens!K5506)</f>
        <v>44.7461120525893</v>
      </c>
      <c r="L5505" s="12" t="s">
        <v>1034</v>
      </c>
    </row>
    <row r="5506" customFormat="false" ht="15" hidden="false" customHeight="false" outlineLevel="0" collapsed="false">
      <c r="A5506" s="1" t="s">
        <v>1024</v>
      </c>
      <c r="B5506" s="0" t="s">
        <v>168</v>
      </c>
      <c r="E5506" s="7" t="n">
        <f aca="false">Sens!E5505/Sens!D5505-1</f>
        <v>0.0535164307309768</v>
      </c>
      <c r="F5506" s="7" t="n">
        <f aca="false">Sens!$E$5506+(glt_lic-Sens!$E$5506)*MIN(1,(Sens!F5455-base_fy)/n_conv)</f>
        <v>0.0479303589424807</v>
      </c>
      <c r="G5506" s="7" t="n">
        <f aca="false">Sens!$E$5506+(glt_lic-Sens!$E$5506)*MIN(1,(Sens!G5455-base_fy)/n_conv)</f>
        <v>0.0423442871539845</v>
      </c>
      <c r="H5506" s="7" t="n">
        <f aca="false">Sens!$E$5506+(glt_lic-Sens!$E$5506)*MIN(1,(Sens!H5455-base_fy)/n_conv)</f>
        <v>0.0367582153654884</v>
      </c>
      <c r="I5506" s="7" t="n">
        <f aca="false">Sens!$E$5506+(glt_lic-Sens!$E$5506)*MIN(1,(Sens!I5455-base_fy)/n_conv)</f>
        <v>0.0311721435769923</v>
      </c>
      <c r="J5506" s="7" t="n">
        <f aca="false">Sens!$E$5506+(glt_lic-Sens!$E$5506)*MIN(1,(Sens!J5455-base_fy)/n_conv)</f>
        <v>0.0255860717884961</v>
      </c>
      <c r="K5506" s="7" t="n">
        <f aca="false">Sens!$E$5506+(glt_lic-Sens!$E$5506)*MIN(1,(Sens!K5455-base_fy)/n_conv)</f>
        <v>0.02</v>
      </c>
    </row>
    <row r="5507" customFormat="false" ht="17.15" hidden="false" customHeight="false" outlineLevel="0" collapsed="false">
      <c r="A5507" s="0" t="s">
        <v>1035</v>
      </c>
      <c r="B5507" s="0" t="s">
        <v>98</v>
      </c>
      <c r="D5507" s="6" t="n">
        <f aca="false">Q!L9</f>
        <v>18.417</v>
      </c>
      <c r="E5507" s="6" t="n">
        <f aca="false">Q!M9</f>
        <v>20.345</v>
      </c>
      <c r="F5507" s="6" t="n">
        <f aca="false">Q!$I$9+(Q!M9-Q!$E$9)*(1+Sens!F5508)</f>
        <v>22.3161797133988</v>
      </c>
      <c r="G5507" s="6" t="n">
        <f aca="false">Sens!F5507*(1+Sens!G5508)</f>
        <v>24.3943499673233</v>
      </c>
      <c r="H5507" s="6" t="n">
        <f aca="false">Sens!G5507*(1+Sens!H5508)</f>
        <v>26.5250243109019</v>
      </c>
      <c r="I5507" s="6" t="n">
        <f aca="false">Sens!H5507*(1+Sens!I5508)</f>
        <v>28.6884573538181</v>
      </c>
      <c r="J5507" s="6" t="n">
        <f aca="false">Sens!I5507*(1+Sens!J5508)</f>
        <v>30.8624968052127</v>
      </c>
      <c r="K5507" s="6" t="n">
        <f aca="false">Sens!J5507*(1+Sens!K5508)</f>
        <v>33.0228715815776</v>
      </c>
      <c r="L5507" s="12" t="s">
        <v>1034</v>
      </c>
    </row>
    <row r="5508" customFormat="false" ht="15" hidden="false" customHeight="false" outlineLevel="0" collapsed="false">
      <c r="A5508" s="1" t="s">
        <v>1024</v>
      </c>
      <c r="B5508" s="0" t="s">
        <v>168</v>
      </c>
      <c r="E5508" s="7" t="n">
        <f aca="false">Sens!E5507/Sens!D5507-1</f>
        <v>0.104685888038225</v>
      </c>
      <c r="F5508" s="7" t="n">
        <f aca="false">Sens!$E$5508+(glt_ind-Sens!$E$5508)*MIN(1,(Sens!F5455-base_fy)/n_conv)</f>
        <v>0.0989049066985211</v>
      </c>
      <c r="G5508" s="7" t="n">
        <f aca="false">Sens!$E$5508+(glt_ind-Sens!$E$5508)*MIN(1,(Sens!G5455-base_fy)/n_conv)</f>
        <v>0.0931239253588169</v>
      </c>
      <c r="H5508" s="7" t="n">
        <f aca="false">Sens!$E$5508+(glt_ind-Sens!$E$5508)*MIN(1,(Sens!H5455-base_fy)/n_conv)</f>
        <v>0.0873429440191127</v>
      </c>
      <c r="I5508" s="7" t="n">
        <f aca="false">Sens!$E$5508+(glt_ind-Sens!$E$5508)*MIN(1,(Sens!I5455-base_fy)/n_conv)</f>
        <v>0.0815619626794085</v>
      </c>
      <c r="J5508" s="7" t="n">
        <f aca="false">Sens!$E$5508+(glt_ind-Sens!$E$5508)*MIN(1,(Sens!J5455-base_fy)/n_conv)</f>
        <v>0.0757809813397042</v>
      </c>
      <c r="K5508" s="7" t="n">
        <f aca="false">Sens!$E$5508+(glt_ind-Sens!$E$5508)*MIN(1,(Sens!K5455-base_fy)/n_conv)</f>
        <v>0.07</v>
      </c>
    </row>
    <row r="5509" customFormat="false" ht="17.15" hidden="false" customHeight="false" outlineLevel="0" collapsed="false">
      <c r="A5509" s="0" t="s">
        <v>1036</v>
      </c>
      <c r="B5509" s="0" t="s">
        <v>98</v>
      </c>
      <c r="D5509" s="6" t="n">
        <f aca="false">Q!L10</f>
        <v>7.76</v>
      </c>
      <c r="E5509" s="6" t="n">
        <f aca="false">Q!M10</f>
        <v>8.26</v>
      </c>
      <c r="F5509" s="6" t="n">
        <f aca="false">Q!$I$10+(Q!M10-Q!$E$10)*(1+Sens!F5510)</f>
        <v>8.75372082474227</v>
      </c>
      <c r="G5509" s="6" t="n">
        <f aca="false">Sens!F5509*(1+Sens!G5510)</f>
        <v>9.33399324642364</v>
      </c>
      <c r="H5509" s="6" t="n">
        <f aca="false">Sens!G5509*(1+Sens!H5510)</f>
        <v>9.96139155535851</v>
      </c>
      <c r="I5509" s="6" t="n">
        <f aca="false">Sens!H5509*(1+Sens!I5510)</f>
        <v>10.6402039077391</v>
      </c>
      <c r="J5509" s="6" t="n">
        <f aca="false">Sens!I5509*(1+Sens!J5510)</f>
        <v>11.3751458271397</v>
      </c>
      <c r="K5509" s="6" t="n">
        <f aca="false">Sens!J5509*(1+Sens!K5510)</f>
        <v>12.1714060350394</v>
      </c>
      <c r="L5509" s="12" t="s">
        <v>1034</v>
      </c>
    </row>
    <row r="5510" customFormat="false" ht="15" hidden="false" customHeight="false" outlineLevel="0" collapsed="false">
      <c r="A5510" s="1" t="s">
        <v>1024</v>
      </c>
      <c r="B5510" s="0" t="s">
        <v>168</v>
      </c>
      <c r="E5510" s="7" t="n">
        <f aca="false">Sens!E5509/Sens!D5509-1</f>
        <v>0.0644329896907216</v>
      </c>
      <c r="F5510" s="7" t="n">
        <f aca="false">Sens!$E$5510+(glt_fro-Sens!$E$5510)*MIN(1,(Sens!F5455-base_fy)/n_conv)</f>
        <v>0.065360824742268</v>
      </c>
      <c r="G5510" s="7" t="n">
        <f aca="false">Sens!$E$5510+(glt_fro-Sens!$E$5510)*MIN(1,(Sens!G5455-base_fy)/n_conv)</f>
        <v>0.0662886597938144</v>
      </c>
      <c r="H5510" s="7" t="n">
        <f aca="false">Sens!$E$5510+(glt_fro-Sens!$E$5510)*MIN(1,(Sens!H5455-base_fy)/n_conv)</f>
        <v>0.0672164948453608</v>
      </c>
      <c r="I5510" s="7" t="n">
        <f aca="false">Sens!$E$5510+(glt_fro-Sens!$E$5510)*MIN(1,(Sens!I5455-base_fy)/n_conv)</f>
        <v>0.0681443298969072</v>
      </c>
      <c r="J5510" s="7" t="n">
        <f aca="false">Sens!$E$5510+(glt_fro-Sens!$E$5510)*MIN(1,(Sens!J5455-base_fy)/n_conv)</f>
        <v>0.0690721649484536</v>
      </c>
      <c r="K5510" s="7" t="n">
        <f aca="false">Sens!$E$5510+(glt_fro-Sens!$E$5510)*MIN(1,(Sens!K5455-base_fy)/n_conv)</f>
        <v>0.07</v>
      </c>
    </row>
    <row r="5511" customFormat="false" ht="15" hidden="false" customHeight="false" outlineLevel="0" collapsed="false">
      <c r="A5511" s="0" t="s">
        <v>852</v>
      </c>
      <c r="B5511" s="0" t="s">
        <v>98</v>
      </c>
      <c r="D5511" s="6" t="n">
        <f aca="false">Sens!D5499+Sens!D5504+Sens!D5505+Sens!D5507+Sens!D5509</f>
        <v>218.783</v>
      </c>
      <c r="E5511" s="6" t="n">
        <f aca="false">Sens!E5499+Sens!E5504+Sens!E5505+Sens!E5507+Sens!E5509</f>
        <v>268.127</v>
      </c>
      <c r="F5511" s="6" t="n">
        <f aca="false">Sens!F5499+Sens!F5504+Sens!F5505+Sens!F5507+Sens!F5509</f>
        <v>338.021581733343</v>
      </c>
      <c r="G5511" s="6" t="n">
        <f aca="false">Sens!G5499+Sens!G5504+Sens!G5505+Sens!G5507+Sens!G5509</f>
        <v>423.519354284713</v>
      </c>
      <c r="H5511" s="6" t="n">
        <f aca="false">Sens!H5499+Sens!H5504+Sens!H5505+Sens!H5507+Sens!H5509</f>
        <v>515.157204056898</v>
      </c>
      <c r="I5511" s="6" t="n">
        <f aca="false">Sens!I5499+Sens!I5504+Sens!I5505+Sens!I5507+Sens!I5509</f>
        <v>592.326116992778</v>
      </c>
      <c r="J5511" s="6" t="n">
        <f aca="false">Sens!J5499+Sens!J5504+Sens!J5505+Sens!J5507+Sens!J5509</f>
        <v>653.51713644916</v>
      </c>
      <c r="K5511" s="6" t="n">
        <f aca="false">Sens!K5499+Sens!K5504+Sens!K5505+Sens!K5507+Sens!K5509</f>
        <v>701.023312649873</v>
      </c>
    </row>
    <row r="5512" customFormat="false" ht="17.15" hidden="false" customHeight="false" outlineLevel="0" collapsed="false">
      <c r="A5512" s="0" t="s">
        <v>1037</v>
      </c>
      <c r="B5512" s="0" t="s">
        <v>98</v>
      </c>
      <c r="D5512" s="6" t="n">
        <f aca="false">Q!L13</f>
        <v>22.171</v>
      </c>
      <c r="E5512" s="6" t="n">
        <f aca="false">Q!M13</f>
        <v>24.835</v>
      </c>
      <c r="F5512" s="6" t="n">
        <f aca="false">Q!$I$13+(Q!M13-Q!$E$13)*(1+Sens!F5513)</f>
        <v>27.5591895660247</v>
      </c>
      <c r="G5512" s="6" t="n">
        <f aca="false">Sens!F5512*(1+Sens!G5513)</f>
        <v>30.4098563144583</v>
      </c>
      <c r="H5512" s="6" t="n">
        <f aca="false">Sens!G5512*(1+Sens!H5513)</f>
        <v>33.3011792571777</v>
      </c>
      <c r="I5512" s="6" t="n">
        <f aca="false">Sens!H5512*(1+Sens!I5513)</f>
        <v>36.189023797112</v>
      </c>
      <c r="J5512" s="6" t="n">
        <f aca="false">Sens!I5512*(1+Sens!J5513)</f>
        <v>39.0247773769199</v>
      </c>
      <c r="K5512" s="6" t="n">
        <f aca="false">Sens!J5512*(1+Sens!K5513)</f>
        <v>41.7565117933043</v>
      </c>
      <c r="L5512" s="12" t="s">
        <v>1034</v>
      </c>
    </row>
    <row r="5513" customFormat="false" ht="15" hidden="false" customHeight="false" outlineLevel="0" collapsed="false">
      <c r="A5513" s="1" t="s">
        <v>1024</v>
      </c>
      <c r="B5513" s="0" t="s">
        <v>168</v>
      </c>
      <c r="E5513" s="7" t="n">
        <f aca="false">Sens!E5512/Sens!D5512-1</f>
        <v>0.120156961796942</v>
      </c>
      <c r="F5513" s="7" t="n">
        <f aca="false">Sens!$E$5513+(glt_srch-Sens!$E$5513)*MIN(1,(Sens!F5455-base_fy)/n_conv)</f>
        <v>0.111797468164118</v>
      </c>
      <c r="G5513" s="7" t="n">
        <f aca="false">Sens!$E$5513+(glt_srch-Sens!$E$5513)*MIN(1,(Sens!G5455-base_fy)/n_conv)</f>
        <v>0.103437974531295</v>
      </c>
      <c r="H5513" s="7" t="n">
        <f aca="false">Sens!$E$5513+(glt_srch-Sens!$E$5513)*MIN(1,(Sens!H5455-base_fy)/n_conv)</f>
        <v>0.095078480898471</v>
      </c>
      <c r="I5513" s="7" t="n">
        <f aca="false">Sens!$E$5513+(glt_srch-Sens!$E$5513)*MIN(1,(Sens!I5455-base_fy)/n_conv)</f>
        <v>0.0867189872656474</v>
      </c>
      <c r="J5513" s="7" t="n">
        <f aca="false">Sens!$E$5513+(glt_srch-Sens!$E$5513)*MIN(1,(Sens!J5455-base_fy)/n_conv)</f>
        <v>0.0783594936328237</v>
      </c>
      <c r="K5513" s="7" t="n">
        <f aca="false">Sens!$E$5513+(glt_srch-Sens!$E$5513)*MIN(1,(Sens!K5455-base_fy)/n_conv)</f>
        <v>0.07</v>
      </c>
    </row>
    <row r="5514" customFormat="false" ht="17.15" hidden="false" customHeight="false" outlineLevel="0" collapsed="false">
      <c r="A5514" s="0" t="s">
        <v>1038</v>
      </c>
      <c r="B5514" s="0" t="s">
        <v>98</v>
      </c>
      <c r="D5514" s="6" t="n">
        <f aca="false">Q!L14</f>
        <v>23.455</v>
      </c>
      <c r="E5514" s="6" t="n">
        <f aca="false">Q!M14</f>
        <v>21.79</v>
      </c>
      <c r="F5514" s="6" t="n">
        <f aca="false">Q!$I$14+(Q!M14-Q!$E$14)*(1+Sens!F5515)</f>
        <v>20.7520981041711</v>
      </c>
      <c r="G5514" s="6" t="n">
        <f aca="false">Sens!F5514*(1+Sens!G5515)</f>
        <v>19.9083593495882</v>
      </c>
      <c r="H5514" s="6" t="n">
        <f aca="false">Sens!G5514*(1+Sens!H5515)</f>
        <v>19.4008256265831</v>
      </c>
      <c r="I5514" s="6" t="n">
        <f aca="false">Sens!H5514*(1+Sens!I5515)</f>
        <v>19.200434522122</v>
      </c>
      <c r="J5514" s="6" t="n">
        <f aca="false">Sens!I5514*(1+Sens!J5515)</f>
        <v>19.2932782348507</v>
      </c>
      <c r="K5514" s="6" t="n">
        <f aca="false">Sens!J5514*(1+Sens!K5515)</f>
        <v>19.6791437995477</v>
      </c>
      <c r="L5514" s="12" t="s">
        <v>1034</v>
      </c>
    </row>
    <row r="5515" customFormat="false" ht="15" hidden="false" customHeight="false" outlineLevel="0" collapsed="false">
      <c r="A5515" s="1" t="s">
        <v>1024</v>
      </c>
      <c r="B5515" s="0" t="s">
        <v>168</v>
      </c>
      <c r="E5515" s="7" t="n">
        <f aca="false">Sens!E5514/Sens!D5514-1</f>
        <v>-0.0709869963760392</v>
      </c>
      <c r="F5515" s="7" t="n">
        <f aca="false">Sens!$E$5515+(glt_xbox-Sens!$E$5515)*MIN(1,(Sens!F5455-base_fy)/n_conv)</f>
        <v>-0.0558224969800327</v>
      </c>
      <c r="G5515" s="7" t="n">
        <f aca="false">Sens!$E$5515+(glt_xbox-Sens!$E$5515)*MIN(1,(Sens!G5455-base_fy)/n_conv)</f>
        <v>-0.0406579975840262</v>
      </c>
      <c r="H5515" s="7" t="n">
        <f aca="false">Sens!$E$5515+(glt_xbox-Sens!$E$5515)*MIN(1,(Sens!H5455-base_fy)/n_conv)</f>
        <v>-0.0254934981880196</v>
      </c>
      <c r="I5515" s="7" t="n">
        <f aca="false">Sens!$E$5515+(glt_xbox-Sens!$E$5515)*MIN(1,(Sens!I5455-base_fy)/n_conv)</f>
        <v>-0.0103289987920131</v>
      </c>
      <c r="J5515" s="7" t="n">
        <f aca="false">Sens!$E$5515+(glt_xbox-Sens!$E$5515)*MIN(1,(Sens!J5455-base_fy)/n_conv)</f>
        <v>0.00483550060399347</v>
      </c>
      <c r="K5515" s="7" t="n">
        <f aca="false">Sens!$E$5515+(glt_xbox-Sens!$E$5515)*MIN(1,(Sens!K5455-base_fy)/n_conv)</f>
        <v>0.02</v>
      </c>
    </row>
    <row r="5516" customFormat="false" ht="17.15" hidden="false" customHeight="false" outlineLevel="0" collapsed="false">
      <c r="A5516" s="0" t="s">
        <v>1039</v>
      </c>
      <c r="B5516" s="0" t="s">
        <v>98</v>
      </c>
      <c r="D5516" s="6" t="n">
        <f aca="false">Q!L15</f>
        <v>17.315</v>
      </c>
      <c r="E5516" s="6" t="n">
        <f aca="false">Q!M15</f>
        <v>17.087</v>
      </c>
      <c r="F5516" s="6" t="n">
        <f aca="false">Q!$I$15+(Q!M15-Q!$E$15)*(1+Sens!F5517)</f>
        <v>15.9912273250553</v>
      </c>
      <c r="G5516" s="6" t="n">
        <f aca="false">Sens!F5516*(1+Sens!G5517)</f>
        <v>15.9574562664827</v>
      </c>
      <c r="H5516" s="6" t="n">
        <f aca="false">Sens!G5516*(1+Sens!H5517)</f>
        <v>16.0119687434196</v>
      </c>
      <c r="I5516" s="6" t="n">
        <f aca="false">Sens!H5516*(1+Sens!I5517)</f>
        <v>16.1551810001948</v>
      </c>
      <c r="J5516" s="6" t="n">
        <f aca="false">Sens!I5516*(1+Sens!J5517)</f>
        <v>16.3889793892005</v>
      </c>
      <c r="K5516" s="6" t="n">
        <f aca="false">Sens!J5516*(1+Sens!K5517)</f>
        <v>16.7167589769845</v>
      </c>
      <c r="L5516" s="12" t="s">
        <v>1034</v>
      </c>
    </row>
    <row r="5517" customFormat="false" ht="15" hidden="false" customHeight="false" outlineLevel="0" collapsed="false">
      <c r="A5517" s="1" t="s">
        <v>1024</v>
      </c>
      <c r="B5517" s="0" t="s">
        <v>168</v>
      </c>
      <c r="E5517" s="7" t="n">
        <f aca="false">Sens!E5516/Sens!D5516-1</f>
        <v>-0.0131677736066995</v>
      </c>
      <c r="F5517" s="7" t="n">
        <f aca="false">Sens!$E$5517+(glt_win-Sens!$E$5517)*MIN(1,(Sens!F5455-base_fy)/n_conv)</f>
        <v>-0.00763981133891627</v>
      </c>
      <c r="G5517" s="7" t="n">
        <f aca="false">Sens!$E$5517+(glt_win-Sens!$E$5517)*MIN(1,(Sens!G5455-base_fy)/n_conv)</f>
        <v>-0.00211184907113301</v>
      </c>
      <c r="H5517" s="7" t="n">
        <f aca="false">Sens!$E$5517+(glt_win-Sens!$E$5517)*MIN(1,(Sens!H5455-base_fy)/n_conv)</f>
        <v>0.00341611319665024</v>
      </c>
      <c r="I5517" s="7" t="n">
        <f aca="false">Sens!$E$5517+(glt_win-Sens!$E$5517)*MIN(1,(Sens!I5455-base_fy)/n_conv)</f>
        <v>0.00894407546443349</v>
      </c>
      <c r="J5517" s="7" t="n">
        <f aca="false">Sens!$E$5517+(glt_win-Sens!$E$5517)*MIN(1,(Sens!J5455-base_fy)/n_conv)</f>
        <v>0.0144720377322168</v>
      </c>
      <c r="K5517" s="7" t="n">
        <f aca="false">Sens!$E$5517+(glt_win-Sens!$E$5517)*MIN(1,(Sens!K5455-base_fy)/n_conv)</f>
        <v>0.02</v>
      </c>
    </row>
    <row r="5518" customFormat="false" ht="15" hidden="false" customHeight="false" outlineLevel="0" collapsed="false">
      <c r="A5518" s="0" t="s">
        <v>866</v>
      </c>
      <c r="B5518" s="0" t="s">
        <v>98</v>
      </c>
      <c r="D5518" s="6" t="n">
        <f aca="false">Sens!D5512+Sens!D5514+Sens!D5516</f>
        <v>62.941</v>
      </c>
      <c r="E5518" s="6" t="n">
        <f aca="false">Sens!E5512+Sens!E5514+Sens!E5516</f>
        <v>63.712</v>
      </c>
      <c r="F5518" s="6" t="n">
        <f aca="false">Sens!F5512+Sens!F5514+Sens!F5516</f>
        <v>64.3025149952511</v>
      </c>
      <c r="G5518" s="6" t="n">
        <f aca="false">Sens!G5512+Sens!G5514+Sens!G5516</f>
        <v>66.2756719305292</v>
      </c>
      <c r="H5518" s="6" t="n">
        <f aca="false">Sens!H5512+Sens!H5514+Sens!H5516</f>
        <v>68.7139736271804</v>
      </c>
      <c r="I5518" s="6" t="n">
        <f aca="false">Sens!I5512+Sens!I5514+Sens!I5516</f>
        <v>71.5446393194289</v>
      </c>
      <c r="J5518" s="6" t="n">
        <f aca="false">Sens!J5512+Sens!J5514+Sens!J5516</f>
        <v>74.707035000971</v>
      </c>
      <c r="K5518" s="6" t="n">
        <f aca="false">Sens!K5512+Sens!K5514+Sens!K5516</f>
        <v>78.1524145698365</v>
      </c>
    </row>
    <row r="5519" customFormat="false" ht="15" hidden="false" customHeight="false" outlineLevel="0" collapsed="false">
      <c r="A5519" s="1" t="s">
        <v>1040</v>
      </c>
      <c r="B5519" s="0" t="s">
        <v>98</v>
      </c>
      <c r="D5519" s="6" t="n">
        <f aca="false">Sens!D5511+Sens!D5518</f>
        <v>281.724</v>
      </c>
      <c r="E5519" s="6" t="n">
        <f aca="false">Sens!E5511+Sens!E5518</f>
        <v>331.839</v>
      </c>
      <c r="F5519" s="6" t="n">
        <f aca="false">Sens!F5511+Sens!F5518</f>
        <v>402.324096728595</v>
      </c>
      <c r="G5519" s="6" t="n">
        <f aca="false">Sens!G5511+Sens!G5518</f>
        <v>489.795026215242</v>
      </c>
      <c r="H5519" s="6" t="n">
        <f aca="false">Sens!H5511+Sens!H5518</f>
        <v>583.871177684078</v>
      </c>
      <c r="I5519" s="6" t="n">
        <f aca="false">Sens!I5511+Sens!I5518</f>
        <v>663.870756312207</v>
      </c>
      <c r="J5519" s="6" t="n">
        <f aca="false">Sens!J5511+Sens!J5518</f>
        <v>728.224171450131</v>
      </c>
      <c r="K5519" s="6" t="n">
        <f aca="false">Sens!K5511+Sens!K5518</f>
        <v>779.175727219709</v>
      </c>
    </row>
    <row r="5520" customFormat="false" ht="15" hidden="false" customHeight="false" outlineLevel="0" collapsed="false">
      <c r="A5520" s="26" t="s">
        <v>1041</v>
      </c>
      <c r="B5520" s="31" t="s">
        <v>98</v>
      </c>
      <c r="C5520" s="31"/>
      <c r="D5520" s="27" t="n">
        <f aca="false">(Sens!D5499+Sens!D5504+Sens!D5505+Sens!D5507+Sens!D5509-Sens!D5511)+(Sens!D5512+Sens!D5514+Sens!D5516-Sens!D5518)+(Sens!D5511-Q!L5)+(Sens!D5518-Q!L12)+(Sens!D5499-Q!L6)+(Sens!D5504-Q!L7)</f>
        <v>0</v>
      </c>
      <c r="E5520" s="27" t="n">
        <f aca="false">(Sens!E5499+Sens!E5504+Sens!E5505+Sens!E5507+Sens!E5509-Sens!E5511)+(Sens!E5512+Sens!E5514+Sens!E5516-Sens!E5518)+(Sens!E5511-Q!M5)+(Sens!E5518-Q!M12)+(Sens!E5499-Q!M6)+(Sens!E5504-Q!M7)</f>
        <v>0</v>
      </c>
      <c r="F5520" s="27" t="n">
        <f aca="false">(Sens!F5499+Sens!F5504+Sens!F5505+Sens!F5507+Sens!F5509-Sens!F5511)+(Sens!F5512+Sens!F5514+Sens!F5516-Sens!F5518)</f>
        <v>0</v>
      </c>
      <c r="G5520" s="27" t="n">
        <f aca="false">(Sens!G5499+Sens!G5504+Sens!G5505+Sens!G5507+Sens!G5509-Sens!G5511)+(Sens!G5512+Sens!G5514+Sens!G5516-Sens!G5518)</f>
        <v>0</v>
      </c>
      <c r="H5520" s="27" t="n">
        <f aca="false">(Sens!H5499+Sens!H5504+Sens!H5505+Sens!H5507+Sens!H5509-Sens!H5511)+(Sens!H5512+Sens!H5514+Sens!H5516-Sens!H5518)</f>
        <v>0</v>
      </c>
      <c r="I5520" s="27" t="n">
        <f aca="false">(Sens!I5499+Sens!I5504+Sens!I5505+Sens!I5507+Sens!I5509-Sens!I5511)+(Sens!I5512+Sens!I5514+Sens!I5516-Sens!I5518)</f>
        <v>0</v>
      </c>
      <c r="J5520" s="27" t="n">
        <f aca="false">(Sens!J5499+Sens!J5504+Sens!J5505+Sens!J5507+Sens!J5509-Sens!J5511)+(Sens!J5512+Sens!J5514+Sens!J5516-Sens!J5518)</f>
        <v>0</v>
      </c>
      <c r="K5520" s="27" t="n">
        <f aca="false">(Sens!K5499+Sens!K5504+Sens!K5505+Sens!K5507+Sens!K5509-Sens!K5511)+(Sens!K5512+Sens!K5514+Sens!K5516-Sens!K5518)</f>
        <v>0</v>
      </c>
    </row>
    <row r="5521" customFormat="false" ht="17.15" hidden="false" customHeight="false" outlineLevel="0" collapsed="false">
      <c r="A5521" s="3" t="s">
        <v>1617</v>
      </c>
    </row>
    <row r="5522" customFormat="false" ht="15" hidden="false" customHeight="false" outlineLevel="0" collapsed="false">
      <c r="A5522" s="4" t="s">
        <v>43</v>
      </c>
      <c r="B5522" s="4" t="s">
        <v>65</v>
      </c>
      <c r="C5522" s="23" t="s">
        <v>938</v>
      </c>
      <c r="D5522" s="23" t="s">
        <v>939</v>
      </c>
      <c r="E5522" s="23" t="s">
        <v>940</v>
      </c>
      <c r="F5522" s="23" t="s">
        <v>941</v>
      </c>
      <c r="G5522" s="23" t="s">
        <v>942</v>
      </c>
      <c r="H5522" s="23" t="s">
        <v>943</v>
      </c>
      <c r="I5522" s="23" t="s">
        <v>944</v>
      </c>
      <c r="J5522" s="23" t="s">
        <v>945</v>
      </c>
      <c r="K5522" s="23" t="s">
        <v>946</v>
      </c>
      <c r="L5522" s="4" t="s">
        <v>47</v>
      </c>
    </row>
    <row r="5523" customFormat="false" ht="15" hidden="false" customHeight="false" outlineLevel="0" collapsed="false">
      <c r="A5523" s="0" t="s">
        <v>1025</v>
      </c>
      <c r="B5523" s="0" t="s">
        <v>98</v>
      </c>
      <c r="D5523" s="6" t="n">
        <f aca="false">Sens!D5499</f>
        <v>72.61</v>
      </c>
      <c r="E5523" s="6" t="n">
        <f aca="false">Sens!E5499</f>
        <v>101.938</v>
      </c>
      <c r="F5523" s="6" t="n">
        <f aca="false">Sens!F5499</f>
        <v>148.836884211217</v>
      </c>
      <c r="G5523" s="6" t="n">
        <f aca="false">Sens!G5499</f>
        <v>208.974383094528</v>
      </c>
      <c r="H5523" s="6" t="n">
        <f aca="false">Sens!H5499</f>
        <v>275.226099384501</v>
      </c>
      <c r="I5523" s="6" t="n">
        <f aca="false">Sens!I5499</f>
        <v>329.527790267655</v>
      </c>
      <c r="J5523" s="6" t="n">
        <f aca="false">Sens!J5499</f>
        <v>370.688639028777</v>
      </c>
      <c r="K5523" s="6" t="n">
        <f aca="false">Sens!K5499</f>
        <v>399.082757275386</v>
      </c>
    </row>
    <row r="5524" customFormat="false" ht="17.15" hidden="false" customHeight="false" outlineLevel="0" collapsed="false">
      <c r="A5524" s="0" t="s">
        <v>1021</v>
      </c>
      <c r="B5524" s="0" t="s">
        <v>98</v>
      </c>
      <c r="D5524" s="6" t="n">
        <f aca="false">Sens!D5496</f>
        <v>12.9359794422418</v>
      </c>
      <c r="E5524" s="6" t="n">
        <f aca="false">Sens!E5496</f>
        <v>27.8095064661409</v>
      </c>
      <c r="F5524" s="6" t="n">
        <f aca="false">Sens!F5496</f>
        <v>58.1383740769362</v>
      </c>
      <c r="G5524" s="6" t="n">
        <f aca="false">Sens!G5496</f>
        <v>101.211015816229</v>
      </c>
      <c r="H5524" s="6" t="n">
        <f aca="false">Sens!H5496</f>
        <v>150.10076677927</v>
      </c>
      <c r="I5524" s="6" t="n">
        <f aca="false">Sens!I5496</f>
        <v>187.626325280047</v>
      </c>
      <c r="J5524" s="6" t="n">
        <f aca="false">Sens!J5496</f>
        <v>213.598422398938</v>
      </c>
      <c r="K5524" s="6" t="n">
        <f aca="false">Sens!K5496</f>
        <v>229.42532331516</v>
      </c>
    </row>
    <row r="5525" customFormat="false" ht="17.15" hidden="false" customHeight="false" outlineLevel="0" collapsed="false">
      <c r="A5525" s="0" t="s">
        <v>1052</v>
      </c>
      <c r="B5525" s="0" t="s">
        <v>98</v>
      </c>
      <c r="D5525" s="6" t="n">
        <f aca="false">Sens!D5497</f>
        <v>59.6740205577583</v>
      </c>
      <c r="E5525" s="6" t="n">
        <f aca="false">Sens!E5497</f>
        <v>74.1284935338591</v>
      </c>
      <c r="F5525" s="6" t="n">
        <f aca="false">Sens!F5497</f>
        <v>90.6985101342806</v>
      </c>
      <c r="G5525" s="6" t="n">
        <f aca="false">Sens!G5497</f>
        <v>107.763367278299</v>
      </c>
      <c r="H5525" s="6" t="n">
        <f aca="false">Sens!H5497</f>
        <v>125.125332605231</v>
      </c>
      <c r="I5525" s="6" t="n">
        <f aca="false">Sens!I5497</f>
        <v>141.901464987608</v>
      </c>
      <c r="J5525" s="6" t="n">
        <f aca="false">Sens!J5497</f>
        <v>157.090216629839</v>
      </c>
      <c r="K5525" s="6" t="n">
        <f aca="false">Sens!K5497</f>
        <v>169.657433960226</v>
      </c>
    </row>
    <row r="5526" customFormat="false" ht="15" hidden="false" customHeight="false" outlineLevel="0" collapsed="false">
      <c r="A5526" s="0" t="s">
        <v>1032</v>
      </c>
      <c r="B5526" s="0" t="s">
        <v>98</v>
      </c>
      <c r="D5526" s="6" t="n">
        <f aca="false">Sens!D5504</f>
        <v>84.605</v>
      </c>
      <c r="E5526" s="6" t="n">
        <f aca="false">Sens!E5504</f>
        <v>100.299</v>
      </c>
      <c r="F5526" s="6" t="n">
        <f aca="false">Sens!F5504</f>
        <v>119.729653205718</v>
      </c>
      <c r="G5526" s="6" t="n">
        <f aca="false">Sens!G5504</f>
        <v>140.806092647576</v>
      </c>
      <c r="H5526" s="6" t="n">
        <f aca="false">Sens!H5504</f>
        <v>161.963437602768</v>
      </c>
      <c r="I5526" s="6" t="n">
        <f aca="false">Sens!I5504</f>
        <v>180.695354741933</v>
      </c>
      <c r="J5526" s="6" t="n">
        <f aca="false">Sens!J5504</f>
        <v>196.722117481571</v>
      </c>
      <c r="K5526" s="6" t="n">
        <f aca="false">Sens!K5504</f>
        <v>212.00016570528</v>
      </c>
    </row>
    <row r="5527" customFormat="false" ht="17.15" hidden="false" customHeight="false" outlineLevel="0" collapsed="false">
      <c r="A5527" s="0" t="s">
        <v>1053</v>
      </c>
      <c r="B5527" s="0" t="s">
        <v>98</v>
      </c>
      <c r="D5527" s="6" t="n">
        <f aca="false">Sens!D5502</f>
        <v>83.705</v>
      </c>
      <c r="E5527" s="6" t="n">
        <f aca="false">Sens!E5502</f>
        <v>95.049</v>
      </c>
      <c r="F5527" s="6" t="n">
        <f aca="false">Sens!F5502</f>
        <v>106.229653205718</v>
      </c>
      <c r="G5527" s="6" t="n">
        <f aca="false">Sens!G5502</f>
        <v>118.306092647576</v>
      </c>
      <c r="H5527" s="6" t="n">
        <f aca="false">Sens!H5502</f>
        <v>130.463437602768</v>
      </c>
      <c r="I5527" s="6" t="n">
        <f aca="false">Sens!I5502</f>
        <v>142.445354741933</v>
      </c>
      <c r="J5527" s="6" t="n">
        <f aca="false">Sens!J5502</f>
        <v>153.972117481571</v>
      </c>
      <c r="K5527" s="6" t="n">
        <f aca="false">Sens!K5502</f>
        <v>164.75016570528</v>
      </c>
    </row>
    <row r="5528" customFormat="false" ht="17.15" hidden="false" customHeight="false" outlineLevel="0" collapsed="false">
      <c r="A5528" s="0" t="s">
        <v>1054</v>
      </c>
      <c r="B5528" s="0" t="s">
        <v>98</v>
      </c>
      <c r="D5528" s="6" t="n">
        <f aca="false">Sens!D5501</f>
        <v>0.9</v>
      </c>
      <c r="E5528" s="6" t="n">
        <f aca="false">Sens!E5501</f>
        <v>5.25</v>
      </c>
      <c r="F5528" s="6" t="n">
        <f aca="false">Sens!F5501</f>
        <v>13.5</v>
      </c>
      <c r="G5528" s="6" t="n">
        <f aca="false">Sens!G5501</f>
        <v>22.5</v>
      </c>
      <c r="H5528" s="6" t="n">
        <f aca="false">Sens!H5501</f>
        <v>31.5</v>
      </c>
      <c r="I5528" s="6" t="n">
        <f aca="false">Sens!I5501</f>
        <v>38.25</v>
      </c>
      <c r="J5528" s="6" t="n">
        <f aca="false">Sens!J5501</f>
        <v>42.75</v>
      </c>
      <c r="K5528" s="6" t="n">
        <f aca="false">Sens!K5501</f>
        <v>47.25</v>
      </c>
    </row>
    <row r="5529" customFormat="false" ht="15" hidden="false" customHeight="false" outlineLevel="0" collapsed="false">
      <c r="A5529" s="0" t="s">
        <v>1033</v>
      </c>
      <c r="B5529" s="0" t="s">
        <v>98</v>
      </c>
      <c r="D5529" s="6" t="n">
        <f aca="false">Sens!D5505</f>
        <v>35.391</v>
      </c>
      <c r="E5529" s="6" t="n">
        <f aca="false">Sens!E5505</f>
        <v>37.285</v>
      </c>
      <c r="F5529" s="6" t="n">
        <f aca="false">Sens!F5505</f>
        <v>38.3851437782675</v>
      </c>
      <c r="G5529" s="6" t="n">
        <f aca="false">Sens!G5505</f>
        <v>40.0105353288615</v>
      </c>
      <c r="H5529" s="6" t="n">
        <f aca="false">Sens!H5505</f>
        <v>41.4812512033683</v>
      </c>
      <c r="I5529" s="6" t="n">
        <f aca="false">Sens!I5505</f>
        <v>42.7743107216329</v>
      </c>
      <c r="J5529" s="6" t="n">
        <f aca="false">Sens!J5505</f>
        <v>43.8687373064601</v>
      </c>
      <c r="K5529" s="6" t="n">
        <f aca="false">Sens!K5505</f>
        <v>44.7461120525893</v>
      </c>
    </row>
    <row r="5530" customFormat="false" ht="15" hidden="false" customHeight="false" outlineLevel="0" collapsed="false">
      <c r="A5530" s="0" t="s">
        <v>1035</v>
      </c>
      <c r="B5530" s="0" t="s">
        <v>98</v>
      </c>
      <c r="D5530" s="6" t="n">
        <f aca="false">Sens!D5507</f>
        <v>18.417</v>
      </c>
      <c r="E5530" s="6" t="n">
        <f aca="false">Sens!E5507</f>
        <v>20.345</v>
      </c>
      <c r="F5530" s="6" t="n">
        <f aca="false">Sens!F5507</f>
        <v>22.3161797133988</v>
      </c>
      <c r="G5530" s="6" t="n">
        <f aca="false">Sens!G5507</f>
        <v>24.3943499673233</v>
      </c>
      <c r="H5530" s="6" t="n">
        <f aca="false">Sens!H5507</f>
        <v>26.5250243109019</v>
      </c>
      <c r="I5530" s="6" t="n">
        <f aca="false">Sens!I5507</f>
        <v>28.6884573538181</v>
      </c>
      <c r="J5530" s="6" t="n">
        <f aca="false">Sens!J5507</f>
        <v>30.8624968052127</v>
      </c>
      <c r="K5530" s="6" t="n">
        <f aca="false">Sens!K5507</f>
        <v>33.0228715815776</v>
      </c>
    </row>
    <row r="5531" customFormat="false" ht="15" hidden="false" customHeight="false" outlineLevel="0" collapsed="false">
      <c r="A5531" s="0" t="s">
        <v>1036</v>
      </c>
      <c r="B5531" s="0" t="s">
        <v>98</v>
      </c>
      <c r="D5531" s="6" t="n">
        <f aca="false">Sens!D5509</f>
        <v>7.76</v>
      </c>
      <c r="E5531" s="6" t="n">
        <f aca="false">Sens!E5509</f>
        <v>8.26</v>
      </c>
      <c r="F5531" s="6" t="n">
        <f aca="false">Sens!F5509</f>
        <v>8.75372082474227</v>
      </c>
      <c r="G5531" s="6" t="n">
        <f aca="false">Sens!G5509</f>
        <v>9.33399324642364</v>
      </c>
      <c r="H5531" s="6" t="n">
        <f aca="false">Sens!H5509</f>
        <v>9.96139155535851</v>
      </c>
      <c r="I5531" s="6" t="n">
        <f aca="false">Sens!I5509</f>
        <v>10.6402039077391</v>
      </c>
      <c r="J5531" s="6" t="n">
        <f aca="false">Sens!J5509</f>
        <v>11.3751458271397</v>
      </c>
      <c r="K5531" s="6" t="n">
        <f aca="false">Sens!K5509</f>
        <v>12.1714060350394</v>
      </c>
    </row>
    <row r="5532" customFormat="false" ht="15" hidden="false" customHeight="false" outlineLevel="0" collapsed="false">
      <c r="A5532" s="0" t="s">
        <v>852</v>
      </c>
      <c r="B5532" s="0" t="s">
        <v>98</v>
      </c>
      <c r="D5532" s="6" t="n">
        <f aca="false">Sens!D5511</f>
        <v>218.783</v>
      </c>
      <c r="E5532" s="6" t="n">
        <f aca="false">Sens!E5511</f>
        <v>268.127</v>
      </c>
      <c r="F5532" s="6" t="n">
        <f aca="false">Sens!F5511</f>
        <v>338.021581733343</v>
      </c>
      <c r="G5532" s="6" t="n">
        <f aca="false">Sens!G5511</f>
        <v>423.519354284713</v>
      </c>
      <c r="H5532" s="6" t="n">
        <f aca="false">Sens!H5511</f>
        <v>515.157204056898</v>
      </c>
      <c r="I5532" s="6" t="n">
        <f aca="false">Sens!I5511</f>
        <v>592.326116992778</v>
      </c>
      <c r="J5532" s="6" t="n">
        <f aca="false">Sens!J5511</f>
        <v>653.51713644916</v>
      </c>
      <c r="K5532" s="6" t="n">
        <f aca="false">Sens!K5511</f>
        <v>701.023312649873</v>
      </c>
    </row>
    <row r="5533" customFormat="false" ht="15" hidden="false" customHeight="false" outlineLevel="0" collapsed="false">
      <c r="A5533" s="0" t="s">
        <v>1037</v>
      </c>
      <c r="B5533" s="0" t="s">
        <v>98</v>
      </c>
      <c r="D5533" s="6" t="n">
        <f aca="false">Sens!D5512</f>
        <v>22.171</v>
      </c>
      <c r="E5533" s="6" t="n">
        <f aca="false">Sens!E5512</f>
        <v>24.835</v>
      </c>
      <c r="F5533" s="6" t="n">
        <f aca="false">Sens!F5512</f>
        <v>27.5591895660247</v>
      </c>
      <c r="G5533" s="6" t="n">
        <f aca="false">Sens!G5512</f>
        <v>30.4098563144583</v>
      </c>
      <c r="H5533" s="6" t="n">
        <f aca="false">Sens!H5512</f>
        <v>33.3011792571777</v>
      </c>
      <c r="I5533" s="6" t="n">
        <f aca="false">Sens!I5512</f>
        <v>36.189023797112</v>
      </c>
      <c r="J5533" s="6" t="n">
        <f aca="false">Sens!J5512</f>
        <v>39.0247773769199</v>
      </c>
      <c r="K5533" s="6" t="n">
        <f aca="false">Sens!K5512</f>
        <v>41.7565117933043</v>
      </c>
    </row>
    <row r="5534" customFormat="false" ht="15" hidden="false" customHeight="false" outlineLevel="0" collapsed="false">
      <c r="A5534" s="0" t="s">
        <v>1038</v>
      </c>
      <c r="B5534" s="0" t="s">
        <v>98</v>
      </c>
      <c r="D5534" s="6" t="n">
        <f aca="false">Sens!D5514</f>
        <v>23.455</v>
      </c>
      <c r="E5534" s="6" t="n">
        <f aca="false">Sens!E5514</f>
        <v>21.79</v>
      </c>
      <c r="F5534" s="6" t="n">
        <f aca="false">Sens!F5514</f>
        <v>20.7520981041711</v>
      </c>
      <c r="G5534" s="6" t="n">
        <f aca="false">Sens!G5514</f>
        <v>19.9083593495882</v>
      </c>
      <c r="H5534" s="6" t="n">
        <f aca="false">Sens!H5514</f>
        <v>19.4008256265831</v>
      </c>
      <c r="I5534" s="6" t="n">
        <f aca="false">Sens!I5514</f>
        <v>19.200434522122</v>
      </c>
      <c r="J5534" s="6" t="n">
        <f aca="false">Sens!J5514</f>
        <v>19.2932782348507</v>
      </c>
      <c r="K5534" s="6" t="n">
        <f aca="false">Sens!K5514</f>
        <v>19.6791437995477</v>
      </c>
    </row>
    <row r="5535" customFormat="false" ht="15" hidden="false" customHeight="false" outlineLevel="0" collapsed="false">
      <c r="A5535" s="0" t="s">
        <v>1039</v>
      </c>
      <c r="B5535" s="0" t="s">
        <v>98</v>
      </c>
      <c r="D5535" s="6" t="n">
        <f aca="false">Sens!D5516</f>
        <v>17.315</v>
      </c>
      <c r="E5535" s="6" t="n">
        <f aca="false">Sens!E5516</f>
        <v>17.087</v>
      </c>
      <c r="F5535" s="6" t="n">
        <f aca="false">Sens!F5516</f>
        <v>15.9912273250553</v>
      </c>
      <c r="G5535" s="6" t="n">
        <f aca="false">Sens!G5516</f>
        <v>15.9574562664827</v>
      </c>
      <c r="H5535" s="6" t="n">
        <f aca="false">Sens!H5516</f>
        <v>16.0119687434196</v>
      </c>
      <c r="I5535" s="6" t="n">
        <f aca="false">Sens!I5516</f>
        <v>16.1551810001948</v>
      </c>
      <c r="J5535" s="6" t="n">
        <f aca="false">Sens!J5516</f>
        <v>16.3889793892005</v>
      </c>
      <c r="K5535" s="6" t="n">
        <f aca="false">Sens!K5516</f>
        <v>16.7167589769845</v>
      </c>
    </row>
    <row r="5536" customFormat="false" ht="15" hidden="false" customHeight="false" outlineLevel="0" collapsed="false">
      <c r="A5536" s="0" t="s">
        <v>866</v>
      </c>
      <c r="B5536" s="0" t="s">
        <v>98</v>
      </c>
      <c r="D5536" s="6" t="n">
        <f aca="false">Sens!D5518</f>
        <v>62.941</v>
      </c>
      <c r="E5536" s="6" t="n">
        <f aca="false">Sens!E5518</f>
        <v>63.712</v>
      </c>
      <c r="F5536" s="6" t="n">
        <f aca="false">Sens!F5518</f>
        <v>64.3025149952511</v>
      </c>
      <c r="G5536" s="6" t="n">
        <f aca="false">Sens!G5518</f>
        <v>66.2756719305292</v>
      </c>
      <c r="H5536" s="6" t="n">
        <f aca="false">Sens!H5518</f>
        <v>68.7139736271804</v>
      </c>
      <c r="I5536" s="6" t="n">
        <f aca="false">Sens!I5518</f>
        <v>71.5446393194289</v>
      </c>
      <c r="J5536" s="6" t="n">
        <f aca="false">Sens!J5518</f>
        <v>74.707035000971</v>
      </c>
      <c r="K5536" s="6" t="n">
        <f aca="false">Sens!K5518</f>
        <v>78.1524145698365</v>
      </c>
    </row>
    <row r="5537" customFormat="false" ht="15" hidden="false" customHeight="false" outlineLevel="0" collapsed="false">
      <c r="A5537" s="1" t="s">
        <v>1055</v>
      </c>
      <c r="B5537" s="0" t="s">
        <v>98</v>
      </c>
      <c r="D5537" s="6" t="n">
        <f aca="false">Sens!D5519</f>
        <v>281.724</v>
      </c>
      <c r="E5537" s="6" t="n">
        <f aca="false">Sens!E5519</f>
        <v>331.839</v>
      </c>
      <c r="F5537" s="6" t="n">
        <f aca="false">Sens!F5519</f>
        <v>402.324096728595</v>
      </c>
      <c r="G5537" s="6" t="n">
        <f aca="false">Sens!G5519</f>
        <v>489.795026215242</v>
      </c>
      <c r="H5537" s="6" t="n">
        <f aca="false">Sens!H5519</f>
        <v>583.871177684078</v>
      </c>
      <c r="I5537" s="6" t="n">
        <f aca="false">Sens!I5519</f>
        <v>663.870756312207</v>
      </c>
      <c r="J5537" s="6" t="n">
        <f aca="false">Sens!J5519</f>
        <v>728.224171450131</v>
      </c>
      <c r="K5537" s="6" t="n">
        <f aca="false">Sens!K5519</f>
        <v>779.175727219709</v>
      </c>
    </row>
    <row r="5538" customFormat="false" ht="15" hidden="false" customHeight="false" outlineLevel="0" collapsed="false">
      <c r="A5538" s="1" t="s">
        <v>1056</v>
      </c>
      <c r="B5538" s="0" t="s">
        <v>168</v>
      </c>
      <c r="E5538" s="7" t="n">
        <f aca="false">Sens!E5537/Sens!D5537-1</f>
        <v>0.177886867998467</v>
      </c>
      <c r="F5538" s="7" t="n">
        <f aca="false">Sens!F5537/Sens!E5537-1</f>
        <v>0.212407513066862</v>
      </c>
      <c r="G5538" s="7" t="n">
        <f aca="false">Sens!G5537/Sens!F5537-1</f>
        <v>0.217414095247828</v>
      </c>
      <c r="H5538" s="7" t="n">
        <f aca="false">Sens!H5537/Sens!G5537-1</f>
        <v>0.192072492437876</v>
      </c>
      <c r="I5538" s="7" t="n">
        <f aca="false">Sens!I5537/Sens!H5537-1</f>
        <v>0.137015803632313</v>
      </c>
      <c r="J5538" s="7" t="n">
        <f aca="false">Sens!J5537/Sens!I5537-1</f>
        <v>0.0969366620325416</v>
      </c>
      <c r="K5538" s="7" t="n">
        <f aca="false">Sens!K5537/Sens!J5537-1</f>
        <v>0.0699668560412066</v>
      </c>
    </row>
    <row r="5539" customFormat="false" ht="17.15" hidden="false" customHeight="false" outlineLevel="0" collapsed="false">
      <c r="A5539" s="26" t="s">
        <v>1057</v>
      </c>
      <c r="B5539" s="31" t="s">
        <v>98</v>
      </c>
      <c r="C5539" s="31"/>
      <c r="D5539" s="27" t="n">
        <f aca="false">(Sens!D5532+Sens!D5536-Sens!D5537)+(Sens!D5524+Sens!D5525-Sens!D5523)+(Sens!D5527+Sens!D5528-Sens!D5526)+(Sens!D5537-Q!L18)</f>
        <v>0</v>
      </c>
      <c r="E5539" s="27" t="n">
        <f aca="false">(Sens!E5532+Sens!E5536-Sens!E5537)+(Sens!E5524+Sens!E5525-Sens!E5523)+(Sens!E5527+Sens!E5528-Sens!E5526)+(Sens!E5537-Q!M18)</f>
        <v>0</v>
      </c>
      <c r="F5539" s="27" t="n">
        <f aca="false">(Sens!F5532+Sens!F5536-Sens!F5537)+(Sens!F5524+Sens!F5525-Sens!F5523)+(Sens!F5527+Sens!F5528-Sens!F5526)</f>
        <v>0</v>
      </c>
      <c r="G5539" s="27" t="n">
        <f aca="false">(Sens!G5532+Sens!G5536-Sens!G5537)+(Sens!G5524+Sens!G5525-Sens!G5523)+(Sens!G5527+Sens!G5528-Sens!G5526)</f>
        <v>0</v>
      </c>
      <c r="H5539" s="27" t="n">
        <f aca="false">(Sens!H5532+Sens!H5536-Sens!H5537)+(Sens!H5524+Sens!H5525-Sens!H5523)+(Sens!H5527+Sens!H5528-Sens!H5526)</f>
        <v>0</v>
      </c>
      <c r="I5539" s="27" t="n">
        <f aca="false">(Sens!I5532+Sens!I5536-Sens!I5537)+(Sens!I5524+Sens!I5525-Sens!I5523)+(Sens!I5527+Sens!I5528-Sens!I5526)</f>
        <v>0</v>
      </c>
      <c r="J5539" s="27" t="n">
        <f aca="false">(Sens!J5532+Sens!J5536-Sens!J5537)+(Sens!J5524+Sens!J5525-Sens!J5523)+(Sens!J5527+Sens!J5528-Sens!J5526)</f>
        <v>0</v>
      </c>
      <c r="K5539" s="27" t="n">
        <f aca="false">(Sens!K5532+Sens!K5536-Sens!K5537)+(Sens!K5524+Sens!K5525-Sens!K5523)+(Sens!K5527+Sens!K5528-Sens!K5526)</f>
        <v>0</v>
      </c>
    </row>
    <row r="5540" customFormat="false" ht="17.15" hidden="false" customHeight="false" outlineLevel="0" collapsed="false">
      <c r="A5540" s="0" t="s">
        <v>1058</v>
      </c>
      <c r="B5540" s="0" t="s">
        <v>168</v>
      </c>
      <c r="E5540" s="7" t="n">
        <f aca="false">(Q!M21+Sens!E5476+Sens!E5477+Sens!E5478+Sens!E5492-Sens!E5474)/(Q!M5-Sens!E5474)</f>
        <v>0.570957350878296</v>
      </c>
      <c r="F5540" s="7" t="n">
        <f aca="false">Sens!$E$5540+dm_seg</f>
        <v>0.570957350878296</v>
      </c>
      <c r="G5540" s="7" t="n">
        <f aca="false">Sens!$E$5540+dm_seg</f>
        <v>0.570957350878296</v>
      </c>
      <c r="H5540" s="7" t="n">
        <f aca="false">Sens!$E$5540+dm_seg</f>
        <v>0.570957350878296</v>
      </c>
      <c r="I5540" s="7" t="n">
        <f aca="false">Sens!$E$5540+dm_seg</f>
        <v>0.570957350878296</v>
      </c>
      <c r="J5540" s="7" t="n">
        <f aca="false">Sens!$E$5540+dm_seg</f>
        <v>0.570957350878296</v>
      </c>
      <c r="K5540" s="7" t="n">
        <f aca="false">Sens!$E$5540+dm_seg</f>
        <v>0.570957350878296</v>
      </c>
      <c r="L5540" s="12" t="s">
        <v>1059</v>
      </c>
    </row>
    <row r="5541" customFormat="false" ht="17.15" hidden="false" customHeight="false" outlineLevel="0" collapsed="false">
      <c r="A5541" s="0" t="s">
        <v>880</v>
      </c>
      <c r="B5541" s="0" t="s">
        <v>98</v>
      </c>
      <c r="D5541" s="6" t="n">
        <f aca="false">Q!L21</f>
        <v>110.814</v>
      </c>
      <c r="E5541" s="6" t="n">
        <f aca="false">Q!M21</f>
        <v>136.365</v>
      </c>
      <c r="F5541" s="6" t="n">
        <f aca="false">Q!$I$21+(Sens!F5540*(Sens!F5511-Sens!F5474)+Sens!F5474-(Sens!F5476+Sens!F5477+Sens!F5478)-Sens!F5492-Sens!F5575)*(Sens!F5511-Q!$I$5)/Sens!F5511</f>
        <v>164.788309025671</v>
      </c>
      <c r="G5541" s="6" t="n">
        <f aca="false">(Sens!G5540*(Sens!G5511-Sens!G5474)+Sens!G5474-(Sens!G5476+Sens!G5477+Sens!G5478)-Sens!G5492-Sens!G5575)</f>
        <v>189.429180091287</v>
      </c>
      <c r="H5541" s="6" t="n">
        <f aca="false">(Sens!H5540*(Sens!H5511-Sens!H5474)+Sens!H5474-(Sens!H5476+Sens!H5477+Sens!H5478)-Sens!H5492-Sens!H5575)</f>
        <v>222.230878846372</v>
      </c>
      <c r="I5541" s="6" t="n">
        <f aca="false">(Sens!I5540*(Sens!I5511-Sens!I5474)+Sens!I5474-(Sens!I5476+Sens!I5477+Sens!I5478)-Sens!I5492-Sens!I5575)</f>
        <v>246.760974190383</v>
      </c>
      <c r="J5541" s="6" t="n">
        <f aca="false">(Sens!J5540*(Sens!J5511-Sens!J5474)+Sens!J5474-(Sens!J5476+Sens!J5477+Sens!J5478)-Sens!J5492-Sens!J5575)</f>
        <v>267.910401978353</v>
      </c>
      <c r="K5541" s="6" t="n">
        <f aca="false">(Sens!K5540*(Sens!K5511-Sens!K5474)+Sens!K5474-(Sens!K5476+Sens!K5477+Sens!K5478)-Sens!K5492-Sens!K5575)</f>
        <v>286.771145356931</v>
      </c>
      <c r="L5541" s="1" t="s">
        <v>1060</v>
      </c>
    </row>
    <row r="5542" customFormat="false" ht="17.15" hidden="false" customHeight="false" outlineLevel="0" collapsed="false">
      <c r="A5542" s="0" t="s">
        <v>1061</v>
      </c>
      <c r="B5542" s="0" t="s">
        <v>168</v>
      </c>
      <c r="E5542" s="7" t="n">
        <f aca="false">Q!M22/Q!M12</f>
        <v>0.296207935710698</v>
      </c>
      <c r="F5542" s="7" t="n">
        <f aca="false">Sens!$E$5542+dm_seg</f>
        <v>0.296207935710698</v>
      </c>
      <c r="G5542" s="7" t="n">
        <f aca="false">Sens!$E$5542+dm_seg</f>
        <v>0.296207935710698</v>
      </c>
      <c r="H5542" s="7" t="n">
        <f aca="false">Sens!$E$5542+dm_seg</f>
        <v>0.296207935710698</v>
      </c>
      <c r="I5542" s="7" t="n">
        <f aca="false">Sens!$E$5542+dm_seg</f>
        <v>0.296207935710698</v>
      </c>
      <c r="J5542" s="7" t="n">
        <f aca="false">Sens!$E$5542+dm_seg</f>
        <v>0.296207935710698</v>
      </c>
      <c r="K5542" s="7" t="n">
        <f aca="false">Sens!$E$5542+dm_seg</f>
        <v>0.296207935710698</v>
      </c>
      <c r="L5542" s="12" t="s">
        <v>1062</v>
      </c>
    </row>
    <row r="5543" customFormat="false" ht="17.15" hidden="false" customHeight="false" outlineLevel="0" collapsed="false">
      <c r="A5543" s="0" t="s">
        <v>882</v>
      </c>
      <c r="B5543" s="0" t="s">
        <v>98</v>
      </c>
      <c r="D5543" s="6" t="n">
        <f aca="false">Q!L22</f>
        <v>17.714</v>
      </c>
      <c r="E5543" s="6" t="n">
        <f aca="false">Q!M22</f>
        <v>18.872</v>
      </c>
      <c r="F5543" s="6" t="n">
        <f aca="false">Q!$I$22+(Sens!F5518-Q!$I$12)*Sens!F5542</f>
        <v>19.8174315512051</v>
      </c>
      <c r="G5543" s="6" t="n">
        <f aca="false">Sens!G5518*Sens!G5542</f>
        <v>19.6313799703815</v>
      </c>
      <c r="H5543" s="6" t="n">
        <f aca="false">Sens!H5518*Sens!H5542</f>
        <v>20.3536242825865</v>
      </c>
      <c r="I5543" s="6" t="n">
        <f aca="false">Sens!I5518*Sens!I5542</f>
        <v>21.1920899239745</v>
      </c>
      <c r="J5543" s="6" t="n">
        <f aca="false">Sens!J5518*Sens!J5542</f>
        <v>22.1288166207045</v>
      </c>
      <c r="K5543" s="6" t="n">
        <f aca="false">Sens!K5518*Sens!K5542</f>
        <v>23.1493653905379</v>
      </c>
      <c r="L5543" s="12" t="s">
        <v>1063</v>
      </c>
    </row>
    <row r="5544" customFormat="false" ht="15" hidden="false" customHeight="false" outlineLevel="0" collapsed="false">
      <c r="A5544" s="1" t="s">
        <v>1064</v>
      </c>
      <c r="B5544" s="0" t="s">
        <v>98</v>
      </c>
      <c r="D5544" s="6" t="n">
        <f aca="false">Sens!D5541+Sens!D5543</f>
        <v>128.528</v>
      </c>
      <c r="E5544" s="6" t="n">
        <f aca="false">Sens!E5541+Sens!E5543</f>
        <v>155.237</v>
      </c>
      <c r="F5544" s="6" t="n">
        <f aca="false">Sens!F5541+Sens!F5543</f>
        <v>184.605740576876</v>
      </c>
      <c r="G5544" s="6" t="n">
        <f aca="false">Sens!G5541+Sens!G5543</f>
        <v>209.060560061669</v>
      </c>
      <c r="H5544" s="6" t="n">
        <f aca="false">Sens!H5541+Sens!H5543</f>
        <v>242.584503128959</v>
      </c>
      <c r="I5544" s="6" t="n">
        <f aca="false">Sens!I5541+Sens!I5543</f>
        <v>267.953064114357</v>
      </c>
      <c r="J5544" s="6" t="n">
        <f aca="false">Sens!J5541+Sens!J5543</f>
        <v>290.039218599058</v>
      </c>
      <c r="K5544" s="6" t="n">
        <f aca="false">Sens!K5541+Sens!K5543</f>
        <v>309.920510747469</v>
      </c>
    </row>
    <row r="5545" customFormat="false" ht="15" hidden="false" customHeight="false" outlineLevel="0" collapsed="false">
      <c r="A5545" s="26" t="s">
        <v>1065</v>
      </c>
      <c r="B5545" s="31" t="s">
        <v>98</v>
      </c>
      <c r="C5545" s="31"/>
      <c r="D5545" s="27" t="n">
        <f aca="false">Sens!D5544-Q!L23</f>
        <v>0</v>
      </c>
      <c r="E5545" s="27" t="n">
        <f aca="false">Sens!E5544-Q!M23</f>
        <v>0</v>
      </c>
      <c r="F5545" s="31"/>
      <c r="G5545" s="31"/>
      <c r="H5545" s="31"/>
      <c r="I5545" s="31"/>
      <c r="J5545" s="31"/>
      <c r="K5545" s="31"/>
    </row>
    <row r="5546" customFormat="false" ht="15" hidden="false" customHeight="false" outlineLevel="0" collapsed="false">
      <c r="A5546" s="1" t="s">
        <v>1066</v>
      </c>
      <c r="B5546" s="0" t="s">
        <v>168</v>
      </c>
      <c r="D5546" s="7" t="n">
        <f aca="false">Sens!D5544/Sens!D5537</f>
        <v>0.456219562408598</v>
      </c>
      <c r="E5546" s="7" t="n">
        <f aca="false">Sens!E5544/Sens!E5537</f>
        <v>0.467808184089272</v>
      </c>
      <c r="F5546" s="7" t="n">
        <f aca="false">Sens!F5544/Sens!F5537</f>
        <v>0.458848331675769</v>
      </c>
      <c r="G5546" s="7" t="n">
        <f aca="false">Sens!G5544/Sens!G5537</f>
        <v>0.42683275425871</v>
      </c>
      <c r="H5546" s="7" t="n">
        <f aca="false">Sens!H5544/Sens!H5537</f>
        <v>0.415476071436116</v>
      </c>
      <c r="I5546" s="7" t="n">
        <f aca="false">Sens!I5544/Sens!I5537</f>
        <v>0.403622333965775</v>
      </c>
      <c r="J5546" s="7" t="n">
        <f aca="false">Sens!J5544/Sens!J5537</f>
        <v>0.398282877676932</v>
      </c>
      <c r="K5546" s="7" t="n">
        <f aca="false">Sens!K5544/Sens!K5537</f>
        <v>0.397754318981857</v>
      </c>
    </row>
    <row r="5547" customFormat="false" ht="17.15" hidden="false" customHeight="false" outlineLevel="0" collapsed="false">
      <c r="A5547" s="1" t="s">
        <v>1067</v>
      </c>
      <c r="B5547" s="0" t="s">
        <v>98</v>
      </c>
      <c r="F5547" s="6" t="n">
        <f aca="false">Sens!F5562</f>
        <v>8.88340674531245</v>
      </c>
      <c r="G5547" s="6" t="n">
        <f aca="false">Sens!G5562</f>
        <v>22.7060305170273</v>
      </c>
      <c r="H5547" s="6" t="n">
        <f aca="false">Sens!H5562</f>
        <v>38.0018452382075</v>
      </c>
      <c r="I5547" s="6" t="n">
        <f aca="false">Sens!I5562</f>
        <v>52.1381094705177</v>
      </c>
      <c r="J5547" s="6" t="n">
        <f aca="false">Sens!J5562</f>
        <v>62.0595818934393</v>
      </c>
      <c r="K5547" s="6" t="n">
        <f aca="false">Sens!K5562</f>
        <v>67.0801312706266</v>
      </c>
      <c r="L5547" s="1" t="s">
        <v>1068</v>
      </c>
    </row>
    <row r="5548" customFormat="false" ht="17.15" hidden="false" customHeight="false" outlineLevel="0" collapsed="false">
      <c r="A5548" s="1" t="s">
        <v>1069</v>
      </c>
      <c r="B5548" s="0" t="s">
        <v>98</v>
      </c>
      <c r="D5548" s="6" t="n">
        <f aca="false">Sens!D5544</f>
        <v>128.528</v>
      </c>
      <c r="E5548" s="6" t="n">
        <f aca="false">Sens!E5544</f>
        <v>155.237</v>
      </c>
      <c r="F5548" s="6" t="n">
        <f aca="false">Sens!F5544+Sens!F5547</f>
        <v>193.489147322189</v>
      </c>
      <c r="G5548" s="6" t="n">
        <f aca="false">Sens!G5544+Sens!G5547</f>
        <v>231.766590578696</v>
      </c>
      <c r="H5548" s="6" t="n">
        <f aca="false">Sens!H5544+Sens!H5547</f>
        <v>280.586348367166</v>
      </c>
      <c r="I5548" s="6" t="n">
        <f aca="false">Sens!I5544+Sens!I5547</f>
        <v>320.091173584875</v>
      </c>
      <c r="J5548" s="6" t="n">
        <f aca="false">Sens!J5544+Sens!J5547</f>
        <v>352.098800492497</v>
      </c>
      <c r="K5548" s="6" t="n">
        <f aca="false">Sens!K5544+Sens!K5547</f>
        <v>377.000642018095</v>
      </c>
    </row>
    <row r="5549" customFormat="false" ht="17.15" hidden="false" customHeight="false" outlineLevel="0" collapsed="false">
      <c r="A5549" s="1" t="s">
        <v>1070</v>
      </c>
      <c r="B5549" s="0" t="s">
        <v>98</v>
      </c>
      <c r="E5549" s="6" t="n">
        <f aca="false">Sens!E5492</f>
        <v>16.3054059770833</v>
      </c>
      <c r="F5549" s="6" t="n">
        <f aca="false">Sens!F5492</f>
        <v>34.5793144783516</v>
      </c>
      <c r="G5549" s="6" t="n">
        <f aca="false">Sens!G5492</f>
        <v>60.7344906522989</v>
      </c>
      <c r="H5549" s="6" t="n">
        <f aca="false">Sens!H5492</f>
        <v>89.1000906614457</v>
      </c>
      <c r="I5549" s="6" t="n">
        <f aca="false">Sens!I5492</f>
        <v>114.231009694548</v>
      </c>
      <c r="J5549" s="6" t="n">
        <f aca="false">Sens!J5492</f>
        <v>132.015673049596</v>
      </c>
      <c r="K5549" s="6" t="n">
        <f aca="false">Sens!K5492</f>
        <v>143.012669550934</v>
      </c>
    </row>
    <row r="5550" customFormat="false" ht="17.15" hidden="false" customHeight="false" outlineLevel="0" collapsed="false">
      <c r="A5550" s="1" t="s">
        <v>1071</v>
      </c>
      <c r="B5550" s="0" t="s">
        <v>98</v>
      </c>
      <c r="E5550" s="6" t="n">
        <f aca="false">Sens!E5574</f>
        <v>22.2285940229167</v>
      </c>
      <c r="F5550" s="6" t="n">
        <f aca="false">Sens!F5574</f>
        <v>23.580344216413</v>
      </c>
      <c r="G5550" s="6" t="n">
        <f aca="false">Sens!G5574</f>
        <v>25.3851771509038</v>
      </c>
      <c r="H5550" s="6" t="n">
        <f aca="false">Sens!H5574</f>
        <v>27.6068428628512</v>
      </c>
      <c r="I5550" s="6" t="n">
        <f aca="false">Sens!I5574</f>
        <v>30.1689123884325</v>
      </c>
      <c r="J5550" s="6" t="n">
        <f aca="false">Sens!J5574</f>
        <v>32.9792173366639</v>
      </c>
      <c r="K5550" s="6" t="n">
        <f aca="false">Sens!K5574</f>
        <v>35.9531493541191</v>
      </c>
    </row>
    <row r="5551" customFormat="false" ht="17.15" hidden="false" customHeight="false" outlineLevel="0" collapsed="false">
      <c r="A5551" s="1" t="s">
        <v>1072</v>
      </c>
      <c r="B5551" s="0" t="s">
        <v>98</v>
      </c>
      <c r="D5551" s="6" t="n">
        <f aca="false">Q!L27</f>
        <v>-4.901</v>
      </c>
      <c r="E5551" s="6" t="n">
        <f aca="false">Q!M27</f>
        <v>10.697</v>
      </c>
      <c r="F5551" s="6" t="n">
        <f aca="false">Q!$I$27+oie_f*(q_per_yr-1)/q_per_yr</f>
        <v>-0.862</v>
      </c>
      <c r="G5551" s="6" t="n">
        <f aca="false">oie_f</f>
        <v>-1.2</v>
      </c>
      <c r="H5551" s="6" t="n">
        <f aca="false">oie_f</f>
        <v>-1.2</v>
      </c>
      <c r="I5551" s="6" t="n">
        <f aca="false">oie_f</f>
        <v>-1.2</v>
      </c>
      <c r="J5551" s="6" t="n">
        <f aca="false">oie_f</f>
        <v>-1.2</v>
      </c>
      <c r="K5551" s="6" t="n">
        <f aca="false">oie_f</f>
        <v>-1.2</v>
      </c>
      <c r="L5551" s="12" t="s">
        <v>1073</v>
      </c>
    </row>
    <row r="5552" customFormat="false" ht="15" hidden="false" customHeight="false" outlineLevel="0" collapsed="false">
      <c r="A5552" s="1" t="s">
        <v>1074</v>
      </c>
      <c r="B5552" s="0" t="s">
        <v>98</v>
      </c>
      <c r="D5552" s="6" t="n">
        <f aca="false">Sens!D5544+Sens!D5551</f>
        <v>123.627</v>
      </c>
      <c r="E5552" s="6" t="n">
        <f aca="false">Sens!E5544+Sens!E5551</f>
        <v>165.934</v>
      </c>
      <c r="F5552" s="6" t="n">
        <f aca="false">Sens!F5544+Sens!F5551</f>
        <v>183.743740576876</v>
      </c>
      <c r="G5552" s="6" t="n">
        <f aca="false">Sens!G5544+Sens!G5551</f>
        <v>207.860560061669</v>
      </c>
      <c r="H5552" s="6" t="n">
        <f aca="false">Sens!H5544+Sens!H5551</f>
        <v>241.384503128959</v>
      </c>
      <c r="I5552" s="6" t="n">
        <f aca="false">Sens!I5544+Sens!I5551</f>
        <v>266.753064114357</v>
      </c>
      <c r="J5552" s="6" t="n">
        <f aca="false">Sens!J5544+Sens!J5551</f>
        <v>288.839218599058</v>
      </c>
      <c r="K5552" s="6" t="n">
        <f aca="false">Sens!K5544+Sens!K5551</f>
        <v>308.720510747469</v>
      </c>
    </row>
    <row r="5553" customFormat="false" ht="15" hidden="false" customHeight="false" outlineLevel="0" collapsed="false">
      <c r="A5553" s="1" t="s">
        <v>1075</v>
      </c>
      <c r="B5553" s="0" t="s">
        <v>98</v>
      </c>
      <c r="D5553" s="6" t="n">
        <f aca="false">Q!L29</f>
        <v>21.795</v>
      </c>
      <c r="E5553" s="6" t="n">
        <f aca="false">Q!M29</f>
        <v>32.185</v>
      </c>
      <c r="F5553" s="6" t="n">
        <f aca="false">Q!$I$29+(Sens!F5552-Q!$I$28)*tax_f</f>
        <v>36.8821481153752</v>
      </c>
      <c r="G5553" s="6" t="n">
        <f aca="false">Sens!G5552*tax_f</f>
        <v>41.5721120123338</v>
      </c>
      <c r="H5553" s="6" t="n">
        <f aca="false">Sens!H5552*tax_f</f>
        <v>48.2769006257918</v>
      </c>
      <c r="I5553" s="6" t="n">
        <f aca="false">Sens!I5552*tax_f</f>
        <v>53.3506128228715</v>
      </c>
      <c r="J5553" s="6" t="n">
        <f aca="false">Sens!J5552*tax_f</f>
        <v>57.7678437198116</v>
      </c>
      <c r="K5553" s="6" t="n">
        <f aca="false">Sens!K5552*tax_f</f>
        <v>61.7441021494938</v>
      </c>
    </row>
    <row r="5554" customFormat="false" ht="15" hidden="false" customHeight="false" outlineLevel="0" collapsed="false">
      <c r="A5554" s="1" t="s">
        <v>1076</v>
      </c>
      <c r="B5554" s="0" t="s">
        <v>98</v>
      </c>
      <c r="D5554" s="6" t="n">
        <f aca="false">Sens!D5552-Sens!D5553</f>
        <v>101.832</v>
      </c>
      <c r="E5554" s="6" t="n">
        <f aca="false">Sens!E5552-Sens!E5553</f>
        <v>133.749</v>
      </c>
      <c r="F5554" s="6" t="n">
        <f aca="false">Sens!F5552-Sens!F5553</f>
        <v>146.861592461501</v>
      </c>
      <c r="G5554" s="6" t="n">
        <f aca="false">Sens!G5552-Sens!G5553</f>
        <v>166.288448049335</v>
      </c>
      <c r="H5554" s="6" t="n">
        <f aca="false">Sens!H5552-Sens!H5553</f>
        <v>193.107602503167</v>
      </c>
      <c r="I5554" s="6" t="n">
        <f aca="false">Sens!I5552-Sens!I5553</f>
        <v>213.402451291486</v>
      </c>
      <c r="J5554" s="6" t="n">
        <f aca="false">Sens!J5552-Sens!J5553</f>
        <v>231.071374879246</v>
      </c>
      <c r="K5554" s="6" t="n">
        <f aca="false">Sens!K5552-Sens!K5553</f>
        <v>246.976408597975</v>
      </c>
    </row>
    <row r="5555" customFormat="false" ht="17.15" hidden="false" customHeight="false" outlineLevel="0" collapsed="false">
      <c r="A5555" s="1" t="s">
        <v>1077</v>
      </c>
      <c r="B5555" s="1" t="s">
        <v>81</v>
      </c>
      <c r="D5555" s="15" t="n">
        <f aca="false">Q!L31</f>
        <v>7.465</v>
      </c>
      <c r="E5555" s="15" t="n">
        <f aca="false">Q!M31</f>
        <v>7.453</v>
      </c>
      <c r="F5555" s="15" t="n">
        <f aca="false">Sens!F5599</f>
        <v>7.47118779163683</v>
      </c>
      <c r="G5555" s="15" t="n">
        <f aca="false">Sens!G5599</f>
        <v>7.51252273847095</v>
      </c>
      <c r="H5555" s="15" t="n">
        <f aca="false">Sens!H5599</f>
        <v>7.53886983269705</v>
      </c>
      <c r="I5555" s="15" t="n">
        <f aca="false">Sens!I5599</f>
        <v>7.55055119675252</v>
      </c>
      <c r="J5555" s="15" t="n">
        <f aca="false">Sens!J5599</f>
        <v>7.56470060791499</v>
      </c>
      <c r="K5555" s="15" t="n">
        <f aca="false">Sens!K5599</f>
        <v>7.58113524788024</v>
      </c>
    </row>
    <row r="5556" customFormat="false" ht="17.15" hidden="false" customHeight="false" outlineLevel="0" collapsed="false">
      <c r="A5556" s="0" t="s">
        <v>1078</v>
      </c>
      <c r="B5556" s="0" t="s">
        <v>75</v>
      </c>
      <c r="D5556" s="8" t="n">
        <f aca="false">Sens!D5554/Sens!D5555</f>
        <v>13.641259209645</v>
      </c>
      <c r="E5556" s="8" t="n">
        <f aca="false">Sens!E5554/Sens!E5555</f>
        <v>17.9456594659869</v>
      </c>
      <c r="F5556" s="8" t="n">
        <f aca="false">Sens!F5554/Sens!F5555</f>
        <v>19.657060772304</v>
      </c>
      <c r="G5556" s="8" t="n">
        <f aca="false">Sens!G5554/Sens!G5555</f>
        <v>22.1348345739823</v>
      </c>
      <c r="H5556" s="8" t="n">
        <f aca="false">Sens!H5554/Sens!H5555</f>
        <v>25.6149272753901</v>
      </c>
      <c r="I5556" s="8" t="n">
        <f aca="false">Sens!I5554/Sens!I5555</f>
        <v>28.2631619507818</v>
      </c>
      <c r="J5556" s="8" t="n">
        <f aca="false">Sens!J5554/Sens!J5555</f>
        <v>30.5460039803128</v>
      </c>
      <c r="K5556" s="8" t="n">
        <f aca="false">Sens!K5554/Sens!K5555</f>
        <v>32.5777605230077</v>
      </c>
      <c r="L5556" s="1" t="s">
        <v>1079</v>
      </c>
    </row>
    <row r="5557" customFormat="false" ht="17.15" hidden="false" customHeight="false" outlineLevel="0" collapsed="false">
      <c r="A5557" s="1" t="s">
        <v>1080</v>
      </c>
      <c r="B5557" s="0" t="s">
        <v>98</v>
      </c>
      <c r="D5557" s="6" t="n">
        <f aca="false">Sens!D5554</f>
        <v>101.832</v>
      </c>
      <c r="E5557" s="6" t="n">
        <f aca="false">Sens!E5554</f>
        <v>133.749</v>
      </c>
      <c r="F5557" s="6" t="n">
        <f aca="false">Sens!F5554+Sens!F5547*(1-tax_f)</f>
        <v>153.968317857751</v>
      </c>
      <c r="G5557" s="6" t="n">
        <f aca="false">Sens!G5554+Sens!G5547*(1-tax_f)</f>
        <v>184.453272462957</v>
      </c>
      <c r="H5557" s="6" t="n">
        <f aca="false">Sens!H5554+Sens!H5547*(1-tax_f)</f>
        <v>223.509078693733</v>
      </c>
      <c r="I5557" s="6" t="n">
        <f aca="false">Sens!I5554+Sens!I5547*(1-tax_f)</f>
        <v>255.1129388679</v>
      </c>
      <c r="J5557" s="6" t="n">
        <f aca="false">Sens!J5554+Sens!J5547*(1-tax_f)</f>
        <v>280.719040393998</v>
      </c>
      <c r="K5557" s="6" t="n">
        <f aca="false">Sens!K5554+Sens!K5547*(1-tax_f)</f>
        <v>300.640513614476</v>
      </c>
    </row>
    <row r="5558" customFormat="false" ht="17.15" hidden="false" customHeight="false" outlineLevel="0" collapsed="false">
      <c r="A5558" s="0" t="s">
        <v>1081</v>
      </c>
      <c r="B5558" s="0" t="s">
        <v>75</v>
      </c>
      <c r="D5558" s="8" t="n">
        <f aca="false">Sens!D5557/Sens!D5555</f>
        <v>13.641259209645</v>
      </c>
      <c r="E5558" s="8" t="n">
        <f aca="false">Sens!E5557/Sens!E5555</f>
        <v>17.9456594659869</v>
      </c>
      <c r="F5558" s="8" t="n">
        <f aca="false">Sens!F5557/Sens!F5555</f>
        <v>20.6082783824684</v>
      </c>
      <c r="G5558" s="8" t="n">
        <f aca="false">Sens!G5557/Sens!G5555</f>
        <v>24.5527739328346</v>
      </c>
      <c r="H5558" s="8" t="n">
        <f aca="false">Sens!H5557/Sens!H5555</f>
        <v>29.6475577445767</v>
      </c>
      <c r="I5558" s="8" t="n">
        <f aca="false">Sens!I5557/Sens!I5555</f>
        <v>33.7873265434746</v>
      </c>
      <c r="J5558" s="8" t="n">
        <f aca="false">Sens!J5557/Sens!J5555</f>
        <v>37.1090747597175</v>
      </c>
      <c r="K5558" s="8" t="n">
        <f aca="false">Sens!K5557/Sens!K5555</f>
        <v>39.6563975954048</v>
      </c>
      <c r="L5558" s="1" t="s">
        <v>1082</v>
      </c>
    </row>
    <row r="5559" customFormat="false" ht="17.15" hidden="false" customHeight="false" outlineLevel="0" collapsed="false">
      <c r="A5559" s="0" t="s">
        <v>1083</v>
      </c>
      <c r="B5559" s="0" t="s">
        <v>168</v>
      </c>
      <c r="E5559" s="7" t="n">
        <f aca="false">Sens!E5558/Sens!D5558-1</f>
        <v>0.315542736208578</v>
      </c>
      <c r="F5559" s="7" t="n">
        <f aca="false">Sens!F5558/Sens!E5558-1</f>
        <v>0.148371193687704</v>
      </c>
      <c r="G5559" s="7" t="n">
        <f aca="false">Sens!G5558/Sens!F5558-1</f>
        <v>0.191403448515227</v>
      </c>
      <c r="H5559" s="7" t="n">
        <f aca="false">Sens!H5558/Sens!G5558-1</f>
        <v>0.207503389461375</v>
      </c>
      <c r="I5559" s="7" t="n">
        <f aca="false">Sens!I5558/Sens!H5558-1</f>
        <v>0.139632708857953</v>
      </c>
      <c r="J5559" s="7" t="n">
        <f aca="false">Sens!J5558/Sens!I5558-1</f>
        <v>0.0983134374946415</v>
      </c>
      <c r="K5559" s="7" t="n">
        <f aca="false">Sens!K5558/Sens!J5558-1</f>
        <v>0.0686442023192782</v>
      </c>
    </row>
    <row r="5560" customFormat="false" ht="17.15" hidden="false" customHeight="false" outlineLevel="0" collapsed="false">
      <c r="A5560" s="0" t="s">
        <v>1003</v>
      </c>
      <c r="B5560" s="0" t="s">
        <v>98</v>
      </c>
      <c r="E5560" s="6" t="n">
        <f aca="false">Sens!E5501</f>
        <v>5.25</v>
      </c>
      <c r="F5560" s="6" t="n">
        <f aca="false">Sens!F5501</f>
        <v>13.5</v>
      </c>
      <c r="G5560" s="6" t="n">
        <f aca="false">Sens!G5501</f>
        <v>22.5</v>
      </c>
      <c r="H5560" s="6" t="n">
        <f aca="false">Sens!H5501</f>
        <v>31.5</v>
      </c>
      <c r="I5560" s="6" t="n">
        <f aca="false">Sens!I5501</f>
        <v>38.25</v>
      </c>
      <c r="J5560" s="6" t="n">
        <f aca="false">Sens!J5501</f>
        <v>42.75</v>
      </c>
      <c r="K5560" s="6" t="n">
        <f aca="false">Sens!K5501</f>
        <v>47.25</v>
      </c>
    </row>
    <row r="5561" customFormat="false" ht="17.15" hidden="false" customHeight="false" outlineLevel="0" collapsed="false">
      <c r="A5561" s="1" t="s">
        <v>1004</v>
      </c>
      <c r="B5561" s="0" t="s">
        <v>98</v>
      </c>
      <c r="F5561" s="6" t="n">
        <f aca="false">MAX(0,((Sens!E5461+Sens!F5461)/2-(shadow_base*(Sens!$D$5461+Sens!$E$5461)/2+(1-shadow_base)*Sens!$E$5461))*Sens!F5470/1000-(Sens!F5560-Sens!$E$5560)*Sens!F5540)</f>
        <v>8.88340674531245</v>
      </c>
      <c r="G5561" s="6" t="n">
        <f aca="false">MAX(0,((Sens!F5461+Sens!G5461)/2-(shadow_base*(Sens!$D$5461+Sens!$E$5461)/2+(1-shadow_base)*Sens!$E$5461))*Sens!G5470/1000-(Sens!G5560-Sens!$E$5560)*Sens!G5540)</f>
        <v>22.7060305170273</v>
      </c>
      <c r="H5561" s="6" t="n">
        <f aca="false">MAX(0,((Sens!G5461+Sens!H5461)/2-(shadow_base*(Sens!$D$5461+Sens!$E$5461)/2+(1-shadow_base)*Sens!$E$5461))*Sens!H5470/1000-(Sens!H5560-Sens!$E$5560)*Sens!H5540)</f>
        <v>38.0018452382075</v>
      </c>
      <c r="I5561" s="6" t="n">
        <f aca="false">MAX(0,((Sens!H5461+Sens!I5461)/2-(shadow_base*(Sens!$D$5461+Sens!$E$5461)/2+(1-shadow_base)*Sens!$E$5461))*Sens!I5470/1000-(Sens!I5560-Sens!$E$5560)*Sens!I5540)</f>
        <v>52.1381094705177</v>
      </c>
      <c r="J5561" s="6" t="n">
        <f aca="false">MAX(0,((Sens!I5461+Sens!J5461)/2-(shadow_base*(Sens!$D$5461+Sens!$E$5461)/2+(1-shadow_base)*Sens!$E$5461))*Sens!J5470/1000-(Sens!J5560-Sens!$E$5560)*Sens!J5540)</f>
        <v>62.0595818934393</v>
      </c>
      <c r="K5561" s="6" t="n">
        <f aca="false">MAX(0,((Sens!J5461+Sens!K5461)/2-(shadow_base*(Sens!$D$5461+Sens!$E$5461)/2+(1-shadow_base)*Sens!$E$5461))*Sens!K5470/1000-(Sens!K5560-Sens!$E$5560)*Sens!K5540)</f>
        <v>67.0801312706266</v>
      </c>
      <c r="L5561" s="1" t="s">
        <v>1005</v>
      </c>
    </row>
    <row r="5562" customFormat="false" ht="17.15" hidden="false" customHeight="false" outlineLevel="0" collapsed="false">
      <c r="A5562" s="1" t="s">
        <v>1006</v>
      </c>
      <c r="B5562" s="0" t="s">
        <v>98</v>
      </c>
      <c r="F5562" s="6" t="n">
        <f aca="false">IF(internal_ai_reading=2,1,0)*Sens!F5561</f>
        <v>8.88340674531245</v>
      </c>
      <c r="G5562" s="6" t="n">
        <f aca="false">IF(internal_ai_reading=2,1,0)*Sens!G5561</f>
        <v>22.7060305170273</v>
      </c>
      <c r="H5562" s="6" t="n">
        <f aca="false">IF(internal_ai_reading=2,1,0)*Sens!H5561</f>
        <v>38.0018452382075</v>
      </c>
      <c r="I5562" s="6" t="n">
        <f aca="false">IF(internal_ai_reading=2,1,0)*Sens!I5561</f>
        <v>52.1381094705177</v>
      </c>
      <c r="J5562" s="6" t="n">
        <f aca="false">IF(internal_ai_reading=2,1,0)*Sens!J5561</f>
        <v>62.0595818934393</v>
      </c>
      <c r="K5562" s="6" t="n">
        <f aca="false">IF(internal_ai_reading=2,1,0)*Sens!K5561</f>
        <v>67.0801312706266</v>
      </c>
    </row>
    <row r="5563" customFormat="false" ht="17.15" hidden="false" customHeight="false" outlineLevel="0" collapsed="false">
      <c r="A5563" s="0" t="s">
        <v>1007</v>
      </c>
      <c r="B5563" s="0" t="s">
        <v>98</v>
      </c>
      <c r="F5563" s="6" t="n">
        <f aca="false">Sens!F5480+Sens!F5560*Sens!F5540+Sens!F5562-Sens!F5481-Sens!F5492</f>
        <v>17.5418253270668</v>
      </c>
      <c r="G5563" s="6" t="n">
        <f aca="false">Sens!G5480+Sens!G5560*Sens!G5540+Sens!G5562-Sens!G5481-Sens!G5492</f>
        <v>40.9579035253098</v>
      </c>
      <c r="H5563" s="6" t="n">
        <f aca="false">Sens!H5480+Sens!H5560*Sens!H5540+Sens!H5562-Sens!H5481-Sens!H5492</f>
        <v>69.7866451463086</v>
      </c>
      <c r="I5563" s="6" t="n">
        <f aca="false">Sens!I5480+Sens!I5560*Sens!I5540+Sens!I5562-Sens!I5481-Sens!I5492</f>
        <v>89.6722601270454</v>
      </c>
      <c r="J5563" s="6" t="n">
        <f aca="false">Sens!J5480+Sens!J5560*Sens!J5540+Sens!J5562-Sens!J5481-Sens!J5492</f>
        <v>103.203927941052</v>
      </c>
      <c r="K5563" s="6" t="n">
        <f aca="false">Sens!K5480+Sens!K5560*Sens!K5540+Sens!K5562-Sens!K5481-Sens!K5492</f>
        <v>111.566979592081</v>
      </c>
    </row>
    <row r="5564" customFormat="false" ht="17.15" hidden="false" customHeight="false" outlineLevel="0" collapsed="false">
      <c r="A5564" s="0" t="s">
        <v>1008</v>
      </c>
      <c r="B5564" s="0" t="s">
        <v>98</v>
      </c>
      <c r="E5564" s="6" t="n">
        <f aca="false">Sens!E5460*(cxit_open+self_build*tk_cxfac)/1000*ai_net_open</f>
        <v>126.6980382</v>
      </c>
      <c r="F5564" s="6" t="n">
        <f aca="false">Sens!E5564+Sens!F5489-Sens!F5492</f>
        <v>260.572627763768</v>
      </c>
      <c r="G5564" s="6" t="n">
        <f aca="false">Sens!F5564+Sens!G5489-Sens!G5492</f>
        <v>391.782612760517</v>
      </c>
      <c r="H5564" s="6" t="n">
        <f aca="false">Sens!G5564+Sens!H5489-Sens!H5492</f>
        <v>499.488526163584</v>
      </c>
      <c r="I5564" s="6" t="n">
        <f aca="false">Sens!H5564+Sens!I5489-Sens!I5492</f>
        <v>553.872350090646</v>
      </c>
      <c r="J5564" s="6" t="n">
        <f aca="false">Sens!I5564+Sens!J5489-Sens!J5492</f>
        <v>550.78660823699</v>
      </c>
      <c r="K5564" s="6" t="n">
        <f aca="false">Sens!J5564+Sens!K5489-Sens!K5492</f>
        <v>526.736791750789</v>
      </c>
      <c r="L5564" s="1" t="s">
        <v>1009</v>
      </c>
    </row>
    <row r="5565" customFormat="false" ht="17.15" hidden="false" customHeight="false" outlineLevel="0" collapsed="false">
      <c r="A5565" s="0" t="s">
        <v>1010</v>
      </c>
      <c r="B5565" s="0" t="s">
        <v>168</v>
      </c>
      <c r="F5565" s="7" t="n">
        <f aca="false">Sens!F5563*(1-tax_f)/((Sens!E5564+Sens!F5564)/2)</f>
        <v>0.072473654707255</v>
      </c>
      <c r="G5565" s="7" t="n">
        <f aca="false">Sens!G5563*(1-tax_f)/((Sens!F5564+Sens!G5564)/2)</f>
        <v>0.100455459801056</v>
      </c>
      <c r="H5565" s="7" t="n">
        <f aca="false">Sens!H5563*(1-tax_f)/((Sens!G5564+Sens!H5564)/2)</f>
        <v>0.12528020639026</v>
      </c>
      <c r="I5565" s="7" t="n">
        <f aca="false">Sens!I5563*(1-tax_f)/((Sens!H5564+Sens!I5564)/2)</f>
        <v>0.136207466441581</v>
      </c>
      <c r="J5565" s="7" t="n">
        <f aca="false">Sens!J5563*(1-tax_f)/((Sens!I5564+Sens!J5564)/2)</f>
        <v>0.149481687049976</v>
      </c>
      <c r="K5565" s="7" t="n">
        <f aca="false">Sens!K5563*(1-tax_f)/((Sens!J5564+Sens!K5564)/2)</f>
        <v>0.165664307011202</v>
      </c>
    </row>
    <row r="5566" customFormat="false" ht="17.15" hidden="false" customHeight="false" outlineLevel="0" collapsed="false">
      <c r="A5566" s="1" t="s">
        <v>1011</v>
      </c>
      <c r="B5566" s="0" t="s">
        <v>168</v>
      </c>
      <c r="F5566" s="7" t="n">
        <f aca="false">(Sens!F5563-Sens!F5562)*(1-tax_f)/((Sens!E5564+Sens!F5564)/2)</f>
        <v>0.0357720605983181</v>
      </c>
      <c r="G5566" s="7" t="n">
        <f aca="false">(Sens!G5563-Sens!G5562)*(1-tax_f)/((Sens!F5564+Sens!G5564)/2)</f>
        <v>0.0447654820551179</v>
      </c>
      <c r="H5566" s="7" t="n">
        <f aca="false">(Sens!H5563-Sens!H5562)*(1-tax_f)/((Sens!G5564+Sens!H5564)/2)</f>
        <v>0.0570597180049521</v>
      </c>
      <c r="I5566" s="7" t="n">
        <f aca="false">(Sens!I5563-Sens!I5562)*(1-tax_f)/((Sens!H5564+Sens!I5564)/2)</f>
        <v>0.0570124089514315</v>
      </c>
      <c r="J5566" s="7" t="n">
        <f aca="false">(Sens!J5563-Sens!J5562)*(1-tax_f)/((Sens!I5564+Sens!J5564)/2)</f>
        <v>0.0595939164571152</v>
      </c>
      <c r="K5566" s="7" t="n">
        <f aca="false">(Sens!K5563-Sens!K5562)*(1-tax_f)/((Sens!J5564+Sens!K5564)/2)</f>
        <v>0.0660579225612495</v>
      </c>
    </row>
    <row r="5567" customFormat="false" ht="17.15" hidden="false" customHeight="false" outlineLevel="0" collapsed="false">
      <c r="A5567" s="1" t="s">
        <v>1012</v>
      </c>
      <c r="B5567" s="0" t="s">
        <v>168</v>
      </c>
      <c r="F5567" s="7" t="n">
        <f aca="false">(Sens!F5563-Sens!F5562+Sens!F5561)*(1-tax_f)/((Sens!E5564+Sens!F5564)/2)</f>
        <v>0.072473654707255</v>
      </c>
      <c r="G5567" s="7" t="n">
        <f aca="false">(Sens!G5563-Sens!G5562+Sens!G5561)*(1-tax_f)/((Sens!F5564+Sens!G5564)/2)</f>
        <v>0.100455459801056</v>
      </c>
      <c r="H5567" s="7" t="n">
        <f aca="false">(Sens!H5563-Sens!H5562+Sens!H5561)*(1-tax_f)/((Sens!G5564+Sens!H5564)/2)</f>
        <v>0.12528020639026</v>
      </c>
      <c r="I5567" s="7" t="n">
        <f aca="false">(Sens!I5563-Sens!I5562+Sens!I5561)*(1-tax_f)/((Sens!H5564+Sens!I5564)/2)</f>
        <v>0.136207466441581</v>
      </c>
      <c r="J5567" s="7" t="n">
        <f aca="false">(Sens!J5563-Sens!J5562+Sens!J5561)*(1-tax_f)/((Sens!I5564+Sens!J5564)/2)</f>
        <v>0.149481687049976</v>
      </c>
      <c r="K5567" s="7" t="n">
        <f aca="false">(Sens!K5563-Sens!K5562+Sens!K5561)*(1-tax_f)/((Sens!J5564+Sens!K5564)/2)</f>
        <v>0.165664307011202</v>
      </c>
    </row>
    <row r="5568" customFormat="false" ht="17.15" hidden="false" customHeight="false" outlineLevel="0" collapsed="false">
      <c r="A5568" s="1" t="s">
        <v>1013</v>
      </c>
      <c r="B5568" s="0" t="s">
        <v>168</v>
      </c>
      <c r="F5568" s="7" t="n">
        <f aca="false">Sens!F5493*(1-tax_f)/(Sens!F5479*(Sens!E5564+Sens!F5564)/2)</f>
        <v>0.148069245466509</v>
      </c>
      <c r="G5568" s="7" t="n">
        <f aca="false">Sens!G5493*(1-tax_f)/(Sens!G5479*(Sens!F5564+Sens!G5564)/2)</f>
        <v>0.167758371902285</v>
      </c>
      <c r="H5568" s="7" t="n">
        <f aca="false">Sens!H5493*(1-tax_f)/(Sens!H5479*(Sens!G5564+Sens!H5564)/2)</f>
        <v>0.196368995123665</v>
      </c>
      <c r="I5568" s="7" t="n">
        <f aca="false">Sens!I5493*(1-tax_f)/(Sens!I5479*(Sens!H5564+Sens!I5564)/2)</f>
        <v>0.207030569540009</v>
      </c>
      <c r="J5568" s="7" t="n">
        <f aca="false">Sens!J5493*(1-tax_f)/(Sens!J5479*(Sens!I5564+Sens!J5564)/2)</f>
        <v>0.224002974163405</v>
      </c>
      <c r="K5568" s="7" t="n">
        <f aca="false">Sens!K5493*(1-tax_f)/(Sens!K5479*(Sens!J5564+Sens!K5564)/2)</f>
        <v>0.246459641118183</v>
      </c>
    </row>
    <row r="5569" customFormat="false" ht="17.15" hidden="false" customHeight="false" outlineLevel="0" collapsed="false">
      <c r="A5569" s="0" t="s">
        <v>1014</v>
      </c>
      <c r="B5569" s="0" t="s">
        <v>253</v>
      </c>
      <c r="F5569" s="7" t="n">
        <f aca="false">Sens!F5565-wacc</f>
        <v>-0.0304629362383423</v>
      </c>
      <c r="G5569" s="7" t="n">
        <f aca="false">Sens!G5565-wacc</f>
        <v>-0.00248113114454092</v>
      </c>
      <c r="H5569" s="7" t="n">
        <f aca="false">Sens!H5565-wacc</f>
        <v>0.022343615444663</v>
      </c>
      <c r="I5569" s="7" t="n">
        <f aca="false">Sens!I5565-wacc</f>
        <v>0.033270875495984</v>
      </c>
      <c r="J5569" s="7" t="n">
        <f aca="false">Sens!J5565-wacc</f>
        <v>0.0465450961043785</v>
      </c>
      <c r="K5569" s="7" t="n">
        <f aca="false">Sens!K5565-wacc</f>
        <v>0.0627277160656047</v>
      </c>
    </row>
    <row r="5570" customFormat="false" ht="17.15" hidden="false" customHeight="false" outlineLevel="0" collapsed="false">
      <c r="A5570" s="0" t="s">
        <v>1015</v>
      </c>
      <c r="B5570" s="0" t="s">
        <v>98</v>
      </c>
      <c r="F5570" s="6" t="n">
        <f aca="false">Sens!F5563*(1-tax_f)-wacc*(Sens!E5564+Sens!F5564)/2</f>
        <v>-5.8987008021173</v>
      </c>
      <c r="G5570" s="6" t="n">
        <f aca="false">Sens!G5563*(1-tax_f)-wacc*(Sens!F5564+Sens!G5564)/2</f>
        <v>-0.809289452284645</v>
      </c>
      <c r="H5570" s="6" t="n">
        <f aca="false">Sens!H5563*(1-tax_f)-wacc*(Sens!G5564+Sens!H5564)/2</f>
        <v>9.95710979252348</v>
      </c>
      <c r="I5570" s="6" t="n">
        <f aca="false">Sens!I5563*(1-tax_f)-wacc*(Sens!H5564+Sens!I5564)/2</f>
        <v>17.5231192830976</v>
      </c>
      <c r="J5570" s="6" t="n">
        <f aca="false">Sens!J5563*(1-tax_f)-wacc*(Sens!I5564+Sens!J5564)/2</f>
        <v>25.7082286889612</v>
      </c>
      <c r="K5570" s="6" t="n">
        <f aca="false">Sens!K5563*(1-tax_f)-wacc*(Sens!J5564+Sens!K5564)/2</f>
        <v>33.7952909442392</v>
      </c>
    </row>
    <row r="5571" customFormat="false" ht="17.15" hidden="false" customHeight="false" outlineLevel="0" collapsed="false">
      <c r="A5571" s="3" t="s">
        <v>1618</v>
      </c>
    </row>
    <row r="5572" customFormat="false" ht="15" hidden="false" customHeight="false" outlineLevel="0" collapsed="false">
      <c r="A5572" s="4" t="s">
        <v>43</v>
      </c>
      <c r="B5572" s="4" t="s">
        <v>65</v>
      </c>
      <c r="C5572" s="23" t="s">
        <v>938</v>
      </c>
      <c r="D5572" s="23" t="s">
        <v>939</v>
      </c>
      <c r="E5572" s="23" t="s">
        <v>940</v>
      </c>
      <c r="F5572" s="23" t="s">
        <v>941</v>
      </c>
      <c r="G5572" s="23" t="s">
        <v>942</v>
      </c>
      <c r="H5572" s="23" t="s">
        <v>943</v>
      </c>
      <c r="I5572" s="23" t="s">
        <v>944</v>
      </c>
      <c r="J5572" s="23" t="s">
        <v>945</v>
      </c>
      <c r="K5572" s="23" t="s">
        <v>946</v>
      </c>
      <c r="L5572" s="4" t="s">
        <v>47</v>
      </c>
    </row>
    <row r="5573" customFormat="false" ht="15" hidden="false" customHeight="false" outlineLevel="0" collapsed="false">
      <c r="A5573" s="1" t="s">
        <v>1076</v>
      </c>
      <c r="B5573" s="0" t="s">
        <v>98</v>
      </c>
      <c r="F5573" s="6" t="n">
        <f aca="false">Sens!F5554</f>
        <v>146.861592461501</v>
      </c>
      <c r="G5573" s="6" t="n">
        <f aca="false">Sens!G5554</f>
        <v>166.288448049335</v>
      </c>
      <c r="H5573" s="6" t="n">
        <f aca="false">Sens!H5554</f>
        <v>193.107602503167</v>
      </c>
      <c r="I5573" s="6" t="n">
        <f aca="false">Sens!I5554</f>
        <v>213.402451291486</v>
      </c>
      <c r="J5573" s="6" t="n">
        <f aca="false">Sens!J5554</f>
        <v>231.071374879246</v>
      </c>
      <c r="K5573" s="6" t="n">
        <f aca="false">Sens!K5554</f>
        <v>246.976408597975</v>
      </c>
    </row>
    <row r="5574" customFormat="false" ht="17.15" hidden="false" customHeight="false" outlineLevel="0" collapsed="false">
      <c r="A5574" s="1" t="s">
        <v>1098</v>
      </c>
      <c r="B5574" s="0" t="s">
        <v>98</v>
      </c>
      <c r="E5574" s="6" t="n">
        <f aca="false">Q!M38-Sens!E5492</f>
        <v>22.2285940229167</v>
      </c>
      <c r="F5574" s="6" t="n">
        <f aca="false">Sens!E5574*(1-1/life_nonai)+(Sens!F5582+Sens!F5583)/life_nonai</f>
        <v>23.580344216413</v>
      </c>
      <c r="G5574" s="6" t="n">
        <f aca="false">Sens!F5574*(1-1/life_nonai)+(Sens!G5582)/life_nonai</f>
        <v>25.3851771509038</v>
      </c>
      <c r="H5574" s="6" t="n">
        <f aca="false">Sens!G5574*(1-1/life_nonai)+(Sens!H5582)/life_nonai</f>
        <v>27.6068428628512</v>
      </c>
      <c r="I5574" s="6" t="n">
        <f aca="false">Sens!H5574*(1-1/life_nonai)+(Sens!I5582)/life_nonai</f>
        <v>30.1689123884325</v>
      </c>
      <c r="J5574" s="6" t="n">
        <f aca="false">Sens!I5574*(1-1/life_nonai)+(Sens!J5582)/life_nonai</f>
        <v>32.9792173366639</v>
      </c>
      <c r="K5574" s="6" t="n">
        <f aca="false">Sens!J5574*(1-1/life_nonai)+(Sens!K5582)/life_nonai</f>
        <v>35.9531493541191</v>
      </c>
      <c r="L5574" s="12" t="s">
        <v>1099</v>
      </c>
    </row>
    <row r="5575" customFormat="false" ht="17.15" hidden="false" customHeight="false" outlineLevel="0" collapsed="false">
      <c r="A5575" s="1" t="s">
        <v>1100</v>
      </c>
      <c r="B5575" s="0" t="s">
        <v>98</v>
      </c>
      <c r="F5575" s="6" t="n">
        <f aca="false">Sens!$F$5583/life_nonai*(1-1/life_nonai)^(Sens!F5455-2027)</f>
        <v>0.00051957798213067</v>
      </c>
      <c r="G5575" s="6" t="n">
        <f aca="false">Sens!$F$5583/life_nonai*(1-1/life_nonai)^(Sens!G5455-2027)</f>
        <v>0.000467620183917603</v>
      </c>
      <c r="H5575" s="6" t="n">
        <f aca="false">Sens!$F$5583/life_nonai*(1-1/life_nonai)^(Sens!H5455-2027)</f>
        <v>0.000420858165525843</v>
      </c>
      <c r="I5575" s="6" t="n">
        <f aca="false">Sens!$F$5583/life_nonai*(1-1/life_nonai)^(Sens!I5455-2027)</f>
        <v>0.000378772348973259</v>
      </c>
      <c r="J5575" s="6" t="n">
        <f aca="false">Sens!$F$5583/life_nonai*(1-1/life_nonai)^(Sens!J5455-2027)</f>
        <v>0.000340895114075933</v>
      </c>
      <c r="K5575" s="6" t="n">
        <f aca="false">Sens!$F$5583/life_nonai*(1-1/life_nonai)^(Sens!K5455-2027)</f>
        <v>0.000306805602668339</v>
      </c>
      <c r="L5575" s="1" t="s">
        <v>1101</v>
      </c>
    </row>
    <row r="5576" customFormat="false" ht="17.15" hidden="false" customHeight="false" outlineLevel="0" collapsed="false">
      <c r="A5576" s="1" t="s">
        <v>1102</v>
      </c>
      <c r="B5576" s="0" t="s">
        <v>98</v>
      </c>
      <c r="E5576" s="6" t="n">
        <f aca="false">Sens!E5492+Sens!E5574</f>
        <v>38.534</v>
      </c>
      <c r="F5576" s="6" t="n">
        <f aca="false">Sens!F5492+Sens!F5574</f>
        <v>58.1596586947647</v>
      </c>
      <c r="G5576" s="6" t="n">
        <f aca="false">Sens!G5492+Sens!G5574</f>
        <v>86.1196678032028</v>
      </c>
      <c r="H5576" s="6" t="n">
        <f aca="false">Sens!H5492+Sens!H5574</f>
        <v>116.706933524297</v>
      </c>
      <c r="I5576" s="6" t="n">
        <f aca="false">Sens!I5492+Sens!I5574</f>
        <v>144.399922082981</v>
      </c>
      <c r="J5576" s="6" t="n">
        <f aca="false">Sens!J5492+Sens!J5574</f>
        <v>164.99489038626</v>
      </c>
      <c r="K5576" s="6" t="n">
        <f aca="false">Sens!K5492+Sens!K5574</f>
        <v>178.965818905053</v>
      </c>
    </row>
    <row r="5577" customFormat="false" ht="17.15" hidden="false" customHeight="false" outlineLevel="0" collapsed="false">
      <c r="A5577" s="1" t="s">
        <v>1103</v>
      </c>
      <c r="B5577" s="0" t="s">
        <v>98</v>
      </c>
      <c r="F5577" s="6" t="n">
        <f aca="false">Sens!F5519*sbc_r</f>
        <v>15.0399151995944</v>
      </c>
      <c r="G5577" s="6" t="n">
        <f aca="false">Sens!G5519*sbc_r</f>
        <v>18.3098047553183</v>
      </c>
      <c r="H5577" s="6" t="n">
        <f aca="false">Sens!H5519*sbc_r</f>
        <v>21.8266145907232</v>
      </c>
      <c r="I5577" s="6" t="n">
        <f aca="false">Sens!I5519*sbc_r</f>
        <v>24.8172057294439</v>
      </c>
      <c r="J5577" s="6" t="n">
        <f aca="false">Sens!J5519*sbc_r</f>
        <v>27.222902813831</v>
      </c>
      <c r="K5577" s="6" t="n">
        <f aca="false">Sens!K5519*sbc_r</f>
        <v>29.1276037360301</v>
      </c>
    </row>
    <row r="5578" customFormat="false" ht="17.15" hidden="false" customHeight="false" outlineLevel="0" collapsed="false">
      <c r="A5578" s="1" t="s">
        <v>1104</v>
      </c>
      <c r="B5578" s="0" t="s">
        <v>98</v>
      </c>
      <c r="F5578" s="6" t="n">
        <f aca="false">wc27-wc26q1</f>
        <v>-4.677</v>
      </c>
      <c r="G5578" s="6" t="n">
        <f aca="false">wc_f</f>
        <v>0</v>
      </c>
      <c r="H5578" s="6" t="n">
        <f aca="false">wc_f</f>
        <v>0</v>
      </c>
      <c r="I5578" s="6" t="n">
        <f aca="false">wc_f</f>
        <v>0</v>
      </c>
      <c r="J5578" s="6" t="n">
        <f aca="false">wc_f</f>
        <v>0</v>
      </c>
      <c r="K5578" s="6" t="n">
        <f aca="false">wc_f</f>
        <v>0</v>
      </c>
      <c r="L5578" s="12" t="s">
        <v>1105</v>
      </c>
    </row>
    <row r="5579" customFormat="false" ht="17.15" hidden="false" customHeight="false" outlineLevel="0" collapsed="false">
      <c r="A5579" s="0" t="s">
        <v>1106</v>
      </c>
      <c r="B5579" s="0" t="s">
        <v>98</v>
      </c>
      <c r="F5579" s="6" t="n">
        <f aca="false">Q!$I$35-Q!$I$26-Q!$I$38-Q!$I$39</f>
        <v>6.493</v>
      </c>
      <c r="L5579" s="1" t="s">
        <v>1107</v>
      </c>
    </row>
    <row r="5580" customFormat="false" ht="15" hidden="false" customHeight="false" outlineLevel="0" collapsed="false">
      <c r="A5580" s="1" t="s">
        <v>904</v>
      </c>
      <c r="B5580" s="0" t="s">
        <v>98</v>
      </c>
      <c r="E5580" s="6" t="n">
        <f aca="false">Q!M35</f>
        <v>182.935</v>
      </c>
      <c r="F5580" s="6" t="n">
        <f aca="false">Sens!F5573+Sens!F5576+Sens!F5577+Sens!F5578+Sens!F5579</f>
        <v>221.87716635586</v>
      </c>
      <c r="G5580" s="6" t="n">
        <f aca="false">Sens!G5573+Sens!G5576+Sens!G5577+Sens!G5578</f>
        <v>270.717920607856</v>
      </c>
      <c r="H5580" s="6" t="n">
        <f aca="false">Sens!H5573+Sens!H5576+Sens!H5577+Sens!H5578</f>
        <v>331.641150618187</v>
      </c>
      <c r="I5580" s="6" t="n">
        <f aca="false">Sens!I5573+Sens!I5576+Sens!I5577+Sens!I5578</f>
        <v>382.619579103911</v>
      </c>
      <c r="J5580" s="6" t="n">
        <f aca="false">Sens!J5573+Sens!J5576+Sens!J5577+Sens!J5578</f>
        <v>423.289168079337</v>
      </c>
      <c r="K5580" s="6" t="n">
        <f aca="false">Sens!K5573+Sens!K5576+Sens!K5577+Sens!K5578</f>
        <v>455.069831239058</v>
      </c>
    </row>
    <row r="5581" customFormat="false" ht="17.15" hidden="false" customHeight="false" outlineLevel="0" collapsed="false">
      <c r="A5581" s="0" t="s">
        <v>1108</v>
      </c>
      <c r="B5581" s="0" t="s">
        <v>98</v>
      </c>
      <c r="F5581" s="6" t="n">
        <f aca="false">Sens!F5489</f>
        <v>168.45390404212</v>
      </c>
      <c r="G5581" s="6" t="n">
        <f aca="false">Sens!G5489</f>
        <v>191.944475649048</v>
      </c>
      <c r="H5581" s="6" t="n">
        <f aca="false">Sens!H5489</f>
        <v>196.806004064512</v>
      </c>
      <c r="I5581" s="6" t="n">
        <f aca="false">Sens!I5489</f>
        <v>168.61483362161</v>
      </c>
      <c r="J5581" s="6" t="n">
        <f aca="false">Sens!J5489</f>
        <v>128.92993119594</v>
      </c>
      <c r="K5581" s="6" t="n">
        <f aca="false">Sens!K5489</f>
        <v>118.962853064733</v>
      </c>
    </row>
    <row r="5582" customFormat="false" ht="17.15" hidden="false" customHeight="false" outlineLevel="0" collapsed="false">
      <c r="A5582" s="1" t="s">
        <v>1109</v>
      </c>
      <c r="B5582" s="0" t="s">
        <v>98</v>
      </c>
      <c r="E5582" s="6" t="n">
        <f aca="false">Sens!E5497*cx_azo+Sens!E5504*cx_m365+Sens!E5505*cx_lic+(Sens!E5507+Sens!E5509)*cx_ind+Sens!E5512*cx_srch+(Sens!E5514+Sens!E5516)*cx_dev</f>
        <v>30.1846587067718</v>
      </c>
      <c r="F5582" s="6" t="n">
        <f aca="false">Sens!F5497*cx_azo+Sens!F5504*cx_m365+Sens!F5505*cx_lic+(Sens!F5507+Sens!F5509)*cx_ind+Sens!F5512*cx_srch+(Sens!F5514+Sens!F5516)*cx_dev</f>
        <v>35.7409001780591</v>
      </c>
      <c r="G5582" s="6" t="n">
        <f aca="false">Sens!G5497*cx_azo+Sens!G5504*cx_m365+Sens!G5505*cx_lic+(Sens!G5507+Sens!G5509)*cx_ind+Sens!G5512*cx_srch+(Sens!G5514+Sens!G5516)*cx_dev</f>
        <v>41.6286735613207</v>
      </c>
      <c r="H5582" s="6" t="n">
        <f aca="false">Sens!H5497*cx_azo+Sens!H5504*cx_m365+Sens!H5505*cx_lic+(Sens!H5507+Sens!H5509)*cx_ind+Sens!H5512*cx_srch+(Sens!H5514+Sens!H5516)*cx_dev</f>
        <v>47.6018342703777</v>
      </c>
      <c r="I5582" s="6" t="n">
        <f aca="false">Sens!I5497*cx_azo+Sens!I5504*cx_m365+Sens!I5505*cx_lic+(Sens!I5507+Sens!I5509)*cx_ind+Sens!I5512*cx_srch+(Sens!I5514+Sens!I5516)*cx_dev</f>
        <v>53.2275381186638</v>
      </c>
      <c r="J5582" s="6" t="n">
        <f aca="false">Sens!J5497*cx_azo+Sens!J5504*cx_m365+Sens!J5505*cx_lic+(Sens!J5507+Sens!J5509)*cx_ind+Sens!J5512*cx_srch+(Sens!J5514+Sens!J5516)*cx_dev</f>
        <v>58.2719618707468</v>
      </c>
      <c r="K5582" s="6" t="n">
        <f aca="false">Sens!K5497*cx_azo+Sens!K5504*cx_m365+Sens!K5505*cx_lic+(Sens!K5507+Sens!K5509)*cx_ind+Sens!K5512*cx_srch+(Sens!K5514+Sens!K5516)*cx_dev</f>
        <v>62.7185375112162</v>
      </c>
    </row>
    <row r="5583" customFormat="false" ht="17.15" hidden="false" customHeight="false" outlineLevel="0" collapsed="false">
      <c r="A5583" s="0" t="s">
        <v>1110</v>
      </c>
      <c r="B5583" s="0" t="s">
        <v>98</v>
      </c>
      <c r="F5583" s="6" t="n">
        <f aca="false">Sens!F5487</f>
        <v>0.0051957798213067</v>
      </c>
      <c r="L5583" s="1" t="s">
        <v>1111</v>
      </c>
    </row>
    <row r="5584" customFormat="false" ht="17.15" hidden="false" customHeight="false" outlineLevel="0" collapsed="false">
      <c r="A5584" s="1" t="s">
        <v>1112</v>
      </c>
      <c r="B5584" s="0" t="s">
        <v>98</v>
      </c>
      <c r="E5584" s="6" t="n">
        <f aca="false">Q!M43</f>
        <v>145.3</v>
      </c>
      <c r="F5584" s="6" t="n">
        <f aca="false">Sens!F5581+Sens!F5582+Sens!F5583</f>
        <v>204.2</v>
      </c>
      <c r="G5584" s="6" t="n">
        <f aca="false">Sens!G5581+Sens!G5582</f>
        <v>233.573149210369</v>
      </c>
      <c r="H5584" s="6" t="n">
        <f aca="false">Sens!H5581+Sens!H5582</f>
        <v>244.40783833489</v>
      </c>
      <c r="I5584" s="6" t="n">
        <f aca="false">Sens!I5581+Sens!I5582</f>
        <v>221.842371740274</v>
      </c>
      <c r="J5584" s="6" t="n">
        <f aca="false">Sens!J5581+Sens!J5582</f>
        <v>187.201893066687</v>
      </c>
      <c r="K5584" s="6" t="n">
        <f aca="false">Sens!K5581+Sens!K5582</f>
        <v>181.681390575949</v>
      </c>
      <c r="L5584" s="1" t="s">
        <v>1113</v>
      </c>
    </row>
    <row r="5585" customFormat="false" ht="15" hidden="false" customHeight="false" outlineLevel="0" collapsed="false">
      <c r="A5585" s="1" t="s">
        <v>1114</v>
      </c>
      <c r="B5585" s="0" t="s">
        <v>98</v>
      </c>
      <c r="E5585" s="6" t="n">
        <f aca="false">fl_liab</f>
        <v>66.594</v>
      </c>
      <c r="F5585" s="6" t="n">
        <f aca="false">Sens!E5585-Sens!F5586</f>
        <v>62.46973</v>
      </c>
      <c r="G5585" s="6" t="n">
        <f aca="false">Sens!F5585-Sens!G5586</f>
        <v>57.98686785</v>
      </c>
      <c r="H5585" s="6" t="n">
        <f aca="false">Sens!G5585-Sens!H5586</f>
        <v>53.92827690325</v>
      </c>
      <c r="I5585" s="6" t="n">
        <f aca="false">Sens!H5585-Sens!I5586</f>
        <v>49.7850493638962</v>
      </c>
      <c r="J5585" s="6" t="n">
        <f aca="false">Sens!I5585-Sens!J5586</f>
        <v>45.4823765852716</v>
      </c>
      <c r="K5585" s="6" t="n">
        <f aca="false">Sens!J5585-Sens!K5586</f>
        <v>40.9860835316088</v>
      </c>
    </row>
    <row r="5586" customFormat="false" ht="15" hidden="false" customHeight="false" outlineLevel="0" collapsed="false">
      <c r="A5586" s="1" t="s">
        <v>1115</v>
      </c>
      <c r="B5586" s="0" t="s">
        <v>98</v>
      </c>
      <c r="F5586" s="6" t="n">
        <f aca="false">fl_pay_27-Sens!E5585*fl_rate</f>
        <v>4.12427</v>
      </c>
      <c r="G5586" s="6" t="n">
        <f aca="false">fl_pay_28-Sens!F5585*fl_rate</f>
        <v>4.48286215</v>
      </c>
      <c r="H5586" s="6" t="n">
        <f aca="false">fl_pay_29-Sens!G5585*fl_rate</f>
        <v>4.05859094675</v>
      </c>
      <c r="I5586" s="6" t="n">
        <f aca="false">fl_pay_30-Sens!H5585*fl_rate</f>
        <v>4.14322753935375</v>
      </c>
      <c r="J5586" s="6" t="n">
        <f aca="false">fl_pay_31-Sens!I5585*fl_rate</f>
        <v>4.30267277862467</v>
      </c>
      <c r="K5586" s="6" t="n">
        <f aca="false">fl_pay_32-Sens!J5585*fl_rate</f>
        <v>4.49629305366278</v>
      </c>
    </row>
    <row r="5587" customFormat="false" ht="17.15" hidden="false" customHeight="false" outlineLevel="0" collapsed="false">
      <c r="A5587" s="1" t="s">
        <v>1116</v>
      </c>
      <c r="B5587" s="0" t="s">
        <v>98</v>
      </c>
      <c r="E5587" s="6" t="n">
        <f aca="false">Q!M35-Q!M36-Q!M44</f>
        <v>63.886</v>
      </c>
      <c r="F5587" s="6" t="n">
        <f aca="false">Sens!F5580-Sens!F5584-Sens!F5586</f>
        <v>13.55289635586</v>
      </c>
      <c r="G5587" s="6" t="n">
        <f aca="false">Sens!G5580-Sens!G5584-Sens!G5586</f>
        <v>32.6619092474873</v>
      </c>
      <c r="H5587" s="6" t="n">
        <f aca="false">Sens!H5580-Sens!H5584-Sens!H5586</f>
        <v>83.1747213365472</v>
      </c>
      <c r="I5587" s="6" t="n">
        <f aca="false">Sens!I5580-Sens!I5584-Sens!I5586</f>
        <v>156.633979824283</v>
      </c>
      <c r="J5587" s="6" t="n">
        <f aca="false">Sens!J5580-Sens!J5584-Sens!J5586</f>
        <v>231.784602234026</v>
      </c>
      <c r="K5587" s="6" t="n">
        <f aca="false">Sens!K5580-Sens!K5584-Sens!K5586</f>
        <v>268.892147609447</v>
      </c>
      <c r="L5587" s="12" t="s">
        <v>1117</v>
      </c>
    </row>
    <row r="5588" customFormat="false" ht="15" hidden="false" customHeight="false" outlineLevel="0" collapsed="false">
      <c r="A5588" s="1" t="s">
        <v>1118</v>
      </c>
      <c r="B5588" s="0" t="s">
        <v>75</v>
      </c>
      <c r="F5588" s="8" t="n">
        <f aca="false">dps_27</f>
        <v>3.85</v>
      </c>
      <c r="G5588" s="8" t="n">
        <f aca="false">Sens!F5588*(1+dps_g)</f>
        <v>4.158</v>
      </c>
      <c r="H5588" s="8" t="n">
        <f aca="false">Sens!G5588*(1+dps_g)</f>
        <v>4.49064</v>
      </c>
      <c r="I5588" s="8" t="n">
        <f aca="false">Sens!H5588*(1+dps_g)</f>
        <v>4.8498912</v>
      </c>
      <c r="J5588" s="8" t="n">
        <f aca="false">Sens!I5588*(1+dps_g)</f>
        <v>5.237882496</v>
      </c>
      <c r="K5588" s="8" t="n">
        <f aca="false">Sens!J5588*(1+dps_g)</f>
        <v>5.65691309568</v>
      </c>
    </row>
    <row r="5589" customFormat="false" ht="17.15" hidden="false" customHeight="false" outlineLevel="0" collapsed="false">
      <c r="A5589" s="1" t="s">
        <v>1119</v>
      </c>
      <c r="B5589" s="0" t="s">
        <v>98</v>
      </c>
      <c r="E5589" s="6" t="n">
        <f aca="false">Q!M41</f>
        <v>26.445</v>
      </c>
      <c r="F5589" s="6" t="n">
        <f aca="false">Sens!F5588*Sens!E5598</f>
        <v>28.59395</v>
      </c>
      <c r="G5589" s="6" t="n">
        <f aca="false">Sens!G5588*Sens!F5598</f>
        <v>31.0493476752519</v>
      </c>
      <c r="H5589" s="6" t="n">
        <f aca="false">Sens!H5588*Sens!G5598</f>
        <v>33.7232240113024</v>
      </c>
      <c r="I5589" s="6" t="n">
        <f aca="false">Sens!I5588*Sens!H5598</f>
        <v>36.4715202092792</v>
      </c>
      <c r="J5589" s="6" t="n">
        <f aca="false">Sens!J5588*Sens!I5598</f>
        <v>39.4571397114142</v>
      </c>
      <c r="K5589" s="6" t="n">
        <f aca="false">Sens!K5588*Sens!J5598</f>
        <v>42.7004651507056</v>
      </c>
      <c r="L5589" s="1" t="s">
        <v>1120</v>
      </c>
    </row>
    <row r="5590" customFormat="false" ht="15" hidden="false" customHeight="false" outlineLevel="0" collapsed="false">
      <c r="A5590" s="1" t="s">
        <v>1121</v>
      </c>
      <c r="B5590" s="0" t="s">
        <v>98</v>
      </c>
      <c r="E5590" s="6" t="n">
        <f aca="false">Sens!E5587-Sens!E5589</f>
        <v>37.441</v>
      </c>
      <c r="F5590" s="6" t="n">
        <f aca="false">Sens!F5587-Sens!F5589</f>
        <v>-15.04105364414</v>
      </c>
      <c r="G5590" s="6" t="n">
        <f aca="false">Sens!G5587-Sens!G5589</f>
        <v>1.61256157223542</v>
      </c>
      <c r="H5590" s="6" t="n">
        <f aca="false">Sens!H5587-Sens!H5589</f>
        <v>49.4514973252448</v>
      </c>
      <c r="I5590" s="6" t="n">
        <f aca="false">Sens!I5587-Sens!I5589</f>
        <v>120.162459615003</v>
      </c>
      <c r="J5590" s="6" t="n">
        <f aca="false">Sens!J5587-Sens!J5589</f>
        <v>192.327462522611</v>
      </c>
      <c r="K5590" s="6" t="n">
        <f aca="false">Sens!K5587-Sens!K5589</f>
        <v>226.191682458741</v>
      </c>
    </row>
    <row r="5591" customFormat="false" ht="15" hidden="false" customHeight="false" outlineLevel="0" collapsed="false">
      <c r="A5591" s="1" t="s">
        <v>1122</v>
      </c>
      <c r="B5591" s="0" t="s">
        <v>98</v>
      </c>
      <c r="F5591" s="6" t="n">
        <f aca="false">debt_mat_27</f>
        <v>9.25</v>
      </c>
      <c r="G5591" s="6" t="n">
        <f aca="false">debt_mat_28</f>
        <v>0</v>
      </c>
      <c r="H5591" s="6" t="n">
        <f aca="false">debt_mat_29</f>
        <v>2.001</v>
      </c>
      <c r="I5591" s="6" t="n">
        <f aca="false">debt_mat_30</f>
        <v>0</v>
      </c>
      <c r="J5591" s="6" t="n">
        <f aca="false">debt_mat_31</f>
        <v>0.5</v>
      </c>
      <c r="K5591" s="6" t="n">
        <f aca="false">debt_mat_32</f>
        <v>0</v>
      </c>
    </row>
    <row r="5592" customFormat="false" ht="15" hidden="false" customHeight="false" outlineLevel="0" collapsed="false">
      <c r="A5592" s="1" t="s">
        <v>1123</v>
      </c>
      <c r="B5592" s="0" t="s">
        <v>98</v>
      </c>
      <c r="E5592" s="6" t="n">
        <f aca="false">Q!M40</f>
        <v>22.271</v>
      </c>
      <c r="F5592" s="6" t="n">
        <f aca="false">MAX(0,MIN(bb_target,Sens!E5594+Sens!F5590-Sens!F5591-min_cash))</f>
        <v>2.55194635586001</v>
      </c>
      <c r="G5592" s="6" t="n">
        <f aca="false">MAX(0,MIN(bb_target,Sens!F5594+Sens!G5590-Sens!G5591-min_cash))</f>
        <v>1.61256157223542</v>
      </c>
      <c r="H5592" s="6" t="n">
        <f aca="false">MAX(0,MIN(bb_target,Sens!G5594+Sens!H5590-Sens!H5591-min_cash))</f>
        <v>22.271</v>
      </c>
      <c r="I5592" s="6" t="n">
        <f aca="false">MAX(0,MIN(bb_target,Sens!H5594+Sens!I5590-Sens!I5591-min_cash))</f>
        <v>22.271</v>
      </c>
      <c r="J5592" s="6" t="n">
        <f aca="false">MAX(0,MIN(bb_target,Sens!I5594+Sens!J5590-Sens!J5591-min_cash))</f>
        <v>22.271</v>
      </c>
      <c r="K5592" s="6" t="n">
        <f aca="false">MAX(0,MIN(bb_target,Sens!J5594+Sens!K5590-Sens!K5591-min_cash))</f>
        <v>22.271</v>
      </c>
    </row>
    <row r="5593" customFormat="false" ht="15" hidden="false" customHeight="false" outlineLevel="0" collapsed="false">
      <c r="A5593" s="1" t="s">
        <v>1124</v>
      </c>
      <c r="B5593" s="0" t="s">
        <v>98</v>
      </c>
      <c r="F5593" s="6" t="n">
        <f aca="false">MAX(0,min_cash-(Sens!E5594+Sens!F5590-Sens!F5591-Sens!F5592))</f>
        <v>0</v>
      </c>
      <c r="G5593" s="6" t="n">
        <f aca="false">MAX(0,min_cash-(Sens!F5594+Sens!G5590-Sens!G5591-Sens!G5592))</f>
        <v>0</v>
      </c>
      <c r="H5593" s="6" t="n">
        <f aca="false">MAX(0,min_cash-(Sens!G5594+Sens!H5590-Sens!H5591-Sens!H5592))</f>
        <v>0</v>
      </c>
      <c r="I5593" s="6" t="n">
        <f aca="false">MAX(0,min_cash-(Sens!H5594+Sens!I5590-Sens!I5591-Sens!I5592))</f>
        <v>0</v>
      </c>
      <c r="J5593" s="6" t="n">
        <f aca="false">MAX(0,min_cash-(Sens!I5594+Sens!J5590-Sens!J5591-Sens!J5592))</f>
        <v>0</v>
      </c>
      <c r="K5593" s="6" t="n">
        <f aca="false">MAX(0,min_cash-(Sens!J5594+Sens!K5590-Sens!K5591-Sens!K5592))</f>
        <v>0</v>
      </c>
    </row>
    <row r="5594" customFormat="false" ht="15" hidden="false" customHeight="false" outlineLevel="0" collapsed="false">
      <c r="A5594" s="1" t="s">
        <v>1125</v>
      </c>
      <c r="B5594" s="0" t="s">
        <v>98</v>
      </c>
      <c r="E5594" s="6" t="n">
        <f aca="false">cash_open</f>
        <v>76.843</v>
      </c>
      <c r="F5594" s="6" t="n">
        <f aca="false">Sens!E5594+Sens!F5590-Sens!F5591-Sens!F5592+Sens!F5593</f>
        <v>50</v>
      </c>
      <c r="G5594" s="6" t="n">
        <f aca="false">Sens!F5594+Sens!G5590-Sens!G5591-Sens!G5592+Sens!G5593</f>
        <v>50</v>
      </c>
      <c r="H5594" s="6" t="n">
        <f aca="false">Sens!G5594+Sens!H5590-Sens!H5591-Sens!H5592+Sens!H5593</f>
        <v>75.1794973252448</v>
      </c>
      <c r="I5594" s="6" t="n">
        <f aca="false">Sens!H5594+Sens!I5590-Sens!I5591-Sens!I5592+Sens!I5593</f>
        <v>173.070956940248</v>
      </c>
      <c r="J5594" s="6" t="n">
        <f aca="false">Sens!I5594+Sens!J5590-Sens!J5591-Sens!J5592+Sens!J5593</f>
        <v>342.627419462859</v>
      </c>
      <c r="K5594" s="6" t="n">
        <f aca="false">Sens!J5594+Sens!K5590-Sens!K5591-Sens!K5592+Sens!K5593</f>
        <v>546.548101921601</v>
      </c>
    </row>
    <row r="5595" customFormat="false" ht="15" hidden="false" customHeight="false" outlineLevel="0" collapsed="false">
      <c r="A5595" s="1" t="s">
        <v>1126</v>
      </c>
      <c r="B5595" s="0" t="s">
        <v>98</v>
      </c>
      <c r="E5595" s="6" t="n">
        <f aca="false">debt_face</f>
        <v>46.136</v>
      </c>
      <c r="F5595" s="6" t="n">
        <f aca="false">Sens!E5595-Sens!F5591+Sens!F5593</f>
        <v>36.886</v>
      </c>
      <c r="G5595" s="6" t="n">
        <f aca="false">Sens!F5595-Sens!G5591+Sens!G5593</f>
        <v>36.886</v>
      </c>
      <c r="H5595" s="6" t="n">
        <f aca="false">Sens!G5595-Sens!H5591+Sens!H5593</f>
        <v>34.885</v>
      </c>
      <c r="I5595" s="6" t="n">
        <f aca="false">Sens!H5595-Sens!I5591+Sens!I5593</f>
        <v>34.885</v>
      </c>
      <c r="J5595" s="6" t="n">
        <f aca="false">Sens!I5595-Sens!J5591+Sens!J5593</f>
        <v>34.385</v>
      </c>
      <c r="K5595" s="6" t="n">
        <f aca="false">Sens!J5595-Sens!K5591+Sens!K5593</f>
        <v>34.385</v>
      </c>
    </row>
    <row r="5596" customFormat="false" ht="15" hidden="false" customHeight="false" outlineLevel="0" collapsed="false">
      <c r="A5596" s="1" t="s">
        <v>1127</v>
      </c>
      <c r="B5596" s="0" t="s">
        <v>98</v>
      </c>
      <c r="E5596" s="6" t="n">
        <f aca="false">Sens!E5594-Sens!E5595</f>
        <v>30.707</v>
      </c>
      <c r="F5596" s="6" t="n">
        <f aca="false">Sens!F5594-Sens!F5595</f>
        <v>13.114</v>
      </c>
      <c r="G5596" s="6" t="n">
        <f aca="false">Sens!G5594-Sens!G5595</f>
        <v>13.114</v>
      </c>
      <c r="H5596" s="6" t="n">
        <f aca="false">Sens!H5594-Sens!H5595</f>
        <v>40.2944973252448</v>
      </c>
      <c r="I5596" s="6" t="n">
        <f aca="false">Sens!I5594-Sens!I5595</f>
        <v>138.185956940248</v>
      </c>
      <c r="J5596" s="6" t="n">
        <f aca="false">Sens!J5594-Sens!J5595</f>
        <v>308.242419462859</v>
      </c>
      <c r="K5596" s="6" t="n">
        <f aca="false">Sens!K5594-Sens!K5595</f>
        <v>512.163101921601</v>
      </c>
    </row>
    <row r="5597" customFormat="false" ht="15" hidden="false" customHeight="false" outlineLevel="0" collapsed="false">
      <c r="A5597" s="1" t="s">
        <v>1128</v>
      </c>
      <c r="B5597" s="0" t="s">
        <v>75</v>
      </c>
      <c r="F5597" s="30" t="n">
        <f aca="false">px*(1+bb_g)^(Sens!F5455-base_fy-mid_yr)</f>
        <v>551.84177959629</v>
      </c>
      <c r="G5597" s="30" t="n">
        <f aca="false">px*(1+bb_g)^(Sens!G5455-base_fy-mid_yr)</f>
        <v>595.989121963993</v>
      </c>
      <c r="H5597" s="30" t="n">
        <f aca="false">px*(1+bb_g)^(Sens!H5455-base_fy-mid_yr)</f>
        <v>643.668251721112</v>
      </c>
      <c r="I5597" s="30" t="n">
        <f aca="false">px*(1+bb_g)^(Sens!I5455-base_fy-mid_yr)</f>
        <v>695.161711858801</v>
      </c>
      <c r="J5597" s="30" t="n">
        <f aca="false">px*(1+bb_g)^(Sens!J5455-base_fy-mid_yr)</f>
        <v>750.774648807506</v>
      </c>
      <c r="K5597" s="30" t="n">
        <f aca="false">px*(1+bb_g)^(Sens!K5455-base_fy-mid_yr)</f>
        <v>810.836620712106</v>
      </c>
    </row>
    <row r="5598" customFormat="false" ht="15" hidden="false" customHeight="false" outlineLevel="0" collapsed="false">
      <c r="A5598" s="1" t="s">
        <v>1129</v>
      </c>
      <c r="B5598" s="1" t="s">
        <v>81</v>
      </c>
      <c r="E5598" s="15" t="n">
        <f aca="false">sh_out26</f>
        <v>7.427</v>
      </c>
      <c r="F5598" s="15" t="n">
        <f aca="false">Sens!E5598+sh_iss-Sens!F5592/Sens!F5597</f>
        <v>7.46737558327366</v>
      </c>
      <c r="G5598" s="15" t="n">
        <f aca="false">Sens!F5598+sh_iss-Sens!G5592/Sens!G5597</f>
        <v>7.50966989366825</v>
      </c>
      <c r="H5598" s="15" t="n">
        <f aca="false">Sens!G5598+sh_iss-Sens!H5592/Sens!H5597</f>
        <v>7.52006977172585</v>
      </c>
      <c r="I5598" s="15" t="n">
        <f aca="false">Sens!H5598+sh_iss-Sens!I5592/Sens!I5597</f>
        <v>7.53303262177919</v>
      </c>
      <c r="J5598" s="15" t="n">
        <f aca="false">Sens!I5598+sh_iss-Sens!J5592/Sens!J5597</f>
        <v>7.54836859405079</v>
      </c>
      <c r="K5598" s="15" t="n">
        <f aca="false">Sens!J5598+sh_iss-Sens!K5592/Sens!K5597</f>
        <v>7.56590190170969</v>
      </c>
    </row>
    <row r="5599" customFormat="false" ht="15" hidden="false" customHeight="false" outlineLevel="0" collapsed="false">
      <c r="A5599" s="1" t="s">
        <v>1130</v>
      </c>
      <c r="B5599" s="1" t="s">
        <v>81</v>
      </c>
      <c r="E5599" s="15" t="n">
        <f aca="false">sh_dil26</f>
        <v>7.453</v>
      </c>
      <c r="F5599" s="15" t="n">
        <f aca="false">(Sens!E5598+Sens!F5598)/2+dil_gap</f>
        <v>7.47118779163683</v>
      </c>
      <c r="G5599" s="15" t="n">
        <f aca="false">(Sens!F5598+Sens!G5598)/2+dil_gap</f>
        <v>7.51252273847095</v>
      </c>
      <c r="H5599" s="15" t="n">
        <f aca="false">(Sens!G5598+Sens!H5598)/2+dil_gap</f>
        <v>7.53886983269705</v>
      </c>
      <c r="I5599" s="15" t="n">
        <f aca="false">(Sens!H5598+Sens!I5598)/2+dil_gap</f>
        <v>7.55055119675252</v>
      </c>
      <c r="J5599" s="15" t="n">
        <f aca="false">(Sens!I5598+Sens!J5598)/2+dil_gap</f>
        <v>7.56470060791499</v>
      </c>
      <c r="K5599" s="15" t="n">
        <f aca="false">(Sens!J5598+Sens!K5598)/2+dil_gap</f>
        <v>7.58113524788024</v>
      </c>
    </row>
    <row r="5600" customFormat="false" ht="17.15" hidden="false" customHeight="false" outlineLevel="0" collapsed="false">
      <c r="A5600" s="1" t="s">
        <v>1131</v>
      </c>
      <c r="B5600" s="0" t="s">
        <v>98</v>
      </c>
      <c r="C5600" s="6" t="n">
        <f aca="false">SUM(Sens!F5590:J5590)</f>
        <v>348.512927390955</v>
      </c>
    </row>
    <row r="5601" customFormat="false" ht="15" hidden="false" customHeight="false" outlineLevel="0" collapsed="false">
      <c r="A5601" s="26" t="s">
        <v>1096</v>
      </c>
      <c r="B5601" s="31" t="s">
        <v>98</v>
      </c>
      <c r="C5601" s="27" t="n">
        <f aca="false">Sens!$C$5600-(Sens!F5590+Sens!G5590+Sens!H5590+Sens!I5590+Sens!J5590)</f>
        <v>0</v>
      </c>
      <c r="D5601" s="31"/>
      <c r="E5601" s="31"/>
      <c r="F5601" s="31"/>
      <c r="G5601" s="31"/>
      <c r="H5601" s="31"/>
      <c r="I5601" s="31"/>
      <c r="J5601" s="31"/>
      <c r="K5601" s="31"/>
    </row>
    <row r="5602" customFormat="false" ht="17.15" hidden="false" customHeight="false" outlineLevel="0" collapsed="false">
      <c r="A5602" s="1" t="s">
        <v>1090</v>
      </c>
      <c r="B5602" s="1" t="s">
        <v>1132</v>
      </c>
      <c r="C5602" s="33" t="str">
        <f aca="false">IF(SUM(Sens!F5593:J5593)&gt;0.05,"需要舉債 "&amp;TEXT(SUM(Sens!F5593:J5593),"0.0")&amp;" 十億美元","不需舉債")&amp;"；"&amp;IF(SUM(Sens!F5592:J5592)&lt;COUNT(Sens!F5592:J5592)*bb_target-0.05,"回購較每年 "&amp;TEXT(bb_target,"0.0")&amp;" 的目標少 "&amp;TEXT(COUNT(Sens!F5592:J5592)*bb_target-SUM(Sens!F5592:J5592),"0.0")&amp;" 十億美元（"&amp;TEXT(COUNTIF(Sens!F5592:J5592,"&lt;"&amp;(bb_target-0.05)),"0")&amp;" 年減少）","回購不減")</f>
        <v>不需舉債；回購較每年 22.3 的目標少 40.4 十億美元（2 年減少）</v>
      </c>
    </row>
    <row r="5603" customFormat="false" ht="17.15" hidden="false" customHeight="false" outlineLevel="0" collapsed="false">
      <c r="A5603" s="3" t="s">
        <v>1619</v>
      </c>
    </row>
    <row r="5604" customFormat="false" ht="15" hidden="false" customHeight="false" outlineLevel="0" collapsed="false">
      <c r="A5604" s="4" t="s">
        <v>43</v>
      </c>
      <c r="B5604" s="4" t="s">
        <v>65</v>
      </c>
      <c r="C5604" s="23" t="s">
        <v>938</v>
      </c>
      <c r="D5604" s="23" t="s">
        <v>939</v>
      </c>
      <c r="E5604" s="23" t="s">
        <v>940</v>
      </c>
      <c r="F5604" s="23" t="s">
        <v>941</v>
      </c>
      <c r="G5604" s="23" t="s">
        <v>942</v>
      </c>
      <c r="H5604" s="23" t="s">
        <v>943</v>
      </c>
      <c r="I5604" s="23" t="s">
        <v>944</v>
      </c>
      <c r="J5604" s="23" t="s">
        <v>945</v>
      </c>
      <c r="K5604" s="23" t="s">
        <v>946</v>
      </c>
      <c r="L5604" s="4" t="s">
        <v>47</v>
      </c>
    </row>
    <row r="5605" customFormat="false" ht="17.15" hidden="false" customHeight="false" outlineLevel="0" collapsed="false">
      <c r="A5605" s="1" t="s">
        <v>1212</v>
      </c>
      <c r="B5605" s="1" t="s">
        <v>279</v>
      </c>
      <c r="F5605" s="8" t="n">
        <f aca="false">(1-v_off)*mid_yr</f>
        <v>0.373972602739726</v>
      </c>
      <c r="G5605" s="8" t="n">
        <f aca="false">Sens!G5455-base_fy-mid_yr-v_off</f>
        <v>1.24794520547945</v>
      </c>
      <c r="H5605" s="8" t="n">
        <f aca="false">Sens!H5455-base_fy-mid_yr-v_off</f>
        <v>2.24794520547945</v>
      </c>
      <c r="I5605" s="8" t="n">
        <f aca="false">Sens!I5455-base_fy-mid_yr-v_off</f>
        <v>3.24794520547945</v>
      </c>
      <c r="J5605" s="8" t="n">
        <f aca="false">Sens!J5455-base_fy-mid_yr-v_off</f>
        <v>4.24794520547945</v>
      </c>
      <c r="K5605" s="8" t="n">
        <f aca="false">Sens!K5455-base_fy-mid_yr-v_off</f>
        <v>5.24794520547945</v>
      </c>
      <c r="L5605" s="12" t="s">
        <v>1213</v>
      </c>
    </row>
    <row r="5606" customFormat="false" ht="15" hidden="false" customHeight="false" outlineLevel="0" collapsed="false">
      <c r="A5606" s="1" t="s">
        <v>1214</v>
      </c>
      <c r="B5606" s="1" t="s">
        <v>279</v>
      </c>
      <c r="F5606" s="8" t="n">
        <f aca="false">Sens!F5455-base_fy-v_off</f>
        <v>0.747945205479452</v>
      </c>
      <c r="G5606" s="8" t="n">
        <f aca="false">Sens!G5455-base_fy-v_off</f>
        <v>1.74794520547945</v>
      </c>
      <c r="H5606" s="8" t="n">
        <f aca="false">Sens!H5455-base_fy-v_off</f>
        <v>2.74794520547945</v>
      </c>
      <c r="I5606" s="8" t="n">
        <f aca="false">Sens!I5455-base_fy-v_off</f>
        <v>3.74794520547945</v>
      </c>
      <c r="J5606" s="8" t="n">
        <f aca="false">Sens!J5455-base_fy-v_off</f>
        <v>4.74794520547945</v>
      </c>
      <c r="K5606" s="8" t="n">
        <f aca="false">Sens!K5455-base_fy-v_off</f>
        <v>5.74794520547945</v>
      </c>
    </row>
    <row r="5607" customFormat="false" ht="15" hidden="false" customHeight="false" outlineLevel="0" collapsed="false">
      <c r="A5607" s="1" t="s">
        <v>1215</v>
      </c>
      <c r="B5607" s="0" t="s">
        <v>229</v>
      </c>
      <c r="F5607" s="15" t="n">
        <f aca="false">1/(1+wacc)^Sens!F5605</f>
        <v>0.964022703286649</v>
      </c>
      <c r="G5607" s="15" t="n">
        <f aca="false">1/(1+wacc)^Sens!G5605</f>
        <v>0.884910302296739</v>
      </c>
      <c r="H5607" s="15" t="n">
        <f aca="false">1/(1+wacc)^Sens!H5605</f>
        <v>0.802322009770358</v>
      </c>
      <c r="I5607" s="15" t="n">
        <f aca="false">1/(1+wacc)^Sens!I5605</f>
        <v>0.727441646561469</v>
      </c>
      <c r="J5607" s="15" t="n">
        <f aca="false">1/(1+wacc)^Sens!J5605</f>
        <v>0.659549834988973</v>
      </c>
      <c r="K5607" s="15" t="n">
        <f aca="false">1/(1+wacc)^Sens!K5605</f>
        <v>0.597994336576966</v>
      </c>
    </row>
    <row r="5608" customFormat="false" ht="17.15" hidden="false" customHeight="false" outlineLevel="0" collapsed="false">
      <c r="A5608" s="1" t="s">
        <v>1216</v>
      </c>
      <c r="B5608" s="0" t="s">
        <v>98</v>
      </c>
      <c r="F5608" s="6" t="n">
        <f aca="false">Q!$I$35-Q!$I$39-Q!$I$43</f>
        <v>9.666</v>
      </c>
      <c r="L5608" s="12" t="s">
        <v>1217</v>
      </c>
    </row>
    <row r="5609" customFormat="false" ht="17.15" hidden="false" customHeight="false" outlineLevel="0" collapsed="false">
      <c r="A5609" s="1" t="s">
        <v>1218</v>
      </c>
      <c r="B5609" s="0" t="s">
        <v>98</v>
      </c>
      <c r="F5609" s="6" t="n">
        <f aca="false">Sens!F5580-Sens!F5577-Sens!F5584+Sens!F5562*(1-tax_f)*(1-v_off)-Sens!F5608</f>
        <v>-1.71330765695019</v>
      </c>
      <c r="G5609" s="6" t="n">
        <f aca="false">Sens!G5580-Sens!G5577-Sens!G5584+Sens!G5562*(1-tax_f)</f>
        <v>36.9997910557909</v>
      </c>
      <c r="H5609" s="6" t="n">
        <f aca="false">Sens!H5580-Sens!H5577-Sens!H5584+Sens!H5562*(1-tax_f)</f>
        <v>95.80817388314</v>
      </c>
      <c r="I5609" s="6" t="n">
        <f aca="false">Sens!I5580-Sens!I5577-Sens!I5584+Sens!I5562*(1-tax_f)</f>
        <v>177.670489210607</v>
      </c>
      <c r="J5609" s="6" t="n">
        <f aca="false">Sens!J5580-Sens!J5577-Sens!J5584+Sens!J5562*(1-tax_f)</f>
        <v>258.512037713571</v>
      </c>
      <c r="K5609" s="6" t="n">
        <f aca="false">Sens!K5580-Sens!K5577-Sens!K5584+Sens!K5562*(1-tax_f)</f>
        <v>297.924941943581</v>
      </c>
      <c r="L5609" s="1" t="s">
        <v>1219</v>
      </c>
    </row>
    <row r="5610" customFormat="false" ht="15" hidden="false" customHeight="false" outlineLevel="0" collapsed="false">
      <c r="A5610" s="1" t="s">
        <v>1220</v>
      </c>
      <c r="B5610" s="0" t="s">
        <v>98</v>
      </c>
      <c r="F5610" s="6" t="n">
        <f aca="false">Sens!F5609*Sens!F5607</f>
        <v>-1.65166747901483</v>
      </c>
      <c r="G5610" s="6" t="n">
        <f aca="false">Sens!G5609*Sens!G5607</f>
        <v>32.7414962880961</v>
      </c>
      <c r="H5610" s="6" t="n">
        <f aca="false">Sens!H5609*Sens!H5607</f>
        <v>76.8690066223488</v>
      </c>
      <c r="I5610" s="6" t="n">
        <f aca="false">Sens!I5609*Sens!I5607</f>
        <v>129.244913216745</v>
      </c>
      <c r="J5610" s="6" t="n">
        <f aca="false">Sens!J5609*Sens!J5607</f>
        <v>170.501571816649</v>
      </c>
      <c r="K5610" s="6" t="n">
        <f aca="false">Sens!K5609*Sens!K5607</f>
        <v>178.157428007282</v>
      </c>
    </row>
    <row r="5611" customFormat="false" ht="17.15" hidden="false" customHeight="false" outlineLevel="0" collapsed="false">
      <c r="A5611" s="1" t="s">
        <v>1221</v>
      </c>
      <c r="B5611" s="0" t="s">
        <v>98</v>
      </c>
      <c r="C5611" s="6" t="n">
        <f aca="false">SUM(Sens!F5610:K5610)</f>
        <v>585.862748472106</v>
      </c>
    </row>
    <row r="5612" customFormat="false" ht="17.15" hidden="false" customHeight="false" outlineLevel="0" collapsed="false">
      <c r="A5612" s="1" t="s">
        <v>1222</v>
      </c>
      <c r="B5612" s="0" t="s">
        <v>98</v>
      </c>
      <c r="C5612" s="6" t="n">
        <f aca="false">Sens!K5548*(1+g_tv)*(1-tax_f)</f>
        <v>310.648529022911</v>
      </c>
    </row>
    <row r="5613" customFormat="false" ht="17.15" hidden="false" customHeight="false" outlineLevel="0" collapsed="false">
      <c r="A5613" s="1" t="s">
        <v>1223</v>
      </c>
      <c r="B5613" s="0" t="s">
        <v>98</v>
      </c>
      <c r="C5613" s="6" t="n">
        <f aca="false">Sens!$C$5612*(1-g_tv/(wacc+ronic_prem))</f>
        <v>220.112639063113</v>
      </c>
    </row>
    <row r="5614" customFormat="false" ht="17.15" hidden="false" customHeight="false" outlineLevel="0" collapsed="false">
      <c r="A5614" s="1" t="s">
        <v>1224</v>
      </c>
      <c r="B5614" s="0" t="s">
        <v>98</v>
      </c>
      <c r="C5614" s="6" t="n">
        <f aca="false">Sens!$C$5613/(wacc-g_tv)</f>
        <v>3017.86299865993</v>
      </c>
    </row>
    <row r="5615" customFormat="false" ht="15" hidden="false" customHeight="false" outlineLevel="0" collapsed="false">
      <c r="A5615" s="1" t="s">
        <v>1225</v>
      </c>
      <c r="B5615" s="0" t="s">
        <v>98</v>
      </c>
      <c r="C5615" s="6" t="n">
        <f aca="false">Sens!$C$5614/(1+wacc)^Sens!K5606</f>
        <v>1718.38834610866</v>
      </c>
    </row>
    <row r="5616" customFormat="false" ht="17.15" hidden="false" customHeight="false" outlineLevel="0" collapsed="false">
      <c r="A5616" s="0" t="s">
        <v>1226</v>
      </c>
      <c r="B5616" s="0" t="s">
        <v>98</v>
      </c>
      <c r="C5616" s="6" t="n">
        <f aca="false">Sens!$C$5611+Sens!$C$5615</f>
        <v>2304.25109458076</v>
      </c>
    </row>
    <row r="5617" customFormat="false" ht="15" hidden="false" customHeight="false" outlineLevel="0" collapsed="false">
      <c r="A5617" s="1" t="s">
        <v>1141</v>
      </c>
      <c r="B5617" s="0" t="s">
        <v>168</v>
      </c>
      <c r="C5617" s="7" t="n">
        <f aca="false">Sens!$C$5615/Sens!$C$5616</f>
        <v>0.745747002203899</v>
      </c>
    </row>
    <row r="5618" customFormat="false" ht="17.15" hidden="false" customHeight="false" outlineLevel="0" collapsed="false">
      <c r="A5618" s="1" t="s">
        <v>1227</v>
      </c>
      <c r="B5618" s="0" t="s">
        <v>98</v>
      </c>
      <c r="C5618" s="6" t="n">
        <f aca="false">Sens!$C$5616+cash_val-debt_val-fl_val+oai_v</f>
        <v>2420.10209458076</v>
      </c>
    </row>
    <row r="5619" customFormat="false" ht="17.15" hidden="false" customHeight="false" outlineLevel="0" collapsed="false">
      <c r="A5619" s="0" t="s">
        <v>1149</v>
      </c>
      <c r="B5619" s="0" t="s">
        <v>75</v>
      </c>
      <c r="C5619" s="5" t="n">
        <f aca="false">Sens!$C$5618/shd_val</f>
        <v>325.020426347134</v>
      </c>
    </row>
    <row r="5620" customFormat="false" ht="15" hidden="false" customHeight="false" outlineLevel="0" collapsed="false">
      <c r="A5620" s="1" t="s">
        <v>1228</v>
      </c>
      <c r="B5620" s="0" t="s">
        <v>75</v>
      </c>
      <c r="C5620" s="8" t="n">
        <f aca="false">div_rem27+Sens!G5588*roll_div_q/q_per_yr</f>
        <v>3.9795</v>
      </c>
    </row>
    <row r="5621" customFormat="false" ht="17.15" hidden="false" customHeight="false" outlineLevel="0" collapsed="false">
      <c r="A5621" s="0" t="s">
        <v>1229</v>
      </c>
      <c r="B5621" s="0" t="s">
        <v>75</v>
      </c>
      <c r="C5621" s="5" t="n">
        <f aca="false">Sens!$C$5619*(1+wacc)^t_roll-Sens!$C$5620</f>
        <v>357.298843516591</v>
      </c>
    </row>
    <row r="5622" customFormat="false" ht="17.15" hidden="false" customHeight="false" outlineLevel="0" collapsed="false">
      <c r="A5622" s="1" t="s">
        <v>1230</v>
      </c>
      <c r="B5622" s="0" t="s">
        <v>168</v>
      </c>
      <c r="F5622" s="7" t="n">
        <f aca="false">Sens!F5574/(Sens!F5519-Sens!F5474)</f>
        <v>0.0685105240122877</v>
      </c>
      <c r="G5622" s="7" t="n">
        <f aca="false">Sens!G5574/(Sens!G5519-Sens!G5474)</f>
        <v>0.0653273847393704</v>
      </c>
      <c r="H5622" s="7" t="n">
        <f aca="false">Sens!H5574/(Sens!H5519-Sens!H5474)</f>
        <v>0.0636439050908652</v>
      </c>
      <c r="I5622" s="7" t="n">
        <f aca="false">Sens!I5574/(Sens!I5519-Sens!I5474)</f>
        <v>0.0633475384122555</v>
      </c>
      <c r="J5622" s="7" t="n">
        <f aca="false">Sens!J5574/(Sens!J5519-Sens!J5474)</f>
        <v>0.064083885031923</v>
      </c>
      <c r="K5622" s="7" t="n">
        <f aca="false">Sens!K5574/(Sens!K5519-Sens!K5474)</f>
        <v>0.0653990412717578</v>
      </c>
    </row>
    <row r="5623" customFormat="false" ht="17.15" hidden="false" customHeight="false" outlineLevel="0" collapsed="false">
      <c r="A5623" s="0" t="s">
        <v>1231</v>
      </c>
      <c r="B5623" s="0" t="s">
        <v>98</v>
      </c>
      <c r="F5623" s="6" t="n">
        <f aca="false">Sens!F5504*(al_m365+Sens!F5622+sbc_r)</f>
        <v>84.5163372780772</v>
      </c>
      <c r="G5623" s="6" t="n">
        <f aca="false">Sens!G5504*(al_m365+Sens!G5622+sbc_r)</f>
        <v>98.9458452631203</v>
      </c>
      <c r="H5623" s="6" t="n">
        <f aca="false">Sens!H5504*(al_m365+Sens!H5622+sbc_r)</f>
        <v>113.540660369327</v>
      </c>
      <c r="I5623" s="6" t="n">
        <f aca="false">Sens!I5504*(al_m365+Sens!I5622+sbc_r)</f>
        <v>126.618678433179</v>
      </c>
      <c r="J5623" s="6" t="n">
        <f aca="false">Sens!J5504*(al_m365+Sens!J5622+sbc_r)</f>
        <v>137.993969550014</v>
      </c>
      <c r="K5623" s="6" t="n">
        <f aca="false">Sens!K5504*(al_m365+Sens!K5622+sbc_r)</f>
        <v>148.98982146457</v>
      </c>
      <c r="L5623" s="12" t="s">
        <v>1232</v>
      </c>
    </row>
    <row r="5624" customFormat="false" ht="17.15" hidden="false" customHeight="false" outlineLevel="0" collapsed="false">
      <c r="A5624" s="0" t="s">
        <v>1233</v>
      </c>
      <c r="B5624" s="0" t="s">
        <v>98</v>
      </c>
      <c r="F5624" s="6" t="n">
        <f aca="false">Sens!F5505*(al_lic+Sens!F5622+sbc_r)</f>
        <v>32.8535800917799</v>
      </c>
      <c r="G5624" s="6" t="n">
        <f aca="false">Sens!G5505*(al_lic+Sens!G5622+sbc_r)</f>
        <v>34.1173824148869</v>
      </c>
      <c r="H5624" s="6" t="n">
        <f aca="false">Sens!H5505*(al_lic+Sens!H5622+sbc_r)</f>
        <v>35.3016436632047</v>
      </c>
      <c r="I5624" s="6" t="n">
        <f aca="false">Sens!I5505*(al_lic+Sens!I5622+sbc_r)</f>
        <v>36.3893946875795</v>
      </c>
      <c r="J5624" s="6" t="n">
        <f aca="false">Sens!J5505*(al_lic+Sens!J5622+sbc_r)</f>
        <v>37.3527589488205</v>
      </c>
      <c r="K5624" s="6" t="n">
        <f aca="false">Sens!K5505*(al_lic+Sens!K5622+sbc_r)</f>
        <v>38.1586622562712</v>
      </c>
    </row>
    <row r="5625" customFormat="false" ht="17.15" hidden="false" customHeight="false" outlineLevel="0" collapsed="false">
      <c r="A5625" s="0" t="s">
        <v>1234</v>
      </c>
      <c r="B5625" s="0" t="s">
        <v>98</v>
      </c>
      <c r="F5625" s="6" t="n">
        <f aca="false">Sens!F5507*(al_ind+Sens!F5622+sbc_r)</f>
        <v>9.05798359044685</v>
      </c>
      <c r="G5625" s="6" t="n">
        <f aca="false">Sens!G5507*(al_ind+Sens!G5622+sbc_r)</f>
        <v>9.82384796480674</v>
      </c>
      <c r="H5625" s="6" t="n">
        <f aca="false">Sens!H5507*(al_ind+Sens!H5622+sbc_r)</f>
        <v>10.6372374290456</v>
      </c>
      <c r="I5625" s="6" t="n">
        <f aca="false">Sens!I5507*(al_ind+Sens!I5622+sbc_r)</f>
        <v>11.4963290884251</v>
      </c>
      <c r="J5625" s="6" t="n">
        <f aca="false">Sens!J5507*(al_ind+Sens!J5622+sbc_r)</f>
        <v>12.3902576837471</v>
      </c>
      <c r="K5625" s="6" t="n">
        <f aca="false">Sens!K5507*(al_ind+Sens!K5622+sbc_r)</f>
        <v>13.3010059572272</v>
      </c>
    </row>
    <row r="5626" customFormat="false" ht="17.15" hidden="false" customHeight="false" outlineLevel="0" collapsed="false">
      <c r="A5626" s="0" t="s">
        <v>1235</v>
      </c>
      <c r="B5626" s="0" t="s">
        <v>98</v>
      </c>
      <c r="F5626" s="6" t="n">
        <f aca="false">Sens!F5509*(al_fro+Sens!F5622+sbc_r)</f>
        <v>3.55307497090379</v>
      </c>
      <c r="G5626" s="6" t="n">
        <f aca="false">Sens!G5509*(al_fro+Sens!G5622+sbc_r)</f>
        <v>3.75889214839611</v>
      </c>
      <c r="H5626" s="6" t="n">
        <f aca="false">Sens!H5509*(al_fro+Sens!H5622+sbc_r)</f>
        <v>3.99478190315881</v>
      </c>
      <c r="I5626" s="6" t="n">
        <f aca="false">Sens!I5509*(al_fro+Sens!I5622+sbc_r)</f>
        <v>4.26385023714199</v>
      </c>
      <c r="J5626" s="6" t="n">
        <f aca="false">Sens!J5509*(al_fro+Sens!J5622+sbc_r)</f>
        <v>4.56673965421541</v>
      </c>
      <c r="K5626" s="6" t="n">
        <f aca="false">Sens!K5509*(al_fro+Sens!K5622+sbc_r)</f>
        <v>4.90241873060503</v>
      </c>
    </row>
    <row r="5627" customFormat="false" ht="17.15" hidden="false" customHeight="false" outlineLevel="0" collapsed="false">
      <c r="A5627" s="0" t="s">
        <v>1236</v>
      </c>
      <c r="B5627" s="0" t="s">
        <v>98</v>
      </c>
      <c r="F5627" s="6" t="n">
        <f aca="false">Sens!F5512*(al_srch+Sens!F5622+sbc_r)</f>
        <v>11.1860851660549</v>
      </c>
      <c r="G5627" s="6" t="n">
        <f aca="false">Sens!G5512*(al_srch+Sens!G5622+sbc_r)</f>
        <v>12.2463523506478</v>
      </c>
      <c r="H5627" s="6" t="n">
        <f aca="false">Sens!H5512*(al_srch+Sens!H5622+sbc_r)</f>
        <v>13.3546550711442</v>
      </c>
      <c r="I5627" s="6" t="n">
        <f aca="false">Sens!I5512*(al_srch+Sens!I5622+sbc_r)</f>
        <v>14.502032013411</v>
      </c>
      <c r="J5627" s="6" t="n">
        <f aca="false">Sens!J5512*(al_srch+Sens!J5622+sbc_r)</f>
        <v>15.6671396615336</v>
      </c>
      <c r="K5627" s="6" t="n">
        <f aca="false">Sens!K5512*(al_srch+Sens!K5622+sbc_r)</f>
        <v>16.8187557748797</v>
      </c>
    </row>
    <row r="5628" customFormat="false" ht="17.15" hidden="false" customHeight="false" outlineLevel="0" collapsed="false">
      <c r="A5628" s="0" t="s">
        <v>1237</v>
      </c>
      <c r="B5628" s="0" t="s">
        <v>98</v>
      </c>
      <c r="F5628" s="6" t="n">
        <f aca="false">Sens!F5480-Sens!F5481+Sens!F5562</f>
        <v>44.4132155685614</v>
      </c>
      <c r="G5628" s="6" t="n">
        <f aca="false">Sens!G5480-Sens!G5481+Sens!G5562</f>
        <v>88.8458537828471</v>
      </c>
      <c r="H5628" s="6" t="n">
        <f aca="false">Sens!H5480-Sens!H5481+Sens!H5562</f>
        <v>140.901579255088</v>
      </c>
      <c r="I5628" s="6" t="n">
        <f aca="false">Sens!I5480-Sens!I5481+Sens!I5562</f>
        <v>182.064151150499</v>
      </c>
      <c r="J5628" s="6" t="n">
        <f aca="false">Sens!J5480-Sens!J5481+Sens!J5562</f>
        <v>210.811174240601</v>
      </c>
      <c r="K5628" s="6" t="n">
        <f aca="false">Sens!K5480-Sens!K5481+Sens!K5562</f>
        <v>227.601914314016</v>
      </c>
    </row>
    <row r="5629" customFormat="false" ht="17.15" hidden="false" customHeight="false" outlineLevel="0" collapsed="false">
      <c r="A5629" s="0" t="s">
        <v>1238</v>
      </c>
      <c r="B5629" s="0" t="s">
        <v>98</v>
      </c>
      <c r="F5629" s="6" t="n">
        <f aca="false">Sens!F5541+Sens!F5562+Sens!F5492+Sens!F5622*(Sens!F5511-Sens!F5474)+sbc_r*Sens!F5511</f>
        <v>240.062096362291</v>
      </c>
      <c r="G5629" s="6" t="n">
        <f aca="false">Sens!G5541+Sens!G5562+Sens!G5492+Sens!G5622*(Sens!G5511-Sens!G5474)+sbc_r*Sens!G5511</f>
        <v>309.757510833262</v>
      </c>
      <c r="H5629" s="6" t="n">
        <f aca="false">Sens!H5541+Sens!H5562+Sens!H5492+Sens!H5622*(Sens!H5511-Sens!H5474)+sbc_r*Sens!H5511</f>
        <v>391.824340545953</v>
      </c>
      <c r="I5629" s="6" t="n">
        <f aca="false">Sens!I5541+Sens!I5562+Sens!I5492+Sens!I5622*(Sens!I5511-Sens!I5474)+sbc_r*Sens!I5511</f>
        <v>460.909511044088</v>
      </c>
      <c r="J5629" s="6" t="n">
        <f aca="false">Sens!J5541+Sens!J5562+Sens!J5492+Sens!J5622*(Sens!J5511-Sens!J5474)+sbc_r*Sens!J5511</f>
        <v>514.607517859093</v>
      </c>
      <c r="K5629" s="6" t="n">
        <f aca="false">Sens!K5541+Sens!K5562+Sens!K5492+Sens!K5622*(Sens!K5511-Sens!K5474)+sbc_r*Sens!K5511</f>
        <v>553.912066913492</v>
      </c>
    </row>
    <row r="5630" customFormat="false" ht="17.15" hidden="false" customHeight="false" outlineLevel="0" collapsed="false">
      <c r="A5630" s="0" t="s">
        <v>1239</v>
      </c>
      <c r="B5630" s="0" t="s">
        <v>98</v>
      </c>
      <c r="F5630" s="6" t="n">
        <f aca="false">Sens!F5629-Sens!F5623-Sens!F5624-Sens!F5625-Sens!F5626-Sens!F5628</f>
        <v>65.6679048625214</v>
      </c>
      <c r="G5630" s="6" t="n">
        <f aca="false">Sens!G5629-Sens!G5623-Sens!G5624-Sens!G5625-Sens!G5626-Sens!G5628</f>
        <v>74.265689259205</v>
      </c>
      <c r="H5630" s="6" t="n">
        <f aca="false">Sens!H5629-Sens!H5623-Sens!H5624-Sens!H5625-Sens!H5626-Sens!H5628</f>
        <v>87.4484379261288</v>
      </c>
      <c r="I5630" s="6" t="n">
        <f aca="false">Sens!I5629-Sens!I5623-Sens!I5624-Sens!I5625-Sens!I5626-Sens!I5628</f>
        <v>100.077107447264</v>
      </c>
      <c r="J5630" s="6" t="n">
        <f aca="false">Sens!J5629-Sens!J5623-Sens!J5624-Sens!J5625-Sens!J5626-Sens!J5628</f>
        <v>111.492617781695</v>
      </c>
      <c r="K5630" s="6" t="n">
        <f aca="false">Sens!K5629-Sens!K5623-Sens!K5624-Sens!K5625-Sens!K5626-Sens!K5628</f>
        <v>120.958244190803</v>
      </c>
    </row>
    <row r="5631" customFormat="false" ht="17.15" hidden="false" customHeight="false" outlineLevel="0" collapsed="false">
      <c r="A5631" s="0" t="s">
        <v>1240</v>
      </c>
      <c r="B5631" s="0" t="s">
        <v>98</v>
      </c>
      <c r="F5631" s="6" t="n">
        <f aca="false">Sens!F5543+Sens!F5622*Sens!F5518+sbc_r*Sens!F5518</f>
        <v>26.6266248542572</v>
      </c>
      <c r="G5631" s="6" t="n">
        <f aca="false">Sens!G5543+Sens!G5622*Sens!G5518+sbc_r*Sens!G5518</f>
        <v>26.4385523039552</v>
      </c>
      <c r="H5631" s="6" t="n">
        <f aca="false">Sens!H5543+Sens!H5622*Sens!H5518+sbc_r*Sens!H5518</f>
        <v>27.2955559362335</v>
      </c>
      <c r="I5631" s="6" t="n">
        <f aca="false">Sens!I5543+Sens!I5622*Sens!I5518+sbc_r*Sens!I5518</f>
        <v>28.3987903532115</v>
      </c>
      <c r="J5631" s="6" t="n">
        <f aca="false">Sens!J5543+Sens!J5622*Sens!J5518+sbc_r*Sens!J5518</f>
        <v>29.709075833495</v>
      </c>
      <c r="K5631" s="6" t="n">
        <f aca="false">Sens!K5543+Sens!K5622*Sens!K5518+sbc_r*Sens!K5518</f>
        <v>31.1819977456868</v>
      </c>
    </row>
    <row r="5632" customFormat="false" ht="17.15" hidden="false" customHeight="false" outlineLevel="0" collapsed="false">
      <c r="A5632" s="0" t="s">
        <v>1241</v>
      </c>
      <c r="B5632" s="0" t="s">
        <v>98</v>
      </c>
      <c r="F5632" s="6" t="n">
        <f aca="false">(Sens!F5631-Sens!F5627)*Sens!F5514/(Sens!F5514+Sens!F5516)</f>
        <v>8.72059321380994</v>
      </c>
      <c r="G5632" s="6" t="n">
        <f aca="false">(Sens!G5631-Sens!G5627)*Sens!G5514/(Sens!G5514+Sens!G5516)</f>
        <v>7.87779147855343</v>
      </c>
      <c r="H5632" s="6" t="n">
        <f aca="false">(Sens!H5631-Sens!H5627)*Sens!H5514/(Sens!H5514+Sens!H5516)</f>
        <v>7.63749349840021</v>
      </c>
      <c r="I5632" s="6" t="n">
        <f aca="false">(Sens!I5631-Sens!I5627)*Sens!I5514/(Sens!I5514+Sens!I5516)</f>
        <v>7.54685768105696</v>
      </c>
      <c r="J5632" s="6" t="n">
        <f aca="false">(Sens!J5631-Sens!J5627)*Sens!J5514/(Sens!J5514+Sens!J5516)</f>
        <v>7.5924282699831</v>
      </c>
      <c r="K5632" s="6" t="n">
        <f aca="false">(Sens!K5631-Sens!K5627)*Sens!K5514/(Sens!K5514+Sens!K5516)</f>
        <v>7.76615724870735</v>
      </c>
    </row>
    <row r="5633" customFormat="false" ht="17.15" hidden="false" customHeight="false" outlineLevel="0" collapsed="false">
      <c r="A5633" s="0" t="s">
        <v>1242</v>
      </c>
      <c r="B5633" s="0" t="s">
        <v>98</v>
      </c>
      <c r="F5633" s="6" t="n">
        <f aca="false">Sens!F5631-Sens!F5627-Sens!F5632</f>
        <v>6.7199464743924</v>
      </c>
      <c r="G5633" s="6" t="n">
        <f aca="false">Sens!G5631-Sens!G5627-Sens!G5632</f>
        <v>6.3144084747539</v>
      </c>
      <c r="H5633" s="6" t="n">
        <f aca="false">Sens!H5631-Sens!H5627-Sens!H5632</f>
        <v>6.30340736668909</v>
      </c>
      <c r="I5633" s="6" t="n">
        <f aca="false">Sens!I5631-Sens!I5627-Sens!I5632</f>
        <v>6.34990065874359</v>
      </c>
      <c r="J5633" s="6" t="n">
        <f aca="false">Sens!J5631-Sens!J5627-Sens!J5632</f>
        <v>6.44950790197832</v>
      </c>
      <c r="K5633" s="6" t="n">
        <f aca="false">Sens!K5631-Sens!K5627-Sens!K5632</f>
        <v>6.59708472209982</v>
      </c>
    </row>
    <row r="5634" customFormat="false" ht="17.15" hidden="false" customHeight="false" outlineLevel="0" collapsed="false">
      <c r="A5634" s="0" t="s">
        <v>1243</v>
      </c>
      <c r="B5634" s="0" t="s">
        <v>98</v>
      </c>
      <c r="F5634" s="6" t="n">
        <f aca="false">Sens!F5628-tax_f*(Sens!F5628-Sens!F5492)-Sens!F5489</f>
        <v>-126.0074686916</v>
      </c>
      <c r="G5634" s="6" t="n">
        <f aca="false">Sens!G5628-tax_f*(Sens!G5628-Sens!G5492)-Sens!G5489</f>
        <v>-108.720894492311</v>
      </c>
      <c r="H5634" s="6" t="n">
        <f aca="false">Sens!H5628-tax_f*(Sens!H5628-Sens!H5492)-Sens!H5489</f>
        <v>-66.2647225281528</v>
      </c>
      <c r="I5634" s="6" t="n">
        <f aca="false">Sens!I5628-tax_f*(Sens!I5628-Sens!I5492)-Sens!I5489</f>
        <v>-0.117310762301543</v>
      </c>
      <c r="J5634" s="6" t="n">
        <f aca="false">Sens!J5628-tax_f*(Sens!J5628-Sens!J5492)-Sens!J5489</f>
        <v>66.1221428064599</v>
      </c>
      <c r="K5634" s="6" t="n">
        <f aca="false">Sens!K5628-tax_f*(Sens!K5628-Sens!K5492)-Sens!K5489</f>
        <v>91.7212122966666</v>
      </c>
    </row>
    <row r="5635" customFormat="false" ht="17.15" hidden="false" customHeight="false" outlineLevel="0" collapsed="false">
      <c r="A5635" s="0" t="s">
        <v>1244</v>
      </c>
      <c r="B5635" s="0" t="s">
        <v>98</v>
      </c>
      <c r="G5635" s="6" t="n">
        <f aca="false">Sens!G5634/(1+wacc)^(Sens!G5605-Sens!F5606)</f>
        <v>-103.523213428511</v>
      </c>
      <c r="H5635" s="6" t="n">
        <f aca="false">Sens!H5634/(1+wacc)^(Sens!H5605-Sens!F5606)</f>
        <v>-57.2079738020714</v>
      </c>
      <c r="I5635" s="6" t="n">
        <f aca="false">Sens!I5634/(1+wacc)^(Sens!I5605-Sens!F5606)</f>
        <v>-0.0918251178068608</v>
      </c>
      <c r="J5635" s="6" t="n">
        <f aca="false">Sens!J5634/(1+wacc)^(Sens!J5605-Sens!F5606)</f>
        <v>46.9266996526459</v>
      </c>
      <c r="K5635" s="6" t="n">
        <f aca="false">Sens!K5634/(1+wacc)^(Sens!K5605-Sens!F5606)</f>
        <v>59.019066140535</v>
      </c>
      <c r="L5635" s="1" t="s">
        <v>1245</v>
      </c>
    </row>
    <row r="5636" customFormat="false" ht="17.15" hidden="false" customHeight="false" outlineLevel="0" collapsed="false">
      <c r="A5636" s="0" t="s">
        <v>1246</v>
      </c>
      <c r="B5636" s="0" t="s">
        <v>98</v>
      </c>
      <c r="C5636" s="6" t="n">
        <f aca="false">(Sens!K5628-Sens!K5492)*(1-tax_f)*(1+g_tv)*(1-g_tv/(wacc+ronic_prem))/(wacc-g_tv)/(1+wacc)^(Sens!K5606-Sens!F5606)</f>
        <v>414.877471469984</v>
      </c>
    </row>
    <row r="5637" customFormat="false" ht="17.15" hidden="false" customHeight="false" outlineLevel="0" collapsed="false">
      <c r="A5637" s="1" t="s">
        <v>1247</v>
      </c>
      <c r="B5637" s="0" t="s">
        <v>98</v>
      </c>
      <c r="C5637" s="6" t="n">
        <f aca="false">(SUM(Sens!G5635:K5635)+Sens!$C$5636)*(1+wacc)^(t_roll-Sens!F5606)</f>
        <v>371.884921060702</v>
      </c>
      <c r="L5637" s="12" t="s">
        <v>1248</v>
      </c>
    </row>
    <row r="5638" customFormat="false" ht="17.15" hidden="false" customHeight="false" outlineLevel="0" collapsed="false">
      <c r="A5638" s="1" t="s">
        <v>1249</v>
      </c>
      <c r="B5638" s="0" t="s">
        <v>98</v>
      </c>
      <c r="C5638" s="6" t="n">
        <f aca="false">(w_ntm28*Sens!G5480+(1-w_ntm28)*Sens!H5480)*m_ai</f>
        <v>546.963428789364</v>
      </c>
    </row>
    <row r="5639" customFormat="false" ht="17.15" hidden="false" customHeight="false" outlineLevel="0" collapsed="false">
      <c r="A5639" s="1" t="s">
        <v>1250</v>
      </c>
      <c r="B5639" s="0" t="s">
        <v>98</v>
      </c>
      <c r="C5639" s="6" t="n">
        <f aca="false">(w_ntm28*Sens!G5630+(1-w_ntm28)*Sens!H5630)*m_cloud</f>
        <v>1086.24845676557</v>
      </c>
    </row>
    <row r="5640" customFormat="false" ht="17.15" hidden="false" customHeight="false" outlineLevel="0" collapsed="false">
      <c r="A5640" s="1" t="s">
        <v>1251</v>
      </c>
      <c r="B5640" s="0" t="s">
        <v>98</v>
      </c>
      <c r="C5640" s="6" t="n">
        <f aca="false">(w_ntm28*Sens!G5623+(1-w_ntm28)*Sens!H5623)*m_sw</f>
        <v>1120.43671891744</v>
      </c>
    </row>
    <row r="5641" customFormat="false" ht="17.15" hidden="false" customHeight="false" outlineLevel="0" collapsed="false">
      <c r="A5641" s="1" t="s">
        <v>1252</v>
      </c>
      <c r="B5641" s="0" t="s">
        <v>98</v>
      </c>
      <c r="C5641" s="6" t="n">
        <f aca="false">(w_ntm28*Sens!G5624+(1-w_ntm28)*Sens!H5624)*m_sw</f>
        <v>372.672668650148</v>
      </c>
    </row>
    <row r="5642" customFormat="false" ht="17.15" hidden="false" customHeight="false" outlineLevel="0" collapsed="false">
      <c r="A5642" s="1" t="s">
        <v>1253</v>
      </c>
      <c r="B5642" s="0" t="s">
        <v>98</v>
      </c>
      <c r="C5642" s="6" t="n">
        <f aca="false">(w_ntm28*Sens!G5625+(1-w_ntm28)*Sens!H5625)*m_sw</f>
        <v>108.985647734032</v>
      </c>
    </row>
    <row r="5643" customFormat="false" ht="17.15" hidden="false" customHeight="false" outlineLevel="0" collapsed="false">
      <c r="A5643" s="1" t="s">
        <v>1254</v>
      </c>
      <c r="B5643" s="0" t="s">
        <v>98</v>
      </c>
      <c r="C5643" s="6" t="n">
        <f aca="false">(w_ntm28*Sens!G5626+(1-w_ntm28)*Sens!H5626)*m_sw</f>
        <v>41.4336054004108</v>
      </c>
    </row>
    <row r="5644" customFormat="false" ht="17.15" hidden="false" customHeight="false" outlineLevel="0" collapsed="false">
      <c r="A5644" s="1" t="s">
        <v>1255</v>
      </c>
      <c r="B5644" s="0" t="s">
        <v>98</v>
      </c>
      <c r="C5644" s="6" t="n">
        <f aca="false">(w_ntm28*Sens!G5627+(1-w_ntm28)*Sens!H5627)*m_ads</f>
        <v>114.883712473434</v>
      </c>
    </row>
    <row r="5645" customFormat="false" ht="17.15" hidden="false" customHeight="false" outlineLevel="0" collapsed="false">
      <c r="A5645" s="1" t="s">
        <v>1256</v>
      </c>
      <c r="B5645" s="0" t="s">
        <v>98</v>
      </c>
      <c r="C5645" s="6" t="n">
        <f aca="false">(w_ntm28*Sens!G5632+(1-w_ntm28)*Sens!H5632)*m_game</f>
        <v>98.498710158458</v>
      </c>
    </row>
    <row r="5646" customFormat="false" ht="17.15" hidden="false" customHeight="false" outlineLevel="0" collapsed="false">
      <c r="A5646" s="1" t="s">
        <v>1257</v>
      </c>
      <c r="B5646" s="0" t="s">
        <v>98</v>
      </c>
      <c r="C5646" s="6" t="n">
        <f aca="false">(w_ntm28*Sens!G5633+(1-w_ntm28)*Sens!H5633)*m_pc</f>
        <v>91.3171554953225</v>
      </c>
    </row>
    <row r="5647" customFormat="false" ht="17.15" hidden="false" customHeight="false" outlineLevel="0" collapsed="false">
      <c r="A5647" s="1" t="s">
        <v>1258</v>
      </c>
      <c r="B5647" s="0" t="s">
        <v>98</v>
      </c>
      <c r="C5647" s="6" t="n">
        <f aca="false">Sens!$C$5637+Sens!$C$5639+Sens!$C$5640+Sens!$C$5641+Sens!$C$5642+Sens!$C$5643+Sens!$C$5644+Sens!$C$5645+Sens!$C$5646</f>
        <v>3406.36159665552</v>
      </c>
    </row>
    <row r="5648" customFormat="false" ht="17.15" hidden="false" customHeight="false" outlineLevel="0" collapsed="false">
      <c r="A5648" s="1" t="s">
        <v>1259</v>
      </c>
      <c r="B5648" s="0" t="s">
        <v>98</v>
      </c>
      <c r="C5648" s="6" t="n">
        <f aca="false">(Sens!G5609-Sens!G5634)*t_stub</f>
        <v>48.307405346083</v>
      </c>
      <c r="L5648" s="1" t="s">
        <v>1260</v>
      </c>
    </row>
    <row r="5649" customFormat="false" ht="17.15" hidden="false" customHeight="false" outlineLevel="0" collapsed="false">
      <c r="A5649" s="1" t="s">
        <v>1169</v>
      </c>
      <c r="B5649" s="0" t="s">
        <v>98</v>
      </c>
      <c r="C5649" s="6" t="n">
        <f aca="false">Sens!F5596+oai_v-Sens!F5585+Sens!$C$5648</f>
        <v>162.535675346083</v>
      </c>
      <c r="L5649" s="1" t="s">
        <v>1261</v>
      </c>
    </row>
    <row r="5650" customFormat="false" ht="17.15" hidden="false" customHeight="false" outlineLevel="0" collapsed="false">
      <c r="A5650" s="1" t="s">
        <v>1262</v>
      </c>
      <c r="B5650" s="0" t="s">
        <v>75</v>
      </c>
      <c r="C5650" s="5" t="n">
        <f aca="false">(Sens!$C$5647+Sens!$C$5649)/(Sens!F5598+dil_gap)-Sens!G5588*roll_div_q/q_per_yr</f>
        <v>475.361293463091</v>
      </c>
      <c r="L5650" s="1" t="s">
        <v>1263</v>
      </c>
    </row>
    <row r="5651" customFormat="false" ht="17.15" hidden="false" customHeight="false" outlineLevel="0" collapsed="false">
      <c r="A5651" s="1" t="s">
        <v>1264</v>
      </c>
      <c r="B5651" s="0" t="s">
        <v>75</v>
      </c>
      <c r="C5651" s="5" t="n">
        <f aca="false">w_dcf*Sens!$C$5621+(1-w_dcf)*Sens!$C$5650</f>
        <v>416.330068489841</v>
      </c>
    </row>
    <row r="5652" customFormat="false" ht="17.15" hidden="false" customHeight="false" outlineLevel="0" collapsed="false">
      <c r="A5652" s="3" t="s">
        <v>1620</v>
      </c>
    </row>
    <row r="5653" customFormat="false" ht="15" hidden="false" customHeight="false" outlineLevel="0" collapsed="false">
      <c r="A5653" s="4" t="s">
        <v>43</v>
      </c>
      <c r="B5653" s="4" t="s">
        <v>65</v>
      </c>
      <c r="C5653" s="23" t="s">
        <v>938</v>
      </c>
      <c r="D5653" s="23" t="s">
        <v>939</v>
      </c>
      <c r="E5653" s="23" t="s">
        <v>940</v>
      </c>
      <c r="F5653" s="23" t="s">
        <v>941</v>
      </c>
      <c r="G5653" s="23" t="s">
        <v>942</v>
      </c>
      <c r="H5653" s="23" t="s">
        <v>943</v>
      </c>
      <c r="I5653" s="23" t="s">
        <v>944</v>
      </c>
      <c r="J5653" s="23" t="s">
        <v>945</v>
      </c>
      <c r="K5653" s="23" t="s">
        <v>946</v>
      </c>
      <c r="L5653" s="4" t="s">
        <v>47</v>
      </c>
    </row>
    <row r="5654" customFormat="false" ht="17.15" hidden="false" customHeight="false" outlineLevel="0" collapsed="false">
      <c r="A5654" s="1" t="s">
        <v>947</v>
      </c>
      <c r="B5654" s="1" t="s">
        <v>279</v>
      </c>
      <c r="C5654" s="21" t="n">
        <v>2024</v>
      </c>
      <c r="D5654" s="21" t="n">
        <v>2025</v>
      </c>
      <c r="E5654" s="21" t="n">
        <v>2026</v>
      </c>
      <c r="F5654" s="21" t="n">
        <v>2027</v>
      </c>
      <c r="G5654" s="21" t="n">
        <v>2028</v>
      </c>
      <c r="H5654" s="21" t="n">
        <v>2029</v>
      </c>
      <c r="I5654" s="21" t="n">
        <v>2030</v>
      </c>
      <c r="J5654" s="21" t="n">
        <v>2031</v>
      </c>
      <c r="K5654" s="21" t="n">
        <v>2032</v>
      </c>
    </row>
    <row r="5655" customFormat="false" ht="17.15" hidden="false" customHeight="false" outlineLevel="0" collapsed="false">
      <c r="A5655" s="1" t="s">
        <v>948</v>
      </c>
      <c r="B5655" s="0" t="s">
        <v>456</v>
      </c>
      <c r="F5655" s="30" t="n">
        <f aca="false">pace</f>
        <v>2726.5351</v>
      </c>
      <c r="G5655" s="30" t="n">
        <f aca="false">pace</f>
        <v>2726.5351</v>
      </c>
      <c r="H5655" s="30" t="n">
        <f aca="false">pace</f>
        <v>2726.5351</v>
      </c>
      <c r="I5655" s="30" t="n">
        <f aca="false">pace+(g_tv*Sens!H5656-pace)*MIN(1,(Sens!I5654-pace_y0)/(pace_y1-pace_y0))</f>
        <v>1931.98611966667</v>
      </c>
      <c r="J5655" s="30" t="n">
        <f aca="false">pace+(g_tv*Sens!I5656-pace)*MIN(1,(Sens!J5654-pace_y0)/(pace_y1-pace_y0))</f>
        <v>1176.07686172667</v>
      </c>
      <c r="K5655" s="30" t="n">
        <f aca="false">pace+(g_tv*Sens!J5656-pace)*MIN(1,(Sens!K5654-pace_y0)/(pace_y1-pace_y0))</f>
        <v>436.1300484418</v>
      </c>
      <c r="L5655" s="12" t="s">
        <v>949</v>
      </c>
    </row>
    <row r="5656" customFormat="false" ht="17.15" hidden="false" customHeight="false" outlineLevel="0" collapsed="false">
      <c r="A5656" s="1" t="s">
        <v>950</v>
      </c>
      <c r="B5656" s="0" t="s">
        <v>456</v>
      </c>
      <c r="C5656" s="30" t="n">
        <f aca="false">mw_ext_24</f>
        <v>640</v>
      </c>
      <c r="D5656" s="30" t="n">
        <f aca="false">mw_ext_25</f>
        <v>1630</v>
      </c>
      <c r="E5656" s="30" t="n">
        <f aca="false">mw_ext_26</f>
        <v>3250</v>
      </c>
      <c r="F5656" s="30" t="n">
        <f aca="false">Sens!E5656+Sens!F5655</f>
        <v>5976.5351</v>
      </c>
      <c r="G5656" s="30" t="n">
        <f aca="false">Sens!F5656+Sens!G5655</f>
        <v>8703.0702</v>
      </c>
      <c r="H5656" s="30" t="n">
        <f aca="false">Sens!G5656+Sens!H5655</f>
        <v>11429.6053</v>
      </c>
      <c r="I5656" s="30" t="n">
        <f aca="false">Sens!H5656+Sens!I5655</f>
        <v>13361.5914196667</v>
      </c>
      <c r="J5656" s="30" t="n">
        <f aca="false">Sens!I5656+Sens!J5655</f>
        <v>14537.6682813933</v>
      </c>
      <c r="K5656" s="30" t="n">
        <f aca="false">Sens!J5656+Sens!K5655</f>
        <v>14973.7983298351</v>
      </c>
      <c r="L5656" s="1" t="s">
        <v>951</v>
      </c>
    </row>
    <row r="5657" customFormat="false" ht="17.15" hidden="false" customHeight="false" outlineLevel="0" collapsed="false">
      <c r="A5657" s="1" t="s">
        <v>952</v>
      </c>
      <c r="B5657" s="0" t="s">
        <v>456</v>
      </c>
      <c r="C5657" s="30" t="n">
        <f aca="false">rent_ext_24</f>
        <v>150</v>
      </c>
      <c r="D5657" s="30" t="n">
        <f aca="false">rent_ext_25</f>
        <v>400</v>
      </c>
      <c r="E5657" s="30" t="n">
        <f aca="false">rent_ext_26</f>
        <v>550</v>
      </c>
      <c r="F5657" s="30" t="n">
        <f aca="false">rent_ext_f</f>
        <v>756</v>
      </c>
      <c r="G5657" s="30" t="n">
        <f aca="false">rent_ext_f</f>
        <v>756</v>
      </c>
      <c r="H5657" s="30" t="n">
        <f aca="false">rent_ext_f</f>
        <v>756</v>
      </c>
      <c r="I5657" s="30" t="n">
        <f aca="false">rent_ext_f</f>
        <v>756</v>
      </c>
      <c r="J5657" s="30" t="n">
        <f aca="false">rent_ext_f</f>
        <v>756</v>
      </c>
      <c r="K5657" s="30" t="n">
        <f aca="false">rent_ext_f</f>
        <v>756</v>
      </c>
      <c r="L5657" s="1" t="s">
        <v>953</v>
      </c>
    </row>
    <row r="5658" customFormat="false" ht="17.15" hidden="false" customHeight="false" outlineLevel="0" collapsed="false">
      <c r="A5658" s="1" t="s">
        <v>954</v>
      </c>
      <c r="B5658" s="0" t="s">
        <v>456</v>
      </c>
      <c r="C5658" s="30" t="n">
        <f aca="false">Sens!C5656-Sens!C5657</f>
        <v>490</v>
      </c>
      <c r="D5658" s="30" t="n">
        <f aca="false">Sens!D5656-Sens!D5657</f>
        <v>1230</v>
      </c>
      <c r="E5658" s="30" t="n">
        <f aca="false">Sens!E5656-Sens!E5657</f>
        <v>2700</v>
      </c>
      <c r="F5658" s="30" t="n">
        <f aca="false">Sens!F5656-Sens!F5657</f>
        <v>5220.5351</v>
      </c>
      <c r="G5658" s="30" t="n">
        <f aca="false">Sens!G5656-Sens!G5657</f>
        <v>7947.0702</v>
      </c>
      <c r="H5658" s="30" t="n">
        <f aca="false">Sens!H5656-Sens!H5657</f>
        <v>10673.6053</v>
      </c>
      <c r="I5658" s="30" t="n">
        <f aca="false">Sens!I5656-Sens!I5657</f>
        <v>12605.5914196667</v>
      </c>
      <c r="J5658" s="30" t="n">
        <f aca="false">Sens!J5656-Sens!J5657</f>
        <v>13781.6682813933</v>
      </c>
      <c r="K5658" s="30" t="n">
        <f aca="false">Sens!K5656-Sens!K5657</f>
        <v>14217.7983298351</v>
      </c>
    </row>
    <row r="5659" customFormat="false" ht="17.15" hidden="false" customHeight="false" outlineLevel="0" collapsed="false">
      <c r="A5659" s="1" t="s">
        <v>955</v>
      </c>
      <c r="B5659" s="0" t="s">
        <v>456</v>
      </c>
      <c r="C5659" s="30" t="n">
        <f aca="false">Sens!C5658/ext_sh</f>
        <v>816.666666666667</v>
      </c>
      <c r="D5659" s="30" t="n">
        <f aca="false">Sens!D5658/ext_sh</f>
        <v>2050</v>
      </c>
      <c r="E5659" s="30" t="n">
        <f aca="false">Sens!E5658/ext_sh</f>
        <v>4500</v>
      </c>
      <c r="F5659" s="30" t="n">
        <f aca="false">Sens!F5658/ext_sh</f>
        <v>8700.89183333333</v>
      </c>
      <c r="G5659" s="30" t="n">
        <f aca="false">Sens!G5658/ext_sh</f>
        <v>13245.117</v>
      </c>
      <c r="H5659" s="30" t="n">
        <f aca="false">Sens!H5658/ext_sh</f>
        <v>17789.3421666667</v>
      </c>
      <c r="I5659" s="30" t="n">
        <f aca="false">Sens!I5658/ext_sh</f>
        <v>21009.3190327778</v>
      </c>
      <c r="J5659" s="30" t="n">
        <f aca="false">Sens!J5658/ext_sh</f>
        <v>22969.4471356556</v>
      </c>
      <c r="K5659" s="30" t="n">
        <f aca="false">Sens!K5658/ext_sh</f>
        <v>23696.3305497252</v>
      </c>
      <c r="L5659" s="1" t="s">
        <v>956</v>
      </c>
    </row>
    <row r="5660" customFormat="false" ht="17.15" hidden="false" customHeight="false" outlineLevel="0" collapsed="false">
      <c r="A5660" s="1" t="s">
        <v>957</v>
      </c>
      <c r="B5660" s="0" t="s">
        <v>456</v>
      </c>
      <c r="C5660" s="30" t="n">
        <f aca="false">Sens!C5659-Sens!C5658</f>
        <v>326.666666666667</v>
      </c>
      <c r="D5660" s="30" t="n">
        <f aca="false">Sens!D5659-Sens!D5658</f>
        <v>820</v>
      </c>
      <c r="E5660" s="30" t="n">
        <f aca="false">Sens!E5659-Sens!E5658</f>
        <v>1800</v>
      </c>
      <c r="F5660" s="30" t="n">
        <f aca="false">Sens!F5659-Sens!F5658</f>
        <v>3480.35673333333</v>
      </c>
      <c r="G5660" s="30" t="n">
        <f aca="false">Sens!G5659-Sens!G5658</f>
        <v>5298.0468</v>
      </c>
      <c r="H5660" s="30" t="n">
        <f aca="false">Sens!H5659-Sens!H5658</f>
        <v>7115.73686666667</v>
      </c>
      <c r="I5660" s="30" t="n">
        <f aca="false">Sens!I5659-Sens!I5658</f>
        <v>8403.72761311111</v>
      </c>
      <c r="J5660" s="30" t="n">
        <f aca="false">Sens!J5659-Sens!J5658</f>
        <v>9187.77885426222</v>
      </c>
      <c r="K5660" s="30" t="n">
        <f aca="false">Sens!K5659-Sens!K5658</f>
        <v>9478.53221989009</v>
      </c>
    </row>
    <row r="5661" customFormat="false" ht="17.15" hidden="false" customHeight="false" outlineLevel="0" collapsed="false">
      <c r="A5661" s="1" t="s">
        <v>958</v>
      </c>
      <c r="B5661" s="0" t="s">
        <v>456</v>
      </c>
      <c r="C5661" s="30" t="n">
        <f aca="false">Sens!C5659</f>
        <v>816.666666666667</v>
      </c>
      <c r="D5661" s="30" t="n">
        <f aca="false">Sens!D5659-Sens!C5659</f>
        <v>1233.33333333333</v>
      </c>
      <c r="E5661" s="30" t="n">
        <f aca="false">Sens!E5659-Sens!D5659</f>
        <v>2450</v>
      </c>
      <c r="F5661" s="30" t="n">
        <f aca="false">Sens!F5659-Sens!E5659</f>
        <v>4200.89183333333</v>
      </c>
      <c r="G5661" s="30" t="n">
        <f aca="false">Sens!G5659-Sens!F5659</f>
        <v>4544.22516666667</v>
      </c>
      <c r="H5661" s="30" t="n">
        <f aca="false">Sens!H5659-Sens!G5659</f>
        <v>4544.22516666667</v>
      </c>
      <c r="I5661" s="30" t="n">
        <f aca="false">Sens!I5659-Sens!H5659</f>
        <v>3219.97686611111</v>
      </c>
      <c r="J5661" s="30" t="n">
        <f aca="false">Sens!J5659-Sens!I5659</f>
        <v>1960.12810287778</v>
      </c>
      <c r="K5661" s="30" t="n">
        <f aca="false">Sens!K5659-Sens!J5659</f>
        <v>726.883414069667</v>
      </c>
    </row>
    <row r="5662" customFormat="false" ht="17.15" hidden="false" customHeight="false" outlineLevel="0" collapsed="false">
      <c r="A5662" s="1" t="s">
        <v>959</v>
      </c>
      <c r="B5662" s="0" t="s">
        <v>456</v>
      </c>
      <c r="D5662" s="30" t="n">
        <f aca="false">Sens!D5656-Sens!C5656</f>
        <v>990</v>
      </c>
      <c r="E5662" s="30" t="n">
        <f aca="false">Sens!E5656-Sens!D5656</f>
        <v>1620</v>
      </c>
      <c r="F5662" s="30" t="n">
        <f aca="false">Sens!F5656-Sens!E5656</f>
        <v>2726.5351</v>
      </c>
      <c r="G5662" s="30" t="n">
        <f aca="false">Sens!G5656-Sens!F5656</f>
        <v>2726.5351</v>
      </c>
      <c r="H5662" s="30" t="n">
        <f aca="false">Sens!H5656-Sens!G5656</f>
        <v>2726.5351</v>
      </c>
      <c r="I5662" s="30" t="n">
        <f aca="false">Sens!I5656-Sens!H5656</f>
        <v>1931.98611966667</v>
      </c>
      <c r="J5662" s="30" t="n">
        <f aca="false">Sens!J5656-Sens!I5656</f>
        <v>1176.07686172667</v>
      </c>
      <c r="K5662" s="30" t="n">
        <f aca="false">Sens!K5656-Sens!J5656</f>
        <v>436.130048441799</v>
      </c>
    </row>
    <row r="5663" customFormat="false" ht="17.15" hidden="false" customHeight="false" outlineLevel="0" collapsed="false">
      <c r="A5663" s="1" t="s">
        <v>960</v>
      </c>
      <c r="B5663" s="0" t="s">
        <v>456</v>
      </c>
      <c r="F5663" s="30" t="n">
        <f aca="false">Sens!F5682*ext_sh</f>
        <v>0</v>
      </c>
      <c r="G5663" s="30" t="n">
        <f aca="false">Sens!G5682*ext_sh</f>
        <v>0</v>
      </c>
      <c r="H5663" s="30" t="n">
        <f aca="false">Sens!H5682*ext_sh</f>
        <v>0</v>
      </c>
      <c r="I5663" s="30" t="n">
        <f aca="false">Sens!I5682*ext_sh</f>
        <v>490</v>
      </c>
      <c r="J5663" s="30" t="n">
        <f aca="false">Sens!J5682*ext_sh</f>
        <v>740</v>
      </c>
      <c r="K5663" s="30" t="n">
        <f aca="false">Sens!K5682*ext_sh</f>
        <v>1470</v>
      </c>
      <c r="L5663" s="1" t="s">
        <v>961</v>
      </c>
    </row>
    <row r="5664" customFormat="false" ht="17.15" hidden="false" customHeight="false" outlineLevel="0" collapsed="false">
      <c r="A5664" s="1" t="s">
        <v>962</v>
      </c>
      <c r="B5664" s="0" t="s">
        <v>456</v>
      </c>
      <c r="C5664" s="30" t="n">
        <f aca="false">mix_h*Sens!C5656</f>
        <v>128</v>
      </c>
      <c r="D5664" s="30" t="n">
        <f aca="false">mix_h*Sens!D5656</f>
        <v>326</v>
      </c>
      <c r="E5664" s="30" t="n">
        <f aca="false">mix_h*Sens!E5656</f>
        <v>650</v>
      </c>
      <c r="F5664" s="30" t="n">
        <f aca="false">Sens!E5664-Sens!F5663*mix_h</f>
        <v>650</v>
      </c>
      <c r="G5664" s="30" t="n">
        <f aca="false">Sens!F5664-Sens!G5663*mix_h</f>
        <v>650</v>
      </c>
      <c r="H5664" s="30" t="n">
        <f aca="false">Sens!G5664-Sens!H5663*mix_h</f>
        <v>650</v>
      </c>
      <c r="I5664" s="30" t="n">
        <f aca="false">Sens!H5664-Sens!I5663*mix_h</f>
        <v>552</v>
      </c>
      <c r="J5664" s="30" t="n">
        <f aca="false">Sens!I5664-Sens!J5663*mix_h</f>
        <v>404</v>
      </c>
      <c r="K5664" s="30" t="n">
        <f aca="false">Sens!J5664-Sens!K5663*mix_h</f>
        <v>110</v>
      </c>
    </row>
    <row r="5665" customFormat="false" ht="17.15" hidden="false" customHeight="false" outlineLevel="0" collapsed="false">
      <c r="A5665" s="1" t="s">
        <v>963</v>
      </c>
      <c r="B5665" s="0" t="s">
        <v>456</v>
      </c>
      <c r="C5665" s="30" t="n">
        <f aca="false">mix_g2*Sens!C5656</f>
        <v>288</v>
      </c>
      <c r="D5665" s="30" t="n">
        <f aca="false">mix_g2*Sens!D5656</f>
        <v>733.5</v>
      </c>
      <c r="E5665" s="30" t="n">
        <f aca="false">mix_g2*Sens!E5656</f>
        <v>1462.5</v>
      </c>
      <c r="F5665" s="30" t="n">
        <f aca="false">Sens!E5665-Sens!F5663*mix_g2</f>
        <v>1462.5</v>
      </c>
      <c r="G5665" s="30" t="n">
        <f aca="false">Sens!F5665-Sens!G5663*mix_g2</f>
        <v>1462.5</v>
      </c>
      <c r="H5665" s="30" t="n">
        <f aca="false">Sens!G5665-Sens!H5663*mix_g2</f>
        <v>1462.5</v>
      </c>
      <c r="I5665" s="30" t="n">
        <f aca="false">Sens!H5665-Sens!I5663*mix_g2</f>
        <v>1242</v>
      </c>
      <c r="J5665" s="30" t="n">
        <f aca="false">Sens!I5665-Sens!J5663*mix_g2</f>
        <v>909</v>
      </c>
      <c r="K5665" s="30" t="n">
        <f aca="false">Sens!J5665-Sens!K5663*mix_g2</f>
        <v>247.5</v>
      </c>
    </row>
    <row r="5666" customFormat="false" ht="17.15" hidden="false" customHeight="false" outlineLevel="0" collapsed="false">
      <c r="A5666" s="1" t="s">
        <v>964</v>
      </c>
      <c r="B5666" s="0" t="s">
        <v>456</v>
      </c>
      <c r="C5666" s="30" t="n">
        <f aca="false">mix_g3*Sens!C5656</f>
        <v>224</v>
      </c>
      <c r="D5666" s="30" t="n">
        <f aca="false">mix_g3*Sens!D5656</f>
        <v>570.5</v>
      </c>
      <c r="E5666" s="30" t="n">
        <f aca="false">mix_g3*Sens!E5656</f>
        <v>1137.5</v>
      </c>
      <c r="F5666" s="30" t="n">
        <f aca="false">Sens!E5666+(Sens!F5662+Sens!F5663)*(a_g3_27-nonnv*a_mai)-Sens!F5663*mix_g3</f>
        <v>2773.42106</v>
      </c>
      <c r="G5666" s="30" t="n">
        <f aca="false">Sens!F5666+(Sens!G5662+Sens!G5663)*(a_g3_28-nonnv*a_mai)-Sens!G5663*mix_g3</f>
        <v>3318.72808</v>
      </c>
      <c r="H5666" s="30" t="n">
        <f aca="false">Sens!G5666+(Sens!H5662+Sens!H5663)*(a_g3_29-nonnv*a_mai)-Sens!H5663*mix_g3</f>
        <v>3318.72808</v>
      </c>
      <c r="I5666" s="30" t="n">
        <f aca="false">Sens!H5666+(Sens!I5662+Sens!I5663)*(a_g3_29-nonnv*a_mai)-Sens!I5663*mix_g3</f>
        <v>3147.22808</v>
      </c>
      <c r="J5666" s="30" t="n">
        <f aca="false">Sens!I5666+(Sens!J5662+Sens!J5663)*(a_g3_29-nonnv*a_mai)-Sens!J5663*mix_g3</f>
        <v>2888.22808</v>
      </c>
      <c r="K5666" s="30" t="n">
        <f aca="false">Sens!J5666+(Sens!K5662+Sens!K5663)*(a_g3_29-nonnv*a_mai)-Sens!K5663*mix_g3</f>
        <v>2373.72808</v>
      </c>
    </row>
    <row r="5667" customFormat="false" ht="17.15" hidden="false" customHeight="false" outlineLevel="0" collapsed="false">
      <c r="A5667" s="1" t="s">
        <v>965</v>
      </c>
      <c r="B5667" s="0" t="s">
        <v>456</v>
      </c>
      <c r="C5667" s="30" t="n">
        <v>0</v>
      </c>
      <c r="D5667" s="30" t="n">
        <v>0</v>
      </c>
      <c r="E5667" s="30" t="n">
        <v>0</v>
      </c>
      <c r="F5667" s="30" t="n">
        <f aca="false">Sens!E5667+(Sens!F5662+Sens!F5663)*nonnv*a_mai</f>
        <v>272.65351</v>
      </c>
      <c r="G5667" s="30" t="n">
        <f aca="false">Sens!F5667+(Sens!G5662+Sens!G5663)*nonnv*a_mai</f>
        <v>545.30702</v>
      </c>
      <c r="H5667" s="30" t="n">
        <f aca="false">Sens!G5667+(Sens!H5662+Sens!H5663)*nonnv*a_mai</f>
        <v>817.96053</v>
      </c>
      <c r="I5667" s="30" t="n">
        <f aca="false">Sens!H5667+(Sens!I5662+Sens!I5663)*nonnv*a_mai</f>
        <v>1060.15914196667</v>
      </c>
      <c r="J5667" s="30" t="n">
        <f aca="false">Sens!I5667+(Sens!J5662+Sens!J5663)*nonnv*a_mai</f>
        <v>1251.76682813933</v>
      </c>
      <c r="K5667" s="30" t="n">
        <f aca="false">Sens!J5667+(Sens!K5662+Sens!K5663)*nonnv*a_mai</f>
        <v>1442.37983298351</v>
      </c>
      <c r="L5667" s="12" t="s">
        <v>966</v>
      </c>
    </row>
    <row r="5668" customFormat="false" ht="17.15" hidden="false" customHeight="false" outlineLevel="0" collapsed="false">
      <c r="A5668" s="1" t="s">
        <v>967</v>
      </c>
      <c r="B5668" s="0" t="s">
        <v>456</v>
      </c>
      <c r="C5668" s="30" t="n">
        <v>0</v>
      </c>
      <c r="D5668" s="30" t="n">
        <v>0</v>
      </c>
      <c r="E5668" s="30" t="n">
        <v>0</v>
      </c>
      <c r="F5668" s="30" t="n">
        <f aca="false">Sens!E5668+(Sens!F5662+Sens!F5663)*(1-a_g3_27)</f>
        <v>817.96053</v>
      </c>
      <c r="G5668" s="30" t="n">
        <f aca="false">Sens!F5668+(Sens!G5662+Sens!G5663)*(1-a_g3_28)</f>
        <v>2726.5351</v>
      </c>
      <c r="H5668" s="30" t="n">
        <f aca="false">Sens!G5668+(Sens!H5662+Sens!H5663)*(1-a_g3_29)</f>
        <v>5180.41669</v>
      </c>
      <c r="I5668" s="30" t="n">
        <f aca="false">Sens!H5668+(Sens!I5662+Sens!I5663)*(1-a_g3_29)</f>
        <v>7360.2041977</v>
      </c>
      <c r="J5668" s="30" t="n">
        <f aca="false">Sens!I5668+(Sens!J5662+Sens!J5663)*(1-a_g3_29)</f>
        <v>9084.673373254</v>
      </c>
      <c r="K5668" s="30" t="n">
        <f aca="false">Sens!J5668+(Sens!K5662+Sens!K5663)*(1-a_g3_29)</f>
        <v>10800.1904168516</v>
      </c>
    </row>
    <row r="5669" customFormat="false" ht="17.15" hidden="false" customHeight="false" outlineLevel="0" collapsed="false">
      <c r="A5669" s="1" t="s">
        <v>968</v>
      </c>
      <c r="B5669" s="0" t="s">
        <v>403</v>
      </c>
      <c r="C5669" s="15" t="n">
        <f aca="false">(Sens!C5664*tk_hold_h100+Sens!C5665*tk_hold_gb200+Sens!C5666*tk_hold_gb300+Sens!C5668*tk_hold_vr200+Sens!C5667*nv_hold_mai*tk_hold_vr200)/Sens!C5656</f>
        <v>9.7235358126469</v>
      </c>
      <c r="D5669" s="15" t="n">
        <f aca="false">(Sens!D5664*tk_hold_h100+Sens!D5665*tk_hold_gb200+Sens!D5666*tk_hold_gb300+Sens!D5668*tk_hold_vr200+Sens!D5667*nv_hold_mai*tk_hold_vr200)/Sens!D5656</f>
        <v>9.7235358126469</v>
      </c>
      <c r="E5669" s="15" t="n">
        <f aca="false">(Sens!E5664*tk_hold_h100+Sens!E5665*tk_hold_gb200+Sens!E5666*tk_hold_gb300+Sens!E5668*tk_hold_vr200+Sens!E5667*nv_hold_mai*tk_hold_vr200)/Sens!E5656</f>
        <v>9.7235358126469</v>
      </c>
      <c r="F5669" s="15" t="n">
        <f aca="false">(Sens!F5664*tk_hold_h100+Sens!F5665*tk_hold_gb200+Sens!F5666*tk_hold_gb300+Sens!F5668*tk_hold_vr200+Sens!F5667*nv_hold_mai*tk_hold_vr200)/Sens!F5656</f>
        <v>10.2195353876665</v>
      </c>
      <c r="G5669" s="15" t="n">
        <f aca="false">(Sens!G5664*tk_hold_h100+Sens!G5665*tk_hold_gb200+Sens!G5666*tk_hold_gb300+Sens!G5668*tk_hold_vr200+Sens!G5667*nv_hold_mai*tk_hold_vr200)/Sens!G5656</f>
        <v>10.5725598017306</v>
      </c>
      <c r="H5669" s="15" t="n">
        <f aca="false">(Sens!H5664*tk_hold_h100+Sens!H5665*tk_hold_gb200+Sens!H5666*tk_hold_gb300+Sens!H5668*tk_hold_vr200+Sens!H5667*nv_hold_mai*tk_hold_vr200)/Sens!H5656</f>
        <v>10.8210427149036</v>
      </c>
      <c r="I5669" s="15" t="n">
        <f aca="false">(Sens!I5664*tk_hold_h100+Sens!I5665*tk_hold_gb200+Sens!I5666*tk_hold_gb300+Sens!I5668*tk_hold_vr200+Sens!I5667*nv_hold_mai*tk_hold_vr200)/Sens!I5656</f>
        <v>11.0050618241982</v>
      </c>
      <c r="J5669" s="15" t="n">
        <f aca="false">(Sens!J5664*tk_hold_h100+Sens!J5665*tk_hold_gb200+Sens!J5666*tk_hold_gb300+Sens!J5668*tk_hold_vr200+Sens!J5667*nv_hold_mai*tk_hold_vr200)/Sens!J5656</f>
        <v>11.1505789658881</v>
      </c>
      <c r="K5669" s="15" t="n">
        <f aca="false">(Sens!K5664*tk_hold_h100+Sens!K5665*tk_hold_gb200+Sens!K5666*tk_hold_gb300+Sens!K5668*tk_hold_vr200+Sens!K5667*nv_hold_mai*tk_hold_vr200)/Sens!K5656</f>
        <v>11.3496914757183</v>
      </c>
      <c r="L5669" s="1" t="s">
        <v>969</v>
      </c>
    </row>
    <row r="5670" customFormat="false" ht="17.15" hidden="false" customHeight="false" outlineLevel="0" collapsed="false">
      <c r="A5670" s="1" t="s">
        <v>970</v>
      </c>
      <c r="B5670" s="0" t="s">
        <v>403</v>
      </c>
      <c r="C5670" s="15" t="n">
        <f aca="false">(Sens!C5664*tk_hold_h100+Sens!C5665*tk_hold_gb200+Sens!C5666*tk_hold_gb300+Sens!C5668*tk_hold_vr200+Sens!C5667*nv_out_mai_lo*tk_hold_vr200)/Sens!C5656</f>
        <v>9.7235358126469</v>
      </c>
      <c r="D5670" s="15" t="n">
        <f aca="false">(Sens!D5664*tk_hold_h100+Sens!D5665*tk_hold_gb200+Sens!D5666*tk_hold_gb300+Sens!D5668*tk_hold_vr200+Sens!D5667*nv_out_mai_lo*tk_hold_vr200)/Sens!D5656</f>
        <v>9.7235358126469</v>
      </c>
      <c r="E5670" s="15" t="n">
        <f aca="false">(Sens!E5664*tk_hold_h100+Sens!E5665*tk_hold_gb200+Sens!E5666*tk_hold_gb300+Sens!E5668*tk_hold_vr200+Sens!E5667*nv_out_mai_lo*tk_hold_vr200)/Sens!E5656</f>
        <v>9.7235358126469</v>
      </c>
      <c r="F5670" s="15" t="n">
        <f aca="false">(Sens!F5664*tk_hold_h100+Sens!F5665*tk_hold_gb200+Sens!F5666*tk_hold_gb300+Sens!F5668*tk_hold_vr200+Sens!F5667*nv_out_mai_lo*tk_hold_vr200)/Sens!F5656</f>
        <v>10.0801018561541</v>
      </c>
      <c r="G5670" s="15" t="n">
        <f aca="false">(Sens!G5664*tk_hold_h100+Sens!G5665*tk_hold_gb200+Sens!G5666*tk_hold_gb300+Sens!G5668*tk_hold_vr200+Sens!G5667*nv_out_mai_lo*tk_hold_vr200)/Sens!G5656</f>
        <v>10.3810574063574</v>
      </c>
      <c r="H5670" s="15" t="n">
        <f aca="false">(Sens!H5664*tk_hold_h100+Sens!H5665*tk_hold_gb200+Sens!H5666*tk_hold_gb300+Sens!H5668*tk_hold_vr200+Sens!H5667*nv_out_mai_lo*tk_hold_vr200)/Sens!H5656</f>
        <v>10.6023135357252</v>
      </c>
      <c r="I5670" s="15" t="n">
        <f aca="false">(Sens!I5664*tk_hold_h100+Sens!I5665*tk_hold_gb200+Sens!I5666*tk_hold_gb300+Sens!I5668*tk_hold_vr200+Sens!I5667*nv_out_mai_lo*tk_hold_vr200)/Sens!I5656</f>
        <v>10.7625580601765</v>
      </c>
      <c r="J5670" s="15" t="n">
        <f aca="false">(Sens!J5664*tk_hold_h100+Sens!J5665*tk_hold_gb200+Sens!J5666*tk_hold_gb300+Sens!J5668*tk_hold_vr200+Sens!J5667*nv_out_mai_lo*tk_hold_vr200)/Sens!J5656</f>
        <v>10.8874102312998</v>
      </c>
      <c r="K5670" s="15" t="n">
        <f aca="false">(Sens!K5664*tk_hold_h100+Sens!K5665*tk_hold_gb200+Sens!K5666*tk_hold_gb300+Sens!K5668*tk_hold_vr200+Sens!K5667*nv_out_mai_lo*tk_hold_vr200)/Sens!K5656</f>
        <v>11.0552809921972</v>
      </c>
      <c r="L5670" s="12" t="s">
        <v>971</v>
      </c>
    </row>
    <row r="5671" customFormat="false" ht="17.15" hidden="false" customHeight="false" outlineLevel="0" collapsed="false">
      <c r="A5671" s="0" t="s">
        <v>972</v>
      </c>
      <c r="B5671" s="0" t="s">
        <v>229</v>
      </c>
      <c r="C5671" s="15" t="n">
        <f aca="false">k_B</f>
        <v>1.17213932619116</v>
      </c>
      <c r="D5671" s="15" t="n">
        <f aca="false">k_B</f>
        <v>1.17213932619116</v>
      </c>
      <c r="E5671" s="15" t="n">
        <f aca="false">k_B</f>
        <v>1.17213932619116</v>
      </c>
      <c r="F5671" s="15" t="n">
        <f aca="false">(k_B+((ls_B*k_long+(1-ls_B)*k_spot)-k_B)*MIN(1,(Sens!F5654-base_fy)/k_ramp))</f>
        <v>1.17213932619116</v>
      </c>
      <c r="G5671" s="15" t="n">
        <f aca="false">(k_B+((ls_B*k_long+(1-ls_B)*k_spot)-k_B)*MIN(1,(Sens!G5654-base_fy)/k_ramp))</f>
        <v>1.17213932619116</v>
      </c>
      <c r="H5671" s="15" t="n">
        <f aca="false">(k_B+((ls_B*k_long+(1-ls_B)*k_spot)-k_B)*MIN(1,(Sens!H5654-base_fy)/k_ramp))</f>
        <v>1.17213932619116</v>
      </c>
      <c r="I5671" s="15" t="n">
        <f aca="false">(k_B+((ls_B*k_long+(1-ls_B)*k_spot)-k_B)*MIN(1,(Sens!I5654-base_fy)/k_ramp))</f>
        <v>1.17213932619116</v>
      </c>
      <c r="J5671" s="15" t="n">
        <f aca="false">(k_B+((ls_B*k_long+(1-ls_B)*k_spot)-k_B)*MIN(1,(Sens!J5654-base_fy)/k_ramp))</f>
        <v>1.17213932619116</v>
      </c>
      <c r="K5671" s="15" t="n">
        <f aca="false">(k_B+((ls_B*k_long+(1-ls_B)*k_spot)-k_B)*MIN(1,(Sens!K5654-base_fy)/k_ramp))</f>
        <v>1.17213932619116</v>
      </c>
      <c r="L5671" s="1" t="s">
        <v>973</v>
      </c>
    </row>
    <row r="5672" customFormat="false" ht="17.15" hidden="false" customHeight="false" outlineLevel="0" collapsed="false">
      <c r="A5672" s="1" t="s">
        <v>974</v>
      </c>
      <c r="B5672" s="0" t="s">
        <v>403</v>
      </c>
      <c r="C5672" s="15" t="n">
        <f aca="false">Sens!C5670*Sens!C5671*chip_f</f>
        <v>11.3973387156315</v>
      </c>
      <c r="D5672" s="15" t="n">
        <f aca="false">Sens!D5670*Sens!D5671*chip_f</f>
        <v>11.3973387156315</v>
      </c>
      <c r="E5672" s="15" t="n">
        <f aca="false">Sens!E5670*Sens!E5671*chip_f</f>
        <v>11.3973387156315</v>
      </c>
      <c r="F5672" s="15" t="n">
        <f aca="false">Sens!F5670*Sens!F5671*chip_f</f>
        <v>11.8152837976107</v>
      </c>
      <c r="G5672" s="15" t="n">
        <f aca="false">Sens!G5670*Sens!G5671*chip_f</f>
        <v>12.1680456334394</v>
      </c>
      <c r="H5672" s="15" t="n">
        <f aca="false">Sens!H5670*Sens!H5671*chip_f</f>
        <v>12.4273886438323</v>
      </c>
      <c r="I5672" s="15" t="n">
        <f aca="false">Sens!I5670*Sens!I5671*chip_f</f>
        <v>12.6152175527484</v>
      </c>
      <c r="J5672" s="15" t="n">
        <f aca="false">Sens!J5670*Sens!J5671*chip_f</f>
        <v>12.7615616924824</v>
      </c>
      <c r="K5672" s="15" t="n">
        <f aca="false">Sens!K5670*Sens!K5671*chip_f</f>
        <v>12.9583296130479</v>
      </c>
      <c r="L5672" s="1" t="s">
        <v>975</v>
      </c>
    </row>
    <row r="5673" customFormat="false" ht="17.15" hidden="false" customHeight="false" outlineLevel="0" collapsed="false">
      <c r="A5673" s="0" t="s">
        <v>976</v>
      </c>
      <c r="B5673" s="0" t="s">
        <v>98</v>
      </c>
      <c r="D5673" s="6" t="n">
        <f aca="false">(Sens!C5656+Sens!D5656)/2*Sens!D5672/1000</f>
        <v>12.9359794422418</v>
      </c>
      <c r="E5673" s="6" t="n">
        <f aca="false">(Sens!D5656+Sens!E5656)/2*Sens!E5672/1000</f>
        <v>27.8095064661409</v>
      </c>
      <c r="F5673" s="6" t="n">
        <f aca="false">(Sens!E5656+Sens!F5656)/2*Sens!F5672/1000</f>
        <v>54.507065337558</v>
      </c>
      <c r="G5673" s="6" t="n">
        <f aca="false">(Sens!F5656+Sens!G5656)/2*Sens!G5672/1000</f>
        <v>89.3110535856398</v>
      </c>
      <c r="H5673" s="6" t="n">
        <f aca="false">(Sens!G5656+Sens!H5656)/2*Sens!H5672/1000</f>
        <v>125.098291439331</v>
      </c>
      <c r="I5673" s="6" t="n">
        <f aca="false">(Sens!H5656+Sens!I5656)/2*Sens!I5672/1000</f>
        <v>156.373170005789</v>
      </c>
      <c r="J5673" s="6" t="n">
        <f aca="false">(Sens!I5656+Sens!J5656)/2*Sens!J5672/1000</f>
        <v>178.019061924832</v>
      </c>
      <c r="K5673" s="6" t="n">
        <f aca="false">(Sens!J5656+Sens!K5656)/2*Sens!K5672/1000</f>
        <v>191.209655856378</v>
      </c>
      <c r="L5673" s="12" t="s">
        <v>977</v>
      </c>
    </row>
    <row r="5674" customFormat="false" ht="17.15" hidden="false" customHeight="false" outlineLevel="0" collapsed="false">
      <c r="A5674" s="1" t="s">
        <v>978</v>
      </c>
      <c r="B5674" s="0" t="s">
        <v>403</v>
      </c>
      <c r="C5674" s="15" t="n">
        <f aca="false">(Sens!C5664*tk_opex_h100+Sens!C5665*tk_opex_gb200+Sens!C5666*tk_opex_gb300+(Sens!C5668+Sens!C5667)*tk_opex_vr200)/Sens!C5656</f>
        <v>1.88636041306092</v>
      </c>
      <c r="D5674" s="15" t="n">
        <f aca="false">(Sens!D5664*tk_opex_h100+Sens!D5665*tk_opex_gb200+Sens!D5666*tk_opex_gb300+(Sens!D5668+Sens!D5667)*tk_opex_vr200)/Sens!D5656</f>
        <v>1.88636041306092</v>
      </c>
      <c r="E5674" s="15" t="n">
        <f aca="false">(Sens!E5664*tk_opex_h100+Sens!E5665*tk_opex_gb200+Sens!E5666*tk_opex_gb300+(Sens!E5668+Sens!E5667)*tk_opex_vr200)/Sens!E5656</f>
        <v>1.88636041306092</v>
      </c>
      <c r="F5674" s="15" t="n">
        <f aca="false">(Sens!F5664*tk_opex_h100+Sens!F5665*tk_opex_gb200+Sens!F5666*tk_opex_gb300+(Sens!F5668+Sens!F5667)*tk_opex_vr200)/Sens!F5656</f>
        <v>1.95051159746876</v>
      </c>
      <c r="G5674" s="15" t="n">
        <f aca="false">(Sens!G5664*tk_opex_h100+Sens!G5665*tk_opex_gb200+Sens!G5666*tk_opex_gb300+(Sens!G5668+Sens!G5667)*tk_opex_vr200)/Sens!G5656</f>
        <v>1.98836003669956</v>
      </c>
      <c r="H5674" s="15" t="n">
        <f aca="false">(Sens!H5664*tk_opex_h100+Sens!H5665*tk_opex_gb200+Sens!H5666*tk_opex_gb300+(Sens!H5668+Sens!H5667)*tk_opex_vr200)/Sens!H5656</f>
        <v>2.01344013834343</v>
      </c>
      <c r="I5674" s="15" t="n">
        <f aca="false">(Sens!I5664*tk_opex_h100+Sens!I5665*tk_opex_gb200+Sens!I5666*tk_opex_gb300+(Sens!I5668+Sens!I5667)*tk_opex_vr200)/Sens!I5656</f>
        <v>2.03261166882178</v>
      </c>
      <c r="J5674" s="15" t="n">
        <f aca="false">(Sens!J5664*tk_opex_h100+Sens!J5665*tk_opex_gb200+Sens!J5666*tk_opex_gb300+(Sens!J5668+Sens!J5667)*tk_opex_vr200)/Sens!J5656</f>
        <v>2.04808073288745</v>
      </c>
      <c r="K5674" s="15" t="n">
        <f aca="false">(Sens!K5664*tk_opex_h100+Sens!K5665*tk_opex_gb200+Sens!K5666*tk_opex_gb300+(Sens!K5668+Sens!K5667)*tk_opex_vr200)/Sens!K5656</f>
        <v>2.06973825807449</v>
      </c>
      <c r="L5674" s="12" t="s">
        <v>979</v>
      </c>
    </row>
    <row r="5675" customFormat="false" ht="17.15" hidden="false" customHeight="false" outlineLevel="0" collapsed="false">
      <c r="A5675" s="0" t="s">
        <v>980</v>
      </c>
      <c r="B5675" s="0" t="s">
        <v>98</v>
      </c>
      <c r="D5675" s="6" t="n">
        <f aca="false">(Sens!C5659+Sens!D5659)/2*Sens!D5674/1000</f>
        <v>2.70378325872065</v>
      </c>
      <c r="E5675" s="6" t="n">
        <f aca="false">(Sens!D5659+Sens!E5659)/2*Sens!E5674/1000</f>
        <v>6.17783035277451</v>
      </c>
      <c r="F5675" s="6" t="n">
        <f aca="false">(Sens!E5659+Sens!F5659)/2*Sens!F5674/1000</f>
        <v>12.8742463089237</v>
      </c>
      <c r="G5675" s="6" t="n">
        <f aca="false">(Sens!F5659+Sens!G5659)/2*Sens!G5674/1000</f>
        <v>21.8182834646277</v>
      </c>
      <c r="H5675" s="6" t="n">
        <f aca="false">(Sens!G5659+Sens!H5659)/2*Sens!H5674/1000</f>
        <v>31.2430128789734</v>
      </c>
      <c r="I5675" s="6" t="n">
        <f aca="false">(Sens!H5659+Sens!I5659)/2*Sens!I5674/1000</f>
        <v>39.4313057443268</v>
      </c>
      <c r="J5675" s="6" t="n">
        <f aca="false">(Sens!I5659+Sens!J5659)/2*Sens!J5674/1000</f>
        <v>45.0360318228653</v>
      </c>
      <c r="K5675" s="6" t="n">
        <f aca="false">(Sens!J5659+Sens!K5659)/2*Sens!K5674/1000</f>
        <v>48.2929727091156</v>
      </c>
    </row>
    <row r="5676" customFormat="false" ht="17.15" hidden="false" customHeight="false" outlineLevel="0" collapsed="false">
      <c r="A5676" s="0" t="s">
        <v>981</v>
      </c>
      <c r="B5676" s="0" t="s">
        <v>98</v>
      </c>
      <c r="D5676" s="6" t="n">
        <f aca="false">(Sens!C5657+Sens!D5657)/2*rent_mw/1000</f>
        <v>2.44475</v>
      </c>
      <c r="E5676" s="6" t="n">
        <f aca="false">(Sens!D5657+Sens!E5657)/2*rent_mw/1000</f>
        <v>4.22275</v>
      </c>
      <c r="F5676" s="6" t="n">
        <f aca="false">(Sens!E5657+Sens!F5657)/2*rent_mw/1000</f>
        <v>5.80517</v>
      </c>
      <c r="G5676" s="6" t="n">
        <f aca="false">(Sens!F5657+Sens!G5657)/2*rent_mw/1000</f>
        <v>6.72084</v>
      </c>
      <c r="H5676" s="6" t="n">
        <f aca="false">(Sens!G5657+Sens!H5657)/2*rent_mw/1000</f>
        <v>6.72084</v>
      </c>
      <c r="I5676" s="6" t="n">
        <f aca="false">(Sens!H5657+Sens!I5657)/2*rent_mw/1000</f>
        <v>6.72084</v>
      </c>
      <c r="J5676" s="6" t="n">
        <f aca="false">(Sens!I5657+Sens!J5657)/2*rent_mw/1000</f>
        <v>6.72084</v>
      </c>
      <c r="K5676" s="6" t="n">
        <f aca="false">(Sens!J5657+Sens!K5657)/2*rent_mw/1000</f>
        <v>6.72084</v>
      </c>
    </row>
    <row r="5677" customFormat="false" ht="17.15" hidden="false" customHeight="false" outlineLevel="0" collapsed="false">
      <c r="A5677" s="0" t="s">
        <v>982</v>
      </c>
      <c r="B5677" s="0" t="s">
        <v>98</v>
      </c>
      <c r="D5677" s="6" t="n">
        <f aca="false">(Sens!C5659+Sens!D5659)/2*(1-self_build)*fac_rent/1000</f>
        <v>0.853242375631075</v>
      </c>
      <c r="E5677" s="6" t="n">
        <f aca="false">(Sens!D5659+Sens!E5659)/2*(1-self_build)*fac_rent/1000</f>
        <v>1.94955961408728</v>
      </c>
      <c r="F5677" s="6" t="n">
        <f aca="false">(Sens!E5659+Sens!F5659)/2*(1-self_build)*fac_rent/1000</f>
        <v>3.92914894476356</v>
      </c>
      <c r="G5677" s="6" t="n">
        <f aca="false">(Sens!F5659+Sens!G5659)/2*(1-self_build)*fac_rent/1000</f>
        <v>6.53206908578159</v>
      </c>
      <c r="H5677" s="6" t="n">
        <f aca="false">(Sens!G5659+Sens!H5659)/2*(1-self_build)*fac_rent/1000</f>
        <v>9.23717988341591</v>
      </c>
      <c r="I5677" s="6" t="n">
        <f aca="false">(Sens!H5659+Sens!I5659)/2*(1-self_build)*fac_rent/1000</f>
        <v>11.5481378557393</v>
      </c>
      <c r="J5677" s="6" t="n">
        <f aca="false">(Sens!I5659+Sens!J5659)/2*(1-self_build)*fac_rent/1000</f>
        <v>13.0899582289108</v>
      </c>
      <c r="K5677" s="6" t="n">
        <f aca="false">(Sens!J5659+Sens!K5659)/2*(1-self_build)*fac_rent/1000</f>
        <v>13.8897275626556</v>
      </c>
      <c r="L5677" s="12" t="s">
        <v>983</v>
      </c>
    </row>
    <row r="5678" customFormat="false" ht="17.15" hidden="false" customHeight="false" outlineLevel="0" collapsed="false">
      <c r="A5678" s="1" t="s">
        <v>984</v>
      </c>
      <c r="B5678" s="0" t="s">
        <v>168</v>
      </c>
      <c r="D5678" s="7" t="n">
        <f aca="false">(Sens!C5658+Sens!D5658)/(Sens!C5659+Sens!D5659)</f>
        <v>0.6</v>
      </c>
      <c r="E5678" s="7" t="n">
        <f aca="false">(Sens!D5658+Sens!E5658)/(Sens!D5659+Sens!E5659)</f>
        <v>0.6</v>
      </c>
      <c r="F5678" s="7" t="n">
        <f aca="false">(Sens!E5658+Sens!F5658)/(Sens!E5659+Sens!F5659)</f>
        <v>0.6</v>
      </c>
      <c r="G5678" s="7" t="n">
        <f aca="false">(Sens!F5658+Sens!G5658)/(Sens!F5659+Sens!G5659)</f>
        <v>0.6</v>
      </c>
      <c r="H5678" s="7" t="n">
        <f aca="false">(Sens!G5658+Sens!H5658)/(Sens!G5659+Sens!H5659)</f>
        <v>0.6</v>
      </c>
      <c r="I5678" s="7" t="n">
        <f aca="false">(Sens!H5658+Sens!I5658)/(Sens!H5659+Sens!I5659)</f>
        <v>0.6</v>
      </c>
      <c r="J5678" s="7" t="n">
        <f aca="false">(Sens!I5658+Sens!J5658)/(Sens!I5659+Sens!J5659)</f>
        <v>0.6</v>
      </c>
      <c r="K5678" s="7" t="n">
        <f aca="false">(Sens!J5658+Sens!K5658)/(Sens!J5659+Sens!K5659)</f>
        <v>0.6</v>
      </c>
    </row>
    <row r="5679" customFormat="false" ht="17.15" hidden="false" customHeight="false" outlineLevel="0" collapsed="false">
      <c r="A5679" s="0" t="s">
        <v>985</v>
      </c>
      <c r="B5679" s="0" t="s">
        <v>98</v>
      </c>
      <c r="D5679" s="6" t="n">
        <f aca="false">Sens!D5673-Sens!D5678*(Sens!D5675+Sens!D5677)-Sens!D5676</f>
        <v>8.35701406163072</v>
      </c>
      <c r="E5679" s="6" t="n">
        <f aca="false">Sens!E5673-Sens!E5678*(Sens!E5675+Sens!E5677)-Sens!E5676</f>
        <v>18.7103224860238</v>
      </c>
      <c r="F5679" s="6" t="n">
        <f aca="false">Sens!F5673-Sens!F5678*(Sens!F5675+Sens!F5677)-Sens!F5676</f>
        <v>38.6198581853457</v>
      </c>
      <c r="G5679" s="6" t="n">
        <f aca="false">Sens!G5673-Sens!G5678*(Sens!G5675+Sens!G5677)-Sens!G5676</f>
        <v>65.5800020553942</v>
      </c>
      <c r="H5679" s="6" t="n">
        <f aca="false">Sens!H5673-Sens!H5678*(Sens!H5675+Sens!H5677)-Sens!H5676</f>
        <v>94.0893357818971</v>
      </c>
      <c r="I5679" s="6" t="n">
        <f aca="false">Sens!I5673-Sens!I5678*(Sens!I5675+Sens!I5677)-Sens!I5676</f>
        <v>119.064663845749</v>
      </c>
      <c r="J5679" s="6" t="n">
        <f aca="false">Sens!J5673-Sens!J5678*(Sens!J5675+Sens!J5677)-Sens!J5676</f>
        <v>136.422627893767</v>
      </c>
      <c r="K5679" s="6" t="n">
        <f aca="false">Sens!K5673-Sens!K5678*(Sens!K5675+Sens!K5677)-Sens!K5676</f>
        <v>147.179195693315</v>
      </c>
    </row>
    <row r="5680" customFormat="false" ht="17.15" hidden="false" customHeight="false" outlineLevel="0" collapsed="false">
      <c r="A5680" s="1" t="s">
        <v>986</v>
      </c>
      <c r="B5680" s="0" t="s">
        <v>98</v>
      </c>
      <c r="D5680" s="6" t="n">
        <f aca="false">(1-Sens!D5678)*(Sens!D5675+Sens!D5677)</f>
        <v>1.42281025374069</v>
      </c>
      <c r="E5680" s="6" t="n">
        <f aca="false">(1-Sens!E5678)*(Sens!E5675+Sens!E5677)</f>
        <v>3.25095598674472</v>
      </c>
      <c r="F5680" s="6" t="n">
        <f aca="false">(1-Sens!F5678)*(Sens!F5675+Sens!F5677)</f>
        <v>6.72135810147489</v>
      </c>
      <c r="G5680" s="6" t="n">
        <f aca="false">(1-Sens!G5678)*(Sens!G5675+Sens!G5677)</f>
        <v>11.3401410201637</v>
      </c>
      <c r="H5680" s="6" t="n">
        <f aca="false">(1-Sens!H5678)*(Sens!H5675+Sens!H5677)</f>
        <v>16.1920771049557</v>
      </c>
      <c r="I5680" s="6" t="n">
        <f aca="false">(1-Sens!I5678)*(Sens!I5675+Sens!I5677)</f>
        <v>20.3917774400264</v>
      </c>
      <c r="J5680" s="6" t="n">
        <f aca="false">(1-Sens!J5678)*(Sens!J5675+Sens!J5677)</f>
        <v>23.2503960207104</v>
      </c>
      <c r="K5680" s="6" t="n">
        <f aca="false">(1-Sens!K5678)*(Sens!K5675+Sens!K5677)</f>
        <v>24.8730801087085</v>
      </c>
    </row>
    <row r="5681" customFormat="false" ht="17.15" hidden="false" customHeight="false" outlineLevel="0" collapsed="false">
      <c r="A5681" s="1" t="s">
        <v>987</v>
      </c>
      <c r="B5681" s="0" t="s">
        <v>414</v>
      </c>
      <c r="C5681" s="8" t="n">
        <f aca="false">cxit_open</f>
        <v>27.5918995</v>
      </c>
      <c r="D5681" s="8" t="n">
        <f aca="false">cxit_open</f>
        <v>27.5918995</v>
      </c>
      <c r="E5681" s="8" t="n">
        <f aca="false">cxit_open</f>
        <v>27.5918995</v>
      </c>
      <c r="F5681" s="8" t="n">
        <f aca="false">((a_g3_27-nonnv*a_mai)*tk_cxit_gb300+nonnv*a_mai*nv_hold_mai*tk_cxit_vr200+(1-a_g3_27)*tk_cxit_vr200)</f>
        <v>32.4975576</v>
      </c>
      <c r="G5681" s="8" t="n">
        <f aca="false">((a_g3_28-nonnv*a_mai)*tk_cxit_gb300+nonnv*a_mai*nv_hold_mai*tk_cxit_vr200+(1-a_g3_28)*tk_cxit_vr200)</f>
        <v>34.6372088</v>
      </c>
      <c r="H5681" s="8" t="n">
        <f aca="false">((a_g3_29-nonnv*a_mai)*tk_cxit_gb300+nonnv*a_mai*nv_hold_mai*tk_cxit_vr200+(1-a_g3_29)*tk_cxit_vr200)</f>
        <v>35.7070344</v>
      </c>
      <c r="I5681" s="8" t="n">
        <f aca="false">((a_g3_29-nonnv*a_mai)*tk_cxit_gb300+nonnv*a_mai*nv_hold_mai*tk_cxit_vr200+(1-a_g3_29)*tk_cxit_vr200)</f>
        <v>35.7070344</v>
      </c>
      <c r="J5681" s="8" t="n">
        <f aca="false">((a_g3_29-nonnv*a_mai)*tk_cxit_gb300+nonnv*a_mai*nv_hold_mai*tk_cxit_vr200+(1-a_g3_29)*tk_cxit_vr200)</f>
        <v>35.7070344</v>
      </c>
      <c r="K5681" s="8" t="n">
        <f aca="false">((a_g3_29-nonnv*a_mai)*tk_cxit_gb300+nonnv*a_mai*nv_hold_mai*tk_cxit_vr200+(1-a_g3_29)*tk_cxit_vr200)</f>
        <v>35.7070344</v>
      </c>
      <c r="L5681" s="12" t="s">
        <v>988</v>
      </c>
    </row>
    <row r="5682" customFormat="false" ht="17.15" hidden="false" customHeight="false" outlineLevel="0" collapsed="false">
      <c r="A5682" s="0" t="s">
        <v>989</v>
      </c>
      <c r="B5682" s="0" t="s">
        <v>456</v>
      </c>
      <c r="F5682" s="30" t="n">
        <f aca="false">Sens!C5661*IF(Sens!F5654-Sens!C5654=life_it,1,0)+Sens!D5661*IF(Sens!F5654-Sens!D5654=life_it,1,0)+Sens!E5661*IF(Sens!F5654-Sens!E5654=life_it,1,0)</f>
        <v>0</v>
      </c>
      <c r="G5682" s="30" t="n">
        <f aca="false">Sens!C5661*IF(Sens!G5654-Sens!C5654=life_it,1,0)+Sens!D5661*IF(Sens!G5654-Sens!D5654=life_it,1,0)+Sens!E5661*IF(Sens!G5654-Sens!E5654=life_it,1,0)+Sens!F5661*IF(Sens!G5654-Sens!F5654=life_it,1,0)</f>
        <v>0</v>
      </c>
      <c r="H5682" s="30" t="n">
        <f aca="false">Sens!C5661*IF(Sens!H5654-Sens!C5654=life_it,1,0)+Sens!D5661*IF(Sens!H5654-Sens!D5654=life_it,1,0)+Sens!E5661*IF(Sens!H5654-Sens!E5654=life_it,1,0)+Sens!F5661*IF(Sens!H5654-Sens!F5654=life_it,1,0)+Sens!G5661*IF(Sens!H5654-Sens!G5654=life_it,1,0)</f>
        <v>0</v>
      </c>
      <c r="I5682" s="30" t="n">
        <f aca="false">Sens!C5661*IF(Sens!I5654-Sens!C5654=life_it,1,0)+Sens!D5661*IF(Sens!I5654-Sens!D5654=life_it,1,0)+Sens!E5661*IF(Sens!I5654-Sens!E5654=life_it,1,0)+Sens!F5661*IF(Sens!I5654-Sens!F5654=life_it,1,0)+Sens!G5661*IF(Sens!I5654-Sens!G5654=life_it,1,0)+Sens!H5661*IF(Sens!I5654-Sens!H5654=life_it,1,0)</f>
        <v>816.666666666667</v>
      </c>
      <c r="J5682" s="30" t="n">
        <f aca="false">Sens!C5661*IF(Sens!J5654-Sens!C5654=life_it,1,0)+Sens!D5661*IF(Sens!J5654-Sens!D5654=life_it,1,0)+Sens!E5661*IF(Sens!J5654-Sens!E5654=life_it,1,0)+Sens!F5661*IF(Sens!J5654-Sens!F5654=life_it,1,0)+Sens!G5661*IF(Sens!J5654-Sens!G5654=life_it,1,0)+Sens!H5661*IF(Sens!J5654-Sens!H5654=life_it,1,0)+Sens!I5661*IF(Sens!J5654-Sens!I5654=life_it,1,0)</f>
        <v>1233.33333333333</v>
      </c>
      <c r="K5682" s="30" t="n">
        <f aca="false">Sens!C5661*IF(Sens!K5654-Sens!C5654=life_it,1,0)+Sens!D5661*IF(Sens!K5654-Sens!D5654=life_it,1,0)+Sens!E5661*IF(Sens!K5654-Sens!E5654=life_it,1,0)+Sens!F5661*IF(Sens!K5654-Sens!F5654=life_it,1,0)+Sens!G5661*IF(Sens!K5654-Sens!G5654=life_it,1,0)+Sens!H5661*IF(Sens!K5654-Sens!H5654=life_it,1,0)+Sens!I5661*IF(Sens!K5654-Sens!I5654=life_it,1,0)+Sens!J5661*IF(Sens!K5654-Sens!J5654=life_it,1,0)</f>
        <v>2450</v>
      </c>
      <c r="L5682" s="1" t="s">
        <v>990</v>
      </c>
    </row>
    <row r="5683" customFormat="false" ht="17.15" hidden="false" customHeight="false" outlineLevel="0" collapsed="false">
      <c r="A5683" s="0" t="s">
        <v>991</v>
      </c>
      <c r="B5683" s="0" t="s">
        <v>98</v>
      </c>
      <c r="C5683" s="6" t="n">
        <f aca="false">Sens!C5661*Sens!C5681/1000</f>
        <v>22.5333845916667</v>
      </c>
      <c r="D5683" s="6" t="n">
        <f aca="false">Sens!D5661*Sens!D5681/1000</f>
        <v>34.0300093833333</v>
      </c>
      <c r="E5683" s="6" t="n">
        <f aca="false">Sens!E5661*Sens!E5681/1000</f>
        <v>67.600153775</v>
      </c>
      <c r="F5683" s="6" t="n">
        <f aca="false">(Sens!F5661+Sens!F5682)*Sens!F5681/1000</f>
        <v>136.51872432512</v>
      </c>
      <c r="G5683" s="6" t="n">
        <f aca="false">(Sens!G5661+Sens!G5682)*Sens!G5681/1000</f>
        <v>157.399275932048</v>
      </c>
      <c r="H5683" s="6" t="n">
        <f aca="false">(Sens!H5661+Sens!H5682)*Sens!H5681/1000</f>
        <v>162.260804347512</v>
      </c>
      <c r="I5683" s="6" t="n">
        <f aca="false">(Sens!I5661+Sens!I5682)*Sens!I5681/1000</f>
        <v>144.136569485434</v>
      </c>
      <c r="J5683" s="6" t="n">
        <f aca="false">(Sens!J5661+Sens!J5682)*Sens!J5681/1000</f>
        <v>114.029037357864</v>
      </c>
      <c r="K5683" s="6" t="n">
        <f aca="false">(Sens!K5661+Sens!K5682)*Sens!K5681/1000</f>
        <v>113.437085350975</v>
      </c>
    </row>
    <row r="5684" customFormat="false" ht="17.15" hidden="false" customHeight="false" outlineLevel="0" collapsed="false">
      <c r="A5684" s="0" t="s">
        <v>992</v>
      </c>
      <c r="B5684" s="0" t="s">
        <v>98</v>
      </c>
      <c r="C5684" s="6" t="n">
        <f aca="false">Sens!C5661*self_build*tk_cxfac/1000</f>
        <v>6.2083</v>
      </c>
      <c r="D5684" s="6" t="n">
        <f aca="false">Sens!D5661*self_build*tk_cxfac/1000</f>
        <v>9.3758</v>
      </c>
      <c r="E5684" s="6" t="n">
        <f aca="false">Sens!E5661*self_build*tk_cxfac/1000</f>
        <v>18.6249</v>
      </c>
      <c r="F5684" s="6" t="n">
        <f aca="false">Sens!F5661*self_build*tk_cxfac/1000</f>
        <v>31.935179717</v>
      </c>
      <c r="G5684" s="6" t="n">
        <f aca="false">Sens!G5661*self_build*tk_cxfac/1000</f>
        <v>34.545199717</v>
      </c>
      <c r="H5684" s="6" t="n">
        <f aca="false">Sens!H5661*self_build*tk_cxfac/1000</f>
        <v>34.545199717</v>
      </c>
      <c r="I5684" s="6" t="n">
        <f aca="false">Sens!I5661*self_build*tk_cxfac/1000</f>
        <v>24.4782641361767</v>
      </c>
      <c r="J5684" s="6" t="n">
        <f aca="false">Sens!J5661*self_build*tk_cxfac/1000</f>
        <v>14.9008938380769</v>
      </c>
      <c r="K5684" s="6" t="n">
        <f aca="false">Sens!K5661*self_build*tk_cxfac/1000</f>
        <v>5.52576771375761</v>
      </c>
    </row>
    <row r="5685" customFormat="false" ht="17.15" hidden="false" customHeight="false" outlineLevel="0" collapsed="false">
      <c r="A5685" s="0" t="s">
        <v>993</v>
      </c>
      <c r="B5685" s="0" t="s">
        <v>98</v>
      </c>
      <c r="F5685" s="15" t="n">
        <f aca="false">capex_floor27-Sens!F5683-Sens!F5684-Sens!F5781</f>
        <v>-0.0397150582380235</v>
      </c>
      <c r="L5685" s="12" t="s">
        <v>994</v>
      </c>
    </row>
    <row r="5686" customFormat="false" ht="17.15" hidden="false" customHeight="false" outlineLevel="0" collapsed="false">
      <c r="A5686" s="0" t="s">
        <v>995</v>
      </c>
      <c r="B5686" s="0" t="s">
        <v>98</v>
      </c>
      <c r="F5686" s="6" t="n">
        <f aca="false">MAX(0,Sens!F5685)</f>
        <v>0</v>
      </c>
    </row>
    <row r="5687" customFormat="false" ht="17.15" hidden="false" customHeight="false" outlineLevel="0" collapsed="false">
      <c r="A5687" s="0" t="s">
        <v>996</v>
      </c>
      <c r="B5687" s="0" t="s">
        <v>98</v>
      </c>
      <c r="C5687" s="6" t="n">
        <f aca="false">Sens!C5683</f>
        <v>22.5333845916667</v>
      </c>
      <c r="D5687" s="6" t="n">
        <f aca="false">Sens!D5683</f>
        <v>34.0300093833333</v>
      </c>
      <c r="E5687" s="6" t="n">
        <f aca="false">Sens!E5683</f>
        <v>67.600153775</v>
      </c>
      <c r="F5687" s="6" t="n">
        <f aca="false">Sens!F5683</f>
        <v>136.51872432512</v>
      </c>
      <c r="G5687" s="6" t="n">
        <f aca="false">Sens!G5683</f>
        <v>157.399275932048</v>
      </c>
      <c r="H5687" s="6" t="n">
        <f aca="false">Sens!H5683</f>
        <v>162.260804347512</v>
      </c>
      <c r="I5687" s="6" t="n">
        <f aca="false">Sens!I5683</f>
        <v>144.136569485434</v>
      </c>
      <c r="J5687" s="6" t="n">
        <f aca="false">Sens!J5683</f>
        <v>114.029037357864</v>
      </c>
      <c r="K5687" s="6" t="n">
        <f aca="false">Sens!K5683</f>
        <v>113.437085350975</v>
      </c>
    </row>
    <row r="5688" customFormat="false" ht="17.15" hidden="false" customHeight="false" outlineLevel="0" collapsed="false">
      <c r="A5688" s="0" t="s">
        <v>997</v>
      </c>
      <c r="B5688" s="0" t="s">
        <v>98</v>
      </c>
      <c r="C5688" s="6" t="n">
        <f aca="false">Sens!C5687+Sens!C5684</f>
        <v>28.7416845916667</v>
      </c>
      <c r="D5688" s="6" t="n">
        <f aca="false">Sens!D5687+Sens!D5684</f>
        <v>43.4058093833333</v>
      </c>
      <c r="E5688" s="6" t="n">
        <f aca="false">Sens!E5687+Sens!E5684</f>
        <v>86.225053775</v>
      </c>
      <c r="F5688" s="6" t="n">
        <f aca="false">Sens!F5687+Sens!F5684</f>
        <v>168.45390404212</v>
      </c>
      <c r="G5688" s="6" t="n">
        <f aca="false">Sens!G5687+Sens!G5684</f>
        <v>191.944475649048</v>
      </c>
      <c r="H5688" s="6" t="n">
        <f aca="false">Sens!H5687+Sens!H5684</f>
        <v>196.806004064512</v>
      </c>
      <c r="I5688" s="6" t="n">
        <f aca="false">Sens!I5687+Sens!I5684</f>
        <v>168.61483362161</v>
      </c>
      <c r="J5688" s="6" t="n">
        <f aca="false">Sens!J5687+Sens!J5684</f>
        <v>128.92993119594</v>
      </c>
      <c r="K5688" s="6" t="n">
        <f aca="false">Sens!K5687+Sens!K5684</f>
        <v>118.962853064733</v>
      </c>
      <c r="L5688" s="12" t="s">
        <v>998</v>
      </c>
    </row>
    <row r="5689" customFormat="false" ht="17.15" hidden="false" customHeight="false" outlineLevel="0" collapsed="false">
      <c r="A5689" s="0" t="s">
        <v>999</v>
      </c>
      <c r="B5689" s="0" t="s">
        <v>98</v>
      </c>
      <c r="E5689" s="6" t="n">
        <f aca="false">(Sens!C5687*IF(2&lt;life_it,1,IF(2=life_it,0.5,0))+Sens!D5687*IF(1&lt;life_it,1,IF(1=life_it,0.5,0))+Sens!E5687*0.5)/life_it</f>
        <v>15.0605784770833</v>
      </c>
      <c r="F5689" s="6" t="n">
        <f aca="false">(Sens!C5687*IF(3&lt;life_it,1,IF(3=life_it,0.5,0))+Sens!D5687*IF(2&lt;life_it,1,IF(2=life_it,0.5,0))+Sens!E5687*IF(1&lt;life_it,1,IF(1=life_it,0.5,0))+Sens!F5687*0.5)/life_it</f>
        <v>32.0704849854266</v>
      </c>
      <c r="G5689" s="6" t="n">
        <f aca="false">(Sens!C5687*IF(4&lt;life_it,1,IF(4=life_it,0.5,0))+Sens!D5687*IF(3&lt;life_it,1,IF(3=life_it,0.5,0))+Sens!E5687*IF(2&lt;life_it,1,IF(2=life_it,0.5,0))+Sens!F5687*IF(1&lt;life_it,1,IF(1=life_it,0.5,0))+Sens!G5687*0.5)/life_it</f>
        <v>56.5636516735239</v>
      </c>
      <c r="H5689" s="6" t="n">
        <f aca="false">(Sens!C5687*IF(5&lt;life_it,1,IF(5=life_it,0.5,0))+Sens!D5687*IF(4&lt;life_it,1,IF(4=life_it,0.5,0))+Sens!E5687*IF(3&lt;life_it,1,IF(3=life_it,0.5,0))+Sens!F5687*IF(2&lt;life_it,1,IF(2=life_it,0.5,0))+Sens!G5687*IF(1&lt;life_it,1,IF(1=life_it,0.5,0))+Sens!H5687*0.5)/life_it</f>
        <v>83.2019916968207</v>
      </c>
      <c r="I5689" s="6" t="n">
        <f aca="false">(Sens!C5687*IF(6&lt;life_it,1,IF(6=life_it,0.5,0))+Sens!D5687*IF(5&lt;life_it,1,IF(5=life_it,0.5,0))+Sens!E5687*IF(4&lt;life_it,1,IF(4=life_it,0.5,0))+Sens!F5687*IF(3&lt;life_it,1,IF(3=life_it,0.5,0))+Sens!G5687*IF(2&lt;life_it,1,IF(2=life_it,0.5,0))+Sens!H5687*IF(1&lt;life_it,1,IF(1=life_it,0.5,0))+Sens!I5687*0.5)/life_it</f>
        <v>106.857324133594</v>
      </c>
      <c r="J5689" s="6" t="n">
        <f aca="false">(Sens!C5687*IF(7&lt;life_it,1,IF(7=life_it,0.5,0))+Sens!D5687*IF(6&lt;life_it,1,IF(6=life_it,0.5,0))+Sens!E5687*IF(5&lt;life_it,1,IF(5=life_it,0.5,0))+Sens!F5687*IF(4&lt;life_it,1,IF(4=life_it,0.5,0))+Sens!G5687*IF(3&lt;life_it,1,IF(3=life_it,0.5,0))+Sens!H5687*IF(2&lt;life_it,1,IF(2=life_it,0.5,0))+Sens!I5687*IF(1&lt;life_it,1,IF(1=life_it,0.5,0))+Sens!J5687*0.5)/life_it</f>
        <v>123.657508539285</v>
      </c>
      <c r="K5689" s="6" t="n">
        <f aca="false">(Sens!C5687*IF(8&lt;life_it,1,IF(8=life_it,0.5,0))+Sens!D5687*IF(7&lt;life_it,1,IF(7=life_it,0.5,0))+Sens!E5687*IF(6&lt;life_it,1,IF(6=life_it,0.5,0))+Sens!F5687*IF(5&lt;life_it,1,IF(5=life_it,0.5,0))+Sens!G5687*IF(4&lt;life_it,1,IF(4=life_it,0.5,0))+Sens!H5687*IF(3&lt;life_it,1,IF(3=life_it,0.5,0))+Sens!I5687*IF(2&lt;life_it,1,IF(2=life_it,0.5,0))+Sens!J5687*IF(1&lt;life_it,1,IF(1=life_it,0.5,0))+Sens!K5687*0.5)/life_it</f>
        <v>134.143838501827</v>
      </c>
    </row>
    <row r="5690" customFormat="false" ht="17.15" hidden="false" customHeight="false" outlineLevel="0" collapsed="false">
      <c r="A5690" s="0" t="s">
        <v>1000</v>
      </c>
      <c r="B5690" s="0" t="s">
        <v>98</v>
      </c>
      <c r="E5690" s="6" t="n">
        <f aca="false">(Sens!C5684*IF(2&lt;life_fac,1,IF(2=life_fac,0.5,0))+Sens!D5684*IF(1&lt;life_fac,1,IF(1=life_fac,0.5,0))+Sens!E5684*0.5)/life_fac</f>
        <v>1.2448275</v>
      </c>
      <c r="F5690" s="6" t="n">
        <f aca="false">(Sens!C5684*IF(3&lt;life_fac,1,IF(3=life_fac,0.5,0))+Sens!D5684*IF(2&lt;life_fac,1,IF(2=life_fac,0.5,0))+Sens!E5684*IF(1&lt;life_fac,1,IF(1=life_fac,0.5,0))+Sens!F5684*0.5)/life_fac</f>
        <v>2.508829492925</v>
      </c>
      <c r="G5690" s="6" t="n">
        <f aca="false">(Sens!C5684*IF(4&lt;life_fac,1,IF(4=life_fac,0.5,0))+Sens!D5684*IF(3&lt;life_fac,1,IF(3=life_fac,0.5,0))+Sens!E5684*IF(2&lt;life_fac,1,IF(2=life_fac,0.5,0))+Sens!F5684*IF(1&lt;life_fac,1,IF(1=life_fac,0.5,0))+Sens!G5684*0.5)/life_fac</f>
        <v>4.170838978775</v>
      </c>
      <c r="H5690" s="6" t="n">
        <f aca="false">(Sens!C5684*IF(5&lt;life_fac,1,IF(5=life_fac,0.5,0))+Sens!D5684*IF(4&lt;life_fac,1,IF(4=life_fac,0.5,0))+Sens!E5684*IF(3&lt;life_fac,1,IF(3=life_fac,0.5,0))+Sens!F5684*IF(2&lt;life_fac,1,IF(2=life_fac,0.5,0))+Sens!G5684*IF(1&lt;life_fac,1,IF(1=life_fac,0.5,0))+Sens!H5684*0.5)/life_fac</f>
        <v>5.898098964625</v>
      </c>
      <c r="I5690" s="6" t="n">
        <f aca="false">(Sens!C5684*IF(6&lt;life_fac,1,IF(6=life_fac,0.5,0))+Sens!D5684*IF(5&lt;life_fac,1,IF(5=life_fac,0.5,0))+Sens!E5684*IF(4&lt;life_fac,1,IF(4=life_fac,0.5,0))+Sens!F5684*IF(3&lt;life_fac,1,IF(3=life_fac,0.5,0))+Sens!G5684*IF(2&lt;life_fac,1,IF(2=life_fac,0.5,0))+Sens!H5684*IF(1&lt;life_fac,1,IF(1=life_fac,0.5,0))+Sens!I5684*0.5)/life_fac</f>
        <v>7.37368556095442</v>
      </c>
      <c r="J5690" s="6" t="n">
        <f aca="false">(Sens!C5684*IF(7&lt;life_fac,1,IF(7=life_fac,0.5,0))+Sens!D5684*IF(6&lt;life_fac,1,IF(6=life_fac,0.5,0))+Sens!E5684*IF(5&lt;life_fac,1,IF(5=life_fac,0.5,0))+Sens!F5684*IF(4&lt;life_fac,1,IF(4=life_fac,0.5,0))+Sens!G5684*IF(3&lt;life_fac,1,IF(3=life_fac,0.5,0))+Sens!H5684*IF(2&lt;life_fac,1,IF(2=life_fac,0.5,0))+Sens!I5684*IF(1&lt;life_fac,1,IF(1=life_fac,0.5,0))+Sens!J5684*0.5)/life_fac</f>
        <v>8.35816451031075</v>
      </c>
      <c r="K5690" s="6" t="n">
        <f aca="false">(Sens!C5684*IF(8&lt;life_fac,1,IF(8=life_fac,0.5,0))+Sens!D5684*IF(7&lt;life_fac,1,IF(7=life_fac,0.5,0))+Sens!E5684*IF(6&lt;life_fac,1,IF(6=life_fac,0.5,0))+Sens!F5684*IF(5&lt;life_fac,1,IF(5=life_fac,0.5,0))+Sens!G5684*IF(4&lt;life_fac,1,IF(4=life_fac,0.5,0))+Sens!H5684*IF(3&lt;life_fac,1,IF(3=life_fac,0.5,0))+Sens!I5684*IF(2&lt;life_fac,1,IF(2=life_fac,0.5,0))+Sens!J5684*IF(1&lt;life_fac,1,IF(1=life_fac,0.5,0))+Sens!K5684*0.5)/life_fac</f>
        <v>8.86883104910662</v>
      </c>
    </row>
    <row r="5691" customFormat="false" ht="17.15" hidden="false" customHeight="false" outlineLevel="0" collapsed="false">
      <c r="A5691" s="0" t="s">
        <v>1001</v>
      </c>
      <c r="B5691" s="0" t="s">
        <v>98</v>
      </c>
      <c r="E5691" s="6" t="n">
        <f aca="false">Sens!E5689+Sens!E5690</f>
        <v>16.3054059770833</v>
      </c>
      <c r="F5691" s="6" t="n">
        <f aca="false">Sens!F5689+Sens!F5690</f>
        <v>34.5793144783516</v>
      </c>
      <c r="G5691" s="6" t="n">
        <f aca="false">Sens!G5689+Sens!G5690</f>
        <v>60.7344906522989</v>
      </c>
      <c r="H5691" s="6" t="n">
        <f aca="false">Sens!H5689+Sens!H5690</f>
        <v>89.1000906614457</v>
      </c>
      <c r="I5691" s="6" t="n">
        <f aca="false">Sens!I5689+Sens!I5690</f>
        <v>114.231009694548</v>
      </c>
      <c r="J5691" s="6" t="n">
        <f aca="false">Sens!J5689+Sens!J5690</f>
        <v>132.015673049596</v>
      </c>
      <c r="K5691" s="6" t="n">
        <f aca="false">Sens!K5689+Sens!K5690</f>
        <v>143.012669550934</v>
      </c>
    </row>
    <row r="5692" customFormat="false" ht="17.15" hidden="false" customHeight="false" outlineLevel="0" collapsed="false">
      <c r="A5692" s="0" t="s">
        <v>1002</v>
      </c>
      <c r="B5692" s="0" t="s">
        <v>98</v>
      </c>
      <c r="E5692" s="6" t="n">
        <f aca="false">Sens!E5679-Sens!E5678*Sens!E5691</f>
        <v>8.92707889977379</v>
      </c>
      <c r="F5692" s="6" t="n">
        <f aca="false">Sens!F5679-Sens!F5678*Sens!F5691</f>
        <v>17.8722694983347</v>
      </c>
      <c r="G5692" s="6" t="n">
        <f aca="false">Sens!G5679-Sens!G5678*Sens!G5691</f>
        <v>29.1393076640148</v>
      </c>
      <c r="H5692" s="6" t="n">
        <f aca="false">Sens!H5679-Sens!H5678*Sens!H5691</f>
        <v>40.6292813850297</v>
      </c>
      <c r="I5692" s="6" t="n">
        <f aca="false">Sens!I5679-Sens!I5678*Sens!I5691</f>
        <v>50.5260580290203</v>
      </c>
      <c r="J5692" s="6" t="n">
        <f aca="false">Sens!J5679-Sens!J5678*Sens!J5691</f>
        <v>57.2132240640089</v>
      </c>
      <c r="K5692" s="6" t="n">
        <f aca="false">Sens!K5679-Sens!K5678*Sens!K5691</f>
        <v>61.3715939627545</v>
      </c>
    </row>
    <row r="5693" customFormat="false" ht="17.15" hidden="false" customHeight="false" outlineLevel="0" collapsed="false">
      <c r="A5693" s="3" t="s">
        <v>1621</v>
      </c>
    </row>
    <row r="5694" customFormat="false" ht="15" hidden="false" customHeight="false" outlineLevel="0" collapsed="false">
      <c r="A5694" s="4" t="s">
        <v>43</v>
      </c>
      <c r="B5694" s="4" t="s">
        <v>65</v>
      </c>
      <c r="C5694" s="23" t="s">
        <v>938</v>
      </c>
      <c r="D5694" s="23" t="s">
        <v>939</v>
      </c>
      <c r="E5694" s="23" t="s">
        <v>940</v>
      </c>
      <c r="F5694" s="23" t="s">
        <v>941</v>
      </c>
      <c r="G5694" s="23" t="s">
        <v>942</v>
      </c>
      <c r="H5694" s="23" t="s">
        <v>943</v>
      </c>
      <c r="I5694" s="23" t="s">
        <v>944</v>
      </c>
      <c r="J5694" s="23" t="s">
        <v>945</v>
      </c>
      <c r="K5694" s="23" t="s">
        <v>946</v>
      </c>
      <c r="L5694" s="4" t="s">
        <v>47</v>
      </c>
    </row>
    <row r="5695" customFormat="false" ht="17.15" hidden="false" customHeight="false" outlineLevel="0" collapsed="false">
      <c r="A5695" s="0" t="s">
        <v>1021</v>
      </c>
      <c r="B5695" s="0" t="s">
        <v>98</v>
      </c>
      <c r="D5695" s="6" t="n">
        <f aca="false">Sens!D5673</f>
        <v>12.9359794422418</v>
      </c>
      <c r="E5695" s="6" t="n">
        <f aca="false">Sens!E5673</f>
        <v>27.8095064661409</v>
      </c>
      <c r="F5695" s="6" t="n">
        <f aca="false">Sens!F5673</f>
        <v>54.507065337558</v>
      </c>
      <c r="G5695" s="6" t="n">
        <f aca="false">Sens!G5673</f>
        <v>89.3110535856398</v>
      </c>
      <c r="H5695" s="6" t="n">
        <f aca="false">Sens!H5673</f>
        <v>125.098291439331</v>
      </c>
      <c r="I5695" s="6" t="n">
        <f aca="false">Sens!I5673</f>
        <v>156.373170005789</v>
      </c>
      <c r="J5695" s="6" t="n">
        <f aca="false">Sens!J5673</f>
        <v>178.019061924832</v>
      </c>
      <c r="K5695" s="6" t="n">
        <f aca="false">Sens!K5673</f>
        <v>191.209655856378</v>
      </c>
    </row>
    <row r="5696" customFormat="false" ht="17.15" hidden="false" customHeight="false" outlineLevel="0" collapsed="false">
      <c r="A5696" s="0" t="s">
        <v>1022</v>
      </c>
      <c r="B5696" s="0" t="s">
        <v>98</v>
      </c>
      <c r="D5696" s="6" t="n">
        <f aca="false">Q!L6-Sens!D5695</f>
        <v>59.6740205577583</v>
      </c>
      <c r="E5696" s="6" t="n">
        <f aca="false">Q!M6-Sens!E5695</f>
        <v>74.1284935338591</v>
      </c>
      <c r="F5696" s="6" t="n">
        <f aca="false">Q!$I$6+(Sens!F5695+Sens!E5696*(1+Sens!F5697))*(1-Q!$E$6/Q!M6)-Sens!F5695</f>
        <v>91.4958890785629</v>
      </c>
      <c r="G5696" s="6" t="n">
        <f aca="false">Sens!F5696*(1+Sens!G5697)</f>
        <v>108.710772477187</v>
      </c>
      <c r="H5696" s="6" t="n">
        <f aca="false">Sens!G5696*(1+Sens!H5697)</f>
        <v>126.225376095119</v>
      </c>
      <c r="I5696" s="6" t="n">
        <f aca="false">Sens!H5696*(1+Sens!I5697)</f>
        <v>143.148996398834</v>
      </c>
      <c r="J5696" s="6" t="n">
        <f aca="false">Sens!I5696*(1+Sens!J5697)</f>
        <v>158.471280452254</v>
      </c>
      <c r="K5696" s="6" t="n">
        <f aca="false">Sens!J5696*(1+Sens!K5697)</f>
        <v>171.148982888434</v>
      </c>
      <c r="L5696" s="12" t="s">
        <v>1023</v>
      </c>
    </row>
    <row r="5697" customFormat="false" ht="15" hidden="false" customHeight="false" outlineLevel="0" collapsed="false">
      <c r="A5697" s="1" t="s">
        <v>1024</v>
      </c>
      <c r="B5697" s="0" t="s">
        <v>168</v>
      </c>
      <c r="E5697" s="7" t="n">
        <f aca="false">Sens!E5696/Sens!D5696-1</f>
        <v>0.242223883039864</v>
      </c>
      <c r="F5697" s="7" t="n">
        <f aca="false">Sens!$E$5697+(glt_azo-Sens!$E$5697)*MIN(1,(Sens!F5654-base_fy)/n_conv)</f>
        <v>0.215186569199887</v>
      </c>
      <c r="G5697" s="7" t="n">
        <f aca="false">Sens!$E$5697+(glt_azo-Sens!$E$5697)*MIN(1,(Sens!G5654-base_fy)/n_conv)</f>
        <v>0.18814925535991</v>
      </c>
      <c r="H5697" s="7" t="n">
        <f aca="false">Sens!$E$5697+(glt_azo-Sens!$E$5697)*MIN(1,(Sens!H5654-base_fy)/n_conv)</f>
        <v>0.161111941519932</v>
      </c>
      <c r="I5697" s="7" t="n">
        <f aca="false">Sens!$E$5697+(glt_azo-Sens!$E$5697)*MIN(1,(Sens!I5654-base_fy)/n_conv)</f>
        <v>0.134074627679955</v>
      </c>
      <c r="J5697" s="7" t="n">
        <f aca="false">Sens!$E$5697+(glt_azo-Sens!$E$5697)*MIN(1,(Sens!J5654-base_fy)/n_conv)</f>
        <v>0.107037313839977</v>
      </c>
      <c r="K5697" s="7" t="n">
        <f aca="false">Sens!$E$5697+(glt_azo-Sens!$E$5697)*MIN(1,(Sens!K5654-base_fy)/n_conv)</f>
        <v>0.08</v>
      </c>
    </row>
    <row r="5698" customFormat="false" ht="15" hidden="false" customHeight="false" outlineLevel="0" collapsed="false">
      <c r="A5698" s="0" t="s">
        <v>1025</v>
      </c>
      <c r="B5698" s="0" t="s">
        <v>98</v>
      </c>
      <c r="D5698" s="6" t="n">
        <f aca="false">Sens!D5695+Sens!D5696</f>
        <v>72.61</v>
      </c>
      <c r="E5698" s="6" t="n">
        <f aca="false">Sens!E5695+Sens!E5696</f>
        <v>101.938</v>
      </c>
      <c r="F5698" s="6" t="n">
        <f aca="false">Sens!F5695+Sens!F5696</f>
        <v>146.002954416121</v>
      </c>
      <c r="G5698" s="6" t="n">
        <f aca="false">Sens!G5695+Sens!G5696</f>
        <v>198.021826062827</v>
      </c>
      <c r="H5698" s="6" t="n">
        <f aca="false">Sens!H5695+Sens!H5696</f>
        <v>251.323667534449</v>
      </c>
      <c r="I5698" s="6" t="n">
        <f aca="false">Sens!I5695+Sens!I5696</f>
        <v>299.522166404623</v>
      </c>
      <c r="J5698" s="6" t="n">
        <f aca="false">Sens!J5695+Sens!J5696</f>
        <v>336.490342377086</v>
      </c>
      <c r="K5698" s="6" t="n">
        <f aca="false">Sens!K5695+Sens!K5696</f>
        <v>362.358638744812</v>
      </c>
    </row>
    <row r="5699" customFormat="false" ht="17.15" hidden="false" customHeight="false" outlineLevel="0" collapsed="false">
      <c r="A5699" s="0" t="s">
        <v>1026</v>
      </c>
      <c r="B5699" s="1" t="s">
        <v>610</v>
      </c>
      <c r="C5699" s="30" t="n">
        <f aca="false">cop_s24</f>
        <v>1</v>
      </c>
      <c r="D5699" s="30" t="n">
        <f aca="false">cop_s25</f>
        <v>5</v>
      </c>
      <c r="E5699" s="30" t="n">
        <f aca="false">cop_s26</f>
        <v>30</v>
      </c>
      <c r="F5699" s="30" t="n">
        <f aca="false">Sens!E5699+cop_add_B</f>
        <v>50</v>
      </c>
      <c r="G5699" s="30" t="n">
        <f aca="false">Sens!F5699+cop_add_B</f>
        <v>70</v>
      </c>
      <c r="H5699" s="30" t="n">
        <f aca="false">Sens!G5699+cop_add_B</f>
        <v>90</v>
      </c>
      <c r="I5699" s="30" t="n">
        <f aca="false">Sens!H5699+cop_add_B*cop_tail</f>
        <v>100</v>
      </c>
      <c r="J5699" s="30" t="n">
        <f aca="false">Sens!I5699+cop_add_B*cop_tail</f>
        <v>110</v>
      </c>
      <c r="K5699" s="30" t="n">
        <f aca="false">Sens!J5699+cop_add_B*cop_tail</f>
        <v>120</v>
      </c>
      <c r="L5699" s="12" t="s">
        <v>1027</v>
      </c>
    </row>
    <row r="5700" customFormat="false" ht="17.15" hidden="false" customHeight="false" outlineLevel="0" collapsed="false">
      <c r="A5700" s="0" t="s">
        <v>1028</v>
      </c>
      <c r="B5700" s="0" t="s">
        <v>98</v>
      </c>
      <c r="D5700" s="6" t="n">
        <f aca="false">(Sens!C5699+Sens!D5699)/2*cop_px*12/1000</f>
        <v>0.9</v>
      </c>
      <c r="E5700" s="6" t="n">
        <f aca="false">(Sens!D5699+Sens!E5699)/2*cop_px*12/1000</f>
        <v>5.25</v>
      </c>
      <c r="F5700" s="6" t="n">
        <f aca="false">(Sens!E5699+Sens!F5699)/2*cop_px*12/1000</f>
        <v>12</v>
      </c>
      <c r="G5700" s="6" t="n">
        <f aca="false">(Sens!F5699+Sens!G5699)/2*cop_px*12/1000</f>
        <v>18</v>
      </c>
      <c r="H5700" s="6" t="n">
        <f aca="false">(Sens!G5699+Sens!H5699)/2*cop_px*12/1000</f>
        <v>24</v>
      </c>
      <c r="I5700" s="6" t="n">
        <f aca="false">(Sens!H5699+Sens!I5699)/2*cop_px*12/1000</f>
        <v>28.5</v>
      </c>
      <c r="J5700" s="6" t="n">
        <f aca="false">(Sens!I5699+Sens!J5699)/2*cop_px*12/1000</f>
        <v>31.5</v>
      </c>
      <c r="K5700" s="6" t="n">
        <f aca="false">(Sens!J5699+Sens!K5699)/2*cop_px*12/1000</f>
        <v>34.5</v>
      </c>
      <c r="L5700" s="1" t="s">
        <v>1029</v>
      </c>
    </row>
    <row r="5701" customFormat="false" ht="17.15" hidden="false" customHeight="false" outlineLevel="0" collapsed="false">
      <c r="A5701" s="0" t="s">
        <v>1030</v>
      </c>
      <c r="B5701" s="0" t="s">
        <v>98</v>
      </c>
      <c r="D5701" s="6" t="n">
        <f aca="false">Q!L7-Sens!D5700</f>
        <v>83.705</v>
      </c>
      <c r="E5701" s="6" t="n">
        <f aca="false">Q!M7-Sens!E5700</f>
        <v>95.049</v>
      </c>
      <c r="F5701" s="6" t="n">
        <f aca="false">Q!$I$7+(Sens!E5701*(1+Sens!F5702)+Sens!F5700)*(1-Q!$E$7/Q!M7)-Sens!F5700</f>
        <v>106.584003697747</v>
      </c>
      <c r="G5701" s="6" t="n">
        <f aca="false">Sens!F5701*(1+Sens!G5702)</f>
        <v>118.700726545688</v>
      </c>
      <c r="H5701" s="6" t="n">
        <f aca="false">Sens!G5701*(1+Sens!H5702)</f>
        <v>130.898624783666</v>
      </c>
      <c r="I5701" s="6" t="n">
        <f aca="false">Sens!H5701*(1+Sens!I5702)</f>
        <v>142.920510030657</v>
      </c>
      <c r="J5701" s="6" t="n">
        <f aca="false">Sens!I5701*(1+Sens!J5702)</f>
        <v>154.485722618572</v>
      </c>
      <c r="K5701" s="6" t="n">
        <f aca="false">Sens!J5701*(1+Sens!K5702)</f>
        <v>165.299723201872</v>
      </c>
      <c r="L5701" s="12" t="s">
        <v>1031</v>
      </c>
    </row>
    <row r="5702" customFormat="false" ht="15" hidden="false" customHeight="false" outlineLevel="0" collapsed="false">
      <c r="A5702" s="1" t="s">
        <v>1024</v>
      </c>
      <c r="B5702" s="0" t="s">
        <v>168</v>
      </c>
      <c r="E5702" s="7" t="n">
        <f aca="false">Sens!E5701/Sens!D5701-1</f>
        <v>0.135523564900544</v>
      </c>
      <c r="F5702" s="7" t="n">
        <f aca="false">Sens!$E$5702+(glt_m365b-Sens!$E$5702)*MIN(1,(Sens!F5654-base_fy)/n_conv)</f>
        <v>0.124602970750453</v>
      </c>
      <c r="G5702" s="7" t="n">
        <f aca="false">Sens!$E$5702+(glt_m365b-Sens!$E$5702)*MIN(1,(Sens!G5654-base_fy)/n_conv)</f>
        <v>0.113682376600363</v>
      </c>
      <c r="H5702" s="7" t="n">
        <f aca="false">Sens!$E$5702+(glt_m365b-Sens!$E$5702)*MIN(1,(Sens!H5654-base_fy)/n_conv)</f>
        <v>0.102761782450272</v>
      </c>
      <c r="I5702" s="7" t="n">
        <f aca="false">Sens!$E$5702+(glt_m365b-Sens!$E$5702)*MIN(1,(Sens!I5654-base_fy)/n_conv)</f>
        <v>0.0918411883001813</v>
      </c>
      <c r="J5702" s="7" t="n">
        <f aca="false">Sens!$E$5702+(glt_m365b-Sens!$E$5702)*MIN(1,(Sens!J5654-base_fy)/n_conv)</f>
        <v>0.0809205941500906</v>
      </c>
      <c r="K5702" s="7" t="n">
        <f aca="false">Sens!$E$5702+(glt_m365b-Sens!$E$5702)*MIN(1,(Sens!K5654-base_fy)/n_conv)</f>
        <v>0.07</v>
      </c>
    </row>
    <row r="5703" customFormat="false" ht="15" hidden="false" customHeight="false" outlineLevel="0" collapsed="false">
      <c r="A5703" s="0" t="s">
        <v>1032</v>
      </c>
      <c r="B5703" s="0" t="s">
        <v>98</v>
      </c>
      <c r="D5703" s="6" t="n">
        <f aca="false">Sens!D5701+Sens!D5700</f>
        <v>84.605</v>
      </c>
      <c r="E5703" s="6" t="n">
        <f aca="false">Sens!E5701+Sens!E5700</f>
        <v>100.299</v>
      </c>
      <c r="F5703" s="6" t="n">
        <f aca="false">Sens!F5701+Sens!F5700</f>
        <v>118.584003697747</v>
      </c>
      <c r="G5703" s="6" t="n">
        <f aca="false">Sens!G5701+Sens!G5700</f>
        <v>136.700726545688</v>
      </c>
      <c r="H5703" s="6" t="n">
        <f aca="false">Sens!H5701+Sens!H5700</f>
        <v>154.898624783666</v>
      </c>
      <c r="I5703" s="6" t="n">
        <f aca="false">Sens!I5701+Sens!I5700</f>
        <v>171.420510030657</v>
      </c>
      <c r="J5703" s="6" t="n">
        <f aca="false">Sens!J5701+Sens!J5700</f>
        <v>185.985722618572</v>
      </c>
      <c r="K5703" s="6" t="n">
        <f aca="false">Sens!K5701+Sens!K5700</f>
        <v>199.799723201872</v>
      </c>
    </row>
    <row r="5704" customFormat="false" ht="17.15" hidden="false" customHeight="false" outlineLevel="0" collapsed="false">
      <c r="A5704" s="0" t="s">
        <v>1033</v>
      </c>
      <c r="B5704" s="0" t="s">
        <v>98</v>
      </c>
      <c r="D5704" s="6" t="n">
        <f aca="false">Q!L8</f>
        <v>35.391</v>
      </c>
      <c r="E5704" s="6" t="n">
        <f aca="false">Q!M8</f>
        <v>37.285</v>
      </c>
      <c r="F5704" s="6" t="n">
        <f aca="false">Q!$I$8+(Q!M8-Q!$E$8)*(1+Sens!F5705)</f>
        <v>38.3851437782675</v>
      </c>
      <c r="G5704" s="6" t="n">
        <f aca="false">Sens!F5704*(1+Sens!G5705)</f>
        <v>40.0105353288615</v>
      </c>
      <c r="H5704" s="6" t="n">
        <f aca="false">Sens!G5704*(1+Sens!H5705)</f>
        <v>41.4812512033683</v>
      </c>
      <c r="I5704" s="6" t="n">
        <f aca="false">Sens!H5704*(1+Sens!I5705)</f>
        <v>42.7743107216329</v>
      </c>
      <c r="J5704" s="6" t="n">
        <f aca="false">Sens!I5704*(1+Sens!J5705)</f>
        <v>43.8687373064601</v>
      </c>
      <c r="K5704" s="6" t="n">
        <f aca="false">Sens!J5704*(1+Sens!K5705)</f>
        <v>44.7461120525893</v>
      </c>
      <c r="L5704" s="12" t="s">
        <v>1034</v>
      </c>
    </row>
    <row r="5705" customFormat="false" ht="15" hidden="false" customHeight="false" outlineLevel="0" collapsed="false">
      <c r="A5705" s="1" t="s">
        <v>1024</v>
      </c>
      <c r="B5705" s="0" t="s">
        <v>168</v>
      </c>
      <c r="E5705" s="7" t="n">
        <f aca="false">Sens!E5704/Sens!D5704-1</f>
        <v>0.0535164307309768</v>
      </c>
      <c r="F5705" s="7" t="n">
        <f aca="false">Sens!$E$5705+(glt_lic-Sens!$E$5705)*MIN(1,(Sens!F5654-base_fy)/n_conv)</f>
        <v>0.0479303589424807</v>
      </c>
      <c r="G5705" s="7" t="n">
        <f aca="false">Sens!$E$5705+(glt_lic-Sens!$E$5705)*MIN(1,(Sens!G5654-base_fy)/n_conv)</f>
        <v>0.0423442871539845</v>
      </c>
      <c r="H5705" s="7" t="n">
        <f aca="false">Sens!$E$5705+(glt_lic-Sens!$E$5705)*MIN(1,(Sens!H5654-base_fy)/n_conv)</f>
        <v>0.0367582153654884</v>
      </c>
      <c r="I5705" s="7" t="n">
        <f aca="false">Sens!$E$5705+(glt_lic-Sens!$E$5705)*MIN(1,(Sens!I5654-base_fy)/n_conv)</f>
        <v>0.0311721435769923</v>
      </c>
      <c r="J5705" s="7" t="n">
        <f aca="false">Sens!$E$5705+(glt_lic-Sens!$E$5705)*MIN(1,(Sens!J5654-base_fy)/n_conv)</f>
        <v>0.0255860717884961</v>
      </c>
      <c r="K5705" s="7" t="n">
        <f aca="false">Sens!$E$5705+(glt_lic-Sens!$E$5705)*MIN(1,(Sens!K5654-base_fy)/n_conv)</f>
        <v>0.02</v>
      </c>
    </row>
    <row r="5706" customFormat="false" ht="17.15" hidden="false" customHeight="false" outlineLevel="0" collapsed="false">
      <c r="A5706" s="0" t="s">
        <v>1035</v>
      </c>
      <c r="B5706" s="0" t="s">
        <v>98</v>
      </c>
      <c r="D5706" s="6" t="n">
        <f aca="false">Q!L9</f>
        <v>18.417</v>
      </c>
      <c r="E5706" s="6" t="n">
        <f aca="false">Q!M9</f>
        <v>20.345</v>
      </c>
      <c r="F5706" s="6" t="n">
        <f aca="false">Q!$I$9+(Q!M9-Q!$E$9)*(1+Sens!F5707)</f>
        <v>22.3161797133988</v>
      </c>
      <c r="G5706" s="6" t="n">
        <f aca="false">Sens!F5706*(1+Sens!G5707)</f>
        <v>24.3943499673233</v>
      </c>
      <c r="H5706" s="6" t="n">
        <f aca="false">Sens!G5706*(1+Sens!H5707)</f>
        <v>26.5250243109019</v>
      </c>
      <c r="I5706" s="6" t="n">
        <f aca="false">Sens!H5706*(1+Sens!I5707)</f>
        <v>28.6884573538181</v>
      </c>
      <c r="J5706" s="6" t="n">
        <f aca="false">Sens!I5706*(1+Sens!J5707)</f>
        <v>30.8624968052127</v>
      </c>
      <c r="K5706" s="6" t="n">
        <f aca="false">Sens!J5706*(1+Sens!K5707)</f>
        <v>33.0228715815776</v>
      </c>
      <c r="L5706" s="12" t="s">
        <v>1034</v>
      </c>
    </row>
    <row r="5707" customFormat="false" ht="15" hidden="false" customHeight="false" outlineLevel="0" collapsed="false">
      <c r="A5707" s="1" t="s">
        <v>1024</v>
      </c>
      <c r="B5707" s="0" t="s">
        <v>168</v>
      </c>
      <c r="E5707" s="7" t="n">
        <f aca="false">Sens!E5706/Sens!D5706-1</f>
        <v>0.104685888038225</v>
      </c>
      <c r="F5707" s="7" t="n">
        <f aca="false">Sens!$E$5707+(glt_ind-Sens!$E$5707)*MIN(1,(Sens!F5654-base_fy)/n_conv)</f>
        <v>0.0989049066985211</v>
      </c>
      <c r="G5707" s="7" t="n">
        <f aca="false">Sens!$E$5707+(glt_ind-Sens!$E$5707)*MIN(1,(Sens!G5654-base_fy)/n_conv)</f>
        <v>0.0931239253588169</v>
      </c>
      <c r="H5707" s="7" t="n">
        <f aca="false">Sens!$E$5707+(glt_ind-Sens!$E$5707)*MIN(1,(Sens!H5654-base_fy)/n_conv)</f>
        <v>0.0873429440191127</v>
      </c>
      <c r="I5707" s="7" t="n">
        <f aca="false">Sens!$E$5707+(glt_ind-Sens!$E$5707)*MIN(1,(Sens!I5654-base_fy)/n_conv)</f>
        <v>0.0815619626794085</v>
      </c>
      <c r="J5707" s="7" t="n">
        <f aca="false">Sens!$E$5707+(glt_ind-Sens!$E$5707)*MIN(1,(Sens!J5654-base_fy)/n_conv)</f>
        <v>0.0757809813397042</v>
      </c>
      <c r="K5707" s="7" t="n">
        <f aca="false">Sens!$E$5707+(glt_ind-Sens!$E$5707)*MIN(1,(Sens!K5654-base_fy)/n_conv)</f>
        <v>0.07</v>
      </c>
    </row>
    <row r="5708" customFormat="false" ht="17.15" hidden="false" customHeight="false" outlineLevel="0" collapsed="false">
      <c r="A5708" s="0" t="s">
        <v>1036</v>
      </c>
      <c r="B5708" s="0" t="s">
        <v>98</v>
      </c>
      <c r="D5708" s="6" t="n">
        <f aca="false">Q!L10</f>
        <v>7.76</v>
      </c>
      <c r="E5708" s="6" t="n">
        <f aca="false">Q!M10</f>
        <v>8.26</v>
      </c>
      <c r="F5708" s="6" t="n">
        <f aca="false">Q!$I$10+(Q!M10-Q!$E$10)*(1+Sens!F5709)</f>
        <v>8.75372082474227</v>
      </c>
      <c r="G5708" s="6" t="n">
        <f aca="false">Sens!F5708*(1+Sens!G5709)</f>
        <v>9.33399324642364</v>
      </c>
      <c r="H5708" s="6" t="n">
        <f aca="false">Sens!G5708*(1+Sens!H5709)</f>
        <v>9.96139155535851</v>
      </c>
      <c r="I5708" s="6" t="n">
        <f aca="false">Sens!H5708*(1+Sens!I5709)</f>
        <v>10.6402039077391</v>
      </c>
      <c r="J5708" s="6" t="n">
        <f aca="false">Sens!I5708*(1+Sens!J5709)</f>
        <v>11.3751458271397</v>
      </c>
      <c r="K5708" s="6" t="n">
        <f aca="false">Sens!J5708*(1+Sens!K5709)</f>
        <v>12.1714060350394</v>
      </c>
      <c r="L5708" s="12" t="s">
        <v>1034</v>
      </c>
    </row>
    <row r="5709" customFormat="false" ht="15" hidden="false" customHeight="false" outlineLevel="0" collapsed="false">
      <c r="A5709" s="1" t="s">
        <v>1024</v>
      </c>
      <c r="B5709" s="0" t="s">
        <v>168</v>
      </c>
      <c r="E5709" s="7" t="n">
        <f aca="false">Sens!E5708/Sens!D5708-1</f>
        <v>0.0644329896907216</v>
      </c>
      <c r="F5709" s="7" t="n">
        <f aca="false">Sens!$E$5709+(glt_fro-Sens!$E$5709)*MIN(1,(Sens!F5654-base_fy)/n_conv)</f>
        <v>0.065360824742268</v>
      </c>
      <c r="G5709" s="7" t="n">
        <f aca="false">Sens!$E$5709+(glt_fro-Sens!$E$5709)*MIN(1,(Sens!G5654-base_fy)/n_conv)</f>
        <v>0.0662886597938144</v>
      </c>
      <c r="H5709" s="7" t="n">
        <f aca="false">Sens!$E$5709+(glt_fro-Sens!$E$5709)*MIN(1,(Sens!H5654-base_fy)/n_conv)</f>
        <v>0.0672164948453608</v>
      </c>
      <c r="I5709" s="7" t="n">
        <f aca="false">Sens!$E$5709+(glt_fro-Sens!$E$5709)*MIN(1,(Sens!I5654-base_fy)/n_conv)</f>
        <v>0.0681443298969072</v>
      </c>
      <c r="J5709" s="7" t="n">
        <f aca="false">Sens!$E$5709+(glt_fro-Sens!$E$5709)*MIN(1,(Sens!J5654-base_fy)/n_conv)</f>
        <v>0.0690721649484536</v>
      </c>
      <c r="K5709" s="7" t="n">
        <f aca="false">Sens!$E$5709+(glt_fro-Sens!$E$5709)*MIN(1,(Sens!K5654-base_fy)/n_conv)</f>
        <v>0.07</v>
      </c>
    </row>
    <row r="5710" customFormat="false" ht="15" hidden="false" customHeight="false" outlineLevel="0" collapsed="false">
      <c r="A5710" s="0" t="s">
        <v>852</v>
      </c>
      <c r="B5710" s="0" t="s">
        <v>98</v>
      </c>
      <c r="D5710" s="6" t="n">
        <f aca="false">Sens!D5698+Sens!D5703+Sens!D5704+Sens!D5706+Sens!D5708</f>
        <v>218.783</v>
      </c>
      <c r="E5710" s="6" t="n">
        <f aca="false">Sens!E5698+Sens!E5703+Sens!E5704+Sens!E5706+Sens!E5708</f>
        <v>268.127</v>
      </c>
      <c r="F5710" s="6" t="n">
        <f aca="false">Sens!F5698+Sens!F5703+Sens!F5704+Sens!F5706+Sens!F5708</f>
        <v>334.042002430276</v>
      </c>
      <c r="G5710" s="6" t="n">
        <f aca="false">Sens!G5698+Sens!G5703+Sens!G5704+Sens!G5706+Sens!G5708</f>
        <v>408.461431151124</v>
      </c>
      <c r="H5710" s="6" t="n">
        <f aca="false">Sens!H5698+Sens!H5703+Sens!H5704+Sens!H5706+Sens!H5708</f>
        <v>484.189959387744</v>
      </c>
      <c r="I5710" s="6" t="n">
        <f aca="false">Sens!I5698+Sens!I5703+Sens!I5704+Sens!I5706+Sens!I5708</f>
        <v>553.04564841847</v>
      </c>
      <c r="J5710" s="6" t="n">
        <f aca="false">Sens!J5698+Sens!J5703+Sens!J5704+Sens!J5706+Sens!J5708</f>
        <v>608.58244493447</v>
      </c>
      <c r="K5710" s="6" t="n">
        <f aca="false">Sens!K5698+Sens!K5703+Sens!K5704+Sens!K5706+Sens!K5708</f>
        <v>652.09875161589</v>
      </c>
    </row>
    <row r="5711" customFormat="false" ht="17.15" hidden="false" customHeight="false" outlineLevel="0" collapsed="false">
      <c r="A5711" s="0" t="s">
        <v>1037</v>
      </c>
      <c r="B5711" s="0" t="s">
        <v>98</v>
      </c>
      <c r="D5711" s="6" t="n">
        <f aca="false">Q!L13</f>
        <v>22.171</v>
      </c>
      <c r="E5711" s="6" t="n">
        <f aca="false">Q!M13</f>
        <v>24.835</v>
      </c>
      <c r="F5711" s="6" t="n">
        <f aca="false">Q!$I$13+(Q!M13-Q!$E$13)*(1+Sens!F5712)</f>
        <v>27.5591895660247</v>
      </c>
      <c r="G5711" s="6" t="n">
        <f aca="false">Sens!F5711*(1+Sens!G5712)</f>
        <v>30.4098563144583</v>
      </c>
      <c r="H5711" s="6" t="n">
        <f aca="false">Sens!G5711*(1+Sens!H5712)</f>
        <v>33.3011792571777</v>
      </c>
      <c r="I5711" s="6" t="n">
        <f aca="false">Sens!H5711*(1+Sens!I5712)</f>
        <v>36.189023797112</v>
      </c>
      <c r="J5711" s="6" t="n">
        <f aca="false">Sens!I5711*(1+Sens!J5712)</f>
        <v>39.0247773769199</v>
      </c>
      <c r="K5711" s="6" t="n">
        <f aca="false">Sens!J5711*(1+Sens!K5712)</f>
        <v>41.7565117933043</v>
      </c>
      <c r="L5711" s="12" t="s">
        <v>1034</v>
      </c>
    </row>
    <row r="5712" customFormat="false" ht="15" hidden="false" customHeight="false" outlineLevel="0" collapsed="false">
      <c r="A5712" s="1" t="s">
        <v>1024</v>
      </c>
      <c r="B5712" s="0" t="s">
        <v>168</v>
      </c>
      <c r="E5712" s="7" t="n">
        <f aca="false">Sens!E5711/Sens!D5711-1</f>
        <v>0.120156961796942</v>
      </c>
      <c r="F5712" s="7" t="n">
        <f aca="false">Sens!$E$5712+(glt_srch-Sens!$E$5712)*MIN(1,(Sens!F5654-base_fy)/n_conv)</f>
        <v>0.111797468164118</v>
      </c>
      <c r="G5712" s="7" t="n">
        <f aca="false">Sens!$E$5712+(glt_srch-Sens!$E$5712)*MIN(1,(Sens!G5654-base_fy)/n_conv)</f>
        <v>0.103437974531295</v>
      </c>
      <c r="H5712" s="7" t="n">
        <f aca="false">Sens!$E$5712+(glt_srch-Sens!$E$5712)*MIN(1,(Sens!H5654-base_fy)/n_conv)</f>
        <v>0.095078480898471</v>
      </c>
      <c r="I5712" s="7" t="n">
        <f aca="false">Sens!$E$5712+(glt_srch-Sens!$E$5712)*MIN(1,(Sens!I5654-base_fy)/n_conv)</f>
        <v>0.0867189872656474</v>
      </c>
      <c r="J5712" s="7" t="n">
        <f aca="false">Sens!$E$5712+(glt_srch-Sens!$E$5712)*MIN(1,(Sens!J5654-base_fy)/n_conv)</f>
        <v>0.0783594936328237</v>
      </c>
      <c r="K5712" s="7" t="n">
        <f aca="false">Sens!$E$5712+(glt_srch-Sens!$E$5712)*MIN(1,(Sens!K5654-base_fy)/n_conv)</f>
        <v>0.07</v>
      </c>
    </row>
    <row r="5713" customFormat="false" ht="17.15" hidden="false" customHeight="false" outlineLevel="0" collapsed="false">
      <c r="A5713" s="0" t="s">
        <v>1038</v>
      </c>
      <c r="B5713" s="0" t="s">
        <v>98</v>
      </c>
      <c r="D5713" s="6" t="n">
        <f aca="false">Q!L14</f>
        <v>23.455</v>
      </c>
      <c r="E5713" s="6" t="n">
        <f aca="false">Q!M14</f>
        <v>21.79</v>
      </c>
      <c r="F5713" s="6" t="n">
        <f aca="false">Q!$I$14+(Q!M14-Q!$E$14)*(1+Sens!F5714)</f>
        <v>20.7520981041711</v>
      </c>
      <c r="G5713" s="6" t="n">
        <f aca="false">Sens!F5713*(1+Sens!G5714)</f>
        <v>19.9083593495882</v>
      </c>
      <c r="H5713" s="6" t="n">
        <f aca="false">Sens!G5713*(1+Sens!H5714)</f>
        <v>19.4008256265831</v>
      </c>
      <c r="I5713" s="6" t="n">
        <f aca="false">Sens!H5713*(1+Sens!I5714)</f>
        <v>19.200434522122</v>
      </c>
      <c r="J5713" s="6" t="n">
        <f aca="false">Sens!I5713*(1+Sens!J5714)</f>
        <v>19.2932782348507</v>
      </c>
      <c r="K5713" s="6" t="n">
        <f aca="false">Sens!J5713*(1+Sens!K5714)</f>
        <v>19.6791437995477</v>
      </c>
      <c r="L5713" s="12" t="s">
        <v>1034</v>
      </c>
    </row>
    <row r="5714" customFormat="false" ht="15" hidden="false" customHeight="false" outlineLevel="0" collapsed="false">
      <c r="A5714" s="1" t="s">
        <v>1024</v>
      </c>
      <c r="B5714" s="0" t="s">
        <v>168</v>
      </c>
      <c r="E5714" s="7" t="n">
        <f aca="false">Sens!E5713/Sens!D5713-1</f>
        <v>-0.0709869963760392</v>
      </c>
      <c r="F5714" s="7" t="n">
        <f aca="false">Sens!$E$5714+(glt_xbox-Sens!$E$5714)*MIN(1,(Sens!F5654-base_fy)/n_conv)</f>
        <v>-0.0558224969800327</v>
      </c>
      <c r="G5714" s="7" t="n">
        <f aca="false">Sens!$E$5714+(glt_xbox-Sens!$E$5714)*MIN(1,(Sens!G5654-base_fy)/n_conv)</f>
        <v>-0.0406579975840262</v>
      </c>
      <c r="H5714" s="7" t="n">
        <f aca="false">Sens!$E$5714+(glt_xbox-Sens!$E$5714)*MIN(1,(Sens!H5654-base_fy)/n_conv)</f>
        <v>-0.0254934981880196</v>
      </c>
      <c r="I5714" s="7" t="n">
        <f aca="false">Sens!$E$5714+(glt_xbox-Sens!$E$5714)*MIN(1,(Sens!I5654-base_fy)/n_conv)</f>
        <v>-0.0103289987920131</v>
      </c>
      <c r="J5714" s="7" t="n">
        <f aca="false">Sens!$E$5714+(glt_xbox-Sens!$E$5714)*MIN(1,(Sens!J5654-base_fy)/n_conv)</f>
        <v>0.00483550060399347</v>
      </c>
      <c r="K5714" s="7" t="n">
        <f aca="false">Sens!$E$5714+(glt_xbox-Sens!$E$5714)*MIN(1,(Sens!K5654-base_fy)/n_conv)</f>
        <v>0.02</v>
      </c>
    </row>
    <row r="5715" customFormat="false" ht="17.15" hidden="false" customHeight="false" outlineLevel="0" collapsed="false">
      <c r="A5715" s="0" t="s">
        <v>1039</v>
      </c>
      <c r="B5715" s="0" t="s">
        <v>98</v>
      </c>
      <c r="D5715" s="6" t="n">
        <f aca="false">Q!L15</f>
        <v>17.315</v>
      </c>
      <c r="E5715" s="6" t="n">
        <f aca="false">Q!M15</f>
        <v>17.087</v>
      </c>
      <c r="F5715" s="6" t="n">
        <f aca="false">Q!$I$15+(Q!M15-Q!$E$15)*(1+Sens!F5716)</f>
        <v>15.9912273250553</v>
      </c>
      <c r="G5715" s="6" t="n">
        <f aca="false">Sens!F5715*(1+Sens!G5716)</f>
        <v>15.9574562664827</v>
      </c>
      <c r="H5715" s="6" t="n">
        <f aca="false">Sens!G5715*(1+Sens!H5716)</f>
        <v>16.0119687434196</v>
      </c>
      <c r="I5715" s="6" t="n">
        <f aca="false">Sens!H5715*(1+Sens!I5716)</f>
        <v>16.1551810001948</v>
      </c>
      <c r="J5715" s="6" t="n">
        <f aca="false">Sens!I5715*(1+Sens!J5716)</f>
        <v>16.3889793892005</v>
      </c>
      <c r="K5715" s="6" t="n">
        <f aca="false">Sens!J5715*(1+Sens!K5716)</f>
        <v>16.7167589769845</v>
      </c>
      <c r="L5715" s="12" t="s">
        <v>1034</v>
      </c>
    </row>
    <row r="5716" customFormat="false" ht="15" hidden="false" customHeight="false" outlineLevel="0" collapsed="false">
      <c r="A5716" s="1" t="s">
        <v>1024</v>
      </c>
      <c r="B5716" s="0" t="s">
        <v>168</v>
      </c>
      <c r="E5716" s="7" t="n">
        <f aca="false">Sens!E5715/Sens!D5715-1</f>
        <v>-0.0131677736066995</v>
      </c>
      <c r="F5716" s="7" t="n">
        <f aca="false">Sens!$E$5716+(glt_win-Sens!$E$5716)*MIN(1,(Sens!F5654-base_fy)/n_conv)</f>
        <v>-0.00763981133891627</v>
      </c>
      <c r="G5716" s="7" t="n">
        <f aca="false">Sens!$E$5716+(glt_win-Sens!$E$5716)*MIN(1,(Sens!G5654-base_fy)/n_conv)</f>
        <v>-0.00211184907113301</v>
      </c>
      <c r="H5716" s="7" t="n">
        <f aca="false">Sens!$E$5716+(glt_win-Sens!$E$5716)*MIN(1,(Sens!H5654-base_fy)/n_conv)</f>
        <v>0.00341611319665024</v>
      </c>
      <c r="I5716" s="7" t="n">
        <f aca="false">Sens!$E$5716+(glt_win-Sens!$E$5716)*MIN(1,(Sens!I5654-base_fy)/n_conv)</f>
        <v>0.00894407546443349</v>
      </c>
      <c r="J5716" s="7" t="n">
        <f aca="false">Sens!$E$5716+(glt_win-Sens!$E$5716)*MIN(1,(Sens!J5654-base_fy)/n_conv)</f>
        <v>0.0144720377322168</v>
      </c>
      <c r="K5716" s="7" t="n">
        <f aca="false">Sens!$E$5716+(glt_win-Sens!$E$5716)*MIN(1,(Sens!K5654-base_fy)/n_conv)</f>
        <v>0.02</v>
      </c>
    </row>
    <row r="5717" customFormat="false" ht="15" hidden="false" customHeight="false" outlineLevel="0" collapsed="false">
      <c r="A5717" s="0" t="s">
        <v>866</v>
      </c>
      <c r="B5717" s="0" t="s">
        <v>98</v>
      </c>
      <c r="D5717" s="6" t="n">
        <f aca="false">Sens!D5711+Sens!D5713+Sens!D5715</f>
        <v>62.941</v>
      </c>
      <c r="E5717" s="6" t="n">
        <f aca="false">Sens!E5711+Sens!E5713+Sens!E5715</f>
        <v>63.712</v>
      </c>
      <c r="F5717" s="6" t="n">
        <f aca="false">Sens!F5711+Sens!F5713+Sens!F5715</f>
        <v>64.3025149952511</v>
      </c>
      <c r="G5717" s="6" t="n">
        <f aca="false">Sens!G5711+Sens!G5713+Sens!G5715</f>
        <v>66.2756719305292</v>
      </c>
      <c r="H5717" s="6" t="n">
        <f aca="false">Sens!H5711+Sens!H5713+Sens!H5715</f>
        <v>68.7139736271804</v>
      </c>
      <c r="I5717" s="6" t="n">
        <f aca="false">Sens!I5711+Sens!I5713+Sens!I5715</f>
        <v>71.5446393194289</v>
      </c>
      <c r="J5717" s="6" t="n">
        <f aca="false">Sens!J5711+Sens!J5713+Sens!J5715</f>
        <v>74.707035000971</v>
      </c>
      <c r="K5717" s="6" t="n">
        <f aca="false">Sens!K5711+Sens!K5713+Sens!K5715</f>
        <v>78.1524145698365</v>
      </c>
    </row>
    <row r="5718" customFormat="false" ht="15" hidden="false" customHeight="false" outlineLevel="0" collapsed="false">
      <c r="A5718" s="1" t="s">
        <v>1040</v>
      </c>
      <c r="B5718" s="0" t="s">
        <v>98</v>
      </c>
      <c r="D5718" s="6" t="n">
        <f aca="false">Sens!D5710+Sens!D5717</f>
        <v>281.724</v>
      </c>
      <c r="E5718" s="6" t="n">
        <f aca="false">Sens!E5710+Sens!E5717</f>
        <v>331.839</v>
      </c>
      <c r="F5718" s="6" t="n">
        <f aca="false">Sens!F5710+Sens!F5717</f>
        <v>398.344517425527</v>
      </c>
      <c r="G5718" s="6" t="n">
        <f aca="false">Sens!G5710+Sens!G5717</f>
        <v>474.737103081653</v>
      </c>
      <c r="H5718" s="6" t="n">
        <f aca="false">Sens!H5710+Sens!H5717</f>
        <v>552.903933014924</v>
      </c>
      <c r="I5718" s="6" t="n">
        <f aca="false">Sens!I5710+Sens!I5717</f>
        <v>624.590287737899</v>
      </c>
      <c r="J5718" s="6" t="n">
        <f aca="false">Sens!J5710+Sens!J5717</f>
        <v>683.289479935441</v>
      </c>
      <c r="K5718" s="6" t="n">
        <f aca="false">Sens!K5710+Sens!K5717</f>
        <v>730.251166185726</v>
      </c>
    </row>
    <row r="5719" customFormat="false" ht="15" hidden="false" customHeight="false" outlineLevel="0" collapsed="false">
      <c r="A5719" s="26" t="s">
        <v>1041</v>
      </c>
      <c r="B5719" s="31" t="s">
        <v>98</v>
      </c>
      <c r="C5719" s="31"/>
      <c r="D5719" s="27" t="n">
        <f aca="false">(Sens!D5698+Sens!D5703+Sens!D5704+Sens!D5706+Sens!D5708-Sens!D5710)+(Sens!D5711+Sens!D5713+Sens!D5715-Sens!D5717)+(Sens!D5710-Q!L5)+(Sens!D5717-Q!L12)+(Sens!D5698-Q!L6)+(Sens!D5703-Q!L7)</f>
        <v>0</v>
      </c>
      <c r="E5719" s="27" t="n">
        <f aca="false">(Sens!E5698+Sens!E5703+Sens!E5704+Sens!E5706+Sens!E5708-Sens!E5710)+(Sens!E5711+Sens!E5713+Sens!E5715-Sens!E5717)+(Sens!E5710-Q!M5)+(Sens!E5717-Q!M12)+(Sens!E5698-Q!M6)+(Sens!E5703-Q!M7)</f>
        <v>0</v>
      </c>
      <c r="F5719" s="27" t="n">
        <f aca="false">(Sens!F5698+Sens!F5703+Sens!F5704+Sens!F5706+Sens!F5708-Sens!F5710)+(Sens!F5711+Sens!F5713+Sens!F5715-Sens!F5717)</f>
        <v>0</v>
      </c>
      <c r="G5719" s="27" t="n">
        <f aca="false">(Sens!G5698+Sens!G5703+Sens!G5704+Sens!G5706+Sens!G5708-Sens!G5710)+(Sens!G5711+Sens!G5713+Sens!G5715-Sens!G5717)</f>
        <v>0</v>
      </c>
      <c r="H5719" s="27" t="n">
        <f aca="false">(Sens!H5698+Sens!H5703+Sens!H5704+Sens!H5706+Sens!H5708-Sens!H5710)+(Sens!H5711+Sens!H5713+Sens!H5715-Sens!H5717)</f>
        <v>0</v>
      </c>
      <c r="I5719" s="27" t="n">
        <f aca="false">(Sens!I5698+Sens!I5703+Sens!I5704+Sens!I5706+Sens!I5708-Sens!I5710)+(Sens!I5711+Sens!I5713+Sens!I5715-Sens!I5717)</f>
        <v>0</v>
      </c>
      <c r="J5719" s="27" t="n">
        <f aca="false">(Sens!J5698+Sens!J5703+Sens!J5704+Sens!J5706+Sens!J5708-Sens!J5710)+(Sens!J5711+Sens!J5713+Sens!J5715-Sens!J5717)</f>
        <v>0</v>
      </c>
      <c r="K5719" s="27" t="n">
        <f aca="false">(Sens!K5698+Sens!K5703+Sens!K5704+Sens!K5706+Sens!K5708-Sens!K5710)+(Sens!K5711+Sens!K5713+Sens!K5715-Sens!K5717)</f>
        <v>0</v>
      </c>
    </row>
    <row r="5720" customFormat="false" ht="17.15" hidden="false" customHeight="false" outlineLevel="0" collapsed="false">
      <c r="A5720" s="3" t="s">
        <v>1622</v>
      </c>
    </row>
    <row r="5721" customFormat="false" ht="15" hidden="false" customHeight="false" outlineLevel="0" collapsed="false">
      <c r="A5721" s="4" t="s">
        <v>43</v>
      </c>
      <c r="B5721" s="4" t="s">
        <v>65</v>
      </c>
      <c r="C5721" s="23" t="s">
        <v>938</v>
      </c>
      <c r="D5721" s="23" t="s">
        <v>939</v>
      </c>
      <c r="E5721" s="23" t="s">
        <v>940</v>
      </c>
      <c r="F5721" s="23" t="s">
        <v>941</v>
      </c>
      <c r="G5721" s="23" t="s">
        <v>942</v>
      </c>
      <c r="H5721" s="23" t="s">
        <v>943</v>
      </c>
      <c r="I5721" s="23" t="s">
        <v>944</v>
      </c>
      <c r="J5721" s="23" t="s">
        <v>945</v>
      </c>
      <c r="K5721" s="23" t="s">
        <v>946</v>
      </c>
      <c r="L5721" s="4" t="s">
        <v>47</v>
      </c>
    </row>
    <row r="5722" customFormat="false" ht="15" hidden="false" customHeight="false" outlineLevel="0" collapsed="false">
      <c r="A5722" s="0" t="s">
        <v>1025</v>
      </c>
      <c r="B5722" s="0" t="s">
        <v>98</v>
      </c>
      <c r="D5722" s="6" t="n">
        <f aca="false">Sens!D5698</f>
        <v>72.61</v>
      </c>
      <c r="E5722" s="6" t="n">
        <f aca="false">Sens!E5698</f>
        <v>101.938</v>
      </c>
      <c r="F5722" s="6" t="n">
        <f aca="false">Sens!F5698</f>
        <v>146.002954416121</v>
      </c>
      <c r="G5722" s="6" t="n">
        <f aca="false">Sens!G5698</f>
        <v>198.021826062827</v>
      </c>
      <c r="H5722" s="6" t="n">
        <f aca="false">Sens!H5698</f>
        <v>251.323667534449</v>
      </c>
      <c r="I5722" s="6" t="n">
        <f aca="false">Sens!I5698</f>
        <v>299.522166404623</v>
      </c>
      <c r="J5722" s="6" t="n">
        <f aca="false">Sens!J5698</f>
        <v>336.490342377086</v>
      </c>
      <c r="K5722" s="6" t="n">
        <f aca="false">Sens!K5698</f>
        <v>362.358638744812</v>
      </c>
    </row>
    <row r="5723" customFormat="false" ht="17.15" hidden="false" customHeight="false" outlineLevel="0" collapsed="false">
      <c r="A5723" s="0" t="s">
        <v>1021</v>
      </c>
      <c r="B5723" s="0" t="s">
        <v>98</v>
      </c>
      <c r="D5723" s="6" t="n">
        <f aca="false">Sens!D5695</f>
        <v>12.9359794422418</v>
      </c>
      <c r="E5723" s="6" t="n">
        <f aca="false">Sens!E5695</f>
        <v>27.8095064661409</v>
      </c>
      <c r="F5723" s="6" t="n">
        <f aca="false">Sens!F5695</f>
        <v>54.507065337558</v>
      </c>
      <c r="G5723" s="6" t="n">
        <f aca="false">Sens!G5695</f>
        <v>89.3110535856398</v>
      </c>
      <c r="H5723" s="6" t="n">
        <f aca="false">Sens!H5695</f>
        <v>125.098291439331</v>
      </c>
      <c r="I5723" s="6" t="n">
        <f aca="false">Sens!I5695</f>
        <v>156.373170005789</v>
      </c>
      <c r="J5723" s="6" t="n">
        <f aca="false">Sens!J5695</f>
        <v>178.019061924832</v>
      </c>
      <c r="K5723" s="6" t="n">
        <f aca="false">Sens!K5695</f>
        <v>191.209655856378</v>
      </c>
    </row>
    <row r="5724" customFormat="false" ht="17.15" hidden="false" customHeight="false" outlineLevel="0" collapsed="false">
      <c r="A5724" s="0" t="s">
        <v>1052</v>
      </c>
      <c r="B5724" s="0" t="s">
        <v>98</v>
      </c>
      <c r="D5724" s="6" t="n">
        <f aca="false">Sens!D5696</f>
        <v>59.6740205577583</v>
      </c>
      <c r="E5724" s="6" t="n">
        <f aca="false">Sens!E5696</f>
        <v>74.1284935338591</v>
      </c>
      <c r="F5724" s="6" t="n">
        <f aca="false">Sens!F5696</f>
        <v>91.4958890785629</v>
      </c>
      <c r="G5724" s="6" t="n">
        <f aca="false">Sens!G5696</f>
        <v>108.710772477187</v>
      </c>
      <c r="H5724" s="6" t="n">
        <f aca="false">Sens!H5696</f>
        <v>126.225376095119</v>
      </c>
      <c r="I5724" s="6" t="n">
        <f aca="false">Sens!I5696</f>
        <v>143.148996398834</v>
      </c>
      <c r="J5724" s="6" t="n">
        <f aca="false">Sens!J5696</f>
        <v>158.471280452254</v>
      </c>
      <c r="K5724" s="6" t="n">
        <f aca="false">Sens!K5696</f>
        <v>171.148982888434</v>
      </c>
    </row>
    <row r="5725" customFormat="false" ht="15" hidden="false" customHeight="false" outlineLevel="0" collapsed="false">
      <c r="A5725" s="0" t="s">
        <v>1032</v>
      </c>
      <c r="B5725" s="0" t="s">
        <v>98</v>
      </c>
      <c r="D5725" s="6" t="n">
        <f aca="false">Sens!D5703</f>
        <v>84.605</v>
      </c>
      <c r="E5725" s="6" t="n">
        <f aca="false">Sens!E5703</f>
        <v>100.299</v>
      </c>
      <c r="F5725" s="6" t="n">
        <f aca="false">Sens!F5703</f>
        <v>118.584003697747</v>
      </c>
      <c r="G5725" s="6" t="n">
        <f aca="false">Sens!G5703</f>
        <v>136.700726545688</v>
      </c>
      <c r="H5725" s="6" t="n">
        <f aca="false">Sens!H5703</f>
        <v>154.898624783666</v>
      </c>
      <c r="I5725" s="6" t="n">
        <f aca="false">Sens!I5703</f>
        <v>171.420510030657</v>
      </c>
      <c r="J5725" s="6" t="n">
        <f aca="false">Sens!J5703</f>
        <v>185.985722618572</v>
      </c>
      <c r="K5725" s="6" t="n">
        <f aca="false">Sens!K5703</f>
        <v>199.799723201872</v>
      </c>
    </row>
    <row r="5726" customFormat="false" ht="17.15" hidden="false" customHeight="false" outlineLevel="0" collapsed="false">
      <c r="A5726" s="0" t="s">
        <v>1053</v>
      </c>
      <c r="B5726" s="0" t="s">
        <v>98</v>
      </c>
      <c r="D5726" s="6" t="n">
        <f aca="false">Sens!D5701</f>
        <v>83.705</v>
      </c>
      <c r="E5726" s="6" t="n">
        <f aca="false">Sens!E5701</f>
        <v>95.049</v>
      </c>
      <c r="F5726" s="6" t="n">
        <f aca="false">Sens!F5701</f>
        <v>106.584003697747</v>
      </c>
      <c r="G5726" s="6" t="n">
        <f aca="false">Sens!G5701</f>
        <v>118.700726545688</v>
      </c>
      <c r="H5726" s="6" t="n">
        <f aca="false">Sens!H5701</f>
        <v>130.898624783666</v>
      </c>
      <c r="I5726" s="6" t="n">
        <f aca="false">Sens!I5701</f>
        <v>142.920510030657</v>
      </c>
      <c r="J5726" s="6" t="n">
        <f aca="false">Sens!J5701</f>
        <v>154.485722618572</v>
      </c>
      <c r="K5726" s="6" t="n">
        <f aca="false">Sens!K5701</f>
        <v>165.299723201872</v>
      </c>
    </row>
    <row r="5727" customFormat="false" ht="17.15" hidden="false" customHeight="false" outlineLevel="0" collapsed="false">
      <c r="A5727" s="0" t="s">
        <v>1054</v>
      </c>
      <c r="B5727" s="0" t="s">
        <v>98</v>
      </c>
      <c r="D5727" s="6" t="n">
        <f aca="false">Sens!D5700</f>
        <v>0.9</v>
      </c>
      <c r="E5727" s="6" t="n">
        <f aca="false">Sens!E5700</f>
        <v>5.25</v>
      </c>
      <c r="F5727" s="6" t="n">
        <f aca="false">Sens!F5700</f>
        <v>12</v>
      </c>
      <c r="G5727" s="6" t="n">
        <f aca="false">Sens!G5700</f>
        <v>18</v>
      </c>
      <c r="H5727" s="6" t="n">
        <f aca="false">Sens!H5700</f>
        <v>24</v>
      </c>
      <c r="I5727" s="6" t="n">
        <f aca="false">Sens!I5700</f>
        <v>28.5</v>
      </c>
      <c r="J5727" s="6" t="n">
        <f aca="false">Sens!J5700</f>
        <v>31.5</v>
      </c>
      <c r="K5727" s="6" t="n">
        <f aca="false">Sens!K5700</f>
        <v>34.5</v>
      </c>
    </row>
    <row r="5728" customFormat="false" ht="15" hidden="false" customHeight="false" outlineLevel="0" collapsed="false">
      <c r="A5728" s="0" t="s">
        <v>1033</v>
      </c>
      <c r="B5728" s="0" t="s">
        <v>98</v>
      </c>
      <c r="D5728" s="6" t="n">
        <f aca="false">Sens!D5704</f>
        <v>35.391</v>
      </c>
      <c r="E5728" s="6" t="n">
        <f aca="false">Sens!E5704</f>
        <v>37.285</v>
      </c>
      <c r="F5728" s="6" t="n">
        <f aca="false">Sens!F5704</f>
        <v>38.3851437782675</v>
      </c>
      <c r="G5728" s="6" t="n">
        <f aca="false">Sens!G5704</f>
        <v>40.0105353288615</v>
      </c>
      <c r="H5728" s="6" t="n">
        <f aca="false">Sens!H5704</f>
        <v>41.4812512033683</v>
      </c>
      <c r="I5728" s="6" t="n">
        <f aca="false">Sens!I5704</f>
        <v>42.7743107216329</v>
      </c>
      <c r="J5728" s="6" t="n">
        <f aca="false">Sens!J5704</f>
        <v>43.8687373064601</v>
      </c>
      <c r="K5728" s="6" t="n">
        <f aca="false">Sens!K5704</f>
        <v>44.7461120525893</v>
      </c>
    </row>
    <row r="5729" customFormat="false" ht="15" hidden="false" customHeight="false" outlineLevel="0" collapsed="false">
      <c r="A5729" s="0" t="s">
        <v>1035</v>
      </c>
      <c r="B5729" s="0" t="s">
        <v>98</v>
      </c>
      <c r="D5729" s="6" t="n">
        <f aca="false">Sens!D5706</f>
        <v>18.417</v>
      </c>
      <c r="E5729" s="6" t="n">
        <f aca="false">Sens!E5706</f>
        <v>20.345</v>
      </c>
      <c r="F5729" s="6" t="n">
        <f aca="false">Sens!F5706</f>
        <v>22.3161797133988</v>
      </c>
      <c r="G5729" s="6" t="n">
        <f aca="false">Sens!G5706</f>
        <v>24.3943499673233</v>
      </c>
      <c r="H5729" s="6" t="n">
        <f aca="false">Sens!H5706</f>
        <v>26.5250243109019</v>
      </c>
      <c r="I5729" s="6" t="n">
        <f aca="false">Sens!I5706</f>
        <v>28.6884573538181</v>
      </c>
      <c r="J5729" s="6" t="n">
        <f aca="false">Sens!J5706</f>
        <v>30.8624968052127</v>
      </c>
      <c r="K5729" s="6" t="n">
        <f aca="false">Sens!K5706</f>
        <v>33.0228715815776</v>
      </c>
    </row>
    <row r="5730" customFormat="false" ht="15" hidden="false" customHeight="false" outlineLevel="0" collapsed="false">
      <c r="A5730" s="0" t="s">
        <v>1036</v>
      </c>
      <c r="B5730" s="0" t="s">
        <v>98</v>
      </c>
      <c r="D5730" s="6" t="n">
        <f aca="false">Sens!D5708</f>
        <v>7.76</v>
      </c>
      <c r="E5730" s="6" t="n">
        <f aca="false">Sens!E5708</f>
        <v>8.26</v>
      </c>
      <c r="F5730" s="6" t="n">
        <f aca="false">Sens!F5708</f>
        <v>8.75372082474227</v>
      </c>
      <c r="G5730" s="6" t="n">
        <f aca="false">Sens!G5708</f>
        <v>9.33399324642364</v>
      </c>
      <c r="H5730" s="6" t="n">
        <f aca="false">Sens!H5708</f>
        <v>9.96139155535851</v>
      </c>
      <c r="I5730" s="6" t="n">
        <f aca="false">Sens!I5708</f>
        <v>10.6402039077391</v>
      </c>
      <c r="J5730" s="6" t="n">
        <f aca="false">Sens!J5708</f>
        <v>11.3751458271397</v>
      </c>
      <c r="K5730" s="6" t="n">
        <f aca="false">Sens!K5708</f>
        <v>12.1714060350394</v>
      </c>
    </row>
    <row r="5731" customFormat="false" ht="15" hidden="false" customHeight="false" outlineLevel="0" collapsed="false">
      <c r="A5731" s="0" t="s">
        <v>852</v>
      </c>
      <c r="B5731" s="0" t="s">
        <v>98</v>
      </c>
      <c r="D5731" s="6" t="n">
        <f aca="false">Sens!D5710</f>
        <v>218.783</v>
      </c>
      <c r="E5731" s="6" t="n">
        <f aca="false">Sens!E5710</f>
        <v>268.127</v>
      </c>
      <c r="F5731" s="6" t="n">
        <f aca="false">Sens!F5710</f>
        <v>334.042002430276</v>
      </c>
      <c r="G5731" s="6" t="n">
        <f aca="false">Sens!G5710</f>
        <v>408.461431151124</v>
      </c>
      <c r="H5731" s="6" t="n">
        <f aca="false">Sens!H5710</f>
        <v>484.189959387744</v>
      </c>
      <c r="I5731" s="6" t="n">
        <f aca="false">Sens!I5710</f>
        <v>553.04564841847</v>
      </c>
      <c r="J5731" s="6" t="n">
        <f aca="false">Sens!J5710</f>
        <v>608.58244493447</v>
      </c>
      <c r="K5731" s="6" t="n">
        <f aca="false">Sens!K5710</f>
        <v>652.09875161589</v>
      </c>
    </row>
    <row r="5732" customFormat="false" ht="15" hidden="false" customHeight="false" outlineLevel="0" collapsed="false">
      <c r="A5732" s="0" t="s">
        <v>1037</v>
      </c>
      <c r="B5732" s="0" t="s">
        <v>98</v>
      </c>
      <c r="D5732" s="6" t="n">
        <f aca="false">Sens!D5711</f>
        <v>22.171</v>
      </c>
      <c r="E5732" s="6" t="n">
        <f aca="false">Sens!E5711</f>
        <v>24.835</v>
      </c>
      <c r="F5732" s="6" t="n">
        <f aca="false">Sens!F5711</f>
        <v>27.5591895660247</v>
      </c>
      <c r="G5732" s="6" t="n">
        <f aca="false">Sens!G5711</f>
        <v>30.4098563144583</v>
      </c>
      <c r="H5732" s="6" t="n">
        <f aca="false">Sens!H5711</f>
        <v>33.3011792571777</v>
      </c>
      <c r="I5732" s="6" t="n">
        <f aca="false">Sens!I5711</f>
        <v>36.189023797112</v>
      </c>
      <c r="J5732" s="6" t="n">
        <f aca="false">Sens!J5711</f>
        <v>39.0247773769199</v>
      </c>
      <c r="K5732" s="6" t="n">
        <f aca="false">Sens!K5711</f>
        <v>41.7565117933043</v>
      </c>
    </row>
    <row r="5733" customFormat="false" ht="15" hidden="false" customHeight="false" outlineLevel="0" collapsed="false">
      <c r="A5733" s="0" t="s">
        <v>1038</v>
      </c>
      <c r="B5733" s="0" t="s">
        <v>98</v>
      </c>
      <c r="D5733" s="6" t="n">
        <f aca="false">Sens!D5713</f>
        <v>23.455</v>
      </c>
      <c r="E5733" s="6" t="n">
        <f aca="false">Sens!E5713</f>
        <v>21.79</v>
      </c>
      <c r="F5733" s="6" t="n">
        <f aca="false">Sens!F5713</f>
        <v>20.7520981041711</v>
      </c>
      <c r="G5733" s="6" t="n">
        <f aca="false">Sens!G5713</f>
        <v>19.9083593495882</v>
      </c>
      <c r="H5733" s="6" t="n">
        <f aca="false">Sens!H5713</f>
        <v>19.4008256265831</v>
      </c>
      <c r="I5733" s="6" t="n">
        <f aca="false">Sens!I5713</f>
        <v>19.200434522122</v>
      </c>
      <c r="J5733" s="6" t="n">
        <f aca="false">Sens!J5713</f>
        <v>19.2932782348507</v>
      </c>
      <c r="K5733" s="6" t="n">
        <f aca="false">Sens!K5713</f>
        <v>19.6791437995477</v>
      </c>
    </row>
    <row r="5734" customFormat="false" ht="15" hidden="false" customHeight="false" outlineLevel="0" collapsed="false">
      <c r="A5734" s="0" t="s">
        <v>1039</v>
      </c>
      <c r="B5734" s="0" t="s">
        <v>98</v>
      </c>
      <c r="D5734" s="6" t="n">
        <f aca="false">Sens!D5715</f>
        <v>17.315</v>
      </c>
      <c r="E5734" s="6" t="n">
        <f aca="false">Sens!E5715</f>
        <v>17.087</v>
      </c>
      <c r="F5734" s="6" t="n">
        <f aca="false">Sens!F5715</f>
        <v>15.9912273250553</v>
      </c>
      <c r="G5734" s="6" t="n">
        <f aca="false">Sens!G5715</f>
        <v>15.9574562664827</v>
      </c>
      <c r="H5734" s="6" t="n">
        <f aca="false">Sens!H5715</f>
        <v>16.0119687434196</v>
      </c>
      <c r="I5734" s="6" t="n">
        <f aca="false">Sens!I5715</f>
        <v>16.1551810001948</v>
      </c>
      <c r="J5734" s="6" t="n">
        <f aca="false">Sens!J5715</f>
        <v>16.3889793892005</v>
      </c>
      <c r="K5734" s="6" t="n">
        <f aca="false">Sens!K5715</f>
        <v>16.7167589769845</v>
      </c>
    </row>
    <row r="5735" customFormat="false" ht="15" hidden="false" customHeight="false" outlineLevel="0" collapsed="false">
      <c r="A5735" s="0" t="s">
        <v>866</v>
      </c>
      <c r="B5735" s="0" t="s">
        <v>98</v>
      </c>
      <c r="D5735" s="6" t="n">
        <f aca="false">Sens!D5717</f>
        <v>62.941</v>
      </c>
      <c r="E5735" s="6" t="n">
        <f aca="false">Sens!E5717</f>
        <v>63.712</v>
      </c>
      <c r="F5735" s="6" t="n">
        <f aca="false">Sens!F5717</f>
        <v>64.3025149952511</v>
      </c>
      <c r="G5735" s="6" t="n">
        <f aca="false">Sens!G5717</f>
        <v>66.2756719305292</v>
      </c>
      <c r="H5735" s="6" t="n">
        <f aca="false">Sens!H5717</f>
        <v>68.7139736271804</v>
      </c>
      <c r="I5735" s="6" t="n">
        <f aca="false">Sens!I5717</f>
        <v>71.5446393194289</v>
      </c>
      <c r="J5735" s="6" t="n">
        <f aca="false">Sens!J5717</f>
        <v>74.707035000971</v>
      </c>
      <c r="K5735" s="6" t="n">
        <f aca="false">Sens!K5717</f>
        <v>78.1524145698365</v>
      </c>
    </row>
    <row r="5736" customFormat="false" ht="15" hidden="false" customHeight="false" outlineLevel="0" collapsed="false">
      <c r="A5736" s="1" t="s">
        <v>1055</v>
      </c>
      <c r="B5736" s="0" t="s">
        <v>98</v>
      </c>
      <c r="D5736" s="6" t="n">
        <f aca="false">Sens!D5718</f>
        <v>281.724</v>
      </c>
      <c r="E5736" s="6" t="n">
        <f aca="false">Sens!E5718</f>
        <v>331.839</v>
      </c>
      <c r="F5736" s="6" t="n">
        <f aca="false">Sens!F5718</f>
        <v>398.344517425527</v>
      </c>
      <c r="G5736" s="6" t="n">
        <f aca="false">Sens!G5718</f>
        <v>474.737103081653</v>
      </c>
      <c r="H5736" s="6" t="n">
        <f aca="false">Sens!H5718</f>
        <v>552.903933014924</v>
      </c>
      <c r="I5736" s="6" t="n">
        <f aca="false">Sens!I5718</f>
        <v>624.590287737899</v>
      </c>
      <c r="J5736" s="6" t="n">
        <f aca="false">Sens!J5718</f>
        <v>683.289479935441</v>
      </c>
      <c r="K5736" s="6" t="n">
        <f aca="false">Sens!K5718</f>
        <v>730.251166185726</v>
      </c>
    </row>
    <row r="5737" customFormat="false" ht="15" hidden="false" customHeight="false" outlineLevel="0" collapsed="false">
      <c r="A5737" s="1" t="s">
        <v>1056</v>
      </c>
      <c r="B5737" s="0" t="s">
        <v>168</v>
      </c>
      <c r="E5737" s="7" t="n">
        <f aca="false">Sens!E5736/Sens!D5736-1</f>
        <v>0.177886867998467</v>
      </c>
      <c r="F5737" s="7" t="n">
        <f aca="false">Sens!F5736/Sens!E5736-1</f>
        <v>0.20041501277887</v>
      </c>
      <c r="G5737" s="7" t="n">
        <f aca="false">Sens!G5736/Sens!F5736-1</f>
        <v>0.191775165251038</v>
      </c>
      <c r="H5737" s="7" t="n">
        <f aca="false">Sens!H5736/Sens!G5736-1</f>
        <v>0.164652877194278</v>
      </c>
      <c r="I5737" s="7" t="n">
        <f aca="false">Sens!I5736/Sens!H5736-1</f>
        <v>0.129654268024604</v>
      </c>
      <c r="J5737" s="7" t="n">
        <f aca="false">Sens!J5736/Sens!I5736-1</f>
        <v>0.0939803153362111</v>
      </c>
      <c r="K5737" s="7" t="n">
        <f aca="false">Sens!K5736/Sens!J5736-1</f>
        <v>0.0687288296238982</v>
      </c>
    </row>
    <row r="5738" customFormat="false" ht="17.15" hidden="false" customHeight="false" outlineLevel="0" collapsed="false">
      <c r="A5738" s="26" t="s">
        <v>1057</v>
      </c>
      <c r="B5738" s="31" t="s">
        <v>98</v>
      </c>
      <c r="C5738" s="31"/>
      <c r="D5738" s="27" t="n">
        <f aca="false">(Sens!D5731+Sens!D5735-Sens!D5736)+(Sens!D5723+Sens!D5724-Sens!D5722)+(Sens!D5726+Sens!D5727-Sens!D5725)+(Sens!D5736-Q!L18)</f>
        <v>0</v>
      </c>
      <c r="E5738" s="27" t="n">
        <f aca="false">(Sens!E5731+Sens!E5735-Sens!E5736)+(Sens!E5723+Sens!E5724-Sens!E5722)+(Sens!E5726+Sens!E5727-Sens!E5725)+(Sens!E5736-Q!M18)</f>
        <v>0</v>
      </c>
      <c r="F5738" s="27" t="n">
        <f aca="false">(Sens!F5731+Sens!F5735-Sens!F5736)+(Sens!F5723+Sens!F5724-Sens!F5722)+(Sens!F5726+Sens!F5727-Sens!F5725)</f>
        <v>0</v>
      </c>
      <c r="G5738" s="27" t="n">
        <f aca="false">(Sens!G5731+Sens!G5735-Sens!G5736)+(Sens!G5723+Sens!G5724-Sens!G5722)+(Sens!G5726+Sens!G5727-Sens!G5725)</f>
        <v>0</v>
      </c>
      <c r="H5738" s="27" t="n">
        <f aca="false">(Sens!H5731+Sens!H5735-Sens!H5736)+(Sens!H5723+Sens!H5724-Sens!H5722)+(Sens!H5726+Sens!H5727-Sens!H5725)</f>
        <v>0</v>
      </c>
      <c r="I5738" s="27" t="n">
        <f aca="false">(Sens!I5731+Sens!I5735-Sens!I5736)+(Sens!I5723+Sens!I5724-Sens!I5722)+(Sens!I5726+Sens!I5727-Sens!I5725)</f>
        <v>0</v>
      </c>
      <c r="J5738" s="27" t="n">
        <f aca="false">(Sens!J5731+Sens!J5735-Sens!J5736)+(Sens!J5723+Sens!J5724-Sens!J5722)+(Sens!J5726+Sens!J5727-Sens!J5725)</f>
        <v>0</v>
      </c>
      <c r="K5738" s="27" t="n">
        <f aca="false">(Sens!K5731+Sens!K5735-Sens!K5736)+(Sens!K5723+Sens!K5724-Sens!K5722)+(Sens!K5726+Sens!K5727-Sens!K5725)</f>
        <v>0</v>
      </c>
    </row>
    <row r="5739" customFormat="false" ht="17.15" hidden="false" customHeight="false" outlineLevel="0" collapsed="false">
      <c r="A5739" s="0" t="s">
        <v>1058</v>
      </c>
      <c r="B5739" s="0" t="s">
        <v>168</v>
      </c>
      <c r="E5739" s="7" t="n">
        <f aca="false">(Q!M21+Sens!E5675+Sens!E5676+Sens!E5677+Sens!E5691-Sens!E5673)/(Q!M5-Sens!E5673)</f>
        <v>0.570957350878296</v>
      </c>
      <c r="F5739" s="7" t="n">
        <f aca="false">Sens!$E$5739+dm_seg</f>
        <v>0.570957350878296</v>
      </c>
      <c r="G5739" s="7" t="n">
        <f aca="false">Sens!$E$5739+dm_seg</f>
        <v>0.570957350878296</v>
      </c>
      <c r="H5739" s="7" t="n">
        <f aca="false">Sens!$E$5739+dm_seg</f>
        <v>0.570957350878296</v>
      </c>
      <c r="I5739" s="7" t="n">
        <f aca="false">Sens!$E$5739+dm_seg</f>
        <v>0.570957350878296</v>
      </c>
      <c r="J5739" s="7" t="n">
        <f aca="false">Sens!$E$5739+dm_seg</f>
        <v>0.570957350878296</v>
      </c>
      <c r="K5739" s="7" t="n">
        <f aca="false">Sens!$E$5739+dm_seg</f>
        <v>0.570957350878296</v>
      </c>
      <c r="L5739" s="12" t="s">
        <v>1059</v>
      </c>
    </row>
    <row r="5740" customFormat="false" ht="17.15" hidden="false" customHeight="false" outlineLevel="0" collapsed="false">
      <c r="A5740" s="0" t="s">
        <v>880</v>
      </c>
      <c r="B5740" s="0" t="s">
        <v>98</v>
      </c>
      <c r="D5740" s="6" t="n">
        <f aca="false">Q!L21</f>
        <v>110.814</v>
      </c>
      <c r="E5740" s="6" t="n">
        <f aca="false">Q!M21</f>
        <v>136.365</v>
      </c>
      <c r="F5740" s="6" t="n">
        <f aca="false">Q!$I$21+(Sens!F5739*(Sens!F5710-Sens!F5673)+Sens!F5673-(Sens!F5675+Sens!F5676+Sens!F5677)-Sens!F5691-Sens!F5774)*(Sens!F5710-Q!$I$5)/Sens!F5710</f>
        <v>161.404001196154</v>
      </c>
      <c r="G5740" s="6" t="n">
        <f aca="false">(Sens!G5739*(Sens!G5710-Sens!G5673)+Sens!G5673-(Sens!G5675+Sens!G5676+Sens!G5677)-Sens!G5691-Sens!G5774)</f>
        <v>175.726624489528</v>
      </c>
      <c r="H5740" s="6" t="n">
        <f aca="false">(Sens!H5739*(Sens!H5710-Sens!H5673)+Sens!H5673-(Sens!H5675+Sens!H5676+Sens!H5677)-Sens!H5691-Sens!H5774)</f>
        <v>193.82319546979</v>
      </c>
      <c r="I5740" s="6" t="n">
        <f aca="false">(Sens!I5739*(Sens!I5710-Sens!I5673)+Sens!I5673-(Sens!I5675+Sens!I5676+Sens!I5677)-Sens!I5691-Sens!I5774)</f>
        <v>210.924944152007</v>
      </c>
      <c r="J5740" s="6" t="n">
        <f aca="false">(Sens!J5739*(Sens!J5710-Sens!J5673)+Sens!J5673-(Sens!J5675+Sens!J5676+Sens!J5677)-Sens!J5691-Sens!J5774)</f>
        <v>226.98988737184</v>
      </c>
      <c r="K5740" s="6" t="n">
        <f aca="false">(Sens!K5739*(Sens!K5710-Sens!K5673)+Sens!K5673-(Sens!K5675+Sens!K5676+Sens!K5677)-Sens!K5691-Sens!K5774)</f>
        <v>242.441463197217</v>
      </c>
      <c r="L5740" s="1" t="s">
        <v>1060</v>
      </c>
    </row>
    <row r="5741" customFormat="false" ht="17.15" hidden="false" customHeight="false" outlineLevel="0" collapsed="false">
      <c r="A5741" s="0" t="s">
        <v>1061</v>
      </c>
      <c r="B5741" s="0" t="s">
        <v>168</v>
      </c>
      <c r="E5741" s="7" t="n">
        <f aca="false">Q!M22/Q!M12</f>
        <v>0.296207935710698</v>
      </c>
      <c r="F5741" s="7" t="n">
        <f aca="false">Sens!$E$5741+dm_seg</f>
        <v>0.296207935710698</v>
      </c>
      <c r="G5741" s="7" t="n">
        <f aca="false">Sens!$E$5741+dm_seg</f>
        <v>0.296207935710698</v>
      </c>
      <c r="H5741" s="7" t="n">
        <f aca="false">Sens!$E$5741+dm_seg</f>
        <v>0.296207935710698</v>
      </c>
      <c r="I5741" s="7" t="n">
        <f aca="false">Sens!$E$5741+dm_seg</f>
        <v>0.296207935710698</v>
      </c>
      <c r="J5741" s="7" t="n">
        <f aca="false">Sens!$E$5741+dm_seg</f>
        <v>0.296207935710698</v>
      </c>
      <c r="K5741" s="7" t="n">
        <f aca="false">Sens!$E$5741+dm_seg</f>
        <v>0.296207935710698</v>
      </c>
      <c r="L5741" s="12" t="s">
        <v>1062</v>
      </c>
    </row>
    <row r="5742" customFormat="false" ht="17.15" hidden="false" customHeight="false" outlineLevel="0" collapsed="false">
      <c r="A5742" s="0" t="s">
        <v>882</v>
      </c>
      <c r="B5742" s="0" t="s">
        <v>98</v>
      </c>
      <c r="D5742" s="6" t="n">
        <f aca="false">Q!L22</f>
        <v>17.714</v>
      </c>
      <c r="E5742" s="6" t="n">
        <f aca="false">Q!M22</f>
        <v>18.872</v>
      </c>
      <c r="F5742" s="6" t="n">
        <f aca="false">Q!$I$22+(Sens!F5717-Q!$I$12)*Sens!F5741</f>
        <v>19.8174315512051</v>
      </c>
      <c r="G5742" s="6" t="n">
        <f aca="false">Sens!G5717*Sens!G5741</f>
        <v>19.6313799703815</v>
      </c>
      <c r="H5742" s="6" t="n">
        <f aca="false">Sens!H5717*Sens!H5741</f>
        <v>20.3536242825865</v>
      </c>
      <c r="I5742" s="6" t="n">
        <f aca="false">Sens!I5717*Sens!I5741</f>
        <v>21.1920899239745</v>
      </c>
      <c r="J5742" s="6" t="n">
        <f aca="false">Sens!J5717*Sens!J5741</f>
        <v>22.1288166207045</v>
      </c>
      <c r="K5742" s="6" t="n">
        <f aca="false">Sens!K5717*Sens!K5741</f>
        <v>23.1493653905379</v>
      </c>
      <c r="L5742" s="12" t="s">
        <v>1063</v>
      </c>
    </row>
    <row r="5743" customFormat="false" ht="15" hidden="false" customHeight="false" outlineLevel="0" collapsed="false">
      <c r="A5743" s="1" t="s">
        <v>1064</v>
      </c>
      <c r="B5743" s="0" t="s">
        <v>98</v>
      </c>
      <c r="D5743" s="6" t="n">
        <f aca="false">Sens!D5740+Sens!D5742</f>
        <v>128.528</v>
      </c>
      <c r="E5743" s="6" t="n">
        <f aca="false">Sens!E5740+Sens!E5742</f>
        <v>155.237</v>
      </c>
      <c r="F5743" s="6" t="n">
        <f aca="false">Sens!F5740+Sens!F5742</f>
        <v>181.221432747359</v>
      </c>
      <c r="G5743" s="6" t="n">
        <f aca="false">Sens!G5740+Sens!G5742</f>
        <v>195.35800445991</v>
      </c>
      <c r="H5743" s="6" t="n">
        <f aca="false">Sens!H5740+Sens!H5742</f>
        <v>214.176819752377</v>
      </c>
      <c r="I5743" s="6" t="n">
        <f aca="false">Sens!I5740+Sens!I5742</f>
        <v>232.117034075981</v>
      </c>
      <c r="J5743" s="6" t="n">
        <f aca="false">Sens!J5740+Sens!J5742</f>
        <v>249.118703992545</v>
      </c>
      <c r="K5743" s="6" t="n">
        <f aca="false">Sens!K5740+Sens!K5742</f>
        <v>265.590828587755</v>
      </c>
    </row>
    <row r="5744" customFormat="false" ht="15" hidden="false" customHeight="false" outlineLevel="0" collapsed="false">
      <c r="A5744" s="26" t="s">
        <v>1065</v>
      </c>
      <c r="B5744" s="31" t="s">
        <v>98</v>
      </c>
      <c r="C5744" s="31"/>
      <c r="D5744" s="27" t="n">
        <f aca="false">Sens!D5743-Q!L23</f>
        <v>0</v>
      </c>
      <c r="E5744" s="27" t="n">
        <f aca="false">Sens!E5743-Q!M23</f>
        <v>0</v>
      </c>
      <c r="F5744" s="31"/>
      <c r="G5744" s="31"/>
      <c r="H5744" s="31"/>
      <c r="I5744" s="31"/>
      <c r="J5744" s="31"/>
      <c r="K5744" s="31"/>
    </row>
    <row r="5745" customFormat="false" ht="15" hidden="false" customHeight="false" outlineLevel="0" collapsed="false">
      <c r="A5745" s="1" t="s">
        <v>1066</v>
      </c>
      <c r="B5745" s="0" t="s">
        <v>168</v>
      </c>
      <c r="D5745" s="7" t="n">
        <f aca="false">Sens!D5743/Sens!D5736</f>
        <v>0.456219562408598</v>
      </c>
      <c r="E5745" s="7" t="n">
        <f aca="false">Sens!E5743/Sens!E5736</f>
        <v>0.467808184089272</v>
      </c>
      <c r="F5745" s="7" t="n">
        <f aca="false">Sens!F5743/Sens!F5736</f>
        <v>0.45493643020012</v>
      </c>
      <c r="G5745" s="7" t="n">
        <f aca="false">Sens!G5743/Sens!G5736</f>
        <v>0.411507765438567</v>
      </c>
      <c r="H5745" s="7" t="n">
        <f aca="false">Sens!H5743/Sens!H5736</f>
        <v>0.387367148185209</v>
      </c>
      <c r="I5745" s="7" t="n">
        <f aca="false">Sens!I5743/Sens!I5736</f>
        <v>0.371630873282785</v>
      </c>
      <c r="J5745" s="7" t="n">
        <f aca="false">Sens!J5743/Sens!J5736</f>
        <v>0.364587354712503</v>
      </c>
      <c r="K5745" s="7" t="n">
        <f aca="false">Sens!K5743/Sens!K5736</f>
        <v>0.363697917765744</v>
      </c>
    </row>
    <row r="5746" customFormat="false" ht="17.15" hidden="false" customHeight="false" outlineLevel="0" collapsed="false">
      <c r="A5746" s="1" t="s">
        <v>1067</v>
      </c>
      <c r="B5746" s="0" t="s">
        <v>98</v>
      </c>
      <c r="F5746" s="6" t="n">
        <f aca="false">Sens!F5761</f>
        <v>9.7398427716299</v>
      </c>
      <c r="G5746" s="6" t="n">
        <f aca="false">Sens!G5761</f>
        <v>25.2753385959797</v>
      </c>
      <c r="H5746" s="6" t="n">
        <f aca="false">Sens!H5761</f>
        <v>42.2840253697948</v>
      </c>
      <c r="I5746" s="6" t="n">
        <f aca="false">Sens!I5761</f>
        <v>57.704943641581</v>
      </c>
      <c r="J5746" s="6" t="n">
        <f aca="false">Sens!J5761</f>
        <v>68.4828520908201</v>
      </c>
      <c r="K5746" s="6" t="n">
        <f aca="false">Sens!K5761</f>
        <v>74.3598374943249</v>
      </c>
      <c r="L5746" s="1" t="s">
        <v>1068</v>
      </c>
    </row>
    <row r="5747" customFormat="false" ht="17.15" hidden="false" customHeight="false" outlineLevel="0" collapsed="false">
      <c r="A5747" s="1" t="s">
        <v>1069</v>
      </c>
      <c r="B5747" s="0" t="s">
        <v>98</v>
      </c>
      <c r="D5747" s="6" t="n">
        <f aca="false">Sens!D5743</f>
        <v>128.528</v>
      </c>
      <c r="E5747" s="6" t="n">
        <f aca="false">Sens!E5743</f>
        <v>155.237</v>
      </c>
      <c r="F5747" s="6" t="n">
        <f aca="false">Sens!F5743+Sens!F5746</f>
        <v>190.961275518989</v>
      </c>
      <c r="G5747" s="6" t="n">
        <f aca="false">Sens!G5743+Sens!G5746</f>
        <v>220.63334305589</v>
      </c>
      <c r="H5747" s="6" t="n">
        <f aca="false">Sens!H5743+Sens!H5746</f>
        <v>256.460845122171</v>
      </c>
      <c r="I5747" s="6" t="n">
        <f aca="false">Sens!I5743+Sens!I5746</f>
        <v>289.821977717562</v>
      </c>
      <c r="J5747" s="6" t="n">
        <f aca="false">Sens!J5743+Sens!J5746</f>
        <v>317.601556083365</v>
      </c>
      <c r="K5747" s="6" t="n">
        <f aca="false">Sens!K5743+Sens!K5746</f>
        <v>339.95066608208</v>
      </c>
    </row>
    <row r="5748" customFormat="false" ht="17.15" hidden="false" customHeight="false" outlineLevel="0" collapsed="false">
      <c r="A5748" s="1" t="s">
        <v>1070</v>
      </c>
      <c r="B5748" s="0" t="s">
        <v>98</v>
      </c>
      <c r="E5748" s="6" t="n">
        <f aca="false">Sens!E5691</f>
        <v>16.3054059770833</v>
      </c>
      <c r="F5748" s="6" t="n">
        <f aca="false">Sens!F5691</f>
        <v>34.5793144783516</v>
      </c>
      <c r="G5748" s="6" t="n">
        <f aca="false">Sens!G5691</f>
        <v>60.7344906522989</v>
      </c>
      <c r="H5748" s="6" t="n">
        <f aca="false">Sens!H5691</f>
        <v>89.1000906614457</v>
      </c>
      <c r="I5748" s="6" t="n">
        <f aca="false">Sens!I5691</f>
        <v>114.231009694548</v>
      </c>
      <c r="J5748" s="6" t="n">
        <f aca="false">Sens!J5691</f>
        <v>132.015673049596</v>
      </c>
      <c r="K5748" s="6" t="n">
        <f aca="false">Sens!K5691</f>
        <v>143.012669550934</v>
      </c>
    </row>
    <row r="5749" customFormat="false" ht="17.15" hidden="false" customHeight="false" outlineLevel="0" collapsed="false">
      <c r="A5749" s="1" t="s">
        <v>1071</v>
      </c>
      <c r="B5749" s="0" t="s">
        <v>98</v>
      </c>
      <c r="E5749" s="6" t="n">
        <f aca="false">Sens!E5773</f>
        <v>22.2285940229167</v>
      </c>
      <c r="F5749" s="6" t="n">
        <f aca="false">Sens!F5773</f>
        <v>23.5843157222368</v>
      </c>
      <c r="G5749" s="6" t="n">
        <f aca="false">Sens!G5773</f>
        <v>25.3666459491041</v>
      </c>
      <c r="H5749" s="6" t="n">
        <f aca="false">Sens!H5773</f>
        <v>27.5415175228382</v>
      </c>
      <c r="I5749" s="6" t="n">
        <f aca="false">Sens!I5773</f>
        <v>30.0423217635325</v>
      </c>
      <c r="J5749" s="6" t="n">
        <f aca="false">Sens!J5773</f>
        <v>32.7855431020723</v>
      </c>
      <c r="K5749" s="6" t="n">
        <f aca="false">Sens!K5773</f>
        <v>35.6866690965167</v>
      </c>
    </row>
    <row r="5750" customFormat="false" ht="17.15" hidden="false" customHeight="false" outlineLevel="0" collapsed="false">
      <c r="A5750" s="1" t="s">
        <v>1072</v>
      </c>
      <c r="B5750" s="0" t="s">
        <v>98</v>
      </c>
      <c r="D5750" s="6" t="n">
        <f aca="false">Q!L27</f>
        <v>-4.901</v>
      </c>
      <c r="E5750" s="6" t="n">
        <f aca="false">Q!M27</f>
        <v>10.697</v>
      </c>
      <c r="F5750" s="6" t="n">
        <f aca="false">Q!$I$27+oie_f*(q_per_yr-1)/q_per_yr</f>
        <v>-0.862</v>
      </c>
      <c r="G5750" s="6" t="n">
        <f aca="false">oie_f</f>
        <v>-1.2</v>
      </c>
      <c r="H5750" s="6" t="n">
        <f aca="false">oie_f</f>
        <v>-1.2</v>
      </c>
      <c r="I5750" s="6" t="n">
        <f aca="false">oie_f</f>
        <v>-1.2</v>
      </c>
      <c r="J5750" s="6" t="n">
        <f aca="false">oie_f</f>
        <v>-1.2</v>
      </c>
      <c r="K5750" s="6" t="n">
        <f aca="false">oie_f</f>
        <v>-1.2</v>
      </c>
      <c r="L5750" s="12" t="s">
        <v>1073</v>
      </c>
    </row>
    <row r="5751" customFormat="false" ht="15" hidden="false" customHeight="false" outlineLevel="0" collapsed="false">
      <c r="A5751" s="1" t="s">
        <v>1074</v>
      </c>
      <c r="B5751" s="0" t="s">
        <v>98</v>
      </c>
      <c r="D5751" s="6" t="n">
        <f aca="false">Sens!D5743+Sens!D5750</f>
        <v>123.627</v>
      </c>
      <c r="E5751" s="6" t="n">
        <f aca="false">Sens!E5743+Sens!E5750</f>
        <v>165.934</v>
      </c>
      <c r="F5751" s="6" t="n">
        <f aca="false">Sens!F5743+Sens!F5750</f>
        <v>180.359432747359</v>
      </c>
      <c r="G5751" s="6" t="n">
        <f aca="false">Sens!G5743+Sens!G5750</f>
        <v>194.15800445991</v>
      </c>
      <c r="H5751" s="6" t="n">
        <f aca="false">Sens!H5743+Sens!H5750</f>
        <v>212.976819752377</v>
      </c>
      <c r="I5751" s="6" t="n">
        <f aca="false">Sens!I5743+Sens!I5750</f>
        <v>230.917034075981</v>
      </c>
      <c r="J5751" s="6" t="n">
        <f aca="false">Sens!J5743+Sens!J5750</f>
        <v>247.918703992545</v>
      </c>
      <c r="K5751" s="6" t="n">
        <f aca="false">Sens!K5743+Sens!K5750</f>
        <v>264.390828587755</v>
      </c>
    </row>
    <row r="5752" customFormat="false" ht="15" hidden="false" customHeight="false" outlineLevel="0" collapsed="false">
      <c r="A5752" s="1" t="s">
        <v>1075</v>
      </c>
      <c r="B5752" s="0" t="s">
        <v>98</v>
      </c>
      <c r="D5752" s="6" t="n">
        <f aca="false">Q!L29</f>
        <v>21.795</v>
      </c>
      <c r="E5752" s="6" t="n">
        <f aca="false">Q!M29</f>
        <v>32.185</v>
      </c>
      <c r="F5752" s="6" t="n">
        <f aca="false">Q!$I$29+(Sens!F5751-Q!$I$28)*tax_f</f>
        <v>36.2052865494718</v>
      </c>
      <c r="G5752" s="6" t="n">
        <f aca="false">Sens!G5751*tax_f</f>
        <v>38.831600891982</v>
      </c>
      <c r="H5752" s="6" t="n">
        <f aca="false">Sens!H5751*tax_f</f>
        <v>42.5953639504753</v>
      </c>
      <c r="I5752" s="6" t="n">
        <f aca="false">Sens!I5751*tax_f</f>
        <v>46.1834068151963</v>
      </c>
      <c r="J5752" s="6" t="n">
        <f aca="false">Sens!J5751*tax_f</f>
        <v>49.5837407985089</v>
      </c>
      <c r="K5752" s="6" t="n">
        <f aca="false">Sens!K5751*tax_f</f>
        <v>52.8781657175509</v>
      </c>
    </row>
    <row r="5753" customFormat="false" ht="15" hidden="false" customHeight="false" outlineLevel="0" collapsed="false">
      <c r="A5753" s="1" t="s">
        <v>1076</v>
      </c>
      <c r="B5753" s="0" t="s">
        <v>98</v>
      </c>
      <c r="D5753" s="6" t="n">
        <f aca="false">Sens!D5751-Sens!D5752</f>
        <v>101.832</v>
      </c>
      <c r="E5753" s="6" t="n">
        <f aca="false">Sens!E5751-Sens!E5752</f>
        <v>133.749</v>
      </c>
      <c r="F5753" s="6" t="n">
        <f aca="false">Sens!F5751-Sens!F5752</f>
        <v>144.154146197887</v>
      </c>
      <c r="G5753" s="6" t="n">
        <f aca="false">Sens!G5751-Sens!G5752</f>
        <v>155.326403567928</v>
      </c>
      <c r="H5753" s="6" t="n">
        <f aca="false">Sens!H5751-Sens!H5752</f>
        <v>170.381455801901</v>
      </c>
      <c r="I5753" s="6" t="n">
        <f aca="false">Sens!I5751-Sens!I5752</f>
        <v>184.733627260785</v>
      </c>
      <c r="J5753" s="6" t="n">
        <f aca="false">Sens!J5751-Sens!J5752</f>
        <v>198.334963194036</v>
      </c>
      <c r="K5753" s="6" t="n">
        <f aca="false">Sens!K5751-Sens!K5752</f>
        <v>211.512662870204</v>
      </c>
    </row>
    <row r="5754" customFormat="false" ht="17.15" hidden="false" customHeight="false" outlineLevel="0" collapsed="false">
      <c r="A5754" s="1" t="s">
        <v>1077</v>
      </c>
      <c r="B5754" s="1" t="s">
        <v>81</v>
      </c>
      <c r="D5754" s="15" t="n">
        <f aca="false">Q!L31</f>
        <v>7.465</v>
      </c>
      <c r="E5754" s="15" t="n">
        <f aca="false">Q!M31</f>
        <v>7.453</v>
      </c>
      <c r="F5754" s="15" t="n">
        <f aca="false">Sens!F5798</f>
        <v>7.4735</v>
      </c>
      <c r="G5754" s="15" t="n">
        <f aca="false">Sens!G5798</f>
        <v>7.5185</v>
      </c>
      <c r="H5754" s="15" t="n">
        <f aca="false">Sens!H5798</f>
        <v>7.5461999390288</v>
      </c>
      <c r="I5754" s="15" t="n">
        <f aca="false">Sens!I5798</f>
        <v>7.55788130308427</v>
      </c>
      <c r="J5754" s="15" t="n">
        <f aca="false">Sens!J5798</f>
        <v>7.57203071424674</v>
      </c>
      <c r="K5754" s="15" t="n">
        <f aca="false">Sens!K5798</f>
        <v>7.58846535421199</v>
      </c>
    </row>
    <row r="5755" customFormat="false" ht="17.15" hidden="false" customHeight="false" outlineLevel="0" collapsed="false">
      <c r="A5755" s="0" t="s">
        <v>1078</v>
      </c>
      <c r="B5755" s="0" t="s">
        <v>75</v>
      </c>
      <c r="D5755" s="8" t="n">
        <f aca="false">Sens!D5753/Sens!D5754</f>
        <v>13.641259209645</v>
      </c>
      <c r="E5755" s="8" t="n">
        <f aca="false">Sens!E5753/Sens!E5754</f>
        <v>17.9456594659869</v>
      </c>
      <c r="F5755" s="8" t="n">
        <f aca="false">Sens!F5753/Sens!F5754</f>
        <v>19.2887062551532</v>
      </c>
      <c r="G5755" s="8" t="n">
        <f aca="false">Sens!G5753/Sens!G5754</f>
        <v>20.6592277140291</v>
      </c>
      <c r="H5755" s="8" t="n">
        <f aca="false">Sens!H5753/Sens!H5754</f>
        <v>22.5784444062623</v>
      </c>
      <c r="I5755" s="8" t="n">
        <f aca="false">Sens!I5753/Sens!I5754</f>
        <v>24.4425150187788</v>
      </c>
      <c r="J5755" s="8" t="n">
        <f aca="false">Sens!J5753/Sens!J5754</f>
        <v>26.1931007253932</v>
      </c>
      <c r="K5755" s="8" t="n">
        <f aca="false">Sens!K5753/Sens!K5754</f>
        <v>27.8729167225891</v>
      </c>
      <c r="L5755" s="1" t="s">
        <v>1079</v>
      </c>
    </row>
    <row r="5756" customFormat="false" ht="17.15" hidden="false" customHeight="false" outlineLevel="0" collapsed="false">
      <c r="A5756" s="1" t="s">
        <v>1080</v>
      </c>
      <c r="B5756" s="0" t="s">
        <v>98</v>
      </c>
      <c r="D5756" s="6" t="n">
        <f aca="false">Sens!D5753</f>
        <v>101.832</v>
      </c>
      <c r="E5756" s="6" t="n">
        <f aca="false">Sens!E5753</f>
        <v>133.749</v>
      </c>
      <c r="F5756" s="6" t="n">
        <f aca="false">Sens!F5753+Sens!F5746*(1-tax_f)</f>
        <v>151.946020415191</v>
      </c>
      <c r="G5756" s="6" t="n">
        <f aca="false">Sens!G5753+Sens!G5746*(1-tax_f)</f>
        <v>175.546674444712</v>
      </c>
      <c r="H5756" s="6" t="n">
        <f aca="false">Sens!H5753+Sens!H5746*(1-tax_f)</f>
        <v>204.208676097737</v>
      </c>
      <c r="I5756" s="6" t="n">
        <f aca="false">Sens!I5753+Sens!I5746*(1-tax_f)</f>
        <v>230.89758217405</v>
      </c>
      <c r="J5756" s="6" t="n">
        <f aca="false">Sens!J5753+Sens!J5746*(1-tax_f)</f>
        <v>253.121244866692</v>
      </c>
      <c r="K5756" s="6" t="n">
        <f aca="false">Sens!K5753+Sens!K5746*(1-tax_f)</f>
        <v>271.000532865664</v>
      </c>
    </row>
    <row r="5757" customFormat="false" ht="17.15" hidden="false" customHeight="false" outlineLevel="0" collapsed="false">
      <c r="A5757" s="0" t="s">
        <v>1081</v>
      </c>
      <c r="B5757" s="0" t="s">
        <v>75</v>
      </c>
      <c r="D5757" s="8" t="n">
        <f aca="false">Sens!D5756/Sens!D5754</f>
        <v>13.641259209645</v>
      </c>
      <c r="E5757" s="8" t="n">
        <f aca="false">Sens!E5756/Sens!E5754</f>
        <v>17.9456594659869</v>
      </c>
      <c r="F5757" s="8" t="n">
        <f aca="false">Sens!F5756/Sens!F5754</f>
        <v>20.3313066722675</v>
      </c>
      <c r="G5757" s="8" t="n">
        <f aca="false">Sens!G5756/Sens!G5754</f>
        <v>23.3486299720305</v>
      </c>
      <c r="H5757" s="8" t="n">
        <f aca="false">Sens!H5756/Sens!H5754</f>
        <v>27.0611271564081</v>
      </c>
      <c r="I5757" s="8" t="n">
        <f aca="false">Sens!I5756/Sens!I5754</f>
        <v>30.550570049284</v>
      </c>
      <c r="J5757" s="8" t="n">
        <f aca="false">Sens!J5756/Sens!J5754</f>
        <v>33.4284493049461</v>
      </c>
      <c r="K5757" s="8" t="n">
        <f aca="false">Sens!K5756/Sens!K5754</f>
        <v>35.7121657958475</v>
      </c>
      <c r="L5757" s="1" t="s">
        <v>1082</v>
      </c>
    </row>
    <row r="5758" customFormat="false" ht="17.15" hidden="false" customHeight="false" outlineLevel="0" collapsed="false">
      <c r="A5758" s="0" t="s">
        <v>1083</v>
      </c>
      <c r="B5758" s="0" t="s">
        <v>168</v>
      </c>
      <c r="E5758" s="7" t="n">
        <f aca="false">Sens!E5757/Sens!D5757-1</f>
        <v>0.315542736208578</v>
      </c>
      <c r="F5758" s="7" t="n">
        <f aca="false">Sens!F5757/Sens!E5757-1</f>
        <v>0.132937282734149</v>
      </c>
      <c r="G5758" s="7" t="n">
        <f aca="false">Sens!G5757/Sens!F5757-1</f>
        <v>0.148407741243644</v>
      </c>
      <c r="H5758" s="7" t="n">
        <f aca="false">Sens!H5757/Sens!G5757-1</f>
        <v>0.159002784695494</v>
      </c>
      <c r="I5758" s="7" t="n">
        <f aca="false">Sens!I5757/Sens!H5757-1</f>
        <v>0.128946694374837</v>
      </c>
      <c r="J5758" s="7" t="n">
        <f aca="false">Sens!J5757/Sens!I5757-1</f>
        <v>0.0942005092219056</v>
      </c>
      <c r="K5758" s="7" t="n">
        <f aca="false">Sens!K5757/Sens!J5757-1</f>
        <v>0.0683165548622555</v>
      </c>
    </row>
    <row r="5759" customFormat="false" ht="17.15" hidden="false" customHeight="false" outlineLevel="0" collapsed="false">
      <c r="A5759" s="0" t="s">
        <v>1003</v>
      </c>
      <c r="B5759" s="0" t="s">
        <v>98</v>
      </c>
      <c r="E5759" s="6" t="n">
        <f aca="false">Sens!E5700</f>
        <v>5.25</v>
      </c>
      <c r="F5759" s="6" t="n">
        <f aca="false">Sens!F5700</f>
        <v>12</v>
      </c>
      <c r="G5759" s="6" t="n">
        <f aca="false">Sens!G5700</f>
        <v>18</v>
      </c>
      <c r="H5759" s="6" t="n">
        <f aca="false">Sens!H5700</f>
        <v>24</v>
      </c>
      <c r="I5759" s="6" t="n">
        <f aca="false">Sens!I5700</f>
        <v>28.5</v>
      </c>
      <c r="J5759" s="6" t="n">
        <f aca="false">Sens!J5700</f>
        <v>31.5</v>
      </c>
      <c r="K5759" s="6" t="n">
        <f aca="false">Sens!K5700</f>
        <v>34.5</v>
      </c>
    </row>
    <row r="5760" customFormat="false" ht="17.15" hidden="false" customHeight="false" outlineLevel="0" collapsed="false">
      <c r="A5760" s="1" t="s">
        <v>1004</v>
      </c>
      <c r="B5760" s="0" t="s">
        <v>98</v>
      </c>
      <c r="F5760" s="6" t="n">
        <f aca="false">MAX(0,((Sens!E5660+Sens!F5660)/2-(shadow_base*(Sens!$D$5660+Sens!$E$5660)/2+(1-shadow_base)*Sens!$E$5660))*Sens!F5669/1000-(Sens!F5759-Sens!$E$5759)*Sens!F5739)</f>
        <v>9.7398427716299</v>
      </c>
      <c r="G5760" s="6" t="n">
        <f aca="false">MAX(0,((Sens!F5660+Sens!G5660)/2-(shadow_base*(Sens!$D$5660+Sens!$E$5660)/2+(1-shadow_base)*Sens!$E$5660))*Sens!G5669/1000-(Sens!G5759-Sens!$E$5759)*Sens!G5739)</f>
        <v>25.2753385959797</v>
      </c>
      <c r="H5760" s="6" t="n">
        <f aca="false">MAX(0,((Sens!G5660+Sens!H5660)/2-(shadow_base*(Sens!$D$5660+Sens!$E$5660)/2+(1-shadow_base)*Sens!$E$5660))*Sens!H5669/1000-(Sens!H5759-Sens!$E$5759)*Sens!H5739)</f>
        <v>42.2840253697948</v>
      </c>
      <c r="I5760" s="6" t="n">
        <f aca="false">MAX(0,((Sens!H5660+Sens!I5660)/2-(shadow_base*(Sens!$D$5660+Sens!$E$5660)/2+(1-shadow_base)*Sens!$E$5660))*Sens!I5669/1000-(Sens!I5759-Sens!$E$5759)*Sens!I5739)</f>
        <v>57.704943641581</v>
      </c>
      <c r="J5760" s="6" t="n">
        <f aca="false">MAX(0,((Sens!I5660+Sens!J5660)/2-(shadow_base*(Sens!$D$5660+Sens!$E$5660)/2+(1-shadow_base)*Sens!$E$5660))*Sens!J5669/1000-(Sens!J5759-Sens!$E$5759)*Sens!J5739)</f>
        <v>68.4828520908201</v>
      </c>
      <c r="K5760" s="6" t="n">
        <f aca="false">MAX(0,((Sens!J5660+Sens!K5660)/2-(shadow_base*(Sens!$D$5660+Sens!$E$5660)/2+(1-shadow_base)*Sens!$E$5660))*Sens!K5669/1000-(Sens!K5759-Sens!$E$5759)*Sens!K5739)</f>
        <v>74.3598374943249</v>
      </c>
      <c r="L5760" s="1" t="s">
        <v>1005</v>
      </c>
    </row>
    <row r="5761" customFormat="false" ht="17.15" hidden="false" customHeight="false" outlineLevel="0" collapsed="false">
      <c r="A5761" s="1" t="s">
        <v>1006</v>
      </c>
      <c r="B5761" s="0" t="s">
        <v>98</v>
      </c>
      <c r="F5761" s="6" t="n">
        <f aca="false">IF(internal_ai_reading=2,1,0)*Sens!F5760</f>
        <v>9.7398427716299</v>
      </c>
      <c r="G5761" s="6" t="n">
        <f aca="false">IF(internal_ai_reading=2,1,0)*Sens!G5760</f>
        <v>25.2753385959797</v>
      </c>
      <c r="H5761" s="6" t="n">
        <f aca="false">IF(internal_ai_reading=2,1,0)*Sens!H5760</f>
        <v>42.2840253697948</v>
      </c>
      <c r="I5761" s="6" t="n">
        <f aca="false">IF(internal_ai_reading=2,1,0)*Sens!I5760</f>
        <v>57.704943641581</v>
      </c>
      <c r="J5761" s="6" t="n">
        <f aca="false">IF(internal_ai_reading=2,1,0)*Sens!J5760</f>
        <v>68.4828520908201</v>
      </c>
      <c r="K5761" s="6" t="n">
        <f aca="false">IF(internal_ai_reading=2,1,0)*Sens!K5760</f>
        <v>74.3598374943249</v>
      </c>
    </row>
    <row r="5762" customFormat="false" ht="17.15" hidden="false" customHeight="false" outlineLevel="0" collapsed="false">
      <c r="A5762" s="0" t="s">
        <v>1007</v>
      </c>
      <c r="B5762" s="0" t="s">
        <v>98</v>
      </c>
      <c r="F5762" s="6" t="n">
        <f aca="false">Sens!F5679+Sens!F5759*Sens!F5739+Sens!F5761-Sens!F5680-Sens!F5691</f>
        <v>13.9105165876886</v>
      </c>
      <c r="G5762" s="6" t="n">
        <f aca="false">Sens!G5679+Sens!G5759*Sens!G5739+Sens!G5761-Sens!G5680-Sens!G5691</f>
        <v>29.0579412947205</v>
      </c>
      <c r="H5762" s="6" t="n">
        <f aca="false">Sens!H5679+Sens!H5759*Sens!H5739+Sens!H5761-Sens!H5680-Sens!H5691</f>
        <v>44.7841698063696</v>
      </c>
      <c r="I5762" s="6" t="n">
        <f aca="false">Sens!I5679+Sens!I5759*Sens!I5739+Sens!I5761-Sens!I5680-Sens!I5691</f>
        <v>58.419104852787</v>
      </c>
      <c r="J5762" s="6" t="n">
        <f aca="false">Sens!J5679+Sens!J5759*Sens!J5739+Sens!J5761-Sens!J5680-Sens!J5691</f>
        <v>67.6245674669465</v>
      </c>
      <c r="K5762" s="6" t="n">
        <f aca="false">Sens!K5679+Sens!K5759*Sens!K5739+Sens!K5761-Sens!K5680-Sens!K5691</f>
        <v>73.3513121332985</v>
      </c>
    </row>
    <row r="5763" customFormat="false" ht="17.15" hidden="false" customHeight="false" outlineLevel="0" collapsed="false">
      <c r="A5763" s="0" t="s">
        <v>1008</v>
      </c>
      <c r="B5763" s="0" t="s">
        <v>98</v>
      </c>
      <c r="E5763" s="6" t="n">
        <f aca="false">Sens!E5659*(cxit_open+self_build*tk_cxfac)/1000*ai_net_open</f>
        <v>126.6980382</v>
      </c>
      <c r="F5763" s="6" t="n">
        <f aca="false">Sens!E5763+Sens!F5688-Sens!F5691</f>
        <v>260.572627763768</v>
      </c>
      <c r="G5763" s="6" t="n">
        <f aca="false">Sens!F5763+Sens!G5688-Sens!G5691</f>
        <v>391.782612760517</v>
      </c>
      <c r="H5763" s="6" t="n">
        <f aca="false">Sens!G5763+Sens!H5688-Sens!H5691</f>
        <v>499.488526163584</v>
      </c>
      <c r="I5763" s="6" t="n">
        <f aca="false">Sens!H5763+Sens!I5688-Sens!I5691</f>
        <v>553.872350090646</v>
      </c>
      <c r="J5763" s="6" t="n">
        <f aca="false">Sens!I5763+Sens!J5688-Sens!J5691</f>
        <v>550.78660823699</v>
      </c>
      <c r="K5763" s="6" t="n">
        <f aca="false">Sens!J5763+Sens!K5688-Sens!K5691</f>
        <v>526.736791750789</v>
      </c>
      <c r="L5763" s="1" t="s">
        <v>1009</v>
      </c>
    </row>
    <row r="5764" customFormat="false" ht="17.15" hidden="false" customHeight="false" outlineLevel="0" collapsed="false">
      <c r="A5764" s="0" t="s">
        <v>1010</v>
      </c>
      <c r="B5764" s="0" t="s">
        <v>168</v>
      </c>
      <c r="F5764" s="7" t="n">
        <f aca="false">Sens!F5762*(1-tax_f)/((Sens!E5763+Sens!F5763)/2)</f>
        <v>0.057470984756651</v>
      </c>
      <c r="G5764" s="7" t="n">
        <f aca="false">Sens!G5762*(1-tax_f)/((Sens!F5763+Sens!G5763)/2)</f>
        <v>0.0712690006662437</v>
      </c>
      <c r="H5764" s="7" t="n">
        <f aca="false">Sens!H5762*(1-tax_f)/((Sens!G5763+Sens!H5763)/2)</f>
        <v>0.0803960417440302</v>
      </c>
      <c r="I5764" s="7" t="n">
        <f aca="false">Sens!I5762*(1-tax_f)/((Sens!H5763+Sens!I5763)/2)</f>
        <v>0.0887355605012047</v>
      </c>
      <c r="J5764" s="7" t="n">
        <f aca="false">Sens!J5762*(1-tax_f)/((Sens!I5763+Sens!J5763)/2)</f>
        <v>0.09794815597288</v>
      </c>
      <c r="K5764" s="7" t="n">
        <f aca="false">Sens!K5762*(1-tax_f)/((Sens!J5763+Sens!K5763)/2)</f>
        <v>0.10891837654255</v>
      </c>
    </row>
    <row r="5765" customFormat="false" ht="17.15" hidden="false" customHeight="false" outlineLevel="0" collapsed="false">
      <c r="A5765" s="1" t="s">
        <v>1011</v>
      </c>
      <c r="B5765" s="0" t="s">
        <v>168</v>
      </c>
      <c r="F5765" s="7" t="n">
        <f aca="false">(Sens!F5762-Sens!F5761)*(1-tax_f)/((Sens!E5763+Sens!F5763)/2)</f>
        <v>0.0172310445695319</v>
      </c>
      <c r="G5765" s="7" t="n">
        <f aca="false">(Sens!G5762-Sens!G5761)*(1-tax_f)/((Sens!F5763+Sens!G5763)/2)</f>
        <v>0.00927740583967926</v>
      </c>
      <c r="H5765" s="7" t="n">
        <f aca="false">(Sens!H5762-Sens!H5761)*(1-tax_f)/((Sens!G5763+Sens!H5763)/2)</f>
        <v>0.00448823138528705</v>
      </c>
      <c r="I5765" s="7" t="n">
        <f aca="false">(Sens!I5762-Sens!I5761)*(1-tax_f)/((Sens!H5763+Sens!I5763)/2)</f>
        <v>0.00108477347477801</v>
      </c>
      <c r="J5765" s="7" t="n">
        <f aca="false">(Sens!J5762-Sens!J5761)*(1-tax_f)/((Sens!I5763+Sens!J5763)/2)</f>
        <v>-0.00124314874545241</v>
      </c>
      <c r="K5765" s="7" t="n">
        <f aca="false">(Sens!K5762-Sens!K5761)*(1-tax_f)/((Sens!J5763+Sens!K5763)/2)</f>
        <v>-0.00149754574022296</v>
      </c>
    </row>
    <row r="5766" customFormat="false" ht="17.15" hidden="false" customHeight="false" outlineLevel="0" collapsed="false">
      <c r="A5766" s="1" t="s">
        <v>1012</v>
      </c>
      <c r="B5766" s="0" t="s">
        <v>168</v>
      </c>
      <c r="F5766" s="7" t="n">
        <f aca="false">(Sens!F5762-Sens!F5761+Sens!F5760)*(1-tax_f)/((Sens!E5763+Sens!F5763)/2)</f>
        <v>0.057470984756651</v>
      </c>
      <c r="G5766" s="7" t="n">
        <f aca="false">(Sens!G5762-Sens!G5761+Sens!G5760)*(1-tax_f)/((Sens!F5763+Sens!G5763)/2)</f>
        <v>0.0712690006662437</v>
      </c>
      <c r="H5766" s="7" t="n">
        <f aca="false">(Sens!H5762-Sens!H5761+Sens!H5760)*(1-tax_f)/((Sens!G5763+Sens!H5763)/2)</f>
        <v>0.0803960417440302</v>
      </c>
      <c r="I5766" s="7" t="n">
        <f aca="false">(Sens!I5762-Sens!I5761+Sens!I5760)*(1-tax_f)/((Sens!H5763+Sens!I5763)/2)</f>
        <v>0.0887355605012047</v>
      </c>
      <c r="J5766" s="7" t="n">
        <f aca="false">(Sens!J5762-Sens!J5761+Sens!J5760)*(1-tax_f)/((Sens!I5763+Sens!J5763)/2)</f>
        <v>0.09794815597288</v>
      </c>
      <c r="K5766" s="7" t="n">
        <f aca="false">(Sens!K5762-Sens!K5761+Sens!K5760)*(1-tax_f)/((Sens!J5763+Sens!K5763)/2)</f>
        <v>0.10891837654255</v>
      </c>
    </row>
    <row r="5767" customFormat="false" ht="17.15" hidden="false" customHeight="false" outlineLevel="0" collapsed="false">
      <c r="A5767" s="1" t="s">
        <v>1013</v>
      </c>
      <c r="B5767" s="0" t="s">
        <v>168</v>
      </c>
      <c r="F5767" s="7" t="n">
        <f aca="false">Sens!F5692*(1-tax_f)/(Sens!F5678*(Sens!E5763+Sens!F5763)/2)</f>
        <v>0.123064795548836</v>
      </c>
      <c r="G5767" s="7" t="n">
        <f aca="false">Sens!G5692*(1-tax_f)/(Sens!G5678*(Sens!F5763+Sens!G5763)/2)</f>
        <v>0.119114273344264</v>
      </c>
      <c r="H5767" s="7" t="n">
        <f aca="false">Sens!H5692*(1-tax_f)/(Sens!H5678*(Sens!G5763+Sens!H5763)/2)</f>
        <v>0.121562054046615</v>
      </c>
      <c r="I5767" s="7" t="n">
        <f aca="false">Sens!I5692*(1-tax_f)/(Sens!I5678*(Sens!H5763+Sens!I5763)/2)</f>
        <v>0.127910726306048</v>
      </c>
      <c r="J5767" s="7" t="n">
        <f aca="false">Sens!J5692*(1-tax_f)/(Sens!J5678*(Sens!I5763+Sens!J5763)/2)</f>
        <v>0.138113755701579</v>
      </c>
      <c r="K5767" s="7" t="n">
        <f aca="false">Sens!K5692*(1-tax_f)/(Sens!K5678*(Sens!J5763+Sens!K5763)/2)</f>
        <v>0.151883090337096</v>
      </c>
    </row>
    <row r="5768" customFormat="false" ht="17.15" hidden="false" customHeight="false" outlineLevel="0" collapsed="false">
      <c r="A5768" s="0" t="s">
        <v>1014</v>
      </c>
      <c r="B5768" s="0" t="s">
        <v>253</v>
      </c>
      <c r="F5768" s="7" t="n">
        <f aca="false">Sens!F5764-wacc</f>
        <v>-0.0454656061889462</v>
      </c>
      <c r="G5768" s="7" t="n">
        <f aca="false">Sens!G5764-wacc</f>
        <v>-0.0316675902793536</v>
      </c>
      <c r="H5768" s="7" t="n">
        <f aca="false">Sens!H5764-wacc</f>
        <v>-0.0225405492015671</v>
      </c>
      <c r="I5768" s="7" t="n">
        <f aca="false">Sens!I5764-wacc</f>
        <v>-0.0142010304443926</v>
      </c>
      <c r="J5768" s="7" t="n">
        <f aca="false">Sens!J5764-wacc</f>
        <v>-0.0049884349727173</v>
      </c>
      <c r="K5768" s="7" t="n">
        <f aca="false">Sens!K5764-wacc</f>
        <v>0.00598178559695269</v>
      </c>
    </row>
    <row r="5769" customFormat="false" ht="17.15" hidden="false" customHeight="false" outlineLevel="0" collapsed="false">
      <c r="A5769" s="0" t="s">
        <v>1015</v>
      </c>
      <c r="B5769" s="0" t="s">
        <v>98</v>
      </c>
      <c r="F5769" s="6" t="n">
        <f aca="false">Sens!F5762*(1-tax_f)-wacc*(Sens!E5763+Sens!F5763)/2</f>
        <v>-8.80374779361981</v>
      </c>
      <c r="G5769" s="6" t="n">
        <f aca="false">Sens!G5762*(1-tax_f)-wacc*(Sens!F5763+Sens!G5763)/2</f>
        <v>-10.3292592367561</v>
      </c>
      <c r="H5769" s="6" t="n">
        <f aca="false">Sens!H5762*(1-tax_f)-wacc*(Sens!G5763+Sens!H5763)/2</f>
        <v>-10.0448704794277</v>
      </c>
      <c r="I5769" s="6" t="n">
        <f aca="false">Sens!I5762*(1-tax_f)-wacc*(Sens!H5763+Sens!I5763)/2</f>
        <v>-7.47940493630917</v>
      </c>
      <c r="J5769" s="6" t="n">
        <f aca="false">Sens!J5762*(1-tax_f)-wacc*(Sens!I5763+Sens!J5763)/2</f>
        <v>-2.75525969032351</v>
      </c>
      <c r="K5769" s="6" t="n">
        <f aca="false">Sens!K5762*(1-tax_f)-wacc*(Sens!J5763+Sens!K5763)/2</f>
        <v>3.22275697721319</v>
      </c>
    </row>
    <row r="5770" customFormat="false" ht="17.15" hidden="false" customHeight="false" outlineLevel="0" collapsed="false">
      <c r="A5770" s="3" t="s">
        <v>1623</v>
      </c>
    </row>
    <row r="5771" customFormat="false" ht="15" hidden="false" customHeight="false" outlineLevel="0" collapsed="false">
      <c r="A5771" s="4" t="s">
        <v>43</v>
      </c>
      <c r="B5771" s="4" t="s">
        <v>65</v>
      </c>
      <c r="C5771" s="23" t="s">
        <v>938</v>
      </c>
      <c r="D5771" s="23" t="s">
        <v>939</v>
      </c>
      <c r="E5771" s="23" t="s">
        <v>940</v>
      </c>
      <c r="F5771" s="23" t="s">
        <v>941</v>
      </c>
      <c r="G5771" s="23" t="s">
        <v>942</v>
      </c>
      <c r="H5771" s="23" t="s">
        <v>943</v>
      </c>
      <c r="I5771" s="23" t="s">
        <v>944</v>
      </c>
      <c r="J5771" s="23" t="s">
        <v>945</v>
      </c>
      <c r="K5771" s="23" t="s">
        <v>946</v>
      </c>
      <c r="L5771" s="4" t="s">
        <v>47</v>
      </c>
    </row>
    <row r="5772" customFormat="false" ht="15" hidden="false" customHeight="false" outlineLevel="0" collapsed="false">
      <c r="A5772" s="1" t="s">
        <v>1076</v>
      </c>
      <c r="B5772" s="0" t="s">
        <v>98</v>
      </c>
      <c r="F5772" s="6" t="n">
        <f aca="false">Sens!F5753</f>
        <v>144.154146197887</v>
      </c>
      <c r="G5772" s="6" t="n">
        <f aca="false">Sens!G5753</f>
        <v>155.326403567928</v>
      </c>
      <c r="H5772" s="6" t="n">
        <f aca="false">Sens!H5753</f>
        <v>170.381455801901</v>
      </c>
      <c r="I5772" s="6" t="n">
        <f aca="false">Sens!I5753</f>
        <v>184.733627260785</v>
      </c>
      <c r="J5772" s="6" t="n">
        <f aca="false">Sens!J5753</f>
        <v>198.334963194036</v>
      </c>
      <c r="K5772" s="6" t="n">
        <f aca="false">Sens!K5753</f>
        <v>211.512662870204</v>
      </c>
    </row>
    <row r="5773" customFormat="false" ht="17.15" hidden="false" customHeight="false" outlineLevel="0" collapsed="false">
      <c r="A5773" s="1" t="s">
        <v>1098</v>
      </c>
      <c r="B5773" s="0" t="s">
        <v>98</v>
      </c>
      <c r="E5773" s="6" t="n">
        <f aca="false">Q!M38-Sens!E5691</f>
        <v>22.2285940229167</v>
      </c>
      <c r="F5773" s="6" t="n">
        <f aca="false">Sens!E5773*(1-1/life_nonai)+(Sens!F5781+Sens!F5782)/life_nonai</f>
        <v>23.5843157222368</v>
      </c>
      <c r="G5773" s="6" t="n">
        <f aca="false">Sens!F5773*(1-1/life_nonai)+(Sens!G5781)/life_nonai</f>
        <v>25.3666459491041</v>
      </c>
      <c r="H5773" s="6" t="n">
        <f aca="false">Sens!G5773*(1-1/life_nonai)+(Sens!H5781)/life_nonai</f>
        <v>27.5415175228382</v>
      </c>
      <c r="I5773" s="6" t="n">
        <f aca="false">Sens!H5773*(1-1/life_nonai)+(Sens!I5781)/life_nonai</f>
        <v>30.0423217635325</v>
      </c>
      <c r="J5773" s="6" t="n">
        <f aca="false">Sens!I5773*(1-1/life_nonai)+(Sens!J5781)/life_nonai</f>
        <v>32.7855431020723</v>
      </c>
      <c r="K5773" s="6" t="n">
        <f aca="false">Sens!J5773*(1-1/life_nonai)+(Sens!K5781)/life_nonai</f>
        <v>35.6866690965167</v>
      </c>
      <c r="L5773" s="12" t="s">
        <v>1099</v>
      </c>
    </row>
    <row r="5774" customFormat="false" ht="17.15" hidden="false" customHeight="false" outlineLevel="0" collapsed="false">
      <c r="A5774" s="1" t="s">
        <v>1100</v>
      </c>
      <c r="B5774" s="0" t="s">
        <v>98</v>
      </c>
      <c r="F5774" s="6" t="n">
        <f aca="false">Sens!$F$5782/life_nonai*(1-1/life_nonai)^(Sens!F5654-2027)</f>
        <v>0</v>
      </c>
      <c r="G5774" s="6" t="n">
        <f aca="false">Sens!$F$5782/life_nonai*(1-1/life_nonai)^(Sens!G5654-2027)</f>
        <v>0</v>
      </c>
      <c r="H5774" s="6" t="n">
        <f aca="false">Sens!$F$5782/life_nonai*(1-1/life_nonai)^(Sens!H5654-2027)</f>
        <v>0</v>
      </c>
      <c r="I5774" s="6" t="n">
        <f aca="false">Sens!$F$5782/life_nonai*(1-1/life_nonai)^(Sens!I5654-2027)</f>
        <v>0</v>
      </c>
      <c r="J5774" s="6" t="n">
        <f aca="false">Sens!$F$5782/life_nonai*(1-1/life_nonai)^(Sens!J5654-2027)</f>
        <v>0</v>
      </c>
      <c r="K5774" s="6" t="n">
        <f aca="false">Sens!$F$5782/life_nonai*(1-1/life_nonai)^(Sens!K5654-2027)</f>
        <v>0</v>
      </c>
      <c r="L5774" s="1" t="s">
        <v>1101</v>
      </c>
    </row>
    <row r="5775" customFormat="false" ht="17.15" hidden="false" customHeight="false" outlineLevel="0" collapsed="false">
      <c r="A5775" s="1" t="s">
        <v>1102</v>
      </c>
      <c r="B5775" s="0" t="s">
        <v>98</v>
      </c>
      <c r="E5775" s="6" t="n">
        <f aca="false">Sens!E5691+Sens!E5773</f>
        <v>38.534</v>
      </c>
      <c r="F5775" s="6" t="n">
        <f aca="false">Sens!F5691+Sens!F5773</f>
        <v>58.1636302005885</v>
      </c>
      <c r="G5775" s="6" t="n">
        <f aca="false">Sens!G5691+Sens!G5773</f>
        <v>86.1011366014031</v>
      </c>
      <c r="H5775" s="6" t="n">
        <f aca="false">Sens!H5691+Sens!H5773</f>
        <v>116.641608184284</v>
      </c>
      <c r="I5775" s="6" t="n">
        <f aca="false">Sens!I5691+Sens!I5773</f>
        <v>144.273331458081</v>
      </c>
      <c r="J5775" s="6" t="n">
        <f aca="false">Sens!J5691+Sens!J5773</f>
        <v>164.801216151668</v>
      </c>
      <c r="K5775" s="6" t="n">
        <f aca="false">Sens!K5691+Sens!K5773</f>
        <v>178.699338647451</v>
      </c>
    </row>
    <row r="5776" customFormat="false" ht="17.15" hidden="false" customHeight="false" outlineLevel="0" collapsed="false">
      <c r="A5776" s="1" t="s">
        <v>1103</v>
      </c>
      <c r="B5776" s="0" t="s">
        <v>98</v>
      </c>
      <c r="F5776" s="6" t="n">
        <f aca="false">Sens!F5718*sbc_r</f>
        <v>14.8911482335219</v>
      </c>
      <c r="G5776" s="6" t="n">
        <f aca="false">Sens!G5718*sbc_r</f>
        <v>17.7469006467833</v>
      </c>
      <c r="H5776" s="6" t="n">
        <f aca="false">Sens!H5718*sbc_r</f>
        <v>20.6689788995571</v>
      </c>
      <c r="I5776" s="6" t="n">
        <f aca="false">Sens!I5718*sbc_r</f>
        <v>23.3488002295952</v>
      </c>
      <c r="J5776" s="6" t="n">
        <f aca="false">Sens!J5718*sbc_r</f>
        <v>25.5431278378947</v>
      </c>
      <c r="K5776" s="6" t="n">
        <f aca="false">Sens!K5718*sbc_r</f>
        <v>27.2986771191268</v>
      </c>
    </row>
    <row r="5777" customFormat="false" ht="17.15" hidden="false" customHeight="false" outlineLevel="0" collapsed="false">
      <c r="A5777" s="1" t="s">
        <v>1104</v>
      </c>
      <c r="B5777" s="0" t="s">
        <v>98</v>
      </c>
      <c r="F5777" s="6" t="n">
        <f aca="false">wc27-wc26q1</f>
        <v>-4.677</v>
      </c>
      <c r="G5777" s="6" t="n">
        <f aca="false">wc_f</f>
        <v>0</v>
      </c>
      <c r="H5777" s="6" t="n">
        <f aca="false">wc_f</f>
        <v>0</v>
      </c>
      <c r="I5777" s="6" t="n">
        <f aca="false">wc_f</f>
        <v>0</v>
      </c>
      <c r="J5777" s="6" t="n">
        <f aca="false">wc_f</f>
        <v>0</v>
      </c>
      <c r="K5777" s="6" t="n">
        <f aca="false">wc_f</f>
        <v>0</v>
      </c>
      <c r="L5777" s="12" t="s">
        <v>1105</v>
      </c>
    </row>
    <row r="5778" customFormat="false" ht="17.15" hidden="false" customHeight="false" outlineLevel="0" collapsed="false">
      <c r="A5778" s="0" t="s">
        <v>1106</v>
      </c>
      <c r="B5778" s="0" t="s">
        <v>98</v>
      </c>
      <c r="F5778" s="6" t="n">
        <f aca="false">Q!$I$35-Q!$I$26-Q!$I$38-Q!$I$39</f>
        <v>6.493</v>
      </c>
      <c r="L5778" s="1" t="s">
        <v>1107</v>
      </c>
    </row>
    <row r="5779" customFormat="false" ht="15" hidden="false" customHeight="false" outlineLevel="0" collapsed="false">
      <c r="A5779" s="1" t="s">
        <v>904</v>
      </c>
      <c r="B5779" s="0" t="s">
        <v>98</v>
      </c>
      <c r="E5779" s="6" t="n">
        <f aca="false">Q!M35</f>
        <v>182.935</v>
      </c>
      <c r="F5779" s="6" t="n">
        <f aca="false">Sens!F5772+Sens!F5775+Sens!F5776+Sens!F5777+Sens!F5778</f>
        <v>219.024924631998</v>
      </c>
      <c r="G5779" s="6" t="n">
        <f aca="false">Sens!G5772+Sens!G5775+Sens!G5776+Sens!G5777</f>
        <v>259.174440816114</v>
      </c>
      <c r="H5779" s="6" t="n">
        <f aca="false">Sens!H5772+Sens!H5775+Sens!H5776+Sens!H5777</f>
        <v>307.692042885742</v>
      </c>
      <c r="I5779" s="6" t="n">
        <f aca="false">Sens!I5772+Sens!I5775+Sens!I5776+Sens!I5777</f>
        <v>352.355758948461</v>
      </c>
      <c r="J5779" s="6" t="n">
        <f aca="false">Sens!J5772+Sens!J5775+Sens!J5776+Sens!J5777</f>
        <v>388.679307183599</v>
      </c>
      <c r="K5779" s="6" t="n">
        <f aca="false">Sens!K5772+Sens!K5775+Sens!K5776+Sens!K5777</f>
        <v>417.510678636781</v>
      </c>
    </row>
    <row r="5780" customFormat="false" ht="17.15" hidden="false" customHeight="false" outlineLevel="0" collapsed="false">
      <c r="A5780" s="0" t="s">
        <v>1108</v>
      </c>
      <c r="B5780" s="0" t="s">
        <v>98</v>
      </c>
      <c r="F5780" s="6" t="n">
        <f aca="false">Sens!F5688</f>
        <v>168.45390404212</v>
      </c>
      <c r="G5780" s="6" t="n">
        <f aca="false">Sens!G5688</f>
        <v>191.944475649048</v>
      </c>
      <c r="H5780" s="6" t="n">
        <f aca="false">Sens!H5688</f>
        <v>196.806004064512</v>
      </c>
      <c r="I5780" s="6" t="n">
        <f aca="false">Sens!I5688</f>
        <v>168.61483362161</v>
      </c>
      <c r="J5780" s="6" t="n">
        <f aca="false">Sens!J5688</f>
        <v>128.92993119594</v>
      </c>
      <c r="K5780" s="6" t="n">
        <f aca="false">Sens!K5688</f>
        <v>118.962853064733</v>
      </c>
    </row>
    <row r="5781" customFormat="false" ht="17.15" hidden="false" customHeight="false" outlineLevel="0" collapsed="false">
      <c r="A5781" s="1" t="s">
        <v>1109</v>
      </c>
      <c r="B5781" s="0" t="s">
        <v>98</v>
      </c>
      <c r="E5781" s="6" t="n">
        <f aca="false">Sens!E5696*cx_azo+Sens!E5703*cx_m365+Sens!E5704*cx_lic+(Sens!E5706+Sens!E5708)*cx_ind+Sens!E5711*cx_srch+(Sens!E5713+Sens!E5715)*cx_dev</f>
        <v>30.1846587067718</v>
      </c>
      <c r="F5781" s="6" t="n">
        <f aca="false">Sens!F5696*cx_azo+Sens!F5703*cx_m365+Sens!F5704*cx_lic+(Sens!F5706+Sens!F5708)*cx_ind+Sens!F5711*cx_srch+(Sens!F5713+Sens!F5715)*cx_dev</f>
        <v>35.7858110161184</v>
      </c>
      <c r="G5781" s="6" t="n">
        <f aca="false">Sens!G5696*cx_azo+Sens!G5703*cx_m365+Sens!G5704*cx_lic+(Sens!G5706+Sens!G5708)*cx_ind+Sens!G5711*cx_srch+(Sens!G5713+Sens!G5715)*cx_dev</f>
        <v>41.4076179909097</v>
      </c>
      <c r="H5781" s="6" t="n">
        <f aca="false">Sens!H5696*cx_azo+Sens!H5703*cx_m365+Sens!H5704*cx_lic+(Sens!H5706+Sens!H5708)*cx_ind+Sens!H5711*cx_srch+(Sens!H5713+Sens!H5715)*cx_dev</f>
        <v>47.115361686445</v>
      </c>
      <c r="I5781" s="6" t="n">
        <f aca="false">Sens!I5696*cx_azo+Sens!I5703*cx_m365+Sens!I5704*cx_lic+(Sens!I5706+Sens!I5708)*cx_ind+Sens!I5711*cx_srch+(Sens!I5713+Sens!I5715)*cx_dev</f>
        <v>52.5495599297815</v>
      </c>
      <c r="J5781" s="6" t="n">
        <f aca="false">Sens!J5696*cx_azo+Sens!J5703*cx_m365+Sens!J5704*cx_lic+(Sens!J5706+Sens!J5708)*cx_ind+Sens!J5711*cx_srch+(Sens!J5713+Sens!J5715)*cx_dev</f>
        <v>57.4745351489299</v>
      </c>
      <c r="K5781" s="6" t="n">
        <f aca="false">Sens!K5696*cx_azo+Sens!K5703*cx_m365+Sens!K5704*cx_lic+(Sens!K5706+Sens!K5708)*cx_ind+Sens!K5711*cx_srch+(Sens!K5713+Sens!K5715)*cx_dev</f>
        <v>61.7968030465169</v>
      </c>
    </row>
    <row r="5782" customFormat="false" ht="17.15" hidden="false" customHeight="false" outlineLevel="0" collapsed="false">
      <c r="A5782" s="0" t="s">
        <v>1110</v>
      </c>
      <c r="B5782" s="0" t="s">
        <v>98</v>
      </c>
      <c r="F5782" s="6" t="n">
        <f aca="false">Sens!F5686</f>
        <v>0</v>
      </c>
      <c r="L5782" s="1" t="s">
        <v>1111</v>
      </c>
    </row>
    <row r="5783" customFormat="false" ht="17.15" hidden="false" customHeight="false" outlineLevel="0" collapsed="false">
      <c r="A5783" s="1" t="s">
        <v>1112</v>
      </c>
      <c r="B5783" s="0" t="s">
        <v>98</v>
      </c>
      <c r="E5783" s="6" t="n">
        <f aca="false">Q!M43</f>
        <v>145.3</v>
      </c>
      <c r="F5783" s="6" t="n">
        <f aca="false">Sens!F5780+Sens!F5781+Sens!F5782</f>
        <v>204.239715058238</v>
      </c>
      <c r="G5783" s="6" t="n">
        <f aca="false">Sens!G5780+Sens!G5781</f>
        <v>233.352093639958</v>
      </c>
      <c r="H5783" s="6" t="n">
        <f aca="false">Sens!H5780+Sens!H5781</f>
        <v>243.921365750957</v>
      </c>
      <c r="I5783" s="6" t="n">
        <f aca="false">Sens!I5780+Sens!I5781</f>
        <v>221.164393551392</v>
      </c>
      <c r="J5783" s="6" t="n">
        <f aca="false">Sens!J5780+Sens!J5781</f>
        <v>186.40446634487</v>
      </c>
      <c r="K5783" s="6" t="n">
        <f aca="false">Sens!K5780+Sens!K5781</f>
        <v>180.75965611125</v>
      </c>
      <c r="L5783" s="1" t="s">
        <v>1113</v>
      </c>
    </row>
    <row r="5784" customFormat="false" ht="15" hidden="false" customHeight="false" outlineLevel="0" collapsed="false">
      <c r="A5784" s="1" t="s">
        <v>1114</v>
      </c>
      <c r="B5784" s="0" t="s">
        <v>98</v>
      </c>
      <c r="E5784" s="6" t="n">
        <f aca="false">fl_liab</f>
        <v>66.594</v>
      </c>
      <c r="F5784" s="6" t="n">
        <f aca="false">Sens!E5784-Sens!F5785</f>
        <v>62.46973</v>
      </c>
      <c r="G5784" s="6" t="n">
        <f aca="false">Sens!F5784-Sens!G5785</f>
        <v>57.98686785</v>
      </c>
      <c r="H5784" s="6" t="n">
        <f aca="false">Sens!G5784-Sens!H5785</f>
        <v>53.92827690325</v>
      </c>
      <c r="I5784" s="6" t="n">
        <f aca="false">Sens!H5784-Sens!I5785</f>
        <v>49.7850493638962</v>
      </c>
      <c r="J5784" s="6" t="n">
        <f aca="false">Sens!I5784-Sens!J5785</f>
        <v>45.4823765852716</v>
      </c>
      <c r="K5784" s="6" t="n">
        <f aca="false">Sens!J5784-Sens!K5785</f>
        <v>40.9860835316088</v>
      </c>
    </row>
    <row r="5785" customFormat="false" ht="15" hidden="false" customHeight="false" outlineLevel="0" collapsed="false">
      <c r="A5785" s="1" t="s">
        <v>1115</v>
      </c>
      <c r="B5785" s="0" t="s">
        <v>98</v>
      </c>
      <c r="F5785" s="6" t="n">
        <f aca="false">fl_pay_27-Sens!E5784*fl_rate</f>
        <v>4.12427</v>
      </c>
      <c r="G5785" s="6" t="n">
        <f aca="false">fl_pay_28-Sens!F5784*fl_rate</f>
        <v>4.48286215</v>
      </c>
      <c r="H5785" s="6" t="n">
        <f aca="false">fl_pay_29-Sens!G5784*fl_rate</f>
        <v>4.05859094675</v>
      </c>
      <c r="I5785" s="6" t="n">
        <f aca="false">fl_pay_30-Sens!H5784*fl_rate</f>
        <v>4.14322753935375</v>
      </c>
      <c r="J5785" s="6" t="n">
        <f aca="false">fl_pay_31-Sens!I5784*fl_rate</f>
        <v>4.30267277862467</v>
      </c>
      <c r="K5785" s="6" t="n">
        <f aca="false">fl_pay_32-Sens!J5784*fl_rate</f>
        <v>4.49629305366278</v>
      </c>
    </row>
    <row r="5786" customFormat="false" ht="17.15" hidden="false" customHeight="false" outlineLevel="0" collapsed="false">
      <c r="A5786" s="1" t="s">
        <v>1116</v>
      </c>
      <c r="B5786" s="0" t="s">
        <v>98</v>
      </c>
      <c r="E5786" s="6" t="n">
        <f aca="false">Q!M35-Q!M36-Q!M44</f>
        <v>63.886</v>
      </c>
      <c r="F5786" s="6" t="n">
        <f aca="false">Sens!F5779-Sens!F5783-Sens!F5785</f>
        <v>10.6609395737596</v>
      </c>
      <c r="G5786" s="6" t="n">
        <f aca="false">Sens!G5779-Sens!G5783-Sens!G5785</f>
        <v>21.3394850261564</v>
      </c>
      <c r="H5786" s="6" t="n">
        <f aca="false">Sens!H5779-Sens!H5783-Sens!H5785</f>
        <v>59.7120861880351</v>
      </c>
      <c r="I5786" s="6" t="n">
        <f aca="false">Sens!I5779-Sens!I5783-Sens!I5785</f>
        <v>127.048137857716</v>
      </c>
      <c r="J5786" s="6" t="n">
        <f aca="false">Sens!J5779-Sens!J5783-Sens!J5785</f>
        <v>197.972168060104</v>
      </c>
      <c r="K5786" s="6" t="n">
        <f aca="false">Sens!K5779-Sens!K5783-Sens!K5785</f>
        <v>232.254729471869</v>
      </c>
      <c r="L5786" s="12" t="s">
        <v>1117</v>
      </c>
    </row>
    <row r="5787" customFormat="false" ht="15" hidden="false" customHeight="false" outlineLevel="0" collapsed="false">
      <c r="A5787" s="1" t="s">
        <v>1118</v>
      </c>
      <c r="B5787" s="0" t="s">
        <v>75</v>
      </c>
      <c r="F5787" s="8" t="n">
        <f aca="false">dps_27</f>
        <v>3.85</v>
      </c>
      <c r="G5787" s="8" t="n">
        <f aca="false">Sens!F5787*(1+dps_g)</f>
        <v>4.158</v>
      </c>
      <c r="H5787" s="8" t="n">
        <f aca="false">Sens!G5787*(1+dps_g)</f>
        <v>4.49064</v>
      </c>
      <c r="I5787" s="8" t="n">
        <f aca="false">Sens!H5787*(1+dps_g)</f>
        <v>4.8498912</v>
      </c>
      <c r="J5787" s="8" t="n">
        <f aca="false">Sens!I5787*(1+dps_g)</f>
        <v>5.237882496</v>
      </c>
      <c r="K5787" s="8" t="n">
        <f aca="false">Sens!J5787*(1+dps_g)</f>
        <v>5.65691309568</v>
      </c>
    </row>
    <row r="5788" customFormat="false" ht="17.15" hidden="false" customHeight="false" outlineLevel="0" collapsed="false">
      <c r="A5788" s="1" t="s">
        <v>1119</v>
      </c>
      <c r="B5788" s="0" t="s">
        <v>98</v>
      </c>
      <c r="E5788" s="6" t="n">
        <f aca="false">Q!M41</f>
        <v>26.445</v>
      </c>
      <c r="F5788" s="6" t="n">
        <f aca="false">Sens!F5787*Sens!E5797</f>
        <v>28.59395</v>
      </c>
      <c r="G5788" s="6" t="n">
        <f aca="false">Sens!G5787*Sens!F5797</f>
        <v>31.068576</v>
      </c>
      <c r="H5788" s="6" t="n">
        <f aca="false">Sens!H5787*Sens!G5797</f>
        <v>33.75614088</v>
      </c>
      <c r="I5788" s="6" t="n">
        <f aca="false">Sens!I5787*Sens!H5797</f>
        <v>36.5070704274727</v>
      </c>
      <c r="J5788" s="6" t="n">
        <f aca="false">Sens!J5787*Sens!I5797</f>
        <v>39.4955339470631</v>
      </c>
      <c r="K5788" s="6" t="n">
        <f aca="false">Sens!K5787*Sens!J5797</f>
        <v>42.7419309252064</v>
      </c>
      <c r="L5788" s="1" t="s">
        <v>1120</v>
      </c>
    </row>
    <row r="5789" customFormat="false" ht="15" hidden="false" customHeight="false" outlineLevel="0" collapsed="false">
      <c r="A5789" s="1" t="s">
        <v>1121</v>
      </c>
      <c r="B5789" s="0" t="s">
        <v>98</v>
      </c>
      <c r="E5789" s="6" t="n">
        <f aca="false">Sens!E5786-Sens!E5788</f>
        <v>37.441</v>
      </c>
      <c r="F5789" s="6" t="n">
        <f aca="false">Sens!F5786-Sens!F5788</f>
        <v>-17.9330104262404</v>
      </c>
      <c r="G5789" s="6" t="n">
        <f aca="false">Sens!G5786-Sens!G5788</f>
        <v>-9.72909097384357</v>
      </c>
      <c r="H5789" s="6" t="n">
        <f aca="false">Sens!H5786-Sens!H5788</f>
        <v>25.9559453080351</v>
      </c>
      <c r="I5789" s="6" t="n">
        <f aca="false">Sens!I5786-Sens!I5788</f>
        <v>90.541067430243</v>
      </c>
      <c r="J5789" s="6" t="n">
        <f aca="false">Sens!J5786-Sens!J5788</f>
        <v>158.476634113041</v>
      </c>
      <c r="K5789" s="6" t="n">
        <f aca="false">Sens!K5786-Sens!K5788</f>
        <v>189.512798546663</v>
      </c>
    </row>
    <row r="5790" customFormat="false" ht="15" hidden="false" customHeight="false" outlineLevel="0" collapsed="false">
      <c r="A5790" s="1" t="s">
        <v>1122</v>
      </c>
      <c r="B5790" s="0" t="s">
        <v>98</v>
      </c>
      <c r="F5790" s="6" t="n">
        <f aca="false">debt_mat_27</f>
        <v>9.25</v>
      </c>
      <c r="G5790" s="6" t="n">
        <f aca="false">debt_mat_28</f>
        <v>0</v>
      </c>
      <c r="H5790" s="6" t="n">
        <f aca="false">debt_mat_29</f>
        <v>2.001</v>
      </c>
      <c r="I5790" s="6" t="n">
        <f aca="false">debt_mat_30</f>
        <v>0</v>
      </c>
      <c r="J5790" s="6" t="n">
        <f aca="false">debt_mat_31</f>
        <v>0.5</v>
      </c>
      <c r="K5790" s="6" t="n">
        <f aca="false">debt_mat_32</f>
        <v>0</v>
      </c>
    </row>
    <row r="5791" customFormat="false" ht="15" hidden="false" customHeight="false" outlineLevel="0" collapsed="false">
      <c r="A5791" s="1" t="s">
        <v>1123</v>
      </c>
      <c r="B5791" s="0" t="s">
        <v>98</v>
      </c>
      <c r="E5791" s="6" t="n">
        <f aca="false">Q!M40</f>
        <v>22.271</v>
      </c>
      <c r="F5791" s="6" t="n">
        <f aca="false">MAX(0,MIN(bb_target,Sens!E5793+Sens!F5789-Sens!F5790-min_cash))</f>
        <v>0</v>
      </c>
      <c r="G5791" s="6" t="n">
        <f aca="false">MAX(0,MIN(bb_target,Sens!F5793+Sens!G5789-Sens!G5790-min_cash))</f>
        <v>0</v>
      </c>
      <c r="H5791" s="6" t="n">
        <f aca="false">MAX(0,MIN(bb_target,Sens!G5793+Sens!H5789-Sens!H5790-min_cash))</f>
        <v>22.271</v>
      </c>
      <c r="I5791" s="6" t="n">
        <f aca="false">MAX(0,MIN(bb_target,Sens!H5793+Sens!I5789-Sens!I5790-min_cash))</f>
        <v>22.271</v>
      </c>
      <c r="J5791" s="6" t="n">
        <f aca="false">MAX(0,MIN(bb_target,Sens!I5793+Sens!J5789-Sens!J5790-min_cash))</f>
        <v>22.271</v>
      </c>
      <c r="K5791" s="6" t="n">
        <f aca="false">MAX(0,MIN(bb_target,Sens!J5793+Sens!K5789-Sens!K5790-min_cash))</f>
        <v>22.271</v>
      </c>
    </row>
    <row r="5792" customFormat="false" ht="15" hidden="false" customHeight="false" outlineLevel="0" collapsed="false">
      <c r="A5792" s="1" t="s">
        <v>1124</v>
      </c>
      <c r="B5792" s="0" t="s">
        <v>98</v>
      </c>
      <c r="F5792" s="6" t="n">
        <f aca="false">MAX(0,min_cash-(Sens!E5793+Sens!F5789-Sens!F5790-Sens!F5791))</f>
        <v>0.340010426240397</v>
      </c>
      <c r="G5792" s="6" t="n">
        <f aca="false">MAX(0,min_cash-(Sens!F5793+Sens!G5789-Sens!G5790-Sens!G5791))</f>
        <v>9.72909097384357</v>
      </c>
      <c r="H5792" s="6" t="n">
        <f aca="false">MAX(0,min_cash-(Sens!G5793+Sens!H5789-Sens!H5790-Sens!H5791))</f>
        <v>0</v>
      </c>
      <c r="I5792" s="6" t="n">
        <f aca="false">MAX(0,min_cash-(Sens!H5793+Sens!I5789-Sens!I5790-Sens!I5791))</f>
        <v>0</v>
      </c>
      <c r="J5792" s="6" t="n">
        <f aca="false">MAX(0,min_cash-(Sens!I5793+Sens!J5789-Sens!J5790-Sens!J5791))</f>
        <v>0</v>
      </c>
      <c r="K5792" s="6" t="n">
        <f aca="false">MAX(0,min_cash-(Sens!J5793+Sens!K5789-Sens!K5790-Sens!K5791))</f>
        <v>0</v>
      </c>
    </row>
    <row r="5793" customFormat="false" ht="15" hidden="false" customHeight="false" outlineLevel="0" collapsed="false">
      <c r="A5793" s="1" t="s">
        <v>1125</v>
      </c>
      <c r="B5793" s="0" t="s">
        <v>98</v>
      </c>
      <c r="E5793" s="6" t="n">
        <f aca="false">cash_open</f>
        <v>76.843</v>
      </c>
      <c r="F5793" s="6" t="n">
        <f aca="false">Sens!E5793+Sens!F5789-Sens!F5790-Sens!F5791+Sens!F5792</f>
        <v>50</v>
      </c>
      <c r="G5793" s="6" t="n">
        <f aca="false">Sens!F5793+Sens!G5789-Sens!G5790-Sens!G5791+Sens!G5792</f>
        <v>50</v>
      </c>
      <c r="H5793" s="6" t="n">
        <f aca="false">Sens!G5793+Sens!H5789-Sens!H5790-Sens!H5791+Sens!H5792</f>
        <v>51.6839453080351</v>
      </c>
      <c r="I5793" s="6" t="n">
        <f aca="false">Sens!H5793+Sens!I5789-Sens!I5790-Sens!I5791+Sens!I5792</f>
        <v>119.954012738278</v>
      </c>
      <c r="J5793" s="6" t="n">
        <f aca="false">Sens!I5793+Sens!J5789-Sens!J5790-Sens!J5791+Sens!J5792</f>
        <v>255.659646851319</v>
      </c>
      <c r="K5793" s="6" t="n">
        <f aca="false">Sens!J5793+Sens!K5789-Sens!K5790-Sens!K5791+Sens!K5792</f>
        <v>422.901445397982</v>
      </c>
    </row>
    <row r="5794" customFormat="false" ht="15" hidden="false" customHeight="false" outlineLevel="0" collapsed="false">
      <c r="A5794" s="1" t="s">
        <v>1126</v>
      </c>
      <c r="B5794" s="0" t="s">
        <v>98</v>
      </c>
      <c r="E5794" s="6" t="n">
        <f aca="false">debt_face</f>
        <v>46.136</v>
      </c>
      <c r="F5794" s="6" t="n">
        <f aca="false">Sens!E5794-Sens!F5790+Sens!F5792</f>
        <v>37.2260104262404</v>
      </c>
      <c r="G5794" s="6" t="n">
        <f aca="false">Sens!F5794-Sens!G5790+Sens!G5792</f>
        <v>46.955101400084</v>
      </c>
      <c r="H5794" s="6" t="n">
        <f aca="false">Sens!G5794-Sens!H5790+Sens!H5792</f>
        <v>44.954101400084</v>
      </c>
      <c r="I5794" s="6" t="n">
        <f aca="false">Sens!H5794-Sens!I5790+Sens!I5792</f>
        <v>44.954101400084</v>
      </c>
      <c r="J5794" s="6" t="n">
        <f aca="false">Sens!I5794-Sens!J5790+Sens!J5792</f>
        <v>44.454101400084</v>
      </c>
      <c r="K5794" s="6" t="n">
        <f aca="false">Sens!J5794-Sens!K5790+Sens!K5792</f>
        <v>44.454101400084</v>
      </c>
    </row>
    <row r="5795" customFormat="false" ht="15" hidden="false" customHeight="false" outlineLevel="0" collapsed="false">
      <c r="A5795" s="1" t="s">
        <v>1127</v>
      </c>
      <c r="B5795" s="0" t="s">
        <v>98</v>
      </c>
      <c r="E5795" s="6" t="n">
        <f aca="false">Sens!E5793-Sens!E5794</f>
        <v>30.707</v>
      </c>
      <c r="F5795" s="6" t="n">
        <f aca="false">Sens!F5793-Sens!F5794</f>
        <v>12.7739895737596</v>
      </c>
      <c r="G5795" s="6" t="n">
        <f aca="false">Sens!G5793-Sens!G5794</f>
        <v>3.04489859991603</v>
      </c>
      <c r="H5795" s="6" t="n">
        <f aca="false">Sens!H5793-Sens!H5794</f>
        <v>6.72984390795109</v>
      </c>
      <c r="I5795" s="6" t="n">
        <f aca="false">Sens!I5793-Sens!I5794</f>
        <v>74.9999113381941</v>
      </c>
      <c r="J5795" s="6" t="n">
        <f aca="false">Sens!J5793-Sens!J5794</f>
        <v>211.205545451235</v>
      </c>
      <c r="K5795" s="6" t="n">
        <f aca="false">Sens!K5793-Sens!K5794</f>
        <v>378.447343997898</v>
      </c>
    </row>
    <row r="5796" customFormat="false" ht="15" hidden="false" customHeight="false" outlineLevel="0" collapsed="false">
      <c r="A5796" s="1" t="s">
        <v>1128</v>
      </c>
      <c r="B5796" s="0" t="s">
        <v>75</v>
      </c>
      <c r="F5796" s="30" t="n">
        <f aca="false">px*(1+bb_g)^(Sens!F5654-base_fy-mid_yr)</f>
        <v>551.84177959629</v>
      </c>
      <c r="G5796" s="30" t="n">
        <f aca="false">px*(1+bb_g)^(Sens!G5654-base_fy-mid_yr)</f>
        <v>595.989121963993</v>
      </c>
      <c r="H5796" s="30" t="n">
        <f aca="false">px*(1+bb_g)^(Sens!H5654-base_fy-mid_yr)</f>
        <v>643.668251721112</v>
      </c>
      <c r="I5796" s="30" t="n">
        <f aca="false">px*(1+bb_g)^(Sens!I5654-base_fy-mid_yr)</f>
        <v>695.161711858801</v>
      </c>
      <c r="J5796" s="30" t="n">
        <f aca="false">px*(1+bb_g)^(Sens!J5654-base_fy-mid_yr)</f>
        <v>750.774648807506</v>
      </c>
      <c r="K5796" s="30" t="n">
        <f aca="false">px*(1+bb_g)^(Sens!K5654-base_fy-mid_yr)</f>
        <v>810.836620712106</v>
      </c>
    </row>
    <row r="5797" customFormat="false" ht="15" hidden="false" customHeight="false" outlineLevel="0" collapsed="false">
      <c r="A5797" s="1" t="s">
        <v>1129</v>
      </c>
      <c r="B5797" s="1" t="s">
        <v>81</v>
      </c>
      <c r="E5797" s="15" t="n">
        <f aca="false">sh_out26</f>
        <v>7.427</v>
      </c>
      <c r="F5797" s="15" t="n">
        <f aca="false">Sens!E5797+sh_iss-Sens!F5791/Sens!F5796</f>
        <v>7.472</v>
      </c>
      <c r="G5797" s="15" t="n">
        <f aca="false">Sens!F5797+sh_iss-Sens!G5791/Sens!G5796</f>
        <v>7.517</v>
      </c>
      <c r="H5797" s="15" t="n">
        <f aca="false">Sens!G5797+sh_iss-Sens!H5791/Sens!H5796</f>
        <v>7.5273998780576</v>
      </c>
      <c r="I5797" s="15" t="n">
        <f aca="false">Sens!H5797+sh_iss-Sens!I5791/Sens!I5796</f>
        <v>7.54036272811094</v>
      </c>
      <c r="J5797" s="15" t="n">
        <f aca="false">Sens!I5797+sh_iss-Sens!J5791/Sens!J5796</f>
        <v>7.55569870038255</v>
      </c>
      <c r="K5797" s="15" t="n">
        <f aca="false">Sens!J5797+sh_iss-Sens!K5791/Sens!K5796</f>
        <v>7.57323200804144</v>
      </c>
    </row>
    <row r="5798" customFormat="false" ht="15" hidden="false" customHeight="false" outlineLevel="0" collapsed="false">
      <c r="A5798" s="1" t="s">
        <v>1130</v>
      </c>
      <c r="B5798" s="1" t="s">
        <v>81</v>
      </c>
      <c r="E5798" s="15" t="n">
        <f aca="false">sh_dil26</f>
        <v>7.453</v>
      </c>
      <c r="F5798" s="15" t="n">
        <f aca="false">(Sens!E5797+Sens!F5797)/2+dil_gap</f>
        <v>7.4735</v>
      </c>
      <c r="G5798" s="15" t="n">
        <f aca="false">(Sens!F5797+Sens!G5797)/2+dil_gap</f>
        <v>7.5185</v>
      </c>
      <c r="H5798" s="15" t="n">
        <f aca="false">(Sens!G5797+Sens!H5797)/2+dil_gap</f>
        <v>7.5461999390288</v>
      </c>
      <c r="I5798" s="15" t="n">
        <f aca="false">(Sens!H5797+Sens!I5797)/2+dil_gap</f>
        <v>7.55788130308427</v>
      </c>
      <c r="J5798" s="15" t="n">
        <f aca="false">(Sens!I5797+Sens!J5797)/2+dil_gap</f>
        <v>7.57203071424674</v>
      </c>
      <c r="K5798" s="15" t="n">
        <f aca="false">(Sens!J5797+Sens!K5797)/2+dil_gap</f>
        <v>7.58846535421199</v>
      </c>
    </row>
    <row r="5799" customFormat="false" ht="17.15" hidden="false" customHeight="false" outlineLevel="0" collapsed="false">
      <c r="A5799" s="1" t="s">
        <v>1131</v>
      </c>
      <c r="B5799" s="0" t="s">
        <v>98</v>
      </c>
      <c r="C5799" s="6" t="n">
        <f aca="false">SUM(Sens!F5789:J5789)</f>
        <v>247.311545451235</v>
      </c>
    </row>
    <row r="5800" customFormat="false" ht="15" hidden="false" customHeight="false" outlineLevel="0" collapsed="false">
      <c r="A5800" s="26" t="s">
        <v>1096</v>
      </c>
      <c r="B5800" s="31" t="s">
        <v>98</v>
      </c>
      <c r="C5800" s="27" t="n">
        <f aca="false">Sens!$C$5799-(Sens!F5789+Sens!G5789+Sens!H5789+Sens!I5789+Sens!J5789)</f>
        <v>0</v>
      </c>
      <c r="D5800" s="31"/>
      <c r="E5800" s="31"/>
      <c r="F5800" s="31"/>
      <c r="G5800" s="31"/>
      <c r="H5800" s="31"/>
      <c r="I5800" s="31"/>
      <c r="J5800" s="31"/>
      <c r="K5800" s="31"/>
    </row>
    <row r="5801" customFormat="false" ht="17.15" hidden="false" customHeight="false" outlineLevel="0" collapsed="false">
      <c r="A5801" s="1" t="s">
        <v>1090</v>
      </c>
      <c r="B5801" s="1" t="s">
        <v>1132</v>
      </c>
      <c r="C5801" s="33" t="str">
        <f aca="false">IF(SUM(Sens!F5792:J5792)&gt;0.05,"需要舉債 "&amp;TEXT(SUM(Sens!F5792:J5792),"0.0")&amp;" 十億美元","不需舉債")&amp;"；"&amp;IF(SUM(Sens!F5791:J5791)&lt;COUNT(Sens!F5791:J5791)*bb_target-0.05,"回購較每年 "&amp;TEXT(bb_target,"0.0")&amp;" 的目標少 "&amp;TEXT(COUNT(Sens!F5791:J5791)*bb_target-SUM(Sens!F5791:J5791),"0.0")&amp;" 十億美元（"&amp;TEXT(COUNTIF(Sens!F5791:J5791,"&lt;"&amp;(bb_target-0.05)),"0")&amp;" 年減少）","回購不減")</f>
        <v>需要舉債 10.1 十億美元；回購較每年 22.3 的目標少 44.5 十億美元（2 年減少）</v>
      </c>
    </row>
    <row r="5802" customFormat="false" ht="17.15" hidden="false" customHeight="false" outlineLevel="0" collapsed="false">
      <c r="A5802" s="3" t="s">
        <v>1624</v>
      </c>
    </row>
    <row r="5803" customFormat="false" ht="15" hidden="false" customHeight="false" outlineLevel="0" collapsed="false">
      <c r="A5803" s="4" t="s">
        <v>43</v>
      </c>
      <c r="B5803" s="4" t="s">
        <v>65</v>
      </c>
      <c r="C5803" s="23" t="s">
        <v>938</v>
      </c>
      <c r="D5803" s="23" t="s">
        <v>939</v>
      </c>
      <c r="E5803" s="23" t="s">
        <v>940</v>
      </c>
      <c r="F5803" s="23" t="s">
        <v>941</v>
      </c>
      <c r="G5803" s="23" t="s">
        <v>942</v>
      </c>
      <c r="H5803" s="23" t="s">
        <v>943</v>
      </c>
      <c r="I5803" s="23" t="s">
        <v>944</v>
      </c>
      <c r="J5803" s="23" t="s">
        <v>945</v>
      </c>
      <c r="K5803" s="23" t="s">
        <v>946</v>
      </c>
      <c r="L5803" s="4" t="s">
        <v>47</v>
      </c>
    </row>
    <row r="5804" customFormat="false" ht="17.15" hidden="false" customHeight="false" outlineLevel="0" collapsed="false">
      <c r="A5804" s="1" t="s">
        <v>1212</v>
      </c>
      <c r="B5804" s="1" t="s">
        <v>279</v>
      </c>
      <c r="F5804" s="8" t="n">
        <f aca="false">(1-v_off)*mid_yr</f>
        <v>0.373972602739726</v>
      </c>
      <c r="G5804" s="8" t="n">
        <f aca="false">Sens!G5654-base_fy-mid_yr-v_off</f>
        <v>1.24794520547945</v>
      </c>
      <c r="H5804" s="8" t="n">
        <f aca="false">Sens!H5654-base_fy-mid_yr-v_off</f>
        <v>2.24794520547945</v>
      </c>
      <c r="I5804" s="8" t="n">
        <f aca="false">Sens!I5654-base_fy-mid_yr-v_off</f>
        <v>3.24794520547945</v>
      </c>
      <c r="J5804" s="8" t="n">
        <f aca="false">Sens!J5654-base_fy-mid_yr-v_off</f>
        <v>4.24794520547945</v>
      </c>
      <c r="K5804" s="8" t="n">
        <f aca="false">Sens!K5654-base_fy-mid_yr-v_off</f>
        <v>5.24794520547945</v>
      </c>
      <c r="L5804" s="12" t="s">
        <v>1213</v>
      </c>
    </row>
    <row r="5805" customFormat="false" ht="15" hidden="false" customHeight="false" outlineLevel="0" collapsed="false">
      <c r="A5805" s="1" t="s">
        <v>1214</v>
      </c>
      <c r="B5805" s="1" t="s">
        <v>279</v>
      </c>
      <c r="F5805" s="8" t="n">
        <f aca="false">Sens!F5654-base_fy-v_off</f>
        <v>0.747945205479452</v>
      </c>
      <c r="G5805" s="8" t="n">
        <f aca="false">Sens!G5654-base_fy-v_off</f>
        <v>1.74794520547945</v>
      </c>
      <c r="H5805" s="8" t="n">
        <f aca="false">Sens!H5654-base_fy-v_off</f>
        <v>2.74794520547945</v>
      </c>
      <c r="I5805" s="8" t="n">
        <f aca="false">Sens!I5654-base_fy-v_off</f>
        <v>3.74794520547945</v>
      </c>
      <c r="J5805" s="8" t="n">
        <f aca="false">Sens!J5654-base_fy-v_off</f>
        <v>4.74794520547945</v>
      </c>
      <c r="K5805" s="8" t="n">
        <f aca="false">Sens!K5654-base_fy-v_off</f>
        <v>5.74794520547945</v>
      </c>
    </row>
    <row r="5806" customFormat="false" ht="15" hidden="false" customHeight="false" outlineLevel="0" collapsed="false">
      <c r="A5806" s="1" t="s">
        <v>1215</v>
      </c>
      <c r="B5806" s="0" t="s">
        <v>229</v>
      </c>
      <c r="F5806" s="15" t="n">
        <f aca="false">1/(1+wacc)^Sens!F5804</f>
        <v>0.964022703286649</v>
      </c>
      <c r="G5806" s="15" t="n">
        <f aca="false">1/(1+wacc)^Sens!G5804</f>
        <v>0.884910302296739</v>
      </c>
      <c r="H5806" s="15" t="n">
        <f aca="false">1/(1+wacc)^Sens!H5804</f>
        <v>0.802322009770358</v>
      </c>
      <c r="I5806" s="15" t="n">
        <f aca="false">1/(1+wacc)^Sens!I5804</f>
        <v>0.727441646561469</v>
      </c>
      <c r="J5806" s="15" t="n">
        <f aca="false">1/(1+wacc)^Sens!J5804</f>
        <v>0.659549834988973</v>
      </c>
      <c r="K5806" s="15" t="n">
        <f aca="false">1/(1+wacc)^Sens!K5804</f>
        <v>0.597994336576966</v>
      </c>
    </row>
    <row r="5807" customFormat="false" ht="17.15" hidden="false" customHeight="false" outlineLevel="0" collapsed="false">
      <c r="A5807" s="1" t="s">
        <v>1216</v>
      </c>
      <c r="B5807" s="0" t="s">
        <v>98</v>
      </c>
      <c r="F5807" s="6" t="n">
        <f aca="false">Q!$I$35-Q!$I$39-Q!$I$43</f>
        <v>9.666</v>
      </c>
      <c r="L5807" s="12" t="s">
        <v>1217</v>
      </c>
    </row>
    <row r="5808" customFormat="false" ht="17.15" hidden="false" customHeight="false" outlineLevel="0" collapsed="false">
      <c r="A5808" s="1" t="s">
        <v>1218</v>
      </c>
      <c r="B5808" s="0" t="s">
        <v>98</v>
      </c>
      <c r="F5808" s="6" t="n">
        <f aca="false">Sens!F5779-Sens!F5776-Sens!F5783+Sens!F5761*(1-tax_f)*(1-v_off)-Sens!F5807</f>
        <v>-3.94404369723085</v>
      </c>
      <c r="G5808" s="6" t="n">
        <f aca="false">Sens!G5779-Sens!G5776-Sens!G5783+Sens!G5761*(1-tax_f)</f>
        <v>28.2957174061569</v>
      </c>
      <c r="H5808" s="6" t="n">
        <f aca="false">Sens!H5779-Sens!H5776-Sens!H5783+Sens!H5761*(1-tax_f)</f>
        <v>76.9289185310638</v>
      </c>
      <c r="I5808" s="6" t="n">
        <f aca="false">Sens!I5779-Sens!I5776-Sens!I5783+Sens!I5761*(1-tax_f)</f>
        <v>154.006520080739</v>
      </c>
      <c r="J5808" s="6" t="n">
        <f aca="false">Sens!J5779-Sens!J5776-Sens!J5783+Sens!J5761*(1-tax_f)</f>
        <v>231.51799467349</v>
      </c>
      <c r="K5808" s="6" t="n">
        <f aca="false">Sens!K5779-Sens!K5776-Sens!K5783+Sens!K5761*(1-tax_f)</f>
        <v>268.940215401865</v>
      </c>
      <c r="L5808" s="1" t="s">
        <v>1219</v>
      </c>
    </row>
    <row r="5809" customFormat="false" ht="15" hidden="false" customHeight="false" outlineLevel="0" collapsed="false">
      <c r="A5809" s="1" t="s">
        <v>1220</v>
      </c>
      <c r="B5809" s="0" t="s">
        <v>98</v>
      </c>
      <c r="F5809" s="6" t="n">
        <f aca="false">Sens!F5808*Sens!F5806</f>
        <v>-3.80214766688515</v>
      </c>
      <c r="G5809" s="6" t="n">
        <f aca="false">Sens!G5808*Sens!G5806</f>
        <v>25.0391718435854</v>
      </c>
      <c r="H5809" s="6" t="n">
        <f aca="false">Sens!H5808*Sens!H5806</f>
        <v>61.7217645253032</v>
      </c>
      <c r="I5809" s="6" t="n">
        <f aca="false">Sens!I5808*Sens!I5806</f>
        <v>112.030756548735</v>
      </c>
      <c r="J5809" s="6" t="n">
        <f aca="false">Sens!J5808*Sens!J5806</f>
        <v>152.697655183878</v>
      </c>
      <c r="K5809" s="6" t="n">
        <f aca="false">Sens!K5808*Sens!K5806</f>
        <v>160.824725688104</v>
      </c>
    </row>
    <row r="5810" customFormat="false" ht="17.15" hidden="false" customHeight="false" outlineLevel="0" collapsed="false">
      <c r="A5810" s="1" t="s">
        <v>1221</v>
      </c>
      <c r="B5810" s="0" t="s">
        <v>98</v>
      </c>
      <c r="C5810" s="6" t="n">
        <f aca="false">SUM(Sens!F5809:K5809)</f>
        <v>508.511926122721</v>
      </c>
    </row>
    <row r="5811" customFormat="false" ht="17.15" hidden="false" customHeight="false" outlineLevel="0" collapsed="false">
      <c r="A5811" s="1" t="s">
        <v>1222</v>
      </c>
      <c r="B5811" s="0" t="s">
        <v>98</v>
      </c>
      <c r="C5811" s="6" t="n">
        <f aca="false">Sens!K5747*(1+g_tv)*(1-tax_f)</f>
        <v>280.119348851634</v>
      </c>
    </row>
    <row r="5812" customFormat="false" ht="17.15" hidden="false" customHeight="false" outlineLevel="0" collapsed="false">
      <c r="A5812" s="1" t="s">
        <v>1223</v>
      </c>
      <c r="B5812" s="0" t="s">
        <v>98</v>
      </c>
      <c r="C5812" s="6" t="n">
        <f aca="false">Sens!$C$5811*(1-g_tv/(wacc+ronic_prem))</f>
        <v>198.480930594802</v>
      </c>
    </row>
    <row r="5813" customFormat="false" ht="17.15" hidden="false" customHeight="false" outlineLevel="0" collapsed="false">
      <c r="A5813" s="1" t="s">
        <v>1224</v>
      </c>
      <c r="B5813" s="0" t="s">
        <v>98</v>
      </c>
      <c r="C5813" s="6" t="n">
        <f aca="false">Sens!$C$5812/(wacc-g_tv)</f>
        <v>2721.28060856104</v>
      </c>
    </row>
    <row r="5814" customFormat="false" ht="15" hidden="false" customHeight="false" outlineLevel="0" collapsed="false">
      <c r="A5814" s="1" t="s">
        <v>1225</v>
      </c>
      <c r="B5814" s="0" t="s">
        <v>98</v>
      </c>
      <c r="C5814" s="6" t="n">
        <f aca="false">Sens!$C$5813/(1+wacc)^Sens!K5805</f>
        <v>1549.51264730016</v>
      </c>
    </row>
    <row r="5815" customFormat="false" ht="17.15" hidden="false" customHeight="false" outlineLevel="0" collapsed="false">
      <c r="A5815" s="0" t="s">
        <v>1226</v>
      </c>
      <c r="B5815" s="0" t="s">
        <v>98</v>
      </c>
      <c r="C5815" s="6" t="n">
        <f aca="false">Sens!$C$5810+Sens!$C$5814</f>
        <v>2058.02457342289</v>
      </c>
    </row>
    <row r="5816" customFormat="false" ht="15" hidden="false" customHeight="false" outlineLevel="0" collapsed="false">
      <c r="A5816" s="1" t="s">
        <v>1141</v>
      </c>
      <c r="B5816" s="0" t="s">
        <v>168</v>
      </c>
      <c r="C5816" s="7" t="n">
        <f aca="false">Sens!$C$5814/Sens!$C$5815</f>
        <v>0.752912607220735</v>
      </c>
    </row>
    <row r="5817" customFormat="false" ht="17.15" hidden="false" customHeight="false" outlineLevel="0" collapsed="false">
      <c r="A5817" s="1" t="s">
        <v>1227</v>
      </c>
      <c r="B5817" s="0" t="s">
        <v>98</v>
      </c>
      <c r="C5817" s="6" t="n">
        <f aca="false">Sens!$C$5815+cash_val-debt_val-fl_val+oai_v</f>
        <v>2173.87557342289</v>
      </c>
    </row>
    <row r="5818" customFormat="false" ht="17.15" hidden="false" customHeight="false" outlineLevel="0" collapsed="false">
      <c r="A5818" s="0" t="s">
        <v>1149</v>
      </c>
      <c r="B5818" s="0" t="s">
        <v>75</v>
      </c>
      <c r="C5818" s="5" t="n">
        <f aca="false">Sens!$C$5817/shd_val</f>
        <v>291.952131805384</v>
      </c>
    </row>
    <row r="5819" customFormat="false" ht="15" hidden="false" customHeight="false" outlineLevel="0" collapsed="false">
      <c r="A5819" s="1" t="s">
        <v>1228</v>
      </c>
      <c r="B5819" s="0" t="s">
        <v>75</v>
      </c>
      <c r="C5819" s="8" t="n">
        <f aca="false">div_rem27+Sens!G5787*roll_div_q/q_per_yr</f>
        <v>3.9795</v>
      </c>
    </row>
    <row r="5820" customFormat="false" ht="17.15" hidden="false" customHeight="false" outlineLevel="0" collapsed="false">
      <c r="A5820" s="0" t="s">
        <v>1229</v>
      </c>
      <c r="B5820" s="0" t="s">
        <v>75</v>
      </c>
      <c r="C5820" s="5" t="n">
        <f aca="false">Sens!$C$5818*(1+wacc)^t_roll-Sens!$C$5819</f>
        <v>320.54158856732</v>
      </c>
    </row>
    <row r="5821" customFormat="false" ht="17.15" hidden="false" customHeight="false" outlineLevel="0" collapsed="false">
      <c r="A5821" s="1" t="s">
        <v>1230</v>
      </c>
      <c r="B5821" s="0" t="s">
        <v>168</v>
      </c>
      <c r="F5821" s="7" t="n">
        <f aca="false">Sens!F5773/(Sens!F5718-Sens!F5673)</f>
        <v>0.0685914683785026</v>
      </c>
      <c r="G5821" s="7" t="n">
        <f aca="false">Sens!G5773/(Sens!G5718-Sens!G5673)</f>
        <v>0.0658145602308764</v>
      </c>
      <c r="H5821" s="7" t="n">
        <f aca="false">Sens!H5773/(Sens!H5718-Sens!H5673)</f>
        <v>0.0643785748626497</v>
      </c>
      <c r="I5821" s="7" t="n">
        <f aca="false">Sens!I5773/(Sens!I5718-Sens!I5673)</f>
        <v>0.0641632281815063</v>
      </c>
      <c r="J5821" s="7" t="n">
        <f aca="false">Sens!J5773/(Sens!J5718-Sens!J5673)</f>
        <v>0.0648871216944743</v>
      </c>
      <c r="K5821" s="7" t="n">
        <f aca="false">Sens!K5773/(Sens!K5718-Sens!K5673)</f>
        <v>0.0662039349710054</v>
      </c>
    </row>
    <row r="5822" customFormat="false" ht="17.15" hidden="false" customHeight="false" outlineLevel="0" collapsed="false">
      <c r="A5822" s="0" t="s">
        <v>1231</v>
      </c>
      <c r="B5822" s="0" t="s">
        <v>98</v>
      </c>
      <c r="F5822" s="6" t="n">
        <f aca="false">Sens!F5703*(al_m365+Sens!F5821+sbc_r)</f>
        <v>83.7172298907808</v>
      </c>
      <c r="G5822" s="6" t="n">
        <f aca="false">Sens!G5703*(al_m365+Sens!G5821+sbc_r)</f>
        <v>96.1275608128838</v>
      </c>
      <c r="H5822" s="6" t="n">
        <f aca="false">Sens!H5703*(al_m365+Sens!H5821+sbc_r)</f>
        <v>108.701838764913</v>
      </c>
      <c r="I5822" s="6" t="n">
        <f aca="false">Sens!I5703*(al_m365+Sens!I5821+sbc_r)</f>
        <v>120.259341299774</v>
      </c>
      <c r="J5822" s="6" t="n">
        <f aca="false">Sens!J5703*(al_m365+Sens!J5821+sbc_r)</f>
        <v>130.612139083545</v>
      </c>
      <c r="K5822" s="6" t="n">
        <f aca="false">Sens!K5703*(al_m365+Sens!K5821+sbc_r)</f>
        <v>140.576392165276</v>
      </c>
      <c r="L5822" s="12" t="s">
        <v>1232</v>
      </c>
    </row>
    <row r="5823" customFormat="false" ht="17.15" hidden="false" customHeight="false" outlineLevel="0" collapsed="false">
      <c r="A5823" s="0" t="s">
        <v>1233</v>
      </c>
      <c r="B5823" s="0" t="s">
        <v>98</v>
      </c>
      <c r="F5823" s="6" t="n">
        <f aca="false">Sens!F5704*(al_lic+Sens!F5821+sbc_r)</f>
        <v>32.8566871529151</v>
      </c>
      <c r="G5823" s="6" t="n">
        <f aca="false">Sens!G5704*(al_lic+Sens!G5821+sbc_r)</f>
        <v>34.1368745671012</v>
      </c>
      <c r="H5823" s="6" t="n">
        <f aca="false">Sens!H5704*(al_lic+Sens!H5821+sbc_r)</f>
        <v>35.3321186845596</v>
      </c>
      <c r="I5823" s="6" t="n">
        <f aca="false">Sens!I5704*(al_lic+Sens!I5821+sbc_r)</f>
        <v>36.4242852552219</v>
      </c>
      <c r="J5823" s="6" t="n">
        <f aca="false">Sens!J5704*(al_lic+Sens!J5821+sbc_r)</f>
        <v>37.3879959269649</v>
      </c>
      <c r="K5823" s="6" t="n">
        <f aca="false">Sens!K5704*(al_lic+Sens!K5821+sbc_r)</f>
        <v>38.1946781199282</v>
      </c>
    </row>
    <row r="5824" customFormat="false" ht="17.15" hidden="false" customHeight="false" outlineLevel="0" collapsed="false">
      <c r="A5824" s="0" t="s">
        <v>1234</v>
      </c>
      <c r="B5824" s="0" t="s">
        <v>98</v>
      </c>
      <c r="F5824" s="6" t="n">
        <f aca="false">Sens!F5706*(al_ind+Sens!F5821+sbc_r)</f>
        <v>9.05978995947009</v>
      </c>
      <c r="G5824" s="6" t="n">
        <f aca="false">Sens!G5706*(al_ind+Sens!G5821+sbc_r)</f>
        <v>9.83573229424204</v>
      </c>
      <c r="H5824" s="6" t="n">
        <f aca="false">Sens!H5706*(al_ind+Sens!H5821+sbc_r)</f>
        <v>10.6567245626027</v>
      </c>
      <c r="I5824" s="6" t="n">
        <f aca="false">Sens!I5706*(al_ind+Sens!I5821+sbc_r)</f>
        <v>11.5197299695842</v>
      </c>
      <c r="J5824" s="6" t="n">
        <f aca="false">Sens!J5706*(al_ind+Sens!J5821+sbc_r)</f>
        <v>12.4150475726789</v>
      </c>
      <c r="K5824" s="6" t="n">
        <f aca="false">Sens!K5706*(al_ind+Sens!K5821+sbc_r)</f>
        <v>13.3275858584943</v>
      </c>
    </row>
    <row r="5825" customFormat="false" ht="17.15" hidden="false" customHeight="false" outlineLevel="0" collapsed="false">
      <c r="A5825" s="0" t="s">
        <v>1235</v>
      </c>
      <c r="B5825" s="0" t="s">
        <v>98</v>
      </c>
      <c r="F5825" s="6" t="n">
        <f aca="false">Sens!F5708*(al_fro+Sens!F5821+sbc_r)</f>
        <v>3.55378353528797</v>
      </c>
      <c r="G5825" s="6" t="n">
        <f aca="false">Sens!G5708*(al_fro+Sens!G5821+sbc_r)</f>
        <v>3.76343944114365</v>
      </c>
      <c r="H5825" s="6" t="n">
        <f aca="false">Sens!H5708*(al_fro+Sens!H5821+sbc_r)</f>
        <v>4.00210023641944</v>
      </c>
      <c r="I5825" s="6" t="n">
        <f aca="false">Sens!I5708*(al_fro+Sens!I5821+sbc_r)</f>
        <v>4.27252934261228</v>
      </c>
      <c r="J5825" s="6" t="n">
        <f aca="false">Sens!J5708*(al_fro+Sens!J5821+sbc_r)</f>
        <v>4.57587658838563</v>
      </c>
      <c r="K5825" s="6" t="n">
        <f aca="false">Sens!K5708*(al_fro+Sens!K5821+sbc_r)</f>
        <v>4.91221541863362</v>
      </c>
    </row>
    <row r="5826" customFormat="false" ht="17.15" hidden="false" customHeight="false" outlineLevel="0" collapsed="false">
      <c r="A5826" s="0" t="s">
        <v>1236</v>
      </c>
      <c r="B5826" s="0" t="s">
        <v>98</v>
      </c>
      <c r="F5826" s="6" t="n">
        <f aca="false">Sens!F5711*(al_srch+Sens!F5821+sbc_r)</f>
        <v>11.1883159271877</v>
      </c>
      <c r="G5826" s="6" t="n">
        <f aca="false">Sens!G5711*(al_srch+Sens!G5821+sbc_r)</f>
        <v>12.2611672873445</v>
      </c>
      <c r="H5826" s="6" t="n">
        <f aca="false">Sens!H5711*(al_srch+Sens!H5821+sbc_r)</f>
        <v>13.3791204409092</v>
      </c>
      <c r="I5826" s="6" t="n">
        <f aca="false">Sens!I5711*(al_srch+Sens!I5821+sbc_r)</f>
        <v>14.5315510298814</v>
      </c>
      <c r="J5826" s="6" t="n">
        <f aca="false">Sens!J5711*(al_srch+Sens!J5821+sbc_r)</f>
        <v>15.6984857934706</v>
      </c>
      <c r="K5826" s="6" t="n">
        <f aca="false">Sens!K5711*(al_srch+Sens!K5821+sbc_r)</f>
        <v>16.8523653281246</v>
      </c>
    </row>
    <row r="5827" customFormat="false" ht="17.15" hidden="false" customHeight="false" outlineLevel="0" collapsed="false">
      <c r="A5827" s="0" t="s">
        <v>1237</v>
      </c>
      <c r="B5827" s="0" t="s">
        <v>98</v>
      </c>
      <c r="F5827" s="6" t="n">
        <f aca="false">Sens!F5679-Sens!F5680+Sens!F5761</f>
        <v>41.6383428555007</v>
      </c>
      <c r="G5827" s="6" t="n">
        <f aca="false">Sens!G5679-Sens!G5680+Sens!G5761</f>
        <v>79.5151996312102</v>
      </c>
      <c r="H5827" s="6" t="n">
        <f aca="false">Sens!H5679-Sens!H5680+Sens!H5761</f>
        <v>120.181284046736</v>
      </c>
      <c r="I5827" s="6" t="n">
        <f aca="false">Sens!I5679-Sens!I5680+Sens!I5761</f>
        <v>156.377830047304</v>
      </c>
      <c r="J5827" s="6" t="n">
        <f aca="false">Sens!J5679-Sens!J5680+Sens!J5761</f>
        <v>181.655083963876</v>
      </c>
      <c r="K5827" s="6" t="n">
        <f aca="false">Sens!K5679-Sens!K5680+Sens!K5761</f>
        <v>196.665953078931</v>
      </c>
    </row>
    <row r="5828" customFormat="false" ht="17.15" hidden="false" customHeight="false" outlineLevel="0" collapsed="false">
      <c r="A5828" s="0" t="s">
        <v>1238</v>
      </c>
      <c r="B5828" s="0" t="s">
        <v>98</v>
      </c>
      <c r="F5828" s="6" t="n">
        <f aca="false">Sens!F5740+Sens!F5761+Sens!F5691+Sens!F5821*(Sens!F5710-Sens!F5673)+sbc_r*Sens!F5710</f>
        <v>237.38422417252</v>
      </c>
      <c r="G5828" s="6" t="n">
        <f aca="false">Sens!G5740+Sens!G5761+Sens!G5691+Sens!G5821*(Sens!G5710-Sens!G5673)+sbc_r*Sens!G5710</f>
        <v>298.010540117073</v>
      </c>
      <c r="H5828" s="6" t="n">
        <f aca="false">Sens!H5740+Sens!H5761+Sens!H5691+Sens!H5821*(Sens!H5710-Sens!H5673)+sbc_r*Sens!H5710</f>
        <v>366.425394190456</v>
      </c>
      <c r="I5828" s="6" t="n">
        <f aca="false">Sens!I5740+Sens!I5761+Sens!I5691+Sens!I5821*(Sens!I5710-Sens!I5673)+sbc_r*Sens!I5710</f>
        <v>428.986960821689</v>
      </c>
      <c r="J5828" s="6" t="n">
        <f aca="false">Sens!J5740+Sens!J5761+Sens!J5691+Sens!J5821*(Sens!J5710-Sens!J5673)+sbc_r*Sens!J5710</f>
        <v>478.17681680997</v>
      </c>
      <c r="K5828" s="6" t="n">
        <f aca="false">Sens!K5740+Sens!K5761+Sens!K5691+Sens!K5821*(Sens!K5710-Sens!K5673)+sbc_r*Sens!K5710</f>
        <v>514.703779716902</v>
      </c>
    </row>
    <row r="5829" customFormat="false" ht="17.15" hidden="false" customHeight="false" outlineLevel="0" collapsed="false">
      <c r="A5829" s="0" t="s">
        <v>1239</v>
      </c>
      <c r="B5829" s="0" t="s">
        <v>98</v>
      </c>
      <c r="F5829" s="6" t="n">
        <f aca="false">Sens!F5828-Sens!F5822-Sens!F5823-Sens!F5824-Sens!F5825-Sens!F5827</f>
        <v>66.5583907785651</v>
      </c>
      <c r="G5829" s="6" t="n">
        <f aca="false">Sens!G5828-Sens!G5822-Sens!G5823-Sens!G5824-Sens!G5825-Sens!G5827</f>
        <v>74.6317333704923</v>
      </c>
      <c r="H5829" s="6" t="n">
        <f aca="false">Sens!H5828-Sens!H5822-Sens!H5823-Sens!H5824-Sens!H5825-Sens!H5827</f>
        <v>87.5513278952247</v>
      </c>
      <c r="I5829" s="6" t="n">
        <f aca="false">Sens!I5828-Sens!I5822-Sens!I5823-Sens!I5824-Sens!I5825-Sens!I5827</f>
        <v>100.133244907193</v>
      </c>
      <c r="J5829" s="6" t="n">
        <f aca="false">Sens!J5828-Sens!J5822-Sens!J5823-Sens!J5824-Sens!J5825-Sens!J5827</f>
        <v>111.530673674519</v>
      </c>
      <c r="K5829" s="6" t="n">
        <f aca="false">Sens!K5828-Sens!K5822-Sens!K5823-Sens!K5824-Sens!K5825-Sens!K5827</f>
        <v>121.026955075639</v>
      </c>
    </row>
    <row r="5830" customFormat="false" ht="17.15" hidden="false" customHeight="false" outlineLevel="0" collapsed="false">
      <c r="A5830" s="0" t="s">
        <v>1240</v>
      </c>
      <c r="B5830" s="0" t="s">
        <v>98</v>
      </c>
      <c r="F5830" s="6" t="n">
        <f aca="false">Sens!F5742+Sens!F5821*Sens!F5717+sbc_r*Sens!F5717</f>
        <v>26.6318297805795</v>
      </c>
      <c r="G5830" s="6" t="n">
        <f aca="false">Sens!G5742+Sens!G5821*Sens!G5717+sbc_r*Sens!G5717</f>
        <v>26.4708401870028</v>
      </c>
      <c r="H5830" s="6" t="n">
        <f aca="false">Sens!H5742+Sens!H5821*Sens!H5717+sbc_r*Sens!H5717</f>
        <v>27.3460380155566</v>
      </c>
      <c r="I5830" s="6" t="n">
        <f aca="false">Sens!I5742+Sens!I5821*Sens!I5717+sbc_r*Sens!I5717</f>
        <v>28.4571485835491</v>
      </c>
      <c r="J5830" s="6" t="n">
        <f aca="false">Sens!J5742+Sens!J5821*Sens!J5717+sbc_r*Sens!J5717</f>
        <v>29.7690832629583</v>
      </c>
      <c r="K5830" s="6" t="n">
        <f aca="false">Sens!K5742+Sens!K5821*Sens!K5717+sbc_r*Sens!K5717</f>
        <v>31.2449021317551</v>
      </c>
    </row>
    <row r="5831" customFormat="false" ht="17.15" hidden="false" customHeight="false" outlineLevel="0" collapsed="false">
      <c r="A5831" s="0" t="s">
        <v>1241</v>
      </c>
      <c r="B5831" s="0" t="s">
        <v>98</v>
      </c>
      <c r="F5831" s="6" t="n">
        <f aca="false">(Sens!F5830-Sens!F5826)*Sens!F5713/(Sens!F5713+Sens!F5715)</f>
        <v>8.72227297923861</v>
      </c>
      <c r="G5831" s="6" t="n">
        <f aca="false">(Sens!G5830-Sens!G5826)*Sens!G5713/(Sens!G5713+Sens!G5715)</f>
        <v>7.88749034330464</v>
      </c>
      <c r="H5831" s="6" t="n">
        <f aca="false">(Sens!H5830-Sens!H5826)*Sens!H5713/(Sens!H5713+Sens!H5715)</f>
        <v>7.65174669853572</v>
      </c>
      <c r="I5831" s="6" t="n">
        <f aca="false">(Sens!I5830-Sens!I5826)*Sens!I5713/(Sens!I5713+Sens!I5715)</f>
        <v>7.56251927906182</v>
      </c>
      <c r="J5831" s="6" t="n">
        <f aca="false">(Sens!J5830-Sens!J5826)*Sens!J5713/(Sens!J5713+Sens!J5715)</f>
        <v>7.60792533840213</v>
      </c>
      <c r="K5831" s="6" t="n">
        <f aca="false">(Sens!K5830-Sens!K5826)*Sens!K5713/(Sens!K5713+Sens!K5715)</f>
        <v>7.78199686755819</v>
      </c>
    </row>
    <row r="5832" customFormat="false" ht="17.15" hidden="false" customHeight="false" outlineLevel="0" collapsed="false">
      <c r="A5832" s="0" t="s">
        <v>1242</v>
      </c>
      <c r="B5832" s="0" t="s">
        <v>98</v>
      </c>
      <c r="F5832" s="6" t="n">
        <f aca="false">Sens!F5830-Sens!F5826-Sens!F5831</f>
        <v>6.72124087415322</v>
      </c>
      <c r="G5832" s="6" t="n">
        <f aca="false">Sens!G5830-Sens!G5826-Sens!G5831</f>
        <v>6.32218255635371</v>
      </c>
      <c r="H5832" s="6" t="n">
        <f aca="false">Sens!H5830-Sens!H5826-Sens!H5831</f>
        <v>6.31517087611164</v>
      </c>
      <c r="I5832" s="6" t="n">
        <f aca="false">Sens!I5830-Sens!I5826-Sens!I5831</f>
        <v>6.36307827460584</v>
      </c>
      <c r="J5832" s="6" t="n">
        <f aca="false">Sens!J5830-Sens!J5826-Sens!J5831</f>
        <v>6.46267213108552</v>
      </c>
      <c r="K5832" s="6" t="n">
        <f aca="false">Sens!K5830-Sens!K5826-Sens!K5831</f>
        <v>6.61053993607223</v>
      </c>
    </row>
    <row r="5833" customFormat="false" ht="17.15" hidden="false" customHeight="false" outlineLevel="0" collapsed="false">
      <c r="A5833" s="0" t="s">
        <v>1243</v>
      </c>
      <c r="B5833" s="0" t="s">
        <v>98</v>
      </c>
      <c r="F5833" s="6" t="n">
        <f aca="false">Sens!F5827-tax_f*(Sens!F5827-Sens!F5691)-Sens!F5688</f>
        <v>-128.227366862049</v>
      </c>
      <c r="G5833" s="6" t="n">
        <f aca="false">Sens!G5827-tax_f*(Sens!G5827-Sens!G5691)-Sens!G5688</f>
        <v>-116.18541781362</v>
      </c>
      <c r="H5833" s="6" t="n">
        <f aca="false">Sens!H5827-tax_f*(Sens!H5827-Sens!H5691)-Sens!H5688</f>
        <v>-82.8409586948343</v>
      </c>
      <c r="I5833" s="6" t="n">
        <f aca="false">Sens!I5827-tax_f*(Sens!I5827-Sens!I5691)-Sens!I5688</f>
        <v>-20.6663676448575</v>
      </c>
      <c r="J5833" s="6" t="n">
        <f aca="false">Sens!J5827-tax_f*(Sens!J5827-Sens!J5691)-Sens!J5688</f>
        <v>42.7972705850799</v>
      </c>
      <c r="K5833" s="6" t="n">
        <f aca="false">Sens!K5827-tax_f*(Sens!K5827-Sens!K5691)-Sens!K5688</f>
        <v>66.9724433085993</v>
      </c>
    </row>
    <row r="5834" customFormat="false" ht="17.15" hidden="false" customHeight="false" outlineLevel="0" collapsed="false">
      <c r="A5834" s="0" t="s">
        <v>1244</v>
      </c>
      <c r="B5834" s="0" t="s">
        <v>98</v>
      </c>
      <c r="G5834" s="6" t="n">
        <f aca="false">Sens!G5833/(1+wacc)^(Sens!G5804-Sens!F5805)</f>
        <v>-110.630876077375</v>
      </c>
      <c r="H5834" s="6" t="n">
        <f aca="false">Sens!H5833/(1+wacc)^(Sens!H5804-Sens!F5805)</f>
        <v>-71.5186484443379</v>
      </c>
      <c r="I5834" s="6" t="n">
        <f aca="false">Sens!I5833/(1+wacc)^(Sens!I5804-Sens!F5805)</f>
        <v>-16.1766201702023</v>
      </c>
      <c r="J5834" s="6" t="n">
        <f aca="false">Sens!J5833/(1+wacc)^(Sens!J5804-Sens!F5805)</f>
        <v>30.3731031309356</v>
      </c>
      <c r="K5834" s="6" t="n">
        <f aca="false">Sens!K5833/(1+wacc)^(Sens!K5804-Sens!F5805)</f>
        <v>43.094186854387</v>
      </c>
      <c r="L5834" s="1" t="s">
        <v>1245</v>
      </c>
    </row>
    <row r="5835" customFormat="false" ht="17.15" hidden="false" customHeight="false" outlineLevel="0" collapsed="false">
      <c r="A5835" s="0" t="s">
        <v>1246</v>
      </c>
      <c r="B5835" s="0" t="s">
        <v>98</v>
      </c>
      <c r="C5835" s="6" t="n">
        <f aca="false">(Sens!K5827-Sens!K5691)*(1-tax_f)*(1+g_tv)*(1-g_tv/(wacc+ronic_prem))/(wacc-g_tv)/(1+wacc)^(Sens!K5805-Sens!F5805)</f>
        <v>263.148567746437</v>
      </c>
    </row>
    <row r="5836" customFormat="false" ht="17.15" hidden="false" customHeight="false" outlineLevel="0" collapsed="false">
      <c r="A5836" s="1" t="s">
        <v>1247</v>
      </c>
      <c r="B5836" s="0" t="s">
        <v>98</v>
      </c>
      <c r="C5836" s="6" t="n">
        <f aca="false">(SUM(Sens!G5834:K5834)+Sens!$C$5835)*(1+wacc)^(t_roll-Sens!F5805)</f>
        <v>142.855074686424</v>
      </c>
      <c r="L5836" s="12" t="s">
        <v>1248</v>
      </c>
    </row>
    <row r="5837" customFormat="false" ht="17.15" hidden="false" customHeight="false" outlineLevel="0" collapsed="false">
      <c r="A5837" s="1" t="s">
        <v>1249</v>
      </c>
      <c r="B5837" s="0" t="s">
        <v>98</v>
      </c>
      <c r="C5837" s="6" t="n">
        <f aca="false">(w_ntm28*Sens!G5679+(1-w_ntm28)*Sens!H5679)*m_ai</f>
        <v>449.717602149028</v>
      </c>
    </row>
    <row r="5838" customFormat="false" ht="17.15" hidden="false" customHeight="false" outlineLevel="0" collapsed="false">
      <c r="A5838" s="1" t="s">
        <v>1250</v>
      </c>
      <c r="B5838" s="0" t="s">
        <v>98</v>
      </c>
      <c r="C5838" s="6" t="n">
        <f aca="false">(w_ntm28*Sens!G5829+(1-w_ntm28)*Sens!H5829)*m_cloud</f>
        <v>1090.11152931669</v>
      </c>
    </row>
    <row r="5839" customFormat="false" ht="17.15" hidden="false" customHeight="false" outlineLevel="0" collapsed="false">
      <c r="A5839" s="1" t="s">
        <v>1251</v>
      </c>
      <c r="B5839" s="0" t="s">
        <v>98</v>
      </c>
      <c r="C5839" s="6" t="n">
        <f aca="false">(w_ntm28*Sens!G5822+(1-w_ntm28)*Sens!H5822)*m_sw</f>
        <v>1082.824956028</v>
      </c>
    </row>
    <row r="5840" customFormat="false" ht="17.15" hidden="false" customHeight="false" outlineLevel="0" collapsed="false">
      <c r="A5840" s="1" t="s">
        <v>1252</v>
      </c>
      <c r="B5840" s="0" t="s">
        <v>98</v>
      </c>
      <c r="C5840" s="6" t="n">
        <f aca="false">(w_ntm28*Sens!G5823+(1-w_ntm28)*Sens!H5823)*m_sw</f>
        <v>372.922180602024</v>
      </c>
    </row>
    <row r="5841" customFormat="false" ht="17.15" hidden="false" customHeight="false" outlineLevel="0" collapsed="false">
      <c r="A5841" s="1" t="s">
        <v>1253</v>
      </c>
      <c r="B5841" s="0" t="s">
        <v>98</v>
      </c>
      <c r="C5841" s="6" t="n">
        <f aca="false">(w_ntm28*Sens!G5824+(1-w_ntm28)*Sens!H5824)*m_sw</f>
        <v>109.140993653966</v>
      </c>
    </row>
    <row r="5842" customFormat="false" ht="17.15" hidden="false" customHeight="false" outlineLevel="0" collapsed="false">
      <c r="A5842" s="1" t="s">
        <v>1254</v>
      </c>
      <c r="B5842" s="0" t="s">
        <v>98</v>
      </c>
      <c r="C5842" s="6" t="n">
        <f aca="false">(w_ntm28*Sens!G5825+(1-w_ntm28)*Sens!H5825)*m_sw</f>
        <v>41.4925552538786</v>
      </c>
    </row>
    <row r="5843" customFormat="false" ht="17.15" hidden="false" customHeight="false" outlineLevel="0" collapsed="false">
      <c r="A5843" s="1" t="s">
        <v>1255</v>
      </c>
      <c r="B5843" s="0" t="s">
        <v>98</v>
      </c>
      <c r="C5843" s="6" t="n">
        <f aca="false">(w_ntm28*Sens!G5826+(1-w_ntm28)*Sens!H5826)*m_ads</f>
        <v>115.047580254768</v>
      </c>
    </row>
    <row r="5844" customFormat="false" ht="17.15" hidden="false" customHeight="false" outlineLevel="0" collapsed="false">
      <c r="A5844" s="1" t="s">
        <v>1256</v>
      </c>
      <c r="B5844" s="0" t="s">
        <v>98</v>
      </c>
      <c r="C5844" s="6" t="n">
        <f aca="false">(w_ntm28*Sens!G5831+(1-w_ntm28)*Sens!H5831)*m_game</f>
        <v>98.6401179180972</v>
      </c>
    </row>
    <row r="5845" customFormat="false" ht="17.15" hidden="false" customHeight="false" outlineLevel="0" collapsed="false">
      <c r="A5845" s="1" t="s">
        <v>1257</v>
      </c>
      <c r="B5845" s="0" t="s">
        <v>98</v>
      </c>
      <c r="C5845" s="6" t="n">
        <f aca="false">(w_ntm28*Sens!G5832+(1-w_ntm28)*Sens!H5832)*m_pc</f>
        <v>91.4486252025687</v>
      </c>
    </row>
    <row r="5846" customFormat="false" ht="17.15" hidden="false" customHeight="false" outlineLevel="0" collapsed="false">
      <c r="A5846" s="1" t="s">
        <v>1258</v>
      </c>
      <c r="B5846" s="0" t="s">
        <v>98</v>
      </c>
      <c r="C5846" s="6" t="n">
        <f aca="false">Sens!$C$5836+Sens!$C$5838+Sens!$C$5839+Sens!$C$5840+Sens!$C$5841+Sens!$C$5842+Sens!$C$5843+Sens!$C$5844+Sens!$C$5845</f>
        <v>3144.48361291641</v>
      </c>
    </row>
    <row r="5847" customFormat="false" ht="17.15" hidden="false" customHeight="false" outlineLevel="0" collapsed="false">
      <c r="A5847" s="1" t="s">
        <v>1259</v>
      </c>
      <c r="B5847" s="0" t="s">
        <v>98</v>
      </c>
      <c r="C5847" s="6" t="n">
        <f aca="false">(Sens!G5808-Sens!G5833)*t_stub</f>
        <v>47.8964859221727</v>
      </c>
      <c r="L5847" s="1" t="s">
        <v>1260</v>
      </c>
    </row>
    <row r="5848" customFormat="false" ht="17.15" hidden="false" customHeight="false" outlineLevel="0" collapsed="false">
      <c r="A5848" s="1" t="s">
        <v>1169</v>
      </c>
      <c r="B5848" s="0" t="s">
        <v>98</v>
      </c>
      <c r="C5848" s="6" t="n">
        <f aca="false">Sens!F5795+oai_v-Sens!F5784+Sens!$C$5847</f>
        <v>161.784745495932</v>
      </c>
      <c r="L5848" s="1" t="s">
        <v>1261</v>
      </c>
    </row>
    <row r="5849" customFormat="false" ht="17.15" hidden="false" customHeight="false" outlineLevel="0" collapsed="false">
      <c r="A5849" s="1" t="s">
        <v>1262</v>
      </c>
      <c r="B5849" s="0" t="s">
        <v>75</v>
      </c>
      <c r="C5849" s="5" t="n">
        <f aca="false">(Sens!$C$5846+Sens!$C$5848)/(Sens!F5797+dil_gap)-Sens!G5787*roll_div_q/q_per_yr</f>
        <v>440.031518998445</v>
      </c>
      <c r="L5849" s="1" t="s">
        <v>1263</v>
      </c>
    </row>
    <row r="5850" customFormat="false" ht="17.15" hidden="false" customHeight="false" outlineLevel="0" collapsed="false">
      <c r="A5850" s="1" t="s">
        <v>1264</v>
      </c>
      <c r="B5850" s="0" t="s">
        <v>75</v>
      </c>
      <c r="C5850" s="5" t="n">
        <f aca="false">w_dcf*Sens!$C$5820+(1-w_dcf)*Sens!$C$5849</f>
        <v>380.286553782882</v>
      </c>
    </row>
    <row r="5851" customFormat="false" ht="17.15" hidden="false" customHeight="false" outlineLevel="0" collapsed="false">
      <c r="A5851" s="3" t="s">
        <v>1625</v>
      </c>
    </row>
    <row r="5852" customFormat="false" ht="15" hidden="false" customHeight="false" outlineLevel="0" collapsed="false">
      <c r="A5852" s="4" t="s">
        <v>43</v>
      </c>
      <c r="B5852" s="4" t="s">
        <v>65</v>
      </c>
      <c r="C5852" s="23" t="s">
        <v>938</v>
      </c>
      <c r="D5852" s="23" t="s">
        <v>939</v>
      </c>
      <c r="E5852" s="23" t="s">
        <v>940</v>
      </c>
      <c r="F5852" s="23" t="s">
        <v>941</v>
      </c>
      <c r="G5852" s="23" t="s">
        <v>942</v>
      </c>
      <c r="H5852" s="23" t="s">
        <v>943</v>
      </c>
      <c r="I5852" s="23" t="s">
        <v>944</v>
      </c>
      <c r="J5852" s="23" t="s">
        <v>945</v>
      </c>
      <c r="K5852" s="23" t="s">
        <v>946</v>
      </c>
      <c r="L5852" s="4" t="s">
        <v>47</v>
      </c>
    </row>
    <row r="5853" customFormat="false" ht="17.15" hidden="false" customHeight="false" outlineLevel="0" collapsed="false">
      <c r="A5853" s="1" t="s">
        <v>947</v>
      </c>
      <c r="B5853" s="1" t="s">
        <v>279</v>
      </c>
      <c r="C5853" s="21" t="n">
        <v>2024</v>
      </c>
      <c r="D5853" s="21" t="n">
        <v>2025</v>
      </c>
      <c r="E5853" s="21" t="n">
        <v>2026</v>
      </c>
      <c r="F5853" s="21" t="n">
        <v>2027</v>
      </c>
      <c r="G5853" s="21" t="n">
        <v>2028</v>
      </c>
      <c r="H5853" s="21" t="n">
        <v>2029</v>
      </c>
      <c r="I5853" s="21" t="n">
        <v>2030</v>
      </c>
      <c r="J5853" s="21" t="n">
        <v>2031</v>
      </c>
      <c r="K5853" s="21" t="n">
        <v>2032</v>
      </c>
    </row>
    <row r="5854" customFormat="false" ht="17.15" hidden="false" customHeight="false" outlineLevel="0" collapsed="false">
      <c r="A5854" s="1" t="s">
        <v>948</v>
      </c>
      <c r="B5854" s="0" t="s">
        <v>456</v>
      </c>
      <c r="F5854" s="30" t="n">
        <f aca="false">pace</f>
        <v>2726.5351</v>
      </c>
      <c r="G5854" s="30" t="n">
        <f aca="false">pace</f>
        <v>2726.5351</v>
      </c>
      <c r="H5854" s="30" t="n">
        <f aca="false">pace</f>
        <v>2726.5351</v>
      </c>
      <c r="I5854" s="30" t="n">
        <f aca="false">pace+(g_tv*Sens!H5855-pace)*MIN(1,(Sens!I5853-pace_y0)/(pace_y1-pace_y0))</f>
        <v>1931.98611966667</v>
      </c>
      <c r="J5854" s="30" t="n">
        <f aca="false">pace+(g_tv*Sens!I5855-pace)*MIN(1,(Sens!J5853-pace_y0)/(pace_y1-pace_y0))</f>
        <v>1176.07686172667</v>
      </c>
      <c r="K5854" s="30" t="n">
        <f aca="false">pace+(g_tv*Sens!J5855-pace)*MIN(1,(Sens!K5853-pace_y0)/(pace_y1-pace_y0))</f>
        <v>436.1300484418</v>
      </c>
      <c r="L5854" s="12" t="s">
        <v>949</v>
      </c>
    </row>
    <row r="5855" customFormat="false" ht="17.15" hidden="false" customHeight="false" outlineLevel="0" collapsed="false">
      <c r="A5855" s="1" t="s">
        <v>950</v>
      </c>
      <c r="B5855" s="0" t="s">
        <v>456</v>
      </c>
      <c r="C5855" s="30" t="n">
        <f aca="false">mw_ext_24</f>
        <v>640</v>
      </c>
      <c r="D5855" s="30" t="n">
        <f aca="false">mw_ext_25</f>
        <v>1630</v>
      </c>
      <c r="E5855" s="30" t="n">
        <f aca="false">mw_ext_26</f>
        <v>3250</v>
      </c>
      <c r="F5855" s="30" t="n">
        <f aca="false">Sens!E5855+Sens!F5854</f>
        <v>5976.5351</v>
      </c>
      <c r="G5855" s="30" t="n">
        <f aca="false">Sens!F5855+Sens!G5854</f>
        <v>8703.0702</v>
      </c>
      <c r="H5855" s="30" t="n">
        <f aca="false">Sens!G5855+Sens!H5854</f>
        <v>11429.6053</v>
      </c>
      <c r="I5855" s="30" t="n">
        <f aca="false">Sens!H5855+Sens!I5854</f>
        <v>13361.5914196667</v>
      </c>
      <c r="J5855" s="30" t="n">
        <f aca="false">Sens!I5855+Sens!J5854</f>
        <v>14537.6682813933</v>
      </c>
      <c r="K5855" s="30" t="n">
        <f aca="false">Sens!J5855+Sens!K5854</f>
        <v>14973.7983298351</v>
      </c>
      <c r="L5855" s="1" t="s">
        <v>951</v>
      </c>
    </row>
    <row r="5856" customFormat="false" ht="17.15" hidden="false" customHeight="false" outlineLevel="0" collapsed="false">
      <c r="A5856" s="1" t="s">
        <v>952</v>
      </c>
      <c r="B5856" s="0" t="s">
        <v>456</v>
      </c>
      <c r="C5856" s="30" t="n">
        <f aca="false">rent_ext_24</f>
        <v>150</v>
      </c>
      <c r="D5856" s="30" t="n">
        <f aca="false">rent_ext_25</f>
        <v>400</v>
      </c>
      <c r="E5856" s="30" t="n">
        <f aca="false">rent_ext_26</f>
        <v>550</v>
      </c>
      <c r="F5856" s="30" t="n">
        <f aca="false">rent_ext_f</f>
        <v>756</v>
      </c>
      <c r="G5856" s="30" t="n">
        <f aca="false">rent_ext_f</f>
        <v>756</v>
      </c>
      <c r="H5856" s="30" t="n">
        <f aca="false">rent_ext_f</f>
        <v>756</v>
      </c>
      <c r="I5856" s="30" t="n">
        <f aca="false">rent_ext_f</f>
        <v>756</v>
      </c>
      <c r="J5856" s="30" t="n">
        <f aca="false">rent_ext_f</f>
        <v>756</v>
      </c>
      <c r="K5856" s="30" t="n">
        <f aca="false">rent_ext_f</f>
        <v>756</v>
      </c>
      <c r="L5856" s="1" t="s">
        <v>953</v>
      </c>
    </row>
    <row r="5857" customFormat="false" ht="17.15" hidden="false" customHeight="false" outlineLevel="0" collapsed="false">
      <c r="A5857" s="1" t="s">
        <v>954</v>
      </c>
      <c r="B5857" s="0" t="s">
        <v>456</v>
      </c>
      <c r="C5857" s="30" t="n">
        <f aca="false">Sens!C5855-Sens!C5856</f>
        <v>490</v>
      </c>
      <c r="D5857" s="30" t="n">
        <f aca="false">Sens!D5855-Sens!D5856</f>
        <v>1230</v>
      </c>
      <c r="E5857" s="30" t="n">
        <f aca="false">Sens!E5855-Sens!E5856</f>
        <v>2700</v>
      </c>
      <c r="F5857" s="30" t="n">
        <f aca="false">Sens!F5855-Sens!F5856</f>
        <v>5220.5351</v>
      </c>
      <c r="G5857" s="30" t="n">
        <f aca="false">Sens!G5855-Sens!G5856</f>
        <v>7947.0702</v>
      </c>
      <c r="H5857" s="30" t="n">
        <f aca="false">Sens!H5855-Sens!H5856</f>
        <v>10673.6053</v>
      </c>
      <c r="I5857" s="30" t="n">
        <f aca="false">Sens!I5855-Sens!I5856</f>
        <v>12605.5914196667</v>
      </c>
      <c r="J5857" s="30" t="n">
        <f aca="false">Sens!J5855-Sens!J5856</f>
        <v>13781.6682813933</v>
      </c>
      <c r="K5857" s="30" t="n">
        <f aca="false">Sens!K5855-Sens!K5856</f>
        <v>14217.7983298351</v>
      </c>
    </row>
    <row r="5858" customFormat="false" ht="17.15" hidden="false" customHeight="false" outlineLevel="0" collapsed="false">
      <c r="A5858" s="1" t="s">
        <v>955</v>
      </c>
      <c r="B5858" s="0" t="s">
        <v>456</v>
      </c>
      <c r="C5858" s="30" t="n">
        <f aca="false">Sens!C5857/ext_sh</f>
        <v>816.666666666667</v>
      </c>
      <c r="D5858" s="30" t="n">
        <f aca="false">Sens!D5857/ext_sh</f>
        <v>2050</v>
      </c>
      <c r="E5858" s="30" t="n">
        <f aca="false">Sens!E5857/ext_sh</f>
        <v>4500</v>
      </c>
      <c r="F5858" s="30" t="n">
        <f aca="false">Sens!F5857/ext_sh</f>
        <v>8700.89183333333</v>
      </c>
      <c r="G5858" s="30" t="n">
        <f aca="false">Sens!G5857/ext_sh</f>
        <v>13245.117</v>
      </c>
      <c r="H5858" s="30" t="n">
        <f aca="false">Sens!H5857/ext_sh</f>
        <v>17789.3421666667</v>
      </c>
      <c r="I5858" s="30" t="n">
        <f aca="false">Sens!I5857/ext_sh</f>
        <v>21009.3190327778</v>
      </c>
      <c r="J5858" s="30" t="n">
        <f aca="false">Sens!J5857/ext_sh</f>
        <v>22969.4471356556</v>
      </c>
      <c r="K5858" s="30" t="n">
        <f aca="false">Sens!K5857/ext_sh</f>
        <v>23696.3305497252</v>
      </c>
      <c r="L5858" s="1" t="s">
        <v>956</v>
      </c>
    </row>
    <row r="5859" customFormat="false" ht="17.15" hidden="false" customHeight="false" outlineLevel="0" collapsed="false">
      <c r="A5859" s="1" t="s">
        <v>957</v>
      </c>
      <c r="B5859" s="0" t="s">
        <v>456</v>
      </c>
      <c r="C5859" s="30" t="n">
        <f aca="false">Sens!C5858-Sens!C5857</f>
        <v>326.666666666667</v>
      </c>
      <c r="D5859" s="30" t="n">
        <f aca="false">Sens!D5858-Sens!D5857</f>
        <v>820</v>
      </c>
      <c r="E5859" s="30" t="n">
        <f aca="false">Sens!E5858-Sens!E5857</f>
        <v>1800</v>
      </c>
      <c r="F5859" s="30" t="n">
        <f aca="false">Sens!F5858-Sens!F5857</f>
        <v>3480.35673333333</v>
      </c>
      <c r="G5859" s="30" t="n">
        <f aca="false">Sens!G5858-Sens!G5857</f>
        <v>5298.0468</v>
      </c>
      <c r="H5859" s="30" t="n">
        <f aca="false">Sens!H5858-Sens!H5857</f>
        <v>7115.73686666667</v>
      </c>
      <c r="I5859" s="30" t="n">
        <f aca="false">Sens!I5858-Sens!I5857</f>
        <v>8403.72761311111</v>
      </c>
      <c r="J5859" s="30" t="n">
        <f aca="false">Sens!J5858-Sens!J5857</f>
        <v>9187.77885426222</v>
      </c>
      <c r="K5859" s="30" t="n">
        <f aca="false">Sens!K5858-Sens!K5857</f>
        <v>9478.53221989009</v>
      </c>
    </row>
    <row r="5860" customFormat="false" ht="17.15" hidden="false" customHeight="false" outlineLevel="0" collapsed="false">
      <c r="A5860" s="1" t="s">
        <v>958</v>
      </c>
      <c r="B5860" s="0" t="s">
        <v>456</v>
      </c>
      <c r="C5860" s="30" t="n">
        <f aca="false">Sens!C5858</f>
        <v>816.666666666667</v>
      </c>
      <c r="D5860" s="30" t="n">
        <f aca="false">Sens!D5858-Sens!C5858</f>
        <v>1233.33333333333</v>
      </c>
      <c r="E5860" s="30" t="n">
        <f aca="false">Sens!E5858-Sens!D5858</f>
        <v>2450</v>
      </c>
      <c r="F5860" s="30" t="n">
        <f aca="false">Sens!F5858-Sens!E5858</f>
        <v>4200.89183333333</v>
      </c>
      <c r="G5860" s="30" t="n">
        <f aca="false">Sens!G5858-Sens!F5858</f>
        <v>4544.22516666667</v>
      </c>
      <c r="H5860" s="30" t="n">
        <f aca="false">Sens!H5858-Sens!G5858</f>
        <v>4544.22516666667</v>
      </c>
      <c r="I5860" s="30" t="n">
        <f aca="false">Sens!I5858-Sens!H5858</f>
        <v>3219.97686611111</v>
      </c>
      <c r="J5860" s="30" t="n">
        <f aca="false">Sens!J5858-Sens!I5858</f>
        <v>1960.12810287778</v>
      </c>
      <c r="K5860" s="30" t="n">
        <f aca="false">Sens!K5858-Sens!J5858</f>
        <v>726.883414069667</v>
      </c>
    </row>
    <row r="5861" customFormat="false" ht="17.15" hidden="false" customHeight="false" outlineLevel="0" collapsed="false">
      <c r="A5861" s="1" t="s">
        <v>959</v>
      </c>
      <c r="B5861" s="0" t="s">
        <v>456</v>
      </c>
      <c r="D5861" s="30" t="n">
        <f aca="false">Sens!D5855-Sens!C5855</f>
        <v>990</v>
      </c>
      <c r="E5861" s="30" t="n">
        <f aca="false">Sens!E5855-Sens!D5855</f>
        <v>1620</v>
      </c>
      <c r="F5861" s="30" t="n">
        <f aca="false">Sens!F5855-Sens!E5855</f>
        <v>2726.5351</v>
      </c>
      <c r="G5861" s="30" t="n">
        <f aca="false">Sens!G5855-Sens!F5855</f>
        <v>2726.5351</v>
      </c>
      <c r="H5861" s="30" t="n">
        <f aca="false">Sens!H5855-Sens!G5855</f>
        <v>2726.5351</v>
      </c>
      <c r="I5861" s="30" t="n">
        <f aca="false">Sens!I5855-Sens!H5855</f>
        <v>1931.98611966667</v>
      </c>
      <c r="J5861" s="30" t="n">
        <f aca="false">Sens!J5855-Sens!I5855</f>
        <v>1176.07686172667</v>
      </c>
      <c r="K5861" s="30" t="n">
        <f aca="false">Sens!K5855-Sens!J5855</f>
        <v>436.130048441799</v>
      </c>
    </row>
    <row r="5862" customFormat="false" ht="17.15" hidden="false" customHeight="false" outlineLevel="0" collapsed="false">
      <c r="A5862" s="1" t="s">
        <v>960</v>
      </c>
      <c r="B5862" s="0" t="s">
        <v>456</v>
      </c>
      <c r="F5862" s="30" t="n">
        <f aca="false">Sens!F5881*ext_sh</f>
        <v>0</v>
      </c>
      <c r="G5862" s="30" t="n">
        <f aca="false">Sens!G5881*ext_sh</f>
        <v>0</v>
      </c>
      <c r="H5862" s="30" t="n">
        <f aca="false">Sens!H5881*ext_sh</f>
        <v>0</v>
      </c>
      <c r="I5862" s="30" t="n">
        <f aca="false">Sens!I5881*ext_sh</f>
        <v>490</v>
      </c>
      <c r="J5862" s="30" t="n">
        <f aca="false">Sens!J5881*ext_sh</f>
        <v>740</v>
      </c>
      <c r="K5862" s="30" t="n">
        <f aca="false">Sens!K5881*ext_sh</f>
        <v>1470</v>
      </c>
      <c r="L5862" s="1" t="s">
        <v>961</v>
      </c>
    </row>
    <row r="5863" customFormat="false" ht="17.15" hidden="false" customHeight="false" outlineLevel="0" collapsed="false">
      <c r="A5863" s="1" t="s">
        <v>962</v>
      </c>
      <c r="B5863" s="0" t="s">
        <v>456</v>
      </c>
      <c r="C5863" s="30" t="n">
        <f aca="false">mix_h*Sens!C5855</f>
        <v>128</v>
      </c>
      <c r="D5863" s="30" t="n">
        <f aca="false">mix_h*Sens!D5855</f>
        <v>326</v>
      </c>
      <c r="E5863" s="30" t="n">
        <f aca="false">mix_h*Sens!E5855</f>
        <v>650</v>
      </c>
      <c r="F5863" s="30" t="n">
        <f aca="false">Sens!E5863-Sens!F5862*mix_h</f>
        <v>650</v>
      </c>
      <c r="G5863" s="30" t="n">
        <f aca="false">Sens!F5863-Sens!G5862*mix_h</f>
        <v>650</v>
      </c>
      <c r="H5863" s="30" t="n">
        <f aca="false">Sens!G5863-Sens!H5862*mix_h</f>
        <v>650</v>
      </c>
      <c r="I5863" s="30" t="n">
        <f aca="false">Sens!H5863-Sens!I5862*mix_h</f>
        <v>552</v>
      </c>
      <c r="J5863" s="30" t="n">
        <f aca="false">Sens!I5863-Sens!J5862*mix_h</f>
        <v>404</v>
      </c>
      <c r="K5863" s="30" t="n">
        <f aca="false">Sens!J5863-Sens!K5862*mix_h</f>
        <v>110</v>
      </c>
    </row>
    <row r="5864" customFormat="false" ht="17.15" hidden="false" customHeight="false" outlineLevel="0" collapsed="false">
      <c r="A5864" s="1" t="s">
        <v>963</v>
      </c>
      <c r="B5864" s="0" t="s">
        <v>456</v>
      </c>
      <c r="C5864" s="30" t="n">
        <f aca="false">mix_g2*Sens!C5855</f>
        <v>288</v>
      </c>
      <c r="D5864" s="30" t="n">
        <f aca="false">mix_g2*Sens!D5855</f>
        <v>733.5</v>
      </c>
      <c r="E5864" s="30" t="n">
        <f aca="false">mix_g2*Sens!E5855</f>
        <v>1462.5</v>
      </c>
      <c r="F5864" s="30" t="n">
        <f aca="false">Sens!E5864-Sens!F5862*mix_g2</f>
        <v>1462.5</v>
      </c>
      <c r="G5864" s="30" t="n">
        <f aca="false">Sens!F5864-Sens!G5862*mix_g2</f>
        <v>1462.5</v>
      </c>
      <c r="H5864" s="30" t="n">
        <f aca="false">Sens!G5864-Sens!H5862*mix_g2</f>
        <v>1462.5</v>
      </c>
      <c r="I5864" s="30" t="n">
        <f aca="false">Sens!H5864-Sens!I5862*mix_g2</f>
        <v>1242</v>
      </c>
      <c r="J5864" s="30" t="n">
        <f aca="false">Sens!I5864-Sens!J5862*mix_g2</f>
        <v>909</v>
      </c>
      <c r="K5864" s="30" t="n">
        <f aca="false">Sens!J5864-Sens!K5862*mix_g2</f>
        <v>247.5</v>
      </c>
    </row>
    <row r="5865" customFormat="false" ht="17.15" hidden="false" customHeight="false" outlineLevel="0" collapsed="false">
      <c r="A5865" s="1" t="s">
        <v>964</v>
      </c>
      <c r="B5865" s="0" t="s">
        <v>456</v>
      </c>
      <c r="C5865" s="30" t="n">
        <f aca="false">mix_g3*Sens!C5855</f>
        <v>224</v>
      </c>
      <c r="D5865" s="30" t="n">
        <f aca="false">mix_g3*Sens!D5855</f>
        <v>570.5</v>
      </c>
      <c r="E5865" s="30" t="n">
        <f aca="false">mix_g3*Sens!E5855</f>
        <v>1137.5</v>
      </c>
      <c r="F5865" s="30" t="n">
        <f aca="false">Sens!E5865+(Sens!F5861+Sens!F5862)*(a_g3_27-nonnv*a_mai)-Sens!F5862*mix_g3</f>
        <v>2773.42106</v>
      </c>
      <c r="G5865" s="30" t="n">
        <f aca="false">Sens!F5865+(Sens!G5861+Sens!G5862)*(a_g3_28-nonnv*a_mai)-Sens!G5862*mix_g3</f>
        <v>3318.72808</v>
      </c>
      <c r="H5865" s="30" t="n">
        <f aca="false">Sens!G5865+(Sens!H5861+Sens!H5862)*(a_g3_29-nonnv*a_mai)-Sens!H5862*mix_g3</f>
        <v>3318.72808</v>
      </c>
      <c r="I5865" s="30" t="n">
        <f aca="false">Sens!H5865+(Sens!I5861+Sens!I5862)*(a_g3_29-nonnv*a_mai)-Sens!I5862*mix_g3</f>
        <v>3147.22808</v>
      </c>
      <c r="J5865" s="30" t="n">
        <f aca="false">Sens!I5865+(Sens!J5861+Sens!J5862)*(a_g3_29-nonnv*a_mai)-Sens!J5862*mix_g3</f>
        <v>2888.22808</v>
      </c>
      <c r="K5865" s="30" t="n">
        <f aca="false">Sens!J5865+(Sens!K5861+Sens!K5862)*(a_g3_29-nonnv*a_mai)-Sens!K5862*mix_g3</f>
        <v>2373.72808</v>
      </c>
    </row>
    <row r="5866" customFormat="false" ht="17.15" hidden="false" customHeight="false" outlineLevel="0" collapsed="false">
      <c r="A5866" s="1" t="s">
        <v>965</v>
      </c>
      <c r="B5866" s="0" t="s">
        <v>456</v>
      </c>
      <c r="C5866" s="30" t="n">
        <v>0</v>
      </c>
      <c r="D5866" s="30" t="n">
        <v>0</v>
      </c>
      <c r="E5866" s="30" t="n">
        <v>0</v>
      </c>
      <c r="F5866" s="30" t="n">
        <f aca="false">Sens!E5866+(Sens!F5861+Sens!F5862)*nonnv*a_mai</f>
        <v>272.65351</v>
      </c>
      <c r="G5866" s="30" t="n">
        <f aca="false">Sens!F5866+(Sens!G5861+Sens!G5862)*nonnv*a_mai</f>
        <v>545.30702</v>
      </c>
      <c r="H5866" s="30" t="n">
        <f aca="false">Sens!G5866+(Sens!H5861+Sens!H5862)*nonnv*a_mai</f>
        <v>817.96053</v>
      </c>
      <c r="I5866" s="30" t="n">
        <f aca="false">Sens!H5866+(Sens!I5861+Sens!I5862)*nonnv*a_mai</f>
        <v>1060.15914196667</v>
      </c>
      <c r="J5866" s="30" t="n">
        <f aca="false">Sens!I5866+(Sens!J5861+Sens!J5862)*nonnv*a_mai</f>
        <v>1251.76682813933</v>
      </c>
      <c r="K5866" s="30" t="n">
        <f aca="false">Sens!J5866+(Sens!K5861+Sens!K5862)*nonnv*a_mai</f>
        <v>1442.37983298351</v>
      </c>
      <c r="L5866" s="12" t="s">
        <v>966</v>
      </c>
    </row>
    <row r="5867" customFormat="false" ht="17.15" hidden="false" customHeight="false" outlineLevel="0" collapsed="false">
      <c r="A5867" s="1" t="s">
        <v>967</v>
      </c>
      <c r="B5867" s="0" t="s">
        <v>456</v>
      </c>
      <c r="C5867" s="30" t="n">
        <v>0</v>
      </c>
      <c r="D5867" s="30" t="n">
        <v>0</v>
      </c>
      <c r="E5867" s="30" t="n">
        <v>0</v>
      </c>
      <c r="F5867" s="30" t="n">
        <f aca="false">Sens!E5867+(Sens!F5861+Sens!F5862)*(1-a_g3_27)</f>
        <v>817.96053</v>
      </c>
      <c r="G5867" s="30" t="n">
        <f aca="false">Sens!F5867+(Sens!G5861+Sens!G5862)*(1-a_g3_28)</f>
        <v>2726.5351</v>
      </c>
      <c r="H5867" s="30" t="n">
        <f aca="false">Sens!G5867+(Sens!H5861+Sens!H5862)*(1-a_g3_29)</f>
        <v>5180.41669</v>
      </c>
      <c r="I5867" s="30" t="n">
        <f aca="false">Sens!H5867+(Sens!I5861+Sens!I5862)*(1-a_g3_29)</f>
        <v>7360.2041977</v>
      </c>
      <c r="J5867" s="30" t="n">
        <f aca="false">Sens!I5867+(Sens!J5861+Sens!J5862)*(1-a_g3_29)</f>
        <v>9084.673373254</v>
      </c>
      <c r="K5867" s="30" t="n">
        <f aca="false">Sens!J5867+(Sens!K5861+Sens!K5862)*(1-a_g3_29)</f>
        <v>10800.1904168516</v>
      </c>
    </row>
    <row r="5868" customFormat="false" ht="17.15" hidden="false" customHeight="false" outlineLevel="0" collapsed="false">
      <c r="A5868" s="1" t="s">
        <v>968</v>
      </c>
      <c r="B5868" s="0" t="s">
        <v>403</v>
      </c>
      <c r="C5868" s="15" t="n">
        <f aca="false">(Sens!C5863*tk_hold_h100+Sens!C5864*tk_hold_gb200+Sens!C5865*tk_hold_gb300+Sens!C5867*tk_hold_vr200+Sens!C5866*nv_hold_mai*tk_hold_vr200)/Sens!C5855</f>
        <v>9.7235358126469</v>
      </c>
      <c r="D5868" s="15" t="n">
        <f aca="false">(Sens!D5863*tk_hold_h100+Sens!D5864*tk_hold_gb200+Sens!D5865*tk_hold_gb300+Sens!D5867*tk_hold_vr200+Sens!D5866*nv_hold_mai*tk_hold_vr200)/Sens!D5855</f>
        <v>9.7235358126469</v>
      </c>
      <c r="E5868" s="15" t="n">
        <f aca="false">(Sens!E5863*tk_hold_h100+Sens!E5864*tk_hold_gb200+Sens!E5865*tk_hold_gb300+Sens!E5867*tk_hold_vr200+Sens!E5866*nv_hold_mai*tk_hold_vr200)/Sens!E5855</f>
        <v>9.7235358126469</v>
      </c>
      <c r="F5868" s="15" t="n">
        <f aca="false">(Sens!F5863*tk_hold_h100+Sens!F5864*tk_hold_gb200+Sens!F5865*tk_hold_gb300+Sens!F5867*tk_hold_vr200+Sens!F5866*nv_hold_mai*tk_hold_vr200)/Sens!F5855</f>
        <v>10.2195353876665</v>
      </c>
      <c r="G5868" s="15" t="n">
        <f aca="false">(Sens!G5863*tk_hold_h100+Sens!G5864*tk_hold_gb200+Sens!G5865*tk_hold_gb300+Sens!G5867*tk_hold_vr200+Sens!G5866*nv_hold_mai*tk_hold_vr200)/Sens!G5855</f>
        <v>10.5725598017306</v>
      </c>
      <c r="H5868" s="15" t="n">
        <f aca="false">(Sens!H5863*tk_hold_h100+Sens!H5864*tk_hold_gb200+Sens!H5865*tk_hold_gb300+Sens!H5867*tk_hold_vr200+Sens!H5866*nv_hold_mai*tk_hold_vr200)/Sens!H5855</f>
        <v>10.8210427149036</v>
      </c>
      <c r="I5868" s="15" t="n">
        <f aca="false">(Sens!I5863*tk_hold_h100+Sens!I5864*tk_hold_gb200+Sens!I5865*tk_hold_gb300+Sens!I5867*tk_hold_vr200+Sens!I5866*nv_hold_mai*tk_hold_vr200)/Sens!I5855</f>
        <v>11.0050618241982</v>
      </c>
      <c r="J5868" s="15" t="n">
        <f aca="false">(Sens!J5863*tk_hold_h100+Sens!J5864*tk_hold_gb200+Sens!J5865*tk_hold_gb300+Sens!J5867*tk_hold_vr200+Sens!J5866*nv_hold_mai*tk_hold_vr200)/Sens!J5855</f>
        <v>11.1505789658881</v>
      </c>
      <c r="K5868" s="15" t="n">
        <f aca="false">(Sens!K5863*tk_hold_h100+Sens!K5864*tk_hold_gb200+Sens!K5865*tk_hold_gb300+Sens!K5867*tk_hold_vr200+Sens!K5866*nv_hold_mai*tk_hold_vr200)/Sens!K5855</f>
        <v>11.3496914757183</v>
      </c>
      <c r="L5868" s="1" t="s">
        <v>969</v>
      </c>
    </row>
    <row r="5869" customFormat="false" ht="17.15" hidden="false" customHeight="false" outlineLevel="0" collapsed="false">
      <c r="A5869" s="1" t="s">
        <v>970</v>
      </c>
      <c r="B5869" s="0" t="s">
        <v>403</v>
      </c>
      <c r="C5869" s="15" t="n">
        <f aca="false">(Sens!C5863*tk_hold_h100+Sens!C5864*tk_hold_gb200+Sens!C5865*tk_hold_gb300+Sens!C5867*tk_hold_vr200+Sens!C5866*nv_out_mai_lo*tk_hold_vr200)/Sens!C5855</f>
        <v>9.7235358126469</v>
      </c>
      <c r="D5869" s="15" t="n">
        <f aca="false">(Sens!D5863*tk_hold_h100+Sens!D5864*tk_hold_gb200+Sens!D5865*tk_hold_gb300+Sens!D5867*tk_hold_vr200+Sens!D5866*nv_out_mai_lo*tk_hold_vr200)/Sens!D5855</f>
        <v>9.7235358126469</v>
      </c>
      <c r="E5869" s="15" t="n">
        <f aca="false">(Sens!E5863*tk_hold_h100+Sens!E5864*tk_hold_gb200+Sens!E5865*tk_hold_gb300+Sens!E5867*tk_hold_vr200+Sens!E5866*nv_out_mai_lo*tk_hold_vr200)/Sens!E5855</f>
        <v>9.7235358126469</v>
      </c>
      <c r="F5869" s="15" t="n">
        <f aca="false">(Sens!F5863*tk_hold_h100+Sens!F5864*tk_hold_gb200+Sens!F5865*tk_hold_gb300+Sens!F5867*tk_hold_vr200+Sens!F5866*nv_out_mai_lo*tk_hold_vr200)/Sens!F5855</f>
        <v>10.0801018561541</v>
      </c>
      <c r="G5869" s="15" t="n">
        <f aca="false">(Sens!G5863*tk_hold_h100+Sens!G5864*tk_hold_gb200+Sens!G5865*tk_hold_gb300+Sens!G5867*tk_hold_vr200+Sens!G5866*nv_out_mai_lo*tk_hold_vr200)/Sens!G5855</f>
        <v>10.3810574063574</v>
      </c>
      <c r="H5869" s="15" t="n">
        <f aca="false">(Sens!H5863*tk_hold_h100+Sens!H5864*tk_hold_gb200+Sens!H5865*tk_hold_gb300+Sens!H5867*tk_hold_vr200+Sens!H5866*nv_out_mai_lo*tk_hold_vr200)/Sens!H5855</f>
        <v>10.6023135357252</v>
      </c>
      <c r="I5869" s="15" t="n">
        <f aca="false">(Sens!I5863*tk_hold_h100+Sens!I5864*tk_hold_gb200+Sens!I5865*tk_hold_gb300+Sens!I5867*tk_hold_vr200+Sens!I5866*nv_out_mai_lo*tk_hold_vr200)/Sens!I5855</f>
        <v>10.7625580601765</v>
      </c>
      <c r="J5869" s="15" t="n">
        <f aca="false">(Sens!J5863*tk_hold_h100+Sens!J5864*tk_hold_gb200+Sens!J5865*tk_hold_gb300+Sens!J5867*tk_hold_vr200+Sens!J5866*nv_out_mai_lo*tk_hold_vr200)/Sens!J5855</f>
        <v>10.8874102312998</v>
      </c>
      <c r="K5869" s="15" t="n">
        <f aca="false">(Sens!K5863*tk_hold_h100+Sens!K5864*tk_hold_gb200+Sens!K5865*tk_hold_gb300+Sens!K5867*tk_hold_vr200+Sens!K5866*nv_out_mai_lo*tk_hold_vr200)/Sens!K5855</f>
        <v>11.0552809921972</v>
      </c>
      <c r="L5869" s="12" t="s">
        <v>971</v>
      </c>
    </row>
    <row r="5870" customFormat="false" ht="17.15" hidden="false" customHeight="false" outlineLevel="0" collapsed="false">
      <c r="A5870" s="0" t="s">
        <v>972</v>
      </c>
      <c r="B5870" s="0" t="s">
        <v>229</v>
      </c>
      <c r="C5870" s="15" t="n">
        <f aca="false">k_B</f>
        <v>1.17213932619116</v>
      </c>
      <c r="D5870" s="15" t="n">
        <f aca="false">k_B</f>
        <v>1.17213932619116</v>
      </c>
      <c r="E5870" s="15" t="n">
        <f aca="false">k_B</f>
        <v>1.17213932619116</v>
      </c>
      <c r="F5870" s="15" t="n">
        <f aca="false">(k_B+((ls_C*k_long+(1-ls_C)*k_spot)-k_B)*MIN(1,(Sens!F5853-base_fy)/k_ramp))</f>
        <v>1.07843258004497</v>
      </c>
      <c r="G5870" s="15" t="n">
        <f aca="false">(k_B+((ls_C*k_long+(1-ls_C)*k_spot)-k_B)*MIN(1,(Sens!G5853-base_fy)/k_ramp))</f>
        <v>0.984725833898784</v>
      </c>
      <c r="H5870" s="15" t="n">
        <f aca="false">(k_B+((ls_C*k_long+(1-ls_C)*k_spot)-k_B)*MIN(1,(Sens!H5853-base_fy)/k_ramp))</f>
        <v>0.891019087752599</v>
      </c>
      <c r="I5870" s="15" t="n">
        <f aca="false">(k_B+((ls_C*k_long+(1-ls_C)*k_spot)-k_B)*MIN(1,(Sens!I5853-base_fy)/k_ramp))</f>
        <v>0.891019087752599</v>
      </c>
      <c r="J5870" s="15" t="n">
        <f aca="false">(k_B+((ls_C*k_long+(1-ls_C)*k_spot)-k_B)*MIN(1,(Sens!J5853-base_fy)/k_ramp))</f>
        <v>0.891019087752599</v>
      </c>
      <c r="K5870" s="15" t="n">
        <f aca="false">(k_B+((ls_C*k_long+(1-ls_C)*k_spot)-k_B)*MIN(1,(Sens!K5853-base_fy)/k_ramp))</f>
        <v>0.891019087752599</v>
      </c>
      <c r="L5870" s="1" t="s">
        <v>973</v>
      </c>
    </row>
    <row r="5871" customFormat="false" ht="17.15" hidden="false" customHeight="false" outlineLevel="0" collapsed="false">
      <c r="A5871" s="1" t="s">
        <v>974</v>
      </c>
      <c r="B5871" s="0" t="s">
        <v>403</v>
      </c>
      <c r="C5871" s="15" t="n">
        <f aca="false">Sens!C5869*Sens!C5870*chip_f</f>
        <v>11.3973387156315</v>
      </c>
      <c r="D5871" s="15" t="n">
        <f aca="false">Sens!D5869*Sens!D5870*chip_f</f>
        <v>11.3973387156315</v>
      </c>
      <c r="E5871" s="15" t="n">
        <f aca="false">Sens!E5869*Sens!E5870*chip_f</f>
        <v>11.3973387156315</v>
      </c>
      <c r="F5871" s="15" t="n">
        <f aca="false">Sens!F5869*Sens!F5870*chip_f</f>
        <v>10.8707102518483</v>
      </c>
      <c r="G5871" s="15" t="n">
        <f aca="false">Sens!G5869*Sens!G5870*chip_f</f>
        <v>10.2224954112264</v>
      </c>
      <c r="H5871" s="15" t="n">
        <f aca="false">Sens!H5869*Sens!H5870*chip_f</f>
        <v>9.44686373466892</v>
      </c>
      <c r="I5871" s="15" t="n">
        <f aca="false">Sens!I5869*Sens!I5870*chip_f</f>
        <v>9.58964466466281</v>
      </c>
      <c r="J5871" s="15" t="n">
        <f aca="false">Sens!J5869*Sens!J5870*chip_f</f>
        <v>9.70089033228102</v>
      </c>
      <c r="K5871" s="15" t="n">
        <f aca="false">Sens!K5869*Sens!K5870*chip_f</f>
        <v>9.85046638451617</v>
      </c>
      <c r="L5871" s="1" t="s">
        <v>975</v>
      </c>
    </row>
    <row r="5872" customFormat="false" ht="17.15" hidden="false" customHeight="false" outlineLevel="0" collapsed="false">
      <c r="A5872" s="0" t="s">
        <v>976</v>
      </c>
      <c r="B5872" s="0" t="s">
        <v>98</v>
      </c>
      <c r="D5872" s="6" t="n">
        <f aca="false">(Sens!C5855+Sens!D5855)/2*Sens!D5871/1000</f>
        <v>12.9359794422418</v>
      </c>
      <c r="E5872" s="6" t="n">
        <f aca="false">(Sens!D5855+Sens!E5855)/2*Sens!E5871/1000</f>
        <v>27.8095064661409</v>
      </c>
      <c r="F5872" s="6" t="n">
        <f aca="false">(Sens!E5855+Sens!F5855)/2*Sens!F5871/1000</f>
        <v>50.1494948503043</v>
      </c>
      <c r="G5872" s="6" t="n">
        <f aca="false">(Sens!F5855+Sens!G5855)/2*Sens!G5871/1000</f>
        <v>75.0310989089326</v>
      </c>
      <c r="H5872" s="6" t="n">
        <f aca="false">(Sens!G5855+Sens!H5855)/2*Sens!H5871/1000</f>
        <v>95.0953210314038</v>
      </c>
      <c r="I5872" s="6" t="n">
        <f aca="false">(Sens!H5855+Sens!I5855)/2*Sens!I5871/1000</f>
        <v>118.869383676679</v>
      </c>
      <c r="J5872" s="6" t="n">
        <f aca="false">(Sens!I5855+Sens!J5855)/2*Sens!J5871/1000</f>
        <v>135.323829355905</v>
      </c>
      <c r="K5872" s="6" t="n">
        <f aca="false">(Sens!J5855+Sens!K5855)/2*Sens!K5871/1000</f>
        <v>145.350854905839</v>
      </c>
      <c r="L5872" s="12" t="s">
        <v>977</v>
      </c>
    </row>
    <row r="5873" customFormat="false" ht="17.15" hidden="false" customHeight="false" outlineLevel="0" collapsed="false">
      <c r="A5873" s="1" t="s">
        <v>978</v>
      </c>
      <c r="B5873" s="0" t="s">
        <v>403</v>
      </c>
      <c r="C5873" s="15" t="n">
        <f aca="false">(Sens!C5863*tk_opex_h100+Sens!C5864*tk_opex_gb200+Sens!C5865*tk_opex_gb300+(Sens!C5867+Sens!C5866)*tk_opex_vr200)/Sens!C5855</f>
        <v>1.88636041306092</v>
      </c>
      <c r="D5873" s="15" t="n">
        <f aca="false">(Sens!D5863*tk_opex_h100+Sens!D5864*tk_opex_gb200+Sens!D5865*tk_opex_gb300+(Sens!D5867+Sens!D5866)*tk_opex_vr200)/Sens!D5855</f>
        <v>1.88636041306092</v>
      </c>
      <c r="E5873" s="15" t="n">
        <f aca="false">(Sens!E5863*tk_opex_h100+Sens!E5864*tk_opex_gb200+Sens!E5865*tk_opex_gb300+(Sens!E5867+Sens!E5866)*tk_opex_vr200)/Sens!E5855</f>
        <v>1.88636041306092</v>
      </c>
      <c r="F5873" s="15" t="n">
        <f aca="false">(Sens!F5863*tk_opex_h100+Sens!F5864*tk_opex_gb200+Sens!F5865*tk_opex_gb300+(Sens!F5867+Sens!F5866)*tk_opex_vr200)/Sens!F5855</f>
        <v>1.95051159746876</v>
      </c>
      <c r="G5873" s="15" t="n">
        <f aca="false">(Sens!G5863*tk_opex_h100+Sens!G5864*tk_opex_gb200+Sens!G5865*tk_opex_gb300+(Sens!G5867+Sens!G5866)*tk_opex_vr200)/Sens!G5855</f>
        <v>1.98836003669956</v>
      </c>
      <c r="H5873" s="15" t="n">
        <f aca="false">(Sens!H5863*tk_opex_h100+Sens!H5864*tk_opex_gb200+Sens!H5865*tk_opex_gb300+(Sens!H5867+Sens!H5866)*tk_opex_vr200)/Sens!H5855</f>
        <v>2.01344013834343</v>
      </c>
      <c r="I5873" s="15" t="n">
        <f aca="false">(Sens!I5863*tk_opex_h100+Sens!I5864*tk_opex_gb200+Sens!I5865*tk_opex_gb300+(Sens!I5867+Sens!I5866)*tk_opex_vr200)/Sens!I5855</f>
        <v>2.03261166882178</v>
      </c>
      <c r="J5873" s="15" t="n">
        <f aca="false">(Sens!J5863*tk_opex_h100+Sens!J5864*tk_opex_gb200+Sens!J5865*tk_opex_gb300+(Sens!J5867+Sens!J5866)*tk_opex_vr200)/Sens!J5855</f>
        <v>2.04808073288745</v>
      </c>
      <c r="K5873" s="15" t="n">
        <f aca="false">(Sens!K5863*tk_opex_h100+Sens!K5864*tk_opex_gb200+Sens!K5865*tk_opex_gb300+(Sens!K5867+Sens!K5866)*tk_opex_vr200)/Sens!K5855</f>
        <v>2.06973825807449</v>
      </c>
      <c r="L5873" s="12" t="s">
        <v>979</v>
      </c>
    </row>
    <row r="5874" customFormat="false" ht="17.15" hidden="false" customHeight="false" outlineLevel="0" collapsed="false">
      <c r="A5874" s="0" t="s">
        <v>980</v>
      </c>
      <c r="B5874" s="0" t="s">
        <v>98</v>
      </c>
      <c r="D5874" s="6" t="n">
        <f aca="false">(Sens!C5858+Sens!D5858)/2*Sens!D5873/1000</f>
        <v>2.70378325872065</v>
      </c>
      <c r="E5874" s="6" t="n">
        <f aca="false">(Sens!D5858+Sens!E5858)/2*Sens!E5873/1000</f>
        <v>6.17783035277451</v>
      </c>
      <c r="F5874" s="6" t="n">
        <f aca="false">(Sens!E5858+Sens!F5858)/2*Sens!F5873/1000</f>
        <v>12.8742463089237</v>
      </c>
      <c r="G5874" s="6" t="n">
        <f aca="false">(Sens!F5858+Sens!G5858)/2*Sens!G5873/1000</f>
        <v>21.8182834646277</v>
      </c>
      <c r="H5874" s="6" t="n">
        <f aca="false">(Sens!G5858+Sens!H5858)/2*Sens!H5873/1000</f>
        <v>31.2430128789734</v>
      </c>
      <c r="I5874" s="6" t="n">
        <f aca="false">(Sens!H5858+Sens!I5858)/2*Sens!I5873/1000</f>
        <v>39.4313057443268</v>
      </c>
      <c r="J5874" s="6" t="n">
        <f aca="false">(Sens!I5858+Sens!J5858)/2*Sens!J5873/1000</f>
        <v>45.0360318228653</v>
      </c>
      <c r="K5874" s="6" t="n">
        <f aca="false">(Sens!J5858+Sens!K5858)/2*Sens!K5873/1000</f>
        <v>48.2929727091156</v>
      </c>
    </row>
    <row r="5875" customFormat="false" ht="17.15" hidden="false" customHeight="false" outlineLevel="0" collapsed="false">
      <c r="A5875" s="0" t="s">
        <v>981</v>
      </c>
      <c r="B5875" s="0" t="s">
        <v>98</v>
      </c>
      <c r="D5875" s="6" t="n">
        <f aca="false">(Sens!C5856+Sens!D5856)/2*rent_mw/1000</f>
        <v>2.44475</v>
      </c>
      <c r="E5875" s="6" t="n">
        <f aca="false">(Sens!D5856+Sens!E5856)/2*rent_mw/1000</f>
        <v>4.22275</v>
      </c>
      <c r="F5875" s="6" t="n">
        <f aca="false">(Sens!E5856+Sens!F5856)/2*rent_mw/1000</f>
        <v>5.80517</v>
      </c>
      <c r="G5875" s="6" t="n">
        <f aca="false">(Sens!F5856+Sens!G5856)/2*rent_mw/1000</f>
        <v>6.72084</v>
      </c>
      <c r="H5875" s="6" t="n">
        <f aca="false">(Sens!G5856+Sens!H5856)/2*rent_mw/1000</f>
        <v>6.72084</v>
      </c>
      <c r="I5875" s="6" t="n">
        <f aca="false">(Sens!H5856+Sens!I5856)/2*rent_mw/1000</f>
        <v>6.72084</v>
      </c>
      <c r="J5875" s="6" t="n">
        <f aca="false">(Sens!I5856+Sens!J5856)/2*rent_mw/1000</f>
        <v>6.72084</v>
      </c>
      <c r="K5875" s="6" t="n">
        <f aca="false">(Sens!J5856+Sens!K5856)/2*rent_mw/1000</f>
        <v>6.72084</v>
      </c>
    </row>
    <row r="5876" customFormat="false" ht="17.15" hidden="false" customHeight="false" outlineLevel="0" collapsed="false">
      <c r="A5876" s="0" t="s">
        <v>982</v>
      </c>
      <c r="B5876" s="0" t="s">
        <v>98</v>
      </c>
      <c r="D5876" s="6" t="n">
        <f aca="false">(Sens!C5858+Sens!D5858)/2*(1-self_build)*fac_rent/1000</f>
        <v>0.853242375631075</v>
      </c>
      <c r="E5876" s="6" t="n">
        <f aca="false">(Sens!D5858+Sens!E5858)/2*(1-self_build)*fac_rent/1000</f>
        <v>1.94955961408728</v>
      </c>
      <c r="F5876" s="6" t="n">
        <f aca="false">(Sens!E5858+Sens!F5858)/2*(1-self_build)*fac_rent/1000</f>
        <v>3.92914894476356</v>
      </c>
      <c r="G5876" s="6" t="n">
        <f aca="false">(Sens!F5858+Sens!G5858)/2*(1-self_build)*fac_rent/1000</f>
        <v>6.53206908578159</v>
      </c>
      <c r="H5876" s="6" t="n">
        <f aca="false">(Sens!G5858+Sens!H5858)/2*(1-self_build)*fac_rent/1000</f>
        <v>9.23717988341591</v>
      </c>
      <c r="I5876" s="6" t="n">
        <f aca="false">(Sens!H5858+Sens!I5858)/2*(1-self_build)*fac_rent/1000</f>
        <v>11.5481378557393</v>
      </c>
      <c r="J5876" s="6" t="n">
        <f aca="false">(Sens!I5858+Sens!J5858)/2*(1-self_build)*fac_rent/1000</f>
        <v>13.0899582289108</v>
      </c>
      <c r="K5876" s="6" t="n">
        <f aca="false">(Sens!J5858+Sens!K5858)/2*(1-self_build)*fac_rent/1000</f>
        <v>13.8897275626556</v>
      </c>
      <c r="L5876" s="12" t="s">
        <v>983</v>
      </c>
    </row>
    <row r="5877" customFormat="false" ht="17.15" hidden="false" customHeight="false" outlineLevel="0" collapsed="false">
      <c r="A5877" s="1" t="s">
        <v>984</v>
      </c>
      <c r="B5877" s="0" t="s">
        <v>168</v>
      </c>
      <c r="D5877" s="7" t="n">
        <f aca="false">(Sens!C5857+Sens!D5857)/(Sens!C5858+Sens!D5858)</f>
        <v>0.6</v>
      </c>
      <c r="E5877" s="7" t="n">
        <f aca="false">(Sens!D5857+Sens!E5857)/(Sens!D5858+Sens!E5858)</f>
        <v>0.6</v>
      </c>
      <c r="F5877" s="7" t="n">
        <f aca="false">(Sens!E5857+Sens!F5857)/(Sens!E5858+Sens!F5858)</f>
        <v>0.6</v>
      </c>
      <c r="G5877" s="7" t="n">
        <f aca="false">(Sens!F5857+Sens!G5857)/(Sens!F5858+Sens!G5858)</f>
        <v>0.6</v>
      </c>
      <c r="H5877" s="7" t="n">
        <f aca="false">(Sens!G5857+Sens!H5857)/(Sens!G5858+Sens!H5858)</f>
        <v>0.6</v>
      </c>
      <c r="I5877" s="7" t="n">
        <f aca="false">(Sens!H5857+Sens!I5857)/(Sens!H5858+Sens!I5858)</f>
        <v>0.6</v>
      </c>
      <c r="J5877" s="7" t="n">
        <f aca="false">(Sens!I5857+Sens!J5857)/(Sens!I5858+Sens!J5858)</f>
        <v>0.6</v>
      </c>
      <c r="K5877" s="7" t="n">
        <f aca="false">(Sens!J5857+Sens!K5857)/(Sens!J5858+Sens!K5858)</f>
        <v>0.6</v>
      </c>
    </row>
    <row r="5878" customFormat="false" ht="17.15" hidden="false" customHeight="false" outlineLevel="0" collapsed="false">
      <c r="A5878" s="0" t="s">
        <v>985</v>
      </c>
      <c r="B5878" s="0" t="s">
        <v>98</v>
      </c>
      <c r="D5878" s="6" t="n">
        <f aca="false">Sens!D5872-Sens!D5877*(Sens!D5874+Sens!D5876)-Sens!D5875</f>
        <v>8.35701406163072</v>
      </c>
      <c r="E5878" s="6" t="n">
        <f aca="false">Sens!E5872-Sens!E5877*(Sens!E5874+Sens!E5876)-Sens!E5875</f>
        <v>18.7103224860238</v>
      </c>
      <c r="F5878" s="6" t="n">
        <f aca="false">Sens!F5872-Sens!F5877*(Sens!F5874+Sens!F5876)-Sens!F5875</f>
        <v>34.262287698092</v>
      </c>
      <c r="G5878" s="6" t="n">
        <f aca="false">Sens!G5872-Sens!G5877*(Sens!G5874+Sens!G5876)-Sens!G5875</f>
        <v>51.300047378687</v>
      </c>
      <c r="H5878" s="6" t="n">
        <f aca="false">Sens!H5872-Sens!H5877*(Sens!H5874+Sens!H5876)-Sens!H5875</f>
        <v>64.0863653739702</v>
      </c>
      <c r="I5878" s="6" t="n">
        <f aca="false">Sens!I5872-Sens!I5877*(Sens!I5874+Sens!I5876)-Sens!I5875</f>
        <v>81.5608775166391</v>
      </c>
      <c r="J5878" s="6" t="n">
        <f aca="false">Sens!J5872-Sens!J5877*(Sens!J5874+Sens!J5876)-Sens!J5875</f>
        <v>93.7273953248395</v>
      </c>
      <c r="K5878" s="6" t="n">
        <f aca="false">Sens!K5872-Sens!K5877*(Sens!K5874+Sens!K5876)-Sens!K5875</f>
        <v>101.320394742776</v>
      </c>
    </row>
    <row r="5879" customFormat="false" ht="17.15" hidden="false" customHeight="false" outlineLevel="0" collapsed="false">
      <c r="A5879" s="1" t="s">
        <v>986</v>
      </c>
      <c r="B5879" s="0" t="s">
        <v>98</v>
      </c>
      <c r="D5879" s="6" t="n">
        <f aca="false">(1-Sens!D5877)*(Sens!D5874+Sens!D5876)</f>
        <v>1.42281025374069</v>
      </c>
      <c r="E5879" s="6" t="n">
        <f aca="false">(1-Sens!E5877)*(Sens!E5874+Sens!E5876)</f>
        <v>3.25095598674472</v>
      </c>
      <c r="F5879" s="6" t="n">
        <f aca="false">(1-Sens!F5877)*(Sens!F5874+Sens!F5876)</f>
        <v>6.72135810147489</v>
      </c>
      <c r="G5879" s="6" t="n">
        <f aca="false">(1-Sens!G5877)*(Sens!G5874+Sens!G5876)</f>
        <v>11.3401410201637</v>
      </c>
      <c r="H5879" s="6" t="n">
        <f aca="false">(1-Sens!H5877)*(Sens!H5874+Sens!H5876)</f>
        <v>16.1920771049557</v>
      </c>
      <c r="I5879" s="6" t="n">
        <f aca="false">(1-Sens!I5877)*(Sens!I5874+Sens!I5876)</f>
        <v>20.3917774400264</v>
      </c>
      <c r="J5879" s="6" t="n">
        <f aca="false">(1-Sens!J5877)*(Sens!J5874+Sens!J5876)</f>
        <v>23.2503960207104</v>
      </c>
      <c r="K5879" s="6" t="n">
        <f aca="false">(1-Sens!K5877)*(Sens!K5874+Sens!K5876)</f>
        <v>24.8730801087085</v>
      </c>
    </row>
    <row r="5880" customFormat="false" ht="17.15" hidden="false" customHeight="false" outlineLevel="0" collapsed="false">
      <c r="A5880" s="1" t="s">
        <v>987</v>
      </c>
      <c r="B5880" s="0" t="s">
        <v>414</v>
      </c>
      <c r="C5880" s="8" t="n">
        <f aca="false">cxit_open</f>
        <v>27.5918995</v>
      </c>
      <c r="D5880" s="8" t="n">
        <f aca="false">cxit_open</f>
        <v>27.5918995</v>
      </c>
      <c r="E5880" s="8" t="n">
        <f aca="false">cxit_open</f>
        <v>27.5918995</v>
      </c>
      <c r="F5880" s="8" t="n">
        <f aca="false">((a_g3_27-nonnv*a_mai)*tk_cxit_gb300+nonnv*a_mai*nv_hold_mai*tk_cxit_vr200+(1-a_g3_27)*tk_cxit_vr200)</f>
        <v>32.4975576</v>
      </c>
      <c r="G5880" s="8" t="n">
        <f aca="false">((a_g3_28-nonnv*a_mai)*tk_cxit_gb300+nonnv*a_mai*nv_hold_mai*tk_cxit_vr200+(1-a_g3_28)*tk_cxit_vr200)</f>
        <v>34.6372088</v>
      </c>
      <c r="H5880" s="8" t="n">
        <f aca="false">((a_g3_29-nonnv*a_mai)*tk_cxit_gb300+nonnv*a_mai*nv_hold_mai*tk_cxit_vr200+(1-a_g3_29)*tk_cxit_vr200)</f>
        <v>35.7070344</v>
      </c>
      <c r="I5880" s="8" t="n">
        <f aca="false">((a_g3_29-nonnv*a_mai)*tk_cxit_gb300+nonnv*a_mai*nv_hold_mai*tk_cxit_vr200+(1-a_g3_29)*tk_cxit_vr200)</f>
        <v>35.7070344</v>
      </c>
      <c r="J5880" s="8" t="n">
        <f aca="false">((a_g3_29-nonnv*a_mai)*tk_cxit_gb300+nonnv*a_mai*nv_hold_mai*tk_cxit_vr200+(1-a_g3_29)*tk_cxit_vr200)</f>
        <v>35.7070344</v>
      </c>
      <c r="K5880" s="8" t="n">
        <f aca="false">((a_g3_29-nonnv*a_mai)*tk_cxit_gb300+nonnv*a_mai*nv_hold_mai*tk_cxit_vr200+(1-a_g3_29)*tk_cxit_vr200)</f>
        <v>35.7070344</v>
      </c>
      <c r="L5880" s="12" t="s">
        <v>988</v>
      </c>
    </row>
    <row r="5881" customFormat="false" ht="17.15" hidden="false" customHeight="false" outlineLevel="0" collapsed="false">
      <c r="A5881" s="0" t="s">
        <v>989</v>
      </c>
      <c r="B5881" s="0" t="s">
        <v>456</v>
      </c>
      <c r="F5881" s="30" t="n">
        <f aca="false">Sens!C5860*IF(Sens!F5853-Sens!C5853=life_it,1,0)+Sens!D5860*IF(Sens!F5853-Sens!D5853=life_it,1,0)+Sens!E5860*IF(Sens!F5853-Sens!E5853=life_it,1,0)</f>
        <v>0</v>
      </c>
      <c r="G5881" s="30" t="n">
        <f aca="false">Sens!C5860*IF(Sens!G5853-Sens!C5853=life_it,1,0)+Sens!D5860*IF(Sens!G5853-Sens!D5853=life_it,1,0)+Sens!E5860*IF(Sens!G5853-Sens!E5853=life_it,1,0)+Sens!F5860*IF(Sens!G5853-Sens!F5853=life_it,1,0)</f>
        <v>0</v>
      </c>
      <c r="H5881" s="30" t="n">
        <f aca="false">Sens!C5860*IF(Sens!H5853-Sens!C5853=life_it,1,0)+Sens!D5860*IF(Sens!H5853-Sens!D5853=life_it,1,0)+Sens!E5860*IF(Sens!H5853-Sens!E5853=life_it,1,0)+Sens!F5860*IF(Sens!H5853-Sens!F5853=life_it,1,0)+Sens!G5860*IF(Sens!H5853-Sens!G5853=life_it,1,0)</f>
        <v>0</v>
      </c>
      <c r="I5881" s="30" t="n">
        <f aca="false">Sens!C5860*IF(Sens!I5853-Sens!C5853=life_it,1,0)+Sens!D5860*IF(Sens!I5853-Sens!D5853=life_it,1,0)+Sens!E5860*IF(Sens!I5853-Sens!E5853=life_it,1,0)+Sens!F5860*IF(Sens!I5853-Sens!F5853=life_it,1,0)+Sens!G5860*IF(Sens!I5853-Sens!G5853=life_it,1,0)+Sens!H5860*IF(Sens!I5853-Sens!H5853=life_it,1,0)</f>
        <v>816.666666666667</v>
      </c>
      <c r="J5881" s="30" t="n">
        <f aca="false">Sens!C5860*IF(Sens!J5853-Sens!C5853=life_it,1,0)+Sens!D5860*IF(Sens!J5853-Sens!D5853=life_it,1,0)+Sens!E5860*IF(Sens!J5853-Sens!E5853=life_it,1,0)+Sens!F5860*IF(Sens!J5853-Sens!F5853=life_it,1,0)+Sens!G5860*IF(Sens!J5853-Sens!G5853=life_it,1,0)+Sens!H5860*IF(Sens!J5853-Sens!H5853=life_it,1,0)+Sens!I5860*IF(Sens!J5853-Sens!I5853=life_it,1,0)</f>
        <v>1233.33333333333</v>
      </c>
      <c r="K5881" s="30" t="n">
        <f aca="false">Sens!C5860*IF(Sens!K5853-Sens!C5853=life_it,1,0)+Sens!D5860*IF(Sens!K5853-Sens!D5853=life_it,1,0)+Sens!E5860*IF(Sens!K5853-Sens!E5853=life_it,1,0)+Sens!F5860*IF(Sens!K5853-Sens!F5853=life_it,1,0)+Sens!G5860*IF(Sens!K5853-Sens!G5853=life_it,1,0)+Sens!H5860*IF(Sens!K5853-Sens!H5853=life_it,1,0)+Sens!I5860*IF(Sens!K5853-Sens!I5853=life_it,1,0)+Sens!J5860*IF(Sens!K5853-Sens!J5853=life_it,1,0)</f>
        <v>2450</v>
      </c>
      <c r="L5881" s="1" t="s">
        <v>990</v>
      </c>
    </row>
    <row r="5882" customFormat="false" ht="17.15" hidden="false" customHeight="false" outlineLevel="0" collapsed="false">
      <c r="A5882" s="0" t="s">
        <v>991</v>
      </c>
      <c r="B5882" s="0" t="s">
        <v>98</v>
      </c>
      <c r="C5882" s="6" t="n">
        <f aca="false">Sens!C5860*Sens!C5880/1000</f>
        <v>22.5333845916667</v>
      </c>
      <c r="D5882" s="6" t="n">
        <f aca="false">Sens!D5860*Sens!D5880/1000</f>
        <v>34.0300093833333</v>
      </c>
      <c r="E5882" s="6" t="n">
        <f aca="false">Sens!E5860*Sens!E5880/1000</f>
        <v>67.600153775</v>
      </c>
      <c r="F5882" s="6" t="n">
        <f aca="false">(Sens!F5860+Sens!F5881)*Sens!F5880/1000</f>
        <v>136.51872432512</v>
      </c>
      <c r="G5882" s="6" t="n">
        <f aca="false">(Sens!G5860+Sens!G5881)*Sens!G5880/1000</f>
        <v>157.399275932048</v>
      </c>
      <c r="H5882" s="6" t="n">
        <f aca="false">(Sens!H5860+Sens!H5881)*Sens!H5880/1000</f>
        <v>162.260804347512</v>
      </c>
      <c r="I5882" s="6" t="n">
        <f aca="false">(Sens!I5860+Sens!I5881)*Sens!I5880/1000</f>
        <v>144.136569485434</v>
      </c>
      <c r="J5882" s="6" t="n">
        <f aca="false">(Sens!J5860+Sens!J5881)*Sens!J5880/1000</f>
        <v>114.029037357864</v>
      </c>
      <c r="K5882" s="6" t="n">
        <f aca="false">(Sens!K5860+Sens!K5881)*Sens!K5880/1000</f>
        <v>113.437085350975</v>
      </c>
    </row>
    <row r="5883" customFormat="false" ht="17.15" hidden="false" customHeight="false" outlineLevel="0" collapsed="false">
      <c r="A5883" s="0" t="s">
        <v>992</v>
      </c>
      <c r="B5883" s="0" t="s">
        <v>98</v>
      </c>
      <c r="C5883" s="6" t="n">
        <f aca="false">Sens!C5860*self_build*tk_cxfac/1000</f>
        <v>6.2083</v>
      </c>
      <c r="D5883" s="6" t="n">
        <f aca="false">Sens!D5860*self_build*tk_cxfac/1000</f>
        <v>9.3758</v>
      </c>
      <c r="E5883" s="6" t="n">
        <f aca="false">Sens!E5860*self_build*tk_cxfac/1000</f>
        <v>18.6249</v>
      </c>
      <c r="F5883" s="6" t="n">
        <f aca="false">Sens!F5860*self_build*tk_cxfac/1000</f>
        <v>31.935179717</v>
      </c>
      <c r="G5883" s="6" t="n">
        <f aca="false">Sens!G5860*self_build*tk_cxfac/1000</f>
        <v>34.545199717</v>
      </c>
      <c r="H5883" s="6" t="n">
        <f aca="false">Sens!H5860*self_build*tk_cxfac/1000</f>
        <v>34.545199717</v>
      </c>
      <c r="I5883" s="6" t="n">
        <f aca="false">Sens!I5860*self_build*tk_cxfac/1000</f>
        <v>24.4782641361767</v>
      </c>
      <c r="J5883" s="6" t="n">
        <f aca="false">Sens!J5860*self_build*tk_cxfac/1000</f>
        <v>14.9008938380769</v>
      </c>
      <c r="K5883" s="6" t="n">
        <f aca="false">Sens!K5860*self_build*tk_cxfac/1000</f>
        <v>5.52576771375761</v>
      </c>
    </row>
    <row r="5884" customFormat="false" ht="17.15" hidden="false" customHeight="false" outlineLevel="0" collapsed="false">
      <c r="A5884" s="0" t="s">
        <v>993</v>
      </c>
      <c r="B5884" s="0" t="s">
        <v>98</v>
      </c>
      <c r="F5884" s="15" t="n">
        <f aca="false">capex_floor27-Sens!F5882-Sens!F5883-Sens!F5980</f>
        <v>-0.116521054068635</v>
      </c>
      <c r="L5884" s="12" t="s">
        <v>994</v>
      </c>
    </row>
    <row r="5885" customFormat="false" ht="17.15" hidden="false" customHeight="false" outlineLevel="0" collapsed="false">
      <c r="A5885" s="0" t="s">
        <v>995</v>
      </c>
      <c r="B5885" s="0" t="s">
        <v>98</v>
      </c>
      <c r="F5885" s="6" t="n">
        <f aca="false">MAX(0,Sens!F5884)</f>
        <v>0</v>
      </c>
    </row>
    <row r="5886" customFormat="false" ht="17.15" hidden="false" customHeight="false" outlineLevel="0" collapsed="false">
      <c r="A5886" s="0" t="s">
        <v>996</v>
      </c>
      <c r="B5886" s="0" t="s">
        <v>98</v>
      </c>
      <c r="C5886" s="6" t="n">
        <f aca="false">Sens!C5882</f>
        <v>22.5333845916667</v>
      </c>
      <c r="D5886" s="6" t="n">
        <f aca="false">Sens!D5882</f>
        <v>34.0300093833333</v>
      </c>
      <c r="E5886" s="6" t="n">
        <f aca="false">Sens!E5882</f>
        <v>67.600153775</v>
      </c>
      <c r="F5886" s="6" t="n">
        <f aca="false">Sens!F5882</f>
        <v>136.51872432512</v>
      </c>
      <c r="G5886" s="6" t="n">
        <f aca="false">Sens!G5882</f>
        <v>157.399275932048</v>
      </c>
      <c r="H5886" s="6" t="n">
        <f aca="false">Sens!H5882</f>
        <v>162.260804347512</v>
      </c>
      <c r="I5886" s="6" t="n">
        <f aca="false">Sens!I5882</f>
        <v>144.136569485434</v>
      </c>
      <c r="J5886" s="6" t="n">
        <f aca="false">Sens!J5882</f>
        <v>114.029037357864</v>
      </c>
      <c r="K5886" s="6" t="n">
        <f aca="false">Sens!K5882</f>
        <v>113.437085350975</v>
      </c>
    </row>
    <row r="5887" customFormat="false" ht="17.15" hidden="false" customHeight="false" outlineLevel="0" collapsed="false">
      <c r="A5887" s="0" t="s">
        <v>997</v>
      </c>
      <c r="B5887" s="0" t="s">
        <v>98</v>
      </c>
      <c r="C5887" s="6" t="n">
        <f aca="false">Sens!C5886+Sens!C5883</f>
        <v>28.7416845916667</v>
      </c>
      <c r="D5887" s="6" t="n">
        <f aca="false">Sens!D5886+Sens!D5883</f>
        <v>43.4058093833333</v>
      </c>
      <c r="E5887" s="6" t="n">
        <f aca="false">Sens!E5886+Sens!E5883</f>
        <v>86.225053775</v>
      </c>
      <c r="F5887" s="6" t="n">
        <f aca="false">Sens!F5886+Sens!F5883</f>
        <v>168.45390404212</v>
      </c>
      <c r="G5887" s="6" t="n">
        <f aca="false">Sens!G5886+Sens!G5883</f>
        <v>191.944475649048</v>
      </c>
      <c r="H5887" s="6" t="n">
        <f aca="false">Sens!H5886+Sens!H5883</f>
        <v>196.806004064512</v>
      </c>
      <c r="I5887" s="6" t="n">
        <f aca="false">Sens!I5886+Sens!I5883</f>
        <v>168.61483362161</v>
      </c>
      <c r="J5887" s="6" t="n">
        <f aca="false">Sens!J5886+Sens!J5883</f>
        <v>128.92993119594</v>
      </c>
      <c r="K5887" s="6" t="n">
        <f aca="false">Sens!K5886+Sens!K5883</f>
        <v>118.962853064733</v>
      </c>
      <c r="L5887" s="12" t="s">
        <v>998</v>
      </c>
    </row>
    <row r="5888" customFormat="false" ht="17.15" hidden="false" customHeight="false" outlineLevel="0" collapsed="false">
      <c r="A5888" s="0" t="s">
        <v>999</v>
      </c>
      <c r="B5888" s="0" t="s">
        <v>98</v>
      </c>
      <c r="E5888" s="6" t="n">
        <f aca="false">(Sens!C5886*IF(2&lt;life_it,1,IF(2=life_it,0.5,0))+Sens!D5886*IF(1&lt;life_it,1,IF(1=life_it,0.5,0))+Sens!E5886*0.5)/life_it</f>
        <v>15.0605784770833</v>
      </c>
      <c r="F5888" s="6" t="n">
        <f aca="false">(Sens!C5886*IF(3&lt;life_it,1,IF(3=life_it,0.5,0))+Sens!D5886*IF(2&lt;life_it,1,IF(2=life_it,0.5,0))+Sens!E5886*IF(1&lt;life_it,1,IF(1=life_it,0.5,0))+Sens!F5886*0.5)/life_it</f>
        <v>32.0704849854266</v>
      </c>
      <c r="G5888" s="6" t="n">
        <f aca="false">(Sens!C5886*IF(4&lt;life_it,1,IF(4=life_it,0.5,0))+Sens!D5886*IF(3&lt;life_it,1,IF(3=life_it,0.5,0))+Sens!E5886*IF(2&lt;life_it,1,IF(2=life_it,0.5,0))+Sens!F5886*IF(1&lt;life_it,1,IF(1=life_it,0.5,0))+Sens!G5886*0.5)/life_it</f>
        <v>56.5636516735239</v>
      </c>
      <c r="H5888" s="6" t="n">
        <f aca="false">(Sens!C5886*IF(5&lt;life_it,1,IF(5=life_it,0.5,0))+Sens!D5886*IF(4&lt;life_it,1,IF(4=life_it,0.5,0))+Sens!E5886*IF(3&lt;life_it,1,IF(3=life_it,0.5,0))+Sens!F5886*IF(2&lt;life_it,1,IF(2=life_it,0.5,0))+Sens!G5886*IF(1&lt;life_it,1,IF(1=life_it,0.5,0))+Sens!H5886*0.5)/life_it</f>
        <v>83.2019916968207</v>
      </c>
      <c r="I5888" s="6" t="n">
        <f aca="false">(Sens!C5886*IF(6&lt;life_it,1,IF(6=life_it,0.5,0))+Sens!D5886*IF(5&lt;life_it,1,IF(5=life_it,0.5,0))+Sens!E5886*IF(4&lt;life_it,1,IF(4=life_it,0.5,0))+Sens!F5886*IF(3&lt;life_it,1,IF(3=life_it,0.5,0))+Sens!G5886*IF(2&lt;life_it,1,IF(2=life_it,0.5,0))+Sens!H5886*IF(1&lt;life_it,1,IF(1=life_it,0.5,0))+Sens!I5886*0.5)/life_it</f>
        <v>106.857324133594</v>
      </c>
      <c r="J5888" s="6" t="n">
        <f aca="false">(Sens!C5886*IF(7&lt;life_it,1,IF(7=life_it,0.5,0))+Sens!D5886*IF(6&lt;life_it,1,IF(6=life_it,0.5,0))+Sens!E5886*IF(5&lt;life_it,1,IF(5=life_it,0.5,0))+Sens!F5886*IF(4&lt;life_it,1,IF(4=life_it,0.5,0))+Sens!G5886*IF(3&lt;life_it,1,IF(3=life_it,0.5,0))+Sens!H5886*IF(2&lt;life_it,1,IF(2=life_it,0.5,0))+Sens!I5886*IF(1&lt;life_it,1,IF(1=life_it,0.5,0))+Sens!J5886*0.5)/life_it</f>
        <v>123.657508539285</v>
      </c>
      <c r="K5888" s="6" t="n">
        <f aca="false">(Sens!C5886*IF(8&lt;life_it,1,IF(8=life_it,0.5,0))+Sens!D5886*IF(7&lt;life_it,1,IF(7=life_it,0.5,0))+Sens!E5886*IF(6&lt;life_it,1,IF(6=life_it,0.5,0))+Sens!F5886*IF(5&lt;life_it,1,IF(5=life_it,0.5,0))+Sens!G5886*IF(4&lt;life_it,1,IF(4=life_it,0.5,0))+Sens!H5886*IF(3&lt;life_it,1,IF(3=life_it,0.5,0))+Sens!I5886*IF(2&lt;life_it,1,IF(2=life_it,0.5,0))+Sens!J5886*IF(1&lt;life_it,1,IF(1=life_it,0.5,0))+Sens!K5886*0.5)/life_it</f>
        <v>134.143838501827</v>
      </c>
    </row>
    <row r="5889" customFormat="false" ht="17.15" hidden="false" customHeight="false" outlineLevel="0" collapsed="false">
      <c r="A5889" s="0" t="s">
        <v>1000</v>
      </c>
      <c r="B5889" s="0" t="s">
        <v>98</v>
      </c>
      <c r="E5889" s="6" t="n">
        <f aca="false">(Sens!C5883*IF(2&lt;life_fac,1,IF(2=life_fac,0.5,0))+Sens!D5883*IF(1&lt;life_fac,1,IF(1=life_fac,0.5,0))+Sens!E5883*0.5)/life_fac</f>
        <v>1.2448275</v>
      </c>
      <c r="F5889" s="6" t="n">
        <f aca="false">(Sens!C5883*IF(3&lt;life_fac,1,IF(3=life_fac,0.5,0))+Sens!D5883*IF(2&lt;life_fac,1,IF(2=life_fac,0.5,0))+Sens!E5883*IF(1&lt;life_fac,1,IF(1=life_fac,0.5,0))+Sens!F5883*0.5)/life_fac</f>
        <v>2.508829492925</v>
      </c>
      <c r="G5889" s="6" t="n">
        <f aca="false">(Sens!C5883*IF(4&lt;life_fac,1,IF(4=life_fac,0.5,0))+Sens!D5883*IF(3&lt;life_fac,1,IF(3=life_fac,0.5,0))+Sens!E5883*IF(2&lt;life_fac,1,IF(2=life_fac,0.5,0))+Sens!F5883*IF(1&lt;life_fac,1,IF(1=life_fac,0.5,0))+Sens!G5883*0.5)/life_fac</f>
        <v>4.170838978775</v>
      </c>
      <c r="H5889" s="6" t="n">
        <f aca="false">(Sens!C5883*IF(5&lt;life_fac,1,IF(5=life_fac,0.5,0))+Sens!D5883*IF(4&lt;life_fac,1,IF(4=life_fac,0.5,0))+Sens!E5883*IF(3&lt;life_fac,1,IF(3=life_fac,0.5,0))+Sens!F5883*IF(2&lt;life_fac,1,IF(2=life_fac,0.5,0))+Sens!G5883*IF(1&lt;life_fac,1,IF(1=life_fac,0.5,0))+Sens!H5883*0.5)/life_fac</f>
        <v>5.898098964625</v>
      </c>
      <c r="I5889" s="6" t="n">
        <f aca="false">(Sens!C5883*IF(6&lt;life_fac,1,IF(6=life_fac,0.5,0))+Sens!D5883*IF(5&lt;life_fac,1,IF(5=life_fac,0.5,0))+Sens!E5883*IF(4&lt;life_fac,1,IF(4=life_fac,0.5,0))+Sens!F5883*IF(3&lt;life_fac,1,IF(3=life_fac,0.5,0))+Sens!G5883*IF(2&lt;life_fac,1,IF(2=life_fac,0.5,0))+Sens!H5883*IF(1&lt;life_fac,1,IF(1=life_fac,0.5,0))+Sens!I5883*0.5)/life_fac</f>
        <v>7.37368556095442</v>
      </c>
      <c r="J5889" s="6" t="n">
        <f aca="false">(Sens!C5883*IF(7&lt;life_fac,1,IF(7=life_fac,0.5,0))+Sens!D5883*IF(6&lt;life_fac,1,IF(6=life_fac,0.5,0))+Sens!E5883*IF(5&lt;life_fac,1,IF(5=life_fac,0.5,0))+Sens!F5883*IF(4&lt;life_fac,1,IF(4=life_fac,0.5,0))+Sens!G5883*IF(3&lt;life_fac,1,IF(3=life_fac,0.5,0))+Sens!H5883*IF(2&lt;life_fac,1,IF(2=life_fac,0.5,0))+Sens!I5883*IF(1&lt;life_fac,1,IF(1=life_fac,0.5,0))+Sens!J5883*0.5)/life_fac</f>
        <v>8.35816451031075</v>
      </c>
      <c r="K5889" s="6" t="n">
        <f aca="false">(Sens!C5883*IF(8&lt;life_fac,1,IF(8=life_fac,0.5,0))+Sens!D5883*IF(7&lt;life_fac,1,IF(7=life_fac,0.5,0))+Sens!E5883*IF(6&lt;life_fac,1,IF(6=life_fac,0.5,0))+Sens!F5883*IF(5&lt;life_fac,1,IF(5=life_fac,0.5,0))+Sens!G5883*IF(4&lt;life_fac,1,IF(4=life_fac,0.5,0))+Sens!H5883*IF(3&lt;life_fac,1,IF(3=life_fac,0.5,0))+Sens!I5883*IF(2&lt;life_fac,1,IF(2=life_fac,0.5,0))+Sens!J5883*IF(1&lt;life_fac,1,IF(1=life_fac,0.5,0))+Sens!K5883*0.5)/life_fac</f>
        <v>8.86883104910662</v>
      </c>
    </row>
    <row r="5890" customFormat="false" ht="17.15" hidden="false" customHeight="false" outlineLevel="0" collapsed="false">
      <c r="A5890" s="0" t="s">
        <v>1001</v>
      </c>
      <c r="B5890" s="0" t="s">
        <v>98</v>
      </c>
      <c r="E5890" s="6" t="n">
        <f aca="false">Sens!E5888+Sens!E5889</f>
        <v>16.3054059770833</v>
      </c>
      <c r="F5890" s="6" t="n">
        <f aca="false">Sens!F5888+Sens!F5889</f>
        <v>34.5793144783516</v>
      </c>
      <c r="G5890" s="6" t="n">
        <f aca="false">Sens!G5888+Sens!G5889</f>
        <v>60.7344906522989</v>
      </c>
      <c r="H5890" s="6" t="n">
        <f aca="false">Sens!H5888+Sens!H5889</f>
        <v>89.1000906614457</v>
      </c>
      <c r="I5890" s="6" t="n">
        <f aca="false">Sens!I5888+Sens!I5889</f>
        <v>114.231009694548</v>
      </c>
      <c r="J5890" s="6" t="n">
        <f aca="false">Sens!J5888+Sens!J5889</f>
        <v>132.015673049596</v>
      </c>
      <c r="K5890" s="6" t="n">
        <f aca="false">Sens!K5888+Sens!K5889</f>
        <v>143.012669550934</v>
      </c>
    </row>
    <row r="5891" customFormat="false" ht="17.15" hidden="false" customHeight="false" outlineLevel="0" collapsed="false">
      <c r="A5891" s="0" t="s">
        <v>1002</v>
      </c>
      <c r="B5891" s="0" t="s">
        <v>98</v>
      </c>
      <c r="E5891" s="6" t="n">
        <f aca="false">Sens!E5878-Sens!E5877*Sens!E5890</f>
        <v>8.92707889977379</v>
      </c>
      <c r="F5891" s="6" t="n">
        <f aca="false">Sens!F5878-Sens!F5877*Sens!F5890</f>
        <v>13.514699011081</v>
      </c>
      <c r="G5891" s="6" t="n">
        <f aca="false">Sens!G5878-Sens!G5877*Sens!G5890</f>
        <v>14.8593529873076</v>
      </c>
      <c r="H5891" s="6" t="n">
        <f aca="false">Sens!H5878-Sens!H5877*Sens!H5890</f>
        <v>10.6263109771028</v>
      </c>
      <c r="I5891" s="6" t="n">
        <f aca="false">Sens!I5878-Sens!I5877*Sens!I5890</f>
        <v>13.0222716999101</v>
      </c>
      <c r="J5891" s="6" t="n">
        <f aca="false">Sens!J5878-Sens!J5877*Sens!J5890</f>
        <v>14.5179914950818</v>
      </c>
      <c r="K5891" s="6" t="n">
        <f aca="false">Sens!K5878-Sens!K5877*Sens!K5890</f>
        <v>15.5127930122155</v>
      </c>
    </row>
    <row r="5892" customFormat="false" ht="17.15" hidden="false" customHeight="false" outlineLevel="0" collapsed="false">
      <c r="A5892" s="3" t="s">
        <v>1626</v>
      </c>
    </row>
    <row r="5893" customFormat="false" ht="15" hidden="false" customHeight="false" outlineLevel="0" collapsed="false">
      <c r="A5893" s="4" t="s">
        <v>43</v>
      </c>
      <c r="B5893" s="4" t="s">
        <v>65</v>
      </c>
      <c r="C5893" s="23" t="s">
        <v>938</v>
      </c>
      <c r="D5893" s="23" t="s">
        <v>939</v>
      </c>
      <c r="E5893" s="23" t="s">
        <v>940</v>
      </c>
      <c r="F5893" s="23" t="s">
        <v>941</v>
      </c>
      <c r="G5893" s="23" t="s">
        <v>942</v>
      </c>
      <c r="H5893" s="23" t="s">
        <v>943</v>
      </c>
      <c r="I5893" s="23" t="s">
        <v>944</v>
      </c>
      <c r="J5893" s="23" t="s">
        <v>945</v>
      </c>
      <c r="K5893" s="23" t="s">
        <v>946</v>
      </c>
      <c r="L5893" s="4" t="s">
        <v>47</v>
      </c>
    </row>
    <row r="5894" customFormat="false" ht="17.15" hidden="false" customHeight="false" outlineLevel="0" collapsed="false">
      <c r="A5894" s="0" t="s">
        <v>1021</v>
      </c>
      <c r="B5894" s="0" t="s">
        <v>98</v>
      </c>
      <c r="D5894" s="6" t="n">
        <f aca="false">Sens!D5872</f>
        <v>12.9359794422418</v>
      </c>
      <c r="E5894" s="6" t="n">
        <f aca="false">Sens!E5872</f>
        <v>27.8095064661409</v>
      </c>
      <c r="F5894" s="6" t="n">
        <f aca="false">Sens!F5872</f>
        <v>50.1494948503043</v>
      </c>
      <c r="G5894" s="6" t="n">
        <f aca="false">Sens!G5872</f>
        <v>75.0310989089326</v>
      </c>
      <c r="H5894" s="6" t="n">
        <f aca="false">Sens!H5872</f>
        <v>95.0953210314038</v>
      </c>
      <c r="I5894" s="6" t="n">
        <f aca="false">Sens!I5872</f>
        <v>118.869383676679</v>
      </c>
      <c r="J5894" s="6" t="n">
        <f aca="false">Sens!J5872</f>
        <v>135.323829355905</v>
      </c>
      <c r="K5894" s="6" t="n">
        <f aca="false">Sens!K5872</f>
        <v>145.350854905839</v>
      </c>
    </row>
    <row r="5895" customFormat="false" ht="17.15" hidden="false" customHeight="false" outlineLevel="0" collapsed="false">
      <c r="A5895" s="0" t="s">
        <v>1022</v>
      </c>
      <c r="B5895" s="0" t="s">
        <v>98</v>
      </c>
      <c r="D5895" s="6" t="n">
        <f aca="false">Q!L6-Sens!D5894</f>
        <v>59.6740205577583</v>
      </c>
      <c r="E5895" s="6" t="n">
        <f aca="false">Q!M6-Sens!E5894</f>
        <v>74.1284935338591</v>
      </c>
      <c r="F5895" s="6" t="n">
        <f aca="false">Q!$I$6+(Sens!F5894+Sens!E5895*(1+Sens!F5896))*(1-Q!$E$6/Q!M6)-Sens!F5894</f>
        <v>92.4527438117015</v>
      </c>
      <c r="G5895" s="6" t="n">
        <f aca="false">Sens!F5895*(1+Sens!G5896)</f>
        <v>109.847658715854</v>
      </c>
      <c r="H5895" s="6" t="n">
        <f aca="false">Sens!G5895*(1+Sens!H5896)</f>
        <v>127.545428282984</v>
      </c>
      <c r="I5895" s="6" t="n">
        <f aca="false">Sens!H5895*(1+Sens!I5896)</f>
        <v>144.646034092305</v>
      </c>
      <c r="J5895" s="6" t="n">
        <f aca="false">Sens!I5895*(1+Sens!J5896)</f>
        <v>160.128557039151</v>
      </c>
      <c r="K5895" s="6" t="n">
        <f aca="false">Sens!J5895*(1+Sens!K5896)</f>
        <v>172.938841602283</v>
      </c>
      <c r="L5895" s="12" t="s">
        <v>1023</v>
      </c>
    </row>
    <row r="5896" customFormat="false" ht="15" hidden="false" customHeight="false" outlineLevel="0" collapsed="false">
      <c r="A5896" s="1" t="s">
        <v>1024</v>
      </c>
      <c r="B5896" s="0" t="s">
        <v>168</v>
      </c>
      <c r="E5896" s="7" t="n">
        <f aca="false">Sens!E5895/Sens!D5895-1</f>
        <v>0.242223883039864</v>
      </c>
      <c r="F5896" s="7" t="n">
        <f aca="false">Sens!$E$5896+(glt_azo-Sens!$E$5896)*MIN(1,(Sens!F5853-base_fy)/n_conv)</f>
        <v>0.215186569199887</v>
      </c>
      <c r="G5896" s="7" t="n">
        <f aca="false">Sens!$E$5896+(glt_azo-Sens!$E$5896)*MIN(1,(Sens!G5853-base_fy)/n_conv)</f>
        <v>0.18814925535991</v>
      </c>
      <c r="H5896" s="7" t="n">
        <f aca="false">Sens!$E$5896+(glt_azo-Sens!$E$5896)*MIN(1,(Sens!H5853-base_fy)/n_conv)</f>
        <v>0.161111941519932</v>
      </c>
      <c r="I5896" s="7" t="n">
        <f aca="false">Sens!$E$5896+(glt_azo-Sens!$E$5896)*MIN(1,(Sens!I5853-base_fy)/n_conv)</f>
        <v>0.134074627679955</v>
      </c>
      <c r="J5896" s="7" t="n">
        <f aca="false">Sens!$E$5896+(glt_azo-Sens!$E$5896)*MIN(1,(Sens!J5853-base_fy)/n_conv)</f>
        <v>0.107037313839977</v>
      </c>
      <c r="K5896" s="7" t="n">
        <f aca="false">Sens!$E$5896+(glt_azo-Sens!$E$5896)*MIN(1,(Sens!K5853-base_fy)/n_conv)</f>
        <v>0.08</v>
      </c>
    </row>
    <row r="5897" customFormat="false" ht="15" hidden="false" customHeight="false" outlineLevel="0" collapsed="false">
      <c r="A5897" s="0" t="s">
        <v>1025</v>
      </c>
      <c r="B5897" s="0" t="s">
        <v>98</v>
      </c>
      <c r="D5897" s="6" t="n">
        <f aca="false">Sens!D5894+Sens!D5895</f>
        <v>72.61</v>
      </c>
      <c r="E5897" s="6" t="n">
        <f aca="false">Sens!E5894+Sens!E5895</f>
        <v>101.938</v>
      </c>
      <c r="F5897" s="6" t="n">
        <f aca="false">Sens!F5894+Sens!F5895</f>
        <v>142.602238662006</v>
      </c>
      <c r="G5897" s="6" t="n">
        <f aca="false">Sens!G5894+Sens!G5895</f>
        <v>184.878757624786</v>
      </c>
      <c r="H5897" s="6" t="n">
        <f aca="false">Sens!H5894+Sens!H5895</f>
        <v>222.640749314387</v>
      </c>
      <c r="I5897" s="6" t="n">
        <f aca="false">Sens!I5894+Sens!I5895</f>
        <v>263.515417768984</v>
      </c>
      <c r="J5897" s="6" t="n">
        <f aca="false">Sens!J5894+Sens!J5895</f>
        <v>295.452386395056</v>
      </c>
      <c r="K5897" s="6" t="n">
        <f aca="false">Sens!K5894+Sens!K5895</f>
        <v>318.289696508122</v>
      </c>
    </row>
    <row r="5898" customFormat="false" ht="17.15" hidden="false" customHeight="false" outlineLevel="0" collapsed="false">
      <c r="A5898" s="0" t="s">
        <v>1026</v>
      </c>
      <c r="B5898" s="1" t="s">
        <v>610</v>
      </c>
      <c r="C5898" s="30" t="n">
        <f aca="false">cop_s24</f>
        <v>1</v>
      </c>
      <c r="D5898" s="30" t="n">
        <f aca="false">cop_s25</f>
        <v>5</v>
      </c>
      <c r="E5898" s="30" t="n">
        <f aca="false">cop_s26</f>
        <v>30</v>
      </c>
      <c r="F5898" s="30" t="n">
        <f aca="false">Sens!E5898+cop_add_C</f>
        <v>40</v>
      </c>
      <c r="G5898" s="30" t="n">
        <f aca="false">Sens!F5898+cop_add_C</f>
        <v>50</v>
      </c>
      <c r="H5898" s="30" t="n">
        <f aca="false">Sens!G5898+cop_add_C</f>
        <v>60</v>
      </c>
      <c r="I5898" s="30" t="n">
        <f aca="false">Sens!H5898+cop_add_C*cop_tail</f>
        <v>65</v>
      </c>
      <c r="J5898" s="30" t="n">
        <f aca="false">Sens!I5898+cop_add_C*cop_tail</f>
        <v>70</v>
      </c>
      <c r="K5898" s="30" t="n">
        <f aca="false">Sens!J5898+cop_add_C*cop_tail</f>
        <v>75</v>
      </c>
      <c r="L5898" s="12" t="s">
        <v>1027</v>
      </c>
    </row>
    <row r="5899" customFormat="false" ht="17.15" hidden="false" customHeight="false" outlineLevel="0" collapsed="false">
      <c r="A5899" s="0" t="s">
        <v>1028</v>
      </c>
      <c r="B5899" s="0" t="s">
        <v>98</v>
      </c>
      <c r="D5899" s="6" t="n">
        <f aca="false">(Sens!C5898+Sens!D5898)/2*cop_px*12/1000</f>
        <v>0.9</v>
      </c>
      <c r="E5899" s="6" t="n">
        <f aca="false">(Sens!D5898+Sens!E5898)/2*cop_px*12/1000</f>
        <v>5.25</v>
      </c>
      <c r="F5899" s="6" t="n">
        <f aca="false">(Sens!E5898+Sens!F5898)/2*cop_px*12/1000</f>
        <v>10.5</v>
      </c>
      <c r="G5899" s="6" t="n">
        <f aca="false">(Sens!F5898+Sens!G5898)/2*cop_px*12/1000</f>
        <v>13.5</v>
      </c>
      <c r="H5899" s="6" t="n">
        <f aca="false">(Sens!G5898+Sens!H5898)/2*cop_px*12/1000</f>
        <v>16.5</v>
      </c>
      <c r="I5899" s="6" t="n">
        <f aca="false">(Sens!H5898+Sens!I5898)/2*cop_px*12/1000</f>
        <v>18.75</v>
      </c>
      <c r="J5899" s="6" t="n">
        <f aca="false">(Sens!I5898+Sens!J5898)/2*cop_px*12/1000</f>
        <v>20.25</v>
      </c>
      <c r="K5899" s="6" t="n">
        <f aca="false">(Sens!J5898+Sens!K5898)/2*cop_px*12/1000</f>
        <v>21.75</v>
      </c>
      <c r="L5899" s="1" t="s">
        <v>1029</v>
      </c>
    </row>
    <row r="5900" customFormat="false" ht="17.15" hidden="false" customHeight="false" outlineLevel="0" collapsed="false">
      <c r="A5900" s="0" t="s">
        <v>1030</v>
      </c>
      <c r="B5900" s="0" t="s">
        <v>98</v>
      </c>
      <c r="D5900" s="6" t="n">
        <f aca="false">Q!L7-Sens!D5899</f>
        <v>83.705</v>
      </c>
      <c r="E5900" s="6" t="n">
        <f aca="false">Q!M7-Sens!E5899</f>
        <v>95.049</v>
      </c>
      <c r="F5900" s="6" t="n">
        <f aca="false">Q!$I$7+(Sens!E5900*(1+Sens!F5901)+Sens!F5899)*(1-Q!$E$7/Q!M7)-Sens!F5899</f>
        <v>106.938354189776</v>
      </c>
      <c r="G5900" s="6" t="n">
        <f aca="false">Sens!F5900*(1+Sens!G5901)</f>
        <v>119.095360443801</v>
      </c>
      <c r="H5900" s="6" t="n">
        <f aca="false">Sens!G5900*(1+Sens!H5901)</f>
        <v>131.333811964563</v>
      </c>
      <c r="I5900" s="6" t="n">
        <f aca="false">Sens!H5900*(1+Sens!I5901)</f>
        <v>143.395665319381</v>
      </c>
      <c r="J5900" s="6" t="n">
        <f aca="false">Sens!I5900*(1+Sens!J5901)</f>
        <v>154.999327755573</v>
      </c>
      <c r="K5900" s="6" t="n">
        <f aca="false">Sens!J5900*(1+Sens!K5901)</f>
        <v>165.849280698463</v>
      </c>
      <c r="L5900" s="12" t="s">
        <v>1031</v>
      </c>
    </row>
    <row r="5901" customFormat="false" ht="15" hidden="false" customHeight="false" outlineLevel="0" collapsed="false">
      <c r="A5901" s="1" t="s">
        <v>1024</v>
      </c>
      <c r="B5901" s="0" t="s">
        <v>168</v>
      </c>
      <c r="E5901" s="7" t="n">
        <f aca="false">Sens!E5900/Sens!D5900-1</f>
        <v>0.135523564900544</v>
      </c>
      <c r="F5901" s="7" t="n">
        <f aca="false">Sens!$E$5901+(glt_m365b-Sens!$E$5901)*MIN(1,(Sens!F5853-base_fy)/n_conv)</f>
        <v>0.124602970750453</v>
      </c>
      <c r="G5901" s="7" t="n">
        <f aca="false">Sens!$E$5901+(glt_m365b-Sens!$E$5901)*MIN(1,(Sens!G5853-base_fy)/n_conv)</f>
        <v>0.113682376600363</v>
      </c>
      <c r="H5901" s="7" t="n">
        <f aca="false">Sens!$E$5901+(glt_m365b-Sens!$E$5901)*MIN(1,(Sens!H5853-base_fy)/n_conv)</f>
        <v>0.102761782450272</v>
      </c>
      <c r="I5901" s="7" t="n">
        <f aca="false">Sens!$E$5901+(glt_m365b-Sens!$E$5901)*MIN(1,(Sens!I5853-base_fy)/n_conv)</f>
        <v>0.0918411883001813</v>
      </c>
      <c r="J5901" s="7" t="n">
        <f aca="false">Sens!$E$5901+(glt_m365b-Sens!$E$5901)*MIN(1,(Sens!J5853-base_fy)/n_conv)</f>
        <v>0.0809205941500906</v>
      </c>
      <c r="K5901" s="7" t="n">
        <f aca="false">Sens!$E$5901+(glt_m365b-Sens!$E$5901)*MIN(1,(Sens!K5853-base_fy)/n_conv)</f>
        <v>0.07</v>
      </c>
    </row>
    <row r="5902" customFormat="false" ht="15" hidden="false" customHeight="false" outlineLevel="0" collapsed="false">
      <c r="A5902" s="0" t="s">
        <v>1032</v>
      </c>
      <c r="B5902" s="0" t="s">
        <v>98</v>
      </c>
      <c r="D5902" s="6" t="n">
        <f aca="false">Sens!D5900+Sens!D5899</f>
        <v>84.605</v>
      </c>
      <c r="E5902" s="6" t="n">
        <f aca="false">Sens!E5900+Sens!E5899</f>
        <v>100.299</v>
      </c>
      <c r="F5902" s="6" t="n">
        <f aca="false">Sens!F5900+Sens!F5899</f>
        <v>117.438354189776</v>
      </c>
      <c r="G5902" s="6" t="n">
        <f aca="false">Sens!G5900+Sens!G5899</f>
        <v>132.595360443801</v>
      </c>
      <c r="H5902" s="6" t="n">
        <f aca="false">Sens!H5900+Sens!H5899</f>
        <v>147.833811964563</v>
      </c>
      <c r="I5902" s="6" t="n">
        <f aca="false">Sens!I5900+Sens!I5899</f>
        <v>162.145665319381</v>
      </c>
      <c r="J5902" s="6" t="n">
        <f aca="false">Sens!J5900+Sens!J5899</f>
        <v>175.249327755573</v>
      </c>
      <c r="K5902" s="6" t="n">
        <f aca="false">Sens!K5900+Sens!K5899</f>
        <v>187.599280698463</v>
      </c>
    </row>
    <row r="5903" customFormat="false" ht="17.15" hidden="false" customHeight="false" outlineLevel="0" collapsed="false">
      <c r="A5903" s="0" t="s">
        <v>1033</v>
      </c>
      <c r="B5903" s="0" t="s">
        <v>98</v>
      </c>
      <c r="D5903" s="6" t="n">
        <f aca="false">Q!L8</f>
        <v>35.391</v>
      </c>
      <c r="E5903" s="6" t="n">
        <f aca="false">Q!M8</f>
        <v>37.285</v>
      </c>
      <c r="F5903" s="6" t="n">
        <f aca="false">Q!$I$8+(Q!M8-Q!$E$8)*(1+Sens!F5904)</f>
        <v>38.3851437782675</v>
      </c>
      <c r="G5903" s="6" t="n">
        <f aca="false">Sens!F5903*(1+Sens!G5904)</f>
        <v>40.0105353288615</v>
      </c>
      <c r="H5903" s="6" t="n">
        <f aca="false">Sens!G5903*(1+Sens!H5904)</f>
        <v>41.4812512033683</v>
      </c>
      <c r="I5903" s="6" t="n">
        <f aca="false">Sens!H5903*(1+Sens!I5904)</f>
        <v>42.7743107216329</v>
      </c>
      <c r="J5903" s="6" t="n">
        <f aca="false">Sens!I5903*(1+Sens!J5904)</f>
        <v>43.8687373064601</v>
      </c>
      <c r="K5903" s="6" t="n">
        <f aca="false">Sens!J5903*(1+Sens!K5904)</f>
        <v>44.7461120525893</v>
      </c>
      <c r="L5903" s="12" t="s">
        <v>1034</v>
      </c>
    </row>
    <row r="5904" customFormat="false" ht="15" hidden="false" customHeight="false" outlineLevel="0" collapsed="false">
      <c r="A5904" s="1" t="s">
        <v>1024</v>
      </c>
      <c r="B5904" s="0" t="s">
        <v>168</v>
      </c>
      <c r="E5904" s="7" t="n">
        <f aca="false">Sens!E5903/Sens!D5903-1</f>
        <v>0.0535164307309768</v>
      </c>
      <c r="F5904" s="7" t="n">
        <f aca="false">Sens!$E$5904+(glt_lic-Sens!$E$5904)*MIN(1,(Sens!F5853-base_fy)/n_conv)</f>
        <v>0.0479303589424807</v>
      </c>
      <c r="G5904" s="7" t="n">
        <f aca="false">Sens!$E$5904+(glt_lic-Sens!$E$5904)*MIN(1,(Sens!G5853-base_fy)/n_conv)</f>
        <v>0.0423442871539845</v>
      </c>
      <c r="H5904" s="7" t="n">
        <f aca="false">Sens!$E$5904+(glt_lic-Sens!$E$5904)*MIN(1,(Sens!H5853-base_fy)/n_conv)</f>
        <v>0.0367582153654884</v>
      </c>
      <c r="I5904" s="7" t="n">
        <f aca="false">Sens!$E$5904+(glt_lic-Sens!$E$5904)*MIN(1,(Sens!I5853-base_fy)/n_conv)</f>
        <v>0.0311721435769923</v>
      </c>
      <c r="J5904" s="7" t="n">
        <f aca="false">Sens!$E$5904+(glt_lic-Sens!$E$5904)*MIN(1,(Sens!J5853-base_fy)/n_conv)</f>
        <v>0.0255860717884961</v>
      </c>
      <c r="K5904" s="7" t="n">
        <f aca="false">Sens!$E$5904+(glt_lic-Sens!$E$5904)*MIN(1,(Sens!K5853-base_fy)/n_conv)</f>
        <v>0.02</v>
      </c>
    </row>
    <row r="5905" customFormat="false" ht="17.15" hidden="false" customHeight="false" outlineLevel="0" collapsed="false">
      <c r="A5905" s="0" t="s">
        <v>1035</v>
      </c>
      <c r="B5905" s="0" t="s">
        <v>98</v>
      </c>
      <c r="D5905" s="6" t="n">
        <f aca="false">Q!L9</f>
        <v>18.417</v>
      </c>
      <c r="E5905" s="6" t="n">
        <f aca="false">Q!M9</f>
        <v>20.345</v>
      </c>
      <c r="F5905" s="6" t="n">
        <f aca="false">Q!$I$9+(Q!M9-Q!$E$9)*(1+Sens!F5906)</f>
        <v>22.3161797133988</v>
      </c>
      <c r="G5905" s="6" t="n">
        <f aca="false">Sens!F5905*(1+Sens!G5906)</f>
        <v>24.3943499673233</v>
      </c>
      <c r="H5905" s="6" t="n">
        <f aca="false">Sens!G5905*(1+Sens!H5906)</f>
        <v>26.5250243109019</v>
      </c>
      <c r="I5905" s="6" t="n">
        <f aca="false">Sens!H5905*(1+Sens!I5906)</f>
        <v>28.6884573538181</v>
      </c>
      <c r="J5905" s="6" t="n">
        <f aca="false">Sens!I5905*(1+Sens!J5906)</f>
        <v>30.8624968052127</v>
      </c>
      <c r="K5905" s="6" t="n">
        <f aca="false">Sens!J5905*(1+Sens!K5906)</f>
        <v>33.0228715815776</v>
      </c>
      <c r="L5905" s="12" t="s">
        <v>1034</v>
      </c>
    </row>
    <row r="5906" customFormat="false" ht="15" hidden="false" customHeight="false" outlineLevel="0" collapsed="false">
      <c r="A5906" s="1" t="s">
        <v>1024</v>
      </c>
      <c r="B5906" s="0" t="s">
        <v>168</v>
      </c>
      <c r="E5906" s="7" t="n">
        <f aca="false">Sens!E5905/Sens!D5905-1</f>
        <v>0.104685888038225</v>
      </c>
      <c r="F5906" s="7" t="n">
        <f aca="false">Sens!$E$5906+(glt_ind-Sens!$E$5906)*MIN(1,(Sens!F5853-base_fy)/n_conv)</f>
        <v>0.0989049066985211</v>
      </c>
      <c r="G5906" s="7" t="n">
        <f aca="false">Sens!$E$5906+(glt_ind-Sens!$E$5906)*MIN(1,(Sens!G5853-base_fy)/n_conv)</f>
        <v>0.0931239253588169</v>
      </c>
      <c r="H5906" s="7" t="n">
        <f aca="false">Sens!$E$5906+(glt_ind-Sens!$E$5906)*MIN(1,(Sens!H5853-base_fy)/n_conv)</f>
        <v>0.0873429440191127</v>
      </c>
      <c r="I5906" s="7" t="n">
        <f aca="false">Sens!$E$5906+(glt_ind-Sens!$E$5906)*MIN(1,(Sens!I5853-base_fy)/n_conv)</f>
        <v>0.0815619626794085</v>
      </c>
      <c r="J5906" s="7" t="n">
        <f aca="false">Sens!$E$5906+(glt_ind-Sens!$E$5906)*MIN(1,(Sens!J5853-base_fy)/n_conv)</f>
        <v>0.0757809813397042</v>
      </c>
      <c r="K5906" s="7" t="n">
        <f aca="false">Sens!$E$5906+(glt_ind-Sens!$E$5906)*MIN(1,(Sens!K5853-base_fy)/n_conv)</f>
        <v>0.07</v>
      </c>
    </row>
    <row r="5907" customFormat="false" ht="17.15" hidden="false" customHeight="false" outlineLevel="0" collapsed="false">
      <c r="A5907" s="0" t="s">
        <v>1036</v>
      </c>
      <c r="B5907" s="0" t="s">
        <v>98</v>
      </c>
      <c r="D5907" s="6" t="n">
        <f aca="false">Q!L10</f>
        <v>7.76</v>
      </c>
      <c r="E5907" s="6" t="n">
        <f aca="false">Q!M10</f>
        <v>8.26</v>
      </c>
      <c r="F5907" s="6" t="n">
        <f aca="false">Q!$I$10+(Q!M10-Q!$E$10)*(1+Sens!F5908)</f>
        <v>8.75372082474227</v>
      </c>
      <c r="G5907" s="6" t="n">
        <f aca="false">Sens!F5907*(1+Sens!G5908)</f>
        <v>9.33399324642364</v>
      </c>
      <c r="H5907" s="6" t="n">
        <f aca="false">Sens!G5907*(1+Sens!H5908)</f>
        <v>9.96139155535851</v>
      </c>
      <c r="I5907" s="6" t="n">
        <f aca="false">Sens!H5907*(1+Sens!I5908)</f>
        <v>10.6402039077391</v>
      </c>
      <c r="J5907" s="6" t="n">
        <f aca="false">Sens!I5907*(1+Sens!J5908)</f>
        <v>11.3751458271397</v>
      </c>
      <c r="K5907" s="6" t="n">
        <f aca="false">Sens!J5907*(1+Sens!K5908)</f>
        <v>12.1714060350394</v>
      </c>
      <c r="L5907" s="12" t="s">
        <v>1034</v>
      </c>
    </row>
    <row r="5908" customFormat="false" ht="15" hidden="false" customHeight="false" outlineLevel="0" collapsed="false">
      <c r="A5908" s="1" t="s">
        <v>1024</v>
      </c>
      <c r="B5908" s="0" t="s">
        <v>168</v>
      </c>
      <c r="E5908" s="7" t="n">
        <f aca="false">Sens!E5907/Sens!D5907-1</f>
        <v>0.0644329896907216</v>
      </c>
      <c r="F5908" s="7" t="n">
        <f aca="false">Sens!$E$5908+(glt_fro-Sens!$E$5908)*MIN(1,(Sens!F5853-base_fy)/n_conv)</f>
        <v>0.065360824742268</v>
      </c>
      <c r="G5908" s="7" t="n">
        <f aca="false">Sens!$E$5908+(glt_fro-Sens!$E$5908)*MIN(1,(Sens!G5853-base_fy)/n_conv)</f>
        <v>0.0662886597938144</v>
      </c>
      <c r="H5908" s="7" t="n">
        <f aca="false">Sens!$E$5908+(glt_fro-Sens!$E$5908)*MIN(1,(Sens!H5853-base_fy)/n_conv)</f>
        <v>0.0672164948453608</v>
      </c>
      <c r="I5908" s="7" t="n">
        <f aca="false">Sens!$E$5908+(glt_fro-Sens!$E$5908)*MIN(1,(Sens!I5853-base_fy)/n_conv)</f>
        <v>0.0681443298969072</v>
      </c>
      <c r="J5908" s="7" t="n">
        <f aca="false">Sens!$E$5908+(glt_fro-Sens!$E$5908)*MIN(1,(Sens!J5853-base_fy)/n_conv)</f>
        <v>0.0690721649484536</v>
      </c>
      <c r="K5908" s="7" t="n">
        <f aca="false">Sens!$E$5908+(glt_fro-Sens!$E$5908)*MIN(1,(Sens!K5853-base_fy)/n_conv)</f>
        <v>0.07</v>
      </c>
    </row>
    <row r="5909" customFormat="false" ht="15" hidden="false" customHeight="false" outlineLevel="0" collapsed="false">
      <c r="A5909" s="0" t="s">
        <v>852</v>
      </c>
      <c r="B5909" s="0" t="s">
        <v>98</v>
      </c>
      <c r="D5909" s="6" t="n">
        <f aca="false">Sens!D5897+Sens!D5902+Sens!D5903+Sens!D5905+Sens!D5907</f>
        <v>218.783</v>
      </c>
      <c r="E5909" s="6" t="n">
        <f aca="false">Sens!E5897+Sens!E5902+Sens!E5903+Sens!E5905+Sens!E5907</f>
        <v>268.127</v>
      </c>
      <c r="F5909" s="6" t="n">
        <f aca="false">Sens!F5897+Sens!F5902+Sens!F5903+Sens!F5905+Sens!F5907</f>
        <v>329.49563716819</v>
      </c>
      <c r="G5909" s="6" t="n">
        <f aca="false">Sens!G5897+Sens!G5902+Sens!G5903+Sens!G5905+Sens!G5907</f>
        <v>391.212996611195</v>
      </c>
      <c r="H5909" s="6" t="n">
        <f aca="false">Sens!H5897+Sens!H5902+Sens!H5903+Sens!H5905+Sens!H5907</f>
        <v>448.442228348579</v>
      </c>
      <c r="I5909" s="6" t="n">
        <f aca="false">Sens!I5897+Sens!I5902+Sens!I5903+Sens!I5905+Sens!I5907</f>
        <v>507.764055071555</v>
      </c>
      <c r="J5909" s="6" t="n">
        <f aca="false">Sens!J5897+Sens!J5902+Sens!J5903+Sens!J5905+Sens!J5907</f>
        <v>556.808094089442</v>
      </c>
      <c r="K5909" s="6" t="n">
        <f aca="false">Sens!K5897+Sens!K5902+Sens!K5903+Sens!K5905+Sens!K5907</f>
        <v>595.829366875791</v>
      </c>
    </row>
    <row r="5910" customFormat="false" ht="17.15" hidden="false" customHeight="false" outlineLevel="0" collapsed="false">
      <c r="A5910" s="0" t="s">
        <v>1037</v>
      </c>
      <c r="B5910" s="0" t="s">
        <v>98</v>
      </c>
      <c r="D5910" s="6" t="n">
        <f aca="false">Q!L13</f>
        <v>22.171</v>
      </c>
      <c r="E5910" s="6" t="n">
        <f aca="false">Q!M13</f>
        <v>24.835</v>
      </c>
      <c r="F5910" s="6" t="n">
        <f aca="false">Q!$I$13+(Q!M13-Q!$E$13)*(1+Sens!F5911)</f>
        <v>27.5591895660247</v>
      </c>
      <c r="G5910" s="6" t="n">
        <f aca="false">Sens!F5910*(1+Sens!G5911)</f>
        <v>30.4098563144583</v>
      </c>
      <c r="H5910" s="6" t="n">
        <f aca="false">Sens!G5910*(1+Sens!H5911)</f>
        <v>33.3011792571777</v>
      </c>
      <c r="I5910" s="6" t="n">
        <f aca="false">Sens!H5910*(1+Sens!I5911)</f>
        <v>36.189023797112</v>
      </c>
      <c r="J5910" s="6" t="n">
        <f aca="false">Sens!I5910*(1+Sens!J5911)</f>
        <v>39.0247773769199</v>
      </c>
      <c r="K5910" s="6" t="n">
        <f aca="false">Sens!J5910*(1+Sens!K5911)</f>
        <v>41.7565117933043</v>
      </c>
      <c r="L5910" s="12" t="s">
        <v>1034</v>
      </c>
    </row>
    <row r="5911" customFormat="false" ht="15" hidden="false" customHeight="false" outlineLevel="0" collapsed="false">
      <c r="A5911" s="1" t="s">
        <v>1024</v>
      </c>
      <c r="B5911" s="0" t="s">
        <v>168</v>
      </c>
      <c r="E5911" s="7" t="n">
        <f aca="false">Sens!E5910/Sens!D5910-1</f>
        <v>0.120156961796942</v>
      </c>
      <c r="F5911" s="7" t="n">
        <f aca="false">Sens!$E$5911+(glt_srch-Sens!$E$5911)*MIN(1,(Sens!F5853-base_fy)/n_conv)</f>
        <v>0.111797468164118</v>
      </c>
      <c r="G5911" s="7" t="n">
        <f aca="false">Sens!$E$5911+(glt_srch-Sens!$E$5911)*MIN(1,(Sens!G5853-base_fy)/n_conv)</f>
        <v>0.103437974531295</v>
      </c>
      <c r="H5911" s="7" t="n">
        <f aca="false">Sens!$E$5911+(glt_srch-Sens!$E$5911)*MIN(1,(Sens!H5853-base_fy)/n_conv)</f>
        <v>0.095078480898471</v>
      </c>
      <c r="I5911" s="7" t="n">
        <f aca="false">Sens!$E$5911+(glt_srch-Sens!$E$5911)*MIN(1,(Sens!I5853-base_fy)/n_conv)</f>
        <v>0.0867189872656474</v>
      </c>
      <c r="J5911" s="7" t="n">
        <f aca="false">Sens!$E$5911+(glt_srch-Sens!$E$5911)*MIN(1,(Sens!J5853-base_fy)/n_conv)</f>
        <v>0.0783594936328237</v>
      </c>
      <c r="K5911" s="7" t="n">
        <f aca="false">Sens!$E$5911+(glt_srch-Sens!$E$5911)*MIN(1,(Sens!K5853-base_fy)/n_conv)</f>
        <v>0.07</v>
      </c>
    </row>
    <row r="5912" customFormat="false" ht="17.15" hidden="false" customHeight="false" outlineLevel="0" collapsed="false">
      <c r="A5912" s="0" t="s">
        <v>1038</v>
      </c>
      <c r="B5912" s="0" t="s">
        <v>98</v>
      </c>
      <c r="D5912" s="6" t="n">
        <f aca="false">Q!L14</f>
        <v>23.455</v>
      </c>
      <c r="E5912" s="6" t="n">
        <f aca="false">Q!M14</f>
        <v>21.79</v>
      </c>
      <c r="F5912" s="6" t="n">
        <f aca="false">Q!$I$14+(Q!M14-Q!$E$14)*(1+Sens!F5913)</f>
        <v>20.7520981041711</v>
      </c>
      <c r="G5912" s="6" t="n">
        <f aca="false">Sens!F5912*(1+Sens!G5913)</f>
        <v>19.9083593495882</v>
      </c>
      <c r="H5912" s="6" t="n">
        <f aca="false">Sens!G5912*(1+Sens!H5913)</f>
        <v>19.4008256265831</v>
      </c>
      <c r="I5912" s="6" t="n">
        <f aca="false">Sens!H5912*(1+Sens!I5913)</f>
        <v>19.200434522122</v>
      </c>
      <c r="J5912" s="6" t="n">
        <f aca="false">Sens!I5912*(1+Sens!J5913)</f>
        <v>19.2932782348507</v>
      </c>
      <c r="K5912" s="6" t="n">
        <f aca="false">Sens!J5912*(1+Sens!K5913)</f>
        <v>19.6791437995477</v>
      </c>
      <c r="L5912" s="12" t="s">
        <v>1034</v>
      </c>
    </row>
    <row r="5913" customFormat="false" ht="15" hidden="false" customHeight="false" outlineLevel="0" collapsed="false">
      <c r="A5913" s="1" t="s">
        <v>1024</v>
      </c>
      <c r="B5913" s="0" t="s">
        <v>168</v>
      </c>
      <c r="E5913" s="7" t="n">
        <f aca="false">Sens!E5912/Sens!D5912-1</f>
        <v>-0.0709869963760392</v>
      </c>
      <c r="F5913" s="7" t="n">
        <f aca="false">Sens!$E$5913+(glt_xbox-Sens!$E$5913)*MIN(1,(Sens!F5853-base_fy)/n_conv)</f>
        <v>-0.0558224969800327</v>
      </c>
      <c r="G5913" s="7" t="n">
        <f aca="false">Sens!$E$5913+(glt_xbox-Sens!$E$5913)*MIN(1,(Sens!G5853-base_fy)/n_conv)</f>
        <v>-0.0406579975840262</v>
      </c>
      <c r="H5913" s="7" t="n">
        <f aca="false">Sens!$E$5913+(glt_xbox-Sens!$E$5913)*MIN(1,(Sens!H5853-base_fy)/n_conv)</f>
        <v>-0.0254934981880196</v>
      </c>
      <c r="I5913" s="7" t="n">
        <f aca="false">Sens!$E$5913+(glt_xbox-Sens!$E$5913)*MIN(1,(Sens!I5853-base_fy)/n_conv)</f>
        <v>-0.0103289987920131</v>
      </c>
      <c r="J5913" s="7" t="n">
        <f aca="false">Sens!$E$5913+(glt_xbox-Sens!$E$5913)*MIN(1,(Sens!J5853-base_fy)/n_conv)</f>
        <v>0.00483550060399347</v>
      </c>
      <c r="K5913" s="7" t="n">
        <f aca="false">Sens!$E$5913+(glt_xbox-Sens!$E$5913)*MIN(1,(Sens!K5853-base_fy)/n_conv)</f>
        <v>0.02</v>
      </c>
    </row>
    <row r="5914" customFormat="false" ht="17.15" hidden="false" customHeight="false" outlineLevel="0" collapsed="false">
      <c r="A5914" s="0" t="s">
        <v>1039</v>
      </c>
      <c r="B5914" s="0" t="s">
        <v>98</v>
      </c>
      <c r="D5914" s="6" t="n">
        <f aca="false">Q!L15</f>
        <v>17.315</v>
      </c>
      <c r="E5914" s="6" t="n">
        <f aca="false">Q!M15</f>
        <v>17.087</v>
      </c>
      <c r="F5914" s="6" t="n">
        <f aca="false">Q!$I$15+(Q!M15-Q!$E$15)*(1+Sens!F5915)</f>
        <v>15.9912273250553</v>
      </c>
      <c r="G5914" s="6" t="n">
        <f aca="false">Sens!F5914*(1+Sens!G5915)</f>
        <v>15.9574562664827</v>
      </c>
      <c r="H5914" s="6" t="n">
        <f aca="false">Sens!G5914*(1+Sens!H5915)</f>
        <v>16.0119687434196</v>
      </c>
      <c r="I5914" s="6" t="n">
        <f aca="false">Sens!H5914*(1+Sens!I5915)</f>
        <v>16.1551810001948</v>
      </c>
      <c r="J5914" s="6" t="n">
        <f aca="false">Sens!I5914*(1+Sens!J5915)</f>
        <v>16.3889793892005</v>
      </c>
      <c r="K5914" s="6" t="n">
        <f aca="false">Sens!J5914*(1+Sens!K5915)</f>
        <v>16.7167589769845</v>
      </c>
      <c r="L5914" s="12" t="s">
        <v>1034</v>
      </c>
    </row>
    <row r="5915" customFormat="false" ht="15" hidden="false" customHeight="false" outlineLevel="0" collapsed="false">
      <c r="A5915" s="1" t="s">
        <v>1024</v>
      </c>
      <c r="B5915" s="0" t="s">
        <v>168</v>
      </c>
      <c r="E5915" s="7" t="n">
        <f aca="false">Sens!E5914/Sens!D5914-1</f>
        <v>-0.0131677736066995</v>
      </c>
      <c r="F5915" s="7" t="n">
        <f aca="false">Sens!$E$5915+(glt_win-Sens!$E$5915)*MIN(1,(Sens!F5853-base_fy)/n_conv)</f>
        <v>-0.00763981133891627</v>
      </c>
      <c r="G5915" s="7" t="n">
        <f aca="false">Sens!$E$5915+(glt_win-Sens!$E$5915)*MIN(1,(Sens!G5853-base_fy)/n_conv)</f>
        <v>-0.00211184907113301</v>
      </c>
      <c r="H5915" s="7" t="n">
        <f aca="false">Sens!$E$5915+(glt_win-Sens!$E$5915)*MIN(1,(Sens!H5853-base_fy)/n_conv)</f>
        <v>0.00341611319665024</v>
      </c>
      <c r="I5915" s="7" t="n">
        <f aca="false">Sens!$E$5915+(glt_win-Sens!$E$5915)*MIN(1,(Sens!I5853-base_fy)/n_conv)</f>
        <v>0.00894407546443349</v>
      </c>
      <c r="J5915" s="7" t="n">
        <f aca="false">Sens!$E$5915+(glt_win-Sens!$E$5915)*MIN(1,(Sens!J5853-base_fy)/n_conv)</f>
        <v>0.0144720377322168</v>
      </c>
      <c r="K5915" s="7" t="n">
        <f aca="false">Sens!$E$5915+(glt_win-Sens!$E$5915)*MIN(1,(Sens!K5853-base_fy)/n_conv)</f>
        <v>0.02</v>
      </c>
    </row>
    <row r="5916" customFormat="false" ht="15" hidden="false" customHeight="false" outlineLevel="0" collapsed="false">
      <c r="A5916" s="0" t="s">
        <v>866</v>
      </c>
      <c r="B5916" s="0" t="s">
        <v>98</v>
      </c>
      <c r="D5916" s="6" t="n">
        <f aca="false">Sens!D5910+Sens!D5912+Sens!D5914</f>
        <v>62.941</v>
      </c>
      <c r="E5916" s="6" t="n">
        <f aca="false">Sens!E5910+Sens!E5912+Sens!E5914</f>
        <v>63.712</v>
      </c>
      <c r="F5916" s="6" t="n">
        <f aca="false">Sens!F5910+Sens!F5912+Sens!F5914</f>
        <v>64.3025149952511</v>
      </c>
      <c r="G5916" s="6" t="n">
        <f aca="false">Sens!G5910+Sens!G5912+Sens!G5914</f>
        <v>66.2756719305292</v>
      </c>
      <c r="H5916" s="6" t="n">
        <f aca="false">Sens!H5910+Sens!H5912+Sens!H5914</f>
        <v>68.7139736271804</v>
      </c>
      <c r="I5916" s="6" t="n">
        <f aca="false">Sens!I5910+Sens!I5912+Sens!I5914</f>
        <v>71.5446393194289</v>
      </c>
      <c r="J5916" s="6" t="n">
        <f aca="false">Sens!J5910+Sens!J5912+Sens!J5914</f>
        <v>74.707035000971</v>
      </c>
      <c r="K5916" s="6" t="n">
        <f aca="false">Sens!K5910+Sens!K5912+Sens!K5914</f>
        <v>78.1524145698365</v>
      </c>
    </row>
    <row r="5917" customFormat="false" ht="15" hidden="false" customHeight="false" outlineLevel="0" collapsed="false">
      <c r="A5917" s="1" t="s">
        <v>1040</v>
      </c>
      <c r="B5917" s="0" t="s">
        <v>98</v>
      </c>
      <c r="D5917" s="6" t="n">
        <f aca="false">Sens!D5909+Sens!D5916</f>
        <v>281.724</v>
      </c>
      <c r="E5917" s="6" t="n">
        <f aca="false">Sens!E5909+Sens!E5916</f>
        <v>331.839</v>
      </c>
      <c r="F5917" s="6" t="n">
        <f aca="false">Sens!F5909+Sens!F5916</f>
        <v>393.798152163441</v>
      </c>
      <c r="G5917" s="6" t="n">
        <f aca="false">Sens!G5909+Sens!G5916</f>
        <v>457.488668541724</v>
      </c>
      <c r="H5917" s="6" t="n">
        <f aca="false">Sens!H5909+Sens!H5916</f>
        <v>517.15620197576</v>
      </c>
      <c r="I5917" s="6" t="n">
        <f aca="false">Sens!I5909+Sens!I5916</f>
        <v>579.308694390984</v>
      </c>
      <c r="J5917" s="6" t="n">
        <f aca="false">Sens!J5909+Sens!J5916</f>
        <v>631.515129090413</v>
      </c>
      <c r="K5917" s="6" t="n">
        <f aca="false">Sens!K5909+Sens!K5916</f>
        <v>673.981781445628</v>
      </c>
    </row>
    <row r="5918" customFormat="false" ht="15" hidden="false" customHeight="false" outlineLevel="0" collapsed="false">
      <c r="A5918" s="26" t="s">
        <v>1041</v>
      </c>
      <c r="B5918" s="31" t="s">
        <v>98</v>
      </c>
      <c r="C5918" s="31"/>
      <c r="D5918" s="27" t="n">
        <f aca="false">(Sens!D5897+Sens!D5902+Sens!D5903+Sens!D5905+Sens!D5907-Sens!D5909)+(Sens!D5910+Sens!D5912+Sens!D5914-Sens!D5916)+(Sens!D5909-Q!L5)+(Sens!D5916-Q!L12)+(Sens!D5897-Q!L6)+(Sens!D5902-Q!L7)</f>
        <v>0</v>
      </c>
      <c r="E5918" s="27" t="n">
        <f aca="false">(Sens!E5897+Sens!E5902+Sens!E5903+Sens!E5905+Sens!E5907-Sens!E5909)+(Sens!E5910+Sens!E5912+Sens!E5914-Sens!E5916)+(Sens!E5909-Q!M5)+(Sens!E5916-Q!M12)+(Sens!E5897-Q!M6)+(Sens!E5902-Q!M7)</f>
        <v>0</v>
      </c>
      <c r="F5918" s="27" t="n">
        <f aca="false">(Sens!F5897+Sens!F5902+Sens!F5903+Sens!F5905+Sens!F5907-Sens!F5909)+(Sens!F5910+Sens!F5912+Sens!F5914-Sens!F5916)</f>
        <v>0</v>
      </c>
      <c r="G5918" s="27" t="n">
        <f aca="false">(Sens!G5897+Sens!G5902+Sens!G5903+Sens!G5905+Sens!G5907-Sens!G5909)+(Sens!G5910+Sens!G5912+Sens!G5914-Sens!G5916)</f>
        <v>0</v>
      </c>
      <c r="H5918" s="27" t="n">
        <f aca="false">(Sens!H5897+Sens!H5902+Sens!H5903+Sens!H5905+Sens!H5907-Sens!H5909)+(Sens!H5910+Sens!H5912+Sens!H5914-Sens!H5916)</f>
        <v>0</v>
      </c>
      <c r="I5918" s="27" t="n">
        <f aca="false">(Sens!I5897+Sens!I5902+Sens!I5903+Sens!I5905+Sens!I5907-Sens!I5909)+(Sens!I5910+Sens!I5912+Sens!I5914-Sens!I5916)</f>
        <v>0</v>
      </c>
      <c r="J5918" s="27" t="n">
        <f aca="false">(Sens!J5897+Sens!J5902+Sens!J5903+Sens!J5905+Sens!J5907-Sens!J5909)+(Sens!J5910+Sens!J5912+Sens!J5914-Sens!J5916)</f>
        <v>0</v>
      </c>
      <c r="K5918" s="27" t="n">
        <f aca="false">(Sens!K5897+Sens!K5902+Sens!K5903+Sens!K5905+Sens!K5907-Sens!K5909)+(Sens!K5910+Sens!K5912+Sens!K5914-Sens!K5916)</f>
        <v>0</v>
      </c>
    </row>
    <row r="5919" customFormat="false" ht="17.15" hidden="false" customHeight="false" outlineLevel="0" collapsed="false">
      <c r="A5919" s="3" t="s">
        <v>1627</v>
      </c>
    </row>
    <row r="5920" customFormat="false" ht="15" hidden="false" customHeight="false" outlineLevel="0" collapsed="false">
      <c r="A5920" s="4" t="s">
        <v>43</v>
      </c>
      <c r="B5920" s="4" t="s">
        <v>65</v>
      </c>
      <c r="C5920" s="23" t="s">
        <v>938</v>
      </c>
      <c r="D5920" s="23" t="s">
        <v>939</v>
      </c>
      <c r="E5920" s="23" t="s">
        <v>940</v>
      </c>
      <c r="F5920" s="23" t="s">
        <v>941</v>
      </c>
      <c r="G5920" s="23" t="s">
        <v>942</v>
      </c>
      <c r="H5920" s="23" t="s">
        <v>943</v>
      </c>
      <c r="I5920" s="23" t="s">
        <v>944</v>
      </c>
      <c r="J5920" s="23" t="s">
        <v>945</v>
      </c>
      <c r="K5920" s="23" t="s">
        <v>946</v>
      </c>
      <c r="L5920" s="4" t="s">
        <v>47</v>
      </c>
    </row>
    <row r="5921" customFormat="false" ht="15" hidden="false" customHeight="false" outlineLevel="0" collapsed="false">
      <c r="A5921" s="0" t="s">
        <v>1025</v>
      </c>
      <c r="B5921" s="0" t="s">
        <v>98</v>
      </c>
      <c r="D5921" s="6" t="n">
        <f aca="false">Sens!D5897</f>
        <v>72.61</v>
      </c>
      <c r="E5921" s="6" t="n">
        <f aca="false">Sens!E5897</f>
        <v>101.938</v>
      </c>
      <c r="F5921" s="6" t="n">
        <f aca="false">Sens!F5897</f>
        <v>142.602238662006</v>
      </c>
      <c r="G5921" s="6" t="n">
        <f aca="false">Sens!G5897</f>
        <v>184.878757624786</v>
      </c>
      <c r="H5921" s="6" t="n">
        <f aca="false">Sens!H5897</f>
        <v>222.640749314387</v>
      </c>
      <c r="I5921" s="6" t="n">
        <f aca="false">Sens!I5897</f>
        <v>263.515417768984</v>
      </c>
      <c r="J5921" s="6" t="n">
        <f aca="false">Sens!J5897</f>
        <v>295.452386395056</v>
      </c>
      <c r="K5921" s="6" t="n">
        <f aca="false">Sens!K5897</f>
        <v>318.289696508122</v>
      </c>
    </row>
    <row r="5922" customFormat="false" ht="17.15" hidden="false" customHeight="false" outlineLevel="0" collapsed="false">
      <c r="A5922" s="0" t="s">
        <v>1021</v>
      </c>
      <c r="B5922" s="0" t="s">
        <v>98</v>
      </c>
      <c r="D5922" s="6" t="n">
        <f aca="false">Sens!D5894</f>
        <v>12.9359794422418</v>
      </c>
      <c r="E5922" s="6" t="n">
        <f aca="false">Sens!E5894</f>
        <v>27.8095064661409</v>
      </c>
      <c r="F5922" s="6" t="n">
        <f aca="false">Sens!F5894</f>
        <v>50.1494948503043</v>
      </c>
      <c r="G5922" s="6" t="n">
        <f aca="false">Sens!G5894</f>
        <v>75.0310989089326</v>
      </c>
      <c r="H5922" s="6" t="n">
        <f aca="false">Sens!H5894</f>
        <v>95.0953210314038</v>
      </c>
      <c r="I5922" s="6" t="n">
        <f aca="false">Sens!I5894</f>
        <v>118.869383676679</v>
      </c>
      <c r="J5922" s="6" t="n">
        <f aca="false">Sens!J5894</f>
        <v>135.323829355905</v>
      </c>
      <c r="K5922" s="6" t="n">
        <f aca="false">Sens!K5894</f>
        <v>145.350854905839</v>
      </c>
    </row>
    <row r="5923" customFormat="false" ht="17.15" hidden="false" customHeight="false" outlineLevel="0" collapsed="false">
      <c r="A5923" s="0" t="s">
        <v>1052</v>
      </c>
      <c r="B5923" s="0" t="s">
        <v>98</v>
      </c>
      <c r="D5923" s="6" t="n">
        <f aca="false">Sens!D5895</f>
        <v>59.6740205577583</v>
      </c>
      <c r="E5923" s="6" t="n">
        <f aca="false">Sens!E5895</f>
        <v>74.1284935338591</v>
      </c>
      <c r="F5923" s="6" t="n">
        <f aca="false">Sens!F5895</f>
        <v>92.4527438117015</v>
      </c>
      <c r="G5923" s="6" t="n">
        <f aca="false">Sens!G5895</f>
        <v>109.847658715854</v>
      </c>
      <c r="H5923" s="6" t="n">
        <f aca="false">Sens!H5895</f>
        <v>127.545428282984</v>
      </c>
      <c r="I5923" s="6" t="n">
        <f aca="false">Sens!I5895</f>
        <v>144.646034092305</v>
      </c>
      <c r="J5923" s="6" t="n">
        <f aca="false">Sens!J5895</f>
        <v>160.128557039151</v>
      </c>
      <c r="K5923" s="6" t="n">
        <f aca="false">Sens!K5895</f>
        <v>172.938841602283</v>
      </c>
    </row>
    <row r="5924" customFormat="false" ht="15" hidden="false" customHeight="false" outlineLevel="0" collapsed="false">
      <c r="A5924" s="0" t="s">
        <v>1032</v>
      </c>
      <c r="B5924" s="0" t="s">
        <v>98</v>
      </c>
      <c r="D5924" s="6" t="n">
        <f aca="false">Sens!D5902</f>
        <v>84.605</v>
      </c>
      <c r="E5924" s="6" t="n">
        <f aca="false">Sens!E5902</f>
        <v>100.299</v>
      </c>
      <c r="F5924" s="6" t="n">
        <f aca="false">Sens!F5902</f>
        <v>117.438354189776</v>
      </c>
      <c r="G5924" s="6" t="n">
        <f aca="false">Sens!G5902</f>
        <v>132.595360443801</v>
      </c>
      <c r="H5924" s="6" t="n">
        <f aca="false">Sens!H5902</f>
        <v>147.833811964563</v>
      </c>
      <c r="I5924" s="6" t="n">
        <f aca="false">Sens!I5902</f>
        <v>162.145665319381</v>
      </c>
      <c r="J5924" s="6" t="n">
        <f aca="false">Sens!J5902</f>
        <v>175.249327755573</v>
      </c>
      <c r="K5924" s="6" t="n">
        <f aca="false">Sens!K5902</f>
        <v>187.599280698463</v>
      </c>
    </row>
    <row r="5925" customFormat="false" ht="17.15" hidden="false" customHeight="false" outlineLevel="0" collapsed="false">
      <c r="A5925" s="0" t="s">
        <v>1053</v>
      </c>
      <c r="B5925" s="0" t="s">
        <v>98</v>
      </c>
      <c r="D5925" s="6" t="n">
        <f aca="false">Sens!D5900</f>
        <v>83.705</v>
      </c>
      <c r="E5925" s="6" t="n">
        <f aca="false">Sens!E5900</f>
        <v>95.049</v>
      </c>
      <c r="F5925" s="6" t="n">
        <f aca="false">Sens!F5900</f>
        <v>106.938354189776</v>
      </c>
      <c r="G5925" s="6" t="n">
        <f aca="false">Sens!G5900</f>
        <v>119.095360443801</v>
      </c>
      <c r="H5925" s="6" t="n">
        <f aca="false">Sens!H5900</f>
        <v>131.333811964563</v>
      </c>
      <c r="I5925" s="6" t="n">
        <f aca="false">Sens!I5900</f>
        <v>143.395665319381</v>
      </c>
      <c r="J5925" s="6" t="n">
        <f aca="false">Sens!J5900</f>
        <v>154.999327755573</v>
      </c>
      <c r="K5925" s="6" t="n">
        <f aca="false">Sens!K5900</f>
        <v>165.849280698463</v>
      </c>
    </row>
    <row r="5926" customFormat="false" ht="17.15" hidden="false" customHeight="false" outlineLevel="0" collapsed="false">
      <c r="A5926" s="0" t="s">
        <v>1054</v>
      </c>
      <c r="B5926" s="0" t="s">
        <v>98</v>
      </c>
      <c r="D5926" s="6" t="n">
        <f aca="false">Sens!D5899</f>
        <v>0.9</v>
      </c>
      <c r="E5926" s="6" t="n">
        <f aca="false">Sens!E5899</f>
        <v>5.25</v>
      </c>
      <c r="F5926" s="6" t="n">
        <f aca="false">Sens!F5899</f>
        <v>10.5</v>
      </c>
      <c r="G5926" s="6" t="n">
        <f aca="false">Sens!G5899</f>
        <v>13.5</v>
      </c>
      <c r="H5926" s="6" t="n">
        <f aca="false">Sens!H5899</f>
        <v>16.5</v>
      </c>
      <c r="I5926" s="6" t="n">
        <f aca="false">Sens!I5899</f>
        <v>18.75</v>
      </c>
      <c r="J5926" s="6" t="n">
        <f aca="false">Sens!J5899</f>
        <v>20.25</v>
      </c>
      <c r="K5926" s="6" t="n">
        <f aca="false">Sens!K5899</f>
        <v>21.75</v>
      </c>
    </row>
    <row r="5927" customFormat="false" ht="15" hidden="false" customHeight="false" outlineLevel="0" collapsed="false">
      <c r="A5927" s="0" t="s">
        <v>1033</v>
      </c>
      <c r="B5927" s="0" t="s">
        <v>98</v>
      </c>
      <c r="D5927" s="6" t="n">
        <f aca="false">Sens!D5903</f>
        <v>35.391</v>
      </c>
      <c r="E5927" s="6" t="n">
        <f aca="false">Sens!E5903</f>
        <v>37.285</v>
      </c>
      <c r="F5927" s="6" t="n">
        <f aca="false">Sens!F5903</f>
        <v>38.3851437782675</v>
      </c>
      <c r="G5927" s="6" t="n">
        <f aca="false">Sens!G5903</f>
        <v>40.0105353288615</v>
      </c>
      <c r="H5927" s="6" t="n">
        <f aca="false">Sens!H5903</f>
        <v>41.4812512033683</v>
      </c>
      <c r="I5927" s="6" t="n">
        <f aca="false">Sens!I5903</f>
        <v>42.7743107216329</v>
      </c>
      <c r="J5927" s="6" t="n">
        <f aca="false">Sens!J5903</f>
        <v>43.8687373064601</v>
      </c>
      <c r="K5927" s="6" t="n">
        <f aca="false">Sens!K5903</f>
        <v>44.7461120525893</v>
      </c>
    </row>
    <row r="5928" customFormat="false" ht="15" hidden="false" customHeight="false" outlineLevel="0" collapsed="false">
      <c r="A5928" s="0" t="s">
        <v>1035</v>
      </c>
      <c r="B5928" s="0" t="s">
        <v>98</v>
      </c>
      <c r="D5928" s="6" t="n">
        <f aca="false">Sens!D5905</f>
        <v>18.417</v>
      </c>
      <c r="E5928" s="6" t="n">
        <f aca="false">Sens!E5905</f>
        <v>20.345</v>
      </c>
      <c r="F5928" s="6" t="n">
        <f aca="false">Sens!F5905</f>
        <v>22.3161797133988</v>
      </c>
      <c r="G5928" s="6" t="n">
        <f aca="false">Sens!G5905</f>
        <v>24.3943499673233</v>
      </c>
      <c r="H5928" s="6" t="n">
        <f aca="false">Sens!H5905</f>
        <v>26.5250243109019</v>
      </c>
      <c r="I5928" s="6" t="n">
        <f aca="false">Sens!I5905</f>
        <v>28.6884573538181</v>
      </c>
      <c r="J5928" s="6" t="n">
        <f aca="false">Sens!J5905</f>
        <v>30.8624968052127</v>
      </c>
      <c r="K5928" s="6" t="n">
        <f aca="false">Sens!K5905</f>
        <v>33.0228715815776</v>
      </c>
    </row>
    <row r="5929" customFormat="false" ht="15" hidden="false" customHeight="false" outlineLevel="0" collapsed="false">
      <c r="A5929" s="0" t="s">
        <v>1036</v>
      </c>
      <c r="B5929" s="0" t="s">
        <v>98</v>
      </c>
      <c r="D5929" s="6" t="n">
        <f aca="false">Sens!D5907</f>
        <v>7.76</v>
      </c>
      <c r="E5929" s="6" t="n">
        <f aca="false">Sens!E5907</f>
        <v>8.26</v>
      </c>
      <c r="F5929" s="6" t="n">
        <f aca="false">Sens!F5907</f>
        <v>8.75372082474227</v>
      </c>
      <c r="G5929" s="6" t="n">
        <f aca="false">Sens!G5907</f>
        <v>9.33399324642364</v>
      </c>
      <c r="H5929" s="6" t="n">
        <f aca="false">Sens!H5907</f>
        <v>9.96139155535851</v>
      </c>
      <c r="I5929" s="6" t="n">
        <f aca="false">Sens!I5907</f>
        <v>10.6402039077391</v>
      </c>
      <c r="J5929" s="6" t="n">
        <f aca="false">Sens!J5907</f>
        <v>11.3751458271397</v>
      </c>
      <c r="K5929" s="6" t="n">
        <f aca="false">Sens!K5907</f>
        <v>12.1714060350394</v>
      </c>
    </row>
    <row r="5930" customFormat="false" ht="15" hidden="false" customHeight="false" outlineLevel="0" collapsed="false">
      <c r="A5930" s="0" t="s">
        <v>852</v>
      </c>
      <c r="B5930" s="0" t="s">
        <v>98</v>
      </c>
      <c r="D5930" s="6" t="n">
        <f aca="false">Sens!D5909</f>
        <v>218.783</v>
      </c>
      <c r="E5930" s="6" t="n">
        <f aca="false">Sens!E5909</f>
        <v>268.127</v>
      </c>
      <c r="F5930" s="6" t="n">
        <f aca="false">Sens!F5909</f>
        <v>329.49563716819</v>
      </c>
      <c r="G5930" s="6" t="n">
        <f aca="false">Sens!G5909</f>
        <v>391.212996611195</v>
      </c>
      <c r="H5930" s="6" t="n">
        <f aca="false">Sens!H5909</f>
        <v>448.442228348579</v>
      </c>
      <c r="I5930" s="6" t="n">
        <f aca="false">Sens!I5909</f>
        <v>507.764055071555</v>
      </c>
      <c r="J5930" s="6" t="n">
        <f aca="false">Sens!J5909</f>
        <v>556.808094089442</v>
      </c>
      <c r="K5930" s="6" t="n">
        <f aca="false">Sens!K5909</f>
        <v>595.829366875791</v>
      </c>
    </row>
    <row r="5931" customFormat="false" ht="15" hidden="false" customHeight="false" outlineLevel="0" collapsed="false">
      <c r="A5931" s="0" t="s">
        <v>1037</v>
      </c>
      <c r="B5931" s="0" t="s">
        <v>98</v>
      </c>
      <c r="D5931" s="6" t="n">
        <f aca="false">Sens!D5910</f>
        <v>22.171</v>
      </c>
      <c r="E5931" s="6" t="n">
        <f aca="false">Sens!E5910</f>
        <v>24.835</v>
      </c>
      <c r="F5931" s="6" t="n">
        <f aca="false">Sens!F5910</f>
        <v>27.5591895660247</v>
      </c>
      <c r="G5931" s="6" t="n">
        <f aca="false">Sens!G5910</f>
        <v>30.4098563144583</v>
      </c>
      <c r="H5931" s="6" t="n">
        <f aca="false">Sens!H5910</f>
        <v>33.3011792571777</v>
      </c>
      <c r="I5931" s="6" t="n">
        <f aca="false">Sens!I5910</f>
        <v>36.189023797112</v>
      </c>
      <c r="J5931" s="6" t="n">
        <f aca="false">Sens!J5910</f>
        <v>39.0247773769199</v>
      </c>
      <c r="K5931" s="6" t="n">
        <f aca="false">Sens!K5910</f>
        <v>41.7565117933043</v>
      </c>
    </row>
    <row r="5932" customFormat="false" ht="15" hidden="false" customHeight="false" outlineLevel="0" collapsed="false">
      <c r="A5932" s="0" t="s">
        <v>1038</v>
      </c>
      <c r="B5932" s="0" t="s">
        <v>98</v>
      </c>
      <c r="D5932" s="6" t="n">
        <f aca="false">Sens!D5912</f>
        <v>23.455</v>
      </c>
      <c r="E5932" s="6" t="n">
        <f aca="false">Sens!E5912</f>
        <v>21.79</v>
      </c>
      <c r="F5932" s="6" t="n">
        <f aca="false">Sens!F5912</f>
        <v>20.7520981041711</v>
      </c>
      <c r="G5932" s="6" t="n">
        <f aca="false">Sens!G5912</f>
        <v>19.9083593495882</v>
      </c>
      <c r="H5932" s="6" t="n">
        <f aca="false">Sens!H5912</f>
        <v>19.4008256265831</v>
      </c>
      <c r="I5932" s="6" t="n">
        <f aca="false">Sens!I5912</f>
        <v>19.200434522122</v>
      </c>
      <c r="J5932" s="6" t="n">
        <f aca="false">Sens!J5912</f>
        <v>19.2932782348507</v>
      </c>
      <c r="K5932" s="6" t="n">
        <f aca="false">Sens!K5912</f>
        <v>19.6791437995477</v>
      </c>
    </row>
    <row r="5933" customFormat="false" ht="15" hidden="false" customHeight="false" outlineLevel="0" collapsed="false">
      <c r="A5933" s="0" t="s">
        <v>1039</v>
      </c>
      <c r="B5933" s="0" t="s">
        <v>98</v>
      </c>
      <c r="D5933" s="6" t="n">
        <f aca="false">Sens!D5914</f>
        <v>17.315</v>
      </c>
      <c r="E5933" s="6" t="n">
        <f aca="false">Sens!E5914</f>
        <v>17.087</v>
      </c>
      <c r="F5933" s="6" t="n">
        <f aca="false">Sens!F5914</f>
        <v>15.9912273250553</v>
      </c>
      <c r="G5933" s="6" t="n">
        <f aca="false">Sens!G5914</f>
        <v>15.9574562664827</v>
      </c>
      <c r="H5933" s="6" t="n">
        <f aca="false">Sens!H5914</f>
        <v>16.0119687434196</v>
      </c>
      <c r="I5933" s="6" t="n">
        <f aca="false">Sens!I5914</f>
        <v>16.1551810001948</v>
      </c>
      <c r="J5933" s="6" t="n">
        <f aca="false">Sens!J5914</f>
        <v>16.3889793892005</v>
      </c>
      <c r="K5933" s="6" t="n">
        <f aca="false">Sens!K5914</f>
        <v>16.7167589769845</v>
      </c>
    </row>
    <row r="5934" customFormat="false" ht="15" hidden="false" customHeight="false" outlineLevel="0" collapsed="false">
      <c r="A5934" s="0" t="s">
        <v>866</v>
      </c>
      <c r="B5934" s="0" t="s">
        <v>98</v>
      </c>
      <c r="D5934" s="6" t="n">
        <f aca="false">Sens!D5916</f>
        <v>62.941</v>
      </c>
      <c r="E5934" s="6" t="n">
        <f aca="false">Sens!E5916</f>
        <v>63.712</v>
      </c>
      <c r="F5934" s="6" t="n">
        <f aca="false">Sens!F5916</f>
        <v>64.3025149952511</v>
      </c>
      <c r="G5934" s="6" t="n">
        <f aca="false">Sens!G5916</f>
        <v>66.2756719305292</v>
      </c>
      <c r="H5934" s="6" t="n">
        <f aca="false">Sens!H5916</f>
        <v>68.7139736271804</v>
      </c>
      <c r="I5934" s="6" t="n">
        <f aca="false">Sens!I5916</f>
        <v>71.5446393194289</v>
      </c>
      <c r="J5934" s="6" t="n">
        <f aca="false">Sens!J5916</f>
        <v>74.707035000971</v>
      </c>
      <c r="K5934" s="6" t="n">
        <f aca="false">Sens!K5916</f>
        <v>78.1524145698365</v>
      </c>
    </row>
    <row r="5935" customFormat="false" ht="15" hidden="false" customHeight="false" outlineLevel="0" collapsed="false">
      <c r="A5935" s="1" t="s">
        <v>1055</v>
      </c>
      <c r="B5935" s="0" t="s">
        <v>98</v>
      </c>
      <c r="D5935" s="6" t="n">
        <f aca="false">Sens!D5917</f>
        <v>281.724</v>
      </c>
      <c r="E5935" s="6" t="n">
        <f aca="false">Sens!E5917</f>
        <v>331.839</v>
      </c>
      <c r="F5935" s="6" t="n">
        <f aca="false">Sens!F5917</f>
        <v>393.798152163441</v>
      </c>
      <c r="G5935" s="6" t="n">
        <f aca="false">Sens!G5917</f>
        <v>457.488668541724</v>
      </c>
      <c r="H5935" s="6" t="n">
        <f aca="false">Sens!H5917</f>
        <v>517.15620197576</v>
      </c>
      <c r="I5935" s="6" t="n">
        <f aca="false">Sens!I5917</f>
        <v>579.308694390984</v>
      </c>
      <c r="J5935" s="6" t="n">
        <f aca="false">Sens!J5917</f>
        <v>631.515129090413</v>
      </c>
      <c r="K5935" s="6" t="n">
        <f aca="false">Sens!K5917</f>
        <v>673.981781445628</v>
      </c>
    </row>
    <row r="5936" customFormat="false" ht="15" hidden="false" customHeight="false" outlineLevel="0" collapsed="false">
      <c r="A5936" s="1" t="s">
        <v>1056</v>
      </c>
      <c r="B5936" s="0" t="s">
        <v>168</v>
      </c>
      <c r="E5936" s="7" t="n">
        <f aca="false">Sens!E5935/Sens!D5935-1</f>
        <v>0.177886867998467</v>
      </c>
      <c r="F5936" s="7" t="n">
        <f aca="false">Sens!F5935/Sens!E5935-1</f>
        <v>0.186714497582988</v>
      </c>
      <c r="G5936" s="7" t="n">
        <f aca="false">Sens!G5935/Sens!F5935-1</f>
        <v>0.161733913753484</v>
      </c>
      <c r="H5936" s="7" t="n">
        <f aca="false">Sens!H5935/Sens!G5935-1</f>
        <v>0.130424068478525</v>
      </c>
      <c r="I5936" s="7" t="n">
        <f aca="false">Sens!I5935/Sens!H5935-1</f>
        <v>0.120181276329618</v>
      </c>
      <c r="J5936" s="7" t="n">
        <f aca="false">Sens!J5935/Sens!I5935-1</f>
        <v>0.090118507118752</v>
      </c>
      <c r="K5936" s="7" t="n">
        <f aca="false">Sens!K5935/Sens!J5935-1</f>
        <v>0.0672456611077248</v>
      </c>
    </row>
    <row r="5937" customFormat="false" ht="17.15" hidden="false" customHeight="false" outlineLevel="0" collapsed="false">
      <c r="A5937" s="26" t="s">
        <v>1057</v>
      </c>
      <c r="B5937" s="31" t="s">
        <v>98</v>
      </c>
      <c r="C5937" s="31"/>
      <c r="D5937" s="27" t="n">
        <f aca="false">(Sens!D5930+Sens!D5934-Sens!D5935)+(Sens!D5922+Sens!D5923-Sens!D5921)+(Sens!D5925+Sens!D5926-Sens!D5924)+(Sens!D5935-Q!L18)</f>
        <v>0</v>
      </c>
      <c r="E5937" s="27" t="n">
        <f aca="false">(Sens!E5930+Sens!E5934-Sens!E5935)+(Sens!E5922+Sens!E5923-Sens!E5921)+(Sens!E5925+Sens!E5926-Sens!E5924)+(Sens!E5935-Q!M18)</f>
        <v>0</v>
      </c>
      <c r="F5937" s="27" t="n">
        <f aca="false">(Sens!F5930+Sens!F5934-Sens!F5935)+(Sens!F5922+Sens!F5923-Sens!F5921)+(Sens!F5925+Sens!F5926-Sens!F5924)</f>
        <v>0</v>
      </c>
      <c r="G5937" s="27" t="n">
        <f aca="false">(Sens!G5930+Sens!G5934-Sens!G5935)+(Sens!G5922+Sens!G5923-Sens!G5921)+(Sens!G5925+Sens!G5926-Sens!G5924)</f>
        <v>0</v>
      </c>
      <c r="H5937" s="27" t="n">
        <f aca="false">(Sens!H5930+Sens!H5934-Sens!H5935)+(Sens!H5922+Sens!H5923-Sens!H5921)+(Sens!H5925+Sens!H5926-Sens!H5924)</f>
        <v>0</v>
      </c>
      <c r="I5937" s="27" t="n">
        <f aca="false">(Sens!I5930+Sens!I5934-Sens!I5935)+(Sens!I5922+Sens!I5923-Sens!I5921)+(Sens!I5925+Sens!I5926-Sens!I5924)</f>
        <v>0</v>
      </c>
      <c r="J5937" s="27" t="n">
        <f aca="false">(Sens!J5930+Sens!J5934-Sens!J5935)+(Sens!J5922+Sens!J5923-Sens!J5921)+(Sens!J5925+Sens!J5926-Sens!J5924)</f>
        <v>0</v>
      </c>
      <c r="K5937" s="27" t="n">
        <f aca="false">(Sens!K5930+Sens!K5934-Sens!K5935)+(Sens!K5922+Sens!K5923-Sens!K5921)+(Sens!K5925+Sens!K5926-Sens!K5924)</f>
        <v>0</v>
      </c>
    </row>
    <row r="5938" customFormat="false" ht="17.15" hidden="false" customHeight="false" outlineLevel="0" collapsed="false">
      <c r="A5938" s="0" t="s">
        <v>1058</v>
      </c>
      <c r="B5938" s="0" t="s">
        <v>168</v>
      </c>
      <c r="E5938" s="7" t="n">
        <f aca="false">(Q!M21+Sens!E5874+Sens!E5875+Sens!E5876+Sens!E5890-Sens!E5872)/(Q!M5-Sens!E5872)</f>
        <v>0.570957350878296</v>
      </c>
      <c r="F5938" s="7" t="n">
        <f aca="false">Sens!$E$5938+dm_seg</f>
        <v>0.570957350878296</v>
      </c>
      <c r="G5938" s="7" t="n">
        <f aca="false">Sens!$E$5938+dm_seg</f>
        <v>0.570957350878296</v>
      </c>
      <c r="H5938" s="7" t="n">
        <f aca="false">Sens!$E$5938+dm_seg</f>
        <v>0.570957350878296</v>
      </c>
      <c r="I5938" s="7" t="n">
        <f aca="false">Sens!$E$5938+dm_seg</f>
        <v>0.570957350878296</v>
      </c>
      <c r="J5938" s="7" t="n">
        <f aca="false">Sens!$E$5938+dm_seg</f>
        <v>0.570957350878296</v>
      </c>
      <c r="K5938" s="7" t="n">
        <f aca="false">Sens!$E$5938+dm_seg</f>
        <v>0.570957350878296</v>
      </c>
      <c r="L5938" s="12" t="s">
        <v>1059</v>
      </c>
    </row>
    <row r="5939" customFormat="false" ht="17.15" hidden="false" customHeight="false" outlineLevel="0" collapsed="false">
      <c r="A5939" s="0" t="s">
        <v>880</v>
      </c>
      <c r="B5939" s="0" t="s">
        <v>98</v>
      </c>
      <c r="D5939" s="6" t="n">
        <f aca="false">Q!L21</f>
        <v>110.814</v>
      </c>
      <c r="E5939" s="6" t="n">
        <f aca="false">Q!M21</f>
        <v>136.365</v>
      </c>
      <c r="F5939" s="6" t="n">
        <f aca="false">Q!$I$21+(Sens!F5938*(Sens!F5909-Sens!F5872)+Sens!F5872-(Sens!F5874+Sens!F5875+Sens!F5876)-Sens!F5890-Sens!F5973)*(Sens!F5909-Q!$I$5)/Sens!F5909</f>
        <v>157.48160099505</v>
      </c>
      <c r="G5939" s="6" t="n">
        <f aca="false">(Sens!G5938*(Sens!G5909-Sens!G5872)+Sens!G5872-(Sens!G5874+Sens!G5875+Sens!G5876)-Sens!G5890-Sens!G5973)</f>
        <v>159.751794413981</v>
      </c>
      <c r="H5939" s="6" t="n">
        <f aca="false">(Sens!H5938*(Sens!H5909-Sens!H5872)+Sens!H5872-(Sens!H5874+Sens!H5875+Sens!H5876)-Sens!H5890-Sens!H5973)</f>
        <v>160.540211750422</v>
      </c>
      <c r="I5939" s="6" t="n">
        <f aca="false">(Sens!I5938*(Sens!I5909-Sens!I5872)+Sens!I5872-(Sens!I5874+Sens!I5875+Sens!I5876)-Sens!I5890-Sens!I5973)</f>
        <v>168.980361732368</v>
      </c>
      <c r="J5939" s="6" t="n">
        <f aca="false">(Sens!J5938*(Sens!J5909-Sens!J5872)+Sens!J5872-(Sens!J5874+Sens!J5875+Sens!J5876)-Sens!J5890-Sens!J5973)</f>
        <v>179.110865483679</v>
      </c>
      <c r="K5939" s="6" t="n">
        <f aca="false">(Sens!K5938*(Sens!K5909-Sens!K5872)+Sens!K5872-(Sens!K5874+Sens!K5875+Sens!K5876)-Sens!K5890-Sens!K5973)</f>
        <v>190.638662905094</v>
      </c>
      <c r="L5939" s="1" t="s">
        <v>1060</v>
      </c>
    </row>
    <row r="5940" customFormat="false" ht="17.15" hidden="false" customHeight="false" outlineLevel="0" collapsed="false">
      <c r="A5940" s="0" t="s">
        <v>1061</v>
      </c>
      <c r="B5940" s="0" t="s">
        <v>168</v>
      </c>
      <c r="E5940" s="7" t="n">
        <f aca="false">Q!M22/Q!M12</f>
        <v>0.296207935710698</v>
      </c>
      <c r="F5940" s="7" t="n">
        <f aca="false">Sens!$E$5940+dm_seg</f>
        <v>0.296207935710698</v>
      </c>
      <c r="G5940" s="7" t="n">
        <f aca="false">Sens!$E$5940+dm_seg</f>
        <v>0.296207935710698</v>
      </c>
      <c r="H5940" s="7" t="n">
        <f aca="false">Sens!$E$5940+dm_seg</f>
        <v>0.296207935710698</v>
      </c>
      <c r="I5940" s="7" t="n">
        <f aca="false">Sens!$E$5940+dm_seg</f>
        <v>0.296207935710698</v>
      </c>
      <c r="J5940" s="7" t="n">
        <f aca="false">Sens!$E$5940+dm_seg</f>
        <v>0.296207935710698</v>
      </c>
      <c r="K5940" s="7" t="n">
        <f aca="false">Sens!$E$5940+dm_seg</f>
        <v>0.296207935710698</v>
      </c>
      <c r="L5940" s="12" t="s">
        <v>1062</v>
      </c>
    </row>
    <row r="5941" customFormat="false" ht="17.15" hidden="false" customHeight="false" outlineLevel="0" collapsed="false">
      <c r="A5941" s="0" t="s">
        <v>882</v>
      </c>
      <c r="B5941" s="0" t="s">
        <v>98</v>
      </c>
      <c r="D5941" s="6" t="n">
        <f aca="false">Q!L22</f>
        <v>17.714</v>
      </c>
      <c r="E5941" s="6" t="n">
        <f aca="false">Q!M22</f>
        <v>18.872</v>
      </c>
      <c r="F5941" s="6" t="n">
        <f aca="false">Q!$I$22+(Sens!F5916-Q!$I$12)*Sens!F5940</f>
        <v>19.8174315512051</v>
      </c>
      <c r="G5941" s="6" t="n">
        <f aca="false">Sens!G5916*Sens!G5940</f>
        <v>19.6313799703815</v>
      </c>
      <c r="H5941" s="6" t="n">
        <f aca="false">Sens!H5916*Sens!H5940</f>
        <v>20.3536242825865</v>
      </c>
      <c r="I5941" s="6" t="n">
        <f aca="false">Sens!I5916*Sens!I5940</f>
        <v>21.1920899239745</v>
      </c>
      <c r="J5941" s="6" t="n">
        <f aca="false">Sens!J5916*Sens!J5940</f>
        <v>22.1288166207045</v>
      </c>
      <c r="K5941" s="6" t="n">
        <f aca="false">Sens!K5916*Sens!K5940</f>
        <v>23.1493653905379</v>
      </c>
      <c r="L5941" s="12" t="s">
        <v>1063</v>
      </c>
    </row>
    <row r="5942" customFormat="false" ht="15" hidden="false" customHeight="false" outlineLevel="0" collapsed="false">
      <c r="A5942" s="1" t="s">
        <v>1064</v>
      </c>
      <c r="B5942" s="0" t="s">
        <v>98</v>
      </c>
      <c r="D5942" s="6" t="n">
        <f aca="false">Sens!D5939+Sens!D5941</f>
        <v>128.528</v>
      </c>
      <c r="E5942" s="6" t="n">
        <f aca="false">Sens!E5939+Sens!E5941</f>
        <v>155.237</v>
      </c>
      <c r="F5942" s="6" t="n">
        <f aca="false">Sens!F5939+Sens!F5941</f>
        <v>177.299032546255</v>
      </c>
      <c r="G5942" s="6" t="n">
        <f aca="false">Sens!G5939+Sens!G5941</f>
        <v>179.383174384362</v>
      </c>
      <c r="H5942" s="6" t="n">
        <f aca="false">Sens!H5939+Sens!H5941</f>
        <v>180.893836033009</v>
      </c>
      <c r="I5942" s="6" t="n">
        <f aca="false">Sens!I5939+Sens!I5941</f>
        <v>190.172451656343</v>
      </c>
      <c r="J5942" s="6" t="n">
        <f aca="false">Sens!J5939+Sens!J5941</f>
        <v>201.239682104384</v>
      </c>
      <c r="K5942" s="6" t="n">
        <f aca="false">Sens!K5939+Sens!K5941</f>
        <v>213.788028295632</v>
      </c>
    </row>
    <row r="5943" customFormat="false" ht="15" hidden="false" customHeight="false" outlineLevel="0" collapsed="false">
      <c r="A5943" s="26" t="s">
        <v>1065</v>
      </c>
      <c r="B5943" s="31" t="s">
        <v>98</v>
      </c>
      <c r="C5943" s="31"/>
      <c r="D5943" s="27" t="n">
        <f aca="false">Sens!D5942-Q!L23</f>
        <v>0</v>
      </c>
      <c r="E5943" s="27" t="n">
        <f aca="false">Sens!E5942-Q!M23</f>
        <v>0</v>
      </c>
      <c r="F5943" s="31"/>
      <c r="G5943" s="31"/>
      <c r="H5943" s="31"/>
      <c r="I5943" s="31"/>
      <c r="J5943" s="31"/>
      <c r="K5943" s="31"/>
    </row>
    <row r="5944" customFormat="false" ht="15" hidden="false" customHeight="false" outlineLevel="0" collapsed="false">
      <c r="A5944" s="1" t="s">
        <v>1066</v>
      </c>
      <c r="B5944" s="0" t="s">
        <v>168</v>
      </c>
      <c r="D5944" s="7" t="n">
        <f aca="false">Sens!D5942/Sens!D5935</f>
        <v>0.456219562408598</v>
      </c>
      <c r="E5944" s="7" t="n">
        <f aca="false">Sens!E5942/Sens!E5935</f>
        <v>0.467808184089272</v>
      </c>
      <c r="F5944" s="7" t="n">
        <f aca="false">Sens!F5942/Sens!F5935</f>
        <v>0.450228198309749</v>
      </c>
      <c r="G5944" s="7" t="n">
        <f aca="false">Sens!G5942/Sens!G5935</f>
        <v>0.392104081957173</v>
      </c>
      <c r="H5944" s="7" t="n">
        <f aca="false">Sens!H5942/Sens!H5935</f>
        <v>0.34978568436754</v>
      </c>
      <c r="I5944" s="7" t="n">
        <f aca="false">Sens!I5942/Sens!I5935</f>
        <v>0.328274810127384</v>
      </c>
      <c r="J5944" s="7" t="n">
        <f aca="false">Sens!J5942/Sens!J5935</f>
        <v>0.318661696029729</v>
      </c>
      <c r="K5944" s="7" t="n">
        <f aca="false">Sens!K5942/Sens!K5935</f>
        <v>0.317201494433688</v>
      </c>
    </row>
    <row r="5945" customFormat="false" ht="17.15" hidden="false" customHeight="false" outlineLevel="0" collapsed="false">
      <c r="A5945" s="1" t="s">
        <v>1067</v>
      </c>
      <c r="B5945" s="0" t="s">
        <v>98</v>
      </c>
      <c r="F5945" s="6" t="n">
        <f aca="false">Sens!F5960</f>
        <v>10.5962787979473</v>
      </c>
      <c r="G5945" s="6" t="n">
        <f aca="false">Sens!G5960</f>
        <v>27.844646674932</v>
      </c>
      <c r="H5945" s="6" t="n">
        <f aca="false">Sens!H5960</f>
        <v>46.566205501382</v>
      </c>
      <c r="I5945" s="6" t="n">
        <f aca="false">Sens!I5960</f>
        <v>63.2717778126444</v>
      </c>
      <c r="J5945" s="6" t="n">
        <f aca="false">Sens!J5960</f>
        <v>74.9061222882009</v>
      </c>
      <c r="K5945" s="6" t="n">
        <f aca="false">Sens!K5960</f>
        <v>81.6395437180232</v>
      </c>
      <c r="L5945" s="1" t="s">
        <v>1068</v>
      </c>
    </row>
    <row r="5946" customFormat="false" ht="17.15" hidden="false" customHeight="false" outlineLevel="0" collapsed="false">
      <c r="A5946" s="1" t="s">
        <v>1069</v>
      </c>
      <c r="B5946" s="0" t="s">
        <v>98</v>
      </c>
      <c r="D5946" s="6" t="n">
        <f aca="false">Sens!D5942</f>
        <v>128.528</v>
      </c>
      <c r="E5946" s="6" t="n">
        <f aca="false">Sens!E5942</f>
        <v>155.237</v>
      </c>
      <c r="F5946" s="6" t="n">
        <f aca="false">Sens!F5942+Sens!F5945</f>
        <v>187.895311344202</v>
      </c>
      <c r="G5946" s="6" t="n">
        <f aca="false">Sens!G5942+Sens!G5945</f>
        <v>207.227821059294</v>
      </c>
      <c r="H5946" s="6" t="n">
        <f aca="false">Sens!H5942+Sens!H5945</f>
        <v>227.460041534391</v>
      </c>
      <c r="I5946" s="6" t="n">
        <f aca="false">Sens!I5942+Sens!I5945</f>
        <v>253.444229468987</v>
      </c>
      <c r="J5946" s="6" t="n">
        <f aca="false">Sens!J5942+Sens!J5945</f>
        <v>276.145804392585</v>
      </c>
      <c r="K5946" s="6" t="n">
        <f aca="false">Sens!K5942+Sens!K5945</f>
        <v>295.427572013655</v>
      </c>
    </row>
    <row r="5947" customFormat="false" ht="17.15" hidden="false" customHeight="false" outlineLevel="0" collapsed="false">
      <c r="A5947" s="1" t="s">
        <v>1070</v>
      </c>
      <c r="B5947" s="0" t="s">
        <v>98</v>
      </c>
      <c r="E5947" s="6" t="n">
        <f aca="false">Sens!E5890</f>
        <v>16.3054059770833</v>
      </c>
      <c r="F5947" s="6" t="n">
        <f aca="false">Sens!F5890</f>
        <v>34.5793144783516</v>
      </c>
      <c r="G5947" s="6" t="n">
        <f aca="false">Sens!G5890</f>
        <v>60.7344906522989</v>
      </c>
      <c r="H5947" s="6" t="n">
        <f aca="false">Sens!H5890</f>
        <v>89.1000906614457</v>
      </c>
      <c r="I5947" s="6" t="n">
        <f aca="false">Sens!I5890</f>
        <v>114.231009694548</v>
      </c>
      <c r="J5947" s="6" t="n">
        <f aca="false">Sens!J5890</f>
        <v>132.015673049596</v>
      </c>
      <c r="K5947" s="6" t="n">
        <f aca="false">Sens!K5890</f>
        <v>143.012669550934</v>
      </c>
    </row>
    <row r="5948" customFormat="false" ht="17.15" hidden="false" customHeight="false" outlineLevel="0" collapsed="false">
      <c r="A5948" s="1" t="s">
        <v>1071</v>
      </c>
      <c r="B5948" s="0" t="s">
        <v>98</v>
      </c>
      <c r="E5948" s="6" t="n">
        <f aca="false">Sens!E5972</f>
        <v>22.2285940229167</v>
      </c>
      <c r="F5948" s="6" t="n">
        <f aca="false">Sens!F5972</f>
        <v>23.5919963218199</v>
      </c>
      <c r="G5948" s="6" t="n">
        <f aca="false">Sens!G5972</f>
        <v>25.3552425524833</v>
      </c>
      <c r="H5948" s="6" t="n">
        <f aca="false">Sens!H5972</f>
        <v>27.4870073814458</v>
      </c>
      <c r="I5948" s="6" t="n">
        <f aca="false">Sens!I5972</f>
        <v>29.930454943036</v>
      </c>
      <c r="J5948" s="6" t="n">
        <f aca="false">Sens!J5972</f>
        <v>32.6106445467334</v>
      </c>
      <c r="K5948" s="6" t="n">
        <f aca="false">Sens!K5972</f>
        <v>35.4430531459546</v>
      </c>
    </row>
    <row r="5949" customFormat="false" ht="17.15" hidden="false" customHeight="false" outlineLevel="0" collapsed="false">
      <c r="A5949" s="1" t="s">
        <v>1072</v>
      </c>
      <c r="B5949" s="0" t="s">
        <v>98</v>
      </c>
      <c r="D5949" s="6" t="n">
        <f aca="false">Q!L27</f>
        <v>-4.901</v>
      </c>
      <c r="E5949" s="6" t="n">
        <f aca="false">Q!M27</f>
        <v>10.697</v>
      </c>
      <c r="F5949" s="6" t="n">
        <f aca="false">Q!$I$27+oie_f*(q_per_yr-1)/q_per_yr</f>
        <v>-0.862</v>
      </c>
      <c r="G5949" s="6" t="n">
        <f aca="false">oie_f</f>
        <v>-1.2</v>
      </c>
      <c r="H5949" s="6" t="n">
        <f aca="false">oie_f</f>
        <v>-1.2</v>
      </c>
      <c r="I5949" s="6" t="n">
        <f aca="false">oie_f</f>
        <v>-1.2</v>
      </c>
      <c r="J5949" s="6" t="n">
        <f aca="false">oie_f</f>
        <v>-1.2</v>
      </c>
      <c r="K5949" s="6" t="n">
        <f aca="false">oie_f</f>
        <v>-1.2</v>
      </c>
      <c r="L5949" s="12" t="s">
        <v>1073</v>
      </c>
    </row>
    <row r="5950" customFormat="false" ht="15" hidden="false" customHeight="false" outlineLevel="0" collapsed="false">
      <c r="A5950" s="1" t="s">
        <v>1074</v>
      </c>
      <c r="B5950" s="0" t="s">
        <v>98</v>
      </c>
      <c r="D5950" s="6" t="n">
        <f aca="false">Sens!D5942+Sens!D5949</f>
        <v>123.627</v>
      </c>
      <c r="E5950" s="6" t="n">
        <f aca="false">Sens!E5942+Sens!E5949</f>
        <v>165.934</v>
      </c>
      <c r="F5950" s="6" t="n">
        <f aca="false">Sens!F5942+Sens!F5949</f>
        <v>176.437032546255</v>
      </c>
      <c r="G5950" s="6" t="n">
        <f aca="false">Sens!G5942+Sens!G5949</f>
        <v>178.183174384362</v>
      </c>
      <c r="H5950" s="6" t="n">
        <f aca="false">Sens!H5942+Sens!H5949</f>
        <v>179.693836033009</v>
      </c>
      <c r="I5950" s="6" t="n">
        <f aca="false">Sens!I5942+Sens!I5949</f>
        <v>188.972451656343</v>
      </c>
      <c r="J5950" s="6" t="n">
        <f aca="false">Sens!J5942+Sens!J5949</f>
        <v>200.039682104384</v>
      </c>
      <c r="K5950" s="6" t="n">
        <f aca="false">Sens!K5942+Sens!K5949</f>
        <v>212.588028295632</v>
      </c>
    </row>
    <row r="5951" customFormat="false" ht="15" hidden="false" customHeight="false" outlineLevel="0" collapsed="false">
      <c r="A5951" s="1" t="s">
        <v>1075</v>
      </c>
      <c r="B5951" s="0" t="s">
        <v>98</v>
      </c>
      <c r="D5951" s="6" t="n">
        <f aca="false">Q!L29</f>
        <v>21.795</v>
      </c>
      <c r="E5951" s="6" t="n">
        <f aca="false">Q!M29</f>
        <v>32.185</v>
      </c>
      <c r="F5951" s="6" t="n">
        <f aca="false">Q!$I$29+(Sens!F5950-Q!$I$28)*tax_f</f>
        <v>35.4208065092509</v>
      </c>
      <c r="G5951" s="6" t="n">
        <f aca="false">Sens!G5950*tax_f</f>
        <v>35.6366348768724</v>
      </c>
      <c r="H5951" s="6" t="n">
        <f aca="false">Sens!H5950*tax_f</f>
        <v>35.9387672066017</v>
      </c>
      <c r="I5951" s="6" t="n">
        <f aca="false">Sens!I5950*tax_f</f>
        <v>37.7944903312686</v>
      </c>
      <c r="J5951" s="6" t="n">
        <f aca="false">Sens!J5950*tax_f</f>
        <v>40.0079364208768</v>
      </c>
      <c r="K5951" s="6" t="n">
        <f aca="false">Sens!K5950*tax_f</f>
        <v>42.5176056591265</v>
      </c>
    </row>
    <row r="5952" customFormat="false" ht="15" hidden="false" customHeight="false" outlineLevel="0" collapsed="false">
      <c r="A5952" s="1" t="s">
        <v>1076</v>
      </c>
      <c r="B5952" s="0" t="s">
        <v>98</v>
      </c>
      <c r="D5952" s="6" t="n">
        <f aca="false">Sens!D5950-Sens!D5951</f>
        <v>101.832</v>
      </c>
      <c r="E5952" s="6" t="n">
        <f aca="false">Sens!E5950-Sens!E5951</f>
        <v>133.749</v>
      </c>
      <c r="F5952" s="6" t="n">
        <f aca="false">Sens!F5950-Sens!F5951</f>
        <v>141.016226037004</v>
      </c>
      <c r="G5952" s="6" t="n">
        <f aca="false">Sens!G5950-Sens!G5951</f>
        <v>142.54653950749</v>
      </c>
      <c r="H5952" s="6" t="n">
        <f aca="false">Sens!H5950-Sens!H5951</f>
        <v>143.755068826407</v>
      </c>
      <c r="I5952" s="6" t="n">
        <f aca="false">Sens!I5950-Sens!I5951</f>
        <v>151.177961325074</v>
      </c>
      <c r="J5952" s="6" t="n">
        <f aca="false">Sens!J5950-Sens!J5951</f>
        <v>160.031745683507</v>
      </c>
      <c r="K5952" s="6" t="n">
        <f aca="false">Sens!K5950-Sens!K5951</f>
        <v>170.070422636506</v>
      </c>
    </row>
    <row r="5953" customFormat="false" ht="17.15" hidden="false" customHeight="false" outlineLevel="0" collapsed="false">
      <c r="A5953" s="1" t="s">
        <v>1077</v>
      </c>
      <c r="B5953" s="1" t="s">
        <v>81</v>
      </c>
      <c r="D5953" s="15" t="n">
        <f aca="false">Q!L31</f>
        <v>7.465</v>
      </c>
      <c r="E5953" s="15" t="n">
        <f aca="false">Q!M31</f>
        <v>7.453</v>
      </c>
      <c r="F5953" s="15" t="n">
        <f aca="false">Sens!F5997</f>
        <v>7.4735</v>
      </c>
      <c r="G5953" s="15" t="n">
        <f aca="false">Sens!G5997</f>
        <v>7.5185</v>
      </c>
      <c r="H5953" s="15" t="n">
        <f aca="false">Sens!H5997</f>
        <v>7.5635</v>
      </c>
      <c r="I5953" s="15" t="n">
        <f aca="false">Sens!I5997</f>
        <v>7.59248142502667</v>
      </c>
      <c r="J5953" s="15" t="n">
        <f aca="false">Sens!J5997</f>
        <v>7.60663083618914</v>
      </c>
      <c r="K5953" s="15" t="n">
        <f aca="false">Sens!K5997</f>
        <v>7.62306547615439</v>
      </c>
    </row>
    <row r="5954" customFormat="false" ht="17.15" hidden="false" customHeight="false" outlineLevel="0" collapsed="false">
      <c r="A5954" s="0" t="s">
        <v>1078</v>
      </c>
      <c r="B5954" s="0" t="s">
        <v>75</v>
      </c>
      <c r="D5954" s="8" t="n">
        <f aca="false">Sens!D5952/Sens!D5953</f>
        <v>13.641259209645</v>
      </c>
      <c r="E5954" s="8" t="n">
        <f aca="false">Sens!E5952/Sens!E5953</f>
        <v>17.9456594659869</v>
      </c>
      <c r="F5954" s="8" t="n">
        <f aca="false">Sens!F5952/Sens!F5953</f>
        <v>18.8688333494352</v>
      </c>
      <c r="G5954" s="8" t="n">
        <f aca="false">Sens!G5952/Sens!G5953</f>
        <v>18.9594386523229</v>
      </c>
      <c r="H5954" s="8" t="n">
        <f aca="false">Sens!H5952/Sens!H5953</f>
        <v>19.0064214750323</v>
      </c>
      <c r="I5954" s="8" t="n">
        <f aca="false">Sens!I5952/Sens!I5953</f>
        <v>19.9115352230899</v>
      </c>
      <c r="J5954" s="8" t="n">
        <f aca="false">Sens!J5952/Sens!J5953</f>
        <v>21.0384530457484</v>
      </c>
      <c r="K5954" s="8" t="n">
        <f aca="false">Sens!K5952/Sens!K5953</f>
        <v>22.3099779437158</v>
      </c>
      <c r="L5954" s="1" t="s">
        <v>1079</v>
      </c>
    </row>
    <row r="5955" customFormat="false" ht="17.15" hidden="false" customHeight="false" outlineLevel="0" collapsed="false">
      <c r="A5955" s="1" t="s">
        <v>1080</v>
      </c>
      <c r="B5955" s="0" t="s">
        <v>98</v>
      </c>
      <c r="D5955" s="6" t="n">
        <f aca="false">Sens!D5952</f>
        <v>101.832</v>
      </c>
      <c r="E5955" s="6" t="n">
        <f aca="false">Sens!E5952</f>
        <v>133.749</v>
      </c>
      <c r="F5955" s="6" t="n">
        <f aca="false">Sens!F5952+Sens!F5945*(1-tax_f)</f>
        <v>149.493249075362</v>
      </c>
      <c r="G5955" s="6" t="n">
        <f aca="false">Sens!G5952+Sens!G5945*(1-tax_f)</f>
        <v>164.822256847435</v>
      </c>
      <c r="H5955" s="6" t="n">
        <f aca="false">Sens!H5952+Sens!H5945*(1-tax_f)</f>
        <v>181.008033227512</v>
      </c>
      <c r="I5955" s="6" t="n">
        <f aca="false">Sens!I5952+Sens!I5945*(1-tax_f)</f>
        <v>201.79538357519</v>
      </c>
      <c r="J5955" s="6" t="n">
        <f aca="false">Sens!J5952+Sens!J5945*(1-tax_f)</f>
        <v>219.956643514068</v>
      </c>
      <c r="K5955" s="6" t="n">
        <f aca="false">Sens!K5952+Sens!K5945*(1-tax_f)</f>
        <v>235.382057610924</v>
      </c>
    </row>
    <row r="5956" customFormat="false" ht="17.15" hidden="false" customHeight="false" outlineLevel="0" collapsed="false">
      <c r="A5956" s="0" t="s">
        <v>1081</v>
      </c>
      <c r="B5956" s="0" t="s">
        <v>75</v>
      </c>
      <c r="D5956" s="8" t="n">
        <f aca="false">Sens!D5955/Sens!D5953</f>
        <v>13.641259209645</v>
      </c>
      <c r="E5956" s="8" t="n">
        <f aca="false">Sens!E5955/Sens!E5953</f>
        <v>17.9456594659869</v>
      </c>
      <c r="F5956" s="8" t="n">
        <f aca="false">Sens!F5955/Sens!F5953</f>
        <v>20.0031108684501</v>
      </c>
      <c r="G5956" s="8" t="n">
        <f aca="false">Sens!G5955/Sens!G5953</f>
        <v>21.9222260886394</v>
      </c>
      <c r="H5956" s="8" t="n">
        <f aca="false">Sens!H5955/Sens!H5953</f>
        <v>23.9317820093227</v>
      </c>
      <c r="I5956" s="8" t="n">
        <f aca="false">Sens!I5955/Sens!I5953</f>
        <v>26.578317717054</v>
      </c>
      <c r="J5956" s="8" t="n">
        <f aca="false">Sens!J5955/Sens!J5953</f>
        <v>28.9164346543028</v>
      </c>
      <c r="K5956" s="8" t="n">
        <f aca="false">Sens!K5955/Sens!K5953</f>
        <v>30.8776119459055</v>
      </c>
      <c r="L5956" s="1" t="s">
        <v>1082</v>
      </c>
    </row>
    <row r="5957" customFormat="false" ht="17.15" hidden="false" customHeight="false" outlineLevel="0" collapsed="false">
      <c r="A5957" s="0" t="s">
        <v>1083</v>
      </c>
      <c r="B5957" s="0" t="s">
        <v>168</v>
      </c>
      <c r="E5957" s="7" t="n">
        <f aca="false">Sens!E5956/Sens!D5956-1</f>
        <v>0.315542736208578</v>
      </c>
      <c r="F5957" s="7" t="n">
        <f aca="false">Sens!F5956/Sens!E5956-1</f>
        <v>0.114648971600224</v>
      </c>
      <c r="G5957" s="7" t="n">
        <f aca="false">Sens!G5956/Sens!F5956-1</f>
        <v>0.0959408380431588</v>
      </c>
      <c r="H5957" s="7" t="n">
        <f aca="false">Sens!H5956/Sens!G5956-1</f>
        <v>0.0916675118921764</v>
      </c>
      <c r="I5957" s="7" t="n">
        <f aca="false">Sens!I5956/Sens!H5956-1</f>
        <v>0.110586654462268</v>
      </c>
      <c r="J5957" s="7" t="n">
        <f aca="false">Sens!J5956/Sens!I5956-1</f>
        <v>0.0879708400712105</v>
      </c>
      <c r="K5957" s="7" t="n">
        <f aca="false">Sens!K5956/Sens!J5956-1</f>
        <v>0.0678222372518822</v>
      </c>
    </row>
    <row r="5958" customFormat="false" ht="17.15" hidden="false" customHeight="false" outlineLevel="0" collapsed="false">
      <c r="A5958" s="0" t="s">
        <v>1003</v>
      </c>
      <c r="B5958" s="0" t="s">
        <v>98</v>
      </c>
      <c r="E5958" s="6" t="n">
        <f aca="false">Sens!E5899</f>
        <v>5.25</v>
      </c>
      <c r="F5958" s="6" t="n">
        <f aca="false">Sens!F5899</f>
        <v>10.5</v>
      </c>
      <c r="G5958" s="6" t="n">
        <f aca="false">Sens!G5899</f>
        <v>13.5</v>
      </c>
      <c r="H5958" s="6" t="n">
        <f aca="false">Sens!H5899</f>
        <v>16.5</v>
      </c>
      <c r="I5958" s="6" t="n">
        <f aca="false">Sens!I5899</f>
        <v>18.75</v>
      </c>
      <c r="J5958" s="6" t="n">
        <f aca="false">Sens!J5899</f>
        <v>20.25</v>
      </c>
      <c r="K5958" s="6" t="n">
        <f aca="false">Sens!K5899</f>
        <v>21.75</v>
      </c>
    </row>
    <row r="5959" customFormat="false" ht="17.15" hidden="false" customHeight="false" outlineLevel="0" collapsed="false">
      <c r="A5959" s="1" t="s">
        <v>1004</v>
      </c>
      <c r="B5959" s="0" t="s">
        <v>98</v>
      </c>
      <c r="F5959" s="6" t="n">
        <f aca="false">MAX(0,((Sens!E5859+Sens!F5859)/2-(shadow_base*(Sens!$D$5859+Sens!$E$5859)/2+(1-shadow_base)*Sens!$E$5859))*Sens!F5868/1000-(Sens!F5958-Sens!$E$5958)*Sens!F5938)</f>
        <v>10.5962787979473</v>
      </c>
      <c r="G5959" s="6" t="n">
        <f aca="false">MAX(0,((Sens!F5859+Sens!G5859)/2-(shadow_base*(Sens!$D$5859+Sens!$E$5859)/2+(1-shadow_base)*Sens!$E$5859))*Sens!G5868/1000-(Sens!G5958-Sens!$E$5958)*Sens!G5938)</f>
        <v>27.844646674932</v>
      </c>
      <c r="H5959" s="6" t="n">
        <f aca="false">MAX(0,((Sens!G5859+Sens!H5859)/2-(shadow_base*(Sens!$D$5859+Sens!$E$5859)/2+(1-shadow_base)*Sens!$E$5859))*Sens!H5868/1000-(Sens!H5958-Sens!$E$5958)*Sens!H5938)</f>
        <v>46.566205501382</v>
      </c>
      <c r="I5959" s="6" t="n">
        <f aca="false">MAX(0,((Sens!H5859+Sens!I5859)/2-(shadow_base*(Sens!$D$5859+Sens!$E$5859)/2+(1-shadow_base)*Sens!$E$5859))*Sens!I5868/1000-(Sens!I5958-Sens!$E$5958)*Sens!I5938)</f>
        <v>63.2717778126444</v>
      </c>
      <c r="J5959" s="6" t="n">
        <f aca="false">MAX(0,((Sens!I5859+Sens!J5859)/2-(shadow_base*(Sens!$D$5859+Sens!$E$5859)/2+(1-shadow_base)*Sens!$E$5859))*Sens!J5868/1000-(Sens!J5958-Sens!$E$5958)*Sens!J5938)</f>
        <v>74.9061222882009</v>
      </c>
      <c r="K5959" s="6" t="n">
        <f aca="false">MAX(0,((Sens!J5859+Sens!K5859)/2-(shadow_base*(Sens!$D$5859+Sens!$E$5859)/2+(1-shadow_base)*Sens!$E$5859))*Sens!K5868/1000-(Sens!K5958-Sens!$E$5958)*Sens!K5938)</f>
        <v>81.6395437180232</v>
      </c>
      <c r="L5959" s="1" t="s">
        <v>1005</v>
      </c>
    </row>
    <row r="5960" customFormat="false" ht="17.15" hidden="false" customHeight="false" outlineLevel="0" collapsed="false">
      <c r="A5960" s="1" t="s">
        <v>1006</v>
      </c>
      <c r="B5960" s="0" t="s">
        <v>98</v>
      </c>
      <c r="F5960" s="6" t="n">
        <f aca="false">IF(internal_ai_reading=2,1,0)*Sens!F5959</f>
        <v>10.5962787979473</v>
      </c>
      <c r="G5960" s="6" t="n">
        <f aca="false">IF(internal_ai_reading=2,1,0)*Sens!G5959</f>
        <v>27.844646674932</v>
      </c>
      <c r="H5960" s="6" t="n">
        <f aca="false">IF(internal_ai_reading=2,1,0)*Sens!H5959</f>
        <v>46.566205501382</v>
      </c>
      <c r="I5960" s="6" t="n">
        <f aca="false">IF(internal_ai_reading=2,1,0)*Sens!I5959</f>
        <v>63.2717778126444</v>
      </c>
      <c r="J5960" s="6" t="n">
        <f aca="false">IF(internal_ai_reading=2,1,0)*Sens!J5959</f>
        <v>74.9061222882009</v>
      </c>
      <c r="K5960" s="6" t="n">
        <f aca="false">IF(internal_ai_reading=2,1,0)*Sens!K5959</f>
        <v>81.6395437180232</v>
      </c>
    </row>
    <row r="5961" customFormat="false" ht="17.15" hidden="false" customHeight="false" outlineLevel="0" collapsed="false">
      <c r="A5961" s="0" t="s">
        <v>1007</v>
      </c>
      <c r="B5961" s="0" t="s">
        <v>98</v>
      </c>
      <c r="F5961" s="6" t="n">
        <f aca="false">Sens!F5878+Sens!F5958*Sens!F5938+Sens!F5960-Sens!F5879-Sens!F5890</f>
        <v>9.55294610043488</v>
      </c>
      <c r="G5961" s="6" t="n">
        <f aca="false">Sens!G5878+Sens!G5958*Sens!G5938+Sens!G5960-Sens!G5879-Sens!G5890</f>
        <v>14.7779866180133</v>
      </c>
      <c r="H5961" s="6" t="n">
        <f aca="false">Sens!H5878+Sens!H5958*Sens!H5938+Sens!H5960-Sens!H5879-Sens!H5890</f>
        <v>14.7811993984427</v>
      </c>
      <c r="I5961" s="6" t="n">
        <f aca="false">Sens!I5878+Sens!I5958*Sens!I5938+Sens!I5960-Sens!I5879-Sens!I5890</f>
        <v>20.9153185236768</v>
      </c>
      <c r="J5961" s="6" t="n">
        <f aca="false">Sens!J5878+Sens!J5958*Sens!J5938+Sens!J5960-Sens!J5879-Sens!J5890</f>
        <v>24.9293348980194</v>
      </c>
      <c r="K5961" s="6" t="n">
        <f aca="false">Sens!K5878+Sens!K5958*Sens!K5938+Sens!K5960-Sens!K5879-Sens!K5890</f>
        <v>27.4925111827595</v>
      </c>
    </row>
    <row r="5962" customFormat="false" ht="17.15" hidden="false" customHeight="false" outlineLevel="0" collapsed="false">
      <c r="A5962" s="0" t="s">
        <v>1008</v>
      </c>
      <c r="B5962" s="0" t="s">
        <v>98</v>
      </c>
      <c r="E5962" s="6" t="n">
        <f aca="false">Sens!E5858*(cxit_open+self_build*tk_cxfac)/1000*ai_net_open</f>
        <v>126.6980382</v>
      </c>
      <c r="F5962" s="6" t="n">
        <f aca="false">Sens!E5962+Sens!F5887-Sens!F5890</f>
        <v>260.572627763768</v>
      </c>
      <c r="G5962" s="6" t="n">
        <f aca="false">Sens!F5962+Sens!G5887-Sens!G5890</f>
        <v>391.782612760517</v>
      </c>
      <c r="H5962" s="6" t="n">
        <f aca="false">Sens!G5962+Sens!H5887-Sens!H5890</f>
        <v>499.488526163584</v>
      </c>
      <c r="I5962" s="6" t="n">
        <f aca="false">Sens!H5962+Sens!I5887-Sens!I5890</f>
        <v>553.872350090646</v>
      </c>
      <c r="J5962" s="6" t="n">
        <f aca="false">Sens!I5962+Sens!J5887-Sens!J5890</f>
        <v>550.78660823699</v>
      </c>
      <c r="K5962" s="6" t="n">
        <f aca="false">Sens!J5962+Sens!K5887-Sens!K5890</f>
        <v>526.736791750789</v>
      </c>
      <c r="L5962" s="1" t="s">
        <v>1009</v>
      </c>
    </row>
    <row r="5963" customFormat="false" ht="17.15" hidden="false" customHeight="false" outlineLevel="0" collapsed="false">
      <c r="A5963" s="0" t="s">
        <v>1010</v>
      </c>
      <c r="B5963" s="0" t="s">
        <v>168</v>
      </c>
      <c r="F5963" s="7" t="n">
        <f aca="false">Sens!F5961*(1-tax_f)/((Sens!E5962+Sens!F5962)/2)</f>
        <v>0.0394677808159263</v>
      </c>
      <c r="G5963" s="7" t="n">
        <f aca="false">Sens!G5961*(1-tax_f)/((Sens!F5962+Sens!G5962)/2)</f>
        <v>0.0362452497044686</v>
      </c>
      <c r="H5963" s="7" t="n">
        <f aca="false">Sens!H5961*(1-tax_f)/((Sens!G5962+Sens!H5962)/2)</f>
        <v>0.0265350441685538</v>
      </c>
      <c r="I5963" s="7" t="n">
        <f aca="false">Sens!I5961*(1-tax_f)/((Sens!H5962+Sens!I5962)/2)</f>
        <v>0.0317692733727527</v>
      </c>
      <c r="J5963" s="7" t="n">
        <f aca="false">Sens!J5961*(1-tax_f)/((Sens!I5962+Sens!J5962)/2)</f>
        <v>0.036107918680365</v>
      </c>
      <c r="K5963" s="7" t="n">
        <f aca="false">Sens!K5961*(1-tax_f)/((Sens!J5962+Sens!K5962)/2)</f>
        <v>0.0408232599801676</v>
      </c>
    </row>
    <row r="5964" customFormat="false" ht="17.15" hidden="false" customHeight="false" outlineLevel="0" collapsed="false">
      <c r="A5964" s="1" t="s">
        <v>1011</v>
      </c>
      <c r="B5964" s="0" t="s">
        <v>168</v>
      </c>
      <c r="F5964" s="7" t="n">
        <f aca="false">(Sens!F5961-Sens!F5960)*(1-tax_f)/((Sens!E5962+Sens!F5962)/2)</f>
        <v>-0.00431050544937508</v>
      </c>
      <c r="G5964" s="7" t="n">
        <f aca="false">(Sens!G5961-Sens!G5960)*(1-tax_f)/((Sens!F5962+Sens!G5962)/2)</f>
        <v>-0.032047962202722</v>
      </c>
      <c r="H5964" s="7" t="n">
        <f aca="false">(Sens!H5961-Sens!H5960)*(1-tax_f)/((Sens!G5962+Sens!H5962)/2)</f>
        <v>-0.0570600881636241</v>
      </c>
      <c r="I5964" s="7" t="n">
        <f aca="false">(Sens!I5961-Sens!I5960)*(1-tax_f)/((Sens!H5962+Sens!I5962)/2)</f>
        <v>-0.064337243189951</v>
      </c>
      <c r="J5964" s="7" t="n">
        <f aca="false">(Sens!J5961-Sens!J5960)*(1-tax_f)/((Sens!I5962+Sens!J5962)/2)</f>
        <v>-0.0723869201634392</v>
      </c>
      <c r="K5964" s="7" t="n">
        <f aca="false">(Sens!K5961-Sens!K5960)*(1-tax_f)/((Sens!J5962+Sens!K5962)/2)</f>
        <v>-0.0804022001354259</v>
      </c>
    </row>
    <row r="5965" customFormat="false" ht="17.15" hidden="false" customHeight="false" outlineLevel="0" collapsed="false">
      <c r="A5965" s="1" t="s">
        <v>1012</v>
      </c>
      <c r="B5965" s="0" t="s">
        <v>168</v>
      </c>
      <c r="F5965" s="7" t="n">
        <f aca="false">(Sens!F5961-Sens!F5960+Sens!F5959)*(1-tax_f)/((Sens!E5962+Sens!F5962)/2)</f>
        <v>0.0394677808159263</v>
      </c>
      <c r="G5965" s="7" t="n">
        <f aca="false">(Sens!G5961-Sens!G5960+Sens!G5959)*(1-tax_f)/((Sens!F5962+Sens!G5962)/2)</f>
        <v>0.0362452497044686</v>
      </c>
      <c r="H5965" s="7" t="n">
        <f aca="false">(Sens!H5961-Sens!H5960+Sens!H5959)*(1-tax_f)/((Sens!G5962+Sens!H5962)/2)</f>
        <v>0.0265350441685538</v>
      </c>
      <c r="I5965" s="7" t="n">
        <f aca="false">(Sens!I5961-Sens!I5960+Sens!I5959)*(1-tax_f)/((Sens!H5962+Sens!I5962)/2)</f>
        <v>0.0317692733727527</v>
      </c>
      <c r="J5965" s="7" t="n">
        <f aca="false">(Sens!J5961-Sens!J5960+Sens!J5959)*(1-tax_f)/((Sens!I5962+Sens!J5962)/2)</f>
        <v>0.036107918680365</v>
      </c>
      <c r="K5965" s="7" t="n">
        <f aca="false">(Sens!K5961-Sens!K5960+Sens!K5959)*(1-tax_f)/((Sens!J5962+Sens!K5962)/2)</f>
        <v>0.0408232599801676</v>
      </c>
    </row>
    <row r="5966" customFormat="false" ht="17.15" hidden="false" customHeight="false" outlineLevel="0" collapsed="false">
      <c r="A5966" s="1" t="s">
        <v>1013</v>
      </c>
      <c r="B5966" s="0" t="s">
        <v>168</v>
      </c>
      <c r="F5966" s="7" t="n">
        <f aca="false">Sens!F5891*(1-tax_f)/(Sens!F5877*(Sens!E5962+Sens!F5962)/2)</f>
        <v>0.093059455647628</v>
      </c>
      <c r="G5966" s="7" t="n">
        <f aca="false">Sens!G5891*(1-tax_f)/(Sens!G5877*(Sens!F5962+Sens!G5962)/2)</f>
        <v>0.0607413550746389</v>
      </c>
      <c r="H5966" s="7" t="n">
        <f aca="false">Sens!H5891*(1-tax_f)/(Sens!H5877*(Sens!G5962+Sens!H5962)/2)</f>
        <v>0.031793724754154</v>
      </c>
      <c r="I5966" s="7" t="n">
        <f aca="false">Sens!I5891*(1-tax_f)/(Sens!I5877*(Sens!H5962+Sens!I5962)/2)</f>
        <v>0.032966914425295</v>
      </c>
      <c r="J5966" s="7" t="n">
        <f aca="false">Sens!J5891*(1-tax_f)/(Sens!J5877*(Sens!I5962+Sens!J5962)/2)</f>
        <v>0.0350466935473874</v>
      </c>
      <c r="K5966" s="7" t="n">
        <f aca="false">Sens!K5891*(1-tax_f)/(Sens!K5877*(Sens!J5962+Sens!K5962)/2)</f>
        <v>0.0383912293997919</v>
      </c>
    </row>
    <row r="5967" customFormat="false" ht="17.15" hidden="false" customHeight="false" outlineLevel="0" collapsed="false">
      <c r="A5967" s="0" t="s">
        <v>1014</v>
      </c>
      <c r="B5967" s="0" t="s">
        <v>253</v>
      </c>
      <c r="F5967" s="7" t="n">
        <f aca="false">Sens!F5963-wacc</f>
        <v>-0.063468810129671</v>
      </c>
      <c r="G5967" s="7" t="n">
        <f aca="false">Sens!G5963-wacc</f>
        <v>-0.0666913412411287</v>
      </c>
      <c r="H5967" s="7" t="n">
        <f aca="false">Sens!H5963-wacc</f>
        <v>-0.0764015467770435</v>
      </c>
      <c r="I5967" s="7" t="n">
        <f aca="false">Sens!I5963-wacc</f>
        <v>-0.0711673175728446</v>
      </c>
      <c r="J5967" s="7" t="n">
        <f aca="false">Sens!J5963-wacc</f>
        <v>-0.0668286722652322</v>
      </c>
      <c r="K5967" s="7" t="n">
        <f aca="false">Sens!K5963-wacc</f>
        <v>-0.0621133309654297</v>
      </c>
    </row>
    <row r="5968" customFormat="false" ht="17.15" hidden="false" customHeight="false" outlineLevel="0" collapsed="false">
      <c r="A5968" s="0" t="s">
        <v>1015</v>
      </c>
      <c r="B5968" s="0" t="s">
        <v>98</v>
      </c>
      <c r="F5968" s="6" t="n">
        <f aca="false">Sens!F5961*(1-tax_f)-wacc*(Sens!E5962+Sens!F5962)/2</f>
        <v>-12.2898041834228</v>
      </c>
      <c r="G5968" s="6" t="n">
        <f aca="false">Sens!G5961*(1-tax_f)-wacc*(Sens!F5962+Sens!G5962)/2</f>
        <v>-21.7532229781218</v>
      </c>
      <c r="H5968" s="6" t="n">
        <f aca="false">Sens!H5961*(1-tax_f)-wacc*(Sens!G5962+Sens!H5962)/2</f>
        <v>-34.0472468057693</v>
      </c>
      <c r="I5968" s="6" t="n">
        <f aca="false">Sens!I5961*(1-tax_f)-wacc*(Sens!H5962+Sens!I5962)/2</f>
        <v>-37.4824339995973</v>
      </c>
      <c r="J5968" s="6" t="n">
        <f aca="false">Sens!J5961*(1-tax_f)-wacc*(Sens!I5962+Sens!J5962)/2</f>
        <v>-36.9114457454652</v>
      </c>
      <c r="K5968" s="6" t="n">
        <f aca="false">Sens!K5961*(1-tax_f)-wacc*(Sens!J5962+Sens!K5962)/2</f>
        <v>-33.464283783218</v>
      </c>
    </row>
    <row r="5969" customFormat="false" ht="17.15" hidden="false" customHeight="false" outlineLevel="0" collapsed="false">
      <c r="A5969" s="3" t="s">
        <v>1628</v>
      </c>
    </row>
    <row r="5970" customFormat="false" ht="15" hidden="false" customHeight="false" outlineLevel="0" collapsed="false">
      <c r="A5970" s="4" t="s">
        <v>43</v>
      </c>
      <c r="B5970" s="4" t="s">
        <v>65</v>
      </c>
      <c r="C5970" s="23" t="s">
        <v>938</v>
      </c>
      <c r="D5970" s="23" t="s">
        <v>939</v>
      </c>
      <c r="E5970" s="23" t="s">
        <v>940</v>
      </c>
      <c r="F5970" s="23" t="s">
        <v>941</v>
      </c>
      <c r="G5970" s="23" t="s">
        <v>942</v>
      </c>
      <c r="H5970" s="23" t="s">
        <v>943</v>
      </c>
      <c r="I5970" s="23" t="s">
        <v>944</v>
      </c>
      <c r="J5970" s="23" t="s">
        <v>945</v>
      </c>
      <c r="K5970" s="23" t="s">
        <v>946</v>
      </c>
      <c r="L5970" s="4" t="s">
        <v>47</v>
      </c>
    </row>
    <row r="5971" customFormat="false" ht="15" hidden="false" customHeight="false" outlineLevel="0" collapsed="false">
      <c r="A5971" s="1" t="s">
        <v>1076</v>
      </c>
      <c r="B5971" s="0" t="s">
        <v>98</v>
      </c>
      <c r="F5971" s="6" t="n">
        <f aca="false">Sens!F5952</f>
        <v>141.016226037004</v>
      </c>
      <c r="G5971" s="6" t="n">
        <f aca="false">Sens!G5952</f>
        <v>142.54653950749</v>
      </c>
      <c r="H5971" s="6" t="n">
        <f aca="false">Sens!H5952</f>
        <v>143.755068826407</v>
      </c>
      <c r="I5971" s="6" t="n">
        <f aca="false">Sens!I5952</f>
        <v>151.177961325074</v>
      </c>
      <c r="J5971" s="6" t="n">
        <f aca="false">Sens!J5952</f>
        <v>160.031745683507</v>
      </c>
      <c r="K5971" s="6" t="n">
        <f aca="false">Sens!K5952</f>
        <v>170.070422636506</v>
      </c>
    </row>
    <row r="5972" customFormat="false" ht="17.15" hidden="false" customHeight="false" outlineLevel="0" collapsed="false">
      <c r="A5972" s="1" t="s">
        <v>1098</v>
      </c>
      <c r="B5972" s="0" t="s">
        <v>98</v>
      </c>
      <c r="E5972" s="6" t="n">
        <f aca="false">Q!M38-Sens!E5890</f>
        <v>22.2285940229167</v>
      </c>
      <c r="F5972" s="6" t="n">
        <f aca="false">Sens!E5972*(1-1/life_nonai)+(Sens!F5980+Sens!F5981)/life_nonai</f>
        <v>23.5919963218199</v>
      </c>
      <c r="G5972" s="6" t="n">
        <f aca="false">Sens!F5972*(1-1/life_nonai)+(Sens!G5980)/life_nonai</f>
        <v>25.3552425524833</v>
      </c>
      <c r="H5972" s="6" t="n">
        <f aca="false">Sens!G5972*(1-1/life_nonai)+(Sens!H5980)/life_nonai</f>
        <v>27.4870073814458</v>
      </c>
      <c r="I5972" s="6" t="n">
        <f aca="false">Sens!H5972*(1-1/life_nonai)+(Sens!I5980)/life_nonai</f>
        <v>29.930454943036</v>
      </c>
      <c r="J5972" s="6" t="n">
        <f aca="false">Sens!I5972*(1-1/life_nonai)+(Sens!J5980)/life_nonai</f>
        <v>32.6106445467334</v>
      </c>
      <c r="K5972" s="6" t="n">
        <f aca="false">Sens!J5972*(1-1/life_nonai)+(Sens!K5980)/life_nonai</f>
        <v>35.4430531459546</v>
      </c>
      <c r="L5972" s="12" t="s">
        <v>1099</v>
      </c>
    </row>
    <row r="5973" customFormat="false" ht="17.15" hidden="false" customHeight="false" outlineLevel="0" collapsed="false">
      <c r="A5973" s="1" t="s">
        <v>1100</v>
      </c>
      <c r="B5973" s="0" t="s">
        <v>98</v>
      </c>
      <c r="F5973" s="6" t="n">
        <f aca="false">Sens!$F$5981/life_nonai*(1-1/life_nonai)^(Sens!F5853-2027)</f>
        <v>0</v>
      </c>
      <c r="G5973" s="6" t="n">
        <f aca="false">Sens!$F$5981/life_nonai*(1-1/life_nonai)^(Sens!G5853-2027)</f>
        <v>0</v>
      </c>
      <c r="H5973" s="6" t="n">
        <f aca="false">Sens!$F$5981/life_nonai*(1-1/life_nonai)^(Sens!H5853-2027)</f>
        <v>0</v>
      </c>
      <c r="I5973" s="6" t="n">
        <f aca="false">Sens!$F$5981/life_nonai*(1-1/life_nonai)^(Sens!I5853-2027)</f>
        <v>0</v>
      </c>
      <c r="J5973" s="6" t="n">
        <f aca="false">Sens!$F$5981/life_nonai*(1-1/life_nonai)^(Sens!J5853-2027)</f>
        <v>0</v>
      </c>
      <c r="K5973" s="6" t="n">
        <f aca="false">Sens!$F$5981/life_nonai*(1-1/life_nonai)^(Sens!K5853-2027)</f>
        <v>0</v>
      </c>
      <c r="L5973" s="1" t="s">
        <v>1101</v>
      </c>
    </row>
    <row r="5974" customFormat="false" ht="17.15" hidden="false" customHeight="false" outlineLevel="0" collapsed="false">
      <c r="A5974" s="1" t="s">
        <v>1102</v>
      </c>
      <c r="B5974" s="0" t="s">
        <v>98</v>
      </c>
      <c r="E5974" s="6" t="n">
        <f aca="false">Sens!E5890+Sens!E5972</f>
        <v>38.534</v>
      </c>
      <c r="F5974" s="6" t="n">
        <f aca="false">Sens!F5890+Sens!F5972</f>
        <v>58.1713108001715</v>
      </c>
      <c r="G5974" s="6" t="n">
        <f aca="false">Sens!G5890+Sens!G5972</f>
        <v>86.0897332047823</v>
      </c>
      <c r="H5974" s="6" t="n">
        <f aca="false">Sens!H5890+Sens!H5972</f>
        <v>116.587098042891</v>
      </c>
      <c r="I5974" s="6" t="n">
        <f aca="false">Sens!I5890+Sens!I5972</f>
        <v>144.161464637584</v>
      </c>
      <c r="J5974" s="6" t="n">
        <f aca="false">Sens!J5890+Sens!J5972</f>
        <v>164.626317596329</v>
      </c>
      <c r="K5974" s="6" t="n">
        <f aca="false">Sens!K5890+Sens!K5972</f>
        <v>178.455722696889</v>
      </c>
    </row>
    <row r="5975" customFormat="false" ht="17.15" hidden="false" customHeight="false" outlineLevel="0" collapsed="false">
      <c r="A5975" s="1" t="s">
        <v>1103</v>
      </c>
      <c r="B5975" s="0" t="s">
        <v>98</v>
      </c>
      <c r="F5975" s="6" t="n">
        <f aca="false">Sens!F5917*sbc_r</f>
        <v>14.721193342517</v>
      </c>
      <c r="G5975" s="6" t="n">
        <f aca="false">Sens!G5917*sbc_r</f>
        <v>17.102109556924</v>
      </c>
      <c r="H5975" s="6" t="n">
        <f aca="false">Sens!H5917*sbc_r</f>
        <v>19.3326362649035</v>
      </c>
      <c r="I5975" s="6" t="n">
        <f aca="false">Sens!I5917*sbc_r</f>
        <v>21.6560571660358</v>
      </c>
      <c r="J5975" s="6" t="n">
        <f aca="false">Sens!J5917*sbc_r</f>
        <v>23.6076687079173</v>
      </c>
      <c r="K5975" s="6" t="n">
        <f aca="false">Sens!K5917*sbc_r</f>
        <v>25.1951819973933</v>
      </c>
    </row>
    <row r="5976" customFormat="false" ht="17.15" hidden="false" customHeight="false" outlineLevel="0" collapsed="false">
      <c r="A5976" s="1" t="s">
        <v>1104</v>
      </c>
      <c r="B5976" s="0" t="s">
        <v>98</v>
      </c>
      <c r="F5976" s="6" t="n">
        <f aca="false">wc27-wc26q1</f>
        <v>-4.677</v>
      </c>
      <c r="G5976" s="6" t="n">
        <f aca="false">wc_f</f>
        <v>0</v>
      </c>
      <c r="H5976" s="6" t="n">
        <f aca="false">wc_f</f>
        <v>0</v>
      </c>
      <c r="I5976" s="6" t="n">
        <f aca="false">wc_f</f>
        <v>0</v>
      </c>
      <c r="J5976" s="6" t="n">
        <f aca="false">wc_f</f>
        <v>0</v>
      </c>
      <c r="K5976" s="6" t="n">
        <f aca="false">wc_f</f>
        <v>0</v>
      </c>
      <c r="L5976" s="12" t="s">
        <v>1105</v>
      </c>
    </row>
    <row r="5977" customFormat="false" ht="17.15" hidden="false" customHeight="false" outlineLevel="0" collapsed="false">
      <c r="A5977" s="0" t="s">
        <v>1106</v>
      </c>
      <c r="B5977" s="0" t="s">
        <v>98</v>
      </c>
      <c r="F5977" s="6" t="n">
        <f aca="false">Q!$I$35-Q!$I$26-Q!$I$38-Q!$I$39</f>
        <v>6.493</v>
      </c>
      <c r="L5977" s="1" t="s">
        <v>1107</v>
      </c>
    </row>
    <row r="5978" customFormat="false" ht="15" hidden="false" customHeight="false" outlineLevel="0" collapsed="false">
      <c r="A5978" s="1" t="s">
        <v>904</v>
      </c>
      <c r="B5978" s="0" t="s">
        <v>98</v>
      </c>
      <c r="E5978" s="6" t="n">
        <f aca="false">Q!M35</f>
        <v>182.935</v>
      </c>
      <c r="F5978" s="6" t="n">
        <f aca="false">Sens!F5971+Sens!F5974+Sens!F5975+Sens!F5976+Sens!F5977</f>
        <v>215.724730179692</v>
      </c>
      <c r="G5978" s="6" t="n">
        <f aca="false">Sens!G5971+Sens!G5974+Sens!G5975+Sens!G5976</f>
        <v>245.738382269196</v>
      </c>
      <c r="H5978" s="6" t="n">
        <f aca="false">Sens!H5971+Sens!H5974+Sens!H5975+Sens!H5976</f>
        <v>279.674803134202</v>
      </c>
      <c r="I5978" s="6" t="n">
        <f aca="false">Sens!I5971+Sens!I5974+Sens!I5975+Sens!I5976</f>
        <v>316.995483128694</v>
      </c>
      <c r="J5978" s="6" t="n">
        <f aca="false">Sens!J5971+Sens!J5974+Sens!J5975+Sens!J5976</f>
        <v>348.265731987754</v>
      </c>
      <c r="K5978" s="6" t="n">
        <f aca="false">Sens!K5971+Sens!K5974+Sens!K5975+Sens!K5976</f>
        <v>373.721327330788</v>
      </c>
    </row>
    <row r="5979" customFormat="false" ht="17.15" hidden="false" customHeight="false" outlineLevel="0" collapsed="false">
      <c r="A5979" s="0" t="s">
        <v>1108</v>
      </c>
      <c r="B5979" s="0" t="s">
        <v>98</v>
      </c>
      <c r="F5979" s="6" t="n">
        <f aca="false">Sens!F5887</f>
        <v>168.45390404212</v>
      </c>
      <c r="G5979" s="6" t="n">
        <f aca="false">Sens!G5887</f>
        <v>191.944475649048</v>
      </c>
      <c r="H5979" s="6" t="n">
        <f aca="false">Sens!H5887</f>
        <v>196.806004064512</v>
      </c>
      <c r="I5979" s="6" t="n">
        <f aca="false">Sens!I5887</f>
        <v>168.61483362161</v>
      </c>
      <c r="J5979" s="6" t="n">
        <f aca="false">Sens!J5887</f>
        <v>128.92993119594</v>
      </c>
      <c r="K5979" s="6" t="n">
        <f aca="false">Sens!K5887</f>
        <v>118.962853064733</v>
      </c>
    </row>
    <row r="5980" customFormat="false" ht="17.15" hidden="false" customHeight="false" outlineLevel="0" collapsed="false">
      <c r="A5980" s="1" t="s">
        <v>1109</v>
      </c>
      <c r="B5980" s="0" t="s">
        <v>98</v>
      </c>
      <c r="E5980" s="6" t="n">
        <f aca="false">Sens!E5895*cx_azo+Sens!E5902*cx_m365+Sens!E5903*cx_lic+(Sens!E5905+Sens!E5907)*cx_ind+Sens!E5910*cx_srch+(Sens!E5912+Sens!E5914)*cx_dev</f>
        <v>30.1846587067718</v>
      </c>
      <c r="F5980" s="6" t="n">
        <f aca="false">Sens!F5895*cx_azo+Sens!F5902*cx_m365+Sens!F5903*cx_lic+(Sens!F5905+Sens!F5907)*cx_ind+Sens!F5910*cx_srch+(Sens!F5912+Sens!F5914)*cx_dev</f>
        <v>35.862617011949</v>
      </c>
      <c r="G5980" s="6" t="n">
        <f aca="false">Sens!G5895*cx_azo+Sens!G5902*cx_m365+Sens!G5903*cx_lic+(Sens!G5905+Sens!G5907)*cx_ind+Sens!G5910*cx_srch+(Sens!G5912+Sens!G5914)*cx_dev</f>
        <v>41.2244586284542</v>
      </c>
      <c r="H5980" s="6" t="n">
        <f aca="false">Sens!H5895*cx_azo+Sens!H5902*cx_m365+Sens!H5903*cx_lic+(Sens!H5905+Sens!H5907)*cx_ind+Sens!H5910*cx_srch+(Sens!H5912+Sens!H5914)*cx_dev</f>
        <v>46.6728908421077</v>
      </c>
      <c r="I5980" s="6" t="n">
        <f aca="false">Sens!I5895*cx_azo+Sens!I5902*cx_m365+Sens!I5903*cx_lic+(Sens!I5905+Sens!I5907)*cx_ind+Sens!I5910*cx_srch+(Sens!I5912+Sens!I5914)*cx_dev</f>
        <v>51.9214829973481</v>
      </c>
      <c r="J5980" s="6" t="n">
        <f aca="false">Sens!J5895*cx_azo+Sens!J5902*cx_m365+Sens!J5903*cx_lic+(Sens!J5905+Sens!J5907)*cx_ind+Sens!J5910*cx_srch+(Sens!J5912+Sens!J5914)*cx_dev</f>
        <v>56.7323509800095</v>
      </c>
      <c r="K5980" s="6" t="n">
        <f aca="false">Sens!K5895*cx_azo+Sens!K5902*cx_m365+Sens!K5903*cx_lic+(Sens!K5905+Sens!K5907)*cx_ind+Sens!K5910*cx_srch+(Sens!K5912+Sens!K5914)*cx_dev</f>
        <v>60.9347305389459</v>
      </c>
    </row>
    <row r="5981" customFormat="false" ht="17.15" hidden="false" customHeight="false" outlineLevel="0" collapsed="false">
      <c r="A5981" s="0" t="s">
        <v>1110</v>
      </c>
      <c r="B5981" s="0" t="s">
        <v>98</v>
      </c>
      <c r="F5981" s="6" t="n">
        <f aca="false">Sens!F5885</f>
        <v>0</v>
      </c>
      <c r="L5981" s="1" t="s">
        <v>1111</v>
      </c>
    </row>
    <row r="5982" customFormat="false" ht="17.15" hidden="false" customHeight="false" outlineLevel="0" collapsed="false">
      <c r="A5982" s="1" t="s">
        <v>1112</v>
      </c>
      <c r="B5982" s="0" t="s">
        <v>98</v>
      </c>
      <c r="E5982" s="6" t="n">
        <f aca="false">Q!M43</f>
        <v>145.3</v>
      </c>
      <c r="F5982" s="6" t="n">
        <f aca="false">Sens!F5979+Sens!F5980+Sens!F5981</f>
        <v>204.316521054069</v>
      </c>
      <c r="G5982" s="6" t="n">
        <f aca="false">Sens!G5979+Sens!G5980</f>
        <v>233.168934277502</v>
      </c>
      <c r="H5982" s="6" t="n">
        <f aca="false">Sens!H5979+Sens!H5980</f>
        <v>243.47889490662</v>
      </c>
      <c r="I5982" s="6" t="n">
        <f aca="false">Sens!I5979+Sens!I5980</f>
        <v>220.536316618958</v>
      </c>
      <c r="J5982" s="6" t="n">
        <f aca="false">Sens!J5979+Sens!J5980</f>
        <v>185.66228217595</v>
      </c>
      <c r="K5982" s="6" t="n">
        <f aca="false">Sens!K5979+Sens!K5980</f>
        <v>179.897583603679</v>
      </c>
      <c r="L5982" s="1" t="s">
        <v>1113</v>
      </c>
    </row>
    <row r="5983" customFormat="false" ht="15" hidden="false" customHeight="false" outlineLevel="0" collapsed="false">
      <c r="A5983" s="1" t="s">
        <v>1114</v>
      </c>
      <c r="B5983" s="0" t="s">
        <v>98</v>
      </c>
      <c r="E5983" s="6" t="n">
        <f aca="false">fl_liab</f>
        <v>66.594</v>
      </c>
      <c r="F5983" s="6" t="n">
        <f aca="false">Sens!E5983-Sens!F5984</f>
        <v>62.46973</v>
      </c>
      <c r="G5983" s="6" t="n">
        <f aca="false">Sens!F5983-Sens!G5984</f>
        <v>57.98686785</v>
      </c>
      <c r="H5983" s="6" t="n">
        <f aca="false">Sens!G5983-Sens!H5984</f>
        <v>53.92827690325</v>
      </c>
      <c r="I5983" s="6" t="n">
        <f aca="false">Sens!H5983-Sens!I5984</f>
        <v>49.7850493638962</v>
      </c>
      <c r="J5983" s="6" t="n">
        <f aca="false">Sens!I5983-Sens!J5984</f>
        <v>45.4823765852716</v>
      </c>
      <c r="K5983" s="6" t="n">
        <f aca="false">Sens!J5983-Sens!K5984</f>
        <v>40.9860835316088</v>
      </c>
    </row>
    <row r="5984" customFormat="false" ht="15" hidden="false" customHeight="false" outlineLevel="0" collapsed="false">
      <c r="A5984" s="1" t="s">
        <v>1115</v>
      </c>
      <c r="B5984" s="0" t="s">
        <v>98</v>
      </c>
      <c r="F5984" s="6" t="n">
        <f aca="false">fl_pay_27-Sens!E5983*fl_rate</f>
        <v>4.12427</v>
      </c>
      <c r="G5984" s="6" t="n">
        <f aca="false">fl_pay_28-Sens!F5983*fl_rate</f>
        <v>4.48286215</v>
      </c>
      <c r="H5984" s="6" t="n">
        <f aca="false">fl_pay_29-Sens!G5983*fl_rate</f>
        <v>4.05859094675</v>
      </c>
      <c r="I5984" s="6" t="n">
        <f aca="false">fl_pay_30-Sens!H5983*fl_rate</f>
        <v>4.14322753935375</v>
      </c>
      <c r="J5984" s="6" t="n">
        <f aca="false">fl_pay_31-Sens!I5983*fl_rate</f>
        <v>4.30267277862467</v>
      </c>
      <c r="K5984" s="6" t="n">
        <f aca="false">fl_pay_32-Sens!J5983*fl_rate</f>
        <v>4.49629305366278</v>
      </c>
    </row>
    <row r="5985" customFormat="false" ht="17.15" hidden="false" customHeight="false" outlineLevel="0" collapsed="false">
      <c r="A5985" s="1" t="s">
        <v>1116</v>
      </c>
      <c r="B5985" s="0" t="s">
        <v>98</v>
      </c>
      <c r="E5985" s="6" t="n">
        <f aca="false">Q!M35-Q!M36-Q!M44</f>
        <v>63.886</v>
      </c>
      <c r="F5985" s="6" t="n">
        <f aca="false">Sens!F5978-Sens!F5982-Sens!F5984</f>
        <v>7.28393912562367</v>
      </c>
      <c r="G5985" s="6" t="n">
        <f aca="false">Sens!G5978-Sens!G5982-Sens!G5984</f>
        <v>8.08658584169364</v>
      </c>
      <c r="H5985" s="6" t="n">
        <f aca="false">Sens!H5978-Sens!H5982-Sens!H5984</f>
        <v>32.1373172808317</v>
      </c>
      <c r="I5985" s="6" t="n">
        <f aca="false">Sens!I5978-Sens!I5982-Sens!I5984</f>
        <v>92.3159389703822</v>
      </c>
      <c r="J5985" s="6" t="n">
        <f aca="false">Sens!J5978-Sens!J5982-Sens!J5984</f>
        <v>158.300777033179</v>
      </c>
      <c r="K5985" s="6" t="n">
        <f aca="false">Sens!K5978-Sens!K5982-Sens!K5984</f>
        <v>189.327450673447</v>
      </c>
      <c r="L5985" s="12" t="s">
        <v>1117</v>
      </c>
    </row>
    <row r="5986" customFormat="false" ht="15" hidden="false" customHeight="false" outlineLevel="0" collapsed="false">
      <c r="A5986" s="1" t="s">
        <v>1118</v>
      </c>
      <c r="B5986" s="0" t="s">
        <v>75</v>
      </c>
      <c r="F5986" s="8" t="n">
        <f aca="false">dps_27</f>
        <v>3.85</v>
      </c>
      <c r="G5986" s="8" t="n">
        <f aca="false">Sens!F5986*(1+dps_g)</f>
        <v>4.158</v>
      </c>
      <c r="H5986" s="8" t="n">
        <f aca="false">Sens!G5986*(1+dps_g)</f>
        <v>4.49064</v>
      </c>
      <c r="I5986" s="8" t="n">
        <f aca="false">Sens!H5986*(1+dps_g)</f>
        <v>4.8498912</v>
      </c>
      <c r="J5986" s="8" t="n">
        <f aca="false">Sens!I5986*(1+dps_g)</f>
        <v>5.237882496</v>
      </c>
      <c r="K5986" s="8" t="n">
        <f aca="false">Sens!J5986*(1+dps_g)</f>
        <v>5.65691309568</v>
      </c>
    </row>
    <row r="5987" customFormat="false" ht="17.15" hidden="false" customHeight="false" outlineLevel="0" collapsed="false">
      <c r="A5987" s="1" t="s">
        <v>1119</v>
      </c>
      <c r="B5987" s="0" t="s">
        <v>98</v>
      </c>
      <c r="E5987" s="6" t="n">
        <f aca="false">Q!M41</f>
        <v>26.445</v>
      </c>
      <c r="F5987" s="6" t="n">
        <f aca="false">Sens!F5986*Sens!E5996</f>
        <v>28.59395</v>
      </c>
      <c r="G5987" s="6" t="n">
        <f aca="false">Sens!G5986*Sens!F5996</f>
        <v>31.068576</v>
      </c>
      <c r="H5987" s="6" t="n">
        <f aca="false">Sens!H5986*Sens!G5996</f>
        <v>33.75614088</v>
      </c>
      <c r="I5987" s="6" t="n">
        <f aca="false">Sens!I5986*Sens!H5996</f>
        <v>36.6748772544</v>
      </c>
      <c r="J5987" s="6" t="n">
        <f aca="false">Sens!J5986*Sens!I5996</f>
        <v>39.6767653201446</v>
      </c>
      <c r="K5987" s="6" t="n">
        <f aca="false">Sens!K5986*Sens!J5996</f>
        <v>42.9376608081345</v>
      </c>
      <c r="L5987" s="1" t="s">
        <v>1120</v>
      </c>
    </row>
    <row r="5988" customFormat="false" ht="15" hidden="false" customHeight="false" outlineLevel="0" collapsed="false">
      <c r="A5988" s="1" t="s">
        <v>1121</v>
      </c>
      <c r="B5988" s="0" t="s">
        <v>98</v>
      </c>
      <c r="E5988" s="6" t="n">
        <f aca="false">Sens!E5985-Sens!E5987</f>
        <v>37.441</v>
      </c>
      <c r="F5988" s="6" t="n">
        <f aca="false">Sens!F5985-Sens!F5987</f>
        <v>-21.3100108743763</v>
      </c>
      <c r="G5988" s="6" t="n">
        <f aca="false">Sens!G5985-Sens!G5987</f>
        <v>-22.9819901583064</v>
      </c>
      <c r="H5988" s="6" t="n">
        <f aca="false">Sens!H5985-Sens!H5987</f>
        <v>-1.61882359916831</v>
      </c>
      <c r="I5988" s="6" t="n">
        <f aca="false">Sens!I5985-Sens!I5987</f>
        <v>55.6410617159822</v>
      </c>
      <c r="J5988" s="6" t="n">
        <f aca="false">Sens!J5985-Sens!J5987</f>
        <v>118.624011713035</v>
      </c>
      <c r="K5988" s="6" t="n">
        <f aca="false">Sens!K5985-Sens!K5987</f>
        <v>146.389789865312</v>
      </c>
    </row>
    <row r="5989" customFormat="false" ht="15" hidden="false" customHeight="false" outlineLevel="0" collapsed="false">
      <c r="A5989" s="1" t="s">
        <v>1122</v>
      </c>
      <c r="B5989" s="0" t="s">
        <v>98</v>
      </c>
      <c r="F5989" s="6" t="n">
        <f aca="false">debt_mat_27</f>
        <v>9.25</v>
      </c>
      <c r="G5989" s="6" t="n">
        <f aca="false">debt_mat_28</f>
        <v>0</v>
      </c>
      <c r="H5989" s="6" t="n">
        <f aca="false">debt_mat_29</f>
        <v>2.001</v>
      </c>
      <c r="I5989" s="6" t="n">
        <f aca="false">debt_mat_30</f>
        <v>0</v>
      </c>
      <c r="J5989" s="6" t="n">
        <f aca="false">debt_mat_31</f>
        <v>0.5</v>
      </c>
      <c r="K5989" s="6" t="n">
        <f aca="false">debt_mat_32</f>
        <v>0</v>
      </c>
    </row>
    <row r="5990" customFormat="false" ht="15" hidden="false" customHeight="false" outlineLevel="0" collapsed="false">
      <c r="A5990" s="1" t="s">
        <v>1123</v>
      </c>
      <c r="B5990" s="0" t="s">
        <v>98</v>
      </c>
      <c r="E5990" s="6" t="n">
        <f aca="false">Q!M40</f>
        <v>22.271</v>
      </c>
      <c r="F5990" s="6" t="n">
        <f aca="false">MAX(0,MIN(bb_target,Sens!E5992+Sens!F5988-Sens!F5989-min_cash))</f>
        <v>0</v>
      </c>
      <c r="G5990" s="6" t="n">
        <f aca="false">MAX(0,MIN(bb_target,Sens!F5992+Sens!G5988-Sens!G5989-min_cash))</f>
        <v>0</v>
      </c>
      <c r="H5990" s="6" t="n">
        <f aca="false">MAX(0,MIN(bb_target,Sens!G5992+Sens!H5988-Sens!H5989-min_cash))</f>
        <v>0</v>
      </c>
      <c r="I5990" s="6" t="n">
        <f aca="false">MAX(0,MIN(bb_target,Sens!H5992+Sens!I5988-Sens!I5989-min_cash))</f>
        <v>22.271</v>
      </c>
      <c r="J5990" s="6" t="n">
        <f aca="false">MAX(0,MIN(bb_target,Sens!I5992+Sens!J5988-Sens!J5989-min_cash))</f>
        <v>22.271</v>
      </c>
      <c r="K5990" s="6" t="n">
        <f aca="false">MAX(0,MIN(bb_target,Sens!J5992+Sens!K5988-Sens!K5989-min_cash))</f>
        <v>22.271</v>
      </c>
    </row>
    <row r="5991" customFormat="false" ht="15" hidden="false" customHeight="false" outlineLevel="0" collapsed="false">
      <c r="A5991" s="1" t="s">
        <v>1124</v>
      </c>
      <c r="B5991" s="0" t="s">
        <v>98</v>
      </c>
      <c r="F5991" s="6" t="n">
        <f aca="false">MAX(0,min_cash-(Sens!E5992+Sens!F5988-Sens!F5989-Sens!F5990))</f>
        <v>3.71701087437633</v>
      </c>
      <c r="G5991" s="6" t="n">
        <f aca="false">MAX(0,min_cash-(Sens!F5992+Sens!G5988-Sens!G5989-Sens!G5990))</f>
        <v>22.9819901583064</v>
      </c>
      <c r="H5991" s="6" t="n">
        <f aca="false">MAX(0,min_cash-(Sens!G5992+Sens!H5988-Sens!H5989-Sens!H5990))</f>
        <v>3.61982359916831</v>
      </c>
      <c r="I5991" s="6" t="n">
        <f aca="false">MAX(0,min_cash-(Sens!H5992+Sens!I5988-Sens!I5989-Sens!I5990))</f>
        <v>0</v>
      </c>
      <c r="J5991" s="6" t="n">
        <f aca="false">MAX(0,min_cash-(Sens!I5992+Sens!J5988-Sens!J5989-Sens!J5990))</f>
        <v>0</v>
      </c>
      <c r="K5991" s="6" t="n">
        <f aca="false">MAX(0,min_cash-(Sens!J5992+Sens!K5988-Sens!K5989-Sens!K5990))</f>
        <v>0</v>
      </c>
    </row>
    <row r="5992" customFormat="false" ht="15" hidden="false" customHeight="false" outlineLevel="0" collapsed="false">
      <c r="A5992" s="1" t="s">
        <v>1125</v>
      </c>
      <c r="B5992" s="0" t="s">
        <v>98</v>
      </c>
      <c r="E5992" s="6" t="n">
        <f aca="false">cash_open</f>
        <v>76.843</v>
      </c>
      <c r="F5992" s="6" t="n">
        <f aca="false">Sens!E5992+Sens!F5988-Sens!F5989-Sens!F5990+Sens!F5991</f>
        <v>50</v>
      </c>
      <c r="G5992" s="6" t="n">
        <f aca="false">Sens!F5992+Sens!G5988-Sens!G5989-Sens!G5990+Sens!G5991</f>
        <v>50</v>
      </c>
      <c r="H5992" s="6" t="n">
        <f aca="false">Sens!G5992+Sens!H5988-Sens!H5989-Sens!H5990+Sens!H5991</f>
        <v>50</v>
      </c>
      <c r="I5992" s="6" t="n">
        <f aca="false">Sens!H5992+Sens!I5988-Sens!I5989-Sens!I5990+Sens!I5991</f>
        <v>83.3700617159822</v>
      </c>
      <c r="J5992" s="6" t="n">
        <f aca="false">Sens!I5992+Sens!J5988-Sens!J5989-Sens!J5990+Sens!J5991</f>
        <v>179.223073429017</v>
      </c>
      <c r="K5992" s="6" t="n">
        <f aca="false">Sens!J5992+Sens!K5988-Sens!K5989-Sens!K5990+Sens!K5991</f>
        <v>303.341863294329</v>
      </c>
    </row>
    <row r="5993" customFormat="false" ht="15" hidden="false" customHeight="false" outlineLevel="0" collapsed="false">
      <c r="A5993" s="1" t="s">
        <v>1126</v>
      </c>
      <c r="B5993" s="0" t="s">
        <v>98</v>
      </c>
      <c r="E5993" s="6" t="n">
        <f aca="false">debt_face</f>
        <v>46.136</v>
      </c>
      <c r="F5993" s="6" t="n">
        <f aca="false">Sens!E5993-Sens!F5989+Sens!F5991</f>
        <v>40.6030108743763</v>
      </c>
      <c r="G5993" s="6" t="n">
        <f aca="false">Sens!F5993-Sens!G5989+Sens!G5991</f>
        <v>63.5850010326827</v>
      </c>
      <c r="H5993" s="6" t="n">
        <f aca="false">Sens!G5993-Sens!H5989+Sens!H5991</f>
        <v>65.203824631851</v>
      </c>
      <c r="I5993" s="6" t="n">
        <f aca="false">Sens!H5993-Sens!I5989+Sens!I5991</f>
        <v>65.203824631851</v>
      </c>
      <c r="J5993" s="6" t="n">
        <f aca="false">Sens!I5993-Sens!J5989+Sens!J5991</f>
        <v>64.703824631851</v>
      </c>
      <c r="K5993" s="6" t="n">
        <f aca="false">Sens!J5993-Sens!K5989+Sens!K5991</f>
        <v>64.703824631851</v>
      </c>
    </row>
    <row r="5994" customFormat="false" ht="15" hidden="false" customHeight="false" outlineLevel="0" collapsed="false">
      <c r="A5994" s="1" t="s">
        <v>1127</v>
      </c>
      <c r="B5994" s="0" t="s">
        <v>98</v>
      </c>
      <c r="E5994" s="6" t="n">
        <f aca="false">Sens!E5992-Sens!E5993</f>
        <v>30.707</v>
      </c>
      <c r="F5994" s="6" t="n">
        <f aca="false">Sens!F5992-Sens!F5993</f>
        <v>9.39698912562367</v>
      </c>
      <c r="G5994" s="6" t="n">
        <f aca="false">Sens!G5992-Sens!G5993</f>
        <v>-13.5850010326827</v>
      </c>
      <c r="H5994" s="6" t="n">
        <f aca="false">Sens!H5992-Sens!H5993</f>
        <v>-15.203824631851</v>
      </c>
      <c r="I5994" s="6" t="n">
        <f aca="false">Sens!I5992-Sens!I5993</f>
        <v>18.1662370841312</v>
      </c>
      <c r="J5994" s="6" t="n">
        <f aca="false">Sens!J5992-Sens!J5993</f>
        <v>114.519248797166</v>
      </c>
      <c r="K5994" s="6" t="n">
        <f aca="false">Sens!K5992-Sens!K5993</f>
        <v>238.638038662478</v>
      </c>
    </row>
    <row r="5995" customFormat="false" ht="15" hidden="false" customHeight="false" outlineLevel="0" collapsed="false">
      <c r="A5995" s="1" t="s">
        <v>1128</v>
      </c>
      <c r="B5995" s="0" t="s">
        <v>75</v>
      </c>
      <c r="F5995" s="30" t="n">
        <f aca="false">px*(1+bb_g)^(Sens!F5853-base_fy-mid_yr)</f>
        <v>551.84177959629</v>
      </c>
      <c r="G5995" s="30" t="n">
        <f aca="false">px*(1+bb_g)^(Sens!G5853-base_fy-mid_yr)</f>
        <v>595.989121963993</v>
      </c>
      <c r="H5995" s="30" t="n">
        <f aca="false">px*(1+bb_g)^(Sens!H5853-base_fy-mid_yr)</f>
        <v>643.668251721112</v>
      </c>
      <c r="I5995" s="30" t="n">
        <f aca="false">px*(1+bb_g)^(Sens!I5853-base_fy-mid_yr)</f>
        <v>695.161711858801</v>
      </c>
      <c r="J5995" s="30" t="n">
        <f aca="false">px*(1+bb_g)^(Sens!J5853-base_fy-mid_yr)</f>
        <v>750.774648807506</v>
      </c>
      <c r="K5995" s="30" t="n">
        <f aca="false">px*(1+bb_g)^(Sens!K5853-base_fy-mid_yr)</f>
        <v>810.836620712106</v>
      </c>
    </row>
    <row r="5996" customFormat="false" ht="15" hidden="false" customHeight="false" outlineLevel="0" collapsed="false">
      <c r="A5996" s="1" t="s">
        <v>1129</v>
      </c>
      <c r="B5996" s="1" t="s">
        <v>81</v>
      </c>
      <c r="E5996" s="15" t="n">
        <f aca="false">sh_out26</f>
        <v>7.427</v>
      </c>
      <c r="F5996" s="15" t="n">
        <f aca="false">Sens!E5996+sh_iss-Sens!F5990/Sens!F5995</f>
        <v>7.472</v>
      </c>
      <c r="G5996" s="15" t="n">
        <f aca="false">Sens!F5996+sh_iss-Sens!G5990/Sens!G5995</f>
        <v>7.517</v>
      </c>
      <c r="H5996" s="15" t="n">
        <f aca="false">Sens!G5996+sh_iss-Sens!H5990/Sens!H5995</f>
        <v>7.562</v>
      </c>
      <c r="I5996" s="15" t="n">
        <f aca="false">Sens!H5996+sh_iss-Sens!I5990/Sens!I5995</f>
        <v>7.57496285005334</v>
      </c>
      <c r="J5996" s="15" t="n">
        <f aca="false">Sens!I5996+sh_iss-Sens!J5990/Sens!J5995</f>
        <v>7.59029882232494</v>
      </c>
      <c r="K5996" s="15" t="n">
        <f aca="false">Sens!J5996+sh_iss-Sens!K5990/Sens!K5995</f>
        <v>7.60783212998384</v>
      </c>
    </row>
    <row r="5997" customFormat="false" ht="15" hidden="false" customHeight="false" outlineLevel="0" collapsed="false">
      <c r="A5997" s="1" t="s">
        <v>1130</v>
      </c>
      <c r="B5997" s="1" t="s">
        <v>81</v>
      </c>
      <c r="E5997" s="15" t="n">
        <f aca="false">sh_dil26</f>
        <v>7.453</v>
      </c>
      <c r="F5997" s="15" t="n">
        <f aca="false">(Sens!E5996+Sens!F5996)/2+dil_gap</f>
        <v>7.4735</v>
      </c>
      <c r="G5997" s="15" t="n">
        <f aca="false">(Sens!F5996+Sens!G5996)/2+dil_gap</f>
        <v>7.5185</v>
      </c>
      <c r="H5997" s="15" t="n">
        <f aca="false">(Sens!G5996+Sens!H5996)/2+dil_gap</f>
        <v>7.5635</v>
      </c>
      <c r="I5997" s="15" t="n">
        <f aca="false">(Sens!H5996+Sens!I5996)/2+dil_gap</f>
        <v>7.59248142502667</v>
      </c>
      <c r="J5997" s="15" t="n">
        <f aca="false">(Sens!I5996+Sens!J5996)/2+dil_gap</f>
        <v>7.60663083618914</v>
      </c>
      <c r="K5997" s="15" t="n">
        <f aca="false">(Sens!J5996+Sens!K5996)/2+dil_gap</f>
        <v>7.62306547615439</v>
      </c>
    </row>
    <row r="5998" customFormat="false" ht="17.15" hidden="false" customHeight="false" outlineLevel="0" collapsed="false">
      <c r="A5998" s="1" t="s">
        <v>1131</v>
      </c>
      <c r="B5998" s="0" t="s">
        <v>98</v>
      </c>
      <c r="C5998" s="6" t="n">
        <f aca="false">SUM(Sens!F5988:J5988)</f>
        <v>128.354248797166</v>
      </c>
    </row>
    <row r="5999" customFormat="false" ht="15" hidden="false" customHeight="false" outlineLevel="0" collapsed="false">
      <c r="A5999" s="26" t="s">
        <v>1096</v>
      </c>
      <c r="B5999" s="31" t="s">
        <v>98</v>
      </c>
      <c r="C5999" s="27" t="n">
        <f aca="false">Sens!$C$5998-(Sens!F5988+Sens!G5988+Sens!H5988+Sens!I5988+Sens!J5988)</f>
        <v>0</v>
      </c>
      <c r="D5999" s="31"/>
      <c r="E5999" s="31"/>
      <c r="F5999" s="31"/>
      <c r="G5999" s="31"/>
      <c r="H5999" s="31"/>
      <c r="I5999" s="31"/>
      <c r="J5999" s="31"/>
      <c r="K5999" s="31"/>
    </row>
    <row r="6000" customFormat="false" ht="17.15" hidden="false" customHeight="false" outlineLevel="0" collapsed="false">
      <c r="A6000" s="1" t="s">
        <v>1090</v>
      </c>
      <c r="B6000" s="1" t="s">
        <v>1132</v>
      </c>
      <c r="C6000" s="33" t="str">
        <f aca="false">IF(SUM(Sens!F5991:J5991)&gt;0.05,"需要舉債 "&amp;TEXT(SUM(Sens!F5991:J5991),"0.0")&amp;" 十億美元","不需舉債")&amp;"；"&amp;IF(SUM(Sens!F5990:J5990)&lt;COUNT(Sens!F5990:J5990)*bb_target-0.05,"回購較每年 "&amp;TEXT(bb_target,"0.0")&amp;" 的目標少 "&amp;TEXT(COUNT(Sens!F5990:J5990)*bb_target-SUM(Sens!F5990:J5990),"0.0")&amp;" 十億美元（"&amp;TEXT(COUNTIF(Sens!F5990:J5990,"&lt;"&amp;(bb_target-0.05)),"0")&amp;" 年減少）","回購不減")</f>
        <v>需要舉債 30.3 十億美元；回購較每年 22.3 的目標少 66.8 十億美元（3 年減少）</v>
      </c>
    </row>
    <row r="6001" customFormat="false" ht="17.15" hidden="false" customHeight="false" outlineLevel="0" collapsed="false">
      <c r="A6001" s="3" t="s">
        <v>1629</v>
      </c>
    </row>
    <row r="6002" customFormat="false" ht="15" hidden="false" customHeight="false" outlineLevel="0" collapsed="false">
      <c r="A6002" s="4" t="s">
        <v>43</v>
      </c>
      <c r="B6002" s="4" t="s">
        <v>65</v>
      </c>
      <c r="C6002" s="23" t="s">
        <v>938</v>
      </c>
      <c r="D6002" s="23" t="s">
        <v>939</v>
      </c>
      <c r="E6002" s="23" t="s">
        <v>940</v>
      </c>
      <c r="F6002" s="23" t="s">
        <v>941</v>
      </c>
      <c r="G6002" s="23" t="s">
        <v>942</v>
      </c>
      <c r="H6002" s="23" t="s">
        <v>943</v>
      </c>
      <c r="I6002" s="23" t="s">
        <v>944</v>
      </c>
      <c r="J6002" s="23" t="s">
        <v>945</v>
      </c>
      <c r="K6002" s="23" t="s">
        <v>946</v>
      </c>
      <c r="L6002" s="4" t="s">
        <v>47</v>
      </c>
    </row>
    <row r="6003" customFormat="false" ht="17.15" hidden="false" customHeight="false" outlineLevel="0" collapsed="false">
      <c r="A6003" s="1" t="s">
        <v>1212</v>
      </c>
      <c r="B6003" s="1" t="s">
        <v>279</v>
      </c>
      <c r="F6003" s="8" t="n">
        <f aca="false">(1-v_off)*mid_yr</f>
        <v>0.373972602739726</v>
      </c>
      <c r="G6003" s="8" t="n">
        <f aca="false">Sens!G5853-base_fy-mid_yr-v_off</f>
        <v>1.24794520547945</v>
      </c>
      <c r="H6003" s="8" t="n">
        <f aca="false">Sens!H5853-base_fy-mid_yr-v_off</f>
        <v>2.24794520547945</v>
      </c>
      <c r="I6003" s="8" t="n">
        <f aca="false">Sens!I5853-base_fy-mid_yr-v_off</f>
        <v>3.24794520547945</v>
      </c>
      <c r="J6003" s="8" t="n">
        <f aca="false">Sens!J5853-base_fy-mid_yr-v_off</f>
        <v>4.24794520547945</v>
      </c>
      <c r="K6003" s="8" t="n">
        <f aca="false">Sens!K5853-base_fy-mid_yr-v_off</f>
        <v>5.24794520547945</v>
      </c>
      <c r="L6003" s="12" t="s">
        <v>1213</v>
      </c>
    </row>
    <row r="6004" customFormat="false" ht="15" hidden="false" customHeight="false" outlineLevel="0" collapsed="false">
      <c r="A6004" s="1" t="s">
        <v>1214</v>
      </c>
      <c r="B6004" s="1" t="s">
        <v>279</v>
      </c>
      <c r="F6004" s="8" t="n">
        <f aca="false">Sens!F5853-base_fy-v_off</f>
        <v>0.747945205479452</v>
      </c>
      <c r="G6004" s="8" t="n">
        <f aca="false">Sens!G5853-base_fy-v_off</f>
        <v>1.74794520547945</v>
      </c>
      <c r="H6004" s="8" t="n">
        <f aca="false">Sens!H5853-base_fy-v_off</f>
        <v>2.74794520547945</v>
      </c>
      <c r="I6004" s="8" t="n">
        <f aca="false">Sens!I5853-base_fy-v_off</f>
        <v>3.74794520547945</v>
      </c>
      <c r="J6004" s="8" t="n">
        <f aca="false">Sens!J5853-base_fy-v_off</f>
        <v>4.74794520547945</v>
      </c>
      <c r="K6004" s="8" t="n">
        <f aca="false">Sens!K5853-base_fy-v_off</f>
        <v>5.74794520547945</v>
      </c>
    </row>
    <row r="6005" customFormat="false" ht="15" hidden="false" customHeight="false" outlineLevel="0" collapsed="false">
      <c r="A6005" s="1" t="s">
        <v>1215</v>
      </c>
      <c r="B6005" s="0" t="s">
        <v>229</v>
      </c>
      <c r="F6005" s="15" t="n">
        <f aca="false">1/(1+wacc)^Sens!F6003</f>
        <v>0.964022703286649</v>
      </c>
      <c r="G6005" s="15" t="n">
        <f aca="false">1/(1+wacc)^Sens!G6003</f>
        <v>0.884910302296739</v>
      </c>
      <c r="H6005" s="15" t="n">
        <f aca="false">1/(1+wacc)^Sens!H6003</f>
        <v>0.802322009770358</v>
      </c>
      <c r="I6005" s="15" t="n">
        <f aca="false">1/(1+wacc)^Sens!I6003</f>
        <v>0.727441646561469</v>
      </c>
      <c r="J6005" s="15" t="n">
        <f aca="false">1/(1+wacc)^Sens!J6003</f>
        <v>0.659549834988973</v>
      </c>
      <c r="K6005" s="15" t="n">
        <f aca="false">1/(1+wacc)^Sens!K6003</f>
        <v>0.597994336576966</v>
      </c>
    </row>
    <row r="6006" customFormat="false" ht="17.15" hidden="false" customHeight="false" outlineLevel="0" collapsed="false">
      <c r="A6006" s="1" t="s">
        <v>1216</v>
      </c>
      <c r="B6006" s="0" t="s">
        <v>98</v>
      </c>
      <c r="F6006" s="6" t="n">
        <f aca="false">Q!$I$35-Q!$I$39-Q!$I$43</f>
        <v>9.666</v>
      </c>
      <c r="L6006" s="12" t="s">
        <v>1217</v>
      </c>
    </row>
    <row r="6007" customFormat="false" ht="17.15" hidden="false" customHeight="false" outlineLevel="0" collapsed="false">
      <c r="A6007" s="1" t="s">
        <v>1218</v>
      </c>
      <c r="B6007" s="0" t="s">
        <v>98</v>
      </c>
      <c r="F6007" s="6" t="n">
        <f aca="false">Sens!F5978-Sens!F5975-Sens!F5982+Sens!F5960*(1-tax_f)*(1-v_off)-Sens!F6006</f>
        <v>-6.63863547861465</v>
      </c>
      <c r="G6007" s="6" t="n">
        <f aca="false">Sens!G5978-Sens!G5975-Sens!G5982+Sens!G5960*(1-tax_f)</f>
        <v>17.7430557747153</v>
      </c>
      <c r="H6007" s="6" t="n">
        <f aca="false">Sens!H5978-Sens!H5975-Sens!H5982+Sens!H5960*(1-tax_f)</f>
        <v>54.1162363637838</v>
      </c>
      <c r="I6007" s="6" t="n">
        <f aca="false">Sens!I5978-Sens!I5975-Sens!I5982+Sens!I5960*(1-tax_f)</f>
        <v>125.420531593816</v>
      </c>
      <c r="J6007" s="6" t="n">
        <f aca="false">Sens!J5978-Sens!J5975-Sens!J5982+Sens!J5960*(1-tax_f)</f>
        <v>198.920678934447</v>
      </c>
      <c r="K6007" s="6" t="n">
        <f aca="false">Sens!K5978-Sens!K5975-Sens!K5982+Sens!K5960*(1-tax_f)</f>
        <v>233.940196704135</v>
      </c>
      <c r="L6007" s="1" t="s">
        <v>1219</v>
      </c>
    </row>
    <row r="6008" customFormat="false" ht="15" hidden="false" customHeight="false" outlineLevel="0" collapsed="false">
      <c r="A6008" s="1" t="s">
        <v>1220</v>
      </c>
      <c r="B6008" s="0" t="s">
        <v>98</v>
      </c>
      <c r="F6008" s="6" t="n">
        <f aca="false">Sens!F6007*Sens!F6005</f>
        <v>-6.39979532022875</v>
      </c>
      <c r="G6008" s="6" t="n">
        <f aca="false">Sens!G6007*Sens!G6005</f>
        <v>15.7010128492712</v>
      </c>
      <c r="H6008" s="6" t="n">
        <f aca="false">Sens!H6007*Sens!H6005</f>
        <v>43.4186475205988</v>
      </c>
      <c r="I6008" s="6" t="n">
        <f aca="false">Sens!I6007*Sens!I6005</f>
        <v>91.23611801522</v>
      </c>
      <c r="J6008" s="6" t="n">
        <f aca="false">Sens!J6007*Sens!J6005</f>
        <v>131.198100967109</v>
      </c>
      <c r="K6008" s="6" t="n">
        <f aca="false">Sens!K6007*Sens!K6005</f>
        <v>139.894912726774</v>
      </c>
    </row>
    <row r="6009" customFormat="false" ht="17.15" hidden="false" customHeight="false" outlineLevel="0" collapsed="false">
      <c r="A6009" s="1" t="s">
        <v>1221</v>
      </c>
      <c r="B6009" s="0" t="s">
        <v>98</v>
      </c>
      <c r="C6009" s="6" t="n">
        <f aca="false">SUM(Sens!F6008:K6008)</f>
        <v>415.048996758744</v>
      </c>
    </row>
    <row r="6010" customFormat="false" ht="17.15" hidden="false" customHeight="false" outlineLevel="0" collapsed="false">
      <c r="A6010" s="1" t="s">
        <v>1222</v>
      </c>
      <c r="B6010" s="0" t="s">
        <v>98</v>
      </c>
      <c r="C6010" s="6" t="n">
        <f aca="false">Sens!K5946*(1+g_tv)*(1-tax_f)</f>
        <v>243.432319339252</v>
      </c>
    </row>
    <row r="6011" customFormat="false" ht="17.15" hidden="false" customHeight="false" outlineLevel="0" collapsed="false">
      <c r="A6011" s="1" t="s">
        <v>1223</v>
      </c>
      <c r="B6011" s="0" t="s">
        <v>98</v>
      </c>
      <c r="C6011" s="6" t="n">
        <f aca="false">Sens!$C$6010*(1-g_tv/(wacc+ronic_prem))</f>
        <v>172.486025964943</v>
      </c>
    </row>
    <row r="6012" customFormat="false" ht="17.15" hidden="false" customHeight="false" outlineLevel="0" collapsed="false">
      <c r="A6012" s="1" t="s">
        <v>1224</v>
      </c>
      <c r="B6012" s="0" t="s">
        <v>98</v>
      </c>
      <c r="C6012" s="6" t="n">
        <f aca="false">Sens!$C$6011/(wacc-g_tv)</f>
        <v>2364.87644581029</v>
      </c>
    </row>
    <row r="6013" customFormat="false" ht="15" hidden="false" customHeight="false" outlineLevel="0" collapsed="false">
      <c r="A6013" s="1" t="s">
        <v>1225</v>
      </c>
      <c r="B6013" s="0" t="s">
        <v>98</v>
      </c>
      <c r="C6013" s="6" t="n">
        <f aca="false">Sens!$C$6012/(1+wacc)^Sens!K6004</f>
        <v>1346.57409109419</v>
      </c>
    </row>
    <row r="6014" customFormat="false" ht="17.15" hidden="false" customHeight="false" outlineLevel="0" collapsed="false">
      <c r="A6014" s="0" t="s">
        <v>1226</v>
      </c>
      <c r="B6014" s="0" t="s">
        <v>98</v>
      </c>
      <c r="C6014" s="6" t="n">
        <f aca="false">Sens!$C$6009+Sens!$C$6013</f>
        <v>1761.62308785293</v>
      </c>
    </row>
    <row r="6015" customFormat="false" ht="15" hidden="false" customHeight="false" outlineLevel="0" collapsed="false">
      <c r="A6015" s="1" t="s">
        <v>1141</v>
      </c>
      <c r="B6015" s="0" t="s">
        <v>168</v>
      </c>
      <c r="C6015" s="7" t="n">
        <f aca="false">Sens!$C$6013/Sens!$C$6014</f>
        <v>0.76439398437687</v>
      </c>
    </row>
    <row r="6016" customFormat="false" ht="17.15" hidden="false" customHeight="false" outlineLevel="0" collapsed="false">
      <c r="A6016" s="1" t="s">
        <v>1227</v>
      </c>
      <c r="B6016" s="0" t="s">
        <v>98</v>
      </c>
      <c r="C6016" s="6" t="n">
        <f aca="false">Sens!$C$6014+cash_val-debt_val-fl_val+oai_v</f>
        <v>1877.47408785293</v>
      </c>
    </row>
    <row r="6017" customFormat="false" ht="17.15" hidden="false" customHeight="false" outlineLevel="0" collapsed="false">
      <c r="A6017" s="0" t="s">
        <v>1149</v>
      </c>
      <c r="B6017" s="0" t="s">
        <v>75</v>
      </c>
      <c r="C6017" s="5" t="n">
        <f aca="false">Sens!$C$6016/shd_val</f>
        <v>252.145324718363</v>
      </c>
    </row>
    <row r="6018" customFormat="false" ht="15" hidden="false" customHeight="false" outlineLevel="0" collapsed="false">
      <c r="A6018" s="1" t="s">
        <v>1228</v>
      </c>
      <c r="B6018" s="0" t="s">
        <v>75</v>
      </c>
      <c r="C6018" s="8" t="n">
        <f aca="false">div_rem27+Sens!G5986*roll_div_q/q_per_yr</f>
        <v>3.9795</v>
      </c>
    </row>
    <row r="6019" customFormat="false" ht="17.15" hidden="false" customHeight="false" outlineLevel="0" collapsed="false">
      <c r="A6019" s="0" t="s">
        <v>1229</v>
      </c>
      <c r="B6019" s="0" t="s">
        <v>75</v>
      </c>
      <c r="C6019" s="5" t="n">
        <f aca="false">Sens!$C$6017*(1+wacc)^t_roll-Sens!$C$6018</f>
        <v>276.294100842584</v>
      </c>
    </row>
    <row r="6020" customFormat="false" ht="17.15" hidden="false" customHeight="false" outlineLevel="0" collapsed="false">
      <c r="A6020" s="1" t="s">
        <v>1230</v>
      </c>
      <c r="B6020" s="0" t="s">
        <v>168</v>
      </c>
      <c r="F6020" s="7" t="n">
        <f aca="false">Sens!F5972/(Sens!F5917-Sens!F5872)</f>
        <v>0.0686515015256486</v>
      </c>
      <c r="G6020" s="7" t="n">
        <f aca="false">Sens!G5972/(Sens!G5917-Sens!G5872)</f>
        <v>0.066295569929045</v>
      </c>
      <c r="H6020" s="7" t="n">
        <f aca="false">Sens!H5972/(Sens!H5917-Sens!H5872)</f>
        <v>0.0651256930515426</v>
      </c>
      <c r="I6020" s="7" t="n">
        <f aca="false">Sens!I5972/(Sens!I5917-Sens!I5872)</f>
        <v>0.0650041259435542</v>
      </c>
      <c r="J6020" s="7" t="n">
        <f aca="false">Sens!J5972/(Sens!J5917-Sens!J5872)</f>
        <v>0.065721919276259</v>
      </c>
      <c r="K6020" s="7" t="n">
        <f aca="false">Sens!K5972/(Sens!K5917-Sens!K5872)</f>
        <v>0.0670468778244794</v>
      </c>
    </row>
    <row r="6021" customFormat="false" ht="17.15" hidden="false" customHeight="false" outlineLevel="0" collapsed="false">
      <c r="A6021" s="0" t="s">
        <v>1231</v>
      </c>
      <c r="B6021" s="0" t="s">
        <v>98</v>
      </c>
      <c r="F6021" s="6" t="n">
        <f aca="false">Sens!F5902*(al_m365+Sens!F6020+sbc_r)</f>
        <v>82.9154812565862</v>
      </c>
      <c r="G6021" s="6" t="n">
        <f aca="false">Sens!G5902*(al_m365+Sens!G6020+sbc_r)</f>
        <v>93.3044587395603</v>
      </c>
      <c r="H6021" s="6" t="n">
        <f aca="false">Sens!H5902*(al_m365+Sens!H6020+sbc_r)</f>
        <v>103.854476848611</v>
      </c>
      <c r="I6021" s="6" t="n">
        <f aca="false">Sens!I5902*(al_m365+Sens!I6020+sbc_r)</f>
        <v>113.888960741249</v>
      </c>
      <c r="J6021" s="6" t="n">
        <f aca="false">Sens!J5902*(al_m365+Sens!J6020+sbc_r)</f>
        <v>123.218591914999</v>
      </c>
      <c r="K6021" s="6" t="n">
        <f aca="false">Sens!K5902*(al_m365+Sens!K6020+sbc_r)</f>
        <v>132.150460741347</v>
      </c>
      <c r="L6021" s="12" t="s">
        <v>1232</v>
      </c>
    </row>
    <row r="6022" customFormat="false" ht="17.15" hidden="false" customHeight="false" outlineLevel="0" collapsed="false">
      <c r="A6022" s="0" t="s">
        <v>1233</v>
      </c>
      <c r="B6022" s="0" t="s">
        <v>98</v>
      </c>
      <c r="F6022" s="6" t="n">
        <f aca="false">Sens!F5903*(al_lic+Sens!F6020+sbc_r)</f>
        <v>32.8589915338998</v>
      </c>
      <c r="G6022" s="6" t="n">
        <f aca="false">Sens!G5903*(al_lic+Sens!G6020+sbc_r)</f>
        <v>34.1561200226233</v>
      </c>
      <c r="H6022" s="6" t="n">
        <f aca="false">Sens!H5903*(al_lic+Sens!H6020+sbc_r)</f>
        <v>35.3631100818316</v>
      </c>
      <c r="I6022" s="6" t="n">
        <f aca="false">Sens!I5903*(al_lic+Sens!I6020+sbc_r)</f>
        <v>36.4602540773809</v>
      </c>
      <c r="J6022" s="6" t="n">
        <f aca="false">Sens!J5903*(al_lic+Sens!J6020+sbc_r)</f>
        <v>37.4246174427843</v>
      </c>
      <c r="K6022" s="6" t="n">
        <f aca="false">Sens!K5903*(al_lic+Sens!K6020+sbc_r)</f>
        <v>38.2323965353037</v>
      </c>
    </row>
    <row r="6023" customFormat="false" ht="17.15" hidden="false" customHeight="false" outlineLevel="0" collapsed="false">
      <c r="A6023" s="0" t="s">
        <v>1234</v>
      </c>
      <c r="B6023" s="0" t="s">
        <v>98</v>
      </c>
      <c r="F6023" s="6" t="n">
        <f aca="false">Sens!F5905*(al_ind+Sens!F6020+sbc_r)</f>
        <v>9.06112966997056</v>
      </c>
      <c r="G6023" s="6" t="n">
        <f aca="false">Sens!G5905*(al_ind+Sens!G6020+sbc_r)</f>
        <v>9.84746621315684</v>
      </c>
      <c r="H6023" s="6" t="n">
        <f aca="false">Sens!H5905*(al_ind+Sens!H6020+sbc_r)</f>
        <v>10.6765418907262</v>
      </c>
      <c r="I6023" s="6" t="n">
        <f aca="false">Sens!I5905*(al_ind+Sens!I6020+sbc_r)</f>
        <v>11.5438540291696</v>
      </c>
      <c r="J6023" s="6" t="n">
        <f aca="false">Sens!J5905*(al_ind+Sens!J6020+sbc_r)</f>
        <v>12.4408115103798</v>
      </c>
      <c r="K6023" s="6" t="n">
        <f aca="false">Sens!K5905*(al_ind+Sens!K6020+sbc_r)</f>
        <v>13.3554222520951</v>
      </c>
    </row>
    <row r="6024" customFormat="false" ht="17.15" hidden="false" customHeight="false" outlineLevel="0" collapsed="false">
      <c r="A6024" s="0" t="s">
        <v>1235</v>
      </c>
      <c r="B6024" s="0" t="s">
        <v>98</v>
      </c>
      <c r="F6024" s="6" t="n">
        <f aca="false">Sens!F5907*(al_fro+Sens!F6020+sbc_r)</f>
        <v>3.55430904869832</v>
      </c>
      <c r="G6024" s="6" t="n">
        <f aca="false">Sens!G5907*(al_fro+Sens!G6020+sbc_r)</f>
        <v>3.76792918241782</v>
      </c>
      <c r="H6024" s="6" t="n">
        <f aca="false">Sens!H5907*(al_fro+Sens!H6020+sbc_r)</f>
        <v>4.00954257323713</v>
      </c>
      <c r="I6024" s="6" t="n">
        <f aca="false">Sens!I5907*(al_fro+Sens!I6020+sbc_r)</f>
        <v>4.28147666626603</v>
      </c>
      <c r="J6024" s="6" t="n">
        <f aca="false">Sens!J5907*(al_fro+Sens!J6020+sbc_r)</f>
        <v>4.58537253261458</v>
      </c>
      <c r="K6024" s="6" t="n">
        <f aca="false">Sens!K5907*(al_fro+Sens!K6020+sbc_r)</f>
        <v>4.92247521836758</v>
      </c>
    </row>
    <row r="6025" customFormat="false" ht="17.15" hidden="false" customHeight="false" outlineLevel="0" collapsed="false">
      <c r="A6025" s="0" t="s">
        <v>1236</v>
      </c>
      <c r="B6025" s="0" t="s">
        <v>98</v>
      </c>
      <c r="F6025" s="6" t="n">
        <f aca="false">Sens!F5910*(al_srch+Sens!F6020+sbc_r)</f>
        <v>11.1899703920701</v>
      </c>
      <c r="G6025" s="6" t="n">
        <f aca="false">Sens!G5910*(al_srch+Sens!G6020+sbc_r)</f>
        <v>12.2757947231516</v>
      </c>
      <c r="H6025" s="6" t="n">
        <f aca="false">Sens!H5910*(al_srch+Sens!H6020+sbc_r)</f>
        <v>13.4040003576438</v>
      </c>
      <c r="I6025" s="6" t="n">
        <f aca="false">Sens!I5910*(al_srch+Sens!I6020+sbc_r)</f>
        <v>14.5619822990031</v>
      </c>
      <c r="J6025" s="6" t="n">
        <f aca="false">Sens!J5910*(al_srch+Sens!J6020+sbc_r)</f>
        <v>15.7310635832546</v>
      </c>
      <c r="K6025" s="6" t="n">
        <f aca="false">Sens!K5910*(al_srch+Sens!K6020+sbc_r)</f>
        <v>16.8875636813268</v>
      </c>
    </row>
    <row r="6026" customFormat="false" ht="17.15" hidden="false" customHeight="false" outlineLevel="0" collapsed="false">
      <c r="A6026" s="0" t="s">
        <v>1237</v>
      </c>
      <c r="B6026" s="0" t="s">
        <v>98</v>
      </c>
      <c r="F6026" s="6" t="n">
        <f aca="false">Sens!F5878-Sens!F5879+Sens!F5960</f>
        <v>38.1372083945644</v>
      </c>
      <c r="G6026" s="6" t="n">
        <f aca="false">Sens!G5878-Sens!G5879+Sens!G5960</f>
        <v>67.8045530334553</v>
      </c>
      <c r="H6026" s="6" t="n">
        <f aca="false">Sens!H5878-Sens!H5879+Sens!H5960</f>
        <v>94.4604937703965</v>
      </c>
      <c r="I6026" s="6" t="n">
        <f aca="false">Sens!I5878-Sens!I5879+Sens!I5960</f>
        <v>124.440877889257</v>
      </c>
      <c r="J6026" s="6" t="n">
        <f aca="false">Sens!J5878-Sens!J5879+Sens!J5960</f>
        <v>145.38312159233</v>
      </c>
      <c r="K6026" s="6" t="n">
        <f aca="false">Sens!K5878-Sens!K5879+Sens!K5960</f>
        <v>158.086858352091</v>
      </c>
    </row>
    <row r="6027" customFormat="false" ht="17.15" hidden="false" customHeight="false" outlineLevel="0" collapsed="false">
      <c r="A6027" s="0" t="s">
        <v>1238</v>
      </c>
      <c r="B6027" s="0" t="s">
        <v>98</v>
      </c>
      <c r="F6027" s="6" t="n">
        <f aca="false">Sens!F5939+Sens!F5960+Sens!F5890+Sens!F6020*(Sens!F5909-Sens!F5872)+sbc_r*Sens!F5909</f>
        <v>234.152125423966</v>
      </c>
      <c r="G6027" s="6" t="n">
        <f aca="false">Sens!G5939+Sens!G5960+Sens!G5890+Sens!G6020*(Sens!G5909-Sens!G5872)+sbc_r*Sens!G5909</f>
        <v>283.916944393046</v>
      </c>
      <c r="H6027" s="6" t="n">
        <f aca="false">Sens!H5939+Sens!H5960+Sens!H5890+Sens!H6020*(Sens!H5909-Sens!H5872)+sbc_r*Sens!H5909</f>
        <v>335.982400367101</v>
      </c>
      <c r="I6027" s="6" t="n">
        <f aca="false">Sens!I5939+Sens!I5960+Sens!I5890+Sens!I6020*(Sens!I5909-Sens!I5872)+sbc_r*Sens!I5909</f>
        <v>390.744440961968</v>
      </c>
      <c r="J6027" s="6" t="n">
        <f aca="false">Sens!J5939+Sens!J5960+Sens!J5890+Sens!J6020*(Sens!J5909-Sens!J5872)+sbc_r*Sens!J5909</f>
        <v>434.548342181712</v>
      </c>
      <c r="K6027" s="6" t="n">
        <f aca="false">Sens!K5939+Sens!K5960+Sens!K5890+Sens!K6020*(Sens!K5909-Sens!K5872)+sbc_r*Sens!K5909</f>
        <v>467.767696556839</v>
      </c>
    </row>
    <row r="6028" customFormat="false" ht="17.15" hidden="false" customHeight="false" outlineLevel="0" collapsed="false">
      <c r="A6028" s="0" t="s">
        <v>1239</v>
      </c>
      <c r="B6028" s="0" t="s">
        <v>98</v>
      </c>
      <c r="F6028" s="6" t="n">
        <f aca="false">Sens!F6027-Sens!F6021-Sens!F6022-Sens!F6023-Sens!F6024-Sens!F6026</f>
        <v>67.6250055202472</v>
      </c>
      <c r="G6028" s="6" t="n">
        <f aca="false">Sens!G6027-Sens!G6021-Sens!G6022-Sens!G6023-Sens!G6024-Sens!G6026</f>
        <v>75.0364172018328</v>
      </c>
      <c r="H6028" s="6" t="n">
        <f aca="false">Sens!H6027-Sens!H6021-Sens!H6022-Sens!H6023-Sens!H6024-Sens!H6026</f>
        <v>87.6182352022989</v>
      </c>
      <c r="I6028" s="6" t="n">
        <f aca="false">Sens!I6027-Sens!I6021-Sens!I6022-Sens!I6023-Sens!I6024-Sens!I6026</f>
        <v>100.129017558646</v>
      </c>
      <c r="J6028" s="6" t="n">
        <f aca="false">Sens!J6027-Sens!J6021-Sens!J6022-Sens!J6023-Sens!J6024-Sens!J6026</f>
        <v>111.495827188605</v>
      </c>
      <c r="K6028" s="6" t="n">
        <f aca="false">Sens!K6027-Sens!K6021-Sens!K6022-Sens!K6023-Sens!K6024-Sens!K6026</f>
        <v>121.020083457635</v>
      </c>
    </row>
    <row r="6029" customFormat="false" ht="17.15" hidden="false" customHeight="false" outlineLevel="0" collapsed="false">
      <c r="A6029" s="0" t="s">
        <v>1240</v>
      </c>
      <c r="B6029" s="0" t="s">
        <v>98</v>
      </c>
      <c r="F6029" s="6" t="n">
        <f aca="false">Sens!F5941+Sens!F6020*Sens!F5916+sbc_r*Sens!F5916</f>
        <v>26.6356900629241</v>
      </c>
      <c r="G6029" s="6" t="n">
        <f aca="false">Sens!G5941+Sens!G6020*Sens!G5916+sbc_r*Sens!G5916</f>
        <v>26.502719427954</v>
      </c>
      <c r="H6029" s="6" t="n">
        <f aca="false">Sens!H5941+Sens!H6020*Sens!H5916+sbc_r*Sens!H5916</f>
        <v>27.3973754750845</v>
      </c>
      <c r="I6029" s="6" t="n">
        <f aca="false">Sens!I5941+Sens!I6020*Sens!I5916+sbc_r*Sens!I5916</f>
        <v>28.5173103106393</v>
      </c>
      <c r="J6029" s="6" t="n">
        <f aca="false">Sens!J5941+Sens!J6020*Sens!J5916+sbc_r*Sens!J5916</f>
        <v>29.8314485151194</v>
      </c>
      <c r="K6029" s="6" t="n">
        <f aca="false">Sens!K5941+Sens!K6020*Sens!K5916+sbc_r*Sens!K5916</f>
        <v>31.3107801510985</v>
      </c>
    </row>
    <row r="6030" customFormat="false" ht="17.15" hidden="false" customHeight="false" outlineLevel="0" collapsed="false">
      <c r="A6030" s="0" t="s">
        <v>1241</v>
      </c>
      <c r="B6030" s="0" t="s">
        <v>98</v>
      </c>
      <c r="F6030" s="6" t="n">
        <f aca="false">(Sens!F6029-Sens!F6025)*Sens!F5912/(Sens!F5912+Sens!F5914)</f>
        <v>8.72351879299769</v>
      </c>
      <c r="G6030" s="6" t="n">
        <f aca="false">(Sens!G6029-Sens!G6025)*Sens!G5912/(Sens!G5912+Sens!G5914)</f>
        <v>7.89706645722642</v>
      </c>
      <c r="H6030" s="6" t="n">
        <f aca="false">(Sens!H6029-Sens!H6025)*Sens!H5912/(Sens!H5912+Sens!H5914)</f>
        <v>7.66624140824088</v>
      </c>
      <c r="I6030" s="6" t="n">
        <f aca="false">(Sens!I6029-Sens!I6025)*Sens!I5912/(Sens!I5912+Sens!I5914)</f>
        <v>7.57866488148183</v>
      </c>
      <c r="J6030" s="6" t="n">
        <f aca="false">(Sens!J6029-Sens!J6025)*Sens!J5912/(Sens!J5912+Sens!J5914)</f>
        <v>7.62403132041729</v>
      </c>
      <c r="K6030" s="6" t="n">
        <f aca="false">(Sens!K6029-Sens!K6025)*Sens!K5912/(Sens!K5912+Sens!K5914)</f>
        <v>7.79858526118651</v>
      </c>
    </row>
    <row r="6031" customFormat="false" ht="17.15" hidden="false" customHeight="false" outlineLevel="0" collapsed="false">
      <c r="A6031" s="0" t="s">
        <v>1242</v>
      </c>
      <c r="B6031" s="0" t="s">
        <v>98</v>
      </c>
      <c r="F6031" s="6" t="n">
        <f aca="false">Sens!F6029-Sens!F6025-Sens!F6030</f>
        <v>6.72220087785627</v>
      </c>
      <c r="G6031" s="6" t="n">
        <f aca="false">Sens!G6029-Sens!G6025-Sens!G6030</f>
        <v>6.32985824757598</v>
      </c>
      <c r="H6031" s="6" t="n">
        <f aca="false">Sens!H6029-Sens!H6025-Sens!H6030</f>
        <v>6.32713370919983</v>
      </c>
      <c r="I6031" s="6" t="n">
        <f aca="false">Sens!I6029-Sens!I6025-Sens!I6030</f>
        <v>6.37666313015439</v>
      </c>
      <c r="J6031" s="6" t="n">
        <f aca="false">Sens!J6029-Sens!J6025-Sens!J6030</f>
        <v>6.47635361144754</v>
      </c>
      <c r="K6031" s="6" t="n">
        <f aca="false">Sens!K6029-Sens!K6025-Sens!K6030</f>
        <v>6.62463120858513</v>
      </c>
    </row>
    <row r="6032" customFormat="false" ht="17.15" hidden="false" customHeight="false" outlineLevel="0" collapsed="false">
      <c r="A6032" s="0" t="s">
        <v>1243</v>
      </c>
      <c r="B6032" s="0" t="s">
        <v>98</v>
      </c>
      <c r="F6032" s="6" t="n">
        <f aca="false">Sens!F6026-tax_f*(Sens!F6026-Sens!F5890)-Sens!F5887</f>
        <v>-131.028274430798</v>
      </c>
      <c r="G6032" s="6" t="n">
        <f aca="false">Sens!G6026-tax_f*(Sens!G6026-Sens!G5890)-Sens!G5887</f>
        <v>-125.553935091824</v>
      </c>
      <c r="H6032" s="6" t="n">
        <f aca="false">Sens!H6026-tax_f*(Sens!H6026-Sens!H5890)-Sens!H5887</f>
        <v>-103.417590915906</v>
      </c>
      <c r="I6032" s="6" t="n">
        <f aca="false">Sens!I6026-tax_f*(Sens!I6026-Sens!I5890)-Sens!I5887</f>
        <v>-46.215929371295</v>
      </c>
      <c r="J6032" s="6" t="n">
        <f aca="false">Sens!J6026-tax_f*(Sens!J6026-Sens!J5890)-Sens!J5887</f>
        <v>13.7797006878428</v>
      </c>
      <c r="K6032" s="6" t="n">
        <f aca="false">Sens!K6026-tax_f*(Sens!K6026-Sens!K5890)-Sens!K5887</f>
        <v>36.1091675271266</v>
      </c>
    </row>
    <row r="6033" customFormat="false" ht="17.15" hidden="false" customHeight="false" outlineLevel="0" collapsed="false">
      <c r="A6033" s="0" t="s">
        <v>1244</v>
      </c>
      <c r="B6033" s="0" t="s">
        <v>98</v>
      </c>
      <c r="G6033" s="6" t="n">
        <f aca="false">Sens!G6032/(1+wacc)^(Sens!G6003-Sens!F6004)</f>
        <v>-119.551507371194</v>
      </c>
      <c r="H6033" s="6" t="n">
        <f aca="false">Sens!H6032/(1+wacc)^(Sens!H6003-Sens!F6004)</f>
        <v>-89.282963937213</v>
      </c>
      <c r="I6033" s="6" t="n">
        <f aca="false">Sens!I6032/(1+wacc)^(Sens!I6003-Sens!F6004)</f>
        <v>-36.1755654452594</v>
      </c>
      <c r="J6033" s="6" t="n">
        <f aca="false">Sens!J6032/(1+wacc)^(Sens!J6003-Sens!F6004)</f>
        <v>9.77941500435742</v>
      </c>
      <c r="K6033" s="6" t="n">
        <f aca="false">Sens!K6032/(1+wacc)^(Sens!K6003-Sens!F6004)</f>
        <v>23.2348580355669</v>
      </c>
      <c r="L6033" s="1" t="s">
        <v>1245</v>
      </c>
    </row>
    <row r="6034" customFormat="false" ht="17.15" hidden="false" customHeight="false" outlineLevel="0" collapsed="false">
      <c r="A6034" s="0" t="s">
        <v>1246</v>
      </c>
      <c r="B6034" s="0" t="s">
        <v>98</v>
      </c>
      <c r="C6034" s="6" t="n">
        <f aca="false">(Sens!K6026-Sens!K5890)*(1-tax_f)*(1+g_tv)*(1-g_tv/(wacc+ronic_prem))/(wacc-g_tv)/(1+wacc)^(Sens!K6004-Sens!F6004)</f>
        <v>73.9330555769953</v>
      </c>
    </row>
    <row r="6035" customFormat="false" ht="17.15" hidden="false" customHeight="false" outlineLevel="0" collapsed="false">
      <c r="A6035" s="1" t="s">
        <v>1247</v>
      </c>
      <c r="B6035" s="0" t="s">
        <v>98</v>
      </c>
      <c r="C6035" s="6" t="n">
        <f aca="false">(SUM(Sens!G6033:K6033)+Sens!$C$6034)*(1+wacc)^(t_roll-Sens!F6004)</f>
        <v>-142.620575664961</v>
      </c>
      <c r="L6035" s="12" t="s">
        <v>1248</v>
      </c>
    </row>
    <row r="6036" customFormat="false" ht="17.15" hidden="false" customHeight="false" outlineLevel="0" collapsed="false">
      <c r="A6036" s="1" t="s">
        <v>1249</v>
      </c>
      <c r="B6036" s="0" t="s">
        <v>98</v>
      </c>
      <c r="C6036" s="6" t="n">
        <f aca="false">(w_ntm28*Sens!G5878+(1-w_ntm28)*Sens!H5878)*m_ai</f>
        <v>333.022610180626</v>
      </c>
    </row>
    <row r="6037" customFormat="false" ht="17.15" hidden="false" customHeight="false" outlineLevel="0" collapsed="false">
      <c r="A6037" s="1" t="s">
        <v>1250</v>
      </c>
      <c r="B6037" s="0" t="s">
        <v>98</v>
      </c>
      <c r="C6037" s="6" t="n">
        <f aca="false">(w_ntm28*Sens!G6028+(1-w_ntm28)*Sens!H6028)*m_cloud</f>
        <v>1094.16955140597</v>
      </c>
    </row>
    <row r="6038" customFormat="false" ht="17.15" hidden="false" customHeight="false" outlineLevel="0" collapsed="false">
      <c r="A6038" s="1" t="s">
        <v>1251</v>
      </c>
      <c r="B6038" s="0" t="s">
        <v>98</v>
      </c>
      <c r="C6038" s="6" t="n">
        <f aca="false">(w_ntm28*Sens!G6021+(1-w_ntm28)*Sens!H6021)*m_sw</f>
        <v>1045.14794471418</v>
      </c>
    </row>
    <row r="6039" customFormat="false" ht="17.15" hidden="false" customHeight="false" outlineLevel="0" collapsed="false">
      <c r="A6039" s="1" t="s">
        <v>1252</v>
      </c>
      <c r="B6039" s="0" t="s">
        <v>98</v>
      </c>
      <c r="C6039" s="6" t="n">
        <f aca="false">(w_ntm28*Sens!G6022+(1-w_ntm28)*Sens!H6022)*m_sw</f>
        <v>373.171737660041</v>
      </c>
    </row>
    <row r="6040" customFormat="false" ht="17.15" hidden="false" customHeight="false" outlineLevel="0" collapsed="false">
      <c r="A6040" s="1" t="s">
        <v>1253</v>
      </c>
      <c r="B6040" s="0" t="s">
        <v>98</v>
      </c>
      <c r="C6040" s="6" t="n">
        <f aca="false">(w_ntm28*Sens!G6023+(1-w_ntm28)*Sens!H6023)*m_sw</f>
        <v>109.296421617518</v>
      </c>
    </row>
    <row r="6041" customFormat="false" ht="17.15" hidden="false" customHeight="false" outlineLevel="0" collapsed="false">
      <c r="A6041" s="1" t="s">
        <v>1254</v>
      </c>
      <c r="B6041" s="0" t="s">
        <v>98</v>
      </c>
      <c r="C6041" s="6" t="n">
        <f aca="false">(w_ntm28*Sens!G6024+(1-w_ntm28)*Sens!H6024)*m_sw</f>
        <v>41.5515281961449</v>
      </c>
    </row>
    <row r="6042" customFormat="false" ht="17.15" hidden="false" customHeight="false" outlineLevel="0" collapsed="false">
      <c r="A6042" s="1" t="s">
        <v>1255</v>
      </c>
      <c r="B6042" s="0" t="s">
        <v>98</v>
      </c>
      <c r="C6042" s="6" t="n">
        <f aca="false">(w_ntm28*Sens!G6025+(1-w_ntm28)*Sens!H6025)*m_ads</f>
        <v>115.211543077574</v>
      </c>
    </row>
    <row r="6043" customFormat="false" ht="17.15" hidden="false" customHeight="false" outlineLevel="0" collapsed="false">
      <c r="A6043" s="1" t="s">
        <v>1256</v>
      </c>
      <c r="B6043" s="0" t="s">
        <v>98</v>
      </c>
      <c r="C6043" s="6" t="n">
        <f aca="false">(w_ntm28*Sens!G6030+(1-w_ntm28)*Sens!H6030)*m_game</f>
        <v>98.7814878636944</v>
      </c>
    </row>
    <row r="6044" customFormat="false" ht="17.15" hidden="false" customHeight="false" outlineLevel="0" collapsed="false">
      <c r="A6044" s="1" t="s">
        <v>1257</v>
      </c>
      <c r="B6044" s="0" t="s">
        <v>98</v>
      </c>
      <c r="C6044" s="6" t="n">
        <f aca="false">(w_ntm28*Sens!G6031+(1-w_ntm28)*Sens!H6031)*m_pc</f>
        <v>91.5800875042427</v>
      </c>
    </row>
    <row r="6045" customFormat="false" ht="17.15" hidden="false" customHeight="false" outlineLevel="0" collapsed="false">
      <c r="A6045" s="1" t="s">
        <v>1258</v>
      </c>
      <c r="B6045" s="0" t="s">
        <v>98</v>
      </c>
      <c r="C6045" s="6" t="n">
        <f aca="false">Sens!$C$6035+Sens!$C$6037+Sens!$C$6038+Sens!$C$6039+Sens!$C$6040+Sens!$C$6041+Sens!$C$6042+Sens!$C$6043+Sens!$C$6044</f>
        <v>2826.2897263744</v>
      </c>
    </row>
    <row r="6046" customFormat="false" ht="17.15" hidden="false" customHeight="false" outlineLevel="0" collapsed="false">
      <c r="A6046" s="1" t="s">
        <v>1259</v>
      </c>
      <c r="B6046" s="0" t="s">
        <v>98</v>
      </c>
      <c r="C6046" s="6" t="n">
        <f aca="false">(Sens!G6007-Sens!G6032)*t_stub</f>
        <v>47.5039339584966</v>
      </c>
      <c r="L6046" s="1" t="s">
        <v>1260</v>
      </c>
    </row>
    <row r="6047" customFormat="false" ht="17.15" hidden="false" customHeight="false" outlineLevel="0" collapsed="false">
      <c r="A6047" s="1" t="s">
        <v>1169</v>
      </c>
      <c r="B6047" s="0" t="s">
        <v>98</v>
      </c>
      <c r="C6047" s="6" t="n">
        <f aca="false">Sens!F5994+oai_v-Sens!F5983+Sens!$C$6046</f>
        <v>158.01519308412</v>
      </c>
      <c r="L6047" s="1" t="s">
        <v>1261</v>
      </c>
    </row>
    <row r="6048" customFormat="false" ht="17.15" hidden="false" customHeight="false" outlineLevel="0" collapsed="false">
      <c r="A6048" s="1" t="s">
        <v>1262</v>
      </c>
      <c r="B6048" s="0" t="s">
        <v>75</v>
      </c>
      <c r="C6048" s="5" t="n">
        <f aca="false">(Sens!$C$6045+Sens!$C$6047)/(Sens!F5996+dil_gap)-Sens!G5986*roll_div_q/q_per_yr</f>
        <v>397.08015307611</v>
      </c>
      <c r="L6048" s="1" t="s">
        <v>1263</v>
      </c>
    </row>
    <row r="6049" customFormat="false" ht="17.15" hidden="false" customHeight="false" outlineLevel="0" collapsed="false">
      <c r="A6049" s="1" t="s">
        <v>1264</v>
      </c>
      <c r="B6049" s="0" t="s">
        <v>75</v>
      </c>
      <c r="C6049" s="5" t="n">
        <f aca="false">w_dcf*Sens!$C$6019+(1-w_dcf)*Sens!$C$6048</f>
        <v>336.687126959347</v>
      </c>
    </row>
    <row r="6050" customFormat="false" ht="17.15" hidden="false" customHeight="false" outlineLevel="0" collapsed="false">
      <c r="A6050" s="3" t="s">
        <v>1630</v>
      </c>
    </row>
    <row r="6051" customFormat="false" ht="15" hidden="false" customHeight="false" outlineLevel="0" collapsed="false">
      <c r="A6051" s="4" t="s">
        <v>43</v>
      </c>
      <c r="B6051" s="4" t="s">
        <v>65</v>
      </c>
      <c r="C6051" s="23" t="s">
        <v>938</v>
      </c>
      <c r="D6051" s="23" t="s">
        <v>939</v>
      </c>
      <c r="E6051" s="23" t="s">
        <v>940</v>
      </c>
      <c r="F6051" s="23" t="s">
        <v>941</v>
      </c>
      <c r="G6051" s="23" t="s">
        <v>942</v>
      </c>
      <c r="H6051" s="23" t="s">
        <v>943</v>
      </c>
      <c r="I6051" s="23" t="s">
        <v>944</v>
      </c>
      <c r="J6051" s="23" t="s">
        <v>945</v>
      </c>
      <c r="K6051" s="23" t="s">
        <v>946</v>
      </c>
      <c r="L6051" s="4" t="s">
        <v>47</v>
      </c>
    </row>
    <row r="6052" customFormat="false" ht="17.15" hidden="false" customHeight="false" outlineLevel="0" collapsed="false">
      <c r="A6052" s="1" t="s">
        <v>947</v>
      </c>
      <c r="B6052" s="1" t="s">
        <v>279</v>
      </c>
      <c r="C6052" s="21" t="n">
        <v>2024</v>
      </c>
      <c r="D6052" s="21" t="n">
        <v>2025</v>
      </c>
      <c r="E6052" s="21" t="n">
        <v>2026</v>
      </c>
      <c r="F6052" s="21" t="n">
        <v>2027</v>
      </c>
      <c r="G6052" s="21" t="n">
        <v>2028</v>
      </c>
      <c r="H6052" s="21" t="n">
        <v>2029</v>
      </c>
      <c r="I6052" s="21" t="n">
        <v>2030</v>
      </c>
      <c r="J6052" s="21" t="n">
        <v>2031</v>
      </c>
      <c r="K6052" s="21" t="n">
        <v>2032</v>
      </c>
    </row>
    <row r="6053" customFormat="false" ht="17.15" hidden="false" customHeight="false" outlineLevel="0" collapsed="false">
      <c r="A6053" s="1" t="s">
        <v>948</v>
      </c>
      <c r="B6053" s="0" t="s">
        <v>456</v>
      </c>
      <c r="F6053" s="30" t="n">
        <f aca="false">pace</f>
        <v>2726.5351</v>
      </c>
      <c r="G6053" s="30" t="n">
        <f aca="false">pace</f>
        <v>2726.5351</v>
      </c>
      <c r="H6053" s="30" t="n">
        <f aca="false">pace</f>
        <v>2726.5351</v>
      </c>
      <c r="I6053" s="30" t="n">
        <f aca="false">pace+(g_tv*Sens!H6054-pace)*MIN(1,(Sens!I6052-pace_y0)/(pace_y1-pace_y0))</f>
        <v>1931.98611966667</v>
      </c>
      <c r="J6053" s="30" t="n">
        <f aca="false">pace+(g_tv*Sens!I6054-pace)*MIN(1,(Sens!J6052-pace_y0)/(pace_y1-pace_y0))</f>
        <v>1176.07686172667</v>
      </c>
      <c r="K6053" s="30" t="n">
        <f aca="false">pace+(g_tv*Sens!J6054-pace)*MIN(1,(Sens!K6052-pace_y0)/(pace_y1-pace_y0))</f>
        <v>436.1300484418</v>
      </c>
      <c r="L6053" s="12" t="s">
        <v>949</v>
      </c>
    </row>
    <row r="6054" customFormat="false" ht="17.15" hidden="false" customHeight="false" outlineLevel="0" collapsed="false">
      <c r="A6054" s="1" t="s">
        <v>950</v>
      </c>
      <c r="B6054" s="0" t="s">
        <v>456</v>
      </c>
      <c r="C6054" s="30" t="n">
        <f aca="false">mw_ext_24</f>
        <v>640</v>
      </c>
      <c r="D6054" s="30" t="n">
        <f aca="false">mw_ext_25</f>
        <v>1630</v>
      </c>
      <c r="E6054" s="30" t="n">
        <f aca="false">mw_ext_26</f>
        <v>3250</v>
      </c>
      <c r="F6054" s="30" t="n">
        <f aca="false">Sens!E6054+Sens!F6053</f>
        <v>5976.5351</v>
      </c>
      <c r="G6054" s="30" t="n">
        <f aca="false">Sens!F6054+Sens!G6053</f>
        <v>8703.0702</v>
      </c>
      <c r="H6054" s="30" t="n">
        <f aca="false">Sens!G6054+Sens!H6053</f>
        <v>11429.6053</v>
      </c>
      <c r="I6054" s="30" t="n">
        <f aca="false">Sens!H6054+Sens!I6053</f>
        <v>13361.5914196667</v>
      </c>
      <c r="J6054" s="30" t="n">
        <f aca="false">Sens!I6054+Sens!J6053</f>
        <v>14537.6682813933</v>
      </c>
      <c r="K6054" s="30" t="n">
        <f aca="false">Sens!J6054+Sens!K6053</f>
        <v>14973.7983298351</v>
      </c>
      <c r="L6054" s="1" t="s">
        <v>951</v>
      </c>
    </row>
    <row r="6055" customFormat="false" ht="17.15" hidden="false" customHeight="false" outlineLevel="0" collapsed="false">
      <c r="A6055" s="1" t="s">
        <v>952</v>
      </c>
      <c r="B6055" s="0" t="s">
        <v>456</v>
      </c>
      <c r="C6055" s="30" t="n">
        <f aca="false">rent_ext_24</f>
        <v>150</v>
      </c>
      <c r="D6055" s="30" t="n">
        <f aca="false">rent_ext_25</f>
        <v>400</v>
      </c>
      <c r="E6055" s="30" t="n">
        <f aca="false">rent_ext_26</f>
        <v>550</v>
      </c>
      <c r="F6055" s="30" t="n">
        <f aca="false">rent_ext_f</f>
        <v>756</v>
      </c>
      <c r="G6055" s="30" t="n">
        <f aca="false">rent_ext_f</f>
        <v>756</v>
      </c>
      <c r="H6055" s="30" t="n">
        <f aca="false">rent_ext_f</f>
        <v>756</v>
      </c>
      <c r="I6055" s="30" t="n">
        <f aca="false">rent_ext_f</f>
        <v>756</v>
      </c>
      <c r="J6055" s="30" t="n">
        <f aca="false">rent_ext_f</f>
        <v>756</v>
      </c>
      <c r="K6055" s="30" t="n">
        <f aca="false">rent_ext_f</f>
        <v>756</v>
      </c>
      <c r="L6055" s="1" t="s">
        <v>953</v>
      </c>
    </row>
    <row r="6056" customFormat="false" ht="17.15" hidden="false" customHeight="false" outlineLevel="0" collapsed="false">
      <c r="A6056" s="1" t="s">
        <v>954</v>
      </c>
      <c r="B6056" s="0" t="s">
        <v>456</v>
      </c>
      <c r="C6056" s="30" t="n">
        <f aca="false">Sens!C6054-Sens!C6055</f>
        <v>490</v>
      </c>
      <c r="D6056" s="30" t="n">
        <f aca="false">Sens!D6054-Sens!D6055</f>
        <v>1230</v>
      </c>
      <c r="E6056" s="30" t="n">
        <f aca="false">Sens!E6054-Sens!E6055</f>
        <v>2700</v>
      </c>
      <c r="F6056" s="30" t="n">
        <f aca="false">Sens!F6054-Sens!F6055</f>
        <v>5220.5351</v>
      </c>
      <c r="G6056" s="30" t="n">
        <f aca="false">Sens!G6054-Sens!G6055</f>
        <v>7947.0702</v>
      </c>
      <c r="H6056" s="30" t="n">
        <f aca="false">Sens!H6054-Sens!H6055</f>
        <v>10673.6053</v>
      </c>
      <c r="I6056" s="30" t="n">
        <f aca="false">Sens!I6054-Sens!I6055</f>
        <v>12605.5914196667</v>
      </c>
      <c r="J6056" s="30" t="n">
        <f aca="false">Sens!J6054-Sens!J6055</f>
        <v>13781.6682813933</v>
      </c>
      <c r="K6056" s="30" t="n">
        <f aca="false">Sens!K6054-Sens!K6055</f>
        <v>14217.7983298351</v>
      </c>
    </row>
    <row r="6057" customFormat="false" ht="17.15" hidden="false" customHeight="false" outlineLevel="0" collapsed="false">
      <c r="A6057" s="1" t="s">
        <v>955</v>
      </c>
      <c r="B6057" s="0" t="s">
        <v>456</v>
      </c>
      <c r="C6057" s="30" t="n">
        <f aca="false">Sens!C6056/ext_sh</f>
        <v>816.666666666667</v>
      </c>
      <c r="D6057" s="30" t="n">
        <f aca="false">Sens!D6056/ext_sh</f>
        <v>2050</v>
      </c>
      <c r="E6057" s="30" t="n">
        <f aca="false">Sens!E6056/ext_sh</f>
        <v>4500</v>
      </c>
      <c r="F6057" s="30" t="n">
        <f aca="false">Sens!F6056/ext_sh</f>
        <v>8700.89183333333</v>
      </c>
      <c r="G6057" s="30" t="n">
        <f aca="false">Sens!G6056/ext_sh</f>
        <v>13245.117</v>
      </c>
      <c r="H6057" s="30" t="n">
        <f aca="false">Sens!H6056/ext_sh</f>
        <v>17789.3421666667</v>
      </c>
      <c r="I6057" s="30" t="n">
        <f aca="false">Sens!I6056/ext_sh</f>
        <v>21009.3190327778</v>
      </c>
      <c r="J6057" s="30" t="n">
        <f aca="false">Sens!J6056/ext_sh</f>
        <v>22969.4471356556</v>
      </c>
      <c r="K6057" s="30" t="n">
        <f aca="false">Sens!K6056/ext_sh</f>
        <v>23696.3305497252</v>
      </c>
      <c r="L6057" s="1" t="s">
        <v>956</v>
      </c>
    </row>
    <row r="6058" customFormat="false" ht="17.15" hidden="false" customHeight="false" outlineLevel="0" collapsed="false">
      <c r="A6058" s="1" t="s">
        <v>957</v>
      </c>
      <c r="B6058" s="0" t="s">
        <v>456</v>
      </c>
      <c r="C6058" s="30" t="n">
        <f aca="false">Sens!C6057-Sens!C6056</f>
        <v>326.666666666667</v>
      </c>
      <c r="D6058" s="30" t="n">
        <f aca="false">Sens!D6057-Sens!D6056</f>
        <v>820</v>
      </c>
      <c r="E6058" s="30" t="n">
        <f aca="false">Sens!E6057-Sens!E6056</f>
        <v>1800</v>
      </c>
      <c r="F6058" s="30" t="n">
        <f aca="false">Sens!F6057-Sens!F6056</f>
        <v>3480.35673333333</v>
      </c>
      <c r="G6058" s="30" t="n">
        <f aca="false">Sens!G6057-Sens!G6056</f>
        <v>5298.0468</v>
      </c>
      <c r="H6058" s="30" t="n">
        <f aca="false">Sens!H6057-Sens!H6056</f>
        <v>7115.73686666667</v>
      </c>
      <c r="I6058" s="30" t="n">
        <f aca="false">Sens!I6057-Sens!I6056</f>
        <v>8403.72761311111</v>
      </c>
      <c r="J6058" s="30" t="n">
        <f aca="false">Sens!J6057-Sens!J6056</f>
        <v>9187.77885426222</v>
      </c>
      <c r="K6058" s="30" t="n">
        <f aca="false">Sens!K6057-Sens!K6056</f>
        <v>9478.53221989009</v>
      </c>
    </row>
    <row r="6059" customFormat="false" ht="17.15" hidden="false" customHeight="false" outlineLevel="0" collapsed="false">
      <c r="A6059" s="1" t="s">
        <v>958</v>
      </c>
      <c r="B6059" s="0" t="s">
        <v>456</v>
      </c>
      <c r="C6059" s="30" t="n">
        <f aca="false">Sens!C6057</f>
        <v>816.666666666667</v>
      </c>
      <c r="D6059" s="30" t="n">
        <f aca="false">Sens!D6057-Sens!C6057</f>
        <v>1233.33333333333</v>
      </c>
      <c r="E6059" s="30" t="n">
        <f aca="false">Sens!E6057-Sens!D6057</f>
        <v>2450</v>
      </c>
      <c r="F6059" s="30" t="n">
        <f aca="false">Sens!F6057-Sens!E6057</f>
        <v>4200.89183333333</v>
      </c>
      <c r="G6059" s="30" t="n">
        <f aca="false">Sens!G6057-Sens!F6057</f>
        <v>4544.22516666667</v>
      </c>
      <c r="H6059" s="30" t="n">
        <f aca="false">Sens!H6057-Sens!G6057</f>
        <v>4544.22516666667</v>
      </c>
      <c r="I6059" s="30" t="n">
        <f aca="false">Sens!I6057-Sens!H6057</f>
        <v>3219.97686611111</v>
      </c>
      <c r="J6059" s="30" t="n">
        <f aca="false">Sens!J6057-Sens!I6057</f>
        <v>1960.12810287778</v>
      </c>
      <c r="K6059" s="30" t="n">
        <f aca="false">Sens!K6057-Sens!J6057</f>
        <v>726.883414069667</v>
      </c>
    </row>
    <row r="6060" customFormat="false" ht="17.15" hidden="false" customHeight="false" outlineLevel="0" collapsed="false">
      <c r="A6060" s="1" t="s">
        <v>959</v>
      </c>
      <c r="B6060" s="0" t="s">
        <v>456</v>
      </c>
      <c r="D6060" s="30" t="n">
        <f aca="false">Sens!D6054-Sens!C6054</f>
        <v>990</v>
      </c>
      <c r="E6060" s="30" t="n">
        <f aca="false">Sens!E6054-Sens!D6054</f>
        <v>1620</v>
      </c>
      <c r="F6060" s="30" t="n">
        <f aca="false">Sens!F6054-Sens!E6054</f>
        <v>2726.5351</v>
      </c>
      <c r="G6060" s="30" t="n">
        <f aca="false">Sens!G6054-Sens!F6054</f>
        <v>2726.5351</v>
      </c>
      <c r="H6060" s="30" t="n">
        <f aca="false">Sens!H6054-Sens!G6054</f>
        <v>2726.5351</v>
      </c>
      <c r="I6060" s="30" t="n">
        <f aca="false">Sens!I6054-Sens!H6054</f>
        <v>1931.98611966667</v>
      </c>
      <c r="J6060" s="30" t="n">
        <f aca="false">Sens!J6054-Sens!I6054</f>
        <v>1176.07686172667</v>
      </c>
      <c r="K6060" s="30" t="n">
        <f aca="false">Sens!K6054-Sens!J6054</f>
        <v>436.130048441799</v>
      </c>
    </row>
    <row r="6061" customFormat="false" ht="17.15" hidden="false" customHeight="false" outlineLevel="0" collapsed="false">
      <c r="A6061" s="1" t="s">
        <v>960</v>
      </c>
      <c r="B6061" s="0" t="s">
        <v>456</v>
      </c>
      <c r="F6061" s="30" t="n">
        <f aca="false">Sens!F6080*ext_sh</f>
        <v>0</v>
      </c>
      <c r="G6061" s="30" t="n">
        <f aca="false">Sens!G6080*ext_sh</f>
        <v>0</v>
      </c>
      <c r="H6061" s="30" t="n">
        <f aca="false">Sens!H6080*ext_sh</f>
        <v>0</v>
      </c>
      <c r="I6061" s="30" t="n">
        <f aca="false">Sens!I6080*ext_sh</f>
        <v>490</v>
      </c>
      <c r="J6061" s="30" t="n">
        <f aca="false">Sens!J6080*ext_sh</f>
        <v>740</v>
      </c>
      <c r="K6061" s="30" t="n">
        <f aca="false">Sens!K6080*ext_sh</f>
        <v>1470</v>
      </c>
      <c r="L6061" s="1" t="s">
        <v>961</v>
      </c>
    </row>
    <row r="6062" customFormat="false" ht="17.15" hidden="false" customHeight="false" outlineLevel="0" collapsed="false">
      <c r="A6062" s="1" t="s">
        <v>962</v>
      </c>
      <c r="B6062" s="0" t="s">
        <v>456</v>
      </c>
      <c r="C6062" s="30" t="n">
        <f aca="false">mix_h*Sens!C6054</f>
        <v>128</v>
      </c>
      <c r="D6062" s="30" t="n">
        <f aca="false">mix_h*Sens!D6054</f>
        <v>326</v>
      </c>
      <c r="E6062" s="30" t="n">
        <f aca="false">mix_h*Sens!E6054</f>
        <v>650</v>
      </c>
      <c r="F6062" s="30" t="n">
        <f aca="false">Sens!E6062-Sens!F6061*mix_h</f>
        <v>650</v>
      </c>
      <c r="G6062" s="30" t="n">
        <f aca="false">Sens!F6062-Sens!G6061*mix_h</f>
        <v>650</v>
      </c>
      <c r="H6062" s="30" t="n">
        <f aca="false">Sens!G6062-Sens!H6061*mix_h</f>
        <v>650</v>
      </c>
      <c r="I6062" s="30" t="n">
        <f aca="false">Sens!H6062-Sens!I6061*mix_h</f>
        <v>552</v>
      </c>
      <c r="J6062" s="30" t="n">
        <f aca="false">Sens!I6062-Sens!J6061*mix_h</f>
        <v>404</v>
      </c>
      <c r="K6062" s="30" t="n">
        <f aca="false">Sens!J6062-Sens!K6061*mix_h</f>
        <v>110</v>
      </c>
    </row>
    <row r="6063" customFormat="false" ht="17.15" hidden="false" customHeight="false" outlineLevel="0" collapsed="false">
      <c r="A6063" s="1" t="s">
        <v>963</v>
      </c>
      <c r="B6063" s="0" t="s">
        <v>456</v>
      </c>
      <c r="C6063" s="30" t="n">
        <f aca="false">mix_g2*Sens!C6054</f>
        <v>288</v>
      </c>
      <c r="D6063" s="30" t="n">
        <f aca="false">mix_g2*Sens!D6054</f>
        <v>733.5</v>
      </c>
      <c r="E6063" s="30" t="n">
        <f aca="false">mix_g2*Sens!E6054</f>
        <v>1462.5</v>
      </c>
      <c r="F6063" s="30" t="n">
        <f aca="false">Sens!E6063-Sens!F6061*mix_g2</f>
        <v>1462.5</v>
      </c>
      <c r="G6063" s="30" t="n">
        <f aca="false">Sens!F6063-Sens!G6061*mix_g2</f>
        <v>1462.5</v>
      </c>
      <c r="H6063" s="30" t="n">
        <f aca="false">Sens!G6063-Sens!H6061*mix_g2</f>
        <v>1462.5</v>
      </c>
      <c r="I6063" s="30" t="n">
        <f aca="false">Sens!H6063-Sens!I6061*mix_g2</f>
        <v>1242</v>
      </c>
      <c r="J6063" s="30" t="n">
        <f aca="false">Sens!I6063-Sens!J6061*mix_g2</f>
        <v>909</v>
      </c>
      <c r="K6063" s="30" t="n">
        <f aca="false">Sens!J6063-Sens!K6061*mix_g2</f>
        <v>247.5</v>
      </c>
    </row>
    <row r="6064" customFormat="false" ht="17.15" hidden="false" customHeight="false" outlineLevel="0" collapsed="false">
      <c r="A6064" s="1" t="s">
        <v>964</v>
      </c>
      <c r="B6064" s="0" t="s">
        <v>456</v>
      </c>
      <c r="C6064" s="30" t="n">
        <f aca="false">mix_g3*Sens!C6054</f>
        <v>224</v>
      </c>
      <c r="D6064" s="30" t="n">
        <f aca="false">mix_g3*Sens!D6054</f>
        <v>570.5</v>
      </c>
      <c r="E6064" s="30" t="n">
        <f aca="false">mix_g3*Sens!E6054</f>
        <v>1137.5</v>
      </c>
      <c r="F6064" s="30" t="n">
        <f aca="false">Sens!E6064+(Sens!F6060+Sens!F6061)*(a_g3_27-nonnv*a_mai)-Sens!F6061*mix_g3</f>
        <v>2773.42106</v>
      </c>
      <c r="G6064" s="30" t="n">
        <f aca="false">Sens!F6064+(Sens!G6060+Sens!G6061)*(a_g3_28-nonnv*a_mai)-Sens!G6061*mix_g3</f>
        <v>3318.72808</v>
      </c>
      <c r="H6064" s="30" t="n">
        <f aca="false">Sens!G6064+(Sens!H6060+Sens!H6061)*(a_g3_29-nonnv*a_mai)-Sens!H6061*mix_g3</f>
        <v>3318.72808</v>
      </c>
      <c r="I6064" s="30" t="n">
        <f aca="false">Sens!H6064+(Sens!I6060+Sens!I6061)*(a_g3_29-nonnv*a_mai)-Sens!I6061*mix_g3</f>
        <v>3147.22808</v>
      </c>
      <c r="J6064" s="30" t="n">
        <f aca="false">Sens!I6064+(Sens!J6060+Sens!J6061)*(a_g3_29-nonnv*a_mai)-Sens!J6061*mix_g3</f>
        <v>2888.22808</v>
      </c>
      <c r="K6064" s="30" t="n">
        <f aca="false">Sens!J6064+(Sens!K6060+Sens!K6061)*(a_g3_29-nonnv*a_mai)-Sens!K6061*mix_g3</f>
        <v>2373.72808</v>
      </c>
    </row>
    <row r="6065" customFormat="false" ht="17.15" hidden="false" customHeight="false" outlineLevel="0" collapsed="false">
      <c r="A6065" s="1" t="s">
        <v>965</v>
      </c>
      <c r="B6065" s="0" t="s">
        <v>456</v>
      </c>
      <c r="C6065" s="30" t="n">
        <v>0</v>
      </c>
      <c r="D6065" s="30" t="n">
        <v>0</v>
      </c>
      <c r="E6065" s="30" t="n">
        <v>0</v>
      </c>
      <c r="F6065" s="30" t="n">
        <f aca="false">Sens!E6065+(Sens!F6060+Sens!F6061)*nonnv*a_mai</f>
        <v>272.65351</v>
      </c>
      <c r="G6065" s="30" t="n">
        <f aca="false">Sens!F6065+(Sens!G6060+Sens!G6061)*nonnv*a_mai</f>
        <v>545.30702</v>
      </c>
      <c r="H6065" s="30" t="n">
        <f aca="false">Sens!G6065+(Sens!H6060+Sens!H6061)*nonnv*a_mai</f>
        <v>817.96053</v>
      </c>
      <c r="I6065" s="30" t="n">
        <f aca="false">Sens!H6065+(Sens!I6060+Sens!I6061)*nonnv*a_mai</f>
        <v>1060.15914196667</v>
      </c>
      <c r="J6065" s="30" t="n">
        <f aca="false">Sens!I6065+(Sens!J6060+Sens!J6061)*nonnv*a_mai</f>
        <v>1251.76682813933</v>
      </c>
      <c r="K6065" s="30" t="n">
        <f aca="false">Sens!J6065+(Sens!K6060+Sens!K6061)*nonnv*a_mai</f>
        <v>1442.37983298351</v>
      </c>
      <c r="L6065" s="12" t="s">
        <v>966</v>
      </c>
    </row>
    <row r="6066" customFormat="false" ht="17.15" hidden="false" customHeight="false" outlineLevel="0" collapsed="false">
      <c r="A6066" s="1" t="s">
        <v>967</v>
      </c>
      <c r="B6066" s="0" t="s">
        <v>456</v>
      </c>
      <c r="C6066" s="30" t="n">
        <v>0</v>
      </c>
      <c r="D6066" s="30" t="n">
        <v>0</v>
      </c>
      <c r="E6066" s="30" t="n">
        <v>0</v>
      </c>
      <c r="F6066" s="30" t="n">
        <f aca="false">Sens!E6066+(Sens!F6060+Sens!F6061)*(1-a_g3_27)</f>
        <v>817.96053</v>
      </c>
      <c r="G6066" s="30" t="n">
        <f aca="false">Sens!F6066+(Sens!G6060+Sens!G6061)*(1-a_g3_28)</f>
        <v>2726.5351</v>
      </c>
      <c r="H6066" s="30" t="n">
        <f aca="false">Sens!G6066+(Sens!H6060+Sens!H6061)*(1-a_g3_29)</f>
        <v>5180.41669</v>
      </c>
      <c r="I6066" s="30" t="n">
        <f aca="false">Sens!H6066+(Sens!I6060+Sens!I6061)*(1-a_g3_29)</f>
        <v>7360.2041977</v>
      </c>
      <c r="J6066" s="30" t="n">
        <f aca="false">Sens!I6066+(Sens!J6060+Sens!J6061)*(1-a_g3_29)</f>
        <v>9084.673373254</v>
      </c>
      <c r="K6066" s="30" t="n">
        <f aca="false">Sens!J6066+(Sens!K6060+Sens!K6061)*(1-a_g3_29)</f>
        <v>10800.1904168516</v>
      </c>
    </row>
    <row r="6067" customFormat="false" ht="17.15" hidden="false" customHeight="false" outlineLevel="0" collapsed="false">
      <c r="A6067" s="1" t="s">
        <v>968</v>
      </c>
      <c r="B6067" s="0" t="s">
        <v>403</v>
      </c>
      <c r="C6067" s="15" t="n">
        <f aca="false">(Sens!C6062*tk_hold_h100+Sens!C6063*tk_hold_gb200+Sens!C6064*tk_hold_gb300+Sens!C6066*tk_hold_vr200+Sens!C6065*nv_hold_mai*tk_hold_vr200)/Sens!C6054</f>
        <v>9.7235358126469</v>
      </c>
      <c r="D6067" s="15" t="n">
        <f aca="false">(Sens!D6062*tk_hold_h100+Sens!D6063*tk_hold_gb200+Sens!D6064*tk_hold_gb300+Sens!D6066*tk_hold_vr200+Sens!D6065*nv_hold_mai*tk_hold_vr200)/Sens!D6054</f>
        <v>9.7235358126469</v>
      </c>
      <c r="E6067" s="15" t="n">
        <f aca="false">(Sens!E6062*tk_hold_h100+Sens!E6063*tk_hold_gb200+Sens!E6064*tk_hold_gb300+Sens!E6066*tk_hold_vr200+Sens!E6065*nv_hold_mai*tk_hold_vr200)/Sens!E6054</f>
        <v>9.7235358126469</v>
      </c>
      <c r="F6067" s="15" t="n">
        <f aca="false">(Sens!F6062*tk_hold_h100+Sens!F6063*tk_hold_gb200+Sens!F6064*tk_hold_gb300+Sens!F6066*tk_hold_vr200+Sens!F6065*nv_hold_mai*tk_hold_vr200)/Sens!F6054</f>
        <v>10.2195353876665</v>
      </c>
      <c r="G6067" s="15" t="n">
        <f aca="false">(Sens!G6062*tk_hold_h100+Sens!G6063*tk_hold_gb200+Sens!G6064*tk_hold_gb300+Sens!G6066*tk_hold_vr200+Sens!G6065*nv_hold_mai*tk_hold_vr200)/Sens!G6054</f>
        <v>10.5725598017306</v>
      </c>
      <c r="H6067" s="15" t="n">
        <f aca="false">(Sens!H6062*tk_hold_h100+Sens!H6063*tk_hold_gb200+Sens!H6064*tk_hold_gb300+Sens!H6066*tk_hold_vr200+Sens!H6065*nv_hold_mai*tk_hold_vr200)/Sens!H6054</f>
        <v>10.8210427149036</v>
      </c>
      <c r="I6067" s="15" t="n">
        <f aca="false">(Sens!I6062*tk_hold_h100+Sens!I6063*tk_hold_gb200+Sens!I6064*tk_hold_gb300+Sens!I6066*tk_hold_vr200+Sens!I6065*nv_hold_mai*tk_hold_vr200)/Sens!I6054</f>
        <v>11.0050618241982</v>
      </c>
      <c r="J6067" s="15" t="n">
        <f aca="false">(Sens!J6062*tk_hold_h100+Sens!J6063*tk_hold_gb200+Sens!J6064*tk_hold_gb300+Sens!J6066*tk_hold_vr200+Sens!J6065*nv_hold_mai*tk_hold_vr200)/Sens!J6054</f>
        <v>11.1505789658881</v>
      </c>
      <c r="K6067" s="15" t="n">
        <f aca="false">(Sens!K6062*tk_hold_h100+Sens!K6063*tk_hold_gb200+Sens!K6064*tk_hold_gb300+Sens!K6066*tk_hold_vr200+Sens!K6065*nv_hold_mai*tk_hold_vr200)/Sens!K6054</f>
        <v>11.3496914757183</v>
      </c>
      <c r="L6067" s="1" t="s">
        <v>969</v>
      </c>
    </row>
    <row r="6068" customFormat="false" ht="17.15" hidden="false" customHeight="false" outlineLevel="0" collapsed="false">
      <c r="A6068" s="1" t="s">
        <v>970</v>
      </c>
      <c r="B6068" s="0" t="s">
        <v>403</v>
      </c>
      <c r="C6068" s="15" t="n">
        <f aca="false">(Sens!C6062*tk_hold_h100+Sens!C6063*tk_hold_gb200+Sens!C6064*tk_hold_gb300+Sens!C6066*tk_hold_vr200+Sens!C6065*nv_out_mai_hi*tk_hold_vr200)/Sens!C6054</f>
        <v>9.7235358126469</v>
      </c>
      <c r="D6068" s="15" t="n">
        <f aca="false">(Sens!D6062*tk_hold_h100+Sens!D6063*tk_hold_gb200+Sens!D6064*tk_hold_gb300+Sens!D6066*tk_hold_vr200+Sens!D6065*nv_out_mai_hi*tk_hold_vr200)/Sens!D6054</f>
        <v>9.7235358126469</v>
      </c>
      <c r="E6068" s="15" t="n">
        <f aca="false">(Sens!E6062*tk_hold_h100+Sens!E6063*tk_hold_gb200+Sens!E6064*tk_hold_gb300+Sens!E6066*tk_hold_vr200+Sens!E6065*nv_out_mai_hi*tk_hold_vr200)/Sens!E6054</f>
        <v>9.7235358126469</v>
      </c>
      <c r="F6068" s="15" t="n">
        <f aca="false">(Sens!F6062*tk_hold_h100+Sens!F6063*tk_hold_gb200+Sens!F6064*tk_hold_gb300+Sens!F6066*tk_hold_vr200+Sens!F6065*nv_out_mai_hi*tk_hold_vr200)/Sens!F6054</f>
        <v>10.3589689191789</v>
      </c>
      <c r="G6068" s="15" t="n">
        <f aca="false">(Sens!G6062*tk_hold_h100+Sens!G6063*tk_hold_gb200+Sens!G6064*tk_hold_gb300+Sens!G6066*tk_hold_vr200+Sens!G6065*nv_out_mai_hi*tk_hold_vr200)/Sens!G6054</f>
        <v>10.7640621971039</v>
      </c>
      <c r="H6068" s="15" t="n">
        <f aca="false">(Sens!H6062*tk_hold_h100+Sens!H6063*tk_hold_gb200+Sens!H6064*tk_hold_gb300+Sens!H6066*tk_hold_vr200+Sens!H6065*nv_out_mai_hi*tk_hold_vr200)/Sens!H6054</f>
        <v>11.0397718940821</v>
      </c>
      <c r="I6068" s="15" t="n">
        <f aca="false">(Sens!I6062*tk_hold_h100+Sens!I6063*tk_hold_gb200+Sens!I6064*tk_hold_gb300+Sens!I6066*tk_hold_vr200+Sens!I6065*nv_out_mai_hi*tk_hold_vr200)/Sens!I6054</f>
        <v>11.2475655882199</v>
      </c>
      <c r="J6068" s="15" t="n">
        <f aca="false">(Sens!J6062*tk_hold_h100+Sens!J6063*tk_hold_gb200+Sens!J6064*tk_hold_gb300+Sens!J6066*tk_hold_vr200+Sens!J6065*nv_out_mai_hi*tk_hold_vr200)/Sens!J6054</f>
        <v>11.4137477004764</v>
      </c>
      <c r="K6068" s="15" t="n">
        <f aca="false">(Sens!K6062*tk_hold_h100+Sens!K6063*tk_hold_gb200+Sens!K6064*tk_hold_gb300+Sens!K6066*tk_hold_vr200+Sens!K6065*nv_out_mai_hi*tk_hold_vr200)/Sens!K6054</f>
        <v>11.6441019592394</v>
      </c>
      <c r="L6068" s="12" t="s">
        <v>971</v>
      </c>
    </row>
    <row r="6069" customFormat="false" ht="17.15" hidden="false" customHeight="false" outlineLevel="0" collapsed="false">
      <c r="A6069" s="0" t="s">
        <v>972</v>
      </c>
      <c r="B6069" s="0" t="s">
        <v>229</v>
      </c>
      <c r="C6069" s="15" t="n">
        <f aca="false">k_B</f>
        <v>1.17213932619116</v>
      </c>
      <c r="D6069" s="15" t="n">
        <f aca="false">k_B</f>
        <v>1.17213932619116</v>
      </c>
      <c r="E6069" s="15" t="n">
        <f aca="false">k_B</f>
        <v>1.17213932619116</v>
      </c>
      <c r="F6069" s="15" t="n">
        <f aca="false">(k_B+((ls_A*k_long+(1-ls_A)*k_spot)-k_B)*MIN(1,(Sens!F6052-base_fy)/k_ramp))</f>
        <v>1.25022828131298</v>
      </c>
      <c r="G6069" s="15" t="n">
        <f aca="false">(k_B+((ls_A*k_long+(1-ls_A)*k_spot)-k_B)*MIN(1,(Sens!G6052-base_fy)/k_ramp))</f>
        <v>1.3283172364348</v>
      </c>
      <c r="H6069" s="15" t="n">
        <f aca="false">(k_B+((ls_A*k_long+(1-ls_A)*k_spot)-k_B)*MIN(1,(Sens!H6052-base_fy)/k_ramp))</f>
        <v>1.40640619155662</v>
      </c>
      <c r="I6069" s="15" t="n">
        <f aca="false">(k_B+((ls_A*k_long+(1-ls_A)*k_spot)-k_B)*MIN(1,(Sens!I6052-base_fy)/k_ramp))</f>
        <v>1.40640619155662</v>
      </c>
      <c r="J6069" s="15" t="n">
        <f aca="false">(k_B+((ls_A*k_long+(1-ls_A)*k_spot)-k_B)*MIN(1,(Sens!J6052-base_fy)/k_ramp))</f>
        <v>1.40640619155662</v>
      </c>
      <c r="K6069" s="15" t="n">
        <f aca="false">(k_B+((ls_A*k_long+(1-ls_A)*k_spot)-k_B)*MIN(1,(Sens!K6052-base_fy)/k_ramp))</f>
        <v>1.40640619155662</v>
      </c>
      <c r="L6069" s="1" t="s">
        <v>973</v>
      </c>
    </row>
    <row r="6070" customFormat="false" ht="17.15" hidden="false" customHeight="false" outlineLevel="0" collapsed="false">
      <c r="A6070" s="1" t="s">
        <v>974</v>
      </c>
      <c r="B6070" s="0" t="s">
        <v>403</v>
      </c>
      <c r="C6070" s="15" t="n">
        <f aca="false">Sens!C6068*Sens!C6069*chip_f</f>
        <v>11.3973387156315</v>
      </c>
      <c r="D6070" s="15" t="n">
        <f aca="false">Sens!D6068*Sens!D6069*chip_f</f>
        <v>11.3973387156315</v>
      </c>
      <c r="E6070" s="15" t="n">
        <f aca="false">Sens!E6068*Sens!E6069*chip_f</f>
        <v>11.3973387156315</v>
      </c>
      <c r="F6070" s="15" t="n">
        <f aca="false">Sens!F6068*Sens!F6069*chip_f</f>
        <v>12.9510759079995</v>
      </c>
      <c r="G6070" s="15" t="n">
        <f aca="false">Sens!G6068*Sens!G6069*chip_f</f>
        <v>14.2980893504693</v>
      </c>
      <c r="H6070" s="15" t="n">
        <f aca="false">Sens!H6068*Sens!H6069*chip_f</f>
        <v>15.5264035452097</v>
      </c>
      <c r="I6070" s="15" t="n">
        <f aca="false">Sens!I6068*Sens!I6069*chip_f</f>
        <v>15.8186458832116</v>
      </c>
      <c r="J6070" s="15" t="n">
        <f aca="false">Sens!J6068*Sens!J6069*chip_f</f>
        <v>16.0523654348152</v>
      </c>
      <c r="K6070" s="15" t="n">
        <f aca="false">Sens!K6068*Sens!K6069*chip_f</f>
        <v>16.3763370905908</v>
      </c>
      <c r="L6070" s="1" t="s">
        <v>975</v>
      </c>
    </row>
    <row r="6071" customFormat="false" ht="17.15" hidden="false" customHeight="false" outlineLevel="0" collapsed="false">
      <c r="A6071" s="0" t="s">
        <v>976</v>
      </c>
      <c r="B6071" s="0" t="s">
        <v>98</v>
      </c>
      <c r="D6071" s="6" t="n">
        <f aca="false">(Sens!C6054+Sens!D6054)/2*Sens!D6070/1000</f>
        <v>12.9359794422418</v>
      </c>
      <c r="E6071" s="6" t="n">
        <f aca="false">(Sens!D6054+Sens!E6054)/2*Sens!E6070/1000</f>
        <v>27.8095064661409</v>
      </c>
      <c r="F6071" s="6" t="n">
        <f aca="false">(Sens!E6054+Sens!F6054)/2*Sens!F6070/1000</f>
        <v>59.746778223961</v>
      </c>
      <c r="G6071" s="6" t="n">
        <f aca="false">(Sens!F6054+Sens!G6054)/2*Sens!G6070/1000</f>
        <v>104.945154104511</v>
      </c>
      <c r="H6071" s="6" t="n">
        <f aca="false">(Sens!G6054+Sens!H6054)/2*Sens!H6070/1000</f>
        <v>156.294022128879</v>
      </c>
      <c r="I6071" s="6" t="n">
        <f aca="false">(Sens!H6054+Sens!I6054)/2*Sens!I6070/1000</f>
        <v>196.081580964722</v>
      </c>
      <c r="J6071" s="6" t="n">
        <f aca="false">(Sens!I6054+Sens!J6054)/2*Sens!J6070/1000</f>
        <v>223.924556041114</v>
      </c>
      <c r="K6071" s="6" t="n">
        <f aca="false">(Sens!J6054+Sens!K6054)/2*Sens!K6070/1000</f>
        <v>241.644862631596</v>
      </c>
      <c r="L6071" s="12" t="s">
        <v>977</v>
      </c>
    </row>
    <row r="6072" customFormat="false" ht="17.15" hidden="false" customHeight="false" outlineLevel="0" collapsed="false">
      <c r="A6072" s="1" t="s">
        <v>978</v>
      </c>
      <c r="B6072" s="0" t="s">
        <v>403</v>
      </c>
      <c r="C6072" s="15" t="n">
        <f aca="false">(Sens!C6062*tk_opex_h100+Sens!C6063*tk_opex_gb200+Sens!C6064*tk_opex_gb300+(Sens!C6066+Sens!C6065)*tk_opex_vr200)/Sens!C6054</f>
        <v>1.88636041306092</v>
      </c>
      <c r="D6072" s="15" t="n">
        <f aca="false">(Sens!D6062*tk_opex_h100+Sens!D6063*tk_opex_gb200+Sens!D6064*tk_opex_gb300+(Sens!D6066+Sens!D6065)*tk_opex_vr200)/Sens!D6054</f>
        <v>1.88636041306092</v>
      </c>
      <c r="E6072" s="15" t="n">
        <f aca="false">(Sens!E6062*tk_opex_h100+Sens!E6063*tk_opex_gb200+Sens!E6064*tk_opex_gb300+(Sens!E6066+Sens!E6065)*tk_opex_vr200)/Sens!E6054</f>
        <v>1.88636041306092</v>
      </c>
      <c r="F6072" s="15" t="n">
        <f aca="false">(Sens!F6062*tk_opex_h100+Sens!F6063*tk_opex_gb200+Sens!F6064*tk_opex_gb300+(Sens!F6066+Sens!F6065)*tk_opex_vr200)/Sens!F6054</f>
        <v>1.95051159746876</v>
      </c>
      <c r="G6072" s="15" t="n">
        <f aca="false">(Sens!G6062*tk_opex_h100+Sens!G6063*tk_opex_gb200+Sens!G6064*tk_opex_gb300+(Sens!G6066+Sens!G6065)*tk_opex_vr200)/Sens!G6054</f>
        <v>1.98836003669956</v>
      </c>
      <c r="H6072" s="15" t="n">
        <f aca="false">(Sens!H6062*tk_opex_h100+Sens!H6063*tk_opex_gb200+Sens!H6064*tk_opex_gb300+(Sens!H6066+Sens!H6065)*tk_opex_vr200)/Sens!H6054</f>
        <v>2.01344013834343</v>
      </c>
      <c r="I6072" s="15" t="n">
        <f aca="false">(Sens!I6062*tk_opex_h100+Sens!I6063*tk_opex_gb200+Sens!I6064*tk_opex_gb300+(Sens!I6066+Sens!I6065)*tk_opex_vr200)/Sens!I6054</f>
        <v>2.03261166882178</v>
      </c>
      <c r="J6072" s="15" t="n">
        <f aca="false">(Sens!J6062*tk_opex_h100+Sens!J6063*tk_opex_gb200+Sens!J6064*tk_opex_gb300+(Sens!J6066+Sens!J6065)*tk_opex_vr200)/Sens!J6054</f>
        <v>2.04808073288745</v>
      </c>
      <c r="K6072" s="15" t="n">
        <f aca="false">(Sens!K6062*tk_opex_h100+Sens!K6063*tk_opex_gb200+Sens!K6064*tk_opex_gb300+(Sens!K6066+Sens!K6065)*tk_opex_vr200)/Sens!K6054</f>
        <v>2.06973825807449</v>
      </c>
      <c r="L6072" s="12" t="s">
        <v>979</v>
      </c>
    </row>
    <row r="6073" customFormat="false" ht="17.15" hidden="false" customHeight="false" outlineLevel="0" collapsed="false">
      <c r="A6073" s="0" t="s">
        <v>980</v>
      </c>
      <c r="B6073" s="0" t="s">
        <v>98</v>
      </c>
      <c r="D6073" s="6" t="n">
        <f aca="false">(Sens!C6057+Sens!D6057)/2*Sens!D6072/1000</f>
        <v>2.70378325872065</v>
      </c>
      <c r="E6073" s="6" t="n">
        <f aca="false">(Sens!D6057+Sens!E6057)/2*Sens!E6072/1000</f>
        <v>6.17783035277451</v>
      </c>
      <c r="F6073" s="6" t="n">
        <f aca="false">(Sens!E6057+Sens!F6057)/2*Sens!F6072/1000</f>
        <v>12.8742463089237</v>
      </c>
      <c r="G6073" s="6" t="n">
        <f aca="false">(Sens!F6057+Sens!G6057)/2*Sens!G6072/1000</f>
        <v>21.8182834646277</v>
      </c>
      <c r="H6073" s="6" t="n">
        <f aca="false">(Sens!G6057+Sens!H6057)/2*Sens!H6072/1000</f>
        <v>31.2430128789734</v>
      </c>
      <c r="I6073" s="6" t="n">
        <f aca="false">(Sens!H6057+Sens!I6057)/2*Sens!I6072/1000</f>
        <v>39.4313057443268</v>
      </c>
      <c r="J6073" s="6" t="n">
        <f aca="false">(Sens!I6057+Sens!J6057)/2*Sens!J6072/1000</f>
        <v>45.0360318228653</v>
      </c>
      <c r="K6073" s="6" t="n">
        <f aca="false">(Sens!J6057+Sens!K6057)/2*Sens!K6072/1000</f>
        <v>48.2929727091156</v>
      </c>
    </row>
    <row r="6074" customFormat="false" ht="17.15" hidden="false" customHeight="false" outlineLevel="0" collapsed="false">
      <c r="A6074" s="0" t="s">
        <v>981</v>
      </c>
      <c r="B6074" s="0" t="s">
        <v>98</v>
      </c>
      <c r="D6074" s="6" t="n">
        <f aca="false">(Sens!C6055+Sens!D6055)/2*rent_mw/1000</f>
        <v>2.44475</v>
      </c>
      <c r="E6074" s="6" t="n">
        <f aca="false">(Sens!D6055+Sens!E6055)/2*rent_mw/1000</f>
        <v>4.22275</v>
      </c>
      <c r="F6074" s="6" t="n">
        <f aca="false">(Sens!E6055+Sens!F6055)/2*rent_mw/1000</f>
        <v>5.80517</v>
      </c>
      <c r="G6074" s="6" t="n">
        <f aca="false">(Sens!F6055+Sens!G6055)/2*rent_mw/1000</f>
        <v>6.72084</v>
      </c>
      <c r="H6074" s="6" t="n">
        <f aca="false">(Sens!G6055+Sens!H6055)/2*rent_mw/1000</f>
        <v>6.72084</v>
      </c>
      <c r="I6074" s="6" t="n">
        <f aca="false">(Sens!H6055+Sens!I6055)/2*rent_mw/1000</f>
        <v>6.72084</v>
      </c>
      <c r="J6074" s="6" t="n">
        <f aca="false">(Sens!I6055+Sens!J6055)/2*rent_mw/1000</f>
        <v>6.72084</v>
      </c>
      <c r="K6074" s="6" t="n">
        <f aca="false">(Sens!J6055+Sens!K6055)/2*rent_mw/1000</f>
        <v>6.72084</v>
      </c>
    </row>
    <row r="6075" customFormat="false" ht="17.15" hidden="false" customHeight="false" outlineLevel="0" collapsed="false">
      <c r="A6075" s="0" t="s">
        <v>982</v>
      </c>
      <c r="B6075" s="0" t="s">
        <v>98</v>
      </c>
      <c r="D6075" s="6" t="n">
        <f aca="false">(Sens!C6057+Sens!D6057)/2*(1-self_build)*fac_rent/1000</f>
        <v>0.853242375631075</v>
      </c>
      <c r="E6075" s="6" t="n">
        <f aca="false">(Sens!D6057+Sens!E6057)/2*(1-self_build)*fac_rent/1000</f>
        <v>1.94955961408728</v>
      </c>
      <c r="F6075" s="6" t="n">
        <f aca="false">(Sens!E6057+Sens!F6057)/2*(1-self_build)*fac_rent/1000</f>
        <v>3.92914894476356</v>
      </c>
      <c r="G6075" s="6" t="n">
        <f aca="false">(Sens!F6057+Sens!G6057)/2*(1-self_build)*fac_rent/1000</f>
        <v>6.53206908578159</v>
      </c>
      <c r="H6075" s="6" t="n">
        <f aca="false">(Sens!G6057+Sens!H6057)/2*(1-self_build)*fac_rent/1000</f>
        <v>9.23717988341591</v>
      </c>
      <c r="I6075" s="6" t="n">
        <f aca="false">(Sens!H6057+Sens!I6057)/2*(1-self_build)*fac_rent/1000</f>
        <v>11.5481378557393</v>
      </c>
      <c r="J6075" s="6" t="n">
        <f aca="false">(Sens!I6057+Sens!J6057)/2*(1-self_build)*fac_rent/1000</f>
        <v>13.0899582289108</v>
      </c>
      <c r="K6075" s="6" t="n">
        <f aca="false">(Sens!J6057+Sens!K6057)/2*(1-self_build)*fac_rent/1000</f>
        <v>13.8897275626556</v>
      </c>
      <c r="L6075" s="12" t="s">
        <v>983</v>
      </c>
    </row>
    <row r="6076" customFormat="false" ht="17.15" hidden="false" customHeight="false" outlineLevel="0" collapsed="false">
      <c r="A6076" s="1" t="s">
        <v>984</v>
      </c>
      <c r="B6076" s="0" t="s">
        <v>168</v>
      </c>
      <c r="D6076" s="7" t="n">
        <f aca="false">(Sens!C6056+Sens!D6056)/(Sens!C6057+Sens!D6057)</f>
        <v>0.6</v>
      </c>
      <c r="E6076" s="7" t="n">
        <f aca="false">(Sens!D6056+Sens!E6056)/(Sens!D6057+Sens!E6057)</f>
        <v>0.6</v>
      </c>
      <c r="F6076" s="7" t="n">
        <f aca="false">(Sens!E6056+Sens!F6056)/(Sens!E6057+Sens!F6057)</f>
        <v>0.6</v>
      </c>
      <c r="G6076" s="7" t="n">
        <f aca="false">(Sens!F6056+Sens!G6056)/(Sens!F6057+Sens!G6057)</f>
        <v>0.6</v>
      </c>
      <c r="H6076" s="7" t="n">
        <f aca="false">(Sens!G6056+Sens!H6056)/(Sens!G6057+Sens!H6057)</f>
        <v>0.6</v>
      </c>
      <c r="I6076" s="7" t="n">
        <f aca="false">(Sens!H6056+Sens!I6056)/(Sens!H6057+Sens!I6057)</f>
        <v>0.6</v>
      </c>
      <c r="J6076" s="7" t="n">
        <f aca="false">(Sens!I6056+Sens!J6056)/(Sens!I6057+Sens!J6057)</f>
        <v>0.6</v>
      </c>
      <c r="K6076" s="7" t="n">
        <f aca="false">(Sens!J6056+Sens!K6056)/(Sens!J6057+Sens!K6057)</f>
        <v>0.6</v>
      </c>
    </row>
    <row r="6077" customFormat="false" ht="17.15" hidden="false" customHeight="false" outlineLevel="0" collapsed="false">
      <c r="A6077" s="0" t="s">
        <v>985</v>
      </c>
      <c r="B6077" s="0" t="s">
        <v>98</v>
      </c>
      <c r="D6077" s="6" t="n">
        <f aca="false">Sens!D6071-Sens!D6076*(Sens!D6073+Sens!D6075)-Sens!D6074</f>
        <v>8.35701406163072</v>
      </c>
      <c r="E6077" s="6" t="n">
        <f aca="false">Sens!E6071-Sens!E6076*(Sens!E6073+Sens!E6075)-Sens!E6074</f>
        <v>18.7103224860238</v>
      </c>
      <c r="F6077" s="6" t="n">
        <f aca="false">Sens!F6071-Sens!F6076*(Sens!F6073+Sens!F6075)-Sens!F6074</f>
        <v>43.8595710717487</v>
      </c>
      <c r="G6077" s="6" t="n">
        <f aca="false">Sens!G6071-Sens!G6076*(Sens!G6073+Sens!G6075)-Sens!G6074</f>
        <v>81.2141025742658</v>
      </c>
      <c r="H6077" s="6" t="n">
        <f aca="false">Sens!H6071-Sens!H6076*(Sens!H6073+Sens!H6075)-Sens!H6074</f>
        <v>125.285066471445</v>
      </c>
      <c r="I6077" s="6" t="n">
        <f aca="false">Sens!I6071-Sens!I6076*(Sens!I6073+Sens!I6075)-Sens!I6074</f>
        <v>158.773074804683</v>
      </c>
      <c r="J6077" s="6" t="n">
        <f aca="false">Sens!J6071-Sens!J6076*(Sens!J6073+Sens!J6075)-Sens!J6074</f>
        <v>182.328122010048</v>
      </c>
      <c r="K6077" s="6" t="n">
        <f aca="false">Sens!K6071-Sens!K6076*(Sens!K6073+Sens!K6075)-Sens!K6074</f>
        <v>197.614402468534</v>
      </c>
    </row>
    <row r="6078" customFormat="false" ht="17.15" hidden="false" customHeight="false" outlineLevel="0" collapsed="false">
      <c r="A6078" s="1" t="s">
        <v>986</v>
      </c>
      <c r="B6078" s="0" t="s">
        <v>98</v>
      </c>
      <c r="D6078" s="6" t="n">
        <f aca="false">(1-Sens!D6076)*(Sens!D6073+Sens!D6075)</f>
        <v>1.42281025374069</v>
      </c>
      <c r="E6078" s="6" t="n">
        <f aca="false">(1-Sens!E6076)*(Sens!E6073+Sens!E6075)</f>
        <v>3.25095598674472</v>
      </c>
      <c r="F6078" s="6" t="n">
        <f aca="false">(1-Sens!F6076)*(Sens!F6073+Sens!F6075)</f>
        <v>6.72135810147489</v>
      </c>
      <c r="G6078" s="6" t="n">
        <f aca="false">(1-Sens!G6076)*(Sens!G6073+Sens!G6075)</f>
        <v>11.3401410201637</v>
      </c>
      <c r="H6078" s="6" t="n">
        <f aca="false">(1-Sens!H6076)*(Sens!H6073+Sens!H6075)</f>
        <v>16.1920771049557</v>
      </c>
      <c r="I6078" s="6" t="n">
        <f aca="false">(1-Sens!I6076)*(Sens!I6073+Sens!I6075)</f>
        <v>20.3917774400264</v>
      </c>
      <c r="J6078" s="6" t="n">
        <f aca="false">(1-Sens!J6076)*(Sens!J6073+Sens!J6075)</f>
        <v>23.2503960207104</v>
      </c>
      <c r="K6078" s="6" t="n">
        <f aca="false">(1-Sens!K6076)*(Sens!K6073+Sens!K6075)</f>
        <v>24.8730801087085</v>
      </c>
    </row>
    <row r="6079" customFormat="false" ht="17.15" hidden="false" customHeight="false" outlineLevel="0" collapsed="false">
      <c r="A6079" s="1" t="s">
        <v>987</v>
      </c>
      <c r="B6079" s="0" t="s">
        <v>414</v>
      </c>
      <c r="C6079" s="8" t="n">
        <f aca="false">cxit_open</f>
        <v>27.5918995</v>
      </c>
      <c r="D6079" s="8" t="n">
        <f aca="false">cxit_open</f>
        <v>27.5918995</v>
      </c>
      <c r="E6079" s="8" t="n">
        <f aca="false">cxit_open</f>
        <v>27.5918995</v>
      </c>
      <c r="F6079" s="8" t="n">
        <f aca="false">((a_g3_27-nonnv*a_mai)*tk_cxit_gb300+nonnv*a_mai*nv_hold_mai*tk_cxit_vr200+(1-a_g3_27)*tk_cxit_vr200)</f>
        <v>32.4975576</v>
      </c>
      <c r="G6079" s="8" t="n">
        <f aca="false">((a_g3_28-nonnv*a_mai)*tk_cxit_gb300+nonnv*a_mai*nv_hold_mai*tk_cxit_vr200+(1-a_g3_28)*tk_cxit_vr200)</f>
        <v>34.6372088</v>
      </c>
      <c r="H6079" s="8" t="n">
        <f aca="false">((a_g3_29-nonnv*a_mai)*tk_cxit_gb300+nonnv*a_mai*nv_hold_mai*tk_cxit_vr200+(1-a_g3_29)*tk_cxit_vr200)</f>
        <v>35.7070344</v>
      </c>
      <c r="I6079" s="8" t="n">
        <f aca="false">((a_g3_29-nonnv*a_mai)*tk_cxit_gb300+nonnv*a_mai*nv_hold_mai*tk_cxit_vr200+(1-a_g3_29)*tk_cxit_vr200)</f>
        <v>35.7070344</v>
      </c>
      <c r="J6079" s="8" t="n">
        <f aca="false">((a_g3_29-nonnv*a_mai)*tk_cxit_gb300+nonnv*a_mai*nv_hold_mai*tk_cxit_vr200+(1-a_g3_29)*tk_cxit_vr200)</f>
        <v>35.7070344</v>
      </c>
      <c r="K6079" s="8" t="n">
        <f aca="false">((a_g3_29-nonnv*a_mai)*tk_cxit_gb300+nonnv*a_mai*nv_hold_mai*tk_cxit_vr200+(1-a_g3_29)*tk_cxit_vr200)</f>
        <v>35.7070344</v>
      </c>
      <c r="L6079" s="12" t="s">
        <v>988</v>
      </c>
    </row>
    <row r="6080" customFormat="false" ht="17.15" hidden="false" customHeight="false" outlineLevel="0" collapsed="false">
      <c r="A6080" s="0" t="s">
        <v>989</v>
      </c>
      <c r="B6080" s="0" t="s">
        <v>456</v>
      </c>
      <c r="F6080" s="30" t="n">
        <f aca="false">Sens!C6059*IF(Sens!F6052-Sens!C6052=life_it,1,0)+Sens!D6059*IF(Sens!F6052-Sens!D6052=life_it,1,0)+Sens!E6059*IF(Sens!F6052-Sens!E6052=life_it,1,0)</f>
        <v>0</v>
      </c>
      <c r="G6080" s="30" t="n">
        <f aca="false">Sens!C6059*IF(Sens!G6052-Sens!C6052=life_it,1,0)+Sens!D6059*IF(Sens!G6052-Sens!D6052=life_it,1,0)+Sens!E6059*IF(Sens!G6052-Sens!E6052=life_it,1,0)+Sens!F6059*IF(Sens!G6052-Sens!F6052=life_it,1,0)</f>
        <v>0</v>
      </c>
      <c r="H6080" s="30" t="n">
        <f aca="false">Sens!C6059*IF(Sens!H6052-Sens!C6052=life_it,1,0)+Sens!D6059*IF(Sens!H6052-Sens!D6052=life_it,1,0)+Sens!E6059*IF(Sens!H6052-Sens!E6052=life_it,1,0)+Sens!F6059*IF(Sens!H6052-Sens!F6052=life_it,1,0)+Sens!G6059*IF(Sens!H6052-Sens!G6052=life_it,1,0)</f>
        <v>0</v>
      </c>
      <c r="I6080" s="30" t="n">
        <f aca="false">Sens!C6059*IF(Sens!I6052-Sens!C6052=life_it,1,0)+Sens!D6059*IF(Sens!I6052-Sens!D6052=life_it,1,0)+Sens!E6059*IF(Sens!I6052-Sens!E6052=life_it,1,0)+Sens!F6059*IF(Sens!I6052-Sens!F6052=life_it,1,0)+Sens!G6059*IF(Sens!I6052-Sens!G6052=life_it,1,0)+Sens!H6059*IF(Sens!I6052-Sens!H6052=life_it,1,0)</f>
        <v>816.666666666667</v>
      </c>
      <c r="J6080" s="30" t="n">
        <f aca="false">Sens!C6059*IF(Sens!J6052-Sens!C6052=life_it,1,0)+Sens!D6059*IF(Sens!J6052-Sens!D6052=life_it,1,0)+Sens!E6059*IF(Sens!J6052-Sens!E6052=life_it,1,0)+Sens!F6059*IF(Sens!J6052-Sens!F6052=life_it,1,0)+Sens!G6059*IF(Sens!J6052-Sens!G6052=life_it,1,0)+Sens!H6059*IF(Sens!J6052-Sens!H6052=life_it,1,0)+Sens!I6059*IF(Sens!J6052-Sens!I6052=life_it,1,0)</f>
        <v>1233.33333333333</v>
      </c>
      <c r="K6080" s="30" t="n">
        <f aca="false">Sens!C6059*IF(Sens!K6052-Sens!C6052=life_it,1,0)+Sens!D6059*IF(Sens!K6052-Sens!D6052=life_it,1,0)+Sens!E6059*IF(Sens!K6052-Sens!E6052=life_it,1,0)+Sens!F6059*IF(Sens!K6052-Sens!F6052=life_it,1,0)+Sens!G6059*IF(Sens!K6052-Sens!G6052=life_it,1,0)+Sens!H6059*IF(Sens!K6052-Sens!H6052=life_it,1,0)+Sens!I6059*IF(Sens!K6052-Sens!I6052=life_it,1,0)+Sens!J6059*IF(Sens!K6052-Sens!J6052=life_it,1,0)</f>
        <v>2450</v>
      </c>
      <c r="L6080" s="1" t="s">
        <v>990</v>
      </c>
    </row>
    <row r="6081" customFormat="false" ht="17.15" hidden="false" customHeight="false" outlineLevel="0" collapsed="false">
      <c r="A6081" s="0" t="s">
        <v>991</v>
      </c>
      <c r="B6081" s="0" t="s">
        <v>98</v>
      </c>
      <c r="C6081" s="6" t="n">
        <f aca="false">Sens!C6059*Sens!C6079/1000</f>
        <v>22.5333845916667</v>
      </c>
      <c r="D6081" s="6" t="n">
        <f aca="false">Sens!D6059*Sens!D6079/1000</f>
        <v>34.0300093833333</v>
      </c>
      <c r="E6081" s="6" t="n">
        <f aca="false">Sens!E6059*Sens!E6079/1000</f>
        <v>67.600153775</v>
      </c>
      <c r="F6081" s="6" t="n">
        <f aca="false">(Sens!F6059+Sens!F6080)*Sens!F6079/1000</f>
        <v>136.51872432512</v>
      </c>
      <c r="G6081" s="6" t="n">
        <f aca="false">(Sens!G6059+Sens!G6080)*Sens!G6079/1000</f>
        <v>157.399275932048</v>
      </c>
      <c r="H6081" s="6" t="n">
        <f aca="false">(Sens!H6059+Sens!H6080)*Sens!H6079/1000</f>
        <v>162.260804347512</v>
      </c>
      <c r="I6081" s="6" t="n">
        <f aca="false">(Sens!I6059+Sens!I6080)*Sens!I6079/1000</f>
        <v>144.136569485434</v>
      </c>
      <c r="J6081" s="6" t="n">
        <f aca="false">(Sens!J6059+Sens!J6080)*Sens!J6079/1000</f>
        <v>114.029037357864</v>
      </c>
      <c r="K6081" s="6" t="n">
        <f aca="false">(Sens!K6059+Sens!K6080)*Sens!K6079/1000</f>
        <v>113.437085350975</v>
      </c>
    </row>
    <row r="6082" customFormat="false" ht="17.15" hidden="false" customHeight="false" outlineLevel="0" collapsed="false">
      <c r="A6082" s="0" t="s">
        <v>992</v>
      </c>
      <c r="B6082" s="0" t="s">
        <v>98</v>
      </c>
      <c r="C6082" s="6" t="n">
        <f aca="false">Sens!C6059*self_build*tk_cxfac/1000</f>
        <v>6.2083</v>
      </c>
      <c r="D6082" s="6" t="n">
        <f aca="false">Sens!D6059*self_build*tk_cxfac/1000</f>
        <v>9.3758</v>
      </c>
      <c r="E6082" s="6" t="n">
        <f aca="false">Sens!E6059*self_build*tk_cxfac/1000</f>
        <v>18.6249</v>
      </c>
      <c r="F6082" s="6" t="n">
        <f aca="false">Sens!F6059*self_build*tk_cxfac/1000</f>
        <v>31.935179717</v>
      </c>
      <c r="G6082" s="6" t="n">
        <f aca="false">Sens!G6059*self_build*tk_cxfac/1000</f>
        <v>34.545199717</v>
      </c>
      <c r="H6082" s="6" t="n">
        <f aca="false">Sens!H6059*self_build*tk_cxfac/1000</f>
        <v>34.545199717</v>
      </c>
      <c r="I6082" s="6" t="n">
        <f aca="false">Sens!I6059*self_build*tk_cxfac/1000</f>
        <v>24.4782641361767</v>
      </c>
      <c r="J6082" s="6" t="n">
        <f aca="false">Sens!J6059*self_build*tk_cxfac/1000</f>
        <v>14.9008938380769</v>
      </c>
      <c r="K6082" s="6" t="n">
        <f aca="false">Sens!K6059*self_build*tk_cxfac/1000</f>
        <v>5.52576771375761</v>
      </c>
    </row>
    <row r="6083" customFormat="false" ht="17.15" hidden="false" customHeight="false" outlineLevel="0" collapsed="false">
      <c r="A6083" s="0" t="s">
        <v>993</v>
      </c>
      <c r="B6083" s="0" t="s">
        <v>98</v>
      </c>
      <c r="F6083" s="15" t="n">
        <f aca="false">capex_floor27-Sens!F6081-Sens!F6082-Sens!F6179</f>
        <v>0.07583188888173</v>
      </c>
      <c r="L6083" s="12" t="s">
        <v>994</v>
      </c>
    </row>
    <row r="6084" customFormat="false" ht="17.15" hidden="false" customHeight="false" outlineLevel="0" collapsed="false">
      <c r="A6084" s="0" t="s">
        <v>995</v>
      </c>
      <c r="B6084" s="0" t="s">
        <v>98</v>
      </c>
      <c r="F6084" s="6" t="n">
        <f aca="false">MAX(0,Sens!F6083)</f>
        <v>0.07583188888173</v>
      </c>
    </row>
    <row r="6085" customFormat="false" ht="17.15" hidden="false" customHeight="false" outlineLevel="0" collapsed="false">
      <c r="A6085" s="0" t="s">
        <v>996</v>
      </c>
      <c r="B6085" s="0" t="s">
        <v>98</v>
      </c>
      <c r="C6085" s="6" t="n">
        <f aca="false">Sens!C6081</f>
        <v>22.5333845916667</v>
      </c>
      <c r="D6085" s="6" t="n">
        <f aca="false">Sens!D6081</f>
        <v>34.0300093833333</v>
      </c>
      <c r="E6085" s="6" t="n">
        <f aca="false">Sens!E6081</f>
        <v>67.600153775</v>
      </c>
      <c r="F6085" s="6" t="n">
        <f aca="false">Sens!F6081</f>
        <v>136.51872432512</v>
      </c>
      <c r="G6085" s="6" t="n">
        <f aca="false">Sens!G6081</f>
        <v>157.399275932048</v>
      </c>
      <c r="H6085" s="6" t="n">
        <f aca="false">Sens!H6081</f>
        <v>162.260804347512</v>
      </c>
      <c r="I6085" s="6" t="n">
        <f aca="false">Sens!I6081</f>
        <v>144.136569485434</v>
      </c>
      <c r="J6085" s="6" t="n">
        <f aca="false">Sens!J6081</f>
        <v>114.029037357864</v>
      </c>
      <c r="K6085" s="6" t="n">
        <f aca="false">Sens!K6081</f>
        <v>113.437085350975</v>
      </c>
    </row>
    <row r="6086" customFormat="false" ht="17.15" hidden="false" customHeight="false" outlineLevel="0" collapsed="false">
      <c r="A6086" s="0" t="s">
        <v>997</v>
      </c>
      <c r="B6086" s="0" t="s">
        <v>98</v>
      </c>
      <c r="C6086" s="6" t="n">
        <f aca="false">Sens!C6085+Sens!C6082</f>
        <v>28.7416845916667</v>
      </c>
      <c r="D6086" s="6" t="n">
        <f aca="false">Sens!D6085+Sens!D6082</f>
        <v>43.4058093833333</v>
      </c>
      <c r="E6086" s="6" t="n">
        <f aca="false">Sens!E6085+Sens!E6082</f>
        <v>86.225053775</v>
      </c>
      <c r="F6086" s="6" t="n">
        <f aca="false">Sens!F6085+Sens!F6082</f>
        <v>168.45390404212</v>
      </c>
      <c r="G6086" s="6" t="n">
        <f aca="false">Sens!G6085+Sens!G6082</f>
        <v>191.944475649048</v>
      </c>
      <c r="H6086" s="6" t="n">
        <f aca="false">Sens!H6085+Sens!H6082</f>
        <v>196.806004064512</v>
      </c>
      <c r="I6086" s="6" t="n">
        <f aca="false">Sens!I6085+Sens!I6082</f>
        <v>168.61483362161</v>
      </c>
      <c r="J6086" s="6" t="n">
        <f aca="false">Sens!J6085+Sens!J6082</f>
        <v>128.92993119594</v>
      </c>
      <c r="K6086" s="6" t="n">
        <f aca="false">Sens!K6085+Sens!K6082</f>
        <v>118.962853064733</v>
      </c>
      <c r="L6086" s="12" t="s">
        <v>998</v>
      </c>
    </row>
    <row r="6087" customFormat="false" ht="17.15" hidden="false" customHeight="false" outlineLevel="0" collapsed="false">
      <c r="A6087" s="0" t="s">
        <v>999</v>
      </c>
      <c r="B6087" s="0" t="s">
        <v>98</v>
      </c>
      <c r="E6087" s="6" t="n">
        <f aca="false">(Sens!C6085*IF(2&lt;life_it,1,IF(2=life_it,0.5,0))+Sens!D6085*IF(1&lt;life_it,1,IF(1=life_it,0.5,0))+Sens!E6085*0.5)/life_it</f>
        <v>15.0605784770833</v>
      </c>
      <c r="F6087" s="6" t="n">
        <f aca="false">(Sens!C6085*IF(3&lt;life_it,1,IF(3=life_it,0.5,0))+Sens!D6085*IF(2&lt;life_it,1,IF(2=life_it,0.5,0))+Sens!E6085*IF(1&lt;life_it,1,IF(1=life_it,0.5,0))+Sens!F6085*0.5)/life_it</f>
        <v>32.0704849854266</v>
      </c>
      <c r="G6087" s="6" t="n">
        <f aca="false">(Sens!C6085*IF(4&lt;life_it,1,IF(4=life_it,0.5,0))+Sens!D6085*IF(3&lt;life_it,1,IF(3=life_it,0.5,0))+Sens!E6085*IF(2&lt;life_it,1,IF(2=life_it,0.5,0))+Sens!F6085*IF(1&lt;life_it,1,IF(1=life_it,0.5,0))+Sens!G6085*0.5)/life_it</f>
        <v>56.5636516735239</v>
      </c>
      <c r="H6087" s="6" t="n">
        <f aca="false">(Sens!C6085*IF(5&lt;life_it,1,IF(5=life_it,0.5,0))+Sens!D6085*IF(4&lt;life_it,1,IF(4=life_it,0.5,0))+Sens!E6085*IF(3&lt;life_it,1,IF(3=life_it,0.5,0))+Sens!F6085*IF(2&lt;life_it,1,IF(2=life_it,0.5,0))+Sens!G6085*IF(1&lt;life_it,1,IF(1=life_it,0.5,0))+Sens!H6085*0.5)/life_it</f>
        <v>83.2019916968207</v>
      </c>
      <c r="I6087" s="6" t="n">
        <f aca="false">(Sens!C6085*IF(6&lt;life_it,1,IF(6=life_it,0.5,0))+Sens!D6085*IF(5&lt;life_it,1,IF(5=life_it,0.5,0))+Sens!E6085*IF(4&lt;life_it,1,IF(4=life_it,0.5,0))+Sens!F6085*IF(3&lt;life_it,1,IF(3=life_it,0.5,0))+Sens!G6085*IF(2&lt;life_it,1,IF(2=life_it,0.5,0))+Sens!H6085*IF(1&lt;life_it,1,IF(1=life_it,0.5,0))+Sens!I6085*0.5)/life_it</f>
        <v>106.857324133594</v>
      </c>
      <c r="J6087" s="6" t="n">
        <f aca="false">(Sens!C6085*IF(7&lt;life_it,1,IF(7=life_it,0.5,0))+Sens!D6085*IF(6&lt;life_it,1,IF(6=life_it,0.5,0))+Sens!E6085*IF(5&lt;life_it,1,IF(5=life_it,0.5,0))+Sens!F6085*IF(4&lt;life_it,1,IF(4=life_it,0.5,0))+Sens!G6085*IF(3&lt;life_it,1,IF(3=life_it,0.5,0))+Sens!H6085*IF(2&lt;life_it,1,IF(2=life_it,0.5,0))+Sens!I6085*IF(1&lt;life_it,1,IF(1=life_it,0.5,0))+Sens!J6085*0.5)/life_it</f>
        <v>123.657508539285</v>
      </c>
      <c r="K6087" s="6" t="n">
        <f aca="false">(Sens!C6085*IF(8&lt;life_it,1,IF(8=life_it,0.5,0))+Sens!D6085*IF(7&lt;life_it,1,IF(7=life_it,0.5,0))+Sens!E6085*IF(6&lt;life_it,1,IF(6=life_it,0.5,0))+Sens!F6085*IF(5&lt;life_it,1,IF(5=life_it,0.5,0))+Sens!G6085*IF(4&lt;life_it,1,IF(4=life_it,0.5,0))+Sens!H6085*IF(3&lt;life_it,1,IF(3=life_it,0.5,0))+Sens!I6085*IF(2&lt;life_it,1,IF(2=life_it,0.5,0))+Sens!J6085*IF(1&lt;life_it,1,IF(1=life_it,0.5,0))+Sens!K6085*0.5)/life_it</f>
        <v>134.143838501827</v>
      </c>
    </row>
    <row r="6088" customFormat="false" ht="17.15" hidden="false" customHeight="false" outlineLevel="0" collapsed="false">
      <c r="A6088" s="0" t="s">
        <v>1000</v>
      </c>
      <c r="B6088" s="0" t="s">
        <v>98</v>
      </c>
      <c r="E6088" s="6" t="n">
        <f aca="false">(Sens!C6082*IF(2&lt;life_fac,1,IF(2=life_fac,0.5,0))+Sens!D6082*IF(1&lt;life_fac,1,IF(1=life_fac,0.5,0))+Sens!E6082*0.5)/life_fac</f>
        <v>1.2448275</v>
      </c>
      <c r="F6088" s="6" t="n">
        <f aca="false">(Sens!C6082*IF(3&lt;life_fac,1,IF(3=life_fac,0.5,0))+Sens!D6082*IF(2&lt;life_fac,1,IF(2=life_fac,0.5,0))+Sens!E6082*IF(1&lt;life_fac,1,IF(1=life_fac,0.5,0))+Sens!F6082*0.5)/life_fac</f>
        <v>2.508829492925</v>
      </c>
      <c r="G6088" s="6" t="n">
        <f aca="false">(Sens!C6082*IF(4&lt;life_fac,1,IF(4=life_fac,0.5,0))+Sens!D6082*IF(3&lt;life_fac,1,IF(3=life_fac,0.5,0))+Sens!E6082*IF(2&lt;life_fac,1,IF(2=life_fac,0.5,0))+Sens!F6082*IF(1&lt;life_fac,1,IF(1=life_fac,0.5,0))+Sens!G6082*0.5)/life_fac</f>
        <v>4.170838978775</v>
      </c>
      <c r="H6088" s="6" t="n">
        <f aca="false">(Sens!C6082*IF(5&lt;life_fac,1,IF(5=life_fac,0.5,0))+Sens!D6082*IF(4&lt;life_fac,1,IF(4=life_fac,0.5,0))+Sens!E6082*IF(3&lt;life_fac,1,IF(3=life_fac,0.5,0))+Sens!F6082*IF(2&lt;life_fac,1,IF(2=life_fac,0.5,0))+Sens!G6082*IF(1&lt;life_fac,1,IF(1=life_fac,0.5,0))+Sens!H6082*0.5)/life_fac</f>
        <v>5.898098964625</v>
      </c>
      <c r="I6088" s="6" t="n">
        <f aca="false">(Sens!C6082*IF(6&lt;life_fac,1,IF(6=life_fac,0.5,0))+Sens!D6082*IF(5&lt;life_fac,1,IF(5=life_fac,0.5,0))+Sens!E6082*IF(4&lt;life_fac,1,IF(4=life_fac,0.5,0))+Sens!F6082*IF(3&lt;life_fac,1,IF(3=life_fac,0.5,0))+Sens!G6082*IF(2&lt;life_fac,1,IF(2=life_fac,0.5,0))+Sens!H6082*IF(1&lt;life_fac,1,IF(1=life_fac,0.5,0))+Sens!I6082*0.5)/life_fac</f>
        <v>7.37368556095442</v>
      </c>
      <c r="J6088" s="6" t="n">
        <f aca="false">(Sens!C6082*IF(7&lt;life_fac,1,IF(7=life_fac,0.5,0))+Sens!D6082*IF(6&lt;life_fac,1,IF(6=life_fac,0.5,0))+Sens!E6082*IF(5&lt;life_fac,1,IF(5=life_fac,0.5,0))+Sens!F6082*IF(4&lt;life_fac,1,IF(4=life_fac,0.5,0))+Sens!G6082*IF(3&lt;life_fac,1,IF(3=life_fac,0.5,0))+Sens!H6082*IF(2&lt;life_fac,1,IF(2=life_fac,0.5,0))+Sens!I6082*IF(1&lt;life_fac,1,IF(1=life_fac,0.5,0))+Sens!J6082*0.5)/life_fac</f>
        <v>8.35816451031075</v>
      </c>
      <c r="K6088" s="6" t="n">
        <f aca="false">(Sens!C6082*IF(8&lt;life_fac,1,IF(8=life_fac,0.5,0))+Sens!D6082*IF(7&lt;life_fac,1,IF(7=life_fac,0.5,0))+Sens!E6082*IF(6&lt;life_fac,1,IF(6=life_fac,0.5,0))+Sens!F6082*IF(5&lt;life_fac,1,IF(5=life_fac,0.5,0))+Sens!G6082*IF(4&lt;life_fac,1,IF(4=life_fac,0.5,0))+Sens!H6082*IF(3&lt;life_fac,1,IF(3=life_fac,0.5,0))+Sens!I6082*IF(2&lt;life_fac,1,IF(2=life_fac,0.5,0))+Sens!J6082*IF(1&lt;life_fac,1,IF(1=life_fac,0.5,0))+Sens!K6082*0.5)/life_fac</f>
        <v>8.86883104910662</v>
      </c>
    </row>
    <row r="6089" customFormat="false" ht="17.15" hidden="false" customHeight="false" outlineLevel="0" collapsed="false">
      <c r="A6089" s="0" t="s">
        <v>1001</v>
      </c>
      <c r="B6089" s="0" t="s">
        <v>98</v>
      </c>
      <c r="E6089" s="6" t="n">
        <f aca="false">Sens!E6087+Sens!E6088</f>
        <v>16.3054059770833</v>
      </c>
      <c r="F6089" s="6" t="n">
        <f aca="false">Sens!F6087+Sens!F6088</f>
        <v>34.5793144783516</v>
      </c>
      <c r="G6089" s="6" t="n">
        <f aca="false">Sens!G6087+Sens!G6088</f>
        <v>60.7344906522989</v>
      </c>
      <c r="H6089" s="6" t="n">
        <f aca="false">Sens!H6087+Sens!H6088</f>
        <v>89.1000906614457</v>
      </c>
      <c r="I6089" s="6" t="n">
        <f aca="false">Sens!I6087+Sens!I6088</f>
        <v>114.231009694548</v>
      </c>
      <c r="J6089" s="6" t="n">
        <f aca="false">Sens!J6087+Sens!J6088</f>
        <v>132.015673049596</v>
      </c>
      <c r="K6089" s="6" t="n">
        <f aca="false">Sens!K6087+Sens!K6088</f>
        <v>143.012669550934</v>
      </c>
    </row>
    <row r="6090" customFormat="false" ht="17.15" hidden="false" customHeight="false" outlineLevel="0" collapsed="false">
      <c r="A6090" s="0" t="s">
        <v>1002</v>
      </c>
      <c r="B6090" s="0" t="s">
        <v>98</v>
      </c>
      <c r="E6090" s="6" t="n">
        <f aca="false">Sens!E6077-Sens!E6076*Sens!E6089</f>
        <v>8.92707889977379</v>
      </c>
      <c r="F6090" s="6" t="n">
        <f aca="false">Sens!F6077-Sens!F6076*Sens!F6089</f>
        <v>23.1119823847377</v>
      </c>
      <c r="G6090" s="6" t="n">
        <f aca="false">Sens!G6077-Sens!G6076*Sens!G6089</f>
        <v>44.7734081828864</v>
      </c>
      <c r="H6090" s="6" t="n">
        <f aca="false">Sens!H6077-Sens!H6076*Sens!H6089</f>
        <v>71.8250120745777</v>
      </c>
      <c r="I6090" s="6" t="n">
        <f aca="false">Sens!I6077-Sens!I6076*Sens!I6089</f>
        <v>90.2344689879537</v>
      </c>
      <c r="J6090" s="6" t="n">
        <f aca="false">Sens!J6077-Sens!J6076*Sens!J6089</f>
        <v>103.11871818029</v>
      </c>
      <c r="K6090" s="6" t="n">
        <f aca="false">Sens!K6077-Sens!K6076*Sens!K6089</f>
        <v>111.806800737973</v>
      </c>
    </row>
    <row r="6091" customFormat="false" ht="17.15" hidden="false" customHeight="false" outlineLevel="0" collapsed="false">
      <c r="A6091" s="3" t="s">
        <v>1631</v>
      </c>
    </row>
    <row r="6092" customFormat="false" ht="15" hidden="false" customHeight="false" outlineLevel="0" collapsed="false">
      <c r="A6092" s="4" t="s">
        <v>43</v>
      </c>
      <c r="B6092" s="4" t="s">
        <v>65</v>
      </c>
      <c r="C6092" s="23" t="s">
        <v>938</v>
      </c>
      <c r="D6092" s="23" t="s">
        <v>939</v>
      </c>
      <c r="E6092" s="23" t="s">
        <v>940</v>
      </c>
      <c r="F6092" s="23" t="s">
        <v>941</v>
      </c>
      <c r="G6092" s="23" t="s">
        <v>942</v>
      </c>
      <c r="H6092" s="23" t="s">
        <v>943</v>
      </c>
      <c r="I6092" s="23" t="s">
        <v>944</v>
      </c>
      <c r="J6092" s="23" t="s">
        <v>945</v>
      </c>
      <c r="K6092" s="23" t="s">
        <v>946</v>
      </c>
      <c r="L6092" s="4" t="s">
        <v>47</v>
      </c>
    </row>
    <row r="6093" customFormat="false" ht="17.15" hidden="false" customHeight="false" outlineLevel="0" collapsed="false">
      <c r="A6093" s="0" t="s">
        <v>1021</v>
      </c>
      <c r="B6093" s="0" t="s">
        <v>98</v>
      </c>
      <c r="D6093" s="6" t="n">
        <f aca="false">Sens!D6071</f>
        <v>12.9359794422418</v>
      </c>
      <c r="E6093" s="6" t="n">
        <f aca="false">Sens!E6071</f>
        <v>27.8095064661409</v>
      </c>
      <c r="F6093" s="6" t="n">
        <f aca="false">Sens!F6071</f>
        <v>59.746778223961</v>
      </c>
      <c r="G6093" s="6" t="n">
        <f aca="false">Sens!G6071</f>
        <v>104.945154104511</v>
      </c>
      <c r="H6093" s="6" t="n">
        <f aca="false">Sens!H6071</f>
        <v>156.294022128879</v>
      </c>
      <c r="I6093" s="6" t="n">
        <f aca="false">Sens!I6071</f>
        <v>196.081580964722</v>
      </c>
      <c r="J6093" s="6" t="n">
        <f aca="false">Sens!J6071</f>
        <v>223.924556041114</v>
      </c>
      <c r="K6093" s="6" t="n">
        <f aca="false">Sens!K6071</f>
        <v>241.644862631596</v>
      </c>
    </row>
    <row r="6094" customFormat="false" ht="17.15" hidden="false" customHeight="false" outlineLevel="0" collapsed="false">
      <c r="A6094" s="0" t="s">
        <v>1022</v>
      </c>
      <c r="B6094" s="0" t="s">
        <v>98</v>
      </c>
      <c r="D6094" s="6" t="n">
        <f aca="false">Q!L6-Sens!D6093</f>
        <v>59.6740205577583</v>
      </c>
      <c r="E6094" s="6" t="n">
        <f aca="false">Q!M6-Sens!E6093</f>
        <v>74.1284935338591</v>
      </c>
      <c r="F6094" s="6" t="n">
        <f aca="false">Q!$I$6+(Sens!F6093+Sens!E6094*(1+Sens!F6095))*(1-Q!$E$6/Q!M6)-Sens!F6093</f>
        <v>90.3453295889785</v>
      </c>
      <c r="G6094" s="6" t="n">
        <f aca="false">Sens!F6094*(1+Sens!G6095)</f>
        <v>107.34373607639</v>
      </c>
      <c r="H6094" s="6" t="n">
        <f aca="false">Sens!G6094*(1+Sens!H6095)</f>
        <v>124.638093805661</v>
      </c>
      <c r="I6094" s="6" t="n">
        <f aca="false">Sens!H6094*(1+Sens!I6095)</f>
        <v>141.348899827394</v>
      </c>
      <c r="J6094" s="6" t="n">
        <f aca="false">Sens!I6094*(1+Sens!J6095)</f>
        <v>156.478506379154</v>
      </c>
      <c r="K6094" s="6" t="n">
        <f aca="false">Sens!J6094*(1+Sens!K6095)</f>
        <v>168.996786889487</v>
      </c>
      <c r="L6094" s="12" t="s">
        <v>1023</v>
      </c>
    </row>
    <row r="6095" customFormat="false" ht="15" hidden="false" customHeight="false" outlineLevel="0" collapsed="false">
      <c r="A6095" s="1" t="s">
        <v>1024</v>
      </c>
      <c r="B6095" s="0" t="s">
        <v>168</v>
      </c>
      <c r="E6095" s="7" t="n">
        <f aca="false">Sens!E6094/Sens!D6094-1</f>
        <v>0.242223883039864</v>
      </c>
      <c r="F6095" s="7" t="n">
        <f aca="false">Sens!$E$6095+(glt_azo-Sens!$E$6095)*MIN(1,(Sens!F6052-base_fy)/n_conv)</f>
        <v>0.215186569199887</v>
      </c>
      <c r="G6095" s="7" t="n">
        <f aca="false">Sens!$E$6095+(glt_azo-Sens!$E$6095)*MIN(1,(Sens!G6052-base_fy)/n_conv)</f>
        <v>0.18814925535991</v>
      </c>
      <c r="H6095" s="7" t="n">
        <f aca="false">Sens!$E$6095+(glt_azo-Sens!$E$6095)*MIN(1,(Sens!H6052-base_fy)/n_conv)</f>
        <v>0.161111941519932</v>
      </c>
      <c r="I6095" s="7" t="n">
        <f aca="false">Sens!$E$6095+(glt_azo-Sens!$E$6095)*MIN(1,(Sens!I6052-base_fy)/n_conv)</f>
        <v>0.134074627679955</v>
      </c>
      <c r="J6095" s="7" t="n">
        <f aca="false">Sens!$E$6095+(glt_azo-Sens!$E$6095)*MIN(1,(Sens!J6052-base_fy)/n_conv)</f>
        <v>0.107037313839977</v>
      </c>
      <c r="K6095" s="7" t="n">
        <f aca="false">Sens!$E$6095+(glt_azo-Sens!$E$6095)*MIN(1,(Sens!K6052-base_fy)/n_conv)</f>
        <v>0.08</v>
      </c>
    </row>
    <row r="6096" customFormat="false" ht="15" hidden="false" customHeight="false" outlineLevel="0" collapsed="false">
      <c r="A6096" s="0" t="s">
        <v>1025</v>
      </c>
      <c r="B6096" s="0" t="s">
        <v>98</v>
      </c>
      <c r="D6096" s="6" t="n">
        <f aca="false">Sens!D6093+Sens!D6094</f>
        <v>72.61</v>
      </c>
      <c r="E6096" s="6" t="n">
        <f aca="false">Sens!E6093+Sens!E6094</f>
        <v>101.938</v>
      </c>
      <c r="F6096" s="6" t="n">
        <f aca="false">Sens!F6093+Sens!F6094</f>
        <v>150.09210781294</v>
      </c>
      <c r="G6096" s="6" t="n">
        <f aca="false">Sens!G6093+Sens!G6094</f>
        <v>212.288890180902</v>
      </c>
      <c r="H6096" s="6" t="n">
        <f aca="false">Sens!H6093+Sens!H6094</f>
        <v>280.93211593454</v>
      </c>
      <c r="I6096" s="6" t="n">
        <f aca="false">Sens!I6093+Sens!I6094</f>
        <v>337.430480792117</v>
      </c>
      <c r="J6096" s="6" t="n">
        <f aca="false">Sens!J6093+Sens!J6094</f>
        <v>380.403062420268</v>
      </c>
      <c r="K6096" s="6" t="n">
        <f aca="false">Sens!K6093+Sens!K6094</f>
        <v>410.641649521083</v>
      </c>
    </row>
    <row r="6097" customFormat="false" ht="17.15" hidden="false" customHeight="false" outlineLevel="0" collapsed="false">
      <c r="A6097" s="0" t="s">
        <v>1026</v>
      </c>
      <c r="B6097" s="1" t="s">
        <v>610</v>
      </c>
      <c r="C6097" s="30" t="n">
        <f aca="false">cop_s24</f>
        <v>1</v>
      </c>
      <c r="D6097" s="30" t="n">
        <f aca="false">cop_s25</f>
        <v>5</v>
      </c>
      <c r="E6097" s="30" t="n">
        <f aca="false">cop_s26</f>
        <v>30</v>
      </c>
      <c r="F6097" s="30" t="n">
        <f aca="false">Sens!E6097+cop_add_A</f>
        <v>60</v>
      </c>
      <c r="G6097" s="30" t="n">
        <f aca="false">Sens!F6097+cop_add_A</f>
        <v>90</v>
      </c>
      <c r="H6097" s="30" t="n">
        <f aca="false">Sens!G6097+cop_add_A</f>
        <v>120</v>
      </c>
      <c r="I6097" s="30" t="n">
        <f aca="false">Sens!H6097+cop_add_A*cop_tail</f>
        <v>135</v>
      </c>
      <c r="J6097" s="30" t="n">
        <f aca="false">Sens!I6097+cop_add_A*cop_tail</f>
        <v>150</v>
      </c>
      <c r="K6097" s="30" t="n">
        <f aca="false">Sens!J6097+cop_add_A*cop_tail</f>
        <v>165</v>
      </c>
      <c r="L6097" s="12" t="s">
        <v>1027</v>
      </c>
    </row>
    <row r="6098" customFormat="false" ht="17.15" hidden="false" customHeight="false" outlineLevel="0" collapsed="false">
      <c r="A6098" s="0" t="s">
        <v>1028</v>
      </c>
      <c r="B6098" s="0" t="s">
        <v>98</v>
      </c>
      <c r="D6098" s="6" t="n">
        <f aca="false">(Sens!C6097+Sens!D6097)/2*cop_px*12/1000</f>
        <v>0.9</v>
      </c>
      <c r="E6098" s="6" t="n">
        <f aca="false">(Sens!D6097+Sens!E6097)/2*cop_px*12/1000</f>
        <v>5.25</v>
      </c>
      <c r="F6098" s="6" t="n">
        <f aca="false">(Sens!E6097+Sens!F6097)/2*cop_px*12/1000</f>
        <v>13.5</v>
      </c>
      <c r="G6098" s="6" t="n">
        <f aca="false">(Sens!F6097+Sens!G6097)/2*cop_px*12/1000</f>
        <v>22.5</v>
      </c>
      <c r="H6098" s="6" t="n">
        <f aca="false">(Sens!G6097+Sens!H6097)/2*cop_px*12/1000</f>
        <v>31.5</v>
      </c>
      <c r="I6098" s="6" t="n">
        <f aca="false">(Sens!H6097+Sens!I6097)/2*cop_px*12/1000</f>
        <v>38.25</v>
      </c>
      <c r="J6098" s="6" t="n">
        <f aca="false">(Sens!I6097+Sens!J6097)/2*cop_px*12/1000</f>
        <v>42.75</v>
      </c>
      <c r="K6098" s="6" t="n">
        <f aca="false">(Sens!J6097+Sens!K6097)/2*cop_px*12/1000</f>
        <v>47.25</v>
      </c>
      <c r="L6098" s="1" t="s">
        <v>1029</v>
      </c>
    </row>
    <row r="6099" customFormat="false" ht="17.15" hidden="false" customHeight="false" outlineLevel="0" collapsed="false">
      <c r="A6099" s="0" t="s">
        <v>1030</v>
      </c>
      <c r="B6099" s="0" t="s">
        <v>98</v>
      </c>
      <c r="D6099" s="6" t="n">
        <f aca="false">Q!L7-Sens!D6098</f>
        <v>83.705</v>
      </c>
      <c r="E6099" s="6" t="n">
        <f aca="false">Q!M7-Sens!E6098</f>
        <v>95.049</v>
      </c>
      <c r="F6099" s="6" t="n">
        <f aca="false">Q!$I$7+(Sens!E6099*(1+Sens!F6100)+Sens!F6098)*(1-Q!$E$7/Q!M7)-Sens!F6098</f>
        <v>106.229653205718</v>
      </c>
      <c r="G6099" s="6" t="n">
        <f aca="false">Sens!F6099*(1+Sens!G6100)</f>
        <v>118.306092647576</v>
      </c>
      <c r="H6099" s="6" t="n">
        <f aca="false">Sens!G6099*(1+Sens!H6100)</f>
        <v>130.463437602768</v>
      </c>
      <c r="I6099" s="6" t="n">
        <f aca="false">Sens!H6099*(1+Sens!I6100)</f>
        <v>142.445354741933</v>
      </c>
      <c r="J6099" s="6" t="n">
        <f aca="false">Sens!I6099*(1+Sens!J6100)</f>
        <v>153.972117481571</v>
      </c>
      <c r="K6099" s="6" t="n">
        <f aca="false">Sens!J6099*(1+Sens!K6100)</f>
        <v>164.75016570528</v>
      </c>
      <c r="L6099" s="12" t="s">
        <v>1031</v>
      </c>
    </row>
    <row r="6100" customFormat="false" ht="15" hidden="false" customHeight="false" outlineLevel="0" collapsed="false">
      <c r="A6100" s="1" t="s">
        <v>1024</v>
      </c>
      <c r="B6100" s="0" t="s">
        <v>168</v>
      </c>
      <c r="E6100" s="7" t="n">
        <f aca="false">Sens!E6099/Sens!D6099-1</f>
        <v>0.135523564900544</v>
      </c>
      <c r="F6100" s="7" t="n">
        <f aca="false">Sens!$E$6100+(glt_m365b-Sens!$E$6100)*MIN(1,(Sens!F6052-base_fy)/n_conv)</f>
        <v>0.124602970750453</v>
      </c>
      <c r="G6100" s="7" t="n">
        <f aca="false">Sens!$E$6100+(glt_m365b-Sens!$E$6100)*MIN(1,(Sens!G6052-base_fy)/n_conv)</f>
        <v>0.113682376600363</v>
      </c>
      <c r="H6100" s="7" t="n">
        <f aca="false">Sens!$E$6100+(glt_m365b-Sens!$E$6100)*MIN(1,(Sens!H6052-base_fy)/n_conv)</f>
        <v>0.102761782450272</v>
      </c>
      <c r="I6100" s="7" t="n">
        <f aca="false">Sens!$E$6100+(glt_m365b-Sens!$E$6100)*MIN(1,(Sens!I6052-base_fy)/n_conv)</f>
        <v>0.0918411883001813</v>
      </c>
      <c r="J6100" s="7" t="n">
        <f aca="false">Sens!$E$6100+(glt_m365b-Sens!$E$6100)*MIN(1,(Sens!J6052-base_fy)/n_conv)</f>
        <v>0.0809205941500906</v>
      </c>
      <c r="K6100" s="7" t="n">
        <f aca="false">Sens!$E$6100+(glt_m365b-Sens!$E$6100)*MIN(1,(Sens!K6052-base_fy)/n_conv)</f>
        <v>0.07</v>
      </c>
    </row>
    <row r="6101" customFormat="false" ht="15" hidden="false" customHeight="false" outlineLevel="0" collapsed="false">
      <c r="A6101" s="0" t="s">
        <v>1032</v>
      </c>
      <c r="B6101" s="0" t="s">
        <v>98</v>
      </c>
      <c r="D6101" s="6" t="n">
        <f aca="false">Sens!D6099+Sens!D6098</f>
        <v>84.605</v>
      </c>
      <c r="E6101" s="6" t="n">
        <f aca="false">Sens!E6099+Sens!E6098</f>
        <v>100.299</v>
      </c>
      <c r="F6101" s="6" t="n">
        <f aca="false">Sens!F6099+Sens!F6098</f>
        <v>119.729653205718</v>
      </c>
      <c r="G6101" s="6" t="n">
        <f aca="false">Sens!G6099+Sens!G6098</f>
        <v>140.806092647576</v>
      </c>
      <c r="H6101" s="6" t="n">
        <f aca="false">Sens!H6099+Sens!H6098</f>
        <v>161.963437602768</v>
      </c>
      <c r="I6101" s="6" t="n">
        <f aca="false">Sens!I6099+Sens!I6098</f>
        <v>180.695354741933</v>
      </c>
      <c r="J6101" s="6" t="n">
        <f aca="false">Sens!J6099+Sens!J6098</f>
        <v>196.722117481571</v>
      </c>
      <c r="K6101" s="6" t="n">
        <f aca="false">Sens!K6099+Sens!K6098</f>
        <v>212.00016570528</v>
      </c>
    </row>
    <row r="6102" customFormat="false" ht="17.15" hidden="false" customHeight="false" outlineLevel="0" collapsed="false">
      <c r="A6102" s="0" t="s">
        <v>1033</v>
      </c>
      <c r="B6102" s="0" t="s">
        <v>98</v>
      </c>
      <c r="D6102" s="6" t="n">
        <f aca="false">Q!L8</f>
        <v>35.391</v>
      </c>
      <c r="E6102" s="6" t="n">
        <f aca="false">Q!M8</f>
        <v>37.285</v>
      </c>
      <c r="F6102" s="6" t="n">
        <f aca="false">Q!$I$8+(Q!M8-Q!$E$8)*(1+Sens!F6103)</f>
        <v>38.3851437782675</v>
      </c>
      <c r="G6102" s="6" t="n">
        <f aca="false">Sens!F6102*(1+Sens!G6103)</f>
        <v>40.0105353288615</v>
      </c>
      <c r="H6102" s="6" t="n">
        <f aca="false">Sens!G6102*(1+Sens!H6103)</f>
        <v>41.4812512033683</v>
      </c>
      <c r="I6102" s="6" t="n">
        <f aca="false">Sens!H6102*(1+Sens!I6103)</f>
        <v>42.7743107216329</v>
      </c>
      <c r="J6102" s="6" t="n">
        <f aca="false">Sens!I6102*(1+Sens!J6103)</f>
        <v>43.8687373064601</v>
      </c>
      <c r="K6102" s="6" t="n">
        <f aca="false">Sens!J6102*(1+Sens!K6103)</f>
        <v>44.7461120525893</v>
      </c>
      <c r="L6102" s="12" t="s">
        <v>1034</v>
      </c>
    </row>
    <row r="6103" customFormat="false" ht="15" hidden="false" customHeight="false" outlineLevel="0" collapsed="false">
      <c r="A6103" s="1" t="s">
        <v>1024</v>
      </c>
      <c r="B6103" s="0" t="s">
        <v>168</v>
      </c>
      <c r="E6103" s="7" t="n">
        <f aca="false">Sens!E6102/Sens!D6102-1</f>
        <v>0.0535164307309768</v>
      </c>
      <c r="F6103" s="7" t="n">
        <f aca="false">Sens!$E$6103+(glt_lic-Sens!$E$6103)*MIN(1,(Sens!F6052-base_fy)/n_conv)</f>
        <v>0.0479303589424807</v>
      </c>
      <c r="G6103" s="7" t="n">
        <f aca="false">Sens!$E$6103+(glt_lic-Sens!$E$6103)*MIN(1,(Sens!G6052-base_fy)/n_conv)</f>
        <v>0.0423442871539845</v>
      </c>
      <c r="H6103" s="7" t="n">
        <f aca="false">Sens!$E$6103+(glt_lic-Sens!$E$6103)*MIN(1,(Sens!H6052-base_fy)/n_conv)</f>
        <v>0.0367582153654884</v>
      </c>
      <c r="I6103" s="7" t="n">
        <f aca="false">Sens!$E$6103+(glt_lic-Sens!$E$6103)*MIN(1,(Sens!I6052-base_fy)/n_conv)</f>
        <v>0.0311721435769923</v>
      </c>
      <c r="J6103" s="7" t="n">
        <f aca="false">Sens!$E$6103+(glt_lic-Sens!$E$6103)*MIN(1,(Sens!J6052-base_fy)/n_conv)</f>
        <v>0.0255860717884961</v>
      </c>
      <c r="K6103" s="7" t="n">
        <f aca="false">Sens!$E$6103+(glt_lic-Sens!$E$6103)*MIN(1,(Sens!K6052-base_fy)/n_conv)</f>
        <v>0.02</v>
      </c>
    </row>
    <row r="6104" customFormat="false" ht="17.15" hidden="false" customHeight="false" outlineLevel="0" collapsed="false">
      <c r="A6104" s="0" t="s">
        <v>1035</v>
      </c>
      <c r="B6104" s="0" t="s">
        <v>98</v>
      </c>
      <c r="D6104" s="6" t="n">
        <f aca="false">Q!L9</f>
        <v>18.417</v>
      </c>
      <c r="E6104" s="6" t="n">
        <f aca="false">Q!M9</f>
        <v>20.345</v>
      </c>
      <c r="F6104" s="6" t="n">
        <f aca="false">Q!$I$9+(Q!M9-Q!$E$9)*(1+Sens!F6105)</f>
        <v>22.3161797133988</v>
      </c>
      <c r="G6104" s="6" t="n">
        <f aca="false">Sens!F6104*(1+Sens!G6105)</f>
        <v>24.3943499673233</v>
      </c>
      <c r="H6104" s="6" t="n">
        <f aca="false">Sens!G6104*(1+Sens!H6105)</f>
        <v>26.5250243109019</v>
      </c>
      <c r="I6104" s="6" t="n">
        <f aca="false">Sens!H6104*(1+Sens!I6105)</f>
        <v>28.6884573538181</v>
      </c>
      <c r="J6104" s="6" t="n">
        <f aca="false">Sens!I6104*(1+Sens!J6105)</f>
        <v>30.8624968052127</v>
      </c>
      <c r="K6104" s="6" t="n">
        <f aca="false">Sens!J6104*(1+Sens!K6105)</f>
        <v>33.0228715815776</v>
      </c>
      <c r="L6104" s="12" t="s">
        <v>1034</v>
      </c>
    </row>
    <row r="6105" customFormat="false" ht="15" hidden="false" customHeight="false" outlineLevel="0" collapsed="false">
      <c r="A6105" s="1" t="s">
        <v>1024</v>
      </c>
      <c r="B6105" s="0" t="s">
        <v>168</v>
      </c>
      <c r="E6105" s="7" t="n">
        <f aca="false">Sens!E6104/Sens!D6104-1</f>
        <v>0.104685888038225</v>
      </c>
      <c r="F6105" s="7" t="n">
        <f aca="false">Sens!$E$6105+(glt_ind-Sens!$E$6105)*MIN(1,(Sens!F6052-base_fy)/n_conv)</f>
        <v>0.0989049066985211</v>
      </c>
      <c r="G6105" s="7" t="n">
        <f aca="false">Sens!$E$6105+(glt_ind-Sens!$E$6105)*MIN(1,(Sens!G6052-base_fy)/n_conv)</f>
        <v>0.0931239253588169</v>
      </c>
      <c r="H6105" s="7" t="n">
        <f aca="false">Sens!$E$6105+(glt_ind-Sens!$E$6105)*MIN(1,(Sens!H6052-base_fy)/n_conv)</f>
        <v>0.0873429440191127</v>
      </c>
      <c r="I6105" s="7" t="n">
        <f aca="false">Sens!$E$6105+(glt_ind-Sens!$E$6105)*MIN(1,(Sens!I6052-base_fy)/n_conv)</f>
        <v>0.0815619626794085</v>
      </c>
      <c r="J6105" s="7" t="n">
        <f aca="false">Sens!$E$6105+(glt_ind-Sens!$E$6105)*MIN(1,(Sens!J6052-base_fy)/n_conv)</f>
        <v>0.0757809813397042</v>
      </c>
      <c r="K6105" s="7" t="n">
        <f aca="false">Sens!$E$6105+(glt_ind-Sens!$E$6105)*MIN(1,(Sens!K6052-base_fy)/n_conv)</f>
        <v>0.07</v>
      </c>
    </row>
    <row r="6106" customFormat="false" ht="17.15" hidden="false" customHeight="false" outlineLevel="0" collapsed="false">
      <c r="A6106" s="0" t="s">
        <v>1036</v>
      </c>
      <c r="B6106" s="0" t="s">
        <v>98</v>
      </c>
      <c r="D6106" s="6" t="n">
        <f aca="false">Q!L10</f>
        <v>7.76</v>
      </c>
      <c r="E6106" s="6" t="n">
        <f aca="false">Q!M10</f>
        <v>8.26</v>
      </c>
      <c r="F6106" s="6" t="n">
        <f aca="false">Q!$I$10+(Q!M10-Q!$E$10)*(1+Sens!F6107)</f>
        <v>8.75372082474227</v>
      </c>
      <c r="G6106" s="6" t="n">
        <f aca="false">Sens!F6106*(1+Sens!G6107)</f>
        <v>9.33399324642364</v>
      </c>
      <c r="H6106" s="6" t="n">
        <f aca="false">Sens!G6106*(1+Sens!H6107)</f>
        <v>9.96139155535851</v>
      </c>
      <c r="I6106" s="6" t="n">
        <f aca="false">Sens!H6106*(1+Sens!I6107)</f>
        <v>10.6402039077391</v>
      </c>
      <c r="J6106" s="6" t="n">
        <f aca="false">Sens!I6106*(1+Sens!J6107)</f>
        <v>11.3751458271397</v>
      </c>
      <c r="K6106" s="6" t="n">
        <f aca="false">Sens!J6106*(1+Sens!K6107)</f>
        <v>12.1714060350394</v>
      </c>
      <c r="L6106" s="12" t="s">
        <v>1034</v>
      </c>
    </row>
    <row r="6107" customFormat="false" ht="15" hidden="false" customHeight="false" outlineLevel="0" collapsed="false">
      <c r="A6107" s="1" t="s">
        <v>1024</v>
      </c>
      <c r="B6107" s="0" t="s">
        <v>168</v>
      </c>
      <c r="E6107" s="7" t="n">
        <f aca="false">Sens!E6106/Sens!D6106-1</f>
        <v>0.0644329896907216</v>
      </c>
      <c r="F6107" s="7" t="n">
        <f aca="false">Sens!$E$6107+(glt_fro-Sens!$E$6107)*MIN(1,(Sens!F6052-base_fy)/n_conv)</f>
        <v>0.065360824742268</v>
      </c>
      <c r="G6107" s="7" t="n">
        <f aca="false">Sens!$E$6107+(glt_fro-Sens!$E$6107)*MIN(1,(Sens!G6052-base_fy)/n_conv)</f>
        <v>0.0662886597938144</v>
      </c>
      <c r="H6107" s="7" t="n">
        <f aca="false">Sens!$E$6107+(glt_fro-Sens!$E$6107)*MIN(1,(Sens!H6052-base_fy)/n_conv)</f>
        <v>0.0672164948453608</v>
      </c>
      <c r="I6107" s="7" t="n">
        <f aca="false">Sens!$E$6107+(glt_fro-Sens!$E$6107)*MIN(1,(Sens!I6052-base_fy)/n_conv)</f>
        <v>0.0681443298969072</v>
      </c>
      <c r="J6107" s="7" t="n">
        <f aca="false">Sens!$E$6107+(glt_fro-Sens!$E$6107)*MIN(1,(Sens!J6052-base_fy)/n_conv)</f>
        <v>0.0690721649484536</v>
      </c>
      <c r="K6107" s="7" t="n">
        <f aca="false">Sens!$E$6107+(glt_fro-Sens!$E$6107)*MIN(1,(Sens!K6052-base_fy)/n_conv)</f>
        <v>0.07</v>
      </c>
    </row>
    <row r="6108" customFormat="false" ht="15" hidden="false" customHeight="false" outlineLevel="0" collapsed="false">
      <c r="A6108" s="0" t="s">
        <v>852</v>
      </c>
      <c r="B6108" s="0" t="s">
        <v>98</v>
      </c>
      <c r="D6108" s="6" t="n">
        <f aca="false">Sens!D6096+Sens!D6101+Sens!D6102+Sens!D6104+Sens!D6106</f>
        <v>218.783</v>
      </c>
      <c r="E6108" s="6" t="n">
        <f aca="false">Sens!E6096+Sens!E6101+Sens!E6102+Sens!E6104+Sens!E6106</f>
        <v>268.127</v>
      </c>
      <c r="F6108" s="6" t="n">
        <f aca="false">Sens!F6096+Sens!F6101+Sens!F6102+Sens!F6104+Sens!F6106</f>
        <v>339.276805335066</v>
      </c>
      <c r="G6108" s="6" t="n">
        <f aca="false">Sens!G6096+Sens!G6101+Sens!G6102+Sens!G6104+Sens!G6106</f>
        <v>426.833861371086</v>
      </c>
      <c r="H6108" s="6" t="n">
        <f aca="false">Sens!H6096+Sens!H6101+Sens!H6102+Sens!H6104+Sens!H6106</f>
        <v>520.863220606937</v>
      </c>
      <c r="I6108" s="6" t="n">
        <f aca="false">Sens!I6096+Sens!I6101+Sens!I6102+Sens!I6104+Sens!I6106</f>
        <v>600.22880751724</v>
      </c>
      <c r="J6108" s="6" t="n">
        <f aca="false">Sens!J6096+Sens!J6101+Sens!J6102+Sens!J6104+Sens!J6106</f>
        <v>663.231559840651</v>
      </c>
      <c r="K6108" s="6" t="n">
        <f aca="false">Sens!K6096+Sens!K6101+Sens!K6102+Sens!K6104+Sens!K6106</f>
        <v>712.58220489557</v>
      </c>
    </row>
    <row r="6109" customFormat="false" ht="17.15" hidden="false" customHeight="false" outlineLevel="0" collapsed="false">
      <c r="A6109" s="0" t="s">
        <v>1037</v>
      </c>
      <c r="B6109" s="0" t="s">
        <v>98</v>
      </c>
      <c r="D6109" s="6" t="n">
        <f aca="false">Q!L13</f>
        <v>22.171</v>
      </c>
      <c r="E6109" s="6" t="n">
        <f aca="false">Q!M13</f>
        <v>24.835</v>
      </c>
      <c r="F6109" s="6" t="n">
        <f aca="false">Q!$I$13+(Q!M13-Q!$E$13)*(1+Sens!F6110)</f>
        <v>27.5591895660247</v>
      </c>
      <c r="G6109" s="6" t="n">
        <f aca="false">Sens!F6109*(1+Sens!G6110)</f>
        <v>30.4098563144583</v>
      </c>
      <c r="H6109" s="6" t="n">
        <f aca="false">Sens!G6109*(1+Sens!H6110)</f>
        <v>33.3011792571777</v>
      </c>
      <c r="I6109" s="6" t="n">
        <f aca="false">Sens!H6109*(1+Sens!I6110)</f>
        <v>36.189023797112</v>
      </c>
      <c r="J6109" s="6" t="n">
        <f aca="false">Sens!I6109*(1+Sens!J6110)</f>
        <v>39.0247773769199</v>
      </c>
      <c r="K6109" s="6" t="n">
        <f aca="false">Sens!J6109*(1+Sens!K6110)</f>
        <v>41.7565117933043</v>
      </c>
      <c r="L6109" s="12" t="s">
        <v>1034</v>
      </c>
    </row>
    <row r="6110" customFormat="false" ht="15" hidden="false" customHeight="false" outlineLevel="0" collapsed="false">
      <c r="A6110" s="1" t="s">
        <v>1024</v>
      </c>
      <c r="B6110" s="0" t="s">
        <v>168</v>
      </c>
      <c r="E6110" s="7" t="n">
        <f aca="false">Sens!E6109/Sens!D6109-1</f>
        <v>0.120156961796942</v>
      </c>
      <c r="F6110" s="7" t="n">
        <f aca="false">Sens!$E$6110+(glt_srch-Sens!$E$6110)*MIN(1,(Sens!F6052-base_fy)/n_conv)</f>
        <v>0.111797468164118</v>
      </c>
      <c r="G6110" s="7" t="n">
        <f aca="false">Sens!$E$6110+(glt_srch-Sens!$E$6110)*MIN(1,(Sens!G6052-base_fy)/n_conv)</f>
        <v>0.103437974531295</v>
      </c>
      <c r="H6110" s="7" t="n">
        <f aca="false">Sens!$E$6110+(glt_srch-Sens!$E$6110)*MIN(1,(Sens!H6052-base_fy)/n_conv)</f>
        <v>0.095078480898471</v>
      </c>
      <c r="I6110" s="7" t="n">
        <f aca="false">Sens!$E$6110+(glt_srch-Sens!$E$6110)*MIN(1,(Sens!I6052-base_fy)/n_conv)</f>
        <v>0.0867189872656474</v>
      </c>
      <c r="J6110" s="7" t="n">
        <f aca="false">Sens!$E$6110+(glt_srch-Sens!$E$6110)*MIN(1,(Sens!J6052-base_fy)/n_conv)</f>
        <v>0.0783594936328237</v>
      </c>
      <c r="K6110" s="7" t="n">
        <f aca="false">Sens!$E$6110+(glt_srch-Sens!$E$6110)*MIN(1,(Sens!K6052-base_fy)/n_conv)</f>
        <v>0.07</v>
      </c>
    </row>
    <row r="6111" customFormat="false" ht="17.15" hidden="false" customHeight="false" outlineLevel="0" collapsed="false">
      <c r="A6111" s="0" t="s">
        <v>1038</v>
      </c>
      <c r="B6111" s="0" t="s">
        <v>98</v>
      </c>
      <c r="D6111" s="6" t="n">
        <f aca="false">Q!L14</f>
        <v>23.455</v>
      </c>
      <c r="E6111" s="6" t="n">
        <f aca="false">Q!M14</f>
        <v>21.79</v>
      </c>
      <c r="F6111" s="6" t="n">
        <f aca="false">Q!$I$14+(Q!M14-Q!$E$14)*(1+Sens!F6112)</f>
        <v>20.7520981041711</v>
      </c>
      <c r="G6111" s="6" t="n">
        <f aca="false">Sens!F6111*(1+Sens!G6112)</f>
        <v>19.9083593495882</v>
      </c>
      <c r="H6111" s="6" t="n">
        <f aca="false">Sens!G6111*(1+Sens!H6112)</f>
        <v>19.4008256265831</v>
      </c>
      <c r="I6111" s="6" t="n">
        <f aca="false">Sens!H6111*(1+Sens!I6112)</f>
        <v>19.200434522122</v>
      </c>
      <c r="J6111" s="6" t="n">
        <f aca="false">Sens!I6111*(1+Sens!J6112)</f>
        <v>19.2932782348507</v>
      </c>
      <c r="K6111" s="6" t="n">
        <f aca="false">Sens!J6111*(1+Sens!K6112)</f>
        <v>19.6791437995477</v>
      </c>
      <c r="L6111" s="12" t="s">
        <v>1034</v>
      </c>
    </row>
    <row r="6112" customFormat="false" ht="15" hidden="false" customHeight="false" outlineLevel="0" collapsed="false">
      <c r="A6112" s="1" t="s">
        <v>1024</v>
      </c>
      <c r="B6112" s="0" t="s">
        <v>168</v>
      </c>
      <c r="E6112" s="7" t="n">
        <f aca="false">Sens!E6111/Sens!D6111-1</f>
        <v>-0.0709869963760392</v>
      </c>
      <c r="F6112" s="7" t="n">
        <f aca="false">Sens!$E$6112+(glt_xbox-Sens!$E$6112)*MIN(1,(Sens!F6052-base_fy)/n_conv)</f>
        <v>-0.0558224969800327</v>
      </c>
      <c r="G6112" s="7" t="n">
        <f aca="false">Sens!$E$6112+(glt_xbox-Sens!$E$6112)*MIN(1,(Sens!G6052-base_fy)/n_conv)</f>
        <v>-0.0406579975840262</v>
      </c>
      <c r="H6112" s="7" t="n">
        <f aca="false">Sens!$E$6112+(glt_xbox-Sens!$E$6112)*MIN(1,(Sens!H6052-base_fy)/n_conv)</f>
        <v>-0.0254934981880196</v>
      </c>
      <c r="I6112" s="7" t="n">
        <f aca="false">Sens!$E$6112+(glt_xbox-Sens!$E$6112)*MIN(1,(Sens!I6052-base_fy)/n_conv)</f>
        <v>-0.0103289987920131</v>
      </c>
      <c r="J6112" s="7" t="n">
        <f aca="false">Sens!$E$6112+(glt_xbox-Sens!$E$6112)*MIN(1,(Sens!J6052-base_fy)/n_conv)</f>
        <v>0.00483550060399347</v>
      </c>
      <c r="K6112" s="7" t="n">
        <f aca="false">Sens!$E$6112+(glt_xbox-Sens!$E$6112)*MIN(1,(Sens!K6052-base_fy)/n_conv)</f>
        <v>0.02</v>
      </c>
    </row>
    <row r="6113" customFormat="false" ht="17.15" hidden="false" customHeight="false" outlineLevel="0" collapsed="false">
      <c r="A6113" s="0" t="s">
        <v>1039</v>
      </c>
      <c r="B6113" s="0" t="s">
        <v>98</v>
      </c>
      <c r="D6113" s="6" t="n">
        <f aca="false">Q!L15</f>
        <v>17.315</v>
      </c>
      <c r="E6113" s="6" t="n">
        <f aca="false">Q!M15</f>
        <v>17.087</v>
      </c>
      <c r="F6113" s="6" t="n">
        <f aca="false">Q!$I$15+(Q!M15-Q!$E$15)*(1+Sens!F6114)</f>
        <v>15.9912273250553</v>
      </c>
      <c r="G6113" s="6" t="n">
        <f aca="false">Sens!F6113*(1+Sens!G6114)</f>
        <v>15.9574562664827</v>
      </c>
      <c r="H6113" s="6" t="n">
        <f aca="false">Sens!G6113*(1+Sens!H6114)</f>
        <v>16.0119687434196</v>
      </c>
      <c r="I6113" s="6" t="n">
        <f aca="false">Sens!H6113*(1+Sens!I6114)</f>
        <v>16.1551810001948</v>
      </c>
      <c r="J6113" s="6" t="n">
        <f aca="false">Sens!I6113*(1+Sens!J6114)</f>
        <v>16.3889793892005</v>
      </c>
      <c r="K6113" s="6" t="n">
        <f aca="false">Sens!J6113*(1+Sens!K6114)</f>
        <v>16.7167589769845</v>
      </c>
      <c r="L6113" s="12" t="s">
        <v>1034</v>
      </c>
    </row>
    <row r="6114" customFormat="false" ht="15" hidden="false" customHeight="false" outlineLevel="0" collapsed="false">
      <c r="A6114" s="1" t="s">
        <v>1024</v>
      </c>
      <c r="B6114" s="0" t="s">
        <v>168</v>
      </c>
      <c r="E6114" s="7" t="n">
        <f aca="false">Sens!E6113/Sens!D6113-1</f>
        <v>-0.0131677736066995</v>
      </c>
      <c r="F6114" s="7" t="n">
        <f aca="false">Sens!$E$6114+(glt_win-Sens!$E$6114)*MIN(1,(Sens!F6052-base_fy)/n_conv)</f>
        <v>-0.00763981133891627</v>
      </c>
      <c r="G6114" s="7" t="n">
        <f aca="false">Sens!$E$6114+(glt_win-Sens!$E$6114)*MIN(1,(Sens!G6052-base_fy)/n_conv)</f>
        <v>-0.00211184907113301</v>
      </c>
      <c r="H6114" s="7" t="n">
        <f aca="false">Sens!$E$6114+(glt_win-Sens!$E$6114)*MIN(1,(Sens!H6052-base_fy)/n_conv)</f>
        <v>0.00341611319665024</v>
      </c>
      <c r="I6114" s="7" t="n">
        <f aca="false">Sens!$E$6114+(glt_win-Sens!$E$6114)*MIN(1,(Sens!I6052-base_fy)/n_conv)</f>
        <v>0.00894407546443349</v>
      </c>
      <c r="J6114" s="7" t="n">
        <f aca="false">Sens!$E$6114+(glt_win-Sens!$E$6114)*MIN(1,(Sens!J6052-base_fy)/n_conv)</f>
        <v>0.0144720377322168</v>
      </c>
      <c r="K6114" s="7" t="n">
        <f aca="false">Sens!$E$6114+(glt_win-Sens!$E$6114)*MIN(1,(Sens!K6052-base_fy)/n_conv)</f>
        <v>0.02</v>
      </c>
    </row>
    <row r="6115" customFormat="false" ht="15" hidden="false" customHeight="false" outlineLevel="0" collapsed="false">
      <c r="A6115" s="0" t="s">
        <v>866</v>
      </c>
      <c r="B6115" s="0" t="s">
        <v>98</v>
      </c>
      <c r="D6115" s="6" t="n">
        <f aca="false">Sens!D6109+Sens!D6111+Sens!D6113</f>
        <v>62.941</v>
      </c>
      <c r="E6115" s="6" t="n">
        <f aca="false">Sens!E6109+Sens!E6111+Sens!E6113</f>
        <v>63.712</v>
      </c>
      <c r="F6115" s="6" t="n">
        <f aca="false">Sens!F6109+Sens!F6111+Sens!F6113</f>
        <v>64.3025149952511</v>
      </c>
      <c r="G6115" s="6" t="n">
        <f aca="false">Sens!G6109+Sens!G6111+Sens!G6113</f>
        <v>66.2756719305292</v>
      </c>
      <c r="H6115" s="6" t="n">
        <f aca="false">Sens!H6109+Sens!H6111+Sens!H6113</f>
        <v>68.7139736271804</v>
      </c>
      <c r="I6115" s="6" t="n">
        <f aca="false">Sens!I6109+Sens!I6111+Sens!I6113</f>
        <v>71.5446393194289</v>
      </c>
      <c r="J6115" s="6" t="n">
        <f aca="false">Sens!J6109+Sens!J6111+Sens!J6113</f>
        <v>74.707035000971</v>
      </c>
      <c r="K6115" s="6" t="n">
        <f aca="false">Sens!K6109+Sens!K6111+Sens!K6113</f>
        <v>78.1524145698365</v>
      </c>
    </row>
    <row r="6116" customFormat="false" ht="15" hidden="false" customHeight="false" outlineLevel="0" collapsed="false">
      <c r="A6116" s="1" t="s">
        <v>1040</v>
      </c>
      <c r="B6116" s="0" t="s">
        <v>98</v>
      </c>
      <c r="D6116" s="6" t="n">
        <f aca="false">Sens!D6108+Sens!D6115</f>
        <v>281.724</v>
      </c>
      <c r="E6116" s="6" t="n">
        <f aca="false">Sens!E6108+Sens!E6115</f>
        <v>331.839</v>
      </c>
      <c r="F6116" s="6" t="n">
        <f aca="false">Sens!F6108+Sens!F6115</f>
        <v>403.579320330317</v>
      </c>
      <c r="G6116" s="6" t="n">
        <f aca="false">Sens!G6108+Sens!G6115</f>
        <v>493.109533301616</v>
      </c>
      <c r="H6116" s="6" t="n">
        <f aca="false">Sens!H6108+Sens!H6115</f>
        <v>589.577194234117</v>
      </c>
      <c r="I6116" s="6" t="n">
        <f aca="false">Sens!I6108+Sens!I6115</f>
        <v>671.773446836668</v>
      </c>
      <c r="J6116" s="6" t="n">
        <f aca="false">Sens!J6108+Sens!J6115</f>
        <v>737.938594841622</v>
      </c>
      <c r="K6116" s="6" t="n">
        <f aca="false">Sens!K6108+Sens!K6115</f>
        <v>790.734619465406</v>
      </c>
    </row>
    <row r="6117" customFormat="false" ht="15" hidden="false" customHeight="false" outlineLevel="0" collapsed="false">
      <c r="A6117" s="26" t="s">
        <v>1041</v>
      </c>
      <c r="B6117" s="31" t="s">
        <v>98</v>
      </c>
      <c r="C6117" s="31"/>
      <c r="D6117" s="27" t="n">
        <f aca="false">(Sens!D6096+Sens!D6101+Sens!D6102+Sens!D6104+Sens!D6106-Sens!D6108)+(Sens!D6109+Sens!D6111+Sens!D6113-Sens!D6115)+(Sens!D6108-Q!L5)+(Sens!D6115-Q!L12)+(Sens!D6096-Q!L6)+(Sens!D6101-Q!L7)</f>
        <v>0</v>
      </c>
      <c r="E6117" s="27" t="n">
        <f aca="false">(Sens!E6096+Sens!E6101+Sens!E6102+Sens!E6104+Sens!E6106-Sens!E6108)+(Sens!E6109+Sens!E6111+Sens!E6113-Sens!E6115)+(Sens!E6108-Q!M5)+(Sens!E6115-Q!M12)+(Sens!E6096-Q!M6)+(Sens!E6101-Q!M7)</f>
        <v>0</v>
      </c>
      <c r="F6117" s="27" t="n">
        <f aca="false">(Sens!F6096+Sens!F6101+Sens!F6102+Sens!F6104+Sens!F6106-Sens!F6108)+(Sens!F6109+Sens!F6111+Sens!F6113-Sens!F6115)</f>
        <v>0</v>
      </c>
      <c r="G6117" s="27" t="n">
        <f aca="false">(Sens!G6096+Sens!G6101+Sens!G6102+Sens!G6104+Sens!G6106-Sens!G6108)+(Sens!G6109+Sens!G6111+Sens!G6113-Sens!G6115)</f>
        <v>0</v>
      </c>
      <c r="H6117" s="27" t="n">
        <f aca="false">(Sens!H6096+Sens!H6101+Sens!H6102+Sens!H6104+Sens!H6106-Sens!H6108)+(Sens!H6109+Sens!H6111+Sens!H6113-Sens!H6115)</f>
        <v>0</v>
      </c>
      <c r="I6117" s="27" t="n">
        <f aca="false">(Sens!I6096+Sens!I6101+Sens!I6102+Sens!I6104+Sens!I6106-Sens!I6108)+(Sens!I6109+Sens!I6111+Sens!I6113-Sens!I6115)</f>
        <v>0</v>
      </c>
      <c r="J6117" s="27" t="n">
        <f aca="false">(Sens!J6096+Sens!J6101+Sens!J6102+Sens!J6104+Sens!J6106-Sens!J6108)+(Sens!J6109+Sens!J6111+Sens!J6113-Sens!J6115)</f>
        <v>0</v>
      </c>
      <c r="K6117" s="27" t="n">
        <f aca="false">(Sens!K6096+Sens!K6101+Sens!K6102+Sens!K6104+Sens!K6106-Sens!K6108)+(Sens!K6109+Sens!K6111+Sens!K6113-Sens!K6115)</f>
        <v>0</v>
      </c>
    </row>
    <row r="6118" customFormat="false" ht="17.15" hidden="false" customHeight="false" outlineLevel="0" collapsed="false">
      <c r="A6118" s="3" t="s">
        <v>1632</v>
      </c>
    </row>
    <row r="6119" customFormat="false" ht="15" hidden="false" customHeight="false" outlineLevel="0" collapsed="false">
      <c r="A6119" s="4" t="s">
        <v>43</v>
      </c>
      <c r="B6119" s="4" t="s">
        <v>65</v>
      </c>
      <c r="C6119" s="23" t="s">
        <v>938</v>
      </c>
      <c r="D6119" s="23" t="s">
        <v>939</v>
      </c>
      <c r="E6119" s="23" t="s">
        <v>940</v>
      </c>
      <c r="F6119" s="23" t="s">
        <v>941</v>
      </c>
      <c r="G6119" s="23" t="s">
        <v>942</v>
      </c>
      <c r="H6119" s="23" t="s">
        <v>943</v>
      </c>
      <c r="I6119" s="23" t="s">
        <v>944</v>
      </c>
      <c r="J6119" s="23" t="s">
        <v>945</v>
      </c>
      <c r="K6119" s="23" t="s">
        <v>946</v>
      </c>
      <c r="L6119" s="4" t="s">
        <v>47</v>
      </c>
    </row>
    <row r="6120" customFormat="false" ht="15" hidden="false" customHeight="false" outlineLevel="0" collapsed="false">
      <c r="A6120" s="0" t="s">
        <v>1025</v>
      </c>
      <c r="B6120" s="0" t="s">
        <v>98</v>
      </c>
      <c r="D6120" s="6" t="n">
        <f aca="false">Sens!D6096</f>
        <v>72.61</v>
      </c>
      <c r="E6120" s="6" t="n">
        <f aca="false">Sens!E6096</f>
        <v>101.938</v>
      </c>
      <c r="F6120" s="6" t="n">
        <f aca="false">Sens!F6096</f>
        <v>150.09210781294</v>
      </c>
      <c r="G6120" s="6" t="n">
        <f aca="false">Sens!G6096</f>
        <v>212.288890180902</v>
      </c>
      <c r="H6120" s="6" t="n">
        <f aca="false">Sens!H6096</f>
        <v>280.93211593454</v>
      </c>
      <c r="I6120" s="6" t="n">
        <f aca="false">Sens!I6096</f>
        <v>337.430480792117</v>
      </c>
      <c r="J6120" s="6" t="n">
        <f aca="false">Sens!J6096</f>
        <v>380.403062420268</v>
      </c>
      <c r="K6120" s="6" t="n">
        <f aca="false">Sens!K6096</f>
        <v>410.641649521083</v>
      </c>
    </row>
    <row r="6121" customFormat="false" ht="17.15" hidden="false" customHeight="false" outlineLevel="0" collapsed="false">
      <c r="A6121" s="0" t="s">
        <v>1021</v>
      </c>
      <c r="B6121" s="0" t="s">
        <v>98</v>
      </c>
      <c r="D6121" s="6" t="n">
        <f aca="false">Sens!D6093</f>
        <v>12.9359794422418</v>
      </c>
      <c r="E6121" s="6" t="n">
        <f aca="false">Sens!E6093</f>
        <v>27.8095064661409</v>
      </c>
      <c r="F6121" s="6" t="n">
        <f aca="false">Sens!F6093</f>
        <v>59.746778223961</v>
      </c>
      <c r="G6121" s="6" t="n">
        <f aca="false">Sens!G6093</f>
        <v>104.945154104511</v>
      </c>
      <c r="H6121" s="6" t="n">
        <f aca="false">Sens!H6093</f>
        <v>156.294022128879</v>
      </c>
      <c r="I6121" s="6" t="n">
        <f aca="false">Sens!I6093</f>
        <v>196.081580964722</v>
      </c>
      <c r="J6121" s="6" t="n">
        <f aca="false">Sens!J6093</f>
        <v>223.924556041114</v>
      </c>
      <c r="K6121" s="6" t="n">
        <f aca="false">Sens!K6093</f>
        <v>241.644862631596</v>
      </c>
    </row>
    <row r="6122" customFormat="false" ht="17.15" hidden="false" customHeight="false" outlineLevel="0" collapsed="false">
      <c r="A6122" s="0" t="s">
        <v>1052</v>
      </c>
      <c r="B6122" s="0" t="s">
        <v>98</v>
      </c>
      <c r="D6122" s="6" t="n">
        <f aca="false">Sens!D6094</f>
        <v>59.6740205577583</v>
      </c>
      <c r="E6122" s="6" t="n">
        <f aca="false">Sens!E6094</f>
        <v>74.1284935338591</v>
      </c>
      <c r="F6122" s="6" t="n">
        <f aca="false">Sens!F6094</f>
        <v>90.3453295889785</v>
      </c>
      <c r="G6122" s="6" t="n">
        <f aca="false">Sens!G6094</f>
        <v>107.34373607639</v>
      </c>
      <c r="H6122" s="6" t="n">
        <f aca="false">Sens!H6094</f>
        <v>124.638093805661</v>
      </c>
      <c r="I6122" s="6" t="n">
        <f aca="false">Sens!I6094</f>
        <v>141.348899827394</v>
      </c>
      <c r="J6122" s="6" t="n">
        <f aca="false">Sens!J6094</f>
        <v>156.478506379154</v>
      </c>
      <c r="K6122" s="6" t="n">
        <f aca="false">Sens!K6094</f>
        <v>168.996786889487</v>
      </c>
    </row>
    <row r="6123" customFormat="false" ht="15" hidden="false" customHeight="false" outlineLevel="0" collapsed="false">
      <c r="A6123" s="0" t="s">
        <v>1032</v>
      </c>
      <c r="B6123" s="0" t="s">
        <v>98</v>
      </c>
      <c r="D6123" s="6" t="n">
        <f aca="false">Sens!D6101</f>
        <v>84.605</v>
      </c>
      <c r="E6123" s="6" t="n">
        <f aca="false">Sens!E6101</f>
        <v>100.299</v>
      </c>
      <c r="F6123" s="6" t="n">
        <f aca="false">Sens!F6101</f>
        <v>119.729653205718</v>
      </c>
      <c r="G6123" s="6" t="n">
        <f aca="false">Sens!G6101</f>
        <v>140.806092647576</v>
      </c>
      <c r="H6123" s="6" t="n">
        <f aca="false">Sens!H6101</f>
        <v>161.963437602768</v>
      </c>
      <c r="I6123" s="6" t="n">
        <f aca="false">Sens!I6101</f>
        <v>180.695354741933</v>
      </c>
      <c r="J6123" s="6" t="n">
        <f aca="false">Sens!J6101</f>
        <v>196.722117481571</v>
      </c>
      <c r="K6123" s="6" t="n">
        <f aca="false">Sens!K6101</f>
        <v>212.00016570528</v>
      </c>
    </row>
    <row r="6124" customFormat="false" ht="17.15" hidden="false" customHeight="false" outlineLevel="0" collapsed="false">
      <c r="A6124" s="0" t="s">
        <v>1053</v>
      </c>
      <c r="B6124" s="0" t="s">
        <v>98</v>
      </c>
      <c r="D6124" s="6" t="n">
        <f aca="false">Sens!D6099</f>
        <v>83.705</v>
      </c>
      <c r="E6124" s="6" t="n">
        <f aca="false">Sens!E6099</f>
        <v>95.049</v>
      </c>
      <c r="F6124" s="6" t="n">
        <f aca="false">Sens!F6099</f>
        <v>106.229653205718</v>
      </c>
      <c r="G6124" s="6" t="n">
        <f aca="false">Sens!G6099</f>
        <v>118.306092647576</v>
      </c>
      <c r="H6124" s="6" t="n">
        <f aca="false">Sens!H6099</f>
        <v>130.463437602768</v>
      </c>
      <c r="I6124" s="6" t="n">
        <f aca="false">Sens!I6099</f>
        <v>142.445354741933</v>
      </c>
      <c r="J6124" s="6" t="n">
        <f aca="false">Sens!J6099</f>
        <v>153.972117481571</v>
      </c>
      <c r="K6124" s="6" t="n">
        <f aca="false">Sens!K6099</f>
        <v>164.75016570528</v>
      </c>
    </row>
    <row r="6125" customFormat="false" ht="17.15" hidden="false" customHeight="false" outlineLevel="0" collapsed="false">
      <c r="A6125" s="0" t="s">
        <v>1054</v>
      </c>
      <c r="B6125" s="0" t="s">
        <v>98</v>
      </c>
      <c r="D6125" s="6" t="n">
        <f aca="false">Sens!D6098</f>
        <v>0.9</v>
      </c>
      <c r="E6125" s="6" t="n">
        <f aca="false">Sens!E6098</f>
        <v>5.25</v>
      </c>
      <c r="F6125" s="6" t="n">
        <f aca="false">Sens!F6098</f>
        <v>13.5</v>
      </c>
      <c r="G6125" s="6" t="n">
        <f aca="false">Sens!G6098</f>
        <v>22.5</v>
      </c>
      <c r="H6125" s="6" t="n">
        <f aca="false">Sens!H6098</f>
        <v>31.5</v>
      </c>
      <c r="I6125" s="6" t="n">
        <f aca="false">Sens!I6098</f>
        <v>38.25</v>
      </c>
      <c r="J6125" s="6" t="n">
        <f aca="false">Sens!J6098</f>
        <v>42.75</v>
      </c>
      <c r="K6125" s="6" t="n">
        <f aca="false">Sens!K6098</f>
        <v>47.25</v>
      </c>
    </row>
    <row r="6126" customFormat="false" ht="15" hidden="false" customHeight="false" outlineLevel="0" collapsed="false">
      <c r="A6126" s="0" t="s">
        <v>1033</v>
      </c>
      <c r="B6126" s="0" t="s">
        <v>98</v>
      </c>
      <c r="D6126" s="6" t="n">
        <f aca="false">Sens!D6102</f>
        <v>35.391</v>
      </c>
      <c r="E6126" s="6" t="n">
        <f aca="false">Sens!E6102</f>
        <v>37.285</v>
      </c>
      <c r="F6126" s="6" t="n">
        <f aca="false">Sens!F6102</f>
        <v>38.3851437782675</v>
      </c>
      <c r="G6126" s="6" t="n">
        <f aca="false">Sens!G6102</f>
        <v>40.0105353288615</v>
      </c>
      <c r="H6126" s="6" t="n">
        <f aca="false">Sens!H6102</f>
        <v>41.4812512033683</v>
      </c>
      <c r="I6126" s="6" t="n">
        <f aca="false">Sens!I6102</f>
        <v>42.7743107216329</v>
      </c>
      <c r="J6126" s="6" t="n">
        <f aca="false">Sens!J6102</f>
        <v>43.8687373064601</v>
      </c>
      <c r="K6126" s="6" t="n">
        <f aca="false">Sens!K6102</f>
        <v>44.7461120525893</v>
      </c>
    </row>
    <row r="6127" customFormat="false" ht="15" hidden="false" customHeight="false" outlineLevel="0" collapsed="false">
      <c r="A6127" s="0" t="s">
        <v>1035</v>
      </c>
      <c r="B6127" s="0" t="s">
        <v>98</v>
      </c>
      <c r="D6127" s="6" t="n">
        <f aca="false">Sens!D6104</f>
        <v>18.417</v>
      </c>
      <c r="E6127" s="6" t="n">
        <f aca="false">Sens!E6104</f>
        <v>20.345</v>
      </c>
      <c r="F6127" s="6" t="n">
        <f aca="false">Sens!F6104</f>
        <v>22.3161797133988</v>
      </c>
      <c r="G6127" s="6" t="n">
        <f aca="false">Sens!G6104</f>
        <v>24.3943499673233</v>
      </c>
      <c r="H6127" s="6" t="n">
        <f aca="false">Sens!H6104</f>
        <v>26.5250243109019</v>
      </c>
      <c r="I6127" s="6" t="n">
        <f aca="false">Sens!I6104</f>
        <v>28.6884573538181</v>
      </c>
      <c r="J6127" s="6" t="n">
        <f aca="false">Sens!J6104</f>
        <v>30.8624968052127</v>
      </c>
      <c r="K6127" s="6" t="n">
        <f aca="false">Sens!K6104</f>
        <v>33.0228715815776</v>
      </c>
    </row>
    <row r="6128" customFormat="false" ht="15" hidden="false" customHeight="false" outlineLevel="0" collapsed="false">
      <c r="A6128" s="0" t="s">
        <v>1036</v>
      </c>
      <c r="B6128" s="0" t="s">
        <v>98</v>
      </c>
      <c r="D6128" s="6" t="n">
        <f aca="false">Sens!D6106</f>
        <v>7.76</v>
      </c>
      <c r="E6128" s="6" t="n">
        <f aca="false">Sens!E6106</f>
        <v>8.26</v>
      </c>
      <c r="F6128" s="6" t="n">
        <f aca="false">Sens!F6106</f>
        <v>8.75372082474227</v>
      </c>
      <c r="G6128" s="6" t="n">
        <f aca="false">Sens!G6106</f>
        <v>9.33399324642364</v>
      </c>
      <c r="H6128" s="6" t="n">
        <f aca="false">Sens!H6106</f>
        <v>9.96139155535851</v>
      </c>
      <c r="I6128" s="6" t="n">
        <f aca="false">Sens!I6106</f>
        <v>10.6402039077391</v>
      </c>
      <c r="J6128" s="6" t="n">
        <f aca="false">Sens!J6106</f>
        <v>11.3751458271397</v>
      </c>
      <c r="K6128" s="6" t="n">
        <f aca="false">Sens!K6106</f>
        <v>12.1714060350394</v>
      </c>
    </row>
    <row r="6129" customFormat="false" ht="15" hidden="false" customHeight="false" outlineLevel="0" collapsed="false">
      <c r="A6129" s="0" t="s">
        <v>852</v>
      </c>
      <c r="B6129" s="0" t="s">
        <v>98</v>
      </c>
      <c r="D6129" s="6" t="n">
        <f aca="false">Sens!D6108</f>
        <v>218.783</v>
      </c>
      <c r="E6129" s="6" t="n">
        <f aca="false">Sens!E6108</f>
        <v>268.127</v>
      </c>
      <c r="F6129" s="6" t="n">
        <f aca="false">Sens!F6108</f>
        <v>339.276805335066</v>
      </c>
      <c r="G6129" s="6" t="n">
        <f aca="false">Sens!G6108</f>
        <v>426.833861371086</v>
      </c>
      <c r="H6129" s="6" t="n">
        <f aca="false">Sens!H6108</f>
        <v>520.863220606937</v>
      </c>
      <c r="I6129" s="6" t="n">
        <f aca="false">Sens!I6108</f>
        <v>600.22880751724</v>
      </c>
      <c r="J6129" s="6" t="n">
        <f aca="false">Sens!J6108</f>
        <v>663.231559840651</v>
      </c>
      <c r="K6129" s="6" t="n">
        <f aca="false">Sens!K6108</f>
        <v>712.58220489557</v>
      </c>
    </row>
    <row r="6130" customFormat="false" ht="15" hidden="false" customHeight="false" outlineLevel="0" collapsed="false">
      <c r="A6130" s="0" t="s">
        <v>1037</v>
      </c>
      <c r="B6130" s="0" t="s">
        <v>98</v>
      </c>
      <c r="D6130" s="6" t="n">
        <f aca="false">Sens!D6109</f>
        <v>22.171</v>
      </c>
      <c r="E6130" s="6" t="n">
        <f aca="false">Sens!E6109</f>
        <v>24.835</v>
      </c>
      <c r="F6130" s="6" t="n">
        <f aca="false">Sens!F6109</f>
        <v>27.5591895660247</v>
      </c>
      <c r="G6130" s="6" t="n">
        <f aca="false">Sens!G6109</f>
        <v>30.4098563144583</v>
      </c>
      <c r="H6130" s="6" t="n">
        <f aca="false">Sens!H6109</f>
        <v>33.3011792571777</v>
      </c>
      <c r="I6130" s="6" t="n">
        <f aca="false">Sens!I6109</f>
        <v>36.189023797112</v>
      </c>
      <c r="J6130" s="6" t="n">
        <f aca="false">Sens!J6109</f>
        <v>39.0247773769199</v>
      </c>
      <c r="K6130" s="6" t="n">
        <f aca="false">Sens!K6109</f>
        <v>41.7565117933043</v>
      </c>
    </row>
    <row r="6131" customFormat="false" ht="15" hidden="false" customHeight="false" outlineLevel="0" collapsed="false">
      <c r="A6131" s="0" t="s">
        <v>1038</v>
      </c>
      <c r="B6131" s="0" t="s">
        <v>98</v>
      </c>
      <c r="D6131" s="6" t="n">
        <f aca="false">Sens!D6111</f>
        <v>23.455</v>
      </c>
      <c r="E6131" s="6" t="n">
        <f aca="false">Sens!E6111</f>
        <v>21.79</v>
      </c>
      <c r="F6131" s="6" t="n">
        <f aca="false">Sens!F6111</f>
        <v>20.7520981041711</v>
      </c>
      <c r="G6131" s="6" t="n">
        <f aca="false">Sens!G6111</f>
        <v>19.9083593495882</v>
      </c>
      <c r="H6131" s="6" t="n">
        <f aca="false">Sens!H6111</f>
        <v>19.4008256265831</v>
      </c>
      <c r="I6131" s="6" t="n">
        <f aca="false">Sens!I6111</f>
        <v>19.200434522122</v>
      </c>
      <c r="J6131" s="6" t="n">
        <f aca="false">Sens!J6111</f>
        <v>19.2932782348507</v>
      </c>
      <c r="K6131" s="6" t="n">
        <f aca="false">Sens!K6111</f>
        <v>19.6791437995477</v>
      </c>
    </row>
    <row r="6132" customFormat="false" ht="15" hidden="false" customHeight="false" outlineLevel="0" collapsed="false">
      <c r="A6132" s="0" t="s">
        <v>1039</v>
      </c>
      <c r="B6132" s="0" t="s">
        <v>98</v>
      </c>
      <c r="D6132" s="6" t="n">
        <f aca="false">Sens!D6113</f>
        <v>17.315</v>
      </c>
      <c r="E6132" s="6" t="n">
        <f aca="false">Sens!E6113</f>
        <v>17.087</v>
      </c>
      <c r="F6132" s="6" t="n">
        <f aca="false">Sens!F6113</f>
        <v>15.9912273250553</v>
      </c>
      <c r="G6132" s="6" t="n">
        <f aca="false">Sens!G6113</f>
        <v>15.9574562664827</v>
      </c>
      <c r="H6132" s="6" t="n">
        <f aca="false">Sens!H6113</f>
        <v>16.0119687434196</v>
      </c>
      <c r="I6132" s="6" t="n">
        <f aca="false">Sens!I6113</f>
        <v>16.1551810001948</v>
      </c>
      <c r="J6132" s="6" t="n">
        <f aca="false">Sens!J6113</f>
        <v>16.3889793892005</v>
      </c>
      <c r="K6132" s="6" t="n">
        <f aca="false">Sens!K6113</f>
        <v>16.7167589769845</v>
      </c>
    </row>
    <row r="6133" customFormat="false" ht="15" hidden="false" customHeight="false" outlineLevel="0" collapsed="false">
      <c r="A6133" s="0" t="s">
        <v>866</v>
      </c>
      <c r="B6133" s="0" t="s">
        <v>98</v>
      </c>
      <c r="D6133" s="6" t="n">
        <f aca="false">Sens!D6115</f>
        <v>62.941</v>
      </c>
      <c r="E6133" s="6" t="n">
        <f aca="false">Sens!E6115</f>
        <v>63.712</v>
      </c>
      <c r="F6133" s="6" t="n">
        <f aca="false">Sens!F6115</f>
        <v>64.3025149952511</v>
      </c>
      <c r="G6133" s="6" t="n">
        <f aca="false">Sens!G6115</f>
        <v>66.2756719305292</v>
      </c>
      <c r="H6133" s="6" t="n">
        <f aca="false">Sens!H6115</f>
        <v>68.7139736271804</v>
      </c>
      <c r="I6133" s="6" t="n">
        <f aca="false">Sens!I6115</f>
        <v>71.5446393194289</v>
      </c>
      <c r="J6133" s="6" t="n">
        <f aca="false">Sens!J6115</f>
        <v>74.707035000971</v>
      </c>
      <c r="K6133" s="6" t="n">
        <f aca="false">Sens!K6115</f>
        <v>78.1524145698365</v>
      </c>
    </row>
    <row r="6134" customFormat="false" ht="15" hidden="false" customHeight="false" outlineLevel="0" collapsed="false">
      <c r="A6134" s="1" t="s">
        <v>1055</v>
      </c>
      <c r="B6134" s="0" t="s">
        <v>98</v>
      </c>
      <c r="D6134" s="6" t="n">
        <f aca="false">Sens!D6116</f>
        <v>281.724</v>
      </c>
      <c r="E6134" s="6" t="n">
        <f aca="false">Sens!E6116</f>
        <v>331.839</v>
      </c>
      <c r="F6134" s="6" t="n">
        <f aca="false">Sens!F6116</f>
        <v>403.579320330317</v>
      </c>
      <c r="G6134" s="6" t="n">
        <f aca="false">Sens!G6116</f>
        <v>493.109533301616</v>
      </c>
      <c r="H6134" s="6" t="n">
        <f aca="false">Sens!H6116</f>
        <v>589.577194234117</v>
      </c>
      <c r="I6134" s="6" t="n">
        <f aca="false">Sens!I6116</f>
        <v>671.773446836668</v>
      </c>
      <c r="J6134" s="6" t="n">
        <f aca="false">Sens!J6116</f>
        <v>737.938594841622</v>
      </c>
      <c r="K6134" s="6" t="n">
        <f aca="false">Sens!K6116</f>
        <v>790.734619465406</v>
      </c>
    </row>
    <row r="6135" customFormat="false" ht="15" hidden="false" customHeight="false" outlineLevel="0" collapsed="false">
      <c r="A6135" s="1" t="s">
        <v>1056</v>
      </c>
      <c r="B6135" s="0" t="s">
        <v>168</v>
      </c>
      <c r="E6135" s="7" t="n">
        <f aca="false">Sens!E6134/Sens!D6134-1</f>
        <v>0.177886867998467</v>
      </c>
      <c r="F6135" s="7" t="n">
        <f aca="false">Sens!F6134/Sens!E6134-1</f>
        <v>0.216190141394825</v>
      </c>
      <c r="G6135" s="7" t="n">
        <f aca="false">Sens!G6134/Sens!F6134-1</f>
        <v>0.221840437458541</v>
      </c>
      <c r="H6135" s="7" t="n">
        <f aca="false">Sens!H6134/Sens!G6134-1</f>
        <v>0.195631303833454</v>
      </c>
      <c r="I6135" s="7" t="n">
        <f aca="false">Sens!I6134/Sens!H6134-1</f>
        <v>0.139415590369515</v>
      </c>
      <c r="J6135" s="7" t="n">
        <f aca="false">Sens!J6134/Sens!I6134-1</f>
        <v>0.0984932469666979</v>
      </c>
      <c r="K6135" s="7" t="n">
        <f aca="false">Sens!K6134/Sens!J6134-1</f>
        <v>0.0715452816709161</v>
      </c>
    </row>
    <row r="6136" customFormat="false" ht="17.15" hidden="false" customHeight="false" outlineLevel="0" collapsed="false">
      <c r="A6136" s="26" t="s">
        <v>1057</v>
      </c>
      <c r="B6136" s="31" t="s">
        <v>98</v>
      </c>
      <c r="C6136" s="31"/>
      <c r="D6136" s="27" t="n">
        <f aca="false">(Sens!D6129+Sens!D6133-Sens!D6134)+(Sens!D6121+Sens!D6122-Sens!D6120)+(Sens!D6124+Sens!D6125-Sens!D6123)+(Sens!D6134-Q!L18)</f>
        <v>0</v>
      </c>
      <c r="E6136" s="27" t="n">
        <f aca="false">(Sens!E6129+Sens!E6133-Sens!E6134)+(Sens!E6121+Sens!E6122-Sens!E6120)+(Sens!E6124+Sens!E6125-Sens!E6123)+(Sens!E6134-Q!M18)</f>
        <v>0</v>
      </c>
      <c r="F6136" s="27" t="n">
        <f aca="false">(Sens!F6129+Sens!F6133-Sens!F6134)+(Sens!F6121+Sens!F6122-Sens!F6120)+(Sens!F6124+Sens!F6125-Sens!F6123)</f>
        <v>0</v>
      </c>
      <c r="G6136" s="27" t="n">
        <f aca="false">(Sens!G6129+Sens!G6133-Sens!G6134)+(Sens!G6121+Sens!G6122-Sens!G6120)+(Sens!G6124+Sens!G6125-Sens!G6123)</f>
        <v>0</v>
      </c>
      <c r="H6136" s="27" t="n">
        <f aca="false">(Sens!H6129+Sens!H6133-Sens!H6134)+(Sens!H6121+Sens!H6122-Sens!H6120)+(Sens!H6124+Sens!H6125-Sens!H6123)</f>
        <v>0</v>
      </c>
      <c r="I6136" s="27" t="n">
        <f aca="false">(Sens!I6129+Sens!I6133-Sens!I6134)+(Sens!I6121+Sens!I6122-Sens!I6120)+(Sens!I6124+Sens!I6125-Sens!I6123)</f>
        <v>0</v>
      </c>
      <c r="J6136" s="27" t="n">
        <f aca="false">(Sens!J6129+Sens!J6133-Sens!J6134)+(Sens!J6121+Sens!J6122-Sens!J6120)+(Sens!J6124+Sens!J6125-Sens!J6123)</f>
        <v>0</v>
      </c>
      <c r="K6136" s="27" t="n">
        <f aca="false">(Sens!K6129+Sens!K6133-Sens!K6134)+(Sens!K6121+Sens!K6122-Sens!K6120)+(Sens!K6124+Sens!K6125-Sens!K6123)</f>
        <v>0</v>
      </c>
    </row>
    <row r="6137" customFormat="false" ht="17.15" hidden="false" customHeight="false" outlineLevel="0" collapsed="false">
      <c r="A6137" s="0" t="s">
        <v>1058</v>
      </c>
      <c r="B6137" s="0" t="s">
        <v>168</v>
      </c>
      <c r="E6137" s="7" t="n">
        <f aca="false">(Q!M21+Sens!E6073+Sens!E6074+Sens!E6075+Sens!E6089-Sens!E6071)/(Q!M5-Sens!E6071)</f>
        <v>0.570957350878296</v>
      </c>
      <c r="F6137" s="7" t="n">
        <f aca="false">Sens!$E$6137+dm_seg</f>
        <v>0.570957350878296</v>
      </c>
      <c r="G6137" s="7" t="n">
        <f aca="false">Sens!$E$6137+dm_seg</f>
        <v>0.570957350878296</v>
      </c>
      <c r="H6137" s="7" t="n">
        <f aca="false">Sens!$E$6137+dm_seg</f>
        <v>0.570957350878296</v>
      </c>
      <c r="I6137" s="7" t="n">
        <f aca="false">Sens!$E$6137+dm_seg</f>
        <v>0.570957350878296</v>
      </c>
      <c r="J6137" s="7" t="n">
        <f aca="false">Sens!$E$6137+dm_seg</f>
        <v>0.570957350878296</v>
      </c>
      <c r="K6137" s="7" t="n">
        <f aca="false">Sens!$E$6137+dm_seg</f>
        <v>0.570957350878296</v>
      </c>
      <c r="L6137" s="12" t="s">
        <v>1059</v>
      </c>
    </row>
    <row r="6138" customFormat="false" ht="17.15" hidden="false" customHeight="false" outlineLevel="0" collapsed="false">
      <c r="A6138" s="0" t="s">
        <v>880</v>
      </c>
      <c r="B6138" s="0" t="s">
        <v>98</v>
      </c>
      <c r="D6138" s="6" t="n">
        <f aca="false">Q!L21</f>
        <v>110.814</v>
      </c>
      <c r="E6138" s="6" t="n">
        <f aca="false">Q!M21</f>
        <v>136.365</v>
      </c>
      <c r="F6138" s="6" t="n">
        <f aca="false">Q!$I$21+(Sens!F6137*(Sens!F6108-Sens!F6071)+Sens!F6071-(Sens!F6073+Sens!F6074+Sens!F6075)-Sens!F6089-Sens!F6172)*(Sens!F6108-Q!$I$5)/Sens!F6108</f>
        <v>166.006297094435</v>
      </c>
      <c r="G6138" s="6" t="n">
        <f aca="false">(Sens!G6137*(Sens!G6108-Sens!G6071)+Sens!G6071-(Sens!G6073+Sens!G6074+Sens!G6075)-Sens!G6089-Sens!G6172)</f>
        <v>192.917369610367</v>
      </c>
      <c r="H6138" s="6" t="n">
        <f aca="false">(Sens!H6137*(Sens!H6108-Sens!H6071)+Sens!H6071-(Sens!H6073+Sens!H6074+Sens!H6075)-Sens!H6089-Sens!H6172)</f>
        <v>228.1402200969</v>
      </c>
      <c r="I6138" s="6" t="n">
        <f aca="false">(Sens!I6137*(Sens!I6108-Sens!I6071)+Sens!I6071-(Sens!I6073+Sens!I6074+Sens!I6075)-Sens!I6089-Sens!I6172)</f>
        <v>254.895589362644</v>
      </c>
      <c r="J6138" s="6" t="n">
        <f aca="false">(Sens!J6137*(Sens!J6108-Sens!J6071)+Sens!J6071-(Sens!J6073+Sens!J6074+Sens!J6075)-Sens!J6089-Sens!J6172)</f>
        <v>277.882640721178</v>
      </c>
      <c r="K6138" s="6" t="n">
        <f aca="false">(Sens!K6137*(Sens!K6108-Sens!K6071)+Sens!K6071-(Sens!K6073+Sens!K6074+Sens!K6075)-Sens!K6089-Sens!K6172)</f>
        <v>298.609312380388</v>
      </c>
      <c r="L6138" s="1" t="s">
        <v>1060</v>
      </c>
    </row>
    <row r="6139" customFormat="false" ht="17.15" hidden="false" customHeight="false" outlineLevel="0" collapsed="false">
      <c r="A6139" s="0" t="s">
        <v>1061</v>
      </c>
      <c r="B6139" s="0" t="s">
        <v>168</v>
      </c>
      <c r="E6139" s="7" t="n">
        <f aca="false">Q!M22/Q!M12</f>
        <v>0.296207935710698</v>
      </c>
      <c r="F6139" s="7" t="n">
        <f aca="false">Sens!$E$6139+dm_seg</f>
        <v>0.296207935710698</v>
      </c>
      <c r="G6139" s="7" t="n">
        <f aca="false">Sens!$E$6139+dm_seg</f>
        <v>0.296207935710698</v>
      </c>
      <c r="H6139" s="7" t="n">
        <f aca="false">Sens!$E$6139+dm_seg</f>
        <v>0.296207935710698</v>
      </c>
      <c r="I6139" s="7" t="n">
        <f aca="false">Sens!$E$6139+dm_seg</f>
        <v>0.296207935710698</v>
      </c>
      <c r="J6139" s="7" t="n">
        <f aca="false">Sens!$E$6139+dm_seg</f>
        <v>0.296207935710698</v>
      </c>
      <c r="K6139" s="7" t="n">
        <f aca="false">Sens!$E$6139+dm_seg</f>
        <v>0.296207935710698</v>
      </c>
      <c r="L6139" s="12" t="s">
        <v>1062</v>
      </c>
    </row>
    <row r="6140" customFormat="false" ht="17.15" hidden="false" customHeight="false" outlineLevel="0" collapsed="false">
      <c r="A6140" s="0" t="s">
        <v>882</v>
      </c>
      <c r="B6140" s="0" t="s">
        <v>98</v>
      </c>
      <c r="D6140" s="6" t="n">
        <f aca="false">Q!L22</f>
        <v>17.714</v>
      </c>
      <c r="E6140" s="6" t="n">
        <f aca="false">Q!M22</f>
        <v>18.872</v>
      </c>
      <c r="F6140" s="6" t="n">
        <f aca="false">Q!$I$22+(Sens!F6115-Q!$I$12)*Sens!F6139</f>
        <v>19.8174315512051</v>
      </c>
      <c r="G6140" s="6" t="n">
        <f aca="false">Sens!G6115*Sens!G6139</f>
        <v>19.6313799703815</v>
      </c>
      <c r="H6140" s="6" t="n">
        <f aca="false">Sens!H6115*Sens!H6139</f>
        <v>20.3536242825865</v>
      </c>
      <c r="I6140" s="6" t="n">
        <f aca="false">Sens!I6115*Sens!I6139</f>
        <v>21.1920899239745</v>
      </c>
      <c r="J6140" s="6" t="n">
        <f aca="false">Sens!J6115*Sens!J6139</f>
        <v>22.1288166207045</v>
      </c>
      <c r="K6140" s="6" t="n">
        <f aca="false">Sens!K6115*Sens!K6139</f>
        <v>23.1493653905379</v>
      </c>
      <c r="L6140" s="12" t="s">
        <v>1063</v>
      </c>
    </row>
    <row r="6141" customFormat="false" ht="15" hidden="false" customHeight="false" outlineLevel="0" collapsed="false">
      <c r="A6141" s="1" t="s">
        <v>1064</v>
      </c>
      <c r="B6141" s="0" t="s">
        <v>98</v>
      </c>
      <c r="D6141" s="6" t="n">
        <f aca="false">Sens!D6138+Sens!D6140</f>
        <v>128.528</v>
      </c>
      <c r="E6141" s="6" t="n">
        <f aca="false">Sens!E6138+Sens!E6140</f>
        <v>155.237</v>
      </c>
      <c r="F6141" s="6" t="n">
        <f aca="false">Sens!F6138+Sens!F6140</f>
        <v>185.82372864564</v>
      </c>
      <c r="G6141" s="6" t="n">
        <f aca="false">Sens!G6138+Sens!G6140</f>
        <v>212.548749580748</v>
      </c>
      <c r="H6141" s="6" t="n">
        <f aca="false">Sens!H6138+Sens!H6140</f>
        <v>248.493844379486</v>
      </c>
      <c r="I6141" s="6" t="n">
        <f aca="false">Sens!I6138+Sens!I6140</f>
        <v>276.087679286619</v>
      </c>
      <c r="J6141" s="6" t="n">
        <f aca="false">Sens!J6138+Sens!J6140</f>
        <v>300.011457341882</v>
      </c>
      <c r="K6141" s="6" t="n">
        <f aca="false">Sens!K6138+Sens!K6140</f>
        <v>321.758677770926</v>
      </c>
    </row>
    <row r="6142" customFormat="false" ht="15" hidden="false" customHeight="false" outlineLevel="0" collapsed="false">
      <c r="A6142" s="26" t="s">
        <v>1065</v>
      </c>
      <c r="B6142" s="31" t="s">
        <v>98</v>
      </c>
      <c r="C6142" s="31"/>
      <c r="D6142" s="27" t="n">
        <f aca="false">Sens!D6141-Q!L23</f>
        <v>0</v>
      </c>
      <c r="E6142" s="27" t="n">
        <f aca="false">Sens!E6141-Q!M23</f>
        <v>0</v>
      </c>
      <c r="F6142" s="31"/>
      <c r="G6142" s="31"/>
      <c r="H6142" s="31"/>
      <c r="I6142" s="31"/>
      <c r="J6142" s="31"/>
      <c r="K6142" s="31"/>
    </row>
    <row r="6143" customFormat="false" ht="15" hidden="false" customHeight="false" outlineLevel="0" collapsed="false">
      <c r="A6143" s="1" t="s">
        <v>1066</v>
      </c>
      <c r="B6143" s="0" t="s">
        <v>168</v>
      </c>
      <c r="D6143" s="7" t="n">
        <f aca="false">Sens!D6141/Sens!D6134</f>
        <v>0.456219562408598</v>
      </c>
      <c r="E6143" s="7" t="n">
        <f aca="false">Sens!E6141/Sens!E6134</f>
        <v>0.467808184089272</v>
      </c>
      <c r="F6143" s="7" t="n">
        <f aca="false">Sens!F6141/Sens!F6134</f>
        <v>0.460439173378728</v>
      </c>
      <c r="G6143" s="7" t="n">
        <f aca="false">Sens!G6141/Sens!G6134</f>
        <v>0.43103759961327</v>
      </c>
      <c r="H6143" s="7" t="n">
        <f aca="false">Sens!H6141/Sens!H6134</f>
        <v>0.421478046996525</v>
      </c>
      <c r="I6143" s="7" t="n">
        <f aca="false">Sens!I6141/Sens!I6134</f>
        <v>0.410983316751645</v>
      </c>
      <c r="J6143" s="7" t="n">
        <f aca="false">Sens!J6141/Sens!J6134</f>
        <v>0.40655341709871</v>
      </c>
      <c r="K6143" s="7" t="n">
        <f aca="false">Sens!K6141/Sens!K6134</f>
        <v>0.40691107971023</v>
      </c>
    </row>
    <row r="6144" customFormat="false" ht="17.15" hidden="false" customHeight="false" outlineLevel="0" collapsed="false">
      <c r="A6144" s="1" t="s">
        <v>1067</v>
      </c>
      <c r="B6144" s="0" t="s">
        <v>98</v>
      </c>
      <c r="F6144" s="6" t="n">
        <f aca="false">Sens!F6159</f>
        <v>8.88340674531245</v>
      </c>
      <c r="G6144" s="6" t="n">
        <f aca="false">Sens!G6159</f>
        <v>22.7060305170273</v>
      </c>
      <c r="H6144" s="6" t="n">
        <f aca="false">Sens!H6159</f>
        <v>38.0018452382075</v>
      </c>
      <c r="I6144" s="6" t="n">
        <f aca="false">Sens!I6159</f>
        <v>52.1381094705177</v>
      </c>
      <c r="J6144" s="6" t="n">
        <f aca="false">Sens!J6159</f>
        <v>62.0595818934393</v>
      </c>
      <c r="K6144" s="6" t="n">
        <f aca="false">Sens!K6159</f>
        <v>67.0801312706266</v>
      </c>
      <c r="L6144" s="1" t="s">
        <v>1068</v>
      </c>
    </row>
    <row r="6145" customFormat="false" ht="17.15" hidden="false" customHeight="false" outlineLevel="0" collapsed="false">
      <c r="A6145" s="1" t="s">
        <v>1069</v>
      </c>
      <c r="B6145" s="0" t="s">
        <v>98</v>
      </c>
      <c r="D6145" s="6" t="n">
        <f aca="false">Sens!D6141</f>
        <v>128.528</v>
      </c>
      <c r="E6145" s="6" t="n">
        <f aca="false">Sens!E6141</f>
        <v>155.237</v>
      </c>
      <c r="F6145" s="6" t="n">
        <f aca="false">Sens!F6141+Sens!F6144</f>
        <v>194.707135390953</v>
      </c>
      <c r="G6145" s="6" t="n">
        <f aca="false">Sens!G6141+Sens!G6144</f>
        <v>235.254780097776</v>
      </c>
      <c r="H6145" s="6" t="n">
        <f aca="false">Sens!H6141+Sens!H6144</f>
        <v>286.495689617694</v>
      </c>
      <c r="I6145" s="6" t="n">
        <f aca="false">Sens!I6141+Sens!I6144</f>
        <v>328.225788757136</v>
      </c>
      <c r="J6145" s="6" t="n">
        <f aca="false">Sens!J6141+Sens!J6144</f>
        <v>362.071039235321</v>
      </c>
      <c r="K6145" s="6" t="n">
        <f aca="false">Sens!K6141+Sens!K6144</f>
        <v>388.838809041553</v>
      </c>
    </row>
    <row r="6146" customFormat="false" ht="17.15" hidden="false" customHeight="false" outlineLevel="0" collapsed="false">
      <c r="A6146" s="1" t="s">
        <v>1070</v>
      </c>
      <c r="B6146" s="0" t="s">
        <v>98</v>
      </c>
      <c r="E6146" s="6" t="n">
        <f aca="false">Sens!E6089</f>
        <v>16.3054059770833</v>
      </c>
      <c r="F6146" s="6" t="n">
        <f aca="false">Sens!F6089</f>
        <v>34.5793144783516</v>
      </c>
      <c r="G6146" s="6" t="n">
        <f aca="false">Sens!G6089</f>
        <v>60.7344906522989</v>
      </c>
      <c r="H6146" s="6" t="n">
        <f aca="false">Sens!H6089</f>
        <v>89.1000906614457</v>
      </c>
      <c r="I6146" s="6" t="n">
        <f aca="false">Sens!I6089</f>
        <v>114.231009694548</v>
      </c>
      <c r="J6146" s="6" t="n">
        <f aca="false">Sens!J6089</f>
        <v>132.015673049596</v>
      </c>
      <c r="K6146" s="6" t="n">
        <f aca="false">Sens!K6089</f>
        <v>143.012669550934</v>
      </c>
    </row>
    <row r="6147" customFormat="false" ht="17.15" hidden="false" customHeight="false" outlineLevel="0" collapsed="false">
      <c r="A6147" s="1" t="s">
        <v>1071</v>
      </c>
      <c r="B6147" s="0" t="s">
        <v>98</v>
      </c>
      <c r="E6147" s="6" t="n">
        <f aca="false">Sens!E6171</f>
        <v>22.2285940229167</v>
      </c>
      <c r="F6147" s="6" t="n">
        <f aca="false">Sens!F6171</f>
        <v>23.580344216413</v>
      </c>
      <c r="G6147" s="6" t="n">
        <f aca="false">Sens!G6171</f>
        <v>25.3767845268657</v>
      </c>
      <c r="H6147" s="6" t="n">
        <f aca="false">Sens!H6171</f>
        <v>27.5895447252255</v>
      </c>
      <c r="I6147" s="6" t="n">
        <f aca="false">Sens!I6171</f>
        <v>30.142292761365</v>
      </c>
      <c r="J6147" s="6" t="n">
        <f aca="false">Sens!J6171</f>
        <v>32.9430254672895</v>
      </c>
      <c r="K6147" s="6" t="n">
        <f aca="false">Sens!K6171</f>
        <v>35.9073637302674</v>
      </c>
    </row>
    <row r="6148" customFormat="false" ht="17.15" hidden="false" customHeight="false" outlineLevel="0" collapsed="false">
      <c r="A6148" s="1" t="s">
        <v>1072</v>
      </c>
      <c r="B6148" s="0" t="s">
        <v>98</v>
      </c>
      <c r="D6148" s="6" t="n">
        <f aca="false">Q!L27</f>
        <v>-4.901</v>
      </c>
      <c r="E6148" s="6" t="n">
        <f aca="false">Q!M27</f>
        <v>10.697</v>
      </c>
      <c r="F6148" s="6" t="n">
        <f aca="false">Q!$I$27+oie_f*(q_per_yr-1)/q_per_yr</f>
        <v>-0.862</v>
      </c>
      <c r="G6148" s="6" t="n">
        <f aca="false">oie_f</f>
        <v>-1.2</v>
      </c>
      <c r="H6148" s="6" t="n">
        <f aca="false">oie_f</f>
        <v>-1.2</v>
      </c>
      <c r="I6148" s="6" t="n">
        <f aca="false">oie_f</f>
        <v>-1.2</v>
      </c>
      <c r="J6148" s="6" t="n">
        <f aca="false">oie_f</f>
        <v>-1.2</v>
      </c>
      <c r="K6148" s="6" t="n">
        <f aca="false">oie_f</f>
        <v>-1.2</v>
      </c>
      <c r="L6148" s="12" t="s">
        <v>1073</v>
      </c>
    </row>
    <row r="6149" customFormat="false" ht="15" hidden="false" customHeight="false" outlineLevel="0" collapsed="false">
      <c r="A6149" s="1" t="s">
        <v>1074</v>
      </c>
      <c r="B6149" s="0" t="s">
        <v>98</v>
      </c>
      <c r="D6149" s="6" t="n">
        <f aca="false">Sens!D6141+Sens!D6148</f>
        <v>123.627</v>
      </c>
      <c r="E6149" s="6" t="n">
        <f aca="false">Sens!E6141+Sens!E6148</f>
        <v>165.934</v>
      </c>
      <c r="F6149" s="6" t="n">
        <f aca="false">Sens!F6141+Sens!F6148</f>
        <v>184.96172864564</v>
      </c>
      <c r="G6149" s="6" t="n">
        <f aca="false">Sens!G6141+Sens!G6148</f>
        <v>211.348749580748</v>
      </c>
      <c r="H6149" s="6" t="n">
        <f aca="false">Sens!H6141+Sens!H6148</f>
        <v>247.293844379486</v>
      </c>
      <c r="I6149" s="6" t="n">
        <f aca="false">Sens!I6141+Sens!I6148</f>
        <v>274.887679286619</v>
      </c>
      <c r="J6149" s="6" t="n">
        <f aca="false">Sens!J6141+Sens!J6148</f>
        <v>298.811457341882</v>
      </c>
      <c r="K6149" s="6" t="n">
        <f aca="false">Sens!K6141+Sens!K6148</f>
        <v>320.558677770926</v>
      </c>
    </row>
    <row r="6150" customFormat="false" ht="15" hidden="false" customHeight="false" outlineLevel="0" collapsed="false">
      <c r="A6150" s="1" t="s">
        <v>1075</v>
      </c>
      <c r="B6150" s="0" t="s">
        <v>98</v>
      </c>
      <c r="D6150" s="6" t="n">
        <f aca="false">Q!L29</f>
        <v>21.795</v>
      </c>
      <c r="E6150" s="6" t="n">
        <f aca="false">Q!M29</f>
        <v>32.185</v>
      </c>
      <c r="F6150" s="6" t="n">
        <f aca="false">Q!$I$29+(Sens!F6149-Q!$I$28)*tax_f</f>
        <v>37.125745729128</v>
      </c>
      <c r="G6150" s="6" t="n">
        <f aca="false">Sens!G6149*tax_f</f>
        <v>42.2697499161497</v>
      </c>
      <c r="H6150" s="6" t="n">
        <f aca="false">Sens!H6149*tax_f</f>
        <v>49.4587688758973</v>
      </c>
      <c r="I6150" s="6" t="n">
        <f aca="false">Sens!I6149*tax_f</f>
        <v>54.9775358573237</v>
      </c>
      <c r="J6150" s="6" t="n">
        <f aca="false">Sens!J6149*tax_f</f>
        <v>59.7622914683764</v>
      </c>
      <c r="K6150" s="6" t="n">
        <f aca="false">Sens!K6149*tax_f</f>
        <v>64.1117355541852</v>
      </c>
    </row>
    <row r="6151" customFormat="false" ht="15" hidden="false" customHeight="false" outlineLevel="0" collapsed="false">
      <c r="A6151" s="1" t="s">
        <v>1076</v>
      </c>
      <c r="B6151" s="0" t="s">
        <v>98</v>
      </c>
      <c r="D6151" s="6" t="n">
        <f aca="false">Sens!D6149-Sens!D6150</f>
        <v>101.832</v>
      </c>
      <c r="E6151" s="6" t="n">
        <f aca="false">Sens!E6149-Sens!E6150</f>
        <v>133.749</v>
      </c>
      <c r="F6151" s="6" t="n">
        <f aca="false">Sens!F6149-Sens!F6150</f>
        <v>147.835982916512</v>
      </c>
      <c r="G6151" s="6" t="n">
        <f aca="false">Sens!G6149-Sens!G6150</f>
        <v>169.078999664599</v>
      </c>
      <c r="H6151" s="6" t="n">
        <f aca="false">Sens!H6149-Sens!H6150</f>
        <v>197.835075503589</v>
      </c>
      <c r="I6151" s="6" t="n">
        <f aca="false">Sens!I6149-Sens!I6150</f>
        <v>219.910143429295</v>
      </c>
      <c r="J6151" s="6" t="n">
        <f aca="false">Sens!J6149-Sens!J6150</f>
        <v>239.049165873506</v>
      </c>
      <c r="K6151" s="6" t="n">
        <f aca="false">Sens!K6149-Sens!K6150</f>
        <v>256.446942216741</v>
      </c>
    </row>
    <row r="6152" customFormat="false" ht="17.15" hidden="false" customHeight="false" outlineLevel="0" collapsed="false">
      <c r="A6152" s="1" t="s">
        <v>1077</v>
      </c>
      <c r="B6152" s="1" t="s">
        <v>81</v>
      </c>
      <c r="D6152" s="15" t="n">
        <f aca="false">Q!L31</f>
        <v>7.465</v>
      </c>
      <c r="E6152" s="15" t="n">
        <f aca="false">Q!M31</f>
        <v>7.453</v>
      </c>
      <c r="F6152" s="15" t="n">
        <f aca="false">Sens!F6196</f>
        <v>7.47026242317327</v>
      </c>
      <c r="G6152" s="15" t="n">
        <f aca="false">Sens!G6196</f>
        <v>7.50815711886233</v>
      </c>
      <c r="H6152" s="15" t="n">
        <f aca="false">Sens!H6196</f>
        <v>7.53198933040691</v>
      </c>
      <c r="I6152" s="15" t="n">
        <f aca="false">Sens!I6196</f>
        <v>7.54367069446238</v>
      </c>
      <c r="J6152" s="15" t="n">
        <f aca="false">Sens!J6196</f>
        <v>7.55782010562485</v>
      </c>
      <c r="K6152" s="15" t="n">
        <f aca="false">Sens!K6196</f>
        <v>7.5742547455901</v>
      </c>
    </row>
    <row r="6153" customFormat="false" ht="17.15" hidden="false" customHeight="false" outlineLevel="0" collapsed="false">
      <c r="A6153" s="0" t="s">
        <v>1078</v>
      </c>
      <c r="B6153" s="0" t="s">
        <v>75</v>
      </c>
      <c r="D6153" s="8" t="n">
        <f aca="false">Sens!D6151/Sens!D6152</f>
        <v>13.641259209645</v>
      </c>
      <c r="E6153" s="8" t="n">
        <f aca="false">Sens!E6151/Sens!E6152</f>
        <v>17.9456594659869</v>
      </c>
      <c r="F6153" s="8" t="n">
        <f aca="false">Sens!F6151/Sens!F6152</f>
        <v>19.7899316706619</v>
      </c>
      <c r="G6153" s="8" t="n">
        <f aca="false">Sens!G6151/Sens!G6152</f>
        <v>22.5193741936794</v>
      </c>
      <c r="H6153" s="8" t="n">
        <f aca="false">Sens!H6151/Sens!H6152</f>
        <v>26.2659792552974</v>
      </c>
      <c r="I6153" s="8" t="n">
        <f aca="false">Sens!I6151/Sens!I6152</f>
        <v>29.1516096521453</v>
      </c>
      <c r="J6153" s="8" t="n">
        <f aca="false">Sens!J6151/Sens!J6152</f>
        <v>31.6293802356575</v>
      </c>
      <c r="K6153" s="8" t="n">
        <f aca="false">Sens!K6151/Sens!K6152</f>
        <v>33.8577128483895</v>
      </c>
      <c r="L6153" s="1" t="s">
        <v>1079</v>
      </c>
    </row>
    <row r="6154" customFormat="false" ht="17.15" hidden="false" customHeight="false" outlineLevel="0" collapsed="false">
      <c r="A6154" s="1" t="s">
        <v>1080</v>
      </c>
      <c r="B6154" s="0" t="s">
        <v>98</v>
      </c>
      <c r="D6154" s="6" t="n">
        <f aca="false">Sens!D6151</f>
        <v>101.832</v>
      </c>
      <c r="E6154" s="6" t="n">
        <f aca="false">Sens!E6151</f>
        <v>133.749</v>
      </c>
      <c r="F6154" s="6" t="n">
        <f aca="false">Sens!F6151+Sens!F6144*(1-tax_f)</f>
        <v>154.942708312762</v>
      </c>
      <c r="G6154" s="6" t="n">
        <f aca="false">Sens!G6151+Sens!G6144*(1-tax_f)</f>
        <v>187.243824078221</v>
      </c>
      <c r="H6154" s="6" t="n">
        <f aca="false">Sens!H6151+Sens!H6144*(1-tax_f)</f>
        <v>228.236551694155</v>
      </c>
      <c r="I6154" s="6" t="n">
        <f aca="false">Sens!I6151+Sens!I6144*(1-tax_f)</f>
        <v>261.620631005709</v>
      </c>
      <c r="J6154" s="6" t="n">
        <f aca="false">Sens!J6151+Sens!J6144*(1-tax_f)</f>
        <v>288.696831388257</v>
      </c>
      <c r="K6154" s="6" t="n">
        <f aca="false">Sens!K6151+Sens!K6144*(1-tax_f)</f>
        <v>310.111047233242</v>
      </c>
    </row>
    <row r="6155" customFormat="false" ht="17.15" hidden="false" customHeight="false" outlineLevel="0" collapsed="false">
      <c r="A6155" s="0" t="s">
        <v>1081</v>
      </c>
      <c r="B6155" s="0" t="s">
        <v>75</v>
      </c>
      <c r="D6155" s="8" t="n">
        <f aca="false">Sens!D6154/Sens!D6152</f>
        <v>13.641259209645</v>
      </c>
      <c r="E6155" s="8" t="n">
        <f aca="false">Sens!E6154/Sens!E6152</f>
        <v>17.9456594659869</v>
      </c>
      <c r="F6155" s="8" t="n">
        <f aca="false">Sens!F6154/Sens!F6152</f>
        <v>20.7412671115969</v>
      </c>
      <c r="G6155" s="8" t="n">
        <f aca="false">Sens!G6154/Sens!G6152</f>
        <v>24.9387194639039</v>
      </c>
      <c r="H6155" s="8" t="n">
        <f aca="false">Sens!H6154/Sens!H6152</f>
        <v>30.3022935484993</v>
      </c>
      <c r="I6155" s="8" t="n">
        <f aca="false">Sens!I6154/Sens!I6152</f>
        <v>34.6808127769626</v>
      </c>
      <c r="J6155" s="8" t="n">
        <f aca="false">Sens!J6154/Sens!J6152</f>
        <v>38.1984259156151</v>
      </c>
      <c r="K6155" s="8" t="n">
        <f aca="false">Sens!K6154/Sens!K6152</f>
        <v>40.9427802007578</v>
      </c>
      <c r="L6155" s="1" t="s">
        <v>1082</v>
      </c>
    </row>
    <row r="6156" customFormat="false" ht="17.15" hidden="false" customHeight="false" outlineLevel="0" collapsed="false">
      <c r="A6156" s="0" t="s">
        <v>1083</v>
      </c>
      <c r="B6156" s="0" t="s">
        <v>168</v>
      </c>
      <c r="E6156" s="7" t="n">
        <f aca="false">Sens!E6155/Sens!D6155-1</f>
        <v>0.315542736208578</v>
      </c>
      <c r="F6156" s="7" t="n">
        <f aca="false">Sens!F6155/Sens!E6155-1</f>
        <v>0.155781828520077</v>
      </c>
      <c r="G6156" s="7" t="n">
        <f aca="false">Sens!G6155/Sens!F6155-1</f>
        <v>0.202372031068443</v>
      </c>
      <c r="H6156" s="7" t="n">
        <f aca="false">Sens!H6155/Sens!G6155-1</f>
        <v>0.215070147942385</v>
      </c>
      <c r="I6156" s="7" t="n">
        <f aca="false">Sens!I6155/Sens!H6155-1</f>
        <v>0.144494647623136</v>
      </c>
      <c r="J6156" s="7" t="n">
        <f aca="false">Sens!J6155/Sens!I6155-1</f>
        <v>0.101428220880369</v>
      </c>
      <c r="K6156" s="7" t="n">
        <f aca="false">Sens!K6155/Sens!J6155-1</f>
        <v>0.0718446956742491</v>
      </c>
    </row>
    <row r="6157" customFormat="false" ht="17.15" hidden="false" customHeight="false" outlineLevel="0" collapsed="false">
      <c r="A6157" s="0" t="s">
        <v>1003</v>
      </c>
      <c r="B6157" s="0" t="s">
        <v>98</v>
      </c>
      <c r="E6157" s="6" t="n">
        <f aca="false">Sens!E6098</f>
        <v>5.25</v>
      </c>
      <c r="F6157" s="6" t="n">
        <f aca="false">Sens!F6098</f>
        <v>13.5</v>
      </c>
      <c r="G6157" s="6" t="n">
        <f aca="false">Sens!G6098</f>
        <v>22.5</v>
      </c>
      <c r="H6157" s="6" t="n">
        <f aca="false">Sens!H6098</f>
        <v>31.5</v>
      </c>
      <c r="I6157" s="6" t="n">
        <f aca="false">Sens!I6098</f>
        <v>38.25</v>
      </c>
      <c r="J6157" s="6" t="n">
        <f aca="false">Sens!J6098</f>
        <v>42.75</v>
      </c>
      <c r="K6157" s="6" t="n">
        <f aca="false">Sens!K6098</f>
        <v>47.25</v>
      </c>
    </row>
    <row r="6158" customFormat="false" ht="17.15" hidden="false" customHeight="false" outlineLevel="0" collapsed="false">
      <c r="A6158" s="1" t="s">
        <v>1004</v>
      </c>
      <c r="B6158" s="0" t="s">
        <v>98</v>
      </c>
      <c r="F6158" s="6" t="n">
        <f aca="false">MAX(0,((Sens!E6058+Sens!F6058)/2-(shadow_base*(Sens!$D$6058+Sens!$E$6058)/2+(1-shadow_base)*Sens!$E$6058))*Sens!F6067/1000-(Sens!F6157-Sens!$E$6157)*Sens!F6137)</f>
        <v>8.88340674531245</v>
      </c>
      <c r="G6158" s="6" t="n">
        <f aca="false">MAX(0,((Sens!F6058+Sens!G6058)/2-(shadow_base*(Sens!$D$6058+Sens!$E$6058)/2+(1-shadow_base)*Sens!$E$6058))*Sens!G6067/1000-(Sens!G6157-Sens!$E$6157)*Sens!G6137)</f>
        <v>22.7060305170273</v>
      </c>
      <c r="H6158" s="6" t="n">
        <f aca="false">MAX(0,((Sens!G6058+Sens!H6058)/2-(shadow_base*(Sens!$D$6058+Sens!$E$6058)/2+(1-shadow_base)*Sens!$E$6058))*Sens!H6067/1000-(Sens!H6157-Sens!$E$6157)*Sens!H6137)</f>
        <v>38.0018452382075</v>
      </c>
      <c r="I6158" s="6" t="n">
        <f aca="false">MAX(0,((Sens!H6058+Sens!I6058)/2-(shadow_base*(Sens!$D$6058+Sens!$E$6058)/2+(1-shadow_base)*Sens!$E$6058))*Sens!I6067/1000-(Sens!I6157-Sens!$E$6157)*Sens!I6137)</f>
        <v>52.1381094705177</v>
      </c>
      <c r="J6158" s="6" t="n">
        <f aca="false">MAX(0,((Sens!I6058+Sens!J6058)/2-(shadow_base*(Sens!$D$6058+Sens!$E$6058)/2+(1-shadow_base)*Sens!$E$6058))*Sens!J6067/1000-(Sens!J6157-Sens!$E$6157)*Sens!J6137)</f>
        <v>62.0595818934393</v>
      </c>
      <c r="K6158" s="6" t="n">
        <f aca="false">MAX(0,((Sens!J6058+Sens!K6058)/2-(shadow_base*(Sens!$D$6058+Sens!$E$6058)/2+(1-shadow_base)*Sens!$E$6058))*Sens!K6067/1000-(Sens!K6157-Sens!$E$6157)*Sens!K6137)</f>
        <v>67.0801312706266</v>
      </c>
      <c r="L6158" s="1" t="s">
        <v>1005</v>
      </c>
    </row>
    <row r="6159" customFormat="false" ht="17.15" hidden="false" customHeight="false" outlineLevel="0" collapsed="false">
      <c r="A6159" s="1" t="s">
        <v>1006</v>
      </c>
      <c r="B6159" s="0" t="s">
        <v>98</v>
      </c>
      <c r="F6159" s="6" t="n">
        <f aca="false">IF(internal_ai_reading=2,1,0)*Sens!F6158</f>
        <v>8.88340674531245</v>
      </c>
      <c r="G6159" s="6" t="n">
        <f aca="false">IF(internal_ai_reading=2,1,0)*Sens!G6158</f>
        <v>22.7060305170273</v>
      </c>
      <c r="H6159" s="6" t="n">
        <f aca="false">IF(internal_ai_reading=2,1,0)*Sens!H6158</f>
        <v>38.0018452382075</v>
      </c>
      <c r="I6159" s="6" t="n">
        <f aca="false">IF(internal_ai_reading=2,1,0)*Sens!I6158</f>
        <v>52.1381094705177</v>
      </c>
      <c r="J6159" s="6" t="n">
        <f aca="false">IF(internal_ai_reading=2,1,0)*Sens!J6158</f>
        <v>62.0595818934393</v>
      </c>
      <c r="K6159" s="6" t="n">
        <f aca="false">IF(internal_ai_reading=2,1,0)*Sens!K6158</f>
        <v>67.0801312706266</v>
      </c>
    </row>
    <row r="6160" customFormat="false" ht="17.15" hidden="false" customHeight="false" outlineLevel="0" collapsed="false">
      <c r="A6160" s="0" t="s">
        <v>1007</v>
      </c>
      <c r="B6160" s="0" t="s">
        <v>98</v>
      </c>
      <c r="F6160" s="6" t="n">
        <f aca="false">Sens!F6077+Sens!F6157*Sens!F6137+Sens!F6159-Sens!F6078-Sens!F6089</f>
        <v>19.1502294740916</v>
      </c>
      <c r="G6160" s="6" t="n">
        <f aca="false">Sens!G6077+Sens!G6157*Sens!G6137+Sens!G6159-Sens!G6078-Sens!G6089</f>
        <v>44.6920418135921</v>
      </c>
      <c r="H6160" s="6" t="n">
        <f aca="false">Sens!H6077+Sens!H6157*Sens!H6137+Sens!H6159-Sens!H6078-Sens!H6089</f>
        <v>75.9799004959176</v>
      </c>
      <c r="I6160" s="6" t="n">
        <f aca="false">Sens!I6077+Sens!I6157*Sens!I6137+Sens!I6159-Sens!I6078-Sens!I6089</f>
        <v>98.1275158117204</v>
      </c>
      <c r="J6160" s="6" t="n">
        <f aca="false">Sens!J6077+Sens!J6157*Sens!J6137+Sens!J6159-Sens!J6078-Sens!J6089</f>
        <v>113.530061583228</v>
      </c>
      <c r="K6160" s="6" t="n">
        <f aca="false">Sens!K6077+Sens!K6157*Sens!K6137+Sens!K6159-Sens!K6078-Sens!K6089</f>
        <v>123.786518908517</v>
      </c>
    </row>
    <row r="6161" customFormat="false" ht="17.15" hidden="false" customHeight="false" outlineLevel="0" collapsed="false">
      <c r="A6161" s="0" t="s">
        <v>1008</v>
      </c>
      <c r="B6161" s="0" t="s">
        <v>98</v>
      </c>
      <c r="E6161" s="6" t="n">
        <f aca="false">Sens!E6057*(cxit_open+self_build*tk_cxfac)/1000*ai_net_open</f>
        <v>126.6980382</v>
      </c>
      <c r="F6161" s="6" t="n">
        <f aca="false">Sens!E6161+Sens!F6086-Sens!F6089</f>
        <v>260.572627763768</v>
      </c>
      <c r="G6161" s="6" t="n">
        <f aca="false">Sens!F6161+Sens!G6086-Sens!G6089</f>
        <v>391.782612760517</v>
      </c>
      <c r="H6161" s="6" t="n">
        <f aca="false">Sens!G6161+Sens!H6086-Sens!H6089</f>
        <v>499.488526163584</v>
      </c>
      <c r="I6161" s="6" t="n">
        <f aca="false">Sens!H6161+Sens!I6086-Sens!I6089</f>
        <v>553.872350090646</v>
      </c>
      <c r="J6161" s="6" t="n">
        <f aca="false">Sens!I6161+Sens!J6086-Sens!J6089</f>
        <v>550.78660823699</v>
      </c>
      <c r="K6161" s="6" t="n">
        <f aca="false">Sens!J6161+Sens!K6086-Sens!K6089</f>
        <v>526.736791750789</v>
      </c>
      <c r="L6161" s="1" t="s">
        <v>1009</v>
      </c>
    </row>
    <row r="6162" customFormat="false" ht="17.15" hidden="false" customHeight="false" outlineLevel="0" collapsed="false">
      <c r="A6162" s="0" t="s">
        <v>1010</v>
      </c>
      <c r="B6162" s="0" t="s">
        <v>168</v>
      </c>
      <c r="F6162" s="7" t="n">
        <f aca="false">Sens!F6160*(1-tax_f)/((Sens!E6161+Sens!F6161)/2)</f>
        <v>0.0791187400736756</v>
      </c>
      <c r="G6162" s="7" t="n">
        <f aca="false">Sens!G6160*(1-tax_f)/((Sens!F6161+Sens!G6161)/2)</f>
        <v>0.109613999336126</v>
      </c>
      <c r="H6162" s="7" t="n">
        <f aca="false">Sens!H6160*(1-tax_f)/((Sens!G6161+Sens!H6161)/2)</f>
        <v>0.136398269263177</v>
      </c>
      <c r="I6162" s="7" t="n">
        <f aca="false">Sens!I6160*(1-tax_f)/((Sens!H6161+Sens!I6161)/2)</f>
        <v>0.149050556972518</v>
      </c>
      <c r="J6162" s="7" t="n">
        <f aca="false">Sens!J6160*(1-tax_f)/((Sens!I6161+Sens!J6161)/2)</f>
        <v>0.164438170861499</v>
      </c>
      <c r="K6162" s="7" t="n">
        <f aca="false">Sens!K6160*(1-tax_f)/((Sens!J6161+Sens!K6161)/2)</f>
        <v>0.183808936544556</v>
      </c>
    </row>
    <row r="6163" customFormat="false" ht="17.15" hidden="false" customHeight="false" outlineLevel="0" collapsed="false">
      <c r="A6163" s="1" t="s">
        <v>1011</v>
      </c>
      <c r="B6163" s="0" t="s">
        <v>168</v>
      </c>
      <c r="F6163" s="7" t="n">
        <f aca="false">(Sens!F6160-Sens!F6159)*(1-tax_f)/((Sens!E6161+Sens!F6161)/2)</f>
        <v>0.0424171459647386</v>
      </c>
      <c r="G6163" s="7" t="n">
        <f aca="false">(Sens!G6160-Sens!G6159)*(1-tax_f)/((Sens!F6161+Sens!G6161)/2)</f>
        <v>0.0539240215901877</v>
      </c>
      <c r="H6163" s="7" t="n">
        <f aca="false">(Sens!H6160-Sens!H6159)*(1-tax_f)/((Sens!G6161+Sens!H6161)/2)</f>
        <v>0.068177780877869</v>
      </c>
      <c r="I6163" s="7" t="n">
        <f aca="false">(Sens!I6160-Sens!I6159)*(1-tax_f)/((Sens!H6161+Sens!I6161)/2)</f>
        <v>0.0698554994823684</v>
      </c>
      <c r="J6163" s="7" t="n">
        <f aca="false">(Sens!J6160-Sens!J6159)*(1-tax_f)/((Sens!I6161+Sens!J6161)/2)</f>
        <v>0.074550400268638</v>
      </c>
      <c r="K6163" s="7" t="n">
        <f aca="false">(Sens!K6160-Sens!K6159)*(1-tax_f)/((Sens!J6161+Sens!K6161)/2)</f>
        <v>0.0842025520946031</v>
      </c>
    </row>
    <row r="6164" customFormat="false" ht="17.15" hidden="false" customHeight="false" outlineLevel="0" collapsed="false">
      <c r="A6164" s="1" t="s">
        <v>1012</v>
      </c>
      <c r="B6164" s="0" t="s">
        <v>168</v>
      </c>
      <c r="F6164" s="7" t="n">
        <f aca="false">(Sens!F6160-Sens!F6159+Sens!F6158)*(1-tax_f)/((Sens!E6161+Sens!F6161)/2)</f>
        <v>0.0791187400736756</v>
      </c>
      <c r="G6164" s="7" t="n">
        <f aca="false">(Sens!G6160-Sens!G6159+Sens!G6158)*(1-tax_f)/((Sens!F6161+Sens!G6161)/2)</f>
        <v>0.109613999336126</v>
      </c>
      <c r="H6164" s="7" t="n">
        <f aca="false">(Sens!H6160-Sens!H6159+Sens!H6158)*(1-tax_f)/((Sens!G6161+Sens!H6161)/2)</f>
        <v>0.136398269263177</v>
      </c>
      <c r="I6164" s="7" t="n">
        <f aca="false">(Sens!I6160-Sens!I6159+Sens!I6158)*(1-tax_f)/((Sens!H6161+Sens!I6161)/2)</f>
        <v>0.149050556972518</v>
      </c>
      <c r="J6164" s="7" t="n">
        <f aca="false">(Sens!J6160-Sens!J6159+Sens!J6158)*(1-tax_f)/((Sens!I6161+Sens!J6161)/2)</f>
        <v>0.164438170861499</v>
      </c>
      <c r="K6164" s="7" t="n">
        <f aca="false">(Sens!K6160-Sens!K6159+Sens!K6158)*(1-tax_f)/((Sens!J6161+Sens!K6161)/2)</f>
        <v>0.183808936544556</v>
      </c>
    </row>
    <row r="6165" customFormat="false" ht="17.15" hidden="false" customHeight="false" outlineLevel="0" collapsed="false">
      <c r="A6165" s="1" t="s">
        <v>1013</v>
      </c>
      <c r="B6165" s="0" t="s">
        <v>168</v>
      </c>
      <c r="F6165" s="7" t="n">
        <f aca="false">Sens!F6090*(1-tax_f)/(Sens!F6076*(Sens!E6161+Sens!F6161)/2)</f>
        <v>0.159144387743877</v>
      </c>
      <c r="G6165" s="7" t="n">
        <f aca="false">Sens!G6090*(1-tax_f)/(Sens!G6076*(Sens!F6161+Sens!G6161)/2)</f>
        <v>0.183022604460735</v>
      </c>
      <c r="H6165" s="7" t="n">
        <f aca="false">Sens!H6090*(1-tax_f)/(Sens!H6076*(Sens!G6161+Sens!H6161)/2)</f>
        <v>0.21489909991186</v>
      </c>
      <c r="I6165" s="7" t="n">
        <f aca="false">Sens!I6090*(1-tax_f)/(Sens!I6076*(Sens!H6161+Sens!I6161)/2)</f>
        <v>0.228435720424904</v>
      </c>
      <c r="J6165" s="7" t="n">
        <f aca="false">Sens!J6090*(1-tax_f)/(Sens!J6076*(Sens!I6161+Sens!J6161)/2)</f>
        <v>0.24893044718261</v>
      </c>
      <c r="K6165" s="7" t="n">
        <f aca="false">Sens!K6090*(1-tax_f)/(Sens!K6076*(Sens!J6161+Sens!K6161)/2)</f>
        <v>0.276700690340439</v>
      </c>
    </row>
    <row r="6166" customFormat="false" ht="17.15" hidden="false" customHeight="false" outlineLevel="0" collapsed="false">
      <c r="A6166" s="0" t="s">
        <v>1014</v>
      </c>
      <c r="B6166" s="0" t="s">
        <v>253</v>
      </c>
      <c r="F6166" s="7" t="n">
        <f aca="false">Sens!F6162-wacc</f>
        <v>-0.0238178508719217</v>
      </c>
      <c r="G6166" s="7" t="n">
        <f aca="false">Sens!G6162-wacc</f>
        <v>0.00667740839052883</v>
      </c>
      <c r="H6166" s="7" t="n">
        <f aca="false">Sens!H6162-wacc</f>
        <v>0.0334616783175799</v>
      </c>
      <c r="I6166" s="7" t="n">
        <f aca="false">Sens!I6162-wacc</f>
        <v>0.0461139660269209</v>
      </c>
      <c r="J6166" s="7" t="n">
        <f aca="false">Sens!J6162-wacc</f>
        <v>0.0615015799159013</v>
      </c>
      <c r="K6166" s="7" t="n">
        <f aca="false">Sens!K6162-wacc</f>
        <v>0.0808723455989582</v>
      </c>
    </row>
    <row r="6167" customFormat="false" ht="17.15" hidden="false" customHeight="false" outlineLevel="0" collapsed="false">
      <c r="A6167" s="0" t="s">
        <v>1015</v>
      </c>
      <c r="B6167" s="0" t="s">
        <v>98</v>
      </c>
      <c r="F6167" s="6" t="n">
        <f aca="false">Sens!F6160*(1-tax_f)-wacc*(Sens!E6161+Sens!F6161)/2</f>
        <v>-4.61197748449741</v>
      </c>
      <c r="G6167" s="6" t="n">
        <f aca="false">Sens!G6160*(1-tax_f)-wacc*(Sens!F6161+Sens!G6161)/2</f>
        <v>2.17802117834115</v>
      </c>
      <c r="H6167" s="6" t="n">
        <f aca="false">Sens!H6160*(1-tax_f)-wacc*(Sens!G6161+Sens!H6161)/2</f>
        <v>14.9117140722107</v>
      </c>
      <c r="I6167" s="6" t="n">
        <f aca="false">Sens!I6160*(1-tax_f)-wacc*(Sens!H6161+Sens!I6161)/2</f>
        <v>24.2873238308376</v>
      </c>
      <c r="J6167" s="6" t="n">
        <f aca="false">Sens!J6160*(1-tax_f)-wacc*(Sens!I6161+Sens!J6161)/2</f>
        <v>33.9691356027017</v>
      </c>
      <c r="K6167" s="6" t="n">
        <f aca="false">Sens!K6160*(1-tax_f)-wacc*(Sens!J6161+Sens!K6161)/2</f>
        <v>43.5709223973881</v>
      </c>
    </row>
    <row r="6168" customFormat="false" ht="17.15" hidden="false" customHeight="false" outlineLevel="0" collapsed="false">
      <c r="A6168" s="3" t="s">
        <v>1633</v>
      </c>
    </row>
    <row r="6169" customFormat="false" ht="15" hidden="false" customHeight="false" outlineLevel="0" collapsed="false">
      <c r="A6169" s="4" t="s">
        <v>43</v>
      </c>
      <c r="B6169" s="4" t="s">
        <v>65</v>
      </c>
      <c r="C6169" s="23" t="s">
        <v>938</v>
      </c>
      <c r="D6169" s="23" t="s">
        <v>939</v>
      </c>
      <c r="E6169" s="23" t="s">
        <v>940</v>
      </c>
      <c r="F6169" s="23" t="s">
        <v>941</v>
      </c>
      <c r="G6169" s="23" t="s">
        <v>942</v>
      </c>
      <c r="H6169" s="23" t="s">
        <v>943</v>
      </c>
      <c r="I6169" s="23" t="s">
        <v>944</v>
      </c>
      <c r="J6169" s="23" t="s">
        <v>945</v>
      </c>
      <c r="K6169" s="23" t="s">
        <v>946</v>
      </c>
      <c r="L6169" s="4" t="s">
        <v>47</v>
      </c>
    </row>
    <row r="6170" customFormat="false" ht="15" hidden="false" customHeight="false" outlineLevel="0" collapsed="false">
      <c r="A6170" s="1" t="s">
        <v>1076</v>
      </c>
      <c r="B6170" s="0" t="s">
        <v>98</v>
      </c>
      <c r="F6170" s="6" t="n">
        <f aca="false">Sens!F6151</f>
        <v>147.835982916512</v>
      </c>
      <c r="G6170" s="6" t="n">
        <f aca="false">Sens!G6151</f>
        <v>169.078999664599</v>
      </c>
      <c r="H6170" s="6" t="n">
        <f aca="false">Sens!H6151</f>
        <v>197.835075503589</v>
      </c>
      <c r="I6170" s="6" t="n">
        <f aca="false">Sens!I6151</f>
        <v>219.910143429295</v>
      </c>
      <c r="J6170" s="6" t="n">
        <f aca="false">Sens!J6151</f>
        <v>239.049165873506</v>
      </c>
      <c r="K6170" s="6" t="n">
        <f aca="false">Sens!K6151</f>
        <v>256.446942216741</v>
      </c>
    </row>
    <row r="6171" customFormat="false" ht="17.15" hidden="false" customHeight="false" outlineLevel="0" collapsed="false">
      <c r="A6171" s="1" t="s">
        <v>1098</v>
      </c>
      <c r="B6171" s="0" t="s">
        <v>98</v>
      </c>
      <c r="E6171" s="6" t="n">
        <f aca="false">Q!M38-Sens!E6089</f>
        <v>22.2285940229167</v>
      </c>
      <c r="F6171" s="6" t="n">
        <f aca="false">Sens!E6171*(1-1/life_nonai)+(Sens!F6179+Sens!F6180)/life_nonai</f>
        <v>23.580344216413</v>
      </c>
      <c r="G6171" s="6" t="n">
        <f aca="false">Sens!F6171*(1-1/life_nonai)+(Sens!G6179)/life_nonai</f>
        <v>25.3767845268657</v>
      </c>
      <c r="H6171" s="6" t="n">
        <f aca="false">Sens!G6171*(1-1/life_nonai)+(Sens!H6179)/life_nonai</f>
        <v>27.5895447252255</v>
      </c>
      <c r="I6171" s="6" t="n">
        <f aca="false">Sens!H6171*(1-1/life_nonai)+(Sens!I6179)/life_nonai</f>
        <v>30.142292761365</v>
      </c>
      <c r="J6171" s="6" t="n">
        <f aca="false">Sens!I6171*(1-1/life_nonai)+(Sens!J6179)/life_nonai</f>
        <v>32.9430254672895</v>
      </c>
      <c r="K6171" s="6" t="n">
        <f aca="false">Sens!J6171*(1-1/life_nonai)+(Sens!K6179)/life_nonai</f>
        <v>35.9073637302674</v>
      </c>
      <c r="L6171" s="12" t="s">
        <v>1099</v>
      </c>
    </row>
    <row r="6172" customFormat="false" ht="17.15" hidden="false" customHeight="false" outlineLevel="0" collapsed="false">
      <c r="A6172" s="1" t="s">
        <v>1100</v>
      </c>
      <c r="B6172" s="0" t="s">
        <v>98</v>
      </c>
      <c r="F6172" s="6" t="n">
        <f aca="false">Sens!$F$6180/life_nonai*(1-1/life_nonai)^(Sens!F6052-2027)</f>
        <v>0.007583188888173</v>
      </c>
      <c r="G6172" s="6" t="n">
        <f aca="false">Sens!$F$6180/life_nonai*(1-1/life_nonai)^(Sens!G6052-2027)</f>
        <v>0.0068248699993557</v>
      </c>
      <c r="H6172" s="6" t="n">
        <f aca="false">Sens!$F$6180/life_nonai*(1-1/life_nonai)^(Sens!H6052-2027)</f>
        <v>0.00614238299942013</v>
      </c>
      <c r="I6172" s="6" t="n">
        <f aca="false">Sens!$F$6180/life_nonai*(1-1/life_nonai)^(Sens!I6052-2027)</f>
        <v>0.00552814469947812</v>
      </c>
      <c r="J6172" s="6" t="n">
        <f aca="false">Sens!$F$6180/life_nonai*(1-1/life_nonai)^(Sens!J6052-2027)</f>
        <v>0.0049753302295303</v>
      </c>
      <c r="K6172" s="6" t="n">
        <f aca="false">Sens!$F$6180/life_nonai*(1-1/life_nonai)^(Sens!K6052-2027)</f>
        <v>0.00447779720657727</v>
      </c>
      <c r="L6172" s="1" t="s">
        <v>1101</v>
      </c>
    </row>
    <row r="6173" customFormat="false" ht="17.15" hidden="false" customHeight="false" outlineLevel="0" collapsed="false">
      <c r="A6173" s="1" t="s">
        <v>1102</v>
      </c>
      <c r="B6173" s="0" t="s">
        <v>98</v>
      </c>
      <c r="E6173" s="6" t="n">
        <f aca="false">Sens!E6089+Sens!E6171</f>
        <v>38.534</v>
      </c>
      <c r="F6173" s="6" t="n">
        <f aca="false">Sens!F6089+Sens!F6171</f>
        <v>58.1596586947647</v>
      </c>
      <c r="G6173" s="6" t="n">
        <f aca="false">Sens!G6089+Sens!G6171</f>
        <v>86.1112751791646</v>
      </c>
      <c r="H6173" s="6" t="n">
        <f aca="false">Sens!H6089+Sens!H6171</f>
        <v>116.689635386671</v>
      </c>
      <c r="I6173" s="6" t="n">
        <f aca="false">Sens!I6089+Sens!I6171</f>
        <v>144.373302455913</v>
      </c>
      <c r="J6173" s="6" t="n">
        <f aca="false">Sens!J6089+Sens!J6171</f>
        <v>164.958698516886</v>
      </c>
      <c r="K6173" s="6" t="n">
        <f aca="false">Sens!K6089+Sens!K6171</f>
        <v>178.920033281201</v>
      </c>
    </row>
    <row r="6174" customFormat="false" ht="17.15" hidden="false" customHeight="false" outlineLevel="0" collapsed="false">
      <c r="A6174" s="1" t="s">
        <v>1103</v>
      </c>
      <c r="B6174" s="0" t="s">
        <v>98</v>
      </c>
      <c r="F6174" s="6" t="n">
        <f aca="false">Sens!F6116*sbc_r</f>
        <v>15.0868387040028</v>
      </c>
      <c r="G6174" s="6" t="n">
        <f aca="false">Sens!G6116*sbc_r</f>
        <v>18.4337096019652</v>
      </c>
      <c r="H6174" s="6" t="n">
        <f aca="false">Sens!H6116*sbc_r</f>
        <v>22.039920245885</v>
      </c>
      <c r="I6174" s="6" t="n">
        <f aca="false">Sens!I6116*sbc_r</f>
        <v>25.112628738662</v>
      </c>
      <c r="J6174" s="6" t="n">
        <f aca="false">Sens!J6116*sbc_r</f>
        <v>27.5860530830021</v>
      </c>
      <c r="K6174" s="6" t="n">
        <f aca="false">Sens!K6116*sbc_r</f>
        <v>29.5597050210143</v>
      </c>
    </row>
    <row r="6175" customFormat="false" ht="17.15" hidden="false" customHeight="false" outlineLevel="0" collapsed="false">
      <c r="A6175" s="1" t="s">
        <v>1104</v>
      </c>
      <c r="B6175" s="0" t="s">
        <v>98</v>
      </c>
      <c r="F6175" s="6" t="n">
        <f aca="false">wc27-wc26q1</f>
        <v>-4.677</v>
      </c>
      <c r="G6175" s="6" t="n">
        <f aca="false">wc_f</f>
        <v>0</v>
      </c>
      <c r="H6175" s="6" t="n">
        <f aca="false">wc_f</f>
        <v>0</v>
      </c>
      <c r="I6175" s="6" t="n">
        <f aca="false">wc_f</f>
        <v>0</v>
      </c>
      <c r="J6175" s="6" t="n">
        <f aca="false">wc_f</f>
        <v>0</v>
      </c>
      <c r="K6175" s="6" t="n">
        <f aca="false">wc_f</f>
        <v>0</v>
      </c>
      <c r="L6175" s="12" t="s">
        <v>1105</v>
      </c>
    </row>
    <row r="6176" customFormat="false" ht="17.15" hidden="false" customHeight="false" outlineLevel="0" collapsed="false">
      <c r="A6176" s="0" t="s">
        <v>1106</v>
      </c>
      <c r="B6176" s="0" t="s">
        <v>98</v>
      </c>
      <c r="F6176" s="6" t="n">
        <f aca="false">Q!$I$35-Q!$I$26-Q!$I$38-Q!$I$39</f>
        <v>6.493</v>
      </c>
      <c r="L6176" s="1" t="s">
        <v>1107</v>
      </c>
    </row>
    <row r="6177" customFormat="false" ht="15" hidden="false" customHeight="false" outlineLevel="0" collapsed="false">
      <c r="A6177" s="1" t="s">
        <v>904</v>
      </c>
      <c r="B6177" s="0" t="s">
        <v>98</v>
      </c>
      <c r="E6177" s="6" t="n">
        <f aca="false">Q!M35</f>
        <v>182.935</v>
      </c>
      <c r="F6177" s="6" t="n">
        <f aca="false">Sens!F6170+Sens!F6173+Sens!F6174+Sens!F6175+Sens!F6176</f>
        <v>222.89848031528</v>
      </c>
      <c r="G6177" s="6" t="n">
        <f aca="false">Sens!G6170+Sens!G6173+Sens!G6174+Sens!G6175</f>
        <v>273.623984445728</v>
      </c>
      <c r="H6177" s="6" t="n">
        <f aca="false">Sens!H6170+Sens!H6173+Sens!H6174+Sens!H6175</f>
        <v>336.564631136145</v>
      </c>
      <c r="I6177" s="6" t="n">
        <f aca="false">Sens!I6170+Sens!I6173+Sens!I6174+Sens!I6175</f>
        <v>389.39607462387</v>
      </c>
      <c r="J6177" s="6" t="n">
        <f aca="false">Sens!J6170+Sens!J6173+Sens!J6174+Sens!J6175</f>
        <v>431.593917473393</v>
      </c>
      <c r="K6177" s="6" t="n">
        <f aca="false">Sens!K6170+Sens!K6173+Sens!K6174+Sens!K6175</f>
        <v>464.926680518957</v>
      </c>
    </row>
    <row r="6178" customFormat="false" ht="17.15" hidden="false" customHeight="false" outlineLevel="0" collapsed="false">
      <c r="A6178" s="0" t="s">
        <v>1108</v>
      </c>
      <c r="B6178" s="0" t="s">
        <v>98</v>
      </c>
      <c r="F6178" s="6" t="n">
        <f aca="false">Sens!F6086</f>
        <v>168.45390404212</v>
      </c>
      <c r="G6178" s="6" t="n">
        <f aca="false">Sens!G6086</f>
        <v>191.944475649048</v>
      </c>
      <c r="H6178" s="6" t="n">
        <f aca="false">Sens!H6086</f>
        <v>196.806004064512</v>
      </c>
      <c r="I6178" s="6" t="n">
        <f aca="false">Sens!I6086</f>
        <v>168.61483362161</v>
      </c>
      <c r="J6178" s="6" t="n">
        <f aca="false">Sens!J6086</f>
        <v>128.92993119594</v>
      </c>
      <c r="K6178" s="6" t="n">
        <f aca="false">Sens!K6086</f>
        <v>118.962853064733</v>
      </c>
    </row>
    <row r="6179" customFormat="false" ht="17.15" hidden="false" customHeight="false" outlineLevel="0" collapsed="false">
      <c r="A6179" s="1" t="s">
        <v>1109</v>
      </c>
      <c r="B6179" s="0" t="s">
        <v>98</v>
      </c>
      <c r="E6179" s="6" t="n">
        <f aca="false">Sens!E6094*cx_azo+Sens!E6101*cx_m365+Sens!E6102*cx_lic+(Sens!E6104+Sens!E6106)*cx_ind+Sens!E6109*cx_srch+(Sens!E6111+Sens!E6113)*cx_dev</f>
        <v>30.1846587067718</v>
      </c>
      <c r="F6179" s="6" t="n">
        <f aca="false">Sens!F6094*cx_azo+Sens!F6101*cx_m365+Sens!F6102*cx_lic+(Sens!F6104+Sens!F6106)*cx_ind+Sens!F6109*cx_srch+(Sens!F6111+Sens!F6113)*cx_dev</f>
        <v>35.6702640689987</v>
      </c>
      <c r="G6179" s="6" t="n">
        <f aca="false">Sens!G6094*cx_azo+Sens!G6101*cx_m365+Sens!G6102*cx_lic+(Sens!G6104+Sens!G6106)*cx_ind+Sens!G6109*cx_srch+(Sens!G6111+Sens!G6113)*cx_dev</f>
        <v>41.5447473209391</v>
      </c>
      <c r="H6179" s="6" t="n">
        <f aca="false">Sens!H6094*cx_azo+Sens!H6101*cx_m365+Sens!H6102*cx_lic+(Sens!H6104+Sens!H6106)*cx_ind+Sens!H6109*cx_srch+(Sens!H6111+Sens!H6113)*cx_dev</f>
        <v>47.5043865104637</v>
      </c>
      <c r="I6179" s="6" t="n">
        <f aca="false">Sens!I6094*cx_azo+Sens!I6101*cx_m365+Sens!I6102*cx_lic+(Sens!I6104+Sens!I6106)*cx_ind+Sens!I6109*cx_srch+(Sens!I6111+Sens!I6113)*cx_dev</f>
        <v>53.1170250866211</v>
      </c>
      <c r="J6179" s="6" t="n">
        <f aca="false">Sens!J6094*cx_azo+Sens!J6101*cx_m365+Sens!J6102*cx_lic+(Sens!J6104+Sens!J6106)*cx_ind+Sens!J6109*cx_srch+(Sens!J6111+Sens!J6113)*cx_dev</f>
        <v>58.1496198206099</v>
      </c>
      <c r="K6179" s="6" t="n">
        <f aca="false">Sens!K6094*cx_azo+Sens!K6101*cx_m365+Sens!K6102*cx_lic+(Sens!K6104+Sens!K6106)*cx_ind+Sens!K6109*cx_srch+(Sens!K6111+Sens!K6113)*cx_dev</f>
        <v>62.5864080970684</v>
      </c>
    </row>
    <row r="6180" customFormat="false" ht="17.15" hidden="false" customHeight="false" outlineLevel="0" collapsed="false">
      <c r="A6180" s="0" t="s">
        <v>1110</v>
      </c>
      <c r="B6180" s="0" t="s">
        <v>98</v>
      </c>
      <c r="F6180" s="6" t="n">
        <f aca="false">Sens!F6084</f>
        <v>0.07583188888173</v>
      </c>
      <c r="L6180" s="1" t="s">
        <v>1111</v>
      </c>
    </row>
    <row r="6181" customFormat="false" ht="17.15" hidden="false" customHeight="false" outlineLevel="0" collapsed="false">
      <c r="A6181" s="1" t="s">
        <v>1112</v>
      </c>
      <c r="B6181" s="0" t="s">
        <v>98</v>
      </c>
      <c r="E6181" s="6" t="n">
        <f aca="false">Q!M43</f>
        <v>145.3</v>
      </c>
      <c r="F6181" s="6" t="n">
        <f aca="false">Sens!F6178+Sens!F6179+Sens!F6180</f>
        <v>204.2</v>
      </c>
      <c r="G6181" s="6" t="n">
        <f aca="false">Sens!G6178+Sens!G6179</f>
        <v>233.489222969987</v>
      </c>
      <c r="H6181" s="6" t="n">
        <f aca="false">Sens!H6178+Sens!H6179</f>
        <v>244.310390574976</v>
      </c>
      <c r="I6181" s="6" t="n">
        <f aca="false">Sens!I6178+Sens!I6179</f>
        <v>221.731858708231</v>
      </c>
      <c r="J6181" s="6" t="n">
        <f aca="false">Sens!J6178+Sens!J6179</f>
        <v>187.07955101655</v>
      </c>
      <c r="K6181" s="6" t="n">
        <f aca="false">Sens!K6178+Sens!K6179</f>
        <v>181.549261161801</v>
      </c>
      <c r="L6181" s="1" t="s">
        <v>1113</v>
      </c>
    </row>
    <row r="6182" customFormat="false" ht="15" hidden="false" customHeight="false" outlineLevel="0" collapsed="false">
      <c r="A6182" s="1" t="s">
        <v>1114</v>
      </c>
      <c r="B6182" s="0" t="s">
        <v>98</v>
      </c>
      <c r="E6182" s="6" t="n">
        <f aca="false">fl_liab</f>
        <v>66.594</v>
      </c>
      <c r="F6182" s="6" t="n">
        <f aca="false">Sens!E6182-Sens!F6183</f>
        <v>62.46973</v>
      </c>
      <c r="G6182" s="6" t="n">
        <f aca="false">Sens!F6182-Sens!G6183</f>
        <v>57.98686785</v>
      </c>
      <c r="H6182" s="6" t="n">
        <f aca="false">Sens!G6182-Sens!H6183</f>
        <v>53.92827690325</v>
      </c>
      <c r="I6182" s="6" t="n">
        <f aca="false">Sens!H6182-Sens!I6183</f>
        <v>49.7850493638962</v>
      </c>
      <c r="J6182" s="6" t="n">
        <f aca="false">Sens!I6182-Sens!J6183</f>
        <v>45.4823765852716</v>
      </c>
      <c r="K6182" s="6" t="n">
        <f aca="false">Sens!J6182-Sens!K6183</f>
        <v>40.9860835316088</v>
      </c>
    </row>
    <row r="6183" customFormat="false" ht="15" hidden="false" customHeight="false" outlineLevel="0" collapsed="false">
      <c r="A6183" s="1" t="s">
        <v>1115</v>
      </c>
      <c r="B6183" s="0" t="s">
        <v>98</v>
      </c>
      <c r="F6183" s="6" t="n">
        <f aca="false">fl_pay_27-Sens!E6182*fl_rate</f>
        <v>4.12427</v>
      </c>
      <c r="G6183" s="6" t="n">
        <f aca="false">fl_pay_28-Sens!F6182*fl_rate</f>
        <v>4.48286215</v>
      </c>
      <c r="H6183" s="6" t="n">
        <f aca="false">fl_pay_29-Sens!G6182*fl_rate</f>
        <v>4.05859094675</v>
      </c>
      <c r="I6183" s="6" t="n">
        <f aca="false">fl_pay_30-Sens!H6182*fl_rate</f>
        <v>4.14322753935375</v>
      </c>
      <c r="J6183" s="6" t="n">
        <f aca="false">fl_pay_31-Sens!I6182*fl_rate</f>
        <v>4.30267277862467</v>
      </c>
      <c r="K6183" s="6" t="n">
        <f aca="false">fl_pay_32-Sens!J6182*fl_rate</f>
        <v>4.49629305366278</v>
      </c>
    </row>
    <row r="6184" customFormat="false" ht="17.15" hidden="false" customHeight="false" outlineLevel="0" collapsed="false">
      <c r="A6184" s="1" t="s">
        <v>1116</v>
      </c>
      <c r="B6184" s="0" t="s">
        <v>98</v>
      </c>
      <c r="E6184" s="6" t="n">
        <f aca="false">Q!M35-Q!M36-Q!M44</f>
        <v>63.886</v>
      </c>
      <c r="F6184" s="6" t="n">
        <f aca="false">Sens!F6177-Sens!F6181-Sens!F6183</f>
        <v>14.5742103152796</v>
      </c>
      <c r="G6184" s="6" t="n">
        <f aca="false">Sens!G6177-Sens!G6181-Sens!G6183</f>
        <v>35.6518993257412</v>
      </c>
      <c r="H6184" s="6" t="n">
        <f aca="false">Sens!H6177-Sens!H6181-Sens!H6183</f>
        <v>88.1956496144192</v>
      </c>
      <c r="I6184" s="6" t="n">
        <f aca="false">Sens!I6177-Sens!I6181-Sens!I6183</f>
        <v>163.520988376285</v>
      </c>
      <c r="J6184" s="6" t="n">
        <f aca="false">Sens!J6177-Sens!J6181-Sens!J6183</f>
        <v>240.211693678218</v>
      </c>
      <c r="K6184" s="6" t="n">
        <f aca="false">Sens!K6177-Sens!K6181-Sens!K6183</f>
        <v>278.881126303493</v>
      </c>
      <c r="L6184" s="12" t="s">
        <v>1117</v>
      </c>
    </row>
    <row r="6185" customFormat="false" ht="15" hidden="false" customHeight="false" outlineLevel="0" collapsed="false">
      <c r="A6185" s="1" t="s">
        <v>1118</v>
      </c>
      <c r="B6185" s="0" t="s">
        <v>75</v>
      </c>
      <c r="F6185" s="8" t="n">
        <f aca="false">dps_27</f>
        <v>3.85</v>
      </c>
      <c r="G6185" s="8" t="n">
        <f aca="false">Sens!F6185*(1+dps_g)</f>
        <v>4.158</v>
      </c>
      <c r="H6185" s="8" t="n">
        <f aca="false">Sens!G6185*(1+dps_g)</f>
        <v>4.49064</v>
      </c>
      <c r="I6185" s="8" t="n">
        <f aca="false">Sens!H6185*(1+dps_g)</f>
        <v>4.8498912</v>
      </c>
      <c r="J6185" s="8" t="n">
        <f aca="false">Sens!I6185*(1+dps_g)</f>
        <v>5.237882496</v>
      </c>
      <c r="K6185" s="8" t="n">
        <f aca="false">Sens!J6185*(1+dps_g)</f>
        <v>5.65691309568</v>
      </c>
    </row>
    <row r="6186" customFormat="false" ht="17.15" hidden="false" customHeight="false" outlineLevel="0" collapsed="false">
      <c r="A6186" s="1" t="s">
        <v>1119</v>
      </c>
      <c r="B6186" s="0" t="s">
        <v>98</v>
      </c>
      <c r="E6186" s="6" t="n">
        <f aca="false">Q!M41</f>
        <v>26.445</v>
      </c>
      <c r="F6186" s="6" t="n">
        <f aca="false">Sens!F6185*Sens!E6195</f>
        <v>28.59395</v>
      </c>
      <c r="G6186" s="6" t="n">
        <f aca="false">Sens!G6185*Sens!F6195</f>
        <v>31.041652311109</v>
      </c>
      <c r="H6186" s="6" t="n">
        <f aca="false">Sens!H6185*Sens!G6195</f>
        <v>33.6923261524982</v>
      </c>
      <c r="I6186" s="6" t="n">
        <f aca="false">Sens!I6185*Sens!H6195</f>
        <v>36.4381505217707</v>
      </c>
      <c r="J6186" s="6" t="n">
        <f aca="false">Sens!J6185*Sens!I6195</f>
        <v>39.421100448905</v>
      </c>
      <c r="K6186" s="6" t="n">
        <f aca="false">Sens!K6185*Sens!J6195</f>
        <v>42.6615427471956</v>
      </c>
      <c r="L6186" s="1" t="s">
        <v>1120</v>
      </c>
    </row>
    <row r="6187" customFormat="false" ht="15" hidden="false" customHeight="false" outlineLevel="0" collapsed="false">
      <c r="A6187" s="1" t="s">
        <v>1121</v>
      </c>
      <c r="B6187" s="0" t="s">
        <v>98</v>
      </c>
      <c r="E6187" s="6" t="n">
        <f aca="false">Sens!E6184-Sens!E6186</f>
        <v>37.441</v>
      </c>
      <c r="F6187" s="6" t="n">
        <f aca="false">Sens!F6184-Sens!F6186</f>
        <v>-14.0197396847204</v>
      </c>
      <c r="G6187" s="6" t="n">
        <f aca="false">Sens!G6184-Sens!G6186</f>
        <v>4.61024701463229</v>
      </c>
      <c r="H6187" s="6" t="n">
        <f aca="false">Sens!H6184-Sens!H6186</f>
        <v>54.503323461921</v>
      </c>
      <c r="I6187" s="6" t="n">
        <f aca="false">Sens!I6184-Sens!I6186</f>
        <v>127.082837854514</v>
      </c>
      <c r="J6187" s="6" t="n">
        <f aca="false">Sens!J6184-Sens!J6186</f>
        <v>200.790593229313</v>
      </c>
      <c r="K6187" s="6" t="n">
        <f aca="false">Sens!K6184-Sens!K6186</f>
        <v>236.219583556297</v>
      </c>
    </row>
    <row r="6188" customFormat="false" ht="15" hidden="false" customHeight="false" outlineLevel="0" collapsed="false">
      <c r="A6188" s="1" t="s">
        <v>1122</v>
      </c>
      <c r="B6188" s="0" t="s">
        <v>98</v>
      </c>
      <c r="F6188" s="6" t="n">
        <f aca="false">debt_mat_27</f>
        <v>9.25</v>
      </c>
      <c r="G6188" s="6" t="n">
        <f aca="false">debt_mat_28</f>
        <v>0</v>
      </c>
      <c r="H6188" s="6" t="n">
        <f aca="false">debt_mat_29</f>
        <v>2.001</v>
      </c>
      <c r="I6188" s="6" t="n">
        <f aca="false">debt_mat_30</f>
        <v>0</v>
      </c>
      <c r="J6188" s="6" t="n">
        <f aca="false">debt_mat_31</f>
        <v>0.5</v>
      </c>
      <c r="K6188" s="6" t="n">
        <f aca="false">debt_mat_32</f>
        <v>0</v>
      </c>
    </row>
    <row r="6189" customFormat="false" ht="15" hidden="false" customHeight="false" outlineLevel="0" collapsed="false">
      <c r="A6189" s="1" t="s">
        <v>1123</v>
      </c>
      <c r="B6189" s="0" t="s">
        <v>98</v>
      </c>
      <c r="E6189" s="6" t="n">
        <f aca="false">Q!M40</f>
        <v>22.271</v>
      </c>
      <c r="F6189" s="6" t="n">
        <f aca="false">MAX(0,MIN(bb_target,Sens!E6191+Sens!F6187-Sens!F6188-min_cash))</f>
        <v>3.57326031527963</v>
      </c>
      <c r="G6189" s="6" t="n">
        <f aca="false">MAX(0,MIN(bb_target,Sens!F6191+Sens!G6187-Sens!G6188-min_cash))</f>
        <v>4.61024701463229</v>
      </c>
      <c r="H6189" s="6" t="n">
        <f aca="false">MAX(0,MIN(bb_target,Sens!G6191+Sens!H6187-Sens!H6188-min_cash))</f>
        <v>22.271</v>
      </c>
      <c r="I6189" s="6" t="n">
        <f aca="false">MAX(0,MIN(bb_target,Sens!H6191+Sens!I6187-Sens!I6188-min_cash))</f>
        <v>22.271</v>
      </c>
      <c r="J6189" s="6" t="n">
        <f aca="false">MAX(0,MIN(bb_target,Sens!I6191+Sens!J6187-Sens!J6188-min_cash))</f>
        <v>22.271</v>
      </c>
      <c r="K6189" s="6" t="n">
        <f aca="false">MAX(0,MIN(bb_target,Sens!J6191+Sens!K6187-Sens!K6188-min_cash))</f>
        <v>22.271</v>
      </c>
    </row>
    <row r="6190" customFormat="false" ht="15" hidden="false" customHeight="false" outlineLevel="0" collapsed="false">
      <c r="A6190" s="1" t="s">
        <v>1124</v>
      </c>
      <c r="B6190" s="0" t="s">
        <v>98</v>
      </c>
      <c r="F6190" s="6" t="n">
        <f aca="false">MAX(0,min_cash-(Sens!E6191+Sens!F6187-Sens!F6188-Sens!F6189))</f>
        <v>0</v>
      </c>
      <c r="G6190" s="6" t="n">
        <f aca="false">MAX(0,min_cash-(Sens!F6191+Sens!G6187-Sens!G6188-Sens!G6189))</f>
        <v>0</v>
      </c>
      <c r="H6190" s="6" t="n">
        <f aca="false">MAX(0,min_cash-(Sens!G6191+Sens!H6187-Sens!H6188-Sens!H6189))</f>
        <v>0</v>
      </c>
      <c r="I6190" s="6" t="n">
        <f aca="false">MAX(0,min_cash-(Sens!H6191+Sens!I6187-Sens!I6188-Sens!I6189))</f>
        <v>0</v>
      </c>
      <c r="J6190" s="6" t="n">
        <f aca="false">MAX(0,min_cash-(Sens!I6191+Sens!J6187-Sens!J6188-Sens!J6189))</f>
        <v>0</v>
      </c>
      <c r="K6190" s="6" t="n">
        <f aca="false">MAX(0,min_cash-(Sens!J6191+Sens!K6187-Sens!K6188-Sens!K6189))</f>
        <v>0</v>
      </c>
    </row>
    <row r="6191" customFormat="false" ht="15" hidden="false" customHeight="false" outlineLevel="0" collapsed="false">
      <c r="A6191" s="1" t="s">
        <v>1125</v>
      </c>
      <c r="B6191" s="0" t="s">
        <v>98</v>
      </c>
      <c r="E6191" s="6" t="n">
        <f aca="false">cash_open</f>
        <v>76.843</v>
      </c>
      <c r="F6191" s="6" t="n">
        <f aca="false">Sens!E6191+Sens!F6187-Sens!F6188-Sens!F6189+Sens!F6190</f>
        <v>50</v>
      </c>
      <c r="G6191" s="6" t="n">
        <f aca="false">Sens!F6191+Sens!G6187-Sens!G6188-Sens!G6189+Sens!G6190</f>
        <v>50</v>
      </c>
      <c r="H6191" s="6" t="n">
        <f aca="false">Sens!G6191+Sens!H6187-Sens!H6188-Sens!H6189+Sens!H6190</f>
        <v>80.231323461921</v>
      </c>
      <c r="I6191" s="6" t="n">
        <f aca="false">Sens!H6191+Sens!I6187-Sens!I6188-Sens!I6189+Sens!I6190</f>
        <v>185.043161316435</v>
      </c>
      <c r="J6191" s="6" t="n">
        <f aca="false">Sens!I6191+Sens!J6187-Sens!J6188-Sens!J6189+Sens!J6190</f>
        <v>363.062754545749</v>
      </c>
      <c r="K6191" s="6" t="n">
        <f aca="false">Sens!J6191+Sens!K6187-Sens!K6188-Sens!K6189+Sens!K6190</f>
        <v>577.011338102046</v>
      </c>
    </row>
    <row r="6192" customFormat="false" ht="15" hidden="false" customHeight="false" outlineLevel="0" collapsed="false">
      <c r="A6192" s="1" t="s">
        <v>1126</v>
      </c>
      <c r="B6192" s="0" t="s">
        <v>98</v>
      </c>
      <c r="E6192" s="6" t="n">
        <f aca="false">debt_face</f>
        <v>46.136</v>
      </c>
      <c r="F6192" s="6" t="n">
        <f aca="false">Sens!E6192-Sens!F6188+Sens!F6190</f>
        <v>36.886</v>
      </c>
      <c r="G6192" s="6" t="n">
        <f aca="false">Sens!F6192-Sens!G6188+Sens!G6190</f>
        <v>36.886</v>
      </c>
      <c r="H6192" s="6" t="n">
        <f aca="false">Sens!G6192-Sens!H6188+Sens!H6190</f>
        <v>34.885</v>
      </c>
      <c r="I6192" s="6" t="n">
        <f aca="false">Sens!H6192-Sens!I6188+Sens!I6190</f>
        <v>34.885</v>
      </c>
      <c r="J6192" s="6" t="n">
        <f aca="false">Sens!I6192-Sens!J6188+Sens!J6190</f>
        <v>34.385</v>
      </c>
      <c r="K6192" s="6" t="n">
        <f aca="false">Sens!J6192-Sens!K6188+Sens!K6190</f>
        <v>34.385</v>
      </c>
    </row>
    <row r="6193" customFormat="false" ht="15" hidden="false" customHeight="false" outlineLevel="0" collapsed="false">
      <c r="A6193" s="1" t="s">
        <v>1127</v>
      </c>
      <c r="B6193" s="0" t="s">
        <v>98</v>
      </c>
      <c r="E6193" s="6" t="n">
        <f aca="false">Sens!E6191-Sens!E6192</f>
        <v>30.707</v>
      </c>
      <c r="F6193" s="6" t="n">
        <f aca="false">Sens!F6191-Sens!F6192</f>
        <v>13.114</v>
      </c>
      <c r="G6193" s="6" t="n">
        <f aca="false">Sens!G6191-Sens!G6192</f>
        <v>13.114</v>
      </c>
      <c r="H6193" s="6" t="n">
        <f aca="false">Sens!H6191-Sens!H6192</f>
        <v>45.346323461921</v>
      </c>
      <c r="I6193" s="6" t="n">
        <f aca="false">Sens!I6191-Sens!I6192</f>
        <v>150.158161316435</v>
      </c>
      <c r="J6193" s="6" t="n">
        <f aca="false">Sens!J6191-Sens!J6192</f>
        <v>328.677754545749</v>
      </c>
      <c r="K6193" s="6" t="n">
        <f aca="false">Sens!K6191-Sens!K6192</f>
        <v>542.626338102046</v>
      </c>
    </row>
    <row r="6194" customFormat="false" ht="15" hidden="false" customHeight="false" outlineLevel="0" collapsed="false">
      <c r="A6194" s="1" t="s">
        <v>1128</v>
      </c>
      <c r="B6194" s="0" t="s">
        <v>75</v>
      </c>
      <c r="F6194" s="30" t="n">
        <f aca="false">px*(1+bb_g)^(Sens!F6052-base_fy-mid_yr)</f>
        <v>551.84177959629</v>
      </c>
      <c r="G6194" s="30" t="n">
        <f aca="false">px*(1+bb_g)^(Sens!G6052-base_fy-mid_yr)</f>
        <v>595.989121963993</v>
      </c>
      <c r="H6194" s="30" t="n">
        <f aca="false">px*(1+bb_g)^(Sens!H6052-base_fy-mid_yr)</f>
        <v>643.668251721112</v>
      </c>
      <c r="I6194" s="30" t="n">
        <f aca="false">px*(1+bb_g)^(Sens!I6052-base_fy-mid_yr)</f>
        <v>695.161711858801</v>
      </c>
      <c r="J6194" s="30" t="n">
        <f aca="false">px*(1+bb_g)^(Sens!J6052-base_fy-mid_yr)</f>
        <v>750.774648807506</v>
      </c>
      <c r="K6194" s="30" t="n">
        <f aca="false">px*(1+bb_g)^(Sens!K6052-base_fy-mid_yr)</f>
        <v>810.836620712106</v>
      </c>
    </row>
    <row r="6195" customFormat="false" ht="15" hidden="false" customHeight="false" outlineLevel="0" collapsed="false">
      <c r="A6195" s="1" t="s">
        <v>1129</v>
      </c>
      <c r="B6195" s="1" t="s">
        <v>81</v>
      </c>
      <c r="E6195" s="15" t="n">
        <f aca="false">sh_out26</f>
        <v>7.427</v>
      </c>
      <c r="F6195" s="15" t="n">
        <f aca="false">Sens!E6195+sh_iss-Sens!F6189/Sens!F6194</f>
        <v>7.46552484634655</v>
      </c>
      <c r="G6195" s="15" t="n">
        <f aca="false">Sens!F6195+sh_iss-Sens!G6189/Sens!G6194</f>
        <v>7.50278939137811</v>
      </c>
      <c r="H6195" s="15" t="n">
        <f aca="false">Sens!G6195+sh_iss-Sens!H6189/Sens!H6194</f>
        <v>7.51318926943571</v>
      </c>
      <c r="I6195" s="15" t="n">
        <f aca="false">Sens!H6195+sh_iss-Sens!I6189/Sens!I6194</f>
        <v>7.52615211948905</v>
      </c>
      <c r="J6195" s="15" t="n">
        <f aca="false">Sens!I6195+sh_iss-Sens!J6189/Sens!J6194</f>
        <v>7.54148809176066</v>
      </c>
      <c r="K6195" s="15" t="n">
        <f aca="false">Sens!J6195+sh_iss-Sens!K6189/Sens!K6194</f>
        <v>7.55902139941955</v>
      </c>
    </row>
    <row r="6196" customFormat="false" ht="15" hidden="false" customHeight="false" outlineLevel="0" collapsed="false">
      <c r="A6196" s="1" t="s">
        <v>1130</v>
      </c>
      <c r="B6196" s="1" t="s">
        <v>81</v>
      </c>
      <c r="E6196" s="15" t="n">
        <f aca="false">sh_dil26</f>
        <v>7.453</v>
      </c>
      <c r="F6196" s="15" t="n">
        <f aca="false">(Sens!E6195+Sens!F6195)/2+dil_gap</f>
        <v>7.47026242317327</v>
      </c>
      <c r="G6196" s="15" t="n">
        <f aca="false">(Sens!F6195+Sens!G6195)/2+dil_gap</f>
        <v>7.50815711886233</v>
      </c>
      <c r="H6196" s="15" t="n">
        <f aca="false">(Sens!G6195+Sens!H6195)/2+dil_gap</f>
        <v>7.53198933040691</v>
      </c>
      <c r="I6196" s="15" t="n">
        <f aca="false">(Sens!H6195+Sens!I6195)/2+dil_gap</f>
        <v>7.54367069446238</v>
      </c>
      <c r="J6196" s="15" t="n">
        <f aca="false">(Sens!I6195+Sens!J6195)/2+dil_gap</f>
        <v>7.55782010562485</v>
      </c>
      <c r="K6196" s="15" t="n">
        <f aca="false">(Sens!J6195+Sens!K6195)/2+dil_gap</f>
        <v>7.5742547455901</v>
      </c>
    </row>
    <row r="6197" customFormat="false" ht="17.15" hidden="false" customHeight="false" outlineLevel="0" collapsed="false">
      <c r="A6197" s="1" t="s">
        <v>1131</v>
      </c>
      <c r="B6197" s="0" t="s">
        <v>98</v>
      </c>
      <c r="C6197" s="6" t="n">
        <f aca="false">SUM(Sens!F6187:J6187)</f>
        <v>372.967261875661</v>
      </c>
    </row>
    <row r="6198" customFormat="false" ht="15" hidden="false" customHeight="false" outlineLevel="0" collapsed="false">
      <c r="A6198" s="26" t="s">
        <v>1096</v>
      </c>
      <c r="B6198" s="31" t="s">
        <v>98</v>
      </c>
      <c r="C6198" s="27" t="n">
        <f aca="false">Sens!$C$6197-(Sens!F6187+Sens!G6187+Sens!H6187+Sens!I6187+Sens!J6187)</f>
        <v>0</v>
      </c>
      <c r="D6198" s="31"/>
      <c r="E6198" s="31"/>
      <c r="F6198" s="31"/>
      <c r="G6198" s="31"/>
      <c r="H6198" s="31"/>
      <c r="I6198" s="31"/>
      <c r="J6198" s="31"/>
      <c r="K6198" s="31"/>
    </row>
    <row r="6199" customFormat="false" ht="17.15" hidden="false" customHeight="false" outlineLevel="0" collapsed="false">
      <c r="A6199" s="1" t="s">
        <v>1090</v>
      </c>
      <c r="B6199" s="1" t="s">
        <v>1132</v>
      </c>
      <c r="C6199" s="33" t="str">
        <f aca="false">IF(SUM(Sens!F6190:J6190)&gt;0.05,"需要舉債 "&amp;TEXT(SUM(Sens!F6190:J6190),"0.0")&amp;" 十億美元","不需舉債")&amp;"；"&amp;IF(SUM(Sens!F6189:J6189)&lt;COUNT(Sens!F6189:J6189)*bb_target-0.05,"回購較每年 "&amp;TEXT(bb_target,"0.0")&amp;" 的目標少 "&amp;TEXT(COUNT(Sens!F6189:J6189)*bb_target-SUM(Sens!F6189:J6189),"0.0")&amp;" 十億美元（"&amp;TEXT(COUNTIF(Sens!F6189:J6189,"&lt;"&amp;(bb_target-0.05)),"0")&amp;" 年減少）","回購不減")</f>
        <v>不需舉債；回購較每年 22.3 的目標少 36.4 十億美元（2 年減少）</v>
      </c>
    </row>
    <row r="6200" customFormat="false" ht="17.15" hidden="false" customHeight="false" outlineLevel="0" collapsed="false">
      <c r="A6200" s="3" t="s">
        <v>1634</v>
      </c>
    </row>
    <row r="6201" customFormat="false" ht="15" hidden="false" customHeight="false" outlineLevel="0" collapsed="false">
      <c r="A6201" s="4" t="s">
        <v>43</v>
      </c>
      <c r="B6201" s="4" t="s">
        <v>65</v>
      </c>
      <c r="C6201" s="23" t="s">
        <v>938</v>
      </c>
      <c r="D6201" s="23" t="s">
        <v>939</v>
      </c>
      <c r="E6201" s="23" t="s">
        <v>940</v>
      </c>
      <c r="F6201" s="23" t="s">
        <v>941</v>
      </c>
      <c r="G6201" s="23" t="s">
        <v>942</v>
      </c>
      <c r="H6201" s="23" t="s">
        <v>943</v>
      </c>
      <c r="I6201" s="23" t="s">
        <v>944</v>
      </c>
      <c r="J6201" s="23" t="s">
        <v>945</v>
      </c>
      <c r="K6201" s="23" t="s">
        <v>946</v>
      </c>
      <c r="L6201" s="4" t="s">
        <v>47</v>
      </c>
    </row>
    <row r="6202" customFormat="false" ht="17.15" hidden="false" customHeight="false" outlineLevel="0" collapsed="false">
      <c r="A6202" s="1" t="s">
        <v>1212</v>
      </c>
      <c r="B6202" s="1" t="s">
        <v>279</v>
      </c>
      <c r="F6202" s="8" t="n">
        <f aca="false">(1-v_off)*mid_yr</f>
        <v>0.373972602739726</v>
      </c>
      <c r="G6202" s="8" t="n">
        <f aca="false">Sens!G6052-base_fy-mid_yr-v_off</f>
        <v>1.24794520547945</v>
      </c>
      <c r="H6202" s="8" t="n">
        <f aca="false">Sens!H6052-base_fy-mid_yr-v_off</f>
        <v>2.24794520547945</v>
      </c>
      <c r="I6202" s="8" t="n">
        <f aca="false">Sens!I6052-base_fy-mid_yr-v_off</f>
        <v>3.24794520547945</v>
      </c>
      <c r="J6202" s="8" t="n">
        <f aca="false">Sens!J6052-base_fy-mid_yr-v_off</f>
        <v>4.24794520547945</v>
      </c>
      <c r="K6202" s="8" t="n">
        <f aca="false">Sens!K6052-base_fy-mid_yr-v_off</f>
        <v>5.24794520547945</v>
      </c>
      <c r="L6202" s="12" t="s">
        <v>1213</v>
      </c>
    </row>
    <row r="6203" customFormat="false" ht="15" hidden="false" customHeight="false" outlineLevel="0" collapsed="false">
      <c r="A6203" s="1" t="s">
        <v>1214</v>
      </c>
      <c r="B6203" s="1" t="s">
        <v>279</v>
      </c>
      <c r="F6203" s="8" t="n">
        <f aca="false">Sens!F6052-base_fy-v_off</f>
        <v>0.747945205479452</v>
      </c>
      <c r="G6203" s="8" t="n">
        <f aca="false">Sens!G6052-base_fy-v_off</f>
        <v>1.74794520547945</v>
      </c>
      <c r="H6203" s="8" t="n">
        <f aca="false">Sens!H6052-base_fy-v_off</f>
        <v>2.74794520547945</v>
      </c>
      <c r="I6203" s="8" t="n">
        <f aca="false">Sens!I6052-base_fy-v_off</f>
        <v>3.74794520547945</v>
      </c>
      <c r="J6203" s="8" t="n">
        <f aca="false">Sens!J6052-base_fy-v_off</f>
        <v>4.74794520547945</v>
      </c>
      <c r="K6203" s="8" t="n">
        <f aca="false">Sens!K6052-base_fy-v_off</f>
        <v>5.74794520547945</v>
      </c>
    </row>
    <row r="6204" customFormat="false" ht="15" hidden="false" customHeight="false" outlineLevel="0" collapsed="false">
      <c r="A6204" s="1" t="s">
        <v>1215</v>
      </c>
      <c r="B6204" s="0" t="s">
        <v>229</v>
      </c>
      <c r="F6204" s="15" t="n">
        <f aca="false">1/(1+wacc)^Sens!F6202</f>
        <v>0.964022703286649</v>
      </c>
      <c r="G6204" s="15" t="n">
        <f aca="false">1/(1+wacc)^Sens!G6202</f>
        <v>0.884910302296739</v>
      </c>
      <c r="H6204" s="15" t="n">
        <f aca="false">1/(1+wacc)^Sens!H6202</f>
        <v>0.802322009770358</v>
      </c>
      <c r="I6204" s="15" t="n">
        <f aca="false">1/(1+wacc)^Sens!I6202</f>
        <v>0.727441646561469</v>
      </c>
      <c r="J6204" s="15" t="n">
        <f aca="false">1/(1+wacc)^Sens!J6202</f>
        <v>0.659549834988973</v>
      </c>
      <c r="K6204" s="15" t="n">
        <f aca="false">1/(1+wacc)^Sens!K6202</f>
        <v>0.597994336576966</v>
      </c>
    </row>
    <row r="6205" customFormat="false" ht="17.15" hidden="false" customHeight="false" outlineLevel="0" collapsed="false">
      <c r="A6205" s="1" t="s">
        <v>1216</v>
      </c>
      <c r="B6205" s="0" t="s">
        <v>98</v>
      </c>
      <c r="F6205" s="6" t="n">
        <f aca="false">Q!$I$35-Q!$I$39-Q!$I$43</f>
        <v>9.666</v>
      </c>
      <c r="L6205" s="12" t="s">
        <v>1217</v>
      </c>
    </row>
    <row r="6206" customFormat="false" ht="17.15" hidden="false" customHeight="false" outlineLevel="0" collapsed="false">
      <c r="A6206" s="1" t="s">
        <v>1218</v>
      </c>
      <c r="B6206" s="0" t="s">
        <v>98</v>
      </c>
      <c r="F6206" s="6" t="n">
        <f aca="false">Sens!F6177-Sens!F6174-Sens!F6181+Sens!F6159*(1-tax_f)*(1-v_off)-Sens!F6205</f>
        <v>-0.738917201938941</v>
      </c>
      <c r="G6206" s="6" t="n">
        <f aca="false">Sens!G6177-Sens!G6174-Sens!G6181+Sens!G6159*(1-tax_f)</f>
        <v>39.8658762873979</v>
      </c>
      <c r="H6206" s="6" t="n">
        <f aca="false">Sens!H6177-Sens!H6174-Sens!H6181+Sens!H6159*(1-tax_f)</f>
        <v>100.61579650585</v>
      </c>
      <c r="I6206" s="6" t="n">
        <f aca="false">Sens!I6177-Sens!I6174-Sens!I6181+Sens!I6159*(1-tax_f)</f>
        <v>184.262074753391</v>
      </c>
      <c r="J6206" s="6" t="n">
        <f aca="false">Sens!J6177-Sens!J6174-Sens!J6181+Sens!J6159*(1-tax_f)</f>
        <v>266.575978888592</v>
      </c>
      <c r="K6206" s="6" t="n">
        <f aca="false">Sens!K6177-Sens!K6174-Sens!K6181+Sens!K6159*(1-tax_f)</f>
        <v>307.481819352643</v>
      </c>
      <c r="L6206" s="1" t="s">
        <v>1219</v>
      </c>
    </row>
    <row r="6207" customFormat="false" ht="15" hidden="false" customHeight="false" outlineLevel="0" collapsed="false">
      <c r="A6207" s="1" t="s">
        <v>1220</v>
      </c>
      <c r="B6207" s="0" t="s">
        <v>98</v>
      </c>
      <c r="F6207" s="6" t="n">
        <f aca="false">Sens!F6206*Sens!F6204</f>
        <v>-0.712332958518185</v>
      </c>
      <c r="G6207" s="6" t="n">
        <f aca="false">Sens!G6206*Sens!G6204</f>
        <v>35.2777246368057</v>
      </c>
      <c r="H6207" s="6" t="n">
        <f aca="false">Sens!H6206*Sens!H6204</f>
        <v>80.7262680672191</v>
      </c>
      <c r="I6207" s="6" t="n">
        <f aca="false">Sens!I6206*Sens!I6204</f>
        <v>134.039907057439</v>
      </c>
      <c r="J6207" s="6" t="n">
        <f aca="false">Sens!J6206*Sens!J6204</f>
        <v>175.820142887995</v>
      </c>
      <c r="K6207" s="6" t="n">
        <f aca="false">Sens!K6206*Sens!K6204</f>
        <v>183.872386573262</v>
      </c>
    </row>
    <row r="6208" customFormat="false" ht="17.15" hidden="false" customHeight="false" outlineLevel="0" collapsed="false">
      <c r="A6208" s="1" t="s">
        <v>1221</v>
      </c>
      <c r="B6208" s="0" t="s">
        <v>98</v>
      </c>
      <c r="C6208" s="6" t="n">
        <f aca="false">SUM(Sens!F6207:K6207)</f>
        <v>609.024096264203</v>
      </c>
    </row>
    <row r="6209" customFormat="false" ht="17.15" hidden="false" customHeight="false" outlineLevel="0" collapsed="false">
      <c r="A6209" s="1" t="s">
        <v>1222</v>
      </c>
      <c r="B6209" s="0" t="s">
        <v>98</v>
      </c>
      <c r="C6209" s="6" t="n">
        <f aca="false">Sens!K6145*(1+g_tv)*(1-tax_f)</f>
        <v>320.403178650239</v>
      </c>
    </row>
    <row r="6210" customFormat="false" ht="17.15" hidden="false" customHeight="false" outlineLevel="0" collapsed="false">
      <c r="A6210" s="1" t="s">
        <v>1223</v>
      </c>
      <c r="B6210" s="0" t="s">
        <v>98</v>
      </c>
      <c r="C6210" s="6" t="n">
        <f aca="false">Sens!$C$6209*(1-g_tv/(wacc+ronic_prem))</f>
        <v>227.024378447042</v>
      </c>
    </row>
    <row r="6211" customFormat="false" ht="17.15" hidden="false" customHeight="false" outlineLevel="0" collapsed="false">
      <c r="A6211" s="1" t="s">
        <v>1224</v>
      </c>
      <c r="B6211" s="0" t="s">
        <v>98</v>
      </c>
      <c r="C6211" s="6" t="n">
        <f aca="false">Sens!$C$6210/(wacc-g_tv)</f>
        <v>3112.62667343991</v>
      </c>
    </row>
    <row r="6212" customFormat="false" ht="15" hidden="false" customHeight="false" outlineLevel="0" collapsed="false">
      <c r="A6212" s="1" t="s">
        <v>1225</v>
      </c>
      <c r="B6212" s="0" t="s">
        <v>98</v>
      </c>
      <c r="C6212" s="6" t="n">
        <f aca="false">Sens!$C$6211/(1+wacc)^Sens!K6203</f>
        <v>1772.34732120085</v>
      </c>
    </row>
    <row r="6213" customFormat="false" ht="17.15" hidden="false" customHeight="false" outlineLevel="0" collapsed="false">
      <c r="A6213" s="0" t="s">
        <v>1226</v>
      </c>
      <c r="B6213" s="0" t="s">
        <v>98</v>
      </c>
      <c r="C6213" s="6" t="n">
        <f aca="false">Sens!$C$6208+Sens!$C$6212</f>
        <v>2381.37141746506</v>
      </c>
    </row>
    <row r="6214" customFormat="false" ht="15" hidden="false" customHeight="false" outlineLevel="0" collapsed="false">
      <c r="A6214" s="1" t="s">
        <v>1141</v>
      </c>
      <c r="B6214" s="0" t="s">
        <v>168</v>
      </c>
      <c r="C6214" s="7" t="n">
        <f aca="false">Sens!$C$6212/Sens!$C$6213</f>
        <v>0.744254889515512</v>
      </c>
    </row>
    <row r="6215" customFormat="false" ht="17.15" hidden="false" customHeight="false" outlineLevel="0" collapsed="false">
      <c r="A6215" s="1" t="s">
        <v>1227</v>
      </c>
      <c r="B6215" s="0" t="s">
        <v>98</v>
      </c>
      <c r="C6215" s="6" t="n">
        <f aca="false">Sens!$C$6213+cash_val-debt_val-fl_val+oai_v</f>
        <v>2497.22241746506</v>
      </c>
    </row>
    <row r="6216" customFormat="false" ht="17.15" hidden="false" customHeight="false" outlineLevel="0" collapsed="false">
      <c r="A6216" s="0" t="s">
        <v>1149</v>
      </c>
      <c r="B6216" s="0" t="s">
        <v>75</v>
      </c>
      <c r="C6216" s="5" t="n">
        <f aca="false">Sens!$C$6215/shd_val</f>
        <v>335.377708496516</v>
      </c>
    </row>
    <row r="6217" customFormat="false" ht="15" hidden="false" customHeight="false" outlineLevel="0" collapsed="false">
      <c r="A6217" s="1" t="s">
        <v>1228</v>
      </c>
      <c r="B6217" s="0" t="s">
        <v>75</v>
      </c>
      <c r="C6217" s="8" t="n">
        <f aca="false">div_rem27+Sens!G6185*roll_div_q/q_per_yr</f>
        <v>3.9795</v>
      </c>
    </row>
    <row r="6218" customFormat="false" ht="17.15" hidden="false" customHeight="false" outlineLevel="0" collapsed="false">
      <c r="A6218" s="0" t="s">
        <v>1229</v>
      </c>
      <c r="B6218" s="0" t="s">
        <v>75</v>
      </c>
      <c r="C6218" s="5" t="n">
        <f aca="false">Sens!$C$6216*(1+wacc)^t_roll-Sens!$C$6217</f>
        <v>368.811540673249</v>
      </c>
    </row>
    <row r="6219" customFormat="false" ht="17.15" hidden="false" customHeight="false" outlineLevel="0" collapsed="false">
      <c r="A6219" s="1" t="s">
        <v>1230</v>
      </c>
      <c r="B6219" s="0" t="s">
        <v>168</v>
      </c>
      <c r="F6219" s="7" t="n">
        <f aca="false">Sens!F6171/(Sens!F6116-Sens!F6071)</f>
        <v>0.0685808971773214</v>
      </c>
      <c r="G6219" s="7" t="n">
        <f aca="false">Sens!G6171/(Sens!G6116-Sens!G6071)</f>
        <v>0.0653763866209364</v>
      </c>
      <c r="H6219" s="7" t="n">
        <f aca="false">Sens!H6171/(Sens!H6116-Sens!H6071)</f>
        <v>0.0636755510055312</v>
      </c>
      <c r="I6219" s="7" t="n">
        <f aca="false">Sens!I6171/(Sens!I6116-Sens!I6071)</f>
        <v>0.0633651632998055</v>
      </c>
      <c r="J6219" s="7" t="n">
        <f aca="false">Sens!J6171/(Sens!J6116-Sens!J6071)</f>
        <v>0.064089738763098</v>
      </c>
      <c r="K6219" s="7" t="n">
        <f aca="false">Sens!K6171/(Sens!K6116-Sens!K6071)</f>
        <v>0.0653943426978465</v>
      </c>
    </row>
    <row r="6220" customFormat="false" ht="17.15" hidden="false" customHeight="false" outlineLevel="0" collapsed="false">
      <c r="A6220" s="0" t="s">
        <v>1231</v>
      </c>
      <c r="B6220" s="0" t="s">
        <v>98</v>
      </c>
      <c r="F6220" s="6" t="n">
        <f aca="false">Sens!F6101*(al_m365+Sens!F6219+sbc_r)</f>
        <v>84.5247630327216</v>
      </c>
      <c r="G6220" s="6" t="n">
        <f aca="false">Sens!G6101*(al_m365+Sens!G6219+sbc_r)</f>
        <v>98.9527450265959</v>
      </c>
      <c r="H6220" s="6" t="n">
        <f aca="false">Sens!H6101*(al_m365+Sens!H6219+sbc_r)</f>
        <v>113.545785850453</v>
      </c>
      <c r="I6220" s="6" t="n">
        <f aca="false">Sens!I6101*(al_m365+Sens!I6219+sbc_r)</f>
        <v>126.621863168487</v>
      </c>
      <c r="J6220" s="6" t="n">
        <f aca="false">Sens!J6101*(al_m365+Sens!J6219+sbc_r)</f>
        <v>137.995121108406</v>
      </c>
      <c r="K6220" s="6" t="n">
        <f aca="false">Sens!K6101*(al_m365+Sens!K6219+sbc_r)</f>
        <v>148.988825366123</v>
      </c>
      <c r="L6220" s="12" t="s">
        <v>1232</v>
      </c>
    </row>
    <row r="6221" customFormat="false" ht="17.15" hidden="false" customHeight="false" outlineLevel="0" collapsed="false">
      <c r="A6221" s="0" t="s">
        <v>1233</v>
      </c>
      <c r="B6221" s="0" t="s">
        <v>98</v>
      </c>
      <c r="F6221" s="6" t="n">
        <f aca="false">Sens!F6102*(al_lic+Sens!F6219+sbc_r)</f>
        <v>32.8562813758379</v>
      </c>
      <c r="G6221" s="6" t="n">
        <f aca="false">Sens!G6102*(al_lic+Sens!G6219+sbc_r)</f>
        <v>34.1193430064005</v>
      </c>
      <c r="H6221" s="6" t="n">
        <f aca="false">Sens!H6102*(al_lic+Sens!H6219+sbc_r)</f>
        <v>35.3029563753405</v>
      </c>
      <c r="I6221" s="6" t="n">
        <f aca="false">Sens!I6102*(al_lic+Sens!I6219+sbc_r)</f>
        <v>36.390148579996</v>
      </c>
      <c r="J6221" s="6" t="n">
        <f aca="false">Sens!J6102*(al_lic+Sens!J6219+sbc_r)</f>
        <v>37.3530157446157</v>
      </c>
      <c r="K6221" s="6" t="n">
        <f aca="false">Sens!K6102*(al_lic+Sens!K6219+sbc_r)</f>
        <v>38.1584520133565</v>
      </c>
    </row>
    <row r="6222" customFormat="false" ht="17.15" hidden="false" customHeight="false" outlineLevel="0" collapsed="false">
      <c r="A6222" s="0" t="s">
        <v>1234</v>
      </c>
      <c r="B6222" s="0" t="s">
        <v>98</v>
      </c>
      <c r="F6222" s="6" t="n">
        <f aca="false">Sens!F6104*(al_ind+Sens!F6219+sbc_r)</f>
        <v>9.05955405064474</v>
      </c>
      <c r="G6222" s="6" t="n">
        <f aca="false">Sens!G6104*(al_ind+Sens!G6219+sbc_r)</f>
        <v>9.82504333385471</v>
      </c>
      <c r="H6222" s="6" t="n">
        <f aca="false">Sens!H6104*(al_ind+Sens!H6219+sbc_r)</f>
        <v>10.6380768377015</v>
      </c>
      <c r="I6222" s="6" t="n">
        <f aca="false">Sens!I6104*(al_ind+Sens!I6219+sbc_r)</f>
        <v>11.4968347192599</v>
      </c>
      <c r="J6222" s="6" t="n">
        <f aca="false">Sens!J6104*(al_ind+Sens!J6219+sbc_r)</f>
        <v>12.3904383445068</v>
      </c>
      <c r="K6222" s="6" t="n">
        <f aca="false">Sens!K6104*(al_ind+Sens!K6219+sbc_r)</f>
        <v>13.3008507968243</v>
      </c>
    </row>
    <row r="6223" customFormat="false" ht="17.15" hidden="false" customHeight="false" outlineLevel="0" collapsed="false">
      <c r="A6223" s="0" t="s">
        <v>1235</v>
      </c>
      <c r="B6223" s="0" t="s">
        <v>98</v>
      </c>
      <c r="F6223" s="6" t="n">
        <f aca="false">Sens!F6106*(al_fro+Sens!F6219+sbc_r)</f>
        <v>3.55369099794405</v>
      </c>
      <c r="G6223" s="6" t="n">
        <f aca="false">Sens!G6106*(al_fro+Sens!G6219+sbc_r)</f>
        <v>3.75934953162771</v>
      </c>
      <c r="H6223" s="6" t="n">
        <f aca="false">Sens!H6106*(al_fro+Sens!H6219+sbc_r)</f>
        <v>3.99509714050592</v>
      </c>
      <c r="I6223" s="6" t="n">
        <f aca="false">Sens!I6106*(al_fro+Sens!I6219+sbc_r)</f>
        <v>4.26403776953937</v>
      </c>
      <c r="J6223" s="6" t="n">
        <f aca="false">Sens!J6106*(al_fro+Sens!J6219+sbc_r)</f>
        <v>4.56680624126115</v>
      </c>
      <c r="K6223" s="6" t="n">
        <f aca="false">Sens!K6106*(al_fro+Sens!K6219+sbc_r)</f>
        <v>4.90236154235417</v>
      </c>
    </row>
    <row r="6224" customFormat="false" ht="17.15" hidden="false" customHeight="false" outlineLevel="0" collapsed="false">
      <c r="A6224" s="0" t="s">
        <v>1236</v>
      </c>
      <c r="B6224" s="0" t="s">
        <v>98</v>
      </c>
      <c r="F6224" s="6" t="n">
        <f aca="false">Sens!F6109*(al_srch+Sens!F6219+sbc_r)</f>
        <v>11.1880245934504</v>
      </c>
      <c r="G6224" s="6" t="n">
        <f aca="false">Sens!G6109*(al_srch+Sens!G6219+sbc_r)</f>
        <v>12.2478424908254</v>
      </c>
      <c r="H6224" s="6" t="n">
        <f aca="false">Sens!H6109*(al_srch+Sens!H6219+sbc_r)</f>
        <v>13.3557089174212</v>
      </c>
      <c r="I6224" s="6" t="n">
        <f aca="false">Sens!I6109*(al_srch+Sens!I6219+sbc_r)</f>
        <v>14.5026698408859</v>
      </c>
      <c r="J6224" s="6" t="n">
        <f aca="false">Sens!J6109*(al_srch+Sens!J6219+sbc_r)</f>
        <v>15.6673681020895</v>
      </c>
      <c r="K6224" s="6" t="n">
        <f aca="false">Sens!K6109*(al_srch+Sens!K6219+sbc_r)</f>
        <v>16.8185595788227</v>
      </c>
    </row>
    <row r="6225" customFormat="false" ht="17.15" hidden="false" customHeight="false" outlineLevel="0" collapsed="false">
      <c r="A6225" s="0" t="s">
        <v>1237</v>
      </c>
      <c r="B6225" s="0" t="s">
        <v>98</v>
      </c>
      <c r="F6225" s="6" t="n">
        <f aca="false">Sens!F6077-Sens!F6078+Sens!F6159</f>
        <v>46.0216197155863</v>
      </c>
      <c r="G6225" s="6" t="n">
        <f aca="false">Sens!G6077-Sens!G6078+Sens!G6159</f>
        <v>92.5799920711294</v>
      </c>
      <c r="H6225" s="6" t="n">
        <f aca="false">Sens!H6077-Sens!H6078+Sens!H6159</f>
        <v>147.094834604697</v>
      </c>
      <c r="I6225" s="6" t="n">
        <f aca="false">Sens!I6077-Sens!I6078+Sens!I6159</f>
        <v>190.519406835174</v>
      </c>
      <c r="J6225" s="6" t="n">
        <f aca="false">Sens!J6077-Sens!J6078+Sens!J6159</f>
        <v>221.137307882777</v>
      </c>
      <c r="K6225" s="6" t="n">
        <f aca="false">Sens!K6077-Sens!K6078+Sens!K6159</f>
        <v>239.821453630452</v>
      </c>
    </row>
    <row r="6226" customFormat="false" ht="17.15" hidden="false" customHeight="false" outlineLevel="0" collapsed="false">
      <c r="A6226" s="0" t="s">
        <v>1238</v>
      </c>
      <c r="B6226" s="0" t="s">
        <v>98</v>
      </c>
      <c r="F6226" s="6" t="n">
        <f aca="false">Sens!F6138+Sens!F6159+Sens!F6089+Sens!F6219*(Sens!F6108-Sens!F6071)+sbc_r*Sens!F6108</f>
        <v>241.322482763963</v>
      </c>
      <c r="G6226" s="6" t="n">
        <f aca="false">Sens!G6138+Sens!G6159+Sens!G6089+Sens!G6219*(Sens!G6108-Sens!G6071)+sbc_r*Sens!G6108</f>
        <v>313.357964942324</v>
      </c>
      <c r="H6226" s="6" t="n">
        <f aca="false">Sens!H6138+Sens!H6159+Sens!H6089+Sens!H6219*(Sens!H6108-Sens!H6071)+sbc_r*Sens!H6108</f>
        <v>397.927514797471</v>
      </c>
      <c r="I6226" s="6" t="n">
        <f aca="false">Sens!I6138+Sens!I6159+Sens!I6089+Sens!I6219*(Sens!I6108-Sens!I6071)+sbc_r*Sens!I6108</f>
        <v>469.311668632277</v>
      </c>
      <c r="J6226" s="6" t="n">
        <f aca="false">Sens!J6138+Sens!J6159+Sens!J6089+Sens!J6219*(Sens!J6108-Sens!J6071)+sbc_r*Sens!J6108</f>
        <v>524.906277686814</v>
      </c>
      <c r="K6226" s="6" t="n">
        <f aca="false">Sens!K6138+Sens!K6159+Sens!K6089+Sens!K6219*(Sens!K6108-Sens!K6071)+sbc_r*Sens!K6108</f>
        <v>566.136916802978</v>
      </c>
    </row>
    <row r="6227" customFormat="false" ht="17.15" hidden="false" customHeight="false" outlineLevel="0" collapsed="false">
      <c r="A6227" s="0" t="s">
        <v>1239</v>
      </c>
      <c r="B6227" s="0" t="s">
        <v>98</v>
      </c>
      <c r="F6227" s="6" t="n">
        <f aca="false">Sens!F6226-Sens!F6220-Sens!F6221-Sens!F6222-Sens!F6223-Sens!F6225</f>
        <v>65.3065735912284</v>
      </c>
      <c r="G6227" s="6" t="n">
        <f aca="false">Sens!G6226-Sens!G6220-Sens!G6221-Sens!G6222-Sens!G6223-Sens!G6225</f>
        <v>74.1214919727154</v>
      </c>
      <c r="H6227" s="6" t="n">
        <f aca="false">Sens!H6226-Sens!H6220-Sens!H6221-Sens!H6222-Sens!H6223-Sens!H6225</f>
        <v>87.3507639887734</v>
      </c>
      <c r="I6227" s="6" t="n">
        <f aca="false">Sens!I6226-Sens!I6220-Sens!I6221-Sens!I6222-Sens!I6223-Sens!I6225</f>
        <v>100.019377559821</v>
      </c>
      <c r="J6227" s="6" t="n">
        <f aca="false">Sens!J6226-Sens!J6220-Sens!J6221-Sens!J6222-Sens!J6223-Sens!J6225</f>
        <v>111.463588365248</v>
      </c>
      <c r="K6227" s="6" t="n">
        <f aca="false">Sens!K6226-Sens!K6220-Sens!K6221-Sens!K6222-Sens!K6223-Sens!K6225</f>
        <v>120.964973453869</v>
      </c>
    </row>
    <row r="6228" customFormat="false" ht="17.15" hidden="false" customHeight="false" outlineLevel="0" collapsed="false">
      <c r="A6228" s="0" t="s">
        <v>1240</v>
      </c>
      <c r="B6228" s="0" t="s">
        <v>98</v>
      </c>
      <c r="F6228" s="6" t="n">
        <f aca="false">Sens!F6140+Sens!F6219*Sens!F6115+sbc_r*Sens!F6115</f>
        <v>26.6311500257571</v>
      </c>
      <c r="G6228" s="6" t="n">
        <f aca="false">Sens!G6140+Sens!G6219*Sens!G6115+sbc_r*Sens!G6115</f>
        <v>26.4417999365818</v>
      </c>
      <c r="H6228" s="6" t="n">
        <f aca="false">Sens!H6140+Sens!H6219*Sens!H6115+sbc_r*Sens!H6115</f>
        <v>27.2977304527792</v>
      </c>
      <c r="I6228" s="6" t="n">
        <f aca="false">Sens!I6140+Sens!I6219*Sens!I6115+sbc_r*Sens!I6115</f>
        <v>28.4000513194343</v>
      </c>
      <c r="J6228" s="6" t="n">
        <f aca="false">Sens!J6140+Sens!J6219*Sens!J6115+sbc_r*Sens!J6115</f>
        <v>29.7095131483948</v>
      </c>
      <c r="K6228" s="6" t="n">
        <f aca="false">Sens!K6140+Sens!K6219*Sens!K6115+sbc_r*Sens!K6115</f>
        <v>31.1816305407906</v>
      </c>
    </row>
    <row r="6229" customFormat="false" ht="17.15" hidden="false" customHeight="false" outlineLevel="0" collapsed="false">
      <c r="A6229" s="0" t="s">
        <v>1241</v>
      </c>
      <c r="B6229" s="0" t="s">
        <v>98</v>
      </c>
      <c r="F6229" s="6" t="n">
        <f aca="false">(Sens!F6228-Sens!F6224)*Sens!F6111/(Sens!F6111+Sens!F6113)</f>
        <v>8.72205360463462</v>
      </c>
      <c r="G6229" s="6" t="n">
        <f aca="false">(Sens!G6228-Sens!G6224)*Sens!G6111/(Sens!G6111+Sens!G6113)</f>
        <v>7.87876702562045</v>
      </c>
      <c r="H6229" s="6" t="n">
        <f aca="false">(Sens!H6228-Sens!H6224)*Sens!H6111/(Sens!H6111+Sens!H6113)</f>
        <v>7.63810745527244</v>
      </c>
      <c r="I6229" s="6" t="n">
        <f aca="false">(Sens!I6228-Sens!I6224)*Sens!I6111/(Sens!I6111+Sens!I6113)</f>
        <v>7.54719608655632</v>
      </c>
      <c r="J6229" s="6" t="n">
        <f aca="false">(Sens!J6228-Sens!J6224)*Sens!J6111/(Sens!J6111+Sens!J6113)</f>
        <v>7.59254120764737</v>
      </c>
      <c r="K6229" s="6" t="n">
        <f aca="false">(Sens!K6228-Sens!K6224)*Sens!K6111/(Sens!K6111+Sens!K6113)</f>
        <v>7.7660647847957</v>
      </c>
    </row>
    <row r="6230" customFormat="false" ht="17.15" hidden="false" customHeight="false" outlineLevel="0" collapsed="false">
      <c r="A6230" s="0" t="s">
        <v>1242</v>
      </c>
      <c r="B6230" s="0" t="s">
        <v>98</v>
      </c>
      <c r="F6230" s="6" t="n">
        <f aca="false">Sens!F6228-Sens!F6224-Sens!F6229</f>
        <v>6.72107182767203</v>
      </c>
      <c r="G6230" s="6" t="n">
        <f aca="false">Sens!G6228-Sens!G6224-Sens!G6229</f>
        <v>6.31519042013596</v>
      </c>
      <c r="H6230" s="6" t="n">
        <f aca="false">Sens!H6228-Sens!H6224-Sens!H6229</f>
        <v>6.30391408008558</v>
      </c>
      <c r="I6230" s="6" t="n">
        <f aca="false">Sens!I6228-Sens!I6224-Sens!I6229</f>
        <v>6.35018539199207</v>
      </c>
      <c r="J6230" s="6" t="n">
        <f aca="false">Sens!J6228-Sens!J6224-Sens!J6229</f>
        <v>6.44960383865789</v>
      </c>
      <c r="K6230" s="6" t="n">
        <f aca="false">Sens!K6228-Sens!K6224-Sens!K6229</f>
        <v>6.59700617717221</v>
      </c>
    </row>
    <row r="6231" customFormat="false" ht="17.15" hidden="false" customHeight="false" outlineLevel="0" collapsed="false">
      <c r="A6231" s="0" t="s">
        <v>1243</v>
      </c>
      <c r="B6231" s="0" t="s">
        <v>98</v>
      </c>
      <c r="F6231" s="6" t="n">
        <f aca="false">Sens!F6225-tax_f*(Sens!F6225-Sens!F6089)-Sens!F6086</f>
        <v>-124.72074537398</v>
      </c>
      <c r="G6231" s="6" t="n">
        <f aca="false">Sens!G6225-tax_f*(Sens!G6225-Sens!G6089)-Sens!G6086</f>
        <v>-105.733583861685</v>
      </c>
      <c r="H6231" s="6" t="n">
        <f aca="false">Sens!H6225-tax_f*(Sens!H6225-Sens!H6089)-Sens!H6086</f>
        <v>-61.3101182484656</v>
      </c>
      <c r="I6231" s="6" t="n">
        <f aca="false">Sens!I6225-tax_f*(Sens!I6225-Sens!I6089)-Sens!I6086</f>
        <v>6.64689378543849</v>
      </c>
      <c r="J6231" s="6" t="n">
        <f aca="false">Sens!J6225-tax_f*(Sens!J6225-Sens!J6089)-Sens!J6086</f>
        <v>74.3830497202004</v>
      </c>
      <c r="K6231" s="6" t="n">
        <f aca="false">Sens!K6225-tax_f*(Sens!K6225-Sens!K6089)-Sens!K6086</f>
        <v>101.496843749815</v>
      </c>
    </row>
    <row r="6232" customFormat="false" ht="17.15" hidden="false" customHeight="false" outlineLevel="0" collapsed="false">
      <c r="A6232" s="0" t="s">
        <v>1244</v>
      </c>
      <c r="B6232" s="0" t="s">
        <v>98</v>
      </c>
      <c r="G6232" s="6" t="n">
        <f aca="false">Sens!G6231/(1+wacc)^(Sens!G6202-Sens!F6203)</f>
        <v>-100.678718840459</v>
      </c>
      <c r="H6232" s="6" t="n">
        <f aca="false">Sens!H6231/(1+wacc)^(Sens!H6202-Sens!F6203)</f>
        <v>-52.9305413913109</v>
      </c>
      <c r="I6232" s="6" t="n">
        <f aca="false">Sens!I6231/(1+wacc)^(Sens!I6202-Sens!F6203)</f>
        <v>5.20286283136321</v>
      </c>
      <c r="J6232" s="6" t="n">
        <f aca="false">Sens!J6231/(1+wacc)^(Sens!J6202-Sens!F6203)</f>
        <v>52.7894421643978</v>
      </c>
      <c r="K6232" s="6" t="n">
        <f aca="false">Sens!K6231/(1+wacc)^(Sens!K6202-Sens!F6203)</f>
        <v>65.3093083304527</v>
      </c>
      <c r="L6232" s="1" t="s">
        <v>1245</v>
      </c>
    </row>
    <row r="6233" customFormat="false" ht="17.15" hidden="false" customHeight="false" outlineLevel="0" collapsed="false">
      <c r="A6233" s="0" t="s">
        <v>1246</v>
      </c>
      <c r="B6233" s="0" t="s">
        <v>98</v>
      </c>
      <c r="C6233" s="6" t="n">
        <f aca="false">(Sens!K6225-Sens!K6089)*(1-tax_f)*(1+g_tv)*(1-g_tv/(wacc+ronic_prem))/(wacc-g_tv)/(1+wacc)^(Sens!K6203-Sens!F6203)</f>
        <v>474.809577358033</v>
      </c>
    </row>
    <row r="6234" customFormat="false" ht="17.15" hidden="false" customHeight="false" outlineLevel="0" collapsed="false">
      <c r="A6234" s="1" t="s">
        <v>1247</v>
      </c>
      <c r="B6234" s="0" t="s">
        <v>98</v>
      </c>
      <c r="C6234" s="6" t="n">
        <f aca="false">(SUM(Sens!G6232:K6232)+Sens!$C$6233)*(1+wacc)^(t_roll-Sens!F6203)</f>
        <v>459.176283450328</v>
      </c>
      <c r="L6234" s="12" t="s">
        <v>1248</v>
      </c>
    </row>
    <row r="6235" customFormat="false" ht="17.15" hidden="false" customHeight="false" outlineLevel="0" collapsed="false">
      <c r="A6235" s="1" t="s">
        <v>1249</v>
      </c>
      <c r="B6235" s="0" t="s">
        <v>98</v>
      </c>
      <c r="C6235" s="6" t="n">
        <f aca="false">(w_ntm28*Sens!G6077+(1-w_ntm28)*Sens!H6077)*m_ai</f>
        <v>574.219119571538</v>
      </c>
    </row>
    <row r="6236" customFormat="false" ht="17.15" hidden="false" customHeight="false" outlineLevel="0" collapsed="false">
      <c r="A6236" s="1" t="s">
        <v>1250</v>
      </c>
      <c r="B6236" s="0" t="s">
        <v>98</v>
      </c>
      <c r="C6236" s="6" t="n">
        <f aca="false">(w_ntm28*Sens!G6227+(1-w_ntm28)*Sens!H6227)*m_cloud</f>
        <v>1084.46703197096</v>
      </c>
    </row>
    <row r="6237" customFormat="false" ht="17.15" hidden="false" customHeight="false" outlineLevel="0" collapsed="false">
      <c r="A6237" s="1" t="s">
        <v>1251</v>
      </c>
      <c r="B6237" s="0" t="s">
        <v>98</v>
      </c>
      <c r="C6237" s="6" t="n">
        <f aca="false">(w_ntm28*Sens!G6220+(1-w_ntm28)*Sens!H6220)*m_sw</f>
        <v>1120.50493644537</v>
      </c>
    </row>
    <row r="6238" customFormat="false" ht="17.15" hidden="false" customHeight="false" outlineLevel="0" collapsed="false">
      <c r="A6238" s="1" t="s">
        <v>1252</v>
      </c>
      <c r="B6238" s="0" t="s">
        <v>98</v>
      </c>
      <c r="C6238" s="6" t="n">
        <f aca="false">(w_ntm28*Sens!G6221+(1-w_ntm28)*Sens!H6221)*m_sw</f>
        <v>372.691542622951</v>
      </c>
    </row>
    <row r="6239" customFormat="false" ht="17.15" hidden="false" customHeight="false" outlineLevel="0" collapsed="false">
      <c r="A6239" s="1" t="s">
        <v>1253</v>
      </c>
      <c r="B6239" s="0" t="s">
        <v>98</v>
      </c>
      <c r="C6239" s="6" t="n">
        <f aca="false">(w_ntm28*Sens!G6222+(1-w_ntm28)*Sens!H6222)*m_sw</f>
        <v>108.99729381655</v>
      </c>
    </row>
    <row r="6240" customFormat="false" ht="17.15" hidden="false" customHeight="false" outlineLevel="0" collapsed="false">
      <c r="A6240" s="1" t="s">
        <v>1254</v>
      </c>
      <c r="B6240" s="0" t="s">
        <v>98</v>
      </c>
      <c r="C6240" s="6" t="n">
        <f aca="false">(w_ntm28*Sens!G6223+(1-w_ntm28)*Sens!H6223)*m_sw</f>
        <v>41.4380404240619</v>
      </c>
    </row>
    <row r="6241" customFormat="false" ht="17.15" hidden="false" customHeight="false" outlineLevel="0" collapsed="false">
      <c r="A6241" s="1" t="s">
        <v>1255</v>
      </c>
      <c r="B6241" s="0" t="s">
        <v>98</v>
      </c>
      <c r="C6241" s="6" t="n">
        <f aca="false">(w_ntm28*Sens!G6224+(1-w_ntm28)*Sens!H6224)*m_ads</f>
        <v>114.895980920336</v>
      </c>
    </row>
    <row r="6242" customFormat="false" ht="17.15" hidden="false" customHeight="false" outlineLevel="0" collapsed="false">
      <c r="A6242" s="1" t="s">
        <v>1256</v>
      </c>
      <c r="B6242" s="0" t="s">
        <v>98</v>
      </c>
      <c r="C6242" s="6" t="n">
        <f aca="false">(w_ntm28*Sens!G6229+(1-w_ntm28)*Sens!H6229)*m_game</f>
        <v>98.5095298765467</v>
      </c>
    </row>
    <row r="6243" customFormat="false" ht="17.15" hidden="false" customHeight="false" outlineLevel="0" collapsed="false">
      <c r="A6243" s="1" t="s">
        <v>1257</v>
      </c>
      <c r="B6243" s="0" t="s">
        <v>98</v>
      </c>
      <c r="C6243" s="6" t="n">
        <f aca="false">(w_ntm28*Sens!G6230+(1-w_ntm28)*Sens!H6230)*m_pc</f>
        <v>91.3271608948099</v>
      </c>
    </row>
    <row r="6244" customFormat="false" ht="17.15" hidden="false" customHeight="false" outlineLevel="0" collapsed="false">
      <c r="A6244" s="1" t="s">
        <v>1258</v>
      </c>
      <c r="B6244" s="0" t="s">
        <v>98</v>
      </c>
      <c r="C6244" s="6" t="n">
        <f aca="false">Sens!$C$6234+Sens!$C$6236+Sens!$C$6237+Sens!$C$6238+Sens!$C$6239+Sens!$C$6240+Sens!$C$6241+Sens!$C$6242+Sens!$C$6243</f>
        <v>3492.00780042191</v>
      </c>
    </row>
    <row r="6245" customFormat="false" ht="17.15" hidden="false" customHeight="false" outlineLevel="0" collapsed="false">
      <c r="A6245" s="1" t="s">
        <v>1259</v>
      </c>
      <c r="B6245" s="0" t="s">
        <v>98</v>
      </c>
      <c r="C6245" s="6" t="n">
        <f aca="false">(Sens!G6206-Sens!G6231)*t_stub</f>
        <v>48.2672182959973</v>
      </c>
      <c r="L6245" s="1" t="s">
        <v>1260</v>
      </c>
    </row>
    <row r="6246" customFormat="false" ht="17.15" hidden="false" customHeight="false" outlineLevel="0" collapsed="false">
      <c r="A6246" s="1" t="s">
        <v>1169</v>
      </c>
      <c r="B6246" s="0" t="s">
        <v>98</v>
      </c>
      <c r="C6246" s="6" t="n">
        <f aca="false">Sens!F6193+oai_v-Sens!F6182+Sens!$C$6245</f>
        <v>162.495488295997</v>
      </c>
      <c r="L6246" s="1" t="s">
        <v>1261</v>
      </c>
    </row>
    <row r="6247" customFormat="false" ht="17.15" hidden="false" customHeight="false" outlineLevel="0" collapsed="false">
      <c r="A6247" s="1" t="s">
        <v>1262</v>
      </c>
      <c r="B6247" s="0" t="s">
        <v>75</v>
      </c>
      <c r="C6247" s="5" t="n">
        <f aca="false">(Sens!$C$6244+Sens!$C$6246)/(Sens!F6195+dil_gap)-Sens!G6185*roll_div_q/q_per_yr</f>
        <v>486.909116727081</v>
      </c>
      <c r="L6247" s="1" t="s">
        <v>1263</v>
      </c>
    </row>
    <row r="6248" customFormat="false" ht="17.15" hidden="false" customHeight="false" outlineLevel="0" collapsed="false">
      <c r="A6248" s="1" t="s">
        <v>1264</v>
      </c>
      <c r="B6248" s="0" t="s">
        <v>75</v>
      </c>
      <c r="C6248" s="5" t="n">
        <f aca="false">w_dcf*Sens!$C$6218+(1-w_dcf)*Sens!$C$6247</f>
        <v>427.860328700165</v>
      </c>
    </row>
    <row r="6249" customFormat="false" ht="17.15" hidden="false" customHeight="false" outlineLevel="0" collapsed="false">
      <c r="A6249" s="3" t="s">
        <v>1635</v>
      </c>
    </row>
    <row r="6250" customFormat="false" ht="15" hidden="false" customHeight="false" outlineLevel="0" collapsed="false">
      <c r="A6250" s="4" t="s">
        <v>43</v>
      </c>
      <c r="B6250" s="4" t="s">
        <v>65</v>
      </c>
      <c r="C6250" s="23" t="s">
        <v>938</v>
      </c>
      <c r="D6250" s="23" t="s">
        <v>939</v>
      </c>
      <c r="E6250" s="23" t="s">
        <v>940</v>
      </c>
      <c r="F6250" s="23" t="s">
        <v>941</v>
      </c>
      <c r="G6250" s="23" t="s">
        <v>942</v>
      </c>
      <c r="H6250" s="23" t="s">
        <v>943</v>
      </c>
      <c r="I6250" s="23" t="s">
        <v>944</v>
      </c>
      <c r="J6250" s="23" t="s">
        <v>945</v>
      </c>
      <c r="K6250" s="23" t="s">
        <v>946</v>
      </c>
      <c r="L6250" s="4" t="s">
        <v>47</v>
      </c>
    </row>
    <row r="6251" customFormat="false" ht="17.15" hidden="false" customHeight="false" outlineLevel="0" collapsed="false">
      <c r="A6251" s="1" t="s">
        <v>947</v>
      </c>
      <c r="B6251" s="1" t="s">
        <v>279</v>
      </c>
      <c r="C6251" s="21" t="n">
        <v>2024</v>
      </c>
      <c r="D6251" s="21" t="n">
        <v>2025</v>
      </c>
      <c r="E6251" s="21" t="n">
        <v>2026</v>
      </c>
      <c r="F6251" s="21" t="n">
        <v>2027</v>
      </c>
      <c r="G6251" s="21" t="n">
        <v>2028</v>
      </c>
      <c r="H6251" s="21" t="n">
        <v>2029</v>
      </c>
      <c r="I6251" s="21" t="n">
        <v>2030</v>
      </c>
      <c r="J6251" s="21" t="n">
        <v>2031</v>
      </c>
      <c r="K6251" s="21" t="n">
        <v>2032</v>
      </c>
    </row>
    <row r="6252" customFormat="false" ht="17.15" hidden="false" customHeight="false" outlineLevel="0" collapsed="false">
      <c r="A6252" s="1" t="s">
        <v>948</v>
      </c>
      <c r="B6252" s="0" t="s">
        <v>456</v>
      </c>
      <c r="F6252" s="30" t="n">
        <f aca="false">pace</f>
        <v>2726.5351</v>
      </c>
      <c r="G6252" s="30" t="n">
        <f aca="false">pace</f>
        <v>2726.5351</v>
      </c>
      <c r="H6252" s="30" t="n">
        <f aca="false">pace</f>
        <v>2726.5351</v>
      </c>
      <c r="I6252" s="30" t="n">
        <f aca="false">pace+(g_tv*Sens!H6253-pace)*MIN(1,(Sens!I6251-pace_y0)/(pace_y1-pace_y0))</f>
        <v>1931.98611966667</v>
      </c>
      <c r="J6252" s="30" t="n">
        <f aca="false">pace+(g_tv*Sens!I6253-pace)*MIN(1,(Sens!J6251-pace_y0)/(pace_y1-pace_y0))</f>
        <v>1176.07686172667</v>
      </c>
      <c r="K6252" s="30" t="n">
        <f aca="false">pace+(g_tv*Sens!J6253-pace)*MIN(1,(Sens!K6251-pace_y0)/(pace_y1-pace_y0))</f>
        <v>436.1300484418</v>
      </c>
      <c r="L6252" s="12" t="s">
        <v>949</v>
      </c>
    </row>
    <row r="6253" customFormat="false" ht="17.15" hidden="false" customHeight="false" outlineLevel="0" collapsed="false">
      <c r="A6253" s="1" t="s">
        <v>950</v>
      </c>
      <c r="B6253" s="0" t="s">
        <v>456</v>
      </c>
      <c r="C6253" s="30" t="n">
        <f aca="false">mw_ext_24</f>
        <v>640</v>
      </c>
      <c r="D6253" s="30" t="n">
        <f aca="false">mw_ext_25</f>
        <v>1630</v>
      </c>
      <c r="E6253" s="30" t="n">
        <f aca="false">mw_ext_26</f>
        <v>3250</v>
      </c>
      <c r="F6253" s="30" t="n">
        <f aca="false">Sens!E6253+Sens!F6252</f>
        <v>5976.5351</v>
      </c>
      <c r="G6253" s="30" t="n">
        <f aca="false">Sens!F6253+Sens!G6252</f>
        <v>8703.0702</v>
      </c>
      <c r="H6253" s="30" t="n">
        <f aca="false">Sens!G6253+Sens!H6252</f>
        <v>11429.6053</v>
      </c>
      <c r="I6253" s="30" t="n">
        <f aca="false">Sens!H6253+Sens!I6252</f>
        <v>13361.5914196667</v>
      </c>
      <c r="J6253" s="30" t="n">
        <f aca="false">Sens!I6253+Sens!J6252</f>
        <v>14537.6682813933</v>
      </c>
      <c r="K6253" s="30" t="n">
        <f aca="false">Sens!J6253+Sens!K6252</f>
        <v>14973.7983298351</v>
      </c>
      <c r="L6253" s="1" t="s">
        <v>951</v>
      </c>
    </row>
    <row r="6254" customFormat="false" ht="17.15" hidden="false" customHeight="false" outlineLevel="0" collapsed="false">
      <c r="A6254" s="1" t="s">
        <v>952</v>
      </c>
      <c r="B6254" s="0" t="s">
        <v>456</v>
      </c>
      <c r="C6254" s="30" t="n">
        <f aca="false">rent_ext_24</f>
        <v>150</v>
      </c>
      <c r="D6254" s="30" t="n">
        <f aca="false">rent_ext_25</f>
        <v>400</v>
      </c>
      <c r="E6254" s="30" t="n">
        <f aca="false">rent_ext_26</f>
        <v>550</v>
      </c>
      <c r="F6254" s="30" t="n">
        <f aca="false">rent_ext_f</f>
        <v>756</v>
      </c>
      <c r="G6254" s="30" t="n">
        <f aca="false">rent_ext_f</f>
        <v>756</v>
      </c>
      <c r="H6254" s="30" t="n">
        <f aca="false">rent_ext_f</f>
        <v>756</v>
      </c>
      <c r="I6254" s="30" t="n">
        <f aca="false">rent_ext_f</f>
        <v>756</v>
      </c>
      <c r="J6254" s="30" t="n">
        <f aca="false">rent_ext_f</f>
        <v>756</v>
      </c>
      <c r="K6254" s="30" t="n">
        <f aca="false">rent_ext_f</f>
        <v>756</v>
      </c>
      <c r="L6254" s="1" t="s">
        <v>953</v>
      </c>
    </row>
    <row r="6255" customFormat="false" ht="17.15" hidden="false" customHeight="false" outlineLevel="0" collapsed="false">
      <c r="A6255" s="1" t="s">
        <v>954</v>
      </c>
      <c r="B6255" s="0" t="s">
        <v>456</v>
      </c>
      <c r="C6255" s="30" t="n">
        <f aca="false">Sens!C6253-Sens!C6254</f>
        <v>490</v>
      </c>
      <c r="D6255" s="30" t="n">
        <f aca="false">Sens!D6253-Sens!D6254</f>
        <v>1230</v>
      </c>
      <c r="E6255" s="30" t="n">
        <f aca="false">Sens!E6253-Sens!E6254</f>
        <v>2700</v>
      </c>
      <c r="F6255" s="30" t="n">
        <f aca="false">Sens!F6253-Sens!F6254</f>
        <v>5220.5351</v>
      </c>
      <c r="G6255" s="30" t="n">
        <f aca="false">Sens!G6253-Sens!G6254</f>
        <v>7947.0702</v>
      </c>
      <c r="H6255" s="30" t="n">
        <f aca="false">Sens!H6253-Sens!H6254</f>
        <v>10673.6053</v>
      </c>
      <c r="I6255" s="30" t="n">
        <f aca="false">Sens!I6253-Sens!I6254</f>
        <v>12605.5914196667</v>
      </c>
      <c r="J6255" s="30" t="n">
        <f aca="false">Sens!J6253-Sens!J6254</f>
        <v>13781.6682813933</v>
      </c>
      <c r="K6255" s="30" t="n">
        <f aca="false">Sens!K6253-Sens!K6254</f>
        <v>14217.7983298351</v>
      </c>
    </row>
    <row r="6256" customFormat="false" ht="17.15" hidden="false" customHeight="false" outlineLevel="0" collapsed="false">
      <c r="A6256" s="1" t="s">
        <v>955</v>
      </c>
      <c r="B6256" s="0" t="s">
        <v>456</v>
      </c>
      <c r="C6256" s="30" t="n">
        <f aca="false">Sens!C6255/ext_sh</f>
        <v>816.666666666667</v>
      </c>
      <c r="D6256" s="30" t="n">
        <f aca="false">Sens!D6255/ext_sh</f>
        <v>2050</v>
      </c>
      <c r="E6256" s="30" t="n">
        <f aca="false">Sens!E6255/ext_sh</f>
        <v>4500</v>
      </c>
      <c r="F6256" s="30" t="n">
        <f aca="false">Sens!F6255/ext_sh</f>
        <v>8700.89183333333</v>
      </c>
      <c r="G6256" s="30" t="n">
        <f aca="false">Sens!G6255/ext_sh</f>
        <v>13245.117</v>
      </c>
      <c r="H6256" s="30" t="n">
        <f aca="false">Sens!H6255/ext_sh</f>
        <v>17789.3421666667</v>
      </c>
      <c r="I6256" s="30" t="n">
        <f aca="false">Sens!I6255/ext_sh</f>
        <v>21009.3190327778</v>
      </c>
      <c r="J6256" s="30" t="n">
        <f aca="false">Sens!J6255/ext_sh</f>
        <v>22969.4471356556</v>
      </c>
      <c r="K6256" s="30" t="n">
        <f aca="false">Sens!K6255/ext_sh</f>
        <v>23696.3305497252</v>
      </c>
      <c r="L6256" s="1" t="s">
        <v>956</v>
      </c>
    </row>
    <row r="6257" customFormat="false" ht="17.15" hidden="false" customHeight="false" outlineLevel="0" collapsed="false">
      <c r="A6257" s="1" t="s">
        <v>957</v>
      </c>
      <c r="B6257" s="0" t="s">
        <v>456</v>
      </c>
      <c r="C6257" s="30" t="n">
        <f aca="false">Sens!C6256-Sens!C6255</f>
        <v>326.666666666667</v>
      </c>
      <c r="D6257" s="30" t="n">
        <f aca="false">Sens!D6256-Sens!D6255</f>
        <v>820</v>
      </c>
      <c r="E6257" s="30" t="n">
        <f aca="false">Sens!E6256-Sens!E6255</f>
        <v>1800</v>
      </c>
      <c r="F6257" s="30" t="n">
        <f aca="false">Sens!F6256-Sens!F6255</f>
        <v>3480.35673333333</v>
      </c>
      <c r="G6257" s="30" t="n">
        <f aca="false">Sens!G6256-Sens!G6255</f>
        <v>5298.0468</v>
      </c>
      <c r="H6257" s="30" t="n">
        <f aca="false">Sens!H6256-Sens!H6255</f>
        <v>7115.73686666667</v>
      </c>
      <c r="I6257" s="30" t="n">
        <f aca="false">Sens!I6256-Sens!I6255</f>
        <v>8403.72761311111</v>
      </c>
      <c r="J6257" s="30" t="n">
        <f aca="false">Sens!J6256-Sens!J6255</f>
        <v>9187.77885426222</v>
      </c>
      <c r="K6257" s="30" t="n">
        <f aca="false">Sens!K6256-Sens!K6255</f>
        <v>9478.53221989009</v>
      </c>
    </row>
    <row r="6258" customFormat="false" ht="17.15" hidden="false" customHeight="false" outlineLevel="0" collapsed="false">
      <c r="A6258" s="1" t="s">
        <v>958</v>
      </c>
      <c r="B6258" s="0" t="s">
        <v>456</v>
      </c>
      <c r="C6258" s="30" t="n">
        <f aca="false">Sens!C6256</f>
        <v>816.666666666667</v>
      </c>
      <c r="D6258" s="30" t="n">
        <f aca="false">Sens!D6256-Sens!C6256</f>
        <v>1233.33333333333</v>
      </c>
      <c r="E6258" s="30" t="n">
        <f aca="false">Sens!E6256-Sens!D6256</f>
        <v>2450</v>
      </c>
      <c r="F6258" s="30" t="n">
        <f aca="false">Sens!F6256-Sens!E6256</f>
        <v>4200.89183333333</v>
      </c>
      <c r="G6258" s="30" t="n">
        <f aca="false">Sens!G6256-Sens!F6256</f>
        <v>4544.22516666667</v>
      </c>
      <c r="H6258" s="30" t="n">
        <f aca="false">Sens!H6256-Sens!G6256</f>
        <v>4544.22516666667</v>
      </c>
      <c r="I6258" s="30" t="n">
        <f aca="false">Sens!I6256-Sens!H6256</f>
        <v>3219.97686611111</v>
      </c>
      <c r="J6258" s="30" t="n">
        <f aca="false">Sens!J6256-Sens!I6256</f>
        <v>1960.12810287778</v>
      </c>
      <c r="K6258" s="30" t="n">
        <f aca="false">Sens!K6256-Sens!J6256</f>
        <v>726.883414069667</v>
      </c>
    </row>
    <row r="6259" customFormat="false" ht="17.15" hidden="false" customHeight="false" outlineLevel="0" collapsed="false">
      <c r="A6259" s="1" t="s">
        <v>959</v>
      </c>
      <c r="B6259" s="0" t="s">
        <v>456</v>
      </c>
      <c r="D6259" s="30" t="n">
        <f aca="false">Sens!D6253-Sens!C6253</f>
        <v>990</v>
      </c>
      <c r="E6259" s="30" t="n">
        <f aca="false">Sens!E6253-Sens!D6253</f>
        <v>1620</v>
      </c>
      <c r="F6259" s="30" t="n">
        <f aca="false">Sens!F6253-Sens!E6253</f>
        <v>2726.5351</v>
      </c>
      <c r="G6259" s="30" t="n">
        <f aca="false">Sens!G6253-Sens!F6253</f>
        <v>2726.5351</v>
      </c>
      <c r="H6259" s="30" t="n">
        <f aca="false">Sens!H6253-Sens!G6253</f>
        <v>2726.5351</v>
      </c>
      <c r="I6259" s="30" t="n">
        <f aca="false">Sens!I6253-Sens!H6253</f>
        <v>1931.98611966667</v>
      </c>
      <c r="J6259" s="30" t="n">
        <f aca="false">Sens!J6253-Sens!I6253</f>
        <v>1176.07686172667</v>
      </c>
      <c r="K6259" s="30" t="n">
        <f aca="false">Sens!K6253-Sens!J6253</f>
        <v>436.130048441799</v>
      </c>
    </row>
    <row r="6260" customFormat="false" ht="17.15" hidden="false" customHeight="false" outlineLevel="0" collapsed="false">
      <c r="A6260" s="1" t="s">
        <v>960</v>
      </c>
      <c r="B6260" s="0" t="s">
        <v>456</v>
      </c>
      <c r="F6260" s="30" t="n">
        <f aca="false">Sens!F6279*ext_sh</f>
        <v>0</v>
      </c>
      <c r="G6260" s="30" t="n">
        <f aca="false">Sens!G6279*ext_sh</f>
        <v>0</v>
      </c>
      <c r="H6260" s="30" t="n">
        <f aca="false">Sens!H6279*ext_sh</f>
        <v>0</v>
      </c>
      <c r="I6260" s="30" t="n">
        <f aca="false">Sens!I6279*ext_sh</f>
        <v>490</v>
      </c>
      <c r="J6260" s="30" t="n">
        <f aca="false">Sens!J6279*ext_sh</f>
        <v>740</v>
      </c>
      <c r="K6260" s="30" t="n">
        <f aca="false">Sens!K6279*ext_sh</f>
        <v>1470</v>
      </c>
      <c r="L6260" s="1" t="s">
        <v>961</v>
      </c>
    </row>
    <row r="6261" customFormat="false" ht="17.15" hidden="false" customHeight="false" outlineLevel="0" collapsed="false">
      <c r="A6261" s="1" t="s">
        <v>962</v>
      </c>
      <c r="B6261" s="0" t="s">
        <v>456</v>
      </c>
      <c r="C6261" s="30" t="n">
        <f aca="false">mix_h*Sens!C6253</f>
        <v>128</v>
      </c>
      <c r="D6261" s="30" t="n">
        <f aca="false">mix_h*Sens!D6253</f>
        <v>326</v>
      </c>
      <c r="E6261" s="30" t="n">
        <f aca="false">mix_h*Sens!E6253</f>
        <v>650</v>
      </c>
      <c r="F6261" s="30" t="n">
        <f aca="false">Sens!E6261-Sens!F6260*mix_h</f>
        <v>650</v>
      </c>
      <c r="G6261" s="30" t="n">
        <f aca="false">Sens!F6261-Sens!G6260*mix_h</f>
        <v>650</v>
      </c>
      <c r="H6261" s="30" t="n">
        <f aca="false">Sens!G6261-Sens!H6260*mix_h</f>
        <v>650</v>
      </c>
      <c r="I6261" s="30" t="n">
        <f aca="false">Sens!H6261-Sens!I6260*mix_h</f>
        <v>552</v>
      </c>
      <c r="J6261" s="30" t="n">
        <f aca="false">Sens!I6261-Sens!J6260*mix_h</f>
        <v>404</v>
      </c>
      <c r="K6261" s="30" t="n">
        <f aca="false">Sens!J6261-Sens!K6260*mix_h</f>
        <v>110</v>
      </c>
    </row>
    <row r="6262" customFormat="false" ht="17.15" hidden="false" customHeight="false" outlineLevel="0" collapsed="false">
      <c r="A6262" s="1" t="s">
        <v>963</v>
      </c>
      <c r="B6262" s="0" t="s">
        <v>456</v>
      </c>
      <c r="C6262" s="30" t="n">
        <f aca="false">mix_g2*Sens!C6253</f>
        <v>288</v>
      </c>
      <c r="D6262" s="30" t="n">
        <f aca="false">mix_g2*Sens!D6253</f>
        <v>733.5</v>
      </c>
      <c r="E6262" s="30" t="n">
        <f aca="false">mix_g2*Sens!E6253</f>
        <v>1462.5</v>
      </c>
      <c r="F6262" s="30" t="n">
        <f aca="false">Sens!E6262-Sens!F6260*mix_g2</f>
        <v>1462.5</v>
      </c>
      <c r="G6262" s="30" t="n">
        <f aca="false">Sens!F6262-Sens!G6260*mix_g2</f>
        <v>1462.5</v>
      </c>
      <c r="H6262" s="30" t="n">
        <f aca="false">Sens!G6262-Sens!H6260*mix_g2</f>
        <v>1462.5</v>
      </c>
      <c r="I6262" s="30" t="n">
        <f aca="false">Sens!H6262-Sens!I6260*mix_g2</f>
        <v>1242</v>
      </c>
      <c r="J6262" s="30" t="n">
        <f aca="false">Sens!I6262-Sens!J6260*mix_g2</f>
        <v>909</v>
      </c>
      <c r="K6262" s="30" t="n">
        <f aca="false">Sens!J6262-Sens!K6260*mix_g2</f>
        <v>247.5</v>
      </c>
    </row>
    <row r="6263" customFormat="false" ht="17.15" hidden="false" customHeight="false" outlineLevel="0" collapsed="false">
      <c r="A6263" s="1" t="s">
        <v>964</v>
      </c>
      <c r="B6263" s="0" t="s">
        <v>456</v>
      </c>
      <c r="C6263" s="30" t="n">
        <f aca="false">mix_g3*Sens!C6253</f>
        <v>224</v>
      </c>
      <c r="D6263" s="30" t="n">
        <f aca="false">mix_g3*Sens!D6253</f>
        <v>570.5</v>
      </c>
      <c r="E6263" s="30" t="n">
        <f aca="false">mix_g3*Sens!E6253</f>
        <v>1137.5</v>
      </c>
      <c r="F6263" s="30" t="n">
        <f aca="false">Sens!E6263+(Sens!F6259+Sens!F6260)*(a_g3_27-nonnv*a_mai)-Sens!F6260*mix_g3</f>
        <v>2773.42106</v>
      </c>
      <c r="G6263" s="30" t="n">
        <f aca="false">Sens!F6263+(Sens!G6259+Sens!G6260)*(a_g3_28-nonnv*a_mai)-Sens!G6260*mix_g3</f>
        <v>3318.72808</v>
      </c>
      <c r="H6263" s="30" t="n">
        <f aca="false">Sens!G6263+(Sens!H6259+Sens!H6260)*(a_g3_29-nonnv*a_mai)-Sens!H6260*mix_g3</f>
        <v>3318.72808</v>
      </c>
      <c r="I6263" s="30" t="n">
        <f aca="false">Sens!H6263+(Sens!I6259+Sens!I6260)*(a_g3_29-nonnv*a_mai)-Sens!I6260*mix_g3</f>
        <v>3147.22808</v>
      </c>
      <c r="J6263" s="30" t="n">
        <f aca="false">Sens!I6263+(Sens!J6259+Sens!J6260)*(a_g3_29-nonnv*a_mai)-Sens!J6260*mix_g3</f>
        <v>2888.22808</v>
      </c>
      <c r="K6263" s="30" t="n">
        <f aca="false">Sens!J6263+(Sens!K6259+Sens!K6260)*(a_g3_29-nonnv*a_mai)-Sens!K6260*mix_g3</f>
        <v>2373.72808</v>
      </c>
    </row>
    <row r="6264" customFormat="false" ht="17.15" hidden="false" customHeight="false" outlineLevel="0" collapsed="false">
      <c r="A6264" s="1" t="s">
        <v>965</v>
      </c>
      <c r="B6264" s="0" t="s">
        <v>456</v>
      </c>
      <c r="C6264" s="30" t="n">
        <v>0</v>
      </c>
      <c r="D6264" s="30" t="n">
        <v>0</v>
      </c>
      <c r="E6264" s="30" t="n">
        <v>0</v>
      </c>
      <c r="F6264" s="30" t="n">
        <f aca="false">Sens!E6264+(Sens!F6259+Sens!F6260)*nonnv*a_mai</f>
        <v>272.65351</v>
      </c>
      <c r="G6264" s="30" t="n">
        <f aca="false">Sens!F6264+(Sens!G6259+Sens!G6260)*nonnv*a_mai</f>
        <v>545.30702</v>
      </c>
      <c r="H6264" s="30" t="n">
        <f aca="false">Sens!G6264+(Sens!H6259+Sens!H6260)*nonnv*a_mai</f>
        <v>817.96053</v>
      </c>
      <c r="I6264" s="30" t="n">
        <f aca="false">Sens!H6264+(Sens!I6259+Sens!I6260)*nonnv*a_mai</f>
        <v>1060.15914196667</v>
      </c>
      <c r="J6264" s="30" t="n">
        <f aca="false">Sens!I6264+(Sens!J6259+Sens!J6260)*nonnv*a_mai</f>
        <v>1251.76682813933</v>
      </c>
      <c r="K6264" s="30" t="n">
        <f aca="false">Sens!J6264+(Sens!K6259+Sens!K6260)*nonnv*a_mai</f>
        <v>1442.37983298351</v>
      </c>
      <c r="L6264" s="12" t="s">
        <v>966</v>
      </c>
    </row>
    <row r="6265" customFormat="false" ht="17.15" hidden="false" customHeight="false" outlineLevel="0" collapsed="false">
      <c r="A6265" s="1" t="s">
        <v>967</v>
      </c>
      <c r="B6265" s="0" t="s">
        <v>456</v>
      </c>
      <c r="C6265" s="30" t="n">
        <v>0</v>
      </c>
      <c r="D6265" s="30" t="n">
        <v>0</v>
      </c>
      <c r="E6265" s="30" t="n">
        <v>0</v>
      </c>
      <c r="F6265" s="30" t="n">
        <f aca="false">Sens!E6265+(Sens!F6259+Sens!F6260)*(1-a_g3_27)</f>
        <v>817.96053</v>
      </c>
      <c r="G6265" s="30" t="n">
        <f aca="false">Sens!F6265+(Sens!G6259+Sens!G6260)*(1-a_g3_28)</f>
        <v>2726.5351</v>
      </c>
      <c r="H6265" s="30" t="n">
        <f aca="false">Sens!G6265+(Sens!H6259+Sens!H6260)*(1-a_g3_29)</f>
        <v>5180.41669</v>
      </c>
      <c r="I6265" s="30" t="n">
        <f aca="false">Sens!H6265+(Sens!I6259+Sens!I6260)*(1-a_g3_29)</f>
        <v>7360.2041977</v>
      </c>
      <c r="J6265" s="30" t="n">
        <f aca="false">Sens!I6265+(Sens!J6259+Sens!J6260)*(1-a_g3_29)</f>
        <v>9084.673373254</v>
      </c>
      <c r="K6265" s="30" t="n">
        <f aca="false">Sens!J6265+(Sens!K6259+Sens!K6260)*(1-a_g3_29)</f>
        <v>10800.1904168516</v>
      </c>
    </row>
    <row r="6266" customFormat="false" ht="17.15" hidden="false" customHeight="false" outlineLevel="0" collapsed="false">
      <c r="A6266" s="1" t="s">
        <v>968</v>
      </c>
      <c r="B6266" s="0" t="s">
        <v>403</v>
      </c>
      <c r="C6266" s="15" t="n">
        <f aca="false">(Sens!C6261*tk_hold_h100+Sens!C6262*tk_hold_gb200+Sens!C6263*tk_hold_gb300+Sens!C6265*tk_hold_vr200+Sens!C6264*nv_hold_mai*tk_hold_vr200)/Sens!C6253</f>
        <v>9.7235358126469</v>
      </c>
      <c r="D6266" s="15" t="n">
        <f aca="false">(Sens!D6261*tk_hold_h100+Sens!D6262*tk_hold_gb200+Sens!D6263*tk_hold_gb300+Sens!D6265*tk_hold_vr200+Sens!D6264*nv_hold_mai*tk_hold_vr200)/Sens!D6253</f>
        <v>9.7235358126469</v>
      </c>
      <c r="E6266" s="15" t="n">
        <f aca="false">(Sens!E6261*tk_hold_h100+Sens!E6262*tk_hold_gb200+Sens!E6263*tk_hold_gb300+Sens!E6265*tk_hold_vr200+Sens!E6264*nv_hold_mai*tk_hold_vr200)/Sens!E6253</f>
        <v>9.7235358126469</v>
      </c>
      <c r="F6266" s="15" t="n">
        <f aca="false">(Sens!F6261*tk_hold_h100+Sens!F6262*tk_hold_gb200+Sens!F6263*tk_hold_gb300+Sens!F6265*tk_hold_vr200+Sens!F6264*nv_hold_mai*tk_hold_vr200)/Sens!F6253</f>
        <v>10.2195353876665</v>
      </c>
      <c r="G6266" s="15" t="n">
        <f aca="false">(Sens!G6261*tk_hold_h100+Sens!G6262*tk_hold_gb200+Sens!G6263*tk_hold_gb300+Sens!G6265*tk_hold_vr200+Sens!G6264*nv_hold_mai*tk_hold_vr200)/Sens!G6253</f>
        <v>10.5725598017306</v>
      </c>
      <c r="H6266" s="15" t="n">
        <f aca="false">(Sens!H6261*tk_hold_h100+Sens!H6262*tk_hold_gb200+Sens!H6263*tk_hold_gb300+Sens!H6265*tk_hold_vr200+Sens!H6264*nv_hold_mai*tk_hold_vr200)/Sens!H6253</f>
        <v>10.8210427149036</v>
      </c>
      <c r="I6266" s="15" t="n">
        <f aca="false">(Sens!I6261*tk_hold_h100+Sens!I6262*tk_hold_gb200+Sens!I6263*tk_hold_gb300+Sens!I6265*tk_hold_vr200+Sens!I6264*nv_hold_mai*tk_hold_vr200)/Sens!I6253</f>
        <v>11.0050618241982</v>
      </c>
      <c r="J6266" s="15" t="n">
        <f aca="false">(Sens!J6261*tk_hold_h100+Sens!J6262*tk_hold_gb200+Sens!J6263*tk_hold_gb300+Sens!J6265*tk_hold_vr200+Sens!J6264*nv_hold_mai*tk_hold_vr200)/Sens!J6253</f>
        <v>11.1505789658881</v>
      </c>
      <c r="K6266" s="15" t="n">
        <f aca="false">(Sens!K6261*tk_hold_h100+Sens!K6262*tk_hold_gb200+Sens!K6263*tk_hold_gb300+Sens!K6265*tk_hold_vr200+Sens!K6264*nv_hold_mai*tk_hold_vr200)/Sens!K6253</f>
        <v>11.3496914757183</v>
      </c>
      <c r="L6266" s="1" t="s">
        <v>969</v>
      </c>
    </row>
    <row r="6267" customFormat="false" ht="17.15" hidden="false" customHeight="false" outlineLevel="0" collapsed="false">
      <c r="A6267" s="1" t="s">
        <v>970</v>
      </c>
      <c r="B6267" s="0" t="s">
        <v>403</v>
      </c>
      <c r="C6267" s="15" t="n">
        <f aca="false">(Sens!C6261*tk_hold_h100+Sens!C6262*tk_hold_gb200+Sens!C6263*tk_hold_gb300+Sens!C6265*tk_hold_vr200+Sens!C6264*nv_out_mai_hi*tk_hold_vr200)/Sens!C6253</f>
        <v>9.7235358126469</v>
      </c>
      <c r="D6267" s="15" t="n">
        <f aca="false">(Sens!D6261*tk_hold_h100+Sens!D6262*tk_hold_gb200+Sens!D6263*tk_hold_gb300+Sens!D6265*tk_hold_vr200+Sens!D6264*nv_out_mai_hi*tk_hold_vr200)/Sens!D6253</f>
        <v>9.7235358126469</v>
      </c>
      <c r="E6267" s="15" t="n">
        <f aca="false">(Sens!E6261*tk_hold_h100+Sens!E6262*tk_hold_gb200+Sens!E6263*tk_hold_gb300+Sens!E6265*tk_hold_vr200+Sens!E6264*nv_out_mai_hi*tk_hold_vr200)/Sens!E6253</f>
        <v>9.7235358126469</v>
      </c>
      <c r="F6267" s="15" t="n">
        <f aca="false">(Sens!F6261*tk_hold_h100+Sens!F6262*tk_hold_gb200+Sens!F6263*tk_hold_gb300+Sens!F6265*tk_hold_vr200+Sens!F6264*nv_out_mai_hi*tk_hold_vr200)/Sens!F6253</f>
        <v>10.3589689191789</v>
      </c>
      <c r="G6267" s="15" t="n">
        <f aca="false">(Sens!G6261*tk_hold_h100+Sens!G6262*tk_hold_gb200+Sens!G6263*tk_hold_gb300+Sens!G6265*tk_hold_vr200+Sens!G6264*nv_out_mai_hi*tk_hold_vr200)/Sens!G6253</f>
        <v>10.7640621971039</v>
      </c>
      <c r="H6267" s="15" t="n">
        <f aca="false">(Sens!H6261*tk_hold_h100+Sens!H6262*tk_hold_gb200+Sens!H6263*tk_hold_gb300+Sens!H6265*tk_hold_vr200+Sens!H6264*nv_out_mai_hi*tk_hold_vr200)/Sens!H6253</f>
        <v>11.0397718940821</v>
      </c>
      <c r="I6267" s="15" t="n">
        <f aca="false">(Sens!I6261*tk_hold_h100+Sens!I6262*tk_hold_gb200+Sens!I6263*tk_hold_gb300+Sens!I6265*tk_hold_vr200+Sens!I6264*nv_out_mai_hi*tk_hold_vr200)/Sens!I6253</f>
        <v>11.2475655882199</v>
      </c>
      <c r="J6267" s="15" t="n">
        <f aca="false">(Sens!J6261*tk_hold_h100+Sens!J6262*tk_hold_gb200+Sens!J6263*tk_hold_gb300+Sens!J6265*tk_hold_vr200+Sens!J6264*nv_out_mai_hi*tk_hold_vr200)/Sens!J6253</f>
        <v>11.4137477004764</v>
      </c>
      <c r="K6267" s="15" t="n">
        <f aca="false">(Sens!K6261*tk_hold_h100+Sens!K6262*tk_hold_gb200+Sens!K6263*tk_hold_gb300+Sens!K6265*tk_hold_vr200+Sens!K6264*nv_out_mai_hi*tk_hold_vr200)/Sens!K6253</f>
        <v>11.6441019592394</v>
      </c>
      <c r="L6267" s="12" t="s">
        <v>971</v>
      </c>
    </row>
    <row r="6268" customFormat="false" ht="17.15" hidden="false" customHeight="false" outlineLevel="0" collapsed="false">
      <c r="A6268" s="0" t="s">
        <v>972</v>
      </c>
      <c r="B6268" s="0" t="s">
        <v>229</v>
      </c>
      <c r="C6268" s="15" t="n">
        <f aca="false">k_B</f>
        <v>1.17213932619116</v>
      </c>
      <c r="D6268" s="15" t="n">
        <f aca="false">k_B</f>
        <v>1.17213932619116</v>
      </c>
      <c r="E6268" s="15" t="n">
        <f aca="false">k_B</f>
        <v>1.17213932619116</v>
      </c>
      <c r="F6268" s="15" t="n">
        <f aca="false">(k_B+((ls_B*k_long+(1-ls_B)*k_spot)-k_B)*MIN(1,(Sens!F6251-base_fy)/k_ramp))</f>
        <v>1.17213932619116</v>
      </c>
      <c r="G6268" s="15" t="n">
        <f aca="false">(k_B+((ls_B*k_long+(1-ls_B)*k_spot)-k_B)*MIN(1,(Sens!G6251-base_fy)/k_ramp))</f>
        <v>1.17213932619116</v>
      </c>
      <c r="H6268" s="15" t="n">
        <f aca="false">(k_B+((ls_B*k_long+(1-ls_B)*k_spot)-k_B)*MIN(1,(Sens!H6251-base_fy)/k_ramp))</f>
        <v>1.17213932619116</v>
      </c>
      <c r="I6268" s="15" t="n">
        <f aca="false">(k_B+((ls_B*k_long+(1-ls_B)*k_spot)-k_B)*MIN(1,(Sens!I6251-base_fy)/k_ramp))</f>
        <v>1.17213932619116</v>
      </c>
      <c r="J6268" s="15" t="n">
        <f aca="false">(k_B+((ls_B*k_long+(1-ls_B)*k_spot)-k_B)*MIN(1,(Sens!J6251-base_fy)/k_ramp))</f>
        <v>1.17213932619116</v>
      </c>
      <c r="K6268" s="15" t="n">
        <f aca="false">(k_B+((ls_B*k_long+(1-ls_B)*k_spot)-k_B)*MIN(1,(Sens!K6251-base_fy)/k_ramp))</f>
        <v>1.17213932619116</v>
      </c>
      <c r="L6268" s="1" t="s">
        <v>973</v>
      </c>
    </row>
    <row r="6269" customFormat="false" ht="17.15" hidden="false" customHeight="false" outlineLevel="0" collapsed="false">
      <c r="A6269" s="1" t="s">
        <v>974</v>
      </c>
      <c r="B6269" s="0" t="s">
        <v>403</v>
      </c>
      <c r="C6269" s="15" t="n">
        <f aca="false">Sens!C6267*Sens!C6268*chip_f</f>
        <v>11.3973387156315</v>
      </c>
      <c r="D6269" s="15" t="n">
        <f aca="false">Sens!D6267*Sens!D6268*chip_f</f>
        <v>11.3973387156315</v>
      </c>
      <c r="E6269" s="15" t="n">
        <f aca="false">Sens!E6267*Sens!E6268*chip_f</f>
        <v>11.3973387156315</v>
      </c>
      <c r="F6269" s="15" t="n">
        <f aca="false">Sens!F6267*Sens!F6268*chip_f</f>
        <v>12.1421548489614</v>
      </c>
      <c r="G6269" s="15" t="n">
        <f aca="false">Sens!G6267*Sens!G6268*chip_f</f>
        <v>12.616980610793</v>
      </c>
      <c r="H6269" s="15" t="n">
        <f aca="false">Sens!H6267*Sens!H6268*chip_f</f>
        <v>12.9401507892334</v>
      </c>
      <c r="I6269" s="15" t="n">
        <f aca="false">Sens!I6267*Sens!I6268*chip_f</f>
        <v>13.1837139498669</v>
      </c>
      <c r="J6269" s="15" t="n">
        <f aca="false">Sens!J6267*Sens!J6268*chip_f</f>
        <v>13.3785025389523</v>
      </c>
      <c r="K6269" s="15" t="n">
        <f aca="false">Sens!K6267*Sens!K6268*chip_f</f>
        <v>13.6485098246039</v>
      </c>
      <c r="L6269" s="1" t="s">
        <v>975</v>
      </c>
    </row>
    <row r="6270" customFormat="false" ht="17.15" hidden="false" customHeight="false" outlineLevel="0" collapsed="false">
      <c r="A6270" s="0" t="s">
        <v>976</v>
      </c>
      <c r="B6270" s="0" t="s">
        <v>98</v>
      </c>
      <c r="D6270" s="6" t="n">
        <f aca="false">(Sens!C6253+Sens!D6253)/2*Sens!D6269/1000</f>
        <v>12.9359794422418</v>
      </c>
      <c r="E6270" s="6" t="n">
        <f aca="false">(Sens!D6253+Sens!E6253)/2*Sens!E6269/1000</f>
        <v>27.8095064661409</v>
      </c>
      <c r="F6270" s="6" t="n">
        <f aca="false">(Sens!E6253+Sens!F6253)/2*Sens!F6269/1000</f>
        <v>56.015008951789</v>
      </c>
      <c r="G6270" s="6" t="n">
        <f aca="false">(Sens!F6253+Sens!G6253)/2*Sens!G6269/1000</f>
        <v>92.6061477220973</v>
      </c>
      <c r="H6270" s="6" t="n">
        <f aca="false">(Sens!G6253+Sens!H6253)/2*Sens!H6269/1000</f>
        <v>130.259928380352</v>
      </c>
      <c r="I6270" s="6" t="n">
        <f aca="false">(Sens!H6253+Sens!I6253)/2*Sens!I6269/1000</f>
        <v>163.420023013482</v>
      </c>
      <c r="J6270" s="6" t="n">
        <f aca="false">(Sens!I6253+Sens!J6253)/2*Sens!J6269/1000</f>
        <v>186.62515837276</v>
      </c>
      <c r="K6270" s="6" t="n">
        <f aca="false">(Sens!J6253+Sens!K6253)/2*Sens!K6269/1000</f>
        <v>201.393770990911</v>
      </c>
      <c r="L6270" s="12" t="s">
        <v>977</v>
      </c>
    </row>
    <row r="6271" customFormat="false" ht="17.15" hidden="false" customHeight="false" outlineLevel="0" collapsed="false">
      <c r="A6271" s="1" t="s">
        <v>978</v>
      </c>
      <c r="B6271" s="0" t="s">
        <v>403</v>
      </c>
      <c r="C6271" s="15" t="n">
        <f aca="false">(Sens!C6261*tk_opex_h100+Sens!C6262*tk_opex_gb200+Sens!C6263*tk_opex_gb300+(Sens!C6265+Sens!C6264)*tk_opex_vr200)/Sens!C6253</f>
        <v>1.88636041306092</v>
      </c>
      <c r="D6271" s="15" t="n">
        <f aca="false">(Sens!D6261*tk_opex_h100+Sens!D6262*tk_opex_gb200+Sens!D6263*tk_opex_gb300+(Sens!D6265+Sens!D6264)*tk_opex_vr200)/Sens!D6253</f>
        <v>1.88636041306092</v>
      </c>
      <c r="E6271" s="15" t="n">
        <f aca="false">(Sens!E6261*tk_opex_h100+Sens!E6262*tk_opex_gb200+Sens!E6263*tk_opex_gb300+(Sens!E6265+Sens!E6264)*tk_opex_vr200)/Sens!E6253</f>
        <v>1.88636041306092</v>
      </c>
      <c r="F6271" s="15" t="n">
        <f aca="false">(Sens!F6261*tk_opex_h100+Sens!F6262*tk_opex_gb200+Sens!F6263*tk_opex_gb300+(Sens!F6265+Sens!F6264)*tk_opex_vr200)/Sens!F6253</f>
        <v>1.95051159746876</v>
      </c>
      <c r="G6271" s="15" t="n">
        <f aca="false">(Sens!G6261*tk_opex_h100+Sens!G6262*tk_opex_gb200+Sens!G6263*tk_opex_gb300+(Sens!G6265+Sens!G6264)*tk_opex_vr200)/Sens!G6253</f>
        <v>1.98836003669956</v>
      </c>
      <c r="H6271" s="15" t="n">
        <f aca="false">(Sens!H6261*tk_opex_h100+Sens!H6262*tk_opex_gb200+Sens!H6263*tk_opex_gb300+(Sens!H6265+Sens!H6264)*tk_opex_vr200)/Sens!H6253</f>
        <v>2.01344013834343</v>
      </c>
      <c r="I6271" s="15" t="n">
        <f aca="false">(Sens!I6261*tk_opex_h100+Sens!I6262*tk_opex_gb200+Sens!I6263*tk_opex_gb300+(Sens!I6265+Sens!I6264)*tk_opex_vr200)/Sens!I6253</f>
        <v>2.03261166882178</v>
      </c>
      <c r="J6271" s="15" t="n">
        <f aca="false">(Sens!J6261*tk_opex_h100+Sens!J6262*tk_opex_gb200+Sens!J6263*tk_opex_gb300+(Sens!J6265+Sens!J6264)*tk_opex_vr200)/Sens!J6253</f>
        <v>2.04808073288745</v>
      </c>
      <c r="K6271" s="15" t="n">
        <f aca="false">(Sens!K6261*tk_opex_h100+Sens!K6262*tk_opex_gb200+Sens!K6263*tk_opex_gb300+(Sens!K6265+Sens!K6264)*tk_opex_vr200)/Sens!K6253</f>
        <v>2.06973825807449</v>
      </c>
      <c r="L6271" s="12" t="s">
        <v>979</v>
      </c>
    </row>
    <row r="6272" customFormat="false" ht="17.15" hidden="false" customHeight="false" outlineLevel="0" collapsed="false">
      <c r="A6272" s="0" t="s">
        <v>980</v>
      </c>
      <c r="B6272" s="0" t="s">
        <v>98</v>
      </c>
      <c r="D6272" s="6" t="n">
        <f aca="false">(Sens!C6256+Sens!D6256)/2*Sens!D6271/1000</f>
        <v>2.70378325872065</v>
      </c>
      <c r="E6272" s="6" t="n">
        <f aca="false">(Sens!D6256+Sens!E6256)/2*Sens!E6271/1000</f>
        <v>6.17783035277451</v>
      </c>
      <c r="F6272" s="6" t="n">
        <f aca="false">(Sens!E6256+Sens!F6256)/2*Sens!F6271/1000</f>
        <v>12.8742463089237</v>
      </c>
      <c r="G6272" s="6" t="n">
        <f aca="false">(Sens!F6256+Sens!G6256)/2*Sens!G6271/1000</f>
        <v>21.8182834646277</v>
      </c>
      <c r="H6272" s="6" t="n">
        <f aca="false">(Sens!G6256+Sens!H6256)/2*Sens!H6271/1000</f>
        <v>31.2430128789734</v>
      </c>
      <c r="I6272" s="6" t="n">
        <f aca="false">(Sens!H6256+Sens!I6256)/2*Sens!I6271/1000</f>
        <v>39.4313057443268</v>
      </c>
      <c r="J6272" s="6" t="n">
        <f aca="false">(Sens!I6256+Sens!J6256)/2*Sens!J6271/1000</f>
        <v>45.0360318228653</v>
      </c>
      <c r="K6272" s="6" t="n">
        <f aca="false">(Sens!J6256+Sens!K6256)/2*Sens!K6271/1000</f>
        <v>48.2929727091156</v>
      </c>
    </row>
    <row r="6273" customFormat="false" ht="17.15" hidden="false" customHeight="false" outlineLevel="0" collapsed="false">
      <c r="A6273" s="0" t="s">
        <v>981</v>
      </c>
      <c r="B6273" s="0" t="s">
        <v>98</v>
      </c>
      <c r="D6273" s="6" t="n">
        <f aca="false">(Sens!C6254+Sens!D6254)/2*rent_mw/1000</f>
        <v>2.44475</v>
      </c>
      <c r="E6273" s="6" t="n">
        <f aca="false">(Sens!D6254+Sens!E6254)/2*rent_mw/1000</f>
        <v>4.22275</v>
      </c>
      <c r="F6273" s="6" t="n">
        <f aca="false">(Sens!E6254+Sens!F6254)/2*rent_mw/1000</f>
        <v>5.80517</v>
      </c>
      <c r="G6273" s="6" t="n">
        <f aca="false">(Sens!F6254+Sens!G6254)/2*rent_mw/1000</f>
        <v>6.72084</v>
      </c>
      <c r="H6273" s="6" t="n">
        <f aca="false">(Sens!G6254+Sens!H6254)/2*rent_mw/1000</f>
        <v>6.72084</v>
      </c>
      <c r="I6273" s="6" t="n">
        <f aca="false">(Sens!H6254+Sens!I6254)/2*rent_mw/1000</f>
        <v>6.72084</v>
      </c>
      <c r="J6273" s="6" t="n">
        <f aca="false">(Sens!I6254+Sens!J6254)/2*rent_mw/1000</f>
        <v>6.72084</v>
      </c>
      <c r="K6273" s="6" t="n">
        <f aca="false">(Sens!J6254+Sens!K6254)/2*rent_mw/1000</f>
        <v>6.72084</v>
      </c>
    </row>
    <row r="6274" customFormat="false" ht="17.15" hidden="false" customHeight="false" outlineLevel="0" collapsed="false">
      <c r="A6274" s="0" t="s">
        <v>982</v>
      </c>
      <c r="B6274" s="0" t="s">
        <v>98</v>
      </c>
      <c r="D6274" s="6" t="n">
        <f aca="false">(Sens!C6256+Sens!D6256)/2*(1-self_build)*fac_rent/1000</f>
        <v>0.853242375631075</v>
      </c>
      <c r="E6274" s="6" t="n">
        <f aca="false">(Sens!D6256+Sens!E6256)/2*(1-self_build)*fac_rent/1000</f>
        <v>1.94955961408728</v>
      </c>
      <c r="F6274" s="6" t="n">
        <f aca="false">(Sens!E6256+Sens!F6256)/2*(1-self_build)*fac_rent/1000</f>
        <v>3.92914894476356</v>
      </c>
      <c r="G6274" s="6" t="n">
        <f aca="false">(Sens!F6256+Sens!G6256)/2*(1-self_build)*fac_rent/1000</f>
        <v>6.53206908578159</v>
      </c>
      <c r="H6274" s="6" t="n">
        <f aca="false">(Sens!G6256+Sens!H6256)/2*(1-self_build)*fac_rent/1000</f>
        <v>9.23717988341591</v>
      </c>
      <c r="I6274" s="6" t="n">
        <f aca="false">(Sens!H6256+Sens!I6256)/2*(1-self_build)*fac_rent/1000</f>
        <v>11.5481378557393</v>
      </c>
      <c r="J6274" s="6" t="n">
        <f aca="false">(Sens!I6256+Sens!J6256)/2*(1-self_build)*fac_rent/1000</f>
        <v>13.0899582289108</v>
      </c>
      <c r="K6274" s="6" t="n">
        <f aca="false">(Sens!J6256+Sens!K6256)/2*(1-self_build)*fac_rent/1000</f>
        <v>13.8897275626556</v>
      </c>
      <c r="L6274" s="12" t="s">
        <v>983</v>
      </c>
    </row>
    <row r="6275" customFormat="false" ht="17.15" hidden="false" customHeight="false" outlineLevel="0" collapsed="false">
      <c r="A6275" s="1" t="s">
        <v>984</v>
      </c>
      <c r="B6275" s="0" t="s">
        <v>168</v>
      </c>
      <c r="D6275" s="7" t="n">
        <f aca="false">(Sens!C6255+Sens!D6255)/(Sens!C6256+Sens!D6256)</f>
        <v>0.6</v>
      </c>
      <c r="E6275" s="7" t="n">
        <f aca="false">(Sens!D6255+Sens!E6255)/(Sens!D6256+Sens!E6256)</f>
        <v>0.6</v>
      </c>
      <c r="F6275" s="7" t="n">
        <f aca="false">(Sens!E6255+Sens!F6255)/(Sens!E6256+Sens!F6256)</f>
        <v>0.6</v>
      </c>
      <c r="G6275" s="7" t="n">
        <f aca="false">(Sens!F6255+Sens!G6255)/(Sens!F6256+Sens!G6256)</f>
        <v>0.6</v>
      </c>
      <c r="H6275" s="7" t="n">
        <f aca="false">(Sens!G6255+Sens!H6255)/(Sens!G6256+Sens!H6256)</f>
        <v>0.6</v>
      </c>
      <c r="I6275" s="7" t="n">
        <f aca="false">(Sens!H6255+Sens!I6255)/(Sens!H6256+Sens!I6256)</f>
        <v>0.6</v>
      </c>
      <c r="J6275" s="7" t="n">
        <f aca="false">(Sens!I6255+Sens!J6255)/(Sens!I6256+Sens!J6256)</f>
        <v>0.6</v>
      </c>
      <c r="K6275" s="7" t="n">
        <f aca="false">(Sens!J6255+Sens!K6255)/(Sens!J6256+Sens!K6256)</f>
        <v>0.6</v>
      </c>
    </row>
    <row r="6276" customFormat="false" ht="17.15" hidden="false" customHeight="false" outlineLevel="0" collapsed="false">
      <c r="A6276" s="0" t="s">
        <v>985</v>
      </c>
      <c r="B6276" s="0" t="s">
        <v>98</v>
      </c>
      <c r="D6276" s="6" t="n">
        <f aca="false">Sens!D6270-Sens!D6275*(Sens!D6272+Sens!D6274)-Sens!D6273</f>
        <v>8.35701406163072</v>
      </c>
      <c r="E6276" s="6" t="n">
        <f aca="false">Sens!E6270-Sens!E6275*(Sens!E6272+Sens!E6274)-Sens!E6273</f>
        <v>18.7103224860238</v>
      </c>
      <c r="F6276" s="6" t="n">
        <f aca="false">Sens!F6270-Sens!F6275*(Sens!F6272+Sens!F6274)-Sens!F6273</f>
        <v>40.1278017995766</v>
      </c>
      <c r="G6276" s="6" t="n">
        <f aca="false">Sens!G6270-Sens!G6275*(Sens!G6272+Sens!G6274)-Sens!G6273</f>
        <v>68.8750961918517</v>
      </c>
      <c r="H6276" s="6" t="n">
        <f aca="false">Sens!H6270-Sens!H6275*(Sens!H6272+Sens!H6274)-Sens!H6273</f>
        <v>99.2509727229189</v>
      </c>
      <c r="I6276" s="6" t="n">
        <f aca="false">Sens!I6270-Sens!I6275*(Sens!I6272+Sens!I6274)-Sens!I6273</f>
        <v>126.111516853442</v>
      </c>
      <c r="J6276" s="6" t="n">
        <f aca="false">Sens!J6270-Sens!J6275*(Sens!J6272+Sens!J6274)-Sens!J6273</f>
        <v>145.028724341695</v>
      </c>
      <c r="K6276" s="6" t="n">
        <f aca="false">Sens!K6270-Sens!K6275*(Sens!K6272+Sens!K6274)-Sens!K6273</f>
        <v>157.363310827849</v>
      </c>
    </row>
    <row r="6277" customFormat="false" ht="17.15" hidden="false" customHeight="false" outlineLevel="0" collapsed="false">
      <c r="A6277" s="1" t="s">
        <v>986</v>
      </c>
      <c r="B6277" s="0" t="s">
        <v>98</v>
      </c>
      <c r="D6277" s="6" t="n">
        <f aca="false">(1-Sens!D6275)*(Sens!D6272+Sens!D6274)</f>
        <v>1.42281025374069</v>
      </c>
      <c r="E6277" s="6" t="n">
        <f aca="false">(1-Sens!E6275)*(Sens!E6272+Sens!E6274)</f>
        <v>3.25095598674472</v>
      </c>
      <c r="F6277" s="6" t="n">
        <f aca="false">(1-Sens!F6275)*(Sens!F6272+Sens!F6274)</f>
        <v>6.72135810147489</v>
      </c>
      <c r="G6277" s="6" t="n">
        <f aca="false">(1-Sens!G6275)*(Sens!G6272+Sens!G6274)</f>
        <v>11.3401410201637</v>
      </c>
      <c r="H6277" s="6" t="n">
        <f aca="false">(1-Sens!H6275)*(Sens!H6272+Sens!H6274)</f>
        <v>16.1920771049557</v>
      </c>
      <c r="I6277" s="6" t="n">
        <f aca="false">(1-Sens!I6275)*(Sens!I6272+Sens!I6274)</f>
        <v>20.3917774400264</v>
      </c>
      <c r="J6277" s="6" t="n">
        <f aca="false">(1-Sens!J6275)*(Sens!J6272+Sens!J6274)</f>
        <v>23.2503960207104</v>
      </c>
      <c r="K6277" s="6" t="n">
        <f aca="false">(1-Sens!K6275)*(Sens!K6272+Sens!K6274)</f>
        <v>24.8730801087085</v>
      </c>
    </row>
    <row r="6278" customFormat="false" ht="17.15" hidden="false" customHeight="false" outlineLevel="0" collapsed="false">
      <c r="A6278" s="1" t="s">
        <v>987</v>
      </c>
      <c r="B6278" s="0" t="s">
        <v>414</v>
      </c>
      <c r="C6278" s="8" t="n">
        <f aca="false">cxit_open</f>
        <v>27.5918995</v>
      </c>
      <c r="D6278" s="8" t="n">
        <f aca="false">cxit_open</f>
        <v>27.5918995</v>
      </c>
      <c r="E6278" s="8" t="n">
        <f aca="false">cxit_open</f>
        <v>27.5918995</v>
      </c>
      <c r="F6278" s="8" t="n">
        <f aca="false">((a_g3_27-nonnv*a_mai)*tk_cxit_gb300+nonnv*a_mai*nv_hold_mai*tk_cxit_vr200+(1-a_g3_27)*tk_cxit_vr200)</f>
        <v>32.4975576</v>
      </c>
      <c r="G6278" s="8" t="n">
        <f aca="false">((a_g3_28-nonnv*a_mai)*tk_cxit_gb300+nonnv*a_mai*nv_hold_mai*tk_cxit_vr200+(1-a_g3_28)*tk_cxit_vr200)</f>
        <v>34.6372088</v>
      </c>
      <c r="H6278" s="8" t="n">
        <f aca="false">((a_g3_29-nonnv*a_mai)*tk_cxit_gb300+nonnv*a_mai*nv_hold_mai*tk_cxit_vr200+(1-a_g3_29)*tk_cxit_vr200)</f>
        <v>35.7070344</v>
      </c>
      <c r="I6278" s="8" t="n">
        <f aca="false">((a_g3_29-nonnv*a_mai)*tk_cxit_gb300+nonnv*a_mai*nv_hold_mai*tk_cxit_vr200+(1-a_g3_29)*tk_cxit_vr200)</f>
        <v>35.7070344</v>
      </c>
      <c r="J6278" s="8" t="n">
        <f aca="false">((a_g3_29-nonnv*a_mai)*tk_cxit_gb300+nonnv*a_mai*nv_hold_mai*tk_cxit_vr200+(1-a_g3_29)*tk_cxit_vr200)</f>
        <v>35.7070344</v>
      </c>
      <c r="K6278" s="8" t="n">
        <f aca="false">((a_g3_29-nonnv*a_mai)*tk_cxit_gb300+nonnv*a_mai*nv_hold_mai*tk_cxit_vr200+(1-a_g3_29)*tk_cxit_vr200)</f>
        <v>35.7070344</v>
      </c>
      <c r="L6278" s="12" t="s">
        <v>988</v>
      </c>
    </row>
    <row r="6279" customFormat="false" ht="17.15" hidden="false" customHeight="false" outlineLevel="0" collapsed="false">
      <c r="A6279" s="0" t="s">
        <v>989</v>
      </c>
      <c r="B6279" s="0" t="s">
        <v>456</v>
      </c>
      <c r="F6279" s="30" t="n">
        <f aca="false">Sens!C6258*IF(Sens!F6251-Sens!C6251=life_it,1,0)+Sens!D6258*IF(Sens!F6251-Sens!D6251=life_it,1,0)+Sens!E6258*IF(Sens!F6251-Sens!E6251=life_it,1,0)</f>
        <v>0</v>
      </c>
      <c r="G6279" s="30" t="n">
        <f aca="false">Sens!C6258*IF(Sens!G6251-Sens!C6251=life_it,1,0)+Sens!D6258*IF(Sens!G6251-Sens!D6251=life_it,1,0)+Sens!E6258*IF(Sens!G6251-Sens!E6251=life_it,1,0)+Sens!F6258*IF(Sens!G6251-Sens!F6251=life_it,1,0)</f>
        <v>0</v>
      </c>
      <c r="H6279" s="30" t="n">
        <f aca="false">Sens!C6258*IF(Sens!H6251-Sens!C6251=life_it,1,0)+Sens!D6258*IF(Sens!H6251-Sens!D6251=life_it,1,0)+Sens!E6258*IF(Sens!H6251-Sens!E6251=life_it,1,0)+Sens!F6258*IF(Sens!H6251-Sens!F6251=life_it,1,0)+Sens!G6258*IF(Sens!H6251-Sens!G6251=life_it,1,0)</f>
        <v>0</v>
      </c>
      <c r="I6279" s="30" t="n">
        <f aca="false">Sens!C6258*IF(Sens!I6251-Sens!C6251=life_it,1,0)+Sens!D6258*IF(Sens!I6251-Sens!D6251=life_it,1,0)+Sens!E6258*IF(Sens!I6251-Sens!E6251=life_it,1,0)+Sens!F6258*IF(Sens!I6251-Sens!F6251=life_it,1,0)+Sens!G6258*IF(Sens!I6251-Sens!G6251=life_it,1,0)+Sens!H6258*IF(Sens!I6251-Sens!H6251=life_it,1,0)</f>
        <v>816.666666666667</v>
      </c>
      <c r="J6279" s="30" t="n">
        <f aca="false">Sens!C6258*IF(Sens!J6251-Sens!C6251=life_it,1,0)+Sens!D6258*IF(Sens!J6251-Sens!D6251=life_it,1,0)+Sens!E6258*IF(Sens!J6251-Sens!E6251=life_it,1,0)+Sens!F6258*IF(Sens!J6251-Sens!F6251=life_it,1,0)+Sens!G6258*IF(Sens!J6251-Sens!G6251=life_it,1,0)+Sens!H6258*IF(Sens!J6251-Sens!H6251=life_it,1,0)+Sens!I6258*IF(Sens!J6251-Sens!I6251=life_it,1,0)</f>
        <v>1233.33333333333</v>
      </c>
      <c r="K6279" s="30" t="n">
        <f aca="false">Sens!C6258*IF(Sens!K6251-Sens!C6251=life_it,1,0)+Sens!D6258*IF(Sens!K6251-Sens!D6251=life_it,1,0)+Sens!E6258*IF(Sens!K6251-Sens!E6251=life_it,1,0)+Sens!F6258*IF(Sens!K6251-Sens!F6251=life_it,1,0)+Sens!G6258*IF(Sens!K6251-Sens!G6251=life_it,1,0)+Sens!H6258*IF(Sens!K6251-Sens!H6251=life_it,1,0)+Sens!I6258*IF(Sens!K6251-Sens!I6251=life_it,1,0)+Sens!J6258*IF(Sens!K6251-Sens!J6251=life_it,1,0)</f>
        <v>2450</v>
      </c>
      <c r="L6279" s="1" t="s">
        <v>990</v>
      </c>
    </row>
    <row r="6280" customFormat="false" ht="17.15" hidden="false" customHeight="false" outlineLevel="0" collapsed="false">
      <c r="A6280" s="0" t="s">
        <v>991</v>
      </c>
      <c r="B6280" s="0" t="s">
        <v>98</v>
      </c>
      <c r="C6280" s="6" t="n">
        <f aca="false">Sens!C6258*Sens!C6278/1000</f>
        <v>22.5333845916667</v>
      </c>
      <c r="D6280" s="6" t="n">
        <f aca="false">Sens!D6258*Sens!D6278/1000</f>
        <v>34.0300093833333</v>
      </c>
      <c r="E6280" s="6" t="n">
        <f aca="false">Sens!E6258*Sens!E6278/1000</f>
        <v>67.600153775</v>
      </c>
      <c r="F6280" s="6" t="n">
        <f aca="false">(Sens!F6258+Sens!F6279)*Sens!F6278/1000</f>
        <v>136.51872432512</v>
      </c>
      <c r="G6280" s="6" t="n">
        <f aca="false">(Sens!G6258+Sens!G6279)*Sens!G6278/1000</f>
        <v>157.399275932048</v>
      </c>
      <c r="H6280" s="6" t="n">
        <f aca="false">(Sens!H6258+Sens!H6279)*Sens!H6278/1000</f>
        <v>162.260804347512</v>
      </c>
      <c r="I6280" s="6" t="n">
        <f aca="false">(Sens!I6258+Sens!I6279)*Sens!I6278/1000</f>
        <v>144.136569485434</v>
      </c>
      <c r="J6280" s="6" t="n">
        <f aca="false">(Sens!J6258+Sens!J6279)*Sens!J6278/1000</f>
        <v>114.029037357864</v>
      </c>
      <c r="K6280" s="6" t="n">
        <f aca="false">(Sens!K6258+Sens!K6279)*Sens!K6278/1000</f>
        <v>113.437085350975</v>
      </c>
    </row>
    <row r="6281" customFormat="false" ht="17.15" hidden="false" customHeight="false" outlineLevel="0" collapsed="false">
      <c r="A6281" s="0" t="s">
        <v>992</v>
      </c>
      <c r="B6281" s="0" t="s">
        <v>98</v>
      </c>
      <c r="C6281" s="6" t="n">
        <f aca="false">Sens!C6258*self_build*tk_cxfac/1000</f>
        <v>6.2083</v>
      </c>
      <c r="D6281" s="6" t="n">
        <f aca="false">Sens!D6258*self_build*tk_cxfac/1000</f>
        <v>9.3758</v>
      </c>
      <c r="E6281" s="6" t="n">
        <f aca="false">Sens!E6258*self_build*tk_cxfac/1000</f>
        <v>18.6249</v>
      </c>
      <c r="F6281" s="6" t="n">
        <f aca="false">Sens!F6258*self_build*tk_cxfac/1000</f>
        <v>31.935179717</v>
      </c>
      <c r="G6281" s="6" t="n">
        <f aca="false">Sens!G6258*self_build*tk_cxfac/1000</f>
        <v>34.545199717</v>
      </c>
      <c r="H6281" s="6" t="n">
        <f aca="false">Sens!H6258*self_build*tk_cxfac/1000</f>
        <v>34.545199717</v>
      </c>
      <c r="I6281" s="6" t="n">
        <f aca="false">Sens!I6258*self_build*tk_cxfac/1000</f>
        <v>24.4782641361767</v>
      </c>
      <c r="J6281" s="6" t="n">
        <f aca="false">Sens!J6258*self_build*tk_cxfac/1000</f>
        <v>14.9008938380769</v>
      </c>
      <c r="K6281" s="6" t="n">
        <f aca="false">Sens!K6258*self_build*tk_cxfac/1000</f>
        <v>5.52576771375761</v>
      </c>
    </row>
    <row r="6282" customFormat="false" ht="17.15" hidden="false" customHeight="false" outlineLevel="0" collapsed="false">
      <c r="A6282" s="0" t="s">
        <v>993</v>
      </c>
      <c r="B6282" s="0" t="s">
        <v>98</v>
      </c>
      <c r="F6282" s="15" t="n">
        <f aca="false">capex_floor27-Sens!F6280-Sens!F6281-Sens!F6378</f>
        <v>0.0265091365881389</v>
      </c>
      <c r="L6282" s="12" t="s">
        <v>994</v>
      </c>
    </row>
    <row r="6283" customFormat="false" ht="17.15" hidden="false" customHeight="false" outlineLevel="0" collapsed="false">
      <c r="A6283" s="0" t="s">
        <v>995</v>
      </c>
      <c r="B6283" s="0" t="s">
        <v>98</v>
      </c>
      <c r="F6283" s="6" t="n">
        <f aca="false">MAX(0,Sens!F6282)</f>
        <v>0.0265091365881389</v>
      </c>
    </row>
    <row r="6284" customFormat="false" ht="17.15" hidden="false" customHeight="false" outlineLevel="0" collapsed="false">
      <c r="A6284" s="0" t="s">
        <v>996</v>
      </c>
      <c r="B6284" s="0" t="s">
        <v>98</v>
      </c>
      <c r="C6284" s="6" t="n">
        <f aca="false">Sens!C6280</f>
        <v>22.5333845916667</v>
      </c>
      <c r="D6284" s="6" t="n">
        <f aca="false">Sens!D6280</f>
        <v>34.0300093833333</v>
      </c>
      <c r="E6284" s="6" t="n">
        <f aca="false">Sens!E6280</f>
        <v>67.600153775</v>
      </c>
      <c r="F6284" s="6" t="n">
        <f aca="false">Sens!F6280</f>
        <v>136.51872432512</v>
      </c>
      <c r="G6284" s="6" t="n">
        <f aca="false">Sens!G6280</f>
        <v>157.399275932048</v>
      </c>
      <c r="H6284" s="6" t="n">
        <f aca="false">Sens!H6280</f>
        <v>162.260804347512</v>
      </c>
      <c r="I6284" s="6" t="n">
        <f aca="false">Sens!I6280</f>
        <v>144.136569485434</v>
      </c>
      <c r="J6284" s="6" t="n">
        <f aca="false">Sens!J6280</f>
        <v>114.029037357864</v>
      </c>
      <c r="K6284" s="6" t="n">
        <f aca="false">Sens!K6280</f>
        <v>113.437085350975</v>
      </c>
    </row>
    <row r="6285" customFormat="false" ht="17.15" hidden="false" customHeight="false" outlineLevel="0" collapsed="false">
      <c r="A6285" s="0" t="s">
        <v>997</v>
      </c>
      <c r="B6285" s="0" t="s">
        <v>98</v>
      </c>
      <c r="C6285" s="6" t="n">
        <f aca="false">Sens!C6284+Sens!C6281</f>
        <v>28.7416845916667</v>
      </c>
      <c r="D6285" s="6" t="n">
        <f aca="false">Sens!D6284+Sens!D6281</f>
        <v>43.4058093833333</v>
      </c>
      <c r="E6285" s="6" t="n">
        <f aca="false">Sens!E6284+Sens!E6281</f>
        <v>86.225053775</v>
      </c>
      <c r="F6285" s="6" t="n">
        <f aca="false">Sens!F6284+Sens!F6281</f>
        <v>168.45390404212</v>
      </c>
      <c r="G6285" s="6" t="n">
        <f aca="false">Sens!G6284+Sens!G6281</f>
        <v>191.944475649048</v>
      </c>
      <c r="H6285" s="6" t="n">
        <f aca="false">Sens!H6284+Sens!H6281</f>
        <v>196.806004064512</v>
      </c>
      <c r="I6285" s="6" t="n">
        <f aca="false">Sens!I6284+Sens!I6281</f>
        <v>168.61483362161</v>
      </c>
      <c r="J6285" s="6" t="n">
        <f aca="false">Sens!J6284+Sens!J6281</f>
        <v>128.92993119594</v>
      </c>
      <c r="K6285" s="6" t="n">
        <f aca="false">Sens!K6284+Sens!K6281</f>
        <v>118.962853064733</v>
      </c>
      <c r="L6285" s="12" t="s">
        <v>998</v>
      </c>
    </row>
    <row r="6286" customFormat="false" ht="17.15" hidden="false" customHeight="false" outlineLevel="0" collapsed="false">
      <c r="A6286" s="0" t="s">
        <v>999</v>
      </c>
      <c r="B6286" s="0" t="s">
        <v>98</v>
      </c>
      <c r="E6286" s="6" t="n">
        <f aca="false">(Sens!C6284*IF(2&lt;life_it,1,IF(2=life_it,0.5,0))+Sens!D6284*IF(1&lt;life_it,1,IF(1=life_it,0.5,0))+Sens!E6284*0.5)/life_it</f>
        <v>15.0605784770833</v>
      </c>
      <c r="F6286" s="6" t="n">
        <f aca="false">(Sens!C6284*IF(3&lt;life_it,1,IF(3=life_it,0.5,0))+Sens!D6284*IF(2&lt;life_it,1,IF(2=life_it,0.5,0))+Sens!E6284*IF(1&lt;life_it,1,IF(1=life_it,0.5,0))+Sens!F6284*0.5)/life_it</f>
        <v>32.0704849854266</v>
      </c>
      <c r="G6286" s="6" t="n">
        <f aca="false">(Sens!C6284*IF(4&lt;life_it,1,IF(4=life_it,0.5,0))+Sens!D6284*IF(3&lt;life_it,1,IF(3=life_it,0.5,0))+Sens!E6284*IF(2&lt;life_it,1,IF(2=life_it,0.5,0))+Sens!F6284*IF(1&lt;life_it,1,IF(1=life_it,0.5,0))+Sens!G6284*0.5)/life_it</f>
        <v>56.5636516735239</v>
      </c>
      <c r="H6286" s="6" t="n">
        <f aca="false">(Sens!C6284*IF(5&lt;life_it,1,IF(5=life_it,0.5,0))+Sens!D6284*IF(4&lt;life_it,1,IF(4=life_it,0.5,0))+Sens!E6284*IF(3&lt;life_it,1,IF(3=life_it,0.5,0))+Sens!F6284*IF(2&lt;life_it,1,IF(2=life_it,0.5,0))+Sens!G6284*IF(1&lt;life_it,1,IF(1=life_it,0.5,0))+Sens!H6284*0.5)/life_it</f>
        <v>83.2019916968207</v>
      </c>
      <c r="I6286" s="6" t="n">
        <f aca="false">(Sens!C6284*IF(6&lt;life_it,1,IF(6=life_it,0.5,0))+Sens!D6284*IF(5&lt;life_it,1,IF(5=life_it,0.5,0))+Sens!E6284*IF(4&lt;life_it,1,IF(4=life_it,0.5,0))+Sens!F6284*IF(3&lt;life_it,1,IF(3=life_it,0.5,0))+Sens!G6284*IF(2&lt;life_it,1,IF(2=life_it,0.5,0))+Sens!H6284*IF(1&lt;life_it,1,IF(1=life_it,0.5,0))+Sens!I6284*0.5)/life_it</f>
        <v>106.857324133594</v>
      </c>
      <c r="J6286" s="6" t="n">
        <f aca="false">(Sens!C6284*IF(7&lt;life_it,1,IF(7=life_it,0.5,0))+Sens!D6284*IF(6&lt;life_it,1,IF(6=life_it,0.5,0))+Sens!E6284*IF(5&lt;life_it,1,IF(5=life_it,0.5,0))+Sens!F6284*IF(4&lt;life_it,1,IF(4=life_it,0.5,0))+Sens!G6284*IF(3&lt;life_it,1,IF(3=life_it,0.5,0))+Sens!H6284*IF(2&lt;life_it,1,IF(2=life_it,0.5,0))+Sens!I6284*IF(1&lt;life_it,1,IF(1=life_it,0.5,0))+Sens!J6284*0.5)/life_it</f>
        <v>123.657508539285</v>
      </c>
      <c r="K6286" s="6" t="n">
        <f aca="false">(Sens!C6284*IF(8&lt;life_it,1,IF(8=life_it,0.5,0))+Sens!D6284*IF(7&lt;life_it,1,IF(7=life_it,0.5,0))+Sens!E6284*IF(6&lt;life_it,1,IF(6=life_it,0.5,0))+Sens!F6284*IF(5&lt;life_it,1,IF(5=life_it,0.5,0))+Sens!G6284*IF(4&lt;life_it,1,IF(4=life_it,0.5,0))+Sens!H6284*IF(3&lt;life_it,1,IF(3=life_it,0.5,0))+Sens!I6284*IF(2&lt;life_it,1,IF(2=life_it,0.5,0))+Sens!J6284*IF(1&lt;life_it,1,IF(1=life_it,0.5,0))+Sens!K6284*0.5)/life_it</f>
        <v>134.143838501827</v>
      </c>
    </row>
    <row r="6287" customFormat="false" ht="17.15" hidden="false" customHeight="false" outlineLevel="0" collapsed="false">
      <c r="A6287" s="0" t="s">
        <v>1000</v>
      </c>
      <c r="B6287" s="0" t="s">
        <v>98</v>
      </c>
      <c r="E6287" s="6" t="n">
        <f aca="false">(Sens!C6281*IF(2&lt;life_fac,1,IF(2=life_fac,0.5,0))+Sens!D6281*IF(1&lt;life_fac,1,IF(1=life_fac,0.5,0))+Sens!E6281*0.5)/life_fac</f>
        <v>1.2448275</v>
      </c>
      <c r="F6287" s="6" t="n">
        <f aca="false">(Sens!C6281*IF(3&lt;life_fac,1,IF(3=life_fac,0.5,0))+Sens!D6281*IF(2&lt;life_fac,1,IF(2=life_fac,0.5,0))+Sens!E6281*IF(1&lt;life_fac,1,IF(1=life_fac,0.5,0))+Sens!F6281*0.5)/life_fac</f>
        <v>2.508829492925</v>
      </c>
      <c r="G6287" s="6" t="n">
        <f aca="false">(Sens!C6281*IF(4&lt;life_fac,1,IF(4=life_fac,0.5,0))+Sens!D6281*IF(3&lt;life_fac,1,IF(3=life_fac,0.5,0))+Sens!E6281*IF(2&lt;life_fac,1,IF(2=life_fac,0.5,0))+Sens!F6281*IF(1&lt;life_fac,1,IF(1=life_fac,0.5,0))+Sens!G6281*0.5)/life_fac</f>
        <v>4.170838978775</v>
      </c>
      <c r="H6287" s="6" t="n">
        <f aca="false">(Sens!C6281*IF(5&lt;life_fac,1,IF(5=life_fac,0.5,0))+Sens!D6281*IF(4&lt;life_fac,1,IF(4=life_fac,0.5,0))+Sens!E6281*IF(3&lt;life_fac,1,IF(3=life_fac,0.5,0))+Sens!F6281*IF(2&lt;life_fac,1,IF(2=life_fac,0.5,0))+Sens!G6281*IF(1&lt;life_fac,1,IF(1=life_fac,0.5,0))+Sens!H6281*0.5)/life_fac</f>
        <v>5.898098964625</v>
      </c>
      <c r="I6287" s="6" t="n">
        <f aca="false">(Sens!C6281*IF(6&lt;life_fac,1,IF(6=life_fac,0.5,0))+Sens!D6281*IF(5&lt;life_fac,1,IF(5=life_fac,0.5,0))+Sens!E6281*IF(4&lt;life_fac,1,IF(4=life_fac,0.5,0))+Sens!F6281*IF(3&lt;life_fac,1,IF(3=life_fac,0.5,0))+Sens!G6281*IF(2&lt;life_fac,1,IF(2=life_fac,0.5,0))+Sens!H6281*IF(1&lt;life_fac,1,IF(1=life_fac,0.5,0))+Sens!I6281*0.5)/life_fac</f>
        <v>7.37368556095442</v>
      </c>
      <c r="J6287" s="6" t="n">
        <f aca="false">(Sens!C6281*IF(7&lt;life_fac,1,IF(7=life_fac,0.5,0))+Sens!D6281*IF(6&lt;life_fac,1,IF(6=life_fac,0.5,0))+Sens!E6281*IF(5&lt;life_fac,1,IF(5=life_fac,0.5,0))+Sens!F6281*IF(4&lt;life_fac,1,IF(4=life_fac,0.5,0))+Sens!G6281*IF(3&lt;life_fac,1,IF(3=life_fac,0.5,0))+Sens!H6281*IF(2&lt;life_fac,1,IF(2=life_fac,0.5,0))+Sens!I6281*IF(1&lt;life_fac,1,IF(1=life_fac,0.5,0))+Sens!J6281*0.5)/life_fac</f>
        <v>8.35816451031075</v>
      </c>
      <c r="K6287" s="6" t="n">
        <f aca="false">(Sens!C6281*IF(8&lt;life_fac,1,IF(8=life_fac,0.5,0))+Sens!D6281*IF(7&lt;life_fac,1,IF(7=life_fac,0.5,0))+Sens!E6281*IF(6&lt;life_fac,1,IF(6=life_fac,0.5,0))+Sens!F6281*IF(5&lt;life_fac,1,IF(5=life_fac,0.5,0))+Sens!G6281*IF(4&lt;life_fac,1,IF(4=life_fac,0.5,0))+Sens!H6281*IF(3&lt;life_fac,1,IF(3=life_fac,0.5,0))+Sens!I6281*IF(2&lt;life_fac,1,IF(2=life_fac,0.5,0))+Sens!J6281*IF(1&lt;life_fac,1,IF(1=life_fac,0.5,0))+Sens!K6281*0.5)/life_fac</f>
        <v>8.86883104910662</v>
      </c>
    </row>
    <row r="6288" customFormat="false" ht="17.15" hidden="false" customHeight="false" outlineLevel="0" collapsed="false">
      <c r="A6288" s="0" t="s">
        <v>1001</v>
      </c>
      <c r="B6288" s="0" t="s">
        <v>98</v>
      </c>
      <c r="E6288" s="6" t="n">
        <f aca="false">Sens!E6286+Sens!E6287</f>
        <v>16.3054059770833</v>
      </c>
      <c r="F6288" s="6" t="n">
        <f aca="false">Sens!F6286+Sens!F6287</f>
        <v>34.5793144783516</v>
      </c>
      <c r="G6288" s="6" t="n">
        <f aca="false">Sens!G6286+Sens!G6287</f>
        <v>60.7344906522989</v>
      </c>
      <c r="H6288" s="6" t="n">
        <f aca="false">Sens!H6286+Sens!H6287</f>
        <v>89.1000906614457</v>
      </c>
      <c r="I6288" s="6" t="n">
        <f aca="false">Sens!I6286+Sens!I6287</f>
        <v>114.231009694548</v>
      </c>
      <c r="J6288" s="6" t="n">
        <f aca="false">Sens!J6286+Sens!J6287</f>
        <v>132.015673049596</v>
      </c>
      <c r="K6288" s="6" t="n">
        <f aca="false">Sens!K6286+Sens!K6287</f>
        <v>143.012669550934</v>
      </c>
    </row>
    <row r="6289" customFormat="false" ht="17.15" hidden="false" customHeight="false" outlineLevel="0" collapsed="false">
      <c r="A6289" s="0" t="s">
        <v>1002</v>
      </c>
      <c r="B6289" s="0" t="s">
        <v>98</v>
      </c>
      <c r="E6289" s="6" t="n">
        <f aca="false">Sens!E6276-Sens!E6275*Sens!E6288</f>
        <v>8.92707889977379</v>
      </c>
      <c r="F6289" s="6" t="n">
        <f aca="false">Sens!F6276-Sens!F6275*Sens!F6288</f>
        <v>19.3802131125657</v>
      </c>
      <c r="G6289" s="6" t="n">
        <f aca="false">Sens!G6276-Sens!G6275*Sens!G6288</f>
        <v>32.4344018004724</v>
      </c>
      <c r="H6289" s="6" t="n">
        <f aca="false">Sens!H6276-Sens!H6275*Sens!H6288</f>
        <v>45.7909183260515</v>
      </c>
      <c r="I6289" s="6" t="n">
        <f aca="false">Sens!I6276-Sens!I6275*Sens!I6288</f>
        <v>57.5729110367134</v>
      </c>
      <c r="J6289" s="6" t="n">
        <f aca="false">Sens!J6276-Sens!J6275*Sens!J6288</f>
        <v>65.8193205119371</v>
      </c>
      <c r="K6289" s="6" t="n">
        <f aca="false">Sens!K6276-Sens!K6275*Sens!K6288</f>
        <v>71.5557090972883</v>
      </c>
    </row>
    <row r="6290" customFormat="false" ht="17.15" hidden="false" customHeight="false" outlineLevel="0" collapsed="false">
      <c r="A6290" s="3" t="s">
        <v>1636</v>
      </c>
    </row>
    <row r="6291" customFormat="false" ht="15" hidden="false" customHeight="false" outlineLevel="0" collapsed="false">
      <c r="A6291" s="4" t="s">
        <v>43</v>
      </c>
      <c r="B6291" s="4" t="s">
        <v>65</v>
      </c>
      <c r="C6291" s="23" t="s">
        <v>938</v>
      </c>
      <c r="D6291" s="23" t="s">
        <v>939</v>
      </c>
      <c r="E6291" s="23" t="s">
        <v>940</v>
      </c>
      <c r="F6291" s="23" t="s">
        <v>941</v>
      </c>
      <c r="G6291" s="23" t="s">
        <v>942</v>
      </c>
      <c r="H6291" s="23" t="s">
        <v>943</v>
      </c>
      <c r="I6291" s="23" t="s">
        <v>944</v>
      </c>
      <c r="J6291" s="23" t="s">
        <v>945</v>
      </c>
      <c r="K6291" s="23" t="s">
        <v>946</v>
      </c>
      <c r="L6291" s="4" t="s">
        <v>47</v>
      </c>
    </row>
    <row r="6292" customFormat="false" ht="17.15" hidden="false" customHeight="false" outlineLevel="0" collapsed="false">
      <c r="A6292" s="0" t="s">
        <v>1021</v>
      </c>
      <c r="B6292" s="0" t="s">
        <v>98</v>
      </c>
      <c r="D6292" s="6" t="n">
        <f aca="false">Sens!D6270</f>
        <v>12.9359794422418</v>
      </c>
      <c r="E6292" s="6" t="n">
        <f aca="false">Sens!E6270</f>
        <v>27.8095064661409</v>
      </c>
      <c r="F6292" s="6" t="n">
        <f aca="false">Sens!F6270</f>
        <v>56.015008951789</v>
      </c>
      <c r="G6292" s="6" t="n">
        <f aca="false">Sens!G6270</f>
        <v>92.6061477220973</v>
      </c>
      <c r="H6292" s="6" t="n">
        <f aca="false">Sens!H6270</f>
        <v>130.259928380352</v>
      </c>
      <c r="I6292" s="6" t="n">
        <f aca="false">Sens!I6270</f>
        <v>163.420023013482</v>
      </c>
      <c r="J6292" s="6" t="n">
        <f aca="false">Sens!J6270</f>
        <v>186.62515837276</v>
      </c>
      <c r="K6292" s="6" t="n">
        <f aca="false">Sens!K6270</f>
        <v>201.393770990911</v>
      </c>
    </row>
    <row r="6293" customFormat="false" ht="17.15" hidden="false" customHeight="false" outlineLevel="0" collapsed="false">
      <c r="A6293" s="0" t="s">
        <v>1022</v>
      </c>
      <c r="B6293" s="0" t="s">
        <v>98</v>
      </c>
      <c r="D6293" s="6" t="n">
        <f aca="false">Q!L6-Sens!D6292</f>
        <v>59.6740205577583</v>
      </c>
      <c r="E6293" s="6" t="n">
        <f aca="false">Q!M6-Sens!E6292</f>
        <v>74.1284935338591</v>
      </c>
      <c r="F6293" s="6" t="n">
        <f aca="false">Q!$I$6+(Sens!F6292+Sens!E6293*(1+Sens!F6294))*(1-Q!$E$6/Q!M6)-Sens!F6292</f>
        <v>91.1647681044321</v>
      </c>
      <c r="G6293" s="6" t="n">
        <f aca="false">Sens!F6293*(1+Sens!G6294)</f>
        <v>108.31735133834</v>
      </c>
      <c r="H6293" s="6" t="n">
        <f aca="false">Sens!G6293*(1+Sens!H6294)</f>
        <v>125.768570112756</v>
      </c>
      <c r="I6293" s="6" t="n">
        <f aca="false">Sens!H6293*(1+Sens!I6294)</f>
        <v>142.630944324464</v>
      </c>
      <c r="J6293" s="6" t="n">
        <f aca="false">Sens!I6293*(1+Sens!J6294)</f>
        <v>157.897777475414</v>
      </c>
      <c r="K6293" s="6" t="n">
        <f aca="false">Sens!J6293*(1+Sens!K6294)</f>
        <v>170.529599673448</v>
      </c>
      <c r="L6293" s="12" t="s">
        <v>1023</v>
      </c>
    </row>
    <row r="6294" customFormat="false" ht="15" hidden="false" customHeight="false" outlineLevel="0" collapsed="false">
      <c r="A6294" s="1" t="s">
        <v>1024</v>
      </c>
      <c r="B6294" s="0" t="s">
        <v>168</v>
      </c>
      <c r="E6294" s="7" t="n">
        <f aca="false">Sens!E6293/Sens!D6293-1</f>
        <v>0.242223883039864</v>
      </c>
      <c r="F6294" s="7" t="n">
        <f aca="false">Sens!$E$6294+(glt_azo-Sens!$E$6294)*MIN(1,(Sens!F6251-base_fy)/n_conv)</f>
        <v>0.215186569199887</v>
      </c>
      <c r="G6294" s="7" t="n">
        <f aca="false">Sens!$E$6294+(glt_azo-Sens!$E$6294)*MIN(1,(Sens!G6251-base_fy)/n_conv)</f>
        <v>0.18814925535991</v>
      </c>
      <c r="H6294" s="7" t="n">
        <f aca="false">Sens!$E$6294+(glt_azo-Sens!$E$6294)*MIN(1,(Sens!H6251-base_fy)/n_conv)</f>
        <v>0.161111941519932</v>
      </c>
      <c r="I6294" s="7" t="n">
        <f aca="false">Sens!$E$6294+(glt_azo-Sens!$E$6294)*MIN(1,(Sens!I6251-base_fy)/n_conv)</f>
        <v>0.134074627679955</v>
      </c>
      <c r="J6294" s="7" t="n">
        <f aca="false">Sens!$E$6294+(glt_azo-Sens!$E$6294)*MIN(1,(Sens!J6251-base_fy)/n_conv)</f>
        <v>0.107037313839977</v>
      </c>
      <c r="K6294" s="7" t="n">
        <f aca="false">Sens!$E$6294+(glt_azo-Sens!$E$6294)*MIN(1,(Sens!K6251-base_fy)/n_conv)</f>
        <v>0.08</v>
      </c>
    </row>
    <row r="6295" customFormat="false" ht="15" hidden="false" customHeight="false" outlineLevel="0" collapsed="false">
      <c r="A6295" s="0" t="s">
        <v>1025</v>
      </c>
      <c r="B6295" s="0" t="s">
        <v>98</v>
      </c>
      <c r="D6295" s="6" t="n">
        <f aca="false">Sens!D6292+Sens!D6293</f>
        <v>72.61</v>
      </c>
      <c r="E6295" s="6" t="n">
        <f aca="false">Sens!E6292+Sens!E6293</f>
        <v>101.938</v>
      </c>
      <c r="F6295" s="6" t="n">
        <f aca="false">Sens!F6292+Sens!F6293</f>
        <v>147.179777056221</v>
      </c>
      <c r="G6295" s="6" t="n">
        <f aca="false">Sens!G6292+Sens!G6293</f>
        <v>200.923499060437</v>
      </c>
      <c r="H6295" s="6" t="n">
        <f aca="false">Sens!H6292+Sens!H6293</f>
        <v>256.028498493109</v>
      </c>
      <c r="I6295" s="6" t="n">
        <f aca="false">Sens!I6292+Sens!I6293</f>
        <v>306.050967337946</v>
      </c>
      <c r="J6295" s="6" t="n">
        <f aca="false">Sens!J6292+Sens!J6293</f>
        <v>344.522935848175</v>
      </c>
      <c r="K6295" s="6" t="n">
        <f aca="false">Sens!K6292+Sens!K6293</f>
        <v>371.923370664359</v>
      </c>
    </row>
    <row r="6296" customFormat="false" ht="17.15" hidden="false" customHeight="false" outlineLevel="0" collapsed="false">
      <c r="A6296" s="0" t="s">
        <v>1026</v>
      </c>
      <c r="B6296" s="1" t="s">
        <v>610</v>
      </c>
      <c r="C6296" s="30" t="n">
        <f aca="false">cop_s24</f>
        <v>1</v>
      </c>
      <c r="D6296" s="30" t="n">
        <f aca="false">cop_s25</f>
        <v>5</v>
      </c>
      <c r="E6296" s="30" t="n">
        <f aca="false">cop_s26</f>
        <v>30</v>
      </c>
      <c r="F6296" s="30" t="n">
        <f aca="false">Sens!E6296+cop_add_B</f>
        <v>50</v>
      </c>
      <c r="G6296" s="30" t="n">
        <f aca="false">Sens!F6296+cop_add_B</f>
        <v>70</v>
      </c>
      <c r="H6296" s="30" t="n">
        <f aca="false">Sens!G6296+cop_add_B</f>
        <v>90</v>
      </c>
      <c r="I6296" s="30" t="n">
        <f aca="false">Sens!H6296+cop_add_B*cop_tail</f>
        <v>100</v>
      </c>
      <c r="J6296" s="30" t="n">
        <f aca="false">Sens!I6296+cop_add_B*cop_tail</f>
        <v>110</v>
      </c>
      <c r="K6296" s="30" t="n">
        <f aca="false">Sens!J6296+cop_add_B*cop_tail</f>
        <v>120</v>
      </c>
      <c r="L6296" s="12" t="s">
        <v>1027</v>
      </c>
    </row>
    <row r="6297" customFormat="false" ht="17.15" hidden="false" customHeight="false" outlineLevel="0" collapsed="false">
      <c r="A6297" s="0" t="s">
        <v>1028</v>
      </c>
      <c r="B6297" s="0" t="s">
        <v>98</v>
      </c>
      <c r="D6297" s="6" t="n">
        <f aca="false">(Sens!C6296+Sens!D6296)/2*cop_px*12/1000</f>
        <v>0.9</v>
      </c>
      <c r="E6297" s="6" t="n">
        <f aca="false">(Sens!D6296+Sens!E6296)/2*cop_px*12/1000</f>
        <v>5.25</v>
      </c>
      <c r="F6297" s="6" t="n">
        <f aca="false">(Sens!E6296+Sens!F6296)/2*cop_px*12/1000</f>
        <v>12</v>
      </c>
      <c r="G6297" s="6" t="n">
        <f aca="false">(Sens!F6296+Sens!G6296)/2*cop_px*12/1000</f>
        <v>18</v>
      </c>
      <c r="H6297" s="6" t="n">
        <f aca="false">(Sens!G6296+Sens!H6296)/2*cop_px*12/1000</f>
        <v>24</v>
      </c>
      <c r="I6297" s="6" t="n">
        <f aca="false">(Sens!H6296+Sens!I6296)/2*cop_px*12/1000</f>
        <v>28.5</v>
      </c>
      <c r="J6297" s="6" t="n">
        <f aca="false">(Sens!I6296+Sens!J6296)/2*cop_px*12/1000</f>
        <v>31.5</v>
      </c>
      <c r="K6297" s="6" t="n">
        <f aca="false">(Sens!J6296+Sens!K6296)/2*cop_px*12/1000</f>
        <v>34.5</v>
      </c>
      <c r="L6297" s="1" t="s">
        <v>1029</v>
      </c>
    </row>
    <row r="6298" customFormat="false" ht="17.15" hidden="false" customHeight="false" outlineLevel="0" collapsed="false">
      <c r="A6298" s="0" t="s">
        <v>1030</v>
      </c>
      <c r="B6298" s="0" t="s">
        <v>98</v>
      </c>
      <c r="D6298" s="6" t="n">
        <f aca="false">Q!L7-Sens!D6297</f>
        <v>83.705</v>
      </c>
      <c r="E6298" s="6" t="n">
        <f aca="false">Q!M7-Sens!E6297</f>
        <v>95.049</v>
      </c>
      <c r="F6298" s="6" t="n">
        <f aca="false">Q!$I$7+(Sens!E6298*(1+Sens!F6299)+Sens!F6297)*(1-Q!$E$7/Q!M7)-Sens!F6297</f>
        <v>106.584003697747</v>
      </c>
      <c r="G6298" s="6" t="n">
        <f aca="false">Sens!F6298*(1+Sens!G6299)</f>
        <v>118.700726545688</v>
      </c>
      <c r="H6298" s="6" t="n">
        <f aca="false">Sens!G6298*(1+Sens!H6299)</f>
        <v>130.898624783666</v>
      </c>
      <c r="I6298" s="6" t="n">
        <f aca="false">Sens!H6298*(1+Sens!I6299)</f>
        <v>142.920510030657</v>
      </c>
      <c r="J6298" s="6" t="n">
        <f aca="false">Sens!I6298*(1+Sens!J6299)</f>
        <v>154.485722618572</v>
      </c>
      <c r="K6298" s="6" t="n">
        <f aca="false">Sens!J6298*(1+Sens!K6299)</f>
        <v>165.299723201872</v>
      </c>
      <c r="L6298" s="12" t="s">
        <v>1031</v>
      </c>
    </row>
    <row r="6299" customFormat="false" ht="15" hidden="false" customHeight="false" outlineLevel="0" collapsed="false">
      <c r="A6299" s="1" t="s">
        <v>1024</v>
      </c>
      <c r="B6299" s="0" t="s">
        <v>168</v>
      </c>
      <c r="E6299" s="7" t="n">
        <f aca="false">Sens!E6298/Sens!D6298-1</f>
        <v>0.135523564900544</v>
      </c>
      <c r="F6299" s="7" t="n">
        <f aca="false">Sens!$E$6299+(glt_m365b-Sens!$E$6299)*MIN(1,(Sens!F6251-base_fy)/n_conv)</f>
        <v>0.124602970750453</v>
      </c>
      <c r="G6299" s="7" t="n">
        <f aca="false">Sens!$E$6299+(glt_m365b-Sens!$E$6299)*MIN(1,(Sens!G6251-base_fy)/n_conv)</f>
        <v>0.113682376600363</v>
      </c>
      <c r="H6299" s="7" t="n">
        <f aca="false">Sens!$E$6299+(glt_m365b-Sens!$E$6299)*MIN(1,(Sens!H6251-base_fy)/n_conv)</f>
        <v>0.102761782450272</v>
      </c>
      <c r="I6299" s="7" t="n">
        <f aca="false">Sens!$E$6299+(glt_m365b-Sens!$E$6299)*MIN(1,(Sens!I6251-base_fy)/n_conv)</f>
        <v>0.0918411883001813</v>
      </c>
      <c r="J6299" s="7" t="n">
        <f aca="false">Sens!$E$6299+(glt_m365b-Sens!$E$6299)*MIN(1,(Sens!J6251-base_fy)/n_conv)</f>
        <v>0.0809205941500906</v>
      </c>
      <c r="K6299" s="7" t="n">
        <f aca="false">Sens!$E$6299+(glt_m365b-Sens!$E$6299)*MIN(1,(Sens!K6251-base_fy)/n_conv)</f>
        <v>0.07</v>
      </c>
    </row>
    <row r="6300" customFormat="false" ht="15" hidden="false" customHeight="false" outlineLevel="0" collapsed="false">
      <c r="A6300" s="0" t="s">
        <v>1032</v>
      </c>
      <c r="B6300" s="0" t="s">
        <v>98</v>
      </c>
      <c r="D6300" s="6" t="n">
        <f aca="false">Sens!D6298+Sens!D6297</f>
        <v>84.605</v>
      </c>
      <c r="E6300" s="6" t="n">
        <f aca="false">Sens!E6298+Sens!E6297</f>
        <v>100.299</v>
      </c>
      <c r="F6300" s="6" t="n">
        <f aca="false">Sens!F6298+Sens!F6297</f>
        <v>118.584003697747</v>
      </c>
      <c r="G6300" s="6" t="n">
        <f aca="false">Sens!G6298+Sens!G6297</f>
        <v>136.700726545688</v>
      </c>
      <c r="H6300" s="6" t="n">
        <f aca="false">Sens!H6298+Sens!H6297</f>
        <v>154.898624783666</v>
      </c>
      <c r="I6300" s="6" t="n">
        <f aca="false">Sens!I6298+Sens!I6297</f>
        <v>171.420510030657</v>
      </c>
      <c r="J6300" s="6" t="n">
        <f aca="false">Sens!J6298+Sens!J6297</f>
        <v>185.985722618572</v>
      </c>
      <c r="K6300" s="6" t="n">
        <f aca="false">Sens!K6298+Sens!K6297</f>
        <v>199.799723201872</v>
      </c>
    </row>
    <row r="6301" customFormat="false" ht="17.15" hidden="false" customHeight="false" outlineLevel="0" collapsed="false">
      <c r="A6301" s="0" t="s">
        <v>1033</v>
      </c>
      <c r="B6301" s="0" t="s">
        <v>98</v>
      </c>
      <c r="D6301" s="6" t="n">
        <f aca="false">Q!L8</f>
        <v>35.391</v>
      </c>
      <c r="E6301" s="6" t="n">
        <f aca="false">Q!M8</f>
        <v>37.285</v>
      </c>
      <c r="F6301" s="6" t="n">
        <f aca="false">Q!$I$8+(Q!M8-Q!$E$8)*(1+Sens!F6302)</f>
        <v>38.3851437782675</v>
      </c>
      <c r="G6301" s="6" t="n">
        <f aca="false">Sens!F6301*(1+Sens!G6302)</f>
        <v>40.0105353288615</v>
      </c>
      <c r="H6301" s="6" t="n">
        <f aca="false">Sens!G6301*(1+Sens!H6302)</f>
        <v>41.4812512033683</v>
      </c>
      <c r="I6301" s="6" t="n">
        <f aca="false">Sens!H6301*(1+Sens!I6302)</f>
        <v>42.7743107216329</v>
      </c>
      <c r="J6301" s="6" t="n">
        <f aca="false">Sens!I6301*(1+Sens!J6302)</f>
        <v>43.8687373064601</v>
      </c>
      <c r="K6301" s="6" t="n">
        <f aca="false">Sens!J6301*(1+Sens!K6302)</f>
        <v>44.7461120525893</v>
      </c>
      <c r="L6301" s="12" t="s">
        <v>1034</v>
      </c>
    </row>
    <row r="6302" customFormat="false" ht="15" hidden="false" customHeight="false" outlineLevel="0" collapsed="false">
      <c r="A6302" s="1" t="s">
        <v>1024</v>
      </c>
      <c r="B6302" s="0" t="s">
        <v>168</v>
      </c>
      <c r="E6302" s="7" t="n">
        <f aca="false">Sens!E6301/Sens!D6301-1</f>
        <v>0.0535164307309768</v>
      </c>
      <c r="F6302" s="7" t="n">
        <f aca="false">Sens!$E$6302+(glt_lic-Sens!$E$6302)*MIN(1,(Sens!F6251-base_fy)/n_conv)</f>
        <v>0.0479303589424807</v>
      </c>
      <c r="G6302" s="7" t="n">
        <f aca="false">Sens!$E$6302+(glt_lic-Sens!$E$6302)*MIN(1,(Sens!G6251-base_fy)/n_conv)</f>
        <v>0.0423442871539845</v>
      </c>
      <c r="H6302" s="7" t="n">
        <f aca="false">Sens!$E$6302+(glt_lic-Sens!$E$6302)*MIN(1,(Sens!H6251-base_fy)/n_conv)</f>
        <v>0.0367582153654884</v>
      </c>
      <c r="I6302" s="7" t="n">
        <f aca="false">Sens!$E$6302+(glt_lic-Sens!$E$6302)*MIN(1,(Sens!I6251-base_fy)/n_conv)</f>
        <v>0.0311721435769923</v>
      </c>
      <c r="J6302" s="7" t="n">
        <f aca="false">Sens!$E$6302+(glt_lic-Sens!$E$6302)*MIN(1,(Sens!J6251-base_fy)/n_conv)</f>
        <v>0.0255860717884961</v>
      </c>
      <c r="K6302" s="7" t="n">
        <f aca="false">Sens!$E$6302+(glt_lic-Sens!$E$6302)*MIN(1,(Sens!K6251-base_fy)/n_conv)</f>
        <v>0.02</v>
      </c>
    </row>
    <row r="6303" customFormat="false" ht="17.15" hidden="false" customHeight="false" outlineLevel="0" collapsed="false">
      <c r="A6303" s="0" t="s">
        <v>1035</v>
      </c>
      <c r="B6303" s="0" t="s">
        <v>98</v>
      </c>
      <c r="D6303" s="6" t="n">
        <f aca="false">Q!L9</f>
        <v>18.417</v>
      </c>
      <c r="E6303" s="6" t="n">
        <f aca="false">Q!M9</f>
        <v>20.345</v>
      </c>
      <c r="F6303" s="6" t="n">
        <f aca="false">Q!$I$9+(Q!M9-Q!$E$9)*(1+Sens!F6304)</f>
        <v>22.3161797133988</v>
      </c>
      <c r="G6303" s="6" t="n">
        <f aca="false">Sens!F6303*(1+Sens!G6304)</f>
        <v>24.3943499673233</v>
      </c>
      <c r="H6303" s="6" t="n">
        <f aca="false">Sens!G6303*(1+Sens!H6304)</f>
        <v>26.5250243109019</v>
      </c>
      <c r="I6303" s="6" t="n">
        <f aca="false">Sens!H6303*(1+Sens!I6304)</f>
        <v>28.6884573538181</v>
      </c>
      <c r="J6303" s="6" t="n">
        <f aca="false">Sens!I6303*(1+Sens!J6304)</f>
        <v>30.8624968052127</v>
      </c>
      <c r="K6303" s="6" t="n">
        <f aca="false">Sens!J6303*(1+Sens!K6304)</f>
        <v>33.0228715815776</v>
      </c>
      <c r="L6303" s="12" t="s">
        <v>1034</v>
      </c>
    </row>
    <row r="6304" customFormat="false" ht="15" hidden="false" customHeight="false" outlineLevel="0" collapsed="false">
      <c r="A6304" s="1" t="s">
        <v>1024</v>
      </c>
      <c r="B6304" s="0" t="s">
        <v>168</v>
      </c>
      <c r="E6304" s="7" t="n">
        <f aca="false">Sens!E6303/Sens!D6303-1</f>
        <v>0.104685888038225</v>
      </c>
      <c r="F6304" s="7" t="n">
        <f aca="false">Sens!$E$6304+(glt_ind-Sens!$E$6304)*MIN(1,(Sens!F6251-base_fy)/n_conv)</f>
        <v>0.0989049066985211</v>
      </c>
      <c r="G6304" s="7" t="n">
        <f aca="false">Sens!$E$6304+(glt_ind-Sens!$E$6304)*MIN(1,(Sens!G6251-base_fy)/n_conv)</f>
        <v>0.0931239253588169</v>
      </c>
      <c r="H6304" s="7" t="n">
        <f aca="false">Sens!$E$6304+(glt_ind-Sens!$E$6304)*MIN(1,(Sens!H6251-base_fy)/n_conv)</f>
        <v>0.0873429440191127</v>
      </c>
      <c r="I6304" s="7" t="n">
        <f aca="false">Sens!$E$6304+(glt_ind-Sens!$E$6304)*MIN(1,(Sens!I6251-base_fy)/n_conv)</f>
        <v>0.0815619626794085</v>
      </c>
      <c r="J6304" s="7" t="n">
        <f aca="false">Sens!$E$6304+(glt_ind-Sens!$E$6304)*MIN(1,(Sens!J6251-base_fy)/n_conv)</f>
        <v>0.0757809813397042</v>
      </c>
      <c r="K6304" s="7" t="n">
        <f aca="false">Sens!$E$6304+(glt_ind-Sens!$E$6304)*MIN(1,(Sens!K6251-base_fy)/n_conv)</f>
        <v>0.07</v>
      </c>
    </row>
    <row r="6305" customFormat="false" ht="17.15" hidden="false" customHeight="false" outlineLevel="0" collapsed="false">
      <c r="A6305" s="0" t="s">
        <v>1036</v>
      </c>
      <c r="B6305" s="0" t="s">
        <v>98</v>
      </c>
      <c r="D6305" s="6" t="n">
        <f aca="false">Q!L10</f>
        <v>7.76</v>
      </c>
      <c r="E6305" s="6" t="n">
        <f aca="false">Q!M10</f>
        <v>8.26</v>
      </c>
      <c r="F6305" s="6" t="n">
        <f aca="false">Q!$I$10+(Q!M10-Q!$E$10)*(1+Sens!F6306)</f>
        <v>8.75372082474227</v>
      </c>
      <c r="G6305" s="6" t="n">
        <f aca="false">Sens!F6305*(1+Sens!G6306)</f>
        <v>9.33399324642364</v>
      </c>
      <c r="H6305" s="6" t="n">
        <f aca="false">Sens!G6305*(1+Sens!H6306)</f>
        <v>9.96139155535851</v>
      </c>
      <c r="I6305" s="6" t="n">
        <f aca="false">Sens!H6305*(1+Sens!I6306)</f>
        <v>10.6402039077391</v>
      </c>
      <c r="J6305" s="6" t="n">
        <f aca="false">Sens!I6305*(1+Sens!J6306)</f>
        <v>11.3751458271397</v>
      </c>
      <c r="K6305" s="6" t="n">
        <f aca="false">Sens!J6305*(1+Sens!K6306)</f>
        <v>12.1714060350394</v>
      </c>
      <c r="L6305" s="12" t="s">
        <v>1034</v>
      </c>
    </row>
    <row r="6306" customFormat="false" ht="15" hidden="false" customHeight="false" outlineLevel="0" collapsed="false">
      <c r="A6306" s="1" t="s">
        <v>1024</v>
      </c>
      <c r="B6306" s="0" t="s">
        <v>168</v>
      </c>
      <c r="E6306" s="7" t="n">
        <f aca="false">Sens!E6305/Sens!D6305-1</f>
        <v>0.0644329896907216</v>
      </c>
      <c r="F6306" s="7" t="n">
        <f aca="false">Sens!$E$6306+(glt_fro-Sens!$E$6306)*MIN(1,(Sens!F6251-base_fy)/n_conv)</f>
        <v>0.065360824742268</v>
      </c>
      <c r="G6306" s="7" t="n">
        <f aca="false">Sens!$E$6306+(glt_fro-Sens!$E$6306)*MIN(1,(Sens!G6251-base_fy)/n_conv)</f>
        <v>0.0662886597938144</v>
      </c>
      <c r="H6306" s="7" t="n">
        <f aca="false">Sens!$E$6306+(glt_fro-Sens!$E$6306)*MIN(1,(Sens!H6251-base_fy)/n_conv)</f>
        <v>0.0672164948453608</v>
      </c>
      <c r="I6306" s="7" t="n">
        <f aca="false">Sens!$E$6306+(glt_fro-Sens!$E$6306)*MIN(1,(Sens!I6251-base_fy)/n_conv)</f>
        <v>0.0681443298969072</v>
      </c>
      <c r="J6306" s="7" t="n">
        <f aca="false">Sens!$E$6306+(glt_fro-Sens!$E$6306)*MIN(1,(Sens!J6251-base_fy)/n_conv)</f>
        <v>0.0690721649484536</v>
      </c>
      <c r="K6306" s="7" t="n">
        <f aca="false">Sens!$E$6306+(glt_fro-Sens!$E$6306)*MIN(1,(Sens!K6251-base_fy)/n_conv)</f>
        <v>0.07</v>
      </c>
    </row>
    <row r="6307" customFormat="false" ht="15" hidden="false" customHeight="false" outlineLevel="0" collapsed="false">
      <c r="A6307" s="0" t="s">
        <v>852</v>
      </c>
      <c r="B6307" s="0" t="s">
        <v>98</v>
      </c>
      <c r="D6307" s="6" t="n">
        <f aca="false">Sens!D6295+Sens!D6300+Sens!D6301+Sens!D6303+Sens!D6305</f>
        <v>218.783</v>
      </c>
      <c r="E6307" s="6" t="n">
        <f aca="false">Sens!E6295+Sens!E6300+Sens!E6301+Sens!E6303+Sens!E6305</f>
        <v>268.127</v>
      </c>
      <c r="F6307" s="6" t="n">
        <f aca="false">Sens!F6295+Sens!F6300+Sens!F6301+Sens!F6303+Sens!F6305</f>
        <v>335.218825070376</v>
      </c>
      <c r="G6307" s="6" t="n">
        <f aca="false">Sens!G6295+Sens!G6300+Sens!G6301+Sens!G6303+Sens!G6305</f>
        <v>411.363104148734</v>
      </c>
      <c r="H6307" s="6" t="n">
        <f aca="false">Sens!H6295+Sens!H6300+Sens!H6301+Sens!H6303+Sens!H6305</f>
        <v>488.894790346403</v>
      </c>
      <c r="I6307" s="6" t="n">
        <f aca="false">Sens!I6295+Sens!I6300+Sens!I6301+Sens!I6303+Sens!I6305</f>
        <v>559.574449351794</v>
      </c>
      <c r="J6307" s="6" t="n">
        <f aca="false">Sens!J6295+Sens!J6300+Sens!J6301+Sens!J6303+Sens!J6305</f>
        <v>616.615038405559</v>
      </c>
      <c r="K6307" s="6" t="n">
        <f aca="false">Sens!K6295+Sens!K6300+Sens!K6301+Sens!K6303+Sens!K6305</f>
        <v>661.663483535437</v>
      </c>
    </row>
    <row r="6308" customFormat="false" ht="17.15" hidden="false" customHeight="false" outlineLevel="0" collapsed="false">
      <c r="A6308" s="0" t="s">
        <v>1037</v>
      </c>
      <c r="B6308" s="0" t="s">
        <v>98</v>
      </c>
      <c r="D6308" s="6" t="n">
        <f aca="false">Q!L13</f>
        <v>22.171</v>
      </c>
      <c r="E6308" s="6" t="n">
        <f aca="false">Q!M13</f>
        <v>24.835</v>
      </c>
      <c r="F6308" s="6" t="n">
        <f aca="false">Q!$I$13+(Q!M13-Q!$E$13)*(1+Sens!F6309)</f>
        <v>27.5591895660247</v>
      </c>
      <c r="G6308" s="6" t="n">
        <f aca="false">Sens!F6308*(1+Sens!G6309)</f>
        <v>30.4098563144583</v>
      </c>
      <c r="H6308" s="6" t="n">
        <f aca="false">Sens!G6308*(1+Sens!H6309)</f>
        <v>33.3011792571777</v>
      </c>
      <c r="I6308" s="6" t="n">
        <f aca="false">Sens!H6308*(1+Sens!I6309)</f>
        <v>36.189023797112</v>
      </c>
      <c r="J6308" s="6" t="n">
        <f aca="false">Sens!I6308*(1+Sens!J6309)</f>
        <v>39.0247773769199</v>
      </c>
      <c r="K6308" s="6" t="n">
        <f aca="false">Sens!J6308*(1+Sens!K6309)</f>
        <v>41.7565117933043</v>
      </c>
      <c r="L6308" s="12" t="s">
        <v>1034</v>
      </c>
    </row>
    <row r="6309" customFormat="false" ht="15" hidden="false" customHeight="false" outlineLevel="0" collapsed="false">
      <c r="A6309" s="1" t="s">
        <v>1024</v>
      </c>
      <c r="B6309" s="0" t="s">
        <v>168</v>
      </c>
      <c r="E6309" s="7" t="n">
        <f aca="false">Sens!E6308/Sens!D6308-1</f>
        <v>0.120156961796942</v>
      </c>
      <c r="F6309" s="7" t="n">
        <f aca="false">Sens!$E$6309+(glt_srch-Sens!$E$6309)*MIN(1,(Sens!F6251-base_fy)/n_conv)</f>
        <v>0.111797468164118</v>
      </c>
      <c r="G6309" s="7" t="n">
        <f aca="false">Sens!$E$6309+(glt_srch-Sens!$E$6309)*MIN(1,(Sens!G6251-base_fy)/n_conv)</f>
        <v>0.103437974531295</v>
      </c>
      <c r="H6309" s="7" t="n">
        <f aca="false">Sens!$E$6309+(glt_srch-Sens!$E$6309)*MIN(1,(Sens!H6251-base_fy)/n_conv)</f>
        <v>0.095078480898471</v>
      </c>
      <c r="I6309" s="7" t="n">
        <f aca="false">Sens!$E$6309+(glt_srch-Sens!$E$6309)*MIN(1,(Sens!I6251-base_fy)/n_conv)</f>
        <v>0.0867189872656474</v>
      </c>
      <c r="J6309" s="7" t="n">
        <f aca="false">Sens!$E$6309+(glt_srch-Sens!$E$6309)*MIN(1,(Sens!J6251-base_fy)/n_conv)</f>
        <v>0.0783594936328237</v>
      </c>
      <c r="K6309" s="7" t="n">
        <f aca="false">Sens!$E$6309+(glt_srch-Sens!$E$6309)*MIN(1,(Sens!K6251-base_fy)/n_conv)</f>
        <v>0.07</v>
      </c>
    </row>
    <row r="6310" customFormat="false" ht="17.15" hidden="false" customHeight="false" outlineLevel="0" collapsed="false">
      <c r="A6310" s="0" t="s">
        <v>1038</v>
      </c>
      <c r="B6310" s="0" t="s">
        <v>98</v>
      </c>
      <c r="D6310" s="6" t="n">
        <f aca="false">Q!L14</f>
        <v>23.455</v>
      </c>
      <c r="E6310" s="6" t="n">
        <f aca="false">Q!M14</f>
        <v>21.79</v>
      </c>
      <c r="F6310" s="6" t="n">
        <f aca="false">Q!$I$14+(Q!M14-Q!$E$14)*(1+Sens!F6311)</f>
        <v>20.7520981041711</v>
      </c>
      <c r="G6310" s="6" t="n">
        <f aca="false">Sens!F6310*(1+Sens!G6311)</f>
        <v>19.9083593495882</v>
      </c>
      <c r="H6310" s="6" t="n">
        <f aca="false">Sens!G6310*(1+Sens!H6311)</f>
        <v>19.4008256265831</v>
      </c>
      <c r="I6310" s="6" t="n">
        <f aca="false">Sens!H6310*(1+Sens!I6311)</f>
        <v>19.200434522122</v>
      </c>
      <c r="J6310" s="6" t="n">
        <f aca="false">Sens!I6310*(1+Sens!J6311)</f>
        <v>19.2932782348507</v>
      </c>
      <c r="K6310" s="6" t="n">
        <f aca="false">Sens!J6310*(1+Sens!K6311)</f>
        <v>19.6791437995477</v>
      </c>
      <c r="L6310" s="12" t="s">
        <v>1034</v>
      </c>
    </row>
    <row r="6311" customFormat="false" ht="15" hidden="false" customHeight="false" outlineLevel="0" collapsed="false">
      <c r="A6311" s="1" t="s">
        <v>1024</v>
      </c>
      <c r="B6311" s="0" t="s">
        <v>168</v>
      </c>
      <c r="E6311" s="7" t="n">
        <f aca="false">Sens!E6310/Sens!D6310-1</f>
        <v>-0.0709869963760392</v>
      </c>
      <c r="F6311" s="7" t="n">
        <f aca="false">Sens!$E$6311+(glt_xbox-Sens!$E$6311)*MIN(1,(Sens!F6251-base_fy)/n_conv)</f>
        <v>-0.0558224969800327</v>
      </c>
      <c r="G6311" s="7" t="n">
        <f aca="false">Sens!$E$6311+(glt_xbox-Sens!$E$6311)*MIN(1,(Sens!G6251-base_fy)/n_conv)</f>
        <v>-0.0406579975840262</v>
      </c>
      <c r="H6311" s="7" t="n">
        <f aca="false">Sens!$E$6311+(glt_xbox-Sens!$E$6311)*MIN(1,(Sens!H6251-base_fy)/n_conv)</f>
        <v>-0.0254934981880196</v>
      </c>
      <c r="I6311" s="7" t="n">
        <f aca="false">Sens!$E$6311+(glt_xbox-Sens!$E$6311)*MIN(1,(Sens!I6251-base_fy)/n_conv)</f>
        <v>-0.0103289987920131</v>
      </c>
      <c r="J6311" s="7" t="n">
        <f aca="false">Sens!$E$6311+(glt_xbox-Sens!$E$6311)*MIN(1,(Sens!J6251-base_fy)/n_conv)</f>
        <v>0.00483550060399347</v>
      </c>
      <c r="K6311" s="7" t="n">
        <f aca="false">Sens!$E$6311+(glt_xbox-Sens!$E$6311)*MIN(1,(Sens!K6251-base_fy)/n_conv)</f>
        <v>0.02</v>
      </c>
    </row>
    <row r="6312" customFormat="false" ht="17.15" hidden="false" customHeight="false" outlineLevel="0" collapsed="false">
      <c r="A6312" s="0" t="s">
        <v>1039</v>
      </c>
      <c r="B6312" s="0" t="s">
        <v>98</v>
      </c>
      <c r="D6312" s="6" t="n">
        <f aca="false">Q!L15</f>
        <v>17.315</v>
      </c>
      <c r="E6312" s="6" t="n">
        <f aca="false">Q!M15</f>
        <v>17.087</v>
      </c>
      <c r="F6312" s="6" t="n">
        <f aca="false">Q!$I$15+(Q!M15-Q!$E$15)*(1+Sens!F6313)</f>
        <v>15.9912273250553</v>
      </c>
      <c r="G6312" s="6" t="n">
        <f aca="false">Sens!F6312*(1+Sens!G6313)</f>
        <v>15.9574562664827</v>
      </c>
      <c r="H6312" s="6" t="n">
        <f aca="false">Sens!G6312*(1+Sens!H6313)</f>
        <v>16.0119687434196</v>
      </c>
      <c r="I6312" s="6" t="n">
        <f aca="false">Sens!H6312*(1+Sens!I6313)</f>
        <v>16.1551810001948</v>
      </c>
      <c r="J6312" s="6" t="n">
        <f aca="false">Sens!I6312*(1+Sens!J6313)</f>
        <v>16.3889793892005</v>
      </c>
      <c r="K6312" s="6" t="n">
        <f aca="false">Sens!J6312*(1+Sens!K6313)</f>
        <v>16.7167589769845</v>
      </c>
      <c r="L6312" s="12" t="s">
        <v>1034</v>
      </c>
    </row>
    <row r="6313" customFormat="false" ht="15" hidden="false" customHeight="false" outlineLevel="0" collapsed="false">
      <c r="A6313" s="1" t="s">
        <v>1024</v>
      </c>
      <c r="B6313" s="0" t="s">
        <v>168</v>
      </c>
      <c r="E6313" s="7" t="n">
        <f aca="false">Sens!E6312/Sens!D6312-1</f>
        <v>-0.0131677736066995</v>
      </c>
      <c r="F6313" s="7" t="n">
        <f aca="false">Sens!$E$6313+(glt_win-Sens!$E$6313)*MIN(1,(Sens!F6251-base_fy)/n_conv)</f>
        <v>-0.00763981133891627</v>
      </c>
      <c r="G6313" s="7" t="n">
        <f aca="false">Sens!$E$6313+(glt_win-Sens!$E$6313)*MIN(1,(Sens!G6251-base_fy)/n_conv)</f>
        <v>-0.00211184907113301</v>
      </c>
      <c r="H6313" s="7" t="n">
        <f aca="false">Sens!$E$6313+(glt_win-Sens!$E$6313)*MIN(1,(Sens!H6251-base_fy)/n_conv)</f>
        <v>0.00341611319665024</v>
      </c>
      <c r="I6313" s="7" t="n">
        <f aca="false">Sens!$E$6313+(glt_win-Sens!$E$6313)*MIN(1,(Sens!I6251-base_fy)/n_conv)</f>
        <v>0.00894407546443349</v>
      </c>
      <c r="J6313" s="7" t="n">
        <f aca="false">Sens!$E$6313+(glt_win-Sens!$E$6313)*MIN(1,(Sens!J6251-base_fy)/n_conv)</f>
        <v>0.0144720377322168</v>
      </c>
      <c r="K6313" s="7" t="n">
        <f aca="false">Sens!$E$6313+(glt_win-Sens!$E$6313)*MIN(1,(Sens!K6251-base_fy)/n_conv)</f>
        <v>0.02</v>
      </c>
    </row>
    <row r="6314" customFormat="false" ht="15" hidden="false" customHeight="false" outlineLevel="0" collapsed="false">
      <c r="A6314" s="0" t="s">
        <v>866</v>
      </c>
      <c r="B6314" s="0" t="s">
        <v>98</v>
      </c>
      <c r="D6314" s="6" t="n">
        <f aca="false">Sens!D6308+Sens!D6310+Sens!D6312</f>
        <v>62.941</v>
      </c>
      <c r="E6314" s="6" t="n">
        <f aca="false">Sens!E6308+Sens!E6310+Sens!E6312</f>
        <v>63.712</v>
      </c>
      <c r="F6314" s="6" t="n">
        <f aca="false">Sens!F6308+Sens!F6310+Sens!F6312</f>
        <v>64.3025149952511</v>
      </c>
      <c r="G6314" s="6" t="n">
        <f aca="false">Sens!G6308+Sens!G6310+Sens!G6312</f>
        <v>66.2756719305292</v>
      </c>
      <c r="H6314" s="6" t="n">
        <f aca="false">Sens!H6308+Sens!H6310+Sens!H6312</f>
        <v>68.7139736271804</v>
      </c>
      <c r="I6314" s="6" t="n">
        <f aca="false">Sens!I6308+Sens!I6310+Sens!I6312</f>
        <v>71.5446393194289</v>
      </c>
      <c r="J6314" s="6" t="n">
        <f aca="false">Sens!J6308+Sens!J6310+Sens!J6312</f>
        <v>74.707035000971</v>
      </c>
      <c r="K6314" s="6" t="n">
        <f aca="false">Sens!K6308+Sens!K6310+Sens!K6312</f>
        <v>78.1524145698365</v>
      </c>
    </row>
    <row r="6315" customFormat="false" ht="15" hidden="false" customHeight="false" outlineLevel="0" collapsed="false">
      <c r="A6315" s="1" t="s">
        <v>1040</v>
      </c>
      <c r="B6315" s="0" t="s">
        <v>98</v>
      </c>
      <c r="D6315" s="6" t="n">
        <f aca="false">Sens!D6307+Sens!D6314</f>
        <v>281.724</v>
      </c>
      <c r="E6315" s="6" t="n">
        <f aca="false">Sens!E6307+Sens!E6314</f>
        <v>331.839</v>
      </c>
      <c r="F6315" s="6" t="n">
        <f aca="false">Sens!F6307+Sens!F6314</f>
        <v>399.521340065628</v>
      </c>
      <c r="G6315" s="6" t="n">
        <f aca="false">Sens!G6307+Sens!G6314</f>
        <v>477.638776079263</v>
      </c>
      <c r="H6315" s="6" t="n">
        <f aca="false">Sens!H6307+Sens!H6314</f>
        <v>557.608763973584</v>
      </c>
      <c r="I6315" s="6" t="n">
        <f aca="false">Sens!I6307+Sens!I6314</f>
        <v>631.119088671222</v>
      </c>
      <c r="J6315" s="6" t="n">
        <f aca="false">Sens!J6307+Sens!J6314</f>
        <v>691.32207340653</v>
      </c>
      <c r="K6315" s="6" t="n">
        <f aca="false">Sens!K6307+Sens!K6314</f>
        <v>739.815898105274</v>
      </c>
    </row>
    <row r="6316" customFormat="false" ht="15" hidden="false" customHeight="false" outlineLevel="0" collapsed="false">
      <c r="A6316" s="26" t="s">
        <v>1041</v>
      </c>
      <c r="B6316" s="31" t="s">
        <v>98</v>
      </c>
      <c r="C6316" s="31"/>
      <c r="D6316" s="27" t="n">
        <f aca="false">(Sens!D6295+Sens!D6300+Sens!D6301+Sens!D6303+Sens!D6305-Sens!D6307)+(Sens!D6308+Sens!D6310+Sens!D6312-Sens!D6314)+(Sens!D6307-Q!L5)+(Sens!D6314-Q!L12)+(Sens!D6295-Q!L6)+(Sens!D6300-Q!L7)</f>
        <v>0</v>
      </c>
      <c r="E6316" s="27" t="n">
        <f aca="false">(Sens!E6295+Sens!E6300+Sens!E6301+Sens!E6303+Sens!E6305-Sens!E6307)+(Sens!E6308+Sens!E6310+Sens!E6312-Sens!E6314)+(Sens!E6307-Q!M5)+(Sens!E6314-Q!M12)+(Sens!E6295-Q!M6)+(Sens!E6300-Q!M7)</f>
        <v>0</v>
      </c>
      <c r="F6316" s="27" t="n">
        <f aca="false">(Sens!F6295+Sens!F6300+Sens!F6301+Sens!F6303+Sens!F6305-Sens!F6307)+(Sens!F6308+Sens!F6310+Sens!F6312-Sens!F6314)</f>
        <v>0</v>
      </c>
      <c r="G6316" s="27" t="n">
        <f aca="false">(Sens!G6295+Sens!G6300+Sens!G6301+Sens!G6303+Sens!G6305-Sens!G6307)+(Sens!G6308+Sens!G6310+Sens!G6312-Sens!G6314)</f>
        <v>0</v>
      </c>
      <c r="H6316" s="27" t="n">
        <f aca="false">(Sens!H6295+Sens!H6300+Sens!H6301+Sens!H6303+Sens!H6305-Sens!H6307)+(Sens!H6308+Sens!H6310+Sens!H6312-Sens!H6314)</f>
        <v>0</v>
      </c>
      <c r="I6316" s="27" t="n">
        <f aca="false">(Sens!I6295+Sens!I6300+Sens!I6301+Sens!I6303+Sens!I6305-Sens!I6307)+(Sens!I6308+Sens!I6310+Sens!I6312-Sens!I6314)</f>
        <v>0</v>
      </c>
      <c r="J6316" s="27" t="n">
        <f aca="false">(Sens!J6295+Sens!J6300+Sens!J6301+Sens!J6303+Sens!J6305-Sens!J6307)+(Sens!J6308+Sens!J6310+Sens!J6312-Sens!J6314)</f>
        <v>0</v>
      </c>
      <c r="K6316" s="27" t="n">
        <f aca="false">(Sens!K6295+Sens!K6300+Sens!K6301+Sens!K6303+Sens!K6305-Sens!K6307)+(Sens!K6308+Sens!K6310+Sens!K6312-Sens!K6314)</f>
        <v>0</v>
      </c>
    </row>
    <row r="6317" customFormat="false" ht="17.15" hidden="false" customHeight="false" outlineLevel="0" collapsed="false">
      <c r="A6317" s="3" t="s">
        <v>1637</v>
      </c>
    </row>
    <row r="6318" customFormat="false" ht="15" hidden="false" customHeight="false" outlineLevel="0" collapsed="false">
      <c r="A6318" s="4" t="s">
        <v>43</v>
      </c>
      <c r="B6318" s="4" t="s">
        <v>65</v>
      </c>
      <c r="C6318" s="23" t="s">
        <v>938</v>
      </c>
      <c r="D6318" s="23" t="s">
        <v>939</v>
      </c>
      <c r="E6318" s="23" t="s">
        <v>940</v>
      </c>
      <c r="F6318" s="23" t="s">
        <v>941</v>
      </c>
      <c r="G6318" s="23" t="s">
        <v>942</v>
      </c>
      <c r="H6318" s="23" t="s">
        <v>943</v>
      </c>
      <c r="I6318" s="23" t="s">
        <v>944</v>
      </c>
      <c r="J6318" s="23" t="s">
        <v>945</v>
      </c>
      <c r="K6318" s="23" t="s">
        <v>946</v>
      </c>
      <c r="L6318" s="4" t="s">
        <v>47</v>
      </c>
    </row>
    <row r="6319" customFormat="false" ht="15" hidden="false" customHeight="false" outlineLevel="0" collapsed="false">
      <c r="A6319" s="0" t="s">
        <v>1025</v>
      </c>
      <c r="B6319" s="0" t="s">
        <v>98</v>
      </c>
      <c r="D6319" s="6" t="n">
        <f aca="false">Sens!D6295</f>
        <v>72.61</v>
      </c>
      <c r="E6319" s="6" t="n">
        <f aca="false">Sens!E6295</f>
        <v>101.938</v>
      </c>
      <c r="F6319" s="6" t="n">
        <f aca="false">Sens!F6295</f>
        <v>147.179777056221</v>
      </c>
      <c r="G6319" s="6" t="n">
        <f aca="false">Sens!G6295</f>
        <v>200.923499060437</v>
      </c>
      <c r="H6319" s="6" t="n">
        <f aca="false">Sens!H6295</f>
        <v>256.028498493109</v>
      </c>
      <c r="I6319" s="6" t="n">
        <f aca="false">Sens!I6295</f>
        <v>306.050967337946</v>
      </c>
      <c r="J6319" s="6" t="n">
        <f aca="false">Sens!J6295</f>
        <v>344.522935848175</v>
      </c>
      <c r="K6319" s="6" t="n">
        <f aca="false">Sens!K6295</f>
        <v>371.923370664359</v>
      </c>
    </row>
    <row r="6320" customFormat="false" ht="17.15" hidden="false" customHeight="false" outlineLevel="0" collapsed="false">
      <c r="A6320" s="0" t="s">
        <v>1021</v>
      </c>
      <c r="B6320" s="0" t="s">
        <v>98</v>
      </c>
      <c r="D6320" s="6" t="n">
        <f aca="false">Sens!D6292</f>
        <v>12.9359794422418</v>
      </c>
      <c r="E6320" s="6" t="n">
        <f aca="false">Sens!E6292</f>
        <v>27.8095064661409</v>
      </c>
      <c r="F6320" s="6" t="n">
        <f aca="false">Sens!F6292</f>
        <v>56.015008951789</v>
      </c>
      <c r="G6320" s="6" t="n">
        <f aca="false">Sens!G6292</f>
        <v>92.6061477220973</v>
      </c>
      <c r="H6320" s="6" t="n">
        <f aca="false">Sens!H6292</f>
        <v>130.259928380352</v>
      </c>
      <c r="I6320" s="6" t="n">
        <f aca="false">Sens!I6292</f>
        <v>163.420023013482</v>
      </c>
      <c r="J6320" s="6" t="n">
        <f aca="false">Sens!J6292</f>
        <v>186.62515837276</v>
      </c>
      <c r="K6320" s="6" t="n">
        <f aca="false">Sens!K6292</f>
        <v>201.393770990911</v>
      </c>
    </row>
    <row r="6321" customFormat="false" ht="17.15" hidden="false" customHeight="false" outlineLevel="0" collapsed="false">
      <c r="A6321" s="0" t="s">
        <v>1052</v>
      </c>
      <c r="B6321" s="0" t="s">
        <v>98</v>
      </c>
      <c r="D6321" s="6" t="n">
        <f aca="false">Sens!D6293</f>
        <v>59.6740205577583</v>
      </c>
      <c r="E6321" s="6" t="n">
        <f aca="false">Sens!E6293</f>
        <v>74.1284935338591</v>
      </c>
      <c r="F6321" s="6" t="n">
        <f aca="false">Sens!F6293</f>
        <v>91.1647681044321</v>
      </c>
      <c r="G6321" s="6" t="n">
        <f aca="false">Sens!G6293</f>
        <v>108.31735133834</v>
      </c>
      <c r="H6321" s="6" t="n">
        <f aca="false">Sens!H6293</f>
        <v>125.768570112756</v>
      </c>
      <c r="I6321" s="6" t="n">
        <f aca="false">Sens!I6293</f>
        <v>142.630944324464</v>
      </c>
      <c r="J6321" s="6" t="n">
        <f aca="false">Sens!J6293</f>
        <v>157.897777475414</v>
      </c>
      <c r="K6321" s="6" t="n">
        <f aca="false">Sens!K6293</f>
        <v>170.529599673448</v>
      </c>
    </row>
    <row r="6322" customFormat="false" ht="15" hidden="false" customHeight="false" outlineLevel="0" collapsed="false">
      <c r="A6322" s="0" t="s">
        <v>1032</v>
      </c>
      <c r="B6322" s="0" t="s">
        <v>98</v>
      </c>
      <c r="D6322" s="6" t="n">
        <f aca="false">Sens!D6300</f>
        <v>84.605</v>
      </c>
      <c r="E6322" s="6" t="n">
        <f aca="false">Sens!E6300</f>
        <v>100.299</v>
      </c>
      <c r="F6322" s="6" t="n">
        <f aca="false">Sens!F6300</f>
        <v>118.584003697747</v>
      </c>
      <c r="G6322" s="6" t="n">
        <f aca="false">Sens!G6300</f>
        <v>136.700726545688</v>
      </c>
      <c r="H6322" s="6" t="n">
        <f aca="false">Sens!H6300</f>
        <v>154.898624783666</v>
      </c>
      <c r="I6322" s="6" t="n">
        <f aca="false">Sens!I6300</f>
        <v>171.420510030657</v>
      </c>
      <c r="J6322" s="6" t="n">
        <f aca="false">Sens!J6300</f>
        <v>185.985722618572</v>
      </c>
      <c r="K6322" s="6" t="n">
        <f aca="false">Sens!K6300</f>
        <v>199.799723201872</v>
      </c>
    </row>
    <row r="6323" customFormat="false" ht="17.15" hidden="false" customHeight="false" outlineLevel="0" collapsed="false">
      <c r="A6323" s="0" t="s">
        <v>1053</v>
      </c>
      <c r="B6323" s="0" t="s">
        <v>98</v>
      </c>
      <c r="D6323" s="6" t="n">
        <f aca="false">Sens!D6298</f>
        <v>83.705</v>
      </c>
      <c r="E6323" s="6" t="n">
        <f aca="false">Sens!E6298</f>
        <v>95.049</v>
      </c>
      <c r="F6323" s="6" t="n">
        <f aca="false">Sens!F6298</f>
        <v>106.584003697747</v>
      </c>
      <c r="G6323" s="6" t="n">
        <f aca="false">Sens!G6298</f>
        <v>118.700726545688</v>
      </c>
      <c r="H6323" s="6" t="n">
        <f aca="false">Sens!H6298</f>
        <v>130.898624783666</v>
      </c>
      <c r="I6323" s="6" t="n">
        <f aca="false">Sens!I6298</f>
        <v>142.920510030657</v>
      </c>
      <c r="J6323" s="6" t="n">
        <f aca="false">Sens!J6298</f>
        <v>154.485722618572</v>
      </c>
      <c r="K6323" s="6" t="n">
        <f aca="false">Sens!K6298</f>
        <v>165.299723201872</v>
      </c>
    </row>
    <row r="6324" customFormat="false" ht="17.15" hidden="false" customHeight="false" outlineLevel="0" collapsed="false">
      <c r="A6324" s="0" t="s">
        <v>1054</v>
      </c>
      <c r="B6324" s="0" t="s">
        <v>98</v>
      </c>
      <c r="D6324" s="6" t="n">
        <f aca="false">Sens!D6297</f>
        <v>0.9</v>
      </c>
      <c r="E6324" s="6" t="n">
        <f aca="false">Sens!E6297</f>
        <v>5.25</v>
      </c>
      <c r="F6324" s="6" t="n">
        <f aca="false">Sens!F6297</f>
        <v>12</v>
      </c>
      <c r="G6324" s="6" t="n">
        <f aca="false">Sens!G6297</f>
        <v>18</v>
      </c>
      <c r="H6324" s="6" t="n">
        <f aca="false">Sens!H6297</f>
        <v>24</v>
      </c>
      <c r="I6324" s="6" t="n">
        <f aca="false">Sens!I6297</f>
        <v>28.5</v>
      </c>
      <c r="J6324" s="6" t="n">
        <f aca="false">Sens!J6297</f>
        <v>31.5</v>
      </c>
      <c r="K6324" s="6" t="n">
        <f aca="false">Sens!K6297</f>
        <v>34.5</v>
      </c>
    </row>
    <row r="6325" customFormat="false" ht="15" hidden="false" customHeight="false" outlineLevel="0" collapsed="false">
      <c r="A6325" s="0" t="s">
        <v>1033</v>
      </c>
      <c r="B6325" s="0" t="s">
        <v>98</v>
      </c>
      <c r="D6325" s="6" t="n">
        <f aca="false">Sens!D6301</f>
        <v>35.391</v>
      </c>
      <c r="E6325" s="6" t="n">
        <f aca="false">Sens!E6301</f>
        <v>37.285</v>
      </c>
      <c r="F6325" s="6" t="n">
        <f aca="false">Sens!F6301</f>
        <v>38.3851437782675</v>
      </c>
      <c r="G6325" s="6" t="n">
        <f aca="false">Sens!G6301</f>
        <v>40.0105353288615</v>
      </c>
      <c r="H6325" s="6" t="n">
        <f aca="false">Sens!H6301</f>
        <v>41.4812512033683</v>
      </c>
      <c r="I6325" s="6" t="n">
        <f aca="false">Sens!I6301</f>
        <v>42.7743107216329</v>
      </c>
      <c r="J6325" s="6" t="n">
        <f aca="false">Sens!J6301</f>
        <v>43.8687373064601</v>
      </c>
      <c r="K6325" s="6" t="n">
        <f aca="false">Sens!K6301</f>
        <v>44.7461120525893</v>
      </c>
    </row>
    <row r="6326" customFormat="false" ht="15" hidden="false" customHeight="false" outlineLevel="0" collapsed="false">
      <c r="A6326" s="0" t="s">
        <v>1035</v>
      </c>
      <c r="B6326" s="0" t="s">
        <v>98</v>
      </c>
      <c r="D6326" s="6" t="n">
        <f aca="false">Sens!D6303</f>
        <v>18.417</v>
      </c>
      <c r="E6326" s="6" t="n">
        <f aca="false">Sens!E6303</f>
        <v>20.345</v>
      </c>
      <c r="F6326" s="6" t="n">
        <f aca="false">Sens!F6303</f>
        <v>22.3161797133988</v>
      </c>
      <c r="G6326" s="6" t="n">
        <f aca="false">Sens!G6303</f>
        <v>24.3943499673233</v>
      </c>
      <c r="H6326" s="6" t="n">
        <f aca="false">Sens!H6303</f>
        <v>26.5250243109019</v>
      </c>
      <c r="I6326" s="6" t="n">
        <f aca="false">Sens!I6303</f>
        <v>28.6884573538181</v>
      </c>
      <c r="J6326" s="6" t="n">
        <f aca="false">Sens!J6303</f>
        <v>30.8624968052127</v>
      </c>
      <c r="K6326" s="6" t="n">
        <f aca="false">Sens!K6303</f>
        <v>33.0228715815776</v>
      </c>
    </row>
    <row r="6327" customFormat="false" ht="15" hidden="false" customHeight="false" outlineLevel="0" collapsed="false">
      <c r="A6327" s="0" t="s">
        <v>1036</v>
      </c>
      <c r="B6327" s="0" t="s">
        <v>98</v>
      </c>
      <c r="D6327" s="6" t="n">
        <f aca="false">Sens!D6305</f>
        <v>7.76</v>
      </c>
      <c r="E6327" s="6" t="n">
        <f aca="false">Sens!E6305</f>
        <v>8.26</v>
      </c>
      <c r="F6327" s="6" t="n">
        <f aca="false">Sens!F6305</f>
        <v>8.75372082474227</v>
      </c>
      <c r="G6327" s="6" t="n">
        <f aca="false">Sens!G6305</f>
        <v>9.33399324642364</v>
      </c>
      <c r="H6327" s="6" t="n">
        <f aca="false">Sens!H6305</f>
        <v>9.96139155535851</v>
      </c>
      <c r="I6327" s="6" t="n">
        <f aca="false">Sens!I6305</f>
        <v>10.6402039077391</v>
      </c>
      <c r="J6327" s="6" t="n">
        <f aca="false">Sens!J6305</f>
        <v>11.3751458271397</v>
      </c>
      <c r="K6327" s="6" t="n">
        <f aca="false">Sens!K6305</f>
        <v>12.1714060350394</v>
      </c>
    </row>
    <row r="6328" customFormat="false" ht="15" hidden="false" customHeight="false" outlineLevel="0" collapsed="false">
      <c r="A6328" s="0" t="s">
        <v>852</v>
      </c>
      <c r="B6328" s="0" t="s">
        <v>98</v>
      </c>
      <c r="D6328" s="6" t="n">
        <f aca="false">Sens!D6307</f>
        <v>218.783</v>
      </c>
      <c r="E6328" s="6" t="n">
        <f aca="false">Sens!E6307</f>
        <v>268.127</v>
      </c>
      <c r="F6328" s="6" t="n">
        <f aca="false">Sens!F6307</f>
        <v>335.218825070376</v>
      </c>
      <c r="G6328" s="6" t="n">
        <f aca="false">Sens!G6307</f>
        <v>411.363104148734</v>
      </c>
      <c r="H6328" s="6" t="n">
        <f aca="false">Sens!H6307</f>
        <v>488.894790346403</v>
      </c>
      <c r="I6328" s="6" t="n">
        <f aca="false">Sens!I6307</f>
        <v>559.574449351794</v>
      </c>
      <c r="J6328" s="6" t="n">
        <f aca="false">Sens!J6307</f>
        <v>616.615038405559</v>
      </c>
      <c r="K6328" s="6" t="n">
        <f aca="false">Sens!K6307</f>
        <v>661.663483535437</v>
      </c>
    </row>
    <row r="6329" customFormat="false" ht="15" hidden="false" customHeight="false" outlineLevel="0" collapsed="false">
      <c r="A6329" s="0" t="s">
        <v>1037</v>
      </c>
      <c r="B6329" s="0" t="s">
        <v>98</v>
      </c>
      <c r="D6329" s="6" t="n">
        <f aca="false">Sens!D6308</f>
        <v>22.171</v>
      </c>
      <c r="E6329" s="6" t="n">
        <f aca="false">Sens!E6308</f>
        <v>24.835</v>
      </c>
      <c r="F6329" s="6" t="n">
        <f aca="false">Sens!F6308</f>
        <v>27.5591895660247</v>
      </c>
      <c r="G6329" s="6" t="n">
        <f aca="false">Sens!G6308</f>
        <v>30.4098563144583</v>
      </c>
      <c r="H6329" s="6" t="n">
        <f aca="false">Sens!H6308</f>
        <v>33.3011792571777</v>
      </c>
      <c r="I6329" s="6" t="n">
        <f aca="false">Sens!I6308</f>
        <v>36.189023797112</v>
      </c>
      <c r="J6329" s="6" t="n">
        <f aca="false">Sens!J6308</f>
        <v>39.0247773769199</v>
      </c>
      <c r="K6329" s="6" t="n">
        <f aca="false">Sens!K6308</f>
        <v>41.7565117933043</v>
      </c>
    </row>
    <row r="6330" customFormat="false" ht="15" hidden="false" customHeight="false" outlineLevel="0" collapsed="false">
      <c r="A6330" s="0" t="s">
        <v>1038</v>
      </c>
      <c r="B6330" s="0" t="s">
        <v>98</v>
      </c>
      <c r="D6330" s="6" t="n">
        <f aca="false">Sens!D6310</f>
        <v>23.455</v>
      </c>
      <c r="E6330" s="6" t="n">
        <f aca="false">Sens!E6310</f>
        <v>21.79</v>
      </c>
      <c r="F6330" s="6" t="n">
        <f aca="false">Sens!F6310</f>
        <v>20.7520981041711</v>
      </c>
      <c r="G6330" s="6" t="n">
        <f aca="false">Sens!G6310</f>
        <v>19.9083593495882</v>
      </c>
      <c r="H6330" s="6" t="n">
        <f aca="false">Sens!H6310</f>
        <v>19.4008256265831</v>
      </c>
      <c r="I6330" s="6" t="n">
        <f aca="false">Sens!I6310</f>
        <v>19.200434522122</v>
      </c>
      <c r="J6330" s="6" t="n">
        <f aca="false">Sens!J6310</f>
        <v>19.2932782348507</v>
      </c>
      <c r="K6330" s="6" t="n">
        <f aca="false">Sens!K6310</f>
        <v>19.6791437995477</v>
      </c>
    </row>
    <row r="6331" customFormat="false" ht="15" hidden="false" customHeight="false" outlineLevel="0" collapsed="false">
      <c r="A6331" s="0" t="s">
        <v>1039</v>
      </c>
      <c r="B6331" s="0" t="s">
        <v>98</v>
      </c>
      <c r="D6331" s="6" t="n">
        <f aca="false">Sens!D6312</f>
        <v>17.315</v>
      </c>
      <c r="E6331" s="6" t="n">
        <f aca="false">Sens!E6312</f>
        <v>17.087</v>
      </c>
      <c r="F6331" s="6" t="n">
        <f aca="false">Sens!F6312</f>
        <v>15.9912273250553</v>
      </c>
      <c r="G6331" s="6" t="n">
        <f aca="false">Sens!G6312</f>
        <v>15.9574562664827</v>
      </c>
      <c r="H6331" s="6" t="n">
        <f aca="false">Sens!H6312</f>
        <v>16.0119687434196</v>
      </c>
      <c r="I6331" s="6" t="n">
        <f aca="false">Sens!I6312</f>
        <v>16.1551810001948</v>
      </c>
      <c r="J6331" s="6" t="n">
        <f aca="false">Sens!J6312</f>
        <v>16.3889793892005</v>
      </c>
      <c r="K6331" s="6" t="n">
        <f aca="false">Sens!K6312</f>
        <v>16.7167589769845</v>
      </c>
    </row>
    <row r="6332" customFormat="false" ht="15" hidden="false" customHeight="false" outlineLevel="0" collapsed="false">
      <c r="A6332" s="0" t="s">
        <v>866</v>
      </c>
      <c r="B6332" s="0" t="s">
        <v>98</v>
      </c>
      <c r="D6332" s="6" t="n">
        <f aca="false">Sens!D6314</f>
        <v>62.941</v>
      </c>
      <c r="E6332" s="6" t="n">
        <f aca="false">Sens!E6314</f>
        <v>63.712</v>
      </c>
      <c r="F6332" s="6" t="n">
        <f aca="false">Sens!F6314</f>
        <v>64.3025149952511</v>
      </c>
      <c r="G6332" s="6" t="n">
        <f aca="false">Sens!G6314</f>
        <v>66.2756719305292</v>
      </c>
      <c r="H6332" s="6" t="n">
        <f aca="false">Sens!H6314</f>
        <v>68.7139736271804</v>
      </c>
      <c r="I6332" s="6" t="n">
        <f aca="false">Sens!I6314</f>
        <v>71.5446393194289</v>
      </c>
      <c r="J6332" s="6" t="n">
        <f aca="false">Sens!J6314</f>
        <v>74.707035000971</v>
      </c>
      <c r="K6332" s="6" t="n">
        <f aca="false">Sens!K6314</f>
        <v>78.1524145698365</v>
      </c>
    </row>
    <row r="6333" customFormat="false" ht="15" hidden="false" customHeight="false" outlineLevel="0" collapsed="false">
      <c r="A6333" s="1" t="s">
        <v>1055</v>
      </c>
      <c r="B6333" s="0" t="s">
        <v>98</v>
      </c>
      <c r="D6333" s="6" t="n">
        <f aca="false">Sens!D6315</f>
        <v>281.724</v>
      </c>
      <c r="E6333" s="6" t="n">
        <f aca="false">Sens!E6315</f>
        <v>331.839</v>
      </c>
      <c r="F6333" s="6" t="n">
        <f aca="false">Sens!F6315</f>
        <v>399.521340065628</v>
      </c>
      <c r="G6333" s="6" t="n">
        <f aca="false">Sens!G6315</f>
        <v>477.638776079263</v>
      </c>
      <c r="H6333" s="6" t="n">
        <f aca="false">Sens!H6315</f>
        <v>557.608763973584</v>
      </c>
      <c r="I6333" s="6" t="n">
        <f aca="false">Sens!I6315</f>
        <v>631.119088671222</v>
      </c>
      <c r="J6333" s="6" t="n">
        <f aca="false">Sens!J6315</f>
        <v>691.32207340653</v>
      </c>
      <c r="K6333" s="6" t="n">
        <f aca="false">Sens!K6315</f>
        <v>739.815898105274</v>
      </c>
    </row>
    <row r="6334" customFormat="false" ht="15" hidden="false" customHeight="false" outlineLevel="0" collapsed="false">
      <c r="A6334" s="1" t="s">
        <v>1056</v>
      </c>
      <c r="B6334" s="0" t="s">
        <v>168</v>
      </c>
      <c r="E6334" s="7" t="n">
        <f aca="false">Sens!E6333/Sens!D6333-1</f>
        <v>0.177886867998467</v>
      </c>
      <c r="F6334" s="7" t="n">
        <f aca="false">Sens!F6333/Sens!E6333-1</f>
        <v>0.203961379059205</v>
      </c>
      <c r="G6334" s="7" t="n">
        <f aca="false">Sens!G6333/Sens!F6333-1</f>
        <v>0.195527568066336</v>
      </c>
      <c r="H6334" s="7" t="n">
        <f aca="false">Sens!H6333/Sens!G6333-1</f>
        <v>0.16742775482083</v>
      </c>
      <c r="I6334" s="7" t="n">
        <f aca="false">Sens!I6333/Sens!H6333-1</f>
        <v>0.131831365371297</v>
      </c>
      <c r="J6334" s="7" t="n">
        <f aca="false">Sens!J6333/Sens!I6333-1</f>
        <v>0.0953908474897518</v>
      </c>
      <c r="K6334" s="7" t="n">
        <f aca="false">Sens!K6333/Sens!J6333-1</f>
        <v>0.0701465012679072</v>
      </c>
    </row>
    <row r="6335" customFormat="false" ht="17.15" hidden="false" customHeight="false" outlineLevel="0" collapsed="false">
      <c r="A6335" s="26" t="s">
        <v>1057</v>
      </c>
      <c r="B6335" s="31" t="s">
        <v>98</v>
      </c>
      <c r="C6335" s="31"/>
      <c r="D6335" s="27" t="n">
        <f aca="false">(Sens!D6328+Sens!D6332-Sens!D6333)+(Sens!D6320+Sens!D6321-Sens!D6319)+(Sens!D6323+Sens!D6324-Sens!D6322)+(Sens!D6333-Q!L18)</f>
        <v>0</v>
      </c>
      <c r="E6335" s="27" t="n">
        <f aca="false">(Sens!E6328+Sens!E6332-Sens!E6333)+(Sens!E6320+Sens!E6321-Sens!E6319)+(Sens!E6323+Sens!E6324-Sens!E6322)+(Sens!E6333-Q!M18)</f>
        <v>0</v>
      </c>
      <c r="F6335" s="27" t="n">
        <f aca="false">(Sens!F6328+Sens!F6332-Sens!F6333)+(Sens!F6320+Sens!F6321-Sens!F6319)+(Sens!F6323+Sens!F6324-Sens!F6322)</f>
        <v>0</v>
      </c>
      <c r="G6335" s="27" t="n">
        <f aca="false">(Sens!G6328+Sens!G6332-Sens!G6333)+(Sens!G6320+Sens!G6321-Sens!G6319)+(Sens!G6323+Sens!G6324-Sens!G6322)</f>
        <v>0</v>
      </c>
      <c r="H6335" s="27" t="n">
        <f aca="false">(Sens!H6328+Sens!H6332-Sens!H6333)+(Sens!H6320+Sens!H6321-Sens!H6319)+(Sens!H6323+Sens!H6324-Sens!H6322)</f>
        <v>0</v>
      </c>
      <c r="I6335" s="27" t="n">
        <f aca="false">(Sens!I6328+Sens!I6332-Sens!I6333)+(Sens!I6320+Sens!I6321-Sens!I6319)+(Sens!I6323+Sens!I6324-Sens!I6322)</f>
        <v>0</v>
      </c>
      <c r="J6335" s="27" t="n">
        <f aca="false">(Sens!J6328+Sens!J6332-Sens!J6333)+(Sens!J6320+Sens!J6321-Sens!J6319)+(Sens!J6323+Sens!J6324-Sens!J6322)</f>
        <v>0</v>
      </c>
      <c r="K6335" s="27" t="n">
        <f aca="false">(Sens!K6328+Sens!K6332-Sens!K6333)+(Sens!K6320+Sens!K6321-Sens!K6319)+(Sens!K6323+Sens!K6324-Sens!K6322)</f>
        <v>0</v>
      </c>
    </row>
    <row r="6336" customFormat="false" ht="17.15" hidden="false" customHeight="false" outlineLevel="0" collapsed="false">
      <c r="A6336" s="0" t="s">
        <v>1058</v>
      </c>
      <c r="B6336" s="0" t="s">
        <v>168</v>
      </c>
      <c r="E6336" s="7" t="n">
        <f aca="false">(Q!M21+Sens!E6272+Sens!E6273+Sens!E6274+Sens!E6288-Sens!E6270)/(Q!M5-Sens!E6270)</f>
        <v>0.570957350878296</v>
      </c>
      <c r="F6336" s="7" t="n">
        <f aca="false">Sens!$E$6336+dm_seg</f>
        <v>0.570957350878296</v>
      </c>
      <c r="G6336" s="7" t="n">
        <f aca="false">Sens!$E$6336+dm_seg</f>
        <v>0.570957350878296</v>
      </c>
      <c r="H6336" s="7" t="n">
        <f aca="false">Sens!$E$6336+dm_seg</f>
        <v>0.570957350878296</v>
      </c>
      <c r="I6336" s="7" t="n">
        <f aca="false">Sens!$E$6336+dm_seg</f>
        <v>0.570957350878296</v>
      </c>
      <c r="J6336" s="7" t="n">
        <f aca="false">Sens!$E$6336+dm_seg</f>
        <v>0.570957350878296</v>
      </c>
      <c r="K6336" s="7" t="n">
        <f aca="false">Sens!$E$6336+dm_seg</f>
        <v>0.570957350878296</v>
      </c>
      <c r="L6336" s="12" t="s">
        <v>1059</v>
      </c>
    </row>
    <row r="6337" customFormat="false" ht="17.15" hidden="false" customHeight="false" outlineLevel="0" collapsed="false">
      <c r="A6337" s="0" t="s">
        <v>880</v>
      </c>
      <c r="B6337" s="0" t="s">
        <v>98</v>
      </c>
      <c r="D6337" s="6" t="n">
        <f aca="false">Q!L21</f>
        <v>110.814</v>
      </c>
      <c r="E6337" s="6" t="n">
        <f aca="false">Q!M21</f>
        <v>136.365</v>
      </c>
      <c r="F6337" s="6" t="n">
        <f aca="false">Q!$I$21+(Sens!F6336*(Sens!F6307-Sens!F6270)+Sens!F6270-(Sens!F6272+Sens!F6273+Sens!F6274)-Sens!F6288-Sens!F6371)*(Sens!F6307-Q!$I$5)/Sens!F6307</f>
        <v>162.545350130677</v>
      </c>
      <c r="G6337" s="6" t="n">
        <f aca="false">(Sens!G6336*(Sens!G6307-Sens!G6270)+Sens!G6270-(Sens!G6272+Sens!G6273+Sens!G6274)-Sens!G6288-Sens!G6371)</f>
        <v>178.794706112477</v>
      </c>
      <c r="H6337" s="6" t="n">
        <f aca="false">(Sens!H6336*(Sens!H6307-Sens!H6270)+Sens!H6270-(Sens!H6272+Sens!H6273+Sens!H6274)-Sens!H6288-Sens!H6371)</f>
        <v>198.721868437194</v>
      </c>
      <c r="I6337" s="6" t="n">
        <f aca="false">(Sens!I6336*(Sens!I6307-Sens!I6270)+Sens!I6270-(Sens!I6272+Sens!I6273+Sens!I6274)-Sens!I6288-Sens!I6371)</f>
        <v>217.674079003644</v>
      </c>
      <c r="J6337" s="6" t="n">
        <f aca="false">(Sens!J6336*(Sens!J6307-Sens!J6270)+Sens!J6270-(Sens!J6272+Sens!J6273+Sens!J6274)-Sens!J6288-Sens!J6371)</f>
        <v>235.26679881494</v>
      </c>
      <c r="K6337" s="6" t="n">
        <f aca="false">(Sens!K6336*(Sens!K6307-Sens!K6270)+Sens!K6270-(Sens!K6272+Sens!K6273+Sens!K6274)-Sens!K6288-Sens!K6371)</f>
        <v>252.270371594137</v>
      </c>
      <c r="L6337" s="1" t="s">
        <v>1060</v>
      </c>
    </row>
    <row r="6338" customFormat="false" ht="17.15" hidden="false" customHeight="false" outlineLevel="0" collapsed="false">
      <c r="A6338" s="0" t="s">
        <v>1061</v>
      </c>
      <c r="B6338" s="0" t="s">
        <v>168</v>
      </c>
      <c r="E6338" s="7" t="n">
        <f aca="false">Q!M22/Q!M12</f>
        <v>0.296207935710698</v>
      </c>
      <c r="F6338" s="7" t="n">
        <f aca="false">Sens!$E$6338+dm_seg</f>
        <v>0.296207935710698</v>
      </c>
      <c r="G6338" s="7" t="n">
        <f aca="false">Sens!$E$6338+dm_seg</f>
        <v>0.296207935710698</v>
      </c>
      <c r="H6338" s="7" t="n">
        <f aca="false">Sens!$E$6338+dm_seg</f>
        <v>0.296207935710698</v>
      </c>
      <c r="I6338" s="7" t="n">
        <f aca="false">Sens!$E$6338+dm_seg</f>
        <v>0.296207935710698</v>
      </c>
      <c r="J6338" s="7" t="n">
        <f aca="false">Sens!$E$6338+dm_seg</f>
        <v>0.296207935710698</v>
      </c>
      <c r="K6338" s="7" t="n">
        <f aca="false">Sens!$E$6338+dm_seg</f>
        <v>0.296207935710698</v>
      </c>
      <c r="L6338" s="12" t="s">
        <v>1062</v>
      </c>
    </row>
    <row r="6339" customFormat="false" ht="17.15" hidden="false" customHeight="false" outlineLevel="0" collapsed="false">
      <c r="A6339" s="0" t="s">
        <v>882</v>
      </c>
      <c r="B6339" s="0" t="s">
        <v>98</v>
      </c>
      <c r="D6339" s="6" t="n">
        <f aca="false">Q!L22</f>
        <v>17.714</v>
      </c>
      <c r="E6339" s="6" t="n">
        <f aca="false">Q!M22</f>
        <v>18.872</v>
      </c>
      <c r="F6339" s="6" t="n">
        <f aca="false">Q!$I$22+(Sens!F6314-Q!$I$12)*Sens!F6338</f>
        <v>19.8174315512051</v>
      </c>
      <c r="G6339" s="6" t="n">
        <f aca="false">Sens!G6314*Sens!G6338</f>
        <v>19.6313799703815</v>
      </c>
      <c r="H6339" s="6" t="n">
        <f aca="false">Sens!H6314*Sens!H6338</f>
        <v>20.3536242825865</v>
      </c>
      <c r="I6339" s="6" t="n">
        <f aca="false">Sens!I6314*Sens!I6338</f>
        <v>21.1920899239745</v>
      </c>
      <c r="J6339" s="6" t="n">
        <f aca="false">Sens!J6314*Sens!J6338</f>
        <v>22.1288166207045</v>
      </c>
      <c r="K6339" s="6" t="n">
        <f aca="false">Sens!K6314*Sens!K6338</f>
        <v>23.1493653905379</v>
      </c>
      <c r="L6339" s="12" t="s">
        <v>1063</v>
      </c>
    </row>
    <row r="6340" customFormat="false" ht="15" hidden="false" customHeight="false" outlineLevel="0" collapsed="false">
      <c r="A6340" s="1" t="s">
        <v>1064</v>
      </c>
      <c r="B6340" s="0" t="s">
        <v>98</v>
      </c>
      <c r="D6340" s="6" t="n">
        <f aca="false">Sens!D6337+Sens!D6339</f>
        <v>128.528</v>
      </c>
      <c r="E6340" s="6" t="n">
        <f aca="false">Sens!E6337+Sens!E6339</f>
        <v>155.237</v>
      </c>
      <c r="F6340" s="6" t="n">
        <f aca="false">Sens!F6337+Sens!F6339</f>
        <v>182.362781681882</v>
      </c>
      <c r="G6340" s="6" t="n">
        <f aca="false">Sens!G6337+Sens!G6339</f>
        <v>198.426086082859</v>
      </c>
      <c r="H6340" s="6" t="n">
        <f aca="false">Sens!H6337+Sens!H6339</f>
        <v>219.07549271978</v>
      </c>
      <c r="I6340" s="6" t="n">
        <f aca="false">Sens!I6337+Sens!I6339</f>
        <v>238.866168927618</v>
      </c>
      <c r="J6340" s="6" t="n">
        <f aca="false">Sens!J6337+Sens!J6339</f>
        <v>257.395615435644</v>
      </c>
      <c r="K6340" s="6" t="n">
        <f aca="false">Sens!K6337+Sens!K6339</f>
        <v>275.419736984675</v>
      </c>
    </row>
    <row r="6341" customFormat="false" ht="15" hidden="false" customHeight="false" outlineLevel="0" collapsed="false">
      <c r="A6341" s="26" t="s">
        <v>1065</v>
      </c>
      <c r="B6341" s="31" t="s">
        <v>98</v>
      </c>
      <c r="C6341" s="31"/>
      <c r="D6341" s="27" t="n">
        <f aca="false">Sens!D6340-Q!L23</f>
        <v>0</v>
      </c>
      <c r="E6341" s="27" t="n">
        <f aca="false">Sens!E6340-Q!M23</f>
        <v>0</v>
      </c>
      <c r="F6341" s="31"/>
      <c r="G6341" s="31"/>
      <c r="H6341" s="31"/>
      <c r="I6341" s="31"/>
      <c r="J6341" s="31"/>
      <c r="K6341" s="31"/>
    </row>
    <row r="6342" customFormat="false" ht="15" hidden="false" customHeight="false" outlineLevel="0" collapsed="false">
      <c r="A6342" s="1" t="s">
        <v>1066</v>
      </c>
      <c r="B6342" s="0" t="s">
        <v>168</v>
      </c>
      <c r="D6342" s="7" t="n">
        <f aca="false">Sens!D6340/Sens!D6333</f>
        <v>0.456219562408598</v>
      </c>
      <c r="E6342" s="7" t="n">
        <f aca="false">Sens!E6340/Sens!E6333</f>
        <v>0.467808184089272</v>
      </c>
      <c r="F6342" s="7" t="n">
        <f aca="false">Sens!F6340/Sens!F6333</f>
        <v>0.456453168814277</v>
      </c>
      <c r="G6342" s="7" t="n">
        <f aca="false">Sens!G6340/Sens!G6333</f>
        <v>0.415431275726094</v>
      </c>
      <c r="H6342" s="7" t="n">
        <f aca="false">Sens!H6340/Sens!H6333</f>
        <v>0.392883876427306</v>
      </c>
      <c r="I6342" s="7" t="n">
        <f aca="false">Sens!I6340/Sens!I6333</f>
        <v>0.378480342641092</v>
      </c>
      <c r="J6342" s="7" t="n">
        <f aca="false">Sens!J6340/Sens!J6333</f>
        <v>0.372323733520199</v>
      </c>
      <c r="K6342" s="7" t="n">
        <f aca="false">Sens!K6340/Sens!K6333</f>
        <v>0.372281452304616</v>
      </c>
    </row>
    <row r="6343" customFormat="false" ht="17.15" hidden="false" customHeight="false" outlineLevel="0" collapsed="false">
      <c r="A6343" s="1" t="s">
        <v>1067</v>
      </c>
      <c r="B6343" s="0" t="s">
        <v>98</v>
      </c>
      <c r="F6343" s="6" t="n">
        <f aca="false">Sens!F6358</f>
        <v>9.7398427716299</v>
      </c>
      <c r="G6343" s="6" t="n">
        <f aca="false">Sens!G6358</f>
        <v>25.2753385959797</v>
      </c>
      <c r="H6343" s="6" t="n">
        <f aca="false">Sens!H6358</f>
        <v>42.2840253697948</v>
      </c>
      <c r="I6343" s="6" t="n">
        <f aca="false">Sens!I6358</f>
        <v>57.704943641581</v>
      </c>
      <c r="J6343" s="6" t="n">
        <f aca="false">Sens!J6358</f>
        <v>68.4828520908201</v>
      </c>
      <c r="K6343" s="6" t="n">
        <f aca="false">Sens!K6358</f>
        <v>74.3598374943249</v>
      </c>
      <c r="L6343" s="1" t="s">
        <v>1068</v>
      </c>
    </row>
    <row r="6344" customFormat="false" ht="17.15" hidden="false" customHeight="false" outlineLevel="0" collapsed="false">
      <c r="A6344" s="1" t="s">
        <v>1069</v>
      </c>
      <c r="B6344" s="0" t="s">
        <v>98</v>
      </c>
      <c r="D6344" s="6" t="n">
        <f aca="false">Sens!D6340</f>
        <v>128.528</v>
      </c>
      <c r="E6344" s="6" t="n">
        <f aca="false">Sens!E6340</f>
        <v>155.237</v>
      </c>
      <c r="F6344" s="6" t="n">
        <f aca="false">Sens!F6340+Sens!F6343</f>
        <v>192.102624453512</v>
      </c>
      <c r="G6344" s="6" t="n">
        <f aca="false">Sens!G6340+Sens!G6343</f>
        <v>223.701424678838</v>
      </c>
      <c r="H6344" s="6" t="n">
        <f aca="false">Sens!H6340+Sens!H6343</f>
        <v>261.359518089575</v>
      </c>
      <c r="I6344" s="6" t="n">
        <f aca="false">Sens!I6340+Sens!I6343</f>
        <v>296.571112569199</v>
      </c>
      <c r="J6344" s="6" t="n">
        <f aca="false">Sens!J6340+Sens!J6343</f>
        <v>325.878467526464</v>
      </c>
      <c r="K6344" s="6" t="n">
        <f aca="false">Sens!K6340+Sens!K6343</f>
        <v>349.779574479</v>
      </c>
    </row>
    <row r="6345" customFormat="false" ht="17.15" hidden="false" customHeight="false" outlineLevel="0" collapsed="false">
      <c r="A6345" s="1" t="s">
        <v>1070</v>
      </c>
      <c r="B6345" s="0" t="s">
        <v>98</v>
      </c>
      <c r="E6345" s="6" t="n">
        <f aca="false">Sens!E6288</f>
        <v>16.3054059770833</v>
      </c>
      <c r="F6345" s="6" t="n">
        <f aca="false">Sens!F6288</f>
        <v>34.5793144783516</v>
      </c>
      <c r="G6345" s="6" t="n">
        <f aca="false">Sens!G6288</f>
        <v>60.7344906522989</v>
      </c>
      <c r="H6345" s="6" t="n">
        <f aca="false">Sens!H6288</f>
        <v>89.1000906614457</v>
      </c>
      <c r="I6345" s="6" t="n">
        <f aca="false">Sens!I6288</f>
        <v>114.231009694548</v>
      </c>
      <c r="J6345" s="6" t="n">
        <f aca="false">Sens!J6288</f>
        <v>132.015673049596</v>
      </c>
      <c r="K6345" s="6" t="n">
        <f aca="false">Sens!K6288</f>
        <v>143.012669550934</v>
      </c>
    </row>
    <row r="6346" customFormat="false" ht="17.15" hidden="false" customHeight="false" outlineLevel="0" collapsed="false">
      <c r="A6346" s="1" t="s">
        <v>1071</v>
      </c>
      <c r="B6346" s="0" t="s">
        <v>98</v>
      </c>
      <c r="E6346" s="6" t="n">
        <f aca="false">Sens!E6370</f>
        <v>22.2285940229167</v>
      </c>
      <c r="F6346" s="6" t="n">
        <f aca="false">Sens!F6370</f>
        <v>23.580344216413</v>
      </c>
      <c r="G6346" s="6" t="n">
        <f aca="false">Sens!G6370</f>
        <v>25.3552031710858</v>
      </c>
      <c r="H6346" s="6" t="n">
        <f aca="false">Sens!H6370</f>
        <v>27.5220829029744</v>
      </c>
      <c r="I6346" s="6" t="n">
        <f aca="false">Sens!I6370</f>
        <v>30.0144695641677</v>
      </c>
      <c r="J6346" s="6" t="n">
        <f aca="false">Sens!J6370</f>
        <v>32.7490060631072</v>
      </c>
      <c r="K6346" s="6" t="n">
        <f aca="false">Sens!K6370</f>
        <v>35.6413980971484</v>
      </c>
    </row>
    <row r="6347" customFormat="false" ht="17.15" hidden="false" customHeight="false" outlineLevel="0" collapsed="false">
      <c r="A6347" s="1" t="s">
        <v>1072</v>
      </c>
      <c r="B6347" s="0" t="s">
        <v>98</v>
      </c>
      <c r="D6347" s="6" t="n">
        <f aca="false">Q!L27</f>
        <v>-4.901</v>
      </c>
      <c r="E6347" s="6" t="n">
        <f aca="false">Q!M27</f>
        <v>10.697</v>
      </c>
      <c r="F6347" s="6" t="n">
        <f aca="false">Q!$I$27+oie_f*(q_per_yr-1)/q_per_yr</f>
        <v>-0.862</v>
      </c>
      <c r="G6347" s="6" t="n">
        <f aca="false">oie_f</f>
        <v>-1.2</v>
      </c>
      <c r="H6347" s="6" t="n">
        <f aca="false">oie_f</f>
        <v>-1.2</v>
      </c>
      <c r="I6347" s="6" t="n">
        <f aca="false">oie_f</f>
        <v>-1.2</v>
      </c>
      <c r="J6347" s="6" t="n">
        <f aca="false">oie_f</f>
        <v>-1.2</v>
      </c>
      <c r="K6347" s="6" t="n">
        <f aca="false">oie_f</f>
        <v>-1.2</v>
      </c>
      <c r="L6347" s="12" t="s">
        <v>1073</v>
      </c>
    </row>
    <row r="6348" customFormat="false" ht="15" hidden="false" customHeight="false" outlineLevel="0" collapsed="false">
      <c r="A6348" s="1" t="s">
        <v>1074</v>
      </c>
      <c r="B6348" s="0" t="s">
        <v>98</v>
      </c>
      <c r="D6348" s="6" t="n">
        <f aca="false">Sens!D6340+Sens!D6347</f>
        <v>123.627</v>
      </c>
      <c r="E6348" s="6" t="n">
        <f aca="false">Sens!E6340+Sens!E6347</f>
        <v>165.934</v>
      </c>
      <c r="F6348" s="6" t="n">
        <f aca="false">Sens!F6340+Sens!F6347</f>
        <v>181.500781681882</v>
      </c>
      <c r="G6348" s="6" t="n">
        <f aca="false">Sens!G6340+Sens!G6347</f>
        <v>197.226086082859</v>
      </c>
      <c r="H6348" s="6" t="n">
        <f aca="false">Sens!H6340+Sens!H6347</f>
        <v>217.87549271978</v>
      </c>
      <c r="I6348" s="6" t="n">
        <f aca="false">Sens!I6340+Sens!I6347</f>
        <v>237.666168927618</v>
      </c>
      <c r="J6348" s="6" t="n">
        <f aca="false">Sens!J6340+Sens!J6347</f>
        <v>256.195615435644</v>
      </c>
      <c r="K6348" s="6" t="n">
        <f aca="false">Sens!K6340+Sens!K6347</f>
        <v>274.219736984675</v>
      </c>
    </row>
    <row r="6349" customFormat="false" ht="15" hidden="false" customHeight="false" outlineLevel="0" collapsed="false">
      <c r="A6349" s="1" t="s">
        <v>1075</v>
      </c>
      <c r="B6349" s="0" t="s">
        <v>98</v>
      </c>
      <c r="D6349" s="6" t="n">
        <f aca="false">Q!L29</f>
        <v>21.795</v>
      </c>
      <c r="E6349" s="6" t="n">
        <f aca="false">Q!M29</f>
        <v>32.185</v>
      </c>
      <c r="F6349" s="6" t="n">
        <f aca="false">Q!$I$29+(Sens!F6348-Q!$I$28)*tax_f</f>
        <v>36.4335563363764</v>
      </c>
      <c r="G6349" s="6" t="n">
        <f aca="false">Sens!G6348*tax_f</f>
        <v>39.4452172165717</v>
      </c>
      <c r="H6349" s="6" t="n">
        <f aca="false">Sens!H6348*tax_f</f>
        <v>43.575098543956</v>
      </c>
      <c r="I6349" s="6" t="n">
        <f aca="false">Sens!I6348*tax_f</f>
        <v>47.5332337855236</v>
      </c>
      <c r="J6349" s="6" t="n">
        <f aca="false">Sens!J6348*tax_f</f>
        <v>51.2391230871288</v>
      </c>
      <c r="K6349" s="6" t="n">
        <f aca="false">Sens!K6348*tax_f</f>
        <v>54.843947396935</v>
      </c>
    </row>
    <row r="6350" customFormat="false" ht="15" hidden="false" customHeight="false" outlineLevel="0" collapsed="false">
      <c r="A6350" s="1" t="s">
        <v>1076</v>
      </c>
      <c r="B6350" s="0" t="s">
        <v>98</v>
      </c>
      <c r="D6350" s="6" t="n">
        <f aca="false">Sens!D6348-Sens!D6349</f>
        <v>101.832</v>
      </c>
      <c r="E6350" s="6" t="n">
        <f aca="false">Sens!E6348-Sens!E6349</f>
        <v>133.749</v>
      </c>
      <c r="F6350" s="6" t="n">
        <f aca="false">Sens!F6348-Sens!F6349</f>
        <v>145.067225345506</v>
      </c>
      <c r="G6350" s="6" t="n">
        <f aca="false">Sens!G6348-Sens!G6349</f>
        <v>157.780868866287</v>
      </c>
      <c r="H6350" s="6" t="n">
        <f aca="false">Sens!H6348-Sens!H6349</f>
        <v>174.300394175824</v>
      </c>
      <c r="I6350" s="6" t="n">
        <f aca="false">Sens!I6348-Sens!I6349</f>
        <v>190.132935142095</v>
      </c>
      <c r="J6350" s="6" t="n">
        <f aca="false">Sens!J6348-Sens!J6349</f>
        <v>204.956492348515</v>
      </c>
      <c r="K6350" s="6" t="n">
        <f aca="false">Sens!K6348-Sens!K6349</f>
        <v>219.37578958774</v>
      </c>
    </row>
    <row r="6351" customFormat="false" ht="17.15" hidden="false" customHeight="false" outlineLevel="0" collapsed="false">
      <c r="A6351" s="1" t="s">
        <v>1077</v>
      </c>
      <c r="B6351" s="1" t="s">
        <v>81</v>
      </c>
      <c r="D6351" s="15" t="n">
        <f aca="false">Q!L31</f>
        <v>7.465</v>
      </c>
      <c r="E6351" s="15" t="n">
        <f aca="false">Q!M31</f>
        <v>7.453</v>
      </c>
      <c r="F6351" s="15" t="n">
        <f aca="false">Sens!F6395</f>
        <v>7.47290852163461</v>
      </c>
      <c r="G6351" s="15" t="n">
        <f aca="false">Sens!G6395</f>
        <v>7.51731704326922</v>
      </c>
      <c r="H6351" s="15" t="n">
        <f aca="false">Sens!H6395</f>
        <v>7.54501698229802</v>
      </c>
      <c r="I6351" s="15" t="n">
        <f aca="false">Sens!I6395</f>
        <v>7.55669834635349</v>
      </c>
      <c r="J6351" s="15" t="n">
        <f aca="false">Sens!J6395</f>
        <v>7.57084775751596</v>
      </c>
      <c r="K6351" s="15" t="n">
        <f aca="false">Sens!K6395</f>
        <v>7.58728239748121</v>
      </c>
    </row>
    <row r="6352" customFormat="false" ht="17.15" hidden="false" customHeight="false" outlineLevel="0" collapsed="false">
      <c r="A6352" s="0" t="s">
        <v>1078</v>
      </c>
      <c r="B6352" s="0" t="s">
        <v>75</v>
      </c>
      <c r="D6352" s="8" t="n">
        <f aca="false">Sens!D6350/Sens!D6351</f>
        <v>13.641259209645</v>
      </c>
      <c r="E6352" s="8" t="n">
        <f aca="false">Sens!E6350/Sens!E6351</f>
        <v>17.9456594659869</v>
      </c>
      <c r="F6352" s="8" t="n">
        <f aca="false">Sens!F6350/Sens!F6351</f>
        <v>19.4124181937362</v>
      </c>
      <c r="G6352" s="8" t="n">
        <f aca="false">Sens!G6350/Sens!G6351</f>
        <v>20.988986889619</v>
      </c>
      <c r="H6352" s="8" t="n">
        <f aca="false">Sens!H6350/Sens!H6351</f>
        <v>23.1013918967664</v>
      </c>
      <c r="I6352" s="8" t="n">
        <f aca="false">Sens!I6350/Sens!I6351</f>
        <v>25.1608475590195</v>
      </c>
      <c r="J6352" s="8" t="n">
        <f aca="false">Sens!J6350/Sens!J6351</f>
        <v>27.0718021168825</v>
      </c>
      <c r="K6352" s="8" t="n">
        <f aca="false">Sens!K6350/Sens!K6351</f>
        <v>28.9136186179873</v>
      </c>
      <c r="L6352" s="1" t="s">
        <v>1079</v>
      </c>
    </row>
    <row r="6353" customFormat="false" ht="17.15" hidden="false" customHeight="false" outlineLevel="0" collapsed="false">
      <c r="A6353" s="1" t="s">
        <v>1080</v>
      </c>
      <c r="B6353" s="0" t="s">
        <v>98</v>
      </c>
      <c r="D6353" s="6" t="n">
        <f aca="false">Sens!D6350</f>
        <v>101.832</v>
      </c>
      <c r="E6353" s="6" t="n">
        <f aca="false">Sens!E6350</f>
        <v>133.749</v>
      </c>
      <c r="F6353" s="6" t="n">
        <f aca="false">Sens!F6350+Sens!F6343*(1-tax_f)</f>
        <v>152.85909956281</v>
      </c>
      <c r="G6353" s="6" t="n">
        <f aca="false">Sens!G6350+Sens!G6343*(1-tax_f)</f>
        <v>178.001139743071</v>
      </c>
      <c r="H6353" s="6" t="n">
        <f aca="false">Sens!H6350+Sens!H6343*(1-tax_f)</f>
        <v>208.12761447166</v>
      </c>
      <c r="I6353" s="6" t="n">
        <f aca="false">Sens!I6350+Sens!I6343*(1-tax_f)</f>
        <v>236.296890055359</v>
      </c>
      <c r="J6353" s="6" t="n">
        <f aca="false">Sens!J6350+Sens!J6343*(1-tax_f)</f>
        <v>259.742774021171</v>
      </c>
      <c r="K6353" s="6" t="n">
        <f aca="false">Sens!K6350+Sens!K6343*(1-tax_f)</f>
        <v>278.8636595832</v>
      </c>
    </row>
    <row r="6354" customFormat="false" ht="17.15" hidden="false" customHeight="false" outlineLevel="0" collapsed="false">
      <c r="A6354" s="0" t="s">
        <v>1081</v>
      </c>
      <c r="B6354" s="0" t="s">
        <v>75</v>
      </c>
      <c r="D6354" s="8" t="n">
        <f aca="false">Sens!D6353/Sens!D6351</f>
        <v>13.641259209645</v>
      </c>
      <c r="E6354" s="8" t="n">
        <f aca="false">Sens!E6353/Sens!E6351</f>
        <v>17.9456594659869</v>
      </c>
      <c r="F6354" s="8" t="n">
        <f aca="false">Sens!F6353/Sens!F6351</f>
        <v>20.4551011323465</v>
      </c>
      <c r="G6354" s="8" t="n">
        <f aca="false">Sens!G6353/Sens!G6351</f>
        <v>23.6788123633082</v>
      </c>
      <c r="H6354" s="8" t="n">
        <f aca="false">Sens!H6353/Sens!H6351</f>
        <v>27.584777471007</v>
      </c>
      <c r="I6354" s="8" t="n">
        <f aca="false">Sens!I6353/Sens!I6351</f>
        <v>31.269858769655</v>
      </c>
      <c r="J6354" s="8" t="n">
        <f aca="false">Sens!J6353/Sens!J6351</f>
        <v>34.3082812308981</v>
      </c>
      <c r="K6354" s="8" t="n">
        <f aca="false">Sens!K6353/Sens!K6351</f>
        <v>36.7540899328824</v>
      </c>
      <c r="L6354" s="1" t="s">
        <v>1082</v>
      </c>
    </row>
    <row r="6355" customFormat="false" ht="17.15" hidden="false" customHeight="false" outlineLevel="0" collapsed="false">
      <c r="A6355" s="0" t="s">
        <v>1083</v>
      </c>
      <c r="B6355" s="0" t="s">
        <v>168</v>
      </c>
      <c r="E6355" s="7" t="n">
        <f aca="false">Sens!E6354/Sens!D6354-1</f>
        <v>0.315542736208578</v>
      </c>
      <c r="F6355" s="7" t="n">
        <f aca="false">Sens!F6354/Sens!E6354-1</f>
        <v>0.139835578130514</v>
      </c>
      <c r="G6355" s="7" t="n">
        <f aca="false">Sens!G6354/Sens!F6354-1</f>
        <v>0.157599378761514</v>
      </c>
      <c r="H6355" s="7" t="n">
        <f aca="false">Sens!H6354/Sens!G6354-1</f>
        <v>0.164956123971461</v>
      </c>
      <c r="I6355" s="7" t="n">
        <f aca="false">Sens!I6354/Sens!H6354-1</f>
        <v>0.133591119323736</v>
      </c>
      <c r="J6355" s="7" t="n">
        <f aca="false">Sens!J6354/Sens!I6354-1</f>
        <v>0.0971677705238492</v>
      </c>
      <c r="K6355" s="7" t="n">
        <f aca="false">Sens!K6354/Sens!J6354-1</f>
        <v>0.0712891644301208</v>
      </c>
    </row>
    <row r="6356" customFormat="false" ht="17.15" hidden="false" customHeight="false" outlineLevel="0" collapsed="false">
      <c r="A6356" s="0" t="s">
        <v>1003</v>
      </c>
      <c r="B6356" s="0" t="s">
        <v>98</v>
      </c>
      <c r="E6356" s="6" t="n">
        <f aca="false">Sens!E6297</f>
        <v>5.25</v>
      </c>
      <c r="F6356" s="6" t="n">
        <f aca="false">Sens!F6297</f>
        <v>12</v>
      </c>
      <c r="G6356" s="6" t="n">
        <f aca="false">Sens!G6297</f>
        <v>18</v>
      </c>
      <c r="H6356" s="6" t="n">
        <f aca="false">Sens!H6297</f>
        <v>24</v>
      </c>
      <c r="I6356" s="6" t="n">
        <f aca="false">Sens!I6297</f>
        <v>28.5</v>
      </c>
      <c r="J6356" s="6" t="n">
        <f aca="false">Sens!J6297</f>
        <v>31.5</v>
      </c>
      <c r="K6356" s="6" t="n">
        <f aca="false">Sens!K6297</f>
        <v>34.5</v>
      </c>
    </row>
    <row r="6357" customFormat="false" ht="17.15" hidden="false" customHeight="false" outlineLevel="0" collapsed="false">
      <c r="A6357" s="1" t="s">
        <v>1004</v>
      </c>
      <c r="B6357" s="0" t="s">
        <v>98</v>
      </c>
      <c r="F6357" s="6" t="n">
        <f aca="false">MAX(0,((Sens!E6257+Sens!F6257)/2-(shadow_base*(Sens!$D$6257+Sens!$E$6257)/2+(1-shadow_base)*Sens!$E$6257))*Sens!F6266/1000-(Sens!F6356-Sens!$E$6356)*Sens!F6336)</f>
        <v>9.7398427716299</v>
      </c>
      <c r="G6357" s="6" t="n">
        <f aca="false">MAX(0,((Sens!F6257+Sens!G6257)/2-(shadow_base*(Sens!$D$6257+Sens!$E$6257)/2+(1-shadow_base)*Sens!$E$6257))*Sens!G6266/1000-(Sens!G6356-Sens!$E$6356)*Sens!G6336)</f>
        <v>25.2753385959797</v>
      </c>
      <c r="H6357" s="6" t="n">
        <f aca="false">MAX(0,((Sens!G6257+Sens!H6257)/2-(shadow_base*(Sens!$D$6257+Sens!$E$6257)/2+(1-shadow_base)*Sens!$E$6257))*Sens!H6266/1000-(Sens!H6356-Sens!$E$6356)*Sens!H6336)</f>
        <v>42.2840253697948</v>
      </c>
      <c r="I6357" s="6" t="n">
        <f aca="false">MAX(0,((Sens!H6257+Sens!I6257)/2-(shadow_base*(Sens!$D$6257+Sens!$E$6257)/2+(1-shadow_base)*Sens!$E$6257))*Sens!I6266/1000-(Sens!I6356-Sens!$E$6356)*Sens!I6336)</f>
        <v>57.704943641581</v>
      </c>
      <c r="J6357" s="6" t="n">
        <f aca="false">MAX(0,((Sens!I6257+Sens!J6257)/2-(shadow_base*(Sens!$D$6257+Sens!$E$6257)/2+(1-shadow_base)*Sens!$E$6257))*Sens!J6266/1000-(Sens!J6356-Sens!$E$6356)*Sens!J6336)</f>
        <v>68.4828520908201</v>
      </c>
      <c r="K6357" s="6" t="n">
        <f aca="false">MAX(0,((Sens!J6257+Sens!K6257)/2-(shadow_base*(Sens!$D$6257+Sens!$E$6257)/2+(1-shadow_base)*Sens!$E$6257))*Sens!K6266/1000-(Sens!K6356-Sens!$E$6356)*Sens!K6336)</f>
        <v>74.3598374943249</v>
      </c>
      <c r="L6357" s="1" t="s">
        <v>1005</v>
      </c>
    </row>
    <row r="6358" customFormat="false" ht="17.15" hidden="false" customHeight="false" outlineLevel="0" collapsed="false">
      <c r="A6358" s="1" t="s">
        <v>1006</v>
      </c>
      <c r="B6358" s="0" t="s">
        <v>98</v>
      </c>
      <c r="F6358" s="6" t="n">
        <f aca="false">IF(internal_ai_reading=2,1,0)*Sens!F6357</f>
        <v>9.7398427716299</v>
      </c>
      <c r="G6358" s="6" t="n">
        <f aca="false">IF(internal_ai_reading=2,1,0)*Sens!G6357</f>
        <v>25.2753385959797</v>
      </c>
      <c r="H6358" s="6" t="n">
        <f aca="false">IF(internal_ai_reading=2,1,0)*Sens!H6357</f>
        <v>42.2840253697948</v>
      </c>
      <c r="I6358" s="6" t="n">
        <f aca="false">IF(internal_ai_reading=2,1,0)*Sens!I6357</f>
        <v>57.704943641581</v>
      </c>
      <c r="J6358" s="6" t="n">
        <f aca="false">IF(internal_ai_reading=2,1,0)*Sens!J6357</f>
        <v>68.4828520908201</v>
      </c>
      <c r="K6358" s="6" t="n">
        <f aca="false">IF(internal_ai_reading=2,1,0)*Sens!K6357</f>
        <v>74.3598374943249</v>
      </c>
    </row>
    <row r="6359" customFormat="false" ht="17.15" hidden="false" customHeight="false" outlineLevel="0" collapsed="false">
      <c r="A6359" s="0" t="s">
        <v>1007</v>
      </c>
      <c r="B6359" s="0" t="s">
        <v>98</v>
      </c>
      <c r="F6359" s="6" t="n">
        <f aca="false">Sens!F6276+Sens!F6356*Sens!F6336+Sens!F6358-Sens!F6277-Sens!F6288</f>
        <v>15.4184602019196</v>
      </c>
      <c r="G6359" s="6" t="n">
        <f aca="false">Sens!G6276+Sens!G6356*Sens!G6336+Sens!G6358-Sens!G6277-Sens!G6288</f>
        <v>32.3530354311781</v>
      </c>
      <c r="H6359" s="6" t="n">
        <f aca="false">Sens!H6276+Sens!H6356*Sens!H6336+Sens!H6358-Sens!H6277-Sens!H6288</f>
        <v>49.9458067473914</v>
      </c>
      <c r="I6359" s="6" t="n">
        <f aca="false">Sens!I6276+Sens!I6356*Sens!I6336+Sens!I6358-Sens!I6277-Sens!I6288</f>
        <v>65.4659578604801</v>
      </c>
      <c r="J6359" s="6" t="n">
        <f aca="false">Sens!J6276+Sens!J6356*Sens!J6336+Sens!J6358-Sens!J6277-Sens!J6288</f>
        <v>76.2306639148746</v>
      </c>
      <c r="K6359" s="6" t="n">
        <f aca="false">Sens!K6276+Sens!K6356*Sens!K6336+Sens!K6358-Sens!K6277-Sens!K6288</f>
        <v>83.5354272678323</v>
      </c>
    </row>
    <row r="6360" customFormat="false" ht="17.15" hidden="false" customHeight="false" outlineLevel="0" collapsed="false">
      <c r="A6360" s="0" t="s">
        <v>1008</v>
      </c>
      <c r="B6360" s="0" t="s">
        <v>98</v>
      </c>
      <c r="E6360" s="6" t="n">
        <f aca="false">Sens!E6256*(cxit_open+self_build*tk_cxfac)/1000*ai_net_open</f>
        <v>126.6980382</v>
      </c>
      <c r="F6360" s="6" t="n">
        <f aca="false">Sens!E6360+Sens!F6285-Sens!F6288</f>
        <v>260.572627763768</v>
      </c>
      <c r="G6360" s="6" t="n">
        <f aca="false">Sens!F6360+Sens!G6285-Sens!G6288</f>
        <v>391.782612760517</v>
      </c>
      <c r="H6360" s="6" t="n">
        <f aca="false">Sens!G6360+Sens!H6285-Sens!H6288</f>
        <v>499.488526163584</v>
      </c>
      <c r="I6360" s="6" t="n">
        <f aca="false">Sens!H6360+Sens!I6285-Sens!I6288</f>
        <v>553.872350090646</v>
      </c>
      <c r="J6360" s="6" t="n">
        <f aca="false">Sens!I6360+Sens!J6285-Sens!J6288</f>
        <v>550.78660823699</v>
      </c>
      <c r="K6360" s="6" t="n">
        <f aca="false">Sens!J6360+Sens!K6285-Sens!K6288</f>
        <v>526.736791750789</v>
      </c>
      <c r="L6360" s="1" t="s">
        <v>1009</v>
      </c>
    </row>
    <row r="6361" customFormat="false" ht="17.15" hidden="false" customHeight="false" outlineLevel="0" collapsed="false">
      <c r="A6361" s="0" t="s">
        <v>1010</v>
      </c>
      <c r="B6361" s="0" t="s">
        <v>168</v>
      </c>
      <c r="F6361" s="7" t="n">
        <f aca="false">Sens!F6359*(1-tax_f)/((Sens!E6360+Sens!F6360)/2)</f>
        <v>0.0637010197033082</v>
      </c>
      <c r="G6361" s="7" t="n">
        <f aca="false">Sens!G6359*(1-tax_f)/((Sens!F6360+Sens!G6360)/2)</f>
        <v>0.07935071794362</v>
      </c>
      <c r="H6361" s="7" t="n">
        <f aca="false">Sens!H6359*(1-tax_f)/((Sens!G6360+Sens!H6360)/2)</f>
        <v>0.08966215476504</v>
      </c>
      <c r="I6361" s="7" t="n">
        <f aca="false">Sens!I6359*(1-tax_f)/((Sens!H6360+Sens!I6360)/2)</f>
        <v>0.0994393611325733</v>
      </c>
      <c r="J6361" s="7" t="n">
        <f aca="false">Sens!J6359*(1-tax_f)/((Sens!I6360+Sens!J6360)/2)</f>
        <v>0.110413319282225</v>
      </c>
      <c r="K6361" s="7" t="n">
        <f aca="false">Sens!K6359*(1-tax_f)/((Sens!J6360+Sens!K6360)/2)</f>
        <v>0.124040632092118</v>
      </c>
    </row>
    <row r="6362" customFormat="false" ht="17.15" hidden="false" customHeight="false" outlineLevel="0" collapsed="false">
      <c r="A6362" s="1" t="s">
        <v>1011</v>
      </c>
      <c r="B6362" s="0" t="s">
        <v>168</v>
      </c>
      <c r="F6362" s="7" t="n">
        <f aca="false">(Sens!F6359-Sens!F6358)*(1-tax_f)/((Sens!E6360+Sens!F6360)/2)</f>
        <v>0.0234610795161891</v>
      </c>
      <c r="G6362" s="7" t="n">
        <f aca="false">(Sens!G6359-Sens!G6358)*(1-tax_f)/((Sens!F6360+Sens!G6360)/2)</f>
        <v>0.0173591231170555</v>
      </c>
      <c r="H6362" s="7" t="n">
        <f aca="false">(Sens!H6359-Sens!H6358)*(1-tax_f)/((Sens!G6360+Sens!H6360)/2)</f>
        <v>0.0137543444062969</v>
      </c>
      <c r="I6362" s="7" t="n">
        <f aca="false">(Sens!I6359-Sens!I6358)*(1-tax_f)/((Sens!H6360+Sens!I6360)/2)</f>
        <v>0.0117885741061466</v>
      </c>
      <c r="J6362" s="7" t="n">
        <f aca="false">(Sens!J6359-Sens!J6358)*(1-tax_f)/((Sens!I6360+Sens!J6360)/2)</f>
        <v>0.0112220145638927</v>
      </c>
      <c r="K6362" s="7" t="n">
        <f aca="false">(Sens!K6359-Sens!K6358)*(1-tax_f)/((Sens!J6360+Sens!K6360)/2)</f>
        <v>0.0136247098093446</v>
      </c>
    </row>
    <row r="6363" customFormat="false" ht="17.15" hidden="false" customHeight="false" outlineLevel="0" collapsed="false">
      <c r="A6363" s="1" t="s">
        <v>1012</v>
      </c>
      <c r="B6363" s="0" t="s">
        <v>168</v>
      </c>
      <c r="F6363" s="7" t="n">
        <f aca="false">(Sens!F6359-Sens!F6358+Sens!F6357)*(1-tax_f)/((Sens!E6360+Sens!F6360)/2)</f>
        <v>0.0637010197033082</v>
      </c>
      <c r="G6363" s="7" t="n">
        <f aca="false">(Sens!G6359-Sens!G6358+Sens!G6357)*(1-tax_f)/((Sens!F6360+Sens!G6360)/2)</f>
        <v>0.07935071794362</v>
      </c>
      <c r="H6363" s="7" t="n">
        <f aca="false">(Sens!H6359-Sens!H6358+Sens!H6357)*(1-tax_f)/((Sens!G6360+Sens!H6360)/2)</f>
        <v>0.08966215476504</v>
      </c>
      <c r="I6363" s="7" t="n">
        <f aca="false">(Sens!I6359-Sens!I6358+Sens!I6357)*(1-tax_f)/((Sens!H6360+Sens!I6360)/2)</f>
        <v>0.0994393611325733</v>
      </c>
      <c r="J6363" s="7" t="n">
        <f aca="false">(Sens!J6359-Sens!J6358+Sens!J6357)*(1-tax_f)/((Sens!I6360+Sens!J6360)/2)</f>
        <v>0.110413319282225</v>
      </c>
      <c r="K6363" s="7" t="n">
        <f aca="false">(Sens!K6359-Sens!K6358+Sens!K6357)*(1-tax_f)/((Sens!J6360+Sens!K6360)/2)</f>
        <v>0.124040632092118</v>
      </c>
    </row>
    <row r="6364" customFormat="false" ht="17.15" hidden="false" customHeight="false" outlineLevel="0" collapsed="false">
      <c r="A6364" s="1" t="s">
        <v>1013</v>
      </c>
      <c r="B6364" s="0" t="s">
        <v>168</v>
      </c>
      <c r="F6364" s="7" t="n">
        <f aca="false">Sens!F6289*(1-tax_f)/(Sens!F6275*(Sens!E6360+Sens!F6360)/2)</f>
        <v>0.133448187126598</v>
      </c>
      <c r="G6364" s="7" t="n">
        <f aca="false">Sens!G6289*(1-tax_f)/(Sens!G6275*(Sens!F6360+Sens!G6360)/2)</f>
        <v>0.132583802139891</v>
      </c>
      <c r="H6364" s="7" t="n">
        <f aca="false">Sens!H6289*(1-tax_f)/(Sens!H6275*(Sens!G6360+Sens!H6360)/2)</f>
        <v>0.137005575748298</v>
      </c>
      <c r="I6364" s="7" t="n">
        <f aca="false">Sens!I6289*(1-tax_f)/(Sens!I6275*(Sens!H6360+Sens!I6360)/2)</f>
        <v>0.145750394024996</v>
      </c>
      <c r="J6364" s="7" t="n">
        <f aca="false">Sens!J6289*(1-tax_f)/(Sens!J6275*(Sens!I6360+Sens!J6360)/2)</f>
        <v>0.158889027883821</v>
      </c>
      <c r="K6364" s="7" t="n">
        <f aca="false">Sens!K6289*(1-tax_f)/(Sens!K6275*(Sens!J6360+Sens!K6360)/2)</f>
        <v>0.177086849586375</v>
      </c>
    </row>
    <row r="6365" customFormat="false" ht="17.15" hidden="false" customHeight="false" outlineLevel="0" collapsed="false">
      <c r="A6365" s="0" t="s">
        <v>1014</v>
      </c>
      <c r="B6365" s="0" t="s">
        <v>253</v>
      </c>
      <c r="F6365" s="7" t="n">
        <f aca="false">Sens!F6361-wacc</f>
        <v>-0.0392355712422891</v>
      </c>
      <c r="G6365" s="7" t="n">
        <f aca="false">Sens!G6361-wacc</f>
        <v>-0.0235858730019773</v>
      </c>
      <c r="H6365" s="7" t="n">
        <f aca="false">Sens!H6361-wacc</f>
        <v>-0.0132744361805573</v>
      </c>
      <c r="I6365" s="7" t="n">
        <f aca="false">Sens!I6361-wacc</f>
        <v>-0.00349722981302403</v>
      </c>
      <c r="J6365" s="7" t="n">
        <f aca="false">Sens!J6361-wacc</f>
        <v>0.00747672833662781</v>
      </c>
      <c r="K6365" s="7" t="n">
        <f aca="false">Sens!K6361-wacc</f>
        <v>0.0211040411465202</v>
      </c>
    </row>
    <row r="6366" customFormat="false" ht="17.15" hidden="false" customHeight="false" outlineLevel="0" collapsed="false">
      <c r="A6366" s="0" t="s">
        <v>1015</v>
      </c>
      <c r="B6366" s="0" t="s">
        <v>98</v>
      </c>
      <c r="F6366" s="6" t="n">
        <f aca="false">Sens!F6359*(1-tax_f)-wacc*(Sens!E6360+Sens!F6360)/2</f>
        <v>-7.59739290223507</v>
      </c>
      <c r="G6366" s="6" t="n">
        <f aca="false">Sens!G6359*(1-tax_f)-wacc*(Sens!F6360+Sens!G6360)/2</f>
        <v>-7.69318392759008</v>
      </c>
      <c r="H6366" s="6" t="n">
        <f aca="false">Sens!H6359*(1-tax_f)-wacc*(Sens!G6360+Sens!H6360)/2</f>
        <v>-5.91556092661029</v>
      </c>
      <c r="I6366" s="6" t="n">
        <f aca="false">Sens!I6359*(1-tax_f)-wacc*(Sens!H6360+Sens!I6360)/2</f>
        <v>-1.8419225301547</v>
      </c>
      <c r="J6366" s="6" t="n">
        <f aca="false">Sens!J6359*(1-tax_f)-wacc*(Sens!I6360+Sens!J6360)/2</f>
        <v>4.129617468019</v>
      </c>
      <c r="K6366" s="6" t="n">
        <f aca="false">Sens!K6359*(1-tax_f)-wacc*(Sens!J6360+Sens!K6360)/2</f>
        <v>11.3700490848402</v>
      </c>
    </row>
    <row r="6367" customFormat="false" ht="17.15" hidden="false" customHeight="false" outlineLevel="0" collapsed="false">
      <c r="A6367" s="3" t="s">
        <v>1638</v>
      </c>
    </row>
    <row r="6368" customFormat="false" ht="15" hidden="false" customHeight="false" outlineLevel="0" collapsed="false">
      <c r="A6368" s="4" t="s">
        <v>43</v>
      </c>
      <c r="B6368" s="4" t="s">
        <v>65</v>
      </c>
      <c r="C6368" s="23" t="s">
        <v>938</v>
      </c>
      <c r="D6368" s="23" t="s">
        <v>939</v>
      </c>
      <c r="E6368" s="23" t="s">
        <v>940</v>
      </c>
      <c r="F6368" s="23" t="s">
        <v>941</v>
      </c>
      <c r="G6368" s="23" t="s">
        <v>942</v>
      </c>
      <c r="H6368" s="23" t="s">
        <v>943</v>
      </c>
      <c r="I6368" s="23" t="s">
        <v>944</v>
      </c>
      <c r="J6368" s="23" t="s">
        <v>945</v>
      </c>
      <c r="K6368" s="23" t="s">
        <v>946</v>
      </c>
      <c r="L6368" s="4" t="s">
        <v>47</v>
      </c>
    </row>
    <row r="6369" customFormat="false" ht="15" hidden="false" customHeight="false" outlineLevel="0" collapsed="false">
      <c r="A6369" s="1" t="s">
        <v>1076</v>
      </c>
      <c r="B6369" s="0" t="s">
        <v>98</v>
      </c>
      <c r="F6369" s="6" t="n">
        <f aca="false">Sens!F6350</f>
        <v>145.067225345506</v>
      </c>
      <c r="G6369" s="6" t="n">
        <f aca="false">Sens!G6350</f>
        <v>157.780868866287</v>
      </c>
      <c r="H6369" s="6" t="n">
        <f aca="false">Sens!H6350</f>
        <v>174.300394175824</v>
      </c>
      <c r="I6369" s="6" t="n">
        <f aca="false">Sens!I6350</f>
        <v>190.132935142095</v>
      </c>
      <c r="J6369" s="6" t="n">
        <f aca="false">Sens!J6350</f>
        <v>204.956492348515</v>
      </c>
      <c r="K6369" s="6" t="n">
        <f aca="false">Sens!K6350</f>
        <v>219.37578958774</v>
      </c>
    </row>
    <row r="6370" customFormat="false" ht="17.15" hidden="false" customHeight="false" outlineLevel="0" collapsed="false">
      <c r="A6370" s="1" t="s">
        <v>1098</v>
      </c>
      <c r="B6370" s="0" t="s">
        <v>98</v>
      </c>
      <c r="E6370" s="6" t="n">
        <f aca="false">Q!M38-Sens!E6288</f>
        <v>22.2285940229167</v>
      </c>
      <c r="F6370" s="6" t="n">
        <f aca="false">Sens!E6370*(1-1/life_nonai)+(Sens!F6378+Sens!F6379)/life_nonai</f>
        <v>23.580344216413</v>
      </c>
      <c r="G6370" s="6" t="n">
        <f aca="false">Sens!F6370*(1-1/life_nonai)+(Sens!G6378)/life_nonai</f>
        <v>25.3552031710858</v>
      </c>
      <c r="H6370" s="6" t="n">
        <f aca="false">Sens!G6370*(1-1/life_nonai)+(Sens!H6378)/life_nonai</f>
        <v>27.5220829029744</v>
      </c>
      <c r="I6370" s="6" t="n">
        <f aca="false">Sens!H6370*(1-1/life_nonai)+(Sens!I6378)/life_nonai</f>
        <v>30.0144695641677</v>
      </c>
      <c r="J6370" s="6" t="n">
        <f aca="false">Sens!I6370*(1-1/life_nonai)+(Sens!J6378)/life_nonai</f>
        <v>32.7490060631072</v>
      </c>
      <c r="K6370" s="6" t="n">
        <f aca="false">Sens!J6370*(1-1/life_nonai)+(Sens!K6378)/life_nonai</f>
        <v>35.6413980971484</v>
      </c>
      <c r="L6370" s="12" t="s">
        <v>1099</v>
      </c>
    </row>
    <row r="6371" customFormat="false" ht="17.15" hidden="false" customHeight="false" outlineLevel="0" collapsed="false">
      <c r="A6371" s="1" t="s">
        <v>1100</v>
      </c>
      <c r="B6371" s="0" t="s">
        <v>98</v>
      </c>
      <c r="F6371" s="6" t="n">
        <f aca="false">Sens!$F$6379/life_nonai*(1-1/life_nonai)^(Sens!F6251-2027)</f>
        <v>0.00265091365881389</v>
      </c>
      <c r="G6371" s="6" t="n">
        <f aca="false">Sens!$F$6379/life_nonai*(1-1/life_nonai)^(Sens!G6251-2027)</f>
        <v>0.0023858222929325</v>
      </c>
      <c r="H6371" s="6" t="n">
        <f aca="false">Sens!$F$6379/life_nonai*(1-1/life_nonai)^(Sens!H6251-2027)</f>
        <v>0.00214724006363925</v>
      </c>
      <c r="I6371" s="6" t="n">
        <f aca="false">Sens!$F$6379/life_nonai*(1-1/life_nonai)^(Sens!I6251-2027)</f>
        <v>0.00193251605727533</v>
      </c>
      <c r="J6371" s="6" t="n">
        <f aca="false">Sens!$F$6379/life_nonai*(1-1/life_nonai)^(Sens!J6251-2027)</f>
        <v>0.00173926445154779</v>
      </c>
      <c r="K6371" s="6" t="n">
        <f aca="false">Sens!$F$6379/life_nonai*(1-1/life_nonai)^(Sens!K6251-2027)</f>
        <v>0.00156533800639302</v>
      </c>
      <c r="L6371" s="1" t="s">
        <v>1101</v>
      </c>
    </row>
    <row r="6372" customFormat="false" ht="17.15" hidden="false" customHeight="false" outlineLevel="0" collapsed="false">
      <c r="A6372" s="1" t="s">
        <v>1102</v>
      </c>
      <c r="B6372" s="0" t="s">
        <v>98</v>
      </c>
      <c r="E6372" s="6" t="n">
        <f aca="false">Sens!E6288+Sens!E6370</f>
        <v>38.534</v>
      </c>
      <c r="F6372" s="6" t="n">
        <f aca="false">Sens!F6288+Sens!F6370</f>
        <v>58.1596586947647</v>
      </c>
      <c r="G6372" s="6" t="n">
        <f aca="false">Sens!G6288+Sens!G6370</f>
        <v>86.0896938233847</v>
      </c>
      <c r="H6372" s="6" t="n">
        <f aca="false">Sens!H6288+Sens!H6370</f>
        <v>116.62217356442</v>
      </c>
      <c r="I6372" s="6" t="n">
        <f aca="false">Sens!I6288+Sens!I6370</f>
        <v>144.245479258716</v>
      </c>
      <c r="J6372" s="6" t="n">
        <f aca="false">Sens!J6288+Sens!J6370</f>
        <v>164.764679112703</v>
      </c>
      <c r="K6372" s="6" t="n">
        <f aca="false">Sens!K6288+Sens!K6370</f>
        <v>178.654067648083</v>
      </c>
    </row>
    <row r="6373" customFormat="false" ht="17.15" hidden="false" customHeight="false" outlineLevel="0" collapsed="false">
      <c r="A6373" s="1" t="s">
        <v>1103</v>
      </c>
      <c r="B6373" s="0" t="s">
        <v>98</v>
      </c>
      <c r="F6373" s="6" t="n">
        <f aca="false">Sens!F6315*sbc_r</f>
        <v>14.9351409072294</v>
      </c>
      <c r="G6373" s="6" t="n">
        <f aca="false">Sens!G6315*sbc_r</f>
        <v>17.8553726875481</v>
      </c>
      <c r="H6373" s="6" t="n">
        <f aca="false">Sens!H6315*sbc_r</f>
        <v>20.8448576481134</v>
      </c>
      <c r="I6373" s="6" t="n">
        <f aca="false">Sens!I6315*sbc_r</f>
        <v>23.5928636928345</v>
      </c>
      <c r="J6373" s="6" t="n">
        <f aca="false">Sens!J6315*sbc_r</f>
        <v>25.8434069552042</v>
      </c>
      <c r="K6373" s="6" t="n">
        <f aca="false">Sens!K6315*sbc_r</f>
        <v>27.6562315339545</v>
      </c>
    </row>
    <row r="6374" customFormat="false" ht="17.15" hidden="false" customHeight="false" outlineLevel="0" collapsed="false">
      <c r="A6374" s="1" t="s">
        <v>1104</v>
      </c>
      <c r="B6374" s="0" t="s">
        <v>98</v>
      </c>
      <c r="F6374" s="6" t="n">
        <f aca="false">wc27-wc26q1</f>
        <v>-4.677</v>
      </c>
      <c r="G6374" s="6" t="n">
        <f aca="false">wc_f</f>
        <v>0</v>
      </c>
      <c r="H6374" s="6" t="n">
        <f aca="false">wc_f</f>
        <v>0</v>
      </c>
      <c r="I6374" s="6" t="n">
        <f aca="false">wc_f</f>
        <v>0</v>
      </c>
      <c r="J6374" s="6" t="n">
        <f aca="false">wc_f</f>
        <v>0</v>
      </c>
      <c r="K6374" s="6" t="n">
        <f aca="false">wc_f</f>
        <v>0</v>
      </c>
      <c r="L6374" s="12" t="s">
        <v>1105</v>
      </c>
    </row>
    <row r="6375" customFormat="false" ht="17.15" hidden="false" customHeight="false" outlineLevel="0" collapsed="false">
      <c r="A6375" s="0" t="s">
        <v>1106</v>
      </c>
      <c r="B6375" s="0" t="s">
        <v>98</v>
      </c>
      <c r="F6375" s="6" t="n">
        <f aca="false">Q!$I$35-Q!$I$26-Q!$I$38-Q!$I$39</f>
        <v>6.493</v>
      </c>
      <c r="L6375" s="1" t="s">
        <v>1107</v>
      </c>
    </row>
    <row r="6376" customFormat="false" ht="15" hidden="false" customHeight="false" outlineLevel="0" collapsed="false">
      <c r="A6376" s="1" t="s">
        <v>904</v>
      </c>
      <c r="B6376" s="0" t="s">
        <v>98</v>
      </c>
      <c r="E6376" s="6" t="n">
        <f aca="false">Q!M35</f>
        <v>182.935</v>
      </c>
      <c r="F6376" s="6" t="n">
        <f aca="false">Sens!F6369+Sens!F6372+Sens!F6373+Sens!F6374+Sens!F6375</f>
        <v>219.9780249475</v>
      </c>
      <c r="G6376" s="6" t="n">
        <f aca="false">Sens!G6369+Sens!G6372+Sens!G6373+Sens!G6374</f>
        <v>261.72593537722</v>
      </c>
      <c r="H6376" s="6" t="n">
        <f aca="false">Sens!H6369+Sens!H6372+Sens!H6373+Sens!H6374</f>
        <v>311.767425388358</v>
      </c>
      <c r="I6376" s="6" t="n">
        <f aca="false">Sens!I6369+Sens!I6372+Sens!I6373+Sens!I6374</f>
        <v>357.971278093645</v>
      </c>
      <c r="J6376" s="6" t="n">
        <f aca="false">Sens!J6369+Sens!J6372+Sens!J6373+Sens!J6374</f>
        <v>395.564578416423</v>
      </c>
      <c r="K6376" s="6" t="n">
        <f aca="false">Sens!K6369+Sens!K6372+Sens!K6373+Sens!K6374</f>
        <v>425.686088769777</v>
      </c>
    </row>
    <row r="6377" customFormat="false" ht="17.15" hidden="false" customHeight="false" outlineLevel="0" collapsed="false">
      <c r="A6377" s="0" t="s">
        <v>1108</v>
      </c>
      <c r="B6377" s="0" t="s">
        <v>98</v>
      </c>
      <c r="F6377" s="6" t="n">
        <f aca="false">Sens!F6285</f>
        <v>168.45390404212</v>
      </c>
      <c r="G6377" s="6" t="n">
        <f aca="false">Sens!G6285</f>
        <v>191.944475649048</v>
      </c>
      <c r="H6377" s="6" t="n">
        <f aca="false">Sens!H6285</f>
        <v>196.806004064512</v>
      </c>
      <c r="I6377" s="6" t="n">
        <f aca="false">Sens!I6285</f>
        <v>168.61483362161</v>
      </c>
      <c r="J6377" s="6" t="n">
        <f aca="false">Sens!J6285</f>
        <v>128.92993119594</v>
      </c>
      <c r="K6377" s="6" t="n">
        <f aca="false">Sens!K6285</f>
        <v>118.962853064733</v>
      </c>
    </row>
    <row r="6378" customFormat="false" ht="17.15" hidden="false" customHeight="false" outlineLevel="0" collapsed="false">
      <c r="A6378" s="1" t="s">
        <v>1109</v>
      </c>
      <c r="B6378" s="0" t="s">
        <v>98</v>
      </c>
      <c r="E6378" s="6" t="n">
        <f aca="false">Sens!E6293*cx_azo+Sens!E6300*cx_m365+Sens!E6301*cx_lic+(Sens!E6303+Sens!E6305)*cx_ind+Sens!E6308*cx_srch+(Sens!E6310+Sens!E6312)*cx_dev</f>
        <v>30.1846587067718</v>
      </c>
      <c r="F6378" s="6" t="n">
        <f aca="false">Sens!F6293*cx_azo+Sens!F6300*cx_m365+Sens!F6301*cx_lic+(Sens!F6303+Sens!F6305)*cx_ind+Sens!F6308*cx_srch+(Sens!F6310+Sens!F6312)*cx_dev</f>
        <v>35.7195868212923</v>
      </c>
      <c r="G6378" s="6" t="n">
        <f aca="false">Sens!G6293*cx_azo+Sens!G6300*cx_m365+Sens!G6301*cx_lic+(Sens!G6303+Sens!G6305)*cx_ind+Sens!G6308*cx_srch+(Sens!G6310+Sens!G6312)*cx_dev</f>
        <v>41.3289337631402</v>
      </c>
      <c r="H6378" s="6" t="n">
        <f aca="false">Sens!H6293*cx_azo+Sens!H6300*cx_m365+Sens!H6301*cx_lic+(Sens!H6303+Sens!H6305)*cx_ind+Sens!H6308*cx_srch+(Sens!H6310+Sens!H6312)*cx_dev</f>
        <v>47.0240004899725</v>
      </c>
      <c r="I6378" s="6" t="n">
        <f aca="false">Sens!I6293*cx_azo+Sens!I6300*cx_m365+Sens!I6301*cx_lic+(Sens!I6303+Sens!I6305)*cx_ind+Sens!I6308*cx_srch+(Sens!I6310+Sens!I6312)*cx_dev</f>
        <v>52.4459495149076</v>
      </c>
      <c r="J6378" s="6" t="n">
        <f aca="false">Sens!J6293*cx_azo+Sens!J6300*cx_m365+Sens!J6301*cx_lic+(Sens!J6303+Sens!J6305)*cx_ind+Sens!J6308*cx_srch+(Sens!J6310+Sens!J6312)*cx_dev</f>
        <v>57.359834553562</v>
      </c>
      <c r="K6378" s="6" t="n">
        <f aca="false">Sens!K6293*cx_azo+Sens!K6300*cx_m365+Sens!K6301*cx_lic+(Sens!K6303+Sens!K6305)*cx_ind+Sens!K6308*cx_srch+(Sens!K6310+Sens!K6312)*cx_dev</f>
        <v>61.6729264035197</v>
      </c>
    </row>
    <row r="6379" customFormat="false" ht="17.15" hidden="false" customHeight="false" outlineLevel="0" collapsed="false">
      <c r="A6379" s="0" t="s">
        <v>1110</v>
      </c>
      <c r="B6379" s="0" t="s">
        <v>98</v>
      </c>
      <c r="F6379" s="6" t="n">
        <f aca="false">Sens!F6283</f>
        <v>0.0265091365881389</v>
      </c>
      <c r="L6379" s="1" t="s">
        <v>1111</v>
      </c>
    </row>
    <row r="6380" customFormat="false" ht="17.15" hidden="false" customHeight="false" outlineLevel="0" collapsed="false">
      <c r="A6380" s="1" t="s">
        <v>1112</v>
      </c>
      <c r="B6380" s="0" t="s">
        <v>98</v>
      </c>
      <c r="E6380" s="6" t="n">
        <f aca="false">Q!M43</f>
        <v>145.3</v>
      </c>
      <c r="F6380" s="6" t="n">
        <f aca="false">Sens!F6377+Sens!F6378+Sens!F6379</f>
        <v>204.2</v>
      </c>
      <c r="G6380" s="6" t="n">
        <f aca="false">Sens!G6377+Sens!G6378</f>
        <v>233.273409412188</v>
      </c>
      <c r="H6380" s="6" t="n">
        <f aca="false">Sens!H6377+Sens!H6378</f>
        <v>243.830004554485</v>
      </c>
      <c r="I6380" s="6" t="n">
        <f aca="false">Sens!I6377+Sens!I6378</f>
        <v>221.060783136518</v>
      </c>
      <c r="J6380" s="6" t="n">
        <f aca="false">Sens!J6377+Sens!J6378</f>
        <v>186.289765749502</v>
      </c>
      <c r="K6380" s="6" t="n">
        <f aca="false">Sens!K6377+Sens!K6378</f>
        <v>180.635779468252</v>
      </c>
      <c r="L6380" s="1" t="s">
        <v>1113</v>
      </c>
    </row>
    <row r="6381" customFormat="false" ht="15" hidden="false" customHeight="false" outlineLevel="0" collapsed="false">
      <c r="A6381" s="1" t="s">
        <v>1114</v>
      </c>
      <c r="B6381" s="0" t="s">
        <v>98</v>
      </c>
      <c r="E6381" s="6" t="n">
        <f aca="false">fl_liab</f>
        <v>66.594</v>
      </c>
      <c r="F6381" s="6" t="n">
        <f aca="false">Sens!E6381-Sens!F6382</f>
        <v>62.46973</v>
      </c>
      <c r="G6381" s="6" t="n">
        <f aca="false">Sens!F6381-Sens!G6382</f>
        <v>57.98686785</v>
      </c>
      <c r="H6381" s="6" t="n">
        <f aca="false">Sens!G6381-Sens!H6382</f>
        <v>53.92827690325</v>
      </c>
      <c r="I6381" s="6" t="n">
        <f aca="false">Sens!H6381-Sens!I6382</f>
        <v>49.7850493638962</v>
      </c>
      <c r="J6381" s="6" t="n">
        <f aca="false">Sens!I6381-Sens!J6382</f>
        <v>45.4823765852716</v>
      </c>
      <c r="K6381" s="6" t="n">
        <f aca="false">Sens!J6381-Sens!K6382</f>
        <v>40.9860835316088</v>
      </c>
    </row>
    <row r="6382" customFormat="false" ht="15" hidden="false" customHeight="false" outlineLevel="0" collapsed="false">
      <c r="A6382" s="1" t="s">
        <v>1115</v>
      </c>
      <c r="B6382" s="0" t="s">
        <v>98</v>
      </c>
      <c r="F6382" s="6" t="n">
        <f aca="false">fl_pay_27-Sens!E6381*fl_rate</f>
        <v>4.12427</v>
      </c>
      <c r="G6382" s="6" t="n">
        <f aca="false">fl_pay_28-Sens!F6381*fl_rate</f>
        <v>4.48286215</v>
      </c>
      <c r="H6382" s="6" t="n">
        <f aca="false">fl_pay_29-Sens!G6381*fl_rate</f>
        <v>4.05859094675</v>
      </c>
      <c r="I6382" s="6" t="n">
        <f aca="false">fl_pay_30-Sens!H6381*fl_rate</f>
        <v>4.14322753935375</v>
      </c>
      <c r="J6382" s="6" t="n">
        <f aca="false">fl_pay_31-Sens!I6381*fl_rate</f>
        <v>4.30267277862467</v>
      </c>
      <c r="K6382" s="6" t="n">
        <f aca="false">fl_pay_32-Sens!J6381*fl_rate</f>
        <v>4.49629305366278</v>
      </c>
    </row>
    <row r="6383" customFormat="false" ht="17.15" hidden="false" customHeight="false" outlineLevel="0" collapsed="false">
      <c r="A6383" s="1" t="s">
        <v>1116</v>
      </c>
      <c r="B6383" s="0" t="s">
        <v>98</v>
      </c>
      <c r="E6383" s="6" t="n">
        <f aca="false">Q!M35-Q!M36-Q!M44</f>
        <v>63.886</v>
      </c>
      <c r="F6383" s="6" t="n">
        <f aca="false">Sens!F6376-Sens!F6380-Sens!F6382</f>
        <v>11.6537549474997</v>
      </c>
      <c r="G6383" s="6" t="n">
        <f aca="false">Sens!G6376-Sens!G6380-Sens!G6382</f>
        <v>23.9696638150313</v>
      </c>
      <c r="H6383" s="6" t="n">
        <f aca="false">Sens!H6376-Sens!H6380-Sens!H6382</f>
        <v>63.8788298871227</v>
      </c>
      <c r="I6383" s="6" t="n">
        <f aca="false">Sens!I6376-Sens!I6380-Sens!I6382</f>
        <v>132.767267417774</v>
      </c>
      <c r="J6383" s="6" t="n">
        <f aca="false">Sens!J6376-Sens!J6380-Sens!J6382</f>
        <v>204.972139888296</v>
      </c>
      <c r="K6383" s="6" t="n">
        <f aca="false">Sens!K6376-Sens!K6380-Sens!K6382</f>
        <v>240.554016247862</v>
      </c>
      <c r="L6383" s="12" t="s">
        <v>1117</v>
      </c>
    </row>
    <row r="6384" customFormat="false" ht="15" hidden="false" customHeight="false" outlineLevel="0" collapsed="false">
      <c r="A6384" s="1" t="s">
        <v>1118</v>
      </c>
      <c r="B6384" s="0" t="s">
        <v>75</v>
      </c>
      <c r="F6384" s="8" t="n">
        <f aca="false">dps_27</f>
        <v>3.85</v>
      </c>
      <c r="G6384" s="8" t="n">
        <f aca="false">Sens!F6384*(1+dps_g)</f>
        <v>4.158</v>
      </c>
      <c r="H6384" s="8" t="n">
        <f aca="false">Sens!G6384*(1+dps_g)</f>
        <v>4.49064</v>
      </c>
      <c r="I6384" s="8" t="n">
        <f aca="false">Sens!H6384*(1+dps_g)</f>
        <v>4.8498912</v>
      </c>
      <c r="J6384" s="8" t="n">
        <f aca="false">Sens!I6384*(1+dps_g)</f>
        <v>5.237882496</v>
      </c>
      <c r="K6384" s="8" t="n">
        <f aca="false">Sens!J6384*(1+dps_g)</f>
        <v>5.65691309568</v>
      </c>
    </row>
    <row r="6385" customFormat="false" ht="17.15" hidden="false" customHeight="false" outlineLevel="0" collapsed="false">
      <c r="A6385" s="1" t="s">
        <v>1119</v>
      </c>
      <c r="B6385" s="0" t="s">
        <v>98</v>
      </c>
      <c r="E6385" s="6" t="n">
        <f aca="false">Q!M41</f>
        <v>26.445</v>
      </c>
      <c r="F6385" s="6" t="n">
        <f aca="false">Sens!F6384*Sens!E6394</f>
        <v>28.59395</v>
      </c>
      <c r="G6385" s="6" t="n">
        <f aca="false">Sens!G6384*Sens!F6394</f>
        <v>31.0636572659134</v>
      </c>
      <c r="H6385" s="6" t="n">
        <f aca="false">Sens!H6384*Sens!G6394</f>
        <v>33.7508286471865</v>
      </c>
      <c r="I6385" s="6" t="n">
        <f aca="false">Sens!I6384*Sens!H6394</f>
        <v>36.5013332160341</v>
      </c>
      <c r="J6385" s="6" t="n">
        <f aca="false">Sens!J6384*Sens!I6394</f>
        <v>39.4893377587094</v>
      </c>
      <c r="K6385" s="6" t="n">
        <f aca="false">Sens!K6384*Sens!J6394</f>
        <v>42.7352390417844</v>
      </c>
      <c r="L6385" s="1" t="s">
        <v>1120</v>
      </c>
    </row>
    <row r="6386" customFormat="false" ht="15" hidden="false" customHeight="false" outlineLevel="0" collapsed="false">
      <c r="A6386" s="1" t="s">
        <v>1121</v>
      </c>
      <c r="B6386" s="0" t="s">
        <v>98</v>
      </c>
      <c r="E6386" s="6" t="n">
        <f aca="false">Sens!E6383-Sens!E6385</f>
        <v>37.441</v>
      </c>
      <c r="F6386" s="6" t="n">
        <f aca="false">Sens!F6383-Sens!F6385</f>
        <v>-16.9401950525003</v>
      </c>
      <c r="G6386" s="6" t="n">
        <f aca="false">Sens!G6383-Sens!G6385</f>
        <v>-7.09399345088214</v>
      </c>
      <c r="H6386" s="6" t="n">
        <f aca="false">Sens!H6383-Sens!H6385</f>
        <v>30.1280012399362</v>
      </c>
      <c r="I6386" s="6" t="n">
        <f aca="false">Sens!I6383-Sens!I6385</f>
        <v>96.2659342017394</v>
      </c>
      <c r="J6386" s="6" t="n">
        <f aca="false">Sens!J6383-Sens!J6385</f>
        <v>165.482802129586</v>
      </c>
      <c r="K6386" s="6" t="n">
        <f aca="false">Sens!K6383-Sens!K6385</f>
        <v>197.818777206077</v>
      </c>
    </row>
    <row r="6387" customFormat="false" ht="15" hidden="false" customHeight="false" outlineLevel="0" collapsed="false">
      <c r="A6387" s="1" t="s">
        <v>1122</v>
      </c>
      <c r="B6387" s="0" t="s">
        <v>98</v>
      </c>
      <c r="F6387" s="6" t="n">
        <f aca="false">debt_mat_27</f>
        <v>9.25</v>
      </c>
      <c r="G6387" s="6" t="n">
        <f aca="false">debt_mat_28</f>
        <v>0</v>
      </c>
      <c r="H6387" s="6" t="n">
        <f aca="false">debt_mat_29</f>
        <v>2.001</v>
      </c>
      <c r="I6387" s="6" t="n">
        <f aca="false">debt_mat_30</f>
        <v>0</v>
      </c>
      <c r="J6387" s="6" t="n">
        <f aca="false">debt_mat_31</f>
        <v>0.5</v>
      </c>
      <c r="K6387" s="6" t="n">
        <f aca="false">debt_mat_32</f>
        <v>0</v>
      </c>
    </row>
    <row r="6388" customFormat="false" ht="15" hidden="false" customHeight="false" outlineLevel="0" collapsed="false">
      <c r="A6388" s="1" t="s">
        <v>1123</v>
      </c>
      <c r="B6388" s="0" t="s">
        <v>98</v>
      </c>
      <c r="E6388" s="6" t="n">
        <f aca="false">Q!M40</f>
        <v>22.271</v>
      </c>
      <c r="F6388" s="6" t="n">
        <f aca="false">MAX(0,MIN(bb_target,Sens!E6390+Sens!F6386-Sens!F6387-min_cash))</f>
        <v>0.652804947499689</v>
      </c>
      <c r="G6388" s="6" t="n">
        <f aca="false">MAX(0,MIN(bb_target,Sens!F6390+Sens!G6386-Sens!G6387-min_cash))</f>
        <v>0</v>
      </c>
      <c r="H6388" s="6" t="n">
        <f aca="false">MAX(0,MIN(bb_target,Sens!G6390+Sens!H6386-Sens!H6387-min_cash))</f>
        <v>22.271</v>
      </c>
      <c r="I6388" s="6" t="n">
        <f aca="false">MAX(0,MIN(bb_target,Sens!H6390+Sens!I6386-Sens!I6387-min_cash))</f>
        <v>22.271</v>
      </c>
      <c r="J6388" s="6" t="n">
        <f aca="false">MAX(0,MIN(bb_target,Sens!I6390+Sens!J6386-Sens!J6387-min_cash))</f>
        <v>22.271</v>
      </c>
      <c r="K6388" s="6" t="n">
        <f aca="false">MAX(0,MIN(bb_target,Sens!J6390+Sens!K6386-Sens!K6387-min_cash))</f>
        <v>22.271</v>
      </c>
    </row>
    <row r="6389" customFormat="false" ht="15" hidden="false" customHeight="false" outlineLevel="0" collapsed="false">
      <c r="A6389" s="1" t="s">
        <v>1124</v>
      </c>
      <c r="B6389" s="0" t="s">
        <v>98</v>
      </c>
      <c r="F6389" s="6" t="n">
        <f aca="false">MAX(0,min_cash-(Sens!E6390+Sens!F6386-Sens!F6387-Sens!F6388))</f>
        <v>0</v>
      </c>
      <c r="G6389" s="6" t="n">
        <f aca="false">MAX(0,min_cash-(Sens!F6390+Sens!G6386-Sens!G6387-Sens!G6388))</f>
        <v>7.09399345088214</v>
      </c>
      <c r="H6389" s="6" t="n">
        <f aca="false">MAX(0,min_cash-(Sens!G6390+Sens!H6386-Sens!H6387-Sens!H6388))</f>
        <v>0</v>
      </c>
      <c r="I6389" s="6" t="n">
        <f aca="false">MAX(0,min_cash-(Sens!H6390+Sens!I6386-Sens!I6387-Sens!I6388))</f>
        <v>0</v>
      </c>
      <c r="J6389" s="6" t="n">
        <f aca="false">MAX(0,min_cash-(Sens!I6390+Sens!J6386-Sens!J6387-Sens!J6388))</f>
        <v>0</v>
      </c>
      <c r="K6389" s="6" t="n">
        <f aca="false">MAX(0,min_cash-(Sens!J6390+Sens!K6386-Sens!K6387-Sens!K6388))</f>
        <v>0</v>
      </c>
    </row>
    <row r="6390" customFormat="false" ht="15" hidden="false" customHeight="false" outlineLevel="0" collapsed="false">
      <c r="A6390" s="1" t="s">
        <v>1125</v>
      </c>
      <c r="B6390" s="0" t="s">
        <v>98</v>
      </c>
      <c r="E6390" s="6" t="n">
        <f aca="false">cash_open</f>
        <v>76.843</v>
      </c>
      <c r="F6390" s="6" t="n">
        <f aca="false">Sens!E6390+Sens!F6386-Sens!F6387-Sens!F6388+Sens!F6389</f>
        <v>50</v>
      </c>
      <c r="G6390" s="6" t="n">
        <f aca="false">Sens!F6390+Sens!G6386-Sens!G6387-Sens!G6388+Sens!G6389</f>
        <v>50</v>
      </c>
      <c r="H6390" s="6" t="n">
        <f aca="false">Sens!G6390+Sens!H6386-Sens!H6387-Sens!H6388+Sens!H6389</f>
        <v>55.8560012399362</v>
      </c>
      <c r="I6390" s="6" t="n">
        <f aca="false">Sens!H6390+Sens!I6386-Sens!I6387-Sens!I6388+Sens!I6389</f>
        <v>129.850935441676</v>
      </c>
      <c r="J6390" s="6" t="n">
        <f aca="false">Sens!I6390+Sens!J6386-Sens!J6387-Sens!J6388+Sens!J6389</f>
        <v>272.562737571262</v>
      </c>
      <c r="K6390" s="6" t="n">
        <f aca="false">Sens!J6390+Sens!K6386-Sens!K6387-Sens!K6388+Sens!K6389</f>
        <v>448.110514777339</v>
      </c>
    </row>
    <row r="6391" customFormat="false" ht="15" hidden="false" customHeight="false" outlineLevel="0" collapsed="false">
      <c r="A6391" s="1" t="s">
        <v>1126</v>
      </c>
      <c r="B6391" s="0" t="s">
        <v>98</v>
      </c>
      <c r="E6391" s="6" t="n">
        <f aca="false">debt_face</f>
        <v>46.136</v>
      </c>
      <c r="F6391" s="6" t="n">
        <f aca="false">Sens!E6391-Sens!F6387+Sens!F6389</f>
        <v>36.886</v>
      </c>
      <c r="G6391" s="6" t="n">
        <f aca="false">Sens!F6391-Sens!G6387+Sens!G6389</f>
        <v>43.9799934508821</v>
      </c>
      <c r="H6391" s="6" t="n">
        <f aca="false">Sens!G6391-Sens!H6387+Sens!H6389</f>
        <v>41.9789934508821</v>
      </c>
      <c r="I6391" s="6" t="n">
        <f aca="false">Sens!H6391-Sens!I6387+Sens!I6389</f>
        <v>41.9789934508821</v>
      </c>
      <c r="J6391" s="6" t="n">
        <f aca="false">Sens!I6391-Sens!J6387+Sens!J6389</f>
        <v>41.4789934508821</v>
      </c>
      <c r="K6391" s="6" t="n">
        <f aca="false">Sens!J6391-Sens!K6387+Sens!K6389</f>
        <v>41.4789934508821</v>
      </c>
    </row>
    <row r="6392" customFormat="false" ht="15" hidden="false" customHeight="false" outlineLevel="0" collapsed="false">
      <c r="A6392" s="1" t="s">
        <v>1127</v>
      </c>
      <c r="B6392" s="0" t="s">
        <v>98</v>
      </c>
      <c r="E6392" s="6" t="n">
        <f aca="false">Sens!E6390-Sens!E6391</f>
        <v>30.707</v>
      </c>
      <c r="F6392" s="6" t="n">
        <f aca="false">Sens!F6390-Sens!F6391</f>
        <v>13.114</v>
      </c>
      <c r="G6392" s="6" t="n">
        <f aca="false">Sens!G6390-Sens!G6391</f>
        <v>6.02000654911786</v>
      </c>
      <c r="H6392" s="6" t="n">
        <f aca="false">Sens!H6390-Sens!H6391</f>
        <v>13.877007789054</v>
      </c>
      <c r="I6392" s="6" t="n">
        <f aca="false">Sens!I6390-Sens!I6391</f>
        <v>87.8719419907934</v>
      </c>
      <c r="J6392" s="6" t="n">
        <f aca="false">Sens!J6390-Sens!J6391</f>
        <v>231.08374412038</v>
      </c>
      <c r="K6392" s="6" t="n">
        <f aca="false">Sens!K6390-Sens!K6391</f>
        <v>406.631521326457</v>
      </c>
    </row>
    <row r="6393" customFormat="false" ht="15" hidden="false" customHeight="false" outlineLevel="0" collapsed="false">
      <c r="A6393" s="1" t="s">
        <v>1128</v>
      </c>
      <c r="B6393" s="0" t="s">
        <v>75</v>
      </c>
      <c r="F6393" s="30" t="n">
        <f aca="false">px*(1+bb_g)^(Sens!F6251-base_fy-mid_yr)</f>
        <v>551.84177959629</v>
      </c>
      <c r="G6393" s="30" t="n">
        <f aca="false">px*(1+bb_g)^(Sens!G6251-base_fy-mid_yr)</f>
        <v>595.989121963993</v>
      </c>
      <c r="H6393" s="30" t="n">
        <f aca="false">px*(1+bb_g)^(Sens!H6251-base_fy-mid_yr)</f>
        <v>643.668251721112</v>
      </c>
      <c r="I6393" s="30" t="n">
        <f aca="false">px*(1+bb_g)^(Sens!I6251-base_fy-mid_yr)</f>
        <v>695.161711858801</v>
      </c>
      <c r="J6393" s="30" t="n">
        <f aca="false">px*(1+bb_g)^(Sens!J6251-base_fy-mid_yr)</f>
        <v>750.774648807506</v>
      </c>
      <c r="K6393" s="30" t="n">
        <f aca="false">px*(1+bb_g)^(Sens!K6251-base_fy-mid_yr)</f>
        <v>810.836620712106</v>
      </c>
    </row>
    <row r="6394" customFormat="false" ht="15" hidden="false" customHeight="false" outlineLevel="0" collapsed="false">
      <c r="A6394" s="1" t="s">
        <v>1129</v>
      </c>
      <c r="B6394" s="1" t="s">
        <v>81</v>
      </c>
      <c r="E6394" s="15" t="n">
        <f aca="false">sh_out26</f>
        <v>7.427</v>
      </c>
      <c r="F6394" s="15" t="n">
        <f aca="false">Sens!E6394+sh_iss-Sens!F6388/Sens!F6393</f>
        <v>7.47081704326922</v>
      </c>
      <c r="G6394" s="15" t="n">
        <f aca="false">Sens!F6394+sh_iss-Sens!G6388/Sens!G6393</f>
        <v>7.51581704326922</v>
      </c>
      <c r="H6394" s="15" t="n">
        <f aca="false">Sens!G6394+sh_iss-Sens!H6388/Sens!H6393</f>
        <v>7.52621692132682</v>
      </c>
      <c r="I6394" s="15" t="n">
        <f aca="false">Sens!H6394+sh_iss-Sens!I6388/Sens!I6393</f>
        <v>7.53917977138016</v>
      </c>
      <c r="J6394" s="15" t="n">
        <f aca="false">Sens!I6394+sh_iss-Sens!J6388/Sens!J6393</f>
        <v>7.55451574365177</v>
      </c>
      <c r="K6394" s="15" t="n">
        <f aca="false">Sens!J6394+sh_iss-Sens!K6388/Sens!K6393</f>
        <v>7.57204905131066</v>
      </c>
    </row>
    <row r="6395" customFormat="false" ht="15" hidden="false" customHeight="false" outlineLevel="0" collapsed="false">
      <c r="A6395" s="1" t="s">
        <v>1130</v>
      </c>
      <c r="B6395" s="1" t="s">
        <v>81</v>
      </c>
      <c r="E6395" s="15" t="n">
        <f aca="false">sh_dil26</f>
        <v>7.453</v>
      </c>
      <c r="F6395" s="15" t="n">
        <f aca="false">(Sens!E6394+Sens!F6394)/2+dil_gap</f>
        <v>7.47290852163461</v>
      </c>
      <c r="G6395" s="15" t="n">
        <f aca="false">(Sens!F6394+Sens!G6394)/2+dil_gap</f>
        <v>7.51731704326922</v>
      </c>
      <c r="H6395" s="15" t="n">
        <f aca="false">(Sens!G6394+Sens!H6394)/2+dil_gap</f>
        <v>7.54501698229802</v>
      </c>
      <c r="I6395" s="15" t="n">
        <f aca="false">(Sens!H6394+Sens!I6394)/2+dil_gap</f>
        <v>7.55669834635349</v>
      </c>
      <c r="J6395" s="15" t="n">
        <f aca="false">(Sens!I6394+Sens!J6394)/2+dil_gap</f>
        <v>7.57084775751596</v>
      </c>
      <c r="K6395" s="15" t="n">
        <f aca="false">(Sens!J6394+Sens!K6394)/2+dil_gap</f>
        <v>7.58728239748121</v>
      </c>
    </row>
    <row r="6396" customFormat="false" ht="17.15" hidden="false" customHeight="false" outlineLevel="0" collapsed="false">
      <c r="A6396" s="1" t="s">
        <v>1131</v>
      </c>
      <c r="B6396" s="0" t="s">
        <v>98</v>
      </c>
      <c r="C6396" s="6" t="n">
        <f aca="false">SUM(Sens!F6386:J6386)</f>
        <v>267.84254906788</v>
      </c>
    </row>
    <row r="6397" customFormat="false" ht="15" hidden="false" customHeight="false" outlineLevel="0" collapsed="false">
      <c r="A6397" s="26" t="s">
        <v>1096</v>
      </c>
      <c r="B6397" s="31" t="s">
        <v>98</v>
      </c>
      <c r="C6397" s="27" t="n">
        <f aca="false">Sens!$C$6396-(Sens!F6386+Sens!G6386+Sens!H6386+Sens!I6386+Sens!J6386)</f>
        <v>0</v>
      </c>
      <c r="D6397" s="31"/>
      <c r="E6397" s="31"/>
      <c r="F6397" s="31"/>
      <c r="G6397" s="31"/>
      <c r="H6397" s="31"/>
      <c r="I6397" s="31"/>
      <c r="J6397" s="31"/>
      <c r="K6397" s="31"/>
    </row>
    <row r="6398" customFormat="false" ht="17.15" hidden="false" customHeight="false" outlineLevel="0" collapsed="false">
      <c r="A6398" s="1" t="s">
        <v>1090</v>
      </c>
      <c r="B6398" s="1" t="s">
        <v>1132</v>
      </c>
      <c r="C6398" s="33" t="str">
        <f aca="false">IF(SUM(Sens!F6389:J6389)&gt;0.05,"需要舉債 "&amp;TEXT(SUM(Sens!F6389:J6389),"0.0")&amp;" 十億美元","不需舉債")&amp;"；"&amp;IF(SUM(Sens!F6388:J6388)&lt;COUNT(Sens!F6388:J6388)*bb_target-0.05,"回購較每年 "&amp;TEXT(bb_target,"0.0")&amp;" 的目標少 "&amp;TEXT(COUNT(Sens!F6388:J6388)*bb_target-SUM(Sens!F6388:J6388),"0.0")&amp;" 十億美元（"&amp;TEXT(COUNTIF(Sens!F6388:J6388,"&lt;"&amp;(bb_target-0.05)),"0")&amp;" 年減少）","回購不減")</f>
        <v>需要舉債 7.1 十億美元；回購較每年 22.3 的目標少 43.9 十億美元（2 年減少）</v>
      </c>
    </row>
    <row r="6399" customFormat="false" ht="17.15" hidden="false" customHeight="false" outlineLevel="0" collapsed="false">
      <c r="A6399" s="3" t="s">
        <v>1639</v>
      </c>
    </row>
    <row r="6400" customFormat="false" ht="15" hidden="false" customHeight="false" outlineLevel="0" collapsed="false">
      <c r="A6400" s="4" t="s">
        <v>43</v>
      </c>
      <c r="B6400" s="4" t="s">
        <v>65</v>
      </c>
      <c r="C6400" s="23" t="s">
        <v>938</v>
      </c>
      <c r="D6400" s="23" t="s">
        <v>939</v>
      </c>
      <c r="E6400" s="23" t="s">
        <v>940</v>
      </c>
      <c r="F6400" s="23" t="s">
        <v>941</v>
      </c>
      <c r="G6400" s="23" t="s">
        <v>942</v>
      </c>
      <c r="H6400" s="23" t="s">
        <v>943</v>
      </c>
      <c r="I6400" s="23" t="s">
        <v>944</v>
      </c>
      <c r="J6400" s="23" t="s">
        <v>945</v>
      </c>
      <c r="K6400" s="23" t="s">
        <v>946</v>
      </c>
      <c r="L6400" s="4" t="s">
        <v>47</v>
      </c>
    </row>
    <row r="6401" customFormat="false" ht="17.15" hidden="false" customHeight="false" outlineLevel="0" collapsed="false">
      <c r="A6401" s="1" t="s">
        <v>1212</v>
      </c>
      <c r="B6401" s="1" t="s">
        <v>279</v>
      </c>
      <c r="F6401" s="8" t="n">
        <f aca="false">(1-v_off)*mid_yr</f>
        <v>0.373972602739726</v>
      </c>
      <c r="G6401" s="8" t="n">
        <f aca="false">Sens!G6251-base_fy-mid_yr-v_off</f>
        <v>1.24794520547945</v>
      </c>
      <c r="H6401" s="8" t="n">
        <f aca="false">Sens!H6251-base_fy-mid_yr-v_off</f>
        <v>2.24794520547945</v>
      </c>
      <c r="I6401" s="8" t="n">
        <f aca="false">Sens!I6251-base_fy-mid_yr-v_off</f>
        <v>3.24794520547945</v>
      </c>
      <c r="J6401" s="8" t="n">
        <f aca="false">Sens!J6251-base_fy-mid_yr-v_off</f>
        <v>4.24794520547945</v>
      </c>
      <c r="K6401" s="8" t="n">
        <f aca="false">Sens!K6251-base_fy-mid_yr-v_off</f>
        <v>5.24794520547945</v>
      </c>
      <c r="L6401" s="12" t="s">
        <v>1213</v>
      </c>
    </row>
    <row r="6402" customFormat="false" ht="15" hidden="false" customHeight="false" outlineLevel="0" collapsed="false">
      <c r="A6402" s="1" t="s">
        <v>1214</v>
      </c>
      <c r="B6402" s="1" t="s">
        <v>279</v>
      </c>
      <c r="F6402" s="8" t="n">
        <f aca="false">Sens!F6251-base_fy-v_off</f>
        <v>0.747945205479452</v>
      </c>
      <c r="G6402" s="8" t="n">
        <f aca="false">Sens!G6251-base_fy-v_off</f>
        <v>1.74794520547945</v>
      </c>
      <c r="H6402" s="8" t="n">
        <f aca="false">Sens!H6251-base_fy-v_off</f>
        <v>2.74794520547945</v>
      </c>
      <c r="I6402" s="8" t="n">
        <f aca="false">Sens!I6251-base_fy-v_off</f>
        <v>3.74794520547945</v>
      </c>
      <c r="J6402" s="8" t="n">
        <f aca="false">Sens!J6251-base_fy-v_off</f>
        <v>4.74794520547945</v>
      </c>
      <c r="K6402" s="8" t="n">
        <f aca="false">Sens!K6251-base_fy-v_off</f>
        <v>5.74794520547945</v>
      </c>
    </row>
    <row r="6403" customFormat="false" ht="15" hidden="false" customHeight="false" outlineLevel="0" collapsed="false">
      <c r="A6403" s="1" t="s">
        <v>1215</v>
      </c>
      <c r="B6403" s="0" t="s">
        <v>229</v>
      </c>
      <c r="F6403" s="15" t="n">
        <f aca="false">1/(1+wacc)^Sens!F6401</f>
        <v>0.964022703286649</v>
      </c>
      <c r="G6403" s="15" t="n">
        <f aca="false">1/(1+wacc)^Sens!G6401</f>
        <v>0.884910302296739</v>
      </c>
      <c r="H6403" s="15" t="n">
        <f aca="false">1/(1+wacc)^Sens!H6401</f>
        <v>0.802322009770358</v>
      </c>
      <c r="I6403" s="15" t="n">
        <f aca="false">1/(1+wacc)^Sens!I6401</f>
        <v>0.727441646561469</v>
      </c>
      <c r="J6403" s="15" t="n">
        <f aca="false">1/(1+wacc)^Sens!J6401</f>
        <v>0.659549834988973</v>
      </c>
      <c r="K6403" s="15" t="n">
        <f aca="false">1/(1+wacc)^Sens!K6401</f>
        <v>0.597994336576966</v>
      </c>
    </row>
    <row r="6404" customFormat="false" ht="17.15" hidden="false" customHeight="false" outlineLevel="0" collapsed="false">
      <c r="A6404" s="1" t="s">
        <v>1216</v>
      </c>
      <c r="B6404" s="0" t="s">
        <v>98</v>
      </c>
      <c r="F6404" s="6" t="n">
        <f aca="false">Q!$I$35-Q!$I$39-Q!$I$43</f>
        <v>9.666</v>
      </c>
      <c r="L6404" s="12" t="s">
        <v>1217</v>
      </c>
    </row>
    <row r="6405" customFormat="false" ht="17.15" hidden="false" customHeight="false" outlineLevel="0" collapsed="false">
      <c r="A6405" s="1" t="s">
        <v>1218</v>
      </c>
      <c r="B6405" s="0" t="s">
        <v>98</v>
      </c>
      <c r="F6405" s="6" t="n">
        <f aca="false">Sens!F6376-Sens!F6373-Sens!F6380+Sens!F6358*(1-tax_f)*(1-v_off)-Sens!F6404</f>
        <v>-2.99522099719831</v>
      </c>
      <c r="G6405" s="6" t="n">
        <f aca="false">Sens!G6376-Sens!G6373-Sens!G6380+Sens!G6358*(1-tax_f)</f>
        <v>30.817424154267</v>
      </c>
      <c r="H6405" s="6" t="n">
        <f aca="false">Sens!H6376-Sens!H6373-Sens!H6380+Sens!H6358*(1-tax_f)</f>
        <v>80.9197834815951</v>
      </c>
      <c r="I6405" s="6" t="n">
        <f aca="false">Sens!I6376-Sens!I6373-Sens!I6380+Sens!I6358*(1-tax_f)</f>
        <v>159.481586177558</v>
      </c>
      <c r="J6405" s="6" t="n">
        <f aca="false">Sens!J6376-Sens!J6373-Sens!J6380+Sens!J6358*(1-tax_f)</f>
        <v>238.217687384372</v>
      </c>
      <c r="K6405" s="6" t="n">
        <f aca="false">Sens!K6376-Sens!K6373-Sens!K6380+Sens!K6358*(1-tax_f)</f>
        <v>276.88194776303</v>
      </c>
      <c r="L6405" s="1" t="s">
        <v>1219</v>
      </c>
    </row>
    <row r="6406" customFormat="false" ht="15" hidden="false" customHeight="false" outlineLevel="0" collapsed="false">
      <c r="A6406" s="1" t="s">
        <v>1220</v>
      </c>
      <c r="B6406" s="0" t="s">
        <v>98</v>
      </c>
      <c r="F6406" s="6" t="n">
        <f aca="false">Sens!F6405*Sens!F6403</f>
        <v>-2.88746104266005</v>
      </c>
      <c r="G6406" s="6" t="n">
        <f aca="false">Sens!G6405*Sens!G6403</f>
        <v>27.2706561243592</v>
      </c>
      <c r="H6406" s="6" t="n">
        <f aca="false">Sens!H6405*Sens!H6403</f>
        <v>64.9237233131356</v>
      </c>
      <c r="I6406" s="6" t="n">
        <f aca="false">Sens!I6405*Sens!I6403</f>
        <v>116.013547645237</v>
      </c>
      <c r="J6406" s="6" t="n">
        <f aca="false">Sens!J6405*Sens!J6403</f>
        <v>157.116436405817</v>
      </c>
      <c r="K6406" s="6" t="n">
        <f aca="false">Sens!K6405*Sens!K6403</f>
        <v>165.573836662691</v>
      </c>
    </row>
    <row r="6407" customFormat="false" ht="17.15" hidden="false" customHeight="false" outlineLevel="0" collapsed="false">
      <c r="A6407" s="1" t="s">
        <v>1221</v>
      </c>
      <c r="B6407" s="0" t="s">
        <v>98</v>
      </c>
      <c r="C6407" s="6" t="n">
        <f aca="false">SUM(Sens!F6406:K6406)</f>
        <v>528.010739108581</v>
      </c>
    </row>
    <row r="6408" customFormat="false" ht="17.15" hidden="false" customHeight="false" outlineLevel="0" collapsed="false">
      <c r="A6408" s="1" t="s">
        <v>1222</v>
      </c>
      <c r="B6408" s="0" t="s">
        <v>98</v>
      </c>
      <c r="C6408" s="6" t="n">
        <f aca="false">Sens!K6344*(1+g_tv)*(1-tax_f)</f>
        <v>288.218369370696</v>
      </c>
    </row>
    <row r="6409" customFormat="false" ht="17.15" hidden="false" customHeight="false" outlineLevel="0" collapsed="false">
      <c r="A6409" s="1" t="s">
        <v>1223</v>
      </c>
      <c r="B6409" s="0" t="s">
        <v>98</v>
      </c>
      <c r="C6409" s="6" t="n">
        <f aca="false">Sens!$C$6408*(1-g_tv/(wacc+ronic_prem))</f>
        <v>204.219559990165</v>
      </c>
    </row>
    <row r="6410" customFormat="false" ht="17.15" hidden="false" customHeight="false" outlineLevel="0" collapsed="false">
      <c r="A6410" s="1" t="s">
        <v>1224</v>
      </c>
      <c r="B6410" s="0" t="s">
        <v>98</v>
      </c>
      <c r="C6410" s="6" t="n">
        <f aca="false">Sens!$C$6409/(wacc-g_tv)</f>
        <v>2799.96031268435</v>
      </c>
    </row>
    <row r="6411" customFormat="false" ht="15" hidden="false" customHeight="false" outlineLevel="0" collapsed="false">
      <c r="A6411" s="1" t="s">
        <v>1225</v>
      </c>
      <c r="B6411" s="0" t="s">
        <v>98</v>
      </c>
      <c r="C6411" s="6" t="n">
        <f aca="false">Sens!$C$6410/(1+wacc)^Sens!K6402</f>
        <v>1594.3133180731</v>
      </c>
    </row>
    <row r="6412" customFormat="false" ht="17.15" hidden="false" customHeight="false" outlineLevel="0" collapsed="false">
      <c r="A6412" s="0" t="s">
        <v>1226</v>
      </c>
      <c r="B6412" s="0" t="s">
        <v>98</v>
      </c>
      <c r="C6412" s="6" t="n">
        <f aca="false">Sens!$C$6407+Sens!$C$6411</f>
        <v>2122.32405718168</v>
      </c>
    </row>
    <row r="6413" customFormat="false" ht="15" hidden="false" customHeight="false" outlineLevel="0" collapsed="false">
      <c r="A6413" s="1" t="s">
        <v>1141</v>
      </c>
      <c r="B6413" s="0" t="s">
        <v>168</v>
      </c>
      <c r="C6413" s="7" t="n">
        <f aca="false">Sens!$C$6411/Sens!$C$6412</f>
        <v>0.7512110663205</v>
      </c>
    </row>
    <row r="6414" customFormat="false" ht="17.15" hidden="false" customHeight="false" outlineLevel="0" collapsed="false">
      <c r="A6414" s="1" t="s">
        <v>1227</v>
      </c>
      <c r="B6414" s="0" t="s">
        <v>98</v>
      </c>
      <c r="C6414" s="6" t="n">
        <f aca="false">Sens!$C$6412+cash_val-debt_val-fl_val+oai_v</f>
        <v>2238.17505718168</v>
      </c>
    </row>
    <row r="6415" customFormat="false" ht="17.15" hidden="false" customHeight="false" outlineLevel="0" collapsed="false">
      <c r="A6415" s="0" t="s">
        <v>1149</v>
      </c>
      <c r="B6415" s="0" t="s">
        <v>75</v>
      </c>
      <c r="C6415" s="5" t="n">
        <f aca="false">Sens!$C$6414/shd_val</f>
        <v>300.587571472157</v>
      </c>
    </row>
    <row r="6416" customFormat="false" ht="15" hidden="false" customHeight="false" outlineLevel="0" collapsed="false">
      <c r="A6416" s="1" t="s">
        <v>1228</v>
      </c>
      <c r="B6416" s="0" t="s">
        <v>75</v>
      </c>
      <c r="C6416" s="8" t="n">
        <f aca="false">div_rem27+Sens!G6384*roll_div_q/q_per_yr</f>
        <v>3.9795</v>
      </c>
    </row>
    <row r="6417" customFormat="false" ht="17.15" hidden="false" customHeight="false" outlineLevel="0" collapsed="false">
      <c r="A6417" s="0" t="s">
        <v>1229</v>
      </c>
      <c r="B6417" s="0" t="s">
        <v>75</v>
      </c>
      <c r="C6417" s="5" t="n">
        <f aca="false">Sens!$C$6415*(1+wacc)^t_roll-Sens!$C$6416</f>
        <v>330.140361707249</v>
      </c>
    </row>
    <row r="6418" customFormat="false" ht="17.15" hidden="false" customHeight="false" outlineLevel="0" collapsed="false">
      <c r="A6418" s="1" t="s">
        <v>1230</v>
      </c>
      <c r="B6418" s="0" t="s">
        <v>168</v>
      </c>
      <c r="F6418" s="7" t="n">
        <f aca="false">Sens!F6370/(Sens!F6315-Sens!F6270)</f>
        <v>0.068646025067289</v>
      </c>
      <c r="G6418" s="7" t="n">
        <f aca="false">Sens!G6370/(Sens!G6315-Sens!G6270)</f>
        <v>0.0658520896768407</v>
      </c>
      <c r="H6418" s="7" t="n">
        <f aca="false">Sens!H6370/(Sens!H6315-Sens!H6270)</f>
        <v>0.0644019138715313</v>
      </c>
      <c r="I6418" s="7" t="n">
        <f aca="false">Sens!I6370/(Sens!I6315-Sens!I6270)</f>
        <v>0.0641747477557122</v>
      </c>
      <c r="J6418" s="7" t="n">
        <f aca="false">Sens!J6370/(Sens!J6315-Sens!J6270)</f>
        <v>0.0648884609506993</v>
      </c>
      <c r="K6418" s="7" t="n">
        <f aca="false">Sens!K6370/(Sens!K6315-Sens!K6270)</f>
        <v>0.0661960129465075</v>
      </c>
    </row>
    <row r="6419" customFormat="false" ht="17.15" hidden="false" customHeight="false" outlineLevel="0" collapsed="false">
      <c r="A6419" s="0" t="s">
        <v>1231</v>
      </c>
      <c r="B6419" s="0" t="s">
        <v>98</v>
      </c>
      <c r="F6419" s="6" t="n">
        <f aca="false">Sens!F6300*(al_m365+Sens!F6418+sbc_r)</f>
        <v>83.7236994413656</v>
      </c>
      <c r="G6419" s="6" t="n">
        <f aca="false">Sens!G6300*(al_m365+Sens!G6418+sbc_r)</f>
        <v>96.1326911154139</v>
      </c>
      <c r="H6419" s="6" t="n">
        <f aca="false">Sens!H6300*(al_m365+Sens!H6418+sbc_r)</f>
        <v>108.705453945293</v>
      </c>
      <c r="I6419" s="6" t="n">
        <f aca="false">Sens!I6300*(al_m365+Sens!I6418+sbc_r)</f>
        <v>120.26131599106</v>
      </c>
      <c r="J6419" s="6" t="n">
        <f aca="false">Sens!J6300*(al_m365+Sens!J6418+sbc_r)</f>
        <v>130.612388166081</v>
      </c>
      <c r="K6419" s="6" t="n">
        <f aca="false">Sens!K6300*(al_m365+Sens!K6418+sbc_r)</f>
        <v>140.574809346974</v>
      </c>
      <c r="L6419" s="12" t="s">
        <v>1232</v>
      </c>
    </row>
    <row r="6420" customFormat="false" ht="17.15" hidden="false" customHeight="false" outlineLevel="0" collapsed="false">
      <c r="A6420" s="0" t="s">
        <v>1233</v>
      </c>
      <c r="B6420" s="0" t="s">
        <v>98</v>
      </c>
      <c r="F6420" s="6" t="n">
        <f aca="false">Sens!F6301*(al_lic+Sens!F6418+sbc_r)</f>
        <v>32.8587813192582</v>
      </c>
      <c r="G6420" s="6" t="n">
        <f aca="false">Sens!G6301*(al_lic+Sens!G6418+sbc_r)</f>
        <v>34.1383761403248</v>
      </c>
      <c r="H6420" s="6" t="n">
        <f aca="false">Sens!H6301*(al_lic+Sens!H6418+sbc_r)</f>
        <v>35.3330868158498</v>
      </c>
      <c r="I6420" s="6" t="n">
        <f aca="false">Sens!I6301*(al_lic+Sens!I6418+sbc_r)</f>
        <v>36.4247779970684</v>
      </c>
      <c r="J6420" s="6" t="n">
        <f aca="false">Sens!J6301*(al_lic+Sens!J6418+sbc_r)</f>
        <v>37.3880546784444</v>
      </c>
      <c r="K6420" s="6" t="n">
        <f aca="false">Sens!K6301*(al_lic+Sens!K6418+sbc_r)</f>
        <v>38.1943236401323</v>
      </c>
    </row>
    <row r="6421" customFormat="false" ht="17.15" hidden="false" customHeight="false" outlineLevel="0" collapsed="false">
      <c r="A6421" s="0" t="s">
        <v>1234</v>
      </c>
      <c r="B6421" s="0" t="s">
        <v>98</v>
      </c>
      <c r="F6421" s="6" t="n">
        <f aca="false">Sens!F6303*(al_ind+Sens!F6418+sbc_r)</f>
        <v>9.06100745634161</v>
      </c>
      <c r="G6421" s="6" t="n">
        <f aca="false">Sens!G6303*(al_ind+Sens!G6418+sbc_r)</f>
        <v>9.83664780068097</v>
      </c>
      <c r="H6421" s="6" t="n">
        <f aca="false">Sens!H6303*(al_ind+Sens!H6418+sbc_r)</f>
        <v>10.6573436303807</v>
      </c>
      <c r="I6421" s="6" t="n">
        <f aca="false">Sens!I6303*(al_ind+Sens!I6418+sbc_r)</f>
        <v>11.5200604483975</v>
      </c>
      <c r="J6421" s="6" t="n">
        <f aca="false">Sens!J6303*(al_ind+Sens!J6418+sbc_r)</f>
        <v>12.4150889054699</v>
      </c>
      <c r="K6421" s="6" t="n">
        <f aca="false">Sens!K6303*(al_ind+Sens!K6418+sbc_r)</f>
        <v>13.3273242504966</v>
      </c>
    </row>
    <row r="6422" customFormat="false" ht="17.15" hidden="false" customHeight="false" outlineLevel="0" collapsed="false">
      <c r="A6422" s="0" t="s">
        <v>1235</v>
      </c>
      <c r="B6422" s="0" t="s">
        <v>98</v>
      </c>
      <c r="F6422" s="6" t="n">
        <f aca="false">Sens!F6305*(al_fro+Sens!F6418+sbc_r)</f>
        <v>3.55426110931073</v>
      </c>
      <c r="G6422" s="6" t="n">
        <f aca="false">Sens!G6305*(al_fro+Sens!G6418+sbc_r)</f>
        <v>3.76378974073882</v>
      </c>
      <c r="H6422" s="6" t="n">
        <f aca="false">Sens!H6305*(al_fro+Sens!H6418+sbc_r)</f>
        <v>4.00233272542542</v>
      </c>
      <c r="I6422" s="6" t="n">
        <f aca="false">Sens!I6305*(al_fro+Sens!I6418+sbc_r)</f>
        <v>4.27265191323076</v>
      </c>
      <c r="J6422" s="6" t="n">
        <f aca="false">Sens!J6305*(al_fro+Sens!J6418+sbc_r)</f>
        <v>4.57589182262049</v>
      </c>
      <c r="K6422" s="6" t="n">
        <f aca="false">Sens!K6305*(al_fro+Sens!K6418+sbc_r)</f>
        <v>4.91211899645683</v>
      </c>
    </row>
    <row r="6423" customFormat="false" ht="17.15" hidden="false" customHeight="false" outlineLevel="0" collapsed="false">
      <c r="A6423" s="0" t="s">
        <v>1236</v>
      </c>
      <c r="B6423" s="0" t="s">
        <v>98</v>
      </c>
      <c r="F6423" s="6" t="n">
        <f aca="false">Sens!F6308*(al_srch+Sens!F6418+sbc_r)</f>
        <v>11.1898194653161</v>
      </c>
      <c r="G6423" s="6" t="n">
        <f aca="false">Sens!G6308*(al_srch+Sens!G6418+sbc_r)</f>
        <v>12.2623085524038</v>
      </c>
      <c r="H6423" s="6" t="n">
        <f aca="false">Sens!H6308*(al_srch+Sens!H6418+sbc_r)</f>
        <v>13.3798976574276</v>
      </c>
      <c r="I6423" s="6" t="n">
        <f aca="false">Sens!I6308*(al_srch+Sens!I6418+sbc_r)</f>
        <v>14.5319679120265</v>
      </c>
      <c r="J6423" s="6" t="n">
        <f aca="false">Sens!J6308*(al_srch+Sens!J6418+sbc_r)</f>
        <v>15.6985380576467</v>
      </c>
      <c r="K6423" s="6" t="n">
        <f aca="false">Sens!K6308*(al_srch+Sens!K6418+sbc_r)</f>
        <v>16.8520345320153</v>
      </c>
    </row>
    <row r="6424" customFormat="false" ht="17.15" hidden="false" customHeight="false" outlineLevel="0" collapsed="false">
      <c r="A6424" s="0" t="s">
        <v>1237</v>
      </c>
      <c r="B6424" s="0" t="s">
        <v>98</v>
      </c>
      <c r="F6424" s="6" t="n">
        <f aca="false">Sens!F6276-Sens!F6277+Sens!F6358</f>
        <v>43.1462864697316</v>
      </c>
      <c r="G6424" s="6" t="n">
        <f aca="false">Sens!G6276-Sens!G6277+Sens!G6358</f>
        <v>82.8102937676677</v>
      </c>
      <c r="H6424" s="6" t="n">
        <f aca="false">Sens!H6276-Sens!H6277+Sens!H6358</f>
        <v>125.342920987758</v>
      </c>
      <c r="I6424" s="6" t="n">
        <f aca="false">Sens!I6276-Sens!I6277+Sens!I6358</f>
        <v>163.424683054997</v>
      </c>
      <c r="J6424" s="6" t="n">
        <f aca="false">Sens!J6276-Sens!J6277+Sens!J6358</f>
        <v>190.261180411804</v>
      </c>
      <c r="K6424" s="6" t="n">
        <f aca="false">Sens!K6276-Sens!K6277+Sens!K6358</f>
        <v>206.850068213465</v>
      </c>
    </row>
    <row r="6425" customFormat="false" ht="17.15" hidden="false" customHeight="false" outlineLevel="0" collapsed="false">
      <c r="A6425" s="0" t="s">
        <v>1238</v>
      </c>
      <c r="B6425" s="0" t="s">
        <v>98</v>
      </c>
      <c r="F6425" s="6" t="n">
        <f aca="false">Sens!F6337+Sens!F6358+Sens!F6288+Sens!F6418*(Sens!F6307-Sens!F6270)+sbc_r*Sens!F6307</f>
        <v>238.562086142628</v>
      </c>
      <c r="G6425" s="6" t="n">
        <f aca="false">Sens!G6337+Sens!G6358+Sens!G6288+Sens!G6418*(Sens!G6307-Sens!G6270)+sbc_r*Sens!G6307</f>
        <v>301.17316371352</v>
      </c>
      <c r="H6425" s="6" t="n">
        <f aca="false">Sens!H6337+Sens!H6358+Sens!H6288+Sens!H6418*(Sens!H6307-Sens!H6270)+sbc_r*Sens!H6307</f>
        <v>371.478907570511</v>
      </c>
      <c r="I6425" s="6" t="n">
        <f aca="false">Sens!I6337+Sens!I6358+Sens!I6288+Sens!I6418*(Sens!I6307-Sens!I6270)+sbc_r*Sens!I6307</f>
        <v>435.951482773419</v>
      </c>
      <c r="J6425" s="6" t="n">
        <f aca="false">Sens!J6337+Sens!J6358+Sens!J6288+Sens!J6418*(Sens!J6307-Sens!J6270)+sbc_r*Sens!J6307</f>
        <v>486.717370279552</v>
      </c>
      <c r="K6425" s="6" t="n">
        <f aca="false">Sens!K6337+Sens!K6358+Sens!K6288+Sens!K6418*(Sens!K6307-Sens!K6270)+sbc_r*Sens!K6307</f>
        <v>524.845590654625</v>
      </c>
    </row>
    <row r="6426" customFormat="false" ht="17.15" hidden="false" customHeight="false" outlineLevel="0" collapsed="false">
      <c r="A6426" s="0" t="s">
        <v>1239</v>
      </c>
      <c r="B6426" s="0" t="s">
        <v>98</v>
      </c>
      <c r="F6426" s="6" t="n">
        <f aca="false">Sens!F6425-Sens!F6419-Sens!F6420-Sens!F6421-Sens!F6422-Sens!F6424</f>
        <v>66.2180503466198</v>
      </c>
      <c r="G6426" s="6" t="n">
        <f aca="false">Sens!G6425-Sens!G6419-Sens!G6420-Sens!G6421-Sens!G6422-Sens!G6424</f>
        <v>74.4913651486935</v>
      </c>
      <c r="H6426" s="6" t="n">
        <f aca="false">Sens!H6425-Sens!H6419-Sens!H6420-Sens!H6421-Sens!H6422-Sens!H6424</f>
        <v>87.4377694658042</v>
      </c>
      <c r="I6426" s="6" t="n">
        <f aca="false">Sens!I6425-Sens!I6419-Sens!I6420-Sens!I6421-Sens!I6422-Sens!I6424</f>
        <v>100.047993368665</v>
      </c>
      <c r="J6426" s="6" t="n">
        <f aca="false">Sens!J6425-Sens!J6419-Sens!J6420-Sens!J6421-Sens!J6422-Sens!J6424</f>
        <v>111.464766295131</v>
      </c>
      <c r="K6426" s="6" t="n">
        <f aca="false">Sens!K6425-Sens!K6419-Sens!K6420-Sens!K6421-Sens!K6422-Sens!K6424</f>
        <v>120.9869462071</v>
      </c>
    </row>
    <row r="6427" customFormat="false" ht="17.15" hidden="false" customHeight="false" outlineLevel="0" collapsed="false">
      <c r="A6427" s="0" t="s">
        <v>1240</v>
      </c>
      <c r="B6427" s="0" t="s">
        <v>98</v>
      </c>
      <c r="F6427" s="6" t="n">
        <f aca="false">Sens!F6339+Sens!F6418*Sens!F6314+sbc_r*Sens!F6314</f>
        <v>26.6353379128783</v>
      </c>
      <c r="G6427" s="6" t="n">
        <f aca="false">Sens!G6339+Sens!G6418*Sens!G6314+sbc_r*Sens!G6314</f>
        <v>26.4733274762513</v>
      </c>
      <c r="H6427" s="6" t="n">
        <f aca="false">Sens!H6339+Sens!H6418*Sens!H6314+sbc_r*Sens!H6314</f>
        <v>27.3476417315973</v>
      </c>
      <c r="I6427" s="6" t="n">
        <f aca="false">Sens!I6339+Sens!I6418*Sens!I6314+sbc_r*Sens!I6314</f>
        <v>28.4579727473308</v>
      </c>
      <c r="J6427" s="6" t="n">
        <f aca="false">Sens!J6339+Sens!J6418*Sens!J6314+sbc_r*Sens!J6314</f>
        <v>29.76918331482</v>
      </c>
      <c r="K6427" s="6" t="n">
        <f aca="false">Sens!K6339+Sens!K6418*Sens!K6314+sbc_r*Sens!K6314</f>
        <v>31.2442830064123</v>
      </c>
    </row>
    <row r="6428" customFormat="false" ht="17.15" hidden="false" customHeight="false" outlineLevel="0" collapsed="false">
      <c r="A6428" s="0" t="s">
        <v>1241</v>
      </c>
      <c r="B6428" s="0" t="s">
        <v>98</v>
      </c>
      <c r="F6428" s="6" t="n">
        <f aca="false">(Sens!F6427-Sens!F6423)*Sens!F6310/(Sens!F6310+Sens!F6312)</f>
        <v>8.72340514499654</v>
      </c>
      <c r="G6428" s="6" t="n">
        <f aca="false">(Sens!G6427-Sens!G6423)*Sens!G6310/(Sens!G6310+Sens!G6312)</f>
        <v>7.88823749300109</v>
      </c>
      <c r="H6428" s="6" t="n">
        <f aca="false">(Sens!H6427-Sens!H6423)*Sens!H6310/(Sens!H6310+Sens!H6312)</f>
        <v>7.65219949457733</v>
      </c>
      <c r="I6428" s="6" t="n">
        <f aca="false">(Sens!I6427-Sens!I6423)*Sens!I6310/(Sens!I6310+Sens!I6312)</f>
        <v>7.56274045989209</v>
      </c>
      <c r="J6428" s="6" t="n">
        <f aca="false">(Sens!J6427-Sens!J6423)*Sens!J6310/(Sens!J6310+Sens!J6312)</f>
        <v>7.60795117704511</v>
      </c>
      <c r="K6428" s="6" t="n">
        <f aca="false">(Sens!K6427-Sens!K6423)*Sens!K6310/(Sens!K6310+Sens!K6312)</f>
        <v>7.78184096889892</v>
      </c>
    </row>
    <row r="6429" customFormat="false" ht="17.15" hidden="false" customHeight="false" outlineLevel="0" collapsed="false">
      <c r="A6429" s="0" t="s">
        <v>1242</v>
      </c>
      <c r="B6429" s="0" t="s">
        <v>98</v>
      </c>
      <c r="F6429" s="6" t="n">
        <f aca="false">Sens!F6427-Sens!F6423-Sens!F6428</f>
        <v>6.72211330256571</v>
      </c>
      <c r="G6429" s="6" t="n">
        <f aca="false">Sens!G6427-Sens!G6423-Sens!G6428</f>
        <v>6.32278143084639</v>
      </c>
      <c r="H6429" s="6" t="n">
        <f aca="false">Sens!H6427-Sens!H6423-Sens!H6428</f>
        <v>6.31554457959235</v>
      </c>
      <c r="I6429" s="6" t="n">
        <f aca="false">Sens!I6427-Sens!I6423-Sens!I6428</f>
        <v>6.36326437541218</v>
      </c>
      <c r="J6429" s="6" t="n">
        <f aca="false">Sens!J6427-Sens!J6423-Sens!J6428</f>
        <v>6.46269408012819</v>
      </c>
      <c r="K6429" s="6" t="n">
        <f aca="false">Sens!K6427-Sens!K6423-Sens!K6428</f>
        <v>6.61040750549809</v>
      </c>
    </row>
    <row r="6430" customFormat="false" ht="17.15" hidden="false" customHeight="false" outlineLevel="0" collapsed="false">
      <c r="A6430" s="0" t="s">
        <v>1243</v>
      </c>
      <c r="B6430" s="0" t="s">
        <v>98</v>
      </c>
      <c r="F6430" s="6" t="n">
        <f aca="false">Sens!F6424-tax_f*(Sens!F6424-Sens!F6288)-Sens!F6285</f>
        <v>-127.021011970664</v>
      </c>
      <c r="G6430" s="6" t="n">
        <f aca="false">Sens!G6424-tax_f*(Sens!G6424-Sens!G6288)-Sens!G6285</f>
        <v>-113.549342504454</v>
      </c>
      <c r="H6430" s="6" t="n">
        <f aca="false">Sens!H6424-tax_f*(Sens!H6424-Sens!H6288)-Sens!H6285</f>
        <v>-78.7116491420168</v>
      </c>
      <c r="I6430" s="6" t="n">
        <f aca="false">Sens!I6424-tax_f*(Sens!I6424-Sens!I6288)-Sens!I6285</f>
        <v>-15.0288852387031</v>
      </c>
      <c r="J6430" s="6" t="n">
        <f aca="false">Sens!J6424-tax_f*(Sens!J6424-Sens!J6288)-Sens!J6285</f>
        <v>49.6821477434224</v>
      </c>
      <c r="K6430" s="6" t="n">
        <f aca="false">Sens!K6424-tax_f*(Sens!K6424-Sens!K6288)-Sens!K6285</f>
        <v>75.1197354162263</v>
      </c>
    </row>
    <row r="6431" customFormat="false" ht="17.15" hidden="false" customHeight="false" outlineLevel="0" collapsed="false">
      <c r="A6431" s="0" t="s">
        <v>1244</v>
      </c>
      <c r="B6431" s="0" t="s">
        <v>98</v>
      </c>
      <c r="G6431" s="6" t="n">
        <f aca="false">Sens!G6430/(1+wacc)^(Sens!G6401-Sens!F6402)</f>
        <v>-108.120825105859</v>
      </c>
      <c r="H6431" s="6" t="n">
        <f aca="false">Sens!H6430/(1+wacc)^(Sens!H6401-Sens!F6402)</f>
        <v>-67.9537133822789</v>
      </c>
      <c r="I6431" s="6" t="n">
        <f aca="false">Sens!I6430/(1+wacc)^(Sens!I6401-Sens!F6402)</f>
        <v>-11.7638751166103</v>
      </c>
      <c r="J6431" s="6" t="n">
        <f aca="false">Sens!J6430/(1+wacc)^(Sens!J6401-Sens!F6402)</f>
        <v>35.2592811772305</v>
      </c>
      <c r="K6431" s="6" t="n">
        <f aca="false">Sens!K6430/(1+wacc)^(Sens!K6401-Sens!F6402)</f>
        <v>48.3366554145608</v>
      </c>
      <c r="L6431" s="1" t="s">
        <v>1245</v>
      </c>
    </row>
    <row r="6432" customFormat="false" ht="17.15" hidden="false" customHeight="false" outlineLevel="0" collapsed="false">
      <c r="A6432" s="0" t="s">
        <v>1246</v>
      </c>
      <c r="B6432" s="0" t="s">
        <v>98</v>
      </c>
      <c r="C6432" s="6" t="n">
        <f aca="false">(Sens!K6424-Sens!K6288)*(1-tax_f)*(1+g_tv)*(1-g_tv/(wacc+ronic_prem))/(wacc-g_tv)/(1+wacc)^(Sens!K6402-Sens!F6402)</f>
        <v>313.097706647114</v>
      </c>
    </row>
    <row r="6433" customFormat="false" ht="17.15" hidden="false" customHeight="false" outlineLevel="0" collapsed="false">
      <c r="A6433" s="1" t="s">
        <v>1247</v>
      </c>
      <c r="B6433" s="0" t="s">
        <v>98</v>
      </c>
      <c r="C6433" s="6" t="n">
        <f aca="false">(SUM(Sens!G6431:K6431)+Sens!$C$6432)*(1+wacc)^(t_roll-Sens!F6402)</f>
        <v>215.750172389477</v>
      </c>
      <c r="L6433" s="12" t="s">
        <v>1248</v>
      </c>
    </row>
    <row r="6434" customFormat="false" ht="17.15" hidden="false" customHeight="false" outlineLevel="0" collapsed="false">
      <c r="A6434" s="1" t="s">
        <v>1249</v>
      </c>
      <c r="B6434" s="0" t="s">
        <v>98</v>
      </c>
      <c r="C6434" s="6" t="n">
        <f aca="false">(w_ntm28*Sens!G6276+(1-w_ntm28)*Sens!H6276)*m_ai</f>
        <v>473.170114417873</v>
      </c>
    </row>
    <row r="6435" customFormat="false" ht="17.15" hidden="false" customHeight="false" outlineLevel="0" collapsed="false">
      <c r="A6435" s="1" t="s">
        <v>1250</v>
      </c>
      <c r="B6435" s="0" t="s">
        <v>98</v>
      </c>
      <c r="C6435" s="6" t="n">
        <f aca="false">(w_ntm28*Sens!G6426+(1-w_ntm28)*Sens!H6426)*m_cloud</f>
        <v>1088.29345243576</v>
      </c>
    </row>
    <row r="6436" customFormat="false" ht="17.15" hidden="false" customHeight="false" outlineLevel="0" collapsed="false">
      <c r="A6436" s="1" t="s">
        <v>1251</v>
      </c>
      <c r="B6436" s="0" t="s">
        <v>98</v>
      </c>
      <c r="C6436" s="6" t="n">
        <f aca="false">(w_ntm28*Sens!G6419+(1-w_ntm28)*Sens!H6419)*m_sw</f>
        <v>1082.87498357393</v>
      </c>
    </row>
    <row r="6437" customFormat="false" ht="17.15" hidden="false" customHeight="false" outlineLevel="0" collapsed="false">
      <c r="A6437" s="1" t="s">
        <v>1252</v>
      </c>
      <c r="B6437" s="0" t="s">
        <v>98</v>
      </c>
      <c r="C6437" s="6" t="n">
        <f aca="false">(w_ntm28*Sens!G6420+(1-w_ntm28)*Sens!H6420)*m_sw</f>
        <v>372.936503508605</v>
      </c>
    </row>
    <row r="6438" customFormat="false" ht="17.15" hidden="false" customHeight="false" outlineLevel="0" collapsed="false">
      <c r="A6438" s="1" t="s">
        <v>1253</v>
      </c>
      <c r="B6438" s="0" t="s">
        <v>98</v>
      </c>
      <c r="C6438" s="6" t="n">
        <f aca="false">(w_ntm28*Sens!G6421+(1-w_ntm28)*Sens!H6421)*m_sw</f>
        <v>109.14982856322</v>
      </c>
    </row>
    <row r="6439" customFormat="false" ht="17.15" hidden="false" customHeight="false" outlineLevel="0" collapsed="false">
      <c r="A6439" s="1" t="s">
        <v>1254</v>
      </c>
      <c r="B6439" s="0" t="s">
        <v>98</v>
      </c>
      <c r="C6439" s="6" t="n">
        <f aca="false">(w_ntm28*Sens!G6422+(1-w_ntm28)*Sens!H6422)*m_sw</f>
        <v>41.4959201812227</v>
      </c>
    </row>
    <row r="6440" customFormat="false" ht="17.15" hidden="false" customHeight="false" outlineLevel="0" collapsed="false">
      <c r="A6440" s="1" t="s">
        <v>1255</v>
      </c>
      <c r="B6440" s="0" t="s">
        <v>98</v>
      </c>
      <c r="C6440" s="6" t="n">
        <f aca="false">(w_ntm28*Sens!G6423+(1-w_ntm28)*Sens!H6423)*m_ads</f>
        <v>115.056886829144</v>
      </c>
    </row>
    <row r="6441" customFormat="false" ht="17.15" hidden="false" customHeight="false" outlineLevel="0" collapsed="false">
      <c r="A6441" s="1" t="s">
        <v>1256</v>
      </c>
      <c r="B6441" s="0" t="s">
        <v>98</v>
      </c>
      <c r="C6441" s="6" t="n">
        <f aca="false">(w_ntm28*Sens!G6428+(1-w_ntm28)*Sens!H6428)*m_game</f>
        <v>98.6483321656146</v>
      </c>
    </row>
    <row r="6442" customFormat="false" ht="17.15" hidden="false" customHeight="false" outlineLevel="0" collapsed="false">
      <c r="A6442" s="1" t="s">
        <v>1257</v>
      </c>
      <c r="B6442" s="0" t="s">
        <v>98</v>
      </c>
      <c r="C6442" s="6" t="n">
        <f aca="false">(w_ntm28*Sens!G6429+(1-w_ntm28)*Sens!H6429)*m_pc</f>
        <v>91.4562197193678</v>
      </c>
    </row>
    <row r="6443" customFormat="false" ht="17.15" hidden="false" customHeight="false" outlineLevel="0" collapsed="false">
      <c r="A6443" s="1" t="s">
        <v>1258</v>
      </c>
      <c r="B6443" s="0" t="s">
        <v>98</v>
      </c>
      <c r="C6443" s="6" t="n">
        <f aca="false">Sens!$C$6433+Sens!$C$6435+Sens!$C$6436+Sens!$C$6437+Sens!$C$6438+Sens!$C$6439+Sens!$C$6440+Sens!$C$6441+Sens!$C$6442</f>
        <v>3215.66229936634</v>
      </c>
    </row>
    <row r="6444" customFormat="false" ht="17.15" hidden="false" customHeight="false" outlineLevel="0" collapsed="false">
      <c r="A6444" s="1" t="s">
        <v>1259</v>
      </c>
      <c r="B6444" s="0" t="s">
        <v>98</v>
      </c>
      <c r="C6444" s="6" t="n">
        <f aca="false">(Sens!G6405-Sens!G6430)*t_stub</f>
        <v>47.8585719608363</v>
      </c>
      <c r="L6444" s="1" t="s">
        <v>1260</v>
      </c>
    </row>
    <row r="6445" customFormat="false" ht="17.15" hidden="false" customHeight="false" outlineLevel="0" collapsed="false">
      <c r="A6445" s="1" t="s">
        <v>1169</v>
      </c>
      <c r="B6445" s="0" t="s">
        <v>98</v>
      </c>
      <c r="C6445" s="6" t="n">
        <f aca="false">Sens!F6392+oai_v-Sens!F6381+Sens!$C$6444</f>
        <v>162.086841960836</v>
      </c>
      <c r="L6445" s="1" t="s">
        <v>1261</v>
      </c>
    </row>
    <row r="6446" customFormat="false" ht="17.15" hidden="false" customHeight="false" outlineLevel="0" collapsed="false">
      <c r="A6446" s="1" t="s">
        <v>1262</v>
      </c>
      <c r="B6446" s="0" t="s">
        <v>75</v>
      </c>
      <c r="C6446" s="5" t="n">
        <f aca="false">(Sens!$C$6443+Sens!$C$6445)/(Sens!F6394+dil_gap)-Sens!G6384*roll_div_q/q_per_yr</f>
        <v>449.638498118792</v>
      </c>
      <c r="L6446" s="1" t="s">
        <v>1263</v>
      </c>
    </row>
    <row r="6447" customFormat="false" ht="17.15" hidden="false" customHeight="false" outlineLevel="0" collapsed="false">
      <c r="A6447" s="1" t="s">
        <v>1264</v>
      </c>
      <c r="B6447" s="0" t="s">
        <v>75</v>
      </c>
      <c r="C6447" s="5" t="n">
        <f aca="false">w_dcf*Sens!$C$6417+(1-w_dcf)*Sens!$C$6446</f>
        <v>389.88942991302</v>
      </c>
    </row>
    <row r="6448" customFormat="false" ht="17.15" hidden="false" customHeight="false" outlineLevel="0" collapsed="false">
      <c r="A6448" s="3" t="s">
        <v>1640</v>
      </c>
    </row>
    <row r="6449" customFormat="false" ht="15" hidden="false" customHeight="false" outlineLevel="0" collapsed="false">
      <c r="A6449" s="4" t="s">
        <v>43</v>
      </c>
      <c r="B6449" s="4" t="s">
        <v>65</v>
      </c>
      <c r="C6449" s="23" t="s">
        <v>938</v>
      </c>
      <c r="D6449" s="23" t="s">
        <v>939</v>
      </c>
      <c r="E6449" s="23" t="s">
        <v>940</v>
      </c>
      <c r="F6449" s="23" t="s">
        <v>941</v>
      </c>
      <c r="G6449" s="23" t="s">
        <v>942</v>
      </c>
      <c r="H6449" s="23" t="s">
        <v>943</v>
      </c>
      <c r="I6449" s="23" t="s">
        <v>944</v>
      </c>
      <c r="J6449" s="23" t="s">
        <v>945</v>
      </c>
      <c r="K6449" s="23" t="s">
        <v>946</v>
      </c>
      <c r="L6449" s="4" t="s">
        <v>47</v>
      </c>
    </row>
    <row r="6450" customFormat="false" ht="17.15" hidden="false" customHeight="false" outlineLevel="0" collapsed="false">
      <c r="A6450" s="1" t="s">
        <v>947</v>
      </c>
      <c r="B6450" s="1" t="s">
        <v>279</v>
      </c>
      <c r="C6450" s="21" t="n">
        <v>2024</v>
      </c>
      <c r="D6450" s="21" t="n">
        <v>2025</v>
      </c>
      <c r="E6450" s="21" t="n">
        <v>2026</v>
      </c>
      <c r="F6450" s="21" t="n">
        <v>2027</v>
      </c>
      <c r="G6450" s="21" t="n">
        <v>2028</v>
      </c>
      <c r="H6450" s="21" t="n">
        <v>2029</v>
      </c>
      <c r="I6450" s="21" t="n">
        <v>2030</v>
      </c>
      <c r="J6450" s="21" t="n">
        <v>2031</v>
      </c>
      <c r="K6450" s="21" t="n">
        <v>2032</v>
      </c>
    </row>
    <row r="6451" customFormat="false" ht="17.15" hidden="false" customHeight="false" outlineLevel="0" collapsed="false">
      <c r="A6451" s="1" t="s">
        <v>948</v>
      </c>
      <c r="B6451" s="0" t="s">
        <v>456</v>
      </c>
      <c r="F6451" s="30" t="n">
        <f aca="false">pace</f>
        <v>2726.5351</v>
      </c>
      <c r="G6451" s="30" t="n">
        <f aca="false">pace</f>
        <v>2726.5351</v>
      </c>
      <c r="H6451" s="30" t="n">
        <f aca="false">pace</f>
        <v>2726.5351</v>
      </c>
      <c r="I6451" s="30" t="n">
        <f aca="false">pace+(g_tv*Sens!H6452-pace)*MIN(1,(Sens!I6450-pace_y0)/(pace_y1-pace_y0))</f>
        <v>1931.98611966667</v>
      </c>
      <c r="J6451" s="30" t="n">
        <f aca="false">pace+(g_tv*Sens!I6452-pace)*MIN(1,(Sens!J6450-pace_y0)/(pace_y1-pace_y0))</f>
        <v>1176.07686172667</v>
      </c>
      <c r="K6451" s="30" t="n">
        <f aca="false">pace+(g_tv*Sens!J6452-pace)*MIN(1,(Sens!K6450-pace_y0)/(pace_y1-pace_y0))</f>
        <v>436.1300484418</v>
      </c>
      <c r="L6451" s="12" t="s">
        <v>949</v>
      </c>
    </row>
    <row r="6452" customFormat="false" ht="17.15" hidden="false" customHeight="false" outlineLevel="0" collapsed="false">
      <c r="A6452" s="1" t="s">
        <v>950</v>
      </c>
      <c r="B6452" s="0" t="s">
        <v>456</v>
      </c>
      <c r="C6452" s="30" t="n">
        <f aca="false">mw_ext_24</f>
        <v>640</v>
      </c>
      <c r="D6452" s="30" t="n">
        <f aca="false">mw_ext_25</f>
        <v>1630</v>
      </c>
      <c r="E6452" s="30" t="n">
        <f aca="false">mw_ext_26</f>
        <v>3250</v>
      </c>
      <c r="F6452" s="30" t="n">
        <f aca="false">Sens!E6452+Sens!F6451</f>
        <v>5976.5351</v>
      </c>
      <c r="G6452" s="30" t="n">
        <f aca="false">Sens!F6452+Sens!G6451</f>
        <v>8703.0702</v>
      </c>
      <c r="H6452" s="30" t="n">
        <f aca="false">Sens!G6452+Sens!H6451</f>
        <v>11429.6053</v>
      </c>
      <c r="I6452" s="30" t="n">
        <f aca="false">Sens!H6452+Sens!I6451</f>
        <v>13361.5914196667</v>
      </c>
      <c r="J6452" s="30" t="n">
        <f aca="false">Sens!I6452+Sens!J6451</f>
        <v>14537.6682813933</v>
      </c>
      <c r="K6452" s="30" t="n">
        <f aca="false">Sens!J6452+Sens!K6451</f>
        <v>14973.7983298351</v>
      </c>
      <c r="L6452" s="1" t="s">
        <v>951</v>
      </c>
    </row>
    <row r="6453" customFormat="false" ht="17.15" hidden="false" customHeight="false" outlineLevel="0" collapsed="false">
      <c r="A6453" s="1" t="s">
        <v>952</v>
      </c>
      <c r="B6453" s="0" t="s">
        <v>456</v>
      </c>
      <c r="C6453" s="30" t="n">
        <f aca="false">rent_ext_24</f>
        <v>150</v>
      </c>
      <c r="D6453" s="30" t="n">
        <f aca="false">rent_ext_25</f>
        <v>400</v>
      </c>
      <c r="E6453" s="30" t="n">
        <f aca="false">rent_ext_26</f>
        <v>550</v>
      </c>
      <c r="F6453" s="30" t="n">
        <f aca="false">rent_ext_f</f>
        <v>756</v>
      </c>
      <c r="G6453" s="30" t="n">
        <f aca="false">rent_ext_f</f>
        <v>756</v>
      </c>
      <c r="H6453" s="30" t="n">
        <f aca="false">rent_ext_f</f>
        <v>756</v>
      </c>
      <c r="I6453" s="30" t="n">
        <f aca="false">rent_ext_f</f>
        <v>756</v>
      </c>
      <c r="J6453" s="30" t="n">
        <f aca="false">rent_ext_f</f>
        <v>756</v>
      </c>
      <c r="K6453" s="30" t="n">
        <f aca="false">rent_ext_f</f>
        <v>756</v>
      </c>
      <c r="L6453" s="1" t="s">
        <v>953</v>
      </c>
    </row>
    <row r="6454" customFormat="false" ht="17.15" hidden="false" customHeight="false" outlineLevel="0" collapsed="false">
      <c r="A6454" s="1" t="s">
        <v>954</v>
      </c>
      <c r="B6454" s="0" t="s">
        <v>456</v>
      </c>
      <c r="C6454" s="30" t="n">
        <f aca="false">Sens!C6452-Sens!C6453</f>
        <v>490</v>
      </c>
      <c r="D6454" s="30" t="n">
        <f aca="false">Sens!D6452-Sens!D6453</f>
        <v>1230</v>
      </c>
      <c r="E6454" s="30" t="n">
        <f aca="false">Sens!E6452-Sens!E6453</f>
        <v>2700</v>
      </c>
      <c r="F6454" s="30" t="n">
        <f aca="false">Sens!F6452-Sens!F6453</f>
        <v>5220.5351</v>
      </c>
      <c r="G6454" s="30" t="n">
        <f aca="false">Sens!G6452-Sens!G6453</f>
        <v>7947.0702</v>
      </c>
      <c r="H6454" s="30" t="n">
        <f aca="false">Sens!H6452-Sens!H6453</f>
        <v>10673.6053</v>
      </c>
      <c r="I6454" s="30" t="n">
        <f aca="false">Sens!I6452-Sens!I6453</f>
        <v>12605.5914196667</v>
      </c>
      <c r="J6454" s="30" t="n">
        <f aca="false">Sens!J6452-Sens!J6453</f>
        <v>13781.6682813933</v>
      </c>
      <c r="K6454" s="30" t="n">
        <f aca="false">Sens!K6452-Sens!K6453</f>
        <v>14217.7983298351</v>
      </c>
    </row>
    <row r="6455" customFormat="false" ht="17.15" hidden="false" customHeight="false" outlineLevel="0" collapsed="false">
      <c r="A6455" s="1" t="s">
        <v>955</v>
      </c>
      <c r="B6455" s="0" t="s">
        <v>456</v>
      </c>
      <c r="C6455" s="30" t="n">
        <f aca="false">Sens!C6454/ext_sh</f>
        <v>816.666666666667</v>
      </c>
      <c r="D6455" s="30" t="n">
        <f aca="false">Sens!D6454/ext_sh</f>
        <v>2050</v>
      </c>
      <c r="E6455" s="30" t="n">
        <f aca="false">Sens!E6454/ext_sh</f>
        <v>4500</v>
      </c>
      <c r="F6455" s="30" t="n">
        <f aca="false">Sens!F6454/ext_sh</f>
        <v>8700.89183333333</v>
      </c>
      <c r="G6455" s="30" t="n">
        <f aca="false">Sens!G6454/ext_sh</f>
        <v>13245.117</v>
      </c>
      <c r="H6455" s="30" t="n">
        <f aca="false">Sens!H6454/ext_sh</f>
        <v>17789.3421666667</v>
      </c>
      <c r="I6455" s="30" t="n">
        <f aca="false">Sens!I6454/ext_sh</f>
        <v>21009.3190327778</v>
      </c>
      <c r="J6455" s="30" t="n">
        <f aca="false">Sens!J6454/ext_sh</f>
        <v>22969.4471356556</v>
      </c>
      <c r="K6455" s="30" t="n">
        <f aca="false">Sens!K6454/ext_sh</f>
        <v>23696.3305497252</v>
      </c>
      <c r="L6455" s="1" t="s">
        <v>956</v>
      </c>
    </row>
    <row r="6456" customFormat="false" ht="17.15" hidden="false" customHeight="false" outlineLevel="0" collapsed="false">
      <c r="A6456" s="1" t="s">
        <v>957</v>
      </c>
      <c r="B6456" s="0" t="s">
        <v>456</v>
      </c>
      <c r="C6456" s="30" t="n">
        <f aca="false">Sens!C6455-Sens!C6454</f>
        <v>326.666666666667</v>
      </c>
      <c r="D6456" s="30" t="n">
        <f aca="false">Sens!D6455-Sens!D6454</f>
        <v>820</v>
      </c>
      <c r="E6456" s="30" t="n">
        <f aca="false">Sens!E6455-Sens!E6454</f>
        <v>1800</v>
      </c>
      <c r="F6456" s="30" t="n">
        <f aca="false">Sens!F6455-Sens!F6454</f>
        <v>3480.35673333333</v>
      </c>
      <c r="G6456" s="30" t="n">
        <f aca="false">Sens!G6455-Sens!G6454</f>
        <v>5298.0468</v>
      </c>
      <c r="H6456" s="30" t="n">
        <f aca="false">Sens!H6455-Sens!H6454</f>
        <v>7115.73686666667</v>
      </c>
      <c r="I6456" s="30" t="n">
        <f aca="false">Sens!I6455-Sens!I6454</f>
        <v>8403.72761311111</v>
      </c>
      <c r="J6456" s="30" t="n">
        <f aca="false">Sens!J6455-Sens!J6454</f>
        <v>9187.77885426222</v>
      </c>
      <c r="K6456" s="30" t="n">
        <f aca="false">Sens!K6455-Sens!K6454</f>
        <v>9478.53221989009</v>
      </c>
    </row>
    <row r="6457" customFormat="false" ht="17.15" hidden="false" customHeight="false" outlineLevel="0" collapsed="false">
      <c r="A6457" s="1" t="s">
        <v>958</v>
      </c>
      <c r="B6457" s="0" t="s">
        <v>456</v>
      </c>
      <c r="C6457" s="30" t="n">
        <f aca="false">Sens!C6455</f>
        <v>816.666666666667</v>
      </c>
      <c r="D6457" s="30" t="n">
        <f aca="false">Sens!D6455-Sens!C6455</f>
        <v>1233.33333333333</v>
      </c>
      <c r="E6457" s="30" t="n">
        <f aca="false">Sens!E6455-Sens!D6455</f>
        <v>2450</v>
      </c>
      <c r="F6457" s="30" t="n">
        <f aca="false">Sens!F6455-Sens!E6455</f>
        <v>4200.89183333333</v>
      </c>
      <c r="G6457" s="30" t="n">
        <f aca="false">Sens!G6455-Sens!F6455</f>
        <v>4544.22516666667</v>
      </c>
      <c r="H6457" s="30" t="n">
        <f aca="false">Sens!H6455-Sens!G6455</f>
        <v>4544.22516666667</v>
      </c>
      <c r="I6457" s="30" t="n">
        <f aca="false">Sens!I6455-Sens!H6455</f>
        <v>3219.97686611111</v>
      </c>
      <c r="J6457" s="30" t="n">
        <f aca="false">Sens!J6455-Sens!I6455</f>
        <v>1960.12810287778</v>
      </c>
      <c r="K6457" s="30" t="n">
        <f aca="false">Sens!K6455-Sens!J6455</f>
        <v>726.883414069667</v>
      </c>
    </row>
    <row r="6458" customFormat="false" ht="17.15" hidden="false" customHeight="false" outlineLevel="0" collapsed="false">
      <c r="A6458" s="1" t="s">
        <v>959</v>
      </c>
      <c r="B6458" s="0" t="s">
        <v>456</v>
      </c>
      <c r="D6458" s="30" t="n">
        <f aca="false">Sens!D6452-Sens!C6452</f>
        <v>990</v>
      </c>
      <c r="E6458" s="30" t="n">
        <f aca="false">Sens!E6452-Sens!D6452</f>
        <v>1620</v>
      </c>
      <c r="F6458" s="30" t="n">
        <f aca="false">Sens!F6452-Sens!E6452</f>
        <v>2726.5351</v>
      </c>
      <c r="G6458" s="30" t="n">
        <f aca="false">Sens!G6452-Sens!F6452</f>
        <v>2726.5351</v>
      </c>
      <c r="H6458" s="30" t="n">
        <f aca="false">Sens!H6452-Sens!G6452</f>
        <v>2726.5351</v>
      </c>
      <c r="I6458" s="30" t="n">
        <f aca="false">Sens!I6452-Sens!H6452</f>
        <v>1931.98611966667</v>
      </c>
      <c r="J6458" s="30" t="n">
        <f aca="false">Sens!J6452-Sens!I6452</f>
        <v>1176.07686172667</v>
      </c>
      <c r="K6458" s="30" t="n">
        <f aca="false">Sens!K6452-Sens!J6452</f>
        <v>436.130048441799</v>
      </c>
    </row>
    <row r="6459" customFormat="false" ht="17.15" hidden="false" customHeight="false" outlineLevel="0" collapsed="false">
      <c r="A6459" s="1" t="s">
        <v>960</v>
      </c>
      <c r="B6459" s="0" t="s">
        <v>456</v>
      </c>
      <c r="F6459" s="30" t="n">
        <f aca="false">Sens!F6478*ext_sh</f>
        <v>0</v>
      </c>
      <c r="G6459" s="30" t="n">
        <f aca="false">Sens!G6478*ext_sh</f>
        <v>0</v>
      </c>
      <c r="H6459" s="30" t="n">
        <f aca="false">Sens!H6478*ext_sh</f>
        <v>0</v>
      </c>
      <c r="I6459" s="30" t="n">
        <f aca="false">Sens!I6478*ext_sh</f>
        <v>490</v>
      </c>
      <c r="J6459" s="30" t="n">
        <f aca="false">Sens!J6478*ext_sh</f>
        <v>740</v>
      </c>
      <c r="K6459" s="30" t="n">
        <f aca="false">Sens!K6478*ext_sh</f>
        <v>1470</v>
      </c>
      <c r="L6459" s="1" t="s">
        <v>961</v>
      </c>
    </row>
    <row r="6460" customFormat="false" ht="17.15" hidden="false" customHeight="false" outlineLevel="0" collapsed="false">
      <c r="A6460" s="1" t="s">
        <v>962</v>
      </c>
      <c r="B6460" s="0" t="s">
        <v>456</v>
      </c>
      <c r="C6460" s="30" t="n">
        <f aca="false">mix_h*Sens!C6452</f>
        <v>128</v>
      </c>
      <c r="D6460" s="30" t="n">
        <f aca="false">mix_h*Sens!D6452</f>
        <v>326</v>
      </c>
      <c r="E6460" s="30" t="n">
        <f aca="false">mix_h*Sens!E6452</f>
        <v>650</v>
      </c>
      <c r="F6460" s="30" t="n">
        <f aca="false">Sens!E6460-Sens!F6459*mix_h</f>
        <v>650</v>
      </c>
      <c r="G6460" s="30" t="n">
        <f aca="false">Sens!F6460-Sens!G6459*mix_h</f>
        <v>650</v>
      </c>
      <c r="H6460" s="30" t="n">
        <f aca="false">Sens!G6460-Sens!H6459*mix_h</f>
        <v>650</v>
      </c>
      <c r="I6460" s="30" t="n">
        <f aca="false">Sens!H6460-Sens!I6459*mix_h</f>
        <v>552</v>
      </c>
      <c r="J6460" s="30" t="n">
        <f aca="false">Sens!I6460-Sens!J6459*mix_h</f>
        <v>404</v>
      </c>
      <c r="K6460" s="30" t="n">
        <f aca="false">Sens!J6460-Sens!K6459*mix_h</f>
        <v>110</v>
      </c>
    </row>
    <row r="6461" customFormat="false" ht="17.15" hidden="false" customHeight="false" outlineLevel="0" collapsed="false">
      <c r="A6461" s="1" t="s">
        <v>963</v>
      </c>
      <c r="B6461" s="0" t="s">
        <v>456</v>
      </c>
      <c r="C6461" s="30" t="n">
        <f aca="false">mix_g2*Sens!C6452</f>
        <v>288</v>
      </c>
      <c r="D6461" s="30" t="n">
        <f aca="false">mix_g2*Sens!D6452</f>
        <v>733.5</v>
      </c>
      <c r="E6461" s="30" t="n">
        <f aca="false">mix_g2*Sens!E6452</f>
        <v>1462.5</v>
      </c>
      <c r="F6461" s="30" t="n">
        <f aca="false">Sens!E6461-Sens!F6459*mix_g2</f>
        <v>1462.5</v>
      </c>
      <c r="G6461" s="30" t="n">
        <f aca="false">Sens!F6461-Sens!G6459*mix_g2</f>
        <v>1462.5</v>
      </c>
      <c r="H6461" s="30" t="n">
        <f aca="false">Sens!G6461-Sens!H6459*mix_g2</f>
        <v>1462.5</v>
      </c>
      <c r="I6461" s="30" t="n">
        <f aca="false">Sens!H6461-Sens!I6459*mix_g2</f>
        <v>1242</v>
      </c>
      <c r="J6461" s="30" t="n">
        <f aca="false">Sens!I6461-Sens!J6459*mix_g2</f>
        <v>909</v>
      </c>
      <c r="K6461" s="30" t="n">
        <f aca="false">Sens!J6461-Sens!K6459*mix_g2</f>
        <v>247.5</v>
      </c>
    </row>
    <row r="6462" customFormat="false" ht="17.15" hidden="false" customHeight="false" outlineLevel="0" collapsed="false">
      <c r="A6462" s="1" t="s">
        <v>964</v>
      </c>
      <c r="B6462" s="0" t="s">
        <v>456</v>
      </c>
      <c r="C6462" s="30" t="n">
        <f aca="false">mix_g3*Sens!C6452</f>
        <v>224</v>
      </c>
      <c r="D6462" s="30" t="n">
        <f aca="false">mix_g3*Sens!D6452</f>
        <v>570.5</v>
      </c>
      <c r="E6462" s="30" t="n">
        <f aca="false">mix_g3*Sens!E6452</f>
        <v>1137.5</v>
      </c>
      <c r="F6462" s="30" t="n">
        <f aca="false">Sens!E6462+(Sens!F6458+Sens!F6459)*(a_g3_27-nonnv*a_mai)-Sens!F6459*mix_g3</f>
        <v>2773.42106</v>
      </c>
      <c r="G6462" s="30" t="n">
        <f aca="false">Sens!F6462+(Sens!G6458+Sens!G6459)*(a_g3_28-nonnv*a_mai)-Sens!G6459*mix_g3</f>
        <v>3318.72808</v>
      </c>
      <c r="H6462" s="30" t="n">
        <f aca="false">Sens!G6462+(Sens!H6458+Sens!H6459)*(a_g3_29-nonnv*a_mai)-Sens!H6459*mix_g3</f>
        <v>3318.72808</v>
      </c>
      <c r="I6462" s="30" t="n">
        <f aca="false">Sens!H6462+(Sens!I6458+Sens!I6459)*(a_g3_29-nonnv*a_mai)-Sens!I6459*mix_g3</f>
        <v>3147.22808</v>
      </c>
      <c r="J6462" s="30" t="n">
        <f aca="false">Sens!I6462+(Sens!J6458+Sens!J6459)*(a_g3_29-nonnv*a_mai)-Sens!J6459*mix_g3</f>
        <v>2888.22808</v>
      </c>
      <c r="K6462" s="30" t="n">
        <f aca="false">Sens!J6462+(Sens!K6458+Sens!K6459)*(a_g3_29-nonnv*a_mai)-Sens!K6459*mix_g3</f>
        <v>2373.72808</v>
      </c>
    </row>
    <row r="6463" customFormat="false" ht="17.15" hidden="false" customHeight="false" outlineLevel="0" collapsed="false">
      <c r="A6463" s="1" t="s">
        <v>965</v>
      </c>
      <c r="B6463" s="0" t="s">
        <v>456</v>
      </c>
      <c r="C6463" s="30" t="n">
        <v>0</v>
      </c>
      <c r="D6463" s="30" t="n">
        <v>0</v>
      </c>
      <c r="E6463" s="30" t="n">
        <v>0</v>
      </c>
      <c r="F6463" s="30" t="n">
        <f aca="false">Sens!E6463+(Sens!F6458+Sens!F6459)*nonnv*a_mai</f>
        <v>272.65351</v>
      </c>
      <c r="G6463" s="30" t="n">
        <f aca="false">Sens!F6463+(Sens!G6458+Sens!G6459)*nonnv*a_mai</f>
        <v>545.30702</v>
      </c>
      <c r="H6463" s="30" t="n">
        <f aca="false">Sens!G6463+(Sens!H6458+Sens!H6459)*nonnv*a_mai</f>
        <v>817.96053</v>
      </c>
      <c r="I6463" s="30" t="n">
        <f aca="false">Sens!H6463+(Sens!I6458+Sens!I6459)*nonnv*a_mai</f>
        <v>1060.15914196667</v>
      </c>
      <c r="J6463" s="30" t="n">
        <f aca="false">Sens!I6463+(Sens!J6458+Sens!J6459)*nonnv*a_mai</f>
        <v>1251.76682813933</v>
      </c>
      <c r="K6463" s="30" t="n">
        <f aca="false">Sens!J6463+(Sens!K6458+Sens!K6459)*nonnv*a_mai</f>
        <v>1442.37983298351</v>
      </c>
      <c r="L6463" s="12" t="s">
        <v>966</v>
      </c>
    </row>
    <row r="6464" customFormat="false" ht="17.15" hidden="false" customHeight="false" outlineLevel="0" collapsed="false">
      <c r="A6464" s="1" t="s">
        <v>967</v>
      </c>
      <c r="B6464" s="0" t="s">
        <v>456</v>
      </c>
      <c r="C6464" s="30" t="n">
        <v>0</v>
      </c>
      <c r="D6464" s="30" t="n">
        <v>0</v>
      </c>
      <c r="E6464" s="30" t="n">
        <v>0</v>
      </c>
      <c r="F6464" s="30" t="n">
        <f aca="false">Sens!E6464+(Sens!F6458+Sens!F6459)*(1-a_g3_27)</f>
        <v>817.96053</v>
      </c>
      <c r="G6464" s="30" t="n">
        <f aca="false">Sens!F6464+(Sens!G6458+Sens!G6459)*(1-a_g3_28)</f>
        <v>2726.5351</v>
      </c>
      <c r="H6464" s="30" t="n">
        <f aca="false">Sens!G6464+(Sens!H6458+Sens!H6459)*(1-a_g3_29)</f>
        <v>5180.41669</v>
      </c>
      <c r="I6464" s="30" t="n">
        <f aca="false">Sens!H6464+(Sens!I6458+Sens!I6459)*(1-a_g3_29)</f>
        <v>7360.2041977</v>
      </c>
      <c r="J6464" s="30" t="n">
        <f aca="false">Sens!I6464+(Sens!J6458+Sens!J6459)*(1-a_g3_29)</f>
        <v>9084.673373254</v>
      </c>
      <c r="K6464" s="30" t="n">
        <f aca="false">Sens!J6464+(Sens!K6458+Sens!K6459)*(1-a_g3_29)</f>
        <v>10800.1904168516</v>
      </c>
    </row>
    <row r="6465" customFormat="false" ht="17.15" hidden="false" customHeight="false" outlineLevel="0" collapsed="false">
      <c r="A6465" s="1" t="s">
        <v>968</v>
      </c>
      <c r="B6465" s="0" t="s">
        <v>403</v>
      </c>
      <c r="C6465" s="15" t="n">
        <f aca="false">(Sens!C6460*tk_hold_h100+Sens!C6461*tk_hold_gb200+Sens!C6462*tk_hold_gb300+Sens!C6464*tk_hold_vr200+Sens!C6463*nv_hold_mai*tk_hold_vr200)/Sens!C6452</f>
        <v>9.7235358126469</v>
      </c>
      <c r="D6465" s="15" t="n">
        <f aca="false">(Sens!D6460*tk_hold_h100+Sens!D6461*tk_hold_gb200+Sens!D6462*tk_hold_gb300+Sens!D6464*tk_hold_vr200+Sens!D6463*nv_hold_mai*tk_hold_vr200)/Sens!D6452</f>
        <v>9.7235358126469</v>
      </c>
      <c r="E6465" s="15" t="n">
        <f aca="false">(Sens!E6460*tk_hold_h100+Sens!E6461*tk_hold_gb200+Sens!E6462*tk_hold_gb300+Sens!E6464*tk_hold_vr200+Sens!E6463*nv_hold_mai*tk_hold_vr200)/Sens!E6452</f>
        <v>9.7235358126469</v>
      </c>
      <c r="F6465" s="15" t="n">
        <f aca="false">(Sens!F6460*tk_hold_h100+Sens!F6461*tk_hold_gb200+Sens!F6462*tk_hold_gb300+Sens!F6464*tk_hold_vr200+Sens!F6463*nv_hold_mai*tk_hold_vr200)/Sens!F6452</f>
        <v>10.2195353876665</v>
      </c>
      <c r="G6465" s="15" t="n">
        <f aca="false">(Sens!G6460*tk_hold_h100+Sens!G6461*tk_hold_gb200+Sens!G6462*tk_hold_gb300+Sens!G6464*tk_hold_vr200+Sens!G6463*nv_hold_mai*tk_hold_vr200)/Sens!G6452</f>
        <v>10.5725598017306</v>
      </c>
      <c r="H6465" s="15" t="n">
        <f aca="false">(Sens!H6460*tk_hold_h100+Sens!H6461*tk_hold_gb200+Sens!H6462*tk_hold_gb300+Sens!H6464*tk_hold_vr200+Sens!H6463*nv_hold_mai*tk_hold_vr200)/Sens!H6452</f>
        <v>10.8210427149036</v>
      </c>
      <c r="I6465" s="15" t="n">
        <f aca="false">(Sens!I6460*tk_hold_h100+Sens!I6461*tk_hold_gb200+Sens!I6462*tk_hold_gb300+Sens!I6464*tk_hold_vr200+Sens!I6463*nv_hold_mai*tk_hold_vr200)/Sens!I6452</f>
        <v>11.0050618241982</v>
      </c>
      <c r="J6465" s="15" t="n">
        <f aca="false">(Sens!J6460*tk_hold_h100+Sens!J6461*tk_hold_gb200+Sens!J6462*tk_hold_gb300+Sens!J6464*tk_hold_vr200+Sens!J6463*nv_hold_mai*tk_hold_vr200)/Sens!J6452</f>
        <v>11.1505789658881</v>
      </c>
      <c r="K6465" s="15" t="n">
        <f aca="false">(Sens!K6460*tk_hold_h100+Sens!K6461*tk_hold_gb200+Sens!K6462*tk_hold_gb300+Sens!K6464*tk_hold_vr200+Sens!K6463*nv_hold_mai*tk_hold_vr200)/Sens!K6452</f>
        <v>11.3496914757183</v>
      </c>
      <c r="L6465" s="1" t="s">
        <v>969</v>
      </c>
    </row>
    <row r="6466" customFormat="false" ht="17.15" hidden="false" customHeight="false" outlineLevel="0" collapsed="false">
      <c r="A6466" s="1" t="s">
        <v>970</v>
      </c>
      <c r="B6466" s="0" t="s">
        <v>403</v>
      </c>
      <c r="C6466" s="15" t="n">
        <f aca="false">(Sens!C6460*tk_hold_h100+Sens!C6461*tk_hold_gb200+Sens!C6462*tk_hold_gb300+Sens!C6464*tk_hold_vr200+Sens!C6463*nv_out_mai_hi*tk_hold_vr200)/Sens!C6452</f>
        <v>9.7235358126469</v>
      </c>
      <c r="D6466" s="15" t="n">
        <f aca="false">(Sens!D6460*tk_hold_h100+Sens!D6461*tk_hold_gb200+Sens!D6462*tk_hold_gb300+Sens!D6464*tk_hold_vr200+Sens!D6463*nv_out_mai_hi*tk_hold_vr200)/Sens!D6452</f>
        <v>9.7235358126469</v>
      </c>
      <c r="E6466" s="15" t="n">
        <f aca="false">(Sens!E6460*tk_hold_h100+Sens!E6461*tk_hold_gb200+Sens!E6462*tk_hold_gb300+Sens!E6464*tk_hold_vr200+Sens!E6463*nv_out_mai_hi*tk_hold_vr200)/Sens!E6452</f>
        <v>9.7235358126469</v>
      </c>
      <c r="F6466" s="15" t="n">
        <f aca="false">(Sens!F6460*tk_hold_h100+Sens!F6461*tk_hold_gb200+Sens!F6462*tk_hold_gb300+Sens!F6464*tk_hold_vr200+Sens!F6463*nv_out_mai_hi*tk_hold_vr200)/Sens!F6452</f>
        <v>10.3589689191789</v>
      </c>
      <c r="G6466" s="15" t="n">
        <f aca="false">(Sens!G6460*tk_hold_h100+Sens!G6461*tk_hold_gb200+Sens!G6462*tk_hold_gb300+Sens!G6464*tk_hold_vr200+Sens!G6463*nv_out_mai_hi*tk_hold_vr200)/Sens!G6452</f>
        <v>10.7640621971039</v>
      </c>
      <c r="H6466" s="15" t="n">
        <f aca="false">(Sens!H6460*tk_hold_h100+Sens!H6461*tk_hold_gb200+Sens!H6462*tk_hold_gb300+Sens!H6464*tk_hold_vr200+Sens!H6463*nv_out_mai_hi*tk_hold_vr200)/Sens!H6452</f>
        <v>11.0397718940821</v>
      </c>
      <c r="I6466" s="15" t="n">
        <f aca="false">(Sens!I6460*tk_hold_h100+Sens!I6461*tk_hold_gb200+Sens!I6462*tk_hold_gb300+Sens!I6464*tk_hold_vr200+Sens!I6463*nv_out_mai_hi*tk_hold_vr200)/Sens!I6452</f>
        <v>11.2475655882199</v>
      </c>
      <c r="J6466" s="15" t="n">
        <f aca="false">(Sens!J6460*tk_hold_h100+Sens!J6461*tk_hold_gb200+Sens!J6462*tk_hold_gb300+Sens!J6464*tk_hold_vr200+Sens!J6463*nv_out_mai_hi*tk_hold_vr200)/Sens!J6452</f>
        <v>11.4137477004764</v>
      </c>
      <c r="K6466" s="15" t="n">
        <f aca="false">(Sens!K6460*tk_hold_h100+Sens!K6461*tk_hold_gb200+Sens!K6462*tk_hold_gb300+Sens!K6464*tk_hold_vr200+Sens!K6463*nv_out_mai_hi*tk_hold_vr200)/Sens!K6452</f>
        <v>11.6441019592394</v>
      </c>
      <c r="L6466" s="12" t="s">
        <v>971</v>
      </c>
    </row>
    <row r="6467" customFormat="false" ht="17.15" hidden="false" customHeight="false" outlineLevel="0" collapsed="false">
      <c r="A6467" s="0" t="s">
        <v>972</v>
      </c>
      <c r="B6467" s="0" t="s">
        <v>229</v>
      </c>
      <c r="C6467" s="15" t="n">
        <f aca="false">k_B</f>
        <v>1.17213932619116</v>
      </c>
      <c r="D6467" s="15" t="n">
        <f aca="false">k_B</f>
        <v>1.17213932619116</v>
      </c>
      <c r="E6467" s="15" t="n">
        <f aca="false">k_B</f>
        <v>1.17213932619116</v>
      </c>
      <c r="F6467" s="15" t="n">
        <f aca="false">(k_B+((ls_C*k_long+(1-ls_C)*k_spot)-k_B)*MIN(1,(Sens!F6450-base_fy)/k_ramp))</f>
        <v>1.07843258004497</v>
      </c>
      <c r="G6467" s="15" t="n">
        <f aca="false">(k_B+((ls_C*k_long+(1-ls_C)*k_spot)-k_B)*MIN(1,(Sens!G6450-base_fy)/k_ramp))</f>
        <v>0.984725833898784</v>
      </c>
      <c r="H6467" s="15" t="n">
        <f aca="false">(k_B+((ls_C*k_long+(1-ls_C)*k_spot)-k_B)*MIN(1,(Sens!H6450-base_fy)/k_ramp))</f>
        <v>0.891019087752599</v>
      </c>
      <c r="I6467" s="15" t="n">
        <f aca="false">(k_B+((ls_C*k_long+(1-ls_C)*k_spot)-k_B)*MIN(1,(Sens!I6450-base_fy)/k_ramp))</f>
        <v>0.891019087752599</v>
      </c>
      <c r="J6467" s="15" t="n">
        <f aca="false">(k_B+((ls_C*k_long+(1-ls_C)*k_spot)-k_B)*MIN(1,(Sens!J6450-base_fy)/k_ramp))</f>
        <v>0.891019087752599</v>
      </c>
      <c r="K6467" s="15" t="n">
        <f aca="false">(k_B+((ls_C*k_long+(1-ls_C)*k_spot)-k_B)*MIN(1,(Sens!K6450-base_fy)/k_ramp))</f>
        <v>0.891019087752599</v>
      </c>
      <c r="L6467" s="1" t="s">
        <v>973</v>
      </c>
    </row>
    <row r="6468" customFormat="false" ht="17.15" hidden="false" customHeight="false" outlineLevel="0" collapsed="false">
      <c r="A6468" s="1" t="s">
        <v>974</v>
      </c>
      <c r="B6468" s="0" t="s">
        <v>403</v>
      </c>
      <c r="C6468" s="15" t="n">
        <f aca="false">Sens!C6466*Sens!C6467*chip_f</f>
        <v>11.3973387156315</v>
      </c>
      <c r="D6468" s="15" t="n">
        <f aca="false">Sens!D6466*Sens!D6467*chip_f</f>
        <v>11.3973387156315</v>
      </c>
      <c r="E6468" s="15" t="n">
        <f aca="false">Sens!E6466*Sens!E6467*chip_f</f>
        <v>11.3973387156315</v>
      </c>
      <c r="F6468" s="15" t="n">
        <f aca="false">Sens!F6466*Sens!F6467*chip_f</f>
        <v>11.1714495781157</v>
      </c>
      <c r="G6468" s="15" t="n">
        <f aca="false">Sens!G6466*Sens!G6467*chip_f</f>
        <v>10.5996501231815</v>
      </c>
      <c r="H6468" s="15" t="n">
        <f aca="false">Sens!H6466*Sens!H6467*chip_f</f>
        <v>9.83664748206178</v>
      </c>
      <c r="I6468" s="15" t="n">
        <f aca="false">Sens!I6466*Sens!I6467*chip_f</f>
        <v>10.0217956298532</v>
      </c>
      <c r="J6468" s="15" t="n">
        <f aca="false">Sens!J6466*Sens!J6467*chip_f</f>
        <v>10.1698670639168</v>
      </c>
      <c r="K6468" s="15" t="n">
        <f aca="false">Sens!K6466*Sens!K6467*chip_f</f>
        <v>10.3751171054197</v>
      </c>
      <c r="L6468" s="1" t="s">
        <v>975</v>
      </c>
    </row>
    <row r="6469" customFormat="false" ht="17.15" hidden="false" customHeight="false" outlineLevel="0" collapsed="false">
      <c r="A6469" s="0" t="s">
        <v>976</v>
      </c>
      <c r="B6469" s="0" t="s">
        <v>98</v>
      </c>
      <c r="D6469" s="6" t="n">
        <f aca="false">(Sens!C6452+Sens!D6452)/2*Sens!D6468/1000</f>
        <v>12.9359794422418</v>
      </c>
      <c r="E6469" s="6" t="n">
        <f aca="false">(Sens!D6452+Sens!E6452)/2*Sens!E6468/1000</f>
        <v>27.8095064661409</v>
      </c>
      <c r="F6469" s="6" t="n">
        <f aca="false">(Sens!E6452+Sens!F6452)/2*Sens!F6468/1000</f>
        <v>51.5368858251824</v>
      </c>
      <c r="G6469" s="6" t="n">
        <f aca="false">(Sens!F6452+Sens!G6452)/2*Sens!G6468/1000</f>
        <v>77.7993400632004</v>
      </c>
      <c r="H6469" s="6" t="n">
        <f aca="false">(Sens!G6452+Sens!H6452)/2*Sens!H6468/1000</f>
        <v>99.019015882121</v>
      </c>
      <c r="I6469" s="6" t="n">
        <f aca="false">(Sens!H6452+Sens!I6452)/2*Sens!I6468/1000</f>
        <v>124.226153471994</v>
      </c>
      <c r="J6469" s="6" t="n">
        <f aca="false">(Sens!I6452+Sens!J6452)/2*Sens!J6468/1000</f>
        <v>141.865881170736</v>
      </c>
      <c r="K6469" s="6" t="n">
        <f aca="false">(Sens!J6452+Sens!K6452)/2*Sens!K6468/1000</f>
        <v>153.09246102209</v>
      </c>
      <c r="L6469" s="12" t="s">
        <v>977</v>
      </c>
    </row>
    <row r="6470" customFormat="false" ht="17.15" hidden="false" customHeight="false" outlineLevel="0" collapsed="false">
      <c r="A6470" s="1" t="s">
        <v>978</v>
      </c>
      <c r="B6470" s="0" t="s">
        <v>403</v>
      </c>
      <c r="C6470" s="15" t="n">
        <f aca="false">(Sens!C6460*tk_opex_h100+Sens!C6461*tk_opex_gb200+Sens!C6462*tk_opex_gb300+(Sens!C6464+Sens!C6463)*tk_opex_vr200)/Sens!C6452</f>
        <v>1.88636041306092</v>
      </c>
      <c r="D6470" s="15" t="n">
        <f aca="false">(Sens!D6460*tk_opex_h100+Sens!D6461*tk_opex_gb200+Sens!D6462*tk_opex_gb300+(Sens!D6464+Sens!D6463)*tk_opex_vr200)/Sens!D6452</f>
        <v>1.88636041306092</v>
      </c>
      <c r="E6470" s="15" t="n">
        <f aca="false">(Sens!E6460*tk_opex_h100+Sens!E6461*tk_opex_gb200+Sens!E6462*tk_opex_gb300+(Sens!E6464+Sens!E6463)*tk_opex_vr200)/Sens!E6452</f>
        <v>1.88636041306092</v>
      </c>
      <c r="F6470" s="15" t="n">
        <f aca="false">(Sens!F6460*tk_opex_h100+Sens!F6461*tk_opex_gb200+Sens!F6462*tk_opex_gb300+(Sens!F6464+Sens!F6463)*tk_opex_vr200)/Sens!F6452</f>
        <v>1.95051159746876</v>
      </c>
      <c r="G6470" s="15" t="n">
        <f aca="false">(Sens!G6460*tk_opex_h100+Sens!G6461*tk_opex_gb200+Sens!G6462*tk_opex_gb300+(Sens!G6464+Sens!G6463)*tk_opex_vr200)/Sens!G6452</f>
        <v>1.98836003669956</v>
      </c>
      <c r="H6470" s="15" t="n">
        <f aca="false">(Sens!H6460*tk_opex_h100+Sens!H6461*tk_opex_gb200+Sens!H6462*tk_opex_gb300+(Sens!H6464+Sens!H6463)*tk_opex_vr200)/Sens!H6452</f>
        <v>2.01344013834343</v>
      </c>
      <c r="I6470" s="15" t="n">
        <f aca="false">(Sens!I6460*tk_opex_h100+Sens!I6461*tk_opex_gb200+Sens!I6462*tk_opex_gb300+(Sens!I6464+Sens!I6463)*tk_opex_vr200)/Sens!I6452</f>
        <v>2.03261166882178</v>
      </c>
      <c r="J6470" s="15" t="n">
        <f aca="false">(Sens!J6460*tk_opex_h100+Sens!J6461*tk_opex_gb200+Sens!J6462*tk_opex_gb300+(Sens!J6464+Sens!J6463)*tk_opex_vr200)/Sens!J6452</f>
        <v>2.04808073288745</v>
      </c>
      <c r="K6470" s="15" t="n">
        <f aca="false">(Sens!K6460*tk_opex_h100+Sens!K6461*tk_opex_gb200+Sens!K6462*tk_opex_gb300+(Sens!K6464+Sens!K6463)*tk_opex_vr200)/Sens!K6452</f>
        <v>2.06973825807449</v>
      </c>
      <c r="L6470" s="12" t="s">
        <v>979</v>
      </c>
    </row>
    <row r="6471" customFormat="false" ht="17.15" hidden="false" customHeight="false" outlineLevel="0" collapsed="false">
      <c r="A6471" s="0" t="s">
        <v>980</v>
      </c>
      <c r="B6471" s="0" t="s">
        <v>98</v>
      </c>
      <c r="D6471" s="6" t="n">
        <f aca="false">(Sens!C6455+Sens!D6455)/2*Sens!D6470/1000</f>
        <v>2.70378325872065</v>
      </c>
      <c r="E6471" s="6" t="n">
        <f aca="false">(Sens!D6455+Sens!E6455)/2*Sens!E6470/1000</f>
        <v>6.17783035277451</v>
      </c>
      <c r="F6471" s="6" t="n">
        <f aca="false">(Sens!E6455+Sens!F6455)/2*Sens!F6470/1000</f>
        <v>12.8742463089237</v>
      </c>
      <c r="G6471" s="6" t="n">
        <f aca="false">(Sens!F6455+Sens!G6455)/2*Sens!G6470/1000</f>
        <v>21.8182834646277</v>
      </c>
      <c r="H6471" s="6" t="n">
        <f aca="false">(Sens!G6455+Sens!H6455)/2*Sens!H6470/1000</f>
        <v>31.2430128789734</v>
      </c>
      <c r="I6471" s="6" t="n">
        <f aca="false">(Sens!H6455+Sens!I6455)/2*Sens!I6470/1000</f>
        <v>39.4313057443268</v>
      </c>
      <c r="J6471" s="6" t="n">
        <f aca="false">(Sens!I6455+Sens!J6455)/2*Sens!J6470/1000</f>
        <v>45.0360318228653</v>
      </c>
      <c r="K6471" s="6" t="n">
        <f aca="false">(Sens!J6455+Sens!K6455)/2*Sens!K6470/1000</f>
        <v>48.2929727091156</v>
      </c>
    </row>
    <row r="6472" customFormat="false" ht="17.15" hidden="false" customHeight="false" outlineLevel="0" collapsed="false">
      <c r="A6472" s="0" t="s">
        <v>981</v>
      </c>
      <c r="B6472" s="0" t="s">
        <v>98</v>
      </c>
      <c r="D6472" s="6" t="n">
        <f aca="false">(Sens!C6453+Sens!D6453)/2*rent_mw/1000</f>
        <v>2.44475</v>
      </c>
      <c r="E6472" s="6" t="n">
        <f aca="false">(Sens!D6453+Sens!E6453)/2*rent_mw/1000</f>
        <v>4.22275</v>
      </c>
      <c r="F6472" s="6" t="n">
        <f aca="false">(Sens!E6453+Sens!F6453)/2*rent_mw/1000</f>
        <v>5.80517</v>
      </c>
      <c r="G6472" s="6" t="n">
        <f aca="false">(Sens!F6453+Sens!G6453)/2*rent_mw/1000</f>
        <v>6.72084</v>
      </c>
      <c r="H6472" s="6" t="n">
        <f aca="false">(Sens!G6453+Sens!H6453)/2*rent_mw/1000</f>
        <v>6.72084</v>
      </c>
      <c r="I6472" s="6" t="n">
        <f aca="false">(Sens!H6453+Sens!I6453)/2*rent_mw/1000</f>
        <v>6.72084</v>
      </c>
      <c r="J6472" s="6" t="n">
        <f aca="false">(Sens!I6453+Sens!J6453)/2*rent_mw/1000</f>
        <v>6.72084</v>
      </c>
      <c r="K6472" s="6" t="n">
        <f aca="false">(Sens!J6453+Sens!K6453)/2*rent_mw/1000</f>
        <v>6.72084</v>
      </c>
    </row>
    <row r="6473" customFormat="false" ht="17.15" hidden="false" customHeight="false" outlineLevel="0" collapsed="false">
      <c r="A6473" s="0" t="s">
        <v>982</v>
      </c>
      <c r="B6473" s="0" t="s">
        <v>98</v>
      </c>
      <c r="D6473" s="6" t="n">
        <f aca="false">(Sens!C6455+Sens!D6455)/2*(1-self_build)*fac_rent/1000</f>
        <v>0.853242375631075</v>
      </c>
      <c r="E6473" s="6" t="n">
        <f aca="false">(Sens!D6455+Sens!E6455)/2*(1-self_build)*fac_rent/1000</f>
        <v>1.94955961408728</v>
      </c>
      <c r="F6473" s="6" t="n">
        <f aca="false">(Sens!E6455+Sens!F6455)/2*(1-self_build)*fac_rent/1000</f>
        <v>3.92914894476356</v>
      </c>
      <c r="G6473" s="6" t="n">
        <f aca="false">(Sens!F6455+Sens!G6455)/2*(1-self_build)*fac_rent/1000</f>
        <v>6.53206908578159</v>
      </c>
      <c r="H6473" s="6" t="n">
        <f aca="false">(Sens!G6455+Sens!H6455)/2*(1-self_build)*fac_rent/1000</f>
        <v>9.23717988341591</v>
      </c>
      <c r="I6473" s="6" t="n">
        <f aca="false">(Sens!H6455+Sens!I6455)/2*(1-self_build)*fac_rent/1000</f>
        <v>11.5481378557393</v>
      </c>
      <c r="J6473" s="6" t="n">
        <f aca="false">(Sens!I6455+Sens!J6455)/2*(1-self_build)*fac_rent/1000</f>
        <v>13.0899582289108</v>
      </c>
      <c r="K6473" s="6" t="n">
        <f aca="false">(Sens!J6455+Sens!K6455)/2*(1-self_build)*fac_rent/1000</f>
        <v>13.8897275626556</v>
      </c>
      <c r="L6473" s="12" t="s">
        <v>983</v>
      </c>
    </row>
    <row r="6474" customFormat="false" ht="17.15" hidden="false" customHeight="false" outlineLevel="0" collapsed="false">
      <c r="A6474" s="1" t="s">
        <v>984</v>
      </c>
      <c r="B6474" s="0" t="s">
        <v>168</v>
      </c>
      <c r="D6474" s="7" t="n">
        <f aca="false">(Sens!C6454+Sens!D6454)/(Sens!C6455+Sens!D6455)</f>
        <v>0.6</v>
      </c>
      <c r="E6474" s="7" t="n">
        <f aca="false">(Sens!D6454+Sens!E6454)/(Sens!D6455+Sens!E6455)</f>
        <v>0.6</v>
      </c>
      <c r="F6474" s="7" t="n">
        <f aca="false">(Sens!E6454+Sens!F6454)/(Sens!E6455+Sens!F6455)</f>
        <v>0.6</v>
      </c>
      <c r="G6474" s="7" t="n">
        <f aca="false">(Sens!F6454+Sens!G6454)/(Sens!F6455+Sens!G6455)</f>
        <v>0.6</v>
      </c>
      <c r="H6474" s="7" t="n">
        <f aca="false">(Sens!G6454+Sens!H6454)/(Sens!G6455+Sens!H6455)</f>
        <v>0.6</v>
      </c>
      <c r="I6474" s="7" t="n">
        <f aca="false">(Sens!H6454+Sens!I6454)/(Sens!H6455+Sens!I6455)</f>
        <v>0.6</v>
      </c>
      <c r="J6474" s="7" t="n">
        <f aca="false">(Sens!I6454+Sens!J6454)/(Sens!I6455+Sens!J6455)</f>
        <v>0.6</v>
      </c>
      <c r="K6474" s="7" t="n">
        <f aca="false">(Sens!J6454+Sens!K6454)/(Sens!J6455+Sens!K6455)</f>
        <v>0.6</v>
      </c>
    </row>
    <row r="6475" customFormat="false" ht="17.15" hidden="false" customHeight="false" outlineLevel="0" collapsed="false">
      <c r="A6475" s="0" t="s">
        <v>985</v>
      </c>
      <c r="B6475" s="0" t="s">
        <v>98</v>
      </c>
      <c r="D6475" s="6" t="n">
        <f aca="false">Sens!D6469-Sens!D6474*(Sens!D6471+Sens!D6473)-Sens!D6472</f>
        <v>8.35701406163072</v>
      </c>
      <c r="E6475" s="6" t="n">
        <f aca="false">Sens!E6469-Sens!E6474*(Sens!E6471+Sens!E6473)-Sens!E6472</f>
        <v>18.7103224860238</v>
      </c>
      <c r="F6475" s="6" t="n">
        <f aca="false">Sens!F6469-Sens!F6474*(Sens!F6471+Sens!F6473)-Sens!F6472</f>
        <v>35.6496786729701</v>
      </c>
      <c r="G6475" s="6" t="n">
        <f aca="false">Sens!G6469-Sens!G6474*(Sens!G6471+Sens!G6473)-Sens!G6472</f>
        <v>54.0682885329548</v>
      </c>
      <c r="H6475" s="6" t="n">
        <f aca="false">Sens!H6469-Sens!H6474*(Sens!H6471+Sens!H6473)-Sens!H6472</f>
        <v>68.0100602246874</v>
      </c>
      <c r="I6475" s="6" t="n">
        <f aca="false">Sens!I6469-Sens!I6474*(Sens!I6471+Sens!I6473)-Sens!I6472</f>
        <v>86.9176473119539</v>
      </c>
      <c r="J6475" s="6" t="n">
        <f aca="false">Sens!J6469-Sens!J6474*(Sens!J6471+Sens!J6473)-Sens!J6472</f>
        <v>100.269447139671</v>
      </c>
      <c r="K6475" s="6" t="n">
        <f aca="false">Sens!K6469-Sens!K6474*(Sens!K6471+Sens!K6473)-Sens!K6472</f>
        <v>109.062000859027</v>
      </c>
    </row>
    <row r="6476" customFormat="false" ht="17.15" hidden="false" customHeight="false" outlineLevel="0" collapsed="false">
      <c r="A6476" s="1" t="s">
        <v>986</v>
      </c>
      <c r="B6476" s="0" t="s">
        <v>98</v>
      </c>
      <c r="D6476" s="6" t="n">
        <f aca="false">(1-Sens!D6474)*(Sens!D6471+Sens!D6473)</f>
        <v>1.42281025374069</v>
      </c>
      <c r="E6476" s="6" t="n">
        <f aca="false">(1-Sens!E6474)*(Sens!E6471+Sens!E6473)</f>
        <v>3.25095598674472</v>
      </c>
      <c r="F6476" s="6" t="n">
        <f aca="false">(1-Sens!F6474)*(Sens!F6471+Sens!F6473)</f>
        <v>6.72135810147489</v>
      </c>
      <c r="G6476" s="6" t="n">
        <f aca="false">(1-Sens!G6474)*(Sens!G6471+Sens!G6473)</f>
        <v>11.3401410201637</v>
      </c>
      <c r="H6476" s="6" t="n">
        <f aca="false">(1-Sens!H6474)*(Sens!H6471+Sens!H6473)</f>
        <v>16.1920771049557</v>
      </c>
      <c r="I6476" s="6" t="n">
        <f aca="false">(1-Sens!I6474)*(Sens!I6471+Sens!I6473)</f>
        <v>20.3917774400264</v>
      </c>
      <c r="J6476" s="6" t="n">
        <f aca="false">(1-Sens!J6474)*(Sens!J6471+Sens!J6473)</f>
        <v>23.2503960207104</v>
      </c>
      <c r="K6476" s="6" t="n">
        <f aca="false">(1-Sens!K6474)*(Sens!K6471+Sens!K6473)</f>
        <v>24.8730801087085</v>
      </c>
    </row>
    <row r="6477" customFormat="false" ht="17.15" hidden="false" customHeight="false" outlineLevel="0" collapsed="false">
      <c r="A6477" s="1" t="s">
        <v>987</v>
      </c>
      <c r="B6477" s="0" t="s">
        <v>414</v>
      </c>
      <c r="C6477" s="8" t="n">
        <f aca="false">cxit_open</f>
        <v>27.5918995</v>
      </c>
      <c r="D6477" s="8" t="n">
        <f aca="false">cxit_open</f>
        <v>27.5918995</v>
      </c>
      <c r="E6477" s="8" t="n">
        <f aca="false">cxit_open</f>
        <v>27.5918995</v>
      </c>
      <c r="F6477" s="8" t="n">
        <f aca="false">((a_g3_27-nonnv*a_mai)*tk_cxit_gb300+nonnv*a_mai*nv_hold_mai*tk_cxit_vr200+(1-a_g3_27)*tk_cxit_vr200)</f>
        <v>32.4975576</v>
      </c>
      <c r="G6477" s="8" t="n">
        <f aca="false">((a_g3_28-nonnv*a_mai)*tk_cxit_gb300+nonnv*a_mai*nv_hold_mai*tk_cxit_vr200+(1-a_g3_28)*tk_cxit_vr200)</f>
        <v>34.6372088</v>
      </c>
      <c r="H6477" s="8" t="n">
        <f aca="false">((a_g3_29-nonnv*a_mai)*tk_cxit_gb300+nonnv*a_mai*nv_hold_mai*tk_cxit_vr200+(1-a_g3_29)*tk_cxit_vr200)</f>
        <v>35.7070344</v>
      </c>
      <c r="I6477" s="8" t="n">
        <f aca="false">((a_g3_29-nonnv*a_mai)*tk_cxit_gb300+nonnv*a_mai*nv_hold_mai*tk_cxit_vr200+(1-a_g3_29)*tk_cxit_vr200)</f>
        <v>35.7070344</v>
      </c>
      <c r="J6477" s="8" t="n">
        <f aca="false">((a_g3_29-nonnv*a_mai)*tk_cxit_gb300+nonnv*a_mai*nv_hold_mai*tk_cxit_vr200+(1-a_g3_29)*tk_cxit_vr200)</f>
        <v>35.7070344</v>
      </c>
      <c r="K6477" s="8" t="n">
        <f aca="false">((a_g3_29-nonnv*a_mai)*tk_cxit_gb300+nonnv*a_mai*nv_hold_mai*tk_cxit_vr200+(1-a_g3_29)*tk_cxit_vr200)</f>
        <v>35.7070344</v>
      </c>
      <c r="L6477" s="12" t="s">
        <v>988</v>
      </c>
    </row>
    <row r="6478" customFormat="false" ht="17.15" hidden="false" customHeight="false" outlineLevel="0" collapsed="false">
      <c r="A6478" s="0" t="s">
        <v>989</v>
      </c>
      <c r="B6478" s="0" t="s">
        <v>456</v>
      </c>
      <c r="F6478" s="30" t="n">
        <f aca="false">Sens!C6457*IF(Sens!F6450-Sens!C6450=life_it,1,0)+Sens!D6457*IF(Sens!F6450-Sens!D6450=life_it,1,0)+Sens!E6457*IF(Sens!F6450-Sens!E6450=life_it,1,0)</f>
        <v>0</v>
      </c>
      <c r="G6478" s="30" t="n">
        <f aca="false">Sens!C6457*IF(Sens!G6450-Sens!C6450=life_it,1,0)+Sens!D6457*IF(Sens!G6450-Sens!D6450=life_it,1,0)+Sens!E6457*IF(Sens!G6450-Sens!E6450=life_it,1,0)+Sens!F6457*IF(Sens!G6450-Sens!F6450=life_it,1,0)</f>
        <v>0</v>
      </c>
      <c r="H6478" s="30" t="n">
        <f aca="false">Sens!C6457*IF(Sens!H6450-Sens!C6450=life_it,1,0)+Sens!D6457*IF(Sens!H6450-Sens!D6450=life_it,1,0)+Sens!E6457*IF(Sens!H6450-Sens!E6450=life_it,1,0)+Sens!F6457*IF(Sens!H6450-Sens!F6450=life_it,1,0)+Sens!G6457*IF(Sens!H6450-Sens!G6450=life_it,1,0)</f>
        <v>0</v>
      </c>
      <c r="I6478" s="30" t="n">
        <f aca="false">Sens!C6457*IF(Sens!I6450-Sens!C6450=life_it,1,0)+Sens!D6457*IF(Sens!I6450-Sens!D6450=life_it,1,0)+Sens!E6457*IF(Sens!I6450-Sens!E6450=life_it,1,0)+Sens!F6457*IF(Sens!I6450-Sens!F6450=life_it,1,0)+Sens!G6457*IF(Sens!I6450-Sens!G6450=life_it,1,0)+Sens!H6457*IF(Sens!I6450-Sens!H6450=life_it,1,0)</f>
        <v>816.666666666667</v>
      </c>
      <c r="J6478" s="30" t="n">
        <f aca="false">Sens!C6457*IF(Sens!J6450-Sens!C6450=life_it,1,0)+Sens!D6457*IF(Sens!J6450-Sens!D6450=life_it,1,0)+Sens!E6457*IF(Sens!J6450-Sens!E6450=life_it,1,0)+Sens!F6457*IF(Sens!J6450-Sens!F6450=life_it,1,0)+Sens!G6457*IF(Sens!J6450-Sens!G6450=life_it,1,0)+Sens!H6457*IF(Sens!J6450-Sens!H6450=life_it,1,0)+Sens!I6457*IF(Sens!J6450-Sens!I6450=life_it,1,0)</f>
        <v>1233.33333333333</v>
      </c>
      <c r="K6478" s="30" t="n">
        <f aca="false">Sens!C6457*IF(Sens!K6450-Sens!C6450=life_it,1,0)+Sens!D6457*IF(Sens!K6450-Sens!D6450=life_it,1,0)+Sens!E6457*IF(Sens!K6450-Sens!E6450=life_it,1,0)+Sens!F6457*IF(Sens!K6450-Sens!F6450=life_it,1,0)+Sens!G6457*IF(Sens!K6450-Sens!G6450=life_it,1,0)+Sens!H6457*IF(Sens!K6450-Sens!H6450=life_it,1,0)+Sens!I6457*IF(Sens!K6450-Sens!I6450=life_it,1,0)+Sens!J6457*IF(Sens!K6450-Sens!J6450=life_it,1,0)</f>
        <v>2450</v>
      </c>
      <c r="L6478" s="1" t="s">
        <v>990</v>
      </c>
    </row>
    <row r="6479" customFormat="false" ht="17.15" hidden="false" customHeight="false" outlineLevel="0" collapsed="false">
      <c r="A6479" s="0" t="s">
        <v>991</v>
      </c>
      <c r="B6479" s="0" t="s">
        <v>98</v>
      </c>
      <c r="C6479" s="6" t="n">
        <f aca="false">Sens!C6457*Sens!C6477/1000</f>
        <v>22.5333845916667</v>
      </c>
      <c r="D6479" s="6" t="n">
        <f aca="false">Sens!D6457*Sens!D6477/1000</f>
        <v>34.0300093833333</v>
      </c>
      <c r="E6479" s="6" t="n">
        <f aca="false">Sens!E6457*Sens!E6477/1000</f>
        <v>67.600153775</v>
      </c>
      <c r="F6479" s="6" t="n">
        <f aca="false">(Sens!F6457+Sens!F6478)*Sens!F6477/1000</f>
        <v>136.51872432512</v>
      </c>
      <c r="G6479" s="6" t="n">
        <f aca="false">(Sens!G6457+Sens!G6478)*Sens!G6477/1000</f>
        <v>157.399275932048</v>
      </c>
      <c r="H6479" s="6" t="n">
        <f aca="false">(Sens!H6457+Sens!H6478)*Sens!H6477/1000</f>
        <v>162.260804347512</v>
      </c>
      <c r="I6479" s="6" t="n">
        <f aca="false">(Sens!I6457+Sens!I6478)*Sens!I6477/1000</f>
        <v>144.136569485434</v>
      </c>
      <c r="J6479" s="6" t="n">
        <f aca="false">(Sens!J6457+Sens!J6478)*Sens!J6477/1000</f>
        <v>114.029037357864</v>
      </c>
      <c r="K6479" s="6" t="n">
        <f aca="false">(Sens!K6457+Sens!K6478)*Sens!K6477/1000</f>
        <v>113.437085350975</v>
      </c>
    </row>
    <row r="6480" customFormat="false" ht="17.15" hidden="false" customHeight="false" outlineLevel="0" collapsed="false">
      <c r="A6480" s="0" t="s">
        <v>992</v>
      </c>
      <c r="B6480" s="0" t="s">
        <v>98</v>
      </c>
      <c r="C6480" s="6" t="n">
        <f aca="false">Sens!C6457*self_build*tk_cxfac/1000</f>
        <v>6.2083</v>
      </c>
      <c r="D6480" s="6" t="n">
        <f aca="false">Sens!D6457*self_build*tk_cxfac/1000</f>
        <v>9.3758</v>
      </c>
      <c r="E6480" s="6" t="n">
        <f aca="false">Sens!E6457*self_build*tk_cxfac/1000</f>
        <v>18.6249</v>
      </c>
      <c r="F6480" s="6" t="n">
        <f aca="false">Sens!F6457*self_build*tk_cxfac/1000</f>
        <v>31.935179717</v>
      </c>
      <c r="G6480" s="6" t="n">
        <f aca="false">Sens!G6457*self_build*tk_cxfac/1000</f>
        <v>34.545199717</v>
      </c>
      <c r="H6480" s="6" t="n">
        <f aca="false">Sens!H6457*self_build*tk_cxfac/1000</f>
        <v>34.545199717</v>
      </c>
      <c r="I6480" s="6" t="n">
        <f aca="false">Sens!I6457*self_build*tk_cxfac/1000</f>
        <v>24.4782641361767</v>
      </c>
      <c r="J6480" s="6" t="n">
        <f aca="false">Sens!J6457*self_build*tk_cxfac/1000</f>
        <v>14.9008938380769</v>
      </c>
      <c r="K6480" s="6" t="n">
        <f aca="false">Sens!K6457*self_build*tk_cxfac/1000</f>
        <v>5.52576771375761</v>
      </c>
    </row>
    <row r="6481" customFormat="false" ht="17.15" hidden="false" customHeight="false" outlineLevel="0" collapsed="false">
      <c r="A6481" s="0" t="s">
        <v>993</v>
      </c>
      <c r="B6481" s="0" t="s">
        <v>98</v>
      </c>
      <c r="F6481" s="15" t="n">
        <f aca="false">capex_floor27-Sens!F6479-Sens!F6480-Sens!F6577</f>
        <v>-0.0555911563235867</v>
      </c>
      <c r="L6481" s="12" t="s">
        <v>994</v>
      </c>
    </row>
    <row r="6482" customFormat="false" ht="17.15" hidden="false" customHeight="false" outlineLevel="0" collapsed="false">
      <c r="A6482" s="0" t="s">
        <v>995</v>
      </c>
      <c r="B6482" s="0" t="s">
        <v>98</v>
      </c>
      <c r="F6482" s="6" t="n">
        <f aca="false">MAX(0,Sens!F6481)</f>
        <v>0</v>
      </c>
    </row>
    <row r="6483" customFormat="false" ht="17.15" hidden="false" customHeight="false" outlineLevel="0" collapsed="false">
      <c r="A6483" s="0" t="s">
        <v>996</v>
      </c>
      <c r="B6483" s="0" t="s">
        <v>98</v>
      </c>
      <c r="C6483" s="6" t="n">
        <f aca="false">Sens!C6479</f>
        <v>22.5333845916667</v>
      </c>
      <c r="D6483" s="6" t="n">
        <f aca="false">Sens!D6479</f>
        <v>34.0300093833333</v>
      </c>
      <c r="E6483" s="6" t="n">
        <f aca="false">Sens!E6479</f>
        <v>67.600153775</v>
      </c>
      <c r="F6483" s="6" t="n">
        <f aca="false">Sens!F6479</f>
        <v>136.51872432512</v>
      </c>
      <c r="G6483" s="6" t="n">
        <f aca="false">Sens!G6479</f>
        <v>157.399275932048</v>
      </c>
      <c r="H6483" s="6" t="n">
        <f aca="false">Sens!H6479</f>
        <v>162.260804347512</v>
      </c>
      <c r="I6483" s="6" t="n">
        <f aca="false">Sens!I6479</f>
        <v>144.136569485434</v>
      </c>
      <c r="J6483" s="6" t="n">
        <f aca="false">Sens!J6479</f>
        <v>114.029037357864</v>
      </c>
      <c r="K6483" s="6" t="n">
        <f aca="false">Sens!K6479</f>
        <v>113.437085350975</v>
      </c>
    </row>
    <row r="6484" customFormat="false" ht="17.15" hidden="false" customHeight="false" outlineLevel="0" collapsed="false">
      <c r="A6484" s="0" t="s">
        <v>997</v>
      </c>
      <c r="B6484" s="0" t="s">
        <v>98</v>
      </c>
      <c r="C6484" s="6" t="n">
        <f aca="false">Sens!C6483+Sens!C6480</f>
        <v>28.7416845916667</v>
      </c>
      <c r="D6484" s="6" t="n">
        <f aca="false">Sens!D6483+Sens!D6480</f>
        <v>43.4058093833333</v>
      </c>
      <c r="E6484" s="6" t="n">
        <f aca="false">Sens!E6483+Sens!E6480</f>
        <v>86.225053775</v>
      </c>
      <c r="F6484" s="6" t="n">
        <f aca="false">Sens!F6483+Sens!F6480</f>
        <v>168.45390404212</v>
      </c>
      <c r="G6484" s="6" t="n">
        <f aca="false">Sens!G6483+Sens!G6480</f>
        <v>191.944475649048</v>
      </c>
      <c r="H6484" s="6" t="n">
        <f aca="false">Sens!H6483+Sens!H6480</f>
        <v>196.806004064512</v>
      </c>
      <c r="I6484" s="6" t="n">
        <f aca="false">Sens!I6483+Sens!I6480</f>
        <v>168.61483362161</v>
      </c>
      <c r="J6484" s="6" t="n">
        <f aca="false">Sens!J6483+Sens!J6480</f>
        <v>128.92993119594</v>
      </c>
      <c r="K6484" s="6" t="n">
        <f aca="false">Sens!K6483+Sens!K6480</f>
        <v>118.962853064733</v>
      </c>
      <c r="L6484" s="12" t="s">
        <v>998</v>
      </c>
    </row>
    <row r="6485" customFormat="false" ht="17.15" hidden="false" customHeight="false" outlineLevel="0" collapsed="false">
      <c r="A6485" s="0" t="s">
        <v>999</v>
      </c>
      <c r="B6485" s="0" t="s">
        <v>98</v>
      </c>
      <c r="E6485" s="6" t="n">
        <f aca="false">(Sens!C6483*IF(2&lt;life_it,1,IF(2=life_it,0.5,0))+Sens!D6483*IF(1&lt;life_it,1,IF(1=life_it,0.5,0))+Sens!E6483*0.5)/life_it</f>
        <v>15.0605784770833</v>
      </c>
      <c r="F6485" s="6" t="n">
        <f aca="false">(Sens!C6483*IF(3&lt;life_it,1,IF(3=life_it,0.5,0))+Sens!D6483*IF(2&lt;life_it,1,IF(2=life_it,0.5,0))+Sens!E6483*IF(1&lt;life_it,1,IF(1=life_it,0.5,0))+Sens!F6483*0.5)/life_it</f>
        <v>32.0704849854266</v>
      </c>
      <c r="G6485" s="6" t="n">
        <f aca="false">(Sens!C6483*IF(4&lt;life_it,1,IF(4=life_it,0.5,0))+Sens!D6483*IF(3&lt;life_it,1,IF(3=life_it,0.5,0))+Sens!E6483*IF(2&lt;life_it,1,IF(2=life_it,0.5,0))+Sens!F6483*IF(1&lt;life_it,1,IF(1=life_it,0.5,0))+Sens!G6483*0.5)/life_it</f>
        <v>56.5636516735239</v>
      </c>
      <c r="H6485" s="6" t="n">
        <f aca="false">(Sens!C6483*IF(5&lt;life_it,1,IF(5=life_it,0.5,0))+Sens!D6483*IF(4&lt;life_it,1,IF(4=life_it,0.5,0))+Sens!E6483*IF(3&lt;life_it,1,IF(3=life_it,0.5,0))+Sens!F6483*IF(2&lt;life_it,1,IF(2=life_it,0.5,0))+Sens!G6483*IF(1&lt;life_it,1,IF(1=life_it,0.5,0))+Sens!H6483*0.5)/life_it</f>
        <v>83.2019916968207</v>
      </c>
      <c r="I6485" s="6" t="n">
        <f aca="false">(Sens!C6483*IF(6&lt;life_it,1,IF(6=life_it,0.5,0))+Sens!D6483*IF(5&lt;life_it,1,IF(5=life_it,0.5,0))+Sens!E6483*IF(4&lt;life_it,1,IF(4=life_it,0.5,0))+Sens!F6483*IF(3&lt;life_it,1,IF(3=life_it,0.5,0))+Sens!G6483*IF(2&lt;life_it,1,IF(2=life_it,0.5,0))+Sens!H6483*IF(1&lt;life_it,1,IF(1=life_it,0.5,0))+Sens!I6483*0.5)/life_it</f>
        <v>106.857324133594</v>
      </c>
      <c r="J6485" s="6" t="n">
        <f aca="false">(Sens!C6483*IF(7&lt;life_it,1,IF(7=life_it,0.5,0))+Sens!D6483*IF(6&lt;life_it,1,IF(6=life_it,0.5,0))+Sens!E6483*IF(5&lt;life_it,1,IF(5=life_it,0.5,0))+Sens!F6483*IF(4&lt;life_it,1,IF(4=life_it,0.5,0))+Sens!G6483*IF(3&lt;life_it,1,IF(3=life_it,0.5,0))+Sens!H6483*IF(2&lt;life_it,1,IF(2=life_it,0.5,0))+Sens!I6483*IF(1&lt;life_it,1,IF(1=life_it,0.5,0))+Sens!J6483*0.5)/life_it</f>
        <v>123.657508539285</v>
      </c>
      <c r="K6485" s="6" t="n">
        <f aca="false">(Sens!C6483*IF(8&lt;life_it,1,IF(8=life_it,0.5,0))+Sens!D6483*IF(7&lt;life_it,1,IF(7=life_it,0.5,0))+Sens!E6483*IF(6&lt;life_it,1,IF(6=life_it,0.5,0))+Sens!F6483*IF(5&lt;life_it,1,IF(5=life_it,0.5,0))+Sens!G6483*IF(4&lt;life_it,1,IF(4=life_it,0.5,0))+Sens!H6483*IF(3&lt;life_it,1,IF(3=life_it,0.5,0))+Sens!I6483*IF(2&lt;life_it,1,IF(2=life_it,0.5,0))+Sens!J6483*IF(1&lt;life_it,1,IF(1=life_it,0.5,0))+Sens!K6483*0.5)/life_it</f>
        <v>134.143838501827</v>
      </c>
    </row>
    <row r="6486" customFormat="false" ht="17.15" hidden="false" customHeight="false" outlineLevel="0" collapsed="false">
      <c r="A6486" s="0" t="s">
        <v>1000</v>
      </c>
      <c r="B6486" s="0" t="s">
        <v>98</v>
      </c>
      <c r="E6486" s="6" t="n">
        <f aca="false">(Sens!C6480*IF(2&lt;life_fac,1,IF(2=life_fac,0.5,0))+Sens!D6480*IF(1&lt;life_fac,1,IF(1=life_fac,0.5,0))+Sens!E6480*0.5)/life_fac</f>
        <v>1.2448275</v>
      </c>
      <c r="F6486" s="6" t="n">
        <f aca="false">(Sens!C6480*IF(3&lt;life_fac,1,IF(3=life_fac,0.5,0))+Sens!D6480*IF(2&lt;life_fac,1,IF(2=life_fac,0.5,0))+Sens!E6480*IF(1&lt;life_fac,1,IF(1=life_fac,0.5,0))+Sens!F6480*0.5)/life_fac</f>
        <v>2.508829492925</v>
      </c>
      <c r="G6486" s="6" t="n">
        <f aca="false">(Sens!C6480*IF(4&lt;life_fac,1,IF(4=life_fac,0.5,0))+Sens!D6480*IF(3&lt;life_fac,1,IF(3=life_fac,0.5,0))+Sens!E6480*IF(2&lt;life_fac,1,IF(2=life_fac,0.5,0))+Sens!F6480*IF(1&lt;life_fac,1,IF(1=life_fac,0.5,0))+Sens!G6480*0.5)/life_fac</f>
        <v>4.170838978775</v>
      </c>
      <c r="H6486" s="6" t="n">
        <f aca="false">(Sens!C6480*IF(5&lt;life_fac,1,IF(5=life_fac,0.5,0))+Sens!D6480*IF(4&lt;life_fac,1,IF(4=life_fac,0.5,0))+Sens!E6480*IF(3&lt;life_fac,1,IF(3=life_fac,0.5,0))+Sens!F6480*IF(2&lt;life_fac,1,IF(2=life_fac,0.5,0))+Sens!G6480*IF(1&lt;life_fac,1,IF(1=life_fac,0.5,0))+Sens!H6480*0.5)/life_fac</f>
        <v>5.898098964625</v>
      </c>
      <c r="I6486" s="6" t="n">
        <f aca="false">(Sens!C6480*IF(6&lt;life_fac,1,IF(6=life_fac,0.5,0))+Sens!D6480*IF(5&lt;life_fac,1,IF(5=life_fac,0.5,0))+Sens!E6480*IF(4&lt;life_fac,1,IF(4=life_fac,0.5,0))+Sens!F6480*IF(3&lt;life_fac,1,IF(3=life_fac,0.5,0))+Sens!G6480*IF(2&lt;life_fac,1,IF(2=life_fac,0.5,0))+Sens!H6480*IF(1&lt;life_fac,1,IF(1=life_fac,0.5,0))+Sens!I6480*0.5)/life_fac</f>
        <v>7.37368556095442</v>
      </c>
      <c r="J6486" s="6" t="n">
        <f aca="false">(Sens!C6480*IF(7&lt;life_fac,1,IF(7=life_fac,0.5,0))+Sens!D6480*IF(6&lt;life_fac,1,IF(6=life_fac,0.5,0))+Sens!E6480*IF(5&lt;life_fac,1,IF(5=life_fac,0.5,0))+Sens!F6480*IF(4&lt;life_fac,1,IF(4=life_fac,0.5,0))+Sens!G6480*IF(3&lt;life_fac,1,IF(3=life_fac,0.5,0))+Sens!H6480*IF(2&lt;life_fac,1,IF(2=life_fac,0.5,0))+Sens!I6480*IF(1&lt;life_fac,1,IF(1=life_fac,0.5,0))+Sens!J6480*0.5)/life_fac</f>
        <v>8.35816451031075</v>
      </c>
      <c r="K6486" s="6" t="n">
        <f aca="false">(Sens!C6480*IF(8&lt;life_fac,1,IF(8=life_fac,0.5,0))+Sens!D6480*IF(7&lt;life_fac,1,IF(7=life_fac,0.5,0))+Sens!E6480*IF(6&lt;life_fac,1,IF(6=life_fac,0.5,0))+Sens!F6480*IF(5&lt;life_fac,1,IF(5=life_fac,0.5,0))+Sens!G6480*IF(4&lt;life_fac,1,IF(4=life_fac,0.5,0))+Sens!H6480*IF(3&lt;life_fac,1,IF(3=life_fac,0.5,0))+Sens!I6480*IF(2&lt;life_fac,1,IF(2=life_fac,0.5,0))+Sens!J6480*IF(1&lt;life_fac,1,IF(1=life_fac,0.5,0))+Sens!K6480*0.5)/life_fac</f>
        <v>8.86883104910662</v>
      </c>
    </row>
    <row r="6487" customFormat="false" ht="17.15" hidden="false" customHeight="false" outlineLevel="0" collapsed="false">
      <c r="A6487" s="0" t="s">
        <v>1001</v>
      </c>
      <c r="B6487" s="0" t="s">
        <v>98</v>
      </c>
      <c r="E6487" s="6" t="n">
        <f aca="false">Sens!E6485+Sens!E6486</f>
        <v>16.3054059770833</v>
      </c>
      <c r="F6487" s="6" t="n">
        <f aca="false">Sens!F6485+Sens!F6486</f>
        <v>34.5793144783516</v>
      </c>
      <c r="G6487" s="6" t="n">
        <f aca="false">Sens!G6485+Sens!G6486</f>
        <v>60.7344906522989</v>
      </c>
      <c r="H6487" s="6" t="n">
        <f aca="false">Sens!H6485+Sens!H6486</f>
        <v>89.1000906614457</v>
      </c>
      <c r="I6487" s="6" t="n">
        <f aca="false">Sens!I6485+Sens!I6486</f>
        <v>114.231009694548</v>
      </c>
      <c r="J6487" s="6" t="n">
        <f aca="false">Sens!J6485+Sens!J6486</f>
        <v>132.015673049596</v>
      </c>
      <c r="K6487" s="6" t="n">
        <f aca="false">Sens!K6485+Sens!K6486</f>
        <v>143.012669550934</v>
      </c>
    </row>
    <row r="6488" customFormat="false" ht="17.15" hidden="false" customHeight="false" outlineLevel="0" collapsed="false">
      <c r="A6488" s="0" t="s">
        <v>1002</v>
      </c>
      <c r="B6488" s="0" t="s">
        <v>98</v>
      </c>
      <c r="E6488" s="6" t="n">
        <f aca="false">Sens!E6475-Sens!E6474*Sens!E6487</f>
        <v>8.92707889977379</v>
      </c>
      <c r="F6488" s="6" t="n">
        <f aca="false">Sens!F6475-Sens!F6474*Sens!F6487</f>
        <v>14.9020899859591</v>
      </c>
      <c r="G6488" s="6" t="n">
        <f aca="false">Sens!G6475-Sens!G6474*Sens!G6487</f>
        <v>17.6275941415755</v>
      </c>
      <c r="H6488" s="6" t="n">
        <f aca="false">Sens!H6475-Sens!H6474*Sens!H6487</f>
        <v>14.55000582782</v>
      </c>
      <c r="I6488" s="6" t="n">
        <f aca="false">Sens!I6475-Sens!I6474*Sens!I6487</f>
        <v>18.3790414952249</v>
      </c>
      <c r="J6488" s="6" t="n">
        <f aca="false">Sens!J6475-Sens!J6474*Sens!J6487</f>
        <v>21.060043309913</v>
      </c>
      <c r="K6488" s="6" t="n">
        <f aca="false">Sens!K6475-Sens!K6474*Sens!K6487</f>
        <v>23.2543991284664</v>
      </c>
    </row>
    <row r="6489" customFormat="false" ht="17.15" hidden="false" customHeight="false" outlineLevel="0" collapsed="false">
      <c r="A6489" s="3" t="s">
        <v>1641</v>
      </c>
    </row>
    <row r="6490" customFormat="false" ht="15" hidden="false" customHeight="false" outlineLevel="0" collapsed="false">
      <c r="A6490" s="4" t="s">
        <v>43</v>
      </c>
      <c r="B6490" s="4" t="s">
        <v>65</v>
      </c>
      <c r="C6490" s="23" t="s">
        <v>938</v>
      </c>
      <c r="D6490" s="23" t="s">
        <v>939</v>
      </c>
      <c r="E6490" s="23" t="s">
        <v>940</v>
      </c>
      <c r="F6490" s="23" t="s">
        <v>941</v>
      </c>
      <c r="G6490" s="23" t="s">
        <v>942</v>
      </c>
      <c r="H6490" s="23" t="s">
        <v>943</v>
      </c>
      <c r="I6490" s="23" t="s">
        <v>944</v>
      </c>
      <c r="J6490" s="23" t="s">
        <v>945</v>
      </c>
      <c r="K6490" s="23" t="s">
        <v>946</v>
      </c>
      <c r="L6490" s="4" t="s">
        <v>47</v>
      </c>
    </row>
    <row r="6491" customFormat="false" ht="17.15" hidden="false" customHeight="false" outlineLevel="0" collapsed="false">
      <c r="A6491" s="0" t="s">
        <v>1021</v>
      </c>
      <c r="B6491" s="0" t="s">
        <v>98</v>
      </c>
      <c r="D6491" s="6" t="n">
        <f aca="false">Sens!D6469</f>
        <v>12.9359794422418</v>
      </c>
      <c r="E6491" s="6" t="n">
        <f aca="false">Sens!E6469</f>
        <v>27.8095064661409</v>
      </c>
      <c r="F6491" s="6" t="n">
        <f aca="false">Sens!F6469</f>
        <v>51.5368858251824</v>
      </c>
      <c r="G6491" s="6" t="n">
        <f aca="false">Sens!G6469</f>
        <v>77.7993400632004</v>
      </c>
      <c r="H6491" s="6" t="n">
        <f aca="false">Sens!H6469</f>
        <v>99.019015882121</v>
      </c>
      <c r="I6491" s="6" t="n">
        <f aca="false">Sens!I6469</f>
        <v>124.226153471994</v>
      </c>
      <c r="J6491" s="6" t="n">
        <f aca="false">Sens!J6469</f>
        <v>141.865881170736</v>
      </c>
      <c r="K6491" s="6" t="n">
        <f aca="false">Sens!K6469</f>
        <v>153.09246102209</v>
      </c>
    </row>
    <row r="6492" customFormat="false" ht="17.15" hidden="false" customHeight="false" outlineLevel="0" collapsed="false">
      <c r="A6492" s="0" t="s">
        <v>1022</v>
      </c>
      <c r="B6492" s="0" t="s">
        <v>98</v>
      </c>
      <c r="D6492" s="6" t="n">
        <f aca="false">Q!L6-Sens!D6491</f>
        <v>59.6740205577583</v>
      </c>
      <c r="E6492" s="6" t="n">
        <f aca="false">Q!M6-Sens!E6491</f>
        <v>74.1284935338591</v>
      </c>
      <c r="F6492" s="6" t="n">
        <f aca="false">Q!$I$6+(Sens!F6491+Sens!E6492*(1+Sens!F6493))*(1-Q!$E$6/Q!M6)-Sens!F6491</f>
        <v>92.1480943229763</v>
      </c>
      <c r="G6492" s="6" t="n">
        <f aca="false">Sens!F6492*(1+Sens!G6493)</f>
        <v>109.485689652679</v>
      </c>
      <c r="H6492" s="6" t="n">
        <f aca="false">Sens!G6492*(1+Sens!H6493)</f>
        <v>127.125141681271</v>
      </c>
      <c r="I6492" s="6" t="n">
        <f aca="false">Sens!H6492*(1+Sens!I6493)</f>
        <v>144.169397720949</v>
      </c>
      <c r="J6492" s="6" t="n">
        <f aca="false">Sens!I6492*(1+Sens!J6493)</f>
        <v>159.600902790926</v>
      </c>
      <c r="K6492" s="6" t="n">
        <f aca="false">Sens!J6492*(1+Sens!K6493)</f>
        <v>172.368975014201</v>
      </c>
      <c r="L6492" s="12" t="s">
        <v>1023</v>
      </c>
    </row>
    <row r="6493" customFormat="false" ht="15" hidden="false" customHeight="false" outlineLevel="0" collapsed="false">
      <c r="A6493" s="1" t="s">
        <v>1024</v>
      </c>
      <c r="B6493" s="0" t="s">
        <v>168</v>
      </c>
      <c r="E6493" s="7" t="n">
        <f aca="false">Sens!E6492/Sens!D6492-1</f>
        <v>0.242223883039864</v>
      </c>
      <c r="F6493" s="7" t="n">
        <f aca="false">Sens!$E$6493+(glt_azo-Sens!$E$6493)*MIN(1,(Sens!F6450-base_fy)/n_conv)</f>
        <v>0.215186569199887</v>
      </c>
      <c r="G6493" s="7" t="n">
        <f aca="false">Sens!$E$6493+(glt_azo-Sens!$E$6493)*MIN(1,(Sens!G6450-base_fy)/n_conv)</f>
        <v>0.18814925535991</v>
      </c>
      <c r="H6493" s="7" t="n">
        <f aca="false">Sens!$E$6493+(glt_azo-Sens!$E$6493)*MIN(1,(Sens!H6450-base_fy)/n_conv)</f>
        <v>0.161111941519932</v>
      </c>
      <c r="I6493" s="7" t="n">
        <f aca="false">Sens!$E$6493+(glt_azo-Sens!$E$6493)*MIN(1,(Sens!I6450-base_fy)/n_conv)</f>
        <v>0.134074627679955</v>
      </c>
      <c r="J6493" s="7" t="n">
        <f aca="false">Sens!$E$6493+(glt_azo-Sens!$E$6493)*MIN(1,(Sens!J6450-base_fy)/n_conv)</f>
        <v>0.107037313839977</v>
      </c>
      <c r="K6493" s="7" t="n">
        <f aca="false">Sens!$E$6493+(glt_azo-Sens!$E$6493)*MIN(1,(Sens!K6450-base_fy)/n_conv)</f>
        <v>0.08</v>
      </c>
    </row>
    <row r="6494" customFormat="false" ht="15" hidden="false" customHeight="false" outlineLevel="0" collapsed="false">
      <c r="A6494" s="0" t="s">
        <v>1025</v>
      </c>
      <c r="B6494" s="0" t="s">
        <v>98</v>
      </c>
      <c r="D6494" s="6" t="n">
        <f aca="false">Sens!D6491+Sens!D6492</f>
        <v>72.61</v>
      </c>
      <c r="E6494" s="6" t="n">
        <f aca="false">Sens!E6491+Sens!E6492</f>
        <v>101.938</v>
      </c>
      <c r="F6494" s="6" t="n">
        <f aca="false">Sens!F6491+Sens!F6492</f>
        <v>143.684980148159</v>
      </c>
      <c r="G6494" s="6" t="n">
        <f aca="false">Sens!G6491+Sens!G6492</f>
        <v>187.285029715879</v>
      </c>
      <c r="H6494" s="6" t="n">
        <f aca="false">Sens!H6491+Sens!H6492</f>
        <v>226.144157563392</v>
      </c>
      <c r="I6494" s="6" t="n">
        <f aca="false">Sens!I6491+Sens!I6492</f>
        <v>268.395551192942</v>
      </c>
      <c r="J6494" s="6" t="n">
        <f aca="false">Sens!J6491+Sens!J6492</f>
        <v>301.466783961663</v>
      </c>
      <c r="K6494" s="6" t="n">
        <f aca="false">Sens!K6491+Sens!K6492</f>
        <v>325.46143603629</v>
      </c>
    </row>
    <row r="6495" customFormat="false" ht="17.15" hidden="false" customHeight="false" outlineLevel="0" collapsed="false">
      <c r="A6495" s="0" t="s">
        <v>1026</v>
      </c>
      <c r="B6495" s="1" t="s">
        <v>610</v>
      </c>
      <c r="C6495" s="30" t="n">
        <f aca="false">cop_s24</f>
        <v>1</v>
      </c>
      <c r="D6495" s="30" t="n">
        <f aca="false">cop_s25</f>
        <v>5</v>
      </c>
      <c r="E6495" s="30" t="n">
        <f aca="false">cop_s26</f>
        <v>30</v>
      </c>
      <c r="F6495" s="30" t="n">
        <f aca="false">Sens!E6495+cop_add_C</f>
        <v>40</v>
      </c>
      <c r="G6495" s="30" t="n">
        <f aca="false">Sens!F6495+cop_add_C</f>
        <v>50</v>
      </c>
      <c r="H6495" s="30" t="n">
        <f aca="false">Sens!G6495+cop_add_C</f>
        <v>60</v>
      </c>
      <c r="I6495" s="30" t="n">
        <f aca="false">Sens!H6495+cop_add_C*cop_tail</f>
        <v>65</v>
      </c>
      <c r="J6495" s="30" t="n">
        <f aca="false">Sens!I6495+cop_add_C*cop_tail</f>
        <v>70</v>
      </c>
      <c r="K6495" s="30" t="n">
        <f aca="false">Sens!J6495+cop_add_C*cop_tail</f>
        <v>75</v>
      </c>
      <c r="L6495" s="12" t="s">
        <v>1027</v>
      </c>
    </row>
    <row r="6496" customFormat="false" ht="17.15" hidden="false" customHeight="false" outlineLevel="0" collapsed="false">
      <c r="A6496" s="0" t="s">
        <v>1028</v>
      </c>
      <c r="B6496" s="0" t="s">
        <v>98</v>
      </c>
      <c r="D6496" s="6" t="n">
        <f aca="false">(Sens!C6495+Sens!D6495)/2*cop_px*12/1000</f>
        <v>0.9</v>
      </c>
      <c r="E6496" s="6" t="n">
        <f aca="false">(Sens!D6495+Sens!E6495)/2*cop_px*12/1000</f>
        <v>5.25</v>
      </c>
      <c r="F6496" s="6" t="n">
        <f aca="false">(Sens!E6495+Sens!F6495)/2*cop_px*12/1000</f>
        <v>10.5</v>
      </c>
      <c r="G6496" s="6" t="n">
        <f aca="false">(Sens!F6495+Sens!G6495)/2*cop_px*12/1000</f>
        <v>13.5</v>
      </c>
      <c r="H6496" s="6" t="n">
        <f aca="false">(Sens!G6495+Sens!H6495)/2*cop_px*12/1000</f>
        <v>16.5</v>
      </c>
      <c r="I6496" s="6" t="n">
        <f aca="false">(Sens!H6495+Sens!I6495)/2*cop_px*12/1000</f>
        <v>18.75</v>
      </c>
      <c r="J6496" s="6" t="n">
        <f aca="false">(Sens!I6495+Sens!J6495)/2*cop_px*12/1000</f>
        <v>20.25</v>
      </c>
      <c r="K6496" s="6" t="n">
        <f aca="false">(Sens!J6495+Sens!K6495)/2*cop_px*12/1000</f>
        <v>21.75</v>
      </c>
      <c r="L6496" s="1" t="s">
        <v>1029</v>
      </c>
    </row>
    <row r="6497" customFormat="false" ht="17.15" hidden="false" customHeight="false" outlineLevel="0" collapsed="false">
      <c r="A6497" s="0" t="s">
        <v>1030</v>
      </c>
      <c r="B6497" s="0" t="s">
        <v>98</v>
      </c>
      <c r="D6497" s="6" t="n">
        <f aca="false">Q!L7-Sens!D6496</f>
        <v>83.705</v>
      </c>
      <c r="E6497" s="6" t="n">
        <f aca="false">Q!M7-Sens!E6496</f>
        <v>95.049</v>
      </c>
      <c r="F6497" s="6" t="n">
        <f aca="false">Q!$I$7+(Sens!E6497*(1+Sens!F6498)+Sens!F6496)*(1-Q!$E$7/Q!M7)-Sens!F6496</f>
        <v>106.938354189776</v>
      </c>
      <c r="G6497" s="6" t="n">
        <f aca="false">Sens!F6497*(1+Sens!G6498)</f>
        <v>119.095360443801</v>
      </c>
      <c r="H6497" s="6" t="n">
        <f aca="false">Sens!G6497*(1+Sens!H6498)</f>
        <v>131.333811964563</v>
      </c>
      <c r="I6497" s="6" t="n">
        <f aca="false">Sens!H6497*(1+Sens!I6498)</f>
        <v>143.395665319381</v>
      </c>
      <c r="J6497" s="6" t="n">
        <f aca="false">Sens!I6497*(1+Sens!J6498)</f>
        <v>154.999327755573</v>
      </c>
      <c r="K6497" s="6" t="n">
        <f aca="false">Sens!J6497*(1+Sens!K6498)</f>
        <v>165.849280698463</v>
      </c>
      <c r="L6497" s="12" t="s">
        <v>1031</v>
      </c>
    </row>
    <row r="6498" customFormat="false" ht="15" hidden="false" customHeight="false" outlineLevel="0" collapsed="false">
      <c r="A6498" s="1" t="s">
        <v>1024</v>
      </c>
      <c r="B6498" s="0" t="s">
        <v>168</v>
      </c>
      <c r="E6498" s="7" t="n">
        <f aca="false">Sens!E6497/Sens!D6497-1</f>
        <v>0.135523564900544</v>
      </c>
      <c r="F6498" s="7" t="n">
        <f aca="false">Sens!$E$6498+(glt_m365b-Sens!$E$6498)*MIN(1,(Sens!F6450-base_fy)/n_conv)</f>
        <v>0.124602970750453</v>
      </c>
      <c r="G6498" s="7" t="n">
        <f aca="false">Sens!$E$6498+(glt_m365b-Sens!$E$6498)*MIN(1,(Sens!G6450-base_fy)/n_conv)</f>
        <v>0.113682376600363</v>
      </c>
      <c r="H6498" s="7" t="n">
        <f aca="false">Sens!$E$6498+(glt_m365b-Sens!$E$6498)*MIN(1,(Sens!H6450-base_fy)/n_conv)</f>
        <v>0.102761782450272</v>
      </c>
      <c r="I6498" s="7" t="n">
        <f aca="false">Sens!$E$6498+(glt_m365b-Sens!$E$6498)*MIN(1,(Sens!I6450-base_fy)/n_conv)</f>
        <v>0.0918411883001813</v>
      </c>
      <c r="J6498" s="7" t="n">
        <f aca="false">Sens!$E$6498+(glt_m365b-Sens!$E$6498)*MIN(1,(Sens!J6450-base_fy)/n_conv)</f>
        <v>0.0809205941500906</v>
      </c>
      <c r="K6498" s="7" t="n">
        <f aca="false">Sens!$E$6498+(glt_m365b-Sens!$E$6498)*MIN(1,(Sens!K6450-base_fy)/n_conv)</f>
        <v>0.07</v>
      </c>
    </row>
    <row r="6499" customFormat="false" ht="15" hidden="false" customHeight="false" outlineLevel="0" collapsed="false">
      <c r="A6499" s="0" t="s">
        <v>1032</v>
      </c>
      <c r="B6499" s="0" t="s">
        <v>98</v>
      </c>
      <c r="D6499" s="6" t="n">
        <f aca="false">Sens!D6497+Sens!D6496</f>
        <v>84.605</v>
      </c>
      <c r="E6499" s="6" t="n">
        <f aca="false">Sens!E6497+Sens!E6496</f>
        <v>100.299</v>
      </c>
      <c r="F6499" s="6" t="n">
        <f aca="false">Sens!F6497+Sens!F6496</f>
        <v>117.438354189776</v>
      </c>
      <c r="G6499" s="6" t="n">
        <f aca="false">Sens!G6497+Sens!G6496</f>
        <v>132.595360443801</v>
      </c>
      <c r="H6499" s="6" t="n">
        <f aca="false">Sens!H6497+Sens!H6496</f>
        <v>147.833811964563</v>
      </c>
      <c r="I6499" s="6" t="n">
        <f aca="false">Sens!I6497+Sens!I6496</f>
        <v>162.145665319381</v>
      </c>
      <c r="J6499" s="6" t="n">
        <f aca="false">Sens!J6497+Sens!J6496</f>
        <v>175.249327755573</v>
      </c>
      <c r="K6499" s="6" t="n">
        <f aca="false">Sens!K6497+Sens!K6496</f>
        <v>187.599280698463</v>
      </c>
    </row>
    <row r="6500" customFormat="false" ht="17.15" hidden="false" customHeight="false" outlineLevel="0" collapsed="false">
      <c r="A6500" s="0" t="s">
        <v>1033</v>
      </c>
      <c r="B6500" s="0" t="s">
        <v>98</v>
      </c>
      <c r="D6500" s="6" t="n">
        <f aca="false">Q!L8</f>
        <v>35.391</v>
      </c>
      <c r="E6500" s="6" t="n">
        <f aca="false">Q!M8</f>
        <v>37.285</v>
      </c>
      <c r="F6500" s="6" t="n">
        <f aca="false">Q!$I$8+(Q!M8-Q!$E$8)*(1+Sens!F6501)</f>
        <v>38.3851437782675</v>
      </c>
      <c r="G6500" s="6" t="n">
        <f aca="false">Sens!F6500*(1+Sens!G6501)</f>
        <v>40.0105353288615</v>
      </c>
      <c r="H6500" s="6" t="n">
        <f aca="false">Sens!G6500*(1+Sens!H6501)</f>
        <v>41.4812512033683</v>
      </c>
      <c r="I6500" s="6" t="n">
        <f aca="false">Sens!H6500*(1+Sens!I6501)</f>
        <v>42.7743107216329</v>
      </c>
      <c r="J6500" s="6" t="n">
        <f aca="false">Sens!I6500*(1+Sens!J6501)</f>
        <v>43.8687373064601</v>
      </c>
      <c r="K6500" s="6" t="n">
        <f aca="false">Sens!J6500*(1+Sens!K6501)</f>
        <v>44.7461120525893</v>
      </c>
      <c r="L6500" s="12" t="s">
        <v>1034</v>
      </c>
    </row>
    <row r="6501" customFormat="false" ht="15" hidden="false" customHeight="false" outlineLevel="0" collapsed="false">
      <c r="A6501" s="1" t="s">
        <v>1024</v>
      </c>
      <c r="B6501" s="0" t="s">
        <v>168</v>
      </c>
      <c r="E6501" s="7" t="n">
        <f aca="false">Sens!E6500/Sens!D6500-1</f>
        <v>0.0535164307309768</v>
      </c>
      <c r="F6501" s="7" t="n">
        <f aca="false">Sens!$E$6501+(glt_lic-Sens!$E$6501)*MIN(1,(Sens!F6450-base_fy)/n_conv)</f>
        <v>0.0479303589424807</v>
      </c>
      <c r="G6501" s="7" t="n">
        <f aca="false">Sens!$E$6501+(glt_lic-Sens!$E$6501)*MIN(1,(Sens!G6450-base_fy)/n_conv)</f>
        <v>0.0423442871539845</v>
      </c>
      <c r="H6501" s="7" t="n">
        <f aca="false">Sens!$E$6501+(glt_lic-Sens!$E$6501)*MIN(1,(Sens!H6450-base_fy)/n_conv)</f>
        <v>0.0367582153654884</v>
      </c>
      <c r="I6501" s="7" t="n">
        <f aca="false">Sens!$E$6501+(glt_lic-Sens!$E$6501)*MIN(1,(Sens!I6450-base_fy)/n_conv)</f>
        <v>0.0311721435769923</v>
      </c>
      <c r="J6501" s="7" t="n">
        <f aca="false">Sens!$E$6501+(glt_lic-Sens!$E$6501)*MIN(1,(Sens!J6450-base_fy)/n_conv)</f>
        <v>0.0255860717884961</v>
      </c>
      <c r="K6501" s="7" t="n">
        <f aca="false">Sens!$E$6501+(glt_lic-Sens!$E$6501)*MIN(1,(Sens!K6450-base_fy)/n_conv)</f>
        <v>0.02</v>
      </c>
    </row>
    <row r="6502" customFormat="false" ht="17.15" hidden="false" customHeight="false" outlineLevel="0" collapsed="false">
      <c r="A6502" s="0" t="s">
        <v>1035</v>
      </c>
      <c r="B6502" s="0" t="s">
        <v>98</v>
      </c>
      <c r="D6502" s="6" t="n">
        <f aca="false">Q!L9</f>
        <v>18.417</v>
      </c>
      <c r="E6502" s="6" t="n">
        <f aca="false">Q!M9</f>
        <v>20.345</v>
      </c>
      <c r="F6502" s="6" t="n">
        <f aca="false">Q!$I$9+(Q!M9-Q!$E$9)*(1+Sens!F6503)</f>
        <v>22.3161797133988</v>
      </c>
      <c r="G6502" s="6" t="n">
        <f aca="false">Sens!F6502*(1+Sens!G6503)</f>
        <v>24.3943499673233</v>
      </c>
      <c r="H6502" s="6" t="n">
        <f aca="false">Sens!G6502*(1+Sens!H6503)</f>
        <v>26.5250243109019</v>
      </c>
      <c r="I6502" s="6" t="n">
        <f aca="false">Sens!H6502*(1+Sens!I6503)</f>
        <v>28.6884573538181</v>
      </c>
      <c r="J6502" s="6" t="n">
        <f aca="false">Sens!I6502*(1+Sens!J6503)</f>
        <v>30.8624968052127</v>
      </c>
      <c r="K6502" s="6" t="n">
        <f aca="false">Sens!J6502*(1+Sens!K6503)</f>
        <v>33.0228715815776</v>
      </c>
      <c r="L6502" s="12" t="s">
        <v>1034</v>
      </c>
    </row>
    <row r="6503" customFormat="false" ht="15" hidden="false" customHeight="false" outlineLevel="0" collapsed="false">
      <c r="A6503" s="1" t="s">
        <v>1024</v>
      </c>
      <c r="B6503" s="0" t="s">
        <v>168</v>
      </c>
      <c r="E6503" s="7" t="n">
        <f aca="false">Sens!E6502/Sens!D6502-1</f>
        <v>0.104685888038225</v>
      </c>
      <c r="F6503" s="7" t="n">
        <f aca="false">Sens!$E$6503+(glt_ind-Sens!$E$6503)*MIN(1,(Sens!F6450-base_fy)/n_conv)</f>
        <v>0.0989049066985211</v>
      </c>
      <c r="G6503" s="7" t="n">
        <f aca="false">Sens!$E$6503+(glt_ind-Sens!$E$6503)*MIN(1,(Sens!G6450-base_fy)/n_conv)</f>
        <v>0.0931239253588169</v>
      </c>
      <c r="H6503" s="7" t="n">
        <f aca="false">Sens!$E$6503+(glt_ind-Sens!$E$6503)*MIN(1,(Sens!H6450-base_fy)/n_conv)</f>
        <v>0.0873429440191127</v>
      </c>
      <c r="I6503" s="7" t="n">
        <f aca="false">Sens!$E$6503+(glt_ind-Sens!$E$6503)*MIN(1,(Sens!I6450-base_fy)/n_conv)</f>
        <v>0.0815619626794085</v>
      </c>
      <c r="J6503" s="7" t="n">
        <f aca="false">Sens!$E$6503+(glt_ind-Sens!$E$6503)*MIN(1,(Sens!J6450-base_fy)/n_conv)</f>
        <v>0.0757809813397042</v>
      </c>
      <c r="K6503" s="7" t="n">
        <f aca="false">Sens!$E$6503+(glt_ind-Sens!$E$6503)*MIN(1,(Sens!K6450-base_fy)/n_conv)</f>
        <v>0.07</v>
      </c>
    </row>
    <row r="6504" customFormat="false" ht="17.15" hidden="false" customHeight="false" outlineLevel="0" collapsed="false">
      <c r="A6504" s="0" t="s">
        <v>1036</v>
      </c>
      <c r="B6504" s="0" t="s">
        <v>98</v>
      </c>
      <c r="D6504" s="6" t="n">
        <f aca="false">Q!L10</f>
        <v>7.76</v>
      </c>
      <c r="E6504" s="6" t="n">
        <f aca="false">Q!M10</f>
        <v>8.26</v>
      </c>
      <c r="F6504" s="6" t="n">
        <f aca="false">Q!$I$10+(Q!M10-Q!$E$10)*(1+Sens!F6505)</f>
        <v>8.75372082474227</v>
      </c>
      <c r="G6504" s="6" t="n">
        <f aca="false">Sens!F6504*(1+Sens!G6505)</f>
        <v>9.33399324642364</v>
      </c>
      <c r="H6504" s="6" t="n">
        <f aca="false">Sens!G6504*(1+Sens!H6505)</f>
        <v>9.96139155535851</v>
      </c>
      <c r="I6504" s="6" t="n">
        <f aca="false">Sens!H6504*(1+Sens!I6505)</f>
        <v>10.6402039077391</v>
      </c>
      <c r="J6504" s="6" t="n">
        <f aca="false">Sens!I6504*(1+Sens!J6505)</f>
        <v>11.3751458271397</v>
      </c>
      <c r="K6504" s="6" t="n">
        <f aca="false">Sens!J6504*(1+Sens!K6505)</f>
        <v>12.1714060350394</v>
      </c>
      <c r="L6504" s="12" t="s">
        <v>1034</v>
      </c>
    </row>
    <row r="6505" customFormat="false" ht="15" hidden="false" customHeight="false" outlineLevel="0" collapsed="false">
      <c r="A6505" s="1" t="s">
        <v>1024</v>
      </c>
      <c r="B6505" s="0" t="s">
        <v>168</v>
      </c>
      <c r="E6505" s="7" t="n">
        <f aca="false">Sens!E6504/Sens!D6504-1</f>
        <v>0.0644329896907216</v>
      </c>
      <c r="F6505" s="7" t="n">
        <f aca="false">Sens!$E$6505+(glt_fro-Sens!$E$6505)*MIN(1,(Sens!F6450-base_fy)/n_conv)</f>
        <v>0.065360824742268</v>
      </c>
      <c r="G6505" s="7" t="n">
        <f aca="false">Sens!$E$6505+(glt_fro-Sens!$E$6505)*MIN(1,(Sens!G6450-base_fy)/n_conv)</f>
        <v>0.0662886597938144</v>
      </c>
      <c r="H6505" s="7" t="n">
        <f aca="false">Sens!$E$6505+(glt_fro-Sens!$E$6505)*MIN(1,(Sens!H6450-base_fy)/n_conv)</f>
        <v>0.0672164948453608</v>
      </c>
      <c r="I6505" s="7" t="n">
        <f aca="false">Sens!$E$6505+(glt_fro-Sens!$E$6505)*MIN(1,(Sens!I6450-base_fy)/n_conv)</f>
        <v>0.0681443298969072</v>
      </c>
      <c r="J6505" s="7" t="n">
        <f aca="false">Sens!$E$6505+(glt_fro-Sens!$E$6505)*MIN(1,(Sens!J6450-base_fy)/n_conv)</f>
        <v>0.0690721649484536</v>
      </c>
      <c r="K6505" s="7" t="n">
        <f aca="false">Sens!$E$6505+(glt_fro-Sens!$E$6505)*MIN(1,(Sens!K6450-base_fy)/n_conv)</f>
        <v>0.07</v>
      </c>
    </row>
    <row r="6506" customFormat="false" ht="15" hidden="false" customHeight="false" outlineLevel="0" collapsed="false">
      <c r="A6506" s="0" t="s">
        <v>852</v>
      </c>
      <c r="B6506" s="0" t="s">
        <v>98</v>
      </c>
      <c r="D6506" s="6" t="n">
        <f aca="false">Sens!D6494+Sens!D6499+Sens!D6500+Sens!D6502+Sens!D6504</f>
        <v>218.783</v>
      </c>
      <c r="E6506" s="6" t="n">
        <f aca="false">Sens!E6494+Sens!E6499+Sens!E6500+Sens!E6502+Sens!E6504</f>
        <v>268.127</v>
      </c>
      <c r="F6506" s="6" t="n">
        <f aca="false">Sens!F6494+Sens!F6499+Sens!F6500+Sens!F6502+Sens!F6504</f>
        <v>330.578378654343</v>
      </c>
      <c r="G6506" s="6" t="n">
        <f aca="false">Sens!G6494+Sens!G6499+Sens!G6500+Sens!G6502+Sens!G6504</f>
        <v>393.619268702288</v>
      </c>
      <c r="H6506" s="6" t="n">
        <f aca="false">Sens!H6494+Sens!H6499+Sens!H6500+Sens!H6502+Sens!H6504</f>
        <v>451.945636597584</v>
      </c>
      <c r="I6506" s="6" t="n">
        <f aca="false">Sens!I6494+Sens!I6499+Sens!I6500+Sens!I6502+Sens!I6504</f>
        <v>512.644188495514</v>
      </c>
      <c r="J6506" s="6" t="n">
        <f aca="false">Sens!J6494+Sens!J6499+Sens!J6500+Sens!J6502+Sens!J6504</f>
        <v>562.822491656048</v>
      </c>
      <c r="K6506" s="6" t="n">
        <f aca="false">Sens!K6494+Sens!K6499+Sens!K6500+Sens!K6502+Sens!K6504</f>
        <v>603.00110640396</v>
      </c>
    </row>
    <row r="6507" customFormat="false" ht="17.15" hidden="false" customHeight="false" outlineLevel="0" collapsed="false">
      <c r="A6507" s="0" t="s">
        <v>1037</v>
      </c>
      <c r="B6507" s="0" t="s">
        <v>98</v>
      </c>
      <c r="D6507" s="6" t="n">
        <f aca="false">Q!L13</f>
        <v>22.171</v>
      </c>
      <c r="E6507" s="6" t="n">
        <f aca="false">Q!M13</f>
        <v>24.835</v>
      </c>
      <c r="F6507" s="6" t="n">
        <f aca="false">Q!$I$13+(Q!M13-Q!$E$13)*(1+Sens!F6508)</f>
        <v>27.5591895660247</v>
      </c>
      <c r="G6507" s="6" t="n">
        <f aca="false">Sens!F6507*(1+Sens!G6508)</f>
        <v>30.4098563144583</v>
      </c>
      <c r="H6507" s="6" t="n">
        <f aca="false">Sens!G6507*(1+Sens!H6508)</f>
        <v>33.3011792571777</v>
      </c>
      <c r="I6507" s="6" t="n">
        <f aca="false">Sens!H6507*(1+Sens!I6508)</f>
        <v>36.189023797112</v>
      </c>
      <c r="J6507" s="6" t="n">
        <f aca="false">Sens!I6507*(1+Sens!J6508)</f>
        <v>39.0247773769199</v>
      </c>
      <c r="K6507" s="6" t="n">
        <f aca="false">Sens!J6507*(1+Sens!K6508)</f>
        <v>41.7565117933043</v>
      </c>
      <c r="L6507" s="12" t="s">
        <v>1034</v>
      </c>
    </row>
    <row r="6508" customFormat="false" ht="15" hidden="false" customHeight="false" outlineLevel="0" collapsed="false">
      <c r="A6508" s="1" t="s">
        <v>1024</v>
      </c>
      <c r="B6508" s="0" t="s">
        <v>168</v>
      </c>
      <c r="E6508" s="7" t="n">
        <f aca="false">Sens!E6507/Sens!D6507-1</f>
        <v>0.120156961796942</v>
      </c>
      <c r="F6508" s="7" t="n">
        <f aca="false">Sens!$E$6508+(glt_srch-Sens!$E$6508)*MIN(1,(Sens!F6450-base_fy)/n_conv)</f>
        <v>0.111797468164118</v>
      </c>
      <c r="G6508" s="7" t="n">
        <f aca="false">Sens!$E$6508+(glt_srch-Sens!$E$6508)*MIN(1,(Sens!G6450-base_fy)/n_conv)</f>
        <v>0.103437974531295</v>
      </c>
      <c r="H6508" s="7" t="n">
        <f aca="false">Sens!$E$6508+(glt_srch-Sens!$E$6508)*MIN(1,(Sens!H6450-base_fy)/n_conv)</f>
        <v>0.095078480898471</v>
      </c>
      <c r="I6508" s="7" t="n">
        <f aca="false">Sens!$E$6508+(glt_srch-Sens!$E$6508)*MIN(1,(Sens!I6450-base_fy)/n_conv)</f>
        <v>0.0867189872656474</v>
      </c>
      <c r="J6508" s="7" t="n">
        <f aca="false">Sens!$E$6508+(glt_srch-Sens!$E$6508)*MIN(1,(Sens!J6450-base_fy)/n_conv)</f>
        <v>0.0783594936328237</v>
      </c>
      <c r="K6508" s="7" t="n">
        <f aca="false">Sens!$E$6508+(glt_srch-Sens!$E$6508)*MIN(1,(Sens!K6450-base_fy)/n_conv)</f>
        <v>0.07</v>
      </c>
    </row>
    <row r="6509" customFormat="false" ht="17.15" hidden="false" customHeight="false" outlineLevel="0" collapsed="false">
      <c r="A6509" s="0" t="s">
        <v>1038</v>
      </c>
      <c r="B6509" s="0" t="s">
        <v>98</v>
      </c>
      <c r="D6509" s="6" t="n">
        <f aca="false">Q!L14</f>
        <v>23.455</v>
      </c>
      <c r="E6509" s="6" t="n">
        <f aca="false">Q!M14</f>
        <v>21.79</v>
      </c>
      <c r="F6509" s="6" t="n">
        <f aca="false">Q!$I$14+(Q!M14-Q!$E$14)*(1+Sens!F6510)</f>
        <v>20.7520981041711</v>
      </c>
      <c r="G6509" s="6" t="n">
        <f aca="false">Sens!F6509*(1+Sens!G6510)</f>
        <v>19.9083593495882</v>
      </c>
      <c r="H6509" s="6" t="n">
        <f aca="false">Sens!G6509*(1+Sens!H6510)</f>
        <v>19.4008256265831</v>
      </c>
      <c r="I6509" s="6" t="n">
        <f aca="false">Sens!H6509*(1+Sens!I6510)</f>
        <v>19.200434522122</v>
      </c>
      <c r="J6509" s="6" t="n">
        <f aca="false">Sens!I6509*(1+Sens!J6510)</f>
        <v>19.2932782348507</v>
      </c>
      <c r="K6509" s="6" t="n">
        <f aca="false">Sens!J6509*(1+Sens!K6510)</f>
        <v>19.6791437995477</v>
      </c>
      <c r="L6509" s="12" t="s">
        <v>1034</v>
      </c>
    </row>
    <row r="6510" customFormat="false" ht="15" hidden="false" customHeight="false" outlineLevel="0" collapsed="false">
      <c r="A6510" s="1" t="s">
        <v>1024</v>
      </c>
      <c r="B6510" s="0" t="s">
        <v>168</v>
      </c>
      <c r="E6510" s="7" t="n">
        <f aca="false">Sens!E6509/Sens!D6509-1</f>
        <v>-0.0709869963760392</v>
      </c>
      <c r="F6510" s="7" t="n">
        <f aca="false">Sens!$E$6510+(glt_xbox-Sens!$E$6510)*MIN(1,(Sens!F6450-base_fy)/n_conv)</f>
        <v>-0.0558224969800327</v>
      </c>
      <c r="G6510" s="7" t="n">
        <f aca="false">Sens!$E$6510+(glt_xbox-Sens!$E$6510)*MIN(1,(Sens!G6450-base_fy)/n_conv)</f>
        <v>-0.0406579975840262</v>
      </c>
      <c r="H6510" s="7" t="n">
        <f aca="false">Sens!$E$6510+(glt_xbox-Sens!$E$6510)*MIN(1,(Sens!H6450-base_fy)/n_conv)</f>
        <v>-0.0254934981880196</v>
      </c>
      <c r="I6510" s="7" t="n">
        <f aca="false">Sens!$E$6510+(glt_xbox-Sens!$E$6510)*MIN(1,(Sens!I6450-base_fy)/n_conv)</f>
        <v>-0.0103289987920131</v>
      </c>
      <c r="J6510" s="7" t="n">
        <f aca="false">Sens!$E$6510+(glt_xbox-Sens!$E$6510)*MIN(1,(Sens!J6450-base_fy)/n_conv)</f>
        <v>0.00483550060399347</v>
      </c>
      <c r="K6510" s="7" t="n">
        <f aca="false">Sens!$E$6510+(glt_xbox-Sens!$E$6510)*MIN(1,(Sens!K6450-base_fy)/n_conv)</f>
        <v>0.02</v>
      </c>
    </row>
    <row r="6511" customFormat="false" ht="17.15" hidden="false" customHeight="false" outlineLevel="0" collapsed="false">
      <c r="A6511" s="0" t="s">
        <v>1039</v>
      </c>
      <c r="B6511" s="0" t="s">
        <v>98</v>
      </c>
      <c r="D6511" s="6" t="n">
        <f aca="false">Q!L15</f>
        <v>17.315</v>
      </c>
      <c r="E6511" s="6" t="n">
        <f aca="false">Q!M15</f>
        <v>17.087</v>
      </c>
      <c r="F6511" s="6" t="n">
        <f aca="false">Q!$I$15+(Q!M15-Q!$E$15)*(1+Sens!F6512)</f>
        <v>15.9912273250553</v>
      </c>
      <c r="G6511" s="6" t="n">
        <f aca="false">Sens!F6511*(1+Sens!G6512)</f>
        <v>15.9574562664827</v>
      </c>
      <c r="H6511" s="6" t="n">
        <f aca="false">Sens!G6511*(1+Sens!H6512)</f>
        <v>16.0119687434196</v>
      </c>
      <c r="I6511" s="6" t="n">
        <f aca="false">Sens!H6511*(1+Sens!I6512)</f>
        <v>16.1551810001948</v>
      </c>
      <c r="J6511" s="6" t="n">
        <f aca="false">Sens!I6511*(1+Sens!J6512)</f>
        <v>16.3889793892005</v>
      </c>
      <c r="K6511" s="6" t="n">
        <f aca="false">Sens!J6511*(1+Sens!K6512)</f>
        <v>16.7167589769845</v>
      </c>
      <c r="L6511" s="12" t="s">
        <v>1034</v>
      </c>
    </row>
    <row r="6512" customFormat="false" ht="15" hidden="false" customHeight="false" outlineLevel="0" collapsed="false">
      <c r="A6512" s="1" t="s">
        <v>1024</v>
      </c>
      <c r="B6512" s="0" t="s">
        <v>168</v>
      </c>
      <c r="E6512" s="7" t="n">
        <f aca="false">Sens!E6511/Sens!D6511-1</f>
        <v>-0.0131677736066995</v>
      </c>
      <c r="F6512" s="7" t="n">
        <f aca="false">Sens!$E$6512+(glt_win-Sens!$E$6512)*MIN(1,(Sens!F6450-base_fy)/n_conv)</f>
        <v>-0.00763981133891627</v>
      </c>
      <c r="G6512" s="7" t="n">
        <f aca="false">Sens!$E$6512+(glt_win-Sens!$E$6512)*MIN(1,(Sens!G6450-base_fy)/n_conv)</f>
        <v>-0.00211184907113301</v>
      </c>
      <c r="H6512" s="7" t="n">
        <f aca="false">Sens!$E$6512+(glt_win-Sens!$E$6512)*MIN(1,(Sens!H6450-base_fy)/n_conv)</f>
        <v>0.00341611319665024</v>
      </c>
      <c r="I6512" s="7" t="n">
        <f aca="false">Sens!$E$6512+(glt_win-Sens!$E$6512)*MIN(1,(Sens!I6450-base_fy)/n_conv)</f>
        <v>0.00894407546443349</v>
      </c>
      <c r="J6512" s="7" t="n">
        <f aca="false">Sens!$E$6512+(glt_win-Sens!$E$6512)*MIN(1,(Sens!J6450-base_fy)/n_conv)</f>
        <v>0.0144720377322168</v>
      </c>
      <c r="K6512" s="7" t="n">
        <f aca="false">Sens!$E$6512+(glt_win-Sens!$E$6512)*MIN(1,(Sens!K6450-base_fy)/n_conv)</f>
        <v>0.02</v>
      </c>
    </row>
    <row r="6513" customFormat="false" ht="15" hidden="false" customHeight="false" outlineLevel="0" collapsed="false">
      <c r="A6513" s="0" t="s">
        <v>866</v>
      </c>
      <c r="B6513" s="0" t="s">
        <v>98</v>
      </c>
      <c r="D6513" s="6" t="n">
        <f aca="false">Sens!D6507+Sens!D6509+Sens!D6511</f>
        <v>62.941</v>
      </c>
      <c r="E6513" s="6" t="n">
        <f aca="false">Sens!E6507+Sens!E6509+Sens!E6511</f>
        <v>63.712</v>
      </c>
      <c r="F6513" s="6" t="n">
        <f aca="false">Sens!F6507+Sens!F6509+Sens!F6511</f>
        <v>64.3025149952511</v>
      </c>
      <c r="G6513" s="6" t="n">
        <f aca="false">Sens!G6507+Sens!G6509+Sens!G6511</f>
        <v>66.2756719305292</v>
      </c>
      <c r="H6513" s="6" t="n">
        <f aca="false">Sens!H6507+Sens!H6509+Sens!H6511</f>
        <v>68.7139736271804</v>
      </c>
      <c r="I6513" s="6" t="n">
        <f aca="false">Sens!I6507+Sens!I6509+Sens!I6511</f>
        <v>71.5446393194289</v>
      </c>
      <c r="J6513" s="6" t="n">
        <f aca="false">Sens!J6507+Sens!J6509+Sens!J6511</f>
        <v>74.707035000971</v>
      </c>
      <c r="K6513" s="6" t="n">
        <f aca="false">Sens!K6507+Sens!K6509+Sens!K6511</f>
        <v>78.1524145698365</v>
      </c>
    </row>
    <row r="6514" customFormat="false" ht="15" hidden="false" customHeight="false" outlineLevel="0" collapsed="false">
      <c r="A6514" s="1" t="s">
        <v>1040</v>
      </c>
      <c r="B6514" s="0" t="s">
        <v>98</v>
      </c>
      <c r="D6514" s="6" t="n">
        <f aca="false">Sens!D6506+Sens!D6513</f>
        <v>281.724</v>
      </c>
      <c r="E6514" s="6" t="n">
        <f aca="false">Sens!E6506+Sens!E6513</f>
        <v>331.839</v>
      </c>
      <c r="F6514" s="6" t="n">
        <f aca="false">Sens!F6506+Sens!F6513</f>
        <v>394.880893649594</v>
      </c>
      <c r="G6514" s="6" t="n">
        <f aca="false">Sens!G6506+Sens!G6513</f>
        <v>459.894940632818</v>
      </c>
      <c r="H6514" s="6" t="n">
        <f aca="false">Sens!H6506+Sens!H6513</f>
        <v>520.659610224764</v>
      </c>
      <c r="I6514" s="6" t="n">
        <f aca="false">Sens!I6506+Sens!I6513</f>
        <v>584.188827814942</v>
      </c>
      <c r="J6514" s="6" t="n">
        <f aca="false">Sens!J6506+Sens!J6513</f>
        <v>637.529526657019</v>
      </c>
      <c r="K6514" s="6" t="n">
        <f aca="false">Sens!K6506+Sens!K6513</f>
        <v>681.153520973796</v>
      </c>
    </row>
    <row r="6515" customFormat="false" ht="15" hidden="false" customHeight="false" outlineLevel="0" collapsed="false">
      <c r="A6515" s="26" t="s">
        <v>1041</v>
      </c>
      <c r="B6515" s="31" t="s">
        <v>98</v>
      </c>
      <c r="C6515" s="31"/>
      <c r="D6515" s="27" t="n">
        <f aca="false">(Sens!D6494+Sens!D6499+Sens!D6500+Sens!D6502+Sens!D6504-Sens!D6506)+(Sens!D6507+Sens!D6509+Sens!D6511-Sens!D6513)+(Sens!D6506-Q!L5)+(Sens!D6513-Q!L12)+(Sens!D6494-Q!L6)+(Sens!D6499-Q!L7)</f>
        <v>0</v>
      </c>
      <c r="E6515" s="27" t="n">
        <f aca="false">(Sens!E6494+Sens!E6499+Sens!E6500+Sens!E6502+Sens!E6504-Sens!E6506)+(Sens!E6507+Sens!E6509+Sens!E6511-Sens!E6513)+(Sens!E6506-Q!M5)+(Sens!E6513-Q!M12)+(Sens!E6494-Q!M6)+(Sens!E6499-Q!M7)</f>
        <v>0</v>
      </c>
      <c r="F6515" s="27" t="n">
        <f aca="false">(Sens!F6494+Sens!F6499+Sens!F6500+Sens!F6502+Sens!F6504-Sens!F6506)+(Sens!F6507+Sens!F6509+Sens!F6511-Sens!F6513)</f>
        <v>0</v>
      </c>
      <c r="G6515" s="27" t="n">
        <f aca="false">(Sens!G6494+Sens!G6499+Sens!G6500+Sens!G6502+Sens!G6504-Sens!G6506)+(Sens!G6507+Sens!G6509+Sens!G6511-Sens!G6513)</f>
        <v>0</v>
      </c>
      <c r="H6515" s="27" t="n">
        <f aca="false">(Sens!H6494+Sens!H6499+Sens!H6500+Sens!H6502+Sens!H6504-Sens!H6506)+(Sens!H6507+Sens!H6509+Sens!H6511-Sens!H6513)</f>
        <v>0</v>
      </c>
      <c r="I6515" s="27" t="n">
        <f aca="false">(Sens!I6494+Sens!I6499+Sens!I6500+Sens!I6502+Sens!I6504-Sens!I6506)+(Sens!I6507+Sens!I6509+Sens!I6511-Sens!I6513)</f>
        <v>0</v>
      </c>
      <c r="J6515" s="27" t="n">
        <f aca="false">(Sens!J6494+Sens!J6499+Sens!J6500+Sens!J6502+Sens!J6504-Sens!J6506)+(Sens!J6507+Sens!J6509+Sens!J6511-Sens!J6513)</f>
        <v>0</v>
      </c>
      <c r="K6515" s="27" t="n">
        <f aca="false">(Sens!K6494+Sens!K6499+Sens!K6500+Sens!K6502+Sens!K6504-Sens!K6506)+(Sens!K6507+Sens!K6509+Sens!K6511-Sens!K6513)</f>
        <v>0</v>
      </c>
    </row>
    <row r="6516" customFormat="false" ht="17.15" hidden="false" customHeight="false" outlineLevel="0" collapsed="false">
      <c r="A6516" s="3" t="s">
        <v>1642</v>
      </c>
    </row>
    <row r="6517" customFormat="false" ht="15" hidden="false" customHeight="false" outlineLevel="0" collapsed="false">
      <c r="A6517" s="4" t="s">
        <v>43</v>
      </c>
      <c r="B6517" s="4" t="s">
        <v>65</v>
      </c>
      <c r="C6517" s="23" t="s">
        <v>938</v>
      </c>
      <c r="D6517" s="23" t="s">
        <v>939</v>
      </c>
      <c r="E6517" s="23" t="s">
        <v>940</v>
      </c>
      <c r="F6517" s="23" t="s">
        <v>941</v>
      </c>
      <c r="G6517" s="23" t="s">
        <v>942</v>
      </c>
      <c r="H6517" s="23" t="s">
        <v>943</v>
      </c>
      <c r="I6517" s="23" t="s">
        <v>944</v>
      </c>
      <c r="J6517" s="23" t="s">
        <v>945</v>
      </c>
      <c r="K6517" s="23" t="s">
        <v>946</v>
      </c>
      <c r="L6517" s="4" t="s">
        <v>47</v>
      </c>
    </row>
    <row r="6518" customFormat="false" ht="15" hidden="false" customHeight="false" outlineLevel="0" collapsed="false">
      <c r="A6518" s="0" t="s">
        <v>1025</v>
      </c>
      <c r="B6518" s="0" t="s">
        <v>98</v>
      </c>
      <c r="D6518" s="6" t="n">
        <f aca="false">Sens!D6494</f>
        <v>72.61</v>
      </c>
      <c r="E6518" s="6" t="n">
        <f aca="false">Sens!E6494</f>
        <v>101.938</v>
      </c>
      <c r="F6518" s="6" t="n">
        <f aca="false">Sens!F6494</f>
        <v>143.684980148159</v>
      </c>
      <c r="G6518" s="6" t="n">
        <f aca="false">Sens!G6494</f>
        <v>187.285029715879</v>
      </c>
      <c r="H6518" s="6" t="n">
        <f aca="false">Sens!H6494</f>
        <v>226.144157563392</v>
      </c>
      <c r="I6518" s="6" t="n">
        <f aca="false">Sens!I6494</f>
        <v>268.395551192942</v>
      </c>
      <c r="J6518" s="6" t="n">
        <f aca="false">Sens!J6494</f>
        <v>301.466783961663</v>
      </c>
      <c r="K6518" s="6" t="n">
        <f aca="false">Sens!K6494</f>
        <v>325.46143603629</v>
      </c>
    </row>
    <row r="6519" customFormat="false" ht="17.15" hidden="false" customHeight="false" outlineLevel="0" collapsed="false">
      <c r="A6519" s="0" t="s">
        <v>1021</v>
      </c>
      <c r="B6519" s="0" t="s">
        <v>98</v>
      </c>
      <c r="D6519" s="6" t="n">
        <f aca="false">Sens!D6491</f>
        <v>12.9359794422418</v>
      </c>
      <c r="E6519" s="6" t="n">
        <f aca="false">Sens!E6491</f>
        <v>27.8095064661409</v>
      </c>
      <c r="F6519" s="6" t="n">
        <f aca="false">Sens!F6491</f>
        <v>51.5368858251824</v>
      </c>
      <c r="G6519" s="6" t="n">
        <f aca="false">Sens!G6491</f>
        <v>77.7993400632004</v>
      </c>
      <c r="H6519" s="6" t="n">
        <f aca="false">Sens!H6491</f>
        <v>99.019015882121</v>
      </c>
      <c r="I6519" s="6" t="n">
        <f aca="false">Sens!I6491</f>
        <v>124.226153471994</v>
      </c>
      <c r="J6519" s="6" t="n">
        <f aca="false">Sens!J6491</f>
        <v>141.865881170736</v>
      </c>
      <c r="K6519" s="6" t="n">
        <f aca="false">Sens!K6491</f>
        <v>153.09246102209</v>
      </c>
    </row>
    <row r="6520" customFormat="false" ht="17.15" hidden="false" customHeight="false" outlineLevel="0" collapsed="false">
      <c r="A6520" s="0" t="s">
        <v>1052</v>
      </c>
      <c r="B6520" s="0" t="s">
        <v>98</v>
      </c>
      <c r="D6520" s="6" t="n">
        <f aca="false">Sens!D6492</f>
        <v>59.6740205577583</v>
      </c>
      <c r="E6520" s="6" t="n">
        <f aca="false">Sens!E6492</f>
        <v>74.1284935338591</v>
      </c>
      <c r="F6520" s="6" t="n">
        <f aca="false">Sens!F6492</f>
        <v>92.1480943229763</v>
      </c>
      <c r="G6520" s="6" t="n">
        <f aca="false">Sens!G6492</f>
        <v>109.485689652679</v>
      </c>
      <c r="H6520" s="6" t="n">
        <f aca="false">Sens!H6492</f>
        <v>127.125141681271</v>
      </c>
      <c r="I6520" s="6" t="n">
        <f aca="false">Sens!I6492</f>
        <v>144.169397720949</v>
      </c>
      <c r="J6520" s="6" t="n">
        <f aca="false">Sens!J6492</f>
        <v>159.600902790926</v>
      </c>
      <c r="K6520" s="6" t="n">
        <f aca="false">Sens!K6492</f>
        <v>172.368975014201</v>
      </c>
    </row>
    <row r="6521" customFormat="false" ht="15" hidden="false" customHeight="false" outlineLevel="0" collapsed="false">
      <c r="A6521" s="0" t="s">
        <v>1032</v>
      </c>
      <c r="B6521" s="0" t="s">
        <v>98</v>
      </c>
      <c r="D6521" s="6" t="n">
        <f aca="false">Sens!D6499</f>
        <v>84.605</v>
      </c>
      <c r="E6521" s="6" t="n">
        <f aca="false">Sens!E6499</f>
        <v>100.299</v>
      </c>
      <c r="F6521" s="6" t="n">
        <f aca="false">Sens!F6499</f>
        <v>117.438354189776</v>
      </c>
      <c r="G6521" s="6" t="n">
        <f aca="false">Sens!G6499</f>
        <v>132.595360443801</v>
      </c>
      <c r="H6521" s="6" t="n">
        <f aca="false">Sens!H6499</f>
        <v>147.833811964563</v>
      </c>
      <c r="I6521" s="6" t="n">
        <f aca="false">Sens!I6499</f>
        <v>162.145665319381</v>
      </c>
      <c r="J6521" s="6" t="n">
        <f aca="false">Sens!J6499</f>
        <v>175.249327755573</v>
      </c>
      <c r="K6521" s="6" t="n">
        <f aca="false">Sens!K6499</f>
        <v>187.599280698463</v>
      </c>
    </row>
    <row r="6522" customFormat="false" ht="17.15" hidden="false" customHeight="false" outlineLevel="0" collapsed="false">
      <c r="A6522" s="0" t="s">
        <v>1053</v>
      </c>
      <c r="B6522" s="0" t="s">
        <v>98</v>
      </c>
      <c r="D6522" s="6" t="n">
        <f aca="false">Sens!D6497</f>
        <v>83.705</v>
      </c>
      <c r="E6522" s="6" t="n">
        <f aca="false">Sens!E6497</f>
        <v>95.049</v>
      </c>
      <c r="F6522" s="6" t="n">
        <f aca="false">Sens!F6497</f>
        <v>106.938354189776</v>
      </c>
      <c r="G6522" s="6" t="n">
        <f aca="false">Sens!G6497</f>
        <v>119.095360443801</v>
      </c>
      <c r="H6522" s="6" t="n">
        <f aca="false">Sens!H6497</f>
        <v>131.333811964563</v>
      </c>
      <c r="I6522" s="6" t="n">
        <f aca="false">Sens!I6497</f>
        <v>143.395665319381</v>
      </c>
      <c r="J6522" s="6" t="n">
        <f aca="false">Sens!J6497</f>
        <v>154.999327755573</v>
      </c>
      <c r="K6522" s="6" t="n">
        <f aca="false">Sens!K6497</f>
        <v>165.849280698463</v>
      </c>
    </row>
    <row r="6523" customFormat="false" ht="17.15" hidden="false" customHeight="false" outlineLevel="0" collapsed="false">
      <c r="A6523" s="0" t="s">
        <v>1054</v>
      </c>
      <c r="B6523" s="0" t="s">
        <v>98</v>
      </c>
      <c r="D6523" s="6" t="n">
        <f aca="false">Sens!D6496</f>
        <v>0.9</v>
      </c>
      <c r="E6523" s="6" t="n">
        <f aca="false">Sens!E6496</f>
        <v>5.25</v>
      </c>
      <c r="F6523" s="6" t="n">
        <f aca="false">Sens!F6496</f>
        <v>10.5</v>
      </c>
      <c r="G6523" s="6" t="n">
        <f aca="false">Sens!G6496</f>
        <v>13.5</v>
      </c>
      <c r="H6523" s="6" t="n">
        <f aca="false">Sens!H6496</f>
        <v>16.5</v>
      </c>
      <c r="I6523" s="6" t="n">
        <f aca="false">Sens!I6496</f>
        <v>18.75</v>
      </c>
      <c r="J6523" s="6" t="n">
        <f aca="false">Sens!J6496</f>
        <v>20.25</v>
      </c>
      <c r="K6523" s="6" t="n">
        <f aca="false">Sens!K6496</f>
        <v>21.75</v>
      </c>
    </row>
    <row r="6524" customFormat="false" ht="15" hidden="false" customHeight="false" outlineLevel="0" collapsed="false">
      <c r="A6524" s="0" t="s">
        <v>1033</v>
      </c>
      <c r="B6524" s="0" t="s">
        <v>98</v>
      </c>
      <c r="D6524" s="6" t="n">
        <f aca="false">Sens!D6500</f>
        <v>35.391</v>
      </c>
      <c r="E6524" s="6" t="n">
        <f aca="false">Sens!E6500</f>
        <v>37.285</v>
      </c>
      <c r="F6524" s="6" t="n">
        <f aca="false">Sens!F6500</f>
        <v>38.3851437782675</v>
      </c>
      <c r="G6524" s="6" t="n">
        <f aca="false">Sens!G6500</f>
        <v>40.0105353288615</v>
      </c>
      <c r="H6524" s="6" t="n">
        <f aca="false">Sens!H6500</f>
        <v>41.4812512033683</v>
      </c>
      <c r="I6524" s="6" t="n">
        <f aca="false">Sens!I6500</f>
        <v>42.7743107216329</v>
      </c>
      <c r="J6524" s="6" t="n">
        <f aca="false">Sens!J6500</f>
        <v>43.8687373064601</v>
      </c>
      <c r="K6524" s="6" t="n">
        <f aca="false">Sens!K6500</f>
        <v>44.7461120525893</v>
      </c>
    </row>
    <row r="6525" customFormat="false" ht="15" hidden="false" customHeight="false" outlineLevel="0" collapsed="false">
      <c r="A6525" s="0" t="s">
        <v>1035</v>
      </c>
      <c r="B6525" s="0" t="s">
        <v>98</v>
      </c>
      <c r="D6525" s="6" t="n">
        <f aca="false">Sens!D6502</f>
        <v>18.417</v>
      </c>
      <c r="E6525" s="6" t="n">
        <f aca="false">Sens!E6502</f>
        <v>20.345</v>
      </c>
      <c r="F6525" s="6" t="n">
        <f aca="false">Sens!F6502</f>
        <v>22.3161797133988</v>
      </c>
      <c r="G6525" s="6" t="n">
        <f aca="false">Sens!G6502</f>
        <v>24.3943499673233</v>
      </c>
      <c r="H6525" s="6" t="n">
        <f aca="false">Sens!H6502</f>
        <v>26.5250243109019</v>
      </c>
      <c r="I6525" s="6" t="n">
        <f aca="false">Sens!I6502</f>
        <v>28.6884573538181</v>
      </c>
      <c r="J6525" s="6" t="n">
        <f aca="false">Sens!J6502</f>
        <v>30.8624968052127</v>
      </c>
      <c r="K6525" s="6" t="n">
        <f aca="false">Sens!K6502</f>
        <v>33.0228715815776</v>
      </c>
    </row>
    <row r="6526" customFormat="false" ht="15" hidden="false" customHeight="false" outlineLevel="0" collapsed="false">
      <c r="A6526" s="0" t="s">
        <v>1036</v>
      </c>
      <c r="B6526" s="0" t="s">
        <v>98</v>
      </c>
      <c r="D6526" s="6" t="n">
        <f aca="false">Sens!D6504</f>
        <v>7.76</v>
      </c>
      <c r="E6526" s="6" t="n">
        <f aca="false">Sens!E6504</f>
        <v>8.26</v>
      </c>
      <c r="F6526" s="6" t="n">
        <f aca="false">Sens!F6504</f>
        <v>8.75372082474227</v>
      </c>
      <c r="G6526" s="6" t="n">
        <f aca="false">Sens!G6504</f>
        <v>9.33399324642364</v>
      </c>
      <c r="H6526" s="6" t="n">
        <f aca="false">Sens!H6504</f>
        <v>9.96139155535851</v>
      </c>
      <c r="I6526" s="6" t="n">
        <f aca="false">Sens!I6504</f>
        <v>10.6402039077391</v>
      </c>
      <c r="J6526" s="6" t="n">
        <f aca="false">Sens!J6504</f>
        <v>11.3751458271397</v>
      </c>
      <c r="K6526" s="6" t="n">
        <f aca="false">Sens!K6504</f>
        <v>12.1714060350394</v>
      </c>
    </row>
    <row r="6527" customFormat="false" ht="15" hidden="false" customHeight="false" outlineLevel="0" collapsed="false">
      <c r="A6527" s="0" t="s">
        <v>852</v>
      </c>
      <c r="B6527" s="0" t="s">
        <v>98</v>
      </c>
      <c r="D6527" s="6" t="n">
        <f aca="false">Sens!D6506</f>
        <v>218.783</v>
      </c>
      <c r="E6527" s="6" t="n">
        <f aca="false">Sens!E6506</f>
        <v>268.127</v>
      </c>
      <c r="F6527" s="6" t="n">
        <f aca="false">Sens!F6506</f>
        <v>330.578378654343</v>
      </c>
      <c r="G6527" s="6" t="n">
        <f aca="false">Sens!G6506</f>
        <v>393.619268702288</v>
      </c>
      <c r="H6527" s="6" t="n">
        <f aca="false">Sens!H6506</f>
        <v>451.945636597584</v>
      </c>
      <c r="I6527" s="6" t="n">
        <f aca="false">Sens!I6506</f>
        <v>512.644188495514</v>
      </c>
      <c r="J6527" s="6" t="n">
        <f aca="false">Sens!J6506</f>
        <v>562.822491656048</v>
      </c>
      <c r="K6527" s="6" t="n">
        <f aca="false">Sens!K6506</f>
        <v>603.00110640396</v>
      </c>
    </row>
    <row r="6528" customFormat="false" ht="15" hidden="false" customHeight="false" outlineLevel="0" collapsed="false">
      <c r="A6528" s="0" t="s">
        <v>1037</v>
      </c>
      <c r="B6528" s="0" t="s">
        <v>98</v>
      </c>
      <c r="D6528" s="6" t="n">
        <f aca="false">Sens!D6507</f>
        <v>22.171</v>
      </c>
      <c r="E6528" s="6" t="n">
        <f aca="false">Sens!E6507</f>
        <v>24.835</v>
      </c>
      <c r="F6528" s="6" t="n">
        <f aca="false">Sens!F6507</f>
        <v>27.5591895660247</v>
      </c>
      <c r="G6528" s="6" t="n">
        <f aca="false">Sens!G6507</f>
        <v>30.4098563144583</v>
      </c>
      <c r="H6528" s="6" t="n">
        <f aca="false">Sens!H6507</f>
        <v>33.3011792571777</v>
      </c>
      <c r="I6528" s="6" t="n">
        <f aca="false">Sens!I6507</f>
        <v>36.189023797112</v>
      </c>
      <c r="J6528" s="6" t="n">
        <f aca="false">Sens!J6507</f>
        <v>39.0247773769199</v>
      </c>
      <c r="K6528" s="6" t="n">
        <f aca="false">Sens!K6507</f>
        <v>41.7565117933043</v>
      </c>
    </row>
    <row r="6529" customFormat="false" ht="15" hidden="false" customHeight="false" outlineLevel="0" collapsed="false">
      <c r="A6529" s="0" t="s">
        <v>1038</v>
      </c>
      <c r="B6529" s="0" t="s">
        <v>98</v>
      </c>
      <c r="D6529" s="6" t="n">
        <f aca="false">Sens!D6509</f>
        <v>23.455</v>
      </c>
      <c r="E6529" s="6" t="n">
        <f aca="false">Sens!E6509</f>
        <v>21.79</v>
      </c>
      <c r="F6529" s="6" t="n">
        <f aca="false">Sens!F6509</f>
        <v>20.7520981041711</v>
      </c>
      <c r="G6529" s="6" t="n">
        <f aca="false">Sens!G6509</f>
        <v>19.9083593495882</v>
      </c>
      <c r="H6529" s="6" t="n">
        <f aca="false">Sens!H6509</f>
        <v>19.4008256265831</v>
      </c>
      <c r="I6529" s="6" t="n">
        <f aca="false">Sens!I6509</f>
        <v>19.200434522122</v>
      </c>
      <c r="J6529" s="6" t="n">
        <f aca="false">Sens!J6509</f>
        <v>19.2932782348507</v>
      </c>
      <c r="K6529" s="6" t="n">
        <f aca="false">Sens!K6509</f>
        <v>19.6791437995477</v>
      </c>
    </row>
    <row r="6530" customFormat="false" ht="15" hidden="false" customHeight="false" outlineLevel="0" collapsed="false">
      <c r="A6530" s="0" t="s">
        <v>1039</v>
      </c>
      <c r="B6530" s="0" t="s">
        <v>98</v>
      </c>
      <c r="D6530" s="6" t="n">
        <f aca="false">Sens!D6511</f>
        <v>17.315</v>
      </c>
      <c r="E6530" s="6" t="n">
        <f aca="false">Sens!E6511</f>
        <v>17.087</v>
      </c>
      <c r="F6530" s="6" t="n">
        <f aca="false">Sens!F6511</f>
        <v>15.9912273250553</v>
      </c>
      <c r="G6530" s="6" t="n">
        <f aca="false">Sens!G6511</f>
        <v>15.9574562664827</v>
      </c>
      <c r="H6530" s="6" t="n">
        <f aca="false">Sens!H6511</f>
        <v>16.0119687434196</v>
      </c>
      <c r="I6530" s="6" t="n">
        <f aca="false">Sens!I6511</f>
        <v>16.1551810001948</v>
      </c>
      <c r="J6530" s="6" t="n">
        <f aca="false">Sens!J6511</f>
        <v>16.3889793892005</v>
      </c>
      <c r="K6530" s="6" t="n">
        <f aca="false">Sens!K6511</f>
        <v>16.7167589769845</v>
      </c>
    </row>
    <row r="6531" customFormat="false" ht="15" hidden="false" customHeight="false" outlineLevel="0" collapsed="false">
      <c r="A6531" s="0" t="s">
        <v>866</v>
      </c>
      <c r="B6531" s="0" t="s">
        <v>98</v>
      </c>
      <c r="D6531" s="6" t="n">
        <f aca="false">Sens!D6513</f>
        <v>62.941</v>
      </c>
      <c r="E6531" s="6" t="n">
        <f aca="false">Sens!E6513</f>
        <v>63.712</v>
      </c>
      <c r="F6531" s="6" t="n">
        <f aca="false">Sens!F6513</f>
        <v>64.3025149952511</v>
      </c>
      <c r="G6531" s="6" t="n">
        <f aca="false">Sens!G6513</f>
        <v>66.2756719305292</v>
      </c>
      <c r="H6531" s="6" t="n">
        <f aca="false">Sens!H6513</f>
        <v>68.7139736271804</v>
      </c>
      <c r="I6531" s="6" t="n">
        <f aca="false">Sens!I6513</f>
        <v>71.5446393194289</v>
      </c>
      <c r="J6531" s="6" t="n">
        <f aca="false">Sens!J6513</f>
        <v>74.707035000971</v>
      </c>
      <c r="K6531" s="6" t="n">
        <f aca="false">Sens!K6513</f>
        <v>78.1524145698365</v>
      </c>
    </row>
    <row r="6532" customFormat="false" ht="15" hidden="false" customHeight="false" outlineLevel="0" collapsed="false">
      <c r="A6532" s="1" t="s">
        <v>1055</v>
      </c>
      <c r="B6532" s="0" t="s">
        <v>98</v>
      </c>
      <c r="D6532" s="6" t="n">
        <f aca="false">Sens!D6514</f>
        <v>281.724</v>
      </c>
      <c r="E6532" s="6" t="n">
        <f aca="false">Sens!E6514</f>
        <v>331.839</v>
      </c>
      <c r="F6532" s="6" t="n">
        <f aca="false">Sens!F6514</f>
        <v>394.880893649594</v>
      </c>
      <c r="G6532" s="6" t="n">
        <f aca="false">Sens!G6514</f>
        <v>459.894940632818</v>
      </c>
      <c r="H6532" s="6" t="n">
        <f aca="false">Sens!H6514</f>
        <v>520.659610224764</v>
      </c>
      <c r="I6532" s="6" t="n">
        <f aca="false">Sens!I6514</f>
        <v>584.188827814942</v>
      </c>
      <c r="J6532" s="6" t="n">
        <f aca="false">Sens!J6514</f>
        <v>637.529526657019</v>
      </c>
      <c r="K6532" s="6" t="n">
        <f aca="false">Sens!K6514</f>
        <v>681.153520973796</v>
      </c>
    </row>
    <row r="6533" customFormat="false" ht="15" hidden="false" customHeight="false" outlineLevel="0" collapsed="false">
      <c r="A6533" s="1" t="s">
        <v>1056</v>
      </c>
      <c r="B6533" s="0" t="s">
        <v>168</v>
      </c>
      <c r="E6533" s="7" t="n">
        <f aca="false">Sens!E6532/Sens!D6532-1</f>
        <v>0.177886867998467</v>
      </c>
      <c r="F6533" s="7" t="n">
        <f aca="false">Sens!F6532/Sens!E6532-1</f>
        <v>0.18997734940617</v>
      </c>
      <c r="G6533" s="7" t="n">
        <f aca="false">Sens!G6532/Sens!F6532-1</f>
        <v>0.164642169395299</v>
      </c>
      <c r="H6533" s="7" t="n">
        <f aca="false">Sens!H6532/Sens!G6532-1</f>
        <v>0.132127284349625</v>
      </c>
      <c r="I6533" s="7" t="n">
        <f aca="false">Sens!I6532/Sens!H6532-1</f>
        <v>0.122016796276464</v>
      </c>
      <c r="J6533" s="7" t="n">
        <f aca="false">Sens!J6532/Sens!I6532-1</f>
        <v>0.0913072902157144</v>
      </c>
      <c r="K6533" s="7" t="n">
        <f aca="false">Sens!K6532/Sens!J6532-1</f>
        <v>0.0684266257368904</v>
      </c>
    </row>
    <row r="6534" customFormat="false" ht="17.15" hidden="false" customHeight="false" outlineLevel="0" collapsed="false">
      <c r="A6534" s="26" t="s">
        <v>1057</v>
      </c>
      <c r="B6534" s="31" t="s">
        <v>98</v>
      </c>
      <c r="C6534" s="31"/>
      <c r="D6534" s="27" t="n">
        <f aca="false">(Sens!D6527+Sens!D6531-Sens!D6532)+(Sens!D6519+Sens!D6520-Sens!D6518)+(Sens!D6522+Sens!D6523-Sens!D6521)+(Sens!D6532-Q!L18)</f>
        <v>0</v>
      </c>
      <c r="E6534" s="27" t="n">
        <f aca="false">(Sens!E6527+Sens!E6531-Sens!E6532)+(Sens!E6519+Sens!E6520-Sens!E6518)+(Sens!E6522+Sens!E6523-Sens!E6521)+(Sens!E6532-Q!M18)</f>
        <v>0</v>
      </c>
      <c r="F6534" s="27" t="n">
        <f aca="false">(Sens!F6527+Sens!F6531-Sens!F6532)+(Sens!F6519+Sens!F6520-Sens!F6518)+(Sens!F6522+Sens!F6523-Sens!F6521)</f>
        <v>0</v>
      </c>
      <c r="G6534" s="27" t="n">
        <f aca="false">(Sens!G6527+Sens!G6531-Sens!G6532)+(Sens!G6519+Sens!G6520-Sens!G6518)+(Sens!G6522+Sens!G6523-Sens!G6521)</f>
        <v>0</v>
      </c>
      <c r="H6534" s="27" t="n">
        <f aca="false">(Sens!H6527+Sens!H6531-Sens!H6532)+(Sens!H6519+Sens!H6520-Sens!H6518)+(Sens!H6522+Sens!H6523-Sens!H6521)</f>
        <v>0</v>
      </c>
      <c r="I6534" s="27" t="n">
        <f aca="false">(Sens!I6527+Sens!I6531-Sens!I6532)+(Sens!I6519+Sens!I6520-Sens!I6518)+(Sens!I6522+Sens!I6523-Sens!I6521)</f>
        <v>0</v>
      </c>
      <c r="J6534" s="27" t="n">
        <f aca="false">(Sens!J6527+Sens!J6531-Sens!J6532)+(Sens!J6519+Sens!J6520-Sens!J6518)+(Sens!J6522+Sens!J6523-Sens!J6521)</f>
        <v>0</v>
      </c>
      <c r="K6534" s="27" t="n">
        <f aca="false">(Sens!K6527+Sens!K6531-Sens!K6532)+(Sens!K6519+Sens!K6520-Sens!K6518)+(Sens!K6522+Sens!K6523-Sens!K6521)</f>
        <v>0</v>
      </c>
    </row>
    <row r="6535" customFormat="false" ht="17.15" hidden="false" customHeight="false" outlineLevel="0" collapsed="false">
      <c r="A6535" s="0" t="s">
        <v>1058</v>
      </c>
      <c r="B6535" s="0" t="s">
        <v>168</v>
      </c>
      <c r="E6535" s="7" t="n">
        <f aca="false">(Q!M21+Sens!E6471+Sens!E6472+Sens!E6473+Sens!E6487-Sens!E6469)/(Q!M5-Sens!E6469)</f>
        <v>0.570957350878296</v>
      </c>
      <c r="F6535" s="7" t="n">
        <f aca="false">Sens!$E$6535+dm_seg</f>
        <v>0.570957350878296</v>
      </c>
      <c r="G6535" s="7" t="n">
        <f aca="false">Sens!$E$6535+dm_seg</f>
        <v>0.570957350878296</v>
      </c>
      <c r="H6535" s="7" t="n">
        <f aca="false">Sens!$E$6535+dm_seg</f>
        <v>0.570957350878296</v>
      </c>
      <c r="I6535" s="7" t="n">
        <f aca="false">Sens!$E$6535+dm_seg</f>
        <v>0.570957350878296</v>
      </c>
      <c r="J6535" s="7" t="n">
        <f aca="false">Sens!$E$6535+dm_seg</f>
        <v>0.570957350878296</v>
      </c>
      <c r="K6535" s="7" t="n">
        <f aca="false">Sens!$E$6535+dm_seg</f>
        <v>0.570957350878296</v>
      </c>
      <c r="L6535" s="12" t="s">
        <v>1059</v>
      </c>
    </row>
    <row r="6536" customFormat="false" ht="17.15" hidden="false" customHeight="false" outlineLevel="0" collapsed="false">
      <c r="A6536" s="0" t="s">
        <v>880</v>
      </c>
      <c r="B6536" s="0" t="s">
        <v>98</v>
      </c>
      <c r="D6536" s="6" t="n">
        <f aca="false">Q!L21</f>
        <v>110.814</v>
      </c>
      <c r="E6536" s="6" t="n">
        <f aca="false">Q!M21</f>
        <v>136.365</v>
      </c>
      <c r="F6536" s="6" t="n">
        <f aca="false">Q!$I$21+(Sens!F6535*(Sens!F6506-Sens!F6469)+Sens!F6469-(Sens!F6471+Sens!F6472+Sens!F6473)-Sens!F6487-Sens!F6570)*(Sens!F6506-Q!$I$5)/Sens!F6506</f>
        <v>158.52954005322</v>
      </c>
      <c r="G6536" s="6" t="n">
        <f aca="false">(Sens!G6535*(Sens!G6506-Sens!G6469)+Sens!G6469-(Sens!G6471+Sens!G6472+Sens!G6473)-Sens!G6487-Sens!G6570)</f>
        <v>162.313366670838</v>
      </c>
      <c r="H6536" s="6" t="n">
        <f aca="false">(Sens!H6535*(Sens!H6506-Sens!H6469)+Sens!H6469-(Sens!H6471+Sens!H6472+Sens!H6473)-Sens!H6487-Sens!H6570)</f>
        <v>164.223940876416</v>
      </c>
      <c r="I6536" s="6" t="n">
        <f aca="false">(Sens!I6535*(Sens!I6506-Sens!I6469)+Sens!I6469-(Sens!I6471+Sens!I6472+Sens!I6473)-Sens!I6487-Sens!I6570)</f>
        <v>174.064992487761</v>
      </c>
      <c r="J6536" s="6" t="n">
        <f aca="false">(Sens!J6535*(Sens!J6506-Sens!J6469)+Sens!J6469-(Sens!J6471+Sens!J6472+Sens!J6473)-Sens!J6487-Sens!J6570)</f>
        <v>185.351649226765</v>
      </c>
      <c r="K6536" s="6" t="n">
        <f aca="false">(Sens!K6535*(Sens!K6506-Sens!K6469)+Sens!K6469-(Sens!K6471+Sens!K6472+Sens!K6473)-Sens!K6487-Sens!K6570)</f>
        <v>198.05489950386</v>
      </c>
      <c r="L6536" s="1" t="s">
        <v>1060</v>
      </c>
    </row>
    <row r="6537" customFormat="false" ht="17.15" hidden="false" customHeight="false" outlineLevel="0" collapsed="false">
      <c r="A6537" s="0" t="s">
        <v>1061</v>
      </c>
      <c r="B6537" s="0" t="s">
        <v>168</v>
      </c>
      <c r="E6537" s="7" t="n">
        <f aca="false">Q!M22/Q!M12</f>
        <v>0.296207935710698</v>
      </c>
      <c r="F6537" s="7" t="n">
        <f aca="false">Sens!$E$6537+dm_seg</f>
        <v>0.296207935710698</v>
      </c>
      <c r="G6537" s="7" t="n">
        <f aca="false">Sens!$E$6537+dm_seg</f>
        <v>0.296207935710698</v>
      </c>
      <c r="H6537" s="7" t="n">
        <f aca="false">Sens!$E$6537+dm_seg</f>
        <v>0.296207935710698</v>
      </c>
      <c r="I6537" s="7" t="n">
        <f aca="false">Sens!$E$6537+dm_seg</f>
        <v>0.296207935710698</v>
      </c>
      <c r="J6537" s="7" t="n">
        <f aca="false">Sens!$E$6537+dm_seg</f>
        <v>0.296207935710698</v>
      </c>
      <c r="K6537" s="7" t="n">
        <f aca="false">Sens!$E$6537+dm_seg</f>
        <v>0.296207935710698</v>
      </c>
      <c r="L6537" s="12" t="s">
        <v>1062</v>
      </c>
    </row>
    <row r="6538" customFormat="false" ht="17.15" hidden="false" customHeight="false" outlineLevel="0" collapsed="false">
      <c r="A6538" s="0" t="s">
        <v>882</v>
      </c>
      <c r="B6538" s="0" t="s">
        <v>98</v>
      </c>
      <c r="D6538" s="6" t="n">
        <f aca="false">Q!L22</f>
        <v>17.714</v>
      </c>
      <c r="E6538" s="6" t="n">
        <f aca="false">Q!M22</f>
        <v>18.872</v>
      </c>
      <c r="F6538" s="6" t="n">
        <f aca="false">Q!$I$22+(Sens!F6513-Q!$I$12)*Sens!F6537</f>
        <v>19.8174315512051</v>
      </c>
      <c r="G6538" s="6" t="n">
        <f aca="false">Sens!G6513*Sens!G6537</f>
        <v>19.6313799703815</v>
      </c>
      <c r="H6538" s="6" t="n">
        <f aca="false">Sens!H6513*Sens!H6537</f>
        <v>20.3536242825865</v>
      </c>
      <c r="I6538" s="6" t="n">
        <f aca="false">Sens!I6513*Sens!I6537</f>
        <v>21.1920899239745</v>
      </c>
      <c r="J6538" s="6" t="n">
        <f aca="false">Sens!J6513*Sens!J6537</f>
        <v>22.1288166207045</v>
      </c>
      <c r="K6538" s="6" t="n">
        <f aca="false">Sens!K6513*Sens!K6537</f>
        <v>23.1493653905379</v>
      </c>
      <c r="L6538" s="12" t="s">
        <v>1063</v>
      </c>
    </row>
    <row r="6539" customFormat="false" ht="15" hidden="false" customHeight="false" outlineLevel="0" collapsed="false">
      <c r="A6539" s="1" t="s">
        <v>1064</v>
      </c>
      <c r="B6539" s="0" t="s">
        <v>98</v>
      </c>
      <c r="D6539" s="6" t="n">
        <f aca="false">Sens!D6536+Sens!D6538</f>
        <v>128.528</v>
      </c>
      <c r="E6539" s="6" t="n">
        <f aca="false">Sens!E6536+Sens!E6538</f>
        <v>155.237</v>
      </c>
      <c r="F6539" s="6" t="n">
        <f aca="false">Sens!F6536+Sens!F6538</f>
        <v>178.346971604425</v>
      </c>
      <c r="G6539" s="6" t="n">
        <f aca="false">Sens!G6536+Sens!G6538</f>
        <v>181.94474664122</v>
      </c>
      <c r="H6539" s="6" t="n">
        <f aca="false">Sens!H6536+Sens!H6538</f>
        <v>184.577565159002</v>
      </c>
      <c r="I6539" s="6" t="n">
        <f aca="false">Sens!I6536+Sens!I6538</f>
        <v>195.257082411736</v>
      </c>
      <c r="J6539" s="6" t="n">
        <f aca="false">Sens!J6536+Sens!J6538</f>
        <v>207.480465847469</v>
      </c>
      <c r="K6539" s="6" t="n">
        <f aca="false">Sens!K6536+Sens!K6538</f>
        <v>221.204264894397</v>
      </c>
    </row>
    <row r="6540" customFormat="false" ht="15" hidden="false" customHeight="false" outlineLevel="0" collapsed="false">
      <c r="A6540" s="26" t="s">
        <v>1065</v>
      </c>
      <c r="B6540" s="31" t="s">
        <v>98</v>
      </c>
      <c r="C6540" s="31"/>
      <c r="D6540" s="27" t="n">
        <f aca="false">Sens!D6539-Q!L23</f>
        <v>0</v>
      </c>
      <c r="E6540" s="27" t="n">
        <f aca="false">Sens!E6539-Q!M23</f>
        <v>0</v>
      </c>
      <c r="F6540" s="31"/>
      <c r="G6540" s="31"/>
      <c r="H6540" s="31"/>
      <c r="I6540" s="31"/>
      <c r="J6540" s="31"/>
      <c r="K6540" s="31"/>
    </row>
    <row r="6541" customFormat="false" ht="15" hidden="false" customHeight="false" outlineLevel="0" collapsed="false">
      <c r="A6541" s="1" t="s">
        <v>1066</v>
      </c>
      <c r="B6541" s="0" t="s">
        <v>168</v>
      </c>
      <c r="D6541" s="7" t="n">
        <f aca="false">Sens!D6539/Sens!D6532</f>
        <v>0.456219562408598</v>
      </c>
      <c r="E6541" s="7" t="n">
        <f aca="false">Sens!E6539/Sens!E6532</f>
        <v>0.467808184089272</v>
      </c>
      <c r="F6541" s="7" t="n">
        <f aca="false">Sens!F6539/Sens!F6532</f>
        <v>0.45164750807793</v>
      </c>
      <c r="G6541" s="7" t="n">
        <f aca="false">Sens!G6539/Sens!G6532</f>
        <v>0.395622414090625</v>
      </c>
      <c r="H6541" s="7" t="n">
        <f aca="false">Sens!H6539/Sens!H6532</f>
        <v>0.354507170393574</v>
      </c>
      <c r="I6541" s="7" t="n">
        <f aca="false">Sens!I6539/Sens!I6532</f>
        <v>0.334236248820542</v>
      </c>
      <c r="J6541" s="7" t="n">
        <f aca="false">Sens!J6539/Sens!J6532</f>
        <v>0.32544448087828</v>
      </c>
      <c r="K6541" s="7" t="n">
        <f aca="false">Sens!K6539/Sens!K6532</f>
        <v>0.324749499317214</v>
      </c>
    </row>
    <row r="6542" customFormat="false" ht="17.15" hidden="false" customHeight="false" outlineLevel="0" collapsed="false">
      <c r="A6542" s="1" t="s">
        <v>1067</v>
      </c>
      <c r="B6542" s="0" t="s">
        <v>98</v>
      </c>
      <c r="F6542" s="6" t="n">
        <f aca="false">Sens!F6557</f>
        <v>10.5962787979473</v>
      </c>
      <c r="G6542" s="6" t="n">
        <f aca="false">Sens!G6557</f>
        <v>27.844646674932</v>
      </c>
      <c r="H6542" s="6" t="n">
        <f aca="false">Sens!H6557</f>
        <v>46.566205501382</v>
      </c>
      <c r="I6542" s="6" t="n">
        <f aca="false">Sens!I6557</f>
        <v>63.2717778126444</v>
      </c>
      <c r="J6542" s="6" t="n">
        <f aca="false">Sens!J6557</f>
        <v>74.9061222882009</v>
      </c>
      <c r="K6542" s="6" t="n">
        <f aca="false">Sens!K6557</f>
        <v>81.6395437180232</v>
      </c>
      <c r="L6542" s="1" t="s">
        <v>1068</v>
      </c>
    </row>
    <row r="6543" customFormat="false" ht="17.15" hidden="false" customHeight="false" outlineLevel="0" collapsed="false">
      <c r="A6543" s="1" t="s">
        <v>1069</v>
      </c>
      <c r="B6543" s="0" t="s">
        <v>98</v>
      </c>
      <c r="D6543" s="6" t="n">
        <f aca="false">Sens!D6539</f>
        <v>128.528</v>
      </c>
      <c r="E6543" s="6" t="n">
        <f aca="false">Sens!E6539</f>
        <v>155.237</v>
      </c>
      <c r="F6543" s="6" t="n">
        <f aca="false">Sens!F6539+Sens!F6542</f>
        <v>188.943250402373</v>
      </c>
      <c r="G6543" s="6" t="n">
        <f aca="false">Sens!G6539+Sens!G6542</f>
        <v>209.789393316152</v>
      </c>
      <c r="H6543" s="6" t="n">
        <f aca="false">Sens!H6539+Sens!H6542</f>
        <v>231.143770660384</v>
      </c>
      <c r="I6543" s="6" t="n">
        <f aca="false">Sens!I6539+Sens!I6542</f>
        <v>258.52886022438</v>
      </c>
      <c r="J6543" s="6" t="n">
        <f aca="false">Sens!J6539+Sens!J6542</f>
        <v>282.38658813567</v>
      </c>
      <c r="K6543" s="6" t="n">
        <f aca="false">Sens!K6539+Sens!K6542</f>
        <v>302.843808612421</v>
      </c>
    </row>
    <row r="6544" customFormat="false" ht="17.15" hidden="false" customHeight="false" outlineLevel="0" collapsed="false">
      <c r="A6544" s="1" t="s">
        <v>1070</v>
      </c>
      <c r="B6544" s="0" t="s">
        <v>98</v>
      </c>
      <c r="E6544" s="6" t="n">
        <f aca="false">Sens!E6487</f>
        <v>16.3054059770833</v>
      </c>
      <c r="F6544" s="6" t="n">
        <f aca="false">Sens!F6487</f>
        <v>34.5793144783516</v>
      </c>
      <c r="G6544" s="6" t="n">
        <f aca="false">Sens!G6487</f>
        <v>60.7344906522989</v>
      </c>
      <c r="H6544" s="6" t="n">
        <f aca="false">Sens!H6487</f>
        <v>89.1000906614457</v>
      </c>
      <c r="I6544" s="6" t="n">
        <f aca="false">Sens!I6487</f>
        <v>114.231009694548</v>
      </c>
      <c r="J6544" s="6" t="n">
        <f aca="false">Sens!J6487</f>
        <v>132.015673049596</v>
      </c>
      <c r="K6544" s="6" t="n">
        <f aca="false">Sens!K6487</f>
        <v>143.012669550934</v>
      </c>
    </row>
    <row r="6545" customFormat="false" ht="17.15" hidden="false" customHeight="false" outlineLevel="0" collapsed="false">
      <c r="A6545" s="1" t="s">
        <v>1071</v>
      </c>
      <c r="B6545" s="0" t="s">
        <v>98</v>
      </c>
      <c r="E6545" s="6" t="n">
        <f aca="false">Sens!E6569</f>
        <v>22.2285940229167</v>
      </c>
      <c r="F6545" s="6" t="n">
        <f aca="false">Sens!F6569</f>
        <v>23.5859033320454</v>
      </c>
      <c r="G6545" s="6" t="n">
        <f aca="false">Sens!G6569</f>
        <v>25.3425194804228</v>
      </c>
      <c r="H6545" s="6" t="n">
        <f aca="false">Sens!H6569</f>
        <v>27.467150884557</v>
      </c>
      <c r="I6545" s="6" t="n">
        <f aca="false">Sens!I6569</f>
        <v>29.903051368409</v>
      </c>
      <c r="J6545" s="6" t="n">
        <f aca="false">Sens!J6569</f>
        <v>32.5754282446046</v>
      </c>
      <c r="K6545" s="6" t="n">
        <f aca="false">Sens!K6569</f>
        <v>35.399961142277</v>
      </c>
    </row>
    <row r="6546" customFormat="false" ht="17.15" hidden="false" customHeight="false" outlineLevel="0" collapsed="false">
      <c r="A6546" s="1" t="s">
        <v>1072</v>
      </c>
      <c r="B6546" s="0" t="s">
        <v>98</v>
      </c>
      <c r="D6546" s="6" t="n">
        <f aca="false">Q!L27</f>
        <v>-4.901</v>
      </c>
      <c r="E6546" s="6" t="n">
        <f aca="false">Q!M27</f>
        <v>10.697</v>
      </c>
      <c r="F6546" s="6" t="n">
        <f aca="false">Q!$I$27+oie_f*(q_per_yr-1)/q_per_yr</f>
        <v>-0.862</v>
      </c>
      <c r="G6546" s="6" t="n">
        <f aca="false">oie_f</f>
        <v>-1.2</v>
      </c>
      <c r="H6546" s="6" t="n">
        <f aca="false">oie_f</f>
        <v>-1.2</v>
      </c>
      <c r="I6546" s="6" t="n">
        <f aca="false">oie_f</f>
        <v>-1.2</v>
      </c>
      <c r="J6546" s="6" t="n">
        <f aca="false">oie_f</f>
        <v>-1.2</v>
      </c>
      <c r="K6546" s="6" t="n">
        <f aca="false">oie_f</f>
        <v>-1.2</v>
      </c>
      <c r="L6546" s="12" t="s">
        <v>1073</v>
      </c>
    </row>
    <row r="6547" customFormat="false" ht="15" hidden="false" customHeight="false" outlineLevel="0" collapsed="false">
      <c r="A6547" s="1" t="s">
        <v>1074</v>
      </c>
      <c r="B6547" s="0" t="s">
        <v>98</v>
      </c>
      <c r="D6547" s="6" t="n">
        <f aca="false">Sens!D6539+Sens!D6546</f>
        <v>123.627</v>
      </c>
      <c r="E6547" s="6" t="n">
        <f aca="false">Sens!E6539+Sens!E6546</f>
        <v>165.934</v>
      </c>
      <c r="F6547" s="6" t="n">
        <f aca="false">Sens!F6539+Sens!F6546</f>
        <v>177.484971604425</v>
      </c>
      <c r="G6547" s="6" t="n">
        <f aca="false">Sens!G6539+Sens!G6546</f>
        <v>180.74474664122</v>
      </c>
      <c r="H6547" s="6" t="n">
        <f aca="false">Sens!H6539+Sens!H6546</f>
        <v>183.377565159002</v>
      </c>
      <c r="I6547" s="6" t="n">
        <f aca="false">Sens!I6539+Sens!I6546</f>
        <v>194.057082411736</v>
      </c>
      <c r="J6547" s="6" t="n">
        <f aca="false">Sens!J6539+Sens!J6546</f>
        <v>206.280465847469</v>
      </c>
      <c r="K6547" s="6" t="n">
        <f aca="false">Sens!K6539+Sens!K6546</f>
        <v>220.004264894397</v>
      </c>
    </row>
    <row r="6548" customFormat="false" ht="15" hidden="false" customHeight="false" outlineLevel="0" collapsed="false">
      <c r="A6548" s="1" t="s">
        <v>1075</v>
      </c>
      <c r="B6548" s="0" t="s">
        <v>98</v>
      </c>
      <c r="D6548" s="6" t="n">
        <f aca="false">Q!L29</f>
        <v>21.795</v>
      </c>
      <c r="E6548" s="6" t="n">
        <f aca="false">Q!M29</f>
        <v>32.185</v>
      </c>
      <c r="F6548" s="6" t="n">
        <f aca="false">Q!$I$29+(Sens!F6547-Q!$I$28)*tax_f</f>
        <v>35.630394320885</v>
      </c>
      <c r="G6548" s="6" t="n">
        <f aca="false">Sens!G6547*tax_f</f>
        <v>36.148949328244</v>
      </c>
      <c r="H6548" s="6" t="n">
        <f aca="false">Sens!H6547*tax_f</f>
        <v>36.6755130318004</v>
      </c>
      <c r="I6548" s="6" t="n">
        <f aca="false">Sens!I6547*tax_f</f>
        <v>38.8114164823472</v>
      </c>
      <c r="J6548" s="6" t="n">
        <f aca="false">Sens!J6547*tax_f</f>
        <v>41.2560931694938</v>
      </c>
      <c r="K6548" s="6" t="n">
        <f aca="false">Sens!K6547*tax_f</f>
        <v>44.0008529788795</v>
      </c>
    </row>
    <row r="6549" customFormat="false" ht="15" hidden="false" customHeight="false" outlineLevel="0" collapsed="false">
      <c r="A6549" s="1" t="s">
        <v>1076</v>
      </c>
      <c r="B6549" s="0" t="s">
        <v>98</v>
      </c>
      <c r="D6549" s="6" t="n">
        <f aca="false">Sens!D6547-Sens!D6548</f>
        <v>101.832</v>
      </c>
      <c r="E6549" s="6" t="n">
        <f aca="false">Sens!E6547-Sens!E6548</f>
        <v>133.749</v>
      </c>
      <c r="F6549" s="6" t="n">
        <f aca="false">Sens!F6547-Sens!F6548</f>
        <v>141.85457728354</v>
      </c>
      <c r="G6549" s="6" t="n">
        <f aca="false">Sens!G6547-Sens!G6548</f>
        <v>144.595797312976</v>
      </c>
      <c r="H6549" s="6" t="n">
        <f aca="false">Sens!H6547-Sens!H6548</f>
        <v>146.702052127202</v>
      </c>
      <c r="I6549" s="6" t="n">
        <f aca="false">Sens!I6547-Sens!I6548</f>
        <v>155.245665929389</v>
      </c>
      <c r="J6549" s="6" t="n">
        <f aca="false">Sens!J6547-Sens!J6548</f>
        <v>165.024372677975</v>
      </c>
      <c r="K6549" s="6" t="n">
        <f aca="false">Sens!K6547-Sens!K6548</f>
        <v>176.003411915518</v>
      </c>
    </row>
    <row r="6550" customFormat="false" ht="17.15" hidden="false" customHeight="false" outlineLevel="0" collapsed="false">
      <c r="A6550" s="1" t="s">
        <v>1077</v>
      </c>
      <c r="B6550" s="1" t="s">
        <v>81</v>
      </c>
      <c r="D6550" s="15" t="n">
        <f aca="false">Q!L31</f>
        <v>7.465</v>
      </c>
      <c r="E6550" s="15" t="n">
        <f aca="false">Q!M31</f>
        <v>7.453</v>
      </c>
      <c r="F6550" s="15" t="n">
        <f aca="false">Sens!F6594</f>
        <v>7.4735</v>
      </c>
      <c r="G6550" s="15" t="n">
        <f aca="false">Sens!G6594</f>
        <v>7.5185</v>
      </c>
      <c r="H6550" s="15" t="n">
        <f aca="false">Sens!H6594</f>
        <v>7.5635</v>
      </c>
      <c r="I6550" s="15" t="n">
        <f aca="false">Sens!I6594</f>
        <v>7.59248142502667</v>
      </c>
      <c r="J6550" s="15" t="n">
        <f aca="false">Sens!J6594</f>
        <v>7.60663083618914</v>
      </c>
      <c r="K6550" s="15" t="n">
        <f aca="false">Sens!K6594</f>
        <v>7.62306547615439</v>
      </c>
    </row>
    <row r="6551" customFormat="false" ht="17.15" hidden="false" customHeight="false" outlineLevel="0" collapsed="false">
      <c r="A6551" s="0" t="s">
        <v>1078</v>
      </c>
      <c r="B6551" s="0" t="s">
        <v>75</v>
      </c>
      <c r="D6551" s="8" t="n">
        <f aca="false">Sens!D6549/Sens!D6550</f>
        <v>13.641259209645</v>
      </c>
      <c r="E6551" s="8" t="n">
        <f aca="false">Sens!E6549/Sens!E6550</f>
        <v>17.9456594659869</v>
      </c>
      <c r="F6551" s="8" t="n">
        <f aca="false">Sens!F6549/Sens!F6550</f>
        <v>18.9810098726889</v>
      </c>
      <c r="G6551" s="8" t="n">
        <f aca="false">Sens!G6549/Sens!G6550</f>
        <v>19.2320007066537</v>
      </c>
      <c r="H6551" s="8" t="n">
        <f aca="false">Sens!H6549/Sens!H6550</f>
        <v>19.3960536956702</v>
      </c>
      <c r="I6551" s="8" t="n">
        <f aca="false">Sens!I6549/Sens!I6550</f>
        <v>20.4472895274608</v>
      </c>
      <c r="J6551" s="8" t="n">
        <f aca="false">Sens!J6549/Sens!J6550</f>
        <v>21.694804997353</v>
      </c>
      <c r="K6551" s="8" t="n">
        <f aca="false">Sens!K6549/Sens!K6550</f>
        <v>23.0882723578949</v>
      </c>
      <c r="L6551" s="1" t="s">
        <v>1079</v>
      </c>
    </row>
    <row r="6552" customFormat="false" ht="17.15" hidden="false" customHeight="false" outlineLevel="0" collapsed="false">
      <c r="A6552" s="1" t="s">
        <v>1080</v>
      </c>
      <c r="B6552" s="0" t="s">
        <v>98</v>
      </c>
      <c r="D6552" s="6" t="n">
        <f aca="false">Sens!D6549</f>
        <v>101.832</v>
      </c>
      <c r="E6552" s="6" t="n">
        <f aca="false">Sens!E6549</f>
        <v>133.749</v>
      </c>
      <c r="F6552" s="6" t="n">
        <f aca="false">Sens!F6549+Sens!F6542*(1-tax_f)</f>
        <v>150.331600321898</v>
      </c>
      <c r="G6552" s="6" t="n">
        <f aca="false">Sens!G6549+Sens!G6542*(1-tax_f)</f>
        <v>166.871514652922</v>
      </c>
      <c r="H6552" s="6" t="n">
        <f aca="false">Sens!H6549+Sens!H6542*(1-tax_f)</f>
        <v>183.955016528307</v>
      </c>
      <c r="I6552" s="6" t="n">
        <f aca="false">Sens!I6549+Sens!I6542*(1-tax_f)</f>
        <v>205.863088179504</v>
      </c>
      <c r="J6552" s="6" t="n">
        <f aca="false">Sens!J6549+Sens!J6542*(1-tax_f)</f>
        <v>224.949270508536</v>
      </c>
      <c r="K6552" s="6" t="n">
        <f aca="false">Sens!K6549+Sens!K6542*(1-tax_f)</f>
        <v>241.315046889937</v>
      </c>
    </row>
    <row r="6553" customFormat="false" ht="17.15" hidden="false" customHeight="false" outlineLevel="0" collapsed="false">
      <c r="A6553" s="0" t="s">
        <v>1081</v>
      </c>
      <c r="B6553" s="0" t="s">
        <v>75</v>
      </c>
      <c r="D6553" s="8" t="n">
        <f aca="false">Sens!D6552/Sens!D6550</f>
        <v>13.641259209645</v>
      </c>
      <c r="E6553" s="8" t="n">
        <f aca="false">Sens!E6552/Sens!E6550</f>
        <v>17.9456594659869</v>
      </c>
      <c r="F6553" s="8" t="n">
        <f aca="false">Sens!F6552/Sens!F6550</f>
        <v>20.1152873917038</v>
      </c>
      <c r="G6553" s="8" t="n">
        <f aca="false">Sens!G6552/Sens!G6550</f>
        <v>22.1947881429702</v>
      </c>
      <c r="H6553" s="8" t="n">
        <f aca="false">Sens!H6552/Sens!H6550</f>
        <v>24.3214142299607</v>
      </c>
      <c r="I6553" s="8" t="n">
        <f aca="false">Sens!I6552/Sens!I6550</f>
        <v>27.1140720214249</v>
      </c>
      <c r="J6553" s="8" t="n">
        <f aca="false">Sens!J6552/Sens!J6550</f>
        <v>29.5727866059073</v>
      </c>
      <c r="K6553" s="8" t="n">
        <f aca="false">Sens!K6552/Sens!K6550</f>
        <v>31.6559063600845</v>
      </c>
      <c r="L6553" s="1" t="s">
        <v>1082</v>
      </c>
    </row>
    <row r="6554" customFormat="false" ht="17.15" hidden="false" customHeight="false" outlineLevel="0" collapsed="false">
      <c r="A6554" s="0" t="s">
        <v>1083</v>
      </c>
      <c r="B6554" s="0" t="s">
        <v>168</v>
      </c>
      <c r="E6554" s="7" t="n">
        <f aca="false">Sens!E6553/Sens!D6553-1</f>
        <v>0.315542736208578</v>
      </c>
      <c r="F6554" s="7" t="n">
        <f aca="false">Sens!F6553/Sens!E6553-1</f>
        <v>0.120899871627961</v>
      </c>
      <c r="G6554" s="7" t="n">
        <f aca="false">Sens!G6553/Sens!F6553-1</f>
        <v>0.103379122096168</v>
      </c>
      <c r="H6554" s="7" t="n">
        <f aca="false">Sens!H6553/Sens!G6553-1</f>
        <v>0.0958164625538005</v>
      </c>
      <c r="I6554" s="7" t="n">
        <f aca="false">Sens!I6553/Sens!H6553-1</f>
        <v>0.114823001864099</v>
      </c>
      <c r="J6554" s="7" t="n">
        <f aca="false">Sens!J6553/Sens!I6553-1</f>
        <v>0.0906803884912446</v>
      </c>
      <c r="K6554" s="7" t="n">
        <f aca="false">Sens!K6553/Sens!J6553-1</f>
        <v>0.0704404282875752</v>
      </c>
    </row>
    <row r="6555" customFormat="false" ht="17.15" hidden="false" customHeight="false" outlineLevel="0" collapsed="false">
      <c r="A6555" s="0" t="s">
        <v>1003</v>
      </c>
      <c r="B6555" s="0" t="s">
        <v>98</v>
      </c>
      <c r="E6555" s="6" t="n">
        <f aca="false">Sens!E6496</f>
        <v>5.25</v>
      </c>
      <c r="F6555" s="6" t="n">
        <f aca="false">Sens!F6496</f>
        <v>10.5</v>
      </c>
      <c r="G6555" s="6" t="n">
        <f aca="false">Sens!G6496</f>
        <v>13.5</v>
      </c>
      <c r="H6555" s="6" t="n">
        <f aca="false">Sens!H6496</f>
        <v>16.5</v>
      </c>
      <c r="I6555" s="6" t="n">
        <f aca="false">Sens!I6496</f>
        <v>18.75</v>
      </c>
      <c r="J6555" s="6" t="n">
        <f aca="false">Sens!J6496</f>
        <v>20.25</v>
      </c>
      <c r="K6555" s="6" t="n">
        <f aca="false">Sens!K6496</f>
        <v>21.75</v>
      </c>
    </row>
    <row r="6556" customFormat="false" ht="17.15" hidden="false" customHeight="false" outlineLevel="0" collapsed="false">
      <c r="A6556" s="1" t="s">
        <v>1004</v>
      </c>
      <c r="B6556" s="0" t="s">
        <v>98</v>
      </c>
      <c r="F6556" s="6" t="n">
        <f aca="false">MAX(0,((Sens!E6456+Sens!F6456)/2-(shadow_base*(Sens!$D$6456+Sens!$E$6456)/2+(1-shadow_base)*Sens!$E$6456))*Sens!F6465/1000-(Sens!F6555-Sens!$E$6555)*Sens!F6535)</f>
        <v>10.5962787979473</v>
      </c>
      <c r="G6556" s="6" t="n">
        <f aca="false">MAX(0,((Sens!F6456+Sens!G6456)/2-(shadow_base*(Sens!$D$6456+Sens!$E$6456)/2+(1-shadow_base)*Sens!$E$6456))*Sens!G6465/1000-(Sens!G6555-Sens!$E$6555)*Sens!G6535)</f>
        <v>27.844646674932</v>
      </c>
      <c r="H6556" s="6" t="n">
        <f aca="false">MAX(0,((Sens!G6456+Sens!H6456)/2-(shadow_base*(Sens!$D$6456+Sens!$E$6456)/2+(1-shadow_base)*Sens!$E$6456))*Sens!H6465/1000-(Sens!H6555-Sens!$E$6555)*Sens!H6535)</f>
        <v>46.566205501382</v>
      </c>
      <c r="I6556" s="6" t="n">
        <f aca="false">MAX(0,((Sens!H6456+Sens!I6456)/2-(shadow_base*(Sens!$D$6456+Sens!$E$6456)/2+(1-shadow_base)*Sens!$E$6456))*Sens!I6465/1000-(Sens!I6555-Sens!$E$6555)*Sens!I6535)</f>
        <v>63.2717778126444</v>
      </c>
      <c r="J6556" s="6" t="n">
        <f aca="false">MAX(0,((Sens!I6456+Sens!J6456)/2-(shadow_base*(Sens!$D$6456+Sens!$E$6456)/2+(1-shadow_base)*Sens!$E$6456))*Sens!J6465/1000-(Sens!J6555-Sens!$E$6555)*Sens!J6535)</f>
        <v>74.9061222882009</v>
      </c>
      <c r="K6556" s="6" t="n">
        <f aca="false">MAX(0,((Sens!J6456+Sens!K6456)/2-(shadow_base*(Sens!$D$6456+Sens!$E$6456)/2+(1-shadow_base)*Sens!$E$6456))*Sens!K6465/1000-(Sens!K6555-Sens!$E$6555)*Sens!K6535)</f>
        <v>81.6395437180232</v>
      </c>
      <c r="L6556" s="1" t="s">
        <v>1005</v>
      </c>
    </row>
    <row r="6557" customFormat="false" ht="17.15" hidden="false" customHeight="false" outlineLevel="0" collapsed="false">
      <c r="A6557" s="1" t="s">
        <v>1006</v>
      </c>
      <c r="B6557" s="0" t="s">
        <v>98</v>
      </c>
      <c r="F6557" s="6" t="n">
        <f aca="false">IF(internal_ai_reading=2,1,0)*Sens!F6556</f>
        <v>10.5962787979473</v>
      </c>
      <c r="G6557" s="6" t="n">
        <f aca="false">IF(internal_ai_reading=2,1,0)*Sens!G6556</f>
        <v>27.844646674932</v>
      </c>
      <c r="H6557" s="6" t="n">
        <f aca="false">IF(internal_ai_reading=2,1,0)*Sens!H6556</f>
        <v>46.566205501382</v>
      </c>
      <c r="I6557" s="6" t="n">
        <f aca="false">IF(internal_ai_reading=2,1,0)*Sens!I6556</f>
        <v>63.2717778126444</v>
      </c>
      <c r="J6557" s="6" t="n">
        <f aca="false">IF(internal_ai_reading=2,1,0)*Sens!J6556</f>
        <v>74.9061222882009</v>
      </c>
      <c r="K6557" s="6" t="n">
        <f aca="false">IF(internal_ai_reading=2,1,0)*Sens!K6556</f>
        <v>81.6395437180232</v>
      </c>
    </row>
    <row r="6558" customFormat="false" ht="17.15" hidden="false" customHeight="false" outlineLevel="0" collapsed="false">
      <c r="A6558" s="0" t="s">
        <v>1007</v>
      </c>
      <c r="B6558" s="0" t="s">
        <v>98</v>
      </c>
      <c r="F6558" s="6" t="n">
        <f aca="false">Sens!F6475+Sens!F6555*Sens!F6535+Sens!F6557-Sens!F6476-Sens!F6487</f>
        <v>10.940337075313</v>
      </c>
      <c r="G6558" s="6" t="n">
        <f aca="false">Sens!G6475+Sens!G6555*Sens!G6535+Sens!G6557-Sens!G6476-Sens!G6487</f>
        <v>17.5462277722812</v>
      </c>
      <c r="H6558" s="6" t="n">
        <f aca="false">Sens!H6475+Sens!H6555*Sens!H6535+Sens!H6557-Sens!H6476-Sens!H6487</f>
        <v>18.7048942491599</v>
      </c>
      <c r="I6558" s="6" t="n">
        <f aca="false">Sens!I6475+Sens!I6555*Sens!I6535+Sens!I6557-Sens!I6476-Sens!I6487</f>
        <v>26.2720883189916</v>
      </c>
      <c r="J6558" s="6" t="n">
        <f aca="false">Sens!J6475+Sens!J6555*Sens!J6535+Sens!J6557-Sens!J6476-Sens!J6487</f>
        <v>31.4713867128505</v>
      </c>
      <c r="K6558" s="6" t="n">
        <f aca="false">Sens!K6475+Sens!K6555*Sens!K6535+Sens!K6557-Sens!K6476-Sens!K6487</f>
        <v>35.2341172990105</v>
      </c>
    </row>
    <row r="6559" customFormat="false" ht="17.15" hidden="false" customHeight="false" outlineLevel="0" collapsed="false">
      <c r="A6559" s="0" t="s">
        <v>1008</v>
      </c>
      <c r="B6559" s="0" t="s">
        <v>98</v>
      </c>
      <c r="E6559" s="6" t="n">
        <f aca="false">Sens!E6455*(cxit_open+self_build*tk_cxfac)/1000*ai_net_open</f>
        <v>126.6980382</v>
      </c>
      <c r="F6559" s="6" t="n">
        <f aca="false">Sens!E6559+Sens!F6484-Sens!F6487</f>
        <v>260.572627763768</v>
      </c>
      <c r="G6559" s="6" t="n">
        <f aca="false">Sens!F6559+Sens!G6484-Sens!G6487</f>
        <v>391.782612760517</v>
      </c>
      <c r="H6559" s="6" t="n">
        <f aca="false">Sens!G6559+Sens!H6484-Sens!H6487</f>
        <v>499.488526163584</v>
      </c>
      <c r="I6559" s="6" t="n">
        <f aca="false">Sens!H6559+Sens!I6484-Sens!I6487</f>
        <v>553.872350090646</v>
      </c>
      <c r="J6559" s="6" t="n">
        <f aca="false">Sens!I6559+Sens!J6484-Sens!J6487</f>
        <v>550.78660823699</v>
      </c>
      <c r="K6559" s="6" t="n">
        <f aca="false">Sens!J6559+Sens!K6484-Sens!K6487</f>
        <v>526.736791750789</v>
      </c>
      <c r="L6559" s="1" t="s">
        <v>1009</v>
      </c>
    </row>
    <row r="6560" customFormat="false" ht="17.15" hidden="false" customHeight="false" outlineLevel="0" collapsed="false">
      <c r="A6560" s="0" t="s">
        <v>1010</v>
      </c>
      <c r="B6560" s="0" t="s">
        <v>168</v>
      </c>
      <c r="F6560" s="7" t="n">
        <f aca="false">Sens!F6558*(1-tax_f)/((Sens!E6559+Sens!F6559)/2)</f>
        <v>0.0451997552588673</v>
      </c>
      <c r="G6560" s="7" t="n">
        <f aca="false">Sens!G6558*(1-tax_f)/((Sens!F6559+Sens!G6559)/2)</f>
        <v>0.0430347802726125</v>
      </c>
      <c r="H6560" s="7" t="n">
        <f aca="false">Sens!H6558*(1-tax_f)/((Sens!G6559+Sens!H6559)/2)</f>
        <v>0.0335788173672753</v>
      </c>
      <c r="I6560" s="7" t="n">
        <f aca="false">Sens!I6558*(1-tax_f)/((Sens!H6559+Sens!I6559)/2)</f>
        <v>0.0399059261246392</v>
      </c>
      <c r="J6560" s="7" t="n">
        <f aca="false">Sens!J6558*(1-tax_f)/((Sens!I6559+Sens!J6559)/2)</f>
        <v>0.0455834973870968</v>
      </c>
      <c r="K6560" s="7" t="n">
        <f aca="false">Sens!K6558*(1-tax_f)/((Sens!J6559+Sens!K6559)/2)</f>
        <v>0.0523186667491918</v>
      </c>
    </row>
    <row r="6561" customFormat="false" ht="17.15" hidden="false" customHeight="false" outlineLevel="0" collapsed="false">
      <c r="A6561" s="1" t="s">
        <v>1011</v>
      </c>
      <c r="B6561" s="0" t="s">
        <v>168</v>
      </c>
      <c r="F6561" s="7" t="n">
        <f aca="false">(Sens!F6558-Sens!F6557)*(1-tax_f)/((Sens!E6559+Sens!F6559)/2)</f>
        <v>0.00142146899356591</v>
      </c>
      <c r="G6561" s="7" t="n">
        <f aca="false">(Sens!G6558-Sens!G6557)*(1-tax_f)/((Sens!F6559+Sens!G6559)/2)</f>
        <v>-0.025258431634578</v>
      </c>
      <c r="H6561" s="7" t="n">
        <f aca="false">(Sens!H6558-Sens!H6557)*(1-tax_f)/((Sens!G6559+Sens!H6559)/2)</f>
        <v>-0.0500163149649026</v>
      </c>
      <c r="I6561" s="7" t="n">
        <f aca="false">(Sens!I6558-Sens!I6557)*(1-tax_f)/((Sens!H6559+Sens!I6559)/2)</f>
        <v>-0.0562005904380644</v>
      </c>
      <c r="J6561" s="7" t="n">
        <f aca="false">(Sens!J6558-Sens!J6557)*(1-tax_f)/((Sens!I6559+Sens!J6559)/2)</f>
        <v>-0.0629113414567074</v>
      </c>
      <c r="K6561" s="7" t="n">
        <f aca="false">(Sens!K6558-Sens!K6557)*(1-tax_f)/((Sens!J6559+Sens!K6559)/2)</f>
        <v>-0.0689067933664016</v>
      </c>
    </row>
    <row r="6562" customFormat="false" ht="17.15" hidden="false" customHeight="false" outlineLevel="0" collapsed="false">
      <c r="A6562" s="1" t="s">
        <v>1012</v>
      </c>
      <c r="B6562" s="0" t="s">
        <v>168</v>
      </c>
      <c r="F6562" s="7" t="n">
        <f aca="false">(Sens!F6558-Sens!F6557+Sens!F6556)*(1-tax_f)/((Sens!E6559+Sens!F6559)/2)</f>
        <v>0.0451997552588673</v>
      </c>
      <c r="G6562" s="7" t="n">
        <f aca="false">(Sens!G6558-Sens!G6557+Sens!G6556)*(1-tax_f)/((Sens!F6559+Sens!G6559)/2)</f>
        <v>0.0430347802726125</v>
      </c>
      <c r="H6562" s="7" t="n">
        <f aca="false">(Sens!H6558-Sens!H6557+Sens!H6556)*(1-tax_f)/((Sens!G6559+Sens!H6559)/2)</f>
        <v>0.0335788173672753</v>
      </c>
      <c r="I6562" s="7" t="n">
        <f aca="false">(Sens!I6558-Sens!I6557+Sens!I6556)*(1-tax_f)/((Sens!H6559+Sens!I6559)/2)</f>
        <v>0.0399059261246392</v>
      </c>
      <c r="J6562" s="7" t="n">
        <f aca="false">(Sens!J6558-Sens!J6557+Sens!J6556)*(1-tax_f)/((Sens!I6559+Sens!J6559)/2)</f>
        <v>0.0455834973870968</v>
      </c>
      <c r="K6562" s="7" t="n">
        <f aca="false">(Sens!K6558-Sens!K6557+Sens!K6556)*(1-tax_f)/((Sens!J6559+Sens!K6559)/2)</f>
        <v>0.0523186667491918</v>
      </c>
    </row>
    <row r="6563" customFormat="false" ht="17.15" hidden="false" customHeight="false" outlineLevel="0" collapsed="false">
      <c r="A6563" s="1" t="s">
        <v>1013</v>
      </c>
      <c r="B6563" s="0" t="s">
        <v>168</v>
      </c>
      <c r="F6563" s="7" t="n">
        <f aca="false">Sens!F6488*(1-tax_f)/(Sens!F6474*(Sens!E6559+Sens!F6559)/2)</f>
        <v>0.102612746385863</v>
      </c>
      <c r="G6563" s="7" t="n">
        <f aca="false">Sens!G6488*(1-tax_f)/(Sens!G6474*(Sens!F6559+Sens!G6559)/2)</f>
        <v>0.0720572393548788</v>
      </c>
      <c r="H6563" s="7" t="n">
        <f aca="false">Sens!H6488*(1-tax_f)/(Sens!H6474*(Sens!G6559+Sens!H6559)/2)</f>
        <v>0.0435333467520231</v>
      </c>
      <c r="I6563" s="7" t="n">
        <f aca="false">Sens!I6488*(1-tax_f)/(Sens!I6474*(Sens!H6559+Sens!I6559)/2)</f>
        <v>0.0465280023451059</v>
      </c>
      <c r="J6563" s="7" t="n">
        <f aca="false">Sens!J6488*(1-tax_f)/(Sens!J6474*(Sens!I6559+Sens!J6559)/2)</f>
        <v>0.0508393247252737</v>
      </c>
      <c r="K6563" s="7" t="n">
        <f aca="false">Sens!K6488*(1-tax_f)/(Sens!K6474*(Sens!J6559+Sens!K6559)/2)</f>
        <v>0.0575502406814991</v>
      </c>
    </row>
    <row r="6564" customFormat="false" ht="17.15" hidden="false" customHeight="false" outlineLevel="0" collapsed="false">
      <c r="A6564" s="0" t="s">
        <v>1014</v>
      </c>
      <c r="B6564" s="0" t="s">
        <v>253</v>
      </c>
      <c r="F6564" s="7" t="n">
        <f aca="false">Sens!F6560-wacc</f>
        <v>-0.05773683568673</v>
      </c>
      <c r="G6564" s="7" t="n">
        <f aca="false">Sens!G6560-wacc</f>
        <v>-0.0599018106729848</v>
      </c>
      <c r="H6564" s="7" t="n">
        <f aca="false">Sens!H6560-wacc</f>
        <v>-0.069357773578322</v>
      </c>
      <c r="I6564" s="7" t="n">
        <f aca="false">Sens!I6560-wacc</f>
        <v>-0.0630306648209581</v>
      </c>
      <c r="J6564" s="7" t="n">
        <f aca="false">Sens!J6560-wacc</f>
        <v>-0.0573530935585005</v>
      </c>
      <c r="K6564" s="7" t="n">
        <f aca="false">Sens!K6560-wacc</f>
        <v>-0.0506179241964055</v>
      </c>
    </row>
    <row r="6565" customFormat="false" ht="17.15" hidden="false" customHeight="false" outlineLevel="0" collapsed="false">
      <c r="A6565" s="0" t="s">
        <v>1015</v>
      </c>
      <c r="B6565" s="0" t="s">
        <v>98</v>
      </c>
      <c r="F6565" s="6" t="n">
        <f aca="false">Sens!F6558*(1-tax_f)-wacc*(Sens!E6559+Sens!F6559)/2</f>
        <v>-11.1798914035203</v>
      </c>
      <c r="G6565" s="6" t="n">
        <f aca="false">Sens!G6558*(1-tax_f)-wacc*(Sens!F6559+Sens!G6559)/2</f>
        <v>-19.5386300547076</v>
      </c>
      <c r="H6565" s="6" t="n">
        <f aca="false">Sens!H6558*(1-tax_f)-wacc*(Sens!G6559+Sens!H6559)/2</f>
        <v>-30.9082909251955</v>
      </c>
      <c r="I6565" s="6" t="n">
        <f aca="false">Sens!I6558*(1-tax_f)-wacc*(Sens!H6559+Sens!I6559)/2</f>
        <v>-33.1970181633455</v>
      </c>
      <c r="J6565" s="6" t="n">
        <f aca="false">Sens!J6558*(1-tax_f)-wacc*(Sens!I6559+Sens!J6559)/2</f>
        <v>-31.6778042936003</v>
      </c>
      <c r="K6565" s="6" t="n">
        <f aca="false">Sens!K6558*(1-tax_f)-wacc*(Sens!J6559+Sens!K6559)/2</f>
        <v>-27.2709988902172</v>
      </c>
    </row>
    <row r="6566" customFormat="false" ht="17.15" hidden="false" customHeight="false" outlineLevel="0" collapsed="false">
      <c r="A6566" s="3" t="s">
        <v>1643</v>
      </c>
    </row>
    <row r="6567" customFormat="false" ht="15" hidden="false" customHeight="false" outlineLevel="0" collapsed="false">
      <c r="A6567" s="4" t="s">
        <v>43</v>
      </c>
      <c r="B6567" s="4" t="s">
        <v>65</v>
      </c>
      <c r="C6567" s="23" t="s">
        <v>938</v>
      </c>
      <c r="D6567" s="23" t="s">
        <v>939</v>
      </c>
      <c r="E6567" s="23" t="s">
        <v>940</v>
      </c>
      <c r="F6567" s="23" t="s">
        <v>941</v>
      </c>
      <c r="G6567" s="23" t="s">
        <v>942</v>
      </c>
      <c r="H6567" s="23" t="s">
        <v>943</v>
      </c>
      <c r="I6567" s="23" t="s">
        <v>944</v>
      </c>
      <c r="J6567" s="23" t="s">
        <v>945</v>
      </c>
      <c r="K6567" s="23" t="s">
        <v>946</v>
      </c>
      <c r="L6567" s="4" t="s">
        <v>47</v>
      </c>
    </row>
    <row r="6568" customFormat="false" ht="15" hidden="false" customHeight="false" outlineLevel="0" collapsed="false">
      <c r="A6568" s="1" t="s">
        <v>1076</v>
      </c>
      <c r="B6568" s="0" t="s">
        <v>98</v>
      </c>
      <c r="F6568" s="6" t="n">
        <f aca="false">Sens!F6549</f>
        <v>141.85457728354</v>
      </c>
      <c r="G6568" s="6" t="n">
        <f aca="false">Sens!G6549</f>
        <v>144.595797312976</v>
      </c>
      <c r="H6568" s="6" t="n">
        <f aca="false">Sens!H6549</f>
        <v>146.702052127202</v>
      </c>
      <c r="I6568" s="6" t="n">
        <f aca="false">Sens!I6549</f>
        <v>155.245665929389</v>
      </c>
      <c r="J6568" s="6" t="n">
        <f aca="false">Sens!J6549</f>
        <v>165.024372677975</v>
      </c>
      <c r="K6568" s="6" t="n">
        <f aca="false">Sens!K6549</f>
        <v>176.003411915518</v>
      </c>
    </row>
    <row r="6569" customFormat="false" ht="17.15" hidden="false" customHeight="false" outlineLevel="0" collapsed="false">
      <c r="A6569" s="1" t="s">
        <v>1098</v>
      </c>
      <c r="B6569" s="0" t="s">
        <v>98</v>
      </c>
      <c r="E6569" s="6" t="n">
        <f aca="false">Q!M38-Sens!E6487</f>
        <v>22.2285940229167</v>
      </c>
      <c r="F6569" s="6" t="n">
        <f aca="false">Sens!E6569*(1-1/life_nonai)+(Sens!F6577+Sens!F6578)/life_nonai</f>
        <v>23.5859033320454</v>
      </c>
      <c r="G6569" s="6" t="n">
        <f aca="false">Sens!F6569*(1-1/life_nonai)+(Sens!G6577)/life_nonai</f>
        <v>25.3425194804228</v>
      </c>
      <c r="H6569" s="6" t="n">
        <f aca="false">Sens!G6569*(1-1/life_nonai)+(Sens!H6577)/life_nonai</f>
        <v>27.467150884557</v>
      </c>
      <c r="I6569" s="6" t="n">
        <f aca="false">Sens!H6569*(1-1/life_nonai)+(Sens!I6577)/life_nonai</f>
        <v>29.903051368409</v>
      </c>
      <c r="J6569" s="6" t="n">
        <f aca="false">Sens!I6569*(1-1/life_nonai)+(Sens!J6577)/life_nonai</f>
        <v>32.5754282446046</v>
      </c>
      <c r="K6569" s="6" t="n">
        <f aca="false">Sens!J6569*(1-1/life_nonai)+(Sens!K6577)/life_nonai</f>
        <v>35.399961142277</v>
      </c>
      <c r="L6569" s="12" t="s">
        <v>1099</v>
      </c>
    </row>
    <row r="6570" customFormat="false" ht="17.15" hidden="false" customHeight="false" outlineLevel="0" collapsed="false">
      <c r="A6570" s="1" t="s">
        <v>1100</v>
      </c>
      <c r="B6570" s="0" t="s">
        <v>98</v>
      </c>
      <c r="F6570" s="6" t="n">
        <f aca="false">Sens!$F$6578/life_nonai*(1-1/life_nonai)^(Sens!F6450-2027)</f>
        <v>0</v>
      </c>
      <c r="G6570" s="6" t="n">
        <f aca="false">Sens!$F$6578/life_nonai*(1-1/life_nonai)^(Sens!G6450-2027)</f>
        <v>0</v>
      </c>
      <c r="H6570" s="6" t="n">
        <f aca="false">Sens!$F$6578/life_nonai*(1-1/life_nonai)^(Sens!H6450-2027)</f>
        <v>0</v>
      </c>
      <c r="I6570" s="6" t="n">
        <f aca="false">Sens!$F$6578/life_nonai*(1-1/life_nonai)^(Sens!I6450-2027)</f>
        <v>0</v>
      </c>
      <c r="J6570" s="6" t="n">
        <f aca="false">Sens!$F$6578/life_nonai*(1-1/life_nonai)^(Sens!J6450-2027)</f>
        <v>0</v>
      </c>
      <c r="K6570" s="6" t="n">
        <f aca="false">Sens!$F$6578/life_nonai*(1-1/life_nonai)^(Sens!K6450-2027)</f>
        <v>0</v>
      </c>
      <c r="L6570" s="1" t="s">
        <v>1101</v>
      </c>
    </row>
    <row r="6571" customFormat="false" ht="17.15" hidden="false" customHeight="false" outlineLevel="0" collapsed="false">
      <c r="A6571" s="1" t="s">
        <v>1102</v>
      </c>
      <c r="B6571" s="0" t="s">
        <v>98</v>
      </c>
      <c r="E6571" s="6" t="n">
        <f aca="false">Sens!E6487+Sens!E6569</f>
        <v>38.534</v>
      </c>
      <c r="F6571" s="6" t="n">
        <f aca="false">Sens!F6487+Sens!F6569</f>
        <v>58.165217810397</v>
      </c>
      <c r="G6571" s="6" t="n">
        <f aca="false">Sens!G6487+Sens!G6569</f>
        <v>86.0770101327217</v>
      </c>
      <c r="H6571" s="6" t="n">
        <f aca="false">Sens!H6487+Sens!H6569</f>
        <v>116.567241546003</v>
      </c>
      <c r="I6571" s="6" t="n">
        <f aca="false">Sens!I6487+Sens!I6569</f>
        <v>144.134061062957</v>
      </c>
      <c r="J6571" s="6" t="n">
        <f aca="false">Sens!J6487+Sens!J6569</f>
        <v>164.591101294201</v>
      </c>
      <c r="K6571" s="6" t="n">
        <f aca="false">Sens!K6487+Sens!K6569</f>
        <v>178.412630693211</v>
      </c>
    </row>
    <row r="6572" customFormat="false" ht="17.15" hidden="false" customHeight="false" outlineLevel="0" collapsed="false">
      <c r="A6572" s="1" t="s">
        <v>1103</v>
      </c>
      <c r="B6572" s="0" t="s">
        <v>98</v>
      </c>
      <c r="F6572" s="6" t="n">
        <f aca="false">Sens!F6514*sbc_r</f>
        <v>14.7616690193835</v>
      </c>
      <c r="G6572" s="6" t="n">
        <f aca="false">Sens!G6514*sbc_r</f>
        <v>17.1920622306302</v>
      </c>
      <c r="H6572" s="6" t="n">
        <f aca="false">Sens!H6514*sbc_r</f>
        <v>19.4636027255332</v>
      </c>
      <c r="I6572" s="6" t="n">
        <f aca="false">Sens!I6514*sbc_r</f>
        <v>21.8384891741006</v>
      </c>
      <c r="J6572" s="6" t="n">
        <f aca="false">Sens!J6514*sbc_r</f>
        <v>23.8325024429929</v>
      </c>
      <c r="K6572" s="6" t="n">
        <f aca="false">Sens!K6514*sbc_r</f>
        <v>25.4632801680331</v>
      </c>
    </row>
    <row r="6573" customFormat="false" ht="17.15" hidden="false" customHeight="false" outlineLevel="0" collapsed="false">
      <c r="A6573" s="1" t="s">
        <v>1104</v>
      </c>
      <c r="B6573" s="0" t="s">
        <v>98</v>
      </c>
      <c r="F6573" s="6" t="n">
        <f aca="false">wc27-wc26q1</f>
        <v>-4.677</v>
      </c>
      <c r="G6573" s="6" t="n">
        <f aca="false">wc_f</f>
        <v>0</v>
      </c>
      <c r="H6573" s="6" t="n">
        <f aca="false">wc_f</f>
        <v>0</v>
      </c>
      <c r="I6573" s="6" t="n">
        <f aca="false">wc_f</f>
        <v>0</v>
      </c>
      <c r="J6573" s="6" t="n">
        <f aca="false">wc_f</f>
        <v>0</v>
      </c>
      <c r="K6573" s="6" t="n">
        <f aca="false">wc_f</f>
        <v>0</v>
      </c>
      <c r="L6573" s="12" t="s">
        <v>1105</v>
      </c>
    </row>
    <row r="6574" customFormat="false" ht="17.15" hidden="false" customHeight="false" outlineLevel="0" collapsed="false">
      <c r="A6574" s="0" t="s">
        <v>1106</v>
      </c>
      <c r="B6574" s="0" t="s">
        <v>98</v>
      </c>
      <c r="F6574" s="6" t="n">
        <f aca="false">Q!$I$35-Q!$I$26-Q!$I$38-Q!$I$39</f>
        <v>6.493</v>
      </c>
      <c r="L6574" s="1" t="s">
        <v>1107</v>
      </c>
    </row>
    <row r="6575" customFormat="false" ht="15" hidden="false" customHeight="false" outlineLevel="0" collapsed="false">
      <c r="A6575" s="1" t="s">
        <v>904</v>
      </c>
      <c r="B6575" s="0" t="s">
        <v>98</v>
      </c>
      <c r="E6575" s="6" t="n">
        <f aca="false">Q!M35</f>
        <v>182.935</v>
      </c>
      <c r="F6575" s="6" t="n">
        <f aca="false">Sens!F6568+Sens!F6571+Sens!F6572+Sens!F6573+Sens!F6574</f>
        <v>216.597464113321</v>
      </c>
      <c r="G6575" s="6" t="n">
        <f aca="false">Sens!G6568+Sens!G6571+Sens!G6572+Sens!G6573</f>
        <v>247.864869676328</v>
      </c>
      <c r="H6575" s="6" t="n">
        <f aca="false">Sens!H6568+Sens!H6571+Sens!H6572+Sens!H6573</f>
        <v>282.732896398738</v>
      </c>
      <c r="I6575" s="6" t="n">
        <f aca="false">Sens!I6568+Sens!I6571+Sens!I6572+Sens!I6573</f>
        <v>321.218216166447</v>
      </c>
      <c r="J6575" s="6" t="n">
        <f aca="false">Sens!J6568+Sens!J6571+Sens!J6572+Sens!J6573</f>
        <v>353.447976415169</v>
      </c>
      <c r="K6575" s="6" t="n">
        <f aca="false">Sens!K6568+Sens!K6571+Sens!K6572+Sens!K6573</f>
        <v>379.879322776762</v>
      </c>
    </row>
    <row r="6576" customFormat="false" ht="17.15" hidden="false" customHeight="false" outlineLevel="0" collapsed="false">
      <c r="A6576" s="0" t="s">
        <v>1108</v>
      </c>
      <c r="B6576" s="0" t="s">
        <v>98</v>
      </c>
      <c r="F6576" s="6" t="n">
        <f aca="false">Sens!F6484</f>
        <v>168.45390404212</v>
      </c>
      <c r="G6576" s="6" t="n">
        <f aca="false">Sens!G6484</f>
        <v>191.944475649048</v>
      </c>
      <c r="H6576" s="6" t="n">
        <f aca="false">Sens!H6484</f>
        <v>196.806004064512</v>
      </c>
      <c r="I6576" s="6" t="n">
        <f aca="false">Sens!I6484</f>
        <v>168.61483362161</v>
      </c>
      <c r="J6576" s="6" t="n">
        <f aca="false">Sens!J6484</f>
        <v>128.92993119594</v>
      </c>
      <c r="K6576" s="6" t="n">
        <f aca="false">Sens!K6484</f>
        <v>118.962853064733</v>
      </c>
    </row>
    <row r="6577" customFormat="false" ht="17.15" hidden="false" customHeight="false" outlineLevel="0" collapsed="false">
      <c r="A6577" s="1" t="s">
        <v>1109</v>
      </c>
      <c r="B6577" s="0" t="s">
        <v>98</v>
      </c>
      <c r="E6577" s="6" t="n">
        <f aca="false">Sens!E6492*cx_azo+Sens!E6499*cx_m365+Sens!E6500*cx_lic+(Sens!E6502+Sens!E6504)*cx_ind+Sens!E6507*cx_srch+(Sens!E6509+Sens!E6511)*cx_dev</f>
        <v>30.1846587067718</v>
      </c>
      <c r="F6577" s="6" t="n">
        <f aca="false">Sens!F6492*cx_azo+Sens!F6499*cx_m365+Sens!F6500*cx_lic+(Sens!F6502+Sens!F6504)*cx_ind+Sens!F6507*cx_srch+(Sens!F6509+Sens!F6511)*cx_dev</f>
        <v>35.801687114204</v>
      </c>
      <c r="G6577" s="6" t="n">
        <f aca="false">Sens!G6492*cx_azo+Sens!G6499*cx_m365+Sens!G6500*cx_lic+(Sens!G6502+Sens!G6504)*cx_ind+Sens!G6507*cx_srch+(Sens!G6509+Sens!G6511)*cx_dev</f>
        <v>41.1520648158192</v>
      </c>
      <c r="H6577" s="6" t="n">
        <f aca="false">Sens!H6492*cx_azo+Sens!H6499*cx_m365+Sens!H6500*cx_lic+(Sens!H6502+Sens!H6504)*cx_ind+Sens!H6507*cx_srch+(Sens!H6509+Sens!H6511)*cx_dev</f>
        <v>46.5888335217652</v>
      </c>
      <c r="I6577" s="6" t="n">
        <f aca="false">Sens!I6492*cx_azo+Sens!I6499*cx_m365+Sens!I6500*cx_lic+(Sens!I6502+Sens!I6504)*cx_ind+Sens!I6507*cx_srch+(Sens!I6509+Sens!I6511)*cx_dev</f>
        <v>51.8261557230768</v>
      </c>
      <c r="J6577" s="6" t="n">
        <f aca="false">Sens!J6492*cx_azo+Sens!J6499*cx_m365+Sens!J6500*cx_lic+(Sens!J6502+Sens!J6504)*cx_ind+Sens!J6507*cx_srch+(Sens!J6509+Sens!J6511)*cx_dev</f>
        <v>56.6268201303645</v>
      </c>
      <c r="K6577" s="6" t="n">
        <f aca="false">Sens!K6492*cx_azo+Sens!K6499*cx_m365+Sens!K6500*cx_lic+(Sens!K6502+Sens!K6504)*cx_ind+Sens!K6507*cx_srch+(Sens!K6509+Sens!K6511)*cx_dev</f>
        <v>60.8207572213294</v>
      </c>
    </row>
    <row r="6578" customFormat="false" ht="17.15" hidden="false" customHeight="false" outlineLevel="0" collapsed="false">
      <c r="A6578" s="0" t="s">
        <v>1110</v>
      </c>
      <c r="B6578" s="0" t="s">
        <v>98</v>
      </c>
      <c r="F6578" s="6" t="n">
        <f aca="false">Sens!F6482</f>
        <v>0</v>
      </c>
      <c r="L6578" s="1" t="s">
        <v>1111</v>
      </c>
    </row>
    <row r="6579" customFormat="false" ht="17.15" hidden="false" customHeight="false" outlineLevel="0" collapsed="false">
      <c r="A6579" s="1" t="s">
        <v>1112</v>
      </c>
      <c r="B6579" s="0" t="s">
        <v>98</v>
      </c>
      <c r="E6579" s="6" t="n">
        <f aca="false">Q!M43</f>
        <v>145.3</v>
      </c>
      <c r="F6579" s="6" t="n">
        <f aca="false">Sens!F6576+Sens!F6577+Sens!F6578</f>
        <v>204.255591156324</v>
      </c>
      <c r="G6579" s="6" t="n">
        <f aca="false">Sens!G6576+Sens!G6577</f>
        <v>233.096540464867</v>
      </c>
      <c r="H6579" s="6" t="n">
        <f aca="false">Sens!H6576+Sens!H6577</f>
        <v>243.394837586277</v>
      </c>
      <c r="I6579" s="6" t="n">
        <f aca="false">Sens!I6576+Sens!I6577</f>
        <v>220.440989344687</v>
      </c>
      <c r="J6579" s="6" t="n">
        <f aca="false">Sens!J6576+Sens!J6577</f>
        <v>185.556751326305</v>
      </c>
      <c r="K6579" s="6" t="n">
        <f aca="false">Sens!K6576+Sens!K6577</f>
        <v>179.783610286062</v>
      </c>
      <c r="L6579" s="1" t="s">
        <v>1113</v>
      </c>
    </row>
    <row r="6580" customFormat="false" ht="15" hidden="false" customHeight="false" outlineLevel="0" collapsed="false">
      <c r="A6580" s="1" t="s">
        <v>1114</v>
      </c>
      <c r="B6580" s="0" t="s">
        <v>98</v>
      </c>
      <c r="E6580" s="6" t="n">
        <f aca="false">fl_liab</f>
        <v>66.594</v>
      </c>
      <c r="F6580" s="6" t="n">
        <f aca="false">Sens!E6580-Sens!F6581</f>
        <v>62.46973</v>
      </c>
      <c r="G6580" s="6" t="n">
        <f aca="false">Sens!F6580-Sens!G6581</f>
        <v>57.98686785</v>
      </c>
      <c r="H6580" s="6" t="n">
        <f aca="false">Sens!G6580-Sens!H6581</f>
        <v>53.92827690325</v>
      </c>
      <c r="I6580" s="6" t="n">
        <f aca="false">Sens!H6580-Sens!I6581</f>
        <v>49.7850493638962</v>
      </c>
      <c r="J6580" s="6" t="n">
        <f aca="false">Sens!I6580-Sens!J6581</f>
        <v>45.4823765852716</v>
      </c>
      <c r="K6580" s="6" t="n">
        <f aca="false">Sens!J6580-Sens!K6581</f>
        <v>40.9860835316088</v>
      </c>
    </row>
    <row r="6581" customFormat="false" ht="15" hidden="false" customHeight="false" outlineLevel="0" collapsed="false">
      <c r="A6581" s="1" t="s">
        <v>1115</v>
      </c>
      <c r="B6581" s="0" t="s">
        <v>98</v>
      </c>
      <c r="F6581" s="6" t="n">
        <f aca="false">fl_pay_27-Sens!E6580*fl_rate</f>
        <v>4.12427</v>
      </c>
      <c r="G6581" s="6" t="n">
        <f aca="false">fl_pay_28-Sens!F6580*fl_rate</f>
        <v>4.48286215</v>
      </c>
      <c r="H6581" s="6" t="n">
        <f aca="false">fl_pay_29-Sens!G6580*fl_rate</f>
        <v>4.05859094675</v>
      </c>
      <c r="I6581" s="6" t="n">
        <f aca="false">fl_pay_30-Sens!H6580*fl_rate</f>
        <v>4.14322753935375</v>
      </c>
      <c r="J6581" s="6" t="n">
        <f aca="false">fl_pay_31-Sens!I6580*fl_rate</f>
        <v>4.30267277862467</v>
      </c>
      <c r="K6581" s="6" t="n">
        <f aca="false">fl_pay_32-Sens!J6580*fl_rate</f>
        <v>4.49629305366278</v>
      </c>
    </row>
    <row r="6582" customFormat="false" ht="17.15" hidden="false" customHeight="false" outlineLevel="0" collapsed="false">
      <c r="A6582" s="1" t="s">
        <v>1116</v>
      </c>
      <c r="B6582" s="0" t="s">
        <v>98</v>
      </c>
      <c r="E6582" s="6" t="n">
        <f aca="false">Q!M35-Q!M36-Q!M44</f>
        <v>63.886</v>
      </c>
      <c r="F6582" s="6" t="n">
        <f aca="false">Sens!F6575-Sens!F6579-Sens!F6581</f>
        <v>8.21760295699718</v>
      </c>
      <c r="G6582" s="6" t="n">
        <f aca="false">Sens!G6575-Sens!G6579-Sens!G6581</f>
        <v>10.2854670614605</v>
      </c>
      <c r="H6582" s="6" t="n">
        <f aca="false">Sens!H6575-Sens!H6579-Sens!H6581</f>
        <v>35.2794678657101</v>
      </c>
      <c r="I6582" s="6" t="n">
        <f aca="false">Sens!I6575-Sens!I6579-Sens!I6581</f>
        <v>96.6339992824057</v>
      </c>
      <c r="J6582" s="6" t="n">
        <f aca="false">Sens!J6575-Sens!J6579-Sens!J6581</f>
        <v>163.588552310239</v>
      </c>
      <c r="K6582" s="6" t="n">
        <f aca="false">Sens!K6575-Sens!K6579-Sens!K6581</f>
        <v>195.599419437037</v>
      </c>
      <c r="L6582" s="12" t="s">
        <v>1117</v>
      </c>
    </row>
    <row r="6583" customFormat="false" ht="15" hidden="false" customHeight="false" outlineLevel="0" collapsed="false">
      <c r="A6583" s="1" t="s">
        <v>1118</v>
      </c>
      <c r="B6583" s="0" t="s">
        <v>75</v>
      </c>
      <c r="F6583" s="8" t="n">
        <f aca="false">dps_27</f>
        <v>3.85</v>
      </c>
      <c r="G6583" s="8" t="n">
        <f aca="false">Sens!F6583*(1+dps_g)</f>
        <v>4.158</v>
      </c>
      <c r="H6583" s="8" t="n">
        <f aca="false">Sens!G6583*(1+dps_g)</f>
        <v>4.49064</v>
      </c>
      <c r="I6583" s="8" t="n">
        <f aca="false">Sens!H6583*(1+dps_g)</f>
        <v>4.8498912</v>
      </c>
      <c r="J6583" s="8" t="n">
        <f aca="false">Sens!I6583*(1+dps_g)</f>
        <v>5.237882496</v>
      </c>
      <c r="K6583" s="8" t="n">
        <f aca="false">Sens!J6583*(1+dps_g)</f>
        <v>5.65691309568</v>
      </c>
    </row>
    <row r="6584" customFormat="false" ht="17.15" hidden="false" customHeight="false" outlineLevel="0" collapsed="false">
      <c r="A6584" s="1" t="s">
        <v>1119</v>
      </c>
      <c r="B6584" s="0" t="s">
        <v>98</v>
      </c>
      <c r="E6584" s="6" t="n">
        <f aca="false">Q!M41</f>
        <v>26.445</v>
      </c>
      <c r="F6584" s="6" t="n">
        <f aca="false">Sens!F6583*Sens!E6593</f>
        <v>28.59395</v>
      </c>
      <c r="G6584" s="6" t="n">
        <f aca="false">Sens!G6583*Sens!F6593</f>
        <v>31.068576</v>
      </c>
      <c r="H6584" s="6" t="n">
        <f aca="false">Sens!H6583*Sens!G6593</f>
        <v>33.75614088</v>
      </c>
      <c r="I6584" s="6" t="n">
        <f aca="false">Sens!I6583*Sens!H6593</f>
        <v>36.6748772544</v>
      </c>
      <c r="J6584" s="6" t="n">
        <f aca="false">Sens!J6583*Sens!I6593</f>
        <v>39.6767653201446</v>
      </c>
      <c r="K6584" s="6" t="n">
        <f aca="false">Sens!K6583*Sens!J6593</f>
        <v>42.9376608081345</v>
      </c>
      <c r="L6584" s="1" t="s">
        <v>1120</v>
      </c>
    </row>
    <row r="6585" customFormat="false" ht="15" hidden="false" customHeight="false" outlineLevel="0" collapsed="false">
      <c r="A6585" s="1" t="s">
        <v>1121</v>
      </c>
      <c r="B6585" s="0" t="s">
        <v>98</v>
      </c>
      <c r="E6585" s="6" t="n">
        <f aca="false">Sens!E6582-Sens!E6584</f>
        <v>37.441</v>
      </c>
      <c r="F6585" s="6" t="n">
        <f aca="false">Sens!F6582-Sens!F6584</f>
        <v>-20.3763470430028</v>
      </c>
      <c r="G6585" s="6" t="n">
        <f aca="false">Sens!G6582-Sens!G6584</f>
        <v>-20.7831089385395</v>
      </c>
      <c r="H6585" s="6" t="n">
        <f aca="false">Sens!H6582-Sens!H6584</f>
        <v>1.5233269857101</v>
      </c>
      <c r="I6585" s="6" t="n">
        <f aca="false">Sens!I6582-Sens!I6584</f>
        <v>59.9591220280057</v>
      </c>
      <c r="J6585" s="6" t="n">
        <f aca="false">Sens!J6582-Sens!J6584</f>
        <v>123.911786990095</v>
      </c>
      <c r="K6585" s="6" t="n">
        <f aca="false">Sens!K6582-Sens!K6584</f>
        <v>152.661758628903</v>
      </c>
    </row>
    <row r="6586" customFormat="false" ht="15" hidden="false" customHeight="false" outlineLevel="0" collapsed="false">
      <c r="A6586" s="1" t="s">
        <v>1122</v>
      </c>
      <c r="B6586" s="0" t="s">
        <v>98</v>
      </c>
      <c r="F6586" s="6" t="n">
        <f aca="false">debt_mat_27</f>
        <v>9.25</v>
      </c>
      <c r="G6586" s="6" t="n">
        <f aca="false">debt_mat_28</f>
        <v>0</v>
      </c>
      <c r="H6586" s="6" t="n">
        <f aca="false">debt_mat_29</f>
        <v>2.001</v>
      </c>
      <c r="I6586" s="6" t="n">
        <f aca="false">debt_mat_30</f>
        <v>0</v>
      </c>
      <c r="J6586" s="6" t="n">
        <f aca="false">debt_mat_31</f>
        <v>0.5</v>
      </c>
      <c r="K6586" s="6" t="n">
        <f aca="false">debt_mat_32</f>
        <v>0</v>
      </c>
    </row>
    <row r="6587" customFormat="false" ht="15" hidden="false" customHeight="false" outlineLevel="0" collapsed="false">
      <c r="A6587" s="1" t="s">
        <v>1123</v>
      </c>
      <c r="B6587" s="0" t="s">
        <v>98</v>
      </c>
      <c r="E6587" s="6" t="n">
        <f aca="false">Q!M40</f>
        <v>22.271</v>
      </c>
      <c r="F6587" s="6" t="n">
        <f aca="false">MAX(0,MIN(bb_target,Sens!E6589+Sens!F6585-Sens!F6586-min_cash))</f>
        <v>0</v>
      </c>
      <c r="G6587" s="6" t="n">
        <f aca="false">MAX(0,MIN(bb_target,Sens!F6589+Sens!G6585-Sens!G6586-min_cash))</f>
        <v>0</v>
      </c>
      <c r="H6587" s="6" t="n">
        <f aca="false">MAX(0,MIN(bb_target,Sens!G6589+Sens!H6585-Sens!H6586-min_cash))</f>
        <v>0</v>
      </c>
      <c r="I6587" s="6" t="n">
        <f aca="false">MAX(0,MIN(bb_target,Sens!H6589+Sens!I6585-Sens!I6586-min_cash))</f>
        <v>22.271</v>
      </c>
      <c r="J6587" s="6" t="n">
        <f aca="false">MAX(0,MIN(bb_target,Sens!I6589+Sens!J6585-Sens!J6586-min_cash))</f>
        <v>22.271</v>
      </c>
      <c r="K6587" s="6" t="n">
        <f aca="false">MAX(0,MIN(bb_target,Sens!J6589+Sens!K6585-Sens!K6586-min_cash))</f>
        <v>22.271</v>
      </c>
    </row>
    <row r="6588" customFormat="false" ht="15" hidden="false" customHeight="false" outlineLevel="0" collapsed="false">
      <c r="A6588" s="1" t="s">
        <v>1124</v>
      </c>
      <c r="B6588" s="0" t="s">
        <v>98</v>
      </c>
      <c r="F6588" s="6" t="n">
        <f aca="false">MAX(0,min_cash-(Sens!E6589+Sens!F6585-Sens!F6586-Sens!F6587))</f>
        <v>2.78334704300282</v>
      </c>
      <c r="G6588" s="6" t="n">
        <f aca="false">MAX(0,min_cash-(Sens!F6589+Sens!G6585-Sens!G6586-Sens!G6587))</f>
        <v>20.7831089385395</v>
      </c>
      <c r="H6588" s="6" t="n">
        <f aca="false">MAX(0,min_cash-(Sens!G6589+Sens!H6585-Sens!H6586-Sens!H6587))</f>
        <v>0.477673014289898</v>
      </c>
      <c r="I6588" s="6" t="n">
        <f aca="false">MAX(0,min_cash-(Sens!H6589+Sens!I6585-Sens!I6586-Sens!I6587))</f>
        <v>0</v>
      </c>
      <c r="J6588" s="6" t="n">
        <f aca="false">MAX(0,min_cash-(Sens!I6589+Sens!J6585-Sens!J6586-Sens!J6587))</f>
        <v>0</v>
      </c>
      <c r="K6588" s="6" t="n">
        <f aca="false">MAX(0,min_cash-(Sens!J6589+Sens!K6585-Sens!K6586-Sens!K6587))</f>
        <v>0</v>
      </c>
    </row>
    <row r="6589" customFormat="false" ht="15" hidden="false" customHeight="false" outlineLevel="0" collapsed="false">
      <c r="A6589" s="1" t="s">
        <v>1125</v>
      </c>
      <c r="B6589" s="0" t="s">
        <v>98</v>
      </c>
      <c r="E6589" s="6" t="n">
        <f aca="false">cash_open</f>
        <v>76.843</v>
      </c>
      <c r="F6589" s="6" t="n">
        <f aca="false">Sens!E6589+Sens!F6585-Sens!F6586-Sens!F6587+Sens!F6588</f>
        <v>50</v>
      </c>
      <c r="G6589" s="6" t="n">
        <f aca="false">Sens!F6589+Sens!G6585-Sens!G6586-Sens!G6587+Sens!G6588</f>
        <v>50</v>
      </c>
      <c r="H6589" s="6" t="n">
        <f aca="false">Sens!G6589+Sens!H6585-Sens!H6586-Sens!H6587+Sens!H6588</f>
        <v>50</v>
      </c>
      <c r="I6589" s="6" t="n">
        <f aca="false">Sens!H6589+Sens!I6585-Sens!I6586-Sens!I6587+Sens!I6588</f>
        <v>87.6881220280057</v>
      </c>
      <c r="J6589" s="6" t="n">
        <f aca="false">Sens!I6589+Sens!J6585-Sens!J6586-Sens!J6587+Sens!J6588</f>
        <v>188.8289090181</v>
      </c>
      <c r="K6589" s="6" t="n">
        <f aca="false">Sens!J6589+Sens!K6585-Sens!K6586-Sens!K6587+Sens!K6588</f>
        <v>319.219667647003</v>
      </c>
    </row>
    <row r="6590" customFormat="false" ht="15" hidden="false" customHeight="false" outlineLevel="0" collapsed="false">
      <c r="A6590" s="1" t="s">
        <v>1126</v>
      </c>
      <c r="B6590" s="0" t="s">
        <v>98</v>
      </c>
      <c r="E6590" s="6" t="n">
        <f aca="false">debt_face</f>
        <v>46.136</v>
      </c>
      <c r="F6590" s="6" t="n">
        <f aca="false">Sens!E6590-Sens!F6586+Sens!F6588</f>
        <v>39.6693470430028</v>
      </c>
      <c r="G6590" s="6" t="n">
        <f aca="false">Sens!F6590-Sens!G6586+Sens!G6588</f>
        <v>60.4524559815423</v>
      </c>
      <c r="H6590" s="6" t="n">
        <f aca="false">Sens!G6590-Sens!H6586+Sens!H6588</f>
        <v>58.9291289958322</v>
      </c>
      <c r="I6590" s="6" t="n">
        <f aca="false">Sens!H6590-Sens!I6586+Sens!I6588</f>
        <v>58.9291289958322</v>
      </c>
      <c r="J6590" s="6" t="n">
        <f aca="false">Sens!I6590-Sens!J6586+Sens!J6588</f>
        <v>58.4291289958322</v>
      </c>
      <c r="K6590" s="6" t="n">
        <f aca="false">Sens!J6590-Sens!K6586+Sens!K6588</f>
        <v>58.4291289958322</v>
      </c>
    </row>
    <row r="6591" customFormat="false" ht="15" hidden="false" customHeight="false" outlineLevel="0" collapsed="false">
      <c r="A6591" s="1" t="s">
        <v>1127</v>
      </c>
      <c r="B6591" s="0" t="s">
        <v>98</v>
      </c>
      <c r="E6591" s="6" t="n">
        <f aca="false">Sens!E6589-Sens!E6590</f>
        <v>30.707</v>
      </c>
      <c r="F6591" s="6" t="n">
        <f aca="false">Sens!F6589-Sens!F6590</f>
        <v>10.3306529569972</v>
      </c>
      <c r="G6591" s="6" t="n">
        <f aca="false">Sens!G6589-Sens!G6590</f>
        <v>-10.4524559815423</v>
      </c>
      <c r="H6591" s="6" t="n">
        <f aca="false">Sens!H6589-Sens!H6590</f>
        <v>-8.92912899583223</v>
      </c>
      <c r="I6591" s="6" t="n">
        <f aca="false">Sens!I6589-Sens!I6590</f>
        <v>28.7589930321734</v>
      </c>
      <c r="J6591" s="6" t="n">
        <f aca="false">Sens!J6589-Sens!J6590</f>
        <v>130.399780022268</v>
      </c>
      <c r="K6591" s="6" t="n">
        <f aca="false">Sens!K6589-Sens!K6590</f>
        <v>260.790538651171</v>
      </c>
    </row>
    <row r="6592" customFormat="false" ht="15" hidden="false" customHeight="false" outlineLevel="0" collapsed="false">
      <c r="A6592" s="1" t="s">
        <v>1128</v>
      </c>
      <c r="B6592" s="0" t="s">
        <v>75</v>
      </c>
      <c r="F6592" s="30" t="n">
        <f aca="false">px*(1+bb_g)^(Sens!F6450-base_fy-mid_yr)</f>
        <v>551.84177959629</v>
      </c>
      <c r="G6592" s="30" t="n">
        <f aca="false">px*(1+bb_g)^(Sens!G6450-base_fy-mid_yr)</f>
        <v>595.989121963993</v>
      </c>
      <c r="H6592" s="30" t="n">
        <f aca="false">px*(1+bb_g)^(Sens!H6450-base_fy-mid_yr)</f>
        <v>643.668251721112</v>
      </c>
      <c r="I6592" s="30" t="n">
        <f aca="false">px*(1+bb_g)^(Sens!I6450-base_fy-mid_yr)</f>
        <v>695.161711858801</v>
      </c>
      <c r="J6592" s="30" t="n">
        <f aca="false">px*(1+bb_g)^(Sens!J6450-base_fy-mid_yr)</f>
        <v>750.774648807506</v>
      </c>
      <c r="K6592" s="30" t="n">
        <f aca="false">px*(1+bb_g)^(Sens!K6450-base_fy-mid_yr)</f>
        <v>810.836620712106</v>
      </c>
    </row>
    <row r="6593" customFormat="false" ht="15" hidden="false" customHeight="false" outlineLevel="0" collapsed="false">
      <c r="A6593" s="1" t="s">
        <v>1129</v>
      </c>
      <c r="B6593" s="1" t="s">
        <v>81</v>
      </c>
      <c r="E6593" s="15" t="n">
        <f aca="false">sh_out26</f>
        <v>7.427</v>
      </c>
      <c r="F6593" s="15" t="n">
        <f aca="false">Sens!E6593+sh_iss-Sens!F6587/Sens!F6592</f>
        <v>7.472</v>
      </c>
      <c r="G6593" s="15" t="n">
        <f aca="false">Sens!F6593+sh_iss-Sens!G6587/Sens!G6592</f>
        <v>7.517</v>
      </c>
      <c r="H6593" s="15" t="n">
        <f aca="false">Sens!G6593+sh_iss-Sens!H6587/Sens!H6592</f>
        <v>7.562</v>
      </c>
      <c r="I6593" s="15" t="n">
        <f aca="false">Sens!H6593+sh_iss-Sens!I6587/Sens!I6592</f>
        <v>7.57496285005334</v>
      </c>
      <c r="J6593" s="15" t="n">
        <f aca="false">Sens!I6593+sh_iss-Sens!J6587/Sens!J6592</f>
        <v>7.59029882232494</v>
      </c>
      <c r="K6593" s="15" t="n">
        <f aca="false">Sens!J6593+sh_iss-Sens!K6587/Sens!K6592</f>
        <v>7.60783212998384</v>
      </c>
    </row>
    <row r="6594" customFormat="false" ht="15" hidden="false" customHeight="false" outlineLevel="0" collapsed="false">
      <c r="A6594" s="1" t="s">
        <v>1130</v>
      </c>
      <c r="B6594" s="1" t="s">
        <v>81</v>
      </c>
      <c r="E6594" s="15" t="n">
        <f aca="false">sh_dil26</f>
        <v>7.453</v>
      </c>
      <c r="F6594" s="15" t="n">
        <f aca="false">(Sens!E6593+Sens!F6593)/2+dil_gap</f>
        <v>7.4735</v>
      </c>
      <c r="G6594" s="15" t="n">
        <f aca="false">(Sens!F6593+Sens!G6593)/2+dil_gap</f>
        <v>7.5185</v>
      </c>
      <c r="H6594" s="15" t="n">
        <f aca="false">(Sens!G6593+Sens!H6593)/2+dil_gap</f>
        <v>7.5635</v>
      </c>
      <c r="I6594" s="15" t="n">
        <f aca="false">(Sens!H6593+Sens!I6593)/2+dil_gap</f>
        <v>7.59248142502667</v>
      </c>
      <c r="J6594" s="15" t="n">
        <f aca="false">(Sens!I6593+Sens!J6593)/2+dil_gap</f>
        <v>7.60663083618914</v>
      </c>
      <c r="K6594" s="15" t="n">
        <f aca="false">(Sens!J6593+Sens!K6593)/2+dil_gap</f>
        <v>7.62306547615439</v>
      </c>
    </row>
    <row r="6595" customFormat="false" ht="17.15" hidden="false" customHeight="false" outlineLevel="0" collapsed="false">
      <c r="A6595" s="1" t="s">
        <v>1131</v>
      </c>
      <c r="B6595" s="0" t="s">
        <v>98</v>
      </c>
      <c r="C6595" s="6" t="n">
        <f aca="false">SUM(Sens!F6585:J6585)</f>
        <v>144.234780022268</v>
      </c>
    </row>
    <row r="6596" customFormat="false" ht="15" hidden="false" customHeight="false" outlineLevel="0" collapsed="false">
      <c r="A6596" s="26" t="s">
        <v>1096</v>
      </c>
      <c r="B6596" s="31" t="s">
        <v>98</v>
      </c>
      <c r="C6596" s="27" t="n">
        <f aca="false">Sens!$C$6595-(Sens!F6585+Sens!G6585+Sens!H6585+Sens!I6585+Sens!J6585)</f>
        <v>0</v>
      </c>
      <c r="D6596" s="31"/>
      <c r="E6596" s="31"/>
      <c r="F6596" s="31"/>
      <c r="G6596" s="31"/>
      <c r="H6596" s="31"/>
      <c r="I6596" s="31"/>
      <c r="J6596" s="31"/>
      <c r="K6596" s="31"/>
    </row>
    <row r="6597" customFormat="false" ht="17.15" hidden="false" customHeight="false" outlineLevel="0" collapsed="false">
      <c r="A6597" s="1" t="s">
        <v>1090</v>
      </c>
      <c r="B6597" s="1" t="s">
        <v>1132</v>
      </c>
      <c r="C6597" s="33" t="str">
        <f aca="false">IF(SUM(Sens!F6588:J6588)&gt;0.05,"需要舉債 "&amp;TEXT(SUM(Sens!F6588:J6588),"0.0")&amp;" 十億美元","不需舉債")&amp;"；"&amp;IF(SUM(Sens!F6587:J6587)&lt;COUNT(Sens!F6587:J6587)*bb_target-0.05,"回購較每年 "&amp;TEXT(bb_target,"0.0")&amp;" 的目標少 "&amp;TEXT(COUNT(Sens!F6587:J6587)*bb_target-SUM(Sens!F6587:J6587),"0.0")&amp;" 十億美元（"&amp;TEXT(COUNTIF(Sens!F6587:J6587,"&lt;"&amp;(bb_target-0.05)),"0")&amp;" 年減少）","回購不減")</f>
        <v>需要舉債 24.0 十億美元；回購較每年 22.3 的目標少 66.8 十億美元（3 年減少）</v>
      </c>
    </row>
    <row r="6598" customFormat="false" ht="17.15" hidden="false" customHeight="false" outlineLevel="0" collapsed="false">
      <c r="A6598" s="3" t="s">
        <v>1644</v>
      </c>
    </row>
    <row r="6599" customFormat="false" ht="15" hidden="false" customHeight="false" outlineLevel="0" collapsed="false">
      <c r="A6599" s="4" t="s">
        <v>43</v>
      </c>
      <c r="B6599" s="4" t="s">
        <v>65</v>
      </c>
      <c r="C6599" s="23" t="s">
        <v>938</v>
      </c>
      <c r="D6599" s="23" t="s">
        <v>939</v>
      </c>
      <c r="E6599" s="23" t="s">
        <v>940</v>
      </c>
      <c r="F6599" s="23" t="s">
        <v>941</v>
      </c>
      <c r="G6599" s="23" t="s">
        <v>942</v>
      </c>
      <c r="H6599" s="23" t="s">
        <v>943</v>
      </c>
      <c r="I6599" s="23" t="s">
        <v>944</v>
      </c>
      <c r="J6599" s="23" t="s">
        <v>945</v>
      </c>
      <c r="K6599" s="23" t="s">
        <v>946</v>
      </c>
      <c r="L6599" s="4" t="s">
        <v>47</v>
      </c>
    </row>
    <row r="6600" customFormat="false" ht="17.15" hidden="false" customHeight="false" outlineLevel="0" collapsed="false">
      <c r="A6600" s="1" t="s">
        <v>1212</v>
      </c>
      <c r="B6600" s="1" t="s">
        <v>279</v>
      </c>
      <c r="F6600" s="8" t="n">
        <f aca="false">(1-v_off)*mid_yr</f>
        <v>0.373972602739726</v>
      </c>
      <c r="G6600" s="8" t="n">
        <f aca="false">Sens!G6450-base_fy-mid_yr-v_off</f>
        <v>1.24794520547945</v>
      </c>
      <c r="H6600" s="8" t="n">
        <f aca="false">Sens!H6450-base_fy-mid_yr-v_off</f>
        <v>2.24794520547945</v>
      </c>
      <c r="I6600" s="8" t="n">
        <f aca="false">Sens!I6450-base_fy-mid_yr-v_off</f>
        <v>3.24794520547945</v>
      </c>
      <c r="J6600" s="8" t="n">
        <f aca="false">Sens!J6450-base_fy-mid_yr-v_off</f>
        <v>4.24794520547945</v>
      </c>
      <c r="K6600" s="8" t="n">
        <f aca="false">Sens!K6450-base_fy-mid_yr-v_off</f>
        <v>5.24794520547945</v>
      </c>
      <c r="L6600" s="12" t="s">
        <v>1213</v>
      </c>
    </row>
    <row r="6601" customFormat="false" ht="15" hidden="false" customHeight="false" outlineLevel="0" collapsed="false">
      <c r="A6601" s="1" t="s">
        <v>1214</v>
      </c>
      <c r="B6601" s="1" t="s">
        <v>279</v>
      </c>
      <c r="F6601" s="8" t="n">
        <f aca="false">Sens!F6450-base_fy-v_off</f>
        <v>0.747945205479452</v>
      </c>
      <c r="G6601" s="8" t="n">
        <f aca="false">Sens!G6450-base_fy-v_off</f>
        <v>1.74794520547945</v>
      </c>
      <c r="H6601" s="8" t="n">
        <f aca="false">Sens!H6450-base_fy-v_off</f>
        <v>2.74794520547945</v>
      </c>
      <c r="I6601" s="8" t="n">
        <f aca="false">Sens!I6450-base_fy-v_off</f>
        <v>3.74794520547945</v>
      </c>
      <c r="J6601" s="8" t="n">
        <f aca="false">Sens!J6450-base_fy-v_off</f>
        <v>4.74794520547945</v>
      </c>
      <c r="K6601" s="8" t="n">
        <f aca="false">Sens!K6450-base_fy-v_off</f>
        <v>5.74794520547945</v>
      </c>
    </row>
    <row r="6602" customFormat="false" ht="15" hidden="false" customHeight="false" outlineLevel="0" collapsed="false">
      <c r="A6602" s="1" t="s">
        <v>1215</v>
      </c>
      <c r="B6602" s="0" t="s">
        <v>229</v>
      </c>
      <c r="F6602" s="15" t="n">
        <f aca="false">1/(1+wacc)^Sens!F6600</f>
        <v>0.964022703286649</v>
      </c>
      <c r="G6602" s="15" t="n">
        <f aca="false">1/(1+wacc)^Sens!G6600</f>
        <v>0.884910302296739</v>
      </c>
      <c r="H6602" s="15" t="n">
        <f aca="false">1/(1+wacc)^Sens!H6600</f>
        <v>0.802322009770358</v>
      </c>
      <c r="I6602" s="15" t="n">
        <f aca="false">1/(1+wacc)^Sens!I6600</f>
        <v>0.727441646561469</v>
      </c>
      <c r="J6602" s="15" t="n">
        <f aca="false">1/(1+wacc)^Sens!J6600</f>
        <v>0.659549834988973</v>
      </c>
      <c r="K6602" s="15" t="n">
        <f aca="false">1/(1+wacc)^Sens!K6600</f>
        <v>0.597994336576966</v>
      </c>
    </row>
    <row r="6603" customFormat="false" ht="17.15" hidden="false" customHeight="false" outlineLevel="0" collapsed="false">
      <c r="A6603" s="1" t="s">
        <v>1216</v>
      </c>
      <c r="B6603" s="0" t="s">
        <v>98</v>
      </c>
      <c r="F6603" s="6" t="n">
        <f aca="false">Q!$I$35-Q!$I$39-Q!$I$43</f>
        <v>9.666</v>
      </c>
      <c r="L6603" s="12" t="s">
        <v>1217</v>
      </c>
    </row>
    <row r="6604" customFormat="false" ht="17.15" hidden="false" customHeight="false" outlineLevel="0" collapsed="false">
      <c r="A6604" s="1" t="s">
        <v>1218</v>
      </c>
      <c r="B6604" s="0" t="s">
        <v>98</v>
      </c>
      <c r="F6604" s="6" t="n">
        <f aca="false">Sens!F6575-Sens!F6572-Sens!F6579+Sens!F6557*(1-tax_f)*(1-v_off)-Sens!F6603</f>
        <v>-5.74544732410772</v>
      </c>
      <c r="G6604" s="6" t="n">
        <f aca="false">Sens!G6575-Sens!G6572-Sens!G6579+Sens!G6557*(1-tax_f)</f>
        <v>19.8519843207759</v>
      </c>
      <c r="H6604" s="6" t="n">
        <f aca="false">Sens!H6575-Sens!H6572-Sens!H6579+Sens!H6557*(1-tax_f)</f>
        <v>57.1274204880325</v>
      </c>
      <c r="I6604" s="6" t="n">
        <f aca="false">Sens!I6575-Sens!I6572-Sens!I6579+Sens!I6557*(1-tax_f)</f>
        <v>129.556159897774</v>
      </c>
      <c r="J6604" s="6" t="n">
        <f aca="false">Sens!J6575-Sens!J6572-Sens!J6579+Sens!J6557*(1-tax_f)</f>
        <v>203.983620476432</v>
      </c>
      <c r="K6604" s="6" t="n">
        <f aca="false">Sens!K6575-Sens!K6572-Sens!K6579+Sens!K6557*(1-tax_f)</f>
        <v>239.944067297086</v>
      </c>
      <c r="L6604" s="1" t="s">
        <v>1219</v>
      </c>
    </row>
    <row r="6605" customFormat="false" ht="15" hidden="false" customHeight="false" outlineLevel="0" collapsed="false">
      <c r="A6605" s="1" t="s">
        <v>1220</v>
      </c>
      <c r="B6605" s="0" t="s">
        <v>98</v>
      </c>
      <c r="F6605" s="6" t="n">
        <f aca="false">Sens!F6604*Sens!F6602</f>
        <v>-5.53874166097737</v>
      </c>
      <c r="G6605" s="6" t="n">
        <f aca="false">Sens!G6604*Sens!G6602</f>
        <v>17.5672254464879</v>
      </c>
      <c r="H6605" s="6" t="n">
        <f aca="false">Sens!H6604*Sens!H6602</f>
        <v>45.8345868189546</v>
      </c>
      <c r="I6605" s="6" t="n">
        <f aca="false">Sens!I6604*Sens!I6602</f>
        <v>94.2445462782179</v>
      </c>
      <c r="J6605" s="6" t="n">
        <f aca="false">Sens!J6604*Sens!J6602</f>
        <v>134.537363225684</v>
      </c>
      <c r="K6605" s="6" t="n">
        <f aca="false">Sens!K6604*Sens!K6602</f>
        <v>143.485193338899</v>
      </c>
    </row>
    <row r="6606" customFormat="false" ht="17.15" hidden="false" customHeight="false" outlineLevel="0" collapsed="false">
      <c r="A6606" s="1" t="s">
        <v>1221</v>
      </c>
      <c r="B6606" s="0" t="s">
        <v>98</v>
      </c>
      <c r="C6606" s="6" t="n">
        <f aca="false">SUM(Sens!F6605:K6605)</f>
        <v>430.130173447266</v>
      </c>
    </row>
    <row r="6607" customFormat="false" ht="17.15" hidden="false" customHeight="false" outlineLevel="0" collapsed="false">
      <c r="A6607" s="1" t="s">
        <v>1222</v>
      </c>
      <c r="B6607" s="0" t="s">
        <v>98</v>
      </c>
      <c r="C6607" s="6" t="n">
        <f aca="false">Sens!K6543*(1+g_tv)*(1-tax_f)</f>
        <v>249.543298296635</v>
      </c>
    </row>
    <row r="6608" customFormat="false" ht="17.15" hidden="false" customHeight="false" outlineLevel="0" collapsed="false">
      <c r="A6608" s="1" t="s">
        <v>1223</v>
      </c>
      <c r="B6608" s="0" t="s">
        <v>98</v>
      </c>
      <c r="C6608" s="6" t="n">
        <f aca="false">Sens!$C$6607*(1-g_tv/(wacc+ronic_prem))</f>
        <v>176.816011720226</v>
      </c>
    </row>
    <row r="6609" customFormat="false" ht="17.15" hidden="false" customHeight="false" outlineLevel="0" collapsed="false">
      <c r="A6609" s="1" t="s">
        <v>1224</v>
      </c>
      <c r="B6609" s="0" t="s">
        <v>98</v>
      </c>
      <c r="C6609" s="6" t="n">
        <f aca="false">Sens!$C$6608/(wacc-g_tv)</f>
        <v>2424.2428858803</v>
      </c>
    </row>
    <row r="6610" customFormat="false" ht="15" hidden="false" customHeight="false" outlineLevel="0" collapsed="false">
      <c r="A6610" s="1" t="s">
        <v>1225</v>
      </c>
      <c r="B6610" s="0" t="s">
        <v>98</v>
      </c>
      <c r="C6610" s="6" t="n">
        <f aca="false">Sens!$C$6609/(1+wacc)^Sens!K6601</f>
        <v>1380.37767953129</v>
      </c>
    </row>
    <row r="6611" customFormat="false" ht="17.15" hidden="false" customHeight="false" outlineLevel="0" collapsed="false">
      <c r="A6611" s="0" t="s">
        <v>1226</v>
      </c>
      <c r="B6611" s="0" t="s">
        <v>98</v>
      </c>
      <c r="C6611" s="6" t="n">
        <f aca="false">Sens!$C$6606+Sens!$C$6610</f>
        <v>1810.50785297855</v>
      </c>
    </row>
    <row r="6612" customFormat="false" ht="15" hidden="false" customHeight="false" outlineLevel="0" collapsed="false">
      <c r="A6612" s="1" t="s">
        <v>1141</v>
      </c>
      <c r="B6612" s="0" t="s">
        <v>168</v>
      </c>
      <c r="C6612" s="7" t="n">
        <f aca="false">Sens!$C$6610/Sens!$C$6611</f>
        <v>0.762425679215012</v>
      </c>
    </row>
    <row r="6613" customFormat="false" ht="17.15" hidden="false" customHeight="false" outlineLevel="0" collapsed="false">
      <c r="A6613" s="1" t="s">
        <v>1227</v>
      </c>
      <c r="B6613" s="0" t="s">
        <v>98</v>
      </c>
      <c r="C6613" s="6" t="n">
        <f aca="false">Sens!$C$6611+cash_val-debt_val-fl_val+oai_v</f>
        <v>1926.35885297855</v>
      </c>
    </row>
    <row r="6614" customFormat="false" ht="17.15" hidden="false" customHeight="false" outlineLevel="0" collapsed="false">
      <c r="A6614" s="0" t="s">
        <v>1149</v>
      </c>
      <c r="B6614" s="0" t="s">
        <v>75</v>
      </c>
      <c r="C6614" s="5" t="n">
        <f aca="false">Sens!$C$6613/shd_val</f>
        <v>258.710563118259</v>
      </c>
    </row>
    <row r="6615" customFormat="false" ht="15" hidden="false" customHeight="false" outlineLevel="0" collapsed="false">
      <c r="A6615" s="1" t="s">
        <v>1228</v>
      </c>
      <c r="B6615" s="0" t="s">
        <v>75</v>
      </c>
      <c r="C6615" s="8" t="n">
        <f aca="false">div_rem27+Sens!G6583*roll_div_q/q_per_yr</f>
        <v>3.9795</v>
      </c>
    </row>
    <row r="6616" customFormat="false" ht="17.15" hidden="false" customHeight="false" outlineLevel="0" collapsed="false">
      <c r="A6616" s="0" t="s">
        <v>1229</v>
      </c>
      <c r="B6616" s="0" t="s">
        <v>75</v>
      </c>
      <c r="C6616" s="5" t="n">
        <f aca="false">Sens!$C$6614*(1+wacc)^t_roll-Sens!$C$6615</f>
        <v>283.591729734906</v>
      </c>
    </row>
    <row r="6617" customFormat="false" ht="17.15" hidden="false" customHeight="false" outlineLevel="0" collapsed="false">
      <c r="A6617" s="1" t="s">
        <v>1230</v>
      </c>
      <c r="B6617" s="0" t="s">
        <v>168</v>
      </c>
      <c r="F6617" s="7" t="n">
        <f aca="false">Sens!F6569/(Sens!F6514-Sens!F6469)</f>
        <v>0.0686946700526295</v>
      </c>
      <c r="G6617" s="7" t="n">
        <f aca="false">Sens!G6569/(Sens!G6514-Sens!G6469)</f>
        <v>0.0663250753022094</v>
      </c>
      <c r="H6617" s="7" t="n">
        <f aca="false">Sens!H6569/(Sens!H6514-Sens!H6469)</f>
        <v>0.065143516191508</v>
      </c>
      <c r="I6617" s="7" t="n">
        <f aca="false">Sens!I6569/(Sens!I6514-Sens!I6469)</f>
        <v>0.0650119086535123</v>
      </c>
      <c r="J6617" s="7" t="n">
        <f aca="false">Sens!J6569/(Sens!J6514-Sens!J6469)</f>
        <v>0.0657208341609271</v>
      </c>
      <c r="K6617" s="7" t="n">
        <f aca="false">Sens!K6569/(Sens!K6514-Sens!K6469)</f>
        <v>0.0670376284619709</v>
      </c>
    </row>
    <row r="6618" customFormat="false" ht="17.15" hidden="false" customHeight="false" outlineLevel="0" collapsed="false">
      <c r="A6618" s="0" t="s">
        <v>1231</v>
      </c>
      <c r="B6618" s="0" t="s">
        <v>98</v>
      </c>
      <c r="F6618" s="6" t="n">
        <f aca="false">Sens!F6499*(al_m365+Sens!F6617+sbc_r)</f>
        <v>82.9205508973477</v>
      </c>
      <c r="G6618" s="6" t="n">
        <f aca="false">Sens!G6499*(al_m365+Sens!G6617+sbc_r)</f>
        <v>93.30837101515</v>
      </c>
      <c r="H6618" s="6" t="n">
        <f aca="false">Sens!H6499*(al_m365+Sens!H6617+sbc_r)</f>
        <v>103.857111711333</v>
      </c>
      <c r="I6618" s="6" t="n">
        <f aca="false">Sens!I6499*(al_m365+Sens!I6617+sbc_r)</f>
        <v>113.890222673933</v>
      </c>
      <c r="J6618" s="6" t="n">
        <f aca="false">Sens!J6499*(al_m365+Sens!J6617+sbc_r)</f>
        <v>123.218401749266</v>
      </c>
      <c r="K6618" s="6" t="n">
        <f aca="false">Sens!K6499*(al_m365+Sens!K6617+sbc_r)</f>
        <v>132.148725567593</v>
      </c>
      <c r="L6618" s="12" t="s">
        <v>1232</v>
      </c>
    </row>
    <row r="6619" customFormat="false" ht="17.15" hidden="false" customHeight="false" outlineLevel="0" collapsed="false">
      <c r="A6619" s="0" t="s">
        <v>1233</v>
      </c>
      <c r="B6619" s="0" t="s">
        <v>98</v>
      </c>
      <c r="F6619" s="6" t="n">
        <f aca="false">Sens!F6500*(al_lic+Sens!F6617+sbc_r)</f>
        <v>32.8606485640146</v>
      </c>
      <c r="G6619" s="6" t="n">
        <f aca="false">Sens!G6500*(al_lic+Sens!G6617+sbc_r)</f>
        <v>34.1573005483987</v>
      </c>
      <c r="H6619" s="6" t="n">
        <f aca="false">Sens!H6500*(al_lic+Sens!H6617+sbc_r)</f>
        <v>35.3638494079778</v>
      </c>
      <c r="I6619" s="6" t="n">
        <f aca="false">Sens!I6500*(al_lic+Sens!I6617+sbc_r)</f>
        <v>36.4605869774349</v>
      </c>
      <c r="J6619" s="6" t="n">
        <f aca="false">Sens!J6500*(al_lic+Sens!J6617+sbc_r)</f>
        <v>37.4245698401448</v>
      </c>
      <c r="K6619" s="6" t="n">
        <f aca="false">Sens!K6500*(al_lic+Sens!K6617+sbc_r)</f>
        <v>38.2319826622925</v>
      </c>
    </row>
    <row r="6620" customFormat="false" ht="17.15" hidden="false" customHeight="false" outlineLevel="0" collapsed="false">
      <c r="A6620" s="0" t="s">
        <v>1234</v>
      </c>
      <c r="B6620" s="0" t="s">
        <v>98</v>
      </c>
      <c r="F6620" s="6" t="n">
        <f aca="false">Sens!F6502*(al_ind+Sens!F6617+sbc_r)</f>
        <v>9.06209302657663</v>
      </c>
      <c r="G6620" s="6" t="n">
        <f aca="false">Sens!G6502*(al_ind+Sens!G6617+sbc_r)</f>
        <v>9.84818597755573</v>
      </c>
      <c r="H6620" s="6" t="n">
        <f aca="false">Sens!H6502*(al_ind+Sens!H6617+sbc_r)</f>
        <v>10.6770146499471</v>
      </c>
      <c r="I6620" s="6" t="n">
        <f aca="false">Sens!I6502*(al_ind+Sens!I6617+sbc_r)</f>
        <v>11.5440773031123</v>
      </c>
      <c r="J6620" s="6" t="n">
        <f aca="false">Sens!J6502*(al_ind+Sens!J6617+sbc_r)</f>
        <v>12.4407780210113</v>
      </c>
      <c r="K6620" s="6" t="n">
        <f aca="false">Sens!K6502*(al_ind+Sens!K6617+sbc_r)</f>
        <v>13.3551168115848</v>
      </c>
    </row>
    <row r="6621" customFormat="false" ht="17.15" hidden="false" customHeight="false" outlineLevel="0" collapsed="false">
      <c r="A6621" s="0" t="s">
        <v>1235</v>
      </c>
      <c r="B6621" s="0" t="s">
        <v>98</v>
      </c>
      <c r="F6621" s="6" t="n">
        <f aca="false">Sens!F6504*(al_fro+Sens!F6617+sbc_r)</f>
        <v>3.55468693393192</v>
      </c>
      <c r="G6621" s="6" t="n">
        <f aca="false">Sens!G6504*(al_fro+Sens!G6617+sbc_r)</f>
        <v>3.76820458537167</v>
      </c>
      <c r="H6621" s="6" t="n">
        <f aca="false">Sens!H6504*(al_fro+Sens!H6617+sbc_r)</f>
        <v>4.00972011651307</v>
      </c>
      <c r="I6621" s="6" t="n">
        <f aca="false">Sens!I6504*(al_fro+Sens!I6617+sbc_r)</f>
        <v>4.28155947588694</v>
      </c>
      <c r="J6621" s="6" t="n">
        <f aca="false">Sens!J6504*(al_fro+Sens!J6617+sbc_r)</f>
        <v>4.58536018926944</v>
      </c>
      <c r="K6621" s="6" t="n">
        <f aca="false">Sens!K6504*(al_fro+Sens!K6617+sbc_r)</f>
        <v>4.92236264062093</v>
      </c>
    </row>
    <row r="6622" customFormat="false" ht="17.15" hidden="false" customHeight="false" outlineLevel="0" collapsed="false">
      <c r="A6622" s="0" t="s">
        <v>1236</v>
      </c>
      <c r="B6622" s="0" t="s">
        <v>98</v>
      </c>
      <c r="F6622" s="6" t="n">
        <f aca="false">Sens!F6507*(al_srch+Sens!F6617+sbc_r)</f>
        <v>11.1911600816885</v>
      </c>
      <c r="G6622" s="6" t="n">
        <f aca="false">Sens!G6507*(al_srch+Sens!G6617+sbc_r)</f>
        <v>12.2766919773101</v>
      </c>
      <c r="H6622" s="6" t="n">
        <f aca="false">Sens!H6507*(al_srch+Sens!H6617+sbc_r)</f>
        <v>13.4045938892227</v>
      </c>
      <c r="I6622" s="6" t="n">
        <f aca="false">Sens!I6507*(al_srch+Sens!I6617+sbc_r)</f>
        <v>14.562263947679</v>
      </c>
      <c r="J6622" s="6" t="n">
        <f aca="false">Sens!J6507*(al_srch+Sens!J6617+sbc_r)</f>
        <v>15.7310212368703</v>
      </c>
      <c r="K6622" s="6" t="n">
        <f aca="false">Sens!K6507*(al_srch+Sens!K6617+sbc_r)</f>
        <v>16.8871774602122</v>
      </c>
    </row>
    <row r="6623" customFormat="false" ht="17.15" hidden="false" customHeight="false" outlineLevel="0" collapsed="false">
      <c r="A6623" s="0" t="s">
        <v>1237</v>
      </c>
      <c r="B6623" s="0" t="s">
        <v>98</v>
      </c>
      <c r="F6623" s="6" t="n">
        <f aca="false">Sens!F6475-Sens!F6476+Sens!F6557</f>
        <v>39.5245993694426</v>
      </c>
      <c r="G6623" s="6" t="n">
        <f aca="false">Sens!G6475-Sens!G6476+Sens!G6557</f>
        <v>70.5727941877231</v>
      </c>
      <c r="H6623" s="6" t="n">
        <f aca="false">Sens!H6475-Sens!H6476+Sens!H6557</f>
        <v>98.3841886211137</v>
      </c>
      <c r="I6623" s="6" t="n">
        <f aca="false">Sens!I6475-Sens!I6476+Sens!I6557</f>
        <v>129.797647684572</v>
      </c>
      <c r="J6623" s="6" t="n">
        <f aca="false">Sens!J6475-Sens!J6476+Sens!J6557</f>
        <v>151.925173407161</v>
      </c>
      <c r="K6623" s="6" t="n">
        <f aca="false">Sens!K6475-Sens!K6476+Sens!K6557</f>
        <v>165.828464468342</v>
      </c>
    </row>
    <row r="6624" customFormat="false" ht="17.15" hidden="false" customHeight="false" outlineLevel="0" collapsed="false">
      <c r="A6624" s="0" t="s">
        <v>1238</v>
      </c>
      <c r="B6624" s="0" t="s">
        <v>98</v>
      </c>
      <c r="F6624" s="6" t="n">
        <f aca="false">Sens!F6536+Sens!F6557+Sens!F6487+Sens!F6617*(Sens!F6506-Sens!F6469)+sbc_r*Sens!F6506</f>
        <v>235.231671324376</v>
      </c>
      <c r="G6624" s="6" t="n">
        <f aca="false">Sens!G6536+Sens!G6557+Sens!G6487+Sens!G6617*(Sens!G6506-Sens!G6469)+sbc_r*Sens!G6506</f>
        <v>286.553790763118</v>
      </c>
      <c r="H6624" s="6" t="n">
        <f aca="false">Sens!H6536+Sens!H6557+Sens!H6487+Sens!H6617*(Sens!H6506-Sens!H6469)+sbc_r*Sens!H6506</f>
        <v>339.776014758066</v>
      </c>
      <c r="I6624" s="6" t="n">
        <f aca="false">Sens!I6536+Sens!I6557+Sens!I6487+Sens!I6617*(Sens!I6506-Sens!I6469)+sbc_r*Sens!I6506</f>
        <v>395.983543339622</v>
      </c>
      <c r="J6624" s="6" t="n">
        <f aca="false">Sens!J6536+Sens!J6557+Sens!J6487+Sens!J6617*(Sens!J6506-Sens!J6469)+sbc_r*Sens!J6506</f>
        <v>440.978824423493</v>
      </c>
      <c r="K6624" s="6" t="n">
        <f aca="false">Sens!K6536+Sens!K6557+Sens!K6487+Sens!K6617*(Sens!K6506-Sens!K6469)+sbc_r*Sens!K6506</f>
        <v>475.40966218258</v>
      </c>
    </row>
    <row r="6625" customFormat="false" ht="17.15" hidden="false" customHeight="false" outlineLevel="0" collapsed="false">
      <c r="A6625" s="0" t="s">
        <v>1239</v>
      </c>
      <c r="B6625" s="0" t="s">
        <v>98</v>
      </c>
      <c r="F6625" s="6" t="n">
        <f aca="false">Sens!F6624-Sens!F6618-Sens!F6619-Sens!F6620-Sens!F6621-Sens!F6623</f>
        <v>67.3090925330621</v>
      </c>
      <c r="G6625" s="6" t="n">
        <f aca="false">Sens!G6624-Sens!G6618-Sens!G6619-Sens!G6620-Sens!G6621-Sens!G6623</f>
        <v>74.8989344489185</v>
      </c>
      <c r="H6625" s="6" t="n">
        <f aca="false">Sens!H6624-Sens!H6618-Sens!H6619-Sens!H6620-Sens!H6621-Sens!H6623</f>
        <v>87.4841302511814</v>
      </c>
      <c r="I6625" s="6" t="n">
        <f aca="false">Sens!I6624-Sens!I6618-Sens!I6619-Sens!I6620-Sens!I6621-Sens!I6623</f>
        <v>100.009449224683</v>
      </c>
      <c r="J6625" s="6" t="n">
        <f aca="false">Sens!J6624-Sens!J6618-Sens!J6619-Sens!J6620-Sens!J6621-Sens!J6623</f>
        <v>111.38454121664</v>
      </c>
      <c r="K6625" s="6" t="n">
        <f aca="false">Sens!K6624-Sens!K6618-Sens!K6619-Sens!K6620-Sens!K6621-Sens!K6623</f>
        <v>120.923010032147</v>
      </c>
    </row>
    <row r="6626" customFormat="false" ht="17.15" hidden="false" customHeight="false" outlineLevel="0" collapsed="false">
      <c r="A6626" s="0" t="s">
        <v>1240</v>
      </c>
      <c r="B6626" s="0" t="s">
        <v>98</v>
      </c>
      <c r="F6626" s="6" t="n">
        <f aca="false">Sens!F6538+Sens!F6617*Sens!F6513+sbc_r*Sens!F6513</f>
        <v>26.6384659077776</v>
      </c>
      <c r="G6626" s="6" t="n">
        <f aca="false">Sens!G6538+Sens!G6617*Sens!G6513+sbc_r*Sens!G6513</f>
        <v>26.5046749163861</v>
      </c>
      <c r="H6626" s="6" t="n">
        <f aca="false">Sens!H6538+Sens!H6617*Sens!H6513+sbc_r*Sens!H6513</f>
        <v>27.3986001738541</v>
      </c>
      <c r="I6626" s="6" t="n">
        <f aca="false">Sens!I6538+Sens!I6617*Sens!I6513+sbc_r*Sens!I6513</f>
        <v>28.5178671218162</v>
      </c>
      <c r="J6626" s="6" t="n">
        <f aca="false">Sens!J6538+Sens!J6617*Sens!J6513+sbc_r*Sens!J6513</f>
        <v>29.8313674493703</v>
      </c>
      <c r="K6626" s="6" t="n">
        <f aca="false">Sens!K6538+Sens!K6617*Sens!K6513+sbc_r*Sens!K6513</f>
        <v>31.3100572910852</v>
      </c>
    </row>
    <row r="6627" customFormat="false" ht="17.15" hidden="false" customHeight="false" outlineLevel="0" collapsed="false">
      <c r="A6627" s="0" t="s">
        <v>1241</v>
      </c>
      <c r="B6627" s="0" t="s">
        <v>98</v>
      </c>
      <c r="F6627" s="6" t="n">
        <f aca="false">(Sens!F6626-Sens!F6622)*Sens!F6509/(Sens!F6509+Sens!F6511)</f>
        <v>8.72441463050461</v>
      </c>
      <c r="G6627" s="6" t="n">
        <f aca="false">(Sens!G6626-Sens!G6622)*Sens!G6509/(Sens!G6509+Sens!G6511)</f>
        <v>7.89765386079812</v>
      </c>
      <c r="H6627" s="6" t="n">
        <f aca="false">(Sens!H6626-Sens!H6622)*Sens!H6509/(Sens!H6509+Sens!H6511)</f>
        <v>7.66658719187147</v>
      </c>
      <c r="I6627" s="6" t="n">
        <f aca="false">(Sens!I6626-Sens!I6622)*Sens!I6509/(Sens!I6509+Sens!I6511)</f>
        <v>7.57881431289478</v>
      </c>
      <c r="J6627" s="6" t="n">
        <f aca="false">(Sens!J6626-Sens!J6622)*Sens!J6509/(Sens!J6509+Sens!J6511)</f>
        <v>7.62401038498527</v>
      </c>
      <c r="K6627" s="6" t="n">
        <f aca="false">(Sens!K6626-Sens!K6622)*Sens!K6509/(Sens!K6509+Sens!K6511)</f>
        <v>7.79840324165165</v>
      </c>
    </row>
    <row r="6628" customFormat="false" ht="17.15" hidden="false" customHeight="false" outlineLevel="0" collapsed="false">
      <c r="A6628" s="0" t="s">
        <v>1242</v>
      </c>
      <c r="B6628" s="0" t="s">
        <v>98</v>
      </c>
      <c r="F6628" s="6" t="n">
        <f aca="false">Sens!F6626-Sens!F6622-Sens!F6627</f>
        <v>6.72289119558451</v>
      </c>
      <c r="G6628" s="6" t="n">
        <f aca="false">Sens!G6626-Sens!G6622-Sens!G6627</f>
        <v>6.33032907827789</v>
      </c>
      <c r="H6628" s="6" t="n">
        <f aca="false">Sens!H6626-Sens!H6622-Sens!H6627</f>
        <v>6.32741909275987</v>
      </c>
      <c r="I6628" s="6" t="n">
        <f aca="false">Sens!I6626-Sens!I6622-Sens!I6627</f>
        <v>6.37678886124243</v>
      </c>
      <c r="J6628" s="6" t="n">
        <f aca="false">Sens!J6626-Sens!J6622-Sens!J6627</f>
        <v>6.47633582751473</v>
      </c>
      <c r="K6628" s="6" t="n">
        <f aca="false">Sens!K6626-Sens!K6622-Sens!K6627</f>
        <v>6.62447658922138</v>
      </c>
    </row>
    <row r="6629" customFormat="false" ht="17.15" hidden="false" customHeight="false" outlineLevel="0" collapsed="false">
      <c r="A6629" s="0" t="s">
        <v>1243</v>
      </c>
      <c r="B6629" s="0" t="s">
        <v>98</v>
      </c>
      <c r="F6629" s="6" t="n">
        <f aca="false">Sens!F6623-tax_f*(Sens!F6623-Sens!F6487)-Sens!F6484</f>
        <v>-129.918361650895</v>
      </c>
      <c r="G6629" s="6" t="n">
        <f aca="false">Sens!G6623-tax_f*(Sens!G6623-Sens!G6487)-Sens!G6484</f>
        <v>-123.33934216841</v>
      </c>
      <c r="H6629" s="6" t="n">
        <f aca="false">Sens!H6623-tax_f*(Sens!H6623-Sens!H6487)-Sens!H6484</f>
        <v>-100.278635035332</v>
      </c>
      <c r="I6629" s="6" t="n">
        <f aca="false">Sens!I6623-tax_f*(Sens!I6623-Sens!I6487)-Sens!I6484</f>
        <v>-41.9305135350432</v>
      </c>
      <c r="J6629" s="6" t="n">
        <f aca="false">Sens!J6623-tax_f*(Sens!J6623-Sens!J6487)-Sens!J6484</f>
        <v>19.0133421397078</v>
      </c>
      <c r="K6629" s="6" t="n">
        <f aca="false">Sens!K6623-tax_f*(Sens!K6623-Sens!K6487)-Sens!K6484</f>
        <v>42.3024524201274</v>
      </c>
    </row>
    <row r="6630" customFormat="false" ht="17.15" hidden="false" customHeight="false" outlineLevel="0" collapsed="false">
      <c r="A6630" s="0" t="s">
        <v>1244</v>
      </c>
      <c r="B6630" s="0" t="s">
        <v>98</v>
      </c>
      <c r="G6630" s="6" t="n">
        <f aca="false">Sens!G6629/(1+wacc)^(Sens!G6600-Sens!F6601)</f>
        <v>-117.442788739523</v>
      </c>
      <c r="H6630" s="6" t="n">
        <f aca="false">Sens!H6629/(1+wacc)^(Sens!H6600-Sens!F6601)</f>
        <v>-86.5730256935958</v>
      </c>
      <c r="I6630" s="6" t="n">
        <f aca="false">Sens!I6629/(1+wacc)^(Sens!I6600-Sens!F6601)</f>
        <v>-32.821151866361</v>
      </c>
      <c r="J6630" s="6" t="n">
        <f aca="false">Sens!J6629/(1+wacc)^(Sens!J6600-Sens!F6601)</f>
        <v>13.4937156921039</v>
      </c>
      <c r="K6630" s="6" t="n">
        <f aca="false">Sens!K6629/(1+wacc)^(Sens!K6600-Sens!F6601)</f>
        <v>27.219998240048</v>
      </c>
      <c r="L6630" s="1" t="s">
        <v>1245</v>
      </c>
    </row>
    <row r="6631" customFormat="false" ht="17.15" hidden="false" customHeight="false" outlineLevel="0" collapsed="false">
      <c r="A6631" s="0" t="s">
        <v>1246</v>
      </c>
      <c r="B6631" s="0" t="s">
        <v>98</v>
      </c>
      <c r="C6631" s="6" t="n">
        <f aca="false">(Sens!K6623-Sens!K6487)*(1-tax_f)*(1+g_tv)*(1-g_tv/(wacc+ronic_prem))/(wacc-g_tv)/(1+wacc)^(Sens!K6601-Sens!F6601)</f>
        <v>111.902634092828</v>
      </c>
    </row>
    <row r="6632" customFormat="false" ht="17.15" hidden="false" customHeight="false" outlineLevel="0" collapsed="false">
      <c r="A6632" s="1" t="s">
        <v>1247</v>
      </c>
      <c r="B6632" s="0" t="s">
        <v>98</v>
      </c>
      <c r="C6632" s="6" t="n">
        <f aca="false">(SUM(Sens!G6630:K6630)+Sens!$C$6631)*(1+wacc)^(t_roll-Sens!F6601)</f>
        <v>-87.0009955857965</v>
      </c>
      <c r="L6632" s="12" t="s">
        <v>1248</v>
      </c>
    </row>
    <row r="6633" customFormat="false" ht="17.15" hidden="false" customHeight="false" outlineLevel="0" collapsed="false">
      <c r="A6633" s="1" t="s">
        <v>1249</v>
      </c>
      <c r="B6633" s="0" t="s">
        <v>98</v>
      </c>
      <c r="C6633" s="6" t="n">
        <f aca="false">(w_ntm28*Sens!G6475+(1-w_ntm28)*Sens!H6475)*m_ai</f>
        <v>351.911308233476</v>
      </c>
    </row>
    <row r="6634" customFormat="false" ht="17.15" hidden="false" customHeight="false" outlineLevel="0" collapsed="false">
      <c r="A6634" s="1" t="s">
        <v>1250</v>
      </c>
      <c r="B6634" s="0" t="s">
        <v>98</v>
      </c>
      <c r="C6634" s="6" t="n">
        <f aca="false">(w_ntm28*Sens!G6625+(1-w_ntm28)*Sens!H6625)*m_cloud</f>
        <v>1092.28488701138</v>
      </c>
    </row>
    <row r="6635" customFormat="false" ht="17.15" hidden="false" customHeight="false" outlineLevel="0" collapsed="false">
      <c r="A6635" s="1" t="s">
        <v>1251</v>
      </c>
      <c r="B6635" s="0" t="s">
        <v>98</v>
      </c>
      <c r="C6635" s="6" t="n">
        <f aca="false">(w_ntm28*Sens!G6618+(1-w_ntm28)*Sens!H6618)*m_sw</f>
        <v>1045.18566159993</v>
      </c>
    </row>
    <row r="6636" customFormat="false" ht="17.15" hidden="false" customHeight="false" outlineLevel="0" collapsed="false">
      <c r="A6636" s="1" t="s">
        <v>1252</v>
      </c>
      <c r="B6636" s="0" t="s">
        <v>98</v>
      </c>
      <c r="C6636" s="6" t="n">
        <f aca="false">(w_ntm28*Sens!G6619+(1-w_ntm28)*Sens!H6619)*m_sw</f>
        <v>373.18292077754</v>
      </c>
    </row>
    <row r="6637" customFormat="false" ht="17.15" hidden="false" customHeight="false" outlineLevel="0" collapsed="false">
      <c r="A6637" s="1" t="s">
        <v>1253</v>
      </c>
      <c r="B6637" s="0" t="s">
        <v>98</v>
      </c>
      <c r="C6637" s="6" t="n">
        <f aca="false">(w_ntm28*Sens!G6620+(1-w_ntm28)*Sens!H6620)*m_sw</f>
        <v>109.303318035463</v>
      </c>
    </row>
    <row r="6638" customFormat="false" ht="17.15" hidden="false" customHeight="false" outlineLevel="0" collapsed="false">
      <c r="A6638" s="1" t="s">
        <v>1254</v>
      </c>
      <c r="B6638" s="0" t="s">
        <v>98</v>
      </c>
      <c r="C6638" s="6" t="n">
        <f aca="false">(w_ntm28*Sens!G6621+(1-w_ntm28)*Sens!H6621)*m_sw</f>
        <v>41.5541550791627</v>
      </c>
    </row>
    <row r="6639" customFormat="false" ht="17.15" hidden="false" customHeight="false" outlineLevel="0" collapsed="false">
      <c r="A6639" s="1" t="s">
        <v>1255</v>
      </c>
      <c r="B6639" s="0" t="s">
        <v>98</v>
      </c>
      <c r="C6639" s="6" t="n">
        <f aca="false">(w_ntm28*Sens!G6622+(1-w_ntm28)*Sens!H6622)*m_ads</f>
        <v>115.218807393029</v>
      </c>
    </row>
    <row r="6640" customFormat="false" ht="17.15" hidden="false" customHeight="false" outlineLevel="0" collapsed="false">
      <c r="A6640" s="1" t="s">
        <v>1256</v>
      </c>
      <c r="B6640" s="0" t="s">
        <v>98</v>
      </c>
      <c r="C6640" s="6" t="n">
        <f aca="false">(w_ntm28*Sens!G6627+(1-w_ntm28)*Sens!H6627)*m_game</f>
        <v>98.7879034853728</v>
      </c>
    </row>
    <row r="6641" customFormat="false" ht="17.15" hidden="false" customHeight="false" outlineLevel="0" collapsed="false">
      <c r="A6641" s="1" t="s">
        <v>1257</v>
      </c>
      <c r="B6641" s="0" t="s">
        <v>98</v>
      </c>
      <c r="C6641" s="6" t="n">
        <f aca="false">(w_ntm28*Sens!G6628+(1-w_ntm28)*Sens!H6628)*m_pc</f>
        <v>91.5860182041783</v>
      </c>
    </row>
    <row r="6642" customFormat="false" ht="17.15" hidden="false" customHeight="false" outlineLevel="0" collapsed="false">
      <c r="A6642" s="1" t="s">
        <v>1258</v>
      </c>
      <c r="B6642" s="0" t="s">
        <v>98</v>
      </c>
      <c r="C6642" s="6" t="n">
        <f aca="false">Sens!$C$6632+Sens!$C$6634+Sens!$C$6635+Sens!$C$6636+Sens!$C$6637+Sens!$C$6638+Sens!$C$6639+Sens!$C$6640+Sens!$C$6641</f>
        <v>2880.10267600025</v>
      </c>
    </row>
    <row r="6643" customFormat="false" ht="17.15" hidden="false" customHeight="false" outlineLevel="0" collapsed="false">
      <c r="A6643" s="1" t="s">
        <v>1259</v>
      </c>
      <c r="B6643" s="0" t="s">
        <v>98</v>
      </c>
      <c r="C6643" s="6" t="n">
        <f aca="false">(Sens!G6604-Sens!G6629)*t_stub</f>
        <v>47.4689054936753</v>
      </c>
      <c r="L6643" s="1" t="s">
        <v>1260</v>
      </c>
    </row>
    <row r="6644" customFormat="false" ht="17.15" hidden="false" customHeight="false" outlineLevel="0" collapsed="false">
      <c r="A6644" s="1" t="s">
        <v>1169</v>
      </c>
      <c r="B6644" s="0" t="s">
        <v>98</v>
      </c>
      <c r="C6644" s="6" t="n">
        <f aca="false">Sens!F6591+oai_v-Sens!F6580+Sens!$C$6643</f>
        <v>158.913828450672</v>
      </c>
      <c r="L6644" s="1" t="s">
        <v>1261</v>
      </c>
    </row>
    <row r="6645" customFormat="false" ht="17.15" hidden="false" customHeight="false" outlineLevel="0" collapsed="false">
      <c r="A6645" s="1" t="s">
        <v>1262</v>
      </c>
      <c r="B6645" s="0" t="s">
        <v>75</v>
      </c>
      <c r="C6645" s="5" t="n">
        <f aca="false">(Sens!$C$6642+Sens!$C$6644)/(Sens!F6593+dil_gap)-Sens!G6583*roll_div_q/q_per_yr</f>
        <v>404.378923752792</v>
      </c>
      <c r="L6645" s="1" t="s">
        <v>1263</v>
      </c>
    </row>
    <row r="6646" customFormat="false" ht="17.15" hidden="false" customHeight="false" outlineLevel="0" collapsed="false">
      <c r="A6646" s="1" t="s">
        <v>1264</v>
      </c>
      <c r="B6646" s="0" t="s">
        <v>75</v>
      </c>
      <c r="C6646" s="5" t="n">
        <f aca="false">w_dcf*Sens!$C$6616+(1-w_dcf)*Sens!$C$6645</f>
        <v>343.985326743849</v>
      </c>
    </row>
    <row r="6647" customFormat="false" ht="17.15" hidden="false" customHeight="false" outlineLevel="0" collapsed="false">
      <c r="A6647" s="3" t="s">
        <v>1645</v>
      </c>
    </row>
    <row r="6648" customFormat="false" ht="15" hidden="false" customHeight="false" outlineLevel="0" collapsed="false">
      <c r="A6648" s="4" t="s">
        <v>43</v>
      </c>
      <c r="B6648" s="4" t="s">
        <v>65</v>
      </c>
      <c r="C6648" s="23" t="s">
        <v>938</v>
      </c>
      <c r="D6648" s="23" t="s">
        <v>939</v>
      </c>
      <c r="E6648" s="23" t="s">
        <v>940</v>
      </c>
      <c r="F6648" s="23" t="s">
        <v>941</v>
      </c>
      <c r="G6648" s="23" t="s">
        <v>942</v>
      </c>
      <c r="H6648" s="23" t="s">
        <v>943</v>
      </c>
      <c r="I6648" s="23" t="s">
        <v>944</v>
      </c>
      <c r="J6648" s="23" t="s">
        <v>945</v>
      </c>
      <c r="K6648" s="23" t="s">
        <v>946</v>
      </c>
      <c r="L6648" s="4" t="s">
        <v>47</v>
      </c>
    </row>
    <row r="6649" customFormat="false" ht="17.15" hidden="false" customHeight="false" outlineLevel="0" collapsed="false">
      <c r="A6649" s="1" t="s">
        <v>947</v>
      </c>
      <c r="B6649" s="1" t="s">
        <v>279</v>
      </c>
      <c r="C6649" s="21" t="n">
        <v>2024</v>
      </c>
      <c r="D6649" s="21" t="n">
        <v>2025</v>
      </c>
      <c r="E6649" s="21" t="n">
        <v>2026</v>
      </c>
      <c r="F6649" s="21" t="n">
        <v>2027</v>
      </c>
      <c r="G6649" s="21" t="n">
        <v>2028</v>
      </c>
      <c r="H6649" s="21" t="n">
        <v>2029</v>
      </c>
      <c r="I6649" s="21" t="n">
        <v>2030</v>
      </c>
      <c r="J6649" s="21" t="n">
        <v>2031</v>
      </c>
      <c r="K6649" s="21" t="n">
        <v>2032</v>
      </c>
    </row>
    <row r="6650" customFormat="false" ht="17.15" hidden="false" customHeight="false" outlineLevel="0" collapsed="false">
      <c r="A6650" s="1" t="s">
        <v>948</v>
      </c>
      <c r="B6650" s="0" t="s">
        <v>456</v>
      </c>
      <c r="F6650" s="30" t="n">
        <f aca="false">pace</f>
        <v>2726.5351</v>
      </c>
      <c r="G6650" s="30" t="n">
        <f aca="false">pace</f>
        <v>2726.5351</v>
      </c>
      <c r="H6650" s="30" t="n">
        <f aca="false">pace</f>
        <v>2726.5351</v>
      </c>
      <c r="I6650" s="30" t="n">
        <f aca="false">pace+(g_tv*Sens!H6651-pace)*MIN(1,(Sens!I6649-pace_y0)/(pace_y1-pace_y0))</f>
        <v>1931.98611966667</v>
      </c>
      <c r="J6650" s="30" t="n">
        <f aca="false">pace+(g_tv*Sens!I6651-pace)*MIN(1,(Sens!J6649-pace_y0)/(pace_y1-pace_y0))</f>
        <v>1176.07686172667</v>
      </c>
      <c r="K6650" s="30" t="n">
        <f aca="false">pace+(g_tv*Sens!J6651-pace)*MIN(1,(Sens!K6649-pace_y0)/(pace_y1-pace_y0))</f>
        <v>436.1300484418</v>
      </c>
      <c r="L6650" s="12" t="s">
        <v>949</v>
      </c>
    </row>
    <row r="6651" customFormat="false" ht="17.15" hidden="false" customHeight="false" outlineLevel="0" collapsed="false">
      <c r="A6651" s="1" t="s">
        <v>950</v>
      </c>
      <c r="B6651" s="0" t="s">
        <v>456</v>
      </c>
      <c r="C6651" s="30" t="n">
        <f aca="false">mw_ext_24</f>
        <v>640</v>
      </c>
      <c r="D6651" s="30" t="n">
        <f aca="false">mw_ext_25</f>
        <v>1630</v>
      </c>
      <c r="E6651" s="30" t="n">
        <f aca="false">mw_ext_26</f>
        <v>3250</v>
      </c>
      <c r="F6651" s="30" t="n">
        <f aca="false">Sens!E6651+Sens!F6650</f>
        <v>5976.5351</v>
      </c>
      <c r="G6651" s="30" t="n">
        <f aca="false">Sens!F6651+Sens!G6650</f>
        <v>8703.0702</v>
      </c>
      <c r="H6651" s="30" t="n">
        <f aca="false">Sens!G6651+Sens!H6650</f>
        <v>11429.6053</v>
      </c>
      <c r="I6651" s="30" t="n">
        <f aca="false">Sens!H6651+Sens!I6650</f>
        <v>13361.5914196667</v>
      </c>
      <c r="J6651" s="30" t="n">
        <f aca="false">Sens!I6651+Sens!J6650</f>
        <v>14537.6682813933</v>
      </c>
      <c r="K6651" s="30" t="n">
        <f aca="false">Sens!J6651+Sens!K6650</f>
        <v>14973.7983298351</v>
      </c>
      <c r="L6651" s="1" t="s">
        <v>951</v>
      </c>
    </row>
    <row r="6652" customFormat="false" ht="17.15" hidden="false" customHeight="false" outlineLevel="0" collapsed="false">
      <c r="A6652" s="1" t="s">
        <v>952</v>
      </c>
      <c r="B6652" s="0" t="s">
        <v>456</v>
      </c>
      <c r="C6652" s="30" t="n">
        <f aca="false">rent_ext_24</f>
        <v>150</v>
      </c>
      <c r="D6652" s="30" t="n">
        <f aca="false">rent_ext_25</f>
        <v>400</v>
      </c>
      <c r="E6652" s="30" t="n">
        <f aca="false">rent_ext_26</f>
        <v>550</v>
      </c>
      <c r="F6652" s="30" t="n">
        <f aca="false">rent_ext_f</f>
        <v>756</v>
      </c>
      <c r="G6652" s="30" t="n">
        <f aca="false">rent_ext_f</f>
        <v>756</v>
      </c>
      <c r="H6652" s="30" t="n">
        <f aca="false">rent_ext_f</f>
        <v>756</v>
      </c>
      <c r="I6652" s="30" t="n">
        <f aca="false">rent_ext_f</f>
        <v>756</v>
      </c>
      <c r="J6652" s="30" t="n">
        <f aca="false">rent_ext_f</f>
        <v>756</v>
      </c>
      <c r="K6652" s="30" t="n">
        <f aca="false">rent_ext_f</f>
        <v>756</v>
      </c>
      <c r="L6652" s="1" t="s">
        <v>953</v>
      </c>
    </row>
    <row r="6653" customFormat="false" ht="17.15" hidden="false" customHeight="false" outlineLevel="0" collapsed="false">
      <c r="A6653" s="1" t="s">
        <v>954</v>
      </c>
      <c r="B6653" s="0" t="s">
        <v>456</v>
      </c>
      <c r="C6653" s="30" t="n">
        <f aca="false">Sens!C6651-Sens!C6652</f>
        <v>490</v>
      </c>
      <c r="D6653" s="30" t="n">
        <f aca="false">Sens!D6651-Sens!D6652</f>
        <v>1230</v>
      </c>
      <c r="E6653" s="30" t="n">
        <f aca="false">Sens!E6651-Sens!E6652</f>
        <v>2700</v>
      </c>
      <c r="F6653" s="30" t="n">
        <f aca="false">Sens!F6651-Sens!F6652</f>
        <v>5220.5351</v>
      </c>
      <c r="G6653" s="30" t="n">
        <f aca="false">Sens!G6651-Sens!G6652</f>
        <v>7947.0702</v>
      </c>
      <c r="H6653" s="30" t="n">
        <f aca="false">Sens!H6651-Sens!H6652</f>
        <v>10673.6053</v>
      </c>
      <c r="I6653" s="30" t="n">
        <f aca="false">Sens!I6651-Sens!I6652</f>
        <v>12605.5914196667</v>
      </c>
      <c r="J6653" s="30" t="n">
        <f aca="false">Sens!J6651-Sens!J6652</f>
        <v>13781.6682813933</v>
      </c>
      <c r="K6653" s="30" t="n">
        <f aca="false">Sens!K6651-Sens!K6652</f>
        <v>14217.7983298351</v>
      </c>
    </row>
    <row r="6654" customFormat="false" ht="17.15" hidden="false" customHeight="false" outlineLevel="0" collapsed="false">
      <c r="A6654" s="1" t="s">
        <v>955</v>
      </c>
      <c r="B6654" s="0" t="s">
        <v>456</v>
      </c>
      <c r="C6654" s="30" t="n">
        <f aca="false">Sens!C6653/ext_sh</f>
        <v>816.666666666667</v>
      </c>
      <c r="D6654" s="30" t="n">
        <f aca="false">Sens!D6653/ext_sh</f>
        <v>2050</v>
      </c>
      <c r="E6654" s="30" t="n">
        <f aca="false">Sens!E6653/ext_sh</f>
        <v>4500</v>
      </c>
      <c r="F6654" s="30" t="n">
        <f aca="false">Sens!F6653/ext_sh</f>
        <v>8700.89183333333</v>
      </c>
      <c r="G6654" s="30" t="n">
        <f aca="false">Sens!G6653/ext_sh</f>
        <v>13245.117</v>
      </c>
      <c r="H6654" s="30" t="n">
        <f aca="false">Sens!H6653/ext_sh</f>
        <v>17789.3421666667</v>
      </c>
      <c r="I6654" s="30" t="n">
        <f aca="false">Sens!I6653/ext_sh</f>
        <v>21009.3190327778</v>
      </c>
      <c r="J6654" s="30" t="n">
        <f aca="false">Sens!J6653/ext_sh</f>
        <v>22969.4471356556</v>
      </c>
      <c r="K6654" s="30" t="n">
        <f aca="false">Sens!K6653/ext_sh</f>
        <v>23696.3305497252</v>
      </c>
      <c r="L6654" s="1" t="s">
        <v>956</v>
      </c>
    </row>
    <row r="6655" customFormat="false" ht="17.15" hidden="false" customHeight="false" outlineLevel="0" collapsed="false">
      <c r="A6655" s="1" t="s">
        <v>957</v>
      </c>
      <c r="B6655" s="0" t="s">
        <v>456</v>
      </c>
      <c r="C6655" s="30" t="n">
        <f aca="false">Sens!C6654-Sens!C6653</f>
        <v>326.666666666667</v>
      </c>
      <c r="D6655" s="30" t="n">
        <f aca="false">Sens!D6654-Sens!D6653</f>
        <v>820</v>
      </c>
      <c r="E6655" s="30" t="n">
        <f aca="false">Sens!E6654-Sens!E6653</f>
        <v>1800</v>
      </c>
      <c r="F6655" s="30" t="n">
        <f aca="false">Sens!F6654-Sens!F6653</f>
        <v>3480.35673333333</v>
      </c>
      <c r="G6655" s="30" t="n">
        <f aca="false">Sens!G6654-Sens!G6653</f>
        <v>5298.0468</v>
      </c>
      <c r="H6655" s="30" t="n">
        <f aca="false">Sens!H6654-Sens!H6653</f>
        <v>7115.73686666667</v>
      </c>
      <c r="I6655" s="30" t="n">
        <f aca="false">Sens!I6654-Sens!I6653</f>
        <v>8403.72761311111</v>
      </c>
      <c r="J6655" s="30" t="n">
        <f aca="false">Sens!J6654-Sens!J6653</f>
        <v>9187.77885426222</v>
      </c>
      <c r="K6655" s="30" t="n">
        <f aca="false">Sens!K6654-Sens!K6653</f>
        <v>9478.53221989009</v>
      </c>
    </row>
    <row r="6656" customFormat="false" ht="17.15" hidden="false" customHeight="false" outlineLevel="0" collapsed="false">
      <c r="A6656" s="1" t="s">
        <v>958</v>
      </c>
      <c r="B6656" s="0" t="s">
        <v>456</v>
      </c>
      <c r="C6656" s="30" t="n">
        <f aca="false">Sens!C6654</f>
        <v>816.666666666667</v>
      </c>
      <c r="D6656" s="30" t="n">
        <f aca="false">Sens!D6654-Sens!C6654</f>
        <v>1233.33333333333</v>
      </c>
      <c r="E6656" s="30" t="n">
        <f aca="false">Sens!E6654-Sens!D6654</f>
        <v>2450</v>
      </c>
      <c r="F6656" s="30" t="n">
        <f aca="false">Sens!F6654-Sens!E6654</f>
        <v>4200.89183333333</v>
      </c>
      <c r="G6656" s="30" t="n">
        <f aca="false">Sens!G6654-Sens!F6654</f>
        <v>4544.22516666667</v>
      </c>
      <c r="H6656" s="30" t="n">
        <f aca="false">Sens!H6654-Sens!G6654</f>
        <v>4544.22516666667</v>
      </c>
      <c r="I6656" s="30" t="n">
        <f aca="false">Sens!I6654-Sens!H6654</f>
        <v>3219.97686611111</v>
      </c>
      <c r="J6656" s="30" t="n">
        <f aca="false">Sens!J6654-Sens!I6654</f>
        <v>1960.12810287778</v>
      </c>
      <c r="K6656" s="30" t="n">
        <f aca="false">Sens!K6654-Sens!J6654</f>
        <v>726.883414069667</v>
      </c>
    </row>
    <row r="6657" customFormat="false" ht="17.15" hidden="false" customHeight="false" outlineLevel="0" collapsed="false">
      <c r="A6657" s="1" t="s">
        <v>959</v>
      </c>
      <c r="B6657" s="0" t="s">
        <v>456</v>
      </c>
      <c r="D6657" s="30" t="n">
        <f aca="false">Sens!D6651-Sens!C6651</f>
        <v>990</v>
      </c>
      <c r="E6657" s="30" t="n">
        <f aca="false">Sens!E6651-Sens!D6651</f>
        <v>1620</v>
      </c>
      <c r="F6657" s="30" t="n">
        <f aca="false">Sens!F6651-Sens!E6651</f>
        <v>2726.5351</v>
      </c>
      <c r="G6657" s="30" t="n">
        <f aca="false">Sens!G6651-Sens!F6651</f>
        <v>2726.5351</v>
      </c>
      <c r="H6657" s="30" t="n">
        <f aca="false">Sens!H6651-Sens!G6651</f>
        <v>2726.5351</v>
      </c>
      <c r="I6657" s="30" t="n">
        <f aca="false">Sens!I6651-Sens!H6651</f>
        <v>1931.98611966667</v>
      </c>
      <c r="J6657" s="30" t="n">
        <f aca="false">Sens!J6651-Sens!I6651</f>
        <v>1176.07686172667</v>
      </c>
      <c r="K6657" s="30" t="n">
        <f aca="false">Sens!K6651-Sens!J6651</f>
        <v>436.130048441799</v>
      </c>
    </row>
    <row r="6658" customFormat="false" ht="17.15" hidden="false" customHeight="false" outlineLevel="0" collapsed="false">
      <c r="A6658" s="1" t="s">
        <v>960</v>
      </c>
      <c r="B6658" s="0" t="s">
        <v>456</v>
      </c>
      <c r="F6658" s="30" t="n">
        <f aca="false">Sens!F6677*ext_sh</f>
        <v>0</v>
      </c>
      <c r="G6658" s="30" t="n">
        <f aca="false">Sens!G6677*ext_sh</f>
        <v>0</v>
      </c>
      <c r="H6658" s="30" t="n">
        <f aca="false">Sens!H6677*ext_sh</f>
        <v>0</v>
      </c>
      <c r="I6658" s="30" t="n">
        <f aca="false">Sens!I6677*ext_sh</f>
        <v>490</v>
      </c>
      <c r="J6658" s="30" t="n">
        <f aca="false">Sens!J6677*ext_sh</f>
        <v>740</v>
      </c>
      <c r="K6658" s="30" t="n">
        <f aca="false">Sens!K6677*ext_sh</f>
        <v>1470</v>
      </c>
      <c r="L6658" s="1" t="s">
        <v>961</v>
      </c>
    </row>
    <row r="6659" customFormat="false" ht="17.15" hidden="false" customHeight="false" outlineLevel="0" collapsed="false">
      <c r="A6659" s="1" t="s">
        <v>962</v>
      </c>
      <c r="B6659" s="0" t="s">
        <v>456</v>
      </c>
      <c r="C6659" s="30" t="n">
        <f aca="false">mix_h*Sens!C6651</f>
        <v>128</v>
      </c>
      <c r="D6659" s="30" t="n">
        <f aca="false">mix_h*Sens!D6651</f>
        <v>326</v>
      </c>
      <c r="E6659" s="30" t="n">
        <f aca="false">mix_h*Sens!E6651</f>
        <v>650</v>
      </c>
      <c r="F6659" s="30" t="n">
        <f aca="false">Sens!E6659-Sens!F6658*mix_h</f>
        <v>650</v>
      </c>
      <c r="G6659" s="30" t="n">
        <f aca="false">Sens!F6659-Sens!G6658*mix_h</f>
        <v>650</v>
      </c>
      <c r="H6659" s="30" t="n">
        <f aca="false">Sens!G6659-Sens!H6658*mix_h</f>
        <v>650</v>
      </c>
      <c r="I6659" s="30" t="n">
        <f aca="false">Sens!H6659-Sens!I6658*mix_h</f>
        <v>552</v>
      </c>
      <c r="J6659" s="30" t="n">
        <f aca="false">Sens!I6659-Sens!J6658*mix_h</f>
        <v>404</v>
      </c>
      <c r="K6659" s="30" t="n">
        <f aca="false">Sens!J6659-Sens!K6658*mix_h</f>
        <v>110</v>
      </c>
    </row>
    <row r="6660" customFormat="false" ht="17.15" hidden="false" customHeight="false" outlineLevel="0" collapsed="false">
      <c r="A6660" s="1" t="s">
        <v>963</v>
      </c>
      <c r="B6660" s="0" t="s">
        <v>456</v>
      </c>
      <c r="C6660" s="30" t="n">
        <f aca="false">mix_g2*Sens!C6651</f>
        <v>288</v>
      </c>
      <c r="D6660" s="30" t="n">
        <f aca="false">mix_g2*Sens!D6651</f>
        <v>733.5</v>
      </c>
      <c r="E6660" s="30" t="n">
        <f aca="false">mix_g2*Sens!E6651</f>
        <v>1462.5</v>
      </c>
      <c r="F6660" s="30" t="n">
        <f aca="false">Sens!E6660-Sens!F6658*mix_g2</f>
        <v>1462.5</v>
      </c>
      <c r="G6660" s="30" t="n">
        <f aca="false">Sens!F6660-Sens!G6658*mix_g2</f>
        <v>1462.5</v>
      </c>
      <c r="H6660" s="30" t="n">
        <f aca="false">Sens!G6660-Sens!H6658*mix_g2</f>
        <v>1462.5</v>
      </c>
      <c r="I6660" s="30" t="n">
        <f aca="false">Sens!H6660-Sens!I6658*mix_g2</f>
        <v>1242</v>
      </c>
      <c r="J6660" s="30" t="n">
        <f aca="false">Sens!I6660-Sens!J6658*mix_g2</f>
        <v>909</v>
      </c>
      <c r="K6660" s="30" t="n">
        <f aca="false">Sens!J6660-Sens!K6658*mix_g2</f>
        <v>247.5</v>
      </c>
    </row>
    <row r="6661" customFormat="false" ht="17.15" hidden="false" customHeight="false" outlineLevel="0" collapsed="false">
      <c r="A6661" s="1" t="s">
        <v>964</v>
      </c>
      <c r="B6661" s="0" t="s">
        <v>456</v>
      </c>
      <c r="C6661" s="30" t="n">
        <f aca="false">mix_g3*Sens!C6651</f>
        <v>224</v>
      </c>
      <c r="D6661" s="30" t="n">
        <f aca="false">mix_g3*Sens!D6651</f>
        <v>570.5</v>
      </c>
      <c r="E6661" s="30" t="n">
        <f aca="false">mix_g3*Sens!E6651</f>
        <v>1137.5</v>
      </c>
      <c r="F6661" s="30" t="n">
        <f aca="false">Sens!E6661+(Sens!F6657+Sens!F6658)*(a_g3_27-nonnv*a_mai)-Sens!F6658*mix_g3</f>
        <v>2773.42106</v>
      </c>
      <c r="G6661" s="30" t="n">
        <f aca="false">Sens!F6661+(Sens!G6657+Sens!G6658)*(a_g3_28-nonnv*a_mai)-Sens!G6658*mix_g3</f>
        <v>3318.72808</v>
      </c>
      <c r="H6661" s="30" t="n">
        <f aca="false">Sens!G6661+(Sens!H6657+Sens!H6658)*(a_g3_29-nonnv*a_mai)-Sens!H6658*mix_g3</f>
        <v>3318.72808</v>
      </c>
      <c r="I6661" s="30" t="n">
        <f aca="false">Sens!H6661+(Sens!I6657+Sens!I6658)*(a_g3_29-nonnv*a_mai)-Sens!I6658*mix_g3</f>
        <v>3147.22808</v>
      </c>
      <c r="J6661" s="30" t="n">
        <f aca="false">Sens!I6661+(Sens!J6657+Sens!J6658)*(a_g3_29-nonnv*a_mai)-Sens!J6658*mix_g3</f>
        <v>2888.22808</v>
      </c>
      <c r="K6661" s="30" t="n">
        <f aca="false">Sens!J6661+(Sens!K6657+Sens!K6658)*(a_g3_29-nonnv*a_mai)-Sens!K6658*mix_g3</f>
        <v>2373.72808</v>
      </c>
    </row>
    <row r="6662" customFormat="false" ht="17.15" hidden="false" customHeight="false" outlineLevel="0" collapsed="false">
      <c r="A6662" s="1" t="s">
        <v>965</v>
      </c>
      <c r="B6662" s="0" t="s">
        <v>456</v>
      </c>
      <c r="C6662" s="30" t="n">
        <v>0</v>
      </c>
      <c r="D6662" s="30" t="n">
        <v>0</v>
      </c>
      <c r="E6662" s="30" t="n">
        <v>0</v>
      </c>
      <c r="F6662" s="30" t="n">
        <f aca="false">Sens!E6662+(Sens!F6657+Sens!F6658)*nonnv*a_mai</f>
        <v>272.65351</v>
      </c>
      <c r="G6662" s="30" t="n">
        <f aca="false">Sens!F6662+(Sens!G6657+Sens!G6658)*nonnv*a_mai</f>
        <v>545.30702</v>
      </c>
      <c r="H6662" s="30" t="n">
        <f aca="false">Sens!G6662+(Sens!H6657+Sens!H6658)*nonnv*a_mai</f>
        <v>817.96053</v>
      </c>
      <c r="I6662" s="30" t="n">
        <f aca="false">Sens!H6662+(Sens!I6657+Sens!I6658)*nonnv*a_mai</f>
        <v>1060.15914196667</v>
      </c>
      <c r="J6662" s="30" t="n">
        <f aca="false">Sens!I6662+(Sens!J6657+Sens!J6658)*nonnv*a_mai</f>
        <v>1251.76682813933</v>
      </c>
      <c r="K6662" s="30" t="n">
        <f aca="false">Sens!J6662+(Sens!K6657+Sens!K6658)*nonnv*a_mai</f>
        <v>1442.37983298351</v>
      </c>
      <c r="L6662" s="12" t="s">
        <v>966</v>
      </c>
    </row>
    <row r="6663" customFormat="false" ht="17.15" hidden="false" customHeight="false" outlineLevel="0" collapsed="false">
      <c r="A6663" s="1" t="s">
        <v>967</v>
      </c>
      <c r="B6663" s="0" t="s">
        <v>456</v>
      </c>
      <c r="C6663" s="30" t="n">
        <v>0</v>
      </c>
      <c r="D6663" s="30" t="n">
        <v>0</v>
      </c>
      <c r="E6663" s="30" t="n">
        <v>0</v>
      </c>
      <c r="F6663" s="30" t="n">
        <f aca="false">Sens!E6663+(Sens!F6657+Sens!F6658)*(1-a_g3_27)</f>
        <v>817.96053</v>
      </c>
      <c r="G6663" s="30" t="n">
        <f aca="false">Sens!F6663+(Sens!G6657+Sens!G6658)*(1-a_g3_28)</f>
        <v>2726.5351</v>
      </c>
      <c r="H6663" s="30" t="n">
        <f aca="false">Sens!G6663+(Sens!H6657+Sens!H6658)*(1-a_g3_29)</f>
        <v>5180.41669</v>
      </c>
      <c r="I6663" s="30" t="n">
        <f aca="false">Sens!H6663+(Sens!I6657+Sens!I6658)*(1-a_g3_29)</f>
        <v>7360.2041977</v>
      </c>
      <c r="J6663" s="30" t="n">
        <f aca="false">Sens!I6663+(Sens!J6657+Sens!J6658)*(1-a_g3_29)</f>
        <v>9084.673373254</v>
      </c>
      <c r="K6663" s="30" t="n">
        <f aca="false">Sens!J6663+(Sens!K6657+Sens!K6658)*(1-a_g3_29)</f>
        <v>10800.1904168516</v>
      </c>
    </row>
    <row r="6664" customFormat="false" ht="17.15" hidden="false" customHeight="false" outlineLevel="0" collapsed="false">
      <c r="A6664" s="1" t="s">
        <v>968</v>
      </c>
      <c r="B6664" s="0" t="s">
        <v>403</v>
      </c>
      <c r="C6664" s="15" t="n">
        <f aca="false">(Sens!C6659*tk_hold_h100+Sens!C6660*tk_hold_gb200+Sens!C6661*tk_hold_gb300+Sens!C6663*tk_hold_vr200+Sens!C6662*nv_hold_mai*tk_hold_vr200)/Sens!C6651</f>
        <v>9.7235358126469</v>
      </c>
      <c r="D6664" s="15" t="n">
        <f aca="false">(Sens!D6659*tk_hold_h100+Sens!D6660*tk_hold_gb200+Sens!D6661*tk_hold_gb300+Sens!D6663*tk_hold_vr200+Sens!D6662*nv_hold_mai*tk_hold_vr200)/Sens!D6651</f>
        <v>9.7235358126469</v>
      </c>
      <c r="E6664" s="15" t="n">
        <f aca="false">(Sens!E6659*tk_hold_h100+Sens!E6660*tk_hold_gb200+Sens!E6661*tk_hold_gb300+Sens!E6663*tk_hold_vr200+Sens!E6662*nv_hold_mai*tk_hold_vr200)/Sens!E6651</f>
        <v>9.7235358126469</v>
      </c>
      <c r="F6664" s="15" t="n">
        <f aca="false">(Sens!F6659*tk_hold_h100+Sens!F6660*tk_hold_gb200+Sens!F6661*tk_hold_gb300+Sens!F6663*tk_hold_vr200+Sens!F6662*nv_hold_mai*tk_hold_vr200)/Sens!F6651</f>
        <v>10.2195353876665</v>
      </c>
      <c r="G6664" s="15" t="n">
        <f aca="false">(Sens!G6659*tk_hold_h100+Sens!G6660*tk_hold_gb200+Sens!G6661*tk_hold_gb300+Sens!G6663*tk_hold_vr200+Sens!G6662*nv_hold_mai*tk_hold_vr200)/Sens!G6651</f>
        <v>10.5725598017306</v>
      </c>
      <c r="H6664" s="15" t="n">
        <f aca="false">(Sens!H6659*tk_hold_h100+Sens!H6660*tk_hold_gb200+Sens!H6661*tk_hold_gb300+Sens!H6663*tk_hold_vr200+Sens!H6662*nv_hold_mai*tk_hold_vr200)/Sens!H6651</f>
        <v>10.8210427149036</v>
      </c>
      <c r="I6664" s="15" t="n">
        <f aca="false">(Sens!I6659*tk_hold_h100+Sens!I6660*tk_hold_gb200+Sens!I6661*tk_hold_gb300+Sens!I6663*tk_hold_vr200+Sens!I6662*nv_hold_mai*tk_hold_vr200)/Sens!I6651</f>
        <v>11.0050618241982</v>
      </c>
      <c r="J6664" s="15" t="n">
        <f aca="false">(Sens!J6659*tk_hold_h100+Sens!J6660*tk_hold_gb200+Sens!J6661*tk_hold_gb300+Sens!J6663*tk_hold_vr200+Sens!J6662*nv_hold_mai*tk_hold_vr200)/Sens!J6651</f>
        <v>11.1505789658881</v>
      </c>
      <c r="K6664" s="15" t="n">
        <f aca="false">(Sens!K6659*tk_hold_h100+Sens!K6660*tk_hold_gb200+Sens!K6661*tk_hold_gb300+Sens!K6663*tk_hold_vr200+Sens!K6662*nv_hold_mai*tk_hold_vr200)/Sens!K6651</f>
        <v>11.3496914757183</v>
      </c>
      <c r="L6664" s="1" t="s">
        <v>969</v>
      </c>
    </row>
    <row r="6665" customFormat="false" ht="17.15" hidden="false" customHeight="false" outlineLevel="0" collapsed="false">
      <c r="A6665" s="1" t="s">
        <v>970</v>
      </c>
      <c r="B6665" s="0" t="s">
        <v>403</v>
      </c>
      <c r="C6665" s="15" t="n">
        <f aca="false">(Sens!C6659*tk_hold_h100+Sens!C6660*tk_hold_gb200+Sens!C6661*tk_hold_gb300+Sens!C6663*tk_hold_vr200+Sens!C6662*nv_out_mai*tk_hold_vr200)/Sens!C6651</f>
        <v>9.7235358126469</v>
      </c>
      <c r="D6665" s="15" t="n">
        <f aca="false">(Sens!D6659*tk_hold_h100+Sens!D6660*tk_hold_gb200+Sens!D6661*tk_hold_gb300+Sens!D6663*tk_hold_vr200+Sens!D6662*nv_out_mai*tk_hold_vr200)/Sens!D6651</f>
        <v>9.7235358126469</v>
      </c>
      <c r="E6665" s="15" t="n">
        <f aca="false">(Sens!E6659*tk_hold_h100+Sens!E6660*tk_hold_gb200+Sens!E6661*tk_hold_gb300+Sens!E6663*tk_hold_vr200+Sens!E6662*nv_out_mai*tk_hold_vr200)/Sens!E6651</f>
        <v>9.7235358126469</v>
      </c>
      <c r="F6665" s="15" t="n">
        <f aca="false">(Sens!F6659*tk_hold_h100+Sens!F6660*tk_hold_gb200+Sens!F6661*tk_hold_gb300+Sens!F6663*tk_hold_vr200+Sens!F6662*nv_out_mai*tk_hold_vr200)/Sens!F6651</f>
        <v>10.247422093969</v>
      </c>
      <c r="G6665" s="15" t="n">
        <f aca="false">(Sens!G6659*tk_hold_h100+Sens!G6660*tk_hold_gb200+Sens!G6661*tk_hold_gb300+Sens!G6663*tk_hold_vr200+Sens!G6662*nv_out_mai*tk_hold_vr200)/Sens!G6651</f>
        <v>10.6108602808053</v>
      </c>
      <c r="H6665" s="15" t="n">
        <f aca="false">(Sens!H6659*tk_hold_h100+Sens!H6660*tk_hold_gb200+Sens!H6661*tk_hold_gb300+Sens!H6663*tk_hold_vr200+Sens!H6662*nv_out_mai*tk_hold_vr200)/Sens!H6651</f>
        <v>10.8647885507393</v>
      </c>
      <c r="I6665" s="15" t="n">
        <f aca="false">(Sens!I6659*tk_hold_h100+Sens!I6660*tk_hold_gb200+Sens!I6661*tk_hold_gb300+Sens!I6663*tk_hold_vr200+Sens!I6662*nv_out_mai*tk_hold_vr200)/Sens!I6651</f>
        <v>11.0535625770025</v>
      </c>
      <c r="J6665" s="15" t="n">
        <f aca="false">(Sens!J6659*tk_hold_h100+Sens!J6660*tk_hold_gb200+Sens!J6661*tk_hold_gb300+Sens!J6663*tk_hold_vr200+Sens!J6662*nv_out_mai*tk_hold_vr200)/Sens!J6651</f>
        <v>11.2032127128058</v>
      </c>
      <c r="K6665" s="15" t="n">
        <f aca="false">(Sens!K6659*tk_hold_h100+Sens!K6660*tk_hold_gb200+Sens!K6661*tk_hold_gb300+Sens!K6663*tk_hold_vr200+Sens!K6662*nv_out_mai*tk_hold_vr200)/Sens!K6651</f>
        <v>11.4085735724225</v>
      </c>
      <c r="L6665" s="12" t="s">
        <v>971</v>
      </c>
    </row>
    <row r="6666" customFormat="false" ht="17.15" hidden="false" customHeight="false" outlineLevel="0" collapsed="false">
      <c r="A6666" s="0" t="s">
        <v>972</v>
      </c>
      <c r="B6666" s="0" t="s">
        <v>229</v>
      </c>
      <c r="C6666" s="15" t="n">
        <f aca="false">k_B</f>
        <v>1.17213932619116</v>
      </c>
      <c r="D6666" s="15" t="n">
        <f aca="false">k_B</f>
        <v>1.17213932619116</v>
      </c>
      <c r="E6666" s="15" t="n">
        <f aca="false">k_B</f>
        <v>1.17213932619116</v>
      </c>
      <c r="F6666" s="15" t="n">
        <f aca="false">(k_B+((ls_A*k_long+(1-ls_A)*k_spot)-k_B)*MIN(1,(Sens!F6649-base_fy)/k_ramp))</f>
        <v>1.25022828131298</v>
      </c>
      <c r="G6666" s="15" t="n">
        <f aca="false">(k_B+((ls_A*k_long+(1-ls_A)*k_spot)-k_B)*MIN(1,(Sens!G6649-base_fy)/k_ramp))</f>
        <v>1.3283172364348</v>
      </c>
      <c r="H6666" s="15" t="n">
        <f aca="false">(k_B+((ls_A*k_long+(1-ls_A)*k_spot)-k_B)*MIN(1,(Sens!H6649-base_fy)/k_ramp))</f>
        <v>1.40640619155662</v>
      </c>
      <c r="I6666" s="15" t="n">
        <f aca="false">(k_B+((ls_A*k_long+(1-ls_A)*k_spot)-k_B)*MIN(1,(Sens!I6649-base_fy)/k_ramp))</f>
        <v>1.40640619155662</v>
      </c>
      <c r="J6666" s="15" t="n">
        <f aca="false">(k_B+((ls_A*k_long+(1-ls_A)*k_spot)-k_B)*MIN(1,(Sens!J6649-base_fy)/k_ramp))</f>
        <v>1.40640619155662</v>
      </c>
      <c r="K6666" s="15" t="n">
        <f aca="false">(k_B+((ls_A*k_long+(1-ls_A)*k_spot)-k_B)*MIN(1,(Sens!K6649-base_fy)/k_ramp))</f>
        <v>1.40640619155662</v>
      </c>
      <c r="L6666" s="1" t="s">
        <v>973</v>
      </c>
    </row>
    <row r="6667" customFormat="false" ht="17.15" hidden="false" customHeight="false" outlineLevel="0" collapsed="false">
      <c r="A6667" s="1" t="s">
        <v>974</v>
      </c>
      <c r="B6667" s="0" t="s">
        <v>403</v>
      </c>
      <c r="C6667" s="15" t="n">
        <f aca="false">Sens!C6665*Sens!C6666*chip_f</f>
        <v>11.3973387156315</v>
      </c>
      <c r="D6667" s="15" t="n">
        <f aca="false">Sens!D6665*Sens!D6666*chip_f</f>
        <v>11.3973387156315</v>
      </c>
      <c r="E6667" s="15" t="n">
        <f aca="false">Sens!E6665*Sens!E6666*chip_f</f>
        <v>11.3973387156315</v>
      </c>
      <c r="F6667" s="15" t="n">
        <f aca="false">Sens!F6665*Sens!F6666*chip_f</f>
        <v>12.8116169124314</v>
      </c>
      <c r="G6667" s="15" t="n">
        <f aca="false">Sens!G6665*Sens!G6666*chip_f</f>
        <v>14.094588604395</v>
      </c>
      <c r="H6667" s="15" t="n">
        <f aca="false">Sens!H6665*Sens!H6666*chip_f</f>
        <v>15.2803058877132</v>
      </c>
      <c r="I6667" s="15" t="n">
        <f aca="false">Sens!I6665*Sens!I6666*chip_f</f>
        <v>15.5457988470549</v>
      </c>
      <c r="J6667" s="15" t="n">
        <f aca="false">Sens!J6665*Sens!J6666*chip_f</f>
        <v>15.7562677246158</v>
      </c>
      <c r="K6667" s="15" t="n">
        <f aca="false">Sens!K6665*Sens!K6666*chip_f</f>
        <v>16.0450885090842</v>
      </c>
      <c r="L6667" s="1" t="s">
        <v>975</v>
      </c>
    </row>
    <row r="6668" customFormat="false" ht="17.15" hidden="false" customHeight="false" outlineLevel="0" collapsed="false">
      <c r="A6668" s="0" t="s">
        <v>976</v>
      </c>
      <c r="B6668" s="0" t="s">
        <v>98</v>
      </c>
      <c r="D6668" s="6" t="n">
        <f aca="false">(Sens!C6651+Sens!D6651)/2*Sens!D6667/1000</f>
        <v>12.9359794422418</v>
      </c>
      <c r="E6668" s="6" t="n">
        <f aca="false">(Sens!D6651+Sens!E6651)/2*Sens!E6667/1000</f>
        <v>27.8095064661409</v>
      </c>
      <c r="F6668" s="6" t="n">
        <f aca="false">(Sens!E6651+Sens!F6651)/2*Sens!F6667/1000</f>
        <v>59.1034165651511</v>
      </c>
      <c r="G6668" s="6" t="n">
        <f aca="false">(Sens!F6651+Sens!G6651)/2*Sens!G6667/1000</f>
        <v>103.451498789198</v>
      </c>
      <c r="H6668" s="6" t="n">
        <f aca="false">(Sens!G6651+Sens!H6651)/2*Sens!H6667/1000</f>
        <v>153.816719989035</v>
      </c>
      <c r="I6668" s="6" t="n">
        <f aca="false">(Sens!H6651+Sens!I6651)/2*Sens!I6667/1000</f>
        <v>192.699478690852</v>
      </c>
      <c r="J6668" s="6" t="n">
        <f aca="false">(Sens!I6651+Sens!J6651)/2*Sens!J6667/1000</f>
        <v>219.794102584244</v>
      </c>
      <c r="K6668" s="6" t="n">
        <f aca="false">(Sens!J6651+Sens!K6651)/2*Sens!K6667/1000</f>
        <v>236.757046905022</v>
      </c>
      <c r="L6668" s="12" t="s">
        <v>977</v>
      </c>
    </row>
    <row r="6669" customFormat="false" ht="17.15" hidden="false" customHeight="false" outlineLevel="0" collapsed="false">
      <c r="A6669" s="1" t="s">
        <v>978</v>
      </c>
      <c r="B6669" s="0" t="s">
        <v>403</v>
      </c>
      <c r="C6669" s="15" t="n">
        <f aca="false">(Sens!C6659*tk_opex_h100+Sens!C6660*tk_opex_gb200+Sens!C6661*tk_opex_gb300+(Sens!C6663+Sens!C6662)*tk_opex_vr200)/Sens!C6651</f>
        <v>1.88636041306092</v>
      </c>
      <c r="D6669" s="15" t="n">
        <f aca="false">(Sens!D6659*tk_opex_h100+Sens!D6660*tk_opex_gb200+Sens!D6661*tk_opex_gb300+(Sens!D6663+Sens!D6662)*tk_opex_vr200)/Sens!D6651</f>
        <v>1.88636041306092</v>
      </c>
      <c r="E6669" s="15" t="n">
        <f aca="false">(Sens!E6659*tk_opex_h100+Sens!E6660*tk_opex_gb200+Sens!E6661*tk_opex_gb300+(Sens!E6663+Sens!E6662)*tk_opex_vr200)/Sens!E6651</f>
        <v>1.88636041306092</v>
      </c>
      <c r="F6669" s="15" t="n">
        <f aca="false">(Sens!F6659*tk_opex_h100+Sens!F6660*tk_opex_gb200+Sens!F6661*tk_opex_gb300+(Sens!F6663+Sens!F6662)*tk_opex_vr200)/Sens!F6651</f>
        <v>1.95051159746876</v>
      </c>
      <c r="G6669" s="15" t="n">
        <f aca="false">(Sens!G6659*tk_opex_h100+Sens!G6660*tk_opex_gb200+Sens!G6661*tk_opex_gb300+(Sens!G6663+Sens!G6662)*tk_opex_vr200)/Sens!G6651</f>
        <v>1.98836003669956</v>
      </c>
      <c r="H6669" s="15" t="n">
        <f aca="false">(Sens!H6659*tk_opex_h100+Sens!H6660*tk_opex_gb200+Sens!H6661*tk_opex_gb300+(Sens!H6663+Sens!H6662)*tk_opex_vr200)/Sens!H6651</f>
        <v>2.01344013834343</v>
      </c>
      <c r="I6669" s="15" t="n">
        <f aca="false">(Sens!I6659*tk_opex_h100+Sens!I6660*tk_opex_gb200+Sens!I6661*tk_opex_gb300+(Sens!I6663+Sens!I6662)*tk_opex_vr200)/Sens!I6651</f>
        <v>2.03261166882178</v>
      </c>
      <c r="J6669" s="15" t="n">
        <f aca="false">(Sens!J6659*tk_opex_h100+Sens!J6660*tk_opex_gb200+Sens!J6661*tk_opex_gb300+(Sens!J6663+Sens!J6662)*tk_opex_vr200)/Sens!J6651</f>
        <v>2.04808073288745</v>
      </c>
      <c r="K6669" s="15" t="n">
        <f aca="false">(Sens!K6659*tk_opex_h100+Sens!K6660*tk_opex_gb200+Sens!K6661*tk_opex_gb300+(Sens!K6663+Sens!K6662)*tk_opex_vr200)/Sens!K6651</f>
        <v>2.06973825807449</v>
      </c>
      <c r="L6669" s="12" t="s">
        <v>979</v>
      </c>
    </row>
    <row r="6670" customFormat="false" ht="17.15" hidden="false" customHeight="false" outlineLevel="0" collapsed="false">
      <c r="A6670" s="0" t="s">
        <v>980</v>
      </c>
      <c r="B6670" s="0" t="s">
        <v>98</v>
      </c>
      <c r="D6670" s="6" t="n">
        <f aca="false">(Sens!C6654+Sens!D6654)/2*Sens!D6669/1000</f>
        <v>2.70378325872065</v>
      </c>
      <c r="E6670" s="6" t="n">
        <f aca="false">(Sens!D6654+Sens!E6654)/2*Sens!E6669/1000</f>
        <v>6.17783035277451</v>
      </c>
      <c r="F6670" s="6" t="n">
        <f aca="false">(Sens!E6654+Sens!F6654)/2*Sens!F6669/1000</f>
        <v>12.8742463089237</v>
      </c>
      <c r="G6670" s="6" t="n">
        <f aca="false">(Sens!F6654+Sens!G6654)/2*Sens!G6669/1000</f>
        <v>21.8182834646277</v>
      </c>
      <c r="H6670" s="6" t="n">
        <f aca="false">(Sens!G6654+Sens!H6654)/2*Sens!H6669/1000</f>
        <v>31.2430128789734</v>
      </c>
      <c r="I6670" s="6" t="n">
        <f aca="false">(Sens!H6654+Sens!I6654)/2*Sens!I6669/1000</f>
        <v>39.4313057443268</v>
      </c>
      <c r="J6670" s="6" t="n">
        <f aca="false">(Sens!I6654+Sens!J6654)/2*Sens!J6669/1000</f>
        <v>45.0360318228653</v>
      </c>
      <c r="K6670" s="6" t="n">
        <f aca="false">(Sens!J6654+Sens!K6654)/2*Sens!K6669/1000</f>
        <v>48.2929727091156</v>
      </c>
    </row>
    <row r="6671" customFormat="false" ht="17.15" hidden="false" customHeight="false" outlineLevel="0" collapsed="false">
      <c r="A6671" s="0" t="s">
        <v>981</v>
      </c>
      <c r="B6671" s="0" t="s">
        <v>98</v>
      </c>
      <c r="D6671" s="6" t="n">
        <f aca="false">(Sens!C6652+Sens!D6652)/2*rent_mw/1000</f>
        <v>2.44475</v>
      </c>
      <c r="E6671" s="6" t="n">
        <f aca="false">(Sens!D6652+Sens!E6652)/2*rent_mw/1000</f>
        <v>4.22275</v>
      </c>
      <c r="F6671" s="6" t="n">
        <f aca="false">(Sens!E6652+Sens!F6652)/2*rent_mw/1000</f>
        <v>5.80517</v>
      </c>
      <c r="G6671" s="6" t="n">
        <f aca="false">(Sens!F6652+Sens!G6652)/2*rent_mw/1000</f>
        <v>6.72084</v>
      </c>
      <c r="H6671" s="6" t="n">
        <f aca="false">(Sens!G6652+Sens!H6652)/2*rent_mw/1000</f>
        <v>6.72084</v>
      </c>
      <c r="I6671" s="6" t="n">
        <f aca="false">(Sens!H6652+Sens!I6652)/2*rent_mw/1000</f>
        <v>6.72084</v>
      </c>
      <c r="J6671" s="6" t="n">
        <f aca="false">(Sens!I6652+Sens!J6652)/2*rent_mw/1000</f>
        <v>6.72084</v>
      </c>
      <c r="K6671" s="6" t="n">
        <f aca="false">(Sens!J6652+Sens!K6652)/2*rent_mw/1000</f>
        <v>6.72084</v>
      </c>
    </row>
    <row r="6672" customFormat="false" ht="17.15" hidden="false" customHeight="false" outlineLevel="0" collapsed="false">
      <c r="A6672" s="0" t="s">
        <v>982</v>
      </c>
      <c r="B6672" s="0" t="s">
        <v>98</v>
      </c>
      <c r="D6672" s="6" t="n">
        <f aca="false">(Sens!C6654+Sens!D6654)/2*(1-self_build)*fac_rent/1000</f>
        <v>0.853242375631075</v>
      </c>
      <c r="E6672" s="6" t="n">
        <f aca="false">(Sens!D6654+Sens!E6654)/2*(1-self_build)*fac_rent/1000</f>
        <v>1.94955961408728</v>
      </c>
      <c r="F6672" s="6" t="n">
        <f aca="false">(Sens!E6654+Sens!F6654)/2*(1-self_build)*fac_rent/1000</f>
        <v>3.92914894476356</v>
      </c>
      <c r="G6672" s="6" t="n">
        <f aca="false">(Sens!F6654+Sens!G6654)/2*(1-self_build)*fac_rent/1000</f>
        <v>6.53206908578159</v>
      </c>
      <c r="H6672" s="6" t="n">
        <f aca="false">(Sens!G6654+Sens!H6654)/2*(1-self_build)*fac_rent/1000</f>
        <v>9.23717988341591</v>
      </c>
      <c r="I6672" s="6" t="n">
        <f aca="false">(Sens!H6654+Sens!I6654)/2*(1-self_build)*fac_rent/1000</f>
        <v>11.5481378557393</v>
      </c>
      <c r="J6672" s="6" t="n">
        <f aca="false">(Sens!I6654+Sens!J6654)/2*(1-self_build)*fac_rent/1000</f>
        <v>13.0899582289108</v>
      </c>
      <c r="K6672" s="6" t="n">
        <f aca="false">(Sens!J6654+Sens!K6654)/2*(1-self_build)*fac_rent/1000</f>
        <v>13.8897275626556</v>
      </c>
      <c r="L6672" s="12" t="s">
        <v>983</v>
      </c>
    </row>
    <row r="6673" customFormat="false" ht="17.15" hidden="false" customHeight="false" outlineLevel="0" collapsed="false">
      <c r="A6673" s="1" t="s">
        <v>984</v>
      </c>
      <c r="B6673" s="0" t="s">
        <v>168</v>
      </c>
      <c r="D6673" s="7" t="n">
        <f aca="false">(Sens!C6653+Sens!D6653)/(Sens!C6654+Sens!D6654)</f>
        <v>0.6</v>
      </c>
      <c r="E6673" s="7" t="n">
        <f aca="false">(Sens!D6653+Sens!E6653)/(Sens!D6654+Sens!E6654)</f>
        <v>0.6</v>
      </c>
      <c r="F6673" s="7" t="n">
        <f aca="false">(Sens!E6653+Sens!F6653)/(Sens!E6654+Sens!F6654)</f>
        <v>0.6</v>
      </c>
      <c r="G6673" s="7" t="n">
        <f aca="false">(Sens!F6653+Sens!G6653)/(Sens!F6654+Sens!G6654)</f>
        <v>0.6</v>
      </c>
      <c r="H6673" s="7" t="n">
        <f aca="false">(Sens!G6653+Sens!H6653)/(Sens!G6654+Sens!H6654)</f>
        <v>0.6</v>
      </c>
      <c r="I6673" s="7" t="n">
        <f aca="false">(Sens!H6653+Sens!I6653)/(Sens!H6654+Sens!I6654)</f>
        <v>0.6</v>
      </c>
      <c r="J6673" s="7" t="n">
        <f aca="false">(Sens!I6653+Sens!J6653)/(Sens!I6654+Sens!J6654)</f>
        <v>0.6</v>
      </c>
      <c r="K6673" s="7" t="n">
        <f aca="false">(Sens!J6653+Sens!K6653)/(Sens!J6654+Sens!K6654)</f>
        <v>0.6</v>
      </c>
    </row>
    <row r="6674" customFormat="false" ht="17.15" hidden="false" customHeight="false" outlineLevel="0" collapsed="false">
      <c r="A6674" s="0" t="s">
        <v>985</v>
      </c>
      <c r="B6674" s="0" t="s">
        <v>98</v>
      </c>
      <c r="D6674" s="6" t="n">
        <f aca="false">Sens!D6668-Sens!D6673*(Sens!D6670+Sens!D6672)-Sens!D6671</f>
        <v>8.35701406163072</v>
      </c>
      <c r="E6674" s="6" t="n">
        <f aca="false">Sens!E6668-Sens!E6673*(Sens!E6670+Sens!E6672)-Sens!E6671</f>
        <v>18.7103224860238</v>
      </c>
      <c r="F6674" s="6" t="n">
        <f aca="false">Sens!F6668-Sens!F6673*(Sens!F6670+Sens!F6672)-Sens!F6671</f>
        <v>43.2162094129388</v>
      </c>
      <c r="G6674" s="6" t="n">
        <f aca="false">Sens!G6668-Sens!G6673*(Sens!G6670+Sens!G6672)-Sens!G6671</f>
        <v>79.7204472589529</v>
      </c>
      <c r="H6674" s="6" t="n">
        <f aca="false">Sens!H6668-Sens!H6673*(Sens!H6670+Sens!H6672)-Sens!H6671</f>
        <v>122.807764331602</v>
      </c>
      <c r="I6674" s="6" t="n">
        <f aca="false">Sens!I6668-Sens!I6673*(Sens!I6670+Sens!I6672)-Sens!I6671</f>
        <v>155.390972530813</v>
      </c>
      <c r="J6674" s="6" t="n">
        <f aca="false">Sens!J6668-Sens!J6673*(Sens!J6670+Sens!J6672)-Sens!J6671</f>
        <v>178.197668553178</v>
      </c>
      <c r="K6674" s="6" t="n">
        <f aca="false">Sens!K6668-Sens!K6673*(Sens!K6670+Sens!K6672)-Sens!K6671</f>
        <v>192.726586741959</v>
      </c>
    </row>
    <row r="6675" customFormat="false" ht="17.15" hidden="false" customHeight="false" outlineLevel="0" collapsed="false">
      <c r="A6675" s="1" t="s">
        <v>986</v>
      </c>
      <c r="B6675" s="0" t="s">
        <v>98</v>
      </c>
      <c r="D6675" s="6" t="n">
        <f aca="false">(1-Sens!D6673)*(Sens!D6670+Sens!D6672)</f>
        <v>1.42281025374069</v>
      </c>
      <c r="E6675" s="6" t="n">
        <f aca="false">(1-Sens!E6673)*(Sens!E6670+Sens!E6672)</f>
        <v>3.25095598674472</v>
      </c>
      <c r="F6675" s="6" t="n">
        <f aca="false">(1-Sens!F6673)*(Sens!F6670+Sens!F6672)</f>
        <v>6.72135810147489</v>
      </c>
      <c r="G6675" s="6" t="n">
        <f aca="false">(1-Sens!G6673)*(Sens!G6670+Sens!G6672)</f>
        <v>11.3401410201637</v>
      </c>
      <c r="H6675" s="6" t="n">
        <f aca="false">(1-Sens!H6673)*(Sens!H6670+Sens!H6672)</f>
        <v>16.1920771049557</v>
      </c>
      <c r="I6675" s="6" t="n">
        <f aca="false">(1-Sens!I6673)*(Sens!I6670+Sens!I6672)</f>
        <v>20.3917774400264</v>
      </c>
      <c r="J6675" s="6" t="n">
        <f aca="false">(1-Sens!J6673)*(Sens!J6670+Sens!J6672)</f>
        <v>23.2503960207104</v>
      </c>
      <c r="K6675" s="6" t="n">
        <f aca="false">(1-Sens!K6673)*(Sens!K6670+Sens!K6672)</f>
        <v>24.8730801087085</v>
      </c>
    </row>
    <row r="6676" customFormat="false" ht="17.15" hidden="false" customHeight="false" outlineLevel="0" collapsed="false">
      <c r="A6676" s="1" t="s">
        <v>987</v>
      </c>
      <c r="B6676" s="0" t="s">
        <v>414</v>
      </c>
      <c r="C6676" s="8" t="n">
        <f aca="false">cxit_open</f>
        <v>27.5918995</v>
      </c>
      <c r="D6676" s="8" t="n">
        <f aca="false">cxit_open</f>
        <v>27.5918995</v>
      </c>
      <c r="E6676" s="8" t="n">
        <f aca="false">cxit_open</f>
        <v>27.5918995</v>
      </c>
      <c r="F6676" s="8" t="n">
        <f aca="false">((a_g3_27-nonnv*a_mai)*tk_cxit_gb300+nonnv*a_mai*nv_hold_mai*tk_cxit_vr200+(1-a_g3_27)*tk_cxit_vr200)</f>
        <v>32.4975576</v>
      </c>
      <c r="G6676" s="8" t="n">
        <f aca="false">((a_g3_28-nonnv*a_mai)*tk_cxit_gb300+nonnv*a_mai*nv_hold_mai*tk_cxit_vr200+(1-a_g3_28)*tk_cxit_vr200)</f>
        <v>34.6372088</v>
      </c>
      <c r="H6676" s="8" t="n">
        <f aca="false">((a_g3_29-nonnv*a_mai)*tk_cxit_gb300+nonnv*a_mai*nv_hold_mai*tk_cxit_vr200+(1-a_g3_29)*tk_cxit_vr200)</f>
        <v>35.7070344</v>
      </c>
      <c r="I6676" s="8" t="n">
        <f aca="false">((a_g3_29-nonnv*a_mai)*tk_cxit_gb300+nonnv*a_mai*nv_hold_mai*tk_cxit_vr200+(1-a_g3_29)*tk_cxit_vr200)</f>
        <v>35.7070344</v>
      </c>
      <c r="J6676" s="8" t="n">
        <f aca="false">((a_g3_29-nonnv*a_mai)*tk_cxit_gb300+nonnv*a_mai*nv_hold_mai*tk_cxit_vr200+(1-a_g3_29)*tk_cxit_vr200)</f>
        <v>35.7070344</v>
      </c>
      <c r="K6676" s="8" t="n">
        <f aca="false">((a_g3_29-nonnv*a_mai)*tk_cxit_gb300+nonnv*a_mai*nv_hold_mai*tk_cxit_vr200+(1-a_g3_29)*tk_cxit_vr200)</f>
        <v>35.7070344</v>
      </c>
      <c r="L6676" s="12" t="s">
        <v>988</v>
      </c>
    </row>
    <row r="6677" customFormat="false" ht="17.15" hidden="false" customHeight="false" outlineLevel="0" collapsed="false">
      <c r="A6677" s="0" t="s">
        <v>989</v>
      </c>
      <c r="B6677" s="0" t="s">
        <v>456</v>
      </c>
      <c r="F6677" s="30" t="n">
        <f aca="false">Sens!C6656*IF(Sens!F6649-Sens!C6649=life_it,1,0)+Sens!D6656*IF(Sens!F6649-Sens!D6649=life_it,1,0)+Sens!E6656*IF(Sens!F6649-Sens!E6649=life_it,1,0)</f>
        <v>0</v>
      </c>
      <c r="G6677" s="30" t="n">
        <f aca="false">Sens!C6656*IF(Sens!G6649-Sens!C6649=life_it,1,0)+Sens!D6656*IF(Sens!G6649-Sens!D6649=life_it,1,0)+Sens!E6656*IF(Sens!G6649-Sens!E6649=life_it,1,0)+Sens!F6656*IF(Sens!G6649-Sens!F6649=life_it,1,0)</f>
        <v>0</v>
      </c>
      <c r="H6677" s="30" t="n">
        <f aca="false">Sens!C6656*IF(Sens!H6649-Sens!C6649=life_it,1,0)+Sens!D6656*IF(Sens!H6649-Sens!D6649=life_it,1,0)+Sens!E6656*IF(Sens!H6649-Sens!E6649=life_it,1,0)+Sens!F6656*IF(Sens!H6649-Sens!F6649=life_it,1,0)+Sens!G6656*IF(Sens!H6649-Sens!G6649=life_it,1,0)</f>
        <v>0</v>
      </c>
      <c r="I6677" s="30" t="n">
        <f aca="false">Sens!C6656*IF(Sens!I6649-Sens!C6649=life_it,1,0)+Sens!D6656*IF(Sens!I6649-Sens!D6649=life_it,1,0)+Sens!E6656*IF(Sens!I6649-Sens!E6649=life_it,1,0)+Sens!F6656*IF(Sens!I6649-Sens!F6649=life_it,1,0)+Sens!G6656*IF(Sens!I6649-Sens!G6649=life_it,1,0)+Sens!H6656*IF(Sens!I6649-Sens!H6649=life_it,1,0)</f>
        <v>816.666666666667</v>
      </c>
      <c r="J6677" s="30" t="n">
        <f aca="false">Sens!C6656*IF(Sens!J6649-Sens!C6649=life_it,1,0)+Sens!D6656*IF(Sens!J6649-Sens!D6649=life_it,1,0)+Sens!E6656*IF(Sens!J6649-Sens!E6649=life_it,1,0)+Sens!F6656*IF(Sens!J6649-Sens!F6649=life_it,1,0)+Sens!G6656*IF(Sens!J6649-Sens!G6649=life_it,1,0)+Sens!H6656*IF(Sens!J6649-Sens!H6649=life_it,1,0)+Sens!I6656*IF(Sens!J6649-Sens!I6649=life_it,1,0)</f>
        <v>1233.33333333333</v>
      </c>
      <c r="K6677" s="30" t="n">
        <f aca="false">Sens!C6656*IF(Sens!K6649-Sens!C6649=life_it,1,0)+Sens!D6656*IF(Sens!K6649-Sens!D6649=life_it,1,0)+Sens!E6656*IF(Sens!K6649-Sens!E6649=life_it,1,0)+Sens!F6656*IF(Sens!K6649-Sens!F6649=life_it,1,0)+Sens!G6656*IF(Sens!K6649-Sens!G6649=life_it,1,0)+Sens!H6656*IF(Sens!K6649-Sens!H6649=life_it,1,0)+Sens!I6656*IF(Sens!K6649-Sens!I6649=life_it,1,0)+Sens!J6656*IF(Sens!K6649-Sens!J6649=life_it,1,0)</f>
        <v>2450</v>
      </c>
      <c r="L6677" s="1" t="s">
        <v>990</v>
      </c>
    </row>
    <row r="6678" customFormat="false" ht="17.15" hidden="false" customHeight="false" outlineLevel="0" collapsed="false">
      <c r="A6678" s="0" t="s">
        <v>991</v>
      </c>
      <c r="B6678" s="0" t="s">
        <v>98</v>
      </c>
      <c r="C6678" s="6" t="n">
        <f aca="false">Sens!C6656*Sens!C6676/1000</f>
        <v>22.5333845916667</v>
      </c>
      <c r="D6678" s="6" t="n">
        <f aca="false">Sens!D6656*Sens!D6676/1000</f>
        <v>34.0300093833333</v>
      </c>
      <c r="E6678" s="6" t="n">
        <f aca="false">Sens!E6656*Sens!E6676/1000</f>
        <v>67.600153775</v>
      </c>
      <c r="F6678" s="6" t="n">
        <f aca="false">(Sens!F6656+Sens!F6677)*Sens!F6676/1000</f>
        <v>136.51872432512</v>
      </c>
      <c r="G6678" s="6" t="n">
        <f aca="false">(Sens!G6656+Sens!G6677)*Sens!G6676/1000</f>
        <v>157.399275932048</v>
      </c>
      <c r="H6678" s="6" t="n">
        <f aca="false">(Sens!H6656+Sens!H6677)*Sens!H6676/1000</f>
        <v>162.260804347512</v>
      </c>
      <c r="I6678" s="6" t="n">
        <f aca="false">(Sens!I6656+Sens!I6677)*Sens!I6676/1000</f>
        <v>144.136569485434</v>
      </c>
      <c r="J6678" s="6" t="n">
        <f aca="false">(Sens!J6656+Sens!J6677)*Sens!J6676/1000</f>
        <v>114.029037357864</v>
      </c>
      <c r="K6678" s="6" t="n">
        <f aca="false">(Sens!K6656+Sens!K6677)*Sens!K6676/1000</f>
        <v>113.437085350975</v>
      </c>
    </row>
    <row r="6679" customFormat="false" ht="17.15" hidden="false" customHeight="false" outlineLevel="0" collapsed="false">
      <c r="A6679" s="0" t="s">
        <v>992</v>
      </c>
      <c r="B6679" s="0" t="s">
        <v>98</v>
      </c>
      <c r="C6679" s="6" t="n">
        <f aca="false">Sens!C6656*self_build*tk_cxfac/1000</f>
        <v>6.2083</v>
      </c>
      <c r="D6679" s="6" t="n">
        <f aca="false">Sens!D6656*self_build*tk_cxfac/1000</f>
        <v>9.3758</v>
      </c>
      <c r="E6679" s="6" t="n">
        <f aca="false">Sens!E6656*self_build*tk_cxfac/1000</f>
        <v>18.6249</v>
      </c>
      <c r="F6679" s="6" t="n">
        <f aca="false">Sens!F6656*self_build*tk_cxfac/1000</f>
        <v>31.935179717</v>
      </c>
      <c r="G6679" s="6" t="n">
        <f aca="false">Sens!G6656*self_build*tk_cxfac/1000</f>
        <v>34.545199717</v>
      </c>
      <c r="H6679" s="6" t="n">
        <f aca="false">Sens!H6656*self_build*tk_cxfac/1000</f>
        <v>34.545199717</v>
      </c>
      <c r="I6679" s="6" t="n">
        <f aca="false">Sens!I6656*self_build*tk_cxfac/1000</f>
        <v>24.4782641361767</v>
      </c>
      <c r="J6679" s="6" t="n">
        <f aca="false">Sens!J6656*self_build*tk_cxfac/1000</f>
        <v>14.9008938380769</v>
      </c>
      <c r="K6679" s="6" t="n">
        <f aca="false">Sens!K6656*self_build*tk_cxfac/1000</f>
        <v>5.52576771375761</v>
      </c>
    </row>
    <row r="6680" customFormat="false" ht="17.15" hidden="false" customHeight="false" outlineLevel="0" collapsed="false">
      <c r="A6680" s="0" t="s">
        <v>993</v>
      </c>
      <c r="B6680" s="0" t="s">
        <v>98</v>
      </c>
      <c r="F6680" s="15" t="n">
        <f aca="false">capex_floor27-Sens!F6678-Sens!F6679-Sens!F6776</f>
        <v>0.219424871453228</v>
      </c>
      <c r="L6680" s="12" t="s">
        <v>994</v>
      </c>
    </row>
    <row r="6681" customFormat="false" ht="17.15" hidden="false" customHeight="false" outlineLevel="0" collapsed="false">
      <c r="A6681" s="0" t="s">
        <v>995</v>
      </c>
      <c r="B6681" s="0" t="s">
        <v>98</v>
      </c>
      <c r="F6681" s="6" t="n">
        <f aca="false">MAX(0,Sens!F6680)</f>
        <v>0.219424871453228</v>
      </c>
    </row>
    <row r="6682" customFormat="false" ht="17.15" hidden="false" customHeight="false" outlineLevel="0" collapsed="false">
      <c r="A6682" s="0" t="s">
        <v>996</v>
      </c>
      <c r="B6682" s="0" t="s">
        <v>98</v>
      </c>
      <c r="C6682" s="6" t="n">
        <f aca="false">Sens!C6678</f>
        <v>22.5333845916667</v>
      </c>
      <c r="D6682" s="6" t="n">
        <f aca="false">Sens!D6678</f>
        <v>34.0300093833333</v>
      </c>
      <c r="E6682" s="6" t="n">
        <f aca="false">Sens!E6678</f>
        <v>67.600153775</v>
      </c>
      <c r="F6682" s="6" t="n">
        <f aca="false">Sens!F6678</f>
        <v>136.51872432512</v>
      </c>
      <c r="G6682" s="6" t="n">
        <f aca="false">Sens!G6678</f>
        <v>157.399275932048</v>
      </c>
      <c r="H6682" s="6" t="n">
        <f aca="false">Sens!H6678</f>
        <v>162.260804347512</v>
      </c>
      <c r="I6682" s="6" t="n">
        <f aca="false">Sens!I6678</f>
        <v>144.136569485434</v>
      </c>
      <c r="J6682" s="6" t="n">
        <f aca="false">Sens!J6678</f>
        <v>114.029037357864</v>
      </c>
      <c r="K6682" s="6" t="n">
        <f aca="false">Sens!K6678</f>
        <v>113.437085350975</v>
      </c>
    </row>
    <row r="6683" customFormat="false" ht="17.15" hidden="false" customHeight="false" outlineLevel="0" collapsed="false">
      <c r="A6683" s="0" t="s">
        <v>997</v>
      </c>
      <c r="B6683" s="0" t="s">
        <v>98</v>
      </c>
      <c r="C6683" s="6" t="n">
        <f aca="false">Sens!C6682+Sens!C6679</f>
        <v>28.7416845916667</v>
      </c>
      <c r="D6683" s="6" t="n">
        <f aca="false">Sens!D6682+Sens!D6679</f>
        <v>43.4058093833333</v>
      </c>
      <c r="E6683" s="6" t="n">
        <f aca="false">Sens!E6682+Sens!E6679</f>
        <v>86.225053775</v>
      </c>
      <c r="F6683" s="6" t="n">
        <f aca="false">Sens!F6682+Sens!F6679</f>
        <v>168.45390404212</v>
      </c>
      <c r="G6683" s="6" t="n">
        <f aca="false">Sens!G6682+Sens!G6679</f>
        <v>191.944475649048</v>
      </c>
      <c r="H6683" s="6" t="n">
        <f aca="false">Sens!H6682+Sens!H6679</f>
        <v>196.806004064512</v>
      </c>
      <c r="I6683" s="6" t="n">
        <f aca="false">Sens!I6682+Sens!I6679</f>
        <v>168.61483362161</v>
      </c>
      <c r="J6683" s="6" t="n">
        <f aca="false">Sens!J6682+Sens!J6679</f>
        <v>128.92993119594</v>
      </c>
      <c r="K6683" s="6" t="n">
        <f aca="false">Sens!K6682+Sens!K6679</f>
        <v>118.962853064733</v>
      </c>
      <c r="L6683" s="12" t="s">
        <v>998</v>
      </c>
    </row>
    <row r="6684" customFormat="false" ht="17.15" hidden="false" customHeight="false" outlineLevel="0" collapsed="false">
      <c r="A6684" s="0" t="s">
        <v>999</v>
      </c>
      <c r="B6684" s="0" t="s">
        <v>98</v>
      </c>
      <c r="E6684" s="6" t="n">
        <f aca="false">(Sens!C6682*IF(2&lt;life_it,1,IF(2=life_it,0.5,0))+Sens!D6682*IF(1&lt;life_it,1,IF(1=life_it,0.5,0))+Sens!E6682*0.5)/life_it</f>
        <v>15.0605784770833</v>
      </c>
      <c r="F6684" s="6" t="n">
        <f aca="false">(Sens!C6682*IF(3&lt;life_it,1,IF(3=life_it,0.5,0))+Sens!D6682*IF(2&lt;life_it,1,IF(2=life_it,0.5,0))+Sens!E6682*IF(1&lt;life_it,1,IF(1=life_it,0.5,0))+Sens!F6682*0.5)/life_it</f>
        <v>32.0704849854266</v>
      </c>
      <c r="G6684" s="6" t="n">
        <f aca="false">(Sens!C6682*IF(4&lt;life_it,1,IF(4=life_it,0.5,0))+Sens!D6682*IF(3&lt;life_it,1,IF(3=life_it,0.5,0))+Sens!E6682*IF(2&lt;life_it,1,IF(2=life_it,0.5,0))+Sens!F6682*IF(1&lt;life_it,1,IF(1=life_it,0.5,0))+Sens!G6682*0.5)/life_it</f>
        <v>56.5636516735239</v>
      </c>
      <c r="H6684" s="6" t="n">
        <f aca="false">(Sens!C6682*IF(5&lt;life_it,1,IF(5=life_it,0.5,0))+Sens!D6682*IF(4&lt;life_it,1,IF(4=life_it,0.5,0))+Sens!E6682*IF(3&lt;life_it,1,IF(3=life_it,0.5,0))+Sens!F6682*IF(2&lt;life_it,1,IF(2=life_it,0.5,0))+Sens!G6682*IF(1&lt;life_it,1,IF(1=life_it,0.5,0))+Sens!H6682*0.5)/life_it</f>
        <v>83.2019916968207</v>
      </c>
      <c r="I6684" s="6" t="n">
        <f aca="false">(Sens!C6682*IF(6&lt;life_it,1,IF(6=life_it,0.5,0))+Sens!D6682*IF(5&lt;life_it,1,IF(5=life_it,0.5,0))+Sens!E6682*IF(4&lt;life_it,1,IF(4=life_it,0.5,0))+Sens!F6682*IF(3&lt;life_it,1,IF(3=life_it,0.5,0))+Sens!G6682*IF(2&lt;life_it,1,IF(2=life_it,0.5,0))+Sens!H6682*IF(1&lt;life_it,1,IF(1=life_it,0.5,0))+Sens!I6682*0.5)/life_it</f>
        <v>106.857324133594</v>
      </c>
      <c r="J6684" s="6" t="n">
        <f aca="false">(Sens!C6682*IF(7&lt;life_it,1,IF(7=life_it,0.5,0))+Sens!D6682*IF(6&lt;life_it,1,IF(6=life_it,0.5,0))+Sens!E6682*IF(5&lt;life_it,1,IF(5=life_it,0.5,0))+Sens!F6682*IF(4&lt;life_it,1,IF(4=life_it,0.5,0))+Sens!G6682*IF(3&lt;life_it,1,IF(3=life_it,0.5,0))+Sens!H6682*IF(2&lt;life_it,1,IF(2=life_it,0.5,0))+Sens!I6682*IF(1&lt;life_it,1,IF(1=life_it,0.5,0))+Sens!J6682*0.5)/life_it</f>
        <v>123.657508539285</v>
      </c>
      <c r="K6684" s="6" t="n">
        <f aca="false">(Sens!C6682*IF(8&lt;life_it,1,IF(8=life_it,0.5,0))+Sens!D6682*IF(7&lt;life_it,1,IF(7=life_it,0.5,0))+Sens!E6682*IF(6&lt;life_it,1,IF(6=life_it,0.5,0))+Sens!F6682*IF(5&lt;life_it,1,IF(5=life_it,0.5,0))+Sens!G6682*IF(4&lt;life_it,1,IF(4=life_it,0.5,0))+Sens!H6682*IF(3&lt;life_it,1,IF(3=life_it,0.5,0))+Sens!I6682*IF(2&lt;life_it,1,IF(2=life_it,0.5,0))+Sens!J6682*IF(1&lt;life_it,1,IF(1=life_it,0.5,0))+Sens!K6682*0.5)/life_it</f>
        <v>134.143838501827</v>
      </c>
    </row>
    <row r="6685" customFormat="false" ht="17.15" hidden="false" customHeight="false" outlineLevel="0" collapsed="false">
      <c r="A6685" s="0" t="s">
        <v>1000</v>
      </c>
      <c r="B6685" s="0" t="s">
        <v>98</v>
      </c>
      <c r="E6685" s="6" t="n">
        <f aca="false">(Sens!C6679*IF(2&lt;life_fac,1,IF(2=life_fac,0.5,0))+Sens!D6679*IF(1&lt;life_fac,1,IF(1=life_fac,0.5,0))+Sens!E6679*0.5)/life_fac</f>
        <v>1.2448275</v>
      </c>
      <c r="F6685" s="6" t="n">
        <f aca="false">(Sens!C6679*IF(3&lt;life_fac,1,IF(3=life_fac,0.5,0))+Sens!D6679*IF(2&lt;life_fac,1,IF(2=life_fac,0.5,0))+Sens!E6679*IF(1&lt;life_fac,1,IF(1=life_fac,0.5,0))+Sens!F6679*0.5)/life_fac</f>
        <v>2.508829492925</v>
      </c>
      <c r="G6685" s="6" t="n">
        <f aca="false">(Sens!C6679*IF(4&lt;life_fac,1,IF(4=life_fac,0.5,0))+Sens!D6679*IF(3&lt;life_fac,1,IF(3=life_fac,0.5,0))+Sens!E6679*IF(2&lt;life_fac,1,IF(2=life_fac,0.5,0))+Sens!F6679*IF(1&lt;life_fac,1,IF(1=life_fac,0.5,0))+Sens!G6679*0.5)/life_fac</f>
        <v>4.170838978775</v>
      </c>
      <c r="H6685" s="6" t="n">
        <f aca="false">(Sens!C6679*IF(5&lt;life_fac,1,IF(5=life_fac,0.5,0))+Sens!D6679*IF(4&lt;life_fac,1,IF(4=life_fac,0.5,0))+Sens!E6679*IF(3&lt;life_fac,1,IF(3=life_fac,0.5,0))+Sens!F6679*IF(2&lt;life_fac,1,IF(2=life_fac,0.5,0))+Sens!G6679*IF(1&lt;life_fac,1,IF(1=life_fac,0.5,0))+Sens!H6679*0.5)/life_fac</f>
        <v>5.898098964625</v>
      </c>
      <c r="I6685" s="6" t="n">
        <f aca="false">(Sens!C6679*IF(6&lt;life_fac,1,IF(6=life_fac,0.5,0))+Sens!D6679*IF(5&lt;life_fac,1,IF(5=life_fac,0.5,0))+Sens!E6679*IF(4&lt;life_fac,1,IF(4=life_fac,0.5,0))+Sens!F6679*IF(3&lt;life_fac,1,IF(3=life_fac,0.5,0))+Sens!G6679*IF(2&lt;life_fac,1,IF(2=life_fac,0.5,0))+Sens!H6679*IF(1&lt;life_fac,1,IF(1=life_fac,0.5,0))+Sens!I6679*0.5)/life_fac</f>
        <v>7.37368556095442</v>
      </c>
      <c r="J6685" s="6" t="n">
        <f aca="false">(Sens!C6679*IF(7&lt;life_fac,1,IF(7=life_fac,0.5,0))+Sens!D6679*IF(6&lt;life_fac,1,IF(6=life_fac,0.5,0))+Sens!E6679*IF(5&lt;life_fac,1,IF(5=life_fac,0.5,0))+Sens!F6679*IF(4&lt;life_fac,1,IF(4=life_fac,0.5,0))+Sens!G6679*IF(3&lt;life_fac,1,IF(3=life_fac,0.5,0))+Sens!H6679*IF(2&lt;life_fac,1,IF(2=life_fac,0.5,0))+Sens!I6679*IF(1&lt;life_fac,1,IF(1=life_fac,0.5,0))+Sens!J6679*0.5)/life_fac</f>
        <v>8.35816451031075</v>
      </c>
      <c r="K6685" s="6" t="n">
        <f aca="false">(Sens!C6679*IF(8&lt;life_fac,1,IF(8=life_fac,0.5,0))+Sens!D6679*IF(7&lt;life_fac,1,IF(7=life_fac,0.5,0))+Sens!E6679*IF(6&lt;life_fac,1,IF(6=life_fac,0.5,0))+Sens!F6679*IF(5&lt;life_fac,1,IF(5=life_fac,0.5,0))+Sens!G6679*IF(4&lt;life_fac,1,IF(4=life_fac,0.5,0))+Sens!H6679*IF(3&lt;life_fac,1,IF(3=life_fac,0.5,0))+Sens!I6679*IF(2&lt;life_fac,1,IF(2=life_fac,0.5,0))+Sens!J6679*IF(1&lt;life_fac,1,IF(1=life_fac,0.5,0))+Sens!K6679*0.5)/life_fac</f>
        <v>8.86883104910662</v>
      </c>
    </row>
    <row r="6686" customFormat="false" ht="17.15" hidden="false" customHeight="false" outlineLevel="0" collapsed="false">
      <c r="A6686" s="0" t="s">
        <v>1001</v>
      </c>
      <c r="B6686" s="0" t="s">
        <v>98</v>
      </c>
      <c r="E6686" s="6" t="n">
        <f aca="false">Sens!E6684+Sens!E6685</f>
        <v>16.3054059770833</v>
      </c>
      <c r="F6686" s="6" t="n">
        <f aca="false">Sens!F6684+Sens!F6685</f>
        <v>34.5793144783516</v>
      </c>
      <c r="G6686" s="6" t="n">
        <f aca="false">Sens!G6684+Sens!G6685</f>
        <v>60.7344906522989</v>
      </c>
      <c r="H6686" s="6" t="n">
        <f aca="false">Sens!H6684+Sens!H6685</f>
        <v>89.1000906614457</v>
      </c>
      <c r="I6686" s="6" t="n">
        <f aca="false">Sens!I6684+Sens!I6685</f>
        <v>114.231009694548</v>
      </c>
      <c r="J6686" s="6" t="n">
        <f aca="false">Sens!J6684+Sens!J6685</f>
        <v>132.015673049596</v>
      </c>
      <c r="K6686" s="6" t="n">
        <f aca="false">Sens!K6684+Sens!K6685</f>
        <v>143.012669550934</v>
      </c>
    </row>
    <row r="6687" customFormat="false" ht="17.15" hidden="false" customHeight="false" outlineLevel="0" collapsed="false">
      <c r="A6687" s="0" t="s">
        <v>1002</v>
      </c>
      <c r="B6687" s="0" t="s">
        <v>98</v>
      </c>
      <c r="E6687" s="6" t="n">
        <f aca="false">Sens!E6674-Sens!E6673*Sens!E6686</f>
        <v>8.92707889977379</v>
      </c>
      <c r="F6687" s="6" t="n">
        <f aca="false">Sens!F6674-Sens!F6673*Sens!F6686</f>
        <v>22.4686207259278</v>
      </c>
      <c r="G6687" s="6" t="n">
        <f aca="false">Sens!G6674-Sens!G6673*Sens!G6686</f>
        <v>43.2797528675735</v>
      </c>
      <c r="H6687" s="6" t="n">
        <f aca="false">Sens!H6674-Sens!H6673*Sens!H6686</f>
        <v>69.3477099347341</v>
      </c>
      <c r="I6687" s="6" t="n">
        <f aca="false">Sens!I6674-Sens!I6673*Sens!I6686</f>
        <v>86.8523667140836</v>
      </c>
      <c r="J6687" s="6" t="n">
        <f aca="false">Sens!J6674-Sens!J6673*Sens!J6686</f>
        <v>98.9882647234202</v>
      </c>
      <c r="K6687" s="6" t="n">
        <f aca="false">Sens!K6674-Sens!K6673*Sens!K6686</f>
        <v>106.918985011399</v>
      </c>
    </row>
    <row r="6688" customFormat="false" ht="17.15" hidden="false" customHeight="false" outlineLevel="0" collapsed="false">
      <c r="A6688" s="3" t="s">
        <v>1646</v>
      </c>
    </row>
    <row r="6689" customFormat="false" ht="15" hidden="false" customHeight="false" outlineLevel="0" collapsed="false">
      <c r="A6689" s="4" t="s">
        <v>43</v>
      </c>
      <c r="B6689" s="4" t="s">
        <v>65</v>
      </c>
      <c r="C6689" s="23" t="s">
        <v>938</v>
      </c>
      <c r="D6689" s="23" t="s">
        <v>939</v>
      </c>
      <c r="E6689" s="23" t="s">
        <v>940</v>
      </c>
      <c r="F6689" s="23" t="s">
        <v>941</v>
      </c>
      <c r="G6689" s="23" t="s">
        <v>942</v>
      </c>
      <c r="H6689" s="23" t="s">
        <v>943</v>
      </c>
      <c r="I6689" s="23" t="s">
        <v>944</v>
      </c>
      <c r="J6689" s="23" t="s">
        <v>945</v>
      </c>
      <c r="K6689" s="23" t="s">
        <v>946</v>
      </c>
      <c r="L6689" s="4" t="s">
        <v>47</v>
      </c>
    </row>
    <row r="6690" customFormat="false" ht="17.15" hidden="false" customHeight="false" outlineLevel="0" collapsed="false">
      <c r="A6690" s="0" t="s">
        <v>1021</v>
      </c>
      <c r="B6690" s="0" t="s">
        <v>98</v>
      </c>
      <c r="D6690" s="6" t="n">
        <f aca="false">Sens!D6668</f>
        <v>12.9359794422418</v>
      </c>
      <c r="E6690" s="6" t="n">
        <f aca="false">Sens!E6668</f>
        <v>27.8095064661409</v>
      </c>
      <c r="F6690" s="6" t="n">
        <f aca="false">Sens!F6668</f>
        <v>59.1034165651511</v>
      </c>
      <c r="G6690" s="6" t="n">
        <f aca="false">Sens!G6668</f>
        <v>103.451498789198</v>
      </c>
      <c r="H6690" s="6" t="n">
        <f aca="false">Sens!H6668</f>
        <v>153.816719989035</v>
      </c>
      <c r="I6690" s="6" t="n">
        <f aca="false">Sens!I6668</f>
        <v>192.699478690852</v>
      </c>
      <c r="J6690" s="6" t="n">
        <f aca="false">Sens!J6668</f>
        <v>219.794102584244</v>
      </c>
      <c r="K6690" s="6" t="n">
        <f aca="false">Sens!K6668</f>
        <v>236.757046905022</v>
      </c>
    </row>
    <row r="6691" customFormat="false" ht="17.15" hidden="false" customHeight="false" outlineLevel="0" collapsed="false">
      <c r="A6691" s="0" t="s">
        <v>1022</v>
      </c>
      <c r="B6691" s="0" t="s">
        <v>98</v>
      </c>
      <c r="D6691" s="6" t="n">
        <f aca="false">Q!L6-Sens!D6690</f>
        <v>59.6740205577583</v>
      </c>
      <c r="E6691" s="6" t="n">
        <f aca="false">Q!M6-Sens!E6690</f>
        <v>74.1284935338591</v>
      </c>
      <c r="F6691" s="6" t="n">
        <f aca="false">Q!$I$6+(Sens!F6690+Sens!E6691*(1+Sens!F6692))*(1-Q!$E$6/Q!M6)-Sens!F6690</f>
        <v>90.4866018070994</v>
      </c>
      <c r="G6691" s="6" t="n">
        <f aca="false">Sens!F6691*(1+Sens!G6692)</f>
        <v>107.511588557154</v>
      </c>
      <c r="H6691" s="6" t="n">
        <f aca="false">Sens!G6691*(1+Sens!H6692)</f>
        <v>124.832989325489</v>
      </c>
      <c r="I6691" s="6" t="n">
        <f aca="false">Sens!H6691*(1+Sens!I6692)</f>
        <v>141.56992589148</v>
      </c>
      <c r="J6691" s="6" t="n">
        <f aca="false">Sens!I6691*(1+Sens!J6692)</f>
        <v>156.723190479428</v>
      </c>
      <c r="K6691" s="6" t="n">
        <f aca="false">Sens!J6691*(1+Sens!K6692)</f>
        <v>169.261045717783</v>
      </c>
      <c r="L6691" s="12" t="s">
        <v>1023</v>
      </c>
    </row>
    <row r="6692" customFormat="false" ht="15" hidden="false" customHeight="false" outlineLevel="0" collapsed="false">
      <c r="A6692" s="1" t="s">
        <v>1024</v>
      </c>
      <c r="B6692" s="0" t="s">
        <v>168</v>
      </c>
      <c r="E6692" s="7" t="n">
        <f aca="false">Sens!E6691/Sens!D6691-1</f>
        <v>0.242223883039864</v>
      </c>
      <c r="F6692" s="7" t="n">
        <f aca="false">Sens!$E$6692+(glt_azo-Sens!$E$6692)*MIN(1,(Sens!F6649-base_fy)/n_conv)</f>
        <v>0.215186569199887</v>
      </c>
      <c r="G6692" s="7" t="n">
        <f aca="false">Sens!$E$6692+(glt_azo-Sens!$E$6692)*MIN(1,(Sens!G6649-base_fy)/n_conv)</f>
        <v>0.18814925535991</v>
      </c>
      <c r="H6692" s="7" t="n">
        <f aca="false">Sens!$E$6692+(glt_azo-Sens!$E$6692)*MIN(1,(Sens!H6649-base_fy)/n_conv)</f>
        <v>0.161111941519932</v>
      </c>
      <c r="I6692" s="7" t="n">
        <f aca="false">Sens!$E$6692+(glt_azo-Sens!$E$6692)*MIN(1,(Sens!I6649-base_fy)/n_conv)</f>
        <v>0.134074627679955</v>
      </c>
      <c r="J6692" s="7" t="n">
        <f aca="false">Sens!$E$6692+(glt_azo-Sens!$E$6692)*MIN(1,(Sens!J6649-base_fy)/n_conv)</f>
        <v>0.107037313839977</v>
      </c>
      <c r="K6692" s="7" t="n">
        <f aca="false">Sens!$E$6692+(glt_azo-Sens!$E$6692)*MIN(1,(Sens!K6649-base_fy)/n_conv)</f>
        <v>0.08</v>
      </c>
    </row>
    <row r="6693" customFormat="false" ht="15" hidden="false" customHeight="false" outlineLevel="0" collapsed="false">
      <c r="A6693" s="0" t="s">
        <v>1025</v>
      </c>
      <c r="B6693" s="0" t="s">
        <v>98</v>
      </c>
      <c r="D6693" s="6" t="n">
        <f aca="false">Sens!D6690+Sens!D6691</f>
        <v>72.61</v>
      </c>
      <c r="E6693" s="6" t="n">
        <f aca="false">Sens!E6690+Sens!E6691</f>
        <v>101.938</v>
      </c>
      <c r="F6693" s="6" t="n">
        <f aca="false">Sens!F6690+Sens!F6691</f>
        <v>149.59001837225</v>
      </c>
      <c r="G6693" s="6" t="n">
        <f aca="false">Sens!G6690+Sens!G6691</f>
        <v>210.963087346352</v>
      </c>
      <c r="H6693" s="6" t="n">
        <f aca="false">Sens!H6690+Sens!H6691</f>
        <v>278.649709314524</v>
      </c>
      <c r="I6693" s="6" t="n">
        <f aca="false">Sens!I6690+Sens!I6691</f>
        <v>334.269404582332</v>
      </c>
      <c r="J6693" s="6" t="n">
        <f aca="false">Sens!J6690+Sens!J6691</f>
        <v>376.517293063672</v>
      </c>
      <c r="K6693" s="6" t="n">
        <f aca="false">Sens!K6690+Sens!K6691</f>
        <v>406.018092622804</v>
      </c>
    </row>
    <row r="6694" customFormat="false" ht="17.15" hidden="false" customHeight="false" outlineLevel="0" collapsed="false">
      <c r="A6694" s="0" t="s">
        <v>1026</v>
      </c>
      <c r="B6694" s="1" t="s">
        <v>610</v>
      </c>
      <c r="C6694" s="30" t="n">
        <f aca="false">cop_s24</f>
        <v>1</v>
      </c>
      <c r="D6694" s="30" t="n">
        <f aca="false">cop_s25</f>
        <v>5</v>
      </c>
      <c r="E6694" s="30" t="n">
        <f aca="false">cop_s26</f>
        <v>30</v>
      </c>
      <c r="F6694" s="30" t="n">
        <f aca="false">Sens!E6694+cop_add_A*0.5</f>
        <v>45</v>
      </c>
      <c r="G6694" s="30" t="n">
        <f aca="false">Sens!F6694+cop_add_A*0.5</f>
        <v>60</v>
      </c>
      <c r="H6694" s="30" t="n">
        <f aca="false">Sens!G6694+cop_add_A*0.5</f>
        <v>75</v>
      </c>
      <c r="I6694" s="30" t="n">
        <f aca="false">Sens!H6694+cop_add_A*0.5*cop_tail</f>
        <v>82.5</v>
      </c>
      <c r="J6694" s="30" t="n">
        <f aca="false">Sens!I6694+cop_add_A*0.5*cop_tail</f>
        <v>90</v>
      </c>
      <c r="K6694" s="30" t="n">
        <f aca="false">Sens!J6694+cop_add_A*0.5*cop_tail</f>
        <v>97.5</v>
      </c>
      <c r="L6694" s="12" t="s">
        <v>1027</v>
      </c>
    </row>
    <row r="6695" customFormat="false" ht="17.15" hidden="false" customHeight="false" outlineLevel="0" collapsed="false">
      <c r="A6695" s="0" t="s">
        <v>1028</v>
      </c>
      <c r="B6695" s="0" t="s">
        <v>98</v>
      </c>
      <c r="D6695" s="6" t="n">
        <f aca="false">(Sens!C6694+Sens!D6694)/2*cop_px*12/1000</f>
        <v>0.9</v>
      </c>
      <c r="E6695" s="6" t="n">
        <f aca="false">(Sens!D6694+Sens!E6694)/2*cop_px*12/1000</f>
        <v>5.25</v>
      </c>
      <c r="F6695" s="6" t="n">
        <f aca="false">(Sens!E6694+Sens!F6694)/2*cop_px*12/1000</f>
        <v>11.25</v>
      </c>
      <c r="G6695" s="6" t="n">
        <f aca="false">(Sens!F6694+Sens!G6694)/2*cop_px*12/1000</f>
        <v>15.75</v>
      </c>
      <c r="H6695" s="6" t="n">
        <f aca="false">(Sens!G6694+Sens!H6694)/2*cop_px*12/1000</f>
        <v>20.25</v>
      </c>
      <c r="I6695" s="6" t="n">
        <f aca="false">(Sens!H6694+Sens!I6694)/2*cop_px*12/1000</f>
        <v>23.625</v>
      </c>
      <c r="J6695" s="6" t="n">
        <f aca="false">(Sens!I6694+Sens!J6694)/2*cop_px*12/1000</f>
        <v>25.875</v>
      </c>
      <c r="K6695" s="6" t="n">
        <f aca="false">(Sens!J6694+Sens!K6694)/2*cop_px*12/1000</f>
        <v>28.125</v>
      </c>
      <c r="L6695" s="1" t="s">
        <v>1029</v>
      </c>
    </row>
    <row r="6696" customFormat="false" ht="17.15" hidden="false" customHeight="false" outlineLevel="0" collapsed="false">
      <c r="A6696" s="0" t="s">
        <v>1030</v>
      </c>
      <c r="B6696" s="0" t="s">
        <v>98</v>
      </c>
      <c r="D6696" s="6" t="n">
        <f aca="false">Q!L7-Sens!D6695</f>
        <v>83.705</v>
      </c>
      <c r="E6696" s="6" t="n">
        <f aca="false">Q!M7-Sens!E6695</f>
        <v>95.049</v>
      </c>
      <c r="F6696" s="6" t="n">
        <f aca="false">Q!$I$7+(Sens!E6696*(1+Sens!F6697)+Sens!F6695)*(1-Q!$E$7/Q!M7)-Sens!F6695</f>
        <v>106.761178943761</v>
      </c>
      <c r="G6696" s="6" t="n">
        <f aca="false">Sens!F6696*(1+Sens!G6697)</f>
        <v>118.898043494744</v>
      </c>
      <c r="H6696" s="6" t="n">
        <f aca="false">Sens!G6696*(1+Sens!H6697)</f>
        <v>131.116218374114</v>
      </c>
      <c r="I6696" s="6" t="n">
        <f aca="false">Sens!H6696*(1+Sens!I6697)</f>
        <v>143.158087675019</v>
      </c>
      <c r="J6696" s="6" t="n">
        <f aca="false">Sens!I6696*(1+Sens!J6697)</f>
        <v>154.742525187072</v>
      </c>
      <c r="K6696" s="6" t="n">
        <f aca="false">Sens!J6696*(1+Sens!K6697)</f>
        <v>165.574501950167</v>
      </c>
      <c r="L6696" s="12" t="s">
        <v>1031</v>
      </c>
    </row>
    <row r="6697" customFormat="false" ht="15" hidden="false" customHeight="false" outlineLevel="0" collapsed="false">
      <c r="A6697" s="1" t="s">
        <v>1024</v>
      </c>
      <c r="B6697" s="0" t="s">
        <v>168</v>
      </c>
      <c r="E6697" s="7" t="n">
        <f aca="false">Sens!E6696/Sens!D6696-1</f>
        <v>0.135523564900544</v>
      </c>
      <c r="F6697" s="7" t="n">
        <f aca="false">Sens!$E$6697+(glt_m365b-Sens!$E$6697)*MIN(1,(Sens!F6649-base_fy)/n_conv)</f>
        <v>0.124602970750453</v>
      </c>
      <c r="G6697" s="7" t="n">
        <f aca="false">Sens!$E$6697+(glt_m365b-Sens!$E$6697)*MIN(1,(Sens!G6649-base_fy)/n_conv)</f>
        <v>0.113682376600363</v>
      </c>
      <c r="H6697" s="7" t="n">
        <f aca="false">Sens!$E$6697+(glt_m365b-Sens!$E$6697)*MIN(1,(Sens!H6649-base_fy)/n_conv)</f>
        <v>0.102761782450272</v>
      </c>
      <c r="I6697" s="7" t="n">
        <f aca="false">Sens!$E$6697+(glt_m365b-Sens!$E$6697)*MIN(1,(Sens!I6649-base_fy)/n_conv)</f>
        <v>0.0918411883001813</v>
      </c>
      <c r="J6697" s="7" t="n">
        <f aca="false">Sens!$E$6697+(glt_m365b-Sens!$E$6697)*MIN(1,(Sens!J6649-base_fy)/n_conv)</f>
        <v>0.0809205941500906</v>
      </c>
      <c r="K6697" s="7" t="n">
        <f aca="false">Sens!$E$6697+(glt_m365b-Sens!$E$6697)*MIN(1,(Sens!K6649-base_fy)/n_conv)</f>
        <v>0.07</v>
      </c>
    </row>
    <row r="6698" customFormat="false" ht="15" hidden="false" customHeight="false" outlineLevel="0" collapsed="false">
      <c r="A6698" s="0" t="s">
        <v>1032</v>
      </c>
      <c r="B6698" s="0" t="s">
        <v>98</v>
      </c>
      <c r="D6698" s="6" t="n">
        <f aca="false">Sens!D6696+Sens!D6695</f>
        <v>84.605</v>
      </c>
      <c r="E6698" s="6" t="n">
        <f aca="false">Sens!E6696+Sens!E6695</f>
        <v>100.299</v>
      </c>
      <c r="F6698" s="6" t="n">
        <f aca="false">Sens!F6696+Sens!F6695</f>
        <v>118.011178943761</v>
      </c>
      <c r="G6698" s="6" t="n">
        <f aca="false">Sens!G6696+Sens!G6695</f>
        <v>134.648043494744</v>
      </c>
      <c r="H6698" s="6" t="n">
        <f aca="false">Sens!H6696+Sens!H6695</f>
        <v>151.366218374114</v>
      </c>
      <c r="I6698" s="6" t="n">
        <f aca="false">Sens!I6696+Sens!I6695</f>
        <v>166.783087675019</v>
      </c>
      <c r="J6698" s="6" t="n">
        <f aca="false">Sens!J6696+Sens!J6695</f>
        <v>180.617525187072</v>
      </c>
      <c r="K6698" s="6" t="n">
        <f aca="false">Sens!K6696+Sens!K6695</f>
        <v>193.699501950167</v>
      </c>
    </row>
    <row r="6699" customFormat="false" ht="17.15" hidden="false" customHeight="false" outlineLevel="0" collapsed="false">
      <c r="A6699" s="0" t="s">
        <v>1033</v>
      </c>
      <c r="B6699" s="0" t="s">
        <v>98</v>
      </c>
      <c r="D6699" s="6" t="n">
        <f aca="false">Q!L8</f>
        <v>35.391</v>
      </c>
      <c r="E6699" s="6" t="n">
        <f aca="false">Q!M8</f>
        <v>37.285</v>
      </c>
      <c r="F6699" s="6" t="n">
        <f aca="false">Q!$I$8+(Q!M8-Q!$E$8)*(1+Sens!F6700)</f>
        <v>38.3851437782675</v>
      </c>
      <c r="G6699" s="6" t="n">
        <f aca="false">Sens!F6699*(1+Sens!G6700)</f>
        <v>40.0105353288615</v>
      </c>
      <c r="H6699" s="6" t="n">
        <f aca="false">Sens!G6699*(1+Sens!H6700)</f>
        <v>41.4812512033683</v>
      </c>
      <c r="I6699" s="6" t="n">
        <f aca="false">Sens!H6699*(1+Sens!I6700)</f>
        <v>42.7743107216329</v>
      </c>
      <c r="J6699" s="6" t="n">
        <f aca="false">Sens!I6699*(1+Sens!J6700)</f>
        <v>43.8687373064601</v>
      </c>
      <c r="K6699" s="6" t="n">
        <f aca="false">Sens!J6699*(1+Sens!K6700)</f>
        <v>44.7461120525893</v>
      </c>
      <c r="L6699" s="12" t="s">
        <v>1034</v>
      </c>
    </row>
    <row r="6700" customFormat="false" ht="15" hidden="false" customHeight="false" outlineLevel="0" collapsed="false">
      <c r="A6700" s="1" t="s">
        <v>1024</v>
      </c>
      <c r="B6700" s="0" t="s">
        <v>168</v>
      </c>
      <c r="E6700" s="7" t="n">
        <f aca="false">Sens!E6699/Sens!D6699-1</f>
        <v>0.0535164307309768</v>
      </c>
      <c r="F6700" s="7" t="n">
        <f aca="false">Sens!$E$6700+(glt_lic-Sens!$E$6700)*MIN(1,(Sens!F6649-base_fy)/n_conv)</f>
        <v>0.0479303589424807</v>
      </c>
      <c r="G6700" s="7" t="n">
        <f aca="false">Sens!$E$6700+(glt_lic-Sens!$E$6700)*MIN(1,(Sens!G6649-base_fy)/n_conv)</f>
        <v>0.0423442871539845</v>
      </c>
      <c r="H6700" s="7" t="n">
        <f aca="false">Sens!$E$6700+(glt_lic-Sens!$E$6700)*MIN(1,(Sens!H6649-base_fy)/n_conv)</f>
        <v>0.0367582153654884</v>
      </c>
      <c r="I6700" s="7" t="n">
        <f aca="false">Sens!$E$6700+(glt_lic-Sens!$E$6700)*MIN(1,(Sens!I6649-base_fy)/n_conv)</f>
        <v>0.0311721435769923</v>
      </c>
      <c r="J6700" s="7" t="n">
        <f aca="false">Sens!$E$6700+(glt_lic-Sens!$E$6700)*MIN(1,(Sens!J6649-base_fy)/n_conv)</f>
        <v>0.0255860717884961</v>
      </c>
      <c r="K6700" s="7" t="n">
        <f aca="false">Sens!$E$6700+(glt_lic-Sens!$E$6700)*MIN(1,(Sens!K6649-base_fy)/n_conv)</f>
        <v>0.02</v>
      </c>
    </row>
    <row r="6701" customFormat="false" ht="17.15" hidden="false" customHeight="false" outlineLevel="0" collapsed="false">
      <c r="A6701" s="0" t="s">
        <v>1035</v>
      </c>
      <c r="B6701" s="0" t="s">
        <v>98</v>
      </c>
      <c r="D6701" s="6" t="n">
        <f aca="false">Q!L9</f>
        <v>18.417</v>
      </c>
      <c r="E6701" s="6" t="n">
        <f aca="false">Q!M9</f>
        <v>20.345</v>
      </c>
      <c r="F6701" s="6" t="n">
        <f aca="false">Q!$I$9+(Q!M9-Q!$E$9)*(1+Sens!F6702)</f>
        <v>22.3161797133988</v>
      </c>
      <c r="G6701" s="6" t="n">
        <f aca="false">Sens!F6701*(1+Sens!G6702)</f>
        <v>24.3943499673233</v>
      </c>
      <c r="H6701" s="6" t="n">
        <f aca="false">Sens!G6701*(1+Sens!H6702)</f>
        <v>26.5250243109019</v>
      </c>
      <c r="I6701" s="6" t="n">
        <f aca="false">Sens!H6701*(1+Sens!I6702)</f>
        <v>28.6884573538181</v>
      </c>
      <c r="J6701" s="6" t="n">
        <f aca="false">Sens!I6701*(1+Sens!J6702)</f>
        <v>30.8624968052127</v>
      </c>
      <c r="K6701" s="6" t="n">
        <f aca="false">Sens!J6701*(1+Sens!K6702)</f>
        <v>33.0228715815776</v>
      </c>
      <c r="L6701" s="12" t="s">
        <v>1034</v>
      </c>
    </row>
    <row r="6702" customFormat="false" ht="15" hidden="false" customHeight="false" outlineLevel="0" collapsed="false">
      <c r="A6702" s="1" t="s">
        <v>1024</v>
      </c>
      <c r="B6702" s="0" t="s">
        <v>168</v>
      </c>
      <c r="E6702" s="7" t="n">
        <f aca="false">Sens!E6701/Sens!D6701-1</f>
        <v>0.104685888038225</v>
      </c>
      <c r="F6702" s="7" t="n">
        <f aca="false">Sens!$E$6702+(glt_ind-Sens!$E$6702)*MIN(1,(Sens!F6649-base_fy)/n_conv)</f>
        <v>0.0989049066985211</v>
      </c>
      <c r="G6702" s="7" t="n">
        <f aca="false">Sens!$E$6702+(glt_ind-Sens!$E$6702)*MIN(1,(Sens!G6649-base_fy)/n_conv)</f>
        <v>0.0931239253588169</v>
      </c>
      <c r="H6702" s="7" t="n">
        <f aca="false">Sens!$E$6702+(glt_ind-Sens!$E$6702)*MIN(1,(Sens!H6649-base_fy)/n_conv)</f>
        <v>0.0873429440191127</v>
      </c>
      <c r="I6702" s="7" t="n">
        <f aca="false">Sens!$E$6702+(glt_ind-Sens!$E$6702)*MIN(1,(Sens!I6649-base_fy)/n_conv)</f>
        <v>0.0815619626794085</v>
      </c>
      <c r="J6702" s="7" t="n">
        <f aca="false">Sens!$E$6702+(glt_ind-Sens!$E$6702)*MIN(1,(Sens!J6649-base_fy)/n_conv)</f>
        <v>0.0757809813397042</v>
      </c>
      <c r="K6702" s="7" t="n">
        <f aca="false">Sens!$E$6702+(glt_ind-Sens!$E$6702)*MIN(1,(Sens!K6649-base_fy)/n_conv)</f>
        <v>0.07</v>
      </c>
    </row>
    <row r="6703" customFormat="false" ht="17.15" hidden="false" customHeight="false" outlineLevel="0" collapsed="false">
      <c r="A6703" s="0" t="s">
        <v>1036</v>
      </c>
      <c r="B6703" s="0" t="s">
        <v>98</v>
      </c>
      <c r="D6703" s="6" t="n">
        <f aca="false">Q!L10</f>
        <v>7.76</v>
      </c>
      <c r="E6703" s="6" t="n">
        <f aca="false">Q!M10</f>
        <v>8.26</v>
      </c>
      <c r="F6703" s="6" t="n">
        <f aca="false">Q!$I$10+(Q!M10-Q!$E$10)*(1+Sens!F6704)</f>
        <v>8.75372082474227</v>
      </c>
      <c r="G6703" s="6" t="n">
        <f aca="false">Sens!F6703*(1+Sens!G6704)</f>
        <v>9.33399324642364</v>
      </c>
      <c r="H6703" s="6" t="n">
        <f aca="false">Sens!G6703*(1+Sens!H6704)</f>
        <v>9.96139155535851</v>
      </c>
      <c r="I6703" s="6" t="n">
        <f aca="false">Sens!H6703*(1+Sens!I6704)</f>
        <v>10.6402039077391</v>
      </c>
      <c r="J6703" s="6" t="n">
        <f aca="false">Sens!I6703*(1+Sens!J6704)</f>
        <v>11.3751458271397</v>
      </c>
      <c r="K6703" s="6" t="n">
        <f aca="false">Sens!J6703*(1+Sens!K6704)</f>
        <v>12.1714060350394</v>
      </c>
      <c r="L6703" s="12" t="s">
        <v>1034</v>
      </c>
    </row>
    <row r="6704" customFormat="false" ht="15" hidden="false" customHeight="false" outlineLevel="0" collapsed="false">
      <c r="A6704" s="1" t="s">
        <v>1024</v>
      </c>
      <c r="B6704" s="0" t="s">
        <v>168</v>
      </c>
      <c r="E6704" s="7" t="n">
        <f aca="false">Sens!E6703/Sens!D6703-1</f>
        <v>0.0644329896907216</v>
      </c>
      <c r="F6704" s="7" t="n">
        <f aca="false">Sens!$E$6704+(glt_fro-Sens!$E$6704)*MIN(1,(Sens!F6649-base_fy)/n_conv)</f>
        <v>0.065360824742268</v>
      </c>
      <c r="G6704" s="7" t="n">
        <f aca="false">Sens!$E$6704+(glt_fro-Sens!$E$6704)*MIN(1,(Sens!G6649-base_fy)/n_conv)</f>
        <v>0.0662886597938144</v>
      </c>
      <c r="H6704" s="7" t="n">
        <f aca="false">Sens!$E$6704+(glt_fro-Sens!$E$6704)*MIN(1,(Sens!H6649-base_fy)/n_conv)</f>
        <v>0.0672164948453608</v>
      </c>
      <c r="I6704" s="7" t="n">
        <f aca="false">Sens!$E$6704+(glt_fro-Sens!$E$6704)*MIN(1,(Sens!I6649-base_fy)/n_conv)</f>
        <v>0.0681443298969072</v>
      </c>
      <c r="J6704" s="7" t="n">
        <f aca="false">Sens!$E$6704+(glt_fro-Sens!$E$6704)*MIN(1,(Sens!J6649-base_fy)/n_conv)</f>
        <v>0.0690721649484536</v>
      </c>
      <c r="K6704" s="7" t="n">
        <f aca="false">Sens!$E$6704+(glt_fro-Sens!$E$6704)*MIN(1,(Sens!K6649-base_fy)/n_conv)</f>
        <v>0.07</v>
      </c>
    </row>
    <row r="6705" customFormat="false" ht="15" hidden="false" customHeight="false" outlineLevel="0" collapsed="false">
      <c r="A6705" s="0" t="s">
        <v>852</v>
      </c>
      <c r="B6705" s="0" t="s">
        <v>98</v>
      </c>
      <c r="D6705" s="6" t="n">
        <f aca="false">Sens!D6693+Sens!D6698+Sens!D6699+Sens!D6701+Sens!D6703</f>
        <v>218.783</v>
      </c>
      <c r="E6705" s="6" t="n">
        <f aca="false">Sens!E6693+Sens!E6698+Sens!E6699+Sens!E6701+Sens!E6703</f>
        <v>268.127</v>
      </c>
      <c r="F6705" s="6" t="n">
        <f aca="false">Sens!F6693+Sens!F6698+Sens!F6699+Sens!F6701+Sens!F6703</f>
        <v>337.05624163242</v>
      </c>
      <c r="G6705" s="6" t="n">
        <f aca="false">Sens!G6693+Sens!G6698+Sens!G6699+Sens!G6701+Sens!G6703</f>
        <v>419.350009383705</v>
      </c>
      <c r="H6705" s="6" t="n">
        <f aca="false">Sens!H6693+Sens!H6698+Sens!H6699+Sens!H6701+Sens!H6703</f>
        <v>507.983594758267</v>
      </c>
      <c r="I6705" s="6" t="n">
        <f aca="false">Sens!I6693+Sens!I6698+Sens!I6699+Sens!I6701+Sens!I6703</f>
        <v>583.155464240541</v>
      </c>
      <c r="J6705" s="6" t="n">
        <f aca="false">Sens!J6693+Sens!J6698+Sens!J6699+Sens!J6701+Sens!J6703</f>
        <v>643.241198189557</v>
      </c>
      <c r="K6705" s="6" t="n">
        <f aca="false">Sens!K6693+Sens!K6698+Sens!K6699+Sens!K6701+Sens!K6703</f>
        <v>689.657984242178</v>
      </c>
    </row>
    <row r="6706" customFormat="false" ht="17.15" hidden="false" customHeight="false" outlineLevel="0" collapsed="false">
      <c r="A6706" s="0" t="s">
        <v>1037</v>
      </c>
      <c r="B6706" s="0" t="s">
        <v>98</v>
      </c>
      <c r="D6706" s="6" t="n">
        <f aca="false">Q!L13</f>
        <v>22.171</v>
      </c>
      <c r="E6706" s="6" t="n">
        <f aca="false">Q!M13</f>
        <v>24.835</v>
      </c>
      <c r="F6706" s="6" t="n">
        <f aca="false">Q!$I$13+(Q!M13-Q!$E$13)*(1+Sens!F6707)</f>
        <v>27.5591895660247</v>
      </c>
      <c r="G6706" s="6" t="n">
        <f aca="false">Sens!F6706*(1+Sens!G6707)</f>
        <v>30.4098563144583</v>
      </c>
      <c r="H6706" s="6" t="n">
        <f aca="false">Sens!G6706*(1+Sens!H6707)</f>
        <v>33.3011792571777</v>
      </c>
      <c r="I6706" s="6" t="n">
        <f aca="false">Sens!H6706*(1+Sens!I6707)</f>
        <v>36.189023797112</v>
      </c>
      <c r="J6706" s="6" t="n">
        <f aca="false">Sens!I6706*(1+Sens!J6707)</f>
        <v>39.0247773769199</v>
      </c>
      <c r="K6706" s="6" t="n">
        <f aca="false">Sens!J6706*(1+Sens!K6707)</f>
        <v>41.7565117933043</v>
      </c>
      <c r="L6706" s="12" t="s">
        <v>1034</v>
      </c>
    </row>
    <row r="6707" customFormat="false" ht="15" hidden="false" customHeight="false" outlineLevel="0" collapsed="false">
      <c r="A6707" s="1" t="s">
        <v>1024</v>
      </c>
      <c r="B6707" s="0" t="s">
        <v>168</v>
      </c>
      <c r="E6707" s="7" t="n">
        <f aca="false">Sens!E6706/Sens!D6706-1</f>
        <v>0.120156961796942</v>
      </c>
      <c r="F6707" s="7" t="n">
        <f aca="false">Sens!$E$6707+(glt_srch-Sens!$E$6707)*MIN(1,(Sens!F6649-base_fy)/n_conv)</f>
        <v>0.111797468164118</v>
      </c>
      <c r="G6707" s="7" t="n">
        <f aca="false">Sens!$E$6707+(glt_srch-Sens!$E$6707)*MIN(1,(Sens!G6649-base_fy)/n_conv)</f>
        <v>0.103437974531295</v>
      </c>
      <c r="H6707" s="7" t="n">
        <f aca="false">Sens!$E$6707+(glt_srch-Sens!$E$6707)*MIN(1,(Sens!H6649-base_fy)/n_conv)</f>
        <v>0.095078480898471</v>
      </c>
      <c r="I6707" s="7" t="n">
        <f aca="false">Sens!$E$6707+(glt_srch-Sens!$E$6707)*MIN(1,(Sens!I6649-base_fy)/n_conv)</f>
        <v>0.0867189872656474</v>
      </c>
      <c r="J6707" s="7" t="n">
        <f aca="false">Sens!$E$6707+(glt_srch-Sens!$E$6707)*MIN(1,(Sens!J6649-base_fy)/n_conv)</f>
        <v>0.0783594936328237</v>
      </c>
      <c r="K6707" s="7" t="n">
        <f aca="false">Sens!$E$6707+(glt_srch-Sens!$E$6707)*MIN(1,(Sens!K6649-base_fy)/n_conv)</f>
        <v>0.07</v>
      </c>
    </row>
    <row r="6708" customFormat="false" ht="17.15" hidden="false" customHeight="false" outlineLevel="0" collapsed="false">
      <c r="A6708" s="0" t="s">
        <v>1038</v>
      </c>
      <c r="B6708" s="0" t="s">
        <v>98</v>
      </c>
      <c r="D6708" s="6" t="n">
        <f aca="false">Q!L14</f>
        <v>23.455</v>
      </c>
      <c r="E6708" s="6" t="n">
        <f aca="false">Q!M14</f>
        <v>21.79</v>
      </c>
      <c r="F6708" s="6" t="n">
        <f aca="false">Q!$I$14+(Q!M14-Q!$E$14)*(1+Sens!F6709)</f>
        <v>20.7520981041711</v>
      </c>
      <c r="G6708" s="6" t="n">
        <f aca="false">Sens!F6708*(1+Sens!G6709)</f>
        <v>19.9083593495882</v>
      </c>
      <c r="H6708" s="6" t="n">
        <f aca="false">Sens!G6708*(1+Sens!H6709)</f>
        <v>19.4008256265831</v>
      </c>
      <c r="I6708" s="6" t="n">
        <f aca="false">Sens!H6708*(1+Sens!I6709)</f>
        <v>19.200434522122</v>
      </c>
      <c r="J6708" s="6" t="n">
        <f aca="false">Sens!I6708*(1+Sens!J6709)</f>
        <v>19.2932782348507</v>
      </c>
      <c r="K6708" s="6" t="n">
        <f aca="false">Sens!J6708*(1+Sens!K6709)</f>
        <v>19.6791437995477</v>
      </c>
      <c r="L6708" s="12" t="s">
        <v>1034</v>
      </c>
    </row>
    <row r="6709" customFormat="false" ht="15" hidden="false" customHeight="false" outlineLevel="0" collapsed="false">
      <c r="A6709" s="1" t="s">
        <v>1024</v>
      </c>
      <c r="B6709" s="0" t="s">
        <v>168</v>
      </c>
      <c r="E6709" s="7" t="n">
        <f aca="false">Sens!E6708/Sens!D6708-1</f>
        <v>-0.0709869963760392</v>
      </c>
      <c r="F6709" s="7" t="n">
        <f aca="false">Sens!$E$6709+(glt_xbox-Sens!$E$6709)*MIN(1,(Sens!F6649-base_fy)/n_conv)</f>
        <v>-0.0558224969800327</v>
      </c>
      <c r="G6709" s="7" t="n">
        <f aca="false">Sens!$E$6709+(glt_xbox-Sens!$E$6709)*MIN(1,(Sens!G6649-base_fy)/n_conv)</f>
        <v>-0.0406579975840262</v>
      </c>
      <c r="H6709" s="7" t="n">
        <f aca="false">Sens!$E$6709+(glt_xbox-Sens!$E$6709)*MIN(1,(Sens!H6649-base_fy)/n_conv)</f>
        <v>-0.0254934981880196</v>
      </c>
      <c r="I6709" s="7" t="n">
        <f aca="false">Sens!$E$6709+(glt_xbox-Sens!$E$6709)*MIN(1,(Sens!I6649-base_fy)/n_conv)</f>
        <v>-0.0103289987920131</v>
      </c>
      <c r="J6709" s="7" t="n">
        <f aca="false">Sens!$E$6709+(glt_xbox-Sens!$E$6709)*MIN(1,(Sens!J6649-base_fy)/n_conv)</f>
        <v>0.00483550060399347</v>
      </c>
      <c r="K6709" s="7" t="n">
        <f aca="false">Sens!$E$6709+(glt_xbox-Sens!$E$6709)*MIN(1,(Sens!K6649-base_fy)/n_conv)</f>
        <v>0.02</v>
      </c>
    </row>
    <row r="6710" customFormat="false" ht="17.15" hidden="false" customHeight="false" outlineLevel="0" collapsed="false">
      <c r="A6710" s="0" t="s">
        <v>1039</v>
      </c>
      <c r="B6710" s="0" t="s">
        <v>98</v>
      </c>
      <c r="D6710" s="6" t="n">
        <f aca="false">Q!L15</f>
        <v>17.315</v>
      </c>
      <c r="E6710" s="6" t="n">
        <f aca="false">Q!M15</f>
        <v>17.087</v>
      </c>
      <c r="F6710" s="6" t="n">
        <f aca="false">Q!$I$15+(Q!M15-Q!$E$15)*(1+Sens!F6711)</f>
        <v>15.9912273250553</v>
      </c>
      <c r="G6710" s="6" t="n">
        <f aca="false">Sens!F6710*(1+Sens!G6711)</f>
        <v>15.9574562664827</v>
      </c>
      <c r="H6710" s="6" t="n">
        <f aca="false">Sens!G6710*(1+Sens!H6711)</f>
        <v>16.0119687434196</v>
      </c>
      <c r="I6710" s="6" t="n">
        <f aca="false">Sens!H6710*(1+Sens!I6711)</f>
        <v>16.1551810001948</v>
      </c>
      <c r="J6710" s="6" t="n">
        <f aca="false">Sens!I6710*(1+Sens!J6711)</f>
        <v>16.3889793892005</v>
      </c>
      <c r="K6710" s="6" t="n">
        <f aca="false">Sens!J6710*(1+Sens!K6711)</f>
        <v>16.7167589769845</v>
      </c>
      <c r="L6710" s="12" t="s">
        <v>1034</v>
      </c>
    </row>
    <row r="6711" customFormat="false" ht="15" hidden="false" customHeight="false" outlineLevel="0" collapsed="false">
      <c r="A6711" s="1" t="s">
        <v>1024</v>
      </c>
      <c r="B6711" s="0" t="s">
        <v>168</v>
      </c>
      <c r="E6711" s="7" t="n">
        <f aca="false">Sens!E6710/Sens!D6710-1</f>
        <v>-0.0131677736066995</v>
      </c>
      <c r="F6711" s="7" t="n">
        <f aca="false">Sens!$E$6711+(glt_win-Sens!$E$6711)*MIN(1,(Sens!F6649-base_fy)/n_conv)</f>
        <v>-0.00763981133891627</v>
      </c>
      <c r="G6711" s="7" t="n">
        <f aca="false">Sens!$E$6711+(glt_win-Sens!$E$6711)*MIN(1,(Sens!G6649-base_fy)/n_conv)</f>
        <v>-0.00211184907113301</v>
      </c>
      <c r="H6711" s="7" t="n">
        <f aca="false">Sens!$E$6711+(glt_win-Sens!$E$6711)*MIN(1,(Sens!H6649-base_fy)/n_conv)</f>
        <v>0.00341611319665024</v>
      </c>
      <c r="I6711" s="7" t="n">
        <f aca="false">Sens!$E$6711+(glt_win-Sens!$E$6711)*MIN(1,(Sens!I6649-base_fy)/n_conv)</f>
        <v>0.00894407546443349</v>
      </c>
      <c r="J6711" s="7" t="n">
        <f aca="false">Sens!$E$6711+(glt_win-Sens!$E$6711)*MIN(1,(Sens!J6649-base_fy)/n_conv)</f>
        <v>0.0144720377322168</v>
      </c>
      <c r="K6711" s="7" t="n">
        <f aca="false">Sens!$E$6711+(glt_win-Sens!$E$6711)*MIN(1,(Sens!K6649-base_fy)/n_conv)</f>
        <v>0.02</v>
      </c>
    </row>
    <row r="6712" customFormat="false" ht="15" hidden="false" customHeight="false" outlineLevel="0" collapsed="false">
      <c r="A6712" s="0" t="s">
        <v>866</v>
      </c>
      <c r="B6712" s="0" t="s">
        <v>98</v>
      </c>
      <c r="D6712" s="6" t="n">
        <f aca="false">Sens!D6706+Sens!D6708+Sens!D6710</f>
        <v>62.941</v>
      </c>
      <c r="E6712" s="6" t="n">
        <f aca="false">Sens!E6706+Sens!E6708+Sens!E6710</f>
        <v>63.712</v>
      </c>
      <c r="F6712" s="6" t="n">
        <f aca="false">Sens!F6706+Sens!F6708+Sens!F6710</f>
        <v>64.3025149952511</v>
      </c>
      <c r="G6712" s="6" t="n">
        <f aca="false">Sens!G6706+Sens!G6708+Sens!G6710</f>
        <v>66.2756719305292</v>
      </c>
      <c r="H6712" s="6" t="n">
        <f aca="false">Sens!H6706+Sens!H6708+Sens!H6710</f>
        <v>68.7139736271804</v>
      </c>
      <c r="I6712" s="6" t="n">
        <f aca="false">Sens!I6706+Sens!I6708+Sens!I6710</f>
        <v>71.5446393194289</v>
      </c>
      <c r="J6712" s="6" t="n">
        <f aca="false">Sens!J6706+Sens!J6708+Sens!J6710</f>
        <v>74.707035000971</v>
      </c>
      <c r="K6712" s="6" t="n">
        <f aca="false">Sens!K6706+Sens!K6708+Sens!K6710</f>
        <v>78.1524145698365</v>
      </c>
    </row>
    <row r="6713" customFormat="false" ht="15" hidden="false" customHeight="false" outlineLevel="0" collapsed="false">
      <c r="A6713" s="1" t="s">
        <v>1040</v>
      </c>
      <c r="B6713" s="0" t="s">
        <v>98</v>
      </c>
      <c r="D6713" s="6" t="n">
        <f aca="false">Sens!D6705+Sens!D6712</f>
        <v>281.724</v>
      </c>
      <c r="E6713" s="6" t="n">
        <f aca="false">Sens!E6705+Sens!E6712</f>
        <v>331.839</v>
      </c>
      <c r="F6713" s="6" t="n">
        <f aca="false">Sens!F6705+Sens!F6712</f>
        <v>401.358756627672</v>
      </c>
      <c r="G6713" s="6" t="n">
        <f aca="false">Sens!G6705+Sens!G6712</f>
        <v>485.625681314234</v>
      </c>
      <c r="H6713" s="6" t="n">
        <f aca="false">Sens!H6705+Sens!H6712</f>
        <v>576.697568385447</v>
      </c>
      <c r="I6713" s="6" t="n">
        <f aca="false">Sens!I6705+Sens!I6712</f>
        <v>654.70010355997</v>
      </c>
      <c r="J6713" s="6" t="n">
        <f aca="false">Sens!J6705+Sens!J6712</f>
        <v>717.948233190528</v>
      </c>
      <c r="K6713" s="6" t="n">
        <f aca="false">Sens!K6705+Sens!K6712</f>
        <v>767.810398812015</v>
      </c>
    </row>
    <row r="6714" customFormat="false" ht="15" hidden="false" customHeight="false" outlineLevel="0" collapsed="false">
      <c r="A6714" s="26" t="s">
        <v>1041</v>
      </c>
      <c r="B6714" s="31" t="s">
        <v>98</v>
      </c>
      <c r="C6714" s="31"/>
      <c r="D6714" s="27" t="n">
        <f aca="false">(Sens!D6693+Sens!D6698+Sens!D6699+Sens!D6701+Sens!D6703-Sens!D6705)+(Sens!D6706+Sens!D6708+Sens!D6710-Sens!D6712)+(Sens!D6705-Q!L5)+(Sens!D6712-Q!L12)+(Sens!D6693-Q!L6)+(Sens!D6698-Q!L7)</f>
        <v>0</v>
      </c>
      <c r="E6714" s="27" t="n">
        <f aca="false">(Sens!E6693+Sens!E6698+Sens!E6699+Sens!E6701+Sens!E6703-Sens!E6705)+(Sens!E6706+Sens!E6708+Sens!E6710-Sens!E6712)+(Sens!E6705-Q!M5)+(Sens!E6712-Q!M12)+(Sens!E6693-Q!M6)+(Sens!E6698-Q!M7)</f>
        <v>0</v>
      </c>
      <c r="F6714" s="27" t="n">
        <f aca="false">(Sens!F6693+Sens!F6698+Sens!F6699+Sens!F6701+Sens!F6703-Sens!F6705)+(Sens!F6706+Sens!F6708+Sens!F6710-Sens!F6712)</f>
        <v>0</v>
      </c>
      <c r="G6714" s="27" t="n">
        <f aca="false">(Sens!G6693+Sens!G6698+Sens!G6699+Sens!G6701+Sens!G6703-Sens!G6705)+(Sens!G6706+Sens!G6708+Sens!G6710-Sens!G6712)</f>
        <v>0</v>
      </c>
      <c r="H6714" s="27" t="n">
        <f aca="false">(Sens!H6693+Sens!H6698+Sens!H6699+Sens!H6701+Sens!H6703-Sens!H6705)+(Sens!H6706+Sens!H6708+Sens!H6710-Sens!H6712)</f>
        <v>0</v>
      </c>
      <c r="I6714" s="27" t="n">
        <f aca="false">(Sens!I6693+Sens!I6698+Sens!I6699+Sens!I6701+Sens!I6703-Sens!I6705)+(Sens!I6706+Sens!I6708+Sens!I6710-Sens!I6712)</f>
        <v>0</v>
      </c>
      <c r="J6714" s="27" t="n">
        <f aca="false">(Sens!J6693+Sens!J6698+Sens!J6699+Sens!J6701+Sens!J6703-Sens!J6705)+(Sens!J6706+Sens!J6708+Sens!J6710-Sens!J6712)</f>
        <v>0</v>
      </c>
      <c r="K6714" s="27" t="n">
        <f aca="false">(Sens!K6693+Sens!K6698+Sens!K6699+Sens!K6701+Sens!K6703-Sens!K6705)+(Sens!K6706+Sens!K6708+Sens!K6710-Sens!K6712)</f>
        <v>0</v>
      </c>
    </row>
    <row r="6715" customFormat="false" ht="17.15" hidden="false" customHeight="false" outlineLevel="0" collapsed="false">
      <c r="A6715" s="3" t="s">
        <v>1647</v>
      </c>
    </row>
    <row r="6716" customFormat="false" ht="15" hidden="false" customHeight="false" outlineLevel="0" collapsed="false">
      <c r="A6716" s="4" t="s">
        <v>43</v>
      </c>
      <c r="B6716" s="4" t="s">
        <v>65</v>
      </c>
      <c r="C6716" s="23" t="s">
        <v>938</v>
      </c>
      <c r="D6716" s="23" t="s">
        <v>939</v>
      </c>
      <c r="E6716" s="23" t="s">
        <v>940</v>
      </c>
      <c r="F6716" s="23" t="s">
        <v>941</v>
      </c>
      <c r="G6716" s="23" t="s">
        <v>942</v>
      </c>
      <c r="H6716" s="23" t="s">
        <v>943</v>
      </c>
      <c r="I6716" s="23" t="s">
        <v>944</v>
      </c>
      <c r="J6716" s="23" t="s">
        <v>945</v>
      </c>
      <c r="K6716" s="23" t="s">
        <v>946</v>
      </c>
      <c r="L6716" s="4" t="s">
        <v>47</v>
      </c>
    </row>
    <row r="6717" customFormat="false" ht="15" hidden="false" customHeight="false" outlineLevel="0" collapsed="false">
      <c r="A6717" s="0" t="s">
        <v>1025</v>
      </c>
      <c r="B6717" s="0" t="s">
        <v>98</v>
      </c>
      <c r="D6717" s="6" t="n">
        <f aca="false">Sens!D6693</f>
        <v>72.61</v>
      </c>
      <c r="E6717" s="6" t="n">
        <f aca="false">Sens!E6693</f>
        <v>101.938</v>
      </c>
      <c r="F6717" s="6" t="n">
        <f aca="false">Sens!F6693</f>
        <v>149.59001837225</v>
      </c>
      <c r="G6717" s="6" t="n">
        <f aca="false">Sens!G6693</f>
        <v>210.963087346352</v>
      </c>
      <c r="H6717" s="6" t="n">
        <f aca="false">Sens!H6693</f>
        <v>278.649709314524</v>
      </c>
      <c r="I6717" s="6" t="n">
        <f aca="false">Sens!I6693</f>
        <v>334.269404582332</v>
      </c>
      <c r="J6717" s="6" t="n">
        <f aca="false">Sens!J6693</f>
        <v>376.517293063672</v>
      </c>
      <c r="K6717" s="6" t="n">
        <f aca="false">Sens!K6693</f>
        <v>406.018092622804</v>
      </c>
    </row>
    <row r="6718" customFormat="false" ht="17.15" hidden="false" customHeight="false" outlineLevel="0" collapsed="false">
      <c r="A6718" s="0" t="s">
        <v>1021</v>
      </c>
      <c r="B6718" s="0" t="s">
        <v>98</v>
      </c>
      <c r="D6718" s="6" t="n">
        <f aca="false">Sens!D6690</f>
        <v>12.9359794422418</v>
      </c>
      <c r="E6718" s="6" t="n">
        <f aca="false">Sens!E6690</f>
        <v>27.8095064661409</v>
      </c>
      <c r="F6718" s="6" t="n">
        <f aca="false">Sens!F6690</f>
        <v>59.1034165651511</v>
      </c>
      <c r="G6718" s="6" t="n">
        <f aca="false">Sens!G6690</f>
        <v>103.451498789198</v>
      </c>
      <c r="H6718" s="6" t="n">
        <f aca="false">Sens!H6690</f>
        <v>153.816719989035</v>
      </c>
      <c r="I6718" s="6" t="n">
        <f aca="false">Sens!I6690</f>
        <v>192.699478690852</v>
      </c>
      <c r="J6718" s="6" t="n">
        <f aca="false">Sens!J6690</f>
        <v>219.794102584244</v>
      </c>
      <c r="K6718" s="6" t="n">
        <f aca="false">Sens!K6690</f>
        <v>236.757046905022</v>
      </c>
    </row>
    <row r="6719" customFormat="false" ht="17.15" hidden="false" customHeight="false" outlineLevel="0" collapsed="false">
      <c r="A6719" s="0" t="s">
        <v>1052</v>
      </c>
      <c r="B6719" s="0" t="s">
        <v>98</v>
      </c>
      <c r="D6719" s="6" t="n">
        <f aca="false">Sens!D6691</f>
        <v>59.6740205577583</v>
      </c>
      <c r="E6719" s="6" t="n">
        <f aca="false">Sens!E6691</f>
        <v>74.1284935338591</v>
      </c>
      <c r="F6719" s="6" t="n">
        <f aca="false">Sens!F6691</f>
        <v>90.4866018070994</v>
      </c>
      <c r="G6719" s="6" t="n">
        <f aca="false">Sens!G6691</f>
        <v>107.511588557154</v>
      </c>
      <c r="H6719" s="6" t="n">
        <f aca="false">Sens!H6691</f>
        <v>124.832989325489</v>
      </c>
      <c r="I6719" s="6" t="n">
        <f aca="false">Sens!I6691</f>
        <v>141.56992589148</v>
      </c>
      <c r="J6719" s="6" t="n">
        <f aca="false">Sens!J6691</f>
        <v>156.723190479428</v>
      </c>
      <c r="K6719" s="6" t="n">
        <f aca="false">Sens!K6691</f>
        <v>169.261045717783</v>
      </c>
    </row>
    <row r="6720" customFormat="false" ht="15" hidden="false" customHeight="false" outlineLevel="0" collapsed="false">
      <c r="A6720" s="0" t="s">
        <v>1032</v>
      </c>
      <c r="B6720" s="0" t="s">
        <v>98</v>
      </c>
      <c r="D6720" s="6" t="n">
        <f aca="false">Sens!D6698</f>
        <v>84.605</v>
      </c>
      <c r="E6720" s="6" t="n">
        <f aca="false">Sens!E6698</f>
        <v>100.299</v>
      </c>
      <c r="F6720" s="6" t="n">
        <f aca="false">Sens!F6698</f>
        <v>118.011178943761</v>
      </c>
      <c r="G6720" s="6" t="n">
        <f aca="false">Sens!G6698</f>
        <v>134.648043494744</v>
      </c>
      <c r="H6720" s="6" t="n">
        <f aca="false">Sens!H6698</f>
        <v>151.366218374114</v>
      </c>
      <c r="I6720" s="6" t="n">
        <f aca="false">Sens!I6698</f>
        <v>166.783087675019</v>
      </c>
      <c r="J6720" s="6" t="n">
        <f aca="false">Sens!J6698</f>
        <v>180.617525187072</v>
      </c>
      <c r="K6720" s="6" t="n">
        <f aca="false">Sens!K6698</f>
        <v>193.699501950167</v>
      </c>
    </row>
    <row r="6721" customFormat="false" ht="17.15" hidden="false" customHeight="false" outlineLevel="0" collapsed="false">
      <c r="A6721" s="0" t="s">
        <v>1053</v>
      </c>
      <c r="B6721" s="0" t="s">
        <v>98</v>
      </c>
      <c r="D6721" s="6" t="n">
        <f aca="false">Sens!D6696</f>
        <v>83.705</v>
      </c>
      <c r="E6721" s="6" t="n">
        <f aca="false">Sens!E6696</f>
        <v>95.049</v>
      </c>
      <c r="F6721" s="6" t="n">
        <f aca="false">Sens!F6696</f>
        <v>106.761178943761</v>
      </c>
      <c r="G6721" s="6" t="n">
        <f aca="false">Sens!G6696</f>
        <v>118.898043494744</v>
      </c>
      <c r="H6721" s="6" t="n">
        <f aca="false">Sens!H6696</f>
        <v>131.116218374114</v>
      </c>
      <c r="I6721" s="6" t="n">
        <f aca="false">Sens!I6696</f>
        <v>143.158087675019</v>
      </c>
      <c r="J6721" s="6" t="n">
        <f aca="false">Sens!J6696</f>
        <v>154.742525187072</v>
      </c>
      <c r="K6721" s="6" t="n">
        <f aca="false">Sens!K6696</f>
        <v>165.574501950167</v>
      </c>
    </row>
    <row r="6722" customFormat="false" ht="17.15" hidden="false" customHeight="false" outlineLevel="0" collapsed="false">
      <c r="A6722" s="0" t="s">
        <v>1054</v>
      </c>
      <c r="B6722" s="0" t="s">
        <v>98</v>
      </c>
      <c r="D6722" s="6" t="n">
        <f aca="false">Sens!D6695</f>
        <v>0.9</v>
      </c>
      <c r="E6722" s="6" t="n">
        <f aca="false">Sens!E6695</f>
        <v>5.25</v>
      </c>
      <c r="F6722" s="6" t="n">
        <f aca="false">Sens!F6695</f>
        <v>11.25</v>
      </c>
      <c r="G6722" s="6" t="n">
        <f aca="false">Sens!G6695</f>
        <v>15.75</v>
      </c>
      <c r="H6722" s="6" t="n">
        <f aca="false">Sens!H6695</f>
        <v>20.25</v>
      </c>
      <c r="I6722" s="6" t="n">
        <f aca="false">Sens!I6695</f>
        <v>23.625</v>
      </c>
      <c r="J6722" s="6" t="n">
        <f aca="false">Sens!J6695</f>
        <v>25.875</v>
      </c>
      <c r="K6722" s="6" t="n">
        <f aca="false">Sens!K6695</f>
        <v>28.125</v>
      </c>
    </row>
    <row r="6723" customFormat="false" ht="15" hidden="false" customHeight="false" outlineLevel="0" collapsed="false">
      <c r="A6723" s="0" t="s">
        <v>1033</v>
      </c>
      <c r="B6723" s="0" t="s">
        <v>98</v>
      </c>
      <c r="D6723" s="6" t="n">
        <f aca="false">Sens!D6699</f>
        <v>35.391</v>
      </c>
      <c r="E6723" s="6" t="n">
        <f aca="false">Sens!E6699</f>
        <v>37.285</v>
      </c>
      <c r="F6723" s="6" t="n">
        <f aca="false">Sens!F6699</f>
        <v>38.3851437782675</v>
      </c>
      <c r="G6723" s="6" t="n">
        <f aca="false">Sens!G6699</f>
        <v>40.0105353288615</v>
      </c>
      <c r="H6723" s="6" t="n">
        <f aca="false">Sens!H6699</f>
        <v>41.4812512033683</v>
      </c>
      <c r="I6723" s="6" t="n">
        <f aca="false">Sens!I6699</f>
        <v>42.7743107216329</v>
      </c>
      <c r="J6723" s="6" t="n">
        <f aca="false">Sens!J6699</f>
        <v>43.8687373064601</v>
      </c>
      <c r="K6723" s="6" t="n">
        <f aca="false">Sens!K6699</f>
        <v>44.7461120525893</v>
      </c>
    </row>
    <row r="6724" customFormat="false" ht="15" hidden="false" customHeight="false" outlineLevel="0" collapsed="false">
      <c r="A6724" s="0" t="s">
        <v>1035</v>
      </c>
      <c r="B6724" s="0" t="s">
        <v>98</v>
      </c>
      <c r="D6724" s="6" t="n">
        <f aca="false">Sens!D6701</f>
        <v>18.417</v>
      </c>
      <c r="E6724" s="6" t="n">
        <f aca="false">Sens!E6701</f>
        <v>20.345</v>
      </c>
      <c r="F6724" s="6" t="n">
        <f aca="false">Sens!F6701</f>
        <v>22.3161797133988</v>
      </c>
      <c r="G6724" s="6" t="n">
        <f aca="false">Sens!G6701</f>
        <v>24.3943499673233</v>
      </c>
      <c r="H6724" s="6" t="n">
        <f aca="false">Sens!H6701</f>
        <v>26.5250243109019</v>
      </c>
      <c r="I6724" s="6" t="n">
        <f aca="false">Sens!I6701</f>
        <v>28.6884573538181</v>
      </c>
      <c r="J6724" s="6" t="n">
        <f aca="false">Sens!J6701</f>
        <v>30.8624968052127</v>
      </c>
      <c r="K6724" s="6" t="n">
        <f aca="false">Sens!K6701</f>
        <v>33.0228715815776</v>
      </c>
    </row>
    <row r="6725" customFormat="false" ht="15" hidden="false" customHeight="false" outlineLevel="0" collapsed="false">
      <c r="A6725" s="0" t="s">
        <v>1036</v>
      </c>
      <c r="B6725" s="0" t="s">
        <v>98</v>
      </c>
      <c r="D6725" s="6" t="n">
        <f aca="false">Sens!D6703</f>
        <v>7.76</v>
      </c>
      <c r="E6725" s="6" t="n">
        <f aca="false">Sens!E6703</f>
        <v>8.26</v>
      </c>
      <c r="F6725" s="6" t="n">
        <f aca="false">Sens!F6703</f>
        <v>8.75372082474227</v>
      </c>
      <c r="G6725" s="6" t="n">
        <f aca="false">Sens!G6703</f>
        <v>9.33399324642364</v>
      </c>
      <c r="H6725" s="6" t="n">
        <f aca="false">Sens!H6703</f>
        <v>9.96139155535851</v>
      </c>
      <c r="I6725" s="6" t="n">
        <f aca="false">Sens!I6703</f>
        <v>10.6402039077391</v>
      </c>
      <c r="J6725" s="6" t="n">
        <f aca="false">Sens!J6703</f>
        <v>11.3751458271397</v>
      </c>
      <c r="K6725" s="6" t="n">
        <f aca="false">Sens!K6703</f>
        <v>12.1714060350394</v>
      </c>
    </row>
    <row r="6726" customFormat="false" ht="15" hidden="false" customHeight="false" outlineLevel="0" collapsed="false">
      <c r="A6726" s="0" t="s">
        <v>852</v>
      </c>
      <c r="B6726" s="0" t="s">
        <v>98</v>
      </c>
      <c r="D6726" s="6" t="n">
        <f aca="false">Sens!D6705</f>
        <v>218.783</v>
      </c>
      <c r="E6726" s="6" t="n">
        <f aca="false">Sens!E6705</f>
        <v>268.127</v>
      </c>
      <c r="F6726" s="6" t="n">
        <f aca="false">Sens!F6705</f>
        <v>337.05624163242</v>
      </c>
      <c r="G6726" s="6" t="n">
        <f aca="false">Sens!G6705</f>
        <v>419.350009383705</v>
      </c>
      <c r="H6726" s="6" t="n">
        <f aca="false">Sens!H6705</f>
        <v>507.983594758267</v>
      </c>
      <c r="I6726" s="6" t="n">
        <f aca="false">Sens!I6705</f>
        <v>583.155464240541</v>
      </c>
      <c r="J6726" s="6" t="n">
        <f aca="false">Sens!J6705</f>
        <v>643.241198189557</v>
      </c>
      <c r="K6726" s="6" t="n">
        <f aca="false">Sens!K6705</f>
        <v>689.657984242178</v>
      </c>
    </row>
    <row r="6727" customFormat="false" ht="15" hidden="false" customHeight="false" outlineLevel="0" collapsed="false">
      <c r="A6727" s="0" t="s">
        <v>1037</v>
      </c>
      <c r="B6727" s="0" t="s">
        <v>98</v>
      </c>
      <c r="D6727" s="6" t="n">
        <f aca="false">Sens!D6706</f>
        <v>22.171</v>
      </c>
      <c r="E6727" s="6" t="n">
        <f aca="false">Sens!E6706</f>
        <v>24.835</v>
      </c>
      <c r="F6727" s="6" t="n">
        <f aca="false">Sens!F6706</f>
        <v>27.5591895660247</v>
      </c>
      <c r="G6727" s="6" t="n">
        <f aca="false">Sens!G6706</f>
        <v>30.4098563144583</v>
      </c>
      <c r="H6727" s="6" t="n">
        <f aca="false">Sens!H6706</f>
        <v>33.3011792571777</v>
      </c>
      <c r="I6727" s="6" t="n">
        <f aca="false">Sens!I6706</f>
        <v>36.189023797112</v>
      </c>
      <c r="J6727" s="6" t="n">
        <f aca="false">Sens!J6706</f>
        <v>39.0247773769199</v>
      </c>
      <c r="K6727" s="6" t="n">
        <f aca="false">Sens!K6706</f>
        <v>41.7565117933043</v>
      </c>
    </row>
    <row r="6728" customFormat="false" ht="15" hidden="false" customHeight="false" outlineLevel="0" collapsed="false">
      <c r="A6728" s="0" t="s">
        <v>1038</v>
      </c>
      <c r="B6728" s="0" t="s">
        <v>98</v>
      </c>
      <c r="D6728" s="6" t="n">
        <f aca="false">Sens!D6708</f>
        <v>23.455</v>
      </c>
      <c r="E6728" s="6" t="n">
        <f aca="false">Sens!E6708</f>
        <v>21.79</v>
      </c>
      <c r="F6728" s="6" t="n">
        <f aca="false">Sens!F6708</f>
        <v>20.7520981041711</v>
      </c>
      <c r="G6728" s="6" t="n">
        <f aca="false">Sens!G6708</f>
        <v>19.9083593495882</v>
      </c>
      <c r="H6728" s="6" t="n">
        <f aca="false">Sens!H6708</f>
        <v>19.4008256265831</v>
      </c>
      <c r="I6728" s="6" t="n">
        <f aca="false">Sens!I6708</f>
        <v>19.200434522122</v>
      </c>
      <c r="J6728" s="6" t="n">
        <f aca="false">Sens!J6708</f>
        <v>19.2932782348507</v>
      </c>
      <c r="K6728" s="6" t="n">
        <f aca="false">Sens!K6708</f>
        <v>19.6791437995477</v>
      </c>
    </row>
    <row r="6729" customFormat="false" ht="15" hidden="false" customHeight="false" outlineLevel="0" collapsed="false">
      <c r="A6729" s="0" t="s">
        <v>1039</v>
      </c>
      <c r="B6729" s="0" t="s">
        <v>98</v>
      </c>
      <c r="D6729" s="6" t="n">
        <f aca="false">Sens!D6710</f>
        <v>17.315</v>
      </c>
      <c r="E6729" s="6" t="n">
        <f aca="false">Sens!E6710</f>
        <v>17.087</v>
      </c>
      <c r="F6729" s="6" t="n">
        <f aca="false">Sens!F6710</f>
        <v>15.9912273250553</v>
      </c>
      <c r="G6729" s="6" t="n">
        <f aca="false">Sens!G6710</f>
        <v>15.9574562664827</v>
      </c>
      <c r="H6729" s="6" t="n">
        <f aca="false">Sens!H6710</f>
        <v>16.0119687434196</v>
      </c>
      <c r="I6729" s="6" t="n">
        <f aca="false">Sens!I6710</f>
        <v>16.1551810001948</v>
      </c>
      <c r="J6729" s="6" t="n">
        <f aca="false">Sens!J6710</f>
        <v>16.3889793892005</v>
      </c>
      <c r="K6729" s="6" t="n">
        <f aca="false">Sens!K6710</f>
        <v>16.7167589769845</v>
      </c>
    </row>
    <row r="6730" customFormat="false" ht="15" hidden="false" customHeight="false" outlineLevel="0" collapsed="false">
      <c r="A6730" s="0" t="s">
        <v>866</v>
      </c>
      <c r="B6730" s="0" t="s">
        <v>98</v>
      </c>
      <c r="D6730" s="6" t="n">
        <f aca="false">Sens!D6712</f>
        <v>62.941</v>
      </c>
      <c r="E6730" s="6" t="n">
        <f aca="false">Sens!E6712</f>
        <v>63.712</v>
      </c>
      <c r="F6730" s="6" t="n">
        <f aca="false">Sens!F6712</f>
        <v>64.3025149952511</v>
      </c>
      <c r="G6730" s="6" t="n">
        <f aca="false">Sens!G6712</f>
        <v>66.2756719305292</v>
      </c>
      <c r="H6730" s="6" t="n">
        <f aca="false">Sens!H6712</f>
        <v>68.7139736271804</v>
      </c>
      <c r="I6730" s="6" t="n">
        <f aca="false">Sens!I6712</f>
        <v>71.5446393194289</v>
      </c>
      <c r="J6730" s="6" t="n">
        <f aca="false">Sens!J6712</f>
        <v>74.707035000971</v>
      </c>
      <c r="K6730" s="6" t="n">
        <f aca="false">Sens!K6712</f>
        <v>78.1524145698365</v>
      </c>
    </row>
    <row r="6731" customFormat="false" ht="15" hidden="false" customHeight="false" outlineLevel="0" collapsed="false">
      <c r="A6731" s="1" t="s">
        <v>1055</v>
      </c>
      <c r="B6731" s="0" t="s">
        <v>98</v>
      </c>
      <c r="D6731" s="6" t="n">
        <f aca="false">Sens!D6713</f>
        <v>281.724</v>
      </c>
      <c r="E6731" s="6" t="n">
        <f aca="false">Sens!E6713</f>
        <v>331.839</v>
      </c>
      <c r="F6731" s="6" t="n">
        <f aca="false">Sens!F6713</f>
        <v>401.358756627672</v>
      </c>
      <c r="G6731" s="6" t="n">
        <f aca="false">Sens!G6713</f>
        <v>485.625681314234</v>
      </c>
      <c r="H6731" s="6" t="n">
        <f aca="false">Sens!H6713</f>
        <v>576.697568385447</v>
      </c>
      <c r="I6731" s="6" t="n">
        <f aca="false">Sens!I6713</f>
        <v>654.70010355997</v>
      </c>
      <c r="J6731" s="6" t="n">
        <f aca="false">Sens!J6713</f>
        <v>717.948233190528</v>
      </c>
      <c r="K6731" s="6" t="n">
        <f aca="false">Sens!K6713</f>
        <v>767.810398812015</v>
      </c>
    </row>
    <row r="6732" customFormat="false" ht="15" hidden="false" customHeight="false" outlineLevel="0" collapsed="false">
      <c r="A6732" s="1" t="s">
        <v>1056</v>
      </c>
      <c r="B6732" s="0" t="s">
        <v>168</v>
      </c>
      <c r="E6732" s="7" t="n">
        <f aca="false">Sens!E6731/Sens!D6731-1</f>
        <v>0.177886867998467</v>
      </c>
      <c r="F6732" s="7" t="n">
        <f aca="false">Sens!F6731/Sens!E6731-1</f>
        <v>0.209498451440824</v>
      </c>
      <c r="G6732" s="7" t="n">
        <f aca="false">Sens!G6731/Sens!F6731-1</f>
        <v>0.209954120335127</v>
      </c>
      <c r="H6732" s="7" t="n">
        <f aca="false">Sens!H6731/Sens!G6731-1</f>
        <v>0.18753515428745</v>
      </c>
      <c r="I6732" s="7" t="n">
        <f aca="false">Sens!I6731/Sens!H6731-1</f>
        <v>0.135257263859985</v>
      </c>
      <c r="J6732" s="7" t="n">
        <f aca="false">Sens!J6731/Sens!I6731-1</f>
        <v>0.0966062618390351</v>
      </c>
      <c r="K6732" s="7" t="n">
        <f aca="false">Sens!K6731/Sens!J6731-1</f>
        <v>0.0694509204373994</v>
      </c>
    </row>
    <row r="6733" customFormat="false" ht="17.15" hidden="false" customHeight="false" outlineLevel="0" collapsed="false">
      <c r="A6733" s="26" t="s">
        <v>1057</v>
      </c>
      <c r="B6733" s="31" t="s">
        <v>98</v>
      </c>
      <c r="C6733" s="31"/>
      <c r="D6733" s="27" t="n">
        <f aca="false">(Sens!D6726+Sens!D6730-Sens!D6731)+(Sens!D6718+Sens!D6719-Sens!D6717)+(Sens!D6721+Sens!D6722-Sens!D6720)+(Sens!D6731-Q!L18)</f>
        <v>0</v>
      </c>
      <c r="E6733" s="27" t="n">
        <f aca="false">(Sens!E6726+Sens!E6730-Sens!E6731)+(Sens!E6718+Sens!E6719-Sens!E6717)+(Sens!E6721+Sens!E6722-Sens!E6720)+(Sens!E6731-Q!M18)</f>
        <v>0</v>
      </c>
      <c r="F6733" s="27" t="n">
        <f aca="false">(Sens!F6726+Sens!F6730-Sens!F6731)+(Sens!F6718+Sens!F6719-Sens!F6717)+(Sens!F6721+Sens!F6722-Sens!F6720)</f>
        <v>0</v>
      </c>
      <c r="G6733" s="27" t="n">
        <f aca="false">(Sens!G6726+Sens!G6730-Sens!G6731)+(Sens!G6718+Sens!G6719-Sens!G6717)+(Sens!G6721+Sens!G6722-Sens!G6720)</f>
        <v>0</v>
      </c>
      <c r="H6733" s="27" t="n">
        <f aca="false">(Sens!H6726+Sens!H6730-Sens!H6731)+(Sens!H6718+Sens!H6719-Sens!H6717)+(Sens!H6721+Sens!H6722-Sens!H6720)</f>
        <v>0</v>
      </c>
      <c r="I6733" s="27" t="n">
        <f aca="false">(Sens!I6726+Sens!I6730-Sens!I6731)+(Sens!I6718+Sens!I6719-Sens!I6717)+(Sens!I6721+Sens!I6722-Sens!I6720)</f>
        <v>0</v>
      </c>
      <c r="J6733" s="27" t="n">
        <f aca="false">(Sens!J6726+Sens!J6730-Sens!J6731)+(Sens!J6718+Sens!J6719-Sens!J6717)+(Sens!J6721+Sens!J6722-Sens!J6720)</f>
        <v>0</v>
      </c>
      <c r="K6733" s="27" t="n">
        <f aca="false">(Sens!K6726+Sens!K6730-Sens!K6731)+(Sens!K6718+Sens!K6719-Sens!K6717)+(Sens!K6721+Sens!K6722-Sens!K6720)</f>
        <v>0</v>
      </c>
    </row>
    <row r="6734" customFormat="false" ht="17.15" hidden="false" customHeight="false" outlineLevel="0" collapsed="false">
      <c r="A6734" s="0" t="s">
        <v>1058</v>
      </c>
      <c r="B6734" s="0" t="s">
        <v>168</v>
      </c>
      <c r="E6734" s="7" t="n">
        <f aca="false">(Q!M21+Sens!E6670+Sens!E6671+Sens!E6672+Sens!E6686-Sens!E6668)/(Q!M5-Sens!E6668)</f>
        <v>0.570957350878296</v>
      </c>
      <c r="F6734" s="7" t="n">
        <f aca="false">Sens!$E$6734+dm_seg</f>
        <v>0.570957350878296</v>
      </c>
      <c r="G6734" s="7" t="n">
        <f aca="false">Sens!$E$6734+dm_seg</f>
        <v>0.570957350878296</v>
      </c>
      <c r="H6734" s="7" t="n">
        <f aca="false">Sens!$E$6734+dm_seg</f>
        <v>0.570957350878296</v>
      </c>
      <c r="I6734" s="7" t="n">
        <f aca="false">Sens!$E$6734+dm_seg</f>
        <v>0.570957350878296</v>
      </c>
      <c r="J6734" s="7" t="n">
        <f aca="false">Sens!$E$6734+dm_seg</f>
        <v>0.570957350878296</v>
      </c>
      <c r="K6734" s="7" t="n">
        <f aca="false">Sens!$E$6734+dm_seg</f>
        <v>0.570957350878296</v>
      </c>
      <c r="L6734" s="12" t="s">
        <v>1059</v>
      </c>
    </row>
    <row r="6735" customFormat="false" ht="17.15" hidden="false" customHeight="false" outlineLevel="0" collapsed="false">
      <c r="A6735" s="0" t="s">
        <v>880</v>
      </c>
      <c r="B6735" s="0" t="s">
        <v>98</v>
      </c>
      <c r="D6735" s="6" t="n">
        <f aca="false">Q!L21</f>
        <v>110.814</v>
      </c>
      <c r="E6735" s="6" t="n">
        <f aca="false">Q!M21</f>
        <v>136.365</v>
      </c>
      <c r="F6735" s="6" t="n">
        <f aca="false">Q!$I$21+(Sens!F6734*(Sens!F6705-Sens!F6668)+Sens!F6668-(Sens!F6670+Sens!F6671+Sens!F6672)-Sens!F6686-Sens!F6769)*(Sens!F6705-Q!$I$5)/Sens!F6705</f>
        <v>164.561288316581</v>
      </c>
      <c r="G6735" s="6" t="n">
        <f aca="false">(Sens!G6734*(Sens!G6705-Sens!G6668)+Sens!G6668-(Sens!G6670+Sens!G6671+Sens!G6672)-Sens!G6686-Sens!G6769)</f>
        <v>187.990644103498</v>
      </c>
      <c r="H6735" s="6" t="n">
        <f aca="false">(Sens!H6734*(Sens!H6705-Sens!H6668)+Sens!H6668-(Sens!H6670+Sens!H6671+Sens!H6672)-Sens!H6686-Sens!H6769)</f>
        <v>219.712003737698</v>
      </c>
      <c r="I6735" s="6" t="n">
        <f aca="false">(Sens!I6734*(Sens!I6705-Sens!I6668)+Sens!I6668-(Sens!I6670+Sens!I6671+Sens!I6672)-Sens!I6686-Sens!I6769)</f>
        <v>243.685904467133</v>
      </c>
      <c r="J6735" s="6" t="n">
        <f aca="false">(Sens!J6734*(Sens!J6705-Sens!J6668)+Sens!J6668-(Sens!J6670+Sens!J6671+Sens!J6672)-Sens!J6686-Sens!J6769)</f>
        <v>264.687434960973</v>
      </c>
      <c r="K6735" s="6" t="n">
        <f aca="false">(Sens!K6734*(Sens!K6705-Sens!K6668)+Sens!K6668-(Sens!K6670+Sens!K6671+Sens!K6672)-Sens!K6686-Sens!K6769)</f>
        <v>283.414999655402</v>
      </c>
      <c r="L6735" s="1" t="s">
        <v>1060</v>
      </c>
    </row>
    <row r="6736" customFormat="false" ht="17.15" hidden="false" customHeight="false" outlineLevel="0" collapsed="false">
      <c r="A6736" s="0" t="s">
        <v>1061</v>
      </c>
      <c r="B6736" s="0" t="s">
        <v>168</v>
      </c>
      <c r="E6736" s="7" t="n">
        <f aca="false">Q!M22/Q!M12</f>
        <v>0.296207935710698</v>
      </c>
      <c r="F6736" s="7" t="n">
        <f aca="false">Sens!$E$6736+dm_seg</f>
        <v>0.296207935710698</v>
      </c>
      <c r="G6736" s="7" t="n">
        <f aca="false">Sens!$E$6736+dm_seg</f>
        <v>0.296207935710698</v>
      </c>
      <c r="H6736" s="7" t="n">
        <f aca="false">Sens!$E$6736+dm_seg</f>
        <v>0.296207935710698</v>
      </c>
      <c r="I6736" s="7" t="n">
        <f aca="false">Sens!$E$6736+dm_seg</f>
        <v>0.296207935710698</v>
      </c>
      <c r="J6736" s="7" t="n">
        <f aca="false">Sens!$E$6736+dm_seg</f>
        <v>0.296207935710698</v>
      </c>
      <c r="K6736" s="7" t="n">
        <f aca="false">Sens!$E$6736+dm_seg</f>
        <v>0.296207935710698</v>
      </c>
      <c r="L6736" s="12" t="s">
        <v>1062</v>
      </c>
    </row>
    <row r="6737" customFormat="false" ht="17.15" hidden="false" customHeight="false" outlineLevel="0" collapsed="false">
      <c r="A6737" s="0" t="s">
        <v>882</v>
      </c>
      <c r="B6737" s="0" t="s">
        <v>98</v>
      </c>
      <c r="D6737" s="6" t="n">
        <f aca="false">Q!L22</f>
        <v>17.714</v>
      </c>
      <c r="E6737" s="6" t="n">
        <f aca="false">Q!M22</f>
        <v>18.872</v>
      </c>
      <c r="F6737" s="6" t="n">
        <f aca="false">Q!$I$22+(Sens!F6712-Q!$I$12)*Sens!F6736</f>
        <v>19.8174315512051</v>
      </c>
      <c r="G6737" s="6" t="n">
        <f aca="false">Sens!G6712*Sens!G6736</f>
        <v>19.6313799703815</v>
      </c>
      <c r="H6737" s="6" t="n">
        <f aca="false">Sens!H6712*Sens!H6736</f>
        <v>20.3536242825865</v>
      </c>
      <c r="I6737" s="6" t="n">
        <f aca="false">Sens!I6712*Sens!I6736</f>
        <v>21.1920899239745</v>
      </c>
      <c r="J6737" s="6" t="n">
        <f aca="false">Sens!J6712*Sens!J6736</f>
        <v>22.1288166207045</v>
      </c>
      <c r="K6737" s="6" t="n">
        <f aca="false">Sens!K6712*Sens!K6736</f>
        <v>23.1493653905379</v>
      </c>
      <c r="L6737" s="12" t="s">
        <v>1063</v>
      </c>
    </row>
    <row r="6738" customFormat="false" ht="15" hidden="false" customHeight="false" outlineLevel="0" collapsed="false">
      <c r="A6738" s="1" t="s">
        <v>1064</v>
      </c>
      <c r="B6738" s="0" t="s">
        <v>98</v>
      </c>
      <c r="D6738" s="6" t="n">
        <f aca="false">Sens!D6735+Sens!D6737</f>
        <v>128.528</v>
      </c>
      <c r="E6738" s="6" t="n">
        <f aca="false">Sens!E6735+Sens!E6737</f>
        <v>155.237</v>
      </c>
      <c r="F6738" s="6" t="n">
        <f aca="false">Sens!F6735+Sens!F6737</f>
        <v>184.378719867786</v>
      </c>
      <c r="G6738" s="6" t="n">
        <f aca="false">Sens!G6735+Sens!G6737</f>
        <v>207.62202407388</v>
      </c>
      <c r="H6738" s="6" t="n">
        <f aca="false">Sens!H6735+Sens!H6737</f>
        <v>240.065628020285</v>
      </c>
      <c r="I6738" s="6" t="n">
        <f aca="false">Sens!I6735+Sens!I6737</f>
        <v>264.877994391108</v>
      </c>
      <c r="J6738" s="6" t="n">
        <f aca="false">Sens!J6735+Sens!J6737</f>
        <v>286.816251581678</v>
      </c>
      <c r="K6738" s="6" t="n">
        <f aca="false">Sens!K6735+Sens!K6737</f>
        <v>306.56436504594</v>
      </c>
    </row>
    <row r="6739" customFormat="false" ht="15" hidden="false" customHeight="false" outlineLevel="0" collapsed="false">
      <c r="A6739" s="26" t="s">
        <v>1065</v>
      </c>
      <c r="B6739" s="31" t="s">
        <v>98</v>
      </c>
      <c r="C6739" s="31"/>
      <c r="D6739" s="27" t="n">
        <f aca="false">Sens!D6738-Q!L23</f>
        <v>0</v>
      </c>
      <c r="E6739" s="27" t="n">
        <f aca="false">Sens!E6738-Q!M23</f>
        <v>0</v>
      </c>
      <c r="F6739" s="31"/>
      <c r="G6739" s="31"/>
      <c r="H6739" s="31"/>
      <c r="I6739" s="31"/>
      <c r="J6739" s="31"/>
      <c r="K6739" s="31"/>
    </row>
    <row r="6740" customFormat="false" ht="15" hidden="false" customHeight="false" outlineLevel="0" collapsed="false">
      <c r="A6740" s="1" t="s">
        <v>1066</v>
      </c>
      <c r="B6740" s="0" t="s">
        <v>168</v>
      </c>
      <c r="D6740" s="7" t="n">
        <f aca="false">Sens!D6738/Sens!D6731</f>
        <v>0.456219562408598</v>
      </c>
      <c r="E6740" s="7" t="n">
        <f aca="false">Sens!E6738/Sens!E6731</f>
        <v>0.467808184089272</v>
      </c>
      <c r="F6740" s="7" t="n">
        <f aca="false">Sens!F6738/Sens!F6731</f>
        <v>0.459386314171859</v>
      </c>
      <c r="G6740" s="7" t="n">
        <f aca="false">Sens!G6738/Sens!G6731</f>
        <v>0.427535099692418</v>
      </c>
      <c r="H6740" s="7" t="n">
        <f aca="false">Sens!H6738/Sens!H6731</f>
        <v>0.416276469991689</v>
      </c>
      <c r="I6740" s="7" t="n">
        <f aca="false">Sens!I6738/Sens!I6731</f>
        <v>0.404579124015436</v>
      </c>
      <c r="J6740" s="7" t="n">
        <f aca="false">Sens!J6738/Sens!J6731</f>
        <v>0.39949433444119</v>
      </c>
      <c r="K6740" s="7" t="n">
        <f aca="false">Sens!K6738/Sens!K6731</f>
        <v>0.399270920946458</v>
      </c>
    </row>
    <row r="6741" customFormat="false" ht="17.15" hidden="false" customHeight="false" outlineLevel="0" collapsed="false">
      <c r="A6741" s="1" t="s">
        <v>1067</v>
      </c>
      <c r="B6741" s="0" t="s">
        <v>98</v>
      </c>
      <c r="F6741" s="6" t="n">
        <f aca="false">Sens!F6756</f>
        <v>10.1680607847886</v>
      </c>
      <c r="G6741" s="6" t="n">
        <f aca="false">Sens!G6756</f>
        <v>26.5599926354558</v>
      </c>
      <c r="H6741" s="6" t="n">
        <f aca="false">Sens!H6756</f>
        <v>44.4251154355884</v>
      </c>
      <c r="I6741" s="6" t="n">
        <f aca="false">Sens!I6756</f>
        <v>60.4883607271127</v>
      </c>
      <c r="J6741" s="6" t="n">
        <f aca="false">Sens!J6756</f>
        <v>71.6944871895105</v>
      </c>
      <c r="K6741" s="6" t="n">
        <f aca="false">Sens!K6756</f>
        <v>77.999690606174</v>
      </c>
      <c r="L6741" s="1" t="s">
        <v>1068</v>
      </c>
    </row>
    <row r="6742" customFormat="false" ht="17.15" hidden="false" customHeight="false" outlineLevel="0" collapsed="false">
      <c r="A6742" s="1" t="s">
        <v>1069</v>
      </c>
      <c r="B6742" s="0" t="s">
        <v>98</v>
      </c>
      <c r="D6742" s="6" t="n">
        <f aca="false">Sens!D6738</f>
        <v>128.528</v>
      </c>
      <c r="E6742" s="6" t="n">
        <f aca="false">Sens!E6738</f>
        <v>155.237</v>
      </c>
      <c r="F6742" s="6" t="n">
        <f aca="false">Sens!F6738+Sens!F6741</f>
        <v>194.546780652575</v>
      </c>
      <c r="G6742" s="6" t="n">
        <f aca="false">Sens!G6738+Sens!G6741</f>
        <v>234.182016709336</v>
      </c>
      <c r="H6742" s="6" t="n">
        <f aca="false">Sens!H6738+Sens!H6741</f>
        <v>284.490743455873</v>
      </c>
      <c r="I6742" s="6" t="n">
        <f aca="false">Sens!I6738+Sens!I6741</f>
        <v>325.366355118221</v>
      </c>
      <c r="J6742" s="6" t="n">
        <f aca="false">Sens!J6738+Sens!J6741</f>
        <v>358.510738771188</v>
      </c>
      <c r="K6742" s="6" t="n">
        <f aca="false">Sens!K6738+Sens!K6741</f>
        <v>384.564055652114</v>
      </c>
    </row>
    <row r="6743" customFormat="false" ht="17.15" hidden="false" customHeight="false" outlineLevel="0" collapsed="false">
      <c r="A6743" s="1" t="s">
        <v>1070</v>
      </c>
      <c r="B6743" s="0" t="s">
        <v>98</v>
      </c>
      <c r="E6743" s="6" t="n">
        <f aca="false">Sens!E6686</f>
        <v>16.3054059770833</v>
      </c>
      <c r="F6743" s="6" t="n">
        <f aca="false">Sens!F6686</f>
        <v>34.5793144783516</v>
      </c>
      <c r="G6743" s="6" t="n">
        <f aca="false">Sens!G6686</f>
        <v>60.7344906522989</v>
      </c>
      <c r="H6743" s="6" t="n">
        <f aca="false">Sens!H6686</f>
        <v>89.1000906614457</v>
      </c>
      <c r="I6743" s="6" t="n">
        <f aca="false">Sens!I6686</f>
        <v>114.231009694548</v>
      </c>
      <c r="J6743" s="6" t="n">
        <f aca="false">Sens!J6686</f>
        <v>132.015673049596</v>
      </c>
      <c r="K6743" s="6" t="n">
        <f aca="false">Sens!K6686</f>
        <v>143.012669550934</v>
      </c>
    </row>
    <row r="6744" customFormat="false" ht="17.15" hidden="false" customHeight="false" outlineLevel="0" collapsed="false">
      <c r="A6744" s="1" t="s">
        <v>1071</v>
      </c>
      <c r="B6744" s="0" t="s">
        <v>98</v>
      </c>
      <c r="E6744" s="6" t="n">
        <f aca="false">Sens!E6768</f>
        <v>22.2285940229167</v>
      </c>
      <c r="F6744" s="6" t="n">
        <f aca="false">Sens!F6768</f>
        <v>23.580344216413</v>
      </c>
      <c r="G6744" s="6" t="n">
        <f aca="false">Sens!G6768</f>
        <v>25.3185610849526</v>
      </c>
      <c r="H6744" s="6" t="n">
        <f aca="false">Sens!H6768</f>
        <v>27.4350693456137</v>
      </c>
      <c r="I6744" s="6" t="n">
        <f aca="false">Sens!I6768</f>
        <v>29.868562770327</v>
      </c>
      <c r="J6744" s="6" t="n">
        <f aca="false">Sens!J6768</f>
        <v>32.5405162344158</v>
      </c>
      <c r="K6744" s="6" t="n">
        <f aca="false">Sens!K6768</f>
        <v>35.3673839596959</v>
      </c>
    </row>
    <row r="6745" customFormat="false" ht="17.15" hidden="false" customHeight="false" outlineLevel="0" collapsed="false">
      <c r="A6745" s="1" t="s">
        <v>1072</v>
      </c>
      <c r="B6745" s="0" t="s">
        <v>98</v>
      </c>
      <c r="D6745" s="6" t="n">
        <f aca="false">Q!L27</f>
        <v>-4.901</v>
      </c>
      <c r="E6745" s="6" t="n">
        <f aca="false">Q!M27</f>
        <v>10.697</v>
      </c>
      <c r="F6745" s="6" t="n">
        <f aca="false">Q!$I$27+oie_f*(q_per_yr-1)/q_per_yr</f>
        <v>-0.862</v>
      </c>
      <c r="G6745" s="6" t="n">
        <f aca="false">oie_f</f>
        <v>-1.2</v>
      </c>
      <c r="H6745" s="6" t="n">
        <f aca="false">oie_f</f>
        <v>-1.2</v>
      </c>
      <c r="I6745" s="6" t="n">
        <f aca="false">oie_f</f>
        <v>-1.2</v>
      </c>
      <c r="J6745" s="6" t="n">
        <f aca="false">oie_f</f>
        <v>-1.2</v>
      </c>
      <c r="K6745" s="6" t="n">
        <f aca="false">oie_f</f>
        <v>-1.2</v>
      </c>
      <c r="L6745" s="12" t="s">
        <v>1073</v>
      </c>
    </row>
    <row r="6746" customFormat="false" ht="15" hidden="false" customHeight="false" outlineLevel="0" collapsed="false">
      <c r="A6746" s="1" t="s">
        <v>1074</v>
      </c>
      <c r="B6746" s="0" t="s">
        <v>98</v>
      </c>
      <c r="D6746" s="6" t="n">
        <f aca="false">Sens!D6738+Sens!D6745</f>
        <v>123.627</v>
      </c>
      <c r="E6746" s="6" t="n">
        <f aca="false">Sens!E6738+Sens!E6745</f>
        <v>165.934</v>
      </c>
      <c r="F6746" s="6" t="n">
        <f aca="false">Sens!F6738+Sens!F6745</f>
        <v>183.516719867786</v>
      </c>
      <c r="G6746" s="6" t="n">
        <f aca="false">Sens!G6738+Sens!G6745</f>
        <v>206.42202407388</v>
      </c>
      <c r="H6746" s="6" t="n">
        <f aca="false">Sens!H6738+Sens!H6745</f>
        <v>238.865628020285</v>
      </c>
      <c r="I6746" s="6" t="n">
        <f aca="false">Sens!I6738+Sens!I6745</f>
        <v>263.677994391108</v>
      </c>
      <c r="J6746" s="6" t="n">
        <f aca="false">Sens!J6738+Sens!J6745</f>
        <v>285.616251581678</v>
      </c>
      <c r="K6746" s="6" t="n">
        <f aca="false">Sens!K6738+Sens!K6745</f>
        <v>305.36436504594</v>
      </c>
    </row>
    <row r="6747" customFormat="false" ht="15" hidden="false" customHeight="false" outlineLevel="0" collapsed="false">
      <c r="A6747" s="1" t="s">
        <v>1075</v>
      </c>
      <c r="B6747" s="0" t="s">
        <v>98</v>
      </c>
      <c r="D6747" s="6" t="n">
        <f aca="false">Q!L29</f>
        <v>21.795</v>
      </c>
      <c r="E6747" s="6" t="n">
        <f aca="false">Q!M29</f>
        <v>32.185</v>
      </c>
      <c r="F6747" s="6" t="n">
        <f aca="false">Q!$I$29+(Sens!F6746-Q!$I$28)*tax_f</f>
        <v>36.8367439735572</v>
      </c>
      <c r="G6747" s="6" t="n">
        <f aca="false">Sens!G6746*tax_f</f>
        <v>41.284404814776</v>
      </c>
      <c r="H6747" s="6" t="n">
        <f aca="false">Sens!H6746*tax_f</f>
        <v>47.773125604057</v>
      </c>
      <c r="I6747" s="6" t="n">
        <f aca="false">Sens!I6746*tax_f</f>
        <v>52.7355988782216</v>
      </c>
      <c r="J6747" s="6" t="n">
        <f aca="false">Sens!J6746*tax_f</f>
        <v>57.1232503163356</v>
      </c>
      <c r="K6747" s="6" t="n">
        <f aca="false">Sens!K6746*tax_f</f>
        <v>61.072873009188</v>
      </c>
    </row>
    <row r="6748" customFormat="false" ht="15" hidden="false" customHeight="false" outlineLevel="0" collapsed="false">
      <c r="A6748" s="1" t="s">
        <v>1076</v>
      </c>
      <c r="B6748" s="0" t="s">
        <v>98</v>
      </c>
      <c r="D6748" s="6" t="n">
        <f aca="false">Sens!D6746-Sens!D6747</f>
        <v>101.832</v>
      </c>
      <c r="E6748" s="6" t="n">
        <f aca="false">Sens!E6746-Sens!E6747</f>
        <v>133.749</v>
      </c>
      <c r="F6748" s="6" t="n">
        <f aca="false">Sens!F6746-Sens!F6747</f>
        <v>146.679975894229</v>
      </c>
      <c r="G6748" s="6" t="n">
        <f aca="false">Sens!G6746-Sens!G6747</f>
        <v>165.137619259104</v>
      </c>
      <c r="H6748" s="6" t="n">
        <f aca="false">Sens!H6746-Sens!H6747</f>
        <v>191.092502416228</v>
      </c>
      <c r="I6748" s="6" t="n">
        <f aca="false">Sens!I6746-Sens!I6747</f>
        <v>210.942395512886</v>
      </c>
      <c r="J6748" s="6" t="n">
        <f aca="false">Sens!J6746-Sens!J6747</f>
        <v>228.493001265342</v>
      </c>
      <c r="K6748" s="6" t="n">
        <f aca="false">Sens!K6746-Sens!K6747</f>
        <v>244.291492036752</v>
      </c>
    </row>
    <row r="6749" customFormat="false" ht="17.15" hidden="false" customHeight="false" outlineLevel="0" collapsed="false">
      <c r="A6749" s="1" t="s">
        <v>1077</v>
      </c>
      <c r="B6749" s="1" t="s">
        <v>81</v>
      </c>
      <c r="D6749" s="15" t="n">
        <f aca="false">Q!L31</f>
        <v>7.465</v>
      </c>
      <c r="E6749" s="15" t="n">
        <f aca="false">Q!M31</f>
        <v>7.453</v>
      </c>
      <c r="F6749" s="15" t="n">
        <f aca="false">Sens!F6793</f>
        <v>7.47138504335353</v>
      </c>
      <c r="G6749" s="15" t="n">
        <f aca="false">Sens!G6793</f>
        <v>7.51351187141243</v>
      </c>
      <c r="H6749" s="15" t="n">
        <f aca="false">Sens!H6793</f>
        <v>7.54045359514661</v>
      </c>
      <c r="I6749" s="15" t="n">
        <f aca="false">Sens!I6793</f>
        <v>7.55213495920208</v>
      </c>
      <c r="J6749" s="15" t="n">
        <f aca="false">Sens!J6793</f>
        <v>7.56628437036455</v>
      </c>
      <c r="K6749" s="15" t="n">
        <f aca="false">Sens!K6793</f>
        <v>7.5827190103298</v>
      </c>
    </row>
    <row r="6750" customFormat="false" ht="17.15" hidden="false" customHeight="false" outlineLevel="0" collapsed="false">
      <c r="A6750" s="0" t="s">
        <v>1078</v>
      </c>
      <c r="B6750" s="0" t="s">
        <v>75</v>
      </c>
      <c r="D6750" s="8" t="n">
        <f aca="false">Sens!D6748/Sens!D6749</f>
        <v>13.641259209645</v>
      </c>
      <c r="E6750" s="8" t="n">
        <f aca="false">Sens!E6748/Sens!E6749</f>
        <v>17.9456594659869</v>
      </c>
      <c r="F6750" s="8" t="n">
        <f aca="false">Sens!F6748/Sens!F6749</f>
        <v>19.6322335207063</v>
      </c>
      <c r="G6750" s="8" t="n">
        <f aca="false">Sens!G6748/Sens!G6749</f>
        <v>21.9787526905259</v>
      </c>
      <c r="H6750" s="8" t="n">
        <f aca="false">Sens!H6748/Sens!H6749</f>
        <v>25.3423086562358</v>
      </c>
      <c r="I6750" s="8" t="n">
        <f aca="false">Sens!I6748/Sens!I6749</f>
        <v>27.9314917771509</v>
      </c>
      <c r="J6750" s="8" t="n">
        <f aca="false">Sens!J6748/Sens!J6749</f>
        <v>30.1988387008422</v>
      </c>
      <c r="K6750" s="8" t="n">
        <f aca="false">Sens!K6748/Sens!K6749</f>
        <v>32.2168725629894</v>
      </c>
      <c r="L6750" s="1" t="s">
        <v>1079</v>
      </c>
    </row>
    <row r="6751" customFormat="false" ht="17.15" hidden="false" customHeight="false" outlineLevel="0" collapsed="false">
      <c r="A6751" s="1" t="s">
        <v>1080</v>
      </c>
      <c r="B6751" s="0" t="s">
        <v>98</v>
      </c>
      <c r="D6751" s="6" t="n">
        <f aca="false">Sens!D6748</f>
        <v>101.832</v>
      </c>
      <c r="E6751" s="6" t="n">
        <f aca="false">Sens!E6748</f>
        <v>133.749</v>
      </c>
      <c r="F6751" s="6" t="n">
        <f aca="false">Sens!F6748+Sens!F6741*(1-tax_f)</f>
        <v>154.81442452206</v>
      </c>
      <c r="G6751" s="6" t="n">
        <f aca="false">Sens!G6748+Sens!G6741*(1-tax_f)</f>
        <v>186.385613367469</v>
      </c>
      <c r="H6751" s="6" t="n">
        <f aca="false">Sens!H6748+Sens!H6741*(1-tax_f)</f>
        <v>226.632594764699</v>
      </c>
      <c r="I6751" s="6" t="n">
        <f aca="false">Sens!I6748+Sens!I6741*(1-tax_f)</f>
        <v>259.333084094577</v>
      </c>
      <c r="J6751" s="6" t="n">
        <f aca="false">Sens!J6748+Sens!J6741*(1-tax_f)</f>
        <v>285.848591016951</v>
      </c>
      <c r="K6751" s="6" t="n">
        <f aca="false">Sens!K6748+Sens!K6741*(1-tax_f)</f>
        <v>306.691244521691</v>
      </c>
    </row>
    <row r="6752" customFormat="false" ht="17.15" hidden="false" customHeight="false" outlineLevel="0" collapsed="false">
      <c r="A6752" s="0" t="s">
        <v>1081</v>
      </c>
      <c r="B6752" s="0" t="s">
        <v>75</v>
      </c>
      <c r="D6752" s="8" t="n">
        <f aca="false">Sens!D6751/Sens!D6749</f>
        <v>13.641259209645</v>
      </c>
      <c r="E6752" s="8" t="n">
        <f aca="false">Sens!E6751/Sens!E6749</f>
        <v>17.9456594659869</v>
      </c>
      <c r="F6752" s="8" t="n">
        <f aca="false">Sens!F6751/Sens!F6749</f>
        <v>20.7209805978051</v>
      </c>
      <c r="G6752" s="8" t="n">
        <f aca="false">Sens!G6751/Sens!G6749</f>
        <v>24.8067237474705</v>
      </c>
      <c r="H6752" s="8" t="n">
        <f aca="false">Sens!H6751/Sens!H6749</f>
        <v>30.0555652130225</v>
      </c>
      <c r="I6752" s="8" t="n">
        <f aca="false">Sens!I6751/Sens!I6749</f>
        <v>34.3390426012695</v>
      </c>
      <c r="J6752" s="8" t="n">
        <f aca="false">Sens!J6751/Sens!J6749</f>
        <v>37.7792555797342</v>
      </c>
      <c r="K6752" s="8" t="n">
        <f aca="false">Sens!K6751/Sens!K6749</f>
        <v>40.4460779970735</v>
      </c>
      <c r="L6752" s="1" t="s">
        <v>1082</v>
      </c>
    </row>
    <row r="6753" customFormat="false" ht="17.15" hidden="false" customHeight="false" outlineLevel="0" collapsed="false">
      <c r="A6753" s="0" t="s">
        <v>1083</v>
      </c>
      <c r="B6753" s="0" t="s">
        <v>168</v>
      </c>
      <c r="E6753" s="7" t="n">
        <f aca="false">Sens!E6752/Sens!D6752-1</f>
        <v>0.315542736208578</v>
      </c>
      <c r="F6753" s="7" t="n">
        <f aca="false">Sens!F6752/Sens!E6752-1</f>
        <v>0.15465138726601</v>
      </c>
      <c r="G6753" s="7" t="n">
        <f aca="false">Sens!G6752/Sens!F6752-1</f>
        <v>0.197179044224297</v>
      </c>
      <c r="H6753" s="7" t="n">
        <f aca="false">Sens!H6752/Sens!G6752-1</f>
        <v>0.211589467395393</v>
      </c>
      <c r="I6753" s="7" t="n">
        <f aca="false">Sens!I6752/Sens!H6752-1</f>
        <v>0.142518610376725</v>
      </c>
      <c r="J6753" s="7" t="n">
        <f aca="false">Sens!J6752/Sens!I6752-1</f>
        <v>0.100183718527365</v>
      </c>
      <c r="K6753" s="7" t="n">
        <f aca="false">Sens!K6752/Sens!J6752-1</f>
        <v>0.0705895967619286</v>
      </c>
    </row>
    <row r="6754" customFormat="false" ht="17.15" hidden="false" customHeight="false" outlineLevel="0" collapsed="false">
      <c r="A6754" s="0" t="s">
        <v>1003</v>
      </c>
      <c r="B6754" s="0" t="s">
        <v>98</v>
      </c>
      <c r="E6754" s="6" t="n">
        <f aca="false">Sens!E6695</f>
        <v>5.25</v>
      </c>
      <c r="F6754" s="6" t="n">
        <f aca="false">Sens!F6695</f>
        <v>11.25</v>
      </c>
      <c r="G6754" s="6" t="n">
        <f aca="false">Sens!G6695</f>
        <v>15.75</v>
      </c>
      <c r="H6754" s="6" t="n">
        <f aca="false">Sens!H6695</f>
        <v>20.25</v>
      </c>
      <c r="I6754" s="6" t="n">
        <f aca="false">Sens!I6695</f>
        <v>23.625</v>
      </c>
      <c r="J6754" s="6" t="n">
        <f aca="false">Sens!J6695</f>
        <v>25.875</v>
      </c>
      <c r="K6754" s="6" t="n">
        <f aca="false">Sens!K6695</f>
        <v>28.125</v>
      </c>
    </row>
    <row r="6755" customFormat="false" ht="17.15" hidden="false" customHeight="false" outlineLevel="0" collapsed="false">
      <c r="A6755" s="1" t="s">
        <v>1004</v>
      </c>
      <c r="B6755" s="0" t="s">
        <v>98</v>
      </c>
      <c r="F6755" s="6" t="n">
        <f aca="false">MAX(0,((Sens!E6655+Sens!F6655)/2-(shadow_base*(Sens!$D$6655+Sens!$E$6655)/2+(1-shadow_base)*Sens!$E$6655))*Sens!F6664/1000-(Sens!F6754-Sens!$E$6754)*Sens!F6734)</f>
        <v>10.1680607847886</v>
      </c>
      <c r="G6755" s="6" t="n">
        <f aca="false">MAX(0,((Sens!F6655+Sens!G6655)/2-(shadow_base*(Sens!$D$6655+Sens!$E$6655)/2+(1-shadow_base)*Sens!$E$6655))*Sens!G6664/1000-(Sens!G6754-Sens!$E$6754)*Sens!G6734)</f>
        <v>26.5599926354558</v>
      </c>
      <c r="H6755" s="6" t="n">
        <f aca="false">MAX(0,((Sens!G6655+Sens!H6655)/2-(shadow_base*(Sens!$D$6655+Sens!$E$6655)/2+(1-shadow_base)*Sens!$E$6655))*Sens!H6664/1000-(Sens!H6754-Sens!$E$6754)*Sens!H6734)</f>
        <v>44.4251154355884</v>
      </c>
      <c r="I6755" s="6" t="n">
        <f aca="false">MAX(0,((Sens!H6655+Sens!I6655)/2-(shadow_base*(Sens!$D$6655+Sens!$E$6655)/2+(1-shadow_base)*Sens!$E$6655))*Sens!I6664/1000-(Sens!I6754-Sens!$E$6754)*Sens!I6734)</f>
        <v>60.4883607271127</v>
      </c>
      <c r="J6755" s="6" t="n">
        <f aca="false">MAX(0,((Sens!I6655+Sens!J6655)/2-(shadow_base*(Sens!$D$6655+Sens!$E$6655)/2+(1-shadow_base)*Sens!$E$6655))*Sens!J6664/1000-(Sens!J6754-Sens!$E$6754)*Sens!J6734)</f>
        <v>71.6944871895105</v>
      </c>
      <c r="K6755" s="6" t="n">
        <f aca="false">MAX(0,((Sens!J6655+Sens!K6655)/2-(shadow_base*(Sens!$D$6655+Sens!$E$6655)/2+(1-shadow_base)*Sens!$E$6655))*Sens!K6664/1000-(Sens!K6754-Sens!$E$6754)*Sens!K6734)</f>
        <v>77.999690606174</v>
      </c>
      <c r="L6755" s="1" t="s">
        <v>1005</v>
      </c>
    </row>
    <row r="6756" customFormat="false" ht="17.15" hidden="false" customHeight="false" outlineLevel="0" collapsed="false">
      <c r="A6756" s="1" t="s">
        <v>1006</v>
      </c>
      <c r="B6756" s="0" t="s">
        <v>98</v>
      </c>
      <c r="F6756" s="6" t="n">
        <f aca="false">IF(internal_ai_reading=2,1,0)*Sens!F6755</f>
        <v>10.1680607847886</v>
      </c>
      <c r="G6756" s="6" t="n">
        <f aca="false">IF(internal_ai_reading=2,1,0)*Sens!G6755</f>
        <v>26.5599926354558</v>
      </c>
      <c r="H6756" s="6" t="n">
        <f aca="false">IF(internal_ai_reading=2,1,0)*Sens!H6755</f>
        <v>44.4251154355884</v>
      </c>
      <c r="I6756" s="6" t="n">
        <f aca="false">IF(internal_ai_reading=2,1,0)*Sens!I6755</f>
        <v>60.4883607271127</v>
      </c>
      <c r="J6756" s="6" t="n">
        <f aca="false">IF(internal_ai_reading=2,1,0)*Sens!J6755</f>
        <v>71.6944871895105</v>
      </c>
      <c r="K6756" s="6" t="n">
        <f aca="false">IF(internal_ai_reading=2,1,0)*Sens!K6755</f>
        <v>77.999690606174</v>
      </c>
    </row>
    <row r="6757" customFormat="false" ht="17.15" hidden="false" customHeight="false" outlineLevel="0" collapsed="false">
      <c r="A6757" s="0" t="s">
        <v>1007</v>
      </c>
      <c r="B6757" s="0" t="s">
        <v>98</v>
      </c>
      <c r="F6757" s="6" t="n">
        <f aca="false">Sens!F6674+Sens!F6754*Sens!F6734+Sens!F6756-Sens!F6675-Sens!F6686</f>
        <v>18.5068678152817</v>
      </c>
      <c r="G6757" s="6" t="n">
        <f aca="false">Sens!G6674+Sens!G6754*Sens!G6734+Sens!G6756-Sens!G6675-Sens!G6686</f>
        <v>43.1983864982792</v>
      </c>
      <c r="H6757" s="6" t="n">
        <f aca="false">Sens!H6674+Sens!H6754*Sens!H6734+Sens!H6756-Sens!H6675-Sens!H6686</f>
        <v>73.502598356074</v>
      </c>
      <c r="I6757" s="6" t="n">
        <f aca="false">Sens!I6674+Sens!I6754*Sens!I6734+Sens!I6756-Sens!I6675-Sens!I6686</f>
        <v>94.7454135378504</v>
      </c>
      <c r="J6757" s="6" t="n">
        <f aca="false">Sens!J6674+Sens!J6754*Sens!J6734+Sens!J6756-Sens!J6675-Sens!J6686</f>
        <v>109.399608126358</v>
      </c>
      <c r="K6757" s="6" t="n">
        <f aca="false">Sens!K6674+Sens!K6754*Sens!K6734+Sens!K6756-Sens!K6675-Sens!K6686</f>
        <v>118.898703181943</v>
      </c>
    </row>
    <row r="6758" customFormat="false" ht="17.15" hidden="false" customHeight="false" outlineLevel="0" collapsed="false">
      <c r="A6758" s="0" t="s">
        <v>1008</v>
      </c>
      <c r="B6758" s="0" t="s">
        <v>98</v>
      </c>
      <c r="E6758" s="6" t="n">
        <f aca="false">Sens!E6654*(cxit_open+self_build*tk_cxfac)/1000*ai_net_open</f>
        <v>126.6980382</v>
      </c>
      <c r="F6758" s="6" t="n">
        <f aca="false">Sens!E6758+Sens!F6683-Sens!F6686</f>
        <v>260.572627763768</v>
      </c>
      <c r="G6758" s="6" t="n">
        <f aca="false">Sens!F6758+Sens!G6683-Sens!G6686</f>
        <v>391.782612760517</v>
      </c>
      <c r="H6758" s="6" t="n">
        <f aca="false">Sens!G6758+Sens!H6683-Sens!H6686</f>
        <v>499.488526163584</v>
      </c>
      <c r="I6758" s="6" t="n">
        <f aca="false">Sens!H6758+Sens!I6683-Sens!I6686</f>
        <v>553.872350090646</v>
      </c>
      <c r="J6758" s="6" t="n">
        <f aca="false">Sens!I6758+Sens!J6683-Sens!J6686</f>
        <v>550.78660823699</v>
      </c>
      <c r="K6758" s="6" t="n">
        <f aca="false">Sens!J6758+Sens!K6683-Sens!K6686</f>
        <v>526.736791750789</v>
      </c>
      <c r="L6758" s="1" t="s">
        <v>1009</v>
      </c>
    </row>
    <row r="6759" customFormat="false" ht="17.15" hidden="false" customHeight="false" outlineLevel="0" collapsed="false">
      <c r="A6759" s="0" t="s">
        <v>1010</v>
      </c>
      <c r="B6759" s="0" t="s">
        <v>168</v>
      </c>
      <c r="F6759" s="7" t="n">
        <f aca="false">Sens!F6757*(1-tax_f)/((Sens!E6758+Sens!F6758)/2)</f>
        <v>0.0764607059271074</v>
      </c>
      <c r="G6759" s="7" t="n">
        <f aca="false">Sens!G6757*(1-tax_f)/((Sens!F6758+Sens!G6758)/2)</f>
        <v>0.105950583522098</v>
      </c>
      <c r="H6759" s="7" t="n">
        <f aca="false">Sens!H6757*(1-tax_f)/((Sens!G6758+Sens!H6758)/2)</f>
        <v>0.131951044114011</v>
      </c>
      <c r="I6759" s="7" t="n">
        <f aca="false">Sens!I6757*(1-tax_f)/((Sens!H6758+Sens!I6758)/2)</f>
        <v>0.143913320760143</v>
      </c>
      <c r="J6759" s="7" t="n">
        <f aca="false">Sens!J6757*(1-tax_f)/((Sens!I6758+Sens!J6758)/2)</f>
        <v>0.158455577336889</v>
      </c>
      <c r="K6759" s="7" t="n">
        <f aca="false">Sens!K6757*(1-tax_f)/((Sens!J6758+Sens!K6758)/2)</f>
        <v>0.176551084731214</v>
      </c>
    </row>
    <row r="6760" customFormat="false" ht="17.15" hidden="false" customHeight="false" outlineLevel="0" collapsed="false">
      <c r="A6760" s="1" t="s">
        <v>1011</v>
      </c>
      <c r="B6760" s="0" t="s">
        <v>168</v>
      </c>
      <c r="F6760" s="7" t="n">
        <f aca="false">(Sens!F6757-Sens!F6756)*(1-tax_f)/((Sens!E6758+Sens!F6758)/2)</f>
        <v>0.0344515927008971</v>
      </c>
      <c r="G6760" s="7" t="n">
        <f aca="false">(Sens!G6757-Sens!G6756)*(1-tax_f)/((Sens!F6758+Sens!G6758)/2)</f>
        <v>0.0408081801552207</v>
      </c>
      <c r="H6760" s="7" t="n">
        <f aca="false">(Sens!H6757-Sens!H6756)*(1-tax_f)/((Sens!G6758+Sens!H6758)/2)</f>
        <v>0.05219957276855</v>
      </c>
      <c r="I6760" s="7" t="n">
        <f aca="false">(Sens!I6757-Sens!I6756)*(1-tax_f)/((Sens!H6758+Sens!I6758)/2)</f>
        <v>0.0520346689655782</v>
      </c>
      <c r="J6760" s="7" t="n">
        <f aca="false">(Sens!J6757-Sens!J6756)*(1-tax_f)/((Sens!I6758+Sens!J6758)/2)</f>
        <v>0.0546125055558212</v>
      </c>
      <c r="K6760" s="7" t="n">
        <f aca="false">(Sens!K6757-Sens!K6756)*(1-tax_f)/((Sens!J6758+Sens!K6758)/2)</f>
        <v>0.0607303935320308</v>
      </c>
    </row>
    <row r="6761" customFormat="false" ht="17.15" hidden="false" customHeight="false" outlineLevel="0" collapsed="false">
      <c r="A6761" s="1" t="s">
        <v>1012</v>
      </c>
      <c r="B6761" s="0" t="s">
        <v>168</v>
      </c>
      <c r="F6761" s="7" t="n">
        <f aca="false">(Sens!F6757-Sens!F6756+Sens!F6755)*(1-tax_f)/((Sens!E6758+Sens!F6758)/2)</f>
        <v>0.0764607059271074</v>
      </c>
      <c r="G6761" s="7" t="n">
        <f aca="false">(Sens!G6757-Sens!G6756+Sens!G6755)*(1-tax_f)/((Sens!F6758+Sens!G6758)/2)</f>
        <v>0.105950583522098</v>
      </c>
      <c r="H6761" s="7" t="n">
        <f aca="false">(Sens!H6757-Sens!H6756+Sens!H6755)*(1-tax_f)/((Sens!G6758+Sens!H6758)/2)</f>
        <v>0.131951044114011</v>
      </c>
      <c r="I6761" s="7" t="n">
        <f aca="false">(Sens!I6757-Sens!I6756+Sens!I6755)*(1-tax_f)/((Sens!H6758+Sens!I6758)/2)</f>
        <v>0.143913320760143</v>
      </c>
      <c r="J6761" s="7" t="n">
        <f aca="false">(Sens!J6757-Sens!J6756+Sens!J6755)*(1-tax_f)/((Sens!I6758+Sens!J6758)/2)</f>
        <v>0.158455577336889</v>
      </c>
      <c r="K6761" s="7" t="n">
        <f aca="false">(Sens!K6757-Sens!K6756+Sens!K6755)*(1-tax_f)/((Sens!J6758+Sens!K6758)/2)</f>
        <v>0.176551084731214</v>
      </c>
    </row>
    <row r="6762" customFormat="false" ht="17.15" hidden="false" customHeight="false" outlineLevel="0" collapsed="false">
      <c r="A6762" s="1" t="s">
        <v>1013</v>
      </c>
      <c r="B6762" s="0" t="s">
        <v>168</v>
      </c>
      <c r="F6762" s="7" t="n">
        <f aca="false">Sens!F6687*(1-tax_f)/(Sens!F6673*(Sens!E6758+Sens!F6758)/2)</f>
        <v>0.15471433083293</v>
      </c>
      <c r="G6762" s="7" t="n">
        <f aca="false">Sens!G6687*(1-tax_f)/(Sens!G6673*(Sens!F6758+Sens!G6758)/2)</f>
        <v>0.176916911437355</v>
      </c>
      <c r="H6762" s="7" t="n">
        <f aca="false">Sens!H6687*(1-tax_f)/(Sens!H6673*(Sens!G6758+Sens!H6758)/2)</f>
        <v>0.207487057996582</v>
      </c>
      <c r="I6762" s="7" t="n">
        <f aca="false">Sens!I6687*(1-tax_f)/(Sens!I6673*(Sens!H6758+Sens!I6758)/2)</f>
        <v>0.219873660070946</v>
      </c>
      <c r="J6762" s="7" t="n">
        <f aca="false">Sens!J6687*(1-tax_f)/(Sens!J6673*(Sens!I6758+Sens!J6758)/2)</f>
        <v>0.238959457974928</v>
      </c>
      <c r="K6762" s="7" t="n">
        <f aca="false">Sens!K6687*(1-tax_f)/(Sens!K6673*(Sens!J6758+Sens!K6758)/2)</f>
        <v>0.264604270651536</v>
      </c>
    </row>
    <row r="6763" customFormat="false" ht="17.15" hidden="false" customHeight="false" outlineLevel="0" collapsed="false">
      <c r="A6763" s="0" t="s">
        <v>1014</v>
      </c>
      <c r="B6763" s="0" t="s">
        <v>253</v>
      </c>
      <c r="F6763" s="7" t="n">
        <f aca="false">Sens!F6759-wacc</f>
        <v>-0.0264758850184899</v>
      </c>
      <c r="G6763" s="7" t="n">
        <f aca="false">Sens!G6759-wacc</f>
        <v>0.00301399257650095</v>
      </c>
      <c r="H6763" s="7" t="n">
        <f aca="false">Sens!H6759-wacc</f>
        <v>0.0290144531684132</v>
      </c>
      <c r="I6763" s="7" t="n">
        <f aca="false">Sens!I6759-wacc</f>
        <v>0.040976729814546</v>
      </c>
      <c r="J6763" s="7" t="n">
        <f aca="false">Sens!J6759-wacc</f>
        <v>0.0555189863912922</v>
      </c>
      <c r="K6763" s="7" t="n">
        <f aca="false">Sens!K6759-wacc</f>
        <v>0.0736144937856167</v>
      </c>
    </row>
    <row r="6764" customFormat="false" ht="17.15" hidden="false" customHeight="false" outlineLevel="0" collapsed="false">
      <c r="A6764" s="0" t="s">
        <v>1015</v>
      </c>
      <c r="B6764" s="0" t="s">
        <v>98</v>
      </c>
      <c r="F6764" s="6" t="n">
        <f aca="false">Sens!F6757*(1-tax_f)-wacc*(Sens!E6758+Sens!F6758)/2</f>
        <v>-5.12666681154535</v>
      </c>
      <c r="G6764" s="6" t="n">
        <f aca="false">Sens!G6757*(1-tax_f)-wacc*(Sens!F6758+Sens!G6758)/2</f>
        <v>0.983096926090845</v>
      </c>
      <c r="H6764" s="6" t="n">
        <f aca="false">Sens!H6757*(1-tax_f)-wacc*(Sens!G6758+Sens!H6758)/2</f>
        <v>12.9298723603358</v>
      </c>
      <c r="I6764" s="6" t="n">
        <f aca="false">Sens!I6757*(1-tax_f)-wacc*(Sens!H6758+Sens!I6758)/2</f>
        <v>21.5816420117415</v>
      </c>
      <c r="J6764" s="6" t="n">
        <f aca="false">Sens!J6757*(1-tax_f)-wacc*(Sens!I6758+Sens!J6758)/2</f>
        <v>30.6647728372055</v>
      </c>
      <c r="K6764" s="6" t="n">
        <f aca="false">Sens!K6757*(1-tax_f)-wacc*(Sens!J6758+Sens!K6758)/2</f>
        <v>39.6606698161285</v>
      </c>
    </row>
    <row r="6765" customFormat="false" ht="17.15" hidden="false" customHeight="false" outlineLevel="0" collapsed="false">
      <c r="A6765" s="3" t="s">
        <v>1648</v>
      </c>
    </row>
    <row r="6766" customFormat="false" ht="15" hidden="false" customHeight="false" outlineLevel="0" collapsed="false">
      <c r="A6766" s="4" t="s">
        <v>43</v>
      </c>
      <c r="B6766" s="4" t="s">
        <v>65</v>
      </c>
      <c r="C6766" s="23" t="s">
        <v>938</v>
      </c>
      <c r="D6766" s="23" t="s">
        <v>939</v>
      </c>
      <c r="E6766" s="23" t="s">
        <v>940</v>
      </c>
      <c r="F6766" s="23" t="s">
        <v>941</v>
      </c>
      <c r="G6766" s="23" t="s">
        <v>942</v>
      </c>
      <c r="H6766" s="23" t="s">
        <v>943</v>
      </c>
      <c r="I6766" s="23" t="s">
        <v>944</v>
      </c>
      <c r="J6766" s="23" t="s">
        <v>945</v>
      </c>
      <c r="K6766" s="23" t="s">
        <v>946</v>
      </c>
      <c r="L6766" s="4" t="s">
        <v>47</v>
      </c>
    </row>
    <row r="6767" customFormat="false" ht="15" hidden="false" customHeight="false" outlineLevel="0" collapsed="false">
      <c r="A6767" s="1" t="s">
        <v>1076</v>
      </c>
      <c r="B6767" s="0" t="s">
        <v>98</v>
      </c>
      <c r="F6767" s="6" t="n">
        <f aca="false">Sens!F6748</f>
        <v>146.679975894229</v>
      </c>
      <c r="G6767" s="6" t="n">
        <f aca="false">Sens!G6748</f>
        <v>165.137619259104</v>
      </c>
      <c r="H6767" s="6" t="n">
        <f aca="false">Sens!H6748</f>
        <v>191.092502416228</v>
      </c>
      <c r="I6767" s="6" t="n">
        <f aca="false">Sens!I6748</f>
        <v>210.942395512886</v>
      </c>
      <c r="J6767" s="6" t="n">
        <f aca="false">Sens!J6748</f>
        <v>228.493001265342</v>
      </c>
      <c r="K6767" s="6" t="n">
        <f aca="false">Sens!K6748</f>
        <v>244.291492036752</v>
      </c>
    </row>
    <row r="6768" customFormat="false" ht="17.15" hidden="false" customHeight="false" outlineLevel="0" collapsed="false">
      <c r="A6768" s="1" t="s">
        <v>1098</v>
      </c>
      <c r="B6768" s="0" t="s">
        <v>98</v>
      </c>
      <c r="E6768" s="6" t="n">
        <f aca="false">Q!M38-Sens!E6686</f>
        <v>22.2285940229167</v>
      </c>
      <c r="F6768" s="6" t="n">
        <f aca="false">Sens!E6768*(1-1/life_nonai)+(Sens!F6776+Sens!F6777)/life_nonai</f>
        <v>23.580344216413</v>
      </c>
      <c r="G6768" s="6" t="n">
        <f aca="false">Sens!F6768*(1-1/life_nonai)+(Sens!G6776)/life_nonai</f>
        <v>25.3185610849526</v>
      </c>
      <c r="H6768" s="6" t="n">
        <f aca="false">Sens!G6768*(1-1/life_nonai)+(Sens!H6776)/life_nonai</f>
        <v>27.4350693456137</v>
      </c>
      <c r="I6768" s="6" t="n">
        <f aca="false">Sens!H6768*(1-1/life_nonai)+(Sens!I6776)/life_nonai</f>
        <v>29.868562770327</v>
      </c>
      <c r="J6768" s="6" t="n">
        <f aca="false">Sens!I6768*(1-1/life_nonai)+(Sens!J6776)/life_nonai</f>
        <v>32.5405162344158</v>
      </c>
      <c r="K6768" s="6" t="n">
        <f aca="false">Sens!J6768*(1-1/life_nonai)+(Sens!K6776)/life_nonai</f>
        <v>35.3673839596959</v>
      </c>
      <c r="L6768" s="12" t="s">
        <v>1099</v>
      </c>
    </row>
    <row r="6769" customFormat="false" ht="17.15" hidden="false" customHeight="false" outlineLevel="0" collapsed="false">
      <c r="A6769" s="1" t="s">
        <v>1100</v>
      </c>
      <c r="B6769" s="0" t="s">
        <v>98</v>
      </c>
      <c r="F6769" s="6" t="n">
        <f aca="false">Sens!$F$6777/life_nonai*(1-1/life_nonai)^(Sens!F6649-2027)</f>
        <v>0.0219424871453228</v>
      </c>
      <c r="G6769" s="6" t="n">
        <f aca="false">Sens!$F$6777/life_nonai*(1-1/life_nonai)^(Sens!G6649-2027)</f>
        <v>0.0197482384307905</v>
      </c>
      <c r="H6769" s="6" t="n">
        <f aca="false">Sens!$F$6777/life_nonai*(1-1/life_nonai)^(Sens!H6649-2027)</f>
        <v>0.0177734145877115</v>
      </c>
      <c r="I6769" s="6" t="n">
        <f aca="false">Sens!$F$6777/life_nonai*(1-1/life_nonai)^(Sens!I6649-2027)</f>
        <v>0.0159960731289403</v>
      </c>
      <c r="J6769" s="6" t="n">
        <f aca="false">Sens!$F$6777/life_nonai*(1-1/life_nonai)^(Sens!J6649-2027)</f>
        <v>0.0143964658160463</v>
      </c>
      <c r="K6769" s="6" t="n">
        <f aca="false">Sens!$F$6777/life_nonai*(1-1/life_nonai)^(Sens!K6649-2027)</f>
        <v>0.0129568192344417</v>
      </c>
      <c r="L6769" s="1" t="s">
        <v>1101</v>
      </c>
    </row>
    <row r="6770" customFormat="false" ht="17.15" hidden="false" customHeight="false" outlineLevel="0" collapsed="false">
      <c r="A6770" s="1" t="s">
        <v>1102</v>
      </c>
      <c r="B6770" s="0" t="s">
        <v>98</v>
      </c>
      <c r="E6770" s="6" t="n">
        <f aca="false">Sens!E6686+Sens!E6768</f>
        <v>38.534</v>
      </c>
      <c r="F6770" s="6" t="n">
        <f aca="false">Sens!F6686+Sens!F6768</f>
        <v>58.1596586947647</v>
      </c>
      <c r="G6770" s="6" t="n">
        <f aca="false">Sens!G6686+Sens!G6768</f>
        <v>86.0530517372515</v>
      </c>
      <c r="H6770" s="6" t="n">
        <f aca="false">Sens!H6686+Sens!H6768</f>
        <v>116.535160007059</v>
      </c>
      <c r="I6770" s="6" t="n">
        <f aca="false">Sens!I6686+Sens!I6768</f>
        <v>144.099572464875</v>
      </c>
      <c r="J6770" s="6" t="n">
        <f aca="false">Sens!J6686+Sens!J6768</f>
        <v>164.556189284012</v>
      </c>
      <c r="K6770" s="6" t="n">
        <f aca="false">Sens!K6686+Sens!K6768</f>
        <v>178.38005351063</v>
      </c>
    </row>
    <row r="6771" customFormat="false" ht="17.15" hidden="false" customHeight="false" outlineLevel="0" collapsed="false">
      <c r="A6771" s="1" t="s">
        <v>1103</v>
      </c>
      <c r="B6771" s="0" t="s">
        <v>98</v>
      </c>
      <c r="F6771" s="6" t="n">
        <f aca="false">Sens!F6713*sbc_r</f>
        <v>15.0038282901234</v>
      </c>
      <c r="G6771" s="6" t="n">
        <f aca="false">Sens!G6713*sbc_r</f>
        <v>18.1539438604356</v>
      </c>
      <c r="H6771" s="6" t="n">
        <f aca="false">Sens!H6713*sbc_r</f>
        <v>21.5584465232281</v>
      </c>
      <c r="I6771" s="6" t="n">
        <f aca="false">Sens!I6713*sbc_r</f>
        <v>24.4743830130317</v>
      </c>
      <c r="J6771" s="6" t="n">
        <f aca="false">Sens!J6713*sbc_r</f>
        <v>26.8387616667375</v>
      </c>
      <c r="K6771" s="6" t="n">
        <f aca="false">Sens!K6713*sbc_r</f>
        <v>28.7027383678924</v>
      </c>
    </row>
    <row r="6772" customFormat="false" ht="17.15" hidden="false" customHeight="false" outlineLevel="0" collapsed="false">
      <c r="A6772" s="1" t="s">
        <v>1104</v>
      </c>
      <c r="B6772" s="0" t="s">
        <v>98</v>
      </c>
      <c r="F6772" s="6" t="n">
        <f aca="false">wc27-wc26q1</f>
        <v>-4.677</v>
      </c>
      <c r="G6772" s="6" t="n">
        <f aca="false">wc_f</f>
        <v>0</v>
      </c>
      <c r="H6772" s="6" t="n">
        <f aca="false">wc_f</f>
        <v>0</v>
      </c>
      <c r="I6772" s="6" t="n">
        <f aca="false">wc_f</f>
        <v>0</v>
      </c>
      <c r="J6772" s="6" t="n">
        <f aca="false">wc_f</f>
        <v>0</v>
      </c>
      <c r="K6772" s="6" t="n">
        <f aca="false">wc_f</f>
        <v>0</v>
      </c>
      <c r="L6772" s="12" t="s">
        <v>1105</v>
      </c>
    </row>
    <row r="6773" customFormat="false" ht="17.15" hidden="false" customHeight="false" outlineLevel="0" collapsed="false">
      <c r="A6773" s="0" t="s">
        <v>1106</v>
      </c>
      <c r="B6773" s="0" t="s">
        <v>98</v>
      </c>
      <c r="F6773" s="6" t="n">
        <f aca="false">Q!$I$35-Q!$I$26-Q!$I$38-Q!$I$39</f>
        <v>6.493</v>
      </c>
      <c r="L6773" s="1" t="s">
        <v>1107</v>
      </c>
    </row>
    <row r="6774" customFormat="false" ht="15" hidden="false" customHeight="false" outlineLevel="0" collapsed="false">
      <c r="A6774" s="1" t="s">
        <v>904</v>
      </c>
      <c r="B6774" s="0" t="s">
        <v>98</v>
      </c>
      <c r="E6774" s="6" t="n">
        <f aca="false">Q!M35</f>
        <v>182.935</v>
      </c>
      <c r="F6774" s="6" t="n">
        <f aca="false">Sens!F6767+Sens!F6770+Sens!F6771+Sens!F6772+Sens!F6773</f>
        <v>221.659462879117</v>
      </c>
      <c r="G6774" s="6" t="n">
        <f aca="false">Sens!G6767+Sens!G6770+Sens!G6771+Sens!G6772</f>
        <v>269.344614856791</v>
      </c>
      <c r="H6774" s="6" t="n">
        <f aca="false">Sens!H6767+Sens!H6770+Sens!H6771+Sens!H6772</f>
        <v>329.186108946515</v>
      </c>
      <c r="I6774" s="6" t="n">
        <f aca="false">Sens!I6767+Sens!I6770+Sens!I6771+Sens!I6772</f>
        <v>379.516350990793</v>
      </c>
      <c r="J6774" s="6" t="n">
        <f aca="false">Sens!J6767+Sens!J6770+Sens!J6771+Sens!J6772</f>
        <v>419.887952216092</v>
      </c>
      <c r="K6774" s="6" t="n">
        <f aca="false">Sens!K6767+Sens!K6770+Sens!K6771+Sens!K6772</f>
        <v>451.374283915274</v>
      </c>
    </row>
    <row r="6775" customFormat="false" ht="17.15" hidden="false" customHeight="false" outlineLevel="0" collapsed="false">
      <c r="A6775" s="0" t="s">
        <v>1108</v>
      </c>
      <c r="B6775" s="0" t="s">
        <v>98</v>
      </c>
      <c r="F6775" s="6" t="n">
        <f aca="false">Sens!F6683</f>
        <v>168.45390404212</v>
      </c>
      <c r="G6775" s="6" t="n">
        <f aca="false">Sens!G6683</f>
        <v>191.944475649048</v>
      </c>
      <c r="H6775" s="6" t="n">
        <f aca="false">Sens!H6683</f>
        <v>196.806004064512</v>
      </c>
      <c r="I6775" s="6" t="n">
        <f aca="false">Sens!I6683</f>
        <v>168.61483362161</v>
      </c>
      <c r="J6775" s="6" t="n">
        <f aca="false">Sens!J6683</f>
        <v>128.92993119594</v>
      </c>
      <c r="K6775" s="6" t="n">
        <f aca="false">Sens!K6683</f>
        <v>118.962853064733</v>
      </c>
    </row>
    <row r="6776" customFormat="false" ht="17.15" hidden="false" customHeight="false" outlineLevel="0" collapsed="false">
      <c r="A6776" s="1" t="s">
        <v>1109</v>
      </c>
      <c r="B6776" s="0" t="s">
        <v>98</v>
      </c>
      <c r="E6776" s="6" t="n">
        <f aca="false">Sens!E6691*cx_azo+Sens!E6698*cx_m365+Sens!E6699*cx_lic+(Sens!E6701+Sens!E6703)*cx_ind+Sens!E6706*cx_srch+(Sens!E6708+Sens!E6710)*cx_dev</f>
        <v>30.1846587067718</v>
      </c>
      <c r="F6776" s="6" t="n">
        <f aca="false">Sens!F6691*cx_azo+Sens!F6698*cx_m365+Sens!F6699*cx_lic+(Sens!F6701+Sens!F6703)*cx_ind+Sens!F6706*cx_srch+(Sens!F6708+Sens!F6710)*cx_dev</f>
        <v>35.5266710864272</v>
      </c>
      <c r="G6776" s="6" t="n">
        <f aca="false">Sens!G6691*cx_azo+Sens!G6698*cx_m365+Sens!G6699*cx_lic+(Sens!G6701+Sens!G6703)*cx_ind+Sens!G6706*cx_srch+(Sens!G6708+Sens!G6710)*cx_dev</f>
        <v>40.9625129018086</v>
      </c>
      <c r="H6776" s="6" t="n">
        <f aca="false">Sens!H6691*cx_azo+Sens!H6698*cx_m365+Sens!H6699*cx_lic+(Sens!H6701+Sens!H6703)*cx_ind+Sens!H6706*cx_srch+(Sens!H6708+Sens!H6710)*cx_dev</f>
        <v>46.4836436915639</v>
      </c>
      <c r="I6776" s="6" t="n">
        <f aca="false">Sens!I6691*cx_azo+Sens!I6698*cx_m365+Sens!I6699*cx_lic+(Sens!I6701+Sens!I6703)*cx_ind+Sens!I6706*cx_srch+(Sens!I6708+Sens!I6710)*cx_dev</f>
        <v>51.7700035927468</v>
      </c>
      <c r="J6776" s="6" t="n">
        <f aca="false">Sens!J6691*cx_azo+Sens!J6698*cx_m365+Sens!J6699*cx_lic+(Sens!J6701+Sens!J6703)*cx_ind+Sens!J6706*cx_srch+(Sens!J6708+Sens!J6710)*cx_dev</f>
        <v>56.5880974112149</v>
      </c>
      <c r="K6776" s="6" t="n">
        <f aca="false">Sens!K6691*cx_azo+Sens!K6698*cx_m365+Sens!K6699*cx_lic+(Sens!K6701+Sens!K6703)*cx_ind+Sens!K6706*cx_srch+(Sens!K6708+Sens!K6710)*cx_dev</f>
        <v>60.8091934872162</v>
      </c>
    </row>
    <row r="6777" customFormat="false" ht="17.15" hidden="false" customHeight="false" outlineLevel="0" collapsed="false">
      <c r="A6777" s="0" t="s">
        <v>1110</v>
      </c>
      <c r="B6777" s="0" t="s">
        <v>98</v>
      </c>
      <c r="F6777" s="6" t="n">
        <f aca="false">Sens!F6681</f>
        <v>0.219424871453228</v>
      </c>
      <c r="L6777" s="1" t="s">
        <v>1111</v>
      </c>
    </row>
    <row r="6778" customFormat="false" ht="17.15" hidden="false" customHeight="false" outlineLevel="0" collapsed="false">
      <c r="A6778" s="1" t="s">
        <v>1112</v>
      </c>
      <c r="B6778" s="0" t="s">
        <v>98</v>
      </c>
      <c r="E6778" s="6" t="n">
        <f aca="false">Q!M43</f>
        <v>145.3</v>
      </c>
      <c r="F6778" s="6" t="n">
        <f aca="false">Sens!F6775+Sens!F6776+Sens!F6777</f>
        <v>204.2</v>
      </c>
      <c r="G6778" s="6" t="n">
        <f aca="false">Sens!G6775+Sens!G6776</f>
        <v>232.906988550857</v>
      </c>
      <c r="H6778" s="6" t="n">
        <f aca="false">Sens!H6775+Sens!H6776</f>
        <v>243.289647756076</v>
      </c>
      <c r="I6778" s="6" t="n">
        <f aca="false">Sens!I6775+Sens!I6776</f>
        <v>220.384837214357</v>
      </c>
      <c r="J6778" s="6" t="n">
        <f aca="false">Sens!J6775+Sens!J6776</f>
        <v>185.518028607155</v>
      </c>
      <c r="K6778" s="6" t="n">
        <f aca="false">Sens!K6775+Sens!K6776</f>
        <v>179.772046551949</v>
      </c>
      <c r="L6778" s="1" t="s">
        <v>1113</v>
      </c>
    </row>
    <row r="6779" customFormat="false" ht="15" hidden="false" customHeight="false" outlineLevel="0" collapsed="false">
      <c r="A6779" s="1" t="s">
        <v>1114</v>
      </c>
      <c r="B6779" s="0" t="s">
        <v>98</v>
      </c>
      <c r="E6779" s="6" t="n">
        <f aca="false">fl_liab</f>
        <v>66.594</v>
      </c>
      <c r="F6779" s="6" t="n">
        <f aca="false">Sens!E6779-Sens!F6780</f>
        <v>62.46973</v>
      </c>
      <c r="G6779" s="6" t="n">
        <f aca="false">Sens!F6779-Sens!G6780</f>
        <v>57.98686785</v>
      </c>
      <c r="H6779" s="6" t="n">
        <f aca="false">Sens!G6779-Sens!H6780</f>
        <v>53.92827690325</v>
      </c>
      <c r="I6779" s="6" t="n">
        <f aca="false">Sens!H6779-Sens!I6780</f>
        <v>49.7850493638962</v>
      </c>
      <c r="J6779" s="6" t="n">
        <f aca="false">Sens!I6779-Sens!J6780</f>
        <v>45.4823765852716</v>
      </c>
      <c r="K6779" s="6" t="n">
        <f aca="false">Sens!J6779-Sens!K6780</f>
        <v>40.9860835316088</v>
      </c>
    </row>
    <row r="6780" customFormat="false" ht="15" hidden="false" customHeight="false" outlineLevel="0" collapsed="false">
      <c r="A6780" s="1" t="s">
        <v>1115</v>
      </c>
      <c r="B6780" s="0" t="s">
        <v>98</v>
      </c>
      <c r="F6780" s="6" t="n">
        <f aca="false">fl_pay_27-Sens!E6779*fl_rate</f>
        <v>4.12427</v>
      </c>
      <c r="G6780" s="6" t="n">
        <f aca="false">fl_pay_28-Sens!F6779*fl_rate</f>
        <v>4.48286215</v>
      </c>
      <c r="H6780" s="6" t="n">
        <f aca="false">fl_pay_29-Sens!G6779*fl_rate</f>
        <v>4.05859094675</v>
      </c>
      <c r="I6780" s="6" t="n">
        <f aca="false">fl_pay_30-Sens!H6779*fl_rate</f>
        <v>4.14322753935375</v>
      </c>
      <c r="J6780" s="6" t="n">
        <f aca="false">fl_pay_31-Sens!I6779*fl_rate</f>
        <v>4.30267277862467</v>
      </c>
      <c r="K6780" s="6" t="n">
        <f aca="false">fl_pay_32-Sens!J6779*fl_rate</f>
        <v>4.49629305366278</v>
      </c>
    </row>
    <row r="6781" customFormat="false" ht="17.15" hidden="false" customHeight="false" outlineLevel="0" collapsed="false">
      <c r="A6781" s="1" t="s">
        <v>1116</v>
      </c>
      <c r="B6781" s="0" t="s">
        <v>98</v>
      </c>
      <c r="E6781" s="6" t="n">
        <f aca="false">Q!M35-Q!M36-Q!M44</f>
        <v>63.886</v>
      </c>
      <c r="F6781" s="6" t="n">
        <f aca="false">Sens!F6774-Sens!F6778-Sens!F6780</f>
        <v>13.335192879117</v>
      </c>
      <c r="G6781" s="6" t="n">
        <f aca="false">Sens!G6774-Sens!G6778-Sens!G6780</f>
        <v>31.9547641559342</v>
      </c>
      <c r="H6781" s="6" t="n">
        <f aca="false">Sens!H6774-Sens!H6778-Sens!H6780</f>
        <v>81.8378702436891</v>
      </c>
      <c r="I6781" s="6" t="n">
        <f aca="false">Sens!I6774-Sens!I6778-Sens!I6780</f>
        <v>154.988286237083</v>
      </c>
      <c r="J6781" s="6" t="n">
        <f aca="false">Sens!J6774-Sens!J6778-Sens!J6780</f>
        <v>230.067250830312</v>
      </c>
      <c r="K6781" s="6" t="n">
        <f aca="false">Sens!K6774-Sens!K6778-Sens!K6780</f>
        <v>267.105944309663</v>
      </c>
      <c r="L6781" s="12" t="s">
        <v>1117</v>
      </c>
    </row>
    <row r="6782" customFormat="false" ht="15" hidden="false" customHeight="false" outlineLevel="0" collapsed="false">
      <c r="A6782" s="1" t="s">
        <v>1118</v>
      </c>
      <c r="B6782" s="0" t="s">
        <v>75</v>
      </c>
      <c r="F6782" s="8" t="n">
        <f aca="false">dps_27</f>
        <v>3.85</v>
      </c>
      <c r="G6782" s="8" t="n">
        <f aca="false">Sens!F6782*(1+dps_g)</f>
        <v>4.158</v>
      </c>
      <c r="H6782" s="8" t="n">
        <f aca="false">Sens!G6782*(1+dps_g)</f>
        <v>4.49064</v>
      </c>
      <c r="I6782" s="8" t="n">
        <f aca="false">Sens!H6782*(1+dps_g)</f>
        <v>4.8498912</v>
      </c>
      <c r="J6782" s="8" t="n">
        <f aca="false">Sens!I6782*(1+dps_g)</f>
        <v>5.237882496</v>
      </c>
      <c r="K6782" s="8" t="n">
        <f aca="false">Sens!J6782*(1+dps_g)</f>
        <v>5.65691309568</v>
      </c>
    </row>
    <row r="6783" customFormat="false" ht="17.15" hidden="false" customHeight="false" outlineLevel="0" collapsed="false">
      <c r="A6783" s="1" t="s">
        <v>1119</v>
      </c>
      <c r="B6783" s="0" t="s">
        <v>98</v>
      </c>
      <c r="E6783" s="6" t="n">
        <f aca="false">Q!M41</f>
        <v>26.445</v>
      </c>
      <c r="F6783" s="6" t="n">
        <f aca="false">Sens!F6782*Sens!E6792</f>
        <v>28.59395</v>
      </c>
      <c r="G6783" s="6" t="n">
        <f aca="false">Sens!G6782*Sens!F6792</f>
        <v>31.0509880205279</v>
      </c>
      <c r="H6783" s="6" t="n">
        <f aca="false">Sens!H6782*Sens!G6792</f>
        <v>33.7303361183089</v>
      </c>
      <c r="I6783" s="6" t="n">
        <f aca="false">Sens!I6782*Sens!H6792</f>
        <v>36.4792012848462</v>
      </c>
      <c r="J6783" s="6" t="n">
        <f aca="false">Sens!J6782*Sens!I6792</f>
        <v>39.4654352730266</v>
      </c>
      <c r="K6783" s="6" t="n">
        <f aca="false">Sens!K6782*Sens!J6792</f>
        <v>42.7094243572469</v>
      </c>
      <c r="L6783" s="1" t="s">
        <v>1120</v>
      </c>
    </row>
    <row r="6784" customFormat="false" ht="15" hidden="false" customHeight="false" outlineLevel="0" collapsed="false">
      <c r="A6784" s="1" t="s">
        <v>1121</v>
      </c>
      <c r="B6784" s="0" t="s">
        <v>98</v>
      </c>
      <c r="E6784" s="6" t="n">
        <f aca="false">Sens!E6781-Sens!E6783</f>
        <v>37.441</v>
      </c>
      <c r="F6784" s="6" t="n">
        <f aca="false">Sens!F6781-Sens!F6783</f>
        <v>-15.258757120883</v>
      </c>
      <c r="G6784" s="6" t="n">
        <f aca="false">Sens!G6781-Sens!G6783</f>
        <v>0.903776135406272</v>
      </c>
      <c r="H6784" s="6" t="n">
        <f aca="false">Sens!H6781-Sens!H6783</f>
        <v>48.1075341253802</v>
      </c>
      <c r="I6784" s="6" t="n">
        <f aca="false">Sens!I6781-Sens!I6783</f>
        <v>118.509084952236</v>
      </c>
      <c r="J6784" s="6" t="n">
        <f aca="false">Sens!J6781-Sens!J6783</f>
        <v>190.601815557285</v>
      </c>
      <c r="K6784" s="6" t="n">
        <f aca="false">Sens!K6781-Sens!K6783</f>
        <v>224.396519952416</v>
      </c>
    </row>
    <row r="6785" customFormat="false" ht="15" hidden="false" customHeight="false" outlineLevel="0" collapsed="false">
      <c r="A6785" s="1" t="s">
        <v>1122</v>
      </c>
      <c r="B6785" s="0" t="s">
        <v>98</v>
      </c>
      <c r="F6785" s="6" t="n">
        <f aca="false">debt_mat_27</f>
        <v>9.25</v>
      </c>
      <c r="G6785" s="6" t="n">
        <f aca="false">debt_mat_28</f>
        <v>0</v>
      </c>
      <c r="H6785" s="6" t="n">
        <f aca="false">debt_mat_29</f>
        <v>2.001</v>
      </c>
      <c r="I6785" s="6" t="n">
        <f aca="false">debt_mat_30</f>
        <v>0</v>
      </c>
      <c r="J6785" s="6" t="n">
        <f aca="false">debt_mat_31</f>
        <v>0.5</v>
      </c>
      <c r="K6785" s="6" t="n">
        <f aca="false">debt_mat_32</f>
        <v>0</v>
      </c>
    </row>
    <row r="6786" customFormat="false" ht="15" hidden="false" customHeight="false" outlineLevel="0" collapsed="false">
      <c r="A6786" s="1" t="s">
        <v>1123</v>
      </c>
      <c r="B6786" s="0" t="s">
        <v>98</v>
      </c>
      <c r="E6786" s="6" t="n">
        <f aca="false">Q!M40</f>
        <v>22.271</v>
      </c>
      <c r="F6786" s="6" t="n">
        <f aca="false">MAX(0,MIN(bb_target,Sens!E6788+Sens!F6784-Sens!F6785-min_cash))</f>
        <v>2.33424287911701</v>
      </c>
      <c r="G6786" s="6" t="n">
        <f aca="false">MAX(0,MIN(bb_target,Sens!F6788+Sens!G6784-Sens!G6785-min_cash))</f>
        <v>0.903776135406275</v>
      </c>
      <c r="H6786" s="6" t="n">
        <f aca="false">MAX(0,MIN(bb_target,Sens!G6788+Sens!H6784-Sens!H6785-min_cash))</f>
        <v>22.271</v>
      </c>
      <c r="I6786" s="6" t="n">
        <f aca="false">MAX(0,MIN(bb_target,Sens!H6788+Sens!I6784-Sens!I6785-min_cash))</f>
        <v>22.271</v>
      </c>
      <c r="J6786" s="6" t="n">
        <f aca="false">MAX(0,MIN(bb_target,Sens!I6788+Sens!J6784-Sens!J6785-min_cash))</f>
        <v>22.271</v>
      </c>
      <c r="K6786" s="6" t="n">
        <f aca="false">MAX(0,MIN(bb_target,Sens!J6788+Sens!K6784-Sens!K6785-min_cash))</f>
        <v>22.271</v>
      </c>
    </row>
    <row r="6787" customFormat="false" ht="15" hidden="false" customHeight="false" outlineLevel="0" collapsed="false">
      <c r="A6787" s="1" t="s">
        <v>1124</v>
      </c>
      <c r="B6787" s="0" t="s">
        <v>98</v>
      </c>
      <c r="F6787" s="6" t="n">
        <f aca="false">MAX(0,min_cash-(Sens!E6788+Sens!F6784-Sens!F6785-Sens!F6786))</f>
        <v>0</v>
      </c>
      <c r="G6787" s="6" t="n">
        <f aca="false">MAX(0,min_cash-(Sens!F6788+Sens!G6784-Sens!G6785-Sens!G6786))</f>
        <v>0</v>
      </c>
      <c r="H6787" s="6" t="n">
        <f aca="false">MAX(0,min_cash-(Sens!G6788+Sens!H6784-Sens!H6785-Sens!H6786))</f>
        <v>0</v>
      </c>
      <c r="I6787" s="6" t="n">
        <f aca="false">MAX(0,min_cash-(Sens!H6788+Sens!I6784-Sens!I6785-Sens!I6786))</f>
        <v>0</v>
      </c>
      <c r="J6787" s="6" t="n">
        <f aca="false">MAX(0,min_cash-(Sens!I6788+Sens!J6784-Sens!J6785-Sens!J6786))</f>
        <v>0</v>
      </c>
      <c r="K6787" s="6" t="n">
        <f aca="false">MAX(0,min_cash-(Sens!J6788+Sens!K6784-Sens!K6785-Sens!K6786))</f>
        <v>0</v>
      </c>
    </row>
    <row r="6788" customFormat="false" ht="15" hidden="false" customHeight="false" outlineLevel="0" collapsed="false">
      <c r="A6788" s="1" t="s">
        <v>1125</v>
      </c>
      <c r="B6788" s="0" t="s">
        <v>98</v>
      </c>
      <c r="E6788" s="6" t="n">
        <f aca="false">cash_open</f>
        <v>76.843</v>
      </c>
      <c r="F6788" s="6" t="n">
        <f aca="false">Sens!E6788+Sens!F6784-Sens!F6785-Sens!F6786+Sens!F6787</f>
        <v>50</v>
      </c>
      <c r="G6788" s="6" t="n">
        <f aca="false">Sens!F6788+Sens!G6784-Sens!G6785-Sens!G6786+Sens!G6787</f>
        <v>50</v>
      </c>
      <c r="H6788" s="6" t="n">
        <f aca="false">Sens!G6788+Sens!H6784-Sens!H6785-Sens!H6786+Sens!H6787</f>
        <v>73.8355341253802</v>
      </c>
      <c r="I6788" s="6" t="n">
        <f aca="false">Sens!H6788+Sens!I6784-Sens!I6785-Sens!I6786+Sens!I6787</f>
        <v>170.073619077616</v>
      </c>
      <c r="J6788" s="6" t="n">
        <f aca="false">Sens!I6788+Sens!J6784-Sens!J6785-Sens!J6786+Sens!J6787</f>
        <v>337.904434634902</v>
      </c>
      <c r="K6788" s="6" t="n">
        <f aca="false">Sens!J6788+Sens!K6784-Sens!K6785-Sens!K6786+Sens!K6787</f>
        <v>540.029954587317</v>
      </c>
    </row>
    <row r="6789" customFormat="false" ht="15" hidden="false" customHeight="false" outlineLevel="0" collapsed="false">
      <c r="A6789" s="1" t="s">
        <v>1126</v>
      </c>
      <c r="B6789" s="0" t="s">
        <v>98</v>
      </c>
      <c r="E6789" s="6" t="n">
        <f aca="false">debt_face</f>
        <v>46.136</v>
      </c>
      <c r="F6789" s="6" t="n">
        <f aca="false">Sens!E6789-Sens!F6785+Sens!F6787</f>
        <v>36.886</v>
      </c>
      <c r="G6789" s="6" t="n">
        <f aca="false">Sens!F6789-Sens!G6785+Sens!G6787</f>
        <v>36.886</v>
      </c>
      <c r="H6789" s="6" t="n">
        <f aca="false">Sens!G6789-Sens!H6785+Sens!H6787</f>
        <v>34.885</v>
      </c>
      <c r="I6789" s="6" t="n">
        <f aca="false">Sens!H6789-Sens!I6785+Sens!I6787</f>
        <v>34.885</v>
      </c>
      <c r="J6789" s="6" t="n">
        <f aca="false">Sens!I6789-Sens!J6785+Sens!J6787</f>
        <v>34.385</v>
      </c>
      <c r="K6789" s="6" t="n">
        <f aca="false">Sens!J6789-Sens!K6785+Sens!K6787</f>
        <v>34.385</v>
      </c>
    </row>
    <row r="6790" customFormat="false" ht="15" hidden="false" customHeight="false" outlineLevel="0" collapsed="false">
      <c r="A6790" s="1" t="s">
        <v>1127</v>
      </c>
      <c r="B6790" s="0" t="s">
        <v>98</v>
      </c>
      <c r="E6790" s="6" t="n">
        <f aca="false">Sens!E6788-Sens!E6789</f>
        <v>30.707</v>
      </c>
      <c r="F6790" s="6" t="n">
        <f aca="false">Sens!F6788-Sens!F6789</f>
        <v>13.114</v>
      </c>
      <c r="G6790" s="6" t="n">
        <f aca="false">Sens!G6788-Sens!G6789</f>
        <v>13.114</v>
      </c>
      <c r="H6790" s="6" t="n">
        <f aca="false">Sens!H6788-Sens!H6789</f>
        <v>38.9505341253802</v>
      </c>
      <c r="I6790" s="6" t="n">
        <f aca="false">Sens!I6788-Sens!I6789</f>
        <v>135.188619077616</v>
      </c>
      <c r="J6790" s="6" t="n">
        <f aca="false">Sens!J6788-Sens!J6789</f>
        <v>303.519434634902</v>
      </c>
      <c r="K6790" s="6" t="n">
        <f aca="false">Sens!K6788-Sens!K6789</f>
        <v>505.644954587317</v>
      </c>
    </row>
    <row r="6791" customFormat="false" ht="15" hidden="false" customHeight="false" outlineLevel="0" collapsed="false">
      <c r="A6791" s="1" t="s">
        <v>1128</v>
      </c>
      <c r="B6791" s="0" t="s">
        <v>75</v>
      </c>
      <c r="F6791" s="30" t="n">
        <f aca="false">px*(1+bb_g)^(Sens!F6649-base_fy-mid_yr)</f>
        <v>551.84177959629</v>
      </c>
      <c r="G6791" s="30" t="n">
        <f aca="false">px*(1+bb_g)^(Sens!G6649-base_fy-mid_yr)</f>
        <v>595.989121963993</v>
      </c>
      <c r="H6791" s="30" t="n">
        <f aca="false">px*(1+bb_g)^(Sens!H6649-base_fy-mid_yr)</f>
        <v>643.668251721112</v>
      </c>
      <c r="I6791" s="30" t="n">
        <f aca="false">px*(1+bb_g)^(Sens!I6649-base_fy-mid_yr)</f>
        <v>695.161711858801</v>
      </c>
      <c r="J6791" s="30" t="n">
        <f aca="false">px*(1+bb_g)^(Sens!J6649-base_fy-mid_yr)</f>
        <v>750.774648807506</v>
      </c>
      <c r="K6791" s="30" t="n">
        <f aca="false">px*(1+bb_g)^(Sens!K6649-base_fy-mid_yr)</f>
        <v>810.836620712106</v>
      </c>
    </row>
    <row r="6792" customFormat="false" ht="15" hidden="false" customHeight="false" outlineLevel="0" collapsed="false">
      <c r="A6792" s="1" t="s">
        <v>1129</v>
      </c>
      <c r="B6792" s="1" t="s">
        <v>81</v>
      </c>
      <c r="E6792" s="15" t="n">
        <f aca="false">sh_out26</f>
        <v>7.427</v>
      </c>
      <c r="F6792" s="15" t="n">
        <f aca="false">Sens!E6792+sh_iss-Sens!F6786/Sens!F6791</f>
        <v>7.46777008670705</v>
      </c>
      <c r="G6792" s="15" t="n">
        <f aca="false">Sens!F6792+sh_iss-Sens!G6786/Sens!G6791</f>
        <v>7.5112536561178</v>
      </c>
      <c r="H6792" s="15" t="n">
        <f aca="false">Sens!G6792+sh_iss-Sens!H6786/Sens!H6791</f>
        <v>7.52165353417541</v>
      </c>
      <c r="I6792" s="15" t="n">
        <f aca="false">Sens!H6792+sh_iss-Sens!I6786/Sens!I6791</f>
        <v>7.53461638422874</v>
      </c>
      <c r="J6792" s="15" t="n">
        <f aca="false">Sens!I6792+sh_iss-Sens!J6786/Sens!J6791</f>
        <v>7.54995235650035</v>
      </c>
      <c r="K6792" s="15" t="n">
        <f aca="false">Sens!J6792+sh_iss-Sens!K6786/Sens!K6791</f>
        <v>7.56748566415925</v>
      </c>
    </row>
    <row r="6793" customFormat="false" ht="15" hidden="false" customHeight="false" outlineLevel="0" collapsed="false">
      <c r="A6793" s="1" t="s">
        <v>1130</v>
      </c>
      <c r="B6793" s="1" t="s">
        <v>81</v>
      </c>
      <c r="E6793" s="15" t="n">
        <f aca="false">sh_dil26</f>
        <v>7.453</v>
      </c>
      <c r="F6793" s="15" t="n">
        <f aca="false">(Sens!E6792+Sens!F6792)/2+dil_gap</f>
        <v>7.47138504335353</v>
      </c>
      <c r="G6793" s="15" t="n">
        <f aca="false">(Sens!F6792+Sens!G6792)/2+dil_gap</f>
        <v>7.51351187141243</v>
      </c>
      <c r="H6793" s="15" t="n">
        <f aca="false">(Sens!G6792+Sens!H6792)/2+dil_gap</f>
        <v>7.54045359514661</v>
      </c>
      <c r="I6793" s="15" t="n">
        <f aca="false">(Sens!H6792+Sens!I6792)/2+dil_gap</f>
        <v>7.55213495920208</v>
      </c>
      <c r="J6793" s="15" t="n">
        <f aca="false">(Sens!I6792+Sens!J6792)/2+dil_gap</f>
        <v>7.56628437036455</v>
      </c>
      <c r="K6793" s="15" t="n">
        <f aca="false">(Sens!J6792+Sens!K6792)/2+dil_gap</f>
        <v>7.5827190103298</v>
      </c>
    </row>
    <row r="6794" customFormat="false" ht="17.15" hidden="false" customHeight="false" outlineLevel="0" collapsed="false">
      <c r="A6794" s="1" t="s">
        <v>1131</v>
      </c>
      <c r="B6794" s="0" t="s">
        <v>98</v>
      </c>
      <c r="C6794" s="6" t="n">
        <f aca="false">SUM(Sens!F6784:J6784)</f>
        <v>342.863453649425</v>
      </c>
    </row>
    <row r="6795" customFormat="false" ht="15" hidden="false" customHeight="false" outlineLevel="0" collapsed="false">
      <c r="A6795" s="26" t="s">
        <v>1096</v>
      </c>
      <c r="B6795" s="31" t="s">
        <v>98</v>
      </c>
      <c r="C6795" s="27" t="n">
        <f aca="false">Sens!$C$6794-(Sens!F6784+Sens!G6784+Sens!H6784+Sens!I6784+Sens!J6784)</f>
        <v>0</v>
      </c>
      <c r="D6795" s="31"/>
      <c r="E6795" s="31"/>
      <c r="F6795" s="31"/>
      <c r="G6795" s="31"/>
      <c r="H6795" s="31"/>
      <c r="I6795" s="31"/>
      <c r="J6795" s="31"/>
      <c r="K6795" s="31"/>
    </row>
    <row r="6796" customFormat="false" ht="17.15" hidden="false" customHeight="false" outlineLevel="0" collapsed="false">
      <c r="A6796" s="1" t="s">
        <v>1090</v>
      </c>
      <c r="B6796" s="1" t="s">
        <v>1132</v>
      </c>
      <c r="C6796" s="33" t="str">
        <f aca="false">IF(SUM(Sens!F6787:J6787)&gt;0.05,"需要舉債 "&amp;TEXT(SUM(Sens!F6787:J6787),"0.0")&amp;" 十億美元","不需舉債")&amp;"；"&amp;IF(SUM(Sens!F6786:J6786)&lt;COUNT(Sens!F6786:J6786)*bb_target-0.05,"回購較每年 "&amp;TEXT(bb_target,"0.0")&amp;" 的目標少 "&amp;TEXT(COUNT(Sens!F6786:J6786)*bb_target-SUM(Sens!F6786:J6786),"0.0")&amp;" 十億美元（"&amp;TEXT(COUNTIF(Sens!F6786:J6786,"&lt;"&amp;(bb_target-0.05)),"0")&amp;" 年減少）","回購不減")</f>
        <v>不需舉債；回購較每年 22.3 的目標少 41.3 十億美元（2 年減少）</v>
      </c>
    </row>
    <row r="6797" customFormat="false" ht="17.15" hidden="false" customHeight="false" outlineLevel="0" collapsed="false">
      <c r="A6797" s="3" t="s">
        <v>1649</v>
      </c>
    </row>
    <row r="6798" customFormat="false" ht="15" hidden="false" customHeight="false" outlineLevel="0" collapsed="false">
      <c r="A6798" s="4" t="s">
        <v>43</v>
      </c>
      <c r="B6798" s="4" t="s">
        <v>65</v>
      </c>
      <c r="C6798" s="23" t="s">
        <v>938</v>
      </c>
      <c r="D6798" s="23" t="s">
        <v>939</v>
      </c>
      <c r="E6798" s="23" t="s">
        <v>940</v>
      </c>
      <c r="F6798" s="23" t="s">
        <v>941</v>
      </c>
      <c r="G6798" s="23" t="s">
        <v>942</v>
      </c>
      <c r="H6798" s="23" t="s">
        <v>943</v>
      </c>
      <c r="I6798" s="23" t="s">
        <v>944</v>
      </c>
      <c r="J6798" s="23" t="s">
        <v>945</v>
      </c>
      <c r="K6798" s="23" t="s">
        <v>946</v>
      </c>
      <c r="L6798" s="4" t="s">
        <v>47</v>
      </c>
    </row>
    <row r="6799" customFormat="false" ht="17.15" hidden="false" customHeight="false" outlineLevel="0" collapsed="false">
      <c r="A6799" s="1" t="s">
        <v>1212</v>
      </c>
      <c r="B6799" s="1" t="s">
        <v>279</v>
      </c>
      <c r="F6799" s="8" t="n">
        <f aca="false">(1-v_off)*mid_yr</f>
        <v>0.373972602739726</v>
      </c>
      <c r="G6799" s="8" t="n">
        <f aca="false">Sens!G6649-base_fy-mid_yr-v_off</f>
        <v>1.24794520547945</v>
      </c>
      <c r="H6799" s="8" t="n">
        <f aca="false">Sens!H6649-base_fy-mid_yr-v_off</f>
        <v>2.24794520547945</v>
      </c>
      <c r="I6799" s="8" t="n">
        <f aca="false">Sens!I6649-base_fy-mid_yr-v_off</f>
        <v>3.24794520547945</v>
      </c>
      <c r="J6799" s="8" t="n">
        <f aca="false">Sens!J6649-base_fy-mid_yr-v_off</f>
        <v>4.24794520547945</v>
      </c>
      <c r="K6799" s="8" t="n">
        <f aca="false">Sens!K6649-base_fy-mid_yr-v_off</f>
        <v>5.24794520547945</v>
      </c>
      <c r="L6799" s="12" t="s">
        <v>1213</v>
      </c>
    </row>
    <row r="6800" customFormat="false" ht="15" hidden="false" customHeight="false" outlineLevel="0" collapsed="false">
      <c r="A6800" s="1" t="s">
        <v>1214</v>
      </c>
      <c r="B6800" s="1" t="s">
        <v>279</v>
      </c>
      <c r="F6800" s="8" t="n">
        <f aca="false">Sens!F6649-base_fy-v_off</f>
        <v>0.747945205479452</v>
      </c>
      <c r="G6800" s="8" t="n">
        <f aca="false">Sens!G6649-base_fy-v_off</f>
        <v>1.74794520547945</v>
      </c>
      <c r="H6800" s="8" t="n">
        <f aca="false">Sens!H6649-base_fy-v_off</f>
        <v>2.74794520547945</v>
      </c>
      <c r="I6800" s="8" t="n">
        <f aca="false">Sens!I6649-base_fy-v_off</f>
        <v>3.74794520547945</v>
      </c>
      <c r="J6800" s="8" t="n">
        <f aca="false">Sens!J6649-base_fy-v_off</f>
        <v>4.74794520547945</v>
      </c>
      <c r="K6800" s="8" t="n">
        <f aca="false">Sens!K6649-base_fy-v_off</f>
        <v>5.74794520547945</v>
      </c>
    </row>
    <row r="6801" customFormat="false" ht="15" hidden="false" customHeight="false" outlineLevel="0" collapsed="false">
      <c r="A6801" s="1" t="s">
        <v>1215</v>
      </c>
      <c r="B6801" s="0" t="s">
        <v>229</v>
      </c>
      <c r="F6801" s="15" t="n">
        <f aca="false">1/(1+wacc)^Sens!F6799</f>
        <v>0.964022703286649</v>
      </c>
      <c r="G6801" s="15" t="n">
        <f aca="false">1/(1+wacc)^Sens!G6799</f>
        <v>0.884910302296739</v>
      </c>
      <c r="H6801" s="15" t="n">
        <f aca="false">1/(1+wacc)^Sens!H6799</f>
        <v>0.802322009770358</v>
      </c>
      <c r="I6801" s="15" t="n">
        <f aca="false">1/(1+wacc)^Sens!I6799</f>
        <v>0.727441646561469</v>
      </c>
      <c r="J6801" s="15" t="n">
        <f aca="false">1/(1+wacc)^Sens!J6799</f>
        <v>0.659549834988973</v>
      </c>
      <c r="K6801" s="15" t="n">
        <f aca="false">1/(1+wacc)^Sens!K6799</f>
        <v>0.597994336576966</v>
      </c>
    </row>
    <row r="6802" customFormat="false" ht="17.15" hidden="false" customHeight="false" outlineLevel="0" collapsed="false">
      <c r="A6802" s="1" t="s">
        <v>1216</v>
      </c>
      <c r="B6802" s="0" t="s">
        <v>98</v>
      </c>
      <c r="F6802" s="6" t="n">
        <f aca="false">Q!$I$35-Q!$I$39-Q!$I$43</f>
        <v>9.666</v>
      </c>
      <c r="L6802" s="12" t="s">
        <v>1217</v>
      </c>
    </row>
    <row r="6803" customFormat="false" ht="17.15" hidden="false" customHeight="false" outlineLevel="0" collapsed="false">
      <c r="A6803" s="1" t="s">
        <v>1218</v>
      </c>
      <c r="B6803" s="0" t="s">
        <v>98</v>
      </c>
      <c r="F6803" s="6" t="n">
        <f aca="false">Sens!F6774-Sens!F6771-Sens!F6778+Sens!F6756*(1-tax_f)*(1-v_off)-Sens!F6802</f>
        <v>-1.12624356060137</v>
      </c>
      <c r="G6803" s="6" t="n">
        <f aca="false">Sens!G6774-Sens!G6771-Sens!G6778+Sens!G6756*(1-tax_f)</f>
        <v>39.5316765538633</v>
      </c>
      <c r="H6803" s="6" t="n">
        <f aca="false">Sens!H6774-Sens!H6771-Sens!H6778+Sens!H6756*(1-tax_f)</f>
        <v>99.8781070156817</v>
      </c>
      <c r="I6803" s="6" t="n">
        <f aca="false">Sens!I6774-Sens!I6771-Sens!I6778+Sens!I6756*(1-tax_f)</f>
        <v>183.047819345095</v>
      </c>
      <c r="J6803" s="6" t="n">
        <f aca="false">Sens!J6774-Sens!J6771-Sens!J6778+Sens!J6756*(1-tax_f)</f>
        <v>264.886751693807</v>
      </c>
      <c r="K6803" s="6" t="n">
        <f aca="false">Sens!K6774-Sens!K6771-Sens!K6778+Sens!K6756*(1-tax_f)</f>
        <v>305.299251480372</v>
      </c>
      <c r="L6803" s="1" t="s">
        <v>1219</v>
      </c>
    </row>
    <row r="6804" customFormat="false" ht="15" hidden="false" customHeight="false" outlineLevel="0" collapsed="false">
      <c r="A6804" s="1" t="s">
        <v>1220</v>
      </c>
      <c r="B6804" s="0" t="s">
        <v>98</v>
      </c>
      <c r="F6804" s="6" t="n">
        <f aca="false">Sens!F6803*Sens!F6801</f>
        <v>-1.08572436185011</v>
      </c>
      <c r="G6804" s="6" t="n">
        <f aca="false">Sens!G6803*Sens!G6801</f>
        <v>34.9819878495761</v>
      </c>
      <c r="H6804" s="6" t="n">
        <f aca="false">Sens!H6803*Sens!H6801</f>
        <v>80.1344035528806</v>
      </c>
      <c r="I6804" s="6" t="n">
        <f aca="false">Sens!I6803*Sens!I6801</f>
        <v>133.156607103882</v>
      </c>
      <c r="J6804" s="6" t="n">
        <f aca="false">Sens!J6803*Sens!J6801</f>
        <v>174.706013370416</v>
      </c>
      <c r="K6804" s="6" t="n">
        <f aca="false">Sens!K6803*Sens!K6801</f>
        <v>182.567223346449</v>
      </c>
    </row>
    <row r="6805" customFormat="false" ht="17.15" hidden="false" customHeight="false" outlineLevel="0" collapsed="false">
      <c r="A6805" s="1" t="s">
        <v>1221</v>
      </c>
      <c r="B6805" s="0" t="s">
        <v>98</v>
      </c>
      <c r="C6805" s="6" t="n">
        <f aca="false">SUM(Sens!F6804:K6804)</f>
        <v>604.460510861354</v>
      </c>
    </row>
    <row r="6806" customFormat="false" ht="17.15" hidden="false" customHeight="false" outlineLevel="0" collapsed="false">
      <c r="A6806" s="1" t="s">
        <v>1222</v>
      </c>
      <c r="B6806" s="0" t="s">
        <v>98</v>
      </c>
      <c r="C6806" s="6" t="n">
        <f aca="false">Sens!K6742*(1+g_tv)*(1-tax_f)</f>
        <v>316.880781857342</v>
      </c>
    </row>
    <row r="6807" customFormat="false" ht="17.15" hidden="false" customHeight="false" outlineLevel="0" collapsed="false">
      <c r="A6807" s="1" t="s">
        <v>1223</v>
      </c>
      <c r="B6807" s="0" t="s">
        <v>98</v>
      </c>
      <c r="C6807" s="6" t="n">
        <f aca="false">Sens!$C$6806*(1-g_tv/(wacc+ronic_prem))</f>
        <v>224.528554448291</v>
      </c>
    </row>
    <row r="6808" customFormat="false" ht="17.15" hidden="false" customHeight="false" outlineLevel="0" collapsed="false">
      <c r="A6808" s="1" t="s">
        <v>1224</v>
      </c>
      <c r="B6808" s="0" t="s">
        <v>98</v>
      </c>
      <c r="C6808" s="6" t="n">
        <f aca="false">Sens!$C$6807/(wacc-g_tv)</f>
        <v>3078.4075803017</v>
      </c>
    </row>
    <row r="6809" customFormat="false" ht="15" hidden="false" customHeight="false" outlineLevel="0" collapsed="false">
      <c r="A6809" s="1" t="s">
        <v>1225</v>
      </c>
      <c r="B6809" s="0" t="s">
        <v>98</v>
      </c>
      <c r="C6809" s="6" t="n">
        <f aca="false">Sens!$C$6808/(1+wacc)^Sens!K6800</f>
        <v>1752.86277505372</v>
      </c>
    </row>
    <row r="6810" customFormat="false" ht="17.15" hidden="false" customHeight="false" outlineLevel="0" collapsed="false">
      <c r="A6810" s="0" t="s">
        <v>1226</v>
      </c>
      <c r="B6810" s="0" t="s">
        <v>98</v>
      </c>
      <c r="C6810" s="6" t="n">
        <f aca="false">Sens!$C$6805+Sens!$C$6809</f>
        <v>2357.32328591507</v>
      </c>
    </row>
    <row r="6811" customFormat="false" ht="15" hidden="false" customHeight="false" outlineLevel="0" collapsed="false">
      <c r="A6811" s="1" t="s">
        <v>1141</v>
      </c>
      <c r="B6811" s="0" t="s">
        <v>168</v>
      </c>
      <c r="C6811" s="7" t="n">
        <f aca="false">Sens!$C$6809/Sens!$C$6810</f>
        <v>0.743581835180187</v>
      </c>
    </row>
    <row r="6812" customFormat="false" ht="17.15" hidden="false" customHeight="false" outlineLevel="0" collapsed="false">
      <c r="A6812" s="1" t="s">
        <v>1227</v>
      </c>
      <c r="B6812" s="0" t="s">
        <v>98</v>
      </c>
      <c r="C6812" s="6" t="n">
        <f aca="false">Sens!$C$6810+cash_val-debt_val-fl_val+oai_v</f>
        <v>2473.17428591507</v>
      </c>
    </row>
    <row r="6813" customFormat="false" ht="17.15" hidden="false" customHeight="false" outlineLevel="0" collapsed="false">
      <c r="A6813" s="0" t="s">
        <v>1149</v>
      </c>
      <c r="B6813" s="0" t="s">
        <v>75</v>
      </c>
      <c r="C6813" s="5" t="n">
        <f aca="false">Sens!$C$6812/shd_val</f>
        <v>332.148037324077</v>
      </c>
    </row>
    <row r="6814" customFormat="false" ht="15" hidden="false" customHeight="false" outlineLevel="0" collapsed="false">
      <c r="A6814" s="1" t="s">
        <v>1228</v>
      </c>
      <c r="B6814" s="0" t="s">
        <v>75</v>
      </c>
      <c r="C6814" s="8" t="n">
        <f aca="false">div_rem27+Sens!G6782*roll_div_q/q_per_yr</f>
        <v>3.9795</v>
      </c>
    </row>
    <row r="6815" customFormat="false" ht="17.15" hidden="false" customHeight="false" outlineLevel="0" collapsed="false">
      <c r="A6815" s="0" t="s">
        <v>1229</v>
      </c>
      <c r="B6815" s="0" t="s">
        <v>75</v>
      </c>
      <c r="C6815" s="5" t="n">
        <f aca="false">Sens!$C$6813*(1+wacc)^t_roll-Sens!$C$6814</f>
        <v>365.221580914732</v>
      </c>
    </row>
    <row r="6816" customFormat="false" ht="17.15" hidden="false" customHeight="false" outlineLevel="0" collapsed="false">
      <c r="A6816" s="1" t="s">
        <v>1230</v>
      </c>
      <c r="B6816" s="0" t="s">
        <v>168</v>
      </c>
      <c r="F6816" s="7" t="n">
        <f aca="false">Sens!F6768/(Sens!F6713-Sens!F6668)</f>
        <v>0.0688969358728065</v>
      </c>
      <c r="G6816" s="7" t="n">
        <f aca="false">Sens!G6768/(Sens!G6713-Sens!G6668)</f>
        <v>0.0662487479339189</v>
      </c>
      <c r="H6816" s="7" t="n">
        <f aca="false">Sens!H6768/(Sens!H6713-Sens!H6668)</f>
        <v>0.0648765945529315</v>
      </c>
      <c r="I6816" s="7" t="n">
        <f aca="false">Sens!I6768/(Sens!I6713-Sens!I6668)</f>
        <v>0.0646504813251901</v>
      </c>
      <c r="J6816" s="7" t="n">
        <f aca="false">Sens!J6768/(Sens!J6713-Sens!J6668)</f>
        <v>0.0653221849125531</v>
      </c>
      <c r="K6816" s="7" t="n">
        <f aca="false">Sens!K6768/(Sens!K6713-Sens!K6668)</f>
        <v>0.0665985514123824</v>
      </c>
    </row>
    <row r="6817" customFormat="false" ht="17.15" hidden="false" customHeight="false" outlineLevel="0" collapsed="false">
      <c r="A6817" s="0" t="s">
        <v>1231</v>
      </c>
      <c r="B6817" s="0" t="s">
        <v>98</v>
      </c>
      <c r="F6817" s="6" t="n">
        <f aca="false">Sens!F6698*(al_m365+Sens!F6816+sbc_r)</f>
        <v>83.3488790558165</v>
      </c>
      <c r="G6817" s="6" t="n">
        <f aca="false">Sens!G6698*(al_m365+Sens!G6816+sbc_r)</f>
        <v>94.7425824737934</v>
      </c>
      <c r="H6817" s="6" t="n">
        <f aca="false">Sens!H6698*(al_m365+Sens!H6816+sbc_r)</f>
        <v>106.29831649903</v>
      </c>
      <c r="I6817" s="6" t="n">
        <f aca="false">Sens!I6698*(al_m365+Sens!I6816+sbc_r)</f>
        <v>117.087242640748</v>
      </c>
      <c r="J6817" s="6" t="n">
        <f aca="false">Sens!J6698*(al_m365+Sens!J6816+sbc_r)</f>
        <v>126.920796683511</v>
      </c>
      <c r="K6817" s="6" t="n">
        <f aca="false">Sens!K6698*(al_m365+Sens!K6816+sbc_r)</f>
        <v>136.360795724976</v>
      </c>
      <c r="L6817" s="12" t="s">
        <v>1232</v>
      </c>
    </row>
    <row r="6818" customFormat="false" ht="17.15" hidden="false" customHeight="false" outlineLevel="0" collapsed="false">
      <c r="A6818" s="0" t="s">
        <v>1233</v>
      </c>
      <c r="B6818" s="0" t="s">
        <v>98</v>
      </c>
      <c r="F6818" s="6" t="n">
        <f aca="false">Sens!F6699*(al_lic+Sens!F6816+sbc_r)</f>
        <v>32.8684125666035</v>
      </c>
      <c r="G6818" s="6" t="n">
        <f aca="false">Sens!G6699*(al_lic+Sens!G6816+sbc_r)</f>
        <v>34.1542466495331</v>
      </c>
      <c r="H6818" s="6" t="n">
        <f aca="false">Sens!H6699*(al_lic+Sens!H6816+sbc_r)</f>
        <v>35.3527771644364</v>
      </c>
      <c r="I6818" s="6" t="n">
        <f aca="false">Sens!I6699*(al_lic+Sens!I6816+sbc_r)</f>
        <v>36.4451271725899</v>
      </c>
      <c r="J6818" s="6" t="n">
        <f aca="false">Sens!J6699*(al_lic+Sens!J6816+sbc_r)</f>
        <v>37.4070816009905</v>
      </c>
      <c r="K6818" s="6" t="n">
        <f aca="false">Sens!K6699*(al_lic+Sens!K6816+sbc_r)</f>
        <v>38.2123356714318</v>
      </c>
    </row>
    <row r="6819" customFormat="false" ht="17.15" hidden="false" customHeight="false" outlineLevel="0" collapsed="false">
      <c r="A6819" s="0" t="s">
        <v>1234</v>
      </c>
      <c r="B6819" s="0" t="s">
        <v>98</v>
      </c>
      <c r="F6819" s="6" t="n">
        <f aca="false">Sens!F6701*(al_ind+Sens!F6816+sbc_r)</f>
        <v>9.06660682696958</v>
      </c>
      <c r="G6819" s="6" t="n">
        <f aca="false">Sens!G6701*(al_ind+Sens!G6816+sbc_r)</f>
        <v>9.84632402102156</v>
      </c>
      <c r="H6819" s="6" t="n">
        <f aca="false">Sens!H6701*(al_ind+Sens!H6816+sbc_r)</f>
        <v>10.6699345469947</v>
      </c>
      <c r="I6819" s="6" t="n">
        <f aca="false">Sens!I6701*(al_ind+Sens!I6816+sbc_r)</f>
        <v>11.5337085106172</v>
      </c>
      <c r="J6819" s="6" t="n">
        <f aca="false">Sens!J6701*(al_ind+Sens!J6816+sbc_r)</f>
        <v>12.428474709857</v>
      </c>
      <c r="K6819" s="6" t="n">
        <f aca="false">Sens!K6701*(al_ind+Sens!K6816+sbc_r)</f>
        <v>13.3406172265618</v>
      </c>
    </row>
    <row r="6820" customFormat="false" ht="17.15" hidden="false" customHeight="false" outlineLevel="0" collapsed="false">
      <c r="A6820" s="0" t="s">
        <v>1235</v>
      </c>
      <c r="B6820" s="0" t="s">
        <v>98</v>
      </c>
      <c r="F6820" s="6" t="n">
        <f aca="false">Sens!F6703*(al_fro+Sens!F6816+sbc_r)</f>
        <v>3.55645751245414</v>
      </c>
      <c r="G6820" s="6" t="n">
        <f aca="false">Sens!G6703*(al_fro+Sens!G6816+sbc_r)</f>
        <v>3.76749214623153</v>
      </c>
      <c r="H6820" s="6" t="n">
        <f aca="false">Sens!H6703*(al_fro+Sens!H6816+sbc_r)</f>
        <v>4.00706120555662</v>
      </c>
      <c r="I6820" s="6" t="n">
        <f aca="false">Sens!I6703*(al_fro+Sens!I6816+sbc_r)</f>
        <v>4.27771381541576</v>
      </c>
      <c r="J6820" s="6" t="n">
        <f aca="false">Sens!J6703*(al_fro+Sens!J6816+sbc_r)</f>
        <v>4.5808254959353</v>
      </c>
      <c r="K6820" s="6" t="n">
        <f aca="false">Sens!K6703*(al_fro+Sens!K6816+sbc_r)</f>
        <v>4.91701845556972</v>
      </c>
    </row>
    <row r="6821" customFormat="false" ht="17.15" hidden="false" customHeight="false" outlineLevel="0" collapsed="false">
      <c r="A6821" s="0" t="s">
        <v>1236</v>
      </c>
      <c r="B6821" s="0" t="s">
        <v>98</v>
      </c>
      <c r="F6821" s="6" t="n">
        <f aca="false">Sens!F6706*(al_srch+Sens!F6816+sbc_r)</f>
        <v>11.1967343637695</v>
      </c>
      <c r="G6821" s="6" t="n">
        <f aca="false">Sens!G6706*(al_srch+Sens!G6816+sbc_r)</f>
        <v>12.2743708730075</v>
      </c>
      <c r="H6821" s="6" t="n">
        <f aca="false">Sens!H6706*(al_srch+Sens!H6816+sbc_r)</f>
        <v>13.3957050838889</v>
      </c>
      <c r="I6821" s="6" t="n">
        <f aca="false">Sens!I6706*(al_srch+Sens!I6816+sbc_r)</f>
        <v>14.5491842454934</v>
      </c>
      <c r="J6821" s="6" t="n">
        <f aca="false">Sens!J6706*(al_srch+Sens!J6816+sbc_r)</f>
        <v>15.7154640387011</v>
      </c>
      <c r="K6821" s="6" t="n">
        <f aca="false">Sens!K6706*(al_srch+Sens!K6816+sbc_r)</f>
        <v>16.8688431342128</v>
      </c>
    </row>
    <row r="6822" customFormat="false" ht="17.15" hidden="false" customHeight="false" outlineLevel="0" collapsed="false">
      <c r="A6822" s="0" t="s">
        <v>1237</v>
      </c>
      <c r="B6822" s="0" t="s">
        <v>98</v>
      </c>
      <c r="F6822" s="6" t="n">
        <f aca="false">Sens!F6674-Sens!F6675+Sens!F6756</f>
        <v>46.6629120962525</v>
      </c>
      <c r="G6822" s="6" t="n">
        <f aca="false">Sens!G6674-Sens!G6675+Sens!G6756</f>
        <v>94.940298874245</v>
      </c>
      <c r="H6822" s="6" t="n">
        <f aca="false">Sens!H6674-Sens!H6675+Sens!H6756</f>
        <v>151.040802662234</v>
      </c>
      <c r="I6822" s="6" t="n">
        <f aca="false">Sens!I6674-Sens!I6675+Sens!I6756</f>
        <v>195.487555817899</v>
      </c>
      <c r="J6822" s="6" t="n">
        <f aca="false">Sens!J6674-Sens!J6675+Sens!J6756</f>
        <v>226.641759721978</v>
      </c>
      <c r="K6822" s="6" t="n">
        <f aca="false">Sens!K6674-Sens!K6675+Sens!K6756</f>
        <v>245.853197239425</v>
      </c>
    </row>
    <row r="6823" customFormat="false" ht="17.15" hidden="false" customHeight="false" outlineLevel="0" collapsed="false">
      <c r="A6823" s="0" t="s">
        <v>1238</v>
      </c>
      <c r="B6823" s="0" t="s">
        <v>98</v>
      </c>
      <c r="F6823" s="6" t="n">
        <f aca="false">Sens!F6735+Sens!F6756+Sens!F6686+Sens!F6816*(Sens!F6705-Sens!F6668)+sbc_r*Sens!F6705</f>
        <v>241.05879552875</v>
      </c>
      <c r="G6823" s="6" t="n">
        <f aca="false">Sens!G6735+Sens!G6756+Sens!G6686+Sens!G6816*(Sens!G6705-Sens!G6668)+sbc_r*Sens!G6705</f>
        <v>311.889396038257</v>
      </c>
      <c r="H6823" s="6" t="n">
        <f aca="false">Sens!H6735+Sens!H6756+Sens!H6686+Sens!H6816*(Sens!H6705-Sens!H6668)+sbc_r*Sens!H6705</f>
        <v>395.20409105874</v>
      </c>
      <c r="I6823" s="6" t="n">
        <f aca="false">Sens!I6735+Sens!I6756+Sens!I6686+Sens!I6816*(Sens!I6705-Sens!I6668)+sbc_r*Sens!I6705</f>
        <v>465.448301662157</v>
      </c>
      <c r="J6823" s="6" t="n">
        <f aca="false">Sens!J6735+Sens!J6756+Sens!J6686+Sens!J6816*(Sens!J6705-Sens!J6668)+sbc_r*Sens!J6705</f>
        <v>520.104104175919</v>
      </c>
      <c r="K6823" s="6" t="n">
        <f aca="false">Sens!K6735+Sens!K6756+Sens!K6686+Sens!K6816*(Sens!K6705-Sens!K6668)+sbc_r*Sens!K6705</f>
        <v>560.371105171159</v>
      </c>
    </row>
    <row r="6824" customFormat="false" ht="17.15" hidden="false" customHeight="false" outlineLevel="0" collapsed="false">
      <c r="A6824" s="0" t="s">
        <v>1239</v>
      </c>
      <c r="B6824" s="0" t="s">
        <v>98</v>
      </c>
      <c r="F6824" s="6" t="n">
        <f aca="false">Sens!F6823-Sens!F6817-Sens!F6818-Sens!F6819-Sens!F6820-Sens!F6822</f>
        <v>65.555527470654</v>
      </c>
      <c r="G6824" s="6" t="n">
        <f aca="false">Sens!G6823-Sens!G6817-Sens!G6818-Sens!G6819-Sens!G6820-Sens!G6822</f>
        <v>74.4384518734324</v>
      </c>
      <c r="H6824" s="6" t="n">
        <f aca="false">Sens!H6823-Sens!H6817-Sens!H6818-Sens!H6819-Sens!H6820-Sens!H6822</f>
        <v>87.8351989804886</v>
      </c>
      <c r="I6824" s="6" t="n">
        <f aca="false">Sens!I6823-Sens!I6817-Sens!I6818-Sens!I6819-Sens!I6820-Sens!I6822</f>
        <v>100.616953704886</v>
      </c>
      <c r="J6824" s="6" t="n">
        <f aca="false">Sens!J6823-Sens!J6817-Sens!J6818-Sens!J6819-Sens!J6820-Sens!J6822</f>
        <v>112.125165963647</v>
      </c>
      <c r="K6824" s="6" t="n">
        <f aca="false">Sens!K6823-Sens!K6817-Sens!K6818-Sens!K6819-Sens!K6820-Sens!K6822</f>
        <v>121.687140853194</v>
      </c>
    </row>
    <row r="6825" customFormat="false" ht="17.15" hidden="false" customHeight="false" outlineLevel="0" collapsed="false">
      <c r="A6825" s="0" t="s">
        <v>1240</v>
      </c>
      <c r="B6825" s="0" t="s">
        <v>98</v>
      </c>
      <c r="F6825" s="6" t="n">
        <f aca="false">Sens!F6737+Sens!F6816*Sens!F6712+sbc_r*Sens!F6712</f>
        <v>26.6514721087126</v>
      </c>
      <c r="G6825" s="6" t="n">
        <f aca="false">Sens!G6737+Sens!G6816*Sens!G6712+sbc_r*Sens!G6712</f>
        <v>26.4996162687659</v>
      </c>
      <c r="H6825" s="6" t="n">
        <f aca="false">Sens!H6737+Sens!H6816*Sens!H6712+sbc_r*Sens!H6712</f>
        <v>27.3802589274204</v>
      </c>
      <c r="I6825" s="6" t="n">
        <f aca="false">Sens!I6737+Sens!I6816*Sens!I6712+sbc_r*Sens!I6712</f>
        <v>28.4920089339712</v>
      </c>
      <c r="J6825" s="6" t="n">
        <f aca="false">Sens!J6737+Sens!J6816*Sens!J6712+sbc_r*Sens!J6712</f>
        <v>29.801585546019</v>
      </c>
      <c r="K6825" s="6" t="n">
        <f aca="false">Sens!K6737+Sens!K6816*Sens!K6712+sbc_r*Sens!K6712</f>
        <v>31.2757423594776</v>
      </c>
    </row>
    <row r="6826" customFormat="false" ht="17.15" hidden="false" customHeight="false" outlineLevel="0" collapsed="false">
      <c r="A6826" s="0" t="s">
        <v>1241</v>
      </c>
      <c r="B6826" s="0" t="s">
        <v>98</v>
      </c>
      <c r="F6826" s="6" t="n">
        <f aca="false">(Sens!F6825-Sens!F6821)*Sens!F6708/(Sens!F6708+Sens!F6710)</f>
        <v>8.72861207064804</v>
      </c>
      <c r="G6826" s="6" t="n">
        <f aca="false">(Sens!G6825-Sens!G6821)*Sens!G6708/(Sens!G6708+Sens!G6710)</f>
        <v>7.89613430812198</v>
      </c>
      <c r="H6826" s="6" t="n">
        <f aca="false">(Sens!H6825-Sens!H6821)*Sens!H6708/(Sens!H6708+Sens!H6710)</f>
        <v>7.66140869170549</v>
      </c>
      <c r="I6826" s="6" t="n">
        <f aca="false">(Sens!I6825-Sens!I6821)*Sens!I6708/(Sens!I6708+Sens!I6710)</f>
        <v>7.57187475114282</v>
      </c>
      <c r="J6826" s="6" t="n">
        <f aca="false">(Sens!J6825-Sens!J6821)*Sens!J6708/(Sens!J6708+Sens!J6710)</f>
        <v>7.61631913411828</v>
      </c>
      <c r="K6826" s="6" t="n">
        <f aca="false">(Sens!K6825-Sens!K6821)*Sens!K6708/(Sens!K6708+Sens!K6710)</f>
        <v>7.78976258125372</v>
      </c>
    </row>
    <row r="6827" customFormat="false" ht="17.15" hidden="false" customHeight="false" outlineLevel="0" collapsed="false">
      <c r="A6827" s="0" t="s">
        <v>1242</v>
      </c>
      <c r="B6827" s="0" t="s">
        <v>98</v>
      </c>
      <c r="F6827" s="6" t="n">
        <f aca="false">Sens!F6825-Sens!F6821-Sens!F6826</f>
        <v>6.72612567429505</v>
      </c>
      <c r="G6827" s="6" t="n">
        <f aca="false">Sens!G6825-Sens!G6821-Sens!G6826</f>
        <v>6.32911108763645</v>
      </c>
      <c r="H6827" s="6" t="n">
        <f aca="false">Sens!H6825-Sens!H6821-Sens!H6826</f>
        <v>6.32314515182604</v>
      </c>
      <c r="I6827" s="6" t="n">
        <f aca="false">Sens!I6825-Sens!I6821-Sens!I6826</f>
        <v>6.37094993733497</v>
      </c>
      <c r="J6827" s="6" t="n">
        <f aca="false">Sens!J6825-Sens!J6821-Sens!J6826</f>
        <v>6.46980237319961</v>
      </c>
      <c r="K6827" s="6" t="n">
        <f aca="false">Sens!K6825-Sens!K6821-Sens!K6826</f>
        <v>6.61713664401109</v>
      </c>
    </row>
    <row r="6828" customFormat="false" ht="17.15" hidden="false" customHeight="false" outlineLevel="0" collapsed="false">
      <c r="A6828" s="0" t="s">
        <v>1243</v>
      </c>
      <c r="B6828" s="0" t="s">
        <v>98</v>
      </c>
      <c r="F6828" s="6" t="n">
        <f aca="false">Sens!F6822-tax_f*(Sens!F6822-Sens!F6686)-Sens!F6683</f>
        <v>-124.207711469447</v>
      </c>
      <c r="G6828" s="6" t="n">
        <f aca="false">Sens!G6822-tax_f*(Sens!G6822-Sens!G6686)-Sens!G6683</f>
        <v>-103.845338419192</v>
      </c>
      <c r="H6828" s="6" t="n">
        <f aca="false">Sens!H6822-tax_f*(Sens!H6822-Sens!H6686)-Sens!H6683</f>
        <v>-58.1533438024358</v>
      </c>
      <c r="I6828" s="6" t="n">
        <f aca="false">Sens!I6822-tax_f*(Sens!I6822-Sens!I6686)-Sens!I6683</f>
        <v>10.6214129716185</v>
      </c>
      <c r="J6828" s="6" t="n">
        <f aca="false">Sens!J6822-tax_f*(Sens!J6822-Sens!J6686)-Sens!J6683</f>
        <v>78.7866111915612</v>
      </c>
      <c r="K6828" s="6" t="n">
        <f aca="false">Sens!K6822-tax_f*(Sens!K6822-Sens!K6686)-Sens!K6683</f>
        <v>106.322238636994</v>
      </c>
    </row>
    <row r="6829" customFormat="false" ht="17.15" hidden="false" customHeight="false" outlineLevel="0" collapsed="false">
      <c r="A6829" s="0" t="s">
        <v>1244</v>
      </c>
      <c r="B6829" s="0" t="s">
        <v>98</v>
      </c>
      <c r="G6829" s="6" t="n">
        <f aca="false">Sens!G6828/(1+wacc)^(Sens!G6799-Sens!F6800)</f>
        <v>-98.8807458118028</v>
      </c>
      <c r="H6829" s="6" t="n">
        <f aca="false">Sens!H6828/(1+wacc)^(Sens!H6799-Sens!F6800)</f>
        <v>-50.205219939451</v>
      </c>
      <c r="I6829" s="6" t="n">
        <f aca="false">Sens!I6828/(1+wacc)^(Sens!I6799-Sens!F6800)</f>
        <v>8.31392174306383</v>
      </c>
      <c r="J6829" s="6" t="n">
        <f aca="false">Sens!J6828/(1+wacc)^(Sens!J6799-Sens!F6800)</f>
        <v>55.9146374136408</v>
      </c>
      <c r="K6829" s="6" t="n">
        <f aca="false">Sens!K6828/(1+wacc)^(Sens!K6799-Sens!F6800)</f>
        <v>68.4142640203038</v>
      </c>
      <c r="L6829" s="1" t="s">
        <v>1245</v>
      </c>
    </row>
    <row r="6830" customFormat="false" ht="17.15" hidden="false" customHeight="false" outlineLevel="0" collapsed="false">
      <c r="A6830" s="0" t="s">
        <v>1246</v>
      </c>
      <c r="B6830" s="0" t="s">
        <v>98</v>
      </c>
      <c r="C6830" s="6" t="n">
        <f aca="false">(Sens!K6822-Sens!K6686)*(1-tax_f)*(1+g_tv)*(1-g_tv/(wacc+ronic_prem))/(wacc-g_tv)/(1+wacc)^(Sens!K6800-Sens!F6800)</f>
        <v>504.392942761694</v>
      </c>
    </row>
    <row r="6831" customFormat="false" ht="17.15" hidden="false" customHeight="false" outlineLevel="0" collapsed="false">
      <c r="A6831" s="1" t="s">
        <v>1247</v>
      </c>
      <c r="B6831" s="0" t="s">
        <v>98</v>
      </c>
      <c r="C6831" s="6" t="n">
        <f aca="false">(SUM(Sens!G6829:K6829)+Sens!$C$6830)*(1+wacc)^(t_roll-Sens!F6800)</f>
        <v>504.058498761361</v>
      </c>
      <c r="L6831" s="12" t="s">
        <v>1248</v>
      </c>
    </row>
    <row r="6832" customFormat="false" ht="17.15" hidden="false" customHeight="false" outlineLevel="0" collapsed="false">
      <c r="A6832" s="1" t="s">
        <v>1249</v>
      </c>
      <c r="B6832" s="0" t="s">
        <v>98</v>
      </c>
      <c r="C6832" s="6" t="n">
        <f aca="false">(w_ntm28*Sens!G6674+(1-w_ntm28)*Sens!H6674)*m_ai</f>
        <v>563.316843258668</v>
      </c>
    </row>
    <row r="6833" customFormat="false" ht="17.15" hidden="false" customHeight="false" outlineLevel="0" collapsed="false">
      <c r="A6833" s="1" t="s">
        <v>1250</v>
      </c>
      <c r="B6833" s="0" t="s">
        <v>98</v>
      </c>
      <c r="C6833" s="6" t="n">
        <f aca="false">(w_ntm28*Sens!G6824+(1-w_ntm28)*Sens!H6824)*m_cloud</f>
        <v>1089.60835119862</v>
      </c>
    </row>
    <row r="6834" customFormat="false" ht="17.15" hidden="false" customHeight="false" outlineLevel="0" collapsed="false">
      <c r="A6834" s="1" t="s">
        <v>1251</v>
      </c>
      <c r="B6834" s="0" t="s">
        <v>98</v>
      </c>
      <c r="C6834" s="6" t="n">
        <f aca="false">(w_ntm28*Sens!G6817+(1-w_ntm28)*Sens!H6817)*m_sw</f>
        <v>1064.25066139288</v>
      </c>
    </row>
    <row r="6835" customFormat="false" ht="17.15" hidden="false" customHeight="false" outlineLevel="0" collapsed="false">
      <c r="A6835" s="1" t="s">
        <v>1252</v>
      </c>
      <c r="B6835" s="0" t="s">
        <v>98</v>
      </c>
      <c r="C6835" s="6" t="n">
        <f aca="false">(w_ntm28*Sens!G6818+(1-w_ntm28)*Sens!H6818)*m_sw</f>
        <v>373.121468054176</v>
      </c>
    </row>
    <row r="6836" customFormat="false" ht="17.15" hidden="false" customHeight="false" outlineLevel="0" collapsed="false">
      <c r="A6836" s="1" t="s">
        <v>1253</v>
      </c>
      <c r="B6836" s="0" t="s">
        <v>98</v>
      </c>
      <c r="C6836" s="6" t="n">
        <f aca="false">(w_ntm28*Sens!G6819+(1-w_ntm28)*Sens!H6819)*m_sw</f>
        <v>109.264680911036</v>
      </c>
    </row>
    <row r="6837" customFormat="false" ht="17.15" hidden="false" customHeight="false" outlineLevel="0" collapsed="false">
      <c r="A6837" s="1" t="s">
        <v>1254</v>
      </c>
      <c r="B6837" s="0" t="s">
        <v>98</v>
      </c>
      <c r="C6837" s="6" t="n">
        <f aca="false">(w_ntm28*Sens!G6820+(1-w_ntm28)*Sens!H6820)*m_sw</f>
        <v>41.5395494283014</v>
      </c>
    </row>
    <row r="6838" customFormat="false" ht="17.15" hidden="false" customHeight="false" outlineLevel="0" collapsed="false">
      <c r="A6838" s="1" t="s">
        <v>1255</v>
      </c>
      <c r="B6838" s="0" t="s">
        <v>98</v>
      </c>
      <c r="C6838" s="6" t="n">
        <f aca="false">(w_ntm28*Sens!G6821+(1-w_ntm28)*Sens!H6821)*m_ads</f>
        <v>115.177991418401</v>
      </c>
    </row>
    <row r="6839" customFormat="false" ht="17.15" hidden="false" customHeight="false" outlineLevel="0" collapsed="false">
      <c r="A6839" s="1" t="s">
        <v>1256</v>
      </c>
      <c r="B6839" s="0" t="s">
        <v>98</v>
      </c>
      <c r="C6839" s="6" t="n">
        <f aca="false">(w_ntm28*Sens!G6826+(1-w_ntm28)*Sens!H6826)*m_game</f>
        <v>98.7535183821537</v>
      </c>
    </row>
    <row r="6840" customFormat="false" ht="17.15" hidden="false" customHeight="false" outlineLevel="0" collapsed="false">
      <c r="A6840" s="1" t="s">
        <v>1257</v>
      </c>
      <c r="B6840" s="0" t="s">
        <v>98</v>
      </c>
      <c r="C6840" s="6" t="n">
        <f aca="false">(w_ntm28*Sens!G6827+(1-w_ntm28)*Sens!H6827)*m_pc</f>
        <v>91.5538559286715</v>
      </c>
    </row>
    <row r="6841" customFormat="false" ht="17.15" hidden="false" customHeight="false" outlineLevel="0" collapsed="false">
      <c r="A6841" s="1" t="s">
        <v>1258</v>
      </c>
      <c r="B6841" s="0" t="s">
        <v>98</v>
      </c>
      <c r="C6841" s="6" t="n">
        <f aca="false">Sens!$C$6831+Sens!$C$6833+Sens!$C$6834+Sens!$C$6835+Sens!$C$6836+Sens!$C$6837+Sens!$C$6838+Sens!$C$6839+Sens!$C$6840</f>
        <v>3487.3285754756</v>
      </c>
    </row>
    <row r="6842" customFormat="false" ht="17.15" hidden="false" customHeight="false" outlineLevel="0" collapsed="false">
      <c r="A6842" s="1" t="s">
        <v>1259</v>
      </c>
      <c r="B6842" s="0" t="s">
        <v>98</v>
      </c>
      <c r="C6842" s="6" t="n">
        <f aca="false">(Sens!G6803-Sens!G6828)*t_stub</f>
        <v>47.5304624979171</v>
      </c>
      <c r="L6842" s="1" t="s">
        <v>1260</v>
      </c>
    </row>
    <row r="6843" customFormat="false" ht="17.15" hidden="false" customHeight="false" outlineLevel="0" collapsed="false">
      <c r="A6843" s="1" t="s">
        <v>1169</v>
      </c>
      <c r="B6843" s="0" t="s">
        <v>98</v>
      </c>
      <c r="C6843" s="6" t="n">
        <f aca="false">Sens!F6790+oai_v-Sens!F6779+Sens!$C$6842</f>
        <v>161.758732497917</v>
      </c>
      <c r="L6843" s="1" t="s">
        <v>1261</v>
      </c>
    </row>
    <row r="6844" customFormat="false" ht="17.15" hidden="false" customHeight="false" outlineLevel="0" collapsed="false">
      <c r="A6844" s="1" t="s">
        <v>1262</v>
      </c>
      <c r="B6844" s="0" t="s">
        <v>75</v>
      </c>
      <c r="C6844" s="5" t="n">
        <f aca="false">(Sens!$C$6841+Sens!$C$6843)/(Sens!F6792+dil_gap)-Sens!G6782*roll_div_q/q_per_yr</f>
        <v>486.039957289838</v>
      </c>
      <c r="L6844" s="1" t="s">
        <v>1263</v>
      </c>
    </row>
    <row r="6845" customFormat="false" ht="17.15" hidden="false" customHeight="false" outlineLevel="0" collapsed="false">
      <c r="A6845" s="1" t="s">
        <v>1264</v>
      </c>
      <c r="B6845" s="0" t="s">
        <v>75</v>
      </c>
      <c r="C6845" s="5" t="n">
        <f aca="false">w_dcf*Sens!$C$6815+(1-w_dcf)*Sens!$C$6844</f>
        <v>425.630769102285</v>
      </c>
    </row>
    <row r="6846" customFormat="false" ht="17.15" hidden="false" customHeight="false" outlineLevel="0" collapsed="false">
      <c r="A6846" s="3" t="s">
        <v>1650</v>
      </c>
    </row>
    <row r="6847" customFormat="false" ht="15" hidden="false" customHeight="false" outlineLevel="0" collapsed="false">
      <c r="A6847" s="4" t="s">
        <v>43</v>
      </c>
      <c r="B6847" s="4" t="s">
        <v>65</v>
      </c>
      <c r="C6847" s="23" t="s">
        <v>938</v>
      </c>
      <c r="D6847" s="23" t="s">
        <v>939</v>
      </c>
      <c r="E6847" s="23" t="s">
        <v>940</v>
      </c>
      <c r="F6847" s="23" t="s">
        <v>941</v>
      </c>
      <c r="G6847" s="23" t="s">
        <v>942</v>
      </c>
      <c r="H6847" s="23" t="s">
        <v>943</v>
      </c>
      <c r="I6847" s="23" t="s">
        <v>944</v>
      </c>
      <c r="J6847" s="23" t="s">
        <v>945</v>
      </c>
      <c r="K6847" s="23" t="s">
        <v>946</v>
      </c>
      <c r="L6847" s="4" t="s">
        <v>47</v>
      </c>
    </row>
    <row r="6848" customFormat="false" ht="17.15" hidden="false" customHeight="false" outlineLevel="0" collapsed="false">
      <c r="A6848" s="1" t="s">
        <v>947</v>
      </c>
      <c r="B6848" s="1" t="s">
        <v>279</v>
      </c>
      <c r="C6848" s="21" t="n">
        <v>2024</v>
      </c>
      <c r="D6848" s="21" t="n">
        <v>2025</v>
      </c>
      <c r="E6848" s="21" t="n">
        <v>2026</v>
      </c>
      <c r="F6848" s="21" t="n">
        <v>2027</v>
      </c>
      <c r="G6848" s="21" t="n">
        <v>2028</v>
      </c>
      <c r="H6848" s="21" t="n">
        <v>2029</v>
      </c>
      <c r="I6848" s="21" t="n">
        <v>2030</v>
      </c>
      <c r="J6848" s="21" t="n">
        <v>2031</v>
      </c>
      <c r="K6848" s="21" t="n">
        <v>2032</v>
      </c>
    </row>
    <row r="6849" customFormat="false" ht="17.15" hidden="false" customHeight="false" outlineLevel="0" collapsed="false">
      <c r="A6849" s="1" t="s">
        <v>948</v>
      </c>
      <c r="B6849" s="0" t="s">
        <v>456</v>
      </c>
      <c r="F6849" s="30" t="n">
        <f aca="false">pace</f>
        <v>2726.5351</v>
      </c>
      <c r="G6849" s="30" t="n">
        <f aca="false">pace</f>
        <v>2726.5351</v>
      </c>
      <c r="H6849" s="30" t="n">
        <f aca="false">pace</f>
        <v>2726.5351</v>
      </c>
      <c r="I6849" s="30" t="n">
        <f aca="false">pace+(g_tv*Sens!H6850-pace)*MIN(1,(Sens!I6848-pace_y0)/(pace_y1-pace_y0))</f>
        <v>1931.98611966667</v>
      </c>
      <c r="J6849" s="30" t="n">
        <f aca="false">pace+(g_tv*Sens!I6850-pace)*MIN(1,(Sens!J6848-pace_y0)/(pace_y1-pace_y0))</f>
        <v>1176.07686172667</v>
      </c>
      <c r="K6849" s="30" t="n">
        <f aca="false">pace+(g_tv*Sens!J6850-pace)*MIN(1,(Sens!K6848-pace_y0)/(pace_y1-pace_y0))</f>
        <v>436.1300484418</v>
      </c>
      <c r="L6849" s="12" t="s">
        <v>949</v>
      </c>
    </row>
    <row r="6850" customFormat="false" ht="17.15" hidden="false" customHeight="false" outlineLevel="0" collapsed="false">
      <c r="A6850" s="1" t="s">
        <v>950</v>
      </c>
      <c r="B6850" s="0" t="s">
        <v>456</v>
      </c>
      <c r="C6850" s="30" t="n">
        <f aca="false">mw_ext_24</f>
        <v>640</v>
      </c>
      <c r="D6850" s="30" t="n">
        <f aca="false">mw_ext_25</f>
        <v>1630</v>
      </c>
      <c r="E6850" s="30" t="n">
        <f aca="false">mw_ext_26</f>
        <v>3250</v>
      </c>
      <c r="F6850" s="30" t="n">
        <f aca="false">Sens!E6850+Sens!F6849</f>
        <v>5976.5351</v>
      </c>
      <c r="G6850" s="30" t="n">
        <f aca="false">Sens!F6850+Sens!G6849</f>
        <v>8703.0702</v>
      </c>
      <c r="H6850" s="30" t="n">
        <f aca="false">Sens!G6850+Sens!H6849</f>
        <v>11429.6053</v>
      </c>
      <c r="I6850" s="30" t="n">
        <f aca="false">Sens!H6850+Sens!I6849</f>
        <v>13361.5914196667</v>
      </c>
      <c r="J6850" s="30" t="n">
        <f aca="false">Sens!I6850+Sens!J6849</f>
        <v>14537.6682813933</v>
      </c>
      <c r="K6850" s="30" t="n">
        <f aca="false">Sens!J6850+Sens!K6849</f>
        <v>14973.7983298351</v>
      </c>
      <c r="L6850" s="1" t="s">
        <v>951</v>
      </c>
    </row>
    <row r="6851" customFormat="false" ht="17.15" hidden="false" customHeight="false" outlineLevel="0" collapsed="false">
      <c r="A6851" s="1" t="s">
        <v>952</v>
      </c>
      <c r="B6851" s="0" t="s">
        <v>456</v>
      </c>
      <c r="C6851" s="30" t="n">
        <f aca="false">rent_ext_24</f>
        <v>150</v>
      </c>
      <c r="D6851" s="30" t="n">
        <f aca="false">rent_ext_25</f>
        <v>400</v>
      </c>
      <c r="E6851" s="30" t="n">
        <f aca="false">rent_ext_26</f>
        <v>550</v>
      </c>
      <c r="F6851" s="30" t="n">
        <f aca="false">rent_ext_f</f>
        <v>756</v>
      </c>
      <c r="G6851" s="30" t="n">
        <f aca="false">rent_ext_f</f>
        <v>756</v>
      </c>
      <c r="H6851" s="30" t="n">
        <f aca="false">rent_ext_f</f>
        <v>756</v>
      </c>
      <c r="I6851" s="30" t="n">
        <f aca="false">rent_ext_f</f>
        <v>756</v>
      </c>
      <c r="J6851" s="30" t="n">
        <f aca="false">rent_ext_f</f>
        <v>756</v>
      </c>
      <c r="K6851" s="30" t="n">
        <f aca="false">rent_ext_f</f>
        <v>756</v>
      </c>
      <c r="L6851" s="1" t="s">
        <v>953</v>
      </c>
    </row>
    <row r="6852" customFormat="false" ht="17.15" hidden="false" customHeight="false" outlineLevel="0" collapsed="false">
      <c r="A6852" s="1" t="s">
        <v>954</v>
      </c>
      <c r="B6852" s="0" t="s">
        <v>456</v>
      </c>
      <c r="C6852" s="30" t="n">
        <f aca="false">Sens!C6850-Sens!C6851</f>
        <v>490</v>
      </c>
      <c r="D6852" s="30" t="n">
        <f aca="false">Sens!D6850-Sens!D6851</f>
        <v>1230</v>
      </c>
      <c r="E6852" s="30" t="n">
        <f aca="false">Sens!E6850-Sens!E6851</f>
        <v>2700</v>
      </c>
      <c r="F6852" s="30" t="n">
        <f aca="false">Sens!F6850-Sens!F6851</f>
        <v>5220.5351</v>
      </c>
      <c r="G6852" s="30" t="n">
        <f aca="false">Sens!G6850-Sens!G6851</f>
        <v>7947.0702</v>
      </c>
      <c r="H6852" s="30" t="n">
        <f aca="false">Sens!H6850-Sens!H6851</f>
        <v>10673.6053</v>
      </c>
      <c r="I6852" s="30" t="n">
        <f aca="false">Sens!I6850-Sens!I6851</f>
        <v>12605.5914196667</v>
      </c>
      <c r="J6852" s="30" t="n">
        <f aca="false">Sens!J6850-Sens!J6851</f>
        <v>13781.6682813933</v>
      </c>
      <c r="K6852" s="30" t="n">
        <f aca="false">Sens!K6850-Sens!K6851</f>
        <v>14217.7983298351</v>
      </c>
    </row>
    <row r="6853" customFormat="false" ht="17.15" hidden="false" customHeight="false" outlineLevel="0" collapsed="false">
      <c r="A6853" s="1" t="s">
        <v>955</v>
      </c>
      <c r="B6853" s="0" t="s">
        <v>456</v>
      </c>
      <c r="C6853" s="30" t="n">
        <f aca="false">Sens!C6852/ext_sh</f>
        <v>816.666666666667</v>
      </c>
      <c r="D6853" s="30" t="n">
        <f aca="false">Sens!D6852/ext_sh</f>
        <v>2050</v>
      </c>
      <c r="E6853" s="30" t="n">
        <f aca="false">Sens!E6852/ext_sh</f>
        <v>4500</v>
      </c>
      <c r="F6853" s="30" t="n">
        <f aca="false">Sens!F6852/ext_sh</f>
        <v>8700.89183333333</v>
      </c>
      <c r="G6853" s="30" t="n">
        <f aca="false">Sens!G6852/ext_sh</f>
        <v>13245.117</v>
      </c>
      <c r="H6853" s="30" t="n">
        <f aca="false">Sens!H6852/ext_sh</f>
        <v>17789.3421666667</v>
      </c>
      <c r="I6853" s="30" t="n">
        <f aca="false">Sens!I6852/ext_sh</f>
        <v>21009.3190327778</v>
      </c>
      <c r="J6853" s="30" t="n">
        <f aca="false">Sens!J6852/ext_sh</f>
        <v>22969.4471356556</v>
      </c>
      <c r="K6853" s="30" t="n">
        <f aca="false">Sens!K6852/ext_sh</f>
        <v>23696.3305497252</v>
      </c>
      <c r="L6853" s="1" t="s">
        <v>956</v>
      </c>
    </row>
    <row r="6854" customFormat="false" ht="17.15" hidden="false" customHeight="false" outlineLevel="0" collapsed="false">
      <c r="A6854" s="1" t="s">
        <v>957</v>
      </c>
      <c r="B6854" s="0" t="s">
        <v>456</v>
      </c>
      <c r="C6854" s="30" t="n">
        <f aca="false">Sens!C6853-Sens!C6852</f>
        <v>326.666666666667</v>
      </c>
      <c r="D6854" s="30" t="n">
        <f aca="false">Sens!D6853-Sens!D6852</f>
        <v>820</v>
      </c>
      <c r="E6854" s="30" t="n">
        <f aca="false">Sens!E6853-Sens!E6852</f>
        <v>1800</v>
      </c>
      <c r="F6854" s="30" t="n">
        <f aca="false">Sens!F6853-Sens!F6852</f>
        <v>3480.35673333333</v>
      </c>
      <c r="G6854" s="30" t="n">
        <f aca="false">Sens!G6853-Sens!G6852</f>
        <v>5298.0468</v>
      </c>
      <c r="H6854" s="30" t="n">
        <f aca="false">Sens!H6853-Sens!H6852</f>
        <v>7115.73686666667</v>
      </c>
      <c r="I6854" s="30" t="n">
        <f aca="false">Sens!I6853-Sens!I6852</f>
        <v>8403.72761311111</v>
      </c>
      <c r="J6854" s="30" t="n">
        <f aca="false">Sens!J6853-Sens!J6852</f>
        <v>9187.77885426222</v>
      </c>
      <c r="K6854" s="30" t="n">
        <f aca="false">Sens!K6853-Sens!K6852</f>
        <v>9478.53221989009</v>
      </c>
    </row>
    <row r="6855" customFormat="false" ht="17.15" hidden="false" customHeight="false" outlineLevel="0" collapsed="false">
      <c r="A6855" s="1" t="s">
        <v>958</v>
      </c>
      <c r="B6855" s="0" t="s">
        <v>456</v>
      </c>
      <c r="C6855" s="30" t="n">
        <f aca="false">Sens!C6853</f>
        <v>816.666666666667</v>
      </c>
      <c r="D6855" s="30" t="n">
        <f aca="false">Sens!D6853-Sens!C6853</f>
        <v>1233.33333333333</v>
      </c>
      <c r="E6855" s="30" t="n">
        <f aca="false">Sens!E6853-Sens!D6853</f>
        <v>2450</v>
      </c>
      <c r="F6855" s="30" t="n">
        <f aca="false">Sens!F6853-Sens!E6853</f>
        <v>4200.89183333333</v>
      </c>
      <c r="G6855" s="30" t="n">
        <f aca="false">Sens!G6853-Sens!F6853</f>
        <v>4544.22516666667</v>
      </c>
      <c r="H6855" s="30" t="n">
        <f aca="false">Sens!H6853-Sens!G6853</f>
        <v>4544.22516666667</v>
      </c>
      <c r="I6855" s="30" t="n">
        <f aca="false">Sens!I6853-Sens!H6853</f>
        <v>3219.97686611111</v>
      </c>
      <c r="J6855" s="30" t="n">
        <f aca="false">Sens!J6853-Sens!I6853</f>
        <v>1960.12810287778</v>
      </c>
      <c r="K6855" s="30" t="n">
        <f aca="false">Sens!K6853-Sens!J6853</f>
        <v>726.883414069667</v>
      </c>
    </row>
    <row r="6856" customFormat="false" ht="17.15" hidden="false" customHeight="false" outlineLevel="0" collapsed="false">
      <c r="A6856" s="1" t="s">
        <v>959</v>
      </c>
      <c r="B6856" s="0" t="s">
        <v>456</v>
      </c>
      <c r="D6856" s="30" t="n">
        <f aca="false">Sens!D6850-Sens!C6850</f>
        <v>990</v>
      </c>
      <c r="E6856" s="30" t="n">
        <f aca="false">Sens!E6850-Sens!D6850</f>
        <v>1620</v>
      </c>
      <c r="F6856" s="30" t="n">
        <f aca="false">Sens!F6850-Sens!E6850</f>
        <v>2726.5351</v>
      </c>
      <c r="G6856" s="30" t="n">
        <f aca="false">Sens!G6850-Sens!F6850</f>
        <v>2726.5351</v>
      </c>
      <c r="H6856" s="30" t="n">
        <f aca="false">Sens!H6850-Sens!G6850</f>
        <v>2726.5351</v>
      </c>
      <c r="I6856" s="30" t="n">
        <f aca="false">Sens!I6850-Sens!H6850</f>
        <v>1931.98611966667</v>
      </c>
      <c r="J6856" s="30" t="n">
        <f aca="false">Sens!J6850-Sens!I6850</f>
        <v>1176.07686172667</v>
      </c>
      <c r="K6856" s="30" t="n">
        <f aca="false">Sens!K6850-Sens!J6850</f>
        <v>436.130048441799</v>
      </c>
    </row>
    <row r="6857" customFormat="false" ht="17.15" hidden="false" customHeight="false" outlineLevel="0" collapsed="false">
      <c r="A6857" s="1" t="s">
        <v>960</v>
      </c>
      <c r="B6857" s="0" t="s">
        <v>456</v>
      </c>
      <c r="F6857" s="30" t="n">
        <f aca="false">Sens!F6876*ext_sh</f>
        <v>0</v>
      </c>
      <c r="G6857" s="30" t="n">
        <f aca="false">Sens!G6876*ext_sh</f>
        <v>0</v>
      </c>
      <c r="H6857" s="30" t="n">
        <f aca="false">Sens!H6876*ext_sh</f>
        <v>0</v>
      </c>
      <c r="I6857" s="30" t="n">
        <f aca="false">Sens!I6876*ext_sh</f>
        <v>490</v>
      </c>
      <c r="J6857" s="30" t="n">
        <f aca="false">Sens!J6876*ext_sh</f>
        <v>740</v>
      </c>
      <c r="K6857" s="30" t="n">
        <f aca="false">Sens!K6876*ext_sh</f>
        <v>1470</v>
      </c>
      <c r="L6857" s="1" t="s">
        <v>961</v>
      </c>
    </row>
    <row r="6858" customFormat="false" ht="17.15" hidden="false" customHeight="false" outlineLevel="0" collapsed="false">
      <c r="A6858" s="1" t="s">
        <v>962</v>
      </c>
      <c r="B6858" s="0" t="s">
        <v>456</v>
      </c>
      <c r="C6858" s="30" t="n">
        <f aca="false">mix_h*Sens!C6850</f>
        <v>128</v>
      </c>
      <c r="D6858" s="30" t="n">
        <f aca="false">mix_h*Sens!D6850</f>
        <v>326</v>
      </c>
      <c r="E6858" s="30" t="n">
        <f aca="false">mix_h*Sens!E6850</f>
        <v>650</v>
      </c>
      <c r="F6858" s="30" t="n">
        <f aca="false">Sens!E6858-Sens!F6857*mix_h</f>
        <v>650</v>
      </c>
      <c r="G6858" s="30" t="n">
        <f aca="false">Sens!F6858-Sens!G6857*mix_h</f>
        <v>650</v>
      </c>
      <c r="H6858" s="30" t="n">
        <f aca="false">Sens!G6858-Sens!H6857*mix_h</f>
        <v>650</v>
      </c>
      <c r="I6858" s="30" t="n">
        <f aca="false">Sens!H6858-Sens!I6857*mix_h</f>
        <v>552</v>
      </c>
      <c r="J6858" s="30" t="n">
        <f aca="false">Sens!I6858-Sens!J6857*mix_h</f>
        <v>404</v>
      </c>
      <c r="K6858" s="30" t="n">
        <f aca="false">Sens!J6858-Sens!K6857*mix_h</f>
        <v>110</v>
      </c>
    </row>
    <row r="6859" customFormat="false" ht="17.15" hidden="false" customHeight="false" outlineLevel="0" collapsed="false">
      <c r="A6859" s="1" t="s">
        <v>963</v>
      </c>
      <c r="B6859" s="0" t="s">
        <v>456</v>
      </c>
      <c r="C6859" s="30" t="n">
        <f aca="false">mix_g2*Sens!C6850</f>
        <v>288</v>
      </c>
      <c r="D6859" s="30" t="n">
        <f aca="false">mix_g2*Sens!D6850</f>
        <v>733.5</v>
      </c>
      <c r="E6859" s="30" t="n">
        <f aca="false">mix_g2*Sens!E6850</f>
        <v>1462.5</v>
      </c>
      <c r="F6859" s="30" t="n">
        <f aca="false">Sens!E6859-Sens!F6857*mix_g2</f>
        <v>1462.5</v>
      </c>
      <c r="G6859" s="30" t="n">
        <f aca="false">Sens!F6859-Sens!G6857*mix_g2</f>
        <v>1462.5</v>
      </c>
      <c r="H6859" s="30" t="n">
        <f aca="false">Sens!G6859-Sens!H6857*mix_g2</f>
        <v>1462.5</v>
      </c>
      <c r="I6859" s="30" t="n">
        <f aca="false">Sens!H6859-Sens!I6857*mix_g2</f>
        <v>1242</v>
      </c>
      <c r="J6859" s="30" t="n">
        <f aca="false">Sens!I6859-Sens!J6857*mix_g2</f>
        <v>909</v>
      </c>
      <c r="K6859" s="30" t="n">
        <f aca="false">Sens!J6859-Sens!K6857*mix_g2</f>
        <v>247.5</v>
      </c>
    </row>
    <row r="6860" customFormat="false" ht="17.15" hidden="false" customHeight="false" outlineLevel="0" collapsed="false">
      <c r="A6860" s="1" t="s">
        <v>964</v>
      </c>
      <c r="B6860" s="0" t="s">
        <v>456</v>
      </c>
      <c r="C6860" s="30" t="n">
        <f aca="false">mix_g3*Sens!C6850</f>
        <v>224</v>
      </c>
      <c r="D6860" s="30" t="n">
        <f aca="false">mix_g3*Sens!D6850</f>
        <v>570.5</v>
      </c>
      <c r="E6860" s="30" t="n">
        <f aca="false">mix_g3*Sens!E6850</f>
        <v>1137.5</v>
      </c>
      <c r="F6860" s="30" t="n">
        <f aca="false">Sens!E6860+(Sens!F6856+Sens!F6857)*(a_g3_27-nonnv*a_mai)-Sens!F6857*mix_g3</f>
        <v>2773.42106</v>
      </c>
      <c r="G6860" s="30" t="n">
        <f aca="false">Sens!F6860+(Sens!G6856+Sens!G6857)*(a_g3_28-nonnv*a_mai)-Sens!G6857*mix_g3</f>
        <v>3318.72808</v>
      </c>
      <c r="H6860" s="30" t="n">
        <f aca="false">Sens!G6860+(Sens!H6856+Sens!H6857)*(a_g3_29-nonnv*a_mai)-Sens!H6857*mix_g3</f>
        <v>3318.72808</v>
      </c>
      <c r="I6860" s="30" t="n">
        <f aca="false">Sens!H6860+(Sens!I6856+Sens!I6857)*(a_g3_29-nonnv*a_mai)-Sens!I6857*mix_g3</f>
        <v>3147.22808</v>
      </c>
      <c r="J6860" s="30" t="n">
        <f aca="false">Sens!I6860+(Sens!J6856+Sens!J6857)*(a_g3_29-nonnv*a_mai)-Sens!J6857*mix_g3</f>
        <v>2888.22808</v>
      </c>
      <c r="K6860" s="30" t="n">
        <f aca="false">Sens!J6860+(Sens!K6856+Sens!K6857)*(a_g3_29-nonnv*a_mai)-Sens!K6857*mix_g3</f>
        <v>2373.72808</v>
      </c>
    </row>
    <row r="6861" customFormat="false" ht="17.15" hidden="false" customHeight="false" outlineLevel="0" collapsed="false">
      <c r="A6861" s="1" t="s">
        <v>965</v>
      </c>
      <c r="B6861" s="0" t="s">
        <v>456</v>
      </c>
      <c r="C6861" s="30" t="n">
        <v>0</v>
      </c>
      <c r="D6861" s="30" t="n">
        <v>0</v>
      </c>
      <c r="E6861" s="30" t="n">
        <v>0</v>
      </c>
      <c r="F6861" s="30" t="n">
        <f aca="false">Sens!E6861+(Sens!F6856+Sens!F6857)*nonnv*a_mai</f>
        <v>272.65351</v>
      </c>
      <c r="G6861" s="30" t="n">
        <f aca="false">Sens!F6861+(Sens!G6856+Sens!G6857)*nonnv*a_mai</f>
        <v>545.30702</v>
      </c>
      <c r="H6861" s="30" t="n">
        <f aca="false">Sens!G6861+(Sens!H6856+Sens!H6857)*nonnv*a_mai</f>
        <v>817.96053</v>
      </c>
      <c r="I6861" s="30" t="n">
        <f aca="false">Sens!H6861+(Sens!I6856+Sens!I6857)*nonnv*a_mai</f>
        <v>1060.15914196667</v>
      </c>
      <c r="J6861" s="30" t="n">
        <f aca="false">Sens!I6861+(Sens!J6856+Sens!J6857)*nonnv*a_mai</f>
        <v>1251.76682813933</v>
      </c>
      <c r="K6861" s="30" t="n">
        <f aca="false">Sens!J6861+(Sens!K6856+Sens!K6857)*nonnv*a_mai</f>
        <v>1442.37983298351</v>
      </c>
      <c r="L6861" s="12" t="s">
        <v>966</v>
      </c>
    </row>
    <row r="6862" customFormat="false" ht="17.15" hidden="false" customHeight="false" outlineLevel="0" collapsed="false">
      <c r="A6862" s="1" t="s">
        <v>967</v>
      </c>
      <c r="B6862" s="0" t="s">
        <v>456</v>
      </c>
      <c r="C6862" s="30" t="n">
        <v>0</v>
      </c>
      <c r="D6862" s="30" t="n">
        <v>0</v>
      </c>
      <c r="E6862" s="30" t="n">
        <v>0</v>
      </c>
      <c r="F6862" s="30" t="n">
        <f aca="false">Sens!E6862+(Sens!F6856+Sens!F6857)*(1-a_g3_27)</f>
        <v>817.96053</v>
      </c>
      <c r="G6862" s="30" t="n">
        <f aca="false">Sens!F6862+(Sens!G6856+Sens!G6857)*(1-a_g3_28)</f>
        <v>2726.5351</v>
      </c>
      <c r="H6862" s="30" t="n">
        <f aca="false">Sens!G6862+(Sens!H6856+Sens!H6857)*(1-a_g3_29)</f>
        <v>5180.41669</v>
      </c>
      <c r="I6862" s="30" t="n">
        <f aca="false">Sens!H6862+(Sens!I6856+Sens!I6857)*(1-a_g3_29)</f>
        <v>7360.2041977</v>
      </c>
      <c r="J6862" s="30" t="n">
        <f aca="false">Sens!I6862+(Sens!J6856+Sens!J6857)*(1-a_g3_29)</f>
        <v>9084.673373254</v>
      </c>
      <c r="K6862" s="30" t="n">
        <f aca="false">Sens!J6862+(Sens!K6856+Sens!K6857)*(1-a_g3_29)</f>
        <v>10800.1904168516</v>
      </c>
    </row>
    <row r="6863" customFormat="false" ht="17.15" hidden="false" customHeight="false" outlineLevel="0" collapsed="false">
      <c r="A6863" s="1" t="s">
        <v>968</v>
      </c>
      <c r="B6863" s="0" t="s">
        <v>403</v>
      </c>
      <c r="C6863" s="15" t="n">
        <f aca="false">(Sens!C6858*tk_hold_h100+Sens!C6859*tk_hold_gb200+Sens!C6860*tk_hold_gb300+Sens!C6862*tk_hold_vr200+Sens!C6861*nv_hold_mai*tk_hold_vr200)/Sens!C6850</f>
        <v>9.7235358126469</v>
      </c>
      <c r="D6863" s="15" t="n">
        <f aca="false">(Sens!D6858*tk_hold_h100+Sens!D6859*tk_hold_gb200+Sens!D6860*tk_hold_gb300+Sens!D6862*tk_hold_vr200+Sens!D6861*nv_hold_mai*tk_hold_vr200)/Sens!D6850</f>
        <v>9.7235358126469</v>
      </c>
      <c r="E6863" s="15" t="n">
        <f aca="false">(Sens!E6858*tk_hold_h100+Sens!E6859*tk_hold_gb200+Sens!E6860*tk_hold_gb300+Sens!E6862*tk_hold_vr200+Sens!E6861*nv_hold_mai*tk_hold_vr200)/Sens!E6850</f>
        <v>9.7235358126469</v>
      </c>
      <c r="F6863" s="15" t="n">
        <f aca="false">(Sens!F6858*tk_hold_h100+Sens!F6859*tk_hold_gb200+Sens!F6860*tk_hold_gb300+Sens!F6862*tk_hold_vr200+Sens!F6861*nv_hold_mai*tk_hold_vr200)/Sens!F6850</f>
        <v>10.2195353876665</v>
      </c>
      <c r="G6863" s="15" t="n">
        <f aca="false">(Sens!G6858*tk_hold_h100+Sens!G6859*tk_hold_gb200+Sens!G6860*tk_hold_gb300+Sens!G6862*tk_hold_vr200+Sens!G6861*nv_hold_mai*tk_hold_vr200)/Sens!G6850</f>
        <v>10.5725598017306</v>
      </c>
      <c r="H6863" s="15" t="n">
        <f aca="false">(Sens!H6858*tk_hold_h100+Sens!H6859*tk_hold_gb200+Sens!H6860*tk_hold_gb300+Sens!H6862*tk_hold_vr200+Sens!H6861*nv_hold_mai*tk_hold_vr200)/Sens!H6850</f>
        <v>10.8210427149036</v>
      </c>
      <c r="I6863" s="15" t="n">
        <f aca="false">(Sens!I6858*tk_hold_h100+Sens!I6859*tk_hold_gb200+Sens!I6860*tk_hold_gb300+Sens!I6862*tk_hold_vr200+Sens!I6861*nv_hold_mai*tk_hold_vr200)/Sens!I6850</f>
        <v>11.0050618241982</v>
      </c>
      <c r="J6863" s="15" t="n">
        <f aca="false">(Sens!J6858*tk_hold_h100+Sens!J6859*tk_hold_gb200+Sens!J6860*tk_hold_gb300+Sens!J6862*tk_hold_vr200+Sens!J6861*nv_hold_mai*tk_hold_vr200)/Sens!J6850</f>
        <v>11.1505789658881</v>
      </c>
      <c r="K6863" s="15" t="n">
        <f aca="false">(Sens!K6858*tk_hold_h100+Sens!K6859*tk_hold_gb200+Sens!K6860*tk_hold_gb300+Sens!K6862*tk_hold_vr200+Sens!K6861*nv_hold_mai*tk_hold_vr200)/Sens!K6850</f>
        <v>11.3496914757183</v>
      </c>
      <c r="L6863" s="1" t="s">
        <v>969</v>
      </c>
    </row>
    <row r="6864" customFormat="false" ht="17.15" hidden="false" customHeight="false" outlineLevel="0" collapsed="false">
      <c r="A6864" s="1" t="s">
        <v>970</v>
      </c>
      <c r="B6864" s="0" t="s">
        <v>403</v>
      </c>
      <c r="C6864" s="15" t="n">
        <f aca="false">(Sens!C6858*tk_hold_h100+Sens!C6859*tk_hold_gb200+Sens!C6860*tk_hold_gb300+Sens!C6862*tk_hold_vr200+Sens!C6861*nv_out_mai*tk_hold_vr200)/Sens!C6850</f>
        <v>9.7235358126469</v>
      </c>
      <c r="D6864" s="15" t="n">
        <f aca="false">(Sens!D6858*tk_hold_h100+Sens!D6859*tk_hold_gb200+Sens!D6860*tk_hold_gb300+Sens!D6862*tk_hold_vr200+Sens!D6861*nv_out_mai*tk_hold_vr200)/Sens!D6850</f>
        <v>9.7235358126469</v>
      </c>
      <c r="E6864" s="15" t="n">
        <f aca="false">(Sens!E6858*tk_hold_h100+Sens!E6859*tk_hold_gb200+Sens!E6860*tk_hold_gb300+Sens!E6862*tk_hold_vr200+Sens!E6861*nv_out_mai*tk_hold_vr200)/Sens!E6850</f>
        <v>9.7235358126469</v>
      </c>
      <c r="F6864" s="15" t="n">
        <f aca="false">(Sens!F6858*tk_hold_h100+Sens!F6859*tk_hold_gb200+Sens!F6860*tk_hold_gb300+Sens!F6862*tk_hold_vr200+Sens!F6861*nv_out_mai*tk_hold_vr200)/Sens!F6850</f>
        <v>10.247422093969</v>
      </c>
      <c r="G6864" s="15" t="n">
        <f aca="false">(Sens!G6858*tk_hold_h100+Sens!G6859*tk_hold_gb200+Sens!G6860*tk_hold_gb300+Sens!G6862*tk_hold_vr200+Sens!G6861*nv_out_mai*tk_hold_vr200)/Sens!G6850</f>
        <v>10.6108602808053</v>
      </c>
      <c r="H6864" s="15" t="n">
        <f aca="false">(Sens!H6858*tk_hold_h100+Sens!H6859*tk_hold_gb200+Sens!H6860*tk_hold_gb300+Sens!H6862*tk_hold_vr200+Sens!H6861*nv_out_mai*tk_hold_vr200)/Sens!H6850</f>
        <v>10.8647885507393</v>
      </c>
      <c r="I6864" s="15" t="n">
        <f aca="false">(Sens!I6858*tk_hold_h100+Sens!I6859*tk_hold_gb200+Sens!I6860*tk_hold_gb300+Sens!I6862*tk_hold_vr200+Sens!I6861*nv_out_mai*tk_hold_vr200)/Sens!I6850</f>
        <v>11.0535625770025</v>
      </c>
      <c r="J6864" s="15" t="n">
        <f aca="false">(Sens!J6858*tk_hold_h100+Sens!J6859*tk_hold_gb200+Sens!J6860*tk_hold_gb300+Sens!J6862*tk_hold_vr200+Sens!J6861*nv_out_mai*tk_hold_vr200)/Sens!J6850</f>
        <v>11.2032127128058</v>
      </c>
      <c r="K6864" s="15" t="n">
        <f aca="false">(Sens!K6858*tk_hold_h100+Sens!K6859*tk_hold_gb200+Sens!K6860*tk_hold_gb300+Sens!K6862*tk_hold_vr200+Sens!K6861*nv_out_mai*tk_hold_vr200)/Sens!K6850</f>
        <v>11.4085735724225</v>
      </c>
      <c r="L6864" s="12" t="s">
        <v>971</v>
      </c>
    </row>
    <row r="6865" customFormat="false" ht="17.15" hidden="false" customHeight="false" outlineLevel="0" collapsed="false">
      <c r="A6865" s="0" t="s">
        <v>972</v>
      </c>
      <c r="B6865" s="0" t="s">
        <v>229</v>
      </c>
      <c r="C6865" s="15" t="n">
        <f aca="false">k_B</f>
        <v>1.17213932619116</v>
      </c>
      <c r="D6865" s="15" t="n">
        <f aca="false">k_B</f>
        <v>1.17213932619116</v>
      </c>
      <c r="E6865" s="15" t="n">
        <f aca="false">k_B</f>
        <v>1.17213932619116</v>
      </c>
      <c r="F6865" s="15" t="n">
        <f aca="false">(k_B+((ls_B*k_long+(1-ls_B)*k_spot)-k_B)*MIN(1,(Sens!F6848-base_fy)/k_ramp))</f>
        <v>1.17213932619116</v>
      </c>
      <c r="G6865" s="15" t="n">
        <f aca="false">(k_B+((ls_B*k_long+(1-ls_B)*k_spot)-k_B)*MIN(1,(Sens!G6848-base_fy)/k_ramp))</f>
        <v>1.17213932619116</v>
      </c>
      <c r="H6865" s="15" t="n">
        <f aca="false">(k_B+((ls_B*k_long+(1-ls_B)*k_spot)-k_B)*MIN(1,(Sens!H6848-base_fy)/k_ramp))</f>
        <v>1.17213932619116</v>
      </c>
      <c r="I6865" s="15" t="n">
        <f aca="false">(k_B+((ls_B*k_long+(1-ls_B)*k_spot)-k_B)*MIN(1,(Sens!I6848-base_fy)/k_ramp))</f>
        <v>1.17213932619116</v>
      </c>
      <c r="J6865" s="15" t="n">
        <f aca="false">(k_B+((ls_B*k_long+(1-ls_B)*k_spot)-k_B)*MIN(1,(Sens!J6848-base_fy)/k_ramp))</f>
        <v>1.17213932619116</v>
      </c>
      <c r="K6865" s="15" t="n">
        <f aca="false">(k_B+((ls_B*k_long+(1-ls_B)*k_spot)-k_B)*MIN(1,(Sens!K6848-base_fy)/k_ramp))</f>
        <v>1.17213932619116</v>
      </c>
      <c r="L6865" s="1" t="s">
        <v>973</v>
      </c>
    </row>
    <row r="6866" customFormat="false" ht="17.15" hidden="false" customHeight="false" outlineLevel="0" collapsed="false">
      <c r="A6866" s="1" t="s">
        <v>974</v>
      </c>
      <c r="B6866" s="0" t="s">
        <v>403</v>
      </c>
      <c r="C6866" s="15" t="n">
        <f aca="false">Sens!C6864*Sens!C6865*chip_f</f>
        <v>11.3973387156315</v>
      </c>
      <c r="D6866" s="15" t="n">
        <f aca="false">Sens!D6864*Sens!D6865*chip_f</f>
        <v>11.3973387156315</v>
      </c>
      <c r="E6866" s="15" t="n">
        <f aca="false">Sens!E6864*Sens!E6865*chip_f</f>
        <v>11.3973387156315</v>
      </c>
      <c r="F6866" s="15" t="n">
        <f aca="false">Sens!F6864*Sens!F6865*chip_f</f>
        <v>12.0114064284211</v>
      </c>
      <c r="G6866" s="15" t="n">
        <f aca="false">Sens!G6864*Sens!G6865*chip_f</f>
        <v>12.4374066198516</v>
      </c>
      <c r="H6866" s="15" t="n">
        <f aca="false">Sens!H6864*Sens!H6865*chip_f</f>
        <v>12.735045931073</v>
      </c>
      <c r="I6866" s="15" t="n">
        <f aca="false">Sens!I6864*Sens!I6865*chip_f</f>
        <v>12.9563153910195</v>
      </c>
      <c r="J6866" s="15" t="n">
        <f aca="false">Sens!J6864*Sens!J6865*chip_f</f>
        <v>13.1317262003643</v>
      </c>
      <c r="K6866" s="15" t="n">
        <f aca="false">Sens!K6864*Sens!K6865*chip_f</f>
        <v>13.3724377399815</v>
      </c>
      <c r="L6866" s="1" t="s">
        <v>975</v>
      </c>
    </row>
    <row r="6867" customFormat="false" ht="17.15" hidden="false" customHeight="false" outlineLevel="0" collapsed="false">
      <c r="A6867" s="0" t="s">
        <v>976</v>
      </c>
      <c r="B6867" s="0" t="s">
        <v>98</v>
      </c>
      <c r="D6867" s="6" t="n">
        <f aca="false">(Sens!C6850+Sens!D6850)/2*Sens!D6866/1000</f>
        <v>12.9359794422418</v>
      </c>
      <c r="E6867" s="6" t="n">
        <f aca="false">(Sens!D6850+Sens!E6850)/2*Sens!E6866/1000</f>
        <v>27.8095064661409</v>
      </c>
      <c r="F6867" s="6" t="n">
        <f aca="false">(Sens!E6850+Sens!F6850)/2*Sens!F6866/1000</f>
        <v>55.4118315060966</v>
      </c>
      <c r="G6867" s="6" t="n">
        <f aca="false">(Sens!F6850+Sens!G6850)/2*Sens!G6866/1000</f>
        <v>91.2881100675143</v>
      </c>
      <c r="H6867" s="6" t="n">
        <f aca="false">(Sens!G6850+Sens!H6850)/2*Sens!H6866/1000</f>
        <v>128.195273603944</v>
      </c>
      <c r="I6867" s="6" t="n">
        <f aca="false">(Sens!H6850+Sens!I6850)/2*Sens!I6866/1000</f>
        <v>160.601281810405</v>
      </c>
      <c r="J6867" s="6" t="n">
        <f aca="false">(Sens!I6850+Sens!J6850)/2*Sens!J6866/1000</f>
        <v>183.182719793589</v>
      </c>
      <c r="K6867" s="6" t="n">
        <f aca="false">(Sens!J6850+Sens!K6850)/2*Sens!K6866/1000</f>
        <v>197.320124937098</v>
      </c>
      <c r="L6867" s="12" t="s">
        <v>977</v>
      </c>
    </row>
    <row r="6868" customFormat="false" ht="17.15" hidden="false" customHeight="false" outlineLevel="0" collapsed="false">
      <c r="A6868" s="1" t="s">
        <v>978</v>
      </c>
      <c r="B6868" s="0" t="s">
        <v>403</v>
      </c>
      <c r="C6868" s="15" t="n">
        <f aca="false">(Sens!C6858*tk_opex_h100+Sens!C6859*tk_opex_gb200+Sens!C6860*tk_opex_gb300+(Sens!C6862+Sens!C6861)*tk_opex_vr200)/Sens!C6850</f>
        <v>1.88636041306092</v>
      </c>
      <c r="D6868" s="15" t="n">
        <f aca="false">(Sens!D6858*tk_opex_h100+Sens!D6859*tk_opex_gb200+Sens!D6860*tk_opex_gb300+(Sens!D6862+Sens!D6861)*tk_opex_vr200)/Sens!D6850</f>
        <v>1.88636041306092</v>
      </c>
      <c r="E6868" s="15" t="n">
        <f aca="false">(Sens!E6858*tk_opex_h100+Sens!E6859*tk_opex_gb200+Sens!E6860*tk_opex_gb300+(Sens!E6862+Sens!E6861)*tk_opex_vr200)/Sens!E6850</f>
        <v>1.88636041306092</v>
      </c>
      <c r="F6868" s="15" t="n">
        <f aca="false">(Sens!F6858*tk_opex_h100+Sens!F6859*tk_opex_gb200+Sens!F6860*tk_opex_gb300+(Sens!F6862+Sens!F6861)*tk_opex_vr200)/Sens!F6850</f>
        <v>1.95051159746876</v>
      </c>
      <c r="G6868" s="15" t="n">
        <f aca="false">(Sens!G6858*tk_opex_h100+Sens!G6859*tk_opex_gb200+Sens!G6860*tk_opex_gb300+(Sens!G6862+Sens!G6861)*tk_opex_vr200)/Sens!G6850</f>
        <v>1.98836003669956</v>
      </c>
      <c r="H6868" s="15" t="n">
        <f aca="false">(Sens!H6858*tk_opex_h100+Sens!H6859*tk_opex_gb200+Sens!H6860*tk_opex_gb300+(Sens!H6862+Sens!H6861)*tk_opex_vr200)/Sens!H6850</f>
        <v>2.01344013834343</v>
      </c>
      <c r="I6868" s="15" t="n">
        <f aca="false">(Sens!I6858*tk_opex_h100+Sens!I6859*tk_opex_gb200+Sens!I6860*tk_opex_gb300+(Sens!I6862+Sens!I6861)*tk_opex_vr200)/Sens!I6850</f>
        <v>2.03261166882178</v>
      </c>
      <c r="J6868" s="15" t="n">
        <f aca="false">(Sens!J6858*tk_opex_h100+Sens!J6859*tk_opex_gb200+Sens!J6860*tk_opex_gb300+(Sens!J6862+Sens!J6861)*tk_opex_vr200)/Sens!J6850</f>
        <v>2.04808073288745</v>
      </c>
      <c r="K6868" s="15" t="n">
        <f aca="false">(Sens!K6858*tk_opex_h100+Sens!K6859*tk_opex_gb200+Sens!K6860*tk_opex_gb300+(Sens!K6862+Sens!K6861)*tk_opex_vr200)/Sens!K6850</f>
        <v>2.06973825807449</v>
      </c>
      <c r="L6868" s="12" t="s">
        <v>979</v>
      </c>
    </row>
    <row r="6869" customFormat="false" ht="17.15" hidden="false" customHeight="false" outlineLevel="0" collapsed="false">
      <c r="A6869" s="0" t="s">
        <v>980</v>
      </c>
      <c r="B6869" s="0" t="s">
        <v>98</v>
      </c>
      <c r="D6869" s="6" t="n">
        <f aca="false">(Sens!C6853+Sens!D6853)/2*Sens!D6868/1000</f>
        <v>2.70378325872065</v>
      </c>
      <c r="E6869" s="6" t="n">
        <f aca="false">(Sens!D6853+Sens!E6853)/2*Sens!E6868/1000</f>
        <v>6.17783035277451</v>
      </c>
      <c r="F6869" s="6" t="n">
        <f aca="false">(Sens!E6853+Sens!F6853)/2*Sens!F6868/1000</f>
        <v>12.8742463089237</v>
      </c>
      <c r="G6869" s="6" t="n">
        <f aca="false">(Sens!F6853+Sens!G6853)/2*Sens!G6868/1000</f>
        <v>21.8182834646277</v>
      </c>
      <c r="H6869" s="6" t="n">
        <f aca="false">(Sens!G6853+Sens!H6853)/2*Sens!H6868/1000</f>
        <v>31.2430128789734</v>
      </c>
      <c r="I6869" s="6" t="n">
        <f aca="false">(Sens!H6853+Sens!I6853)/2*Sens!I6868/1000</f>
        <v>39.4313057443268</v>
      </c>
      <c r="J6869" s="6" t="n">
        <f aca="false">(Sens!I6853+Sens!J6853)/2*Sens!J6868/1000</f>
        <v>45.0360318228653</v>
      </c>
      <c r="K6869" s="6" t="n">
        <f aca="false">(Sens!J6853+Sens!K6853)/2*Sens!K6868/1000</f>
        <v>48.2929727091156</v>
      </c>
    </row>
    <row r="6870" customFormat="false" ht="17.15" hidden="false" customHeight="false" outlineLevel="0" collapsed="false">
      <c r="A6870" s="0" t="s">
        <v>981</v>
      </c>
      <c r="B6870" s="0" t="s">
        <v>98</v>
      </c>
      <c r="D6870" s="6" t="n">
        <f aca="false">(Sens!C6851+Sens!D6851)/2*rent_mw/1000</f>
        <v>2.44475</v>
      </c>
      <c r="E6870" s="6" t="n">
        <f aca="false">(Sens!D6851+Sens!E6851)/2*rent_mw/1000</f>
        <v>4.22275</v>
      </c>
      <c r="F6870" s="6" t="n">
        <f aca="false">(Sens!E6851+Sens!F6851)/2*rent_mw/1000</f>
        <v>5.80517</v>
      </c>
      <c r="G6870" s="6" t="n">
        <f aca="false">(Sens!F6851+Sens!G6851)/2*rent_mw/1000</f>
        <v>6.72084</v>
      </c>
      <c r="H6870" s="6" t="n">
        <f aca="false">(Sens!G6851+Sens!H6851)/2*rent_mw/1000</f>
        <v>6.72084</v>
      </c>
      <c r="I6870" s="6" t="n">
        <f aca="false">(Sens!H6851+Sens!I6851)/2*rent_mw/1000</f>
        <v>6.72084</v>
      </c>
      <c r="J6870" s="6" t="n">
        <f aca="false">(Sens!I6851+Sens!J6851)/2*rent_mw/1000</f>
        <v>6.72084</v>
      </c>
      <c r="K6870" s="6" t="n">
        <f aca="false">(Sens!J6851+Sens!K6851)/2*rent_mw/1000</f>
        <v>6.72084</v>
      </c>
    </row>
    <row r="6871" customFormat="false" ht="17.15" hidden="false" customHeight="false" outlineLevel="0" collapsed="false">
      <c r="A6871" s="0" t="s">
        <v>982</v>
      </c>
      <c r="B6871" s="0" t="s">
        <v>98</v>
      </c>
      <c r="D6871" s="6" t="n">
        <f aca="false">(Sens!C6853+Sens!D6853)/2*(1-self_build)*fac_rent/1000</f>
        <v>0.853242375631075</v>
      </c>
      <c r="E6871" s="6" t="n">
        <f aca="false">(Sens!D6853+Sens!E6853)/2*(1-self_build)*fac_rent/1000</f>
        <v>1.94955961408728</v>
      </c>
      <c r="F6871" s="6" t="n">
        <f aca="false">(Sens!E6853+Sens!F6853)/2*(1-self_build)*fac_rent/1000</f>
        <v>3.92914894476356</v>
      </c>
      <c r="G6871" s="6" t="n">
        <f aca="false">(Sens!F6853+Sens!G6853)/2*(1-self_build)*fac_rent/1000</f>
        <v>6.53206908578159</v>
      </c>
      <c r="H6871" s="6" t="n">
        <f aca="false">(Sens!G6853+Sens!H6853)/2*(1-self_build)*fac_rent/1000</f>
        <v>9.23717988341591</v>
      </c>
      <c r="I6871" s="6" t="n">
        <f aca="false">(Sens!H6853+Sens!I6853)/2*(1-self_build)*fac_rent/1000</f>
        <v>11.5481378557393</v>
      </c>
      <c r="J6871" s="6" t="n">
        <f aca="false">(Sens!I6853+Sens!J6853)/2*(1-self_build)*fac_rent/1000</f>
        <v>13.0899582289108</v>
      </c>
      <c r="K6871" s="6" t="n">
        <f aca="false">(Sens!J6853+Sens!K6853)/2*(1-self_build)*fac_rent/1000</f>
        <v>13.8897275626556</v>
      </c>
      <c r="L6871" s="12" t="s">
        <v>983</v>
      </c>
    </row>
    <row r="6872" customFormat="false" ht="17.15" hidden="false" customHeight="false" outlineLevel="0" collapsed="false">
      <c r="A6872" s="1" t="s">
        <v>984</v>
      </c>
      <c r="B6872" s="0" t="s">
        <v>168</v>
      </c>
      <c r="D6872" s="7" t="n">
        <f aca="false">(Sens!C6852+Sens!D6852)/(Sens!C6853+Sens!D6853)</f>
        <v>0.6</v>
      </c>
      <c r="E6872" s="7" t="n">
        <f aca="false">(Sens!D6852+Sens!E6852)/(Sens!D6853+Sens!E6853)</f>
        <v>0.6</v>
      </c>
      <c r="F6872" s="7" t="n">
        <f aca="false">(Sens!E6852+Sens!F6852)/(Sens!E6853+Sens!F6853)</f>
        <v>0.6</v>
      </c>
      <c r="G6872" s="7" t="n">
        <f aca="false">(Sens!F6852+Sens!G6852)/(Sens!F6853+Sens!G6853)</f>
        <v>0.6</v>
      </c>
      <c r="H6872" s="7" t="n">
        <f aca="false">(Sens!G6852+Sens!H6852)/(Sens!G6853+Sens!H6853)</f>
        <v>0.6</v>
      </c>
      <c r="I6872" s="7" t="n">
        <f aca="false">(Sens!H6852+Sens!I6852)/(Sens!H6853+Sens!I6853)</f>
        <v>0.6</v>
      </c>
      <c r="J6872" s="7" t="n">
        <f aca="false">(Sens!I6852+Sens!J6852)/(Sens!I6853+Sens!J6853)</f>
        <v>0.6</v>
      </c>
      <c r="K6872" s="7" t="n">
        <f aca="false">(Sens!J6852+Sens!K6852)/(Sens!J6853+Sens!K6853)</f>
        <v>0.6</v>
      </c>
    </row>
    <row r="6873" customFormat="false" ht="17.15" hidden="false" customHeight="false" outlineLevel="0" collapsed="false">
      <c r="A6873" s="0" t="s">
        <v>985</v>
      </c>
      <c r="B6873" s="0" t="s">
        <v>98</v>
      </c>
      <c r="D6873" s="6" t="n">
        <f aca="false">Sens!D6867-Sens!D6872*(Sens!D6869+Sens!D6871)-Sens!D6870</f>
        <v>8.35701406163072</v>
      </c>
      <c r="E6873" s="6" t="n">
        <f aca="false">Sens!E6867-Sens!E6872*(Sens!E6869+Sens!E6871)-Sens!E6870</f>
        <v>18.7103224860238</v>
      </c>
      <c r="F6873" s="6" t="n">
        <f aca="false">Sens!F6867-Sens!F6872*(Sens!F6869+Sens!F6871)-Sens!F6870</f>
        <v>39.5246243538843</v>
      </c>
      <c r="G6873" s="6" t="n">
        <f aca="false">Sens!G6867-Sens!G6872*(Sens!G6869+Sens!G6871)-Sens!G6870</f>
        <v>67.5570585372687</v>
      </c>
      <c r="H6873" s="6" t="n">
        <f aca="false">Sens!H6867-Sens!H6872*(Sens!H6869+Sens!H6871)-Sens!H6870</f>
        <v>97.1863179465102</v>
      </c>
      <c r="I6873" s="6" t="n">
        <f aca="false">Sens!I6867-Sens!I6872*(Sens!I6869+Sens!I6871)-Sens!I6870</f>
        <v>123.292775650365</v>
      </c>
      <c r="J6873" s="6" t="n">
        <f aca="false">Sens!J6867-Sens!J6872*(Sens!J6869+Sens!J6871)-Sens!J6870</f>
        <v>141.586285762524</v>
      </c>
      <c r="K6873" s="6" t="n">
        <f aca="false">Sens!K6867-Sens!K6872*(Sens!K6869+Sens!K6871)-Sens!K6870</f>
        <v>153.289664774035</v>
      </c>
    </row>
    <row r="6874" customFormat="false" ht="17.15" hidden="false" customHeight="false" outlineLevel="0" collapsed="false">
      <c r="A6874" s="1" t="s">
        <v>986</v>
      </c>
      <c r="B6874" s="0" t="s">
        <v>98</v>
      </c>
      <c r="D6874" s="6" t="n">
        <f aca="false">(1-Sens!D6872)*(Sens!D6869+Sens!D6871)</f>
        <v>1.42281025374069</v>
      </c>
      <c r="E6874" s="6" t="n">
        <f aca="false">(1-Sens!E6872)*(Sens!E6869+Sens!E6871)</f>
        <v>3.25095598674472</v>
      </c>
      <c r="F6874" s="6" t="n">
        <f aca="false">(1-Sens!F6872)*(Sens!F6869+Sens!F6871)</f>
        <v>6.72135810147489</v>
      </c>
      <c r="G6874" s="6" t="n">
        <f aca="false">(1-Sens!G6872)*(Sens!G6869+Sens!G6871)</f>
        <v>11.3401410201637</v>
      </c>
      <c r="H6874" s="6" t="n">
        <f aca="false">(1-Sens!H6872)*(Sens!H6869+Sens!H6871)</f>
        <v>16.1920771049557</v>
      </c>
      <c r="I6874" s="6" t="n">
        <f aca="false">(1-Sens!I6872)*(Sens!I6869+Sens!I6871)</f>
        <v>20.3917774400264</v>
      </c>
      <c r="J6874" s="6" t="n">
        <f aca="false">(1-Sens!J6872)*(Sens!J6869+Sens!J6871)</f>
        <v>23.2503960207104</v>
      </c>
      <c r="K6874" s="6" t="n">
        <f aca="false">(1-Sens!K6872)*(Sens!K6869+Sens!K6871)</f>
        <v>24.8730801087085</v>
      </c>
    </row>
    <row r="6875" customFormat="false" ht="17.15" hidden="false" customHeight="false" outlineLevel="0" collapsed="false">
      <c r="A6875" s="1" t="s">
        <v>987</v>
      </c>
      <c r="B6875" s="0" t="s">
        <v>414</v>
      </c>
      <c r="C6875" s="8" t="n">
        <f aca="false">cxit_open</f>
        <v>27.5918995</v>
      </c>
      <c r="D6875" s="8" t="n">
        <f aca="false">cxit_open</f>
        <v>27.5918995</v>
      </c>
      <c r="E6875" s="8" t="n">
        <f aca="false">cxit_open</f>
        <v>27.5918995</v>
      </c>
      <c r="F6875" s="8" t="n">
        <f aca="false">((a_g3_27-nonnv*a_mai)*tk_cxit_gb300+nonnv*a_mai*nv_hold_mai*tk_cxit_vr200+(1-a_g3_27)*tk_cxit_vr200)</f>
        <v>32.4975576</v>
      </c>
      <c r="G6875" s="8" t="n">
        <f aca="false">((a_g3_28-nonnv*a_mai)*tk_cxit_gb300+nonnv*a_mai*nv_hold_mai*tk_cxit_vr200+(1-a_g3_28)*tk_cxit_vr200)</f>
        <v>34.6372088</v>
      </c>
      <c r="H6875" s="8" t="n">
        <f aca="false">((a_g3_29-nonnv*a_mai)*tk_cxit_gb300+nonnv*a_mai*nv_hold_mai*tk_cxit_vr200+(1-a_g3_29)*tk_cxit_vr200)</f>
        <v>35.7070344</v>
      </c>
      <c r="I6875" s="8" t="n">
        <f aca="false">((a_g3_29-nonnv*a_mai)*tk_cxit_gb300+nonnv*a_mai*nv_hold_mai*tk_cxit_vr200+(1-a_g3_29)*tk_cxit_vr200)</f>
        <v>35.7070344</v>
      </c>
      <c r="J6875" s="8" t="n">
        <f aca="false">((a_g3_29-nonnv*a_mai)*tk_cxit_gb300+nonnv*a_mai*nv_hold_mai*tk_cxit_vr200+(1-a_g3_29)*tk_cxit_vr200)</f>
        <v>35.7070344</v>
      </c>
      <c r="K6875" s="8" t="n">
        <f aca="false">((a_g3_29-nonnv*a_mai)*tk_cxit_gb300+nonnv*a_mai*nv_hold_mai*tk_cxit_vr200+(1-a_g3_29)*tk_cxit_vr200)</f>
        <v>35.7070344</v>
      </c>
      <c r="L6875" s="12" t="s">
        <v>988</v>
      </c>
    </row>
    <row r="6876" customFormat="false" ht="17.15" hidden="false" customHeight="false" outlineLevel="0" collapsed="false">
      <c r="A6876" s="0" t="s">
        <v>989</v>
      </c>
      <c r="B6876" s="0" t="s">
        <v>456</v>
      </c>
      <c r="F6876" s="30" t="n">
        <f aca="false">Sens!C6855*IF(Sens!F6848-Sens!C6848=life_it,1,0)+Sens!D6855*IF(Sens!F6848-Sens!D6848=life_it,1,0)+Sens!E6855*IF(Sens!F6848-Sens!E6848=life_it,1,0)</f>
        <v>0</v>
      </c>
      <c r="G6876" s="30" t="n">
        <f aca="false">Sens!C6855*IF(Sens!G6848-Sens!C6848=life_it,1,0)+Sens!D6855*IF(Sens!G6848-Sens!D6848=life_it,1,0)+Sens!E6855*IF(Sens!G6848-Sens!E6848=life_it,1,0)+Sens!F6855*IF(Sens!G6848-Sens!F6848=life_it,1,0)</f>
        <v>0</v>
      </c>
      <c r="H6876" s="30" t="n">
        <f aca="false">Sens!C6855*IF(Sens!H6848-Sens!C6848=life_it,1,0)+Sens!D6855*IF(Sens!H6848-Sens!D6848=life_it,1,0)+Sens!E6855*IF(Sens!H6848-Sens!E6848=life_it,1,0)+Sens!F6855*IF(Sens!H6848-Sens!F6848=life_it,1,0)+Sens!G6855*IF(Sens!H6848-Sens!G6848=life_it,1,0)</f>
        <v>0</v>
      </c>
      <c r="I6876" s="30" t="n">
        <f aca="false">Sens!C6855*IF(Sens!I6848-Sens!C6848=life_it,1,0)+Sens!D6855*IF(Sens!I6848-Sens!D6848=life_it,1,0)+Sens!E6855*IF(Sens!I6848-Sens!E6848=life_it,1,0)+Sens!F6855*IF(Sens!I6848-Sens!F6848=life_it,1,0)+Sens!G6855*IF(Sens!I6848-Sens!G6848=life_it,1,0)+Sens!H6855*IF(Sens!I6848-Sens!H6848=life_it,1,0)</f>
        <v>816.666666666667</v>
      </c>
      <c r="J6876" s="30" t="n">
        <f aca="false">Sens!C6855*IF(Sens!J6848-Sens!C6848=life_it,1,0)+Sens!D6855*IF(Sens!J6848-Sens!D6848=life_it,1,0)+Sens!E6855*IF(Sens!J6848-Sens!E6848=life_it,1,0)+Sens!F6855*IF(Sens!J6848-Sens!F6848=life_it,1,0)+Sens!G6855*IF(Sens!J6848-Sens!G6848=life_it,1,0)+Sens!H6855*IF(Sens!J6848-Sens!H6848=life_it,1,0)+Sens!I6855*IF(Sens!J6848-Sens!I6848=life_it,1,0)</f>
        <v>1233.33333333333</v>
      </c>
      <c r="K6876" s="30" t="n">
        <f aca="false">Sens!C6855*IF(Sens!K6848-Sens!C6848=life_it,1,0)+Sens!D6855*IF(Sens!K6848-Sens!D6848=life_it,1,0)+Sens!E6855*IF(Sens!K6848-Sens!E6848=life_it,1,0)+Sens!F6855*IF(Sens!K6848-Sens!F6848=life_it,1,0)+Sens!G6855*IF(Sens!K6848-Sens!G6848=life_it,1,0)+Sens!H6855*IF(Sens!K6848-Sens!H6848=life_it,1,0)+Sens!I6855*IF(Sens!K6848-Sens!I6848=life_it,1,0)+Sens!J6855*IF(Sens!K6848-Sens!J6848=life_it,1,0)</f>
        <v>2450</v>
      </c>
      <c r="L6876" s="1" t="s">
        <v>990</v>
      </c>
    </row>
    <row r="6877" customFormat="false" ht="17.15" hidden="false" customHeight="false" outlineLevel="0" collapsed="false">
      <c r="A6877" s="0" t="s">
        <v>991</v>
      </c>
      <c r="B6877" s="0" t="s">
        <v>98</v>
      </c>
      <c r="C6877" s="6" t="n">
        <f aca="false">Sens!C6855*Sens!C6875/1000</f>
        <v>22.5333845916667</v>
      </c>
      <c r="D6877" s="6" t="n">
        <f aca="false">Sens!D6855*Sens!D6875/1000</f>
        <v>34.0300093833333</v>
      </c>
      <c r="E6877" s="6" t="n">
        <f aca="false">Sens!E6855*Sens!E6875/1000</f>
        <v>67.600153775</v>
      </c>
      <c r="F6877" s="6" t="n">
        <f aca="false">(Sens!F6855+Sens!F6876)*Sens!F6875/1000</f>
        <v>136.51872432512</v>
      </c>
      <c r="G6877" s="6" t="n">
        <f aca="false">(Sens!G6855+Sens!G6876)*Sens!G6875/1000</f>
        <v>157.399275932048</v>
      </c>
      <c r="H6877" s="6" t="n">
        <f aca="false">(Sens!H6855+Sens!H6876)*Sens!H6875/1000</f>
        <v>162.260804347512</v>
      </c>
      <c r="I6877" s="6" t="n">
        <f aca="false">(Sens!I6855+Sens!I6876)*Sens!I6875/1000</f>
        <v>144.136569485434</v>
      </c>
      <c r="J6877" s="6" t="n">
        <f aca="false">(Sens!J6855+Sens!J6876)*Sens!J6875/1000</f>
        <v>114.029037357864</v>
      </c>
      <c r="K6877" s="6" t="n">
        <f aca="false">(Sens!K6855+Sens!K6876)*Sens!K6875/1000</f>
        <v>113.437085350975</v>
      </c>
    </row>
    <row r="6878" customFormat="false" ht="17.15" hidden="false" customHeight="false" outlineLevel="0" collapsed="false">
      <c r="A6878" s="0" t="s">
        <v>992</v>
      </c>
      <c r="B6878" s="0" t="s">
        <v>98</v>
      </c>
      <c r="C6878" s="6" t="n">
        <f aca="false">Sens!C6855*self_build*tk_cxfac/1000</f>
        <v>6.2083</v>
      </c>
      <c r="D6878" s="6" t="n">
        <f aca="false">Sens!D6855*self_build*tk_cxfac/1000</f>
        <v>9.3758</v>
      </c>
      <c r="E6878" s="6" t="n">
        <f aca="false">Sens!E6855*self_build*tk_cxfac/1000</f>
        <v>18.6249</v>
      </c>
      <c r="F6878" s="6" t="n">
        <f aca="false">Sens!F6855*self_build*tk_cxfac/1000</f>
        <v>31.935179717</v>
      </c>
      <c r="G6878" s="6" t="n">
        <f aca="false">Sens!G6855*self_build*tk_cxfac/1000</f>
        <v>34.545199717</v>
      </c>
      <c r="H6878" s="6" t="n">
        <f aca="false">Sens!H6855*self_build*tk_cxfac/1000</f>
        <v>34.545199717</v>
      </c>
      <c r="I6878" s="6" t="n">
        <f aca="false">Sens!I6855*self_build*tk_cxfac/1000</f>
        <v>24.4782641361767</v>
      </c>
      <c r="J6878" s="6" t="n">
        <f aca="false">Sens!J6855*self_build*tk_cxfac/1000</f>
        <v>14.9008938380769</v>
      </c>
      <c r="K6878" s="6" t="n">
        <f aca="false">Sens!K6855*self_build*tk_cxfac/1000</f>
        <v>5.52576771375761</v>
      </c>
    </row>
    <row r="6879" customFormat="false" ht="17.15" hidden="false" customHeight="false" outlineLevel="0" collapsed="false">
      <c r="A6879" s="0" t="s">
        <v>993</v>
      </c>
      <c r="B6879" s="0" t="s">
        <v>98</v>
      </c>
      <c r="F6879" s="15" t="n">
        <f aca="false">capex_floor27-Sens!F6877-Sens!F6878-Sens!F6975</f>
        <v>0.114584409454793</v>
      </c>
      <c r="L6879" s="12" t="s">
        <v>994</v>
      </c>
    </row>
    <row r="6880" customFormat="false" ht="17.15" hidden="false" customHeight="false" outlineLevel="0" collapsed="false">
      <c r="A6880" s="0" t="s">
        <v>995</v>
      </c>
      <c r="B6880" s="0" t="s">
        <v>98</v>
      </c>
      <c r="F6880" s="6" t="n">
        <f aca="false">MAX(0,Sens!F6879)</f>
        <v>0.114584409454793</v>
      </c>
    </row>
    <row r="6881" customFormat="false" ht="17.15" hidden="false" customHeight="false" outlineLevel="0" collapsed="false">
      <c r="A6881" s="0" t="s">
        <v>996</v>
      </c>
      <c r="B6881" s="0" t="s">
        <v>98</v>
      </c>
      <c r="C6881" s="6" t="n">
        <f aca="false">Sens!C6877</f>
        <v>22.5333845916667</v>
      </c>
      <c r="D6881" s="6" t="n">
        <f aca="false">Sens!D6877</f>
        <v>34.0300093833333</v>
      </c>
      <c r="E6881" s="6" t="n">
        <f aca="false">Sens!E6877</f>
        <v>67.600153775</v>
      </c>
      <c r="F6881" s="6" t="n">
        <f aca="false">Sens!F6877</f>
        <v>136.51872432512</v>
      </c>
      <c r="G6881" s="6" t="n">
        <f aca="false">Sens!G6877</f>
        <v>157.399275932048</v>
      </c>
      <c r="H6881" s="6" t="n">
        <f aca="false">Sens!H6877</f>
        <v>162.260804347512</v>
      </c>
      <c r="I6881" s="6" t="n">
        <f aca="false">Sens!I6877</f>
        <v>144.136569485434</v>
      </c>
      <c r="J6881" s="6" t="n">
        <f aca="false">Sens!J6877</f>
        <v>114.029037357864</v>
      </c>
      <c r="K6881" s="6" t="n">
        <f aca="false">Sens!K6877</f>
        <v>113.437085350975</v>
      </c>
    </row>
    <row r="6882" customFormat="false" ht="17.15" hidden="false" customHeight="false" outlineLevel="0" collapsed="false">
      <c r="A6882" s="0" t="s">
        <v>997</v>
      </c>
      <c r="B6882" s="0" t="s">
        <v>98</v>
      </c>
      <c r="C6882" s="6" t="n">
        <f aca="false">Sens!C6881+Sens!C6878</f>
        <v>28.7416845916667</v>
      </c>
      <c r="D6882" s="6" t="n">
        <f aca="false">Sens!D6881+Sens!D6878</f>
        <v>43.4058093833333</v>
      </c>
      <c r="E6882" s="6" t="n">
        <f aca="false">Sens!E6881+Sens!E6878</f>
        <v>86.225053775</v>
      </c>
      <c r="F6882" s="6" t="n">
        <f aca="false">Sens!F6881+Sens!F6878</f>
        <v>168.45390404212</v>
      </c>
      <c r="G6882" s="6" t="n">
        <f aca="false">Sens!G6881+Sens!G6878</f>
        <v>191.944475649048</v>
      </c>
      <c r="H6882" s="6" t="n">
        <f aca="false">Sens!H6881+Sens!H6878</f>
        <v>196.806004064512</v>
      </c>
      <c r="I6882" s="6" t="n">
        <f aca="false">Sens!I6881+Sens!I6878</f>
        <v>168.61483362161</v>
      </c>
      <c r="J6882" s="6" t="n">
        <f aca="false">Sens!J6881+Sens!J6878</f>
        <v>128.92993119594</v>
      </c>
      <c r="K6882" s="6" t="n">
        <f aca="false">Sens!K6881+Sens!K6878</f>
        <v>118.962853064733</v>
      </c>
      <c r="L6882" s="12" t="s">
        <v>998</v>
      </c>
    </row>
    <row r="6883" customFormat="false" ht="17.15" hidden="false" customHeight="false" outlineLevel="0" collapsed="false">
      <c r="A6883" s="0" t="s">
        <v>999</v>
      </c>
      <c r="B6883" s="0" t="s">
        <v>98</v>
      </c>
      <c r="E6883" s="6" t="n">
        <f aca="false">(Sens!C6881*IF(2&lt;life_it,1,IF(2=life_it,0.5,0))+Sens!D6881*IF(1&lt;life_it,1,IF(1=life_it,0.5,0))+Sens!E6881*0.5)/life_it</f>
        <v>15.0605784770833</v>
      </c>
      <c r="F6883" s="6" t="n">
        <f aca="false">(Sens!C6881*IF(3&lt;life_it,1,IF(3=life_it,0.5,0))+Sens!D6881*IF(2&lt;life_it,1,IF(2=life_it,0.5,0))+Sens!E6881*IF(1&lt;life_it,1,IF(1=life_it,0.5,0))+Sens!F6881*0.5)/life_it</f>
        <v>32.0704849854266</v>
      </c>
      <c r="G6883" s="6" t="n">
        <f aca="false">(Sens!C6881*IF(4&lt;life_it,1,IF(4=life_it,0.5,0))+Sens!D6881*IF(3&lt;life_it,1,IF(3=life_it,0.5,0))+Sens!E6881*IF(2&lt;life_it,1,IF(2=life_it,0.5,0))+Sens!F6881*IF(1&lt;life_it,1,IF(1=life_it,0.5,0))+Sens!G6881*0.5)/life_it</f>
        <v>56.5636516735239</v>
      </c>
      <c r="H6883" s="6" t="n">
        <f aca="false">(Sens!C6881*IF(5&lt;life_it,1,IF(5=life_it,0.5,0))+Sens!D6881*IF(4&lt;life_it,1,IF(4=life_it,0.5,0))+Sens!E6881*IF(3&lt;life_it,1,IF(3=life_it,0.5,0))+Sens!F6881*IF(2&lt;life_it,1,IF(2=life_it,0.5,0))+Sens!G6881*IF(1&lt;life_it,1,IF(1=life_it,0.5,0))+Sens!H6881*0.5)/life_it</f>
        <v>83.2019916968207</v>
      </c>
      <c r="I6883" s="6" t="n">
        <f aca="false">(Sens!C6881*IF(6&lt;life_it,1,IF(6=life_it,0.5,0))+Sens!D6881*IF(5&lt;life_it,1,IF(5=life_it,0.5,0))+Sens!E6881*IF(4&lt;life_it,1,IF(4=life_it,0.5,0))+Sens!F6881*IF(3&lt;life_it,1,IF(3=life_it,0.5,0))+Sens!G6881*IF(2&lt;life_it,1,IF(2=life_it,0.5,0))+Sens!H6881*IF(1&lt;life_it,1,IF(1=life_it,0.5,0))+Sens!I6881*0.5)/life_it</f>
        <v>106.857324133594</v>
      </c>
      <c r="J6883" s="6" t="n">
        <f aca="false">(Sens!C6881*IF(7&lt;life_it,1,IF(7=life_it,0.5,0))+Sens!D6881*IF(6&lt;life_it,1,IF(6=life_it,0.5,0))+Sens!E6881*IF(5&lt;life_it,1,IF(5=life_it,0.5,0))+Sens!F6881*IF(4&lt;life_it,1,IF(4=life_it,0.5,0))+Sens!G6881*IF(3&lt;life_it,1,IF(3=life_it,0.5,0))+Sens!H6881*IF(2&lt;life_it,1,IF(2=life_it,0.5,0))+Sens!I6881*IF(1&lt;life_it,1,IF(1=life_it,0.5,0))+Sens!J6881*0.5)/life_it</f>
        <v>123.657508539285</v>
      </c>
      <c r="K6883" s="6" t="n">
        <f aca="false">(Sens!C6881*IF(8&lt;life_it,1,IF(8=life_it,0.5,0))+Sens!D6881*IF(7&lt;life_it,1,IF(7=life_it,0.5,0))+Sens!E6881*IF(6&lt;life_it,1,IF(6=life_it,0.5,0))+Sens!F6881*IF(5&lt;life_it,1,IF(5=life_it,0.5,0))+Sens!G6881*IF(4&lt;life_it,1,IF(4=life_it,0.5,0))+Sens!H6881*IF(3&lt;life_it,1,IF(3=life_it,0.5,0))+Sens!I6881*IF(2&lt;life_it,1,IF(2=life_it,0.5,0))+Sens!J6881*IF(1&lt;life_it,1,IF(1=life_it,0.5,0))+Sens!K6881*0.5)/life_it</f>
        <v>134.143838501827</v>
      </c>
    </row>
    <row r="6884" customFormat="false" ht="17.15" hidden="false" customHeight="false" outlineLevel="0" collapsed="false">
      <c r="A6884" s="0" t="s">
        <v>1000</v>
      </c>
      <c r="B6884" s="0" t="s">
        <v>98</v>
      </c>
      <c r="E6884" s="6" t="n">
        <f aca="false">(Sens!C6878*IF(2&lt;life_fac,1,IF(2=life_fac,0.5,0))+Sens!D6878*IF(1&lt;life_fac,1,IF(1=life_fac,0.5,0))+Sens!E6878*0.5)/life_fac</f>
        <v>1.2448275</v>
      </c>
      <c r="F6884" s="6" t="n">
        <f aca="false">(Sens!C6878*IF(3&lt;life_fac,1,IF(3=life_fac,0.5,0))+Sens!D6878*IF(2&lt;life_fac,1,IF(2=life_fac,0.5,0))+Sens!E6878*IF(1&lt;life_fac,1,IF(1=life_fac,0.5,0))+Sens!F6878*0.5)/life_fac</f>
        <v>2.508829492925</v>
      </c>
      <c r="G6884" s="6" t="n">
        <f aca="false">(Sens!C6878*IF(4&lt;life_fac,1,IF(4=life_fac,0.5,0))+Sens!D6878*IF(3&lt;life_fac,1,IF(3=life_fac,0.5,0))+Sens!E6878*IF(2&lt;life_fac,1,IF(2=life_fac,0.5,0))+Sens!F6878*IF(1&lt;life_fac,1,IF(1=life_fac,0.5,0))+Sens!G6878*0.5)/life_fac</f>
        <v>4.170838978775</v>
      </c>
      <c r="H6884" s="6" t="n">
        <f aca="false">(Sens!C6878*IF(5&lt;life_fac,1,IF(5=life_fac,0.5,0))+Sens!D6878*IF(4&lt;life_fac,1,IF(4=life_fac,0.5,0))+Sens!E6878*IF(3&lt;life_fac,1,IF(3=life_fac,0.5,0))+Sens!F6878*IF(2&lt;life_fac,1,IF(2=life_fac,0.5,0))+Sens!G6878*IF(1&lt;life_fac,1,IF(1=life_fac,0.5,0))+Sens!H6878*0.5)/life_fac</f>
        <v>5.898098964625</v>
      </c>
      <c r="I6884" s="6" t="n">
        <f aca="false">(Sens!C6878*IF(6&lt;life_fac,1,IF(6=life_fac,0.5,0))+Sens!D6878*IF(5&lt;life_fac,1,IF(5=life_fac,0.5,0))+Sens!E6878*IF(4&lt;life_fac,1,IF(4=life_fac,0.5,0))+Sens!F6878*IF(3&lt;life_fac,1,IF(3=life_fac,0.5,0))+Sens!G6878*IF(2&lt;life_fac,1,IF(2=life_fac,0.5,0))+Sens!H6878*IF(1&lt;life_fac,1,IF(1=life_fac,0.5,0))+Sens!I6878*0.5)/life_fac</f>
        <v>7.37368556095442</v>
      </c>
      <c r="J6884" s="6" t="n">
        <f aca="false">(Sens!C6878*IF(7&lt;life_fac,1,IF(7=life_fac,0.5,0))+Sens!D6878*IF(6&lt;life_fac,1,IF(6=life_fac,0.5,0))+Sens!E6878*IF(5&lt;life_fac,1,IF(5=life_fac,0.5,0))+Sens!F6878*IF(4&lt;life_fac,1,IF(4=life_fac,0.5,0))+Sens!G6878*IF(3&lt;life_fac,1,IF(3=life_fac,0.5,0))+Sens!H6878*IF(2&lt;life_fac,1,IF(2=life_fac,0.5,0))+Sens!I6878*IF(1&lt;life_fac,1,IF(1=life_fac,0.5,0))+Sens!J6878*0.5)/life_fac</f>
        <v>8.35816451031075</v>
      </c>
      <c r="K6884" s="6" t="n">
        <f aca="false">(Sens!C6878*IF(8&lt;life_fac,1,IF(8=life_fac,0.5,0))+Sens!D6878*IF(7&lt;life_fac,1,IF(7=life_fac,0.5,0))+Sens!E6878*IF(6&lt;life_fac,1,IF(6=life_fac,0.5,0))+Sens!F6878*IF(5&lt;life_fac,1,IF(5=life_fac,0.5,0))+Sens!G6878*IF(4&lt;life_fac,1,IF(4=life_fac,0.5,0))+Sens!H6878*IF(3&lt;life_fac,1,IF(3=life_fac,0.5,0))+Sens!I6878*IF(2&lt;life_fac,1,IF(2=life_fac,0.5,0))+Sens!J6878*IF(1&lt;life_fac,1,IF(1=life_fac,0.5,0))+Sens!K6878*0.5)/life_fac</f>
        <v>8.86883104910662</v>
      </c>
    </row>
    <row r="6885" customFormat="false" ht="17.15" hidden="false" customHeight="false" outlineLevel="0" collapsed="false">
      <c r="A6885" s="0" t="s">
        <v>1001</v>
      </c>
      <c r="B6885" s="0" t="s">
        <v>98</v>
      </c>
      <c r="E6885" s="6" t="n">
        <f aca="false">Sens!E6883+Sens!E6884</f>
        <v>16.3054059770833</v>
      </c>
      <c r="F6885" s="6" t="n">
        <f aca="false">Sens!F6883+Sens!F6884</f>
        <v>34.5793144783516</v>
      </c>
      <c r="G6885" s="6" t="n">
        <f aca="false">Sens!G6883+Sens!G6884</f>
        <v>60.7344906522989</v>
      </c>
      <c r="H6885" s="6" t="n">
        <f aca="false">Sens!H6883+Sens!H6884</f>
        <v>89.1000906614457</v>
      </c>
      <c r="I6885" s="6" t="n">
        <f aca="false">Sens!I6883+Sens!I6884</f>
        <v>114.231009694548</v>
      </c>
      <c r="J6885" s="6" t="n">
        <f aca="false">Sens!J6883+Sens!J6884</f>
        <v>132.015673049596</v>
      </c>
      <c r="K6885" s="6" t="n">
        <f aca="false">Sens!K6883+Sens!K6884</f>
        <v>143.012669550934</v>
      </c>
    </row>
    <row r="6886" customFormat="false" ht="17.15" hidden="false" customHeight="false" outlineLevel="0" collapsed="false">
      <c r="A6886" s="0" t="s">
        <v>1002</v>
      </c>
      <c r="B6886" s="0" t="s">
        <v>98</v>
      </c>
      <c r="E6886" s="6" t="n">
        <f aca="false">Sens!E6873-Sens!E6872*Sens!E6885</f>
        <v>8.92707889977379</v>
      </c>
      <c r="F6886" s="6" t="n">
        <f aca="false">Sens!F6873-Sens!F6872*Sens!F6885</f>
        <v>18.7770356668733</v>
      </c>
      <c r="G6886" s="6" t="n">
        <f aca="false">Sens!G6873-Sens!G6872*Sens!G6885</f>
        <v>31.1163641458894</v>
      </c>
      <c r="H6886" s="6" t="n">
        <f aca="false">Sens!H6873-Sens!H6872*Sens!H6885</f>
        <v>43.7262635496428</v>
      </c>
      <c r="I6886" s="6" t="n">
        <f aca="false">Sens!I6873-Sens!I6872*Sens!I6885</f>
        <v>54.7541698336361</v>
      </c>
      <c r="J6886" s="6" t="n">
        <f aca="false">Sens!J6873-Sens!J6872*Sens!J6885</f>
        <v>62.3768819327658</v>
      </c>
      <c r="K6886" s="6" t="n">
        <f aca="false">Sens!K6873-Sens!K6872*Sens!K6885</f>
        <v>67.4820630434748</v>
      </c>
    </row>
    <row r="6887" customFormat="false" ht="17.15" hidden="false" customHeight="false" outlineLevel="0" collapsed="false">
      <c r="A6887" s="3" t="s">
        <v>1651</v>
      </c>
    </row>
    <row r="6888" customFormat="false" ht="15" hidden="false" customHeight="false" outlineLevel="0" collapsed="false">
      <c r="A6888" s="4" t="s">
        <v>43</v>
      </c>
      <c r="B6888" s="4" t="s">
        <v>65</v>
      </c>
      <c r="C6888" s="23" t="s">
        <v>938</v>
      </c>
      <c r="D6888" s="23" t="s">
        <v>939</v>
      </c>
      <c r="E6888" s="23" t="s">
        <v>940</v>
      </c>
      <c r="F6888" s="23" t="s">
        <v>941</v>
      </c>
      <c r="G6888" s="23" t="s">
        <v>942</v>
      </c>
      <c r="H6888" s="23" t="s">
        <v>943</v>
      </c>
      <c r="I6888" s="23" t="s">
        <v>944</v>
      </c>
      <c r="J6888" s="23" t="s">
        <v>945</v>
      </c>
      <c r="K6888" s="23" t="s">
        <v>946</v>
      </c>
      <c r="L6888" s="4" t="s">
        <v>47</v>
      </c>
    </row>
    <row r="6889" customFormat="false" ht="17.15" hidden="false" customHeight="false" outlineLevel="0" collapsed="false">
      <c r="A6889" s="0" t="s">
        <v>1021</v>
      </c>
      <c r="B6889" s="0" t="s">
        <v>98</v>
      </c>
      <c r="D6889" s="6" t="n">
        <f aca="false">Sens!D6867</f>
        <v>12.9359794422418</v>
      </c>
      <c r="E6889" s="6" t="n">
        <f aca="false">Sens!E6867</f>
        <v>27.8095064661409</v>
      </c>
      <c r="F6889" s="6" t="n">
        <f aca="false">Sens!F6867</f>
        <v>55.4118315060966</v>
      </c>
      <c r="G6889" s="6" t="n">
        <f aca="false">Sens!G6867</f>
        <v>91.2881100675143</v>
      </c>
      <c r="H6889" s="6" t="n">
        <f aca="false">Sens!H6867</f>
        <v>128.195273603944</v>
      </c>
      <c r="I6889" s="6" t="n">
        <f aca="false">Sens!I6867</f>
        <v>160.601281810405</v>
      </c>
      <c r="J6889" s="6" t="n">
        <f aca="false">Sens!J6867</f>
        <v>183.182719793589</v>
      </c>
      <c r="K6889" s="6" t="n">
        <f aca="false">Sens!K6867</f>
        <v>197.320124937098</v>
      </c>
    </row>
    <row r="6890" customFormat="false" ht="17.15" hidden="false" customHeight="false" outlineLevel="0" collapsed="false">
      <c r="A6890" s="0" t="s">
        <v>1022</v>
      </c>
      <c r="B6890" s="0" t="s">
        <v>98</v>
      </c>
      <c r="D6890" s="6" t="n">
        <f aca="false">Q!L6-Sens!D6889</f>
        <v>59.6740205577583</v>
      </c>
      <c r="E6890" s="6" t="n">
        <f aca="false">Q!M6-Sens!E6889</f>
        <v>74.1284935338591</v>
      </c>
      <c r="F6890" s="6" t="n">
        <f aca="false">Q!$I$6+(Sens!F6889+Sens!E6890*(1+Sens!F6891))*(1-Q!$E$6/Q!M6)-Sens!F6889</f>
        <v>91.2972164940844</v>
      </c>
      <c r="G6890" s="6" t="n">
        <f aca="false">Sens!F6890*(1+Sens!G6891)</f>
        <v>108.474719793879</v>
      </c>
      <c r="H6890" s="6" t="n">
        <f aca="false">Sens!G6890*(1+Sens!H6891)</f>
        <v>125.951292505701</v>
      </c>
      <c r="I6890" s="6" t="n">
        <f aca="false">Sens!H6890*(1+Sens!I6891)</f>
        <v>142.838165154212</v>
      </c>
      <c r="J6890" s="6" t="n">
        <f aca="false">Sens!I6890*(1+Sens!J6891)</f>
        <v>158.12717866615</v>
      </c>
      <c r="K6890" s="6" t="n">
        <f aca="false">Sens!J6890*(1+Sens!K6891)</f>
        <v>170.777352959442</v>
      </c>
      <c r="L6890" s="12" t="s">
        <v>1023</v>
      </c>
    </row>
    <row r="6891" customFormat="false" ht="15" hidden="false" customHeight="false" outlineLevel="0" collapsed="false">
      <c r="A6891" s="1" t="s">
        <v>1024</v>
      </c>
      <c r="B6891" s="0" t="s">
        <v>168</v>
      </c>
      <c r="E6891" s="7" t="n">
        <f aca="false">Sens!E6890/Sens!D6890-1</f>
        <v>0.242223883039864</v>
      </c>
      <c r="F6891" s="7" t="n">
        <f aca="false">Sens!$E$6891+(glt_azo-Sens!$E$6891)*MIN(1,(Sens!F6848-base_fy)/n_conv)</f>
        <v>0.215186569199887</v>
      </c>
      <c r="G6891" s="7" t="n">
        <f aca="false">Sens!$E$6891+(glt_azo-Sens!$E$6891)*MIN(1,(Sens!G6848-base_fy)/n_conv)</f>
        <v>0.18814925535991</v>
      </c>
      <c r="H6891" s="7" t="n">
        <f aca="false">Sens!$E$6891+(glt_azo-Sens!$E$6891)*MIN(1,(Sens!H6848-base_fy)/n_conv)</f>
        <v>0.161111941519932</v>
      </c>
      <c r="I6891" s="7" t="n">
        <f aca="false">Sens!$E$6891+(glt_azo-Sens!$E$6891)*MIN(1,(Sens!I6848-base_fy)/n_conv)</f>
        <v>0.134074627679955</v>
      </c>
      <c r="J6891" s="7" t="n">
        <f aca="false">Sens!$E$6891+(glt_azo-Sens!$E$6891)*MIN(1,(Sens!J6848-base_fy)/n_conv)</f>
        <v>0.107037313839977</v>
      </c>
      <c r="K6891" s="7" t="n">
        <f aca="false">Sens!$E$6891+(glt_azo-Sens!$E$6891)*MIN(1,(Sens!K6848-base_fy)/n_conv)</f>
        <v>0.08</v>
      </c>
    </row>
    <row r="6892" customFormat="false" ht="15" hidden="false" customHeight="false" outlineLevel="0" collapsed="false">
      <c r="A6892" s="0" t="s">
        <v>1025</v>
      </c>
      <c r="B6892" s="0" t="s">
        <v>98</v>
      </c>
      <c r="D6892" s="6" t="n">
        <f aca="false">Sens!D6889+Sens!D6890</f>
        <v>72.61</v>
      </c>
      <c r="E6892" s="6" t="n">
        <f aca="false">Sens!E6889+Sens!E6890</f>
        <v>101.938</v>
      </c>
      <c r="F6892" s="6" t="n">
        <f aca="false">Sens!F6889+Sens!F6890</f>
        <v>146.709048000181</v>
      </c>
      <c r="G6892" s="6" t="n">
        <f aca="false">Sens!G6889+Sens!G6890</f>
        <v>199.762829861393</v>
      </c>
      <c r="H6892" s="6" t="n">
        <f aca="false">Sens!H6889+Sens!H6890</f>
        <v>254.146566109645</v>
      </c>
      <c r="I6892" s="6" t="n">
        <f aca="false">Sens!I6889+Sens!I6890</f>
        <v>303.439446964617</v>
      </c>
      <c r="J6892" s="6" t="n">
        <f aca="false">Sens!J6889+Sens!J6890</f>
        <v>341.309898459739</v>
      </c>
      <c r="K6892" s="6" t="n">
        <f aca="false">Sens!K6889+Sens!K6890</f>
        <v>368.09747789654</v>
      </c>
    </row>
    <row r="6893" customFormat="false" ht="17.15" hidden="false" customHeight="false" outlineLevel="0" collapsed="false">
      <c r="A6893" s="0" t="s">
        <v>1026</v>
      </c>
      <c r="B6893" s="1" t="s">
        <v>610</v>
      </c>
      <c r="C6893" s="30" t="n">
        <f aca="false">cop_s24</f>
        <v>1</v>
      </c>
      <c r="D6893" s="30" t="n">
        <f aca="false">cop_s25</f>
        <v>5</v>
      </c>
      <c r="E6893" s="30" t="n">
        <f aca="false">cop_s26</f>
        <v>30</v>
      </c>
      <c r="F6893" s="30" t="n">
        <f aca="false">Sens!E6893+cop_add_B*0.5</f>
        <v>40</v>
      </c>
      <c r="G6893" s="30" t="n">
        <f aca="false">Sens!F6893+cop_add_B*0.5</f>
        <v>50</v>
      </c>
      <c r="H6893" s="30" t="n">
        <f aca="false">Sens!G6893+cop_add_B*0.5</f>
        <v>60</v>
      </c>
      <c r="I6893" s="30" t="n">
        <f aca="false">Sens!H6893+cop_add_B*0.5*cop_tail</f>
        <v>65</v>
      </c>
      <c r="J6893" s="30" t="n">
        <f aca="false">Sens!I6893+cop_add_B*0.5*cop_tail</f>
        <v>70</v>
      </c>
      <c r="K6893" s="30" t="n">
        <f aca="false">Sens!J6893+cop_add_B*0.5*cop_tail</f>
        <v>75</v>
      </c>
      <c r="L6893" s="12" t="s">
        <v>1027</v>
      </c>
    </row>
    <row r="6894" customFormat="false" ht="17.15" hidden="false" customHeight="false" outlineLevel="0" collapsed="false">
      <c r="A6894" s="0" t="s">
        <v>1028</v>
      </c>
      <c r="B6894" s="0" t="s">
        <v>98</v>
      </c>
      <c r="D6894" s="6" t="n">
        <f aca="false">(Sens!C6893+Sens!D6893)/2*cop_px*12/1000</f>
        <v>0.9</v>
      </c>
      <c r="E6894" s="6" t="n">
        <f aca="false">(Sens!D6893+Sens!E6893)/2*cop_px*12/1000</f>
        <v>5.25</v>
      </c>
      <c r="F6894" s="6" t="n">
        <f aca="false">(Sens!E6893+Sens!F6893)/2*cop_px*12/1000</f>
        <v>10.5</v>
      </c>
      <c r="G6894" s="6" t="n">
        <f aca="false">(Sens!F6893+Sens!G6893)/2*cop_px*12/1000</f>
        <v>13.5</v>
      </c>
      <c r="H6894" s="6" t="n">
        <f aca="false">(Sens!G6893+Sens!H6893)/2*cop_px*12/1000</f>
        <v>16.5</v>
      </c>
      <c r="I6894" s="6" t="n">
        <f aca="false">(Sens!H6893+Sens!I6893)/2*cop_px*12/1000</f>
        <v>18.75</v>
      </c>
      <c r="J6894" s="6" t="n">
        <f aca="false">(Sens!I6893+Sens!J6893)/2*cop_px*12/1000</f>
        <v>20.25</v>
      </c>
      <c r="K6894" s="6" t="n">
        <f aca="false">(Sens!J6893+Sens!K6893)/2*cop_px*12/1000</f>
        <v>21.75</v>
      </c>
      <c r="L6894" s="1" t="s">
        <v>1029</v>
      </c>
    </row>
    <row r="6895" customFormat="false" ht="17.15" hidden="false" customHeight="false" outlineLevel="0" collapsed="false">
      <c r="A6895" s="0" t="s">
        <v>1030</v>
      </c>
      <c r="B6895" s="0" t="s">
        <v>98</v>
      </c>
      <c r="D6895" s="6" t="n">
        <f aca="false">Q!L7-Sens!D6894</f>
        <v>83.705</v>
      </c>
      <c r="E6895" s="6" t="n">
        <f aca="false">Q!M7-Sens!E6894</f>
        <v>95.049</v>
      </c>
      <c r="F6895" s="6" t="n">
        <f aca="false">Q!$I$7+(Sens!E6895*(1+Sens!F6896)+Sens!F6894)*(1-Q!$E$7/Q!M7)-Sens!F6894</f>
        <v>106.938354189776</v>
      </c>
      <c r="G6895" s="6" t="n">
        <f aca="false">Sens!F6895*(1+Sens!G6896)</f>
        <v>119.095360443801</v>
      </c>
      <c r="H6895" s="6" t="n">
        <f aca="false">Sens!G6895*(1+Sens!H6896)</f>
        <v>131.333811964563</v>
      </c>
      <c r="I6895" s="6" t="n">
        <f aca="false">Sens!H6895*(1+Sens!I6896)</f>
        <v>143.395665319381</v>
      </c>
      <c r="J6895" s="6" t="n">
        <f aca="false">Sens!I6895*(1+Sens!J6896)</f>
        <v>154.999327755573</v>
      </c>
      <c r="K6895" s="6" t="n">
        <f aca="false">Sens!J6895*(1+Sens!K6896)</f>
        <v>165.849280698463</v>
      </c>
      <c r="L6895" s="12" t="s">
        <v>1031</v>
      </c>
    </row>
    <row r="6896" customFormat="false" ht="15" hidden="false" customHeight="false" outlineLevel="0" collapsed="false">
      <c r="A6896" s="1" t="s">
        <v>1024</v>
      </c>
      <c r="B6896" s="0" t="s">
        <v>168</v>
      </c>
      <c r="E6896" s="7" t="n">
        <f aca="false">Sens!E6895/Sens!D6895-1</f>
        <v>0.135523564900544</v>
      </c>
      <c r="F6896" s="7" t="n">
        <f aca="false">Sens!$E$6896+(glt_m365b-Sens!$E$6896)*MIN(1,(Sens!F6848-base_fy)/n_conv)</f>
        <v>0.124602970750453</v>
      </c>
      <c r="G6896" s="7" t="n">
        <f aca="false">Sens!$E$6896+(glt_m365b-Sens!$E$6896)*MIN(1,(Sens!G6848-base_fy)/n_conv)</f>
        <v>0.113682376600363</v>
      </c>
      <c r="H6896" s="7" t="n">
        <f aca="false">Sens!$E$6896+(glt_m365b-Sens!$E$6896)*MIN(1,(Sens!H6848-base_fy)/n_conv)</f>
        <v>0.102761782450272</v>
      </c>
      <c r="I6896" s="7" t="n">
        <f aca="false">Sens!$E$6896+(glt_m365b-Sens!$E$6896)*MIN(1,(Sens!I6848-base_fy)/n_conv)</f>
        <v>0.0918411883001813</v>
      </c>
      <c r="J6896" s="7" t="n">
        <f aca="false">Sens!$E$6896+(glt_m365b-Sens!$E$6896)*MIN(1,(Sens!J6848-base_fy)/n_conv)</f>
        <v>0.0809205941500906</v>
      </c>
      <c r="K6896" s="7" t="n">
        <f aca="false">Sens!$E$6896+(glt_m365b-Sens!$E$6896)*MIN(1,(Sens!K6848-base_fy)/n_conv)</f>
        <v>0.07</v>
      </c>
    </row>
    <row r="6897" customFormat="false" ht="15" hidden="false" customHeight="false" outlineLevel="0" collapsed="false">
      <c r="A6897" s="0" t="s">
        <v>1032</v>
      </c>
      <c r="B6897" s="0" t="s">
        <v>98</v>
      </c>
      <c r="D6897" s="6" t="n">
        <f aca="false">Sens!D6895+Sens!D6894</f>
        <v>84.605</v>
      </c>
      <c r="E6897" s="6" t="n">
        <f aca="false">Sens!E6895+Sens!E6894</f>
        <v>100.299</v>
      </c>
      <c r="F6897" s="6" t="n">
        <f aca="false">Sens!F6895+Sens!F6894</f>
        <v>117.438354189776</v>
      </c>
      <c r="G6897" s="6" t="n">
        <f aca="false">Sens!G6895+Sens!G6894</f>
        <v>132.595360443801</v>
      </c>
      <c r="H6897" s="6" t="n">
        <f aca="false">Sens!H6895+Sens!H6894</f>
        <v>147.833811964563</v>
      </c>
      <c r="I6897" s="6" t="n">
        <f aca="false">Sens!I6895+Sens!I6894</f>
        <v>162.145665319381</v>
      </c>
      <c r="J6897" s="6" t="n">
        <f aca="false">Sens!J6895+Sens!J6894</f>
        <v>175.249327755573</v>
      </c>
      <c r="K6897" s="6" t="n">
        <f aca="false">Sens!K6895+Sens!K6894</f>
        <v>187.599280698463</v>
      </c>
    </row>
    <row r="6898" customFormat="false" ht="17.15" hidden="false" customHeight="false" outlineLevel="0" collapsed="false">
      <c r="A6898" s="0" t="s">
        <v>1033</v>
      </c>
      <c r="B6898" s="0" t="s">
        <v>98</v>
      </c>
      <c r="D6898" s="6" t="n">
        <f aca="false">Q!L8</f>
        <v>35.391</v>
      </c>
      <c r="E6898" s="6" t="n">
        <f aca="false">Q!M8</f>
        <v>37.285</v>
      </c>
      <c r="F6898" s="6" t="n">
        <f aca="false">Q!$I$8+(Q!M8-Q!$E$8)*(1+Sens!F6899)</f>
        <v>38.3851437782675</v>
      </c>
      <c r="G6898" s="6" t="n">
        <f aca="false">Sens!F6898*(1+Sens!G6899)</f>
        <v>40.0105353288615</v>
      </c>
      <c r="H6898" s="6" t="n">
        <f aca="false">Sens!G6898*(1+Sens!H6899)</f>
        <v>41.4812512033683</v>
      </c>
      <c r="I6898" s="6" t="n">
        <f aca="false">Sens!H6898*(1+Sens!I6899)</f>
        <v>42.7743107216329</v>
      </c>
      <c r="J6898" s="6" t="n">
        <f aca="false">Sens!I6898*(1+Sens!J6899)</f>
        <v>43.8687373064601</v>
      </c>
      <c r="K6898" s="6" t="n">
        <f aca="false">Sens!J6898*(1+Sens!K6899)</f>
        <v>44.7461120525893</v>
      </c>
      <c r="L6898" s="12" t="s">
        <v>1034</v>
      </c>
    </row>
    <row r="6899" customFormat="false" ht="15" hidden="false" customHeight="false" outlineLevel="0" collapsed="false">
      <c r="A6899" s="1" t="s">
        <v>1024</v>
      </c>
      <c r="B6899" s="0" t="s">
        <v>168</v>
      </c>
      <c r="E6899" s="7" t="n">
        <f aca="false">Sens!E6898/Sens!D6898-1</f>
        <v>0.0535164307309768</v>
      </c>
      <c r="F6899" s="7" t="n">
        <f aca="false">Sens!$E$6899+(glt_lic-Sens!$E$6899)*MIN(1,(Sens!F6848-base_fy)/n_conv)</f>
        <v>0.0479303589424807</v>
      </c>
      <c r="G6899" s="7" t="n">
        <f aca="false">Sens!$E$6899+(glt_lic-Sens!$E$6899)*MIN(1,(Sens!G6848-base_fy)/n_conv)</f>
        <v>0.0423442871539845</v>
      </c>
      <c r="H6899" s="7" t="n">
        <f aca="false">Sens!$E$6899+(glt_lic-Sens!$E$6899)*MIN(1,(Sens!H6848-base_fy)/n_conv)</f>
        <v>0.0367582153654884</v>
      </c>
      <c r="I6899" s="7" t="n">
        <f aca="false">Sens!$E$6899+(glt_lic-Sens!$E$6899)*MIN(1,(Sens!I6848-base_fy)/n_conv)</f>
        <v>0.0311721435769923</v>
      </c>
      <c r="J6899" s="7" t="n">
        <f aca="false">Sens!$E$6899+(glt_lic-Sens!$E$6899)*MIN(1,(Sens!J6848-base_fy)/n_conv)</f>
        <v>0.0255860717884961</v>
      </c>
      <c r="K6899" s="7" t="n">
        <f aca="false">Sens!$E$6899+(glt_lic-Sens!$E$6899)*MIN(1,(Sens!K6848-base_fy)/n_conv)</f>
        <v>0.02</v>
      </c>
    </row>
    <row r="6900" customFormat="false" ht="17.15" hidden="false" customHeight="false" outlineLevel="0" collapsed="false">
      <c r="A6900" s="0" t="s">
        <v>1035</v>
      </c>
      <c r="B6900" s="0" t="s">
        <v>98</v>
      </c>
      <c r="D6900" s="6" t="n">
        <f aca="false">Q!L9</f>
        <v>18.417</v>
      </c>
      <c r="E6900" s="6" t="n">
        <f aca="false">Q!M9</f>
        <v>20.345</v>
      </c>
      <c r="F6900" s="6" t="n">
        <f aca="false">Q!$I$9+(Q!M9-Q!$E$9)*(1+Sens!F6901)</f>
        <v>22.3161797133988</v>
      </c>
      <c r="G6900" s="6" t="n">
        <f aca="false">Sens!F6900*(1+Sens!G6901)</f>
        <v>24.3943499673233</v>
      </c>
      <c r="H6900" s="6" t="n">
        <f aca="false">Sens!G6900*(1+Sens!H6901)</f>
        <v>26.5250243109019</v>
      </c>
      <c r="I6900" s="6" t="n">
        <f aca="false">Sens!H6900*(1+Sens!I6901)</f>
        <v>28.6884573538181</v>
      </c>
      <c r="J6900" s="6" t="n">
        <f aca="false">Sens!I6900*(1+Sens!J6901)</f>
        <v>30.8624968052127</v>
      </c>
      <c r="K6900" s="6" t="n">
        <f aca="false">Sens!J6900*(1+Sens!K6901)</f>
        <v>33.0228715815776</v>
      </c>
      <c r="L6900" s="12" t="s">
        <v>1034</v>
      </c>
    </row>
    <row r="6901" customFormat="false" ht="15" hidden="false" customHeight="false" outlineLevel="0" collapsed="false">
      <c r="A6901" s="1" t="s">
        <v>1024</v>
      </c>
      <c r="B6901" s="0" t="s">
        <v>168</v>
      </c>
      <c r="E6901" s="7" t="n">
        <f aca="false">Sens!E6900/Sens!D6900-1</f>
        <v>0.104685888038225</v>
      </c>
      <c r="F6901" s="7" t="n">
        <f aca="false">Sens!$E$6901+(glt_ind-Sens!$E$6901)*MIN(1,(Sens!F6848-base_fy)/n_conv)</f>
        <v>0.0989049066985211</v>
      </c>
      <c r="G6901" s="7" t="n">
        <f aca="false">Sens!$E$6901+(glt_ind-Sens!$E$6901)*MIN(1,(Sens!G6848-base_fy)/n_conv)</f>
        <v>0.0931239253588169</v>
      </c>
      <c r="H6901" s="7" t="n">
        <f aca="false">Sens!$E$6901+(glt_ind-Sens!$E$6901)*MIN(1,(Sens!H6848-base_fy)/n_conv)</f>
        <v>0.0873429440191127</v>
      </c>
      <c r="I6901" s="7" t="n">
        <f aca="false">Sens!$E$6901+(glt_ind-Sens!$E$6901)*MIN(1,(Sens!I6848-base_fy)/n_conv)</f>
        <v>0.0815619626794085</v>
      </c>
      <c r="J6901" s="7" t="n">
        <f aca="false">Sens!$E$6901+(glt_ind-Sens!$E$6901)*MIN(1,(Sens!J6848-base_fy)/n_conv)</f>
        <v>0.0757809813397042</v>
      </c>
      <c r="K6901" s="7" t="n">
        <f aca="false">Sens!$E$6901+(glt_ind-Sens!$E$6901)*MIN(1,(Sens!K6848-base_fy)/n_conv)</f>
        <v>0.07</v>
      </c>
    </row>
    <row r="6902" customFormat="false" ht="17.15" hidden="false" customHeight="false" outlineLevel="0" collapsed="false">
      <c r="A6902" s="0" t="s">
        <v>1036</v>
      </c>
      <c r="B6902" s="0" t="s">
        <v>98</v>
      </c>
      <c r="D6902" s="6" t="n">
        <f aca="false">Q!L10</f>
        <v>7.76</v>
      </c>
      <c r="E6902" s="6" t="n">
        <f aca="false">Q!M10</f>
        <v>8.26</v>
      </c>
      <c r="F6902" s="6" t="n">
        <f aca="false">Q!$I$10+(Q!M10-Q!$E$10)*(1+Sens!F6903)</f>
        <v>8.75372082474227</v>
      </c>
      <c r="G6902" s="6" t="n">
        <f aca="false">Sens!F6902*(1+Sens!G6903)</f>
        <v>9.33399324642364</v>
      </c>
      <c r="H6902" s="6" t="n">
        <f aca="false">Sens!G6902*(1+Sens!H6903)</f>
        <v>9.96139155535851</v>
      </c>
      <c r="I6902" s="6" t="n">
        <f aca="false">Sens!H6902*(1+Sens!I6903)</f>
        <v>10.6402039077391</v>
      </c>
      <c r="J6902" s="6" t="n">
        <f aca="false">Sens!I6902*(1+Sens!J6903)</f>
        <v>11.3751458271397</v>
      </c>
      <c r="K6902" s="6" t="n">
        <f aca="false">Sens!J6902*(1+Sens!K6903)</f>
        <v>12.1714060350394</v>
      </c>
      <c r="L6902" s="12" t="s">
        <v>1034</v>
      </c>
    </row>
    <row r="6903" customFormat="false" ht="15" hidden="false" customHeight="false" outlineLevel="0" collapsed="false">
      <c r="A6903" s="1" t="s">
        <v>1024</v>
      </c>
      <c r="B6903" s="0" t="s">
        <v>168</v>
      </c>
      <c r="E6903" s="7" t="n">
        <f aca="false">Sens!E6902/Sens!D6902-1</f>
        <v>0.0644329896907216</v>
      </c>
      <c r="F6903" s="7" t="n">
        <f aca="false">Sens!$E$6903+(glt_fro-Sens!$E$6903)*MIN(1,(Sens!F6848-base_fy)/n_conv)</f>
        <v>0.065360824742268</v>
      </c>
      <c r="G6903" s="7" t="n">
        <f aca="false">Sens!$E$6903+(glt_fro-Sens!$E$6903)*MIN(1,(Sens!G6848-base_fy)/n_conv)</f>
        <v>0.0662886597938144</v>
      </c>
      <c r="H6903" s="7" t="n">
        <f aca="false">Sens!$E$6903+(glt_fro-Sens!$E$6903)*MIN(1,(Sens!H6848-base_fy)/n_conv)</f>
        <v>0.0672164948453608</v>
      </c>
      <c r="I6903" s="7" t="n">
        <f aca="false">Sens!$E$6903+(glt_fro-Sens!$E$6903)*MIN(1,(Sens!I6848-base_fy)/n_conv)</f>
        <v>0.0681443298969072</v>
      </c>
      <c r="J6903" s="7" t="n">
        <f aca="false">Sens!$E$6903+(glt_fro-Sens!$E$6903)*MIN(1,(Sens!J6848-base_fy)/n_conv)</f>
        <v>0.0690721649484536</v>
      </c>
      <c r="K6903" s="7" t="n">
        <f aca="false">Sens!$E$6903+(glt_fro-Sens!$E$6903)*MIN(1,(Sens!K6848-base_fy)/n_conv)</f>
        <v>0.07</v>
      </c>
    </row>
    <row r="6904" customFormat="false" ht="15" hidden="false" customHeight="false" outlineLevel="0" collapsed="false">
      <c r="A6904" s="0" t="s">
        <v>852</v>
      </c>
      <c r="B6904" s="0" t="s">
        <v>98</v>
      </c>
      <c r="D6904" s="6" t="n">
        <f aca="false">Sens!D6892+Sens!D6897+Sens!D6898+Sens!D6900+Sens!D6902</f>
        <v>218.783</v>
      </c>
      <c r="E6904" s="6" t="n">
        <f aca="false">Sens!E6892+Sens!E6897+Sens!E6898+Sens!E6900+Sens!E6902</f>
        <v>268.127</v>
      </c>
      <c r="F6904" s="6" t="n">
        <f aca="false">Sens!F6892+Sens!F6897+Sens!F6898+Sens!F6900+Sens!F6902</f>
        <v>333.602446506365</v>
      </c>
      <c r="G6904" s="6" t="n">
        <f aca="false">Sens!G6892+Sens!G6897+Sens!G6898+Sens!G6900+Sens!G6902</f>
        <v>406.097068847802</v>
      </c>
      <c r="H6904" s="6" t="n">
        <f aca="false">Sens!H6892+Sens!H6897+Sens!H6898+Sens!H6900+Sens!H6902</f>
        <v>479.948045143837</v>
      </c>
      <c r="I6904" s="6" t="n">
        <f aca="false">Sens!I6892+Sens!I6897+Sens!I6898+Sens!I6900+Sens!I6902</f>
        <v>547.688084267188</v>
      </c>
      <c r="J6904" s="6" t="n">
        <f aca="false">Sens!J6892+Sens!J6897+Sens!J6898+Sens!J6900+Sens!J6902</f>
        <v>602.665606154125</v>
      </c>
      <c r="K6904" s="6" t="n">
        <f aca="false">Sens!K6892+Sens!K6897+Sens!K6898+Sens!K6900+Sens!K6902</f>
        <v>645.637148264209</v>
      </c>
    </row>
    <row r="6905" customFormat="false" ht="17.15" hidden="false" customHeight="false" outlineLevel="0" collapsed="false">
      <c r="A6905" s="0" t="s">
        <v>1037</v>
      </c>
      <c r="B6905" s="0" t="s">
        <v>98</v>
      </c>
      <c r="D6905" s="6" t="n">
        <f aca="false">Q!L13</f>
        <v>22.171</v>
      </c>
      <c r="E6905" s="6" t="n">
        <f aca="false">Q!M13</f>
        <v>24.835</v>
      </c>
      <c r="F6905" s="6" t="n">
        <f aca="false">Q!$I$13+(Q!M13-Q!$E$13)*(1+Sens!F6906)</f>
        <v>27.5591895660247</v>
      </c>
      <c r="G6905" s="6" t="n">
        <f aca="false">Sens!F6905*(1+Sens!G6906)</f>
        <v>30.4098563144583</v>
      </c>
      <c r="H6905" s="6" t="n">
        <f aca="false">Sens!G6905*(1+Sens!H6906)</f>
        <v>33.3011792571777</v>
      </c>
      <c r="I6905" s="6" t="n">
        <f aca="false">Sens!H6905*(1+Sens!I6906)</f>
        <v>36.189023797112</v>
      </c>
      <c r="J6905" s="6" t="n">
        <f aca="false">Sens!I6905*(1+Sens!J6906)</f>
        <v>39.0247773769199</v>
      </c>
      <c r="K6905" s="6" t="n">
        <f aca="false">Sens!J6905*(1+Sens!K6906)</f>
        <v>41.7565117933043</v>
      </c>
      <c r="L6905" s="12" t="s">
        <v>1034</v>
      </c>
    </row>
    <row r="6906" customFormat="false" ht="15" hidden="false" customHeight="false" outlineLevel="0" collapsed="false">
      <c r="A6906" s="1" t="s">
        <v>1024</v>
      </c>
      <c r="B6906" s="0" t="s">
        <v>168</v>
      </c>
      <c r="E6906" s="7" t="n">
        <f aca="false">Sens!E6905/Sens!D6905-1</f>
        <v>0.120156961796942</v>
      </c>
      <c r="F6906" s="7" t="n">
        <f aca="false">Sens!$E$6906+(glt_srch-Sens!$E$6906)*MIN(1,(Sens!F6848-base_fy)/n_conv)</f>
        <v>0.111797468164118</v>
      </c>
      <c r="G6906" s="7" t="n">
        <f aca="false">Sens!$E$6906+(glt_srch-Sens!$E$6906)*MIN(1,(Sens!G6848-base_fy)/n_conv)</f>
        <v>0.103437974531295</v>
      </c>
      <c r="H6906" s="7" t="n">
        <f aca="false">Sens!$E$6906+(glt_srch-Sens!$E$6906)*MIN(1,(Sens!H6848-base_fy)/n_conv)</f>
        <v>0.095078480898471</v>
      </c>
      <c r="I6906" s="7" t="n">
        <f aca="false">Sens!$E$6906+(glt_srch-Sens!$E$6906)*MIN(1,(Sens!I6848-base_fy)/n_conv)</f>
        <v>0.0867189872656474</v>
      </c>
      <c r="J6906" s="7" t="n">
        <f aca="false">Sens!$E$6906+(glt_srch-Sens!$E$6906)*MIN(1,(Sens!J6848-base_fy)/n_conv)</f>
        <v>0.0783594936328237</v>
      </c>
      <c r="K6906" s="7" t="n">
        <f aca="false">Sens!$E$6906+(glt_srch-Sens!$E$6906)*MIN(1,(Sens!K6848-base_fy)/n_conv)</f>
        <v>0.07</v>
      </c>
    </row>
    <row r="6907" customFormat="false" ht="17.15" hidden="false" customHeight="false" outlineLevel="0" collapsed="false">
      <c r="A6907" s="0" t="s">
        <v>1038</v>
      </c>
      <c r="B6907" s="0" t="s">
        <v>98</v>
      </c>
      <c r="D6907" s="6" t="n">
        <f aca="false">Q!L14</f>
        <v>23.455</v>
      </c>
      <c r="E6907" s="6" t="n">
        <f aca="false">Q!M14</f>
        <v>21.79</v>
      </c>
      <c r="F6907" s="6" t="n">
        <f aca="false">Q!$I$14+(Q!M14-Q!$E$14)*(1+Sens!F6908)</f>
        <v>20.7520981041711</v>
      </c>
      <c r="G6907" s="6" t="n">
        <f aca="false">Sens!F6907*(1+Sens!G6908)</f>
        <v>19.9083593495882</v>
      </c>
      <c r="H6907" s="6" t="n">
        <f aca="false">Sens!G6907*(1+Sens!H6908)</f>
        <v>19.4008256265831</v>
      </c>
      <c r="I6907" s="6" t="n">
        <f aca="false">Sens!H6907*(1+Sens!I6908)</f>
        <v>19.200434522122</v>
      </c>
      <c r="J6907" s="6" t="n">
        <f aca="false">Sens!I6907*(1+Sens!J6908)</f>
        <v>19.2932782348507</v>
      </c>
      <c r="K6907" s="6" t="n">
        <f aca="false">Sens!J6907*(1+Sens!K6908)</f>
        <v>19.6791437995477</v>
      </c>
      <c r="L6907" s="12" t="s">
        <v>1034</v>
      </c>
    </row>
    <row r="6908" customFormat="false" ht="15" hidden="false" customHeight="false" outlineLevel="0" collapsed="false">
      <c r="A6908" s="1" t="s">
        <v>1024</v>
      </c>
      <c r="B6908" s="0" t="s">
        <v>168</v>
      </c>
      <c r="E6908" s="7" t="n">
        <f aca="false">Sens!E6907/Sens!D6907-1</f>
        <v>-0.0709869963760392</v>
      </c>
      <c r="F6908" s="7" t="n">
        <f aca="false">Sens!$E$6908+(glt_xbox-Sens!$E$6908)*MIN(1,(Sens!F6848-base_fy)/n_conv)</f>
        <v>-0.0558224969800327</v>
      </c>
      <c r="G6908" s="7" t="n">
        <f aca="false">Sens!$E$6908+(glt_xbox-Sens!$E$6908)*MIN(1,(Sens!G6848-base_fy)/n_conv)</f>
        <v>-0.0406579975840262</v>
      </c>
      <c r="H6908" s="7" t="n">
        <f aca="false">Sens!$E$6908+(glt_xbox-Sens!$E$6908)*MIN(1,(Sens!H6848-base_fy)/n_conv)</f>
        <v>-0.0254934981880196</v>
      </c>
      <c r="I6908" s="7" t="n">
        <f aca="false">Sens!$E$6908+(glt_xbox-Sens!$E$6908)*MIN(1,(Sens!I6848-base_fy)/n_conv)</f>
        <v>-0.0103289987920131</v>
      </c>
      <c r="J6908" s="7" t="n">
        <f aca="false">Sens!$E$6908+(glt_xbox-Sens!$E$6908)*MIN(1,(Sens!J6848-base_fy)/n_conv)</f>
        <v>0.00483550060399347</v>
      </c>
      <c r="K6908" s="7" t="n">
        <f aca="false">Sens!$E$6908+(glt_xbox-Sens!$E$6908)*MIN(1,(Sens!K6848-base_fy)/n_conv)</f>
        <v>0.02</v>
      </c>
    </row>
    <row r="6909" customFormat="false" ht="17.15" hidden="false" customHeight="false" outlineLevel="0" collapsed="false">
      <c r="A6909" s="0" t="s">
        <v>1039</v>
      </c>
      <c r="B6909" s="0" t="s">
        <v>98</v>
      </c>
      <c r="D6909" s="6" t="n">
        <f aca="false">Q!L15</f>
        <v>17.315</v>
      </c>
      <c r="E6909" s="6" t="n">
        <f aca="false">Q!M15</f>
        <v>17.087</v>
      </c>
      <c r="F6909" s="6" t="n">
        <f aca="false">Q!$I$15+(Q!M15-Q!$E$15)*(1+Sens!F6910)</f>
        <v>15.9912273250553</v>
      </c>
      <c r="G6909" s="6" t="n">
        <f aca="false">Sens!F6909*(1+Sens!G6910)</f>
        <v>15.9574562664827</v>
      </c>
      <c r="H6909" s="6" t="n">
        <f aca="false">Sens!G6909*(1+Sens!H6910)</f>
        <v>16.0119687434196</v>
      </c>
      <c r="I6909" s="6" t="n">
        <f aca="false">Sens!H6909*(1+Sens!I6910)</f>
        <v>16.1551810001948</v>
      </c>
      <c r="J6909" s="6" t="n">
        <f aca="false">Sens!I6909*(1+Sens!J6910)</f>
        <v>16.3889793892005</v>
      </c>
      <c r="K6909" s="6" t="n">
        <f aca="false">Sens!J6909*(1+Sens!K6910)</f>
        <v>16.7167589769845</v>
      </c>
      <c r="L6909" s="12" t="s">
        <v>1034</v>
      </c>
    </row>
    <row r="6910" customFormat="false" ht="15" hidden="false" customHeight="false" outlineLevel="0" collapsed="false">
      <c r="A6910" s="1" t="s">
        <v>1024</v>
      </c>
      <c r="B6910" s="0" t="s">
        <v>168</v>
      </c>
      <c r="E6910" s="7" t="n">
        <f aca="false">Sens!E6909/Sens!D6909-1</f>
        <v>-0.0131677736066995</v>
      </c>
      <c r="F6910" s="7" t="n">
        <f aca="false">Sens!$E$6910+(glt_win-Sens!$E$6910)*MIN(1,(Sens!F6848-base_fy)/n_conv)</f>
        <v>-0.00763981133891627</v>
      </c>
      <c r="G6910" s="7" t="n">
        <f aca="false">Sens!$E$6910+(glt_win-Sens!$E$6910)*MIN(1,(Sens!G6848-base_fy)/n_conv)</f>
        <v>-0.00211184907113301</v>
      </c>
      <c r="H6910" s="7" t="n">
        <f aca="false">Sens!$E$6910+(glt_win-Sens!$E$6910)*MIN(1,(Sens!H6848-base_fy)/n_conv)</f>
        <v>0.00341611319665024</v>
      </c>
      <c r="I6910" s="7" t="n">
        <f aca="false">Sens!$E$6910+(glt_win-Sens!$E$6910)*MIN(1,(Sens!I6848-base_fy)/n_conv)</f>
        <v>0.00894407546443349</v>
      </c>
      <c r="J6910" s="7" t="n">
        <f aca="false">Sens!$E$6910+(glt_win-Sens!$E$6910)*MIN(1,(Sens!J6848-base_fy)/n_conv)</f>
        <v>0.0144720377322168</v>
      </c>
      <c r="K6910" s="7" t="n">
        <f aca="false">Sens!$E$6910+(glt_win-Sens!$E$6910)*MIN(1,(Sens!K6848-base_fy)/n_conv)</f>
        <v>0.02</v>
      </c>
    </row>
    <row r="6911" customFormat="false" ht="15" hidden="false" customHeight="false" outlineLevel="0" collapsed="false">
      <c r="A6911" s="0" t="s">
        <v>866</v>
      </c>
      <c r="B6911" s="0" t="s">
        <v>98</v>
      </c>
      <c r="D6911" s="6" t="n">
        <f aca="false">Sens!D6905+Sens!D6907+Sens!D6909</f>
        <v>62.941</v>
      </c>
      <c r="E6911" s="6" t="n">
        <f aca="false">Sens!E6905+Sens!E6907+Sens!E6909</f>
        <v>63.712</v>
      </c>
      <c r="F6911" s="6" t="n">
        <f aca="false">Sens!F6905+Sens!F6907+Sens!F6909</f>
        <v>64.3025149952511</v>
      </c>
      <c r="G6911" s="6" t="n">
        <f aca="false">Sens!G6905+Sens!G6907+Sens!G6909</f>
        <v>66.2756719305292</v>
      </c>
      <c r="H6911" s="6" t="n">
        <f aca="false">Sens!H6905+Sens!H6907+Sens!H6909</f>
        <v>68.7139736271804</v>
      </c>
      <c r="I6911" s="6" t="n">
        <f aca="false">Sens!I6905+Sens!I6907+Sens!I6909</f>
        <v>71.5446393194289</v>
      </c>
      <c r="J6911" s="6" t="n">
        <f aca="false">Sens!J6905+Sens!J6907+Sens!J6909</f>
        <v>74.707035000971</v>
      </c>
      <c r="K6911" s="6" t="n">
        <f aca="false">Sens!K6905+Sens!K6907+Sens!K6909</f>
        <v>78.1524145698365</v>
      </c>
    </row>
    <row r="6912" customFormat="false" ht="15" hidden="false" customHeight="false" outlineLevel="0" collapsed="false">
      <c r="A6912" s="1" t="s">
        <v>1040</v>
      </c>
      <c r="B6912" s="0" t="s">
        <v>98</v>
      </c>
      <c r="D6912" s="6" t="n">
        <f aca="false">Sens!D6904+Sens!D6911</f>
        <v>281.724</v>
      </c>
      <c r="E6912" s="6" t="n">
        <f aca="false">Sens!E6904+Sens!E6911</f>
        <v>331.839</v>
      </c>
      <c r="F6912" s="6" t="n">
        <f aca="false">Sens!F6904+Sens!F6911</f>
        <v>397.904961501616</v>
      </c>
      <c r="G6912" s="6" t="n">
        <f aca="false">Sens!G6904+Sens!G6911</f>
        <v>472.372740778331</v>
      </c>
      <c r="H6912" s="6" t="n">
        <f aca="false">Sens!H6904+Sens!H6911</f>
        <v>548.662018771017</v>
      </c>
      <c r="I6912" s="6" t="n">
        <f aca="false">Sens!I6904+Sens!I6911</f>
        <v>619.232723586617</v>
      </c>
      <c r="J6912" s="6" t="n">
        <f aca="false">Sens!J6904+Sens!J6911</f>
        <v>677.372641155096</v>
      </c>
      <c r="K6912" s="6" t="n">
        <f aca="false">Sens!K6904+Sens!K6911</f>
        <v>723.789562834046</v>
      </c>
    </row>
    <row r="6913" customFormat="false" ht="15" hidden="false" customHeight="false" outlineLevel="0" collapsed="false">
      <c r="A6913" s="26" t="s">
        <v>1041</v>
      </c>
      <c r="B6913" s="31" t="s">
        <v>98</v>
      </c>
      <c r="C6913" s="31"/>
      <c r="D6913" s="27" t="n">
        <f aca="false">(Sens!D6892+Sens!D6897+Sens!D6898+Sens!D6900+Sens!D6902-Sens!D6904)+(Sens!D6905+Sens!D6907+Sens!D6909-Sens!D6911)+(Sens!D6904-Q!L5)+(Sens!D6911-Q!L12)+(Sens!D6892-Q!L6)+(Sens!D6897-Q!L7)</f>
        <v>0</v>
      </c>
      <c r="E6913" s="27" t="n">
        <f aca="false">(Sens!E6892+Sens!E6897+Sens!E6898+Sens!E6900+Sens!E6902-Sens!E6904)+(Sens!E6905+Sens!E6907+Sens!E6909-Sens!E6911)+(Sens!E6904-Q!M5)+(Sens!E6911-Q!M12)+(Sens!E6892-Q!M6)+(Sens!E6897-Q!M7)</f>
        <v>0</v>
      </c>
      <c r="F6913" s="27" t="n">
        <f aca="false">(Sens!F6892+Sens!F6897+Sens!F6898+Sens!F6900+Sens!F6902-Sens!F6904)+(Sens!F6905+Sens!F6907+Sens!F6909-Sens!F6911)</f>
        <v>0</v>
      </c>
      <c r="G6913" s="27" t="n">
        <f aca="false">(Sens!G6892+Sens!G6897+Sens!G6898+Sens!G6900+Sens!G6902-Sens!G6904)+(Sens!G6905+Sens!G6907+Sens!G6909-Sens!G6911)</f>
        <v>0</v>
      </c>
      <c r="H6913" s="27" t="n">
        <f aca="false">(Sens!H6892+Sens!H6897+Sens!H6898+Sens!H6900+Sens!H6902-Sens!H6904)+(Sens!H6905+Sens!H6907+Sens!H6909-Sens!H6911)</f>
        <v>0</v>
      </c>
      <c r="I6913" s="27" t="n">
        <f aca="false">(Sens!I6892+Sens!I6897+Sens!I6898+Sens!I6900+Sens!I6902-Sens!I6904)+(Sens!I6905+Sens!I6907+Sens!I6909-Sens!I6911)</f>
        <v>0</v>
      </c>
      <c r="J6913" s="27" t="n">
        <f aca="false">(Sens!J6892+Sens!J6897+Sens!J6898+Sens!J6900+Sens!J6902-Sens!J6904)+(Sens!J6905+Sens!J6907+Sens!J6909-Sens!J6911)</f>
        <v>0</v>
      </c>
      <c r="K6913" s="27" t="n">
        <f aca="false">(Sens!K6892+Sens!K6897+Sens!K6898+Sens!K6900+Sens!K6902-Sens!K6904)+(Sens!K6905+Sens!K6907+Sens!K6909-Sens!K6911)</f>
        <v>0</v>
      </c>
    </row>
    <row r="6914" customFormat="false" ht="17.15" hidden="false" customHeight="false" outlineLevel="0" collapsed="false">
      <c r="A6914" s="3" t="s">
        <v>1652</v>
      </c>
    </row>
    <row r="6915" customFormat="false" ht="15" hidden="false" customHeight="false" outlineLevel="0" collapsed="false">
      <c r="A6915" s="4" t="s">
        <v>43</v>
      </c>
      <c r="B6915" s="4" t="s">
        <v>65</v>
      </c>
      <c r="C6915" s="23" t="s">
        <v>938</v>
      </c>
      <c r="D6915" s="23" t="s">
        <v>939</v>
      </c>
      <c r="E6915" s="23" t="s">
        <v>940</v>
      </c>
      <c r="F6915" s="23" t="s">
        <v>941</v>
      </c>
      <c r="G6915" s="23" t="s">
        <v>942</v>
      </c>
      <c r="H6915" s="23" t="s">
        <v>943</v>
      </c>
      <c r="I6915" s="23" t="s">
        <v>944</v>
      </c>
      <c r="J6915" s="23" t="s">
        <v>945</v>
      </c>
      <c r="K6915" s="23" t="s">
        <v>946</v>
      </c>
      <c r="L6915" s="4" t="s">
        <v>47</v>
      </c>
    </row>
    <row r="6916" customFormat="false" ht="15" hidden="false" customHeight="false" outlineLevel="0" collapsed="false">
      <c r="A6916" s="0" t="s">
        <v>1025</v>
      </c>
      <c r="B6916" s="0" t="s">
        <v>98</v>
      </c>
      <c r="D6916" s="6" t="n">
        <f aca="false">Sens!D6892</f>
        <v>72.61</v>
      </c>
      <c r="E6916" s="6" t="n">
        <f aca="false">Sens!E6892</f>
        <v>101.938</v>
      </c>
      <c r="F6916" s="6" t="n">
        <f aca="false">Sens!F6892</f>
        <v>146.709048000181</v>
      </c>
      <c r="G6916" s="6" t="n">
        <f aca="false">Sens!G6892</f>
        <v>199.762829861393</v>
      </c>
      <c r="H6916" s="6" t="n">
        <f aca="false">Sens!H6892</f>
        <v>254.146566109645</v>
      </c>
      <c r="I6916" s="6" t="n">
        <f aca="false">Sens!I6892</f>
        <v>303.439446964617</v>
      </c>
      <c r="J6916" s="6" t="n">
        <f aca="false">Sens!J6892</f>
        <v>341.309898459739</v>
      </c>
      <c r="K6916" s="6" t="n">
        <f aca="false">Sens!K6892</f>
        <v>368.09747789654</v>
      </c>
    </row>
    <row r="6917" customFormat="false" ht="17.15" hidden="false" customHeight="false" outlineLevel="0" collapsed="false">
      <c r="A6917" s="0" t="s">
        <v>1021</v>
      </c>
      <c r="B6917" s="0" t="s">
        <v>98</v>
      </c>
      <c r="D6917" s="6" t="n">
        <f aca="false">Sens!D6889</f>
        <v>12.9359794422418</v>
      </c>
      <c r="E6917" s="6" t="n">
        <f aca="false">Sens!E6889</f>
        <v>27.8095064661409</v>
      </c>
      <c r="F6917" s="6" t="n">
        <f aca="false">Sens!F6889</f>
        <v>55.4118315060966</v>
      </c>
      <c r="G6917" s="6" t="n">
        <f aca="false">Sens!G6889</f>
        <v>91.2881100675143</v>
      </c>
      <c r="H6917" s="6" t="n">
        <f aca="false">Sens!H6889</f>
        <v>128.195273603944</v>
      </c>
      <c r="I6917" s="6" t="n">
        <f aca="false">Sens!I6889</f>
        <v>160.601281810405</v>
      </c>
      <c r="J6917" s="6" t="n">
        <f aca="false">Sens!J6889</f>
        <v>183.182719793589</v>
      </c>
      <c r="K6917" s="6" t="n">
        <f aca="false">Sens!K6889</f>
        <v>197.320124937098</v>
      </c>
    </row>
    <row r="6918" customFormat="false" ht="17.15" hidden="false" customHeight="false" outlineLevel="0" collapsed="false">
      <c r="A6918" s="0" t="s">
        <v>1052</v>
      </c>
      <c r="B6918" s="0" t="s">
        <v>98</v>
      </c>
      <c r="D6918" s="6" t="n">
        <f aca="false">Sens!D6890</f>
        <v>59.6740205577583</v>
      </c>
      <c r="E6918" s="6" t="n">
        <f aca="false">Sens!E6890</f>
        <v>74.1284935338591</v>
      </c>
      <c r="F6918" s="6" t="n">
        <f aca="false">Sens!F6890</f>
        <v>91.2972164940844</v>
      </c>
      <c r="G6918" s="6" t="n">
        <f aca="false">Sens!G6890</f>
        <v>108.474719793879</v>
      </c>
      <c r="H6918" s="6" t="n">
        <f aca="false">Sens!H6890</f>
        <v>125.951292505701</v>
      </c>
      <c r="I6918" s="6" t="n">
        <f aca="false">Sens!I6890</f>
        <v>142.838165154212</v>
      </c>
      <c r="J6918" s="6" t="n">
        <f aca="false">Sens!J6890</f>
        <v>158.12717866615</v>
      </c>
      <c r="K6918" s="6" t="n">
        <f aca="false">Sens!K6890</f>
        <v>170.777352959442</v>
      </c>
    </row>
    <row r="6919" customFormat="false" ht="15" hidden="false" customHeight="false" outlineLevel="0" collapsed="false">
      <c r="A6919" s="0" t="s">
        <v>1032</v>
      </c>
      <c r="B6919" s="0" t="s">
        <v>98</v>
      </c>
      <c r="D6919" s="6" t="n">
        <f aca="false">Sens!D6897</f>
        <v>84.605</v>
      </c>
      <c r="E6919" s="6" t="n">
        <f aca="false">Sens!E6897</f>
        <v>100.299</v>
      </c>
      <c r="F6919" s="6" t="n">
        <f aca="false">Sens!F6897</f>
        <v>117.438354189776</v>
      </c>
      <c r="G6919" s="6" t="n">
        <f aca="false">Sens!G6897</f>
        <v>132.595360443801</v>
      </c>
      <c r="H6919" s="6" t="n">
        <f aca="false">Sens!H6897</f>
        <v>147.833811964563</v>
      </c>
      <c r="I6919" s="6" t="n">
        <f aca="false">Sens!I6897</f>
        <v>162.145665319381</v>
      </c>
      <c r="J6919" s="6" t="n">
        <f aca="false">Sens!J6897</f>
        <v>175.249327755573</v>
      </c>
      <c r="K6919" s="6" t="n">
        <f aca="false">Sens!K6897</f>
        <v>187.599280698463</v>
      </c>
    </row>
    <row r="6920" customFormat="false" ht="17.15" hidden="false" customHeight="false" outlineLevel="0" collapsed="false">
      <c r="A6920" s="0" t="s">
        <v>1053</v>
      </c>
      <c r="B6920" s="0" t="s">
        <v>98</v>
      </c>
      <c r="D6920" s="6" t="n">
        <f aca="false">Sens!D6895</f>
        <v>83.705</v>
      </c>
      <c r="E6920" s="6" t="n">
        <f aca="false">Sens!E6895</f>
        <v>95.049</v>
      </c>
      <c r="F6920" s="6" t="n">
        <f aca="false">Sens!F6895</f>
        <v>106.938354189776</v>
      </c>
      <c r="G6920" s="6" t="n">
        <f aca="false">Sens!G6895</f>
        <v>119.095360443801</v>
      </c>
      <c r="H6920" s="6" t="n">
        <f aca="false">Sens!H6895</f>
        <v>131.333811964563</v>
      </c>
      <c r="I6920" s="6" t="n">
        <f aca="false">Sens!I6895</f>
        <v>143.395665319381</v>
      </c>
      <c r="J6920" s="6" t="n">
        <f aca="false">Sens!J6895</f>
        <v>154.999327755573</v>
      </c>
      <c r="K6920" s="6" t="n">
        <f aca="false">Sens!K6895</f>
        <v>165.849280698463</v>
      </c>
    </row>
    <row r="6921" customFormat="false" ht="17.15" hidden="false" customHeight="false" outlineLevel="0" collapsed="false">
      <c r="A6921" s="0" t="s">
        <v>1054</v>
      </c>
      <c r="B6921" s="0" t="s">
        <v>98</v>
      </c>
      <c r="D6921" s="6" t="n">
        <f aca="false">Sens!D6894</f>
        <v>0.9</v>
      </c>
      <c r="E6921" s="6" t="n">
        <f aca="false">Sens!E6894</f>
        <v>5.25</v>
      </c>
      <c r="F6921" s="6" t="n">
        <f aca="false">Sens!F6894</f>
        <v>10.5</v>
      </c>
      <c r="G6921" s="6" t="n">
        <f aca="false">Sens!G6894</f>
        <v>13.5</v>
      </c>
      <c r="H6921" s="6" t="n">
        <f aca="false">Sens!H6894</f>
        <v>16.5</v>
      </c>
      <c r="I6921" s="6" t="n">
        <f aca="false">Sens!I6894</f>
        <v>18.75</v>
      </c>
      <c r="J6921" s="6" t="n">
        <f aca="false">Sens!J6894</f>
        <v>20.25</v>
      </c>
      <c r="K6921" s="6" t="n">
        <f aca="false">Sens!K6894</f>
        <v>21.75</v>
      </c>
    </row>
    <row r="6922" customFormat="false" ht="15" hidden="false" customHeight="false" outlineLevel="0" collapsed="false">
      <c r="A6922" s="0" t="s">
        <v>1033</v>
      </c>
      <c r="B6922" s="0" t="s">
        <v>98</v>
      </c>
      <c r="D6922" s="6" t="n">
        <f aca="false">Sens!D6898</f>
        <v>35.391</v>
      </c>
      <c r="E6922" s="6" t="n">
        <f aca="false">Sens!E6898</f>
        <v>37.285</v>
      </c>
      <c r="F6922" s="6" t="n">
        <f aca="false">Sens!F6898</f>
        <v>38.3851437782675</v>
      </c>
      <c r="G6922" s="6" t="n">
        <f aca="false">Sens!G6898</f>
        <v>40.0105353288615</v>
      </c>
      <c r="H6922" s="6" t="n">
        <f aca="false">Sens!H6898</f>
        <v>41.4812512033683</v>
      </c>
      <c r="I6922" s="6" t="n">
        <f aca="false">Sens!I6898</f>
        <v>42.7743107216329</v>
      </c>
      <c r="J6922" s="6" t="n">
        <f aca="false">Sens!J6898</f>
        <v>43.8687373064601</v>
      </c>
      <c r="K6922" s="6" t="n">
        <f aca="false">Sens!K6898</f>
        <v>44.7461120525893</v>
      </c>
    </row>
    <row r="6923" customFormat="false" ht="15" hidden="false" customHeight="false" outlineLevel="0" collapsed="false">
      <c r="A6923" s="0" t="s">
        <v>1035</v>
      </c>
      <c r="B6923" s="0" t="s">
        <v>98</v>
      </c>
      <c r="D6923" s="6" t="n">
        <f aca="false">Sens!D6900</f>
        <v>18.417</v>
      </c>
      <c r="E6923" s="6" t="n">
        <f aca="false">Sens!E6900</f>
        <v>20.345</v>
      </c>
      <c r="F6923" s="6" t="n">
        <f aca="false">Sens!F6900</f>
        <v>22.3161797133988</v>
      </c>
      <c r="G6923" s="6" t="n">
        <f aca="false">Sens!G6900</f>
        <v>24.3943499673233</v>
      </c>
      <c r="H6923" s="6" t="n">
        <f aca="false">Sens!H6900</f>
        <v>26.5250243109019</v>
      </c>
      <c r="I6923" s="6" t="n">
        <f aca="false">Sens!I6900</f>
        <v>28.6884573538181</v>
      </c>
      <c r="J6923" s="6" t="n">
        <f aca="false">Sens!J6900</f>
        <v>30.8624968052127</v>
      </c>
      <c r="K6923" s="6" t="n">
        <f aca="false">Sens!K6900</f>
        <v>33.0228715815776</v>
      </c>
    </row>
    <row r="6924" customFormat="false" ht="15" hidden="false" customHeight="false" outlineLevel="0" collapsed="false">
      <c r="A6924" s="0" t="s">
        <v>1036</v>
      </c>
      <c r="B6924" s="0" t="s">
        <v>98</v>
      </c>
      <c r="D6924" s="6" t="n">
        <f aca="false">Sens!D6902</f>
        <v>7.76</v>
      </c>
      <c r="E6924" s="6" t="n">
        <f aca="false">Sens!E6902</f>
        <v>8.26</v>
      </c>
      <c r="F6924" s="6" t="n">
        <f aca="false">Sens!F6902</f>
        <v>8.75372082474227</v>
      </c>
      <c r="G6924" s="6" t="n">
        <f aca="false">Sens!G6902</f>
        <v>9.33399324642364</v>
      </c>
      <c r="H6924" s="6" t="n">
        <f aca="false">Sens!H6902</f>
        <v>9.96139155535851</v>
      </c>
      <c r="I6924" s="6" t="n">
        <f aca="false">Sens!I6902</f>
        <v>10.6402039077391</v>
      </c>
      <c r="J6924" s="6" t="n">
        <f aca="false">Sens!J6902</f>
        <v>11.3751458271397</v>
      </c>
      <c r="K6924" s="6" t="n">
        <f aca="false">Sens!K6902</f>
        <v>12.1714060350394</v>
      </c>
    </row>
    <row r="6925" customFormat="false" ht="15" hidden="false" customHeight="false" outlineLevel="0" collapsed="false">
      <c r="A6925" s="0" t="s">
        <v>852</v>
      </c>
      <c r="B6925" s="0" t="s">
        <v>98</v>
      </c>
      <c r="D6925" s="6" t="n">
        <f aca="false">Sens!D6904</f>
        <v>218.783</v>
      </c>
      <c r="E6925" s="6" t="n">
        <f aca="false">Sens!E6904</f>
        <v>268.127</v>
      </c>
      <c r="F6925" s="6" t="n">
        <f aca="false">Sens!F6904</f>
        <v>333.602446506365</v>
      </c>
      <c r="G6925" s="6" t="n">
        <f aca="false">Sens!G6904</f>
        <v>406.097068847802</v>
      </c>
      <c r="H6925" s="6" t="n">
        <f aca="false">Sens!H6904</f>
        <v>479.948045143837</v>
      </c>
      <c r="I6925" s="6" t="n">
        <f aca="false">Sens!I6904</f>
        <v>547.688084267188</v>
      </c>
      <c r="J6925" s="6" t="n">
        <f aca="false">Sens!J6904</f>
        <v>602.665606154125</v>
      </c>
      <c r="K6925" s="6" t="n">
        <f aca="false">Sens!K6904</f>
        <v>645.637148264209</v>
      </c>
    </row>
    <row r="6926" customFormat="false" ht="15" hidden="false" customHeight="false" outlineLevel="0" collapsed="false">
      <c r="A6926" s="0" t="s">
        <v>1037</v>
      </c>
      <c r="B6926" s="0" t="s">
        <v>98</v>
      </c>
      <c r="D6926" s="6" t="n">
        <f aca="false">Sens!D6905</f>
        <v>22.171</v>
      </c>
      <c r="E6926" s="6" t="n">
        <f aca="false">Sens!E6905</f>
        <v>24.835</v>
      </c>
      <c r="F6926" s="6" t="n">
        <f aca="false">Sens!F6905</f>
        <v>27.5591895660247</v>
      </c>
      <c r="G6926" s="6" t="n">
        <f aca="false">Sens!G6905</f>
        <v>30.4098563144583</v>
      </c>
      <c r="H6926" s="6" t="n">
        <f aca="false">Sens!H6905</f>
        <v>33.3011792571777</v>
      </c>
      <c r="I6926" s="6" t="n">
        <f aca="false">Sens!I6905</f>
        <v>36.189023797112</v>
      </c>
      <c r="J6926" s="6" t="n">
        <f aca="false">Sens!J6905</f>
        <v>39.0247773769199</v>
      </c>
      <c r="K6926" s="6" t="n">
        <f aca="false">Sens!K6905</f>
        <v>41.7565117933043</v>
      </c>
    </row>
    <row r="6927" customFormat="false" ht="15" hidden="false" customHeight="false" outlineLevel="0" collapsed="false">
      <c r="A6927" s="0" t="s">
        <v>1038</v>
      </c>
      <c r="B6927" s="0" t="s">
        <v>98</v>
      </c>
      <c r="D6927" s="6" t="n">
        <f aca="false">Sens!D6907</f>
        <v>23.455</v>
      </c>
      <c r="E6927" s="6" t="n">
        <f aca="false">Sens!E6907</f>
        <v>21.79</v>
      </c>
      <c r="F6927" s="6" t="n">
        <f aca="false">Sens!F6907</f>
        <v>20.7520981041711</v>
      </c>
      <c r="G6927" s="6" t="n">
        <f aca="false">Sens!G6907</f>
        <v>19.9083593495882</v>
      </c>
      <c r="H6927" s="6" t="n">
        <f aca="false">Sens!H6907</f>
        <v>19.4008256265831</v>
      </c>
      <c r="I6927" s="6" t="n">
        <f aca="false">Sens!I6907</f>
        <v>19.200434522122</v>
      </c>
      <c r="J6927" s="6" t="n">
        <f aca="false">Sens!J6907</f>
        <v>19.2932782348507</v>
      </c>
      <c r="K6927" s="6" t="n">
        <f aca="false">Sens!K6907</f>
        <v>19.6791437995477</v>
      </c>
    </row>
    <row r="6928" customFormat="false" ht="15" hidden="false" customHeight="false" outlineLevel="0" collapsed="false">
      <c r="A6928" s="0" t="s">
        <v>1039</v>
      </c>
      <c r="B6928" s="0" t="s">
        <v>98</v>
      </c>
      <c r="D6928" s="6" t="n">
        <f aca="false">Sens!D6909</f>
        <v>17.315</v>
      </c>
      <c r="E6928" s="6" t="n">
        <f aca="false">Sens!E6909</f>
        <v>17.087</v>
      </c>
      <c r="F6928" s="6" t="n">
        <f aca="false">Sens!F6909</f>
        <v>15.9912273250553</v>
      </c>
      <c r="G6928" s="6" t="n">
        <f aca="false">Sens!G6909</f>
        <v>15.9574562664827</v>
      </c>
      <c r="H6928" s="6" t="n">
        <f aca="false">Sens!H6909</f>
        <v>16.0119687434196</v>
      </c>
      <c r="I6928" s="6" t="n">
        <f aca="false">Sens!I6909</f>
        <v>16.1551810001948</v>
      </c>
      <c r="J6928" s="6" t="n">
        <f aca="false">Sens!J6909</f>
        <v>16.3889793892005</v>
      </c>
      <c r="K6928" s="6" t="n">
        <f aca="false">Sens!K6909</f>
        <v>16.7167589769845</v>
      </c>
    </row>
    <row r="6929" customFormat="false" ht="15" hidden="false" customHeight="false" outlineLevel="0" collapsed="false">
      <c r="A6929" s="0" t="s">
        <v>866</v>
      </c>
      <c r="B6929" s="0" t="s">
        <v>98</v>
      </c>
      <c r="D6929" s="6" t="n">
        <f aca="false">Sens!D6911</f>
        <v>62.941</v>
      </c>
      <c r="E6929" s="6" t="n">
        <f aca="false">Sens!E6911</f>
        <v>63.712</v>
      </c>
      <c r="F6929" s="6" t="n">
        <f aca="false">Sens!F6911</f>
        <v>64.3025149952511</v>
      </c>
      <c r="G6929" s="6" t="n">
        <f aca="false">Sens!G6911</f>
        <v>66.2756719305292</v>
      </c>
      <c r="H6929" s="6" t="n">
        <f aca="false">Sens!H6911</f>
        <v>68.7139736271804</v>
      </c>
      <c r="I6929" s="6" t="n">
        <f aca="false">Sens!I6911</f>
        <v>71.5446393194289</v>
      </c>
      <c r="J6929" s="6" t="n">
        <f aca="false">Sens!J6911</f>
        <v>74.707035000971</v>
      </c>
      <c r="K6929" s="6" t="n">
        <f aca="false">Sens!K6911</f>
        <v>78.1524145698365</v>
      </c>
    </row>
    <row r="6930" customFormat="false" ht="15" hidden="false" customHeight="false" outlineLevel="0" collapsed="false">
      <c r="A6930" s="1" t="s">
        <v>1055</v>
      </c>
      <c r="B6930" s="0" t="s">
        <v>98</v>
      </c>
      <c r="D6930" s="6" t="n">
        <f aca="false">Sens!D6912</f>
        <v>281.724</v>
      </c>
      <c r="E6930" s="6" t="n">
        <f aca="false">Sens!E6912</f>
        <v>331.839</v>
      </c>
      <c r="F6930" s="6" t="n">
        <f aca="false">Sens!F6912</f>
        <v>397.904961501616</v>
      </c>
      <c r="G6930" s="6" t="n">
        <f aca="false">Sens!G6912</f>
        <v>472.372740778331</v>
      </c>
      <c r="H6930" s="6" t="n">
        <f aca="false">Sens!H6912</f>
        <v>548.662018771017</v>
      </c>
      <c r="I6930" s="6" t="n">
        <f aca="false">Sens!I6912</f>
        <v>619.232723586617</v>
      </c>
      <c r="J6930" s="6" t="n">
        <f aca="false">Sens!J6912</f>
        <v>677.372641155096</v>
      </c>
      <c r="K6930" s="6" t="n">
        <f aca="false">Sens!K6912</f>
        <v>723.789562834046</v>
      </c>
    </row>
    <row r="6931" customFormat="false" ht="15" hidden="false" customHeight="false" outlineLevel="0" collapsed="false">
      <c r="A6931" s="1" t="s">
        <v>1056</v>
      </c>
      <c r="B6931" s="0" t="s">
        <v>168</v>
      </c>
      <c r="E6931" s="7" t="n">
        <f aca="false">Sens!E6930/Sens!D6930-1</f>
        <v>0.177886867998467</v>
      </c>
      <c r="F6931" s="7" t="n">
        <f aca="false">Sens!F6930/Sens!E6930-1</f>
        <v>0.199090406798527</v>
      </c>
      <c r="G6931" s="7" t="n">
        <f aca="false">Sens!G6930/Sens!F6930-1</f>
        <v>0.187149662561854</v>
      </c>
      <c r="H6931" s="7" t="n">
        <f aca="false">Sens!H6930/Sens!G6930-1</f>
        <v>0.161502287085795</v>
      </c>
      <c r="I6931" s="7" t="n">
        <f aca="false">Sens!I6930/Sens!H6930-1</f>
        <v>0.12862327334718</v>
      </c>
      <c r="J6931" s="7" t="n">
        <f aca="false">Sens!J6930/Sens!I6930-1</f>
        <v>0.0938902537833115</v>
      </c>
      <c r="K6931" s="7" t="n">
        <f aca="false">Sens!K6930/Sens!J6930-1</f>
        <v>0.0685249430797754</v>
      </c>
    </row>
    <row r="6932" customFormat="false" ht="17.15" hidden="false" customHeight="false" outlineLevel="0" collapsed="false">
      <c r="A6932" s="26" t="s">
        <v>1057</v>
      </c>
      <c r="B6932" s="31" t="s">
        <v>98</v>
      </c>
      <c r="C6932" s="31"/>
      <c r="D6932" s="27" t="n">
        <f aca="false">(Sens!D6925+Sens!D6929-Sens!D6930)+(Sens!D6917+Sens!D6918-Sens!D6916)+(Sens!D6920+Sens!D6921-Sens!D6919)+(Sens!D6930-Q!L18)</f>
        <v>0</v>
      </c>
      <c r="E6932" s="27" t="n">
        <f aca="false">(Sens!E6925+Sens!E6929-Sens!E6930)+(Sens!E6917+Sens!E6918-Sens!E6916)+(Sens!E6920+Sens!E6921-Sens!E6919)+(Sens!E6930-Q!M18)</f>
        <v>0</v>
      </c>
      <c r="F6932" s="27" t="n">
        <f aca="false">(Sens!F6925+Sens!F6929-Sens!F6930)+(Sens!F6917+Sens!F6918-Sens!F6916)+(Sens!F6920+Sens!F6921-Sens!F6919)</f>
        <v>0</v>
      </c>
      <c r="G6932" s="27" t="n">
        <f aca="false">(Sens!G6925+Sens!G6929-Sens!G6930)+(Sens!G6917+Sens!G6918-Sens!G6916)+(Sens!G6920+Sens!G6921-Sens!G6919)</f>
        <v>0</v>
      </c>
      <c r="H6932" s="27" t="n">
        <f aca="false">(Sens!H6925+Sens!H6929-Sens!H6930)+(Sens!H6917+Sens!H6918-Sens!H6916)+(Sens!H6920+Sens!H6921-Sens!H6919)</f>
        <v>0</v>
      </c>
      <c r="I6932" s="27" t="n">
        <f aca="false">(Sens!I6925+Sens!I6929-Sens!I6930)+(Sens!I6917+Sens!I6918-Sens!I6916)+(Sens!I6920+Sens!I6921-Sens!I6919)</f>
        <v>0</v>
      </c>
      <c r="J6932" s="27" t="n">
        <f aca="false">(Sens!J6925+Sens!J6929-Sens!J6930)+(Sens!J6917+Sens!J6918-Sens!J6916)+(Sens!J6920+Sens!J6921-Sens!J6919)</f>
        <v>0</v>
      </c>
      <c r="K6932" s="27" t="n">
        <f aca="false">(Sens!K6925+Sens!K6929-Sens!K6930)+(Sens!K6917+Sens!K6918-Sens!K6916)+(Sens!K6920+Sens!K6921-Sens!K6919)</f>
        <v>0</v>
      </c>
    </row>
    <row r="6933" customFormat="false" ht="17.15" hidden="false" customHeight="false" outlineLevel="0" collapsed="false">
      <c r="A6933" s="0" t="s">
        <v>1058</v>
      </c>
      <c r="B6933" s="0" t="s">
        <v>168</v>
      </c>
      <c r="E6933" s="7" t="n">
        <f aca="false">(Q!M21+Sens!E6869+Sens!E6870+Sens!E6871+Sens!E6885-Sens!E6867)/(Q!M5-Sens!E6867)</f>
        <v>0.570957350878296</v>
      </c>
      <c r="F6933" s="7" t="n">
        <f aca="false">Sens!$E$6933+dm_seg</f>
        <v>0.570957350878296</v>
      </c>
      <c r="G6933" s="7" t="n">
        <f aca="false">Sens!$E$6933+dm_seg</f>
        <v>0.570957350878296</v>
      </c>
      <c r="H6933" s="7" t="n">
        <f aca="false">Sens!$E$6933+dm_seg</f>
        <v>0.570957350878296</v>
      </c>
      <c r="I6933" s="7" t="n">
        <f aca="false">Sens!$E$6933+dm_seg</f>
        <v>0.570957350878296</v>
      </c>
      <c r="J6933" s="7" t="n">
        <f aca="false">Sens!$E$6933+dm_seg</f>
        <v>0.570957350878296</v>
      </c>
      <c r="K6933" s="7" t="n">
        <f aca="false">Sens!$E$6933+dm_seg</f>
        <v>0.570957350878296</v>
      </c>
      <c r="L6933" s="12" t="s">
        <v>1059</v>
      </c>
    </row>
    <row r="6934" customFormat="false" ht="17.15" hidden="false" customHeight="false" outlineLevel="0" collapsed="false">
      <c r="A6934" s="0" t="s">
        <v>880</v>
      </c>
      <c r="B6934" s="0" t="s">
        <v>98</v>
      </c>
      <c r="D6934" s="6" t="n">
        <f aca="false">Q!L21</f>
        <v>110.814</v>
      </c>
      <c r="E6934" s="6" t="n">
        <f aca="false">Q!M21</f>
        <v>136.365</v>
      </c>
      <c r="F6934" s="6" t="n">
        <f aca="false">Q!$I$21+(Sens!F6933*(Sens!F6904-Sens!F6867)+Sens!F6867-(Sens!F6869+Sens!F6870+Sens!F6871)-Sens!F6885-Sens!F6968)*(Sens!F6904-Q!$I$5)/Sens!F6904</f>
        <v>161.453275652122</v>
      </c>
      <c r="G6934" s="6" t="n">
        <f aca="false">(Sens!G6933*(Sens!G6904-Sens!G6867)+Sens!G6867-(Sens!G6869+Sens!G6870+Sens!G6871)-Sens!G6885-Sens!G6968)</f>
        <v>175.214603405903</v>
      </c>
      <c r="H6934" s="6" t="n">
        <f aca="false">(Sens!H6933*(Sens!H6904-Sens!H6867)+Sens!H6867-(Sens!H6869+Sens!H6870+Sens!H6871)-Sens!H6885-Sens!H6968)</f>
        <v>192.720699445459</v>
      </c>
      <c r="I6934" s="6" t="n">
        <f aca="false">(Sens!I6933*(Sens!I6904-Sens!I6867)+Sens!I6867-(Sens!I6869+Sens!I6870+Sens!I6871)-Sens!I6885-Sens!I6968)</f>
        <v>209.671690603016</v>
      </c>
      <c r="J6934" s="6" t="n">
        <f aca="false">(Sens!J6933*(Sens!J6904-Sens!J6867)+Sens!J6867-(Sens!J6869+Sens!J6870+Sens!J6871)-Sens!J6885-Sens!J6968)</f>
        <v>225.819536344305</v>
      </c>
      <c r="K6934" s="6" t="n">
        <f aca="false">(Sens!K6933*(Sens!K6904-Sens!K6867)+Sens!K6867-(Sens!K6869+Sens!K6870+Sens!K6871)-Sens!K6885-Sens!K6968)</f>
        <v>241.36704901209</v>
      </c>
      <c r="L6934" s="1" t="s">
        <v>1060</v>
      </c>
    </row>
    <row r="6935" customFormat="false" ht="17.15" hidden="false" customHeight="false" outlineLevel="0" collapsed="false">
      <c r="A6935" s="0" t="s">
        <v>1061</v>
      </c>
      <c r="B6935" s="0" t="s">
        <v>168</v>
      </c>
      <c r="E6935" s="7" t="n">
        <f aca="false">Q!M22/Q!M12</f>
        <v>0.296207935710698</v>
      </c>
      <c r="F6935" s="7" t="n">
        <f aca="false">Sens!$E$6935+dm_seg</f>
        <v>0.296207935710698</v>
      </c>
      <c r="G6935" s="7" t="n">
        <f aca="false">Sens!$E$6935+dm_seg</f>
        <v>0.296207935710698</v>
      </c>
      <c r="H6935" s="7" t="n">
        <f aca="false">Sens!$E$6935+dm_seg</f>
        <v>0.296207935710698</v>
      </c>
      <c r="I6935" s="7" t="n">
        <f aca="false">Sens!$E$6935+dm_seg</f>
        <v>0.296207935710698</v>
      </c>
      <c r="J6935" s="7" t="n">
        <f aca="false">Sens!$E$6935+dm_seg</f>
        <v>0.296207935710698</v>
      </c>
      <c r="K6935" s="7" t="n">
        <f aca="false">Sens!$E$6935+dm_seg</f>
        <v>0.296207935710698</v>
      </c>
      <c r="L6935" s="12" t="s">
        <v>1062</v>
      </c>
    </row>
    <row r="6936" customFormat="false" ht="17.15" hidden="false" customHeight="false" outlineLevel="0" collapsed="false">
      <c r="A6936" s="0" t="s">
        <v>882</v>
      </c>
      <c r="B6936" s="0" t="s">
        <v>98</v>
      </c>
      <c r="D6936" s="6" t="n">
        <f aca="false">Q!L22</f>
        <v>17.714</v>
      </c>
      <c r="E6936" s="6" t="n">
        <f aca="false">Q!M22</f>
        <v>18.872</v>
      </c>
      <c r="F6936" s="6" t="n">
        <f aca="false">Q!$I$22+(Sens!F6911-Q!$I$12)*Sens!F6935</f>
        <v>19.8174315512051</v>
      </c>
      <c r="G6936" s="6" t="n">
        <f aca="false">Sens!G6911*Sens!G6935</f>
        <v>19.6313799703815</v>
      </c>
      <c r="H6936" s="6" t="n">
        <f aca="false">Sens!H6911*Sens!H6935</f>
        <v>20.3536242825865</v>
      </c>
      <c r="I6936" s="6" t="n">
        <f aca="false">Sens!I6911*Sens!I6935</f>
        <v>21.1920899239745</v>
      </c>
      <c r="J6936" s="6" t="n">
        <f aca="false">Sens!J6911*Sens!J6935</f>
        <v>22.1288166207045</v>
      </c>
      <c r="K6936" s="6" t="n">
        <f aca="false">Sens!K6911*Sens!K6935</f>
        <v>23.1493653905379</v>
      </c>
      <c r="L6936" s="12" t="s">
        <v>1063</v>
      </c>
    </row>
    <row r="6937" customFormat="false" ht="15" hidden="false" customHeight="false" outlineLevel="0" collapsed="false">
      <c r="A6937" s="1" t="s">
        <v>1064</v>
      </c>
      <c r="B6937" s="0" t="s">
        <v>98</v>
      </c>
      <c r="D6937" s="6" t="n">
        <f aca="false">Sens!D6934+Sens!D6936</f>
        <v>128.528</v>
      </c>
      <c r="E6937" s="6" t="n">
        <f aca="false">Sens!E6934+Sens!E6936</f>
        <v>155.237</v>
      </c>
      <c r="F6937" s="6" t="n">
        <f aca="false">Sens!F6934+Sens!F6936</f>
        <v>181.270707203327</v>
      </c>
      <c r="G6937" s="6" t="n">
        <f aca="false">Sens!G6934+Sens!G6936</f>
        <v>194.845983376284</v>
      </c>
      <c r="H6937" s="6" t="n">
        <f aca="false">Sens!H6934+Sens!H6936</f>
        <v>213.074323728045</v>
      </c>
      <c r="I6937" s="6" t="n">
        <f aca="false">Sens!I6934+Sens!I6936</f>
        <v>230.863780526991</v>
      </c>
      <c r="J6937" s="6" t="n">
        <f aca="false">Sens!J6934+Sens!J6936</f>
        <v>247.94835296501</v>
      </c>
      <c r="K6937" s="6" t="n">
        <f aca="false">Sens!K6934+Sens!K6936</f>
        <v>264.516414402627</v>
      </c>
    </row>
    <row r="6938" customFormat="false" ht="15" hidden="false" customHeight="false" outlineLevel="0" collapsed="false">
      <c r="A6938" s="26" t="s">
        <v>1065</v>
      </c>
      <c r="B6938" s="31" t="s">
        <v>98</v>
      </c>
      <c r="C6938" s="31"/>
      <c r="D6938" s="27" t="n">
        <f aca="false">Sens!D6937-Q!L23</f>
        <v>0</v>
      </c>
      <c r="E6938" s="27" t="n">
        <f aca="false">Sens!E6937-Q!M23</f>
        <v>0</v>
      </c>
      <c r="F6938" s="31"/>
      <c r="G6938" s="31"/>
      <c r="H6938" s="31"/>
      <c r="I6938" s="31"/>
      <c r="J6938" s="31"/>
      <c r="K6938" s="31"/>
    </row>
    <row r="6939" customFormat="false" ht="15" hidden="false" customHeight="false" outlineLevel="0" collapsed="false">
      <c r="A6939" s="1" t="s">
        <v>1066</v>
      </c>
      <c r="B6939" s="0" t="s">
        <v>168</v>
      </c>
      <c r="D6939" s="7" t="n">
        <f aca="false">Sens!D6937/Sens!D6930</f>
        <v>0.456219562408598</v>
      </c>
      <c r="E6939" s="7" t="n">
        <f aca="false">Sens!E6937/Sens!E6930</f>
        <v>0.467808184089272</v>
      </c>
      <c r="F6939" s="7" t="n">
        <f aca="false">Sens!F6937/Sens!F6930</f>
        <v>0.455562822135332</v>
      </c>
      <c r="G6939" s="7" t="n">
        <f aca="false">Sens!G6937/Sens!G6930</f>
        <v>0.41248354647907</v>
      </c>
      <c r="H6939" s="7" t="n">
        <f aca="false">Sens!H6937/Sens!H6930</f>
        <v>0.38835260404087</v>
      </c>
      <c r="I6939" s="7" t="n">
        <f aca="false">Sens!I6937/Sens!I6930</f>
        <v>0.372822319837718</v>
      </c>
      <c r="J6939" s="7" t="n">
        <f aca="false">Sens!J6937/Sens!J6930</f>
        <v>0.366044239020628</v>
      </c>
      <c r="K6939" s="7" t="n">
        <f aca="false">Sens!K6937/Sens!K6930</f>
        <v>0.365460387915648</v>
      </c>
    </row>
    <row r="6940" customFormat="false" ht="17.15" hidden="false" customHeight="false" outlineLevel="0" collapsed="false">
      <c r="A6940" s="1" t="s">
        <v>1067</v>
      </c>
      <c r="B6940" s="0" t="s">
        <v>98</v>
      </c>
      <c r="F6940" s="6" t="n">
        <f aca="false">Sens!F6955</f>
        <v>10.5962787979473</v>
      </c>
      <c r="G6940" s="6" t="n">
        <f aca="false">Sens!G6955</f>
        <v>27.844646674932</v>
      </c>
      <c r="H6940" s="6" t="n">
        <f aca="false">Sens!H6955</f>
        <v>46.566205501382</v>
      </c>
      <c r="I6940" s="6" t="n">
        <f aca="false">Sens!I6955</f>
        <v>63.2717778126444</v>
      </c>
      <c r="J6940" s="6" t="n">
        <f aca="false">Sens!J6955</f>
        <v>74.9061222882009</v>
      </c>
      <c r="K6940" s="6" t="n">
        <f aca="false">Sens!K6955</f>
        <v>81.6395437180232</v>
      </c>
      <c r="L6940" s="1" t="s">
        <v>1068</v>
      </c>
    </row>
    <row r="6941" customFormat="false" ht="17.15" hidden="false" customHeight="false" outlineLevel="0" collapsed="false">
      <c r="A6941" s="1" t="s">
        <v>1069</v>
      </c>
      <c r="B6941" s="0" t="s">
        <v>98</v>
      </c>
      <c r="D6941" s="6" t="n">
        <f aca="false">Sens!D6937</f>
        <v>128.528</v>
      </c>
      <c r="E6941" s="6" t="n">
        <f aca="false">Sens!E6937</f>
        <v>155.237</v>
      </c>
      <c r="F6941" s="6" t="n">
        <f aca="false">Sens!F6937+Sens!F6940</f>
        <v>191.866986001274</v>
      </c>
      <c r="G6941" s="6" t="n">
        <f aca="false">Sens!G6937+Sens!G6940</f>
        <v>222.690630051216</v>
      </c>
      <c r="H6941" s="6" t="n">
        <f aca="false">Sens!H6937+Sens!H6940</f>
        <v>259.640529229427</v>
      </c>
      <c r="I6941" s="6" t="n">
        <f aca="false">Sens!I6937+Sens!I6940</f>
        <v>294.135558339635</v>
      </c>
      <c r="J6941" s="6" t="n">
        <f aca="false">Sens!J6937+Sens!J6940</f>
        <v>322.854475253211</v>
      </c>
      <c r="K6941" s="6" t="n">
        <f aca="false">Sens!K6937+Sens!K6940</f>
        <v>346.155958120651</v>
      </c>
    </row>
    <row r="6942" customFormat="false" ht="17.15" hidden="false" customHeight="false" outlineLevel="0" collapsed="false">
      <c r="A6942" s="1" t="s">
        <v>1070</v>
      </c>
      <c r="B6942" s="0" t="s">
        <v>98</v>
      </c>
      <c r="E6942" s="6" t="n">
        <f aca="false">Sens!E6885</f>
        <v>16.3054059770833</v>
      </c>
      <c r="F6942" s="6" t="n">
        <f aca="false">Sens!F6885</f>
        <v>34.5793144783516</v>
      </c>
      <c r="G6942" s="6" t="n">
        <f aca="false">Sens!G6885</f>
        <v>60.7344906522989</v>
      </c>
      <c r="H6942" s="6" t="n">
        <f aca="false">Sens!H6885</f>
        <v>89.1000906614457</v>
      </c>
      <c r="I6942" s="6" t="n">
        <f aca="false">Sens!I6885</f>
        <v>114.231009694548</v>
      </c>
      <c r="J6942" s="6" t="n">
        <f aca="false">Sens!J6885</f>
        <v>132.015673049596</v>
      </c>
      <c r="K6942" s="6" t="n">
        <f aca="false">Sens!K6885</f>
        <v>143.012669550934</v>
      </c>
    </row>
    <row r="6943" customFormat="false" ht="17.15" hidden="false" customHeight="false" outlineLevel="0" collapsed="false">
      <c r="A6943" s="1" t="s">
        <v>1071</v>
      </c>
      <c r="B6943" s="0" t="s">
        <v>98</v>
      </c>
      <c r="E6943" s="6" t="n">
        <f aca="false">Sens!E6967</f>
        <v>22.2285940229167</v>
      </c>
      <c r="F6943" s="6" t="n">
        <f aca="false">Sens!F6967</f>
        <v>23.580344216413</v>
      </c>
      <c r="G6943" s="6" t="n">
        <f aca="false">Sens!G6967</f>
        <v>25.3172968791777</v>
      </c>
      <c r="H6943" s="6" t="n">
        <f aca="false">Sens!H6967</f>
        <v>27.420973559925</v>
      </c>
      <c r="I6943" s="6" t="n">
        <f aca="false">Sens!I6967</f>
        <v>29.8348671249055</v>
      </c>
      <c r="J6943" s="6" t="n">
        <f aca="false">Sens!J6967</f>
        <v>32.4845879429559</v>
      </c>
      <c r="K6943" s="6" t="n">
        <f aca="false">Sens!K6967</f>
        <v>35.286372429698</v>
      </c>
    </row>
    <row r="6944" customFormat="false" ht="17.15" hidden="false" customHeight="false" outlineLevel="0" collapsed="false">
      <c r="A6944" s="1" t="s">
        <v>1072</v>
      </c>
      <c r="B6944" s="0" t="s">
        <v>98</v>
      </c>
      <c r="D6944" s="6" t="n">
        <f aca="false">Q!L27</f>
        <v>-4.901</v>
      </c>
      <c r="E6944" s="6" t="n">
        <f aca="false">Q!M27</f>
        <v>10.697</v>
      </c>
      <c r="F6944" s="6" t="n">
        <f aca="false">Q!$I$27+oie_f*(q_per_yr-1)/q_per_yr</f>
        <v>-0.862</v>
      </c>
      <c r="G6944" s="6" t="n">
        <f aca="false">oie_f</f>
        <v>-1.2</v>
      </c>
      <c r="H6944" s="6" t="n">
        <f aca="false">oie_f</f>
        <v>-1.2</v>
      </c>
      <c r="I6944" s="6" t="n">
        <f aca="false">oie_f</f>
        <v>-1.2</v>
      </c>
      <c r="J6944" s="6" t="n">
        <f aca="false">oie_f</f>
        <v>-1.2</v>
      </c>
      <c r="K6944" s="6" t="n">
        <f aca="false">oie_f</f>
        <v>-1.2</v>
      </c>
      <c r="L6944" s="12" t="s">
        <v>1073</v>
      </c>
    </row>
    <row r="6945" customFormat="false" ht="15" hidden="false" customHeight="false" outlineLevel="0" collapsed="false">
      <c r="A6945" s="1" t="s">
        <v>1074</v>
      </c>
      <c r="B6945" s="0" t="s">
        <v>98</v>
      </c>
      <c r="D6945" s="6" t="n">
        <f aca="false">Sens!D6937+Sens!D6944</f>
        <v>123.627</v>
      </c>
      <c r="E6945" s="6" t="n">
        <f aca="false">Sens!E6937+Sens!E6944</f>
        <v>165.934</v>
      </c>
      <c r="F6945" s="6" t="n">
        <f aca="false">Sens!F6937+Sens!F6944</f>
        <v>180.408707203327</v>
      </c>
      <c r="G6945" s="6" t="n">
        <f aca="false">Sens!G6937+Sens!G6944</f>
        <v>193.645983376284</v>
      </c>
      <c r="H6945" s="6" t="n">
        <f aca="false">Sens!H6937+Sens!H6944</f>
        <v>211.874323728045</v>
      </c>
      <c r="I6945" s="6" t="n">
        <f aca="false">Sens!I6937+Sens!I6944</f>
        <v>229.663780526991</v>
      </c>
      <c r="J6945" s="6" t="n">
        <f aca="false">Sens!J6937+Sens!J6944</f>
        <v>246.74835296501</v>
      </c>
      <c r="K6945" s="6" t="n">
        <f aca="false">Sens!K6937+Sens!K6944</f>
        <v>263.316414402627</v>
      </c>
    </row>
    <row r="6946" customFormat="false" ht="15" hidden="false" customHeight="false" outlineLevel="0" collapsed="false">
      <c r="A6946" s="1" t="s">
        <v>1075</v>
      </c>
      <c r="B6946" s="0" t="s">
        <v>98</v>
      </c>
      <c r="D6946" s="6" t="n">
        <f aca="false">Q!L29</f>
        <v>21.795</v>
      </c>
      <c r="E6946" s="6" t="n">
        <f aca="false">Q!M29</f>
        <v>32.185</v>
      </c>
      <c r="F6946" s="6" t="n">
        <f aca="false">Q!$I$29+(Sens!F6945-Q!$I$28)*tax_f</f>
        <v>36.2151414406654</v>
      </c>
      <c r="G6946" s="6" t="n">
        <f aca="false">Sens!G6945*tax_f</f>
        <v>38.7291966752569</v>
      </c>
      <c r="H6946" s="6" t="n">
        <f aca="false">Sens!H6945*tax_f</f>
        <v>42.374864745609</v>
      </c>
      <c r="I6946" s="6" t="n">
        <f aca="false">Sens!I6945*tax_f</f>
        <v>45.9327561053982</v>
      </c>
      <c r="J6946" s="6" t="n">
        <f aca="false">Sens!J6945*tax_f</f>
        <v>49.349670593002</v>
      </c>
      <c r="K6946" s="6" t="n">
        <f aca="false">Sens!K6945*tax_f</f>
        <v>52.6632828805255</v>
      </c>
    </row>
    <row r="6947" customFormat="false" ht="15" hidden="false" customHeight="false" outlineLevel="0" collapsed="false">
      <c r="A6947" s="1" t="s">
        <v>1076</v>
      </c>
      <c r="B6947" s="0" t="s">
        <v>98</v>
      </c>
      <c r="D6947" s="6" t="n">
        <f aca="false">Sens!D6945-Sens!D6946</f>
        <v>101.832</v>
      </c>
      <c r="E6947" s="6" t="n">
        <f aca="false">Sens!E6945-Sens!E6946</f>
        <v>133.749</v>
      </c>
      <c r="F6947" s="6" t="n">
        <f aca="false">Sens!F6945-Sens!F6946</f>
        <v>144.193565762662</v>
      </c>
      <c r="G6947" s="6" t="n">
        <f aca="false">Sens!G6945-Sens!G6946</f>
        <v>154.916786701028</v>
      </c>
      <c r="H6947" s="6" t="n">
        <f aca="false">Sens!H6945-Sens!H6946</f>
        <v>169.499458982436</v>
      </c>
      <c r="I6947" s="6" t="n">
        <f aca="false">Sens!I6945-Sens!I6946</f>
        <v>183.731024421593</v>
      </c>
      <c r="J6947" s="6" t="n">
        <f aca="false">Sens!J6945-Sens!J6946</f>
        <v>197.398682372008</v>
      </c>
      <c r="K6947" s="6" t="n">
        <f aca="false">Sens!K6945-Sens!K6946</f>
        <v>210.653131522102</v>
      </c>
    </row>
    <row r="6948" customFormat="false" ht="17.15" hidden="false" customHeight="false" outlineLevel="0" collapsed="false">
      <c r="A6948" s="1" t="s">
        <v>1077</v>
      </c>
      <c r="B6948" s="1" t="s">
        <v>81</v>
      </c>
      <c r="D6948" s="15" t="n">
        <f aca="false">Q!L31</f>
        <v>7.465</v>
      </c>
      <c r="E6948" s="15" t="n">
        <f aca="false">Q!M31</f>
        <v>7.453</v>
      </c>
      <c r="F6948" s="15" t="n">
        <f aca="false">Sens!F6992</f>
        <v>7.4735</v>
      </c>
      <c r="G6948" s="15" t="n">
        <f aca="false">Sens!G6992</f>
        <v>7.5185</v>
      </c>
      <c r="H6948" s="15" t="n">
        <f aca="false">Sens!H6992</f>
        <v>7.5461999390288</v>
      </c>
      <c r="I6948" s="15" t="n">
        <f aca="false">Sens!I6992</f>
        <v>7.55788130308427</v>
      </c>
      <c r="J6948" s="15" t="n">
        <f aca="false">Sens!J6992</f>
        <v>7.57203071424674</v>
      </c>
      <c r="K6948" s="15" t="n">
        <f aca="false">Sens!K6992</f>
        <v>7.58846535421199</v>
      </c>
    </row>
    <row r="6949" customFormat="false" ht="17.15" hidden="false" customHeight="false" outlineLevel="0" collapsed="false">
      <c r="A6949" s="0" t="s">
        <v>1078</v>
      </c>
      <c r="B6949" s="0" t="s">
        <v>75</v>
      </c>
      <c r="D6949" s="8" t="n">
        <f aca="false">Sens!D6947/Sens!D6948</f>
        <v>13.641259209645</v>
      </c>
      <c r="E6949" s="8" t="n">
        <f aca="false">Sens!E6947/Sens!E6948</f>
        <v>17.9456594659869</v>
      </c>
      <c r="F6949" s="8" t="n">
        <f aca="false">Sens!F6947/Sens!F6948</f>
        <v>19.2939808339682</v>
      </c>
      <c r="G6949" s="8" t="n">
        <f aca="false">Sens!G6947/Sens!G6948</f>
        <v>20.6047465187242</v>
      </c>
      <c r="H6949" s="8" t="n">
        <f aca="false">Sens!H6947/Sens!H6948</f>
        <v>22.4615648077105</v>
      </c>
      <c r="I6949" s="8" t="n">
        <f aca="false">Sens!I6947/Sens!I6948</f>
        <v>24.3098584184717</v>
      </c>
      <c r="J6949" s="8" t="n">
        <f aca="false">Sens!J6947/Sens!J6948</f>
        <v>26.0694508278477</v>
      </c>
      <c r="K6949" s="8" t="n">
        <f aca="false">Sens!K6947/Sens!K6948</f>
        <v>27.7596485836466</v>
      </c>
      <c r="L6949" s="1" t="s">
        <v>1079</v>
      </c>
    </row>
    <row r="6950" customFormat="false" ht="17.15" hidden="false" customHeight="false" outlineLevel="0" collapsed="false">
      <c r="A6950" s="1" t="s">
        <v>1080</v>
      </c>
      <c r="B6950" s="0" t="s">
        <v>98</v>
      </c>
      <c r="D6950" s="6" t="n">
        <f aca="false">Sens!D6947</f>
        <v>101.832</v>
      </c>
      <c r="E6950" s="6" t="n">
        <f aca="false">Sens!E6947</f>
        <v>133.749</v>
      </c>
      <c r="F6950" s="6" t="n">
        <f aca="false">Sens!F6947+Sens!F6940*(1-tax_f)</f>
        <v>152.670588801019</v>
      </c>
      <c r="G6950" s="6" t="n">
        <f aca="false">Sens!G6947+Sens!G6940*(1-tax_f)</f>
        <v>177.192504040973</v>
      </c>
      <c r="H6950" s="6" t="n">
        <f aca="false">Sens!H6947+Sens!H6940*(1-tax_f)</f>
        <v>206.752423383542</v>
      </c>
      <c r="I6950" s="6" t="n">
        <f aca="false">Sens!I6947+Sens!I6940*(1-tax_f)</f>
        <v>234.348446671708</v>
      </c>
      <c r="J6950" s="6" t="n">
        <f aca="false">Sens!J6947+Sens!J6940*(1-tax_f)</f>
        <v>257.323580202569</v>
      </c>
      <c r="K6950" s="6" t="n">
        <f aca="false">Sens!K6947+Sens!K6940*(1-tax_f)</f>
        <v>275.964766496521</v>
      </c>
    </row>
    <row r="6951" customFormat="false" ht="17.15" hidden="false" customHeight="false" outlineLevel="0" collapsed="false">
      <c r="A6951" s="0" t="s">
        <v>1081</v>
      </c>
      <c r="B6951" s="0" t="s">
        <v>75</v>
      </c>
      <c r="D6951" s="8" t="n">
        <f aca="false">Sens!D6950/Sens!D6948</f>
        <v>13.641259209645</v>
      </c>
      <c r="E6951" s="8" t="n">
        <f aca="false">Sens!E6950/Sens!E6948</f>
        <v>17.9456594659869</v>
      </c>
      <c r="F6951" s="8" t="n">
        <f aca="false">Sens!F6950/Sens!F6948</f>
        <v>20.4282583529831</v>
      </c>
      <c r="G6951" s="8" t="n">
        <f aca="false">Sens!G6950/Sens!G6948</f>
        <v>23.5675339550407</v>
      </c>
      <c r="H6951" s="8" t="n">
        <f aca="false">Sens!H6950/Sens!H6948</f>
        <v>27.3982169905441</v>
      </c>
      <c r="I6951" s="8" t="n">
        <f aca="false">Sens!I6950/Sens!I6948</f>
        <v>31.0071615673659</v>
      </c>
      <c r="J6951" s="8" t="n">
        <f aca="false">Sens!J6950/Sens!J6948</f>
        <v>33.9834305899493</v>
      </c>
      <c r="K6951" s="8" t="n">
        <f aca="false">Sens!K6950/Sens!K6948</f>
        <v>36.3663472935731</v>
      </c>
      <c r="L6951" s="1" t="s">
        <v>1082</v>
      </c>
    </row>
    <row r="6952" customFormat="false" ht="17.15" hidden="false" customHeight="false" outlineLevel="0" collapsed="false">
      <c r="A6952" s="0" t="s">
        <v>1083</v>
      </c>
      <c r="B6952" s="0" t="s">
        <v>168</v>
      </c>
      <c r="E6952" s="7" t="n">
        <f aca="false">Sens!E6951/Sens!D6951-1</f>
        <v>0.315542736208578</v>
      </c>
      <c r="F6952" s="7" t="n">
        <f aca="false">Sens!F6951/Sens!E6951-1</f>
        <v>0.138339796968824</v>
      </c>
      <c r="G6952" s="7" t="n">
        <f aca="false">Sens!G6951/Sens!F6951-1</f>
        <v>0.153673188766927</v>
      </c>
      <c r="H6952" s="7" t="n">
        <f aca="false">Sens!H6951/Sens!G6951-1</f>
        <v>0.162540681719656</v>
      </c>
      <c r="I6952" s="7" t="n">
        <f aca="false">Sens!I6951/Sens!H6951-1</f>
        <v>0.131721877305643</v>
      </c>
      <c r="J6952" s="7" t="n">
        <f aca="false">Sens!J6951/Sens!I6951-1</f>
        <v>0.095986503508783</v>
      </c>
      <c r="K6952" s="7" t="n">
        <f aca="false">Sens!K6951/Sens!J6951-1</f>
        <v>0.0701199573514664</v>
      </c>
    </row>
    <row r="6953" customFormat="false" ht="17.15" hidden="false" customHeight="false" outlineLevel="0" collapsed="false">
      <c r="A6953" s="0" t="s">
        <v>1003</v>
      </c>
      <c r="B6953" s="0" t="s">
        <v>98</v>
      </c>
      <c r="E6953" s="6" t="n">
        <f aca="false">Sens!E6894</f>
        <v>5.25</v>
      </c>
      <c r="F6953" s="6" t="n">
        <f aca="false">Sens!F6894</f>
        <v>10.5</v>
      </c>
      <c r="G6953" s="6" t="n">
        <f aca="false">Sens!G6894</f>
        <v>13.5</v>
      </c>
      <c r="H6953" s="6" t="n">
        <f aca="false">Sens!H6894</f>
        <v>16.5</v>
      </c>
      <c r="I6953" s="6" t="n">
        <f aca="false">Sens!I6894</f>
        <v>18.75</v>
      </c>
      <c r="J6953" s="6" t="n">
        <f aca="false">Sens!J6894</f>
        <v>20.25</v>
      </c>
      <c r="K6953" s="6" t="n">
        <f aca="false">Sens!K6894</f>
        <v>21.75</v>
      </c>
    </row>
    <row r="6954" customFormat="false" ht="17.15" hidden="false" customHeight="false" outlineLevel="0" collapsed="false">
      <c r="A6954" s="1" t="s">
        <v>1004</v>
      </c>
      <c r="B6954" s="0" t="s">
        <v>98</v>
      </c>
      <c r="F6954" s="6" t="n">
        <f aca="false">MAX(0,((Sens!E6854+Sens!F6854)/2-(shadow_base*(Sens!$D$6854+Sens!$E$6854)/2+(1-shadow_base)*Sens!$E$6854))*Sens!F6863/1000-(Sens!F6953-Sens!$E$6953)*Sens!F6933)</f>
        <v>10.5962787979473</v>
      </c>
      <c r="G6954" s="6" t="n">
        <f aca="false">MAX(0,((Sens!F6854+Sens!G6854)/2-(shadow_base*(Sens!$D$6854+Sens!$E$6854)/2+(1-shadow_base)*Sens!$E$6854))*Sens!G6863/1000-(Sens!G6953-Sens!$E$6953)*Sens!G6933)</f>
        <v>27.844646674932</v>
      </c>
      <c r="H6954" s="6" t="n">
        <f aca="false">MAX(0,((Sens!G6854+Sens!H6854)/2-(shadow_base*(Sens!$D$6854+Sens!$E$6854)/2+(1-shadow_base)*Sens!$E$6854))*Sens!H6863/1000-(Sens!H6953-Sens!$E$6953)*Sens!H6933)</f>
        <v>46.566205501382</v>
      </c>
      <c r="I6954" s="6" t="n">
        <f aca="false">MAX(0,((Sens!H6854+Sens!I6854)/2-(shadow_base*(Sens!$D$6854+Sens!$E$6854)/2+(1-shadow_base)*Sens!$E$6854))*Sens!I6863/1000-(Sens!I6953-Sens!$E$6953)*Sens!I6933)</f>
        <v>63.2717778126444</v>
      </c>
      <c r="J6954" s="6" t="n">
        <f aca="false">MAX(0,((Sens!I6854+Sens!J6854)/2-(shadow_base*(Sens!$D$6854+Sens!$E$6854)/2+(1-shadow_base)*Sens!$E$6854))*Sens!J6863/1000-(Sens!J6953-Sens!$E$6953)*Sens!J6933)</f>
        <v>74.9061222882009</v>
      </c>
      <c r="K6954" s="6" t="n">
        <f aca="false">MAX(0,((Sens!J6854+Sens!K6854)/2-(shadow_base*(Sens!$D$6854+Sens!$E$6854)/2+(1-shadow_base)*Sens!$E$6854))*Sens!K6863/1000-(Sens!K6953-Sens!$E$6953)*Sens!K6933)</f>
        <v>81.6395437180232</v>
      </c>
      <c r="L6954" s="1" t="s">
        <v>1005</v>
      </c>
    </row>
    <row r="6955" customFormat="false" ht="17.15" hidden="false" customHeight="false" outlineLevel="0" collapsed="false">
      <c r="A6955" s="1" t="s">
        <v>1006</v>
      </c>
      <c r="B6955" s="0" t="s">
        <v>98</v>
      </c>
      <c r="F6955" s="6" t="n">
        <f aca="false">IF(internal_ai_reading=2,1,0)*Sens!F6954</f>
        <v>10.5962787979473</v>
      </c>
      <c r="G6955" s="6" t="n">
        <f aca="false">IF(internal_ai_reading=2,1,0)*Sens!G6954</f>
        <v>27.844646674932</v>
      </c>
      <c r="H6955" s="6" t="n">
        <f aca="false">IF(internal_ai_reading=2,1,0)*Sens!H6954</f>
        <v>46.566205501382</v>
      </c>
      <c r="I6955" s="6" t="n">
        <f aca="false">IF(internal_ai_reading=2,1,0)*Sens!I6954</f>
        <v>63.2717778126444</v>
      </c>
      <c r="J6955" s="6" t="n">
        <f aca="false">IF(internal_ai_reading=2,1,0)*Sens!J6954</f>
        <v>74.9061222882009</v>
      </c>
      <c r="K6955" s="6" t="n">
        <f aca="false">IF(internal_ai_reading=2,1,0)*Sens!K6954</f>
        <v>81.6395437180232</v>
      </c>
    </row>
    <row r="6956" customFormat="false" ht="17.15" hidden="false" customHeight="false" outlineLevel="0" collapsed="false">
      <c r="A6956" s="0" t="s">
        <v>1007</v>
      </c>
      <c r="B6956" s="0" t="s">
        <v>98</v>
      </c>
      <c r="F6956" s="6" t="n">
        <f aca="false">Sens!F6873+Sens!F6953*Sens!F6933+Sens!F6955-Sens!F6874-Sens!F6885</f>
        <v>14.8152827562272</v>
      </c>
      <c r="G6956" s="6" t="n">
        <f aca="false">Sens!G6873+Sens!G6953*Sens!G6933+Sens!G6955-Sens!G6874-Sens!G6885</f>
        <v>31.0349977765951</v>
      </c>
      <c r="H6956" s="6" t="n">
        <f aca="false">Sens!H6873+Sens!H6953*Sens!H6933+Sens!H6955-Sens!H6874-Sens!H6885</f>
        <v>47.8811519709826</v>
      </c>
      <c r="I6956" s="6" t="n">
        <f aca="false">Sens!I6873+Sens!I6953*Sens!I6933+Sens!I6955-Sens!I6874-Sens!I6885</f>
        <v>62.6472166574028</v>
      </c>
      <c r="J6956" s="6" t="n">
        <f aca="false">Sens!J6873+Sens!J6953*Sens!J6933+Sens!J6955-Sens!J6874-Sens!J6885</f>
        <v>72.7882253357034</v>
      </c>
      <c r="K6956" s="6" t="n">
        <f aca="false">Sens!K6873+Sens!K6953*Sens!K6933+Sens!K6955-Sens!K6874-Sens!K6885</f>
        <v>79.4617812140187</v>
      </c>
    </row>
    <row r="6957" customFormat="false" ht="17.15" hidden="false" customHeight="false" outlineLevel="0" collapsed="false">
      <c r="A6957" s="0" t="s">
        <v>1008</v>
      </c>
      <c r="B6957" s="0" t="s">
        <v>98</v>
      </c>
      <c r="E6957" s="6" t="n">
        <f aca="false">Sens!E6853*(cxit_open+self_build*tk_cxfac)/1000*ai_net_open</f>
        <v>126.6980382</v>
      </c>
      <c r="F6957" s="6" t="n">
        <f aca="false">Sens!E6957+Sens!F6882-Sens!F6885</f>
        <v>260.572627763768</v>
      </c>
      <c r="G6957" s="6" t="n">
        <f aca="false">Sens!F6957+Sens!G6882-Sens!G6885</f>
        <v>391.782612760517</v>
      </c>
      <c r="H6957" s="6" t="n">
        <f aca="false">Sens!G6957+Sens!H6882-Sens!H6885</f>
        <v>499.488526163584</v>
      </c>
      <c r="I6957" s="6" t="n">
        <f aca="false">Sens!H6957+Sens!I6882-Sens!I6885</f>
        <v>553.872350090646</v>
      </c>
      <c r="J6957" s="6" t="n">
        <f aca="false">Sens!I6957+Sens!J6882-Sens!J6885</f>
        <v>550.78660823699</v>
      </c>
      <c r="K6957" s="6" t="n">
        <f aca="false">Sens!J6957+Sens!K6882-Sens!K6885</f>
        <v>526.736791750789</v>
      </c>
      <c r="L6957" s="1" t="s">
        <v>1009</v>
      </c>
    </row>
    <row r="6958" customFormat="false" ht="17.15" hidden="false" customHeight="false" outlineLevel="0" collapsed="false">
      <c r="A6958" s="0" t="s">
        <v>1010</v>
      </c>
      <c r="B6958" s="0" t="s">
        <v>168</v>
      </c>
      <c r="F6958" s="7" t="n">
        <f aca="false">Sens!F6956*(1-tax_f)/((Sens!E6957+Sens!F6957)/2)</f>
        <v>0.0612090057246454</v>
      </c>
      <c r="G6958" s="7" t="n">
        <f aca="false">Sens!G6956*(1-tax_f)/((Sens!F6957+Sens!G6957)/2)</f>
        <v>0.0761180310326695</v>
      </c>
      <c r="H6958" s="7" t="n">
        <f aca="false">Sens!H6956*(1-tax_f)/((Sens!G6957+Sens!H6957)/2)</f>
        <v>0.0859557095566361</v>
      </c>
      <c r="I6958" s="7" t="n">
        <f aca="false">Sens!I6956*(1-tax_f)/((Sens!H6957+Sens!I6957)/2)</f>
        <v>0.0951578408800258</v>
      </c>
      <c r="J6958" s="7" t="n">
        <f aca="false">Sens!J6956*(1-tax_f)/((Sens!I6957+Sens!J6957)/2)</f>
        <v>0.105427253958487</v>
      </c>
      <c r="K6958" s="7" t="n">
        <f aca="false">Sens!K6956*(1-tax_f)/((Sens!J6957+Sens!K6957)/2)</f>
        <v>0.117991729872291</v>
      </c>
    </row>
    <row r="6959" customFormat="false" ht="17.15" hidden="false" customHeight="false" outlineLevel="0" collapsed="false">
      <c r="A6959" s="1" t="s">
        <v>1011</v>
      </c>
      <c r="B6959" s="0" t="s">
        <v>168</v>
      </c>
      <c r="F6959" s="7" t="n">
        <f aca="false">(Sens!F6956-Sens!F6955)*(1-tax_f)/((Sens!E6957+Sens!F6957)/2)</f>
        <v>0.017430719459344</v>
      </c>
      <c r="G6959" s="7" t="n">
        <f aca="false">(Sens!G6956-Sens!G6955)*(1-tax_f)/((Sens!F6957+Sens!G6957)/2)</f>
        <v>0.00782481912547897</v>
      </c>
      <c r="H6959" s="7" t="n">
        <f aca="false">(Sens!H6956-Sens!H6955)*(1-tax_f)/((Sens!G6957+Sens!H6957)/2)</f>
        <v>0.0023605772244581</v>
      </c>
      <c r="I6959" s="7" t="n">
        <f aca="false">(Sens!I6956-Sens!I6955)*(1-tax_f)/((Sens!H6957+Sens!I6957)/2)</f>
        <v>-0.000948675682677871</v>
      </c>
      <c r="J6959" s="7" t="n">
        <f aca="false">(Sens!J6956-Sens!J6955)*(1-tax_f)/((Sens!I6957+Sens!J6957)/2)</f>
        <v>-0.00306758488531716</v>
      </c>
      <c r="K6959" s="7" t="n">
        <f aca="false">(Sens!K6956-Sens!K6955)*(1-tax_f)/((Sens!J6957+Sens!K6957)/2)</f>
        <v>-0.00323373024330292</v>
      </c>
    </row>
    <row r="6960" customFormat="false" ht="17.15" hidden="false" customHeight="false" outlineLevel="0" collapsed="false">
      <c r="A6960" s="1" t="s">
        <v>1012</v>
      </c>
      <c r="B6960" s="0" t="s">
        <v>168</v>
      </c>
      <c r="F6960" s="7" t="n">
        <f aca="false">(Sens!F6956-Sens!F6955+Sens!F6954)*(1-tax_f)/((Sens!E6957+Sens!F6957)/2)</f>
        <v>0.0612090057246454</v>
      </c>
      <c r="G6960" s="7" t="n">
        <f aca="false">(Sens!G6956-Sens!G6955+Sens!G6954)*(1-tax_f)/((Sens!F6957+Sens!G6957)/2)</f>
        <v>0.0761180310326695</v>
      </c>
      <c r="H6960" s="7" t="n">
        <f aca="false">(Sens!H6956-Sens!H6955+Sens!H6954)*(1-tax_f)/((Sens!G6957+Sens!H6957)/2)</f>
        <v>0.0859557095566361</v>
      </c>
      <c r="I6960" s="7" t="n">
        <f aca="false">(Sens!I6956-Sens!I6955+Sens!I6954)*(1-tax_f)/((Sens!H6957+Sens!I6957)/2)</f>
        <v>0.0951578408800258</v>
      </c>
      <c r="J6960" s="7" t="n">
        <f aca="false">(Sens!J6956-Sens!J6955+Sens!J6954)*(1-tax_f)/((Sens!I6957+Sens!J6957)/2)</f>
        <v>0.105427253958487</v>
      </c>
      <c r="K6960" s="7" t="n">
        <f aca="false">(Sens!K6956-Sens!K6955+Sens!K6954)*(1-tax_f)/((Sens!J6957+Sens!K6957)/2)</f>
        <v>0.117991729872291</v>
      </c>
    </row>
    <row r="6961" customFormat="false" ht="17.15" hidden="false" customHeight="false" outlineLevel="0" collapsed="false">
      <c r="A6961" s="1" t="s">
        <v>1013</v>
      </c>
      <c r="B6961" s="0" t="s">
        <v>168</v>
      </c>
      <c r="F6961" s="7" t="n">
        <f aca="false">Sens!F6886*(1-tax_f)/(Sens!F6872*(Sens!E6957+Sens!F6957)/2)</f>
        <v>0.129294830495493</v>
      </c>
      <c r="G6961" s="7" t="n">
        <f aca="false">Sens!G6886*(1-tax_f)/(Sens!G6872*(Sens!F6957+Sens!G6957)/2)</f>
        <v>0.12719599062164</v>
      </c>
      <c r="H6961" s="7" t="n">
        <f aca="false">Sens!H6886*(1-tax_f)/(Sens!H6872*(Sens!G6957+Sens!H6957)/2)</f>
        <v>0.130828167067624</v>
      </c>
      <c r="I6961" s="7" t="n">
        <f aca="false">Sens!I6886*(1-tax_f)/(Sens!I6872*(Sens!H6957+Sens!I6957)/2)</f>
        <v>0.138614526937417</v>
      </c>
      <c r="J6961" s="7" t="n">
        <f aca="false">Sens!J6886*(1-tax_f)/(Sens!J6872*(Sens!I6957+Sens!J6957)/2)</f>
        <v>0.150578919010924</v>
      </c>
      <c r="K6961" s="7" t="n">
        <f aca="false">Sens!K6886*(1-tax_f)/(Sens!K6872*(Sens!J6957+Sens!K6957)/2)</f>
        <v>0.167005345886664</v>
      </c>
    </row>
    <row r="6962" customFormat="false" ht="17.15" hidden="false" customHeight="false" outlineLevel="0" collapsed="false">
      <c r="A6962" s="0" t="s">
        <v>1014</v>
      </c>
      <c r="B6962" s="0" t="s">
        <v>253</v>
      </c>
      <c r="F6962" s="7" t="n">
        <f aca="false">Sens!F6958-wacc</f>
        <v>-0.0417275852209519</v>
      </c>
      <c r="G6962" s="7" t="n">
        <f aca="false">Sens!G6958-wacc</f>
        <v>-0.0268185599129278</v>
      </c>
      <c r="H6962" s="7" t="n">
        <f aca="false">Sens!H6958-wacc</f>
        <v>-0.0169808813889612</v>
      </c>
      <c r="I6962" s="7" t="n">
        <f aca="false">Sens!I6958-wacc</f>
        <v>-0.00777875006557154</v>
      </c>
      <c r="J6962" s="7" t="n">
        <f aca="false">Sens!J6958-wacc</f>
        <v>0.0024906630128898</v>
      </c>
      <c r="K6962" s="7" t="n">
        <f aca="false">Sens!K6958-wacc</f>
        <v>0.0150551389266932</v>
      </c>
    </row>
    <row r="6963" customFormat="false" ht="17.15" hidden="false" customHeight="false" outlineLevel="0" collapsed="false">
      <c r="A6963" s="0" t="s">
        <v>1015</v>
      </c>
      <c r="B6963" s="0" t="s">
        <v>98</v>
      </c>
      <c r="F6963" s="6" t="n">
        <f aca="false">Sens!F6956*(1-tax_f)-wacc*(Sens!E6957+Sens!F6957)/2</f>
        <v>-8.07993485878896</v>
      </c>
      <c r="G6963" s="6" t="n">
        <f aca="false">Sens!G6956*(1-tax_f)-wacc*(Sens!F6957+Sens!G6957)/2</f>
        <v>-8.74761405125648</v>
      </c>
      <c r="H6963" s="6" t="n">
        <f aca="false">Sens!H6956*(1-tax_f)-wacc*(Sens!G6957+Sens!H6957)/2</f>
        <v>-7.56728474773728</v>
      </c>
      <c r="I6963" s="6" t="n">
        <f aca="false">Sens!I6956*(1-tax_f)-wacc*(Sens!H6957+Sens!I6957)/2</f>
        <v>-4.09691549261654</v>
      </c>
      <c r="J6963" s="6" t="n">
        <f aca="false">Sens!J6956*(1-tax_f)-wacc*(Sens!I6957+Sens!J6957)/2</f>
        <v>1.37566660468201</v>
      </c>
      <c r="K6963" s="6" t="n">
        <f aca="false">Sens!K6956*(1-tax_f)-wacc*(Sens!J6957+Sens!K6957)/2</f>
        <v>8.11113224178941</v>
      </c>
    </row>
    <row r="6964" customFormat="false" ht="17.15" hidden="false" customHeight="false" outlineLevel="0" collapsed="false">
      <c r="A6964" s="3" t="s">
        <v>1653</v>
      </c>
    </row>
    <row r="6965" customFormat="false" ht="15" hidden="false" customHeight="false" outlineLevel="0" collapsed="false">
      <c r="A6965" s="4" t="s">
        <v>43</v>
      </c>
      <c r="B6965" s="4" t="s">
        <v>65</v>
      </c>
      <c r="C6965" s="23" t="s">
        <v>938</v>
      </c>
      <c r="D6965" s="23" t="s">
        <v>939</v>
      </c>
      <c r="E6965" s="23" t="s">
        <v>940</v>
      </c>
      <c r="F6965" s="23" t="s">
        <v>941</v>
      </c>
      <c r="G6965" s="23" t="s">
        <v>942</v>
      </c>
      <c r="H6965" s="23" t="s">
        <v>943</v>
      </c>
      <c r="I6965" s="23" t="s">
        <v>944</v>
      </c>
      <c r="J6965" s="23" t="s">
        <v>945</v>
      </c>
      <c r="K6965" s="23" t="s">
        <v>946</v>
      </c>
      <c r="L6965" s="4" t="s">
        <v>47</v>
      </c>
    </row>
    <row r="6966" customFormat="false" ht="15" hidden="false" customHeight="false" outlineLevel="0" collapsed="false">
      <c r="A6966" s="1" t="s">
        <v>1076</v>
      </c>
      <c r="B6966" s="0" t="s">
        <v>98</v>
      </c>
      <c r="F6966" s="6" t="n">
        <f aca="false">Sens!F6947</f>
        <v>144.193565762662</v>
      </c>
      <c r="G6966" s="6" t="n">
        <f aca="false">Sens!G6947</f>
        <v>154.916786701028</v>
      </c>
      <c r="H6966" s="6" t="n">
        <f aca="false">Sens!H6947</f>
        <v>169.499458982436</v>
      </c>
      <c r="I6966" s="6" t="n">
        <f aca="false">Sens!I6947</f>
        <v>183.731024421593</v>
      </c>
      <c r="J6966" s="6" t="n">
        <f aca="false">Sens!J6947</f>
        <v>197.398682372008</v>
      </c>
      <c r="K6966" s="6" t="n">
        <f aca="false">Sens!K6947</f>
        <v>210.653131522102</v>
      </c>
    </row>
    <row r="6967" customFormat="false" ht="17.15" hidden="false" customHeight="false" outlineLevel="0" collapsed="false">
      <c r="A6967" s="1" t="s">
        <v>1098</v>
      </c>
      <c r="B6967" s="0" t="s">
        <v>98</v>
      </c>
      <c r="E6967" s="6" t="n">
        <f aca="false">Q!M38-Sens!E6885</f>
        <v>22.2285940229167</v>
      </c>
      <c r="F6967" s="6" t="n">
        <f aca="false">Sens!E6967*(1-1/life_nonai)+(Sens!F6975+Sens!F6976)/life_nonai</f>
        <v>23.580344216413</v>
      </c>
      <c r="G6967" s="6" t="n">
        <f aca="false">Sens!F6967*(1-1/life_nonai)+(Sens!G6975)/life_nonai</f>
        <v>25.3172968791777</v>
      </c>
      <c r="H6967" s="6" t="n">
        <f aca="false">Sens!G6967*(1-1/life_nonai)+(Sens!H6975)/life_nonai</f>
        <v>27.420973559925</v>
      </c>
      <c r="I6967" s="6" t="n">
        <f aca="false">Sens!H6967*(1-1/life_nonai)+(Sens!I6975)/life_nonai</f>
        <v>29.8348671249055</v>
      </c>
      <c r="J6967" s="6" t="n">
        <f aca="false">Sens!I6967*(1-1/life_nonai)+(Sens!J6975)/life_nonai</f>
        <v>32.4845879429559</v>
      </c>
      <c r="K6967" s="6" t="n">
        <f aca="false">Sens!J6967*(1-1/life_nonai)+(Sens!K6975)/life_nonai</f>
        <v>35.286372429698</v>
      </c>
      <c r="L6967" s="12" t="s">
        <v>1099</v>
      </c>
    </row>
    <row r="6968" customFormat="false" ht="17.15" hidden="false" customHeight="false" outlineLevel="0" collapsed="false">
      <c r="A6968" s="1" t="s">
        <v>1100</v>
      </c>
      <c r="B6968" s="0" t="s">
        <v>98</v>
      </c>
      <c r="F6968" s="6" t="n">
        <f aca="false">Sens!$F$6976/life_nonai*(1-1/life_nonai)^(Sens!F6848-2027)</f>
        <v>0.0114584409454793</v>
      </c>
      <c r="G6968" s="6" t="n">
        <f aca="false">Sens!$F$6976/life_nonai*(1-1/life_nonai)^(Sens!G6848-2027)</f>
        <v>0.0103125968509313</v>
      </c>
      <c r="H6968" s="6" t="n">
        <f aca="false">Sens!$F$6976/life_nonai*(1-1/life_nonai)^(Sens!H6848-2027)</f>
        <v>0.0092813371658382</v>
      </c>
      <c r="I6968" s="6" t="n">
        <f aca="false">Sens!$F$6976/life_nonai*(1-1/life_nonai)^(Sens!I6848-2027)</f>
        <v>0.00835320344925438</v>
      </c>
      <c r="J6968" s="6" t="n">
        <f aca="false">Sens!$F$6976/life_nonai*(1-1/life_nonai)^(Sens!J6848-2027)</f>
        <v>0.00751788310432894</v>
      </c>
      <c r="K6968" s="6" t="n">
        <f aca="false">Sens!$F$6976/life_nonai*(1-1/life_nonai)^(Sens!K6848-2027)</f>
        <v>0.00676609479389605</v>
      </c>
      <c r="L6968" s="1" t="s">
        <v>1101</v>
      </c>
    </row>
    <row r="6969" customFormat="false" ht="17.15" hidden="false" customHeight="false" outlineLevel="0" collapsed="false">
      <c r="A6969" s="1" t="s">
        <v>1102</v>
      </c>
      <c r="B6969" s="0" t="s">
        <v>98</v>
      </c>
      <c r="E6969" s="6" t="n">
        <f aca="false">Sens!E6885+Sens!E6967</f>
        <v>38.534</v>
      </c>
      <c r="F6969" s="6" t="n">
        <f aca="false">Sens!F6885+Sens!F6967</f>
        <v>58.1596586947647</v>
      </c>
      <c r="G6969" s="6" t="n">
        <f aca="false">Sens!G6885+Sens!G6967</f>
        <v>86.0517875314766</v>
      </c>
      <c r="H6969" s="6" t="n">
        <f aca="false">Sens!H6885+Sens!H6967</f>
        <v>116.521064221371</v>
      </c>
      <c r="I6969" s="6" t="n">
        <f aca="false">Sens!I6885+Sens!I6967</f>
        <v>144.065876819454</v>
      </c>
      <c r="J6969" s="6" t="n">
        <f aca="false">Sens!J6885+Sens!J6967</f>
        <v>164.500260992552</v>
      </c>
      <c r="K6969" s="6" t="n">
        <f aca="false">Sens!K6885+Sens!K6967</f>
        <v>178.299041980632</v>
      </c>
    </row>
    <row r="6970" customFormat="false" ht="17.15" hidden="false" customHeight="false" outlineLevel="0" collapsed="false">
      <c r="A6970" s="1" t="s">
        <v>1103</v>
      </c>
      <c r="B6970" s="0" t="s">
        <v>98</v>
      </c>
      <c r="F6970" s="6" t="n">
        <f aca="false">Sens!F6912*sbc_r</f>
        <v>14.8747164963357</v>
      </c>
      <c r="G6970" s="6" t="n">
        <f aca="false">Sens!G6912*sbc_r</f>
        <v>17.6585146693282</v>
      </c>
      <c r="H6970" s="6" t="n">
        <f aca="false">Sens!H6912*sbc_r</f>
        <v>20.5104051749628</v>
      </c>
      <c r="I6970" s="6" t="n">
        <f aca="false">Sens!I6912*sbc_r</f>
        <v>23.1485206262434</v>
      </c>
      <c r="J6970" s="6" t="n">
        <f aca="false">Sens!J6912*sbc_r</f>
        <v>25.3219411025496</v>
      </c>
      <c r="K6970" s="6" t="n">
        <f aca="false">Sens!K6912*sbc_r</f>
        <v>27.0571256752713</v>
      </c>
    </row>
    <row r="6971" customFormat="false" ht="17.15" hidden="false" customHeight="false" outlineLevel="0" collapsed="false">
      <c r="A6971" s="1" t="s">
        <v>1104</v>
      </c>
      <c r="B6971" s="0" t="s">
        <v>98</v>
      </c>
      <c r="F6971" s="6" t="n">
        <f aca="false">wc27-wc26q1</f>
        <v>-4.677</v>
      </c>
      <c r="G6971" s="6" t="n">
        <f aca="false">wc_f</f>
        <v>0</v>
      </c>
      <c r="H6971" s="6" t="n">
        <f aca="false">wc_f</f>
        <v>0</v>
      </c>
      <c r="I6971" s="6" t="n">
        <f aca="false">wc_f</f>
        <v>0</v>
      </c>
      <c r="J6971" s="6" t="n">
        <f aca="false">wc_f</f>
        <v>0</v>
      </c>
      <c r="K6971" s="6" t="n">
        <f aca="false">wc_f</f>
        <v>0</v>
      </c>
      <c r="L6971" s="12" t="s">
        <v>1105</v>
      </c>
    </row>
    <row r="6972" customFormat="false" ht="17.15" hidden="false" customHeight="false" outlineLevel="0" collapsed="false">
      <c r="A6972" s="0" t="s">
        <v>1106</v>
      </c>
      <c r="B6972" s="0" t="s">
        <v>98</v>
      </c>
      <c r="F6972" s="6" t="n">
        <f aca="false">Q!$I$35-Q!$I$26-Q!$I$38-Q!$I$39</f>
        <v>6.493</v>
      </c>
      <c r="L6972" s="1" t="s">
        <v>1107</v>
      </c>
    </row>
    <row r="6973" customFormat="false" ht="15" hidden="false" customHeight="false" outlineLevel="0" collapsed="false">
      <c r="A6973" s="1" t="s">
        <v>904</v>
      </c>
      <c r="B6973" s="0" t="s">
        <v>98</v>
      </c>
      <c r="E6973" s="6" t="n">
        <f aca="false">Q!M35</f>
        <v>182.935</v>
      </c>
      <c r="F6973" s="6" t="n">
        <f aca="false">Sens!F6966+Sens!F6969+Sens!F6970+Sens!F6971+Sens!F6972</f>
        <v>219.043940953762</v>
      </c>
      <c r="G6973" s="6" t="n">
        <f aca="false">Sens!G6966+Sens!G6969+Sens!G6970+Sens!G6971</f>
        <v>258.627088901832</v>
      </c>
      <c r="H6973" s="6" t="n">
        <f aca="false">Sens!H6966+Sens!H6969+Sens!H6970+Sens!H6971</f>
        <v>306.53092837877</v>
      </c>
      <c r="I6973" s="6" t="n">
        <f aca="false">Sens!I6966+Sens!I6969+Sens!I6970+Sens!I6971</f>
        <v>350.94542186729</v>
      </c>
      <c r="J6973" s="6" t="n">
        <f aca="false">Sens!J6966+Sens!J6969+Sens!J6970+Sens!J6971</f>
        <v>387.220884467109</v>
      </c>
      <c r="K6973" s="6" t="n">
        <f aca="false">Sens!K6966+Sens!K6969+Sens!K6970+Sens!K6971</f>
        <v>416.009299178005</v>
      </c>
    </row>
    <row r="6974" customFormat="false" ht="17.15" hidden="false" customHeight="false" outlineLevel="0" collapsed="false">
      <c r="A6974" s="0" t="s">
        <v>1108</v>
      </c>
      <c r="B6974" s="0" t="s">
        <v>98</v>
      </c>
      <c r="F6974" s="6" t="n">
        <f aca="false">Sens!F6882</f>
        <v>168.45390404212</v>
      </c>
      <c r="G6974" s="6" t="n">
        <f aca="false">Sens!G6882</f>
        <v>191.944475649048</v>
      </c>
      <c r="H6974" s="6" t="n">
        <f aca="false">Sens!H6882</f>
        <v>196.806004064512</v>
      </c>
      <c r="I6974" s="6" t="n">
        <f aca="false">Sens!I6882</f>
        <v>168.61483362161</v>
      </c>
      <c r="J6974" s="6" t="n">
        <f aca="false">Sens!J6882</f>
        <v>128.92993119594</v>
      </c>
      <c r="K6974" s="6" t="n">
        <f aca="false">Sens!K6882</f>
        <v>118.962853064733</v>
      </c>
    </row>
    <row r="6975" customFormat="false" ht="17.15" hidden="false" customHeight="false" outlineLevel="0" collapsed="false">
      <c r="A6975" s="1" t="s">
        <v>1109</v>
      </c>
      <c r="B6975" s="0" t="s">
        <v>98</v>
      </c>
      <c r="E6975" s="6" t="n">
        <f aca="false">Sens!E6890*cx_azo+Sens!E6897*cx_m365+Sens!E6898*cx_lic+(Sens!E6900+Sens!E6902)*cx_ind+Sens!E6905*cx_srch+(Sens!E6907+Sens!E6909)*cx_dev</f>
        <v>30.1846587067718</v>
      </c>
      <c r="F6975" s="6" t="n">
        <f aca="false">Sens!F6890*cx_azo+Sens!F6897*cx_m365+Sens!F6898*cx_lic+(Sens!F6900+Sens!F6902)*cx_ind+Sens!F6905*cx_srch+(Sens!F6907+Sens!F6909)*cx_dev</f>
        <v>35.6315115484256</v>
      </c>
      <c r="G6975" s="6" t="n">
        <f aca="false">Sens!G6890*cx_azo+Sens!G6897*cx_m365+Sens!G6898*cx_lic+(Sens!G6900+Sens!G6902)*cx_ind+Sens!G6905*cx_srch+(Sens!G6907+Sens!G6909)*cx_dev</f>
        <v>40.9498708440592</v>
      </c>
      <c r="H6975" s="6" t="n">
        <f aca="false">Sens!H6890*cx_azo+Sens!H6897*cx_m365+Sens!H6898*cx_lic+(Sens!H6900+Sens!H6902)*cx_ind+Sens!H6905*cx_srch+(Sens!H6907+Sens!H6909)*cx_dev</f>
        <v>46.3540636866512</v>
      </c>
      <c r="I6975" s="6" t="n">
        <f aca="false">Sens!I6890*cx_azo+Sens!I6897*cx_m365+Sens!I6898*cx_lic+(Sens!I6900+Sens!I6902)*cx_ind+Sens!I6905*cx_srch+(Sens!I6907+Sens!I6909)*cx_dev</f>
        <v>51.5599092097295</v>
      </c>
      <c r="J6975" s="6" t="n">
        <f aca="false">Sens!J6890*cx_azo+Sens!J6897*cx_m365+Sens!J6898*cx_lic+(Sens!J6900+Sens!J6902)*cx_ind+Sens!J6905*cx_srch+(Sens!J6907+Sens!J6909)*cx_dev</f>
        <v>56.3320753054093</v>
      </c>
      <c r="K6975" s="6" t="n">
        <f aca="false">Sens!K6890*cx_azo+Sens!K6897*cx_m365+Sens!K6898*cx_lic+(Sens!K6900+Sens!K6902)*cx_ind+Sens!K6905*cx_srch+(Sens!K6907+Sens!K6909)*cx_dev</f>
        <v>60.5024328103777</v>
      </c>
    </row>
    <row r="6976" customFormat="false" ht="17.15" hidden="false" customHeight="false" outlineLevel="0" collapsed="false">
      <c r="A6976" s="0" t="s">
        <v>1110</v>
      </c>
      <c r="B6976" s="0" t="s">
        <v>98</v>
      </c>
      <c r="F6976" s="6" t="n">
        <f aca="false">Sens!F6880</f>
        <v>0.114584409454793</v>
      </c>
      <c r="L6976" s="1" t="s">
        <v>1111</v>
      </c>
    </row>
    <row r="6977" customFormat="false" ht="17.15" hidden="false" customHeight="false" outlineLevel="0" collapsed="false">
      <c r="A6977" s="1" t="s">
        <v>1112</v>
      </c>
      <c r="B6977" s="0" t="s">
        <v>98</v>
      </c>
      <c r="E6977" s="6" t="n">
        <f aca="false">Q!M43</f>
        <v>145.3</v>
      </c>
      <c r="F6977" s="6" t="n">
        <f aca="false">Sens!F6974+Sens!F6975+Sens!F6976</f>
        <v>204.2</v>
      </c>
      <c r="G6977" s="6" t="n">
        <f aca="false">Sens!G6974+Sens!G6975</f>
        <v>232.894346493107</v>
      </c>
      <c r="H6977" s="6" t="n">
        <f aca="false">Sens!H6974+Sens!H6975</f>
        <v>243.160067751164</v>
      </c>
      <c r="I6977" s="6" t="n">
        <f aca="false">Sens!I6974+Sens!I6975</f>
        <v>220.17474283134</v>
      </c>
      <c r="J6977" s="6" t="n">
        <f aca="false">Sens!J6974+Sens!J6975</f>
        <v>185.26200650135</v>
      </c>
      <c r="K6977" s="6" t="n">
        <f aca="false">Sens!K6974+Sens!K6975</f>
        <v>179.46528587511</v>
      </c>
      <c r="L6977" s="1" t="s">
        <v>1113</v>
      </c>
    </row>
    <row r="6978" customFormat="false" ht="15" hidden="false" customHeight="false" outlineLevel="0" collapsed="false">
      <c r="A6978" s="1" t="s">
        <v>1114</v>
      </c>
      <c r="B6978" s="0" t="s">
        <v>98</v>
      </c>
      <c r="E6978" s="6" t="n">
        <f aca="false">fl_liab</f>
        <v>66.594</v>
      </c>
      <c r="F6978" s="6" t="n">
        <f aca="false">Sens!E6978-Sens!F6979</f>
        <v>62.46973</v>
      </c>
      <c r="G6978" s="6" t="n">
        <f aca="false">Sens!F6978-Sens!G6979</f>
        <v>57.98686785</v>
      </c>
      <c r="H6978" s="6" t="n">
        <f aca="false">Sens!G6978-Sens!H6979</f>
        <v>53.92827690325</v>
      </c>
      <c r="I6978" s="6" t="n">
        <f aca="false">Sens!H6978-Sens!I6979</f>
        <v>49.7850493638962</v>
      </c>
      <c r="J6978" s="6" t="n">
        <f aca="false">Sens!I6978-Sens!J6979</f>
        <v>45.4823765852716</v>
      </c>
      <c r="K6978" s="6" t="n">
        <f aca="false">Sens!J6978-Sens!K6979</f>
        <v>40.9860835316088</v>
      </c>
    </row>
    <row r="6979" customFormat="false" ht="15" hidden="false" customHeight="false" outlineLevel="0" collapsed="false">
      <c r="A6979" s="1" t="s">
        <v>1115</v>
      </c>
      <c r="B6979" s="0" t="s">
        <v>98</v>
      </c>
      <c r="F6979" s="6" t="n">
        <f aca="false">fl_pay_27-Sens!E6978*fl_rate</f>
        <v>4.12427</v>
      </c>
      <c r="G6979" s="6" t="n">
        <f aca="false">fl_pay_28-Sens!F6978*fl_rate</f>
        <v>4.48286215</v>
      </c>
      <c r="H6979" s="6" t="n">
        <f aca="false">fl_pay_29-Sens!G6978*fl_rate</f>
        <v>4.05859094675</v>
      </c>
      <c r="I6979" s="6" t="n">
        <f aca="false">fl_pay_30-Sens!H6978*fl_rate</f>
        <v>4.14322753935375</v>
      </c>
      <c r="J6979" s="6" t="n">
        <f aca="false">fl_pay_31-Sens!I6978*fl_rate</f>
        <v>4.30267277862467</v>
      </c>
      <c r="K6979" s="6" t="n">
        <f aca="false">fl_pay_32-Sens!J6978*fl_rate</f>
        <v>4.49629305366278</v>
      </c>
    </row>
    <row r="6980" customFormat="false" ht="17.15" hidden="false" customHeight="false" outlineLevel="0" collapsed="false">
      <c r="A6980" s="1" t="s">
        <v>1116</v>
      </c>
      <c r="B6980" s="0" t="s">
        <v>98</v>
      </c>
      <c r="E6980" s="6" t="n">
        <f aca="false">Q!M35-Q!M36-Q!M44</f>
        <v>63.886</v>
      </c>
      <c r="F6980" s="6" t="n">
        <f aca="false">Sens!F6973-Sens!F6977-Sens!F6979</f>
        <v>10.719670953762</v>
      </c>
      <c r="G6980" s="6" t="n">
        <f aca="false">Sens!G6973-Sens!G6977-Sens!G6979</f>
        <v>21.249880258725</v>
      </c>
      <c r="H6980" s="6" t="n">
        <f aca="false">Sens!H6973-Sens!H6977-Sens!H6979</f>
        <v>59.3122696808561</v>
      </c>
      <c r="I6980" s="6" t="n">
        <f aca="false">Sens!I6973-Sens!I6977-Sens!I6979</f>
        <v>126.627451496596</v>
      </c>
      <c r="J6980" s="6" t="n">
        <f aca="false">Sens!J6973-Sens!J6977-Sens!J6979</f>
        <v>197.656205187135</v>
      </c>
      <c r="K6980" s="6" t="n">
        <f aca="false">Sens!K6973-Sens!K6977-Sens!K6979</f>
        <v>232.047720249232</v>
      </c>
      <c r="L6980" s="12" t="s">
        <v>1117</v>
      </c>
    </row>
    <row r="6981" customFormat="false" ht="15" hidden="false" customHeight="false" outlineLevel="0" collapsed="false">
      <c r="A6981" s="1" t="s">
        <v>1118</v>
      </c>
      <c r="B6981" s="0" t="s">
        <v>75</v>
      </c>
      <c r="F6981" s="8" t="n">
        <f aca="false">dps_27</f>
        <v>3.85</v>
      </c>
      <c r="G6981" s="8" t="n">
        <f aca="false">Sens!F6981*(1+dps_g)</f>
        <v>4.158</v>
      </c>
      <c r="H6981" s="8" t="n">
        <f aca="false">Sens!G6981*(1+dps_g)</f>
        <v>4.49064</v>
      </c>
      <c r="I6981" s="8" t="n">
        <f aca="false">Sens!H6981*(1+dps_g)</f>
        <v>4.8498912</v>
      </c>
      <c r="J6981" s="8" t="n">
        <f aca="false">Sens!I6981*(1+dps_g)</f>
        <v>5.237882496</v>
      </c>
      <c r="K6981" s="8" t="n">
        <f aca="false">Sens!J6981*(1+dps_g)</f>
        <v>5.65691309568</v>
      </c>
    </row>
    <row r="6982" customFormat="false" ht="17.15" hidden="false" customHeight="false" outlineLevel="0" collapsed="false">
      <c r="A6982" s="1" t="s">
        <v>1119</v>
      </c>
      <c r="B6982" s="0" t="s">
        <v>98</v>
      </c>
      <c r="E6982" s="6" t="n">
        <f aca="false">Q!M41</f>
        <v>26.445</v>
      </c>
      <c r="F6982" s="6" t="n">
        <f aca="false">Sens!F6981*Sens!E6991</f>
        <v>28.59395</v>
      </c>
      <c r="G6982" s="6" t="n">
        <f aca="false">Sens!G6981*Sens!F6991</f>
        <v>31.068576</v>
      </c>
      <c r="H6982" s="6" t="n">
        <f aca="false">Sens!H6981*Sens!G6991</f>
        <v>33.75614088</v>
      </c>
      <c r="I6982" s="6" t="n">
        <f aca="false">Sens!I6981*Sens!H6991</f>
        <v>36.5070704274727</v>
      </c>
      <c r="J6982" s="6" t="n">
        <f aca="false">Sens!J6981*Sens!I6991</f>
        <v>39.4955339470631</v>
      </c>
      <c r="K6982" s="6" t="n">
        <f aca="false">Sens!K6981*Sens!J6991</f>
        <v>42.7419309252064</v>
      </c>
      <c r="L6982" s="1" t="s">
        <v>1120</v>
      </c>
    </row>
    <row r="6983" customFormat="false" ht="15" hidden="false" customHeight="false" outlineLevel="0" collapsed="false">
      <c r="A6983" s="1" t="s">
        <v>1121</v>
      </c>
      <c r="B6983" s="0" t="s">
        <v>98</v>
      </c>
      <c r="E6983" s="6" t="n">
        <f aca="false">Sens!E6980-Sens!E6982</f>
        <v>37.441</v>
      </c>
      <c r="F6983" s="6" t="n">
        <f aca="false">Sens!F6980-Sens!F6982</f>
        <v>-17.874279046238</v>
      </c>
      <c r="G6983" s="6" t="n">
        <f aca="false">Sens!G6980-Sens!G6982</f>
        <v>-9.81869574127498</v>
      </c>
      <c r="H6983" s="6" t="n">
        <f aca="false">Sens!H6980-Sens!H6982</f>
        <v>25.5561288008561</v>
      </c>
      <c r="I6983" s="6" t="n">
        <f aca="false">Sens!I6980-Sens!I6982</f>
        <v>90.1203810691237</v>
      </c>
      <c r="J6983" s="6" t="n">
        <f aca="false">Sens!J6980-Sens!J6982</f>
        <v>158.160671240072</v>
      </c>
      <c r="K6983" s="6" t="n">
        <f aca="false">Sens!K6980-Sens!K6982</f>
        <v>189.305789324026</v>
      </c>
    </row>
    <row r="6984" customFormat="false" ht="15" hidden="false" customHeight="false" outlineLevel="0" collapsed="false">
      <c r="A6984" s="1" t="s">
        <v>1122</v>
      </c>
      <c r="B6984" s="0" t="s">
        <v>98</v>
      </c>
      <c r="F6984" s="6" t="n">
        <f aca="false">debt_mat_27</f>
        <v>9.25</v>
      </c>
      <c r="G6984" s="6" t="n">
        <f aca="false">debt_mat_28</f>
        <v>0</v>
      </c>
      <c r="H6984" s="6" t="n">
        <f aca="false">debt_mat_29</f>
        <v>2.001</v>
      </c>
      <c r="I6984" s="6" t="n">
        <f aca="false">debt_mat_30</f>
        <v>0</v>
      </c>
      <c r="J6984" s="6" t="n">
        <f aca="false">debt_mat_31</f>
        <v>0.5</v>
      </c>
      <c r="K6984" s="6" t="n">
        <f aca="false">debt_mat_32</f>
        <v>0</v>
      </c>
    </row>
    <row r="6985" customFormat="false" ht="15" hidden="false" customHeight="false" outlineLevel="0" collapsed="false">
      <c r="A6985" s="1" t="s">
        <v>1123</v>
      </c>
      <c r="B6985" s="0" t="s">
        <v>98</v>
      </c>
      <c r="E6985" s="6" t="n">
        <f aca="false">Q!M40</f>
        <v>22.271</v>
      </c>
      <c r="F6985" s="6" t="n">
        <f aca="false">MAX(0,MIN(bb_target,Sens!E6987+Sens!F6983-Sens!F6984-min_cash))</f>
        <v>0</v>
      </c>
      <c r="G6985" s="6" t="n">
        <f aca="false">MAX(0,MIN(bb_target,Sens!F6987+Sens!G6983-Sens!G6984-min_cash))</f>
        <v>0</v>
      </c>
      <c r="H6985" s="6" t="n">
        <f aca="false">MAX(0,MIN(bb_target,Sens!G6987+Sens!H6983-Sens!H6984-min_cash))</f>
        <v>22.271</v>
      </c>
      <c r="I6985" s="6" t="n">
        <f aca="false">MAX(0,MIN(bb_target,Sens!H6987+Sens!I6983-Sens!I6984-min_cash))</f>
        <v>22.271</v>
      </c>
      <c r="J6985" s="6" t="n">
        <f aca="false">MAX(0,MIN(bb_target,Sens!I6987+Sens!J6983-Sens!J6984-min_cash))</f>
        <v>22.271</v>
      </c>
      <c r="K6985" s="6" t="n">
        <f aca="false">MAX(0,MIN(bb_target,Sens!J6987+Sens!K6983-Sens!K6984-min_cash))</f>
        <v>22.271</v>
      </c>
    </row>
    <row r="6986" customFormat="false" ht="15" hidden="false" customHeight="false" outlineLevel="0" collapsed="false">
      <c r="A6986" s="1" t="s">
        <v>1124</v>
      </c>
      <c r="B6986" s="0" t="s">
        <v>98</v>
      </c>
      <c r="F6986" s="6" t="n">
        <f aca="false">MAX(0,min_cash-(Sens!E6987+Sens!F6983-Sens!F6984-Sens!F6985))</f>
        <v>0.281279046238026</v>
      </c>
      <c r="G6986" s="6" t="n">
        <f aca="false">MAX(0,min_cash-(Sens!F6987+Sens!G6983-Sens!G6984-Sens!G6985))</f>
        <v>9.81869574127498</v>
      </c>
      <c r="H6986" s="6" t="n">
        <f aca="false">MAX(0,min_cash-(Sens!G6987+Sens!H6983-Sens!H6984-Sens!H6985))</f>
        <v>0</v>
      </c>
      <c r="I6986" s="6" t="n">
        <f aca="false">MAX(0,min_cash-(Sens!H6987+Sens!I6983-Sens!I6984-Sens!I6985))</f>
        <v>0</v>
      </c>
      <c r="J6986" s="6" t="n">
        <f aca="false">MAX(0,min_cash-(Sens!I6987+Sens!J6983-Sens!J6984-Sens!J6985))</f>
        <v>0</v>
      </c>
      <c r="K6986" s="6" t="n">
        <f aca="false">MAX(0,min_cash-(Sens!J6987+Sens!K6983-Sens!K6984-Sens!K6985))</f>
        <v>0</v>
      </c>
    </row>
    <row r="6987" customFormat="false" ht="15" hidden="false" customHeight="false" outlineLevel="0" collapsed="false">
      <c r="A6987" s="1" t="s">
        <v>1125</v>
      </c>
      <c r="B6987" s="0" t="s">
        <v>98</v>
      </c>
      <c r="E6987" s="6" t="n">
        <f aca="false">cash_open</f>
        <v>76.843</v>
      </c>
      <c r="F6987" s="6" t="n">
        <f aca="false">Sens!E6987+Sens!F6983-Sens!F6984-Sens!F6985+Sens!F6986</f>
        <v>50</v>
      </c>
      <c r="G6987" s="6" t="n">
        <f aca="false">Sens!F6987+Sens!G6983-Sens!G6984-Sens!G6985+Sens!G6986</f>
        <v>50</v>
      </c>
      <c r="H6987" s="6" t="n">
        <f aca="false">Sens!G6987+Sens!H6983-Sens!H6984-Sens!H6985+Sens!H6986</f>
        <v>51.2841288008561</v>
      </c>
      <c r="I6987" s="6" t="n">
        <f aca="false">Sens!H6987+Sens!I6983-Sens!I6984-Sens!I6985+Sens!I6986</f>
        <v>119.13350986998</v>
      </c>
      <c r="J6987" s="6" t="n">
        <f aca="false">Sens!I6987+Sens!J6983-Sens!J6984-Sens!J6985+Sens!J6986</f>
        <v>254.523181110052</v>
      </c>
      <c r="K6987" s="6" t="n">
        <f aca="false">Sens!J6987+Sens!K6983-Sens!K6984-Sens!K6985+Sens!K6986</f>
        <v>421.557970434078</v>
      </c>
    </row>
    <row r="6988" customFormat="false" ht="15" hidden="false" customHeight="false" outlineLevel="0" collapsed="false">
      <c r="A6988" s="1" t="s">
        <v>1126</v>
      </c>
      <c r="B6988" s="0" t="s">
        <v>98</v>
      </c>
      <c r="E6988" s="6" t="n">
        <f aca="false">debt_face</f>
        <v>46.136</v>
      </c>
      <c r="F6988" s="6" t="n">
        <f aca="false">Sens!E6988-Sens!F6984+Sens!F6986</f>
        <v>37.167279046238</v>
      </c>
      <c r="G6988" s="6" t="n">
        <f aca="false">Sens!F6988-Sens!G6984+Sens!G6986</f>
        <v>46.985974787513</v>
      </c>
      <c r="H6988" s="6" t="n">
        <f aca="false">Sens!G6988-Sens!H6984+Sens!H6986</f>
        <v>44.984974787513</v>
      </c>
      <c r="I6988" s="6" t="n">
        <f aca="false">Sens!H6988-Sens!I6984+Sens!I6986</f>
        <v>44.984974787513</v>
      </c>
      <c r="J6988" s="6" t="n">
        <f aca="false">Sens!I6988-Sens!J6984+Sens!J6986</f>
        <v>44.484974787513</v>
      </c>
      <c r="K6988" s="6" t="n">
        <f aca="false">Sens!J6988-Sens!K6984+Sens!K6986</f>
        <v>44.484974787513</v>
      </c>
    </row>
    <row r="6989" customFormat="false" ht="15" hidden="false" customHeight="false" outlineLevel="0" collapsed="false">
      <c r="A6989" s="1" t="s">
        <v>1127</v>
      </c>
      <c r="B6989" s="0" t="s">
        <v>98</v>
      </c>
      <c r="E6989" s="6" t="n">
        <f aca="false">Sens!E6987-Sens!E6988</f>
        <v>30.707</v>
      </c>
      <c r="F6989" s="6" t="n">
        <f aca="false">Sens!F6987-Sens!F6988</f>
        <v>12.832720953762</v>
      </c>
      <c r="G6989" s="6" t="n">
        <f aca="false">Sens!G6987-Sens!G6988</f>
        <v>3.01402521248699</v>
      </c>
      <c r="H6989" s="6" t="n">
        <f aca="false">Sens!H6987-Sens!H6988</f>
        <v>6.29915401334309</v>
      </c>
      <c r="I6989" s="6" t="n">
        <f aca="false">Sens!I6987-Sens!I6988</f>
        <v>74.1485350824668</v>
      </c>
      <c r="J6989" s="6" t="n">
        <f aca="false">Sens!J6987-Sens!J6988</f>
        <v>210.038206322539</v>
      </c>
      <c r="K6989" s="6" t="n">
        <f aca="false">Sens!K6987-Sens!K6988</f>
        <v>377.072995646565</v>
      </c>
    </row>
    <row r="6990" customFormat="false" ht="15" hidden="false" customHeight="false" outlineLevel="0" collapsed="false">
      <c r="A6990" s="1" t="s">
        <v>1128</v>
      </c>
      <c r="B6990" s="0" t="s">
        <v>75</v>
      </c>
      <c r="F6990" s="30" t="n">
        <f aca="false">px*(1+bb_g)^(Sens!F6848-base_fy-mid_yr)</f>
        <v>551.84177959629</v>
      </c>
      <c r="G6990" s="30" t="n">
        <f aca="false">px*(1+bb_g)^(Sens!G6848-base_fy-mid_yr)</f>
        <v>595.989121963993</v>
      </c>
      <c r="H6990" s="30" t="n">
        <f aca="false">px*(1+bb_g)^(Sens!H6848-base_fy-mid_yr)</f>
        <v>643.668251721112</v>
      </c>
      <c r="I6990" s="30" t="n">
        <f aca="false">px*(1+bb_g)^(Sens!I6848-base_fy-mid_yr)</f>
        <v>695.161711858801</v>
      </c>
      <c r="J6990" s="30" t="n">
        <f aca="false">px*(1+bb_g)^(Sens!J6848-base_fy-mid_yr)</f>
        <v>750.774648807506</v>
      </c>
      <c r="K6990" s="30" t="n">
        <f aca="false">px*(1+bb_g)^(Sens!K6848-base_fy-mid_yr)</f>
        <v>810.836620712106</v>
      </c>
    </row>
    <row r="6991" customFormat="false" ht="15" hidden="false" customHeight="false" outlineLevel="0" collapsed="false">
      <c r="A6991" s="1" t="s">
        <v>1129</v>
      </c>
      <c r="B6991" s="1" t="s">
        <v>81</v>
      </c>
      <c r="E6991" s="15" t="n">
        <f aca="false">sh_out26</f>
        <v>7.427</v>
      </c>
      <c r="F6991" s="15" t="n">
        <f aca="false">Sens!E6991+sh_iss-Sens!F6985/Sens!F6990</f>
        <v>7.472</v>
      </c>
      <c r="G6991" s="15" t="n">
        <f aca="false">Sens!F6991+sh_iss-Sens!G6985/Sens!G6990</f>
        <v>7.517</v>
      </c>
      <c r="H6991" s="15" t="n">
        <f aca="false">Sens!G6991+sh_iss-Sens!H6985/Sens!H6990</f>
        <v>7.5273998780576</v>
      </c>
      <c r="I6991" s="15" t="n">
        <f aca="false">Sens!H6991+sh_iss-Sens!I6985/Sens!I6990</f>
        <v>7.54036272811094</v>
      </c>
      <c r="J6991" s="15" t="n">
        <f aca="false">Sens!I6991+sh_iss-Sens!J6985/Sens!J6990</f>
        <v>7.55569870038255</v>
      </c>
      <c r="K6991" s="15" t="n">
        <f aca="false">Sens!J6991+sh_iss-Sens!K6985/Sens!K6990</f>
        <v>7.57323200804144</v>
      </c>
    </row>
    <row r="6992" customFormat="false" ht="15" hidden="false" customHeight="false" outlineLevel="0" collapsed="false">
      <c r="A6992" s="1" t="s">
        <v>1130</v>
      </c>
      <c r="B6992" s="1" t="s">
        <v>81</v>
      </c>
      <c r="E6992" s="15" t="n">
        <f aca="false">sh_dil26</f>
        <v>7.453</v>
      </c>
      <c r="F6992" s="15" t="n">
        <f aca="false">(Sens!E6991+Sens!F6991)/2+dil_gap</f>
        <v>7.4735</v>
      </c>
      <c r="G6992" s="15" t="n">
        <f aca="false">(Sens!F6991+Sens!G6991)/2+dil_gap</f>
        <v>7.5185</v>
      </c>
      <c r="H6992" s="15" t="n">
        <f aca="false">(Sens!G6991+Sens!H6991)/2+dil_gap</f>
        <v>7.5461999390288</v>
      </c>
      <c r="I6992" s="15" t="n">
        <f aca="false">(Sens!H6991+Sens!I6991)/2+dil_gap</f>
        <v>7.55788130308427</v>
      </c>
      <c r="J6992" s="15" t="n">
        <f aca="false">(Sens!I6991+Sens!J6991)/2+dil_gap</f>
        <v>7.57203071424674</v>
      </c>
      <c r="K6992" s="15" t="n">
        <f aca="false">(Sens!J6991+Sens!K6991)/2+dil_gap</f>
        <v>7.58846535421199</v>
      </c>
    </row>
    <row r="6993" customFormat="false" ht="17.15" hidden="false" customHeight="false" outlineLevel="0" collapsed="false">
      <c r="A6993" s="1" t="s">
        <v>1131</v>
      </c>
      <c r="B6993" s="0" t="s">
        <v>98</v>
      </c>
      <c r="C6993" s="6" t="n">
        <f aca="false">SUM(Sens!F6983:J6983)</f>
        <v>246.144206322539</v>
      </c>
    </row>
    <row r="6994" customFormat="false" ht="15" hidden="false" customHeight="false" outlineLevel="0" collapsed="false">
      <c r="A6994" s="26" t="s">
        <v>1096</v>
      </c>
      <c r="B6994" s="31" t="s">
        <v>98</v>
      </c>
      <c r="C6994" s="27" t="n">
        <f aca="false">Sens!$C$6993-(Sens!F6983+Sens!G6983+Sens!H6983+Sens!I6983+Sens!J6983)</f>
        <v>0</v>
      </c>
      <c r="D6994" s="31"/>
      <c r="E6994" s="31"/>
      <c r="F6994" s="31"/>
      <c r="G6994" s="31"/>
      <c r="H6994" s="31"/>
      <c r="I6994" s="31"/>
      <c r="J6994" s="31"/>
      <c r="K6994" s="31"/>
    </row>
    <row r="6995" customFormat="false" ht="17.15" hidden="false" customHeight="false" outlineLevel="0" collapsed="false">
      <c r="A6995" s="1" t="s">
        <v>1090</v>
      </c>
      <c r="B6995" s="1" t="s">
        <v>1132</v>
      </c>
      <c r="C6995" s="33" t="str">
        <f aca="false">IF(SUM(Sens!F6986:J6986)&gt;0.05,"需要舉債 "&amp;TEXT(SUM(Sens!F6986:J6986),"0.0")&amp;" 十億美元","不需舉債")&amp;"；"&amp;IF(SUM(Sens!F6985:J6985)&lt;COUNT(Sens!F6985:J6985)*bb_target-0.05,"回購較每年 "&amp;TEXT(bb_target,"0.0")&amp;" 的目標少 "&amp;TEXT(COUNT(Sens!F6985:J6985)*bb_target-SUM(Sens!F6985:J6985),"0.0")&amp;" 十億美元（"&amp;TEXT(COUNTIF(Sens!F6985:J6985,"&lt;"&amp;(bb_target-0.05)),"0")&amp;" 年減少）","回購不減")</f>
        <v>需要舉債 10.1 十億美元；回購較每年 22.3 的目標少 44.5 十億美元（2 年減少）</v>
      </c>
    </row>
    <row r="6996" customFormat="false" ht="17.15" hidden="false" customHeight="false" outlineLevel="0" collapsed="false">
      <c r="A6996" s="3" t="s">
        <v>1654</v>
      </c>
    </row>
    <row r="6997" customFormat="false" ht="15" hidden="false" customHeight="false" outlineLevel="0" collapsed="false">
      <c r="A6997" s="4" t="s">
        <v>43</v>
      </c>
      <c r="B6997" s="4" t="s">
        <v>65</v>
      </c>
      <c r="C6997" s="23" t="s">
        <v>938</v>
      </c>
      <c r="D6997" s="23" t="s">
        <v>939</v>
      </c>
      <c r="E6997" s="23" t="s">
        <v>940</v>
      </c>
      <c r="F6997" s="23" t="s">
        <v>941</v>
      </c>
      <c r="G6997" s="23" t="s">
        <v>942</v>
      </c>
      <c r="H6997" s="23" t="s">
        <v>943</v>
      </c>
      <c r="I6997" s="23" t="s">
        <v>944</v>
      </c>
      <c r="J6997" s="23" t="s">
        <v>945</v>
      </c>
      <c r="K6997" s="23" t="s">
        <v>946</v>
      </c>
      <c r="L6997" s="4" t="s">
        <v>47</v>
      </c>
    </row>
    <row r="6998" customFormat="false" ht="17.15" hidden="false" customHeight="false" outlineLevel="0" collapsed="false">
      <c r="A6998" s="1" t="s">
        <v>1212</v>
      </c>
      <c r="B6998" s="1" t="s">
        <v>279</v>
      </c>
      <c r="F6998" s="8" t="n">
        <f aca="false">(1-v_off)*mid_yr</f>
        <v>0.373972602739726</v>
      </c>
      <c r="G6998" s="8" t="n">
        <f aca="false">Sens!G6848-base_fy-mid_yr-v_off</f>
        <v>1.24794520547945</v>
      </c>
      <c r="H6998" s="8" t="n">
        <f aca="false">Sens!H6848-base_fy-mid_yr-v_off</f>
        <v>2.24794520547945</v>
      </c>
      <c r="I6998" s="8" t="n">
        <f aca="false">Sens!I6848-base_fy-mid_yr-v_off</f>
        <v>3.24794520547945</v>
      </c>
      <c r="J6998" s="8" t="n">
        <f aca="false">Sens!J6848-base_fy-mid_yr-v_off</f>
        <v>4.24794520547945</v>
      </c>
      <c r="K6998" s="8" t="n">
        <f aca="false">Sens!K6848-base_fy-mid_yr-v_off</f>
        <v>5.24794520547945</v>
      </c>
      <c r="L6998" s="12" t="s">
        <v>1213</v>
      </c>
    </row>
    <row r="6999" customFormat="false" ht="15" hidden="false" customHeight="false" outlineLevel="0" collapsed="false">
      <c r="A6999" s="1" t="s">
        <v>1214</v>
      </c>
      <c r="B6999" s="1" t="s">
        <v>279</v>
      </c>
      <c r="F6999" s="8" t="n">
        <f aca="false">Sens!F6848-base_fy-v_off</f>
        <v>0.747945205479452</v>
      </c>
      <c r="G6999" s="8" t="n">
        <f aca="false">Sens!G6848-base_fy-v_off</f>
        <v>1.74794520547945</v>
      </c>
      <c r="H6999" s="8" t="n">
        <f aca="false">Sens!H6848-base_fy-v_off</f>
        <v>2.74794520547945</v>
      </c>
      <c r="I6999" s="8" t="n">
        <f aca="false">Sens!I6848-base_fy-v_off</f>
        <v>3.74794520547945</v>
      </c>
      <c r="J6999" s="8" t="n">
        <f aca="false">Sens!J6848-base_fy-v_off</f>
        <v>4.74794520547945</v>
      </c>
      <c r="K6999" s="8" t="n">
        <f aca="false">Sens!K6848-base_fy-v_off</f>
        <v>5.74794520547945</v>
      </c>
    </row>
    <row r="7000" customFormat="false" ht="15" hidden="false" customHeight="false" outlineLevel="0" collapsed="false">
      <c r="A7000" s="1" t="s">
        <v>1215</v>
      </c>
      <c r="B7000" s="0" t="s">
        <v>229</v>
      </c>
      <c r="F7000" s="15" t="n">
        <f aca="false">1/(1+wacc)^Sens!F6998</f>
        <v>0.964022703286649</v>
      </c>
      <c r="G7000" s="15" t="n">
        <f aca="false">1/(1+wacc)^Sens!G6998</f>
        <v>0.884910302296739</v>
      </c>
      <c r="H7000" s="15" t="n">
        <f aca="false">1/(1+wacc)^Sens!H6998</f>
        <v>0.802322009770358</v>
      </c>
      <c r="I7000" s="15" t="n">
        <f aca="false">1/(1+wacc)^Sens!I6998</f>
        <v>0.727441646561469</v>
      </c>
      <c r="J7000" s="15" t="n">
        <f aca="false">1/(1+wacc)^Sens!J6998</f>
        <v>0.659549834988973</v>
      </c>
      <c r="K7000" s="15" t="n">
        <f aca="false">1/(1+wacc)^Sens!K6998</f>
        <v>0.597994336576966</v>
      </c>
    </row>
    <row r="7001" customFormat="false" ht="17.15" hidden="false" customHeight="false" outlineLevel="0" collapsed="false">
      <c r="A7001" s="1" t="s">
        <v>1216</v>
      </c>
      <c r="B7001" s="0" t="s">
        <v>98</v>
      </c>
      <c r="F7001" s="6" t="n">
        <f aca="false">Q!$I$35-Q!$I$39-Q!$I$43</f>
        <v>9.666</v>
      </c>
      <c r="L7001" s="12" t="s">
        <v>1217</v>
      </c>
    </row>
    <row r="7002" customFormat="false" ht="17.15" hidden="false" customHeight="false" outlineLevel="0" collapsed="false">
      <c r="A7002" s="1" t="s">
        <v>1218</v>
      </c>
      <c r="B7002" s="0" t="s">
        <v>98</v>
      </c>
      <c r="F7002" s="6" t="n">
        <f aca="false">Sens!F6973-Sens!F6970-Sens!F6977+Sens!F6955*(1-tax_f)*(1-v_off)-Sens!F7001</f>
        <v>-3.35642680429513</v>
      </c>
      <c r="G7002" s="6" t="n">
        <f aca="false">Sens!G6973-Sens!G6970-Sens!G6977+Sens!G6955*(1-tax_f)</f>
        <v>30.3499450793424</v>
      </c>
      <c r="H7002" s="6" t="n">
        <f aca="false">Sens!H6973-Sens!H6970-Sens!H6977+Sens!H6955*(1-tax_f)</f>
        <v>80.1134198537489</v>
      </c>
      <c r="I7002" s="6" t="n">
        <f aca="false">Sens!I6973-Sens!I6970-Sens!I6977+Sens!I6955*(1-tax_f)</f>
        <v>158.239580659822</v>
      </c>
      <c r="J7002" s="6" t="n">
        <f aca="false">Sens!J6973-Sens!J6970-Sens!J6977+Sens!J6955*(1-tax_f)</f>
        <v>236.561834693771</v>
      </c>
      <c r="K7002" s="6" t="n">
        <f aca="false">Sens!K6973-Sens!K6970-Sens!K6977+Sens!K6955*(1-tax_f)</f>
        <v>274.798522602042</v>
      </c>
      <c r="L7002" s="1" t="s">
        <v>1219</v>
      </c>
    </row>
    <row r="7003" customFormat="false" ht="15" hidden="false" customHeight="false" outlineLevel="0" collapsed="false">
      <c r="A7003" s="1" t="s">
        <v>1220</v>
      </c>
      <c r="B7003" s="0" t="s">
        <v>98</v>
      </c>
      <c r="F7003" s="6" t="n">
        <f aca="false">Sens!F7002*Sens!F7000</f>
        <v>-3.23567164126036</v>
      </c>
      <c r="G7003" s="6" t="n">
        <f aca="false">Sens!G7002*Sens!G7000</f>
        <v>26.8569790748503</v>
      </c>
      <c r="H7003" s="6" t="n">
        <f aca="false">Sens!H7002*Sens!H7000</f>
        <v>64.2767600266363</v>
      </c>
      <c r="I7003" s="6" t="n">
        <f aca="false">Sens!I7002*Sens!I7000</f>
        <v>115.110061106377</v>
      </c>
      <c r="J7003" s="6" t="n">
        <f aca="false">Sens!J7002*Sens!J7000</f>
        <v>156.024319036965</v>
      </c>
      <c r="K7003" s="6" t="n">
        <f aca="false">Sens!K7002*Sens!K7000</f>
        <v>164.327960215739</v>
      </c>
    </row>
    <row r="7004" customFormat="false" ht="17.15" hidden="false" customHeight="false" outlineLevel="0" collapsed="false">
      <c r="A7004" s="1" t="s">
        <v>1221</v>
      </c>
      <c r="B7004" s="0" t="s">
        <v>98</v>
      </c>
      <c r="C7004" s="6" t="n">
        <f aca="false">SUM(Sens!F7003:K7003)</f>
        <v>523.360407819308</v>
      </c>
    </row>
    <row r="7005" customFormat="false" ht="17.15" hidden="false" customHeight="false" outlineLevel="0" collapsed="false">
      <c r="A7005" s="1" t="s">
        <v>1222</v>
      </c>
      <c r="B7005" s="0" t="s">
        <v>98</v>
      </c>
      <c r="C7005" s="6" t="n">
        <f aca="false">Sens!K6941*(1+g_tv)*(1-tax_f)</f>
        <v>285.232509491416</v>
      </c>
    </row>
    <row r="7006" customFormat="false" ht="17.15" hidden="false" customHeight="false" outlineLevel="0" collapsed="false">
      <c r="A7006" s="1" t="s">
        <v>1223</v>
      </c>
      <c r="B7006" s="0" t="s">
        <v>98</v>
      </c>
      <c r="C7006" s="6" t="n">
        <f aca="false">Sens!$C$7005*(1-g_tv/(wacc+ronic_prem))</f>
        <v>202.103903753298</v>
      </c>
    </row>
    <row r="7007" customFormat="false" ht="17.15" hidden="false" customHeight="false" outlineLevel="0" collapsed="false">
      <c r="A7007" s="1" t="s">
        <v>1224</v>
      </c>
      <c r="B7007" s="0" t="s">
        <v>98</v>
      </c>
      <c r="C7007" s="6" t="n">
        <f aca="false">Sens!$C$7006/(wacc-g_tv)</f>
        <v>2770.95352460393</v>
      </c>
    </row>
    <row r="7008" customFormat="false" ht="15" hidden="false" customHeight="false" outlineLevel="0" collapsed="false">
      <c r="A7008" s="1" t="s">
        <v>1225</v>
      </c>
      <c r="B7008" s="0" t="s">
        <v>98</v>
      </c>
      <c r="C7008" s="6" t="n">
        <f aca="false">Sens!$C$7007/(1+wacc)^Sens!K6999</f>
        <v>1577.79668805458</v>
      </c>
    </row>
    <row r="7009" customFormat="false" ht="17.15" hidden="false" customHeight="false" outlineLevel="0" collapsed="false">
      <c r="A7009" s="0" t="s">
        <v>1226</v>
      </c>
      <c r="B7009" s="0" t="s">
        <v>98</v>
      </c>
      <c r="C7009" s="6" t="n">
        <f aca="false">Sens!$C$7004+Sens!$C$7008</f>
        <v>2101.15709587389</v>
      </c>
    </row>
    <row r="7010" customFormat="false" ht="15" hidden="false" customHeight="false" outlineLevel="0" collapsed="false">
      <c r="A7010" s="1" t="s">
        <v>1141</v>
      </c>
      <c r="B7010" s="0" t="s">
        <v>168</v>
      </c>
      <c r="C7010" s="7" t="n">
        <f aca="false">Sens!$C$7008/Sens!$C$7009</f>
        <v>0.75091800187285</v>
      </c>
    </row>
    <row r="7011" customFormat="false" ht="17.15" hidden="false" customHeight="false" outlineLevel="0" collapsed="false">
      <c r="A7011" s="1" t="s">
        <v>1227</v>
      </c>
      <c r="B7011" s="0" t="s">
        <v>98</v>
      </c>
      <c r="C7011" s="6" t="n">
        <f aca="false">Sens!$C$7009+cash_val-debt_val-fl_val+oai_v</f>
        <v>2217.00809587389</v>
      </c>
    </row>
    <row r="7012" customFormat="false" ht="17.15" hidden="false" customHeight="false" outlineLevel="0" collapsed="false">
      <c r="A7012" s="0" t="s">
        <v>1149</v>
      </c>
      <c r="B7012" s="0" t="s">
        <v>75</v>
      </c>
      <c r="C7012" s="5" t="n">
        <f aca="false">Sens!$C$7011/shd_val</f>
        <v>297.744842314516</v>
      </c>
    </row>
    <row r="7013" customFormat="false" ht="15" hidden="false" customHeight="false" outlineLevel="0" collapsed="false">
      <c r="A7013" s="1" t="s">
        <v>1228</v>
      </c>
      <c r="B7013" s="0" t="s">
        <v>75</v>
      </c>
      <c r="C7013" s="8" t="n">
        <f aca="false">div_rem27+Sens!G6981*roll_div_q/q_per_yr</f>
        <v>3.9795</v>
      </c>
    </row>
    <row r="7014" customFormat="false" ht="17.15" hidden="false" customHeight="false" outlineLevel="0" collapsed="false">
      <c r="A7014" s="0" t="s">
        <v>1229</v>
      </c>
      <c r="B7014" s="0" t="s">
        <v>75</v>
      </c>
      <c r="C7014" s="5" t="n">
        <f aca="false">Sens!$C$7012*(1+wacc)^t_roll-Sens!$C$7013</f>
        <v>326.980509593703</v>
      </c>
    </row>
    <row r="7015" customFormat="false" ht="17.15" hidden="false" customHeight="false" outlineLevel="0" collapsed="false">
      <c r="A7015" s="1" t="s">
        <v>1230</v>
      </c>
      <c r="B7015" s="0" t="s">
        <v>168</v>
      </c>
      <c r="F7015" s="7" t="n">
        <f aca="false">Sens!F6967/(Sens!F6912-Sens!F6867)</f>
        <v>0.068849101343205</v>
      </c>
      <c r="G7015" s="7" t="n">
        <f aca="false">Sens!G6967/(Sens!G6912-Sens!G6867)</f>
        <v>0.0664348410796695</v>
      </c>
      <c r="H7015" s="7" t="n">
        <f aca="false">Sens!H6967/(Sens!H6912-Sens!H6867)</f>
        <v>0.0652155583648577</v>
      </c>
      <c r="I7015" s="7" t="n">
        <f aca="false">Sens!I6967/(Sens!I6912-Sens!I6867)</f>
        <v>0.0650519445621944</v>
      </c>
      <c r="J7015" s="7" t="n">
        <f aca="false">Sens!J6967/(Sens!J6912-Sens!J6867)</f>
        <v>0.0657330037275142</v>
      </c>
      <c r="K7015" s="7" t="n">
        <f aca="false">Sens!K6967/(Sens!K6912-Sens!K6867)</f>
        <v>0.0670245410078392</v>
      </c>
    </row>
    <row r="7016" customFormat="false" ht="17.15" hidden="false" customHeight="false" outlineLevel="0" collapsed="false">
      <c r="A7016" s="0" t="s">
        <v>1231</v>
      </c>
      <c r="B7016" s="0" t="s">
        <v>98</v>
      </c>
      <c r="F7016" s="6" t="n">
        <f aca="false">Sens!F6897*(al_m365+Sens!F7015+sbc_r)</f>
        <v>82.9386870539482</v>
      </c>
      <c r="G7016" s="6" t="n">
        <f aca="false">Sens!G6897*(al_m365+Sens!G7015+sbc_r)</f>
        <v>93.3229254479767</v>
      </c>
      <c r="H7016" s="6" t="n">
        <f aca="false">Sens!H6897*(al_m365+Sens!H7015+sbc_r)</f>
        <v>103.867761980441</v>
      </c>
      <c r="I7016" s="6" t="n">
        <f aca="false">Sens!I6897*(al_m365+Sens!I7015+sbc_r)</f>
        <v>113.896714322983</v>
      </c>
      <c r="J7016" s="6" t="n">
        <f aca="false">Sens!J6897*(al_m365+Sens!J7015+sbc_r)</f>
        <v>123.22053445763</v>
      </c>
      <c r="K7016" s="6" t="n">
        <f aca="false">Sens!K6897*(al_m365+Sens!K7015+sbc_r)</f>
        <v>132.146270370612</v>
      </c>
      <c r="L7016" s="12" t="s">
        <v>1232</v>
      </c>
    </row>
    <row r="7017" customFormat="false" ht="17.15" hidden="false" customHeight="false" outlineLevel="0" collapsed="false">
      <c r="A7017" s="0" t="s">
        <v>1233</v>
      </c>
      <c r="B7017" s="0" t="s">
        <v>98</v>
      </c>
      <c r="F7017" s="6" t="n">
        <f aca="false">Sens!F6898*(al_lic+Sens!F7015+sbc_r)</f>
        <v>32.8665764313072</v>
      </c>
      <c r="G7017" s="6" t="n">
        <f aca="false">Sens!G6898*(al_lic+Sens!G7015+sbc_r)</f>
        <v>34.1616923359156</v>
      </c>
      <c r="H7017" s="6" t="n">
        <f aca="false">Sens!H6898*(al_lic+Sens!H7015+sbc_r)</f>
        <v>35.3668378074677</v>
      </c>
      <c r="I7017" s="6" t="n">
        <f aca="false">Sens!I6898*(al_lic+Sens!I7015+sbc_r)</f>
        <v>36.4622994858328</v>
      </c>
      <c r="J7017" s="6" t="n">
        <f aca="false">Sens!J6898*(al_lic+Sens!J7015+sbc_r)</f>
        <v>37.4251037036646</v>
      </c>
      <c r="K7017" s="6" t="n">
        <f aca="false">Sens!K6898*(al_lic+Sens!K7015+sbc_r)</f>
        <v>38.2313970496034</v>
      </c>
    </row>
    <row r="7018" customFormat="false" ht="17.15" hidden="false" customHeight="false" outlineLevel="0" collapsed="false">
      <c r="A7018" s="0" t="s">
        <v>1234</v>
      </c>
      <c r="B7018" s="0" t="s">
        <v>98</v>
      </c>
      <c r="F7018" s="6" t="n">
        <f aca="false">Sens!F6900*(al_ind+Sens!F7015+sbc_r)</f>
        <v>9.06553934301049</v>
      </c>
      <c r="G7018" s="6" t="n">
        <f aca="false">Sens!G6900*(al_ind+Sens!G7015+sbc_r)</f>
        <v>9.85086364234553</v>
      </c>
      <c r="H7018" s="6" t="n">
        <f aca="false">Sens!H6900*(al_ind+Sens!H7015+sbc_r)</f>
        <v>10.6789255703466</v>
      </c>
      <c r="I7018" s="6" t="n">
        <f aca="false">Sens!I6900*(al_ind+Sens!I7015+sbc_r)</f>
        <v>11.5452258715712</v>
      </c>
      <c r="J7018" s="6" t="n">
        <f aca="false">Sens!J6900*(al_ind+Sens!J7015+sbc_r)</f>
        <v>12.4411536042212</v>
      </c>
      <c r="K7018" s="6" t="n">
        <f aca="false">Sens!K6900*(al_ind+Sens!K7015+sbc_r)</f>
        <v>13.3546846262677</v>
      </c>
    </row>
    <row r="7019" customFormat="false" ht="17.15" hidden="false" customHeight="false" outlineLevel="0" collapsed="false">
      <c r="A7019" s="0" t="s">
        <v>1235</v>
      </c>
      <c r="B7019" s="0" t="s">
        <v>98</v>
      </c>
      <c r="F7019" s="6" t="n">
        <f aca="false">Sens!F6902*(al_fro+Sens!F7015+sbc_r)</f>
        <v>3.55603878233623</v>
      </c>
      <c r="G7019" s="6" t="n">
        <f aca="false">Sens!G6902*(al_fro+Sens!G7015+sbc_r)</f>
        <v>3.76922913839717</v>
      </c>
      <c r="H7019" s="6" t="n">
        <f aca="false">Sens!H6902*(al_fro+Sens!H7015+sbc_r)</f>
        <v>4.01043775681031</v>
      </c>
      <c r="I7019" s="6" t="n">
        <f aca="false">Sens!I6902*(al_fro+Sens!I7015+sbc_r)</f>
        <v>4.28198546611895</v>
      </c>
      <c r="J7019" s="6" t="n">
        <f aca="false">Sens!J6902*(al_fro+Sens!J7015+sbc_r)</f>
        <v>4.58549861986402</v>
      </c>
      <c r="K7019" s="6" t="n">
        <f aca="false">Sens!K6902*(al_fro+Sens!K7015+sbc_r)</f>
        <v>4.92220334790273</v>
      </c>
    </row>
    <row r="7020" customFormat="false" ht="17.15" hidden="false" customHeight="false" outlineLevel="0" collapsed="false">
      <c r="A7020" s="0" t="s">
        <v>1236</v>
      </c>
      <c r="B7020" s="0" t="s">
        <v>98</v>
      </c>
      <c r="F7020" s="6" t="n">
        <f aca="false">Sens!F6905*(al_srch+Sens!F7015+sbc_r)</f>
        <v>11.1954160829004</v>
      </c>
      <c r="G7020" s="6" t="n">
        <f aca="false">Sens!G6905*(al_srch+Sens!G7015+sbc_r)</f>
        <v>12.2800299388309</v>
      </c>
      <c r="H7020" s="6" t="n">
        <f aca="false">Sens!H6905*(al_srch+Sens!H7015+sbc_r)</f>
        <v>13.4069929785515</v>
      </c>
      <c r="I7020" s="6" t="n">
        <f aca="false">Sens!I6905*(al_srch+Sens!I7015+sbc_r)</f>
        <v>14.563712808131</v>
      </c>
      <c r="J7020" s="6" t="n">
        <f aca="false">Sens!J6905*(al_srch+Sens!J7015+sbc_r)</f>
        <v>15.7314961514972</v>
      </c>
      <c r="K7020" s="6" t="n">
        <f aca="false">Sens!K6905*(al_srch+Sens!K7015+sbc_r)</f>
        <v>16.8866309737794</v>
      </c>
    </row>
    <row r="7021" customFormat="false" ht="17.15" hidden="false" customHeight="false" outlineLevel="0" collapsed="false">
      <c r="A7021" s="0" t="s">
        <v>1237</v>
      </c>
      <c r="B7021" s="0" t="s">
        <v>98</v>
      </c>
      <c r="F7021" s="6" t="n">
        <f aca="false">Sens!F6873-Sens!F6874+Sens!F6955</f>
        <v>43.3995450503567</v>
      </c>
      <c r="G7021" s="6" t="n">
        <f aca="false">Sens!G6873-Sens!G6874+Sens!G6955</f>
        <v>84.061564192037</v>
      </c>
      <c r="H7021" s="6" t="n">
        <f aca="false">Sens!H6873-Sens!H6874+Sens!H6955</f>
        <v>127.560446342936</v>
      </c>
      <c r="I7021" s="6" t="n">
        <f aca="false">Sens!I6873-Sens!I6874+Sens!I6955</f>
        <v>166.172776022983</v>
      </c>
      <c r="J7021" s="6" t="n">
        <f aca="false">Sens!J6873-Sens!J6874+Sens!J6955</f>
        <v>193.242012030014</v>
      </c>
      <c r="K7021" s="6" t="n">
        <f aca="false">Sens!K6873-Sens!K6874+Sens!K6955</f>
        <v>210.05612838335</v>
      </c>
    </row>
    <row r="7022" customFormat="false" ht="17.15" hidden="false" customHeight="false" outlineLevel="0" collapsed="false">
      <c r="A7022" s="0" t="s">
        <v>1238</v>
      </c>
      <c r="B7022" s="0" t="s">
        <v>98</v>
      </c>
      <c r="F7022" s="6" t="n">
        <f aca="false">Sens!F6934+Sens!F6955+Sens!F6885+Sens!F7015*(Sens!F6904-Sens!F6867)+sbc_r*Sens!F6904</f>
        <v>238.252964964219</v>
      </c>
      <c r="G7022" s="6" t="n">
        <f aca="false">Sens!G6934+Sens!G6955+Sens!G6885+Sens!G7015*(Sens!G6904-Sens!G6867)+sbc_r*Sens!G6904</f>
        <v>299.888982534979</v>
      </c>
      <c r="H7022" s="6" t="n">
        <f aca="false">Sens!H6934+Sens!H6955+Sens!H6885+Sens!H7015*(Sens!H6904-Sens!H6867)+sbc_r*Sens!H6904</f>
        <v>369.268448147907</v>
      </c>
      <c r="I7022" s="6" t="n">
        <f aca="false">Sens!I6934+Sens!I6955+Sens!I6885+Sens!I7015*(Sens!I6904-Sens!I6867)+sbc_r*Sens!I6904</f>
        <v>432.82922430887</v>
      </c>
      <c r="J7022" s="6" t="n">
        <f aca="false">Sens!J6934+Sens!J6955+Sens!J6885+Sens!J7015*(Sens!J6904-Sens!J6867)+sbc_r*Sens!J6904</f>
        <v>482.844400746705</v>
      </c>
      <c r="K7022" s="6" t="n">
        <f aca="false">Sens!K6934+Sens!K6955+Sens!K6885+Sens!K7015*(Sens!K6904-Sens!K6867)+sbc_r*Sens!K6904</f>
        <v>520.20309130161</v>
      </c>
    </row>
    <row r="7023" customFormat="false" ht="17.15" hidden="false" customHeight="false" outlineLevel="0" collapsed="false">
      <c r="A7023" s="0" t="s">
        <v>1239</v>
      </c>
      <c r="B7023" s="0" t="s">
        <v>98</v>
      </c>
      <c r="F7023" s="6" t="n">
        <f aca="false">Sens!F7022-Sens!F7016-Sens!F7017-Sens!F7018-Sens!F7019-Sens!F7021</f>
        <v>66.4265783032602</v>
      </c>
      <c r="G7023" s="6" t="n">
        <f aca="false">Sens!G7022-Sens!G7016-Sens!G7017-Sens!G7018-Sens!G7019-Sens!G7021</f>
        <v>74.722707778307</v>
      </c>
      <c r="H7023" s="6" t="n">
        <f aca="false">Sens!H7022-Sens!H7016-Sens!H7017-Sens!H7018-Sens!H7019-Sens!H7021</f>
        <v>87.7840386899045</v>
      </c>
      <c r="I7023" s="6" t="n">
        <f aca="false">Sens!I7022-Sens!I7016-Sens!I7017-Sens!I7018-Sens!I7019-Sens!I7021</f>
        <v>100.470223139381</v>
      </c>
      <c r="J7023" s="6" t="n">
        <f aca="false">Sens!J7022-Sens!J7016-Sens!J7017-Sens!J7018-Sens!J7019-Sens!J7021</f>
        <v>111.930098331311</v>
      </c>
      <c r="K7023" s="6" t="n">
        <f aca="false">Sens!K7022-Sens!K7016-Sens!K7017-Sens!K7018-Sens!K7019-Sens!K7021</f>
        <v>121.492407523874</v>
      </c>
    </row>
    <row r="7024" customFormat="false" ht="17.15" hidden="false" customHeight="false" outlineLevel="0" collapsed="false">
      <c r="A7024" s="0" t="s">
        <v>1240</v>
      </c>
      <c r="B7024" s="0" t="s">
        <v>98</v>
      </c>
      <c r="F7024" s="6" t="n">
        <f aca="false">Sens!F6936+Sens!F7015*Sens!F6911+sbc_r*Sens!F6911</f>
        <v>26.6483962281556</v>
      </c>
      <c r="G7024" s="6" t="n">
        <f aca="false">Sens!G6936+Sens!G7015*Sens!G6911+sbc_r*Sens!G6911</f>
        <v>26.5119497170422</v>
      </c>
      <c r="H7024" s="6" t="n">
        <f aca="false">Sens!H6936+Sens!H7015*Sens!H6911+sbc_r*Sens!H6911</f>
        <v>27.4035504778537</v>
      </c>
      <c r="I7024" s="6" t="n">
        <f aca="false">Sens!I6936+Sens!I7015*Sens!I6911+sbc_r*Sens!I6911</f>
        <v>28.5207314764627</v>
      </c>
      <c r="J7024" s="6" t="n">
        <f aca="false">Sens!J6936+Sens!J7015*Sens!J6911+sbc_r*Sens!J6911</f>
        <v>29.8322766016073</v>
      </c>
      <c r="K7024" s="6" t="n">
        <f aca="false">Sens!K6936+Sens!K7015*Sens!K6911+sbc_r*Sens!K6911</f>
        <v>31.3090344749442</v>
      </c>
    </row>
    <row r="7025" customFormat="false" ht="17.15" hidden="false" customHeight="false" outlineLevel="0" collapsed="false">
      <c r="A7025" s="0" t="s">
        <v>1241</v>
      </c>
      <c r="B7025" s="0" t="s">
        <v>98</v>
      </c>
      <c r="F7025" s="6" t="n">
        <f aca="false">(Sens!F7024-Sens!F7020)*Sens!F6907/(Sens!F6907+Sens!F6909)</f>
        <v>8.72761940379699</v>
      </c>
      <c r="G7025" s="6" t="n">
        <f aca="false">(Sens!G7024-Sens!G7020)*Sens!G6907/(Sens!G6907+Sens!G6909)</f>
        <v>7.89983911734008</v>
      </c>
      <c r="H7025" s="6" t="n">
        <f aca="false">(Sens!H7024-Sens!H7020)*Sens!H6907/(Sens!H6907+Sens!H6909)</f>
        <v>7.66798486951439</v>
      </c>
      <c r="I7025" s="6" t="n">
        <f aca="false">(Sens!I7024-Sens!I7020)*Sens!I6907/(Sens!I6907+Sens!I6909)</f>
        <v>7.57958301973797</v>
      </c>
      <c r="J7025" s="6" t="n">
        <f aca="false">(Sens!J7024-Sens!J7020)*Sens!J6907/(Sens!J6907+Sens!J6909)</f>
        <v>7.62424517581943</v>
      </c>
      <c r="K7025" s="6" t="n">
        <f aca="false">(Sens!K7024-Sens!K7020)*Sens!K6907/(Sens!K6907+Sens!K6909)</f>
        <v>7.79814569175982</v>
      </c>
    </row>
    <row r="7026" customFormat="false" ht="17.15" hidden="false" customHeight="false" outlineLevel="0" collapsed="false">
      <c r="A7026" s="0" t="s">
        <v>1242</v>
      </c>
      <c r="B7026" s="0" t="s">
        <v>98</v>
      </c>
      <c r="F7026" s="6" t="n">
        <f aca="false">Sens!F7024-Sens!F7020-Sens!F7025</f>
        <v>6.72536074145821</v>
      </c>
      <c r="G7026" s="6" t="n">
        <f aca="false">Sens!G7024-Sens!G7020-Sens!G7025</f>
        <v>6.33208066087126</v>
      </c>
      <c r="H7026" s="6" t="n">
        <f aca="false">Sens!H7024-Sens!H7020-Sens!H7025</f>
        <v>6.32857262978775</v>
      </c>
      <c r="I7026" s="6" t="n">
        <f aca="false">Sens!I7024-Sens!I7020-Sens!I7025</f>
        <v>6.3774356485937</v>
      </c>
      <c r="J7026" s="6" t="n">
        <f aca="false">Sens!J7024-Sens!J7020-Sens!J7025</f>
        <v>6.47653527429071</v>
      </c>
      <c r="K7026" s="6" t="n">
        <f aca="false">Sens!K7024-Sens!K7020-Sens!K7025</f>
        <v>6.62425780940504</v>
      </c>
    </row>
    <row r="7027" customFormat="false" ht="17.15" hidden="false" customHeight="false" outlineLevel="0" collapsed="false">
      <c r="A7027" s="0" t="s">
        <v>1243</v>
      </c>
      <c r="B7027" s="0" t="s">
        <v>98</v>
      </c>
      <c r="F7027" s="6" t="n">
        <f aca="false">Sens!F7021-tax_f*(Sens!F7021-Sens!F6885)-Sens!F6882</f>
        <v>-126.818405106164</v>
      </c>
      <c r="G7027" s="6" t="n">
        <f aca="false">Sens!G7021-tax_f*(Sens!G7021-Sens!G6885)-Sens!G6882</f>
        <v>-112.548326164959</v>
      </c>
      <c r="H7027" s="6" t="n">
        <f aca="false">Sens!H7021-tax_f*(Sens!H7021-Sens!H6885)-Sens!H6882</f>
        <v>-76.9376288578741</v>
      </c>
      <c r="I7027" s="6" t="n">
        <f aca="false">Sens!I7021-tax_f*(Sens!I7021-Sens!I6885)-Sens!I6882</f>
        <v>-12.8304108643142</v>
      </c>
      <c r="J7027" s="6" t="n">
        <f aca="false">Sens!J7021-tax_f*(Sens!J7021-Sens!J6885)-Sens!J6882</f>
        <v>52.06681303799</v>
      </c>
      <c r="K7027" s="6" t="n">
        <f aca="false">Sens!K7021-tax_f*(Sens!K7021-Sens!K6885)-Sens!K6882</f>
        <v>77.6845835521341</v>
      </c>
    </row>
    <row r="7028" customFormat="false" ht="17.15" hidden="false" customHeight="false" outlineLevel="0" collapsed="false">
      <c r="A7028" s="0" t="s">
        <v>1244</v>
      </c>
      <c r="B7028" s="0" t="s">
        <v>98</v>
      </c>
      <c r="G7028" s="6" t="n">
        <f aca="false">Sens!G7027/(1+wacc)^(Sens!G6998-Sens!F6999)</f>
        <v>-107.167664918547</v>
      </c>
      <c r="H7028" s="6" t="n">
        <f aca="false">Sens!H7027/(1+wacc)^(Sens!H6998-Sens!F6999)</f>
        <v>-66.4221577963264</v>
      </c>
      <c r="I7028" s="6" t="n">
        <f aca="false">Sens!I7027/(1+wacc)^(Sens!I6998-Sens!F6999)</f>
        <v>-10.0430170771347</v>
      </c>
      <c r="J7028" s="6" t="n">
        <f aca="false">Sens!J7027/(1+wacc)^(Sens!J6998-Sens!F6999)</f>
        <v>36.9516714613417</v>
      </c>
      <c r="K7028" s="6" t="n">
        <f aca="false">Sens!K7027/(1+wacc)^(Sens!K6998-Sens!F6999)</f>
        <v>49.9870363677034</v>
      </c>
      <c r="L7028" s="1" t="s">
        <v>1245</v>
      </c>
    </row>
    <row r="7029" customFormat="false" ht="17.15" hidden="false" customHeight="false" outlineLevel="0" collapsed="false">
      <c r="A7029" s="0" t="s">
        <v>1246</v>
      </c>
      <c r="B7029" s="0" t="s">
        <v>98</v>
      </c>
      <c r="C7029" s="6" t="n">
        <f aca="false">(Sens!K7021-Sens!K6885)*(1-tax_f)*(1+g_tv)*(1-g_tv/(wacc+ronic_prem))/(wacc-g_tv)/(1+wacc)^(Sens!K6999-Sens!F6999)</f>
        <v>328.822189592764</v>
      </c>
    </row>
    <row r="7030" customFormat="false" ht="17.15" hidden="false" customHeight="false" outlineLevel="0" collapsed="false">
      <c r="A7030" s="1" t="s">
        <v>1247</v>
      </c>
      <c r="B7030" s="0" t="s">
        <v>98</v>
      </c>
      <c r="C7030" s="6" t="n">
        <f aca="false">(SUM(Sens!G7028:K7028)+Sens!$C$7029)*(1+wacc)^(t_roll-Sens!F6999)</f>
        <v>239.791306819512</v>
      </c>
      <c r="L7030" s="12" t="s">
        <v>1248</v>
      </c>
    </row>
    <row r="7031" customFormat="false" ht="17.15" hidden="false" customHeight="false" outlineLevel="0" collapsed="false">
      <c r="A7031" s="1" t="s">
        <v>1249</v>
      </c>
      <c r="B7031" s="0" t="s">
        <v>98</v>
      </c>
      <c r="C7031" s="6" t="n">
        <f aca="false">(w_ntm28*Sens!G6873+(1-w_ntm28)*Sens!H6873)*m_ai</f>
        <v>463.789109510335</v>
      </c>
    </row>
    <row r="7032" customFormat="false" ht="17.15" hidden="false" customHeight="false" outlineLevel="0" collapsed="false">
      <c r="A7032" s="1" t="s">
        <v>1250</v>
      </c>
      <c r="B7032" s="0" t="s">
        <v>98</v>
      </c>
      <c r="C7032" s="6" t="n">
        <f aca="false">(w_ntm28*Sens!G7023+(1-w_ntm28)*Sens!H7023)*m_cloud</f>
        <v>1092.01278364358</v>
      </c>
    </row>
    <row r="7033" customFormat="false" ht="17.15" hidden="false" customHeight="false" outlineLevel="0" collapsed="false">
      <c r="A7033" s="1" t="s">
        <v>1251</v>
      </c>
      <c r="B7033" s="0" t="s">
        <v>98</v>
      </c>
      <c r="C7033" s="6" t="n">
        <f aca="false">(w_ntm28*Sens!G7016+(1-w_ntm28)*Sens!H7016)*m_sw</f>
        <v>1045.32898701917</v>
      </c>
    </row>
    <row r="7034" customFormat="false" ht="17.15" hidden="false" customHeight="false" outlineLevel="0" collapsed="false">
      <c r="A7034" s="1" t="s">
        <v>1252</v>
      </c>
      <c r="B7034" s="0" t="s">
        <v>98</v>
      </c>
      <c r="C7034" s="6" t="n">
        <f aca="false">(w_ntm28*Sens!G7017+(1-w_ntm28)*Sens!H7017)*m_sw</f>
        <v>373.225369094003</v>
      </c>
    </row>
    <row r="7035" customFormat="false" ht="17.15" hidden="false" customHeight="false" outlineLevel="0" collapsed="false">
      <c r="A7035" s="1" t="s">
        <v>1253</v>
      </c>
      <c r="B7035" s="0" t="s">
        <v>98</v>
      </c>
      <c r="C7035" s="6" t="n">
        <f aca="false">(w_ntm28*Sens!G7018+(1-w_ntm28)*Sens!H7018)*m_sw</f>
        <v>109.32951434744</v>
      </c>
    </row>
    <row r="7036" customFormat="false" ht="17.15" hidden="false" customHeight="false" outlineLevel="0" collapsed="false">
      <c r="A7036" s="1" t="s">
        <v>1254</v>
      </c>
      <c r="B7036" s="0" t="s">
        <v>98</v>
      </c>
      <c r="C7036" s="6" t="n">
        <f aca="false">(w_ntm28*Sens!G7019+(1-w_ntm28)*Sens!H7019)*m_sw</f>
        <v>41.5641305014386</v>
      </c>
    </row>
    <row r="7037" customFormat="false" ht="17.15" hidden="false" customHeight="false" outlineLevel="0" collapsed="false">
      <c r="A7037" s="1" t="s">
        <v>1255</v>
      </c>
      <c r="B7037" s="0" t="s">
        <v>98</v>
      </c>
      <c r="C7037" s="6" t="n">
        <f aca="false">(w_ntm28*Sens!G7020+(1-w_ntm28)*Sens!H7020)*m_ads</f>
        <v>115.246404235962</v>
      </c>
    </row>
    <row r="7038" customFormat="false" ht="17.15" hidden="false" customHeight="false" outlineLevel="0" collapsed="false">
      <c r="A7038" s="1" t="s">
        <v>1256</v>
      </c>
      <c r="B7038" s="0" t="s">
        <v>98</v>
      </c>
      <c r="C7038" s="6" t="n">
        <f aca="false">(w_ntm28*Sens!G7025+(1-w_ntm28)*Sens!H7025)*m_game</f>
        <v>98.8122329889789</v>
      </c>
    </row>
    <row r="7039" customFormat="false" ht="17.15" hidden="false" customHeight="false" outlineLevel="0" collapsed="false">
      <c r="A7039" s="1" t="s">
        <v>1257</v>
      </c>
      <c r="B7039" s="0" t="s">
        <v>98</v>
      </c>
      <c r="C7039" s="6" t="n">
        <f aca="false">(w_ntm28*Sens!G7026+(1-w_ntm28)*Sens!H7026)*m_pc</f>
        <v>91.6085185458937</v>
      </c>
    </row>
    <row r="7040" customFormat="false" ht="17.15" hidden="false" customHeight="false" outlineLevel="0" collapsed="false">
      <c r="A7040" s="1" t="s">
        <v>1258</v>
      </c>
      <c r="B7040" s="0" t="s">
        <v>98</v>
      </c>
      <c r="C7040" s="6" t="n">
        <f aca="false">Sens!$C$7030+Sens!$C$7032+Sens!$C$7033+Sens!$C$7034+Sens!$C$7035+Sens!$C$7036+Sens!$C$7037+Sens!$C$7038+Sens!$C$7039</f>
        <v>3206.91924719598</v>
      </c>
    </row>
    <row r="7041" customFormat="false" ht="17.15" hidden="false" customHeight="false" outlineLevel="0" collapsed="false">
      <c r="A7041" s="1" t="s">
        <v>1259</v>
      </c>
      <c r="B7041" s="0" t="s">
        <v>98</v>
      </c>
      <c r="C7041" s="6" t="n">
        <f aca="false">(Sens!G7002-Sens!G7027)*t_stub</f>
        <v>47.3717556727683</v>
      </c>
      <c r="L7041" s="1" t="s">
        <v>1260</v>
      </c>
    </row>
    <row r="7042" customFormat="false" ht="17.15" hidden="false" customHeight="false" outlineLevel="0" collapsed="false">
      <c r="A7042" s="1" t="s">
        <v>1169</v>
      </c>
      <c r="B7042" s="0" t="s">
        <v>98</v>
      </c>
      <c r="C7042" s="6" t="n">
        <f aca="false">Sens!F6989+oai_v-Sens!F6978+Sens!$C$7041</f>
        <v>161.31874662653</v>
      </c>
      <c r="L7042" s="1" t="s">
        <v>1261</v>
      </c>
    </row>
    <row r="7043" customFormat="false" ht="17.15" hidden="false" customHeight="false" outlineLevel="0" collapsed="false">
      <c r="A7043" s="1" t="s">
        <v>1262</v>
      </c>
      <c r="B7043" s="0" t="s">
        <v>75</v>
      </c>
      <c r="C7043" s="5" t="n">
        <f aca="false">(Sens!$C$7040+Sens!$C$7042)/(Sens!F6991+dil_gap)-Sens!G6981*roll_div_q/q_per_yr</f>
        <v>448.298546134273</v>
      </c>
      <c r="L7043" s="1" t="s">
        <v>1263</v>
      </c>
    </row>
    <row r="7044" customFormat="false" ht="17.15" hidden="false" customHeight="false" outlineLevel="0" collapsed="false">
      <c r="A7044" s="1" t="s">
        <v>1264</v>
      </c>
      <c r="B7044" s="0" t="s">
        <v>75</v>
      </c>
      <c r="C7044" s="5" t="n">
        <f aca="false">w_dcf*Sens!$C$7014+(1-w_dcf)*Sens!$C$7043</f>
        <v>387.639527863988</v>
      </c>
    </row>
    <row r="7045" customFormat="false" ht="17.15" hidden="false" customHeight="false" outlineLevel="0" collapsed="false">
      <c r="A7045" s="3" t="s">
        <v>1655</v>
      </c>
    </row>
    <row r="7046" customFormat="false" ht="15" hidden="false" customHeight="false" outlineLevel="0" collapsed="false">
      <c r="A7046" s="4" t="s">
        <v>43</v>
      </c>
      <c r="B7046" s="4" t="s">
        <v>65</v>
      </c>
      <c r="C7046" s="23" t="s">
        <v>938</v>
      </c>
      <c r="D7046" s="23" t="s">
        <v>939</v>
      </c>
      <c r="E7046" s="23" t="s">
        <v>940</v>
      </c>
      <c r="F7046" s="23" t="s">
        <v>941</v>
      </c>
      <c r="G7046" s="23" t="s">
        <v>942</v>
      </c>
      <c r="H7046" s="23" t="s">
        <v>943</v>
      </c>
      <c r="I7046" s="23" t="s">
        <v>944</v>
      </c>
      <c r="J7046" s="23" t="s">
        <v>945</v>
      </c>
      <c r="K7046" s="23" t="s">
        <v>946</v>
      </c>
      <c r="L7046" s="4" t="s">
        <v>47</v>
      </c>
    </row>
    <row r="7047" customFormat="false" ht="17.15" hidden="false" customHeight="false" outlineLevel="0" collapsed="false">
      <c r="A7047" s="1" t="s">
        <v>947</v>
      </c>
      <c r="B7047" s="1" t="s">
        <v>279</v>
      </c>
      <c r="C7047" s="21" t="n">
        <v>2024</v>
      </c>
      <c r="D7047" s="21" t="n">
        <v>2025</v>
      </c>
      <c r="E7047" s="21" t="n">
        <v>2026</v>
      </c>
      <c r="F7047" s="21" t="n">
        <v>2027</v>
      </c>
      <c r="G7047" s="21" t="n">
        <v>2028</v>
      </c>
      <c r="H7047" s="21" t="n">
        <v>2029</v>
      </c>
      <c r="I7047" s="21" t="n">
        <v>2030</v>
      </c>
      <c r="J7047" s="21" t="n">
        <v>2031</v>
      </c>
      <c r="K7047" s="21" t="n">
        <v>2032</v>
      </c>
    </row>
    <row r="7048" customFormat="false" ht="17.15" hidden="false" customHeight="false" outlineLevel="0" collapsed="false">
      <c r="A7048" s="1" t="s">
        <v>948</v>
      </c>
      <c r="B7048" s="0" t="s">
        <v>456</v>
      </c>
      <c r="F7048" s="30" t="n">
        <f aca="false">pace</f>
        <v>2726.5351</v>
      </c>
      <c r="G7048" s="30" t="n">
        <f aca="false">pace</f>
        <v>2726.5351</v>
      </c>
      <c r="H7048" s="30" t="n">
        <f aca="false">pace</f>
        <v>2726.5351</v>
      </c>
      <c r="I7048" s="30" t="n">
        <f aca="false">pace+(g_tv*Sens!H7049-pace)*MIN(1,(Sens!I7047-pace_y0)/(pace_y1-pace_y0))</f>
        <v>1931.98611966667</v>
      </c>
      <c r="J7048" s="30" t="n">
        <f aca="false">pace+(g_tv*Sens!I7049-pace)*MIN(1,(Sens!J7047-pace_y0)/(pace_y1-pace_y0))</f>
        <v>1176.07686172667</v>
      </c>
      <c r="K7048" s="30" t="n">
        <f aca="false">pace+(g_tv*Sens!J7049-pace)*MIN(1,(Sens!K7047-pace_y0)/(pace_y1-pace_y0))</f>
        <v>436.1300484418</v>
      </c>
      <c r="L7048" s="12" t="s">
        <v>949</v>
      </c>
    </row>
    <row r="7049" customFormat="false" ht="17.15" hidden="false" customHeight="false" outlineLevel="0" collapsed="false">
      <c r="A7049" s="1" t="s">
        <v>950</v>
      </c>
      <c r="B7049" s="0" t="s">
        <v>456</v>
      </c>
      <c r="C7049" s="30" t="n">
        <f aca="false">mw_ext_24</f>
        <v>640</v>
      </c>
      <c r="D7049" s="30" t="n">
        <f aca="false">mw_ext_25</f>
        <v>1630</v>
      </c>
      <c r="E7049" s="30" t="n">
        <f aca="false">mw_ext_26</f>
        <v>3250</v>
      </c>
      <c r="F7049" s="30" t="n">
        <f aca="false">Sens!E7049+Sens!F7048</f>
        <v>5976.5351</v>
      </c>
      <c r="G7049" s="30" t="n">
        <f aca="false">Sens!F7049+Sens!G7048</f>
        <v>8703.0702</v>
      </c>
      <c r="H7049" s="30" t="n">
        <f aca="false">Sens!G7049+Sens!H7048</f>
        <v>11429.6053</v>
      </c>
      <c r="I7049" s="30" t="n">
        <f aca="false">Sens!H7049+Sens!I7048</f>
        <v>13361.5914196667</v>
      </c>
      <c r="J7049" s="30" t="n">
        <f aca="false">Sens!I7049+Sens!J7048</f>
        <v>14537.6682813933</v>
      </c>
      <c r="K7049" s="30" t="n">
        <f aca="false">Sens!J7049+Sens!K7048</f>
        <v>14973.7983298351</v>
      </c>
      <c r="L7049" s="1" t="s">
        <v>951</v>
      </c>
    </row>
    <row r="7050" customFormat="false" ht="17.15" hidden="false" customHeight="false" outlineLevel="0" collapsed="false">
      <c r="A7050" s="1" t="s">
        <v>952</v>
      </c>
      <c r="B7050" s="0" t="s">
        <v>456</v>
      </c>
      <c r="C7050" s="30" t="n">
        <f aca="false">rent_ext_24</f>
        <v>150</v>
      </c>
      <c r="D7050" s="30" t="n">
        <f aca="false">rent_ext_25</f>
        <v>400</v>
      </c>
      <c r="E7050" s="30" t="n">
        <f aca="false">rent_ext_26</f>
        <v>550</v>
      </c>
      <c r="F7050" s="30" t="n">
        <f aca="false">rent_ext_f</f>
        <v>756</v>
      </c>
      <c r="G7050" s="30" t="n">
        <f aca="false">rent_ext_f</f>
        <v>756</v>
      </c>
      <c r="H7050" s="30" t="n">
        <f aca="false">rent_ext_f</f>
        <v>756</v>
      </c>
      <c r="I7050" s="30" t="n">
        <f aca="false">rent_ext_f</f>
        <v>756</v>
      </c>
      <c r="J7050" s="30" t="n">
        <f aca="false">rent_ext_f</f>
        <v>756</v>
      </c>
      <c r="K7050" s="30" t="n">
        <f aca="false">rent_ext_f</f>
        <v>756</v>
      </c>
      <c r="L7050" s="1" t="s">
        <v>953</v>
      </c>
    </row>
    <row r="7051" customFormat="false" ht="17.15" hidden="false" customHeight="false" outlineLevel="0" collapsed="false">
      <c r="A7051" s="1" t="s">
        <v>954</v>
      </c>
      <c r="B7051" s="0" t="s">
        <v>456</v>
      </c>
      <c r="C7051" s="30" t="n">
        <f aca="false">Sens!C7049-Sens!C7050</f>
        <v>490</v>
      </c>
      <c r="D7051" s="30" t="n">
        <f aca="false">Sens!D7049-Sens!D7050</f>
        <v>1230</v>
      </c>
      <c r="E7051" s="30" t="n">
        <f aca="false">Sens!E7049-Sens!E7050</f>
        <v>2700</v>
      </c>
      <c r="F7051" s="30" t="n">
        <f aca="false">Sens!F7049-Sens!F7050</f>
        <v>5220.5351</v>
      </c>
      <c r="G7051" s="30" t="n">
        <f aca="false">Sens!G7049-Sens!G7050</f>
        <v>7947.0702</v>
      </c>
      <c r="H7051" s="30" t="n">
        <f aca="false">Sens!H7049-Sens!H7050</f>
        <v>10673.6053</v>
      </c>
      <c r="I7051" s="30" t="n">
        <f aca="false">Sens!I7049-Sens!I7050</f>
        <v>12605.5914196667</v>
      </c>
      <c r="J7051" s="30" t="n">
        <f aca="false">Sens!J7049-Sens!J7050</f>
        <v>13781.6682813933</v>
      </c>
      <c r="K7051" s="30" t="n">
        <f aca="false">Sens!K7049-Sens!K7050</f>
        <v>14217.7983298351</v>
      </c>
    </row>
    <row r="7052" customFormat="false" ht="17.15" hidden="false" customHeight="false" outlineLevel="0" collapsed="false">
      <c r="A7052" s="1" t="s">
        <v>955</v>
      </c>
      <c r="B7052" s="0" t="s">
        <v>456</v>
      </c>
      <c r="C7052" s="30" t="n">
        <f aca="false">Sens!C7051/ext_sh</f>
        <v>816.666666666667</v>
      </c>
      <c r="D7052" s="30" t="n">
        <f aca="false">Sens!D7051/ext_sh</f>
        <v>2050</v>
      </c>
      <c r="E7052" s="30" t="n">
        <f aca="false">Sens!E7051/ext_sh</f>
        <v>4500</v>
      </c>
      <c r="F7052" s="30" t="n">
        <f aca="false">Sens!F7051/ext_sh</f>
        <v>8700.89183333333</v>
      </c>
      <c r="G7052" s="30" t="n">
        <f aca="false">Sens!G7051/ext_sh</f>
        <v>13245.117</v>
      </c>
      <c r="H7052" s="30" t="n">
        <f aca="false">Sens!H7051/ext_sh</f>
        <v>17789.3421666667</v>
      </c>
      <c r="I7052" s="30" t="n">
        <f aca="false">Sens!I7051/ext_sh</f>
        <v>21009.3190327778</v>
      </c>
      <c r="J7052" s="30" t="n">
        <f aca="false">Sens!J7051/ext_sh</f>
        <v>22969.4471356556</v>
      </c>
      <c r="K7052" s="30" t="n">
        <f aca="false">Sens!K7051/ext_sh</f>
        <v>23696.3305497252</v>
      </c>
      <c r="L7052" s="1" t="s">
        <v>956</v>
      </c>
    </row>
    <row r="7053" customFormat="false" ht="17.15" hidden="false" customHeight="false" outlineLevel="0" collapsed="false">
      <c r="A7053" s="1" t="s">
        <v>957</v>
      </c>
      <c r="B7053" s="0" t="s">
        <v>456</v>
      </c>
      <c r="C7053" s="30" t="n">
        <f aca="false">Sens!C7052-Sens!C7051</f>
        <v>326.666666666667</v>
      </c>
      <c r="D7053" s="30" t="n">
        <f aca="false">Sens!D7052-Sens!D7051</f>
        <v>820</v>
      </c>
      <c r="E7053" s="30" t="n">
        <f aca="false">Sens!E7052-Sens!E7051</f>
        <v>1800</v>
      </c>
      <c r="F7053" s="30" t="n">
        <f aca="false">Sens!F7052-Sens!F7051</f>
        <v>3480.35673333333</v>
      </c>
      <c r="G7053" s="30" t="n">
        <f aca="false">Sens!G7052-Sens!G7051</f>
        <v>5298.0468</v>
      </c>
      <c r="H7053" s="30" t="n">
        <f aca="false">Sens!H7052-Sens!H7051</f>
        <v>7115.73686666667</v>
      </c>
      <c r="I7053" s="30" t="n">
        <f aca="false">Sens!I7052-Sens!I7051</f>
        <v>8403.72761311111</v>
      </c>
      <c r="J7053" s="30" t="n">
        <f aca="false">Sens!J7052-Sens!J7051</f>
        <v>9187.77885426222</v>
      </c>
      <c r="K7053" s="30" t="n">
        <f aca="false">Sens!K7052-Sens!K7051</f>
        <v>9478.53221989009</v>
      </c>
    </row>
    <row r="7054" customFormat="false" ht="17.15" hidden="false" customHeight="false" outlineLevel="0" collapsed="false">
      <c r="A7054" s="1" t="s">
        <v>958</v>
      </c>
      <c r="B7054" s="0" t="s">
        <v>456</v>
      </c>
      <c r="C7054" s="30" t="n">
        <f aca="false">Sens!C7052</f>
        <v>816.666666666667</v>
      </c>
      <c r="D7054" s="30" t="n">
        <f aca="false">Sens!D7052-Sens!C7052</f>
        <v>1233.33333333333</v>
      </c>
      <c r="E7054" s="30" t="n">
        <f aca="false">Sens!E7052-Sens!D7052</f>
        <v>2450</v>
      </c>
      <c r="F7054" s="30" t="n">
        <f aca="false">Sens!F7052-Sens!E7052</f>
        <v>4200.89183333333</v>
      </c>
      <c r="G7054" s="30" t="n">
        <f aca="false">Sens!G7052-Sens!F7052</f>
        <v>4544.22516666667</v>
      </c>
      <c r="H7054" s="30" t="n">
        <f aca="false">Sens!H7052-Sens!G7052</f>
        <v>4544.22516666667</v>
      </c>
      <c r="I7054" s="30" t="n">
        <f aca="false">Sens!I7052-Sens!H7052</f>
        <v>3219.97686611111</v>
      </c>
      <c r="J7054" s="30" t="n">
        <f aca="false">Sens!J7052-Sens!I7052</f>
        <v>1960.12810287778</v>
      </c>
      <c r="K7054" s="30" t="n">
        <f aca="false">Sens!K7052-Sens!J7052</f>
        <v>726.883414069667</v>
      </c>
    </row>
    <row r="7055" customFormat="false" ht="17.15" hidden="false" customHeight="false" outlineLevel="0" collapsed="false">
      <c r="A7055" s="1" t="s">
        <v>959</v>
      </c>
      <c r="B7055" s="0" t="s">
        <v>456</v>
      </c>
      <c r="D7055" s="30" t="n">
        <f aca="false">Sens!D7049-Sens!C7049</f>
        <v>990</v>
      </c>
      <c r="E7055" s="30" t="n">
        <f aca="false">Sens!E7049-Sens!D7049</f>
        <v>1620</v>
      </c>
      <c r="F7055" s="30" t="n">
        <f aca="false">Sens!F7049-Sens!E7049</f>
        <v>2726.5351</v>
      </c>
      <c r="G7055" s="30" t="n">
        <f aca="false">Sens!G7049-Sens!F7049</f>
        <v>2726.5351</v>
      </c>
      <c r="H7055" s="30" t="n">
        <f aca="false">Sens!H7049-Sens!G7049</f>
        <v>2726.5351</v>
      </c>
      <c r="I7055" s="30" t="n">
        <f aca="false">Sens!I7049-Sens!H7049</f>
        <v>1931.98611966667</v>
      </c>
      <c r="J7055" s="30" t="n">
        <f aca="false">Sens!J7049-Sens!I7049</f>
        <v>1176.07686172667</v>
      </c>
      <c r="K7055" s="30" t="n">
        <f aca="false">Sens!K7049-Sens!J7049</f>
        <v>436.130048441799</v>
      </c>
    </row>
    <row r="7056" customFormat="false" ht="17.15" hidden="false" customHeight="false" outlineLevel="0" collapsed="false">
      <c r="A7056" s="1" t="s">
        <v>960</v>
      </c>
      <c r="B7056" s="0" t="s">
        <v>456</v>
      </c>
      <c r="F7056" s="30" t="n">
        <f aca="false">Sens!F7075*ext_sh</f>
        <v>0</v>
      </c>
      <c r="G7056" s="30" t="n">
        <f aca="false">Sens!G7075*ext_sh</f>
        <v>0</v>
      </c>
      <c r="H7056" s="30" t="n">
        <f aca="false">Sens!H7075*ext_sh</f>
        <v>0</v>
      </c>
      <c r="I7056" s="30" t="n">
        <f aca="false">Sens!I7075*ext_sh</f>
        <v>490</v>
      </c>
      <c r="J7056" s="30" t="n">
        <f aca="false">Sens!J7075*ext_sh</f>
        <v>740</v>
      </c>
      <c r="K7056" s="30" t="n">
        <f aca="false">Sens!K7075*ext_sh</f>
        <v>1470</v>
      </c>
      <c r="L7056" s="1" t="s">
        <v>961</v>
      </c>
    </row>
    <row r="7057" customFormat="false" ht="17.15" hidden="false" customHeight="false" outlineLevel="0" collapsed="false">
      <c r="A7057" s="1" t="s">
        <v>962</v>
      </c>
      <c r="B7057" s="0" t="s">
        <v>456</v>
      </c>
      <c r="C7057" s="30" t="n">
        <f aca="false">mix_h*Sens!C7049</f>
        <v>128</v>
      </c>
      <c r="D7057" s="30" t="n">
        <f aca="false">mix_h*Sens!D7049</f>
        <v>326</v>
      </c>
      <c r="E7057" s="30" t="n">
        <f aca="false">mix_h*Sens!E7049</f>
        <v>650</v>
      </c>
      <c r="F7057" s="30" t="n">
        <f aca="false">Sens!E7057-Sens!F7056*mix_h</f>
        <v>650</v>
      </c>
      <c r="G7057" s="30" t="n">
        <f aca="false">Sens!F7057-Sens!G7056*mix_h</f>
        <v>650</v>
      </c>
      <c r="H7057" s="30" t="n">
        <f aca="false">Sens!G7057-Sens!H7056*mix_h</f>
        <v>650</v>
      </c>
      <c r="I7057" s="30" t="n">
        <f aca="false">Sens!H7057-Sens!I7056*mix_h</f>
        <v>552</v>
      </c>
      <c r="J7057" s="30" t="n">
        <f aca="false">Sens!I7057-Sens!J7056*mix_h</f>
        <v>404</v>
      </c>
      <c r="K7057" s="30" t="n">
        <f aca="false">Sens!J7057-Sens!K7056*mix_h</f>
        <v>110</v>
      </c>
    </row>
    <row r="7058" customFormat="false" ht="17.15" hidden="false" customHeight="false" outlineLevel="0" collapsed="false">
      <c r="A7058" s="1" t="s">
        <v>963</v>
      </c>
      <c r="B7058" s="0" t="s">
        <v>456</v>
      </c>
      <c r="C7058" s="30" t="n">
        <f aca="false">mix_g2*Sens!C7049</f>
        <v>288</v>
      </c>
      <c r="D7058" s="30" t="n">
        <f aca="false">mix_g2*Sens!D7049</f>
        <v>733.5</v>
      </c>
      <c r="E7058" s="30" t="n">
        <f aca="false">mix_g2*Sens!E7049</f>
        <v>1462.5</v>
      </c>
      <c r="F7058" s="30" t="n">
        <f aca="false">Sens!E7058-Sens!F7056*mix_g2</f>
        <v>1462.5</v>
      </c>
      <c r="G7058" s="30" t="n">
        <f aca="false">Sens!F7058-Sens!G7056*mix_g2</f>
        <v>1462.5</v>
      </c>
      <c r="H7058" s="30" t="n">
        <f aca="false">Sens!G7058-Sens!H7056*mix_g2</f>
        <v>1462.5</v>
      </c>
      <c r="I7058" s="30" t="n">
        <f aca="false">Sens!H7058-Sens!I7056*mix_g2</f>
        <v>1242</v>
      </c>
      <c r="J7058" s="30" t="n">
        <f aca="false">Sens!I7058-Sens!J7056*mix_g2</f>
        <v>909</v>
      </c>
      <c r="K7058" s="30" t="n">
        <f aca="false">Sens!J7058-Sens!K7056*mix_g2</f>
        <v>247.5</v>
      </c>
    </row>
    <row r="7059" customFormat="false" ht="17.15" hidden="false" customHeight="false" outlineLevel="0" collapsed="false">
      <c r="A7059" s="1" t="s">
        <v>964</v>
      </c>
      <c r="B7059" s="0" t="s">
        <v>456</v>
      </c>
      <c r="C7059" s="30" t="n">
        <f aca="false">mix_g3*Sens!C7049</f>
        <v>224</v>
      </c>
      <c r="D7059" s="30" t="n">
        <f aca="false">mix_g3*Sens!D7049</f>
        <v>570.5</v>
      </c>
      <c r="E7059" s="30" t="n">
        <f aca="false">mix_g3*Sens!E7049</f>
        <v>1137.5</v>
      </c>
      <c r="F7059" s="30" t="n">
        <f aca="false">Sens!E7059+(Sens!F7055+Sens!F7056)*(a_g3_27-nonnv*a_mai)-Sens!F7056*mix_g3</f>
        <v>2773.42106</v>
      </c>
      <c r="G7059" s="30" t="n">
        <f aca="false">Sens!F7059+(Sens!G7055+Sens!G7056)*(a_g3_28-nonnv*a_mai)-Sens!G7056*mix_g3</f>
        <v>3318.72808</v>
      </c>
      <c r="H7059" s="30" t="n">
        <f aca="false">Sens!G7059+(Sens!H7055+Sens!H7056)*(a_g3_29-nonnv*a_mai)-Sens!H7056*mix_g3</f>
        <v>3318.72808</v>
      </c>
      <c r="I7059" s="30" t="n">
        <f aca="false">Sens!H7059+(Sens!I7055+Sens!I7056)*(a_g3_29-nonnv*a_mai)-Sens!I7056*mix_g3</f>
        <v>3147.22808</v>
      </c>
      <c r="J7059" s="30" t="n">
        <f aca="false">Sens!I7059+(Sens!J7055+Sens!J7056)*(a_g3_29-nonnv*a_mai)-Sens!J7056*mix_g3</f>
        <v>2888.22808</v>
      </c>
      <c r="K7059" s="30" t="n">
        <f aca="false">Sens!J7059+(Sens!K7055+Sens!K7056)*(a_g3_29-nonnv*a_mai)-Sens!K7056*mix_g3</f>
        <v>2373.72808</v>
      </c>
    </row>
    <row r="7060" customFormat="false" ht="17.15" hidden="false" customHeight="false" outlineLevel="0" collapsed="false">
      <c r="A7060" s="1" t="s">
        <v>965</v>
      </c>
      <c r="B7060" s="0" t="s">
        <v>456</v>
      </c>
      <c r="C7060" s="30" t="n">
        <v>0</v>
      </c>
      <c r="D7060" s="30" t="n">
        <v>0</v>
      </c>
      <c r="E7060" s="30" t="n">
        <v>0</v>
      </c>
      <c r="F7060" s="30" t="n">
        <f aca="false">Sens!E7060+(Sens!F7055+Sens!F7056)*nonnv*a_mai</f>
        <v>272.65351</v>
      </c>
      <c r="G7060" s="30" t="n">
        <f aca="false">Sens!F7060+(Sens!G7055+Sens!G7056)*nonnv*a_mai</f>
        <v>545.30702</v>
      </c>
      <c r="H7060" s="30" t="n">
        <f aca="false">Sens!G7060+(Sens!H7055+Sens!H7056)*nonnv*a_mai</f>
        <v>817.96053</v>
      </c>
      <c r="I7060" s="30" t="n">
        <f aca="false">Sens!H7060+(Sens!I7055+Sens!I7056)*nonnv*a_mai</f>
        <v>1060.15914196667</v>
      </c>
      <c r="J7060" s="30" t="n">
        <f aca="false">Sens!I7060+(Sens!J7055+Sens!J7056)*nonnv*a_mai</f>
        <v>1251.76682813933</v>
      </c>
      <c r="K7060" s="30" t="n">
        <f aca="false">Sens!J7060+(Sens!K7055+Sens!K7056)*nonnv*a_mai</f>
        <v>1442.37983298351</v>
      </c>
      <c r="L7060" s="12" t="s">
        <v>966</v>
      </c>
    </row>
    <row r="7061" customFormat="false" ht="17.15" hidden="false" customHeight="false" outlineLevel="0" collapsed="false">
      <c r="A7061" s="1" t="s">
        <v>967</v>
      </c>
      <c r="B7061" s="0" t="s">
        <v>456</v>
      </c>
      <c r="C7061" s="30" t="n">
        <v>0</v>
      </c>
      <c r="D7061" s="30" t="n">
        <v>0</v>
      </c>
      <c r="E7061" s="30" t="n">
        <v>0</v>
      </c>
      <c r="F7061" s="30" t="n">
        <f aca="false">Sens!E7061+(Sens!F7055+Sens!F7056)*(1-a_g3_27)</f>
        <v>817.96053</v>
      </c>
      <c r="G7061" s="30" t="n">
        <f aca="false">Sens!F7061+(Sens!G7055+Sens!G7056)*(1-a_g3_28)</f>
        <v>2726.5351</v>
      </c>
      <c r="H7061" s="30" t="n">
        <f aca="false">Sens!G7061+(Sens!H7055+Sens!H7056)*(1-a_g3_29)</f>
        <v>5180.41669</v>
      </c>
      <c r="I7061" s="30" t="n">
        <f aca="false">Sens!H7061+(Sens!I7055+Sens!I7056)*(1-a_g3_29)</f>
        <v>7360.2041977</v>
      </c>
      <c r="J7061" s="30" t="n">
        <f aca="false">Sens!I7061+(Sens!J7055+Sens!J7056)*(1-a_g3_29)</f>
        <v>9084.673373254</v>
      </c>
      <c r="K7061" s="30" t="n">
        <f aca="false">Sens!J7061+(Sens!K7055+Sens!K7056)*(1-a_g3_29)</f>
        <v>10800.1904168516</v>
      </c>
    </row>
    <row r="7062" customFormat="false" ht="17.15" hidden="false" customHeight="false" outlineLevel="0" collapsed="false">
      <c r="A7062" s="1" t="s">
        <v>968</v>
      </c>
      <c r="B7062" s="0" t="s">
        <v>403</v>
      </c>
      <c r="C7062" s="15" t="n">
        <f aca="false">(Sens!C7057*tk_hold_h100+Sens!C7058*tk_hold_gb200+Sens!C7059*tk_hold_gb300+Sens!C7061*tk_hold_vr200+Sens!C7060*nv_hold_mai*tk_hold_vr200)/Sens!C7049</f>
        <v>9.7235358126469</v>
      </c>
      <c r="D7062" s="15" t="n">
        <f aca="false">(Sens!D7057*tk_hold_h100+Sens!D7058*tk_hold_gb200+Sens!D7059*tk_hold_gb300+Sens!D7061*tk_hold_vr200+Sens!D7060*nv_hold_mai*tk_hold_vr200)/Sens!D7049</f>
        <v>9.7235358126469</v>
      </c>
      <c r="E7062" s="15" t="n">
        <f aca="false">(Sens!E7057*tk_hold_h100+Sens!E7058*tk_hold_gb200+Sens!E7059*tk_hold_gb300+Sens!E7061*tk_hold_vr200+Sens!E7060*nv_hold_mai*tk_hold_vr200)/Sens!E7049</f>
        <v>9.7235358126469</v>
      </c>
      <c r="F7062" s="15" t="n">
        <f aca="false">(Sens!F7057*tk_hold_h100+Sens!F7058*tk_hold_gb200+Sens!F7059*tk_hold_gb300+Sens!F7061*tk_hold_vr200+Sens!F7060*nv_hold_mai*tk_hold_vr200)/Sens!F7049</f>
        <v>10.2195353876665</v>
      </c>
      <c r="G7062" s="15" t="n">
        <f aca="false">(Sens!G7057*tk_hold_h100+Sens!G7058*tk_hold_gb200+Sens!G7059*tk_hold_gb300+Sens!G7061*tk_hold_vr200+Sens!G7060*nv_hold_mai*tk_hold_vr200)/Sens!G7049</f>
        <v>10.5725598017306</v>
      </c>
      <c r="H7062" s="15" t="n">
        <f aca="false">(Sens!H7057*tk_hold_h100+Sens!H7058*tk_hold_gb200+Sens!H7059*tk_hold_gb300+Sens!H7061*tk_hold_vr200+Sens!H7060*nv_hold_mai*tk_hold_vr200)/Sens!H7049</f>
        <v>10.8210427149036</v>
      </c>
      <c r="I7062" s="15" t="n">
        <f aca="false">(Sens!I7057*tk_hold_h100+Sens!I7058*tk_hold_gb200+Sens!I7059*tk_hold_gb300+Sens!I7061*tk_hold_vr200+Sens!I7060*nv_hold_mai*tk_hold_vr200)/Sens!I7049</f>
        <v>11.0050618241982</v>
      </c>
      <c r="J7062" s="15" t="n">
        <f aca="false">(Sens!J7057*tk_hold_h100+Sens!J7058*tk_hold_gb200+Sens!J7059*tk_hold_gb300+Sens!J7061*tk_hold_vr200+Sens!J7060*nv_hold_mai*tk_hold_vr200)/Sens!J7049</f>
        <v>11.1505789658881</v>
      </c>
      <c r="K7062" s="15" t="n">
        <f aca="false">(Sens!K7057*tk_hold_h100+Sens!K7058*tk_hold_gb200+Sens!K7059*tk_hold_gb300+Sens!K7061*tk_hold_vr200+Sens!K7060*nv_hold_mai*tk_hold_vr200)/Sens!K7049</f>
        <v>11.3496914757183</v>
      </c>
      <c r="L7062" s="1" t="s">
        <v>969</v>
      </c>
    </row>
    <row r="7063" customFormat="false" ht="17.15" hidden="false" customHeight="false" outlineLevel="0" collapsed="false">
      <c r="A7063" s="1" t="s">
        <v>970</v>
      </c>
      <c r="B7063" s="0" t="s">
        <v>403</v>
      </c>
      <c r="C7063" s="15" t="n">
        <f aca="false">(Sens!C7057*tk_hold_h100+Sens!C7058*tk_hold_gb200+Sens!C7059*tk_hold_gb300+Sens!C7061*tk_hold_vr200+Sens!C7060*nv_out_mai*tk_hold_vr200)/Sens!C7049</f>
        <v>9.7235358126469</v>
      </c>
      <c r="D7063" s="15" t="n">
        <f aca="false">(Sens!D7057*tk_hold_h100+Sens!D7058*tk_hold_gb200+Sens!D7059*tk_hold_gb300+Sens!D7061*tk_hold_vr200+Sens!D7060*nv_out_mai*tk_hold_vr200)/Sens!D7049</f>
        <v>9.7235358126469</v>
      </c>
      <c r="E7063" s="15" t="n">
        <f aca="false">(Sens!E7057*tk_hold_h100+Sens!E7058*tk_hold_gb200+Sens!E7059*tk_hold_gb300+Sens!E7061*tk_hold_vr200+Sens!E7060*nv_out_mai*tk_hold_vr200)/Sens!E7049</f>
        <v>9.7235358126469</v>
      </c>
      <c r="F7063" s="15" t="n">
        <f aca="false">(Sens!F7057*tk_hold_h100+Sens!F7058*tk_hold_gb200+Sens!F7059*tk_hold_gb300+Sens!F7061*tk_hold_vr200+Sens!F7060*nv_out_mai*tk_hold_vr200)/Sens!F7049</f>
        <v>10.247422093969</v>
      </c>
      <c r="G7063" s="15" t="n">
        <f aca="false">(Sens!G7057*tk_hold_h100+Sens!G7058*tk_hold_gb200+Sens!G7059*tk_hold_gb300+Sens!G7061*tk_hold_vr200+Sens!G7060*nv_out_mai*tk_hold_vr200)/Sens!G7049</f>
        <v>10.6108602808053</v>
      </c>
      <c r="H7063" s="15" t="n">
        <f aca="false">(Sens!H7057*tk_hold_h100+Sens!H7058*tk_hold_gb200+Sens!H7059*tk_hold_gb300+Sens!H7061*tk_hold_vr200+Sens!H7060*nv_out_mai*tk_hold_vr200)/Sens!H7049</f>
        <v>10.8647885507393</v>
      </c>
      <c r="I7063" s="15" t="n">
        <f aca="false">(Sens!I7057*tk_hold_h100+Sens!I7058*tk_hold_gb200+Sens!I7059*tk_hold_gb300+Sens!I7061*tk_hold_vr200+Sens!I7060*nv_out_mai*tk_hold_vr200)/Sens!I7049</f>
        <v>11.0535625770025</v>
      </c>
      <c r="J7063" s="15" t="n">
        <f aca="false">(Sens!J7057*tk_hold_h100+Sens!J7058*tk_hold_gb200+Sens!J7059*tk_hold_gb300+Sens!J7061*tk_hold_vr200+Sens!J7060*nv_out_mai*tk_hold_vr200)/Sens!J7049</f>
        <v>11.2032127128058</v>
      </c>
      <c r="K7063" s="15" t="n">
        <f aca="false">(Sens!K7057*tk_hold_h100+Sens!K7058*tk_hold_gb200+Sens!K7059*tk_hold_gb300+Sens!K7061*tk_hold_vr200+Sens!K7060*nv_out_mai*tk_hold_vr200)/Sens!K7049</f>
        <v>11.4085735724225</v>
      </c>
      <c r="L7063" s="12" t="s">
        <v>971</v>
      </c>
    </row>
    <row r="7064" customFormat="false" ht="17.15" hidden="false" customHeight="false" outlineLevel="0" collapsed="false">
      <c r="A7064" s="0" t="s">
        <v>972</v>
      </c>
      <c r="B7064" s="0" t="s">
        <v>229</v>
      </c>
      <c r="C7064" s="15" t="n">
        <f aca="false">k_B</f>
        <v>1.17213932619116</v>
      </c>
      <c r="D7064" s="15" t="n">
        <f aca="false">k_B</f>
        <v>1.17213932619116</v>
      </c>
      <c r="E7064" s="15" t="n">
        <f aca="false">k_B</f>
        <v>1.17213932619116</v>
      </c>
      <c r="F7064" s="15" t="n">
        <f aca="false">(k_B+((ls_C*k_long+(1-ls_C)*k_spot)-k_B)*MIN(1,(Sens!F7047-base_fy)/k_ramp))</f>
        <v>1.07843258004497</v>
      </c>
      <c r="G7064" s="15" t="n">
        <f aca="false">(k_B+((ls_C*k_long+(1-ls_C)*k_spot)-k_B)*MIN(1,(Sens!G7047-base_fy)/k_ramp))</f>
        <v>0.984725833898784</v>
      </c>
      <c r="H7064" s="15" t="n">
        <f aca="false">(k_B+((ls_C*k_long+(1-ls_C)*k_spot)-k_B)*MIN(1,(Sens!H7047-base_fy)/k_ramp))</f>
        <v>0.891019087752599</v>
      </c>
      <c r="I7064" s="15" t="n">
        <f aca="false">(k_B+((ls_C*k_long+(1-ls_C)*k_spot)-k_B)*MIN(1,(Sens!I7047-base_fy)/k_ramp))</f>
        <v>0.891019087752599</v>
      </c>
      <c r="J7064" s="15" t="n">
        <f aca="false">(k_B+((ls_C*k_long+(1-ls_C)*k_spot)-k_B)*MIN(1,(Sens!J7047-base_fy)/k_ramp))</f>
        <v>0.891019087752599</v>
      </c>
      <c r="K7064" s="15" t="n">
        <f aca="false">(k_B+((ls_C*k_long+(1-ls_C)*k_spot)-k_B)*MIN(1,(Sens!K7047-base_fy)/k_ramp))</f>
        <v>0.891019087752599</v>
      </c>
      <c r="L7064" s="1" t="s">
        <v>973</v>
      </c>
    </row>
    <row r="7065" customFormat="false" ht="17.15" hidden="false" customHeight="false" outlineLevel="0" collapsed="false">
      <c r="A7065" s="1" t="s">
        <v>974</v>
      </c>
      <c r="B7065" s="0" t="s">
        <v>403</v>
      </c>
      <c r="C7065" s="15" t="n">
        <f aca="false">Sens!C7063*Sens!C7064*chip_f</f>
        <v>11.3973387156315</v>
      </c>
      <c r="D7065" s="15" t="n">
        <f aca="false">Sens!D7063*Sens!D7064*chip_f</f>
        <v>11.3973387156315</v>
      </c>
      <c r="E7065" s="15" t="n">
        <f aca="false">Sens!E7063*Sens!E7064*chip_f</f>
        <v>11.3973387156315</v>
      </c>
      <c r="F7065" s="15" t="n">
        <f aca="false">Sens!F7063*Sens!F7064*chip_f</f>
        <v>11.0511538476088</v>
      </c>
      <c r="G7065" s="15" t="n">
        <f aca="false">Sens!G7063*Sens!G7064*chip_f</f>
        <v>10.4487882383995</v>
      </c>
      <c r="H7065" s="15" t="n">
        <f aca="false">Sens!H7063*Sens!H7064*chip_f</f>
        <v>9.68073398310464</v>
      </c>
      <c r="I7065" s="15" t="n">
        <f aca="false">Sens!I7063*Sens!I7064*chip_f</f>
        <v>9.84893524377706</v>
      </c>
      <c r="J7065" s="15" t="n">
        <f aca="false">Sens!J7063*Sens!J7064*chip_f</f>
        <v>9.98227637126252</v>
      </c>
      <c r="K7065" s="15" t="n">
        <f aca="false">Sens!K7063*Sens!K7064*chip_f</f>
        <v>10.1652568170583</v>
      </c>
      <c r="L7065" s="1" t="s">
        <v>975</v>
      </c>
    </row>
    <row r="7066" customFormat="false" ht="17.15" hidden="false" customHeight="false" outlineLevel="0" collapsed="false">
      <c r="A7066" s="0" t="s">
        <v>976</v>
      </c>
      <c r="B7066" s="0" t="s">
        <v>98</v>
      </c>
      <c r="D7066" s="6" t="n">
        <f aca="false">(Sens!C7049+Sens!D7049)/2*Sens!D7065/1000</f>
        <v>12.9359794422418</v>
      </c>
      <c r="E7066" s="6" t="n">
        <f aca="false">(Sens!D7049+Sens!E7049)/2*Sens!E7065/1000</f>
        <v>27.8095064661409</v>
      </c>
      <c r="F7066" s="6" t="n">
        <f aca="false">(Sens!E7049+Sens!F7049)/2*Sens!F7065/1000</f>
        <v>50.9819294352312</v>
      </c>
      <c r="G7066" s="6" t="n">
        <f aca="false">(Sens!F7049+Sens!G7049)/2*Sens!G7065/1000</f>
        <v>76.6920436014933</v>
      </c>
      <c r="H7066" s="6" t="n">
        <f aca="false">(Sens!G7049+Sens!H7049)/2*Sens!H7065/1000</f>
        <v>97.4495379418341</v>
      </c>
      <c r="I7066" s="6" t="n">
        <f aca="false">(Sens!H7049+Sens!I7049)/2*Sens!I7065/1000</f>
        <v>122.083445553868</v>
      </c>
      <c r="J7066" s="6" t="n">
        <f aca="false">(Sens!I7049+Sens!J7049)/2*Sens!J7065/1000</f>
        <v>139.249060444804</v>
      </c>
      <c r="K7066" s="6" t="n">
        <f aca="false">(Sens!J7049+Sens!K7049)/2*Sens!K7065/1000</f>
        <v>149.995818575589</v>
      </c>
      <c r="L7066" s="12" t="s">
        <v>977</v>
      </c>
    </row>
    <row r="7067" customFormat="false" ht="17.15" hidden="false" customHeight="false" outlineLevel="0" collapsed="false">
      <c r="A7067" s="1" t="s">
        <v>978</v>
      </c>
      <c r="B7067" s="0" t="s">
        <v>403</v>
      </c>
      <c r="C7067" s="15" t="n">
        <f aca="false">(Sens!C7057*tk_opex_h100+Sens!C7058*tk_opex_gb200+Sens!C7059*tk_opex_gb300+(Sens!C7061+Sens!C7060)*tk_opex_vr200)/Sens!C7049</f>
        <v>1.88636041306092</v>
      </c>
      <c r="D7067" s="15" t="n">
        <f aca="false">(Sens!D7057*tk_opex_h100+Sens!D7058*tk_opex_gb200+Sens!D7059*tk_opex_gb300+(Sens!D7061+Sens!D7060)*tk_opex_vr200)/Sens!D7049</f>
        <v>1.88636041306092</v>
      </c>
      <c r="E7067" s="15" t="n">
        <f aca="false">(Sens!E7057*tk_opex_h100+Sens!E7058*tk_opex_gb200+Sens!E7059*tk_opex_gb300+(Sens!E7061+Sens!E7060)*tk_opex_vr200)/Sens!E7049</f>
        <v>1.88636041306092</v>
      </c>
      <c r="F7067" s="15" t="n">
        <f aca="false">(Sens!F7057*tk_opex_h100+Sens!F7058*tk_opex_gb200+Sens!F7059*tk_opex_gb300+(Sens!F7061+Sens!F7060)*tk_opex_vr200)/Sens!F7049</f>
        <v>1.95051159746876</v>
      </c>
      <c r="G7067" s="15" t="n">
        <f aca="false">(Sens!G7057*tk_opex_h100+Sens!G7058*tk_opex_gb200+Sens!G7059*tk_opex_gb300+(Sens!G7061+Sens!G7060)*tk_opex_vr200)/Sens!G7049</f>
        <v>1.98836003669956</v>
      </c>
      <c r="H7067" s="15" t="n">
        <f aca="false">(Sens!H7057*tk_opex_h100+Sens!H7058*tk_opex_gb200+Sens!H7059*tk_opex_gb300+(Sens!H7061+Sens!H7060)*tk_opex_vr200)/Sens!H7049</f>
        <v>2.01344013834343</v>
      </c>
      <c r="I7067" s="15" t="n">
        <f aca="false">(Sens!I7057*tk_opex_h100+Sens!I7058*tk_opex_gb200+Sens!I7059*tk_opex_gb300+(Sens!I7061+Sens!I7060)*tk_opex_vr200)/Sens!I7049</f>
        <v>2.03261166882178</v>
      </c>
      <c r="J7067" s="15" t="n">
        <f aca="false">(Sens!J7057*tk_opex_h100+Sens!J7058*tk_opex_gb200+Sens!J7059*tk_opex_gb300+(Sens!J7061+Sens!J7060)*tk_opex_vr200)/Sens!J7049</f>
        <v>2.04808073288745</v>
      </c>
      <c r="K7067" s="15" t="n">
        <f aca="false">(Sens!K7057*tk_opex_h100+Sens!K7058*tk_opex_gb200+Sens!K7059*tk_opex_gb300+(Sens!K7061+Sens!K7060)*tk_opex_vr200)/Sens!K7049</f>
        <v>2.06973825807449</v>
      </c>
      <c r="L7067" s="12" t="s">
        <v>979</v>
      </c>
    </row>
    <row r="7068" customFormat="false" ht="17.15" hidden="false" customHeight="false" outlineLevel="0" collapsed="false">
      <c r="A7068" s="0" t="s">
        <v>980</v>
      </c>
      <c r="B7068" s="0" t="s">
        <v>98</v>
      </c>
      <c r="D7068" s="6" t="n">
        <f aca="false">(Sens!C7052+Sens!D7052)/2*Sens!D7067/1000</f>
        <v>2.70378325872065</v>
      </c>
      <c r="E7068" s="6" t="n">
        <f aca="false">(Sens!D7052+Sens!E7052)/2*Sens!E7067/1000</f>
        <v>6.17783035277451</v>
      </c>
      <c r="F7068" s="6" t="n">
        <f aca="false">(Sens!E7052+Sens!F7052)/2*Sens!F7067/1000</f>
        <v>12.8742463089237</v>
      </c>
      <c r="G7068" s="6" t="n">
        <f aca="false">(Sens!F7052+Sens!G7052)/2*Sens!G7067/1000</f>
        <v>21.8182834646277</v>
      </c>
      <c r="H7068" s="6" t="n">
        <f aca="false">(Sens!G7052+Sens!H7052)/2*Sens!H7067/1000</f>
        <v>31.2430128789734</v>
      </c>
      <c r="I7068" s="6" t="n">
        <f aca="false">(Sens!H7052+Sens!I7052)/2*Sens!I7067/1000</f>
        <v>39.4313057443268</v>
      </c>
      <c r="J7068" s="6" t="n">
        <f aca="false">(Sens!I7052+Sens!J7052)/2*Sens!J7067/1000</f>
        <v>45.0360318228653</v>
      </c>
      <c r="K7068" s="6" t="n">
        <f aca="false">(Sens!J7052+Sens!K7052)/2*Sens!K7067/1000</f>
        <v>48.2929727091156</v>
      </c>
    </row>
    <row r="7069" customFormat="false" ht="17.15" hidden="false" customHeight="false" outlineLevel="0" collapsed="false">
      <c r="A7069" s="0" t="s">
        <v>981</v>
      </c>
      <c r="B7069" s="0" t="s">
        <v>98</v>
      </c>
      <c r="D7069" s="6" t="n">
        <f aca="false">(Sens!C7050+Sens!D7050)/2*rent_mw/1000</f>
        <v>2.44475</v>
      </c>
      <c r="E7069" s="6" t="n">
        <f aca="false">(Sens!D7050+Sens!E7050)/2*rent_mw/1000</f>
        <v>4.22275</v>
      </c>
      <c r="F7069" s="6" t="n">
        <f aca="false">(Sens!E7050+Sens!F7050)/2*rent_mw/1000</f>
        <v>5.80517</v>
      </c>
      <c r="G7069" s="6" t="n">
        <f aca="false">(Sens!F7050+Sens!G7050)/2*rent_mw/1000</f>
        <v>6.72084</v>
      </c>
      <c r="H7069" s="6" t="n">
        <f aca="false">(Sens!G7050+Sens!H7050)/2*rent_mw/1000</f>
        <v>6.72084</v>
      </c>
      <c r="I7069" s="6" t="n">
        <f aca="false">(Sens!H7050+Sens!I7050)/2*rent_mw/1000</f>
        <v>6.72084</v>
      </c>
      <c r="J7069" s="6" t="n">
        <f aca="false">(Sens!I7050+Sens!J7050)/2*rent_mw/1000</f>
        <v>6.72084</v>
      </c>
      <c r="K7069" s="6" t="n">
        <f aca="false">(Sens!J7050+Sens!K7050)/2*rent_mw/1000</f>
        <v>6.72084</v>
      </c>
    </row>
    <row r="7070" customFormat="false" ht="17.15" hidden="false" customHeight="false" outlineLevel="0" collapsed="false">
      <c r="A7070" s="0" t="s">
        <v>982</v>
      </c>
      <c r="B7070" s="0" t="s">
        <v>98</v>
      </c>
      <c r="D7070" s="6" t="n">
        <f aca="false">(Sens!C7052+Sens!D7052)/2*(1-self_build)*fac_rent/1000</f>
        <v>0.853242375631075</v>
      </c>
      <c r="E7070" s="6" t="n">
        <f aca="false">(Sens!D7052+Sens!E7052)/2*(1-self_build)*fac_rent/1000</f>
        <v>1.94955961408728</v>
      </c>
      <c r="F7070" s="6" t="n">
        <f aca="false">(Sens!E7052+Sens!F7052)/2*(1-self_build)*fac_rent/1000</f>
        <v>3.92914894476356</v>
      </c>
      <c r="G7070" s="6" t="n">
        <f aca="false">(Sens!F7052+Sens!G7052)/2*(1-self_build)*fac_rent/1000</f>
        <v>6.53206908578159</v>
      </c>
      <c r="H7070" s="6" t="n">
        <f aca="false">(Sens!G7052+Sens!H7052)/2*(1-self_build)*fac_rent/1000</f>
        <v>9.23717988341591</v>
      </c>
      <c r="I7070" s="6" t="n">
        <f aca="false">(Sens!H7052+Sens!I7052)/2*(1-self_build)*fac_rent/1000</f>
        <v>11.5481378557393</v>
      </c>
      <c r="J7070" s="6" t="n">
        <f aca="false">(Sens!I7052+Sens!J7052)/2*(1-self_build)*fac_rent/1000</f>
        <v>13.0899582289108</v>
      </c>
      <c r="K7070" s="6" t="n">
        <f aca="false">(Sens!J7052+Sens!K7052)/2*(1-self_build)*fac_rent/1000</f>
        <v>13.8897275626556</v>
      </c>
      <c r="L7070" s="12" t="s">
        <v>983</v>
      </c>
    </row>
    <row r="7071" customFormat="false" ht="17.15" hidden="false" customHeight="false" outlineLevel="0" collapsed="false">
      <c r="A7071" s="1" t="s">
        <v>984</v>
      </c>
      <c r="B7071" s="0" t="s">
        <v>168</v>
      </c>
      <c r="D7071" s="7" t="n">
        <f aca="false">(Sens!C7051+Sens!D7051)/(Sens!C7052+Sens!D7052)</f>
        <v>0.6</v>
      </c>
      <c r="E7071" s="7" t="n">
        <f aca="false">(Sens!D7051+Sens!E7051)/(Sens!D7052+Sens!E7052)</f>
        <v>0.6</v>
      </c>
      <c r="F7071" s="7" t="n">
        <f aca="false">(Sens!E7051+Sens!F7051)/(Sens!E7052+Sens!F7052)</f>
        <v>0.6</v>
      </c>
      <c r="G7071" s="7" t="n">
        <f aca="false">(Sens!F7051+Sens!G7051)/(Sens!F7052+Sens!G7052)</f>
        <v>0.6</v>
      </c>
      <c r="H7071" s="7" t="n">
        <f aca="false">(Sens!G7051+Sens!H7051)/(Sens!G7052+Sens!H7052)</f>
        <v>0.6</v>
      </c>
      <c r="I7071" s="7" t="n">
        <f aca="false">(Sens!H7051+Sens!I7051)/(Sens!H7052+Sens!I7052)</f>
        <v>0.6</v>
      </c>
      <c r="J7071" s="7" t="n">
        <f aca="false">(Sens!I7051+Sens!J7051)/(Sens!I7052+Sens!J7052)</f>
        <v>0.6</v>
      </c>
      <c r="K7071" s="7" t="n">
        <f aca="false">(Sens!J7051+Sens!K7051)/(Sens!J7052+Sens!K7052)</f>
        <v>0.6</v>
      </c>
    </row>
    <row r="7072" customFormat="false" ht="17.15" hidden="false" customHeight="false" outlineLevel="0" collapsed="false">
      <c r="A7072" s="0" t="s">
        <v>985</v>
      </c>
      <c r="B7072" s="0" t="s">
        <v>98</v>
      </c>
      <c r="D7072" s="6" t="n">
        <f aca="false">Sens!D7066-Sens!D7071*(Sens!D7068+Sens!D7070)-Sens!D7069</f>
        <v>8.35701406163072</v>
      </c>
      <c r="E7072" s="6" t="n">
        <f aca="false">Sens!E7066-Sens!E7071*(Sens!E7068+Sens!E7070)-Sens!E7069</f>
        <v>18.7103224860238</v>
      </c>
      <c r="F7072" s="6" t="n">
        <f aca="false">Sens!F7066-Sens!F7071*(Sens!F7068+Sens!F7070)-Sens!F7069</f>
        <v>35.0947222830189</v>
      </c>
      <c r="G7072" s="6" t="n">
        <f aca="false">Sens!G7066-Sens!G7071*(Sens!G7068+Sens!G7070)-Sens!G7069</f>
        <v>52.9609920712477</v>
      </c>
      <c r="H7072" s="6" t="n">
        <f aca="false">Sens!H7066-Sens!H7071*(Sens!H7068+Sens!H7070)-Sens!H7069</f>
        <v>66.4405822844005</v>
      </c>
      <c r="I7072" s="6" t="n">
        <f aca="false">Sens!I7066-Sens!I7071*(Sens!I7068+Sens!I7070)-Sens!I7069</f>
        <v>84.7749393938279</v>
      </c>
      <c r="J7072" s="6" t="n">
        <f aca="false">Sens!J7066-Sens!J7071*(Sens!J7068+Sens!J7070)-Sens!J7069</f>
        <v>97.6526264137382</v>
      </c>
      <c r="K7072" s="6" t="n">
        <f aca="false">Sens!K7066-Sens!K7071*(Sens!K7068+Sens!K7070)-Sens!K7069</f>
        <v>105.965358412527</v>
      </c>
    </row>
    <row r="7073" customFormat="false" ht="17.15" hidden="false" customHeight="false" outlineLevel="0" collapsed="false">
      <c r="A7073" s="1" t="s">
        <v>986</v>
      </c>
      <c r="B7073" s="0" t="s">
        <v>98</v>
      </c>
      <c r="D7073" s="6" t="n">
        <f aca="false">(1-Sens!D7071)*(Sens!D7068+Sens!D7070)</f>
        <v>1.42281025374069</v>
      </c>
      <c r="E7073" s="6" t="n">
        <f aca="false">(1-Sens!E7071)*(Sens!E7068+Sens!E7070)</f>
        <v>3.25095598674472</v>
      </c>
      <c r="F7073" s="6" t="n">
        <f aca="false">(1-Sens!F7071)*(Sens!F7068+Sens!F7070)</f>
        <v>6.72135810147489</v>
      </c>
      <c r="G7073" s="6" t="n">
        <f aca="false">(1-Sens!G7071)*(Sens!G7068+Sens!G7070)</f>
        <v>11.3401410201637</v>
      </c>
      <c r="H7073" s="6" t="n">
        <f aca="false">(1-Sens!H7071)*(Sens!H7068+Sens!H7070)</f>
        <v>16.1920771049557</v>
      </c>
      <c r="I7073" s="6" t="n">
        <f aca="false">(1-Sens!I7071)*(Sens!I7068+Sens!I7070)</f>
        <v>20.3917774400264</v>
      </c>
      <c r="J7073" s="6" t="n">
        <f aca="false">(1-Sens!J7071)*(Sens!J7068+Sens!J7070)</f>
        <v>23.2503960207104</v>
      </c>
      <c r="K7073" s="6" t="n">
        <f aca="false">(1-Sens!K7071)*(Sens!K7068+Sens!K7070)</f>
        <v>24.8730801087085</v>
      </c>
    </row>
    <row r="7074" customFormat="false" ht="17.15" hidden="false" customHeight="false" outlineLevel="0" collapsed="false">
      <c r="A7074" s="1" t="s">
        <v>987</v>
      </c>
      <c r="B7074" s="0" t="s">
        <v>414</v>
      </c>
      <c r="C7074" s="8" t="n">
        <f aca="false">cxit_open</f>
        <v>27.5918995</v>
      </c>
      <c r="D7074" s="8" t="n">
        <f aca="false">cxit_open</f>
        <v>27.5918995</v>
      </c>
      <c r="E7074" s="8" t="n">
        <f aca="false">cxit_open</f>
        <v>27.5918995</v>
      </c>
      <c r="F7074" s="8" t="n">
        <f aca="false">((a_g3_27-nonnv*a_mai)*tk_cxit_gb300+nonnv*a_mai*nv_hold_mai*tk_cxit_vr200+(1-a_g3_27)*tk_cxit_vr200)</f>
        <v>32.4975576</v>
      </c>
      <c r="G7074" s="8" t="n">
        <f aca="false">((a_g3_28-nonnv*a_mai)*tk_cxit_gb300+nonnv*a_mai*nv_hold_mai*tk_cxit_vr200+(1-a_g3_28)*tk_cxit_vr200)</f>
        <v>34.6372088</v>
      </c>
      <c r="H7074" s="8" t="n">
        <f aca="false">((a_g3_29-nonnv*a_mai)*tk_cxit_gb300+nonnv*a_mai*nv_hold_mai*tk_cxit_vr200+(1-a_g3_29)*tk_cxit_vr200)</f>
        <v>35.7070344</v>
      </c>
      <c r="I7074" s="8" t="n">
        <f aca="false">((a_g3_29-nonnv*a_mai)*tk_cxit_gb300+nonnv*a_mai*nv_hold_mai*tk_cxit_vr200+(1-a_g3_29)*tk_cxit_vr200)</f>
        <v>35.7070344</v>
      </c>
      <c r="J7074" s="8" t="n">
        <f aca="false">((a_g3_29-nonnv*a_mai)*tk_cxit_gb300+nonnv*a_mai*nv_hold_mai*tk_cxit_vr200+(1-a_g3_29)*tk_cxit_vr200)</f>
        <v>35.7070344</v>
      </c>
      <c r="K7074" s="8" t="n">
        <f aca="false">((a_g3_29-nonnv*a_mai)*tk_cxit_gb300+nonnv*a_mai*nv_hold_mai*tk_cxit_vr200+(1-a_g3_29)*tk_cxit_vr200)</f>
        <v>35.7070344</v>
      </c>
      <c r="L7074" s="12" t="s">
        <v>988</v>
      </c>
    </row>
    <row r="7075" customFormat="false" ht="17.15" hidden="false" customHeight="false" outlineLevel="0" collapsed="false">
      <c r="A7075" s="0" t="s">
        <v>989</v>
      </c>
      <c r="B7075" s="0" t="s">
        <v>456</v>
      </c>
      <c r="F7075" s="30" t="n">
        <f aca="false">Sens!C7054*IF(Sens!F7047-Sens!C7047=life_it,1,0)+Sens!D7054*IF(Sens!F7047-Sens!D7047=life_it,1,0)+Sens!E7054*IF(Sens!F7047-Sens!E7047=life_it,1,0)</f>
        <v>0</v>
      </c>
      <c r="G7075" s="30" t="n">
        <f aca="false">Sens!C7054*IF(Sens!G7047-Sens!C7047=life_it,1,0)+Sens!D7054*IF(Sens!G7047-Sens!D7047=life_it,1,0)+Sens!E7054*IF(Sens!G7047-Sens!E7047=life_it,1,0)+Sens!F7054*IF(Sens!G7047-Sens!F7047=life_it,1,0)</f>
        <v>0</v>
      </c>
      <c r="H7075" s="30" t="n">
        <f aca="false">Sens!C7054*IF(Sens!H7047-Sens!C7047=life_it,1,0)+Sens!D7054*IF(Sens!H7047-Sens!D7047=life_it,1,0)+Sens!E7054*IF(Sens!H7047-Sens!E7047=life_it,1,0)+Sens!F7054*IF(Sens!H7047-Sens!F7047=life_it,1,0)+Sens!G7054*IF(Sens!H7047-Sens!G7047=life_it,1,0)</f>
        <v>0</v>
      </c>
      <c r="I7075" s="30" t="n">
        <f aca="false">Sens!C7054*IF(Sens!I7047-Sens!C7047=life_it,1,0)+Sens!D7054*IF(Sens!I7047-Sens!D7047=life_it,1,0)+Sens!E7054*IF(Sens!I7047-Sens!E7047=life_it,1,0)+Sens!F7054*IF(Sens!I7047-Sens!F7047=life_it,1,0)+Sens!G7054*IF(Sens!I7047-Sens!G7047=life_it,1,0)+Sens!H7054*IF(Sens!I7047-Sens!H7047=life_it,1,0)</f>
        <v>816.666666666667</v>
      </c>
      <c r="J7075" s="30" t="n">
        <f aca="false">Sens!C7054*IF(Sens!J7047-Sens!C7047=life_it,1,0)+Sens!D7054*IF(Sens!J7047-Sens!D7047=life_it,1,0)+Sens!E7054*IF(Sens!J7047-Sens!E7047=life_it,1,0)+Sens!F7054*IF(Sens!J7047-Sens!F7047=life_it,1,0)+Sens!G7054*IF(Sens!J7047-Sens!G7047=life_it,1,0)+Sens!H7054*IF(Sens!J7047-Sens!H7047=life_it,1,0)+Sens!I7054*IF(Sens!J7047-Sens!I7047=life_it,1,0)</f>
        <v>1233.33333333333</v>
      </c>
      <c r="K7075" s="30" t="n">
        <f aca="false">Sens!C7054*IF(Sens!K7047-Sens!C7047=life_it,1,0)+Sens!D7054*IF(Sens!K7047-Sens!D7047=life_it,1,0)+Sens!E7054*IF(Sens!K7047-Sens!E7047=life_it,1,0)+Sens!F7054*IF(Sens!K7047-Sens!F7047=life_it,1,0)+Sens!G7054*IF(Sens!K7047-Sens!G7047=life_it,1,0)+Sens!H7054*IF(Sens!K7047-Sens!H7047=life_it,1,0)+Sens!I7054*IF(Sens!K7047-Sens!I7047=life_it,1,0)+Sens!J7054*IF(Sens!K7047-Sens!J7047=life_it,1,0)</f>
        <v>2450</v>
      </c>
      <c r="L7075" s="1" t="s">
        <v>990</v>
      </c>
    </row>
    <row r="7076" customFormat="false" ht="17.15" hidden="false" customHeight="false" outlineLevel="0" collapsed="false">
      <c r="A7076" s="0" t="s">
        <v>991</v>
      </c>
      <c r="B7076" s="0" t="s">
        <v>98</v>
      </c>
      <c r="C7076" s="6" t="n">
        <f aca="false">Sens!C7054*Sens!C7074/1000</f>
        <v>22.5333845916667</v>
      </c>
      <c r="D7076" s="6" t="n">
        <f aca="false">Sens!D7054*Sens!D7074/1000</f>
        <v>34.0300093833333</v>
      </c>
      <c r="E7076" s="6" t="n">
        <f aca="false">Sens!E7054*Sens!E7074/1000</f>
        <v>67.600153775</v>
      </c>
      <c r="F7076" s="6" t="n">
        <f aca="false">(Sens!F7054+Sens!F7075)*Sens!F7074/1000</f>
        <v>136.51872432512</v>
      </c>
      <c r="G7076" s="6" t="n">
        <f aca="false">(Sens!G7054+Sens!G7075)*Sens!G7074/1000</f>
        <v>157.399275932048</v>
      </c>
      <c r="H7076" s="6" t="n">
        <f aca="false">(Sens!H7054+Sens!H7075)*Sens!H7074/1000</f>
        <v>162.260804347512</v>
      </c>
      <c r="I7076" s="6" t="n">
        <f aca="false">(Sens!I7054+Sens!I7075)*Sens!I7074/1000</f>
        <v>144.136569485434</v>
      </c>
      <c r="J7076" s="6" t="n">
        <f aca="false">(Sens!J7054+Sens!J7075)*Sens!J7074/1000</f>
        <v>114.029037357864</v>
      </c>
      <c r="K7076" s="6" t="n">
        <f aca="false">(Sens!K7054+Sens!K7075)*Sens!K7074/1000</f>
        <v>113.437085350975</v>
      </c>
    </row>
    <row r="7077" customFormat="false" ht="17.15" hidden="false" customHeight="false" outlineLevel="0" collapsed="false">
      <c r="A7077" s="0" t="s">
        <v>992</v>
      </c>
      <c r="B7077" s="0" t="s">
        <v>98</v>
      </c>
      <c r="C7077" s="6" t="n">
        <f aca="false">Sens!C7054*self_build*tk_cxfac/1000</f>
        <v>6.2083</v>
      </c>
      <c r="D7077" s="6" t="n">
        <f aca="false">Sens!D7054*self_build*tk_cxfac/1000</f>
        <v>9.3758</v>
      </c>
      <c r="E7077" s="6" t="n">
        <f aca="false">Sens!E7054*self_build*tk_cxfac/1000</f>
        <v>18.6249</v>
      </c>
      <c r="F7077" s="6" t="n">
        <f aca="false">Sens!F7054*self_build*tk_cxfac/1000</f>
        <v>31.935179717</v>
      </c>
      <c r="G7077" s="6" t="n">
        <f aca="false">Sens!G7054*self_build*tk_cxfac/1000</f>
        <v>34.545199717</v>
      </c>
      <c r="H7077" s="6" t="n">
        <f aca="false">Sens!H7054*self_build*tk_cxfac/1000</f>
        <v>34.545199717</v>
      </c>
      <c r="I7077" s="6" t="n">
        <f aca="false">Sens!I7054*self_build*tk_cxfac/1000</f>
        <v>24.4782641361767</v>
      </c>
      <c r="J7077" s="6" t="n">
        <f aca="false">Sens!J7054*self_build*tk_cxfac/1000</f>
        <v>14.9008938380769</v>
      </c>
      <c r="K7077" s="6" t="n">
        <f aca="false">Sens!K7054*self_build*tk_cxfac/1000</f>
        <v>5.52576771375761</v>
      </c>
    </row>
    <row r="7078" customFormat="false" ht="17.15" hidden="false" customHeight="false" outlineLevel="0" collapsed="false">
      <c r="A7078" s="0" t="s">
        <v>993</v>
      </c>
      <c r="B7078" s="0" t="s">
        <v>98</v>
      </c>
      <c r="F7078" s="15" t="n">
        <f aca="false">capex_floor27-Sens!F7076-Sens!F7077-Sens!F7174</f>
        <v>-0.0226806400230473</v>
      </c>
      <c r="L7078" s="12" t="s">
        <v>994</v>
      </c>
    </row>
    <row r="7079" customFormat="false" ht="17.15" hidden="false" customHeight="false" outlineLevel="0" collapsed="false">
      <c r="A7079" s="0" t="s">
        <v>995</v>
      </c>
      <c r="B7079" s="0" t="s">
        <v>98</v>
      </c>
      <c r="F7079" s="6" t="n">
        <f aca="false">MAX(0,Sens!F7078)</f>
        <v>0</v>
      </c>
    </row>
    <row r="7080" customFormat="false" ht="17.15" hidden="false" customHeight="false" outlineLevel="0" collapsed="false">
      <c r="A7080" s="0" t="s">
        <v>996</v>
      </c>
      <c r="B7080" s="0" t="s">
        <v>98</v>
      </c>
      <c r="C7080" s="6" t="n">
        <f aca="false">Sens!C7076</f>
        <v>22.5333845916667</v>
      </c>
      <c r="D7080" s="6" t="n">
        <f aca="false">Sens!D7076</f>
        <v>34.0300093833333</v>
      </c>
      <c r="E7080" s="6" t="n">
        <f aca="false">Sens!E7076</f>
        <v>67.600153775</v>
      </c>
      <c r="F7080" s="6" t="n">
        <f aca="false">Sens!F7076</f>
        <v>136.51872432512</v>
      </c>
      <c r="G7080" s="6" t="n">
        <f aca="false">Sens!G7076</f>
        <v>157.399275932048</v>
      </c>
      <c r="H7080" s="6" t="n">
        <f aca="false">Sens!H7076</f>
        <v>162.260804347512</v>
      </c>
      <c r="I7080" s="6" t="n">
        <f aca="false">Sens!I7076</f>
        <v>144.136569485434</v>
      </c>
      <c r="J7080" s="6" t="n">
        <f aca="false">Sens!J7076</f>
        <v>114.029037357864</v>
      </c>
      <c r="K7080" s="6" t="n">
        <f aca="false">Sens!K7076</f>
        <v>113.437085350975</v>
      </c>
    </row>
    <row r="7081" customFormat="false" ht="17.15" hidden="false" customHeight="false" outlineLevel="0" collapsed="false">
      <c r="A7081" s="0" t="s">
        <v>997</v>
      </c>
      <c r="B7081" s="0" t="s">
        <v>98</v>
      </c>
      <c r="C7081" s="6" t="n">
        <f aca="false">Sens!C7080+Sens!C7077</f>
        <v>28.7416845916667</v>
      </c>
      <c r="D7081" s="6" t="n">
        <f aca="false">Sens!D7080+Sens!D7077</f>
        <v>43.4058093833333</v>
      </c>
      <c r="E7081" s="6" t="n">
        <f aca="false">Sens!E7080+Sens!E7077</f>
        <v>86.225053775</v>
      </c>
      <c r="F7081" s="6" t="n">
        <f aca="false">Sens!F7080+Sens!F7077</f>
        <v>168.45390404212</v>
      </c>
      <c r="G7081" s="6" t="n">
        <f aca="false">Sens!G7080+Sens!G7077</f>
        <v>191.944475649048</v>
      </c>
      <c r="H7081" s="6" t="n">
        <f aca="false">Sens!H7080+Sens!H7077</f>
        <v>196.806004064512</v>
      </c>
      <c r="I7081" s="6" t="n">
        <f aca="false">Sens!I7080+Sens!I7077</f>
        <v>168.61483362161</v>
      </c>
      <c r="J7081" s="6" t="n">
        <f aca="false">Sens!J7080+Sens!J7077</f>
        <v>128.92993119594</v>
      </c>
      <c r="K7081" s="6" t="n">
        <f aca="false">Sens!K7080+Sens!K7077</f>
        <v>118.962853064733</v>
      </c>
      <c r="L7081" s="12" t="s">
        <v>998</v>
      </c>
    </row>
    <row r="7082" customFormat="false" ht="17.15" hidden="false" customHeight="false" outlineLevel="0" collapsed="false">
      <c r="A7082" s="0" t="s">
        <v>999</v>
      </c>
      <c r="B7082" s="0" t="s">
        <v>98</v>
      </c>
      <c r="E7082" s="6" t="n">
        <f aca="false">(Sens!C7080*IF(2&lt;life_it,1,IF(2=life_it,0.5,0))+Sens!D7080*IF(1&lt;life_it,1,IF(1=life_it,0.5,0))+Sens!E7080*0.5)/life_it</f>
        <v>15.0605784770833</v>
      </c>
      <c r="F7082" s="6" t="n">
        <f aca="false">(Sens!C7080*IF(3&lt;life_it,1,IF(3=life_it,0.5,0))+Sens!D7080*IF(2&lt;life_it,1,IF(2=life_it,0.5,0))+Sens!E7080*IF(1&lt;life_it,1,IF(1=life_it,0.5,0))+Sens!F7080*0.5)/life_it</f>
        <v>32.0704849854266</v>
      </c>
      <c r="G7082" s="6" t="n">
        <f aca="false">(Sens!C7080*IF(4&lt;life_it,1,IF(4=life_it,0.5,0))+Sens!D7080*IF(3&lt;life_it,1,IF(3=life_it,0.5,0))+Sens!E7080*IF(2&lt;life_it,1,IF(2=life_it,0.5,0))+Sens!F7080*IF(1&lt;life_it,1,IF(1=life_it,0.5,0))+Sens!G7080*0.5)/life_it</f>
        <v>56.5636516735239</v>
      </c>
      <c r="H7082" s="6" t="n">
        <f aca="false">(Sens!C7080*IF(5&lt;life_it,1,IF(5=life_it,0.5,0))+Sens!D7080*IF(4&lt;life_it,1,IF(4=life_it,0.5,0))+Sens!E7080*IF(3&lt;life_it,1,IF(3=life_it,0.5,0))+Sens!F7080*IF(2&lt;life_it,1,IF(2=life_it,0.5,0))+Sens!G7080*IF(1&lt;life_it,1,IF(1=life_it,0.5,0))+Sens!H7080*0.5)/life_it</f>
        <v>83.2019916968207</v>
      </c>
      <c r="I7082" s="6" t="n">
        <f aca="false">(Sens!C7080*IF(6&lt;life_it,1,IF(6=life_it,0.5,0))+Sens!D7080*IF(5&lt;life_it,1,IF(5=life_it,0.5,0))+Sens!E7080*IF(4&lt;life_it,1,IF(4=life_it,0.5,0))+Sens!F7080*IF(3&lt;life_it,1,IF(3=life_it,0.5,0))+Sens!G7080*IF(2&lt;life_it,1,IF(2=life_it,0.5,0))+Sens!H7080*IF(1&lt;life_it,1,IF(1=life_it,0.5,0))+Sens!I7080*0.5)/life_it</f>
        <v>106.857324133594</v>
      </c>
      <c r="J7082" s="6" t="n">
        <f aca="false">(Sens!C7080*IF(7&lt;life_it,1,IF(7=life_it,0.5,0))+Sens!D7080*IF(6&lt;life_it,1,IF(6=life_it,0.5,0))+Sens!E7080*IF(5&lt;life_it,1,IF(5=life_it,0.5,0))+Sens!F7080*IF(4&lt;life_it,1,IF(4=life_it,0.5,0))+Sens!G7080*IF(3&lt;life_it,1,IF(3=life_it,0.5,0))+Sens!H7080*IF(2&lt;life_it,1,IF(2=life_it,0.5,0))+Sens!I7080*IF(1&lt;life_it,1,IF(1=life_it,0.5,0))+Sens!J7080*0.5)/life_it</f>
        <v>123.657508539285</v>
      </c>
      <c r="K7082" s="6" t="n">
        <f aca="false">(Sens!C7080*IF(8&lt;life_it,1,IF(8=life_it,0.5,0))+Sens!D7080*IF(7&lt;life_it,1,IF(7=life_it,0.5,0))+Sens!E7080*IF(6&lt;life_it,1,IF(6=life_it,0.5,0))+Sens!F7080*IF(5&lt;life_it,1,IF(5=life_it,0.5,0))+Sens!G7080*IF(4&lt;life_it,1,IF(4=life_it,0.5,0))+Sens!H7080*IF(3&lt;life_it,1,IF(3=life_it,0.5,0))+Sens!I7080*IF(2&lt;life_it,1,IF(2=life_it,0.5,0))+Sens!J7080*IF(1&lt;life_it,1,IF(1=life_it,0.5,0))+Sens!K7080*0.5)/life_it</f>
        <v>134.143838501827</v>
      </c>
    </row>
    <row r="7083" customFormat="false" ht="17.15" hidden="false" customHeight="false" outlineLevel="0" collapsed="false">
      <c r="A7083" s="0" t="s">
        <v>1000</v>
      </c>
      <c r="B7083" s="0" t="s">
        <v>98</v>
      </c>
      <c r="E7083" s="6" t="n">
        <f aca="false">(Sens!C7077*IF(2&lt;life_fac,1,IF(2=life_fac,0.5,0))+Sens!D7077*IF(1&lt;life_fac,1,IF(1=life_fac,0.5,0))+Sens!E7077*0.5)/life_fac</f>
        <v>1.2448275</v>
      </c>
      <c r="F7083" s="6" t="n">
        <f aca="false">(Sens!C7077*IF(3&lt;life_fac,1,IF(3=life_fac,0.5,0))+Sens!D7077*IF(2&lt;life_fac,1,IF(2=life_fac,0.5,0))+Sens!E7077*IF(1&lt;life_fac,1,IF(1=life_fac,0.5,0))+Sens!F7077*0.5)/life_fac</f>
        <v>2.508829492925</v>
      </c>
      <c r="G7083" s="6" t="n">
        <f aca="false">(Sens!C7077*IF(4&lt;life_fac,1,IF(4=life_fac,0.5,0))+Sens!D7077*IF(3&lt;life_fac,1,IF(3=life_fac,0.5,0))+Sens!E7077*IF(2&lt;life_fac,1,IF(2=life_fac,0.5,0))+Sens!F7077*IF(1&lt;life_fac,1,IF(1=life_fac,0.5,0))+Sens!G7077*0.5)/life_fac</f>
        <v>4.170838978775</v>
      </c>
      <c r="H7083" s="6" t="n">
        <f aca="false">(Sens!C7077*IF(5&lt;life_fac,1,IF(5=life_fac,0.5,0))+Sens!D7077*IF(4&lt;life_fac,1,IF(4=life_fac,0.5,0))+Sens!E7077*IF(3&lt;life_fac,1,IF(3=life_fac,0.5,0))+Sens!F7077*IF(2&lt;life_fac,1,IF(2=life_fac,0.5,0))+Sens!G7077*IF(1&lt;life_fac,1,IF(1=life_fac,0.5,0))+Sens!H7077*0.5)/life_fac</f>
        <v>5.898098964625</v>
      </c>
      <c r="I7083" s="6" t="n">
        <f aca="false">(Sens!C7077*IF(6&lt;life_fac,1,IF(6=life_fac,0.5,0))+Sens!D7077*IF(5&lt;life_fac,1,IF(5=life_fac,0.5,0))+Sens!E7077*IF(4&lt;life_fac,1,IF(4=life_fac,0.5,0))+Sens!F7077*IF(3&lt;life_fac,1,IF(3=life_fac,0.5,0))+Sens!G7077*IF(2&lt;life_fac,1,IF(2=life_fac,0.5,0))+Sens!H7077*IF(1&lt;life_fac,1,IF(1=life_fac,0.5,0))+Sens!I7077*0.5)/life_fac</f>
        <v>7.37368556095442</v>
      </c>
      <c r="J7083" s="6" t="n">
        <f aca="false">(Sens!C7077*IF(7&lt;life_fac,1,IF(7=life_fac,0.5,0))+Sens!D7077*IF(6&lt;life_fac,1,IF(6=life_fac,0.5,0))+Sens!E7077*IF(5&lt;life_fac,1,IF(5=life_fac,0.5,0))+Sens!F7077*IF(4&lt;life_fac,1,IF(4=life_fac,0.5,0))+Sens!G7077*IF(3&lt;life_fac,1,IF(3=life_fac,0.5,0))+Sens!H7077*IF(2&lt;life_fac,1,IF(2=life_fac,0.5,0))+Sens!I7077*IF(1&lt;life_fac,1,IF(1=life_fac,0.5,0))+Sens!J7077*0.5)/life_fac</f>
        <v>8.35816451031075</v>
      </c>
      <c r="K7083" s="6" t="n">
        <f aca="false">(Sens!C7077*IF(8&lt;life_fac,1,IF(8=life_fac,0.5,0))+Sens!D7077*IF(7&lt;life_fac,1,IF(7=life_fac,0.5,0))+Sens!E7077*IF(6&lt;life_fac,1,IF(6=life_fac,0.5,0))+Sens!F7077*IF(5&lt;life_fac,1,IF(5=life_fac,0.5,0))+Sens!G7077*IF(4&lt;life_fac,1,IF(4=life_fac,0.5,0))+Sens!H7077*IF(3&lt;life_fac,1,IF(3=life_fac,0.5,0))+Sens!I7077*IF(2&lt;life_fac,1,IF(2=life_fac,0.5,0))+Sens!J7077*IF(1&lt;life_fac,1,IF(1=life_fac,0.5,0))+Sens!K7077*0.5)/life_fac</f>
        <v>8.86883104910662</v>
      </c>
    </row>
    <row r="7084" customFormat="false" ht="17.15" hidden="false" customHeight="false" outlineLevel="0" collapsed="false">
      <c r="A7084" s="0" t="s">
        <v>1001</v>
      </c>
      <c r="B7084" s="0" t="s">
        <v>98</v>
      </c>
      <c r="E7084" s="6" t="n">
        <f aca="false">Sens!E7082+Sens!E7083</f>
        <v>16.3054059770833</v>
      </c>
      <c r="F7084" s="6" t="n">
        <f aca="false">Sens!F7082+Sens!F7083</f>
        <v>34.5793144783516</v>
      </c>
      <c r="G7084" s="6" t="n">
        <f aca="false">Sens!G7082+Sens!G7083</f>
        <v>60.7344906522989</v>
      </c>
      <c r="H7084" s="6" t="n">
        <f aca="false">Sens!H7082+Sens!H7083</f>
        <v>89.1000906614457</v>
      </c>
      <c r="I7084" s="6" t="n">
        <f aca="false">Sens!I7082+Sens!I7083</f>
        <v>114.231009694548</v>
      </c>
      <c r="J7084" s="6" t="n">
        <f aca="false">Sens!J7082+Sens!J7083</f>
        <v>132.015673049596</v>
      </c>
      <c r="K7084" s="6" t="n">
        <f aca="false">Sens!K7082+Sens!K7083</f>
        <v>143.012669550934</v>
      </c>
    </row>
    <row r="7085" customFormat="false" ht="17.15" hidden="false" customHeight="false" outlineLevel="0" collapsed="false">
      <c r="A7085" s="0" t="s">
        <v>1002</v>
      </c>
      <c r="B7085" s="0" t="s">
        <v>98</v>
      </c>
      <c r="E7085" s="6" t="n">
        <f aca="false">Sens!E7072-Sens!E7071*Sens!E7084</f>
        <v>8.92707889977379</v>
      </c>
      <c r="F7085" s="6" t="n">
        <f aca="false">Sens!F7072-Sens!F7071*Sens!F7084</f>
        <v>14.3471335960079</v>
      </c>
      <c r="G7085" s="6" t="n">
        <f aca="false">Sens!G7072-Sens!G7071*Sens!G7084</f>
        <v>16.5202976798683</v>
      </c>
      <c r="H7085" s="6" t="n">
        <f aca="false">Sens!H7072-Sens!H7071*Sens!H7084</f>
        <v>12.9805278875331</v>
      </c>
      <c r="I7085" s="6" t="n">
        <f aca="false">Sens!I7072-Sens!I7071*Sens!I7084</f>
        <v>16.2363335770989</v>
      </c>
      <c r="J7085" s="6" t="n">
        <f aca="false">Sens!J7072-Sens!J7071*Sens!J7084</f>
        <v>18.4432225839805</v>
      </c>
      <c r="K7085" s="6" t="n">
        <f aca="false">Sens!K7072-Sens!K7071*Sens!K7084</f>
        <v>20.1577566819661</v>
      </c>
    </row>
    <row r="7086" customFormat="false" ht="17.15" hidden="false" customHeight="false" outlineLevel="0" collapsed="false">
      <c r="A7086" s="3" t="s">
        <v>1656</v>
      </c>
    </row>
    <row r="7087" customFormat="false" ht="15" hidden="false" customHeight="false" outlineLevel="0" collapsed="false">
      <c r="A7087" s="4" t="s">
        <v>43</v>
      </c>
      <c r="B7087" s="4" t="s">
        <v>65</v>
      </c>
      <c r="C7087" s="23" t="s">
        <v>938</v>
      </c>
      <c r="D7087" s="23" t="s">
        <v>939</v>
      </c>
      <c r="E7087" s="23" t="s">
        <v>940</v>
      </c>
      <c r="F7087" s="23" t="s">
        <v>941</v>
      </c>
      <c r="G7087" s="23" t="s">
        <v>942</v>
      </c>
      <c r="H7087" s="23" t="s">
        <v>943</v>
      </c>
      <c r="I7087" s="23" t="s">
        <v>944</v>
      </c>
      <c r="J7087" s="23" t="s">
        <v>945</v>
      </c>
      <c r="K7087" s="23" t="s">
        <v>946</v>
      </c>
      <c r="L7087" s="4" t="s">
        <v>47</v>
      </c>
    </row>
    <row r="7088" customFormat="false" ht="17.15" hidden="false" customHeight="false" outlineLevel="0" collapsed="false">
      <c r="A7088" s="0" t="s">
        <v>1021</v>
      </c>
      <c r="B7088" s="0" t="s">
        <v>98</v>
      </c>
      <c r="D7088" s="6" t="n">
        <f aca="false">Sens!D7066</f>
        <v>12.9359794422418</v>
      </c>
      <c r="E7088" s="6" t="n">
        <f aca="false">Sens!E7066</f>
        <v>27.8095064661409</v>
      </c>
      <c r="F7088" s="6" t="n">
        <f aca="false">Sens!F7066</f>
        <v>50.9819294352312</v>
      </c>
      <c r="G7088" s="6" t="n">
        <f aca="false">Sens!G7066</f>
        <v>76.6920436014933</v>
      </c>
      <c r="H7088" s="6" t="n">
        <f aca="false">Sens!H7066</f>
        <v>97.4495379418341</v>
      </c>
      <c r="I7088" s="6" t="n">
        <f aca="false">Sens!I7066</f>
        <v>122.083445553868</v>
      </c>
      <c r="J7088" s="6" t="n">
        <f aca="false">Sens!J7066</f>
        <v>139.249060444804</v>
      </c>
      <c r="K7088" s="6" t="n">
        <f aca="false">Sens!K7066</f>
        <v>149.995818575589</v>
      </c>
    </row>
    <row r="7089" customFormat="false" ht="17.15" hidden="false" customHeight="false" outlineLevel="0" collapsed="false">
      <c r="A7089" s="0" t="s">
        <v>1022</v>
      </c>
      <c r="B7089" s="0" t="s">
        <v>98</v>
      </c>
      <c r="D7089" s="6" t="n">
        <f aca="false">Q!L6-Sens!D7088</f>
        <v>59.6740205577583</v>
      </c>
      <c r="E7089" s="6" t="n">
        <f aca="false">Q!M6-Sens!E7088</f>
        <v>74.1284935338591</v>
      </c>
      <c r="F7089" s="6" t="n">
        <f aca="false">Q!$I$6+(Sens!F7088+Sens!E7089*(1+Sens!F7090))*(1-Q!$E$6/Q!M6)-Sens!F7088</f>
        <v>92.2699541184664</v>
      </c>
      <c r="G7089" s="6" t="n">
        <f aca="false">Sens!F7089*(1+Sens!G7090)</f>
        <v>109.630477277949</v>
      </c>
      <c r="H7089" s="6" t="n">
        <f aca="false">Sens!G7089*(1+Sens!H7090)</f>
        <v>127.293256321956</v>
      </c>
      <c r="I7089" s="6" t="n">
        <f aca="false">Sens!H7089*(1+Sens!I7090)</f>
        <v>144.360052269491</v>
      </c>
      <c r="J7089" s="6" t="n">
        <f aca="false">Sens!I7089*(1+Sens!J7090)</f>
        <v>159.811964490216</v>
      </c>
      <c r="K7089" s="6" t="n">
        <f aca="false">Sens!J7089*(1+Sens!K7090)</f>
        <v>172.596921649434</v>
      </c>
      <c r="L7089" s="12" t="s">
        <v>1023</v>
      </c>
    </row>
    <row r="7090" customFormat="false" ht="15" hidden="false" customHeight="false" outlineLevel="0" collapsed="false">
      <c r="A7090" s="1" t="s">
        <v>1024</v>
      </c>
      <c r="B7090" s="0" t="s">
        <v>168</v>
      </c>
      <c r="E7090" s="7" t="n">
        <f aca="false">Sens!E7089/Sens!D7089-1</f>
        <v>0.242223883039864</v>
      </c>
      <c r="F7090" s="7" t="n">
        <f aca="false">Sens!$E$7090+(glt_azo-Sens!$E$7090)*MIN(1,(Sens!F7047-base_fy)/n_conv)</f>
        <v>0.215186569199887</v>
      </c>
      <c r="G7090" s="7" t="n">
        <f aca="false">Sens!$E$7090+(glt_azo-Sens!$E$7090)*MIN(1,(Sens!G7047-base_fy)/n_conv)</f>
        <v>0.18814925535991</v>
      </c>
      <c r="H7090" s="7" t="n">
        <f aca="false">Sens!$E$7090+(glt_azo-Sens!$E$7090)*MIN(1,(Sens!H7047-base_fy)/n_conv)</f>
        <v>0.161111941519932</v>
      </c>
      <c r="I7090" s="7" t="n">
        <f aca="false">Sens!$E$7090+(glt_azo-Sens!$E$7090)*MIN(1,(Sens!I7047-base_fy)/n_conv)</f>
        <v>0.134074627679955</v>
      </c>
      <c r="J7090" s="7" t="n">
        <f aca="false">Sens!$E$7090+(glt_azo-Sens!$E$7090)*MIN(1,(Sens!J7047-base_fy)/n_conv)</f>
        <v>0.107037313839977</v>
      </c>
      <c r="K7090" s="7" t="n">
        <f aca="false">Sens!$E$7090+(glt_azo-Sens!$E$7090)*MIN(1,(Sens!K7047-base_fy)/n_conv)</f>
        <v>0.08</v>
      </c>
    </row>
    <row r="7091" customFormat="false" ht="15" hidden="false" customHeight="false" outlineLevel="0" collapsed="false">
      <c r="A7091" s="0" t="s">
        <v>1025</v>
      </c>
      <c r="B7091" s="0" t="s">
        <v>98</v>
      </c>
      <c r="D7091" s="6" t="n">
        <f aca="false">Sens!D7088+Sens!D7089</f>
        <v>72.61</v>
      </c>
      <c r="E7091" s="6" t="n">
        <f aca="false">Sens!E7088+Sens!E7089</f>
        <v>101.938</v>
      </c>
      <c r="F7091" s="6" t="n">
        <f aca="false">Sens!F7088+Sens!F7089</f>
        <v>143.251883553698</v>
      </c>
      <c r="G7091" s="6" t="n">
        <f aca="false">Sens!G7088+Sens!G7089</f>
        <v>186.322520879442</v>
      </c>
      <c r="H7091" s="6" t="n">
        <f aca="false">Sens!H7088+Sens!H7089</f>
        <v>224.74279426379</v>
      </c>
      <c r="I7091" s="6" t="n">
        <f aca="false">Sens!I7088+Sens!I7089</f>
        <v>266.443497823359</v>
      </c>
      <c r="J7091" s="6" t="n">
        <f aca="false">Sens!J7088+Sens!J7089</f>
        <v>299.06102493502</v>
      </c>
      <c r="K7091" s="6" t="n">
        <f aca="false">Sens!K7088+Sens!K7089</f>
        <v>322.592740225023</v>
      </c>
    </row>
    <row r="7092" customFormat="false" ht="17.15" hidden="false" customHeight="false" outlineLevel="0" collapsed="false">
      <c r="A7092" s="0" t="s">
        <v>1026</v>
      </c>
      <c r="B7092" s="1" t="s">
        <v>610</v>
      </c>
      <c r="C7092" s="30" t="n">
        <f aca="false">cop_s24</f>
        <v>1</v>
      </c>
      <c r="D7092" s="30" t="n">
        <f aca="false">cop_s25</f>
        <v>5</v>
      </c>
      <c r="E7092" s="30" t="n">
        <f aca="false">cop_s26</f>
        <v>30</v>
      </c>
      <c r="F7092" s="30" t="n">
        <f aca="false">Sens!E7092+cop_add_C*0.5</f>
        <v>35</v>
      </c>
      <c r="G7092" s="30" t="n">
        <f aca="false">Sens!F7092+cop_add_C*0.5</f>
        <v>40</v>
      </c>
      <c r="H7092" s="30" t="n">
        <f aca="false">Sens!G7092+cop_add_C*0.5</f>
        <v>45</v>
      </c>
      <c r="I7092" s="30" t="n">
        <f aca="false">Sens!H7092+cop_add_C*0.5*cop_tail</f>
        <v>47.5</v>
      </c>
      <c r="J7092" s="30" t="n">
        <f aca="false">Sens!I7092+cop_add_C*0.5*cop_tail</f>
        <v>50</v>
      </c>
      <c r="K7092" s="30" t="n">
        <f aca="false">Sens!J7092+cop_add_C*0.5*cop_tail</f>
        <v>52.5</v>
      </c>
      <c r="L7092" s="12" t="s">
        <v>1027</v>
      </c>
    </row>
    <row r="7093" customFormat="false" ht="17.15" hidden="false" customHeight="false" outlineLevel="0" collapsed="false">
      <c r="A7093" s="0" t="s">
        <v>1028</v>
      </c>
      <c r="B7093" s="0" t="s">
        <v>98</v>
      </c>
      <c r="D7093" s="6" t="n">
        <f aca="false">(Sens!C7092+Sens!D7092)/2*cop_px*12/1000</f>
        <v>0.9</v>
      </c>
      <c r="E7093" s="6" t="n">
        <f aca="false">(Sens!D7092+Sens!E7092)/2*cop_px*12/1000</f>
        <v>5.25</v>
      </c>
      <c r="F7093" s="6" t="n">
        <f aca="false">(Sens!E7092+Sens!F7092)/2*cop_px*12/1000</f>
        <v>9.75</v>
      </c>
      <c r="G7093" s="6" t="n">
        <f aca="false">(Sens!F7092+Sens!G7092)/2*cop_px*12/1000</f>
        <v>11.25</v>
      </c>
      <c r="H7093" s="6" t="n">
        <f aca="false">(Sens!G7092+Sens!H7092)/2*cop_px*12/1000</f>
        <v>12.75</v>
      </c>
      <c r="I7093" s="6" t="n">
        <f aca="false">(Sens!H7092+Sens!I7092)/2*cop_px*12/1000</f>
        <v>13.875</v>
      </c>
      <c r="J7093" s="6" t="n">
        <f aca="false">(Sens!I7092+Sens!J7092)/2*cop_px*12/1000</f>
        <v>14.625</v>
      </c>
      <c r="K7093" s="6" t="n">
        <f aca="false">(Sens!J7092+Sens!K7092)/2*cop_px*12/1000</f>
        <v>15.375</v>
      </c>
      <c r="L7093" s="1" t="s">
        <v>1029</v>
      </c>
    </row>
    <row r="7094" customFormat="false" ht="17.15" hidden="false" customHeight="false" outlineLevel="0" collapsed="false">
      <c r="A7094" s="0" t="s">
        <v>1030</v>
      </c>
      <c r="B7094" s="0" t="s">
        <v>98</v>
      </c>
      <c r="D7094" s="6" t="n">
        <f aca="false">Q!L7-Sens!D7093</f>
        <v>83.705</v>
      </c>
      <c r="E7094" s="6" t="n">
        <f aca="false">Q!M7-Sens!E7093</f>
        <v>95.049</v>
      </c>
      <c r="F7094" s="6" t="n">
        <f aca="false">Q!$I$7+(Sens!E7094*(1+Sens!F7095)+Sens!F7093)*(1-Q!$E$7/Q!M7)-Sens!F7093</f>
        <v>107.11552943579</v>
      </c>
      <c r="G7094" s="6" t="n">
        <f aca="false">Sens!F7094*(1+Sens!G7095)</f>
        <v>119.292677392857</v>
      </c>
      <c r="H7094" s="6" t="n">
        <f aca="false">Sens!G7094*(1+Sens!H7095)</f>
        <v>131.551405555012</v>
      </c>
      <c r="I7094" s="6" t="n">
        <f aca="false">Sens!H7094*(1+Sens!I7095)</f>
        <v>143.633242963743</v>
      </c>
      <c r="J7094" s="6" t="n">
        <f aca="false">Sens!I7094*(1+Sens!J7095)</f>
        <v>155.256130324074</v>
      </c>
      <c r="K7094" s="6" t="n">
        <f aca="false">Sens!J7094*(1+Sens!K7095)</f>
        <v>166.124059446759</v>
      </c>
      <c r="L7094" s="12" t="s">
        <v>1031</v>
      </c>
    </row>
    <row r="7095" customFormat="false" ht="15" hidden="false" customHeight="false" outlineLevel="0" collapsed="false">
      <c r="A7095" s="1" t="s">
        <v>1024</v>
      </c>
      <c r="B7095" s="0" t="s">
        <v>168</v>
      </c>
      <c r="E7095" s="7" t="n">
        <f aca="false">Sens!E7094/Sens!D7094-1</f>
        <v>0.135523564900544</v>
      </c>
      <c r="F7095" s="7" t="n">
        <f aca="false">Sens!$E$7095+(glt_m365b-Sens!$E$7095)*MIN(1,(Sens!F7047-base_fy)/n_conv)</f>
        <v>0.124602970750453</v>
      </c>
      <c r="G7095" s="7" t="n">
        <f aca="false">Sens!$E$7095+(glt_m365b-Sens!$E$7095)*MIN(1,(Sens!G7047-base_fy)/n_conv)</f>
        <v>0.113682376600363</v>
      </c>
      <c r="H7095" s="7" t="n">
        <f aca="false">Sens!$E$7095+(glt_m365b-Sens!$E$7095)*MIN(1,(Sens!H7047-base_fy)/n_conv)</f>
        <v>0.102761782450272</v>
      </c>
      <c r="I7095" s="7" t="n">
        <f aca="false">Sens!$E$7095+(glt_m365b-Sens!$E$7095)*MIN(1,(Sens!I7047-base_fy)/n_conv)</f>
        <v>0.0918411883001813</v>
      </c>
      <c r="J7095" s="7" t="n">
        <f aca="false">Sens!$E$7095+(glt_m365b-Sens!$E$7095)*MIN(1,(Sens!J7047-base_fy)/n_conv)</f>
        <v>0.0809205941500906</v>
      </c>
      <c r="K7095" s="7" t="n">
        <f aca="false">Sens!$E$7095+(glt_m365b-Sens!$E$7095)*MIN(1,(Sens!K7047-base_fy)/n_conv)</f>
        <v>0.07</v>
      </c>
    </row>
    <row r="7096" customFormat="false" ht="15" hidden="false" customHeight="false" outlineLevel="0" collapsed="false">
      <c r="A7096" s="0" t="s">
        <v>1032</v>
      </c>
      <c r="B7096" s="0" t="s">
        <v>98</v>
      </c>
      <c r="D7096" s="6" t="n">
        <f aca="false">Sens!D7094+Sens!D7093</f>
        <v>84.605</v>
      </c>
      <c r="E7096" s="6" t="n">
        <f aca="false">Sens!E7094+Sens!E7093</f>
        <v>100.299</v>
      </c>
      <c r="F7096" s="6" t="n">
        <f aca="false">Sens!F7094+Sens!F7093</f>
        <v>116.86552943579</v>
      </c>
      <c r="G7096" s="6" t="n">
        <f aca="false">Sens!G7094+Sens!G7093</f>
        <v>130.542677392857</v>
      </c>
      <c r="H7096" s="6" t="n">
        <f aca="false">Sens!H7094+Sens!H7093</f>
        <v>144.301405555012</v>
      </c>
      <c r="I7096" s="6" t="n">
        <f aca="false">Sens!I7094+Sens!I7093</f>
        <v>157.508242963743</v>
      </c>
      <c r="J7096" s="6" t="n">
        <f aca="false">Sens!J7094+Sens!J7093</f>
        <v>169.881130324074</v>
      </c>
      <c r="K7096" s="6" t="n">
        <f aca="false">Sens!K7094+Sens!K7093</f>
        <v>181.499059446759</v>
      </c>
    </row>
    <row r="7097" customFormat="false" ht="17.15" hidden="false" customHeight="false" outlineLevel="0" collapsed="false">
      <c r="A7097" s="0" t="s">
        <v>1033</v>
      </c>
      <c r="B7097" s="0" t="s">
        <v>98</v>
      </c>
      <c r="D7097" s="6" t="n">
        <f aca="false">Q!L8</f>
        <v>35.391</v>
      </c>
      <c r="E7097" s="6" t="n">
        <f aca="false">Q!M8</f>
        <v>37.285</v>
      </c>
      <c r="F7097" s="6" t="n">
        <f aca="false">Q!$I$8+(Q!M8-Q!$E$8)*(1+Sens!F7098)</f>
        <v>38.3851437782675</v>
      </c>
      <c r="G7097" s="6" t="n">
        <f aca="false">Sens!F7097*(1+Sens!G7098)</f>
        <v>40.0105353288615</v>
      </c>
      <c r="H7097" s="6" t="n">
        <f aca="false">Sens!G7097*(1+Sens!H7098)</f>
        <v>41.4812512033683</v>
      </c>
      <c r="I7097" s="6" t="n">
        <f aca="false">Sens!H7097*(1+Sens!I7098)</f>
        <v>42.7743107216329</v>
      </c>
      <c r="J7097" s="6" t="n">
        <f aca="false">Sens!I7097*(1+Sens!J7098)</f>
        <v>43.8687373064601</v>
      </c>
      <c r="K7097" s="6" t="n">
        <f aca="false">Sens!J7097*(1+Sens!K7098)</f>
        <v>44.7461120525893</v>
      </c>
      <c r="L7097" s="12" t="s">
        <v>1034</v>
      </c>
    </row>
    <row r="7098" customFormat="false" ht="15" hidden="false" customHeight="false" outlineLevel="0" collapsed="false">
      <c r="A7098" s="1" t="s">
        <v>1024</v>
      </c>
      <c r="B7098" s="0" t="s">
        <v>168</v>
      </c>
      <c r="E7098" s="7" t="n">
        <f aca="false">Sens!E7097/Sens!D7097-1</f>
        <v>0.0535164307309768</v>
      </c>
      <c r="F7098" s="7" t="n">
        <f aca="false">Sens!$E$7098+(glt_lic-Sens!$E$7098)*MIN(1,(Sens!F7047-base_fy)/n_conv)</f>
        <v>0.0479303589424807</v>
      </c>
      <c r="G7098" s="7" t="n">
        <f aca="false">Sens!$E$7098+(glt_lic-Sens!$E$7098)*MIN(1,(Sens!G7047-base_fy)/n_conv)</f>
        <v>0.0423442871539845</v>
      </c>
      <c r="H7098" s="7" t="n">
        <f aca="false">Sens!$E$7098+(glt_lic-Sens!$E$7098)*MIN(1,(Sens!H7047-base_fy)/n_conv)</f>
        <v>0.0367582153654884</v>
      </c>
      <c r="I7098" s="7" t="n">
        <f aca="false">Sens!$E$7098+(glt_lic-Sens!$E$7098)*MIN(1,(Sens!I7047-base_fy)/n_conv)</f>
        <v>0.0311721435769923</v>
      </c>
      <c r="J7098" s="7" t="n">
        <f aca="false">Sens!$E$7098+(glt_lic-Sens!$E$7098)*MIN(1,(Sens!J7047-base_fy)/n_conv)</f>
        <v>0.0255860717884961</v>
      </c>
      <c r="K7098" s="7" t="n">
        <f aca="false">Sens!$E$7098+(glt_lic-Sens!$E$7098)*MIN(1,(Sens!K7047-base_fy)/n_conv)</f>
        <v>0.02</v>
      </c>
    </row>
    <row r="7099" customFormat="false" ht="17.15" hidden="false" customHeight="false" outlineLevel="0" collapsed="false">
      <c r="A7099" s="0" t="s">
        <v>1035</v>
      </c>
      <c r="B7099" s="0" t="s">
        <v>98</v>
      </c>
      <c r="D7099" s="6" t="n">
        <f aca="false">Q!L9</f>
        <v>18.417</v>
      </c>
      <c r="E7099" s="6" t="n">
        <f aca="false">Q!M9</f>
        <v>20.345</v>
      </c>
      <c r="F7099" s="6" t="n">
        <f aca="false">Q!$I$9+(Q!M9-Q!$E$9)*(1+Sens!F7100)</f>
        <v>22.3161797133988</v>
      </c>
      <c r="G7099" s="6" t="n">
        <f aca="false">Sens!F7099*(1+Sens!G7100)</f>
        <v>24.3943499673233</v>
      </c>
      <c r="H7099" s="6" t="n">
        <f aca="false">Sens!G7099*(1+Sens!H7100)</f>
        <v>26.5250243109019</v>
      </c>
      <c r="I7099" s="6" t="n">
        <f aca="false">Sens!H7099*(1+Sens!I7100)</f>
        <v>28.6884573538181</v>
      </c>
      <c r="J7099" s="6" t="n">
        <f aca="false">Sens!I7099*(1+Sens!J7100)</f>
        <v>30.8624968052127</v>
      </c>
      <c r="K7099" s="6" t="n">
        <f aca="false">Sens!J7099*(1+Sens!K7100)</f>
        <v>33.0228715815776</v>
      </c>
      <c r="L7099" s="12" t="s">
        <v>1034</v>
      </c>
    </row>
    <row r="7100" customFormat="false" ht="15" hidden="false" customHeight="false" outlineLevel="0" collapsed="false">
      <c r="A7100" s="1" t="s">
        <v>1024</v>
      </c>
      <c r="B7100" s="0" t="s">
        <v>168</v>
      </c>
      <c r="E7100" s="7" t="n">
        <f aca="false">Sens!E7099/Sens!D7099-1</f>
        <v>0.104685888038225</v>
      </c>
      <c r="F7100" s="7" t="n">
        <f aca="false">Sens!$E$7100+(glt_ind-Sens!$E$7100)*MIN(1,(Sens!F7047-base_fy)/n_conv)</f>
        <v>0.0989049066985211</v>
      </c>
      <c r="G7100" s="7" t="n">
        <f aca="false">Sens!$E$7100+(glt_ind-Sens!$E$7100)*MIN(1,(Sens!G7047-base_fy)/n_conv)</f>
        <v>0.0931239253588169</v>
      </c>
      <c r="H7100" s="7" t="n">
        <f aca="false">Sens!$E$7100+(glt_ind-Sens!$E$7100)*MIN(1,(Sens!H7047-base_fy)/n_conv)</f>
        <v>0.0873429440191127</v>
      </c>
      <c r="I7100" s="7" t="n">
        <f aca="false">Sens!$E$7100+(glt_ind-Sens!$E$7100)*MIN(1,(Sens!I7047-base_fy)/n_conv)</f>
        <v>0.0815619626794085</v>
      </c>
      <c r="J7100" s="7" t="n">
        <f aca="false">Sens!$E$7100+(glt_ind-Sens!$E$7100)*MIN(1,(Sens!J7047-base_fy)/n_conv)</f>
        <v>0.0757809813397042</v>
      </c>
      <c r="K7100" s="7" t="n">
        <f aca="false">Sens!$E$7100+(glt_ind-Sens!$E$7100)*MIN(1,(Sens!K7047-base_fy)/n_conv)</f>
        <v>0.07</v>
      </c>
    </row>
    <row r="7101" customFormat="false" ht="17.15" hidden="false" customHeight="false" outlineLevel="0" collapsed="false">
      <c r="A7101" s="0" t="s">
        <v>1036</v>
      </c>
      <c r="B7101" s="0" t="s">
        <v>98</v>
      </c>
      <c r="D7101" s="6" t="n">
        <f aca="false">Q!L10</f>
        <v>7.76</v>
      </c>
      <c r="E7101" s="6" t="n">
        <f aca="false">Q!M10</f>
        <v>8.26</v>
      </c>
      <c r="F7101" s="6" t="n">
        <f aca="false">Q!$I$10+(Q!M10-Q!$E$10)*(1+Sens!F7102)</f>
        <v>8.75372082474227</v>
      </c>
      <c r="G7101" s="6" t="n">
        <f aca="false">Sens!F7101*(1+Sens!G7102)</f>
        <v>9.33399324642364</v>
      </c>
      <c r="H7101" s="6" t="n">
        <f aca="false">Sens!G7101*(1+Sens!H7102)</f>
        <v>9.96139155535851</v>
      </c>
      <c r="I7101" s="6" t="n">
        <f aca="false">Sens!H7101*(1+Sens!I7102)</f>
        <v>10.6402039077391</v>
      </c>
      <c r="J7101" s="6" t="n">
        <f aca="false">Sens!I7101*(1+Sens!J7102)</f>
        <v>11.3751458271397</v>
      </c>
      <c r="K7101" s="6" t="n">
        <f aca="false">Sens!J7101*(1+Sens!K7102)</f>
        <v>12.1714060350394</v>
      </c>
      <c r="L7101" s="12" t="s">
        <v>1034</v>
      </c>
    </row>
    <row r="7102" customFormat="false" ht="15" hidden="false" customHeight="false" outlineLevel="0" collapsed="false">
      <c r="A7102" s="1" t="s">
        <v>1024</v>
      </c>
      <c r="B7102" s="0" t="s">
        <v>168</v>
      </c>
      <c r="E7102" s="7" t="n">
        <f aca="false">Sens!E7101/Sens!D7101-1</f>
        <v>0.0644329896907216</v>
      </c>
      <c r="F7102" s="7" t="n">
        <f aca="false">Sens!$E$7102+(glt_fro-Sens!$E$7102)*MIN(1,(Sens!F7047-base_fy)/n_conv)</f>
        <v>0.065360824742268</v>
      </c>
      <c r="G7102" s="7" t="n">
        <f aca="false">Sens!$E$7102+(glt_fro-Sens!$E$7102)*MIN(1,(Sens!G7047-base_fy)/n_conv)</f>
        <v>0.0662886597938144</v>
      </c>
      <c r="H7102" s="7" t="n">
        <f aca="false">Sens!$E$7102+(glt_fro-Sens!$E$7102)*MIN(1,(Sens!H7047-base_fy)/n_conv)</f>
        <v>0.0672164948453608</v>
      </c>
      <c r="I7102" s="7" t="n">
        <f aca="false">Sens!$E$7102+(glt_fro-Sens!$E$7102)*MIN(1,(Sens!I7047-base_fy)/n_conv)</f>
        <v>0.0681443298969072</v>
      </c>
      <c r="J7102" s="7" t="n">
        <f aca="false">Sens!$E$7102+(glt_fro-Sens!$E$7102)*MIN(1,(Sens!J7047-base_fy)/n_conv)</f>
        <v>0.0690721649484536</v>
      </c>
      <c r="K7102" s="7" t="n">
        <f aca="false">Sens!$E$7102+(glt_fro-Sens!$E$7102)*MIN(1,(Sens!K7047-base_fy)/n_conv)</f>
        <v>0.07</v>
      </c>
    </row>
    <row r="7103" customFormat="false" ht="15" hidden="false" customHeight="false" outlineLevel="0" collapsed="false">
      <c r="A7103" s="0" t="s">
        <v>852</v>
      </c>
      <c r="B7103" s="0" t="s">
        <v>98</v>
      </c>
      <c r="D7103" s="6" t="n">
        <f aca="false">Sens!D7091+Sens!D7096+Sens!D7097+Sens!D7099+Sens!D7101</f>
        <v>218.783</v>
      </c>
      <c r="E7103" s="6" t="n">
        <f aca="false">Sens!E7091+Sens!E7096+Sens!E7097+Sens!E7099+Sens!E7101</f>
        <v>268.127</v>
      </c>
      <c r="F7103" s="6" t="n">
        <f aca="false">Sens!F7091+Sens!F7096+Sens!F7097+Sens!F7099+Sens!F7101</f>
        <v>329.572457305896</v>
      </c>
      <c r="G7103" s="6" t="n">
        <f aca="false">Sens!G7091+Sens!G7096+Sens!G7097+Sens!G7099+Sens!G7101</f>
        <v>390.604076814907</v>
      </c>
      <c r="H7103" s="6" t="n">
        <f aca="false">Sens!H7091+Sens!H7096+Sens!H7097+Sens!H7099+Sens!H7101</f>
        <v>447.011866888431</v>
      </c>
      <c r="I7103" s="6" t="n">
        <f aca="false">Sens!I7091+Sens!I7096+Sens!I7097+Sens!I7099+Sens!I7101</f>
        <v>506.054712770292</v>
      </c>
      <c r="J7103" s="6" t="n">
        <f aca="false">Sens!J7091+Sens!J7096+Sens!J7097+Sens!J7099+Sens!J7101</f>
        <v>555.048535197906</v>
      </c>
      <c r="K7103" s="6" t="n">
        <f aca="false">Sens!K7091+Sens!K7096+Sens!K7097+Sens!K7099+Sens!K7101</f>
        <v>594.032189340988</v>
      </c>
    </row>
    <row r="7104" customFormat="false" ht="17.15" hidden="false" customHeight="false" outlineLevel="0" collapsed="false">
      <c r="A7104" s="0" t="s">
        <v>1037</v>
      </c>
      <c r="B7104" s="0" t="s">
        <v>98</v>
      </c>
      <c r="D7104" s="6" t="n">
        <f aca="false">Q!L13</f>
        <v>22.171</v>
      </c>
      <c r="E7104" s="6" t="n">
        <f aca="false">Q!M13</f>
        <v>24.835</v>
      </c>
      <c r="F7104" s="6" t="n">
        <f aca="false">Q!$I$13+(Q!M13-Q!$E$13)*(1+Sens!F7105)</f>
        <v>27.5591895660247</v>
      </c>
      <c r="G7104" s="6" t="n">
        <f aca="false">Sens!F7104*(1+Sens!G7105)</f>
        <v>30.4098563144583</v>
      </c>
      <c r="H7104" s="6" t="n">
        <f aca="false">Sens!G7104*(1+Sens!H7105)</f>
        <v>33.3011792571777</v>
      </c>
      <c r="I7104" s="6" t="n">
        <f aca="false">Sens!H7104*(1+Sens!I7105)</f>
        <v>36.189023797112</v>
      </c>
      <c r="J7104" s="6" t="n">
        <f aca="false">Sens!I7104*(1+Sens!J7105)</f>
        <v>39.0247773769199</v>
      </c>
      <c r="K7104" s="6" t="n">
        <f aca="false">Sens!J7104*(1+Sens!K7105)</f>
        <v>41.7565117933043</v>
      </c>
      <c r="L7104" s="12" t="s">
        <v>1034</v>
      </c>
    </row>
    <row r="7105" customFormat="false" ht="15" hidden="false" customHeight="false" outlineLevel="0" collapsed="false">
      <c r="A7105" s="1" t="s">
        <v>1024</v>
      </c>
      <c r="B7105" s="0" t="s">
        <v>168</v>
      </c>
      <c r="E7105" s="7" t="n">
        <f aca="false">Sens!E7104/Sens!D7104-1</f>
        <v>0.120156961796942</v>
      </c>
      <c r="F7105" s="7" t="n">
        <f aca="false">Sens!$E$7105+(glt_srch-Sens!$E$7105)*MIN(1,(Sens!F7047-base_fy)/n_conv)</f>
        <v>0.111797468164118</v>
      </c>
      <c r="G7105" s="7" t="n">
        <f aca="false">Sens!$E$7105+(glt_srch-Sens!$E$7105)*MIN(1,(Sens!G7047-base_fy)/n_conv)</f>
        <v>0.103437974531295</v>
      </c>
      <c r="H7105" s="7" t="n">
        <f aca="false">Sens!$E$7105+(glt_srch-Sens!$E$7105)*MIN(1,(Sens!H7047-base_fy)/n_conv)</f>
        <v>0.095078480898471</v>
      </c>
      <c r="I7105" s="7" t="n">
        <f aca="false">Sens!$E$7105+(glt_srch-Sens!$E$7105)*MIN(1,(Sens!I7047-base_fy)/n_conv)</f>
        <v>0.0867189872656474</v>
      </c>
      <c r="J7105" s="7" t="n">
        <f aca="false">Sens!$E$7105+(glt_srch-Sens!$E$7105)*MIN(1,(Sens!J7047-base_fy)/n_conv)</f>
        <v>0.0783594936328237</v>
      </c>
      <c r="K7105" s="7" t="n">
        <f aca="false">Sens!$E$7105+(glt_srch-Sens!$E$7105)*MIN(1,(Sens!K7047-base_fy)/n_conv)</f>
        <v>0.07</v>
      </c>
    </row>
    <row r="7106" customFormat="false" ht="17.15" hidden="false" customHeight="false" outlineLevel="0" collapsed="false">
      <c r="A7106" s="0" t="s">
        <v>1038</v>
      </c>
      <c r="B7106" s="0" t="s">
        <v>98</v>
      </c>
      <c r="D7106" s="6" t="n">
        <f aca="false">Q!L14</f>
        <v>23.455</v>
      </c>
      <c r="E7106" s="6" t="n">
        <f aca="false">Q!M14</f>
        <v>21.79</v>
      </c>
      <c r="F7106" s="6" t="n">
        <f aca="false">Q!$I$14+(Q!M14-Q!$E$14)*(1+Sens!F7107)</f>
        <v>20.7520981041711</v>
      </c>
      <c r="G7106" s="6" t="n">
        <f aca="false">Sens!F7106*(1+Sens!G7107)</f>
        <v>19.9083593495882</v>
      </c>
      <c r="H7106" s="6" t="n">
        <f aca="false">Sens!G7106*(1+Sens!H7107)</f>
        <v>19.4008256265831</v>
      </c>
      <c r="I7106" s="6" t="n">
        <f aca="false">Sens!H7106*(1+Sens!I7107)</f>
        <v>19.200434522122</v>
      </c>
      <c r="J7106" s="6" t="n">
        <f aca="false">Sens!I7106*(1+Sens!J7107)</f>
        <v>19.2932782348507</v>
      </c>
      <c r="K7106" s="6" t="n">
        <f aca="false">Sens!J7106*(1+Sens!K7107)</f>
        <v>19.6791437995477</v>
      </c>
      <c r="L7106" s="12" t="s">
        <v>1034</v>
      </c>
    </row>
    <row r="7107" customFormat="false" ht="15" hidden="false" customHeight="false" outlineLevel="0" collapsed="false">
      <c r="A7107" s="1" t="s">
        <v>1024</v>
      </c>
      <c r="B7107" s="0" t="s">
        <v>168</v>
      </c>
      <c r="E7107" s="7" t="n">
        <f aca="false">Sens!E7106/Sens!D7106-1</f>
        <v>-0.0709869963760392</v>
      </c>
      <c r="F7107" s="7" t="n">
        <f aca="false">Sens!$E$7107+(glt_xbox-Sens!$E$7107)*MIN(1,(Sens!F7047-base_fy)/n_conv)</f>
        <v>-0.0558224969800327</v>
      </c>
      <c r="G7107" s="7" t="n">
        <f aca="false">Sens!$E$7107+(glt_xbox-Sens!$E$7107)*MIN(1,(Sens!G7047-base_fy)/n_conv)</f>
        <v>-0.0406579975840262</v>
      </c>
      <c r="H7107" s="7" t="n">
        <f aca="false">Sens!$E$7107+(glt_xbox-Sens!$E$7107)*MIN(1,(Sens!H7047-base_fy)/n_conv)</f>
        <v>-0.0254934981880196</v>
      </c>
      <c r="I7107" s="7" t="n">
        <f aca="false">Sens!$E$7107+(glt_xbox-Sens!$E$7107)*MIN(1,(Sens!I7047-base_fy)/n_conv)</f>
        <v>-0.0103289987920131</v>
      </c>
      <c r="J7107" s="7" t="n">
        <f aca="false">Sens!$E$7107+(glt_xbox-Sens!$E$7107)*MIN(1,(Sens!J7047-base_fy)/n_conv)</f>
        <v>0.00483550060399347</v>
      </c>
      <c r="K7107" s="7" t="n">
        <f aca="false">Sens!$E$7107+(glt_xbox-Sens!$E$7107)*MIN(1,(Sens!K7047-base_fy)/n_conv)</f>
        <v>0.02</v>
      </c>
    </row>
    <row r="7108" customFormat="false" ht="17.15" hidden="false" customHeight="false" outlineLevel="0" collapsed="false">
      <c r="A7108" s="0" t="s">
        <v>1039</v>
      </c>
      <c r="B7108" s="0" t="s">
        <v>98</v>
      </c>
      <c r="D7108" s="6" t="n">
        <f aca="false">Q!L15</f>
        <v>17.315</v>
      </c>
      <c r="E7108" s="6" t="n">
        <f aca="false">Q!M15</f>
        <v>17.087</v>
      </c>
      <c r="F7108" s="6" t="n">
        <f aca="false">Q!$I$15+(Q!M15-Q!$E$15)*(1+Sens!F7109)</f>
        <v>15.9912273250553</v>
      </c>
      <c r="G7108" s="6" t="n">
        <f aca="false">Sens!F7108*(1+Sens!G7109)</f>
        <v>15.9574562664827</v>
      </c>
      <c r="H7108" s="6" t="n">
        <f aca="false">Sens!G7108*(1+Sens!H7109)</f>
        <v>16.0119687434196</v>
      </c>
      <c r="I7108" s="6" t="n">
        <f aca="false">Sens!H7108*(1+Sens!I7109)</f>
        <v>16.1551810001948</v>
      </c>
      <c r="J7108" s="6" t="n">
        <f aca="false">Sens!I7108*(1+Sens!J7109)</f>
        <v>16.3889793892005</v>
      </c>
      <c r="K7108" s="6" t="n">
        <f aca="false">Sens!J7108*(1+Sens!K7109)</f>
        <v>16.7167589769845</v>
      </c>
      <c r="L7108" s="12" t="s">
        <v>1034</v>
      </c>
    </row>
    <row r="7109" customFormat="false" ht="15" hidden="false" customHeight="false" outlineLevel="0" collapsed="false">
      <c r="A7109" s="1" t="s">
        <v>1024</v>
      </c>
      <c r="B7109" s="0" t="s">
        <v>168</v>
      </c>
      <c r="E7109" s="7" t="n">
        <f aca="false">Sens!E7108/Sens!D7108-1</f>
        <v>-0.0131677736066995</v>
      </c>
      <c r="F7109" s="7" t="n">
        <f aca="false">Sens!$E$7109+(glt_win-Sens!$E$7109)*MIN(1,(Sens!F7047-base_fy)/n_conv)</f>
        <v>-0.00763981133891627</v>
      </c>
      <c r="G7109" s="7" t="n">
        <f aca="false">Sens!$E$7109+(glt_win-Sens!$E$7109)*MIN(1,(Sens!G7047-base_fy)/n_conv)</f>
        <v>-0.00211184907113301</v>
      </c>
      <c r="H7109" s="7" t="n">
        <f aca="false">Sens!$E$7109+(glt_win-Sens!$E$7109)*MIN(1,(Sens!H7047-base_fy)/n_conv)</f>
        <v>0.00341611319665024</v>
      </c>
      <c r="I7109" s="7" t="n">
        <f aca="false">Sens!$E$7109+(glt_win-Sens!$E$7109)*MIN(1,(Sens!I7047-base_fy)/n_conv)</f>
        <v>0.00894407546443349</v>
      </c>
      <c r="J7109" s="7" t="n">
        <f aca="false">Sens!$E$7109+(glt_win-Sens!$E$7109)*MIN(1,(Sens!J7047-base_fy)/n_conv)</f>
        <v>0.0144720377322168</v>
      </c>
      <c r="K7109" s="7" t="n">
        <f aca="false">Sens!$E$7109+(glt_win-Sens!$E$7109)*MIN(1,(Sens!K7047-base_fy)/n_conv)</f>
        <v>0.02</v>
      </c>
    </row>
    <row r="7110" customFormat="false" ht="15" hidden="false" customHeight="false" outlineLevel="0" collapsed="false">
      <c r="A7110" s="0" t="s">
        <v>866</v>
      </c>
      <c r="B7110" s="0" t="s">
        <v>98</v>
      </c>
      <c r="D7110" s="6" t="n">
        <f aca="false">Sens!D7104+Sens!D7106+Sens!D7108</f>
        <v>62.941</v>
      </c>
      <c r="E7110" s="6" t="n">
        <f aca="false">Sens!E7104+Sens!E7106+Sens!E7108</f>
        <v>63.712</v>
      </c>
      <c r="F7110" s="6" t="n">
        <f aca="false">Sens!F7104+Sens!F7106+Sens!F7108</f>
        <v>64.3025149952511</v>
      </c>
      <c r="G7110" s="6" t="n">
        <f aca="false">Sens!G7104+Sens!G7106+Sens!G7108</f>
        <v>66.2756719305292</v>
      </c>
      <c r="H7110" s="6" t="n">
        <f aca="false">Sens!H7104+Sens!H7106+Sens!H7108</f>
        <v>68.7139736271804</v>
      </c>
      <c r="I7110" s="6" t="n">
        <f aca="false">Sens!I7104+Sens!I7106+Sens!I7108</f>
        <v>71.5446393194289</v>
      </c>
      <c r="J7110" s="6" t="n">
        <f aca="false">Sens!J7104+Sens!J7106+Sens!J7108</f>
        <v>74.707035000971</v>
      </c>
      <c r="K7110" s="6" t="n">
        <f aca="false">Sens!K7104+Sens!K7106+Sens!K7108</f>
        <v>78.1524145698365</v>
      </c>
    </row>
    <row r="7111" customFormat="false" ht="15" hidden="false" customHeight="false" outlineLevel="0" collapsed="false">
      <c r="A7111" s="1" t="s">
        <v>1040</v>
      </c>
      <c r="B7111" s="0" t="s">
        <v>98</v>
      </c>
      <c r="D7111" s="6" t="n">
        <f aca="false">Sens!D7103+Sens!D7110</f>
        <v>281.724</v>
      </c>
      <c r="E7111" s="6" t="n">
        <f aca="false">Sens!E7103+Sens!E7110</f>
        <v>331.839</v>
      </c>
      <c r="F7111" s="6" t="n">
        <f aca="false">Sens!F7103+Sens!F7110</f>
        <v>393.874972301147</v>
      </c>
      <c r="G7111" s="6" t="n">
        <f aca="false">Sens!G7103+Sens!G7110</f>
        <v>456.879748745436</v>
      </c>
      <c r="H7111" s="6" t="n">
        <f aca="false">Sens!H7103+Sens!H7110</f>
        <v>515.725840515611</v>
      </c>
      <c r="I7111" s="6" t="n">
        <f aca="false">Sens!I7103+Sens!I7110</f>
        <v>577.599352089721</v>
      </c>
      <c r="J7111" s="6" t="n">
        <f aca="false">Sens!J7103+Sens!J7110</f>
        <v>629.755570198877</v>
      </c>
      <c r="K7111" s="6" t="n">
        <f aca="false">Sens!K7103+Sens!K7110</f>
        <v>672.184603910824</v>
      </c>
    </row>
    <row r="7112" customFormat="false" ht="15" hidden="false" customHeight="false" outlineLevel="0" collapsed="false">
      <c r="A7112" s="26" t="s">
        <v>1041</v>
      </c>
      <c r="B7112" s="31" t="s">
        <v>98</v>
      </c>
      <c r="C7112" s="31"/>
      <c r="D7112" s="27" t="n">
        <f aca="false">(Sens!D7091+Sens!D7096+Sens!D7097+Sens!D7099+Sens!D7101-Sens!D7103)+(Sens!D7104+Sens!D7106+Sens!D7108-Sens!D7110)+(Sens!D7103-Q!L5)+(Sens!D7110-Q!L12)+(Sens!D7091-Q!L6)+(Sens!D7096-Q!L7)</f>
        <v>0</v>
      </c>
      <c r="E7112" s="27" t="n">
        <f aca="false">(Sens!E7091+Sens!E7096+Sens!E7097+Sens!E7099+Sens!E7101-Sens!E7103)+(Sens!E7104+Sens!E7106+Sens!E7108-Sens!E7110)+(Sens!E7103-Q!M5)+(Sens!E7110-Q!M12)+(Sens!E7091-Q!M6)+(Sens!E7096-Q!M7)</f>
        <v>0</v>
      </c>
      <c r="F7112" s="27" t="n">
        <f aca="false">(Sens!F7091+Sens!F7096+Sens!F7097+Sens!F7099+Sens!F7101-Sens!F7103)+(Sens!F7104+Sens!F7106+Sens!F7108-Sens!F7110)</f>
        <v>0</v>
      </c>
      <c r="G7112" s="27" t="n">
        <f aca="false">(Sens!G7091+Sens!G7096+Sens!G7097+Sens!G7099+Sens!G7101-Sens!G7103)+(Sens!G7104+Sens!G7106+Sens!G7108-Sens!G7110)</f>
        <v>0</v>
      </c>
      <c r="H7112" s="27" t="n">
        <f aca="false">(Sens!H7091+Sens!H7096+Sens!H7097+Sens!H7099+Sens!H7101-Sens!H7103)+(Sens!H7104+Sens!H7106+Sens!H7108-Sens!H7110)</f>
        <v>0</v>
      </c>
      <c r="I7112" s="27" t="n">
        <f aca="false">(Sens!I7091+Sens!I7096+Sens!I7097+Sens!I7099+Sens!I7101-Sens!I7103)+(Sens!I7104+Sens!I7106+Sens!I7108-Sens!I7110)</f>
        <v>0</v>
      </c>
      <c r="J7112" s="27" t="n">
        <f aca="false">(Sens!J7091+Sens!J7096+Sens!J7097+Sens!J7099+Sens!J7101-Sens!J7103)+(Sens!J7104+Sens!J7106+Sens!J7108-Sens!J7110)</f>
        <v>0</v>
      </c>
      <c r="K7112" s="27" t="n">
        <f aca="false">(Sens!K7091+Sens!K7096+Sens!K7097+Sens!K7099+Sens!K7101-Sens!K7103)+(Sens!K7104+Sens!K7106+Sens!K7108-Sens!K7110)</f>
        <v>0</v>
      </c>
    </row>
    <row r="7113" customFormat="false" ht="17.15" hidden="false" customHeight="false" outlineLevel="0" collapsed="false">
      <c r="A7113" s="3" t="s">
        <v>1657</v>
      </c>
    </row>
    <row r="7114" customFormat="false" ht="15" hidden="false" customHeight="false" outlineLevel="0" collapsed="false">
      <c r="A7114" s="4" t="s">
        <v>43</v>
      </c>
      <c r="B7114" s="4" t="s">
        <v>65</v>
      </c>
      <c r="C7114" s="23" t="s">
        <v>938</v>
      </c>
      <c r="D7114" s="23" t="s">
        <v>939</v>
      </c>
      <c r="E7114" s="23" t="s">
        <v>940</v>
      </c>
      <c r="F7114" s="23" t="s">
        <v>941</v>
      </c>
      <c r="G7114" s="23" t="s">
        <v>942</v>
      </c>
      <c r="H7114" s="23" t="s">
        <v>943</v>
      </c>
      <c r="I7114" s="23" t="s">
        <v>944</v>
      </c>
      <c r="J7114" s="23" t="s">
        <v>945</v>
      </c>
      <c r="K7114" s="23" t="s">
        <v>946</v>
      </c>
      <c r="L7114" s="4" t="s">
        <v>47</v>
      </c>
    </row>
    <row r="7115" customFormat="false" ht="15" hidden="false" customHeight="false" outlineLevel="0" collapsed="false">
      <c r="A7115" s="0" t="s">
        <v>1025</v>
      </c>
      <c r="B7115" s="0" t="s">
        <v>98</v>
      </c>
      <c r="D7115" s="6" t="n">
        <f aca="false">Sens!D7091</f>
        <v>72.61</v>
      </c>
      <c r="E7115" s="6" t="n">
        <f aca="false">Sens!E7091</f>
        <v>101.938</v>
      </c>
      <c r="F7115" s="6" t="n">
        <f aca="false">Sens!F7091</f>
        <v>143.251883553698</v>
      </c>
      <c r="G7115" s="6" t="n">
        <f aca="false">Sens!G7091</f>
        <v>186.322520879442</v>
      </c>
      <c r="H7115" s="6" t="n">
        <f aca="false">Sens!H7091</f>
        <v>224.74279426379</v>
      </c>
      <c r="I7115" s="6" t="n">
        <f aca="false">Sens!I7091</f>
        <v>266.443497823359</v>
      </c>
      <c r="J7115" s="6" t="n">
        <f aca="false">Sens!J7091</f>
        <v>299.06102493502</v>
      </c>
      <c r="K7115" s="6" t="n">
        <f aca="false">Sens!K7091</f>
        <v>322.592740225023</v>
      </c>
    </row>
    <row r="7116" customFormat="false" ht="17.15" hidden="false" customHeight="false" outlineLevel="0" collapsed="false">
      <c r="A7116" s="0" t="s">
        <v>1021</v>
      </c>
      <c r="B7116" s="0" t="s">
        <v>98</v>
      </c>
      <c r="D7116" s="6" t="n">
        <f aca="false">Sens!D7088</f>
        <v>12.9359794422418</v>
      </c>
      <c r="E7116" s="6" t="n">
        <f aca="false">Sens!E7088</f>
        <v>27.8095064661409</v>
      </c>
      <c r="F7116" s="6" t="n">
        <f aca="false">Sens!F7088</f>
        <v>50.9819294352312</v>
      </c>
      <c r="G7116" s="6" t="n">
        <f aca="false">Sens!G7088</f>
        <v>76.6920436014933</v>
      </c>
      <c r="H7116" s="6" t="n">
        <f aca="false">Sens!H7088</f>
        <v>97.4495379418341</v>
      </c>
      <c r="I7116" s="6" t="n">
        <f aca="false">Sens!I7088</f>
        <v>122.083445553868</v>
      </c>
      <c r="J7116" s="6" t="n">
        <f aca="false">Sens!J7088</f>
        <v>139.249060444804</v>
      </c>
      <c r="K7116" s="6" t="n">
        <f aca="false">Sens!K7088</f>
        <v>149.995818575589</v>
      </c>
    </row>
    <row r="7117" customFormat="false" ht="17.15" hidden="false" customHeight="false" outlineLevel="0" collapsed="false">
      <c r="A7117" s="0" t="s">
        <v>1052</v>
      </c>
      <c r="B7117" s="0" t="s">
        <v>98</v>
      </c>
      <c r="D7117" s="6" t="n">
        <f aca="false">Sens!D7089</f>
        <v>59.6740205577583</v>
      </c>
      <c r="E7117" s="6" t="n">
        <f aca="false">Sens!E7089</f>
        <v>74.1284935338591</v>
      </c>
      <c r="F7117" s="6" t="n">
        <f aca="false">Sens!F7089</f>
        <v>92.2699541184664</v>
      </c>
      <c r="G7117" s="6" t="n">
        <f aca="false">Sens!G7089</f>
        <v>109.630477277949</v>
      </c>
      <c r="H7117" s="6" t="n">
        <f aca="false">Sens!H7089</f>
        <v>127.293256321956</v>
      </c>
      <c r="I7117" s="6" t="n">
        <f aca="false">Sens!I7089</f>
        <v>144.360052269491</v>
      </c>
      <c r="J7117" s="6" t="n">
        <f aca="false">Sens!J7089</f>
        <v>159.811964490216</v>
      </c>
      <c r="K7117" s="6" t="n">
        <f aca="false">Sens!K7089</f>
        <v>172.596921649434</v>
      </c>
    </row>
    <row r="7118" customFormat="false" ht="15" hidden="false" customHeight="false" outlineLevel="0" collapsed="false">
      <c r="A7118" s="0" t="s">
        <v>1032</v>
      </c>
      <c r="B7118" s="0" t="s">
        <v>98</v>
      </c>
      <c r="D7118" s="6" t="n">
        <f aca="false">Sens!D7096</f>
        <v>84.605</v>
      </c>
      <c r="E7118" s="6" t="n">
        <f aca="false">Sens!E7096</f>
        <v>100.299</v>
      </c>
      <c r="F7118" s="6" t="n">
        <f aca="false">Sens!F7096</f>
        <v>116.86552943579</v>
      </c>
      <c r="G7118" s="6" t="n">
        <f aca="false">Sens!G7096</f>
        <v>130.542677392857</v>
      </c>
      <c r="H7118" s="6" t="n">
        <f aca="false">Sens!H7096</f>
        <v>144.301405555012</v>
      </c>
      <c r="I7118" s="6" t="n">
        <f aca="false">Sens!I7096</f>
        <v>157.508242963743</v>
      </c>
      <c r="J7118" s="6" t="n">
        <f aca="false">Sens!J7096</f>
        <v>169.881130324074</v>
      </c>
      <c r="K7118" s="6" t="n">
        <f aca="false">Sens!K7096</f>
        <v>181.499059446759</v>
      </c>
    </row>
    <row r="7119" customFormat="false" ht="17.15" hidden="false" customHeight="false" outlineLevel="0" collapsed="false">
      <c r="A7119" s="0" t="s">
        <v>1053</v>
      </c>
      <c r="B7119" s="0" t="s">
        <v>98</v>
      </c>
      <c r="D7119" s="6" t="n">
        <f aca="false">Sens!D7094</f>
        <v>83.705</v>
      </c>
      <c r="E7119" s="6" t="n">
        <f aca="false">Sens!E7094</f>
        <v>95.049</v>
      </c>
      <c r="F7119" s="6" t="n">
        <f aca="false">Sens!F7094</f>
        <v>107.11552943579</v>
      </c>
      <c r="G7119" s="6" t="n">
        <f aca="false">Sens!G7094</f>
        <v>119.292677392857</v>
      </c>
      <c r="H7119" s="6" t="n">
        <f aca="false">Sens!H7094</f>
        <v>131.551405555012</v>
      </c>
      <c r="I7119" s="6" t="n">
        <f aca="false">Sens!I7094</f>
        <v>143.633242963743</v>
      </c>
      <c r="J7119" s="6" t="n">
        <f aca="false">Sens!J7094</f>
        <v>155.256130324074</v>
      </c>
      <c r="K7119" s="6" t="n">
        <f aca="false">Sens!K7094</f>
        <v>166.124059446759</v>
      </c>
    </row>
    <row r="7120" customFormat="false" ht="17.15" hidden="false" customHeight="false" outlineLevel="0" collapsed="false">
      <c r="A7120" s="0" t="s">
        <v>1054</v>
      </c>
      <c r="B7120" s="0" t="s">
        <v>98</v>
      </c>
      <c r="D7120" s="6" t="n">
        <f aca="false">Sens!D7093</f>
        <v>0.9</v>
      </c>
      <c r="E7120" s="6" t="n">
        <f aca="false">Sens!E7093</f>
        <v>5.25</v>
      </c>
      <c r="F7120" s="6" t="n">
        <f aca="false">Sens!F7093</f>
        <v>9.75</v>
      </c>
      <c r="G7120" s="6" t="n">
        <f aca="false">Sens!G7093</f>
        <v>11.25</v>
      </c>
      <c r="H7120" s="6" t="n">
        <f aca="false">Sens!H7093</f>
        <v>12.75</v>
      </c>
      <c r="I7120" s="6" t="n">
        <f aca="false">Sens!I7093</f>
        <v>13.875</v>
      </c>
      <c r="J7120" s="6" t="n">
        <f aca="false">Sens!J7093</f>
        <v>14.625</v>
      </c>
      <c r="K7120" s="6" t="n">
        <f aca="false">Sens!K7093</f>
        <v>15.375</v>
      </c>
    </row>
    <row r="7121" customFormat="false" ht="15" hidden="false" customHeight="false" outlineLevel="0" collapsed="false">
      <c r="A7121" s="0" t="s">
        <v>1033</v>
      </c>
      <c r="B7121" s="0" t="s">
        <v>98</v>
      </c>
      <c r="D7121" s="6" t="n">
        <f aca="false">Sens!D7097</f>
        <v>35.391</v>
      </c>
      <c r="E7121" s="6" t="n">
        <f aca="false">Sens!E7097</f>
        <v>37.285</v>
      </c>
      <c r="F7121" s="6" t="n">
        <f aca="false">Sens!F7097</f>
        <v>38.3851437782675</v>
      </c>
      <c r="G7121" s="6" t="n">
        <f aca="false">Sens!G7097</f>
        <v>40.0105353288615</v>
      </c>
      <c r="H7121" s="6" t="n">
        <f aca="false">Sens!H7097</f>
        <v>41.4812512033683</v>
      </c>
      <c r="I7121" s="6" t="n">
        <f aca="false">Sens!I7097</f>
        <v>42.7743107216329</v>
      </c>
      <c r="J7121" s="6" t="n">
        <f aca="false">Sens!J7097</f>
        <v>43.8687373064601</v>
      </c>
      <c r="K7121" s="6" t="n">
        <f aca="false">Sens!K7097</f>
        <v>44.7461120525893</v>
      </c>
    </row>
    <row r="7122" customFormat="false" ht="15" hidden="false" customHeight="false" outlineLevel="0" collapsed="false">
      <c r="A7122" s="0" t="s">
        <v>1035</v>
      </c>
      <c r="B7122" s="0" t="s">
        <v>98</v>
      </c>
      <c r="D7122" s="6" t="n">
        <f aca="false">Sens!D7099</f>
        <v>18.417</v>
      </c>
      <c r="E7122" s="6" t="n">
        <f aca="false">Sens!E7099</f>
        <v>20.345</v>
      </c>
      <c r="F7122" s="6" t="n">
        <f aca="false">Sens!F7099</f>
        <v>22.3161797133988</v>
      </c>
      <c r="G7122" s="6" t="n">
        <f aca="false">Sens!G7099</f>
        <v>24.3943499673233</v>
      </c>
      <c r="H7122" s="6" t="n">
        <f aca="false">Sens!H7099</f>
        <v>26.5250243109019</v>
      </c>
      <c r="I7122" s="6" t="n">
        <f aca="false">Sens!I7099</f>
        <v>28.6884573538181</v>
      </c>
      <c r="J7122" s="6" t="n">
        <f aca="false">Sens!J7099</f>
        <v>30.8624968052127</v>
      </c>
      <c r="K7122" s="6" t="n">
        <f aca="false">Sens!K7099</f>
        <v>33.0228715815776</v>
      </c>
    </row>
    <row r="7123" customFormat="false" ht="15" hidden="false" customHeight="false" outlineLevel="0" collapsed="false">
      <c r="A7123" s="0" t="s">
        <v>1036</v>
      </c>
      <c r="B7123" s="0" t="s">
        <v>98</v>
      </c>
      <c r="D7123" s="6" t="n">
        <f aca="false">Sens!D7101</f>
        <v>7.76</v>
      </c>
      <c r="E7123" s="6" t="n">
        <f aca="false">Sens!E7101</f>
        <v>8.26</v>
      </c>
      <c r="F7123" s="6" t="n">
        <f aca="false">Sens!F7101</f>
        <v>8.75372082474227</v>
      </c>
      <c r="G7123" s="6" t="n">
        <f aca="false">Sens!G7101</f>
        <v>9.33399324642364</v>
      </c>
      <c r="H7123" s="6" t="n">
        <f aca="false">Sens!H7101</f>
        <v>9.96139155535851</v>
      </c>
      <c r="I7123" s="6" t="n">
        <f aca="false">Sens!I7101</f>
        <v>10.6402039077391</v>
      </c>
      <c r="J7123" s="6" t="n">
        <f aca="false">Sens!J7101</f>
        <v>11.3751458271397</v>
      </c>
      <c r="K7123" s="6" t="n">
        <f aca="false">Sens!K7101</f>
        <v>12.1714060350394</v>
      </c>
    </row>
    <row r="7124" customFormat="false" ht="15" hidden="false" customHeight="false" outlineLevel="0" collapsed="false">
      <c r="A7124" s="0" t="s">
        <v>852</v>
      </c>
      <c r="B7124" s="0" t="s">
        <v>98</v>
      </c>
      <c r="D7124" s="6" t="n">
        <f aca="false">Sens!D7103</f>
        <v>218.783</v>
      </c>
      <c r="E7124" s="6" t="n">
        <f aca="false">Sens!E7103</f>
        <v>268.127</v>
      </c>
      <c r="F7124" s="6" t="n">
        <f aca="false">Sens!F7103</f>
        <v>329.572457305896</v>
      </c>
      <c r="G7124" s="6" t="n">
        <f aca="false">Sens!G7103</f>
        <v>390.604076814907</v>
      </c>
      <c r="H7124" s="6" t="n">
        <f aca="false">Sens!H7103</f>
        <v>447.011866888431</v>
      </c>
      <c r="I7124" s="6" t="n">
        <f aca="false">Sens!I7103</f>
        <v>506.054712770292</v>
      </c>
      <c r="J7124" s="6" t="n">
        <f aca="false">Sens!J7103</f>
        <v>555.048535197906</v>
      </c>
      <c r="K7124" s="6" t="n">
        <f aca="false">Sens!K7103</f>
        <v>594.032189340988</v>
      </c>
    </row>
    <row r="7125" customFormat="false" ht="15" hidden="false" customHeight="false" outlineLevel="0" collapsed="false">
      <c r="A7125" s="0" t="s">
        <v>1037</v>
      </c>
      <c r="B7125" s="0" t="s">
        <v>98</v>
      </c>
      <c r="D7125" s="6" t="n">
        <f aca="false">Sens!D7104</f>
        <v>22.171</v>
      </c>
      <c r="E7125" s="6" t="n">
        <f aca="false">Sens!E7104</f>
        <v>24.835</v>
      </c>
      <c r="F7125" s="6" t="n">
        <f aca="false">Sens!F7104</f>
        <v>27.5591895660247</v>
      </c>
      <c r="G7125" s="6" t="n">
        <f aca="false">Sens!G7104</f>
        <v>30.4098563144583</v>
      </c>
      <c r="H7125" s="6" t="n">
        <f aca="false">Sens!H7104</f>
        <v>33.3011792571777</v>
      </c>
      <c r="I7125" s="6" t="n">
        <f aca="false">Sens!I7104</f>
        <v>36.189023797112</v>
      </c>
      <c r="J7125" s="6" t="n">
        <f aca="false">Sens!J7104</f>
        <v>39.0247773769199</v>
      </c>
      <c r="K7125" s="6" t="n">
        <f aca="false">Sens!K7104</f>
        <v>41.7565117933043</v>
      </c>
    </row>
    <row r="7126" customFormat="false" ht="15" hidden="false" customHeight="false" outlineLevel="0" collapsed="false">
      <c r="A7126" s="0" t="s">
        <v>1038</v>
      </c>
      <c r="B7126" s="0" t="s">
        <v>98</v>
      </c>
      <c r="D7126" s="6" t="n">
        <f aca="false">Sens!D7106</f>
        <v>23.455</v>
      </c>
      <c r="E7126" s="6" t="n">
        <f aca="false">Sens!E7106</f>
        <v>21.79</v>
      </c>
      <c r="F7126" s="6" t="n">
        <f aca="false">Sens!F7106</f>
        <v>20.7520981041711</v>
      </c>
      <c r="G7126" s="6" t="n">
        <f aca="false">Sens!G7106</f>
        <v>19.9083593495882</v>
      </c>
      <c r="H7126" s="6" t="n">
        <f aca="false">Sens!H7106</f>
        <v>19.4008256265831</v>
      </c>
      <c r="I7126" s="6" t="n">
        <f aca="false">Sens!I7106</f>
        <v>19.200434522122</v>
      </c>
      <c r="J7126" s="6" t="n">
        <f aca="false">Sens!J7106</f>
        <v>19.2932782348507</v>
      </c>
      <c r="K7126" s="6" t="n">
        <f aca="false">Sens!K7106</f>
        <v>19.6791437995477</v>
      </c>
    </row>
    <row r="7127" customFormat="false" ht="15" hidden="false" customHeight="false" outlineLevel="0" collapsed="false">
      <c r="A7127" s="0" t="s">
        <v>1039</v>
      </c>
      <c r="B7127" s="0" t="s">
        <v>98</v>
      </c>
      <c r="D7127" s="6" t="n">
        <f aca="false">Sens!D7108</f>
        <v>17.315</v>
      </c>
      <c r="E7127" s="6" t="n">
        <f aca="false">Sens!E7108</f>
        <v>17.087</v>
      </c>
      <c r="F7127" s="6" t="n">
        <f aca="false">Sens!F7108</f>
        <v>15.9912273250553</v>
      </c>
      <c r="G7127" s="6" t="n">
        <f aca="false">Sens!G7108</f>
        <v>15.9574562664827</v>
      </c>
      <c r="H7127" s="6" t="n">
        <f aca="false">Sens!H7108</f>
        <v>16.0119687434196</v>
      </c>
      <c r="I7127" s="6" t="n">
        <f aca="false">Sens!I7108</f>
        <v>16.1551810001948</v>
      </c>
      <c r="J7127" s="6" t="n">
        <f aca="false">Sens!J7108</f>
        <v>16.3889793892005</v>
      </c>
      <c r="K7127" s="6" t="n">
        <f aca="false">Sens!K7108</f>
        <v>16.7167589769845</v>
      </c>
    </row>
    <row r="7128" customFormat="false" ht="15" hidden="false" customHeight="false" outlineLevel="0" collapsed="false">
      <c r="A7128" s="0" t="s">
        <v>866</v>
      </c>
      <c r="B7128" s="0" t="s">
        <v>98</v>
      </c>
      <c r="D7128" s="6" t="n">
        <f aca="false">Sens!D7110</f>
        <v>62.941</v>
      </c>
      <c r="E7128" s="6" t="n">
        <f aca="false">Sens!E7110</f>
        <v>63.712</v>
      </c>
      <c r="F7128" s="6" t="n">
        <f aca="false">Sens!F7110</f>
        <v>64.3025149952511</v>
      </c>
      <c r="G7128" s="6" t="n">
        <f aca="false">Sens!G7110</f>
        <v>66.2756719305292</v>
      </c>
      <c r="H7128" s="6" t="n">
        <f aca="false">Sens!H7110</f>
        <v>68.7139736271804</v>
      </c>
      <c r="I7128" s="6" t="n">
        <f aca="false">Sens!I7110</f>
        <v>71.5446393194289</v>
      </c>
      <c r="J7128" s="6" t="n">
        <f aca="false">Sens!J7110</f>
        <v>74.707035000971</v>
      </c>
      <c r="K7128" s="6" t="n">
        <f aca="false">Sens!K7110</f>
        <v>78.1524145698365</v>
      </c>
    </row>
    <row r="7129" customFormat="false" ht="15" hidden="false" customHeight="false" outlineLevel="0" collapsed="false">
      <c r="A7129" s="1" t="s">
        <v>1055</v>
      </c>
      <c r="B7129" s="0" t="s">
        <v>98</v>
      </c>
      <c r="D7129" s="6" t="n">
        <f aca="false">Sens!D7111</f>
        <v>281.724</v>
      </c>
      <c r="E7129" s="6" t="n">
        <f aca="false">Sens!E7111</f>
        <v>331.839</v>
      </c>
      <c r="F7129" s="6" t="n">
        <f aca="false">Sens!F7111</f>
        <v>393.874972301147</v>
      </c>
      <c r="G7129" s="6" t="n">
        <f aca="false">Sens!G7111</f>
        <v>456.879748745436</v>
      </c>
      <c r="H7129" s="6" t="n">
        <f aca="false">Sens!H7111</f>
        <v>515.725840515611</v>
      </c>
      <c r="I7129" s="6" t="n">
        <f aca="false">Sens!I7111</f>
        <v>577.599352089721</v>
      </c>
      <c r="J7129" s="6" t="n">
        <f aca="false">Sens!J7111</f>
        <v>629.755570198877</v>
      </c>
      <c r="K7129" s="6" t="n">
        <f aca="false">Sens!K7111</f>
        <v>672.184603910824</v>
      </c>
    </row>
    <row r="7130" customFormat="false" ht="15" hidden="false" customHeight="false" outlineLevel="0" collapsed="false">
      <c r="A7130" s="1" t="s">
        <v>1056</v>
      </c>
      <c r="B7130" s="0" t="s">
        <v>168</v>
      </c>
      <c r="E7130" s="7" t="n">
        <f aca="false">Sens!E7129/Sens!D7129-1</f>
        <v>0.177886867998467</v>
      </c>
      <c r="F7130" s="7" t="n">
        <f aca="false">Sens!F7129/Sens!E7129-1</f>
        <v>0.186945995802625</v>
      </c>
      <c r="G7130" s="7" t="n">
        <f aca="false">Sens!G7129/Sens!F7129-1</f>
        <v>0.159961360520559</v>
      </c>
      <c r="H7130" s="7" t="n">
        <f aca="false">Sens!H7129/Sens!G7129-1</f>
        <v>0.128799956513201</v>
      </c>
      <c r="I7130" s="7" t="n">
        <f aca="false">Sens!I7129/Sens!H7129-1</f>
        <v>0.119973650170894</v>
      </c>
      <c r="J7130" s="7" t="n">
        <f aca="false">Sens!J7129/Sens!I7129-1</f>
        <v>0.0902982628364422</v>
      </c>
      <c r="K7130" s="7" t="n">
        <f aca="false">Sens!K7129/Sens!J7129-1</f>
        <v>0.0673738125072048</v>
      </c>
    </row>
    <row r="7131" customFormat="false" ht="17.15" hidden="false" customHeight="false" outlineLevel="0" collapsed="false">
      <c r="A7131" s="26" t="s">
        <v>1057</v>
      </c>
      <c r="B7131" s="31" t="s">
        <v>98</v>
      </c>
      <c r="C7131" s="31"/>
      <c r="D7131" s="27" t="n">
        <f aca="false">(Sens!D7124+Sens!D7128-Sens!D7129)+(Sens!D7116+Sens!D7117-Sens!D7115)+(Sens!D7119+Sens!D7120-Sens!D7118)+(Sens!D7129-Q!L18)</f>
        <v>0</v>
      </c>
      <c r="E7131" s="27" t="n">
        <f aca="false">(Sens!E7124+Sens!E7128-Sens!E7129)+(Sens!E7116+Sens!E7117-Sens!E7115)+(Sens!E7119+Sens!E7120-Sens!E7118)+(Sens!E7129-Q!M18)</f>
        <v>0</v>
      </c>
      <c r="F7131" s="27" t="n">
        <f aca="false">(Sens!F7124+Sens!F7128-Sens!F7129)+(Sens!F7116+Sens!F7117-Sens!F7115)+(Sens!F7119+Sens!F7120-Sens!F7118)</f>
        <v>0</v>
      </c>
      <c r="G7131" s="27" t="n">
        <f aca="false">(Sens!G7124+Sens!G7128-Sens!G7129)+(Sens!G7116+Sens!G7117-Sens!G7115)+(Sens!G7119+Sens!G7120-Sens!G7118)</f>
        <v>0</v>
      </c>
      <c r="H7131" s="27" t="n">
        <f aca="false">(Sens!H7124+Sens!H7128-Sens!H7129)+(Sens!H7116+Sens!H7117-Sens!H7115)+(Sens!H7119+Sens!H7120-Sens!H7118)</f>
        <v>0</v>
      </c>
      <c r="I7131" s="27" t="n">
        <f aca="false">(Sens!I7124+Sens!I7128-Sens!I7129)+(Sens!I7116+Sens!I7117-Sens!I7115)+(Sens!I7119+Sens!I7120-Sens!I7118)</f>
        <v>0</v>
      </c>
      <c r="J7131" s="27" t="n">
        <f aca="false">(Sens!J7124+Sens!J7128-Sens!J7129)+(Sens!J7116+Sens!J7117-Sens!J7115)+(Sens!J7119+Sens!J7120-Sens!J7118)</f>
        <v>0</v>
      </c>
      <c r="K7131" s="27" t="n">
        <f aca="false">(Sens!K7124+Sens!K7128-Sens!K7129)+(Sens!K7116+Sens!K7117-Sens!K7115)+(Sens!K7119+Sens!K7120-Sens!K7118)</f>
        <v>0</v>
      </c>
    </row>
    <row r="7132" customFormat="false" ht="17.15" hidden="false" customHeight="false" outlineLevel="0" collapsed="false">
      <c r="A7132" s="0" t="s">
        <v>1058</v>
      </c>
      <c r="B7132" s="0" t="s">
        <v>168</v>
      </c>
      <c r="E7132" s="7" t="n">
        <f aca="false">(Q!M21+Sens!E7068+Sens!E7069+Sens!E7070+Sens!E7084-Sens!E7066)/(Q!M5-Sens!E7066)</f>
        <v>0.570957350878296</v>
      </c>
      <c r="F7132" s="7" t="n">
        <f aca="false">Sens!$E$7132+dm_seg</f>
        <v>0.570957350878296</v>
      </c>
      <c r="G7132" s="7" t="n">
        <f aca="false">Sens!$E$7132+dm_seg</f>
        <v>0.570957350878296</v>
      </c>
      <c r="H7132" s="7" t="n">
        <f aca="false">Sens!$E$7132+dm_seg</f>
        <v>0.570957350878296</v>
      </c>
      <c r="I7132" s="7" t="n">
        <f aca="false">Sens!$E$7132+dm_seg</f>
        <v>0.570957350878296</v>
      </c>
      <c r="J7132" s="7" t="n">
        <f aca="false">Sens!$E$7132+dm_seg</f>
        <v>0.570957350878296</v>
      </c>
      <c r="K7132" s="7" t="n">
        <f aca="false">Sens!$E$7132+dm_seg</f>
        <v>0.570957350878296</v>
      </c>
      <c r="L7132" s="12" t="s">
        <v>1059</v>
      </c>
    </row>
    <row r="7133" customFormat="false" ht="17.15" hidden="false" customHeight="false" outlineLevel="0" collapsed="false">
      <c r="A7133" s="0" t="s">
        <v>880</v>
      </c>
      <c r="B7133" s="0" t="s">
        <v>98</v>
      </c>
      <c r="D7133" s="6" t="n">
        <f aca="false">Q!L21</f>
        <v>110.814</v>
      </c>
      <c r="E7133" s="6" t="n">
        <f aca="false">Q!M21</f>
        <v>136.365</v>
      </c>
      <c r="F7133" s="6" t="n">
        <f aca="false">Q!$I$21+(Sens!F7132*(Sens!F7103-Sens!F7066)+Sens!F7066-(Sens!F7068+Sens!F7069+Sens!F7070)-Sens!F7084-Sens!F7167)*(Sens!F7103-Q!$I$5)/Sens!F7103</f>
        <v>157.797453122677</v>
      </c>
      <c r="G7133" s="6" t="n">
        <f aca="false">(Sens!G7132*(Sens!G7103-Sens!G7066)+Sens!G7066-(Sens!G7068+Sens!G7069+Sens!G7070)-Sens!G7084-Sens!G7167)</f>
        <v>160.116743291136</v>
      </c>
      <c r="H7133" s="6" t="n">
        <f aca="false">(Sens!H7132*(Sens!H7103-Sens!H7066)+Sens!H7066-(Sens!H7068+Sens!H7069+Sens!H7070)-Sens!H7084-Sens!H7167)</f>
        <v>160.733595820195</v>
      </c>
      <c r="I7133" s="6" t="n">
        <f aca="false">(Sens!I7132*(Sens!I7103-Sens!I7066)+Sens!I7066-(Sens!I7068+Sens!I7069+Sens!I7070)-Sens!I7084-Sens!I7167)</f>
        <v>169.383369802525</v>
      </c>
      <c r="J7133" s="6" t="n">
        <f aca="false">(Sens!J7132*(Sens!J7103-Sens!J7066)+Sens!J7066-(Sens!J7068+Sens!J7069+Sens!J7070)-Sens!J7084-Sens!J7167)</f>
        <v>179.79032394505</v>
      </c>
      <c r="K7133" s="6" t="n">
        <f aca="false">(Sens!K7132*(Sens!K7103-Sens!K7066)+Sens!K7066-(Sens!K7068+Sens!K7069+Sens!K7070)-Sens!K7084-Sens!K7167)</f>
        <v>191.605438698709</v>
      </c>
      <c r="L7133" s="1" t="s">
        <v>1060</v>
      </c>
    </row>
    <row r="7134" customFormat="false" ht="17.15" hidden="false" customHeight="false" outlineLevel="0" collapsed="false">
      <c r="A7134" s="0" t="s">
        <v>1061</v>
      </c>
      <c r="B7134" s="0" t="s">
        <v>168</v>
      </c>
      <c r="E7134" s="7" t="n">
        <f aca="false">Q!M22/Q!M12</f>
        <v>0.296207935710698</v>
      </c>
      <c r="F7134" s="7" t="n">
        <f aca="false">Sens!$E$7134+dm_seg</f>
        <v>0.296207935710698</v>
      </c>
      <c r="G7134" s="7" t="n">
        <f aca="false">Sens!$E$7134+dm_seg</f>
        <v>0.296207935710698</v>
      </c>
      <c r="H7134" s="7" t="n">
        <f aca="false">Sens!$E$7134+dm_seg</f>
        <v>0.296207935710698</v>
      </c>
      <c r="I7134" s="7" t="n">
        <f aca="false">Sens!$E$7134+dm_seg</f>
        <v>0.296207935710698</v>
      </c>
      <c r="J7134" s="7" t="n">
        <f aca="false">Sens!$E$7134+dm_seg</f>
        <v>0.296207935710698</v>
      </c>
      <c r="K7134" s="7" t="n">
        <f aca="false">Sens!$E$7134+dm_seg</f>
        <v>0.296207935710698</v>
      </c>
      <c r="L7134" s="12" t="s">
        <v>1062</v>
      </c>
    </row>
    <row r="7135" customFormat="false" ht="17.15" hidden="false" customHeight="false" outlineLevel="0" collapsed="false">
      <c r="A7135" s="0" t="s">
        <v>882</v>
      </c>
      <c r="B7135" s="0" t="s">
        <v>98</v>
      </c>
      <c r="D7135" s="6" t="n">
        <f aca="false">Q!L22</f>
        <v>17.714</v>
      </c>
      <c r="E7135" s="6" t="n">
        <f aca="false">Q!M22</f>
        <v>18.872</v>
      </c>
      <c r="F7135" s="6" t="n">
        <f aca="false">Q!$I$22+(Sens!F7110-Q!$I$12)*Sens!F7134</f>
        <v>19.8174315512051</v>
      </c>
      <c r="G7135" s="6" t="n">
        <f aca="false">Sens!G7110*Sens!G7134</f>
        <v>19.6313799703815</v>
      </c>
      <c r="H7135" s="6" t="n">
        <f aca="false">Sens!H7110*Sens!H7134</f>
        <v>20.3536242825865</v>
      </c>
      <c r="I7135" s="6" t="n">
        <f aca="false">Sens!I7110*Sens!I7134</f>
        <v>21.1920899239745</v>
      </c>
      <c r="J7135" s="6" t="n">
        <f aca="false">Sens!J7110*Sens!J7134</f>
        <v>22.1288166207045</v>
      </c>
      <c r="K7135" s="6" t="n">
        <f aca="false">Sens!K7110*Sens!K7134</f>
        <v>23.1493653905379</v>
      </c>
      <c r="L7135" s="12" t="s">
        <v>1063</v>
      </c>
    </row>
    <row r="7136" customFormat="false" ht="15" hidden="false" customHeight="false" outlineLevel="0" collapsed="false">
      <c r="A7136" s="1" t="s">
        <v>1064</v>
      </c>
      <c r="B7136" s="0" t="s">
        <v>98</v>
      </c>
      <c r="D7136" s="6" t="n">
        <f aca="false">Sens!D7133+Sens!D7135</f>
        <v>128.528</v>
      </c>
      <c r="E7136" s="6" t="n">
        <f aca="false">Sens!E7133+Sens!E7135</f>
        <v>155.237</v>
      </c>
      <c r="F7136" s="6" t="n">
        <f aca="false">Sens!F7133+Sens!F7135</f>
        <v>177.614884673882</v>
      </c>
      <c r="G7136" s="6" t="n">
        <f aca="false">Sens!G7133+Sens!G7135</f>
        <v>179.748123261517</v>
      </c>
      <c r="H7136" s="6" t="n">
        <f aca="false">Sens!H7133+Sens!H7135</f>
        <v>181.087220102782</v>
      </c>
      <c r="I7136" s="6" t="n">
        <f aca="false">Sens!I7133+Sens!I7135</f>
        <v>190.5754597265</v>
      </c>
      <c r="J7136" s="6" t="n">
        <f aca="false">Sens!J7133+Sens!J7135</f>
        <v>201.919140565754</v>
      </c>
      <c r="K7136" s="6" t="n">
        <f aca="false">Sens!K7133+Sens!K7135</f>
        <v>214.754804089247</v>
      </c>
    </row>
    <row r="7137" customFormat="false" ht="15" hidden="false" customHeight="false" outlineLevel="0" collapsed="false">
      <c r="A7137" s="26" t="s">
        <v>1065</v>
      </c>
      <c r="B7137" s="31" t="s">
        <v>98</v>
      </c>
      <c r="C7137" s="31"/>
      <c r="D7137" s="27" t="n">
        <f aca="false">Sens!D7136-Q!L23</f>
        <v>0</v>
      </c>
      <c r="E7137" s="27" t="n">
        <f aca="false">Sens!E7136-Q!M23</f>
        <v>0</v>
      </c>
      <c r="F7137" s="31"/>
      <c r="G7137" s="31"/>
      <c r="H7137" s="31"/>
      <c r="I7137" s="31"/>
      <c r="J7137" s="31"/>
      <c r="K7137" s="31"/>
    </row>
    <row r="7138" customFormat="false" ht="15" hidden="false" customHeight="false" outlineLevel="0" collapsed="false">
      <c r="A7138" s="1" t="s">
        <v>1066</v>
      </c>
      <c r="B7138" s="0" t="s">
        <v>168</v>
      </c>
      <c r="D7138" s="7" t="n">
        <f aca="false">Sens!D7136/Sens!D7129</f>
        <v>0.456219562408598</v>
      </c>
      <c r="E7138" s="7" t="n">
        <f aca="false">Sens!E7136/Sens!E7129</f>
        <v>0.467808184089272</v>
      </c>
      <c r="F7138" s="7" t="n">
        <f aca="false">Sens!F7136/Sens!F7129</f>
        <v>0.450942296831396</v>
      </c>
      <c r="G7138" s="7" t="n">
        <f aca="false">Sens!G7136/Sens!G7129</f>
        <v>0.393425455505731</v>
      </c>
      <c r="H7138" s="7" t="n">
        <f aca="false">Sens!H7136/Sens!H7129</f>
        <v>0.351130786701971</v>
      </c>
      <c r="I7138" s="7" t="n">
        <f aca="false">Sens!I7136/Sens!I7129</f>
        <v>0.329944033068958</v>
      </c>
      <c r="J7138" s="7" t="n">
        <f aca="false">Sens!J7136/Sens!J7129</f>
        <v>0.320630971953115</v>
      </c>
      <c r="K7138" s="7" t="n">
        <f aca="false">Sens!K7136/Sens!K7129</f>
        <v>0.319487835394899</v>
      </c>
    </row>
    <row r="7139" customFormat="false" ht="17.15" hidden="false" customHeight="false" outlineLevel="0" collapsed="false">
      <c r="A7139" s="1" t="s">
        <v>1067</v>
      </c>
      <c r="B7139" s="0" t="s">
        <v>98</v>
      </c>
      <c r="F7139" s="6" t="n">
        <f aca="false">Sens!F7154</f>
        <v>11.0244968111061</v>
      </c>
      <c r="G7139" s="6" t="n">
        <f aca="false">Sens!G7154</f>
        <v>29.1293007144082</v>
      </c>
      <c r="H7139" s="6" t="n">
        <f aca="false">Sens!H7154</f>
        <v>48.7072955671756</v>
      </c>
      <c r="I7139" s="6" t="n">
        <f aca="false">Sens!I7154</f>
        <v>66.0551948981761</v>
      </c>
      <c r="J7139" s="6" t="n">
        <f aca="false">Sens!J7154</f>
        <v>78.1177573868913</v>
      </c>
      <c r="K7139" s="6" t="n">
        <f aca="false">Sens!K7154</f>
        <v>85.2793968298723</v>
      </c>
      <c r="L7139" s="1" t="s">
        <v>1068</v>
      </c>
    </row>
    <row r="7140" customFormat="false" ht="17.15" hidden="false" customHeight="false" outlineLevel="0" collapsed="false">
      <c r="A7140" s="1" t="s">
        <v>1069</v>
      </c>
      <c r="B7140" s="0" t="s">
        <v>98</v>
      </c>
      <c r="D7140" s="6" t="n">
        <f aca="false">Sens!D7136</f>
        <v>128.528</v>
      </c>
      <c r="E7140" s="6" t="n">
        <f aca="false">Sens!E7136</f>
        <v>155.237</v>
      </c>
      <c r="F7140" s="6" t="n">
        <f aca="false">Sens!F7136+Sens!F7139</f>
        <v>188.639381484988</v>
      </c>
      <c r="G7140" s="6" t="n">
        <f aca="false">Sens!G7136+Sens!G7139</f>
        <v>208.877423975925</v>
      </c>
      <c r="H7140" s="6" t="n">
        <f aca="false">Sens!H7136+Sens!H7139</f>
        <v>229.794515669957</v>
      </c>
      <c r="I7140" s="6" t="n">
        <f aca="false">Sens!I7136+Sens!I7139</f>
        <v>256.630654624676</v>
      </c>
      <c r="J7140" s="6" t="n">
        <f aca="false">Sens!J7136+Sens!J7139</f>
        <v>280.036897952646</v>
      </c>
      <c r="K7140" s="6" t="n">
        <f aca="false">Sens!K7136+Sens!K7139</f>
        <v>300.034200919119</v>
      </c>
    </row>
    <row r="7141" customFormat="false" ht="17.15" hidden="false" customHeight="false" outlineLevel="0" collapsed="false">
      <c r="A7141" s="1" t="s">
        <v>1070</v>
      </c>
      <c r="B7141" s="0" t="s">
        <v>98</v>
      </c>
      <c r="E7141" s="6" t="n">
        <f aca="false">Sens!E7084</f>
        <v>16.3054059770833</v>
      </c>
      <c r="F7141" s="6" t="n">
        <f aca="false">Sens!F7084</f>
        <v>34.5793144783516</v>
      </c>
      <c r="G7141" s="6" t="n">
        <f aca="false">Sens!G7084</f>
        <v>60.7344906522989</v>
      </c>
      <c r="H7141" s="6" t="n">
        <f aca="false">Sens!H7084</f>
        <v>89.1000906614457</v>
      </c>
      <c r="I7141" s="6" t="n">
        <f aca="false">Sens!I7084</f>
        <v>114.231009694548</v>
      </c>
      <c r="J7141" s="6" t="n">
        <f aca="false">Sens!J7084</f>
        <v>132.015673049596</v>
      </c>
      <c r="K7141" s="6" t="n">
        <f aca="false">Sens!K7084</f>
        <v>143.012669550934</v>
      </c>
    </row>
    <row r="7142" customFormat="false" ht="17.15" hidden="false" customHeight="false" outlineLevel="0" collapsed="false">
      <c r="A7142" s="1" t="s">
        <v>1071</v>
      </c>
      <c r="B7142" s="0" t="s">
        <v>98</v>
      </c>
      <c r="E7142" s="6" t="n">
        <f aca="false">Sens!E7166</f>
        <v>22.2285940229167</v>
      </c>
      <c r="F7142" s="6" t="n">
        <f aca="false">Sens!F7166</f>
        <v>23.5826122804153</v>
      </c>
      <c r="G7142" s="6" t="n">
        <f aca="false">Sens!G7166</f>
        <v>25.3219264559517</v>
      </c>
      <c r="H7142" s="6" t="n">
        <f aca="false">Sens!H7166</f>
        <v>27.4166553912512</v>
      </c>
      <c r="I7142" s="6" t="n">
        <f aca="false">Sens!I7166</f>
        <v>29.8150442918483</v>
      </c>
      <c r="J7142" s="6" t="n">
        <f aca="false">Sens!J7166</f>
        <v>32.4467611353707</v>
      </c>
      <c r="K7142" s="6" t="n">
        <f aca="false">Sens!K7166</f>
        <v>35.2277174641542</v>
      </c>
    </row>
    <row r="7143" customFormat="false" ht="17.15" hidden="false" customHeight="false" outlineLevel="0" collapsed="false">
      <c r="A7143" s="1" t="s">
        <v>1072</v>
      </c>
      <c r="B7143" s="0" t="s">
        <v>98</v>
      </c>
      <c r="D7143" s="6" t="n">
        <f aca="false">Q!L27</f>
        <v>-4.901</v>
      </c>
      <c r="E7143" s="6" t="n">
        <f aca="false">Q!M27</f>
        <v>10.697</v>
      </c>
      <c r="F7143" s="6" t="n">
        <f aca="false">Q!$I$27+oie_f*(q_per_yr-1)/q_per_yr</f>
        <v>-0.862</v>
      </c>
      <c r="G7143" s="6" t="n">
        <f aca="false">oie_f</f>
        <v>-1.2</v>
      </c>
      <c r="H7143" s="6" t="n">
        <f aca="false">oie_f</f>
        <v>-1.2</v>
      </c>
      <c r="I7143" s="6" t="n">
        <f aca="false">oie_f</f>
        <v>-1.2</v>
      </c>
      <c r="J7143" s="6" t="n">
        <f aca="false">oie_f</f>
        <v>-1.2</v>
      </c>
      <c r="K7143" s="6" t="n">
        <f aca="false">oie_f</f>
        <v>-1.2</v>
      </c>
      <c r="L7143" s="12" t="s">
        <v>1073</v>
      </c>
    </row>
    <row r="7144" customFormat="false" ht="15" hidden="false" customHeight="false" outlineLevel="0" collapsed="false">
      <c r="A7144" s="1" t="s">
        <v>1074</v>
      </c>
      <c r="B7144" s="0" t="s">
        <v>98</v>
      </c>
      <c r="D7144" s="6" t="n">
        <f aca="false">Sens!D7136+Sens!D7143</f>
        <v>123.627</v>
      </c>
      <c r="E7144" s="6" t="n">
        <f aca="false">Sens!E7136+Sens!E7143</f>
        <v>165.934</v>
      </c>
      <c r="F7144" s="6" t="n">
        <f aca="false">Sens!F7136+Sens!F7143</f>
        <v>176.752884673882</v>
      </c>
      <c r="G7144" s="6" t="n">
        <f aca="false">Sens!G7136+Sens!G7143</f>
        <v>178.548123261517</v>
      </c>
      <c r="H7144" s="6" t="n">
        <f aca="false">Sens!H7136+Sens!H7143</f>
        <v>179.887220102782</v>
      </c>
      <c r="I7144" s="6" t="n">
        <f aca="false">Sens!I7136+Sens!I7143</f>
        <v>189.3754597265</v>
      </c>
      <c r="J7144" s="6" t="n">
        <f aca="false">Sens!J7136+Sens!J7143</f>
        <v>200.719140565755</v>
      </c>
      <c r="K7144" s="6" t="n">
        <f aca="false">Sens!K7136+Sens!K7143</f>
        <v>213.554804089247</v>
      </c>
    </row>
    <row r="7145" customFormat="false" ht="15" hidden="false" customHeight="false" outlineLevel="0" collapsed="false">
      <c r="A7145" s="1" t="s">
        <v>1075</v>
      </c>
      <c r="B7145" s="0" t="s">
        <v>98</v>
      </c>
      <c r="D7145" s="6" t="n">
        <f aca="false">Q!L29</f>
        <v>21.795</v>
      </c>
      <c r="E7145" s="6" t="n">
        <f aca="false">Q!M29</f>
        <v>32.185</v>
      </c>
      <c r="F7145" s="6" t="n">
        <f aca="false">Q!$I$29+(Sens!F7144-Q!$I$28)*tax_f</f>
        <v>35.4839769347764</v>
      </c>
      <c r="G7145" s="6" t="n">
        <f aca="false">Sens!G7144*tax_f</f>
        <v>35.7096246523034</v>
      </c>
      <c r="H7145" s="6" t="n">
        <f aca="false">Sens!H7144*tax_f</f>
        <v>35.9774440205564</v>
      </c>
      <c r="I7145" s="6" t="n">
        <f aca="false">Sens!I7144*tax_f</f>
        <v>37.8750919453</v>
      </c>
      <c r="J7145" s="6" t="n">
        <f aca="false">Sens!J7144*tax_f</f>
        <v>40.1438281131509</v>
      </c>
      <c r="K7145" s="6" t="n">
        <f aca="false">Sens!K7144*tax_f</f>
        <v>42.7109608178494</v>
      </c>
    </row>
    <row r="7146" customFormat="false" ht="15" hidden="false" customHeight="false" outlineLevel="0" collapsed="false">
      <c r="A7146" s="1" t="s">
        <v>1076</v>
      </c>
      <c r="B7146" s="0" t="s">
        <v>98</v>
      </c>
      <c r="D7146" s="6" t="n">
        <f aca="false">Sens!D7144-Sens!D7145</f>
        <v>101.832</v>
      </c>
      <c r="E7146" s="6" t="n">
        <f aca="false">Sens!E7144-Sens!E7145</f>
        <v>133.749</v>
      </c>
      <c r="F7146" s="6" t="n">
        <f aca="false">Sens!F7144-Sens!F7145</f>
        <v>141.268907739105</v>
      </c>
      <c r="G7146" s="6" t="n">
        <f aca="false">Sens!G7144-Sens!G7145</f>
        <v>142.838498609214</v>
      </c>
      <c r="H7146" s="6" t="n">
        <f aca="false">Sens!H7144-Sens!H7145</f>
        <v>143.909776082225</v>
      </c>
      <c r="I7146" s="6" t="n">
        <f aca="false">Sens!I7144-Sens!I7145</f>
        <v>151.5003677812</v>
      </c>
      <c r="J7146" s="6" t="n">
        <f aca="false">Sens!J7144-Sens!J7145</f>
        <v>160.575312452604</v>
      </c>
      <c r="K7146" s="6" t="n">
        <f aca="false">Sens!K7144-Sens!K7145</f>
        <v>170.843843271397</v>
      </c>
    </row>
    <row r="7147" customFormat="false" ht="17.15" hidden="false" customHeight="false" outlineLevel="0" collapsed="false">
      <c r="A7147" s="1" t="s">
        <v>1077</v>
      </c>
      <c r="B7147" s="1" t="s">
        <v>81</v>
      </c>
      <c r="D7147" s="15" t="n">
        <f aca="false">Q!L31</f>
        <v>7.465</v>
      </c>
      <c r="E7147" s="15" t="n">
        <f aca="false">Q!M31</f>
        <v>7.453</v>
      </c>
      <c r="F7147" s="15" t="n">
        <f aca="false">Sens!F7191</f>
        <v>7.4735</v>
      </c>
      <c r="G7147" s="15" t="n">
        <f aca="false">Sens!G7191</f>
        <v>7.5185</v>
      </c>
      <c r="H7147" s="15" t="n">
        <f aca="false">Sens!H7191</f>
        <v>7.5635</v>
      </c>
      <c r="I7147" s="15" t="n">
        <f aca="false">Sens!I7191</f>
        <v>7.59248142502667</v>
      </c>
      <c r="J7147" s="15" t="n">
        <f aca="false">Sens!J7191</f>
        <v>7.60663083618914</v>
      </c>
      <c r="K7147" s="15" t="n">
        <f aca="false">Sens!K7191</f>
        <v>7.62306547615439</v>
      </c>
    </row>
    <row r="7148" customFormat="false" ht="17.15" hidden="false" customHeight="false" outlineLevel="0" collapsed="false">
      <c r="A7148" s="0" t="s">
        <v>1078</v>
      </c>
      <c r="B7148" s="0" t="s">
        <v>75</v>
      </c>
      <c r="D7148" s="8" t="n">
        <f aca="false">Sens!D7146/Sens!D7147</f>
        <v>13.641259209645</v>
      </c>
      <c r="E7148" s="8" t="n">
        <f aca="false">Sens!E7146/Sens!E7147</f>
        <v>17.9456594659869</v>
      </c>
      <c r="F7148" s="8" t="n">
        <f aca="false">Sens!F7146/Sens!F7147</f>
        <v>18.9026437063097</v>
      </c>
      <c r="G7148" s="8" t="n">
        <f aca="false">Sens!G7146/Sens!G7147</f>
        <v>18.9982707467199</v>
      </c>
      <c r="H7148" s="8" t="n">
        <f aca="false">Sens!H7146/Sens!H7147</f>
        <v>19.0268759281054</v>
      </c>
      <c r="I7148" s="8" t="n">
        <f aca="false">Sens!I7146/Sens!I7147</f>
        <v>19.9539991341721</v>
      </c>
      <c r="J7148" s="8" t="n">
        <f aca="false">Sens!J7146/Sens!J7147</f>
        <v>21.109912642093</v>
      </c>
      <c r="K7148" s="8" t="n">
        <f aca="false">Sens!K7146/Sens!K7147</f>
        <v>22.4114358988273</v>
      </c>
      <c r="L7148" s="1" t="s">
        <v>1079</v>
      </c>
    </row>
    <row r="7149" customFormat="false" ht="17.15" hidden="false" customHeight="false" outlineLevel="0" collapsed="false">
      <c r="A7149" s="1" t="s">
        <v>1080</v>
      </c>
      <c r="B7149" s="0" t="s">
        <v>98</v>
      </c>
      <c r="D7149" s="6" t="n">
        <f aca="false">Sens!D7146</f>
        <v>101.832</v>
      </c>
      <c r="E7149" s="6" t="n">
        <f aca="false">Sens!E7146</f>
        <v>133.749</v>
      </c>
      <c r="F7149" s="6" t="n">
        <f aca="false">Sens!F7146+Sens!F7139*(1-tax_f)</f>
        <v>150.08850518799</v>
      </c>
      <c r="G7149" s="6" t="n">
        <f aca="false">Sens!G7146+Sens!G7139*(1-tax_f)</f>
        <v>166.14193918074</v>
      </c>
      <c r="H7149" s="6" t="n">
        <f aca="false">Sens!H7146+Sens!H7139*(1-tax_f)</f>
        <v>182.875612535966</v>
      </c>
      <c r="I7149" s="6" t="n">
        <f aca="false">Sens!I7146+Sens!I7139*(1-tax_f)</f>
        <v>204.344523699741</v>
      </c>
      <c r="J7149" s="6" t="n">
        <f aca="false">Sens!J7146+Sens!J7139*(1-tax_f)</f>
        <v>223.069518362117</v>
      </c>
      <c r="K7149" s="6" t="n">
        <f aca="false">Sens!K7146+Sens!K7139*(1-tax_f)</f>
        <v>239.067360735295</v>
      </c>
    </row>
    <row r="7150" customFormat="false" ht="17.15" hidden="false" customHeight="false" outlineLevel="0" collapsed="false">
      <c r="A7150" s="0" t="s">
        <v>1081</v>
      </c>
      <c r="B7150" s="0" t="s">
        <v>75</v>
      </c>
      <c r="D7150" s="8" t="n">
        <f aca="false">Sens!D7149/Sens!D7147</f>
        <v>13.641259209645</v>
      </c>
      <c r="E7150" s="8" t="n">
        <f aca="false">Sens!E7149/Sens!E7147</f>
        <v>17.9456594659869</v>
      </c>
      <c r="F7150" s="8" t="n">
        <f aca="false">Sens!F7149/Sens!F7147</f>
        <v>20.0827597762749</v>
      </c>
      <c r="G7150" s="8" t="n">
        <f aca="false">Sens!G7149/Sens!G7147</f>
        <v>22.0977507721939</v>
      </c>
      <c r="H7150" s="8" t="n">
        <f aca="false">Sens!H7149/Sens!H7147</f>
        <v>24.1787019945747</v>
      </c>
      <c r="I7150" s="8" t="n">
        <f aca="false">Sens!I7149/Sens!I7147</f>
        <v>26.9140630395448</v>
      </c>
      <c r="J7150" s="8" t="n">
        <f aca="false">Sens!J7149/Sens!J7147</f>
        <v>29.3256664042175</v>
      </c>
      <c r="K7150" s="8" t="n">
        <f aca="false">Sens!K7149/Sens!K7147</f>
        <v>31.3610530413413</v>
      </c>
      <c r="L7150" s="1" t="s">
        <v>1082</v>
      </c>
    </row>
    <row r="7151" customFormat="false" ht="17.15" hidden="false" customHeight="false" outlineLevel="0" collapsed="false">
      <c r="A7151" s="0" t="s">
        <v>1083</v>
      </c>
      <c r="B7151" s="0" t="s">
        <v>168</v>
      </c>
      <c r="E7151" s="7" t="n">
        <f aca="false">Sens!E7150/Sens!D7150-1</f>
        <v>0.315542736208578</v>
      </c>
      <c r="F7151" s="7" t="n">
        <f aca="false">Sens!F7150/Sens!E7150-1</f>
        <v>0.119087309905694</v>
      </c>
      <c r="G7151" s="7" t="n">
        <f aca="false">Sens!G7150/Sens!F7150-1</f>
        <v>0.100334367306406</v>
      </c>
      <c r="H7151" s="7" t="n">
        <f aca="false">Sens!H7150/Sens!G7150-1</f>
        <v>0.0941702729763467</v>
      </c>
      <c r="I7151" s="7" t="n">
        <f aca="false">Sens!I7150/Sens!H7150-1</f>
        <v>0.113131012805561</v>
      </c>
      <c r="J7151" s="7" t="n">
        <f aca="false">Sens!J7150/Sens!I7150-1</f>
        <v>0.0896038387488845</v>
      </c>
      <c r="K7151" s="7" t="n">
        <f aca="false">Sens!K7150/Sens!J7150-1</f>
        <v>0.0694063217206569</v>
      </c>
    </row>
    <row r="7152" customFormat="false" ht="17.15" hidden="false" customHeight="false" outlineLevel="0" collapsed="false">
      <c r="A7152" s="0" t="s">
        <v>1003</v>
      </c>
      <c r="B7152" s="0" t="s">
        <v>98</v>
      </c>
      <c r="E7152" s="6" t="n">
        <f aca="false">Sens!E7093</f>
        <v>5.25</v>
      </c>
      <c r="F7152" s="6" t="n">
        <f aca="false">Sens!F7093</f>
        <v>9.75</v>
      </c>
      <c r="G7152" s="6" t="n">
        <f aca="false">Sens!G7093</f>
        <v>11.25</v>
      </c>
      <c r="H7152" s="6" t="n">
        <f aca="false">Sens!H7093</f>
        <v>12.75</v>
      </c>
      <c r="I7152" s="6" t="n">
        <f aca="false">Sens!I7093</f>
        <v>13.875</v>
      </c>
      <c r="J7152" s="6" t="n">
        <f aca="false">Sens!J7093</f>
        <v>14.625</v>
      </c>
      <c r="K7152" s="6" t="n">
        <f aca="false">Sens!K7093</f>
        <v>15.375</v>
      </c>
    </row>
    <row r="7153" customFormat="false" ht="17.15" hidden="false" customHeight="false" outlineLevel="0" collapsed="false">
      <c r="A7153" s="1" t="s">
        <v>1004</v>
      </c>
      <c r="B7153" s="0" t="s">
        <v>98</v>
      </c>
      <c r="F7153" s="6" t="n">
        <f aca="false">MAX(0,((Sens!E7053+Sens!F7053)/2-(shadow_base*(Sens!$D$7053+Sens!$E$7053)/2+(1-shadow_base)*Sens!$E$7053))*Sens!F7062/1000-(Sens!F7152-Sens!$E$7152)*Sens!F7132)</f>
        <v>11.0244968111061</v>
      </c>
      <c r="G7153" s="6" t="n">
        <f aca="false">MAX(0,((Sens!F7053+Sens!G7053)/2-(shadow_base*(Sens!$D$7053+Sens!$E$7053)/2+(1-shadow_base)*Sens!$E$7053))*Sens!G7062/1000-(Sens!G7152-Sens!$E$7152)*Sens!G7132)</f>
        <v>29.1293007144082</v>
      </c>
      <c r="H7153" s="6" t="n">
        <f aca="false">MAX(0,((Sens!G7053+Sens!H7053)/2-(shadow_base*(Sens!$D$7053+Sens!$E$7053)/2+(1-shadow_base)*Sens!$E$7053))*Sens!H7062/1000-(Sens!H7152-Sens!$E$7152)*Sens!H7132)</f>
        <v>48.7072955671756</v>
      </c>
      <c r="I7153" s="6" t="n">
        <f aca="false">MAX(0,((Sens!H7053+Sens!I7053)/2-(shadow_base*(Sens!$D$7053+Sens!$E$7053)/2+(1-shadow_base)*Sens!$E$7053))*Sens!I7062/1000-(Sens!I7152-Sens!$E$7152)*Sens!I7132)</f>
        <v>66.0551948981761</v>
      </c>
      <c r="J7153" s="6" t="n">
        <f aca="false">MAX(0,((Sens!I7053+Sens!J7053)/2-(shadow_base*(Sens!$D$7053+Sens!$E$7053)/2+(1-shadow_base)*Sens!$E$7053))*Sens!J7062/1000-(Sens!J7152-Sens!$E$7152)*Sens!J7132)</f>
        <v>78.1177573868913</v>
      </c>
      <c r="K7153" s="6" t="n">
        <f aca="false">MAX(0,((Sens!J7053+Sens!K7053)/2-(shadow_base*(Sens!$D$7053+Sens!$E$7053)/2+(1-shadow_base)*Sens!$E$7053))*Sens!K7062/1000-(Sens!K7152-Sens!$E$7152)*Sens!K7132)</f>
        <v>85.2793968298723</v>
      </c>
      <c r="L7153" s="1" t="s">
        <v>1005</v>
      </c>
    </row>
    <row r="7154" customFormat="false" ht="17.15" hidden="false" customHeight="false" outlineLevel="0" collapsed="false">
      <c r="A7154" s="1" t="s">
        <v>1006</v>
      </c>
      <c r="B7154" s="0" t="s">
        <v>98</v>
      </c>
      <c r="F7154" s="6" t="n">
        <f aca="false">IF(internal_ai_reading=2,1,0)*Sens!F7153</f>
        <v>11.0244968111061</v>
      </c>
      <c r="G7154" s="6" t="n">
        <f aca="false">IF(internal_ai_reading=2,1,0)*Sens!G7153</f>
        <v>29.1293007144082</v>
      </c>
      <c r="H7154" s="6" t="n">
        <f aca="false">IF(internal_ai_reading=2,1,0)*Sens!H7153</f>
        <v>48.7072955671756</v>
      </c>
      <c r="I7154" s="6" t="n">
        <f aca="false">IF(internal_ai_reading=2,1,0)*Sens!I7153</f>
        <v>66.0551948981761</v>
      </c>
      <c r="J7154" s="6" t="n">
        <f aca="false">IF(internal_ai_reading=2,1,0)*Sens!J7153</f>
        <v>78.1177573868913</v>
      </c>
      <c r="K7154" s="6" t="n">
        <f aca="false">IF(internal_ai_reading=2,1,0)*Sens!K7153</f>
        <v>85.2793968298723</v>
      </c>
    </row>
    <row r="7155" customFormat="false" ht="17.15" hidden="false" customHeight="false" outlineLevel="0" collapsed="false">
      <c r="A7155" s="0" t="s">
        <v>1007</v>
      </c>
      <c r="B7155" s="0" t="s">
        <v>98</v>
      </c>
      <c r="F7155" s="6" t="n">
        <f aca="false">Sens!F7072+Sens!F7152*Sens!F7132+Sens!F7154-Sens!F7073-Sens!F7084</f>
        <v>10.3853806853618</v>
      </c>
      <c r="G7155" s="6" t="n">
        <f aca="false">Sens!G7072+Sens!G7152*Sens!G7132+Sens!G7154-Sens!G7073-Sens!G7084</f>
        <v>16.4389313105741</v>
      </c>
      <c r="H7155" s="6" t="n">
        <f aca="false">Sens!H7072+Sens!H7152*Sens!H7132+Sens!H7154-Sens!H7073-Sens!H7084</f>
        <v>17.135416308873</v>
      </c>
      <c r="I7155" s="6" t="n">
        <f aca="false">Sens!I7072+Sens!I7152*Sens!I7132+Sens!I7154-Sens!I7073-Sens!I7084</f>
        <v>24.1293804008657</v>
      </c>
      <c r="J7155" s="6" t="n">
        <f aca="false">Sens!J7072+Sens!J7152*Sens!J7132+Sens!J7154-Sens!J7073-Sens!J7084</f>
        <v>28.8545659869181</v>
      </c>
      <c r="K7155" s="6" t="n">
        <f aca="false">Sens!K7072+Sens!K7152*Sens!K7132+Sens!K7154-Sens!K7073-Sens!K7084</f>
        <v>32.13747485251</v>
      </c>
    </row>
    <row r="7156" customFormat="false" ht="17.15" hidden="false" customHeight="false" outlineLevel="0" collapsed="false">
      <c r="A7156" s="0" t="s">
        <v>1008</v>
      </c>
      <c r="B7156" s="0" t="s">
        <v>98</v>
      </c>
      <c r="E7156" s="6" t="n">
        <f aca="false">Sens!E7052*(cxit_open+self_build*tk_cxfac)/1000*ai_net_open</f>
        <v>126.6980382</v>
      </c>
      <c r="F7156" s="6" t="n">
        <f aca="false">Sens!E7156+Sens!F7081-Sens!F7084</f>
        <v>260.572627763768</v>
      </c>
      <c r="G7156" s="6" t="n">
        <f aca="false">Sens!F7156+Sens!G7081-Sens!G7084</f>
        <v>391.782612760517</v>
      </c>
      <c r="H7156" s="6" t="n">
        <f aca="false">Sens!G7156+Sens!H7081-Sens!H7084</f>
        <v>499.488526163584</v>
      </c>
      <c r="I7156" s="6" t="n">
        <f aca="false">Sens!H7156+Sens!I7081-Sens!I7084</f>
        <v>553.872350090646</v>
      </c>
      <c r="J7156" s="6" t="n">
        <f aca="false">Sens!I7156+Sens!J7081-Sens!J7084</f>
        <v>550.78660823699</v>
      </c>
      <c r="K7156" s="6" t="n">
        <f aca="false">Sens!J7156+Sens!K7081-Sens!K7084</f>
        <v>526.736791750789</v>
      </c>
      <c r="L7156" s="1" t="s">
        <v>1009</v>
      </c>
    </row>
    <row r="7157" customFormat="false" ht="17.15" hidden="false" customHeight="false" outlineLevel="0" collapsed="false">
      <c r="A7157" s="0" t="s">
        <v>1010</v>
      </c>
      <c r="B7157" s="0" t="s">
        <v>168</v>
      </c>
      <c r="F7157" s="7" t="n">
        <f aca="false">Sens!F7155*(1-tax_f)/((Sens!E7156+Sens!F7156)/2)</f>
        <v>0.0429069654816909</v>
      </c>
      <c r="G7157" s="7" t="n">
        <f aca="false">Sens!G7155*(1-tax_f)/((Sens!F7156+Sens!G7156)/2)</f>
        <v>0.0403189680453549</v>
      </c>
      <c r="H7157" s="7" t="n">
        <f aca="false">Sens!H7155*(1-tax_f)/((Sens!G7156+Sens!H7156)/2)</f>
        <v>0.0307613080877867</v>
      </c>
      <c r="I7157" s="7" t="n">
        <f aca="false">Sens!I7155*(1-tax_f)/((Sens!H7156+Sens!I7156)/2)</f>
        <v>0.0366512650238846</v>
      </c>
      <c r="J7157" s="7" t="n">
        <f aca="false">Sens!J7155*(1-tax_f)/((Sens!I7156+Sens!J7156)/2)</f>
        <v>0.0417932659044041</v>
      </c>
      <c r="K7157" s="7" t="n">
        <f aca="false">Sens!K7155*(1-tax_f)/((Sens!J7156+Sens!K7156)/2)</f>
        <v>0.0477205040415821</v>
      </c>
    </row>
    <row r="7158" customFormat="false" ht="17.15" hidden="false" customHeight="false" outlineLevel="0" collapsed="false">
      <c r="A7158" s="1" t="s">
        <v>1011</v>
      </c>
      <c r="B7158" s="0" t="s">
        <v>168</v>
      </c>
      <c r="F7158" s="7" t="n">
        <f aca="false">(Sens!F7155-Sens!F7154)*(1-tax_f)/((Sens!E7156+Sens!F7156)/2)</f>
        <v>-0.0026404938227016</v>
      </c>
      <c r="G7158" s="7" t="n">
        <f aca="false">(Sens!G7155-Sens!G7154)*(1-tax_f)/((Sens!F7156+Sens!G7156)/2)</f>
        <v>-0.0311250524021486</v>
      </c>
      <c r="H7158" s="7" t="n">
        <f aca="false">(Sens!H7155-Sens!H7154)*(1-tax_f)/((Sens!G7156+Sens!H7156)/2)</f>
        <v>-0.0566774852311087</v>
      </c>
      <c r="I7158" s="7" t="n">
        <f aca="false">(Sens!I7155-Sens!I7154)*(1-tax_f)/((Sens!H7156+Sens!I7156)/2)</f>
        <v>-0.0636831163069575</v>
      </c>
      <c r="J7158" s="7" t="n">
        <f aca="false">(Sens!J7155-Sens!J7154)*(1-tax_f)/((Sens!I7156+Sens!J7156)/2)</f>
        <v>-0.0713533400021361</v>
      </c>
      <c r="K7158" s="7" t="n">
        <f aca="false">(Sens!K7155-Sens!K7154)*(1-tax_f)/((Sens!J7156+Sens!K7156)/2)</f>
        <v>-0.0789097249904216</v>
      </c>
    </row>
    <row r="7159" customFormat="false" ht="17.15" hidden="false" customHeight="false" outlineLevel="0" collapsed="false">
      <c r="A7159" s="1" t="s">
        <v>1012</v>
      </c>
      <c r="B7159" s="0" t="s">
        <v>168</v>
      </c>
      <c r="F7159" s="7" t="n">
        <f aca="false">(Sens!F7155-Sens!F7154+Sens!F7153)*(1-tax_f)/((Sens!E7156+Sens!F7156)/2)</f>
        <v>0.0429069654816909</v>
      </c>
      <c r="G7159" s="7" t="n">
        <f aca="false">(Sens!G7155-Sens!G7154+Sens!G7153)*(1-tax_f)/((Sens!F7156+Sens!G7156)/2)</f>
        <v>0.0403189680453549</v>
      </c>
      <c r="H7159" s="7" t="n">
        <f aca="false">(Sens!H7155-Sens!H7154+Sens!H7153)*(1-tax_f)/((Sens!G7156+Sens!H7156)/2)</f>
        <v>0.0307613080877867</v>
      </c>
      <c r="I7159" s="7" t="n">
        <f aca="false">(Sens!I7155-Sens!I7154+Sens!I7153)*(1-tax_f)/((Sens!H7156+Sens!I7156)/2)</f>
        <v>0.0366512650238846</v>
      </c>
      <c r="J7159" s="7" t="n">
        <f aca="false">(Sens!J7155-Sens!J7154+Sens!J7153)*(1-tax_f)/((Sens!I7156+Sens!J7156)/2)</f>
        <v>0.0417932659044041</v>
      </c>
      <c r="K7159" s="7" t="n">
        <f aca="false">(Sens!K7155-Sens!K7154+Sens!K7153)*(1-tax_f)/((Sens!J7156+Sens!K7156)/2)</f>
        <v>0.0477205040415821</v>
      </c>
    </row>
    <row r="7160" customFormat="false" ht="17.15" hidden="false" customHeight="false" outlineLevel="0" collapsed="false">
      <c r="A7160" s="1" t="s">
        <v>1013</v>
      </c>
      <c r="B7160" s="0" t="s">
        <v>168</v>
      </c>
      <c r="F7160" s="7" t="n">
        <f aca="false">Sens!F7085*(1-tax_f)/(Sens!F7071*(Sens!E7156+Sens!F7156)/2)</f>
        <v>0.098791430090569</v>
      </c>
      <c r="G7160" s="7" t="n">
        <f aca="false">Sens!G7085*(1-tax_f)/(Sens!G7071*(Sens!F7156+Sens!G7156)/2)</f>
        <v>0.0675308856427828</v>
      </c>
      <c r="H7160" s="7" t="n">
        <f aca="false">Sens!H7085*(1-tax_f)/(Sens!H7071*(Sens!G7156+Sens!H7156)/2)</f>
        <v>0.0388374979528754</v>
      </c>
      <c r="I7160" s="7" t="n">
        <f aca="false">Sens!I7085*(1-tax_f)/(Sens!I7071*(Sens!H7156+Sens!I7156)/2)</f>
        <v>0.0411035671771815</v>
      </c>
      <c r="J7160" s="7" t="n">
        <f aca="false">Sens!J7085*(1-tax_f)/(Sens!J7071*(Sens!I7156+Sens!J7156)/2)</f>
        <v>0.0445222722541192</v>
      </c>
      <c r="K7160" s="7" t="n">
        <f aca="false">Sens!K7085*(1-tax_f)/(Sens!K7071*(Sens!J7156+Sens!K7156)/2)</f>
        <v>0.0498866361688162</v>
      </c>
    </row>
    <row r="7161" customFormat="false" ht="17.15" hidden="false" customHeight="false" outlineLevel="0" collapsed="false">
      <c r="A7161" s="0" t="s">
        <v>1014</v>
      </c>
      <c r="B7161" s="0" t="s">
        <v>253</v>
      </c>
      <c r="F7161" s="7" t="n">
        <f aca="false">Sens!F7157-wacc</f>
        <v>-0.0600296254639064</v>
      </c>
      <c r="G7161" s="7" t="n">
        <f aca="false">Sens!G7157-wacc</f>
        <v>-0.0626176229002424</v>
      </c>
      <c r="H7161" s="7" t="n">
        <f aca="false">Sens!H7157-wacc</f>
        <v>-0.0721752828578106</v>
      </c>
      <c r="I7161" s="7" t="n">
        <f aca="false">Sens!I7157-wacc</f>
        <v>-0.0662853259217127</v>
      </c>
      <c r="J7161" s="7" t="n">
        <f aca="false">Sens!J7157-wacc</f>
        <v>-0.0611433250411932</v>
      </c>
      <c r="K7161" s="7" t="n">
        <f aca="false">Sens!K7157-wacc</f>
        <v>-0.0552160869040152</v>
      </c>
    </row>
    <row r="7162" customFormat="false" ht="17.15" hidden="false" customHeight="false" outlineLevel="0" collapsed="false">
      <c r="A7162" s="0" t="s">
        <v>1015</v>
      </c>
      <c r="B7162" s="0" t="s">
        <v>98</v>
      </c>
      <c r="F7162" s="6" t="n">
        <f aca="false">Sens!F7155*(1-tax_f)-wacc*(Sens!E7156+Sens!F7156)/2</f>
        <v>-11.6238565154813</v>
      </c>
      <c r="G7162" s="6" t="n">
        <f aca="false">Sens!G7155*(1-tax_f)-wacc*(Sens!F7156+Sens!G7156)/2</f>
        <v>-20.4244672240733</v>
      </c>
      <c r="H7162" s="6" t="n">
        <f aca="false">Sens!H7155*(1-tax_f)-wacc*(Sens!G7156+Sens!H7156)/2</f>
        <v>-32.163873277425</v>
      </c>
      <c r="I7162" s="6" t="n">
        <f aca="false">Sens!I7155*(1-tax_f)-wacc*(Sens!H7156+Sens!I7156)/2</f>
        <v>-34.9111844978462</v>
      </c>
      <c r="J7162" s="6" t="n">
        <f aca="false">Sens!J7155*(1-tax_f)-wacc*(Sens!I7156+Sens!J7156)/2</f>
        <v>-33.7712608743463</v>
      </c>
      <c r="K7162" s="6" t="n">
        <f aca="false">Sens!K7155*(1-tax_f)-wacc*(Sens!J7156+Sens!K7156)/2</f>
        <v>-29.7483128474176</v>
      </c>
    </row>
    <row r="7163" customFormat="false" ht="17.15" hidden="false" customHeight="false" outlineLevel="0" collapsed="false">
      <c r="A7163" s="3" t="s">
        <v>1658</v>
      </c>
    </row>
    <row r="7164" customFormat="false" ht="15" hidden="false" customHeight="false" outlineLevel="0" collapsed="false">
      <c r="A7164" s="4" t="s">
        <v>43</v>
      </c>
      <c r="B7164" s="4" t="s">
        <v>65</v>
      </c>
      <c r="C7164" s="23" t="s">
        <v>938</v>
      </c>
      <c r="D7164" s="23" t="s">
        <v>939</v>
      </c>
      <c r="E7164" s="23" t="s">
        <v>940</v>
      </c>
      <c r="F7164" s="23" t="s">
        <v>941</v>
      </c>
      <c r="G7164" s="23" t="s">
        <v>942</v>
      </c>
      <c r="H7164" s="23" t="s">
        <v>943</v>
      </c>
      <c r="I7164" s="23" t="s">
        <v>944</v>
      </c>
      <c r="J7164" s="23" t="s">
        <v>945</v>
      </c>
      <c r="K7164" s="23" t="s">
        <v>946</v>
      </c>
      <c r="L7164" s="4" t="s">
        <v>47</v>
      </c>
    </row>
    <row r="7165" customFormat="false" ht="15" hidden="false" customHeight="false" outlineLevel="0" collapsed="false">
      <c r="A7165" s="1" t="s">
        <v>1076</v>
      </c>
      <c r="B7165" s="0" t="s">
        <v>98</v>
      </c>
      <c r="F7165" s="6" t="n">
        <f aca="false">Sens!F7146</f>
        <v>141.268907739105</v>
      </c>
      <c r="G7165" s="6" t="n">
        <f aca="false">Sens!G7146</f>
        <v>142.838498609214</v>
      </c>
      <c r="H7165" s="6" t="n">
        <f aca="false">Sens!H7146</f>
        <v>143.909776082225</v>
      </c>
      <c r="I7165" s="6" t="n">
        <f aca="false">Sens!I7146</f>
        <v>151.5003677812</v>
      </c>
      <c r="J7165" s="6" t="n">
        <f aca="false">Sens!J7146</f>
        <v>160.575312452604</v>
      </c>
      <c r="K7165" s="6" t="n">
        <f aca="false">Sens!K7146</f>
        <v>170.843843271397</v>
      </c>
    </row>
    <row r="7166" customFormat="false" ht="17.15" hidden="false" customHeight="false" outlineLevel="0" collapsed="false">
      <c r="A7166" s="1" t="s">
        <v>1098</v>
      </c>
      <c r="B7166" s="0" t="s">
        <v>98</v>
      </c>
      <c r="E7166" s="6" t="n">
        <f aca="false">Q!M38-Sens!E7084</f>
        <v>22.2285940229167</v>
      </c>
      <c r="F7166" s="6" t="n">
        <f aca="false">Sens!E7166*(1-1/life_nonai)+(Sens!F7174+Sens!F7175)/life_nonai</f>
        <v>23.5826122804153</v>
      </c>
      <c r="G7166" s="6" t="n">
        <f aca="false">Sens!F7166*(1-1/life_nonai)+(Sens!G7174)/life_nonai</f>
        <v>25.3219264559517</v>
      </c>
      <c r="H7166" s="6" t="n">
        <f aca="false">Sens!G7166*(1-1/life_nonai)+(Sens!H7174)/life_nonai</f>
        <v>27.4166553912512</v>
      </c>
      <c r="I7166" s="6" t="n">
        <f aca="false">Sens!H7166*(1-1/life_nonai)+(Sens!I7174)/life_nonai</f>
        <v>29.8150442918483</v>
      </c>
      <c r="J7166" s="6" t="n">
        <f aca="false">Sens!I7166*(1-1/life_nonai)+(Sens!J7174)/life_nonai</f>
        <v>32.4467611353707</v>
      </c>
      <c r="K7166" s="6" t="n">
        <f aca="false">Sens!J7166*(1-1/life_nonai)+(Sens!K7174)/life_nonai</f>
        <v>35.2277174641542</v>
      </c>
      <c r="L7166" s="12" t="s">
        <v>1099</v>
      </c>
    </row>
    <row r="7167" customFormat="false" ht="17.15" hidden="false" customHeight="false" outlineLevel="0" collapsed="false">
      <c r="A7167" s="1" t="s">
        <v>1100</v>
      </c>
      <c r="B7167" s="0" t="s">
        <v>98</v>
      </c>
      <c r="F7167" s="6" t="n">
        <f aca="false">Sens!$F$7175/life_nonai*(1-1/life_nonai)^(Sens!F7047-2027)</f>
        <v>0</v>
      </c>
      <c r="G7167" s="6" t="n">
        <f aca="false">Sens!$F$7175/life_nonai*(1-1/life_nonai)^(Sens!G7047-2027)</f>
        <v>0</v>
      </c>
      <c r="H7167" s="6" t="n">
        <f aca="false">Sens!$F$7175/life_nonai*(1-1/life_nonai)^(Sens!H7047-2027)</f>
        <v>0</v>
      </c>
      <c r="I7167" s="6" t="n">
        <f aca="false">Sens!$F$7175/life_nonai*(1-1/life_nonai)^(Sens!I7047-2027)</f>
        <v>0</v>
      </c>
      <c r="J7167" s="6" t="n">
        <f aca="false">Sens!$F$7175/life_nonai*(1-1/life_nonai)^(Sens!J7047-2027)</f>
        <v>0</v>
      </c>
      <c r="K7167" s="6" t="n">
        <f aca="false">Sens!$F$7175/life_nonai*(1-1/life_nonai)^(Sens!K7047-2027)</f>
        <v>0</v>
      </c>
      <c r="L7167" s="1" t="s">
        <v>1101</v>
      </c>
    </row>
    <row r="7168" customFormat="false" ht="17.15" hidden="false" customHeight="false" outlineLevel="0" collapsed="false">
      <c r="A7168" s="1" t="s">
        <v>1102</v>
      </c>
      <c r="B7168" s="0" t="s">
        <v>98</v>
      </c>
      <c r="E7168" s="6" t="n">
        <f aca="false">Sens!E7084+Sens!E7166</f>
        <v>38.534</v>
      </c>
      <c r="F7168" s="6" t="n">
        <f aca="false">Sens!F7084+Sens!F7166</f>
        <v>58.161926758767</v>
      </c>
      <c r="G7168" s="6" t="n">
        <f aca="false">Sens!G7084+Sens!G7166</f>
        <v>86.0564171082506</v>
      </c>
      <c r="H7168" s="6" t="n">
        <f aca="false">Sens!H7084+Sens!H7166</f>
        <v>116.516746052697</v>
      </c>
      <c r="I7168" s="6" t="n">
        <f aca="false">Sens!I7084+Sens!I7166</f>
        <v>144.046053986397</v>
      </c>
      <c r="J7168" s="6" t="n">
        <f aca="false">Sens!J7084+Sens!J7166</f>
        <v>164.462434184967</v>
      </c>
      <c r="K7168" s="6" t="n">
        <f aca="false">Sens!K7084+Sens!K7166</f>
        <v>178.240387015088</v>
      </c>
    </row>
    <row r="7169" customFormat="false" ht="17.15" hidden="false" customHeight="false" outlineLevel="0" collapsed="false">
      <c r="A7169" s="1" t="s">
        <v>1103</v>
      </c>
      <c r="B7169" s="0" t="s">
        <v>98</v>
      </c>
      <c r="F7169" s="6" t="n">
        <f aca="false">Sens!F7111*sbc_r</f>
        <v>14.7240650779316</v>
      </c>
      <c r="G7169" s="6" t="n">
        <f aca="false">Sens!G7111*sbc_r</f>
        <v>17.0793465601907</v>
      </c>
      <c r="H7169" s="6" t="n">
        <f aca="false">Sens!H7111*sbc_r</f>
        <v>19.2791656544172</v>
      </c>
      <c r="I7169" s="6" t="n">
        <f aca="false">Sens!I7111*sbc_r</f>
        <v>21.592157530227</v>
      </c>
      <c r="J7169" s="6" t="n">
        <f aca="false">Sens!J7111*sbc_r</f>
        <v>23.5418918460973</v>
      </c>
      <c r="K7169" s="6" t="n">
        <f aca="false">Sens!K7111*sbc_r</f>
        <v>25.1279988534011</v>
      </c>
    </row>
    <row r="7170" customFormat="false" ht="17.15" hidden="false" customHeight="false" outlineLevel="0" collapsed="false">
      <c r="A7170" s="1" t="s">
        <v>1104</v>
      </c>
      <c r="B7170" s="0" t="s">
        <v>98</v>
      </c>
      <c r="F7170" s="6" t="n">
        <f aca="false">wc27-wc26q1</f>
        <v>-4.677</v>
      </c>
      <c r="G7170" s="6" t="n">
        <f aca="false">wc_f</f>
        <v>0</v>
      </c>
      <c r="H7170" s="6" t="n">
        <f aca="false">wc_f</f>
        <v>0</v>
      </c>
      <c r="I7170" s="6" t="n">
        <f aca="false">wc_f</f>
        <v>0</v>
      </c>
      <c r="J7170" s="6" t="n">
        <f aca="false">wc_f</f>
        <v>0</v>
      </c>
      <c r="K7170" s="6" t="n">
        <f aca="false">wc_f</f>
        <v>0</v>
      </c>
      <c r="L7170" s="12" t="s">
        <v>1105</v>
      </c>
    </row>
    <row r="7171" customFormat="false" ht="17.15" hidden="false" customHeight="false" outlineLevel="0" collapsed="false">
      <c r="A7171" s="0" t="s">
        <v>1106</v>
      </c>
      <c r="B7171" s="0" t="s">
        <v>98</v>
      </c>
      <c r="F7171" s="6" t="n">
        <f aca="false">Q!$I$35-Q!$I$26-Q!$I$38-Q!$I$39</f>
        <v>6.493</v>
      </c>
      <c r="L7171" s="1" t="s">
        <v>1107</v>
      </c>
    </row>
    <row r="7172" customFormat="false" ht="15" hidden="false" customHeight="false" outlineLevel="0" collapsed="false">
      <c r="A7172" s="1" t="s">
        <v>904</v>
      </c>
      <c r="B7172" s="0" t="s">
        <v>98</v>
      </c>
      <c r="E7172" s="6" t="n">
        <f aca="false">Q!M35</f>
        <v>182.935</v>
      </c>
      <c r="F7172" s="6" t="n">
        <f aca="false">Sens!F7165+Sens!F7168+Sens!F7169+Sens!F7170+Sens!F7171</f>
        <v>215.970899575804</v>
      </c>
      <c r="G7172" s="6" t="n">
        <f aca="false">Sens!G7165+Sens!G7168+Sens!G7169+Sens!G7170</f>
        <v>245.974262277655</v>
      </c>
      <c r="H7172" s="6" t="n">
        <f aca="false">Sens!H7165+Sens!H7168+Sens!H7169+Sens!H7170</f>
        <v>279.70568778934</v>
      </c>
      <c r="I7172" s="6" t="n">
        <f aca="false">Sens!I7165+Sens!I7168+Sens!I7169+Sens!I7170</f>
        <v>317.138579297823</v>
      </c>
      <c r="J7172" s="6" t="n">
        <f aca="false">Sens!J7165+Sens!J7168+Sens!J7169+Sens!J7170</f>
        <v>348.579638483668</v>
      </c>
      <c r="K7172" s="6" t="n">
        <f aca="false">Sens!K7165+Sens!K7168+Sens!K7169+Sens!K7170</f>
        <v>374.212229139887</v>
      </c>
    </row>
    <row r="7173" customFormat="false" ht="17.15" hidden="false" customHeight="false" outlineLevel="0" collapsed="false">
      <c r="A7173" s="0" t="s">
        <v>1108</v>
      </c>
      <c r="B7173" s="0" t="s">
        <v>98</v>
      </c>
      <c r="F7173" s="6" t="n">
        <f aca="false">Sens!F7081</f>
        <v>168.45390404212</v>
      </c>
      <c r="G7173" s="6" t="n">
        <f aca="false">Sens!G7081</f>
        <v>191.944475649048</v>
      </c>
      <c r="H7173" s="6" t="n">
        <f aca="false">Sens!H7081</f>
        <v>196.806004064512</v>
      </c>
      <c r="I7173" s="6" t="n">
        <f aca="false">Sens!I7081</f>
        <v>168.61483362161</v>
      </c>
      <c r="J7173" s="6" t="n">
        <f aca="false">Sens!J7081</f>
        <v>128.92993119594</v>
      </c>
      <c r="K7173" s="6" t="n">
        <f aca="false">Sens!K7081</f>
        <v>118.962853064733</v>
      </c>
    </row>
    <row r="7174" customFormat="false" ht="17.15" hidden="false" customHeight="false" outlineLevel="0" collapsed="false">
      <c r="A7174" s="1" t="s">
        <v>1109</v>
      </c>
      <c r="B7174" s="0" t="s">
        <v>98</v>
      </c>
      <c r="E7174" s="6" t="n">
        <f aca="false">Sens!E7089*cx_azo+Sens!E7096*cx_m365+Sens!E7097*cx_lic+(Sens!E7099+Sens!E7101)*cx_ind+Sens!E7104*cx_srch+(Sens!E7106+Sens!E7108)*cx_dev</f>
        <v>30.1846587067718</v>
      </c>
      <c r="F7174" s="6" t="n">
        <f aca="false">Sens!F7089*cx_azo+Sens!F7096*cx_m365+Sens!F7097*cx_lic+(Sens!F7099+Sens!F7101)*cx_ind+Sens!F7104*cx_srch+(Sens!F7106+Sens!F7108)*cx_dev</f>
        <v>35.7687765979035</v>
      </c>
      <c r="G7174" s="6" t="n">
        <f aca="false">Sens!G7089*cx_azo+Sens!G7096*cx_m365+Sens!G7097*cx_lic+(Sens!G7099+Sens!G7101)*cx_ind+Sens!G7104*cx_srch+(Sens!G7106+Sens!G7108)*cx_dev</f>
        <v>40.9757540357788</v>
      </c>
      <c r="H7174" s="6" t="n">
        <f aca="false">Sens!H7089*cx_azo+Sens!H7096*cx_m365+Sens!H7097*cx_lic+(Sens!H7099+Sens!H7101)*cx_ind+Sens!H7104*cx_srch+(Sens!H7106+Sens!H7108)*cx_dev</f>
        <v>46.2692158089471</v>
      </c>
      <c r="I7174" s="6" t="n">
        <f aca="false">Sens!I7089*cx_azo+Sens!I7096*cx_m365+Sens!I7097*cx_lic+(Sens!I7099+Sens!I7101)*cx_ind+Sens!I7104*cx_srch+(Sens!I7106+Sens!I7108)*cx_dev</f>
        <v>51.4005443972216</v>
      </c>
      <c r="J7174" s="6" t="n">
        <f aca="false">Sens!J7089*cx_azo+Sens!J7096*cx_m365+Sens!J7097*cx_lic+(Sens!J7099+Sens!J7101)*cx_ind+Sens!J7104*cx_srch+(Sens!J7106+Sens!J7108)*cx_dev</f>
        <v>56.1322127270726</v>
      </c>
      <c r="K7174" s="6" t="n">
        <f aca="false">Sens!K7089*cx_azo+Sens!K7096*cx_m365+Sens!K7097*cx_lic+(Sens!K7099+Sens!K7101)*cx_ind+Sens!K7104*cx_srch+(Sens!K7106+Sens!K7108)*cx_dev</f>
        <v>60.2563244232056</v>
      </c>
    </row>
    <row r="7175" customFormat="false" ht="17.15" hidden="false" customHeight="false" outlineLevel="0" collapsed="false">
      <c r="A7175" s="0" t="s">
        <v>1110</v>
      </c>
      <c r="B7175" s="0" t="s">
        <v>98</v>
      </c>
      <c r="F7175" s="6" t="n">
        <f aca="false">Sens!F7079</f>
        <v>0</v>
      </c>
      <c r="L7175" s="1" t="s">
        <v>1111</v>
      </c>
    </row>
    <row r="7176" customFormat="false" ht="17.15" hidden="false" customHeight="false" outlineLevel="0" collapsed="false">
      <c r="A7176" s="1" t="s">
        <v>1112</v>
      </c>
      <c r="B7176" s="0" t="s">
        <v>98</v>
      </c>
      <c r="E7176" s="6" t="n">
        <f aca="false">Q!M43</f>
        <v>145.3</v>
      </c>
      <c r="F7176" s="6" t="n">
        <f aca="false">Sens!F7173+Sens!F7174+Sens!F7175</f>
        <v>204.222680640023</v>
      </c>
      <c r="G7176" s="6" t="n">
        <f aca="false">Sens!G7173+Sens!G7174</f>
        <v>232.920229684827</v>
      </c>
      <c r="H7176" s="6" t="n">
        <f aca="false">Sens!H7173+Sens!H7174</f>
        <v>243.075219873459</v>
      </c>
      <c r="I7176" s="6" t="n">
        <f aca="false">Sens!I7173+Sens!I7174</f>
        <v>220.015378018832</v>
      </c>
      <c r="J7176" s="6" t="n">
        <f aca="false">Sens!J7173+Sens!J7174</f>
        <v>185.062143923013</v>
      </c>
      <c r="K7176" s="6" t="n">
        <f aca="false">Sens!K7173+Sens!K7174</f>
        <v>179.219177487938</v>
      </c>
      <c r="L7176" s="1" t="s">
        <v>1113</v>
      </c>
    </row>
    <row r="7177" customFormat="false" ht="15" hidden="false" customHeight="false" outlineLevel="0" collapsed="false">
      <c r="A7177" s="1" t="s">
        <v>1114</v>
      </c>
      <c r="B7177" s="0" t="s">
        <v>98</v>
      </c>
      <c r="E7177" s="6" t="n">
        <f aca="false">fl_liab</f>
        <v>66.594</v>
      </c>
      <c r="F7177" s="6" t="n">
        <f aca="false">Sens!E7177-Sens!F7178</f>
        <v>62.46973</v>
      </c>
      <c r="G7177" s="6" t="n">
        <f aca="false">Sens!F7177-Sens!G7178</f>
        <v>57.98686785</v>
      </c>
      <c r="H7177" s="6" t="n">
        <f aca="false">Sens!G7177-Sens!H7178</f>
        <v>53.92827690325</v>
      </c>
      <c r="I7177" s="6" t="n">
        <f aca="false">Sens!H7177-Sens!I7178</f>
        <v>49.7850493638962</v>
      </c>
      <c r="J7177" s="6" t="n">
        <f aca="false">Sens!I7177-Sens!J7178</f>
        <v>45.4823765852716</v>
      </c>
      <c r="K7177" s="6" t="n">
        <f aca="false">Sens!J7177-Sens!K7178</f>
        <v>40.9860835316088</v>
      </c>
    </row>
    <row r="7178" customFormat="false" ht="15" hidden="false" customHeight="false" outlineLevel="0" collapsed="false">
      <c r="A7178" s="1" t="s">
        <v>1115</v>
      </c>
      <c r="B7178" s="0" t="s">
        <v>98</v>
      </c>
      <c r="F7178" s="6" t="n">
        <f aca="false">fl_pay_27-Sens!E7177*fl_rate</f>
        <v>4.12427</v>
      </c>
      <c r="G7178" s="6" t="n">
        <f aca="false">fl_pay_28-Sens!F7177*fl_rate</f>
        <v>4.48286215</v>
      </c>
      <c r="H7178" s="6" t="n">
        <f aca="false">fl_pay_29-Sens!G7177*fl_rate</f>
        <v>4.05859094675</v>
      </c>
      <c r="I7178" s="6" t="n">
        <f aca="false">fl_pay_30-Sens!H7177*fl_rate</f>
        <v>4.14322753935375</v>
      </c>
      <c r="J7178" s="6" t="n">
        <f aca="false">fl_pay_31-Sens!I7177*fl_rate</f>
        <v>4.30267277862467</v>
      </c>
      <c r="K7178" s="6" t="n">
        <f aca="false">fl_pay_32-Sens!J7177*fl_rate</f>
        <v>4.49629305366278</v>
      </c>
    </row>
    <row r="7179" customFormat="false" ht="17.15" hidden="false" customHeight="false" outlineLevel="0" collapsed="false">
      <c r="A7179" s="1" t="s">
        <v>1116</v>
      </c>
      <c r="B7179" s="0" t="s">
        <v>98</v>
      </c>
      <c r="E7179" s="6" t="n">
        <f aca="false">Q!M35-Q!M36-Q!M44</f>
        <v>63.886</v>
      </c>
      <c r="F7179" s="6" t="n">
        <f aca="false">Sens!F7172-Sens!F7176-Sens!F7178</f>
        <v>7.62394893578095</v>
      </c>
      <c r="G7179" s="6" t="n">
        <f aca="false">Sens!G7172-Sens!G7176-Sens!G7178</f>
        <v>8.5711704428281</v>
      </c>
      <c r="H7179" s="6" t="n">
        <f aca="false">Sens!H7172-Sens!H7176-Sens!H7178</f>
        <v>32.5718769691302</v>
      </c>
      <c r="I7179" s="6" t="n">
        <f aca="false">Sens!I7172-Sens!I7176-Sens!I7178</f>
        <v>92.9799737396378</v>
      </c>
      <c r="J7179" s="6" t="n">
        <f aca="false">Sens!J7172-Sens!J7176-Sens!J7178</f>
        <v>159.21482178203</v>
      </c>
      <c r="K7179" s="6" t="n">
        <f aca="false">Sens!K7172-Sens!K7176-Sens!K7178</f>
        <v>190.496758598286</v>
      </c>
      <c r="L7179" s="12" t="s">
        <v>1117</v>
      </c>
    </row>
    <row r="7180" customFormat="false" ht="15" hidden="false" customHeight="false" outlineLevel="0" collapsed="false">
      <c r="A7180" s="1" t="s">
        <v>1118</v>
      </c>
      <c r="B7180" s="0" t="s">
        <v>75</v>
      </c>
      <c r="F7180" s="8" t="n">
        <f aca="false">dps_27</f>
        <v>3.85</v>
      </c>
      <c r="G7180" s="8" t="n">
        <f aca="false">Sens!F7180*(1+dps_g)</f>
        <v>4.158</v>
      </c>
      <c r="H7180" s="8" t="n">
        <f aca="false">Sens!G7180*(1+dps_g)</f>
        <v>4.49064</v>
      </c>
      <c r="I7180" s="8" t="n">
        <f aca="false">Sens!H7180*(1+dps_g)</f>
        <v>4.8498912</v>
      </c>
      <c r="J7180" s="8" t="n">
        <f aca="false">Sens!I7180*(1+dps_g)</f>
        <v>5.237882496</v>
      </c>
      <c r="K7180" s="8" t="n">
        <f aca="false">Sens!J7180*(1+dps_g)</f>
        <v>5.65691309568</v>
      </c>
    </row>
    <row r="7181" customFormat="false" ht="17.15" hidden="false" customHeight="false" outlineLevel="0" collapsed="false">
      <c r="A7181" s="1" t="s">
        <v>1119</v>
      </c>
      <c r="B7181" s="0" t="s">
        <v>98</v>
      </c>
      <c r="E7181" s="6" t="n">
        <f aca="false">Q!M41</f>
        <v>26.445</v>
      </c>
      <c r="F7181" s="6" t="n">
        <f aca="false">Sens!F7180*Sens!E7190</f>
        <v>28.59395</v>
      </c>
      <c r="G7181" s="6" t="n">
        <f aca="false">Sens!G7180*Sens!F7190</f>
        <v>31.068576</v>
      </c>
      <c r="H7181" s="6" t="n">
        <f aca="false">Sens!H7180*Sens!G7190</f>
        <v>33.75614088</v>
      </c>
      <c r="I7181" s="6" t="n">
        <f aca="false">Sens!I7180*Sens!H7190</f>
        <v>36.6748772544</v>
      </c>
      <c r="J7181" s="6" t="n">
        <f aca="false">Sens!J7180*Sens!I7190</f>
        <v>39.6767653201446</v>
      </c>
      <c r="K7181" s="6" t="n">
        <f aca="false">Sens!K7180*Sens!J7190</f>
        <v>42.9376608081345</v>
      </c>
      <c r="L7181" s="1" t="s">
        <v>1120</v>
      </c>
    </row>
    <row r="7182" customFormat="false" ht="15" hidden="false" customHeight="false" outlineLevel="0" collapsed="false">
      <c r="A7182" s="1" t="s">
        <v>1121</v>
      </c>
      <c r="B7182" s="0" t="s">
        <v>98</v>
      </c>
      <c r="E7182" s="6" t="n">
        <f aca="false">Sens!E7179-Sens!E7181</f>
        <v>37.441</v>
      </c>
      <c r="F7182" s="6" t="n">
        <f aca="false">Sens!F7179-Sens!F7181</f>
        <v>-20.970001064219</v>
      </c>
      <c r="G7182" s="6" t="n">
        <f aca="false">Sens!G7179-Sens!G7181</f>
        <v>-22.4974055571719</v>
      </c>
      <c r="H7182" s="6" t="n">
        <f aca="false">Sens!H7179-Sens!H7181</f>
        <v>-1.18426391086982</v>
      </c>
      <c r="I7182" s="6" t="n">
        <f aca="false">Sens!I7179-Sens!I7181</f>
        <v>56.3050964852378</v>
      </c>
      <c r="J7182" s="6" t="n">
        <f aca="false">Sens!J7179-Sens!J7181</f>
        <v>119.538056461885</v>
      </c>
      <c r="K7182" s="6" t="n">
        <f aca="false">Sens!K7179-Sens!K7181</f>
        <v>147.559097790151</v>
      </c>
    </row>
    <row r="7183" customFormat="false" ht="15" hidden="false" customHeight="false" outlineLevel="0" collapsed="false">
      <c r="A7183" s="1" t="s">
        <v>1122</v>
      </c>
      <c r="B7183" s="0" t="s">
        <v>98</v>
      </c>
      <c r="F7183" s="6" t="n">
        <f aca="false">debt_mat_27</f>
        <v>9.25</v>
      </c>
      <c r="G7183" s="6" t="n">
        <f aca="false">debt_mat_28</f>
        <v>0</v>
      </c>
      <c r="H7183" s="6" t="n">
        <f aca="false">debt_mat_29</f>
        <v>2.001</v>
      </c>
      <c r="I7183" s="6" t="n">
        <f aca="false">debt_mat_30</f>
        <v>0</v>
      </c>
      <c r="J7183" s="6" t="n">
        <f aca="false">debt_mat_31</f>
        <v>0.5</v>
      </c>
      <c r="K7183" s="6" t="n">
        <f aca="false">debt_mat_32</f>
        <v>0</v>
      </c>
    </row>
    <row r="7184" customFormat="false" ht="15" hidden="false" customHeight="false" outlineLevel="0" collapsed="false">
      <c r="A7184" s="1" t="s">
        <v>1123</v>
      </c>
      <c r="B7184" s="0" t="s">
        <v>98</v>
      </c>
      <c r="E7184" s="6" t="n">
        <f aca="false">Q!M40</f>
        <v>22.271</v>
      </c>
      <c r="F7184" s="6" t="n">
        <f aca="false">MAX(0,MIN(bb_target,Sens!E7186+Sens!F7182-Sens!F7183-min_cash))</f>
        <v>0</v>
      </c>
      <c r="G7184" s="6" t="n">
        <f aca="false">MAX(0,MIN(bb_target,Sens!F7186+Sens!G7182-Sens!G7183-min_cash))</f>
        <v>0</v>
      </c>
      <c r="H7184" s="6" t="n">
        <f aca="false">MAX(0,MIN(bb_target,Sens!G7186+Sens!H7182-Sens!H7183-min_cash))</f>
        <v>0</v>
      </c>
      <c r="I7184" s="6" t="n">
        <f aca="false">MAX(0,MIN(bb_target,Sens!H7186+Sens!I7182-Sens!I7183-min_cash))</f>
        <v>22.271</v>
      </c>
      <c r="J7184" s="6" t="n">
        <f aca="false">MAX(0,MIN(bb_target,Sens!I7186+Sens!J7182-Sens!J7183-min_cash))</f>
        <v>22.271</v>
      </c>
      <c r="K7184" s="6" t="n">
        <f aca="false">MAX(0,MIN(bb_target,Sens!J7186+Sens!K7182-Sens!K7183-min_cash))</f>
        <v>22.271</v>
      </c>
    </row>
    <row r="7185" customFormat="false" ht="15" hidden="false" customHeight="false" outlineLevel="0" collapsed="false">
      <c r="A7185" s="1" t="s">
        <v>1124</v>
      </c>
      <c r="B7185" s="0" t="s">
        <v>98</v>
      </c>
      <c r="F7185" s="6" t="n">
        <f aca="false">MAX(0,min_cash-(Sens!E7186+Sens!F7182-Sens!F7183-Sens!F7184))</f>
        <v>3.37700106421904</v>
      </c>
      <c r="G7185" s="6" t="n">
        <f aca="false">MAX(0,min_cash-(Sens!F7186+Sens!G7182-Sens!G7183-Sens!G7184))</f>
        <v>22.4974055571719</v>
      </c>
      <c r="H7185" s="6" t="n">
        <f aca="false">MAX(0,min_cash-(Sens!G7186+Sens!H7182-Sens!H7183-Sens!H7184))</f>
        <v>3.18526391086981</v>
      </c>
      <c r="I7185" s="6" t="n">
        <f aca="false">MAX(0,min_cash-(Sens!H7186+Sens!I7182-Sens!I7183-Sens!I7184))</f>
        <v>0</v>
      </c>
      <c r="J7185" s="6" t="n">
        <f aca="false">MAX(0,min_cash-(Sens!I7186+Sens!J7182-Sens!J7183-Sens!J7184))</f>
        <v>0</v>
      </c>
      <c r="K7185" s="6" t="n">
        <f aca="false">MAX(0,min_cash-(Sens!J7186+Sens!K7182-Sens!K7183-Sens!K7184))</f>
        <v>0</v>
      </c>
    </row>
    <row r="7186" customFormat="false" ht="15" hidden="false" customHeight="false" outlineLevel="0" collapsed="false">
      <c r="A7186" s="1" t="s">
        <v>1125</v>
      </c>
      <c r="B7186" s="0" t="s">
        <v>98</v>
      </c>
      <c r="E7186" s="6" t="n">
        <f aca="false">cash_open</f>
        <v>76.843</v>
      </c>
      <c r="F7186" s="6" t="n">
        <f aca="false">Sens!E7186+Sens!F7182-Sens!F7183-Sens!F7184+Sens!F7185</f>
        <v>50</v>
      </c>
      <c r="G7186" s="6" t="n">
        <f aca="false">Sens!F7186+Sens!G7182-Sens!G7183-Sens!G7184+Sens!G7185</f>
        <v>50</v>
      </c>
      <c r="H7186" s="6" t="n">
        <f aca="false">Sens!G7186+Sens!H7182-Sens!H7183-Sens!H7184+Sens!H7185</f>
        <v>50</v>
      </c>
      <c r="I7186" s="6" t="n">
        <f aca="false">Sens!H7186+Sens!I7182-Sens!I7183-Sens!I7184+Sens!I7185</f>
        <v>84.0340964852378</v>
      </c>
      <c r="J7186" s="6" t="n">
        <f aca="false">Sens!I7186+Sens!J7182-Sens!J7183-Sens!J7184+Sens!J7185</f>
        <v>180.801152947123</v>
      </c>
      <c r="K7186" s="6" t="n">
        <f aca="false">Sens!J7186+Sens!K7182-Sens!K7183-Sens!K7184+Sens!K7185</f>
        <v>306.089250737275</v>
      </c>
    </row>
    <row r="7187" customFormat="false" ht="15" hidden="false" customHeight="false" outlineLevel="0" collapsed="false">
      <c r="A7187" s="1" t="s">
        <v>1126</v>
      </c>
      <c r="B7187" s="0" t="s">
        <v>98</v>
      </c>
      <c r="E7187" s="6" t="n">
        <f aca="false">debt_face</f>
        <v>46.136</v>
      </c>
      <c r="F7187" s="6" t="n">
        <f aca="false">Sens!E7187-Sens!F7183+Sens!F7185</f>
        <v>40.2630010642191</v>
      </c>
      <c r="G7187" s="6" t="n">
        <f aca="false">Sens!F7187-Sens!G7183+Sens!G7185</f>
        <v>62.760406621391</v>
      </c>
      <c r="H7187" s="6" t="n">
        <f aca="false">Sens!G7187-Sens!H7183+Sens!H7185</f>
        <v>63.9446705322608</v>
      </c>
      <c r="I7187" s="6" t="n">
        <f aca="false">Sens!H7187-Sens!I7183+Sens!I7185</f>
        <v>63.9446705322608</v>
      </c>
      <c r="J7187" s="6" t="n">
        <f aca="false">Sens!I7187-Sens!J7183+Sens!J7185</f>
        <v>63.4446705322608</v>
      </c>
      <c r="K7187" s="6" t="n">
        <f aca="false">Sens!J7187-Sens!K7183+Sens!K7185</f>
        <v>63.4446705322608</v>
      </c>
    </row>
    <row r="7188" customFormat="false" ht="15" hidden="false" customHeight="false" outlineLevel="0" collapsed="false">
      <c r="A7188" s="1" t="s">
        <v>1127</v>
      </c>
      <c r="B7188" s="0" t="s">
        <v>98</v>
      </c>
      <c r="E7188" s="6" t="n">
        <f aca="false">Sens!E7186-Sens!E7187</f>
        <v>30.707</v>
      </c>
      <c r="F7188" s="6" t="n">
        <f aca="false">Sens!F7186-Sens!F7187</f>
        <v>9.73699893578095</v>
      </c>
      <c r="G7188" s="6" t="n">
        <f aca="false">Sens!G7186-Sens!G7187</f>
        <v>-12.760406621391</v>
      </c>
      <c r="H7188" s="6" t="n">
        <f aca="false">Sens!H7186-Sens!H7187</f>
        <v>-13.9446705322608</v>
      </c>
      <c r="I7188" s="6" t="n">
        <f aca="false">Sens!I7186-Sens!I7187</f>
        <v>20.089425952977</v>
      </c>
      <c r="J7188" s="6" t="n">
        <f aca="false">Sens!J7186-Sens!J7187</f>
        <v>117.356482414862</v>
      </c>
      <c r="K7188" s="6" t="n">
        <f aca="false">Sens!K7186-Sens!K7187</f>
        <v>242.644580205014</v>
      </c>
    </row>
    <row r="7189" customFormat="false" ht="15" hidden="false" customHeight="false" outlineLevel="0" collapsed="false">
      <c r="A7189" s="1" t="s">
        <v>1128</v>
      </c>
      <c r="B7189" s="0" t="s">
        <v>75</v>
      </c>
      <c r="F7189" s="30" t="n">
        <f aca="false">px*(1+bb_g)^(Sens!F7047-base_fy-mid_yr)</f>
        <v>551.84177959629</v>
      </c>
      <c r="G7189" s="30" t="n">
        <f aca="false">px*(1+bb_g)^(Sens!G7047-base_fy-mid_yr)</f>
        <v>595.989121963993</v>
      </c>
      <c r="H7189" s="30" t="n">
        <f aca="false">px*(1+bb_g)^(Sens!H7047-base_fy-mid_yr)</f>
        <v>643.668251721112</v>
      </c>
      <c r="I7189" s="30" t="n">
        <f aca="false">px*(1+bb_g)^(Sens!I7047-base_fy-mid_yr)</f>
        <v>695.161711858801</v>
      </c>
      <c r="J7189" s="30" t="n">
        <f aca="false">px*(1+bb_g)^(Sens!J7047-base_fy-mid_yr)</f>
        <v>750.774648807506</v>
      </c>
      <c r="K7189" s="30" t="n">
        <f aca="false">px*(1+bb_g)^(Sens!K7047-base_fy-mid_yr)</f>
        <v>810.836620712106</v>
      </c>
    </row>
    <row r="7190" customFormat="false" ht="15" hidden="false" customHeight="false" outlineLevel="0" collapsed="false">
      <c r="A7190" s="1" t="s">
        <v>1129</v>
      </c>
      <c r="B7190" s="1" t="s">
        <v>81</v>
      </c>
      <c r="E7190" s="15" t="n">
        <f aca="false">sh_out26</f>
        <v>7.427</v>
      </c>
      <c r="F7190" s="15" t="n">
        <f aca="false">Sens!E7190+sh_iss-Sens!F7184/Sens!F7189</f>
        <v>7.472</v>
      </c>
      <c r="G7190" s="15" t="n">
        <f aca="false">Sens!F7190+sh_iss-Sens!G7184/Sens!G7189</f>
        <v>7.517</v>
      </c>
      <c r="H7190" s="15" t="n">
        <f aca="false">Sens!G7190+sh_iss-Sens!H7184/Sens!H7189</f>
        <v>7.562</v>
      </c>
      <c r="I7190" s="15" t="n">
        <f aca="false">Sens!H7190+sh_iss-Sens!I7184/Sens!I7189</f>
        <v>7.57496285005334</v>
      </c>
      <c r="J7190" s="15" t="n">
        <f aca="false">Sens!I7190+sh_iss-Sens!J7184/Sens!J7189</f>
        <v>7.59029882232494</v>
      </c>
      <c r="K7190" s="15" t="n">
        <f aca="false">Sens!J7190+sh_iss-Sens!K7184/Sens!K7189</f>
        <v>7.60783212998384</v>
      </c>
    </row>
    <row r="7191" customFormat="false" ht="15" hidden="false" customHeight="false" outlineLevel="0" collapsed="false">
      <c r="A7191" s="1" t="s">
        <v>1130</v>
      </c>
      <c r="B7191" s="1" t="s">
        <v>81</v>
      </c>
      <c r="E7191" s="15" t="n">
        <f aca="false">sh_dil26</f>
        <v>7.453</v>
      </c>
      <c r="F7191" s="15" t="n">
        <f aca="false">(Sens!E7190+Sens!F7190)/2+dil_gap</f>
        <v>7.4735</v>
      </c>
      <c r="G7191" s="15" t="n">
        <f aca="false">(Sens!F7190+Sens!G7190)/2+dil_gap</f>
        <v>7.5185</v>
      </c>
      <c r="H7191" s="15" t="n">
        <f aca="false">(Sens!G7190+Sens!H7190)/2+dil_gap</f>
        <v>7.5635</v>
      </c>
      <c r="I7191" s="15" t="n">
        <f aca="false">(Sens!H7190+Sens!I7190)/2+dil_gap</f>
        <v>7.59248142502667</v>
      </c>
      <c r="J7191" s="15" t="n">
        <f aca="false">(Sens!I7190+Sens!J7190)/2+dil_gap</f>
        <v>7.60663083618914</v>
      </c>
      <c r="K7191" s="15" t="n">
        <f aca="false">(Sens!J7190+Sens!K7190)/2+dil_gap</f>
        <v>7.62306547615439</v>
      </c>
    </row>
    <row r="7192" customFormat="false" ht="17.15" hidden="false" customHeight="false" outlineLevel="0" collapsed="false">
      <c r="A7192" s="1" t="s">
        <v>1131</v>
      </c>
      <c r="B7192" s="0" t="s">
        <v>98</v>
      </c>
      <c r="C7192" s="6" t="n">
        <f aca="false">SUM(Sens!F7182:J7182)</f>
        <v>131.191482414862</v>
      </c>
    </row>
    <row r="7193" customFormat="false" ht="15" hidden="false" customHeight="false" outlineLevel="0" collapsed="false">
      <c r="A7193" s="26" t="s">
        <v>1096</v>
      </c>
      <c r="B7193" s="31" t="s">
        <v>98</v>
      </c>
      <c r="C7193" s="27" t="n">
        <f aca="false">Sens!$C$7192-(Sens!F7182+Sens!G7182+Sens!H7182+Sens!I7182+Sens!J7182)</f>
        <v>0</v>
      </c>
      <c r="D7193" s="31"/>
      <c r="E7193" s="31"/>
      <c r="F7193" s="31"/>
      <c r="G7193" s="31"/>
      <c r="H7193" s="31"/>
      <c r="I7193" s="31"/>
      <c r="J7193" s="31"/>
      <c r="K7193" s="31"/>
    </row>
    <row r="7194" customFormat="false" ht="17.15" hidden="false" customHeight="false" outlineLevel="0" collapsed="false">
      <c r="A7194" s="1" t="s">
        <v>1090</v>
      </c>
      <c r="B7194" s="1" t="s">
        <v>1132</v>
      </c>
      <c r="C7194" s="33" t="str">
        <f aca="false">IF(SUM(Sens!F7185:J7185)&gt;0.05,"需要舉債 "&amp;TEXT(SUM(Sens!F7185:J7185),"0.0")&amp;" 十億美元","不需舉債")&amp;"；"&amp;IF(SUM(Sens!F7184:J7184)&lt;COUNT(Sens!F7184:J7184)*bb_target-0.05,"回購較每年 "&amp;TEXT(bb_target,"0.0")&amp;" 的目標少 "&amp;TEXT(COUNT(Sens!F7184:J7184)*bb_target-SUM(Sens!F7184:J7184),"0.0")&amp;" 十億美元（"&amp;TEXT(COUNTIF(Sens!F7184:J7184,"&lt;"&amp;(bb_target-0.05)),"0")&amp;" 年減少）","回購不減")</f>
        <v>需要舉債 29.1 十億美元；回購較每年 22.3 的目標少 66.8 十億美元（3 年減少）</v>
      </c>
    </row>
    <row r="7195" customFormat="false" ht="17.15" hidden="false" customHeight="false" outlineLevel="0" collapsed="false">
      <c r="A7195" s="3" t="s">
        <v>1659</v>
      </c>
    </row>
    <row r="7196" customFormat="false" ht="15" hidden="false" customHeight="false" outlineLevel="0" collapsed="false">
      <c r="A7196" s="4" t="s">
        <v>43</v>
      </c>
      <c r="B7196" s="4" t="s">
        <v>65</v>
      </c>
      <c r="C7196" s="23" t="s">
        <v>938</v>
      </c>
      <c r="D7196" s="23" t="s">
        <v>939</v>
      </c>
      <c r="E7196" s="23" t="s">
        <v>940</v>
      </c>
      <c r="F7196" s="23" t="s">
        <v>941</v>
      </c>
      <c r="G7196" s="23" t="s">
        <v>942</v>
      </c>
      <c r="H7196" s="23" t="s">
        <v>943</v>
      </c>
      <c r="I7196" s="23" t="s">
        <v>944</v>
      </c>
      <c r="J7196" s="23" t="s">
        <v>945</v>
      </c>
      <c r="K7196" s="23" t="s">
        <v>946</v>
      </c>
      <c r="L7196" s="4" t="s">
        <v>47</v>
      </c>
    </row>
    <row r="7197" customFormat="false" ht="17.15" hidden="false" customHeight="false" outlineLevel="0" collapsed="false">
      <c r="A7197" s="1" t="s">
        <v>1212</v>
      </c>
      <c r="B7197" s="1" t="s">
        <v>279</v>
      </c>
      <c r="F7197" s="8" t="n">
        <f aca="false">(1-v_off)*mid_yr</f>
        <v>0.373972602739726</v>
      </c>
      <c r="G7197" s="8" t="n">
        <f aca="false">Sens!G7047-base_fy-mid_yr-v_off</f>
        <v>1.24794520547945</v>
      </c>
      <c r="H7197" s="8" t="n">
        <f aca="false">Sens!H7047-base_fy-mid_yr-v_off</f>
        <v>2.24794520547945</v>
      </c>
      <c r="I7197" s="8" t="n">
        <f aca="false">Sens!I7047-base_fy-mid_yr-v_off</f>
        <v>3.24794520547945</v>
      </c>
      <c r="J7197" s="8" t="n">
        <f aca="false">Sens!J7047-base_fy-mid_yr-v_off</f>
        <v>4.24794520547945</v>
      </c>
      <c r="K7197" s="8" t="n">
        <f aca="false">Sens!K7047-base_fy-mid_yr-v_off</f>
        <v>5.24794520547945</v>
      </c>
      <c r="L7197" s="12" t="s">
        <v>1213</v>
      </c>
    </row>
    <row r="7198" customFormat="false" ht="15" hidden="false" customHeight="false" outlineLevel="0" collapsed="false">
      <c r="A7198" s="1" t="s">
        <v>1214</v>
      </c>
      <c r="B7198" s="1" t="s">
        <v>279</v>
      </c>
      <c r="F7198" s="8" t="n">
        <f aca="false">Sens!F7047-base_fy-v_off</f>
        <v>0.747945205479452</v>
      </c>
      <c r="G7198" s="8" t="n">
        <f aca="false">Sens!G7047-base_fy-v_off</f>
        <v>1.74794520547945</v>
      </c>
      <c r="H7198" s="8" t="n">
        <f aca="false">Sens!H7047-base_fy-v_off</f>
        <v>2.74794520547945</v>
      </c>
      <c r="I7198" s="8" t="n">
        <f aca="false">Sens!I7047-base_fy-v_off</f>
        <v>3.74794520547945</v>
      </c>
      <c r="J7198" s="8" t="n">
        <f aca="false">Sens!J7047-base_fy-v_off</f>
        <v>4.74794520547945</v>
      </c>
      <c r="K7198" s="8" t="n">
        <f aca="false">Sens!K7047-base_fy-v_off</f>
        <v>5.74794520547945</v>
      </c>
    </row>
    <row r="7199" customFormat="false" ht="15" hidden="false" customHeight="false" outlineLevel="0" collapsed="false">
      <c r="A7199" s="1" t="s">
        <v>1215</v>
      </c>
      <c r="B7199" s="0" t="s">
        <v>229</v>
      </c>
      <c r="F7199" s="15" t="n">
        <f aca="false">1/(1+wacc)^Sens!F7197</f>
        <v>0.964022703286649</v>
      </c>
      <c r="G7199" s="15" t="n">
        <f aca="false">1/(1+wacc)^Sens!G7197</f>
        <v>0.884910302296739</v>
      </c>
      <c r="H7199" s="15" t="n">
        <f aca="false">1/(1+wacc)^Sens!H7197</f>
        <v>0.802322009770358</v>
      </c>
      <c r="I7199" s="15" t="n">
        <f aca="false">1/(1+wacc)^Sens!I7197</f>
        <v>0.727441646561469</v>
      </c>
      <c r="J7199" s="15" t="n">
        <f aca="false">1/(1+wacc)^Sens!J7197</f>
        <v>0.659549834988973</v>
      </c>
      <c r="K7199" s="15" t="n">
        <f aca="false">1/(1+wacc)^Sens!K7197</f>
        <v>0.597994336576966</v>
      </c>
    </row>
    <row r="7200" customFormat="false" ht="17.15" hidden="false" customHeight="false" outlineLevel="0" collapsed="false">
      <c r="A7200" s="1" t="s">
        <v>1216</v>
      </c>
      <c r="B7200" s="0" t="s">
        <v>98</v>
      </c>
      <c r="F7200" s="6" t="n">
        <f aca="false">Q!$I$35-Q!$I$39-Q!$I$43</f>
        <v>9.666</v>
      </c>
      <c r="L7200" s="12" t="s">
        <v>1217</v>
      </c>
    </row>
    <row r="7201" customFormat="false" ht="17.15" hidden="false" customHeight="false" outlineLevel="0" collapsed="false">
      <c r="A7201" s="1" t="s">
        <v>1218</v>
      </c>
      <c r="B7201" s="0" t="s">
        <v>98</v>
      </c>
      <c r="F7201" s="6" t="n">
        <f aca="false">Sens!F7172-Sens!F7169-Sens!F7176+Sens!F7154*(1-tax_f)*(1-v_off)-Sens!F7200</f>
        <v>-6.04527051599837</v>
      </c>
      <c r="G7201" s="6" t="n">
        <f aca="false">Sens!G7172-Sens!G7169-Sens!G7176+Sens!G7154*(1-tax_f)</f>
        <v>19.2781266041639</v>
      </c>
      <c r="H7201" s="6" t="n">
        <f aca="false">Sens!H7172-Sens!H7169-Sens!H7176+Sens!H7154*(1-tax_f)</f>
        <v>56.3171387152034</v>
      </c>
      <c r="I7201" s="6" t="n">
        <f aca="false">Sens!I7172-Sens!I7169-Sens!I7176+Sens!I7154*(1-tax_f)</f>
        <v>128.375199667305</v>
      </c>
      <c r="J7201" s="6" t="n">
        <f aca="false">Sens!J7172-Sens!J7169-Sens!J7176+Sens!J7154*(1-tax_f)</f>
        <v>202.469808624071</v>
      </c>
      <c r="K7201" s="6" t="n">
        <f aca="false">Sens!K7172-Sens!K7169-Sens!K7176+Sens!K7154*(1-tax_f)</f>
        <v>238.088570262445</v>
      </c>
      <c r="L7201" s="1" t="s">
        <v>1219</v>
      </c>
    </row>
    <row r="7202" customFormat="false" ht="15" hidden="false" customHeight="false" outlineLevel="0" collapsed="false">
      <c r="A7202" s="1" t="s">
        <v>1220</v>
      </c>
      <c r="B7202" s="0" t="s">
        <v>98</v>
      </c>
      <c r="F7202" s="6" t="n">
        <f aca="false">Sens!F7201*Sens!F7199</f>
        <v>-5.82777802493182</v>
      </c>
      <c r="G7202" s="6" t="n">
        <f aca="false">Sens!G7201*Sens!G7199</f>
        <v>17.0594128410055</v>
      </c>
      <c r="H7202" s="6" t="n">
        <f aca="false">Sens!H7201*Sens!H7199</f>
        <v>45.1844799184981</v>
      </c>
      <c r="I7202" s="6" t="n">
        <f aca="false">Sens!I7201*Sens!I7199</f>
        <v>93.385466623642</v>
      </c>
      <c r="J7202" s="6" t="n">
        <f aca="false">Sens!J7201*Sens!J7199</f>
        <v>133.538928868255</v>
      </c>
      <c r="K7202" s="6" t="n">
        <f aca="false">Sens!K7201*Sens!K7199</f>
        <v>142.375616620649</v>
      </c>
    </row>
    <row r="7203" customFormat="false" ht="17.15" hidden="false" customHeight="false" outlineLevel="0" collapsed="false">
      <c r="A7203" s="1" t="s">
        <v>1221</v>
      </c>
      <c r="B7203" s="0" t="s">
        <v>98</v>
      </c>
      <c r="C7203" s="6" t="n">
        <f aca="false">SUM(Sens!F7202:K7202)</f>
        <v>425.716126847118</v>
      </c>
    </row>
    <row r="7204" customFormat="false" ht="17.15" hidden="false" customHeight="false" outlineLevel="0" collapsed="false">
      <c r="A7204" s="1" t="s">
        <v>1222</v>
      </c>
      <c r="B7204" s="0" t="s">
        <v>98</v>
      </c>
      <c r="C7204" s="6" t="n">
        <f aca="false">Sens!K7140*(1+g_tv)*(1-tax_f)</f>
        <v>247.228181557354</v>
      </c>
    </row>
    <row r="7205" customFormat="false" ht="17.15" hidden="false" customHeight="false" outlineLevel="0" collapsed="false">
      <c r="A7205" s="1" t="s">
        <v>1223</v>
      </c>
      <c r="B7205" s="0" t="s">
        <v>98</v>
      </c>
      <c r="C7205" s="6" t="n">
        <f aca="false">Sens!$C$7204*(1-g_tv/(wacc+ronic_prem))</f>
        <v>175.175616200488</v>
      </c>
    </row>
    <row r="7206" customFormat="false" ht="17.15" hidden="false" customHeight="false" outlineLevel="0" collapsed="false">
      <c r="A7206" s="1" t="s">
        <v>1224</v>
      </c>
      <c r="B7206" s="0" t="s">
        <v>98</v>
      </c>
      <c r="C7206" s="6" t="n">
        <f aca="false">Sens!$C$7205/(wacc-g_tv)</f>
        <v>2401.7521785622</v>
      </c>
    </row>
    <row r="7207" customFormat="false" ht="15" hidden="false" customHeight="false" outlineLevel="0" collapsed="false">
      <c r="A7207" s="1" t="s">
        <v>1225</v>
      </c>
      <c r="B7207" s="0" t="s">
        <v>98</v>
      </c>
      <c r="C7207" s="6" t="n">
        <f aca="false">Sens!$C$7206/(1+wacc)^Sens!K7198</f>
        <v>1367.5713429387</v>
      </c>
    </row>
    <row r="7208" customFormat="false" ht="17.15" hidden="false" customHeight="false" outlineLevel="0" collapsed="false">
      <c r="A7208" s="0" t="s">
        <v>1226</v>
      </c>
      <c r="B7208" s="0" t="s">
        <v>98</v>
      </c>
      <c r="C7208" s="6" t="n">
        <f aca="false">Sens!$C$7203+Sens!$C$7207</f>
        <v>1793.28746978581</v>
      </c>
    </row>
    <row r="7209" customFormat="false" ht="15" hidden="false" customHeight="false" outlineLevel="0" collapsed="false">
      <c r="A7209" s="1" t="s">
        <v>1141</v>
      </c>
      <c r="B7209" s="0" t="s">
        <v>168</v>
      </c>
      <c r="C7209" s="7" t="n">
        <f aca="false">Sens!$C$7207/Sens!$C$7208</f>
        <v>0.76260575394643</v>
      </c>
    </row>
    <row r="7210" customFormat="false" ht="17.15" hidden="false" customHeight="false" outlineLevel="0" collapsed="false">
      <c r="A7210" s="1" t="s">
        <v>1227</v>
      </c>
      <c r="B7210" s="0" t="s">
        <v>98</v>
      </c>
      <c r="C7210" s="6" t="n">
        <f aca="false">Sens!$C$7208+cash_val-debt_val-fl_val+oai_v</f>
        <v>1909.13846978581</v>
      </c>
    </row>
    <row r="7211" customFormat="false" ht="17.15" hidden="false" customHeight="false" outlineLevel="0" collapsed="false">
      <c r="A7211" s="0" t="s">
        <v>1149</v>
      </c>
      <c r="B7211" s="0" t="s">
        <v>75</v>
      </c>
      <c r="C7211" s="5" t="n">
        <f aca="false">Sens!$C$7210/shd_val</f>
        <v>256.397860567528</v>
      </c>
    </row>
    <row r="7212" customFormat="false" ht="15" hidden="false" customHeight="false" outlineLevel="0" collapsed="false">
      <c r="A7212" s="1" t="s">
        <v>1228</v>
      </c>
      <c r="B7212" s="0" t="s">
        <v>75</v>
      </c>
      <c r="C7212" s="8" t="n">
        <f aca="false">div_rem27+Sens!G7180*roll_div_q/q_per_yr</f>
        <v>3.9795</v>
      </c>
    </row>
    <row r="7213" customFormat="false" ht="17.15" hidden="false" customHeight="false" outlineLevel="0" collapsed="false">
      <c r="A7213" s="0" t="s">
        <v>1229</v>
      </c>
      <c r="B7213" s="0" t="s">
        <v>75</v>
      </c>
      <c r="C7213" s="5" t="n">
        <f aca="false">Sens!$C$7211*(1+wacc)^t_roll-Sens!$C$7212</f>
        <v>281.021031776119</v>
      </c>
    </row>
    <row r="7214" customFormat="false" ht="17.15" hidden="false" customHeight="false" outlineLevel="0" collapsed="false">
      <c r="A7214" s="1" t="s">
        <v>1230</v>
      </c>
      <c r="B7214" s="0" t="s">
        <v>168</v>
      </c>
      <c r="F7214" s="7" t="n">
        <f aca="false">Sens!F7166/(Sens!F7111-Sens!F7066)</f>
        <v>0.0687754177900804</v>
      </c>
      <c r="G7214" s="7" t="n">
        <f aca="false">Sens!G7166/(Sens!G7111-Sens!G7066)</f>
        <v>0.0666037489201934</v>
      </c>
      <c r="H7214" s="7" t="n">
        <f aca="false">Sens!H7166/(Sens!H7111-Sens!H7066)</f>
        <v>0.0655467575441126</v>
      </c>
      <c r="I7214" s="7" t="n">
        <f aca="false">Sens!I7166/(Sens!I7111-Sens!I7066)</f>
        <v>0.0654533548972818</v>
      </c>
      <c r="J7214" s="7" t="n">
        <f aca="false">Sens!J7166/(Sens!J7111-Sens!J7066)</f>
        <v>0.0661495015665309</v>
      </c>
      <c r="K7214" s="7" t="n">
        <f aca="false">Sens!K7166/(Sens!K7111-Sens!K7066)</f>
        <v>0.067461650754408</v>
      </c>
    </row>
    <row r="7215" customFormat="false" ht="17.15" hidden="false" customHeight="false" outlineLevel="0" collapsed="false">
      <c r="A7215" s="0" t="s">
        <v>1231</v>
      </c>
      <c r="B7215" s="0" t="s">
        <v>98</v>
      </c>
      <c r="F7215" s="6" t="n">
        <f aca="false">Sens!F7096*(al_m365+Sens!F7214+sbc_r)</f>
        <v>82.5255289938659</v>
      </c>
      <c r="G7215" s="6" t="n">
        <f aca="false">Sens!G7096*(al_m365+Sens!G7214+sbc_r)</f>
        <v>91.9002610259117</v>
      </c>
      <c r="H7215" s="6" t="n">
        <f aca="false">Sens!H7096*(al_m365+Sens!H7214+sbc_r)</f>
        <v>101.433692298561</v>
      </c>
      <c r="I7215" s="6" t="n">
        <f aca="false">Sens!I7096*(al_m365+Sens!I7214+sbc_r)</f>
        <v>110.702454163549</v>
      </c>
      <c r="J7215" s="6" t="n">
        <f aca="false">Sens!J7096*(al_m365+Sens!J7214+sbc_r)</f>
        <v>119.51682627776</v>
      </c>
      <c r="K7215" s="6" t="n">
        <f aca="false">Sens!K7096*(al_m365+Sens!K7214+sbc_r)</f>
        <v>127.928566051649</v>
      </c>
      <c r="L7215" s="12" t="s">
        <v>1232</v>
      </c>
    </row>
    <row r="7216" customFormat="false" ht="17.15" hidden="false" customHeight="false" outlineLevel="0" collapsed="false">
      <c r="A7216" s="0" t="s">
        <v>1233</v>
      </c>
      <c r="B7216" s="0" t="s">
        <v>98</v>
      </c>
      <c r="F7216" s="6" t="n">
        <f aca="false">Sens!F7097*(al_lic+Sens!F7214+sbc_r)</f>
        <v>32.8637480775264</v>
      </c>
      <c r="G7216" s="6" t="n">
        <f aca="false">Sens!G7097*(al_lic+Sens!G7214+sbc_r)</f>
        <v>34.1684504290362</v>
      </c>
      <c r="H7216" s="6" t="n">
        <f aca="false">Sens!H7097*(al_lic+Sens!H7214+sbc_r)</f>
        <v>35.3805763638208</v>
      </c>
      <c r="I7216" s="6" t="n">
        <f aca="false">Sens!I7097*(al_lic+Sens!I7214+sbc_r)</f>
        <v>36.4794695362328</v>
      </c>
      <c r="J7216" s="6" t="n">
        <f aca="false">Sens!J7097*(al_lic+Sens!J7214+sbc_r)</f>
        <v>37.4433749379531</v>
      </c>
      <c r="K7216" s="6" t="n">
        <f aca="false">Sens!K7097*(al_lic+Sens!K7214+sbc_r)</f>
        <v>38.2509560113026</v>
      </c>
    </row>
    <row r="7217" customFormat="false" ht="17.15" hidden="false" customHeight="false" outlineLevel="0" collapsed="false">
      <c r="A7217" s="0" t="s">
        <v>1234</v>
      </c>
      <c r="B7217" s="0" t="s">
        <v>98</v>
      </c>
      <c r="F7217" s="6" t="n">
        <f aca="false">Sens!F7099*(al_ind+Sens!F7214+sbc_r)</f>
        <v>9.06389500759704</v>
      </c>
      <c r="G7217" s="6" t="n">
        <f aca="false">Sens!G7099*(al_ind+Sens!G7214+sbc_r)</f>
        <v>9.85498403931949</v>
      </c>
      <c r="H7217" s="6" t="n">
        <f aca="false">Sens!H7099*(al_ind+Sens!H7214+sbc_r)</f>
        <v>10.6877106366281</v>
      </c>
      <c r="I7217" s="6" t="n">
        <f aca="false">Sens!I7099*(al_ind+Sens!I7214+sbc_r)</f>
        <v>11.5567417148507</v>
      </c>
      <c r="J7217" s="6" t="n">
        <f aca="false">Sens!J7099*(al_ind+Sens!J7214+sbc_r)</f>
        <v>12.4540077674472</v>
      </c>
      <c r="K7217" s="6" t="n">
        <f aca="false">Sens!K7099*(al_ind+Sens!K7214+sbc_r)</f>
        <v>13.3691192452957</v>
      </c>
    </row>
    <row r="7218" customFormat="false" ht="17.15" hidden="false" customHeight="false" outlineLevel="0" collapsed="false">
      <c r="A7218" s="0" t="s">
        <v>1235</v>
      </c>
      <c r="B7218" s="0" t="s">
        <v>98</v>
      </c>
      <c r="F7218" s="6" t="n">
        <f aca="false">Sens!F7101*(al_fro+Sens!F7214+sbc_r)</f>
        <v>3.5553937770828</v>
      </c>
      <c r="G7218" s="6" t="n">
        <f aca="false">Sens!G7101*(al_fro+Sens!G7214+sbc_r)</f>
        <v>3.77080572303989</v>
      </c>
      <c r="H7218" s="6" t="n">
        <f aca="false">Sens!H7101*(al_fro+Sens!H7214+sbc_r)</f>
        <v>4.01373696151768</v>
      </c>
      <c r="I7218" s="6" t="n">
        <f aca="false">Sens!I7101*(al_fro+Sens!I7214+sbc_r)</f>
        <v>4.28625655393495</v>
      </c>
      <c r="J7218" s="6" t="n">
        <f aca="false">Sens!J7101*(al_fro+Sens!J7214+sbc_r)</f>
        <v>4.59023634351952</v>
      </c>
      <c r="K7218" s="6" t="n">
        <f aca="false">Sens!K7101*(al_fro+Sens!K7214+sbc_r)</f>
        <v>4.92752358811009</v>
      </c>
    </row>
    <row r="7219" customFormat="false" ht="17.15" hidden="false" customHeight="false" outlineLevel="0" collapsed="false">
      <c r="A7219" s="0" t="s">
        <v>1236</v>
      </c>
      <c r="B7219" s="0" t="s">
        <v>98</v>
      </c>
      <c r="F7219" s="6" t="n">
        <f aca="false">Sens!F7104*(al_srch+Sens!F7214+sbc_r)</f>
        <v>11.1933854238919</v>
      </c>
      <c r="G7219" s="6" t="n">
        <f aca="false">Sens!G7104*(al_srch+Sens!G7214+sbc_r)</f>
        <v>12.2851664019916</v>
      </c>
      <c r="H7219" s="6" t="n">
        <f aca="false">Sens!H7104*(al_srch+Sens!H7214+sbc_r)</f>
        <v>13.4180223017897</v>
      </c>
      <c r="I7219" s="6" t="n">
        <f aca="false">Sens!I7104*(al_srch+Sens!I7214+sbc_r)</f>
        <v>14.5782394562999</v>
      </c>
      <c r="J7219" s="6" t="n">
        <f aca="false">Sens!J7104*(al_srch+Sens!J7214+sbc_r)</f>
        <v>15.7477498869428</v>
      </c>
      <c r="K7219" s="6" t="n">
        <f aca="false">Sens!K7104*(al_srch+Sens!K7214+sbc_r)</f>
        <v>16.9048831520669</v>
      </c>
    </row>
    <row r="7220" customFormat="false" ht="17.15" hidden="false" customHeight="false" outlineLevel="0" collapsed="false">
      <c r="A7220" s="0" t="s">
        <v>1237</v>
      </c>
      <c r="B7220" s="0" t="s">
        <v>98</v>
      </c>
      <c r="F7220" s="6" t="n">
        <f aca="false">Sens!F7072-Sens!F7073+Sens!F7154</f>
        <v>39.39786099265</v>
      </c>
      <c r="G7220" s="6" t="n">
        <f aca="false">Sens!G7072-Sens!G7073+Sens!G7154</f>
        <v>70.7501517654922</v>
      </c>
      <c r="H7220" s="6" t="n">
        <f aca="false">Sens!H7072-Sens!H7073+Sens!H7154</f>
        <v>98.9558007466204</v>
      </c>
      <c r="I7220" s="6" t="n">
        <f aca="false">Sens!I7072-Sens!I7073+Sens!I7154</f>
        <v>130.438356851978</v>
      </c>
      <c r="J7220" s="6" t="n">
        <f aca="false">Sens!J7072-Sens!J7073+Sens!J7154</f>
        <v>152.519987779919</v>
      </c>
      <c r="K7220" s="6" t="n">
        <f aca="false">Sens!K7072-Sens!K7073+Sens!K7154</f>
        <v>166.37167513369</v>
      </c>
    </row>
    <row r="7221" customFormat="false" ht="17.15" hidden="false" customHeight="false" outlineLevel="0" collapsed="false">
      <c r="A7221" s="0" t="s">
        <v>1238</v>
      </c>
      <c r="B7221" s="0" t="s">
        <v>98</v>
      </c>
      <c r="F7221" s="6" t="n">
        <f aca="false">Sens!F7133+Sens!F7154+Sens!F7084+Sens!F7214*(Sens!F7103-Sens!F7066)+sbc_r*Sens!F7103</f>
        <v>234.881715131311</v>
      </c>
      <c r="G7221" s="6" t="n">
        <f aca="false">Sens!G7133+Sens!G7154+Sens!G7084+Sens!G7214*(Sens!G7103-Sens!G7066)+sbc_r*Sens!G7103</f>
        <v>285.490043446699</v>
      </c>
      <c r="H7221" s="6" t="n">
        <f aca="false">Sens!H7133+Sens!H7154+Sens!H7084+Sens!H7214*(Sens!H7103-Sens!H7066)+sbc_r*Sens!H7103</f>
        <v>338.164118887549</v>
      </c>
      <c r="I7221" s="6" t="n">
        <f aca="false">Sens!I7133+Sens!I7154+Sens!I7084+Sens!I7214*(Sens!I7103-Sens!I7066)+sbc_r*Sens!I7103</f>
        <v>393.719415907194</v>
      </c>
      <c r="J7221" s="6" t="n">
        <f aca="false">Sens!J7133+Sens!J7154+Sens!J7084+Sens!J7214*(Sens!J7103-Sens!J7066)+sbc_r*Sens!J7103</f>
        <v>438.177832063465</v>
      </c>
      <c r="K7221" s="6" t="n">
        <f aca="false">Sens!K7133+Sens!K7154+Sens!K7084+Sens!K7214*(Sens!K7103-Sens!K7066)+sbc_r*Sens!K7103</f>
        <v>472.059391130538</v>
      </c>
    </row>
    <row r="7222" customFormat="false" ht="17.15" hidden="false" customHeight="false" outlineLevel="0" collapsed="false">
      <c r="A7222" s="0" t="s">
        <v>1239</v>
      </c>
      <c r="B7222" s="0" t="s">
        <v>98</v>
      </c>
      <c r="F7222" s="6" t="n">
        <f aca="false">Sens!F7221-Sens!F7215-Sens!F7216-Sens!F7217-Sens!F7218-Sens!F7220</f>
        <v>67.4752882825883</v>
      </c>
      <c r="G7222" s="6" t="n">
        <f aca="false">Sens!G7221-Sens!G7215-Sens!G7216-Sens!G7217-Sens!G7218-Sens!G7220</f>
        <v>75.0453904638999</v>
      </c>
      <c r="H7222" s="6" t="n">
        <f aca="false">Sens!H7221-Sens!H7215-Sens!H7216-Sens!H7217-Sens!H7218-Sens!H7220</f>
        <v>87.692601880401</v>
      </c>
      <c r="I7222" s="6" t="n">
        <f aca="false">Sens!I7221-Sens!I7215-Sens!I7216-Sens!I7217-Sens!I7218-Sens!I7220</f>
        <v>100.256137086649</v>
      </c>
      <c r="J7222" s="6" t="n">
        <f aca="false">Sens!J7221-Sens!J7215-Sens!J7216-Sens!J7217-Sens!J7218-Sens!J7220</f>
        <v>111.653398956867</v>
      </c>
      <c r="K7222" s="6" t="n">
        <f aca="false">Sens!K7221-Sens!K7215-Sens!K7216-Sens!K7217-Sens!K7218-Sens!K7220</f>
        <v>121.211551100491</v>
      </c>
    </row>
    <row r="7223" customFormat="false" ht="17.15" hidden="false" customHeight="false" outlineLevel="0" collapsed="false">
      <c r="A7223" s="0" t="s">
        <v>1240</v>
      </c>
      <c r="B7223" s="0" t="s">
        <v>98</v>
      </c>
      <c r="F7223" s="6" t="n">
        <f aca="false">Sens!F7135+Sens!F7214*Sens!F7110+sbc_r*Sens!F7110</f>
        <v>26.6436581903759</v>
      </c>
      <c r="G7223" s="6" t="n">
        <f aca="false">Sens!G7135+Sens!G7214*Sens!G7110+sbc_r*Sens!G7110</f>
        <v>26.5231441976673</v>
      </c>
      <c r="H7223" s="6" t="n">
        <f aca="false">Sens!H7135+Sens!H7214*Sens!H7110+sbc_r*Sens!H7110</f>
        <v>27.4263084895223</v>
      </c>
      <c r="I7223" s="6" t="n">
        <f aca="false">Sens!I7135+Sens!I7214*Sens!I7110+sbc_r*Sens!I7110</f>
        <v>28.5494502341056</v>
      </c>
      <c r="J7223" s="6" t="n">
        <f aca="false">Sens!J7135+Sens!J7214*Sens!J7110+sbc_r*Sens!J7110</f>
        <v>29.8633919202446</v>
      </c>
      <c r="K7223" s="6" t="n">
        <f aca="false">Sens!K7135+Sens!K7214*Sens!K7110+sbc_r*Sens!K7110</f>
        <v>31.3431956570706</v>
      </c>
    </row>
    <row r="7224" customFormat="false" ht="17.15" hidden="false" customHeight="false" outlineLevel="0" collapsed="false">
      <c r="A7224" s="0" t="s">
        <v>1241</v>
      </c>
      <c r="B7224" s="0" t="s">
        <v>98</v>
      </c>
      <c r="F7224" s="6" t="n">
        <f aca="false">(Sens!F7223-Sens!F7219)*Sens!F7106/(Sens!F7106+Sens!F7108)</f>
        <v>8.72609031547388</v>
      </c>
      <c r="G7224" s="6" t="n">
        <f aca="false">(Sens!G7223-Sens!G7219)*Sens!G7106/(Sens!G7106+Sens!G7108)</f>
        <v>7.90320179532619</v>
      </c>
      <c r="H7224" s="6" t="n">
        <f aca="false">(Sens!H7223-Sens!H7219)*Sens!H7106/(Sens!H7106+Sens!H7108)</f>
        <v>7.67441040703878</v>
      </c>
      <c r="I7224" s="6" t="n">
        <f aca="false">(Sens!I7223-Sens!I7219)*Sens!I7106/(Sens!I7106+Sens!I7108)</f>
        <v>7.58729027259331</v>
      </c>
      <c r="J7224" s="6" t="n">
        <f aca="false">(Sens!J7223-Sens!J7219)*Sens!J7106/(Sens!J7106+Sens!J7108)</f>
        <v>7.6322807845118</v>
      </c>
      <c r="K7224" s="6" t="n">
        <f aca="false">(Sens!K7223-Sens!K7219)*Sens!K7106/(Sens!K7106+Sens!K7108)</f>
        <v>7.80674763731874</v>
      </c>
    </row>
    <row r="7225" customFormat="false" ht="17.15" hidden="false" customHeight="false" outlineLevel="0" collapsed="false">
      <c r="A7225" s="0" t="s">
        <v>1242</v>
      </c>
      <c r="B7225" s="0" t="s">
        <v>98</v>
      </c>
      <c r="F7225" s="6" t="n">
        <f aca="false">Sens!F7223-Sens!F7219-Sens!F7224</f>
        <v>6.72418245101007</v>
      </c>
      <c r="G7225" s="6" t="n">
        <f aca="false">Sens!G7223-Sens!G7219-Sens!G7224</f>
        <v>6.33477600034948</v>
      </c>
      <c r="H7225" s="6" t="n">
        <f aca="false">Sens!H7223-Sens!H7219-Sens!H7224</f>
        <v>6.33387578069383</v>
      </c>
      <c r="I7225" s="6" t="n">
        <f aca="false">Sens!I7223-Sens!I7219-Sens!I7224</f>
        <v>6.38392050521239</v>
      </c>
      <c r="J7225" s="6" t="n">
        <f aca="false">Sens!J7223-Sens!J7219-Sens!J7224</f>
        <v>6.48336124879</v>
      </c>
      <c r="K7225" s="6" t="n">
        <f aca="false">Sens!K7223-Sens!K7219-Sens!K7224</f>
        <v>6.63156486768493</v>
      </c>
    </row>
    <row r="7226" customFormat="false" ht="17.15" hidden="false" customHeight="false" outlineLevel="0" collapsed="false">
      <c r="A7226" s="0" t="s">
        <v>1243</v>
      </c>
      <c r="B7226" s="0" t="s">
        <v>98</v>
      </c>
      <c r="F7226" s="6" t="n">
        <f aca="false">Sens!F7220-tax_f*(Sens!F7220-Sens!F7084)-Sens!F7081</f>
        <v>-130.019752352329</v>
      </c>
      <c r="G7226" s="6" t="n">
        <f aca="false">Sens!G7220-tax_f*(Sens!G7220-Sens!G7084)-Sens!G7081</f>
        <v>-123.197456106195</v>
      </c>
      <c r="H7226" s="6" t="n">
        <f aca="false">Sens!H7220-tax_f*(Sens!H7220-Sens!H7084)-Sens!H7081</f>
        <v>-99.8213453349269</v>
      </c>
      <c r="I7226" s="6" t="n">
        <f aca="false">Sens!I7220-tax_f*(Sens!I7220-Sens!I7084)-Sens!I7081</f>
        <v>-41.4179462011186</v>
      </c>
      <c r="J7226" s="6" t="n">
        <f aca="false">Sens!J7220-tax_f*(Sens!J7220-Sens!J7084)-Sens!J7081</f>
        <v>19.4891936379141</v>
      </c>
      <c r="K7226" s="6" t="n">
        <f aca="false">Sens!K7220-tax_f*(Sens!K7220-Sens!K7084)-Sens!K7081</f>
        <v>42.7370209524064</v>
      </c>
    </row>
    <row r="7227" customFormat="false" ht="17.15" hidden="false" customHeight="false" outlineLevel="0" collapsed="false">
      <c r="A7227" s="0" t="s">
        <v>1244</v>
      </c>
      <c r="B7227" s="0" t="s">
        <v>98</v>
      </c>
      <c r="G7227" s="6" t="n">
        <f aca="false">Sens!G7226/(1+wacc)^(Sens!G7197-Sens!F7198)</f>
        <v>-117.307685904233</v>
      </c>
      <c r="H7227" s="6" t="n">
        <f aca="false">Sens!H7226/(1+wacc)^(Sens!H7197-Sens!F7198)</f>
        <v>-86.1782361856546</v>
      </c>
      <c r="I7227" s="6" t="n">
        <f aca="false">Sens!I7226/(1+wacc)^(Sens!I7197-Sens!F7198)</f>
        <v>-32.4199392674642</v>
      </c>
      <c r="J7227" s="6" t="n">
        <f aca="false">Sens!J7226/(1+wacc)^(Sens!J7197-Sens!F7198)</f>
        <v>13.8314261683199</v>
      </c>
      <c r="K7227" s="6" t="n">
        <f aca="false">Sens!K7226/(1+wacc)^(Sens!K7197-Sens!F7198)</f>
        <v>27.4996263468616</v>
      </c>
      <c r="L7227" s="1" t="s">
        <v>1245</v>
      </c>
    </row>
    <row r="7228" customFormat="false" ht="17.15" hidden="false" customHeight="false" outlineLevel="0" collapsed="false">
      <c r="A7228" s="0" t="s">
        <v>1246</v>
      </c>
      <c r="B7228" s="0" t="s">
        <v>98</v>
      </c>
      <c r="C7228" s="6" t="n">
        <f aca="false">(Sens!K7220-Sens!K7084)*(1-tax_f)*(1+g_tv)*(1-g_tv/(wacc+ronic_prem))/(wacc-g_tv)/(1+wacc)^(Sens!K7198-Sens!F7198)</f>
        <v>114.566871939455</v>
      </c>
    </row>
    <row r="7229" customFormat="false" ht="17.15" hidden="false" customHeight="false" outlineLevel="0" collapsed="false">
      <c r="A7229" s="1" t="s">
        <v>1247</v>
      </c>
      <c r="B7229" s="0" t="s">
        <v>98</v>
      </c>
      <c r="C7229" s="6" t="n">
        <f aca="false">(SUM(Sens!G7227:K7227)+Sens!$C$7228)*(1+wacc)^(t_roll-Sens!F7198)</f>
        <v>-82.6492408618344</v>
      </c>
      <c r="L7229" s="12" t="s">
        <v>1248</v>
      </c>
    </row>
    <row r="7230" customFormat="false" ht="17.15" hidden="false" customHeight="false" outlineLevel="0" collapsed="false">
      <c r="A7230" s="1" t="s">
        <v>1249</v>
      </c>
      <c r="B7230" s="0" t="s">
        <v>98</v>
      </c>
      <c r="C7230" s="6" t="n">
        <f aca="false">(w_ntm28*Sens!G7072+(1-w_ntm28)*Sens!H7072)*m_ai</f>
        <v>344.355829012336</v>
      </c>
    </row>
    <row r="7231" customFormat="false" ht="17.15" hidden="false" customHeight="false" outlineLevel="0" collapsed="false">
      <c r="A7231" s="1" t="s">
        <v>1250</v>
      </c>
      <c r="B7231" s="0" t="s">
        <v>98</v>
      </c>
      <c r="C7231" s="6" t="n">
        <f aca="false">(w_ntm28*Sens!G7222+(1-w_ntm28)*Sens!H7222)*m_cloud</f>
        <v>1094.59068090459</v>
      </c>
    </row>
    <row r="7232" customFormat="false" ht="17.15" hidden="false" customHeight="false" outlineLevel="0" collapsed="false">
      <c r="A7232" s="1" t="s">
        <v>1251</v>
      </c>
      <c r="B7232" s="0" t="s">
        <v>98</v>
      </c>
      <c r="C7232" s="6" t="n">
        <f aca="false">(w_ntm28*Sens!G7215+(1-w_ntm28)*Sens!H7215)*m_sw</f>
        <v>1026.3730298452</v>
      </c>
    </row>
    <row r="7233" customFormat="false" ht="17.15" hidden="false" customHeight="false" outlineLevel="0" collapsed="false">
      <c r="A7233" s="1" t="s">
        <v>1252</v>
      </c>
      <c r="B7233" s="0" t="s">
        <v>98</v>
      </c>
      <c r="C7233" s="6" t="n">
        <f aca="false">(w_ntm28*Sens!G7216+(1-w_ntm28)*Sens!H7216)*m_sw</f>
        <v>373.323141925319</v>
      </c>
    </row>
    <row r="7234" customFormat="false" ht="17.15" hidden="false" customHeight="false" outlineLevel="0" collapsed="false">
      <c r="A7234" s="1" t="s">
        <v>1253</v>
      </c>
      <c r="B7234" s="0" t="s">
        <v>98</v>
      </c>
      <c r="C7234" s="6" t="n">
        <f aca="false">(w_ntm28*Sens!G7217+(1-w_ntm28)*Sens!H7217)*m_sw</f>
        <v>109.390577405779</v>
      </c>
    </row>
    <row r="7235" customFormat="false" ht="17.15" hidden="false" customHeight="false" outlineLevel="0" collapsed="false">
      <c r="A7235" s="1" t="s">
        <v>1254</v>
      </c>
      <c r="B7235" s="0" t="s">
        <v>98</v>
      </c>
      <c r="C7235" s="6" t="n">
        <f aca="false">(w_ntm28*Sens!G7218+(1-w_ntm28)*Sens!H7218)*m_sw</f>
        <v>41.5872740966862</v>
      </c>
    </row>
    <row r="7236" customFormat="false" ht="17.15" hidden="false" customHeight="false" outlineLevel="0" collapsed="false">
      <c r="A7236" s="1" t="s">
        <v>1255</v>
      </c>
      <c r="B7236" s="0" t="s">
        <v>98</v>
      </c>
      <c r="C7236" s="6" t="n">
        <f aca="false">(w_ntm28*Sens!G7219+(1-w_ntm28)*Sens!H7219)*m_ads</f>
        <v>115.310846934909</v>
      </c>
    </row>
    <row r="7237" customFormat="false" ht="17.15" hidden="false" customHeight="false" outlineLevel="0" collapsed="false">
      <c r="A7237" s="1" t="s">
        <v>1256</v>
      </c>
      <c r="B7237" s="0" t="s">
        <v>98</v>
      </c>
      <c r="C7237" s="6" t="n">
        <f aca="false">(w_ntm28*Sens!G7224+(1-w_ntm28)*Sens!H7224)*m_game</f>
        <v>98.8674216117139</v>
      </c>
    </row>
    <row r="7238" customFormat="false" ht="17.15" hidden="false" customHeight="false" outlineLevel="0" collapsed="false">
      <c r="A7238" s="1" t="s">
        <v>1257</v>
      </c>
      <c r="B7238" s="0" t="s">
        <v>98</v>
      </c>
      <c r="C7238" s="6" t="n">
        <f aca="false">(w_ntm28*Sens!G7225+(1-w_ntm28)*Sens!H7225)*m_pc</f>
        <v>91.6599261458513</v>
      </c>
    </row>
    <row r="7239" customFormat="false" ht="17.15" hidden="false" customHeight="false" outlineLevel="0" collapsed="false">
      <c r="A7239" s="1" t="s">
        <v>1258</v>
      </c>
      <c r="B7239" s="0" t="s">
        <v>98</v>
      </c>
      <c r="C7239" s="6" t="n">
        <f aca="false">Sens!$C$7229+Sens!$C$7231+Sens!$C$7232+Sens!$C$7233+Sens!$C$7234+Sens!$C$7235+Sens!$C$7236+Sens!$C$7237+Sens!$C$7238</f>
        <v>2868.45365800821</v>
      </c>
    </row>
    <row r="7240" customFormat="false" ht="17.15" hidden="false" customHeight="false" outlineLevel="0" collapsed="false">
      <c r="A7240" s="1" t="s">
        <v>1259</v>
      </c>
      <c r="B7240" s="0" t="s">
        <v>98</v>
      </c>
      <c r="C7240" s="6" t="n">
        <f aca="false">(Sens!G7201-Sens!G7226)*t_stub</f>
        <v>47.2316315286394</v>
      </c>
      <c r="L7240" s="1" t="s">
        <v>1260</v>
      </c>
    </row>
    <row r="7241" customFormat="false" ht="17.15" hidden="false" customHeight="false" outlineLevel="0" collapsed="false">
      <c r="A7241" s="1" t="s">
        <v>1169</v>
      </c>
      <c r="B7241" s="0" t="s">
        <v>98</v>
      </c>
      <c r="C7241" s="6" t="n">
        <f aca="false">Sens!F7188+oai_v-Sens!F7177+Sens!$C$7240</f>
        <v>158.08290046442</v>
      </c>
      <c r="L7241" s="1" t="s">
        <v>1261</v>
      </c>
    </row>
    <row r="7242" customFormat="false" ht="17.15" hidden="false" customHeight="false" outlineLevel="0" collapsed="false">
      <c r="A7242" s="1" t="s">
        <v>1262</v>
      </c>
      <c r="B7242" s="0" t="s">
        <v>75</v>
      </c>
      <c r="C7242" s="5" t="n">
        <f aca="false">(Sens!$C$7239+Sens!$C$7241)/(Sens!F7190+dil_gap)-Sens!G7180*roll_div_q/q_per_yr</f>
        <v>402.714043019295</v>
      </c>
      <c r="L7242" s="1" t="s">
        <v>1263</v>
      </c>
    </row>
    <row r="7243" customFormat="false" ht="17.15" hidden="false" customHeight="false" outlineLevel="0" collapsed="false">
      <c r="A7243" s="1" t="s">
        <v>1264</v>
      </c>
      <c r="B7243" s="0" t="s">
        <v>75</v>
      </c>
      <c r="C7243" s="5" t="n">
        <f aca="false">w_dcf*Sens!$C$7213+(1-w_dcf)*Sens!$C$7242</f>
        <v>341.867537397707</v>
      </c>
    </row>
    <row r="7244" customFormat="false" ht="17.15" hidden="false" customHeight="false" outlineLevel="0" collapsed="false">
      <c r="A7244" s="3" t="s">
        <v>1660</v>
      </c>
    </row>
    <row r="7245" customFormat="false" ht="15" hidden="false" customHeight="false" outlineLevel="0" collapsed="false">
      <c r="A7245" s="4" t="s">
        <v>43</v>
      </c>
      <c r="B7245" s="4" t="s">
        <v>65</v>
      </c>
      <c r="C7245" s="23" t="s">
        <v>938</v>
      </c>
      <c r="D7245" s="23" t="s">
        <v>939</v>
      </c>
      <c r="E7245" s="23" t="s">
        <v>940</v>
      </c>
      <c r="F7245" s="23" t="s">
        <v>941</v>
      </c>
      <c r="G7245" s="23" t="s">
        <v>942</v>
      </c>
      <c r="H7245" s="23" t="s">
        <v>943</v>
      </c>
      <c r="I7245" s="23" t="s">
        <v>944</v>
      </c>
      <c r="J7245" s="23" t="s">
        <v>945</v>
      </c>
      <c r="K7245" s="23" t="s">
        <v>946</v>
      </c>
      <c r="L7245" s="4" t="s">
        <v>47</v>
      </c>
    </row>
    <row r="7246" customFormat="false" ht="17.15" hidden="false" customHeight="false" outlineLevel="0" collapsed="false">
      <c r="A7246" s="1" t="s">
        <v>947</v>
      </c>
      <c r="B7246" s="1" t="s">
        <v>279</v>
      </c>
      <c r="C7246" s="21" t="n">
        <v>2024</v>
      </c>
      <c r="D7246" s="21" t="n">
        <v>2025</v>
      </c>
      <c r="E7246" s="21" t="n">
        <v>2026</v>
      </c>
      <c r="F7246" s="21" t="n">
        <v>2027</v>
      </c>
      <c r="G7246" s="21" t="n">
        <v>2028</v>
      </c>
      <c r="H7246" s="21" t="n">
        <v>2029</v>
      </c>
      <c r="I7246" s="21" t="n">
        <v>2030</v>
      </c>
      <c r="J7246" s="21" t="n">
        <v>2031</v>
      </c>
      <c r="K7246" s="21" t="n">
        <v>2032</v>
      </c>
    </row>
    <row r="7247" customFormat="false" ht="17.15" hidden="false" customHeight="false" outlineLevel="0" collapsed="false">
      <c r="A7247" s="1" t="s">
        <v>948</v>
      </c>
      <c r="B7247" s="0" t="s">
        <v>456</v>
      </c>
      <c r="F7247" s="30" t="n">
        <f aca="false">pace</f>
        <v>2726.5351</v>
      </c>
      <c r="G7247" s="30" t="n">
        <f aca="false">pace</f>
        <v>2726.5351</v>
      </c>
      <c r="H7247" s="30" t="n">
        <f aca="false">pace</f>
        <v>2726.5351</v>
      </c>
      <c r="I7247" s="30" t="n">
        <f aca="false">pace+(g_tv*Sens!H7248-pace)*MIN(1,(Sens!I7246-pace_y0)/(pace_y1-pace_y0))</f>
        <v>1931.98611966667</v>
      </c>
      <c r="J7247" s="30" t="n">
        <f aca="false">pace+(g_tv*Sens!I7248-pace)*MIN(1,(Sens!J7246-pace_y0)/(pace_y1-pace_y0))</f>
        <v>1176.07686172667</v>
      </c>
      <c r="K7247" s="30" t="n">
        <f aca="false">pace+(g_tv*Sens!J7248-pace)*MIN(1,(Sens!K7246-pace_y0)/(pace_y1-pace_y0))</f>
        <v>436.1300484418</v>
      </c>
      <c r="L7247" s="12" t="s">
        <v>949</v>
      </c>
    </row>
    <row r="7248" customFormat="false" ht="17.15" hidden="false" customHeight="false" outlineLevel="0" collapsed="false">
      <c r="A7248" s="1" t="s">
        <v>950</v>
      </c>
      <c r="B7248" s="0" t="s">
        <v>456</v>
      </c>
      <c r="C7248" s="30" t="n">
        <f aca="false">mw_ext_24</f>
        <v>640</v>
      </c>
      <c r="D7248" s="30" t="n">
        <f aca="false">mw_ext_25</f>
        <v>1630</v>
      </c>
      <c r="E7248" s="30" t="n">
        <f aca="false">mw_ext_26</f>
        <v>3250</v>
      </c>
      <c r="F7248" s="30" t="n">
        <f aca="false">Sens!E7248+Sens!F7247</f>
        <v>5976.5351</v>
      </c>
      <c r="G7248" s="30" t="n">
        <f aca="false">Sens!F7248+Sens!G7247</f>
        <v>8703.0702</v>
      </c>
      <c r="H7248" s="30" t="n">
        <f aca="false">Sens!G7248+Sens!H7247</f>
        <v>11429.6053</v>
      </c>
      <c r="I7248" s="30" t="n">
        <f aca="false">Sens!H7248+Sens!I7247</f>
        <v>13361.5914196667</v>
      </c>
      <c r="J7248" s="30" t="n">
        <f aca="false">Sens!I7248+Sens!J7247</f>
        <v>14537.6682813933</v>
      </c>
      <c r="K7248" s="30" t="n">
        <f aca="false">Sens!J7248+Sens!K7247</f>
        <v>14973.7983298351</v>
      </c>
      <c r="L7248" s="1" t="s">
        <v>951</v>
      </c>
    </row>
    <row r="7249" customFormat="false" ht="17.15" hidden="false" customHeight="false" outlineLevel="0" collapsed="false">
      <c r="A7249" s="1" t="s">
        <v>952</v>
      </c>
      <c r="B7249" s="0" t="s">
        <v>456</v>
      </c>
      <c r="C7249" s="30" t="n">
        <f aca="false">rent_ext_24</f>
        <v>150</v>
      </c>
      <c r="D7249" s="30" t="n">
        <f aca="false">rent_ext_25</f>
        <v>400</v>
      </c>
      <c r="E7249" s="30" t="n">
        <f aca="false">rent_ext_26</f>
        <v>550</v>
      </c>
      <c r="F7249" s="30" t="n">
        <f aca="false">rent_ext_f</f>
        <v>756</v>
      </c>
      <c r="G7249" s="30" t="n">
        <f aca="false">rent_ext_f</f>
        <v>756</v>
      </c>
      <c r="H7249" s="30" t="n">
        <f aca="false">rent_ext_f</f>
        <v>756</v>
      </c>
      <c r="I7249" s="30" t="n">
        <f aca="false">rent_ext_f</f>
        <v>756</v>
      </c>
      <c r="J7249" s="30" t="n">
        <f aca="false">rent_ext_f</f>
        <v>756</v>
      </c>
      <c r="K7249" s="30" t="n">
        <f aca="false">rent_ext_f</f>
        <v>756</v>
      </c>
      <c r="L7249" s="1" t="s">
        <v>953</v>
      </c>
    </row>
    <row r="7250" customFormat="false" ht="17.15" hidden="false" customHeight="false" outlineLevel="0" collapsed="false">
      <c r="A7250" s="1" t="s">
        <v>954</v>
      </c>
      <c r="B7250" s="0" t="s">
        <v>456</v>
      </c>
      <c r="C7250" s="30" t="n">
        <f aca="false">Sens!C7248-Sens!C7249</f>
        <v>490</v>
      </c>
      <c r="D7250" s="30" t="n">
        <f aca="false">Sens!D7248-Sens!D7249</f>
        <v>1230</v>
      </c>
      <c r="E7250" s="30" t="n">
        <f aca="false">Sens!E7248-Sens!E7249</f>
        <v>2700</v>
      </c>
      <c r="F7250" s="30" t="n">
        <f aca="false">Sens!F7248-Sens!F7249</f>
        <v>5220.5351</v>
      </c>
      <c r="G7250" s="30" t="n">
        <f aca="false">Sens!G7248-Sens!G7249</f>
        <v>7947.0702</v>
      </c>
      <c r="H7250" s="30" t="n">
        <f aca="false">Sens!H7248-Sens!H7249</f>
        <v>10673.6053</v>
      </c>
      <c r="I7250" s="30" t="n">
        <f aca="false">Sens!I7248-Sens!I7249</f>
        <v>12605.5914196667</v>
      </c>
      <c r="J7250" s="30" t="n">
        <f aca="false">Sens!J7248-Sens!J7249</f>
        <v>13781.6682813933</v>
      </c>
      <c r="K7250" s="30" t="n">
        <f aca="false">Sens!K7248-Sens!K7249</f>
        <v>14217.7983298351</v>
      </c>
    </row>
    <row r="7251" customFormat="false" ht="17.15" hidden="false" customHeight="false" outlineLevel="0" collapsed="false">
      <c r="A7251" s="1" t="s">
        <v>955</v>
      </c>
      <c r="B7251" s="0" t="s">
        <v>456</v>
      </c>
      <c r="C7251" s="30" t="n">
        <f aca="false">Sens!C7250/ext_sh</f>
        <v>816.666666666667</v>
      </c>
      <c r="D7251" s="30" t="n">
        <f aca="false">Sens!D7250/ext_sh</f>
        <v>2050</v>
      </c>
      <c r="E7251" s="30" t="n">
        <f aca="false">Sens!E7250/ext_sh</f>
        <v>4500</v>
      </c>
      <c r="F7251" s="30" t="n">
        <f aca="false">Sens!F7250/ext_sh</f>
        <v>8700.89183333333</v>
      </c>
      <c r="G7251" s="30" t="n">
        <f aca="false">Sens!G7250/ext_sh</f>
        <v>13245.117</v>
      </c>
      <c r="H7251" s="30" t="n">
        <f aca="false">Sens!H7250/ext_sh</f>
        <v>17789.3421666667</v>
      </c>
      <c r="I7251" s="30" t="n">
        <f aca="false">Sens!I7250/ext_sh</f>
        <v>21009.3190327778</v>
      </c>
      <c r="J7251" s="30" t="n">
        <f aca="false">Sens!J7250/ext_sh</f>
        <v>22969.4471356556</v>
      </c>
      <c r="K7251" s="30" t="n">
        <f aca="false">Sens!K7250/ext_sh</f>
        <v>23696.3305497252</v>
      </c>
      <c r="L7251" s="1" t="s">
        <v>956</v>
      </c>
    </row>
    <row r="7252" customFormat="false" ht="17.15" hidden="false" customHeight="false" outlineLevel="0" collapsed="false">
      <c r="A7252" s="1" t="s">
        <v>957</v>
      </c>
      <c r="B7252" s="0" t="s">
        <v>456</v>
      </c>
      <c r="C7252" s="30" t="n">
        <f aca="false">Sens!C7251-Sens!C7250</f>
        <v>326.666666666667</v>
      </c>
      <c r="D7252" s="30" t="n">
        <f aca="false">Sens!D7251-Sens!D7250</f>
        <v>820</v>
      </c>
      <c r="E7252" s="30" t="n">
        <f aca="false">Sens!E7251-Sens!E7250</f>
        <v>1800</v>
      </c>
      <c r="F7252" s="30" t="n">
        <f aca="false">Sens!F7251-Sens!F7250</f>
        <v>3480.35673333333</v>
      </c>
      <c r="G7252" s="30" t="n">
        <f aca="false">Sens!G7251-Sens!G7250</f>
        <v>5298.0468</v>
      </c>
      <c r="H7252" s="30" t="n">
        <f aca="false">Sens!H7251-Sens!H7250</f>
        <v>7115.73686666667</v>
      </c>
      <c r="I7252" s="30" t="n">
        <f aca="false">Sens!I7251-Sens!I7250</f>
        <v>8403.72761311111</v>
      </c>
      <c r="J7252" s="30" t="n">
        <f aca="false">Sens!J7251-Sens!J7250</f>
        <v>9187.77885426222</v>
      </c>
      <c r="K7252" s="30" t="n">
        <f aca="false">Sens!K7251-Sens!K7250</f>
        <v>9478.53221989009</v>
      </c>
    </row>
    <row r="7253" customFormat="false" ht="17.15" hidden="false" customHeight="false" outlineLevel="0" collapsed="false">
      <c r="A7253" s="1" t="s">
        <v>958</v>
      </c>
      <c r="B7253" s="0" t="s">
        <v>456</v>
      </c>
      <c r="C7253" s="30" t="n">
        <f aca="false">Sens!C7251</f>
        <v>816.666666666667</v>
      </c>
      <c r="D7253" s="30" t="n">
        <f aca="false">Sens!D7251-Sens!C7251</f>
        <v>1233.33333333333</v>
      </c>
      <c r="E7253" s="30" t="n">
        <f aca="false">Sens!E7251-Sens!D7251</f>
        <v>2450</v>
      </c>
      <c r="F7253" s="30" t="n">
        <f aca="false">Sens!F7251-Sens!E7251</f>
        <v>4200.89183333333</v>
      </c>
      <c r="G7253" s="30" t="n">
        <f aca="false">Sens!G7251-Sens!F7251</f>
        <v>4544.22516666667</v>
      </c>
      <c r="H7253" s="30" t="n">
        <f aca="false">Sens!H7251-Sens!G7251</f>
        <v>4544.22516666667</v>
      </c>
      <c r="I7253" s="30" t="n">
        <f aca="false">Sens!I7251-Sens!H7251</f>
        <v>3219.97686611111</v>
      </c>
      <c r="J7253" s="30" t="n">
        <f aca="false">Sens!J7251-Sens!I7251</f>
        <v>1960.12810287778</v>
      </c>
      <c r="K7253" s="30" t="n">
        <f aca="false">Sens!K7251-Sens!J7251</f>
        <v>726.883414069667</v>
      </c>
    </row>
    <row r="7254" customFormat="false" ht="17.15" hidden="false" customHeight="false" outlineLevel="0" collapsed="false">
      <c r="A7254" s="1" t="s">
        <v>959</v>
      </c>
      <c r="B7254" s="0" t="s">
        <v>456</v>
      </c>
      <c r="D7254" s="30" t="n">
        <f aca="false">Sens!D7248-Sens!C7248</f>
        <v>990</v>
      </c>
      <c r="E7254" s="30" t="n">
        <f aca="false">Sens!E7248-Sens!D7248</f>
        <v>1620</v>
      </c>
      <c r="F7254" s="30" t="n">
        <f aca="false">Sens!F7248-Sens!E7248</f>
        <v>2726.5351</v>
      </c>
      <c r="G7254" s="30" t="n">
        <f aca="false">Sens!G7248-Sens!F7248</f>
        <v>2726.5351</v>
      </c>
      <c r="H7254" s="30" t="n">
        <f aca="false">Sens!H7248-Sens!G7248</f>
        <v>2726.5351</v>
      </c>
      <c r="I7254" s="30" t="n">
        <f aca="false">Sens!I7248-Sens!H7248</f>
        <v>1931.98611966667</v>
      </c>
      <c r="J7254" s="30" t="n">
        <f aca="false">Sens!J7248-Sens!I7248</f>
        <v>1176.07686172667</v>
      </c>
      <c r="K7254" s="30" t="n">
        <f aca="false">Sens!K7248-Sens!J7248</f>
        <v>436.130048441799</v>
      </c>
    </row>
    <row r="7255" customFormat="false" ht="17.15" hidden="false" customHeight="false" outlineLevel="0" collapsed="false">
      <c r="A7255" s="1" t="s">
        <v>960</v>
      </c>
      <c r="B7255" s="0" t="s">
        <v>456</v>
      </c>
      <c r="F7255" s="30" t="n">
        <f aca="false">Sens!F7274*ext_sh</f>
        <v>0</v>
      </c>
      <c r="G7255" s="30" t="n">
        <f aca="false">Sens!G7274*ext_sh</f>
        <v>0</v>
      </c>
      <c r="H7255" s="30" t="n">
        <f aca="false">Sens!H7274*ext_sh</f>
        <v>0</v>
      </c>
      <c r="I7255" s="30" t="n">
        <f aca="false">Sens!I7274*ext_sh</f>
        <v>490</v>
      </c>
      <c r="J7255" s="30" t="n">
        <f aca="false">Sens!J7274*ext_sh</f>
        <v>740</v>
      </c>
      <c r="K7255" s="30" t="n">
        <f aca="false">Sens!K7274*ext_sh</f>
        <v>1470</v>
      </c>
      <c r="L7255" s="1" t="s">
        <v>961</v>
      </c>
    </row>
    <row r="7256" customFormat="false" ht="17.15" hidden="false" customHeight="false" outlineLevel="0" collapsed="false">
      <c r="A7256" s="1" t="s">
        <v>962</v>
      </c>
      <c r="B7256" s="0" t="s">
        <v>456</v>
      </c>
      <c r="C7256" s="30" t="n">
        <f aca="false">mix_h*Sens!C7248</f>
        <v>128</v>
      </c>
      <c r="D7256" s="30" t="n">
        <f aca="false">mix_h*Sens!D7248</f>
        <v>326</v>
      </c>
      <c r="E7256" s="30" t="n">
        <f aca="false">mix_h*Sens!E7248</f>
        <v>650</v>
      </c>
      <c r="F7256" s="30" t="n">
        <f aca="false">Sens!E7256-Sens!F7255*mix_h</f>
        <v>650</v>
      </c>
      <c r="G7256" s="30" t="n">
        <f aca="false">Sens!F7256-Sens!G7255*mix_h</f>
        <v>650</v>
      </c>
      <c r="H7256" s="30" t="n">
        <f aca="false">Sens!G7256-Sens!H7255*mix_h</f>
        <v>650</v>
      </c>
      <c r="I7256" s="30" t="n">
        <f aca="false">Sens!H7256-Sens!I7255*mix_h</f>
        <v>552</v>
      </c>
      <c r="J7256" s="30" t="n">
        <f aca="false">Sens!I7256-Sens!J7255*mix_h</f>
        <v>404</v>
      </c>
      <c r="K7256" s="30" t="n">
        <f aca="false">Sens!J7256-Sens!K7255*mix_h</f>
        <v>110</v>
      </c>
    </row>
    <row r="7257" customFormat="false" ht="17.15" hidden="false" customHeight="false" outlineLevel="0" collapsed="false">
      <c r="A7257" s="1" t="s">
        <v>963</v>
      </c>
      <c r="B7257" s="0" t="s">
        <v>456</v>
      </c>
      <c r="C7257" s="30" t="n">
        <f aca="false">mix_g2*Sens!C7248</f>
        <v>288</v>
      </c>
      <c r="D7257" s="30" t="n">
        <f aca="false">mix_g2*Sens!D7248</f>
        <v>733.5</v>
      </c>
      <c r="E7257" s="30" t="n">
        <f aca="false">mix_g2*Sens!E7248</f>
        <v>1462.5</v>
      </c>
      <c r="F7257" s="30" t="n">
        <f aca="false">Sens!E7257-Sens!F7255*mix_g2</f>
        <v>1462.5</v>
      </c>
      <c r="G7257" s="30" t="n">
        <f aca="false">Sens!F7257-Sens!G7255*mix_g2</f>
        <v>1462.5</v>
      </c>
      <c r="H7257" s="30" t="n">
        <f aca="false">Sens!G7257-Sens!H7255*mix_g2</f>
        <v>1462.5</v>
      </c>
      <c r="I7257" s="30" t="n">
        <f aca="false">Sens!H7257-Sens!I7255*mix_g2</f>
        <v>1242</v>
      </c>
      <c r="J7257" s="30" t="n">
        <f aca="false">Sens!I7257-Sens!J7255*mix_g2</f>
        <v>909</v>
      </c>
      <c r="K7257" s="30" t="n">
        <f aca="false">Sens!J7257-Sens!K7255*mix_g2</f>
        <v>247.5</v>
      </c>
    </row>
    <row r="7258" customFormat="false" ht="17.15" hidden="false" customHeight="false" outlineLevel="0" collapsed="false">
      <c r="A7258" s="1" t="s">
        <v>964</v>
      </c>
      <c r="B7258" s="0" t="s">
        <v>456</v>
      </c>
      <c r="C7258" s="30" t="n">
        <f aca="false">mix_g3*Sens!C7248</f>
        <v>224</v>
      </c>
      <c r="D7258" s="30" t="n">
        <f aca="false">mix_g3*Sens!D7248</f>
        <v>570.5</v>
      </c>
      <c r="E7258" s="30" t="n">
        <f aca="false">mix_g3*Sens!E7248</f>
        <v>1137.5</v>
      </c>
      <c r="F7258" s="30" t="n">
        <f aca="false">Sens!E7258+(Sens!F7254+Sens!F7255)*(a_g3_27-nonnv*a_mai)-Sens!F7255*mix_g3</f>
        <v>2773.42106</v>
      </c>
      <c r="G7258" s="30" t="n">
        <f aca="false">Sens!F7258+(Sens!G7254+Sens!G7255)*(a_g3_28-nonnv*a_mai)-Sens!G7255*mix_g3</f>
        <v>3318.72808</v>
      </c>
      <c r="H7258" s="30" t="n">
        <f aca="false">Sens!G7258+(Sens!H7254+Sens!H7255)*(a_g3_29-nonnv*a_mai)-Sens!H7255*mix_g3</f>
        <v>3318.72808</v>
      </c>
      <c r="I7258" s="30" t="n">
        <f aca="false">Sens!H7258+(Sens!I7254+Sens!I7255)*(a_g3_29-nonnv*a_mai)-Sens!I7255*mix_g3</f>
        <v>3147.22808</v>
      </c>
      <c r="J7258" s="30" t="n">
        <f aca="false">Sens!I7258+(Sens!J7254+Sens!J7255)*(a_g3_29-nonnv*a_mai)-Sens!J7255*mix_g3</f>
        <v>2888.22808</v>
      </c>
      <c r="K7258" s="30" t="n">
        <f aca="false">Sens!J7258+(Sens!K7254+Sens!K7255)*(a_g3_29-nonnv*a_mai)-Sens!K7255*mix_g3</f>
        <v>2373.72808</v>
      </c>
    </row>
    <row r="7259" customFormat="false" ht="17.15" hidden="false" customHeight="false" outlineLevel="0" collapsed="false">
      <c r="A7259" s="1" t="s">
        <v>965</v>
      </c>
      <c r="B7259" s="0" t="s">
        <v>456</v>
      </c>
      <c r="C7259" s="30" t="n">
        <v>0</v>
      </c>
      <c r="D7259" s="30" t="n">
        <v>0</v>
      </c>
      <c r="E7259" s="30" t="n">
        <v>0</v>
      </c>
      <c r="F7259" s="30" t="n">
        <f aca="false">Sens!E7259+(Sens!F7254+Sens!F7255)*nonnv*a_mai</f>
        <v>272.65351</v>
      </c>
      <c r="G7259" s="30" t="n">
        <f aca="false">Sens!F7259+(Sens!G7254+Sens!G7255)*nonnv*a_mai</f>
        <v>545.30702</v>
      </c>
      <c r="H7259" s="30" t="n">
        <f aca="false">Sens!G7259+(Sens!H7254+Sens!H7255)*nonnv*a_mai</f>
        <v>817.96053</v>
      </c>
      <c r="I7259" s="30" t="n">
        <f aca="false">Sens!H7259+(Sens!I7254+Sens!I7255)*nonnv*a_mai</f>
        <v>1060.15914196667</v>
      </c>
      <c r="J7259" s="30" t="n">
        <f aca="false">Sens!I7259+(Sens!J7254+Sens!J7255)*nonnv*a_mai</f>
        <v>1251.76682813933</v>
      </c>
      <c r="K7259" s="30" t="n">
        <f aca="false">Sens!J7259+(Sens!K7254+Sens!K7255)*nonnv*a_mai</f>
        <v>1442.37983298351</v>
      </c>
      <c r="L7259" s="12" t="s">
        <v>966</v>
      </c>
    </row>
    <row r="7260" customFormat="false" ht="17.15" hidden="false" customHeight="false" outlineLevel="0" collapsed="false">
      <c r="A7260" s="1" t="s">
        <v>967</v>
      </c>
      <c r="B7260" s="0" t="s">
        <v>456</v>
      </c>
      <c r="C7260" s="30" t="n">
        <v>0</v>
      </c>
      <c r="D7260" s="30" t="n">
        <v>0</v>
      </c>
      <c r="E7260" s="30" t="n">
        <v>0</v>
      </c>
      <c r="F7260" s="30" t="n">
        <f aca="false">Sens!E7260+(Sens!F7254+Sens!F7255)*(1-a_g3_27)</f>
        <v>817.96053</v>
      </c>
      <c r="G7260" s="30" t="n">
        <f aca="false">Sens!F7260+(Sens!G7254+Sens!G7255)*(1-a_g3_28)</f>
        <v>2726.5351</v>
      </c>
      <c r="H7260" s="30" t="n">
        <f aca="false">Sens!G7260+(Sens!H7254+Sens!H7255)*(1-a_g3_29)</f>
        <v>5180.41669</v>
      </c>
      <c r="I7260" s="30" t="n">
        <f aca="false">Sens!H7260+(Sens!I7254+Sens!I7255)*(1-a_g3_29)</f>
        <v>7360.2041977</v>
      </c>
      <c r="J7260" s="30" t="n">
        <f aca="false">Sens!I7260+(Sens!J7254+Sens!J7255)*(1-a_g3_29)</f>
        <v>9084.673373254</v>
      </c>
      <c r="K7260" s="30" t="n">
        <f aca="false">Sens!J7260+(Sens!K7254+Sens!K7255)*(1-a_g3_29)</f>
        <v>10800.1904168516</v>
      </c>
    </row>
    <row r="7261" customFormat="false" ht="17.15" hidden="false" customHeight="false" outlineLevel="0" collapsed="false">
      <c r="A7261" s="1" t="s">
        <v>968</v>
      </c>
      <c r="B7261" s="0" t="s">
        <v>403</v>
      </c>
      <c r="C7261" s="15" t="n">
        <f aca="false">(Sens!C7256*tk_hold_h100+Sens!C7257*tk_hold_gb200+Sens!C7258*tk_hold_gb300+Sens!C7260*tk_hold_vr200+Sens!C7259*nv_hold_mai*tk_hold_vr200)/Sens!C7248</f>
        <v>9.7235358126469</v>
      </c>
      <c r="D7261" s="15" t="n">
        <f aca="false">(Sens!D7256*tk_hold_h100+Sens!D7257*tk_hold_gb200+Sens!D7258*tk_hold_gb300+Sens!D7260*tk_hold_vr200+Sens!D7259*nv_hold_mai*tk_hold_vr200)/Sens!D7248</f>
        <v>9.7235358126469</v>
      </c>
      <c r="E7261" s="15" t="n">
        <f aca="false">(Sens!E7256*tk_hold_h100+Sens!E7257*tk_hold_gb200+Sens!E7258*tk_hold_gb300+Sens!E7260*tk_hold_vr200+Sens!E7259*nv_hold_mai*tk_hold_vr200)/Sens!E7248</f>
        <v>9.7235358126469</v>
      </c>
      <c r="F7261" s="15" t="n">
        <f aca="false">(Sens!F7256*tk_hold_h100+Sens!F7257*tk_hold_gb200+Sens!F7258*tk_hold_gb300+Sens!F7260*tk_hold_vr200+Sens!F7259*nv_hold_mai*tk_hold_vr200)/Sens!F7248</f>
        <v>10.2195353876665</v>
      </c>
      <c r="G7261" s="15" t="n">
        <f aca="false">(Sens!G7256*tk_hold_h100+Sens!G7257*tk_hold_gb200+Sens!G7258*tk_hold_gb300+Sens!G7260*tk_hold_vr200+Sens!G7259*nv_hold_mai*tk_hold_vr200)/Sens!G7248</f>
        <v>10.5725598017306</v>
      </c>
      <c r="H7261" s="15" t="n">
        <f aca="false">(Sens!H7256*tk_hold_h100+Sens!H7257*tk_hold_gb200+Sens!H7258*tk_hold_gb300+Sens!H7260*tk_hold_vr200+Sens!H7259*nv_hold_mai*tk_hold_vr200)/Sens!H7248</f>
        <v>10.8210427149036</v>
      </c>
      <c r="I7261" s="15" t="n">
        <f aca="false">(Sens!I7256*tk_hold_h100+Sens!I7257*tk_hold_gb200+Sens!I7258*tk_hold_gb300+Sens!I7260*tk_hold_vr200+Sens!I7259*nv_hold_mai*tk_hold_vr200)/Sens!I7248</f>
        <v>11.0050618241982</v>
      </c>
      <c r="J7261" s="15" t="n">
        <f aca="false">(Sens!J7256*tk_hold_h100+Sens!J7257*tk_hold_gb200+Sens!J7258*tk_hold_gb300+Sens!J7260*tk_hold_vr200+Sens!J7259*nv_hold_mai*tk_hold_vr200)/Sens!J7248</f>
        <v>11.1505789658881</v>
      </c>
      <c r="K7261" s="15" t="n">
        <f aca="false">(Sens!K7256*tk_hold_h100+Sens!K7257*tk_hold_gb200+Sens!K7258*tk_hold_gb300+Sens!K7260*tk_hold_vr200+Sens!K7259*nv_hold_mai*tk_hold_vr200)/Sens!K7248</f>
        <v>11.3496914757183</v>
      </c>
      <c r="L7261" s="1" t="s">
        <v>969</v>
      </c>
    </row>
    <row r="7262" customFormat="false" ht="17.15" hidden="false" customHeight="false" outlineLevel="0" collapsed="false">
      <c r="A7262" s="1" t="s">
        <v>970</v>
      </c>
      <c r="B7262" s="0" t="s">
        <v>403</v>
      </c>
      <c r="C7262" s="15" t="n">
        <f aca="false">(Sens!C7256*tk_hold_h100+Sens!C7257*tk_hold_gb200+Sens!C7258*tk_hold_gb300+Sens!C7260*tk_hold_vr200+Sens!C7259*nv_out_mai*tk_hold_vr200)/Sens!C7248</f>
        <v>9.7235358126469</v>
      </c>
      <c r="D7262" s="15" t="n">
        <f aca="false">(Sens!D7256*tk_hold_h100+Sens!D7257*tk_hold_gb200+Sens!D7258*tk_hold_gb300+Sens!D7260*tk_hold_vr200+Sens!D7259*nv_out_mai*tk_hold_vr200)/Sens!D7248</f>
        <v>9.7235358126469</v>
      </c>
      <c r="E7262" s="15" t="n">
        <f aca="false">(Sens!E7256*tk_hold_h100+Sens!E7257*tk_hold_gb200+Sens!E7258*tk_hold_gb300+Sens!E7260*tk_hold_vr200+Sens!E7259*nv_out_mai*tk_hold_vr200)/Sens!E7248</f>
        <v>9.7235358126469</v>
      </c>
      <c r="F7262" s="15" t="n">
        <f aca="false">(Sens!F7256*tk_hold_h100+Sens!F7257*tk_hold_gb200+Sens!F7258*tk_hold_gb300+Sens!F7260*tk_hold_vr200+Sens!F7259*nv_out_mai*tk_hold_vr200)/Sens!F7248</f>
        <v>10.247422093969</v>
      </c>
      <c r="G7262" s="15" t="n">
        <f aca="false">(Sens!G7256*tk_hold_h100+Sens!G7257*tk_hold_gb200+Sens!G7258*tk_hold_gb300+Sens!G7260*tk_hold_vr200+Sens!G7259*nv_out_mai*tk_hold_vr200)/Sens!G7248</f>
        <v>10.6108602808053</v>
      </c>
      <c r="H7262" s="15" t="n">
        <f aca="false">(Sens!H7256*tk_hold_h100+Sens!H7257*tk_hold_gb200+Sens!H7258*tk_hold_gb300+Sens!H7260*tk_hold_vr200+Sens!H7259*nv_out_mai*tk_hold_vr200)/Sens!H7248</f>
        <v>10.8647885507393</v>
      </c>
      <c r="I7262" s="15" t="n">
        <f aca="false">(Sens!I7256*tk_hold_h100+Sens!I7257*tk_hold_gb200+Sens!I7258*tk_hold_gb300+Sens!I7260*tk_hold_vr200+Sens!I7259*nv_out_mai*tk_hold_vr200)/Sens!I7248</f>
        <v>11.0535625770025</v>
      </c>
      <c r="J7262" s="15" t="n">
        <f aca="false">(Sens!J7256*tk_hold_h100+Sens!J7257*tk_hold_gb200+Sens!J7258*tk_hold_gb300+Sens!J7260*tk_hold_vr200+Sens!J7259*nv_out_mai*tk_hold_vr200)/Sens!J7248</f>
        <v>11.2032127128058</v>
      </c>
      <c r="K7262" s="15" t="n">
        <f aca="false">(Sens!K7256*tk_hold_h100+Sens!K7257*tk_hold_gb200+Sens!K7258*tk_hold_gb300+Sens!K7260*tk_hold_vr200+Sens!K7259*nv_out_mai*tk_hold_vr200)/Sens!K7248</f>
        <v>11.4085735724225</v>
      </c>
      <c r="L7262" s="12" t="s">
        <v>971</v>
      </c>
    </row>
    <row r="7263" customFormat="false" ht="17.15" hidden="false" customHeight="false" outlineLevel="0" collapsed="false">
      <c r="A7263" s="0" t="s">
        <v>972</v>
      </c>
      <c r="B7263" s="0" t="s">
        <v>229</v>
      </c>
      <c r="C7263" s="15" t="n">
        <f aca="false">k_B</f>
        <v>1.17213932619116</v>
      </c>
      <c r="D7263" s="15" t="n">
        <f aca="false">k_B</f>
        <v>1.17213932619116</v>
      </c>
      <c r="E7263" s="15" t="n">
        <f aca="false">k_B</f>
        <v>1.17213932619116</v>
      </c>
      <c r="F7263" s="15" t="n">
        <f aca="false">(k_B+((ls_A*k_long+(1-ls_A)*k_spot)-k_B)*MIN(1,(Sens!F7246-base_fy)/k_ramp))</f>
        <v>1.25022828131298</v>
      </c>
      <c r="G7263" s="15" t="n">
        <f aca="false">(k_B+((ls_A*k_long+(1-ls_A)*k_spot)-k_B)*MIN(1,(Sens!G7246-base_fy)/k_ramp))</f>
        <v>1.3283172364348</v>
      </c>
      <c r="H7263" s="15" t="n">
        <f aca="false">(k_B+((ls_A*k_long+(1-ls_A)*k_spot)-k_B)*MIN(1,(Sens!H7246-base_fy)/k_ramp))</f>
        <v>1.40640619155662</v>
      </c>
      <c r="I7263" s="15" t="n">
        <f aca="false">(k_B+((ls_A*k_long+(1-ls_A)*k_spot)-k_B)*MIN(1,(Sens!I7246-base_fy)/k_ramp))</f>
        <v>1.40640619155662</v>
      </c>
      <c r="J7263" s="15" t="n">
        <f aca="false">(k_B+((ls_A*k_long+(1-ls_A)*k_spot)-k_B)*MIN(1,(Sens!J7246-base_fy)/k_ramp))</f>
        <v>1.40640619155662</v>
      </c>
      <c r="K7263" s="15" t="n">
        <f aca="false">(k_B+((ls_A*k_long+(1-ls_A)*k_spot)-k_B)*MIN(1,(Sens!K7246-base_fy)/k_ramp))</f>
        <v>1.40640619155662</v>
      </c>
      <c r="L7263" s="1" t="s">
        <v>973</v>
      </c>
    </row>
    <row r="7264" customFormat="false" ht="17.15" hidden="false" customHeight="false" outlineLevel="0" collapsed="false">
      <c r="A7264" s="1" t="s">
        <v>974</v>
      </c>
      <c r="B7264" s="0" t="s">
        <v>403</v>
      </c>
      <c r="C7264" s="15" t="n">
        <f aca="false">Sens!C7262*Sens!C7263*chip_f</f>
        <v>11.3973387156315</v>
      </c>
      <c r="D7264" s="15" t="n">
        <f aca="false">Sens!D7262*Sens!D7263*chip_f</f>
        <v>11.3973387156315</v>
      </c>
      <c r="E7264" s="15" t="n">
        <f aca="false">Sens!E7262*Sens!E7263*chip_f</f>
        <v>11.3973387156315</v>
      </c>
      <c r="F7264" s="15" t="n">
        <f aca="false">Sens!F7262*Sens!F7263*chip_f</f>
        <v>12.8116169124314</v>
      </c>
      <c r="G7264" s="15" t="n">
        <f aca="false">Sens!G7262*Sens!G7263*chip_f</f>
        <v>14.094588604395</v>
      </c>
      <c r="H7264" s="15" t="n">
        <f aca="false">Sens!H7262*Sens!H7263*chip_f</f>
        <v>15.2803058877132</v>
      </c>
      <c r="I7264" s="15" t="n">
        <f aca="false">Sens!I7262*Sens!I7263*chip_f</f>
        <v>15.5457988470549</v>
      </c>
      <c r="J7264" s="15" t="n">
        <f aca="false">Sens!J7262*Sens!J7263*chip_f</f>
        <v>15.7562677246158</v>
      </c>
      <c r="K7264" s="15" t="n">
        <f aca="false">Sens!K7262*Sens!K7263*chip_f</f>
        <v>16.0450885090842</v>
      </c>
      <c r="L7264" s="1" t="s">
        <v>975</v>
      </c>
    </row>
    <row r="7265" customFormat="false" ht="17.15" hidden="false" customHeight="false" outlineLevel="0" collapsed="false">
      <c r="A7265" s="0" t="s">
        <v>976</v>
      </c>
      <c r="B7265" s="0" t="s">
        <v>98</v>
      </c>
      <c r="D7265" s="6" t="n">
        <f aca="false">(Sens!C7248+Sens!D7248)/2*Sens!D7264/1000</f>
        <v>12.9359794422418</v>
      </c>
      <c r="E7265" s="6" t="n">
        <f aca="false">(Sens!D7248+Sens!E7248)/2*Sens!E7264/1000</f>
        <v>27.8095064661409</v>
      </c>
      <c r="F7265" s="6" t="n">
        <f aca="false">(Sens!E7248+Sens!F7248)/2*Sens!F7264/1000</f>
        <v>59.1034165651511</v>
      </c>
      <c r="G7265" s="6" t="n">
        <f aca="false">(Sens!F7248+Sens!G7248)/2*Sens!G7264/1000</f>
        <v>103.451498789198</v>
      </c>
      <c r="H7265" s="6" t="n">
        <f aca="false">(Sens!G7248+Sens!H7248)/2*Sens!H7264/1000</f>
        <v>153.816719989035</v>
      </c>
      <c r="I7265" s="6" t="n">
        <f aca="false">(Sens!H7248+Sens!I7248)/2*Sens!I7264/1000</f>
        <v>192.699478690852</v>
      </c>
      <c r="J7265" s="6" t="n">
        <f aca="false">(Sens!I7248+Sens!J7248)/2*Sens!J7264/1000</f>
        <v>219.794102584244</v>
      </c>
      <c r="K7265" s="6" t="n">
        <f aca="false">(Sens!J7248+Sens!K7248)/2*Sens!K7264/1000</f>
        <v>236.757046905022</v>
      </c>
      <c r="L7265" s="12" t="s">
        <v>977</v>
      </c>
    </row>
    <row r="7266" customFormat="false" ht="17.15" hidden="false" customHeight="false" outlineLevel="0" collapsed="false">
      <c r="A7266" s="1" t="s">
        <v>978</v>
      </c>
      <c r="B7266" s="0" t="s">
        <v>403</v>
      </c>
      <c r="C7266" s="15" t="n">
        <f aca="false">(Sens!C7256*tk_opex_h100+Sens!C7257*tk_opex_gb200+Sens!C7258*tk_opex_gb300+(Sens!C7260+Sens!C7259)*tk_opex_vr200)/Sens!C7248</f>
        <v>1.88636041306092</v>
      </c>
      <c r="D7266" s="15" t="n">
        <f aca="false">(Sens!D7256*tk_opex_h100+Sens!D7257*tk_opex_gb200+Sens!D7258*tk_opex_gb300+(Sens!D7260+Sens!D7259)*tk_opex_vr200)/Sens!D7248</f>
        <v>1.88636041306092</v>
      </c>
      <c r="E7266" s="15" t="n">
        <f aca="false">(Sens!E7256*tk_opex_h100+Sens!E7257*tk_opex_gb200+Sens!E7258*tk_opex_gb300+(Sens!E7260+Sens!E7259)*tk_opex_vr200)/Sens!E7248</f>
        <v>1.88636041306092</v>
      </c>
      <c r="F7266" s="15" t="n">
        <f aca="false">(Sens!F7256*tk_opex_h100+Sens!F7257*tk_opex_gb200+Sens!F7258*tk_opex_gb300+(Sens!F7260+Sens!F7259)*tk_opex_vr200)/Sens!F7248</f>
        <v>1.95051159746876</v>
      </c>
      <c r="G7266" s="15" t="n">
        <f aca="false">(Sens!G7256*tk_opex_h100+Sens!G7257*tk_opex_gb200+Sens!G7258*tk_opex_gb300+(Sens!G7260+Sens!G7259)*tk_opex_vr200)/Sens!G7248</f>
        <v>1.98836003669956</v>
      </c>
      <c r="H7266" s="15" t="n">
        <f aca="false">(Sens!H7256*tk_opex_h100+Sens!H7257*tk_opex_gb200+Sens!H7258*tk_opex_gb300+(Sens!H7260+Sens!H7259)*tk_opex_vr200)/Sens!H7248</f>
        <v>2.01344013834343</v>
      </c>
      <c r="I7266" s="15" t="n">
        <f aca="false">(Sens!I7256*tk_opex_h100+Sens!I7257*tk_opex_gb200+Sens!I7258*tk_opex_gb300+(Sens!I7260+Sens!I7259)*tk_opex_vr200)/Sens!I7248</f>
        <v>2.03261166882178</v>
      </c>
      <c r="J7266" s="15" t="n">
        <f aca="false">(Sens!J7256*tk_opex_h100+Sens!J7257*tk_opex_gb200+Sens!J7258*tk_opex_gb300+(Sens!J7260+Sens!J7259)*tk_opex_vr200)/Sens!J7248</f>
        <v>2.04808073288745</v>
      </c>
      <c r="K7266" s="15" t="n">
        <f aca="false">(Sens!K7256*tk_opex_h100+Sens!K7257*tk_opex_gb200+Sens!K7258*tk_opex_gb300+(Sens!K7260+Sens!K7259)*tk_opex_vr200)/Sens!K7248</f>
        <v>2.06973825807449</v>
      </c>
      <c r="L7266" s="12" t="s">
        <v>979</v>
      </c>
    </row>
    <row r="7267" customFormat="false" ht="17.15" hidden="false" customHeight="false" outlineLevel="0" collapsed="false">
      <c r="A7267" s="0" t="s">
        <v>980</v>
      </c>
      <c r="B7267" s="0" t="s">
        <v>98</v>
      </c>
      <c r="D7267" s="6" t="n">
        <f aca="false">(Sens!C7251+Sens!D7251)/2*Sens!D7266/1000</f>
        <v>2.70378325872065</v>
      </c>
      <c r="E7267" s="6" t="n">
        <f aca="false">(Sens!D7251+Sens!E7251)/2*Sens!E7266/1000</f>
        <v>6.17783035277451</v>
      </c>
      <c r="F7267" s="6" t="n">
        <f aca="false">(Sens!E7251+Sens!F7251)/2*Sens!F7266/1000</f>
        <v>12.8742463089237</v>
      </c>
      <c r="G7267" s="6" t="n">
        <f aca="false">(Sens!F7251+Sens!G7251)/2*Sens!G7266/1000</f>
        <v>21.8182834646277</v>
      </c>
      <c r="H7267" s="6" t="n">
        <f aca="false">(Sens!G7251+Sens!H7251)/2*Sens!H7266/1000</f>
        <v>31.2430128789734</v>
      </c>
      <c r="I7267" s="6" t="n">
        <f aca="false">(Sens!H7251+Sens!I7251)/2*Sens!I7266/1000</f>
        <v>39.4313057443268</v>
      </c>
      <c r="J7267" s="6" t="n">
        <f aca="false">(Sens!I7251+Sens!J7251)/2*Sens!J7266/1000</f>
        <v>45.0360318228653</v>
      </c>
      <c r="K7267" s="6" t="n">
        <f aca="false">(Sens!J7251+Sens!K7251)/2*Sens!K7266/1000</f>
        <v>48.2929727091156</v>
      </c>
    </row>
    <row r="7268" customFormat="false" ht="17.15" hidden="false" customHeight="false" outlineLevel="0" collapsed="false">
      <c r="A7268" s="0" t="s">
        <v>981</v>
      </c>
      <c r="B7268" s="0" t="s">
        <v>98</v>
      </c>
      <c r="D7268" s="6" t="n">
        <f aca="false">(Sens!C7249+Sens!D7249)/2*rent_mw/1000</f>
        <v>2.44475</v>
      </c>
      <c r="E7268" s="6" t="n">
        <f aca="false">(Sens!D7249+Sens!E7249)/2*rent_mw/1000</f>
        <v>4.22275</v>
      </c>
      <c r="F7268" s="6" t="n">
        <f aca="false">(Sens!E7249+Sens!F7249)/2*rent_mw/1000</f>
        <v>5.80517</v>
      </c>
      <c r="G7268" s="6" t="n">
        <f aca="false">(Sens!F7249+Sens!G7249)/2*rent_mw/1000</f>
        <v>6.72084</v>
      </c>
      <c r="H7268" s="6" t="n">
        <f aca="false">(Sens!G7249+Sens!H7249)/2*rent_mw/1000</f>
        <v>6.72084</v>
      </c>
      <c r="I7268" s="6" t="n">
        <f aca="false">(Sens!H7249+Sens!I7249)/2*rent_mw/1000</f>
        <v>6.72084</v>
      </c>
      <c r="J7268" s="6" t="n">
        <f aca="false">(Sens!I7249+Sens!J7249)/2*rent_mw/1000</f>
        <v>6.72084</v>
      </c>
      <c r="K7268" s="6" t="n">
        <f aca="false">(Sens!J7249+Sens!K7249)/2*rent_mw/1000</f>
        <v>6.72084</v>
      </c>
    </row>
    <row r="7269" customFormat="false" ht="17.15" hidden="false" customHeight="false" outlineLevel="0" collapsed="false">
      <c r="A7269" s="0" t="s">
        <v>982</v>
      </c>
      <c r="B7269" s="0" t="s">
        <v>98</v>
      </c>
      <c r="D7269" s="6" t="n">
        <f aca="false">(Sens!C7251+Sens!D7251)/2*(1-self_build)*fac_rent/1000</f>
        <v>0.853242375631075</v>
      </c>
      <c r="E7269" s="6" t="n">
        <f aca="false">(Sens!D7251+Sens!E7251)/2*(1-self_build)*fac_rent/1000</f>
        <v>1.94955961408728</v>
      </c>
      <c r="F7269" s="6" t="n">
        <f aca="false">(Sens!E7251+Sens!F7251)/2*(1-self_build)*fac_rent/1000</f>
        <v>3.92914894476356</v>
      </c>
      <c r="G7269" s="6" t="n">
        <f aca="false">(Sens!F7251+Sens!G7251)/2*(1-self_build)*fac_rent/1000</f>
        <v>6.53206908578159</v>
      </c>
      <c r="H7269" s="6" t="n">
        <f aca="false">(Sens!G7251+Sens!H7251)/2*(1-self_build)*fac_rent/1000</f>
        <v>9.23717988341591</v>
      </c>
      <c r="I7269" s="6" t="n">
        <f aca="false">(Sens!H7251+Sens!I7251)/2*(1-self_build)*fac_rent/1000</f>
        <v>11.5481378557393</v>
      </c>
      <c r="J7269" s="6" t="n">
        <f aca="false">(Sens!I7251+Sens!J7251)/2*(1-self_build)*fac_rent/1000</f>
        <v>13.0899582289108</v>
      </c>
      <c r="K7269" s="6" t="n">
        <f aca="false">(Sens!J7251+Sens!K7251)/2*(1-self_build)*fac_rent/1000</f>
        <v>13.8897275626556</v>
      </c>
      <c r="L7269" s="12" t="s">
        <v>983</v>
      </c>
    </row>
    <row r="7270" customFormat="false" ht="17.15" hidden="false" customHeight="false" outlineLevel="0" collapsed="false">
      <c r="A7270" s="1" t="s">
        <v>984</v>
      </c>
      <c r="B7270" s="0" t="s">
        <v>168</v>
      </c>
      <c r="D7270" s="7" t="n">
        <f aca="false">(Sens!C7250+Sens!D7250)/(Sens!C7251+Sens!D7251)</f>
        <v>0.6</v>
      </c>
      <c r="E7270" s="7" t="n">
        <f aca="false">(Sens!D7250+Sens!E7250)/(Sens!D7251+Sens!E7251)</f>
        <v>0.6</v>
      </c>
      <c r="F7270" s="7" t="n">
        <f aca="false">(Sens!E7250+Sens!F7250)/(Sens!E7251+Sens!F7251)</f>
        <v>0.6</v>
      </c>
      <c r="G7270" s="7" t="n">
        <f aca="false">(Sens!F7250+Sens!G7250)/(Sens!F7251+Sens!G7251)</f>
        <v>0.6</v>
      </c>
      <c r="H7270" s="7" t="n">
        <f aca="false">(Sens!G7250+Sens!H7250)/(Sens!G7251+Sens!H7251)</f>
        <v>0.6</v>
      </c>
      <c r="I7270" s="7" t="n">
        <f aca="false">(Sens!H7250+Sens!I7250)/(Sens!H7251+Sens!I7251)</f>
        <v>0.6</v>
      </c>
      <c r="J7270" s="7" t="n">
        <f aca="false">(Sens!I7250+Sens!J7250)/(Sens!I7251+Sens!J7251)</f>
        <v>0.6</v>
      </c>
      <c r="K7270" s="7" t="n">
        <f aca="false">(Sens!J7250+Sens!K7250)/(Sens!J7251+Sens!K7251)</f>
        <v>0.6</v>
      </c>
    </row>
    <row r="7271" customFormat="false" ht="17.15" hidden="false" customHeight="false" outlineLevel="0" collapsed="false">
      <c r="A7271" s="0" t="s">
        <v>985</v>
      </c>
      <c r="B7271" s="0" t="s">
        <v>98</v>
      </c>
      <c r="D7271" s="6" t="n">
        <f aca="false">Sens!D7265-Sens!D7270*(Sens!D7267+Sens!D7269)-Sens!D7268</f>
        <v>8.35701406163072</v>
      </c>
      <c r="E7271" s="6" t="n">
        <f aca="false">Sens!E7265-Sens!E7270*(Sens!E7267+Sens!E7269)-Sens!E7268</f>
        <v>18.7103224860238</v>
      </c>
      <c r="F7271" s="6" t="n">
        <f aca="false">Sens!F7265-Sens!F7270*(Sens!F7267+Sens!F7269)-Sens!F7268</f>
        <v>43.2162094129388</v>
      </c>
      <c r="G7271" s="6" t="n">
        <f aca="false">Sens!G7265-Sens!G7270*(Sens!G7267+Sens!G7269)-Sens!G7268</f>
        <v>79.7204472589529</v>
      </c>
      <c r="H7271" s="6" t="n">
        <f aca="false">Sens!H7265-Sens!H7270*(Sens!H7267+Sens!H7269)-Sens!H7268</f>
        <v>122.807764331602</v>
      </c>
      <c r="I7271" s="6" t="n">
        <f aca="false">Sens!I7265-Sens!I7270*(Sens!I7267+Sens!I7269)-Sens!I7268</f>
        <v>155.390972530813</v>
      </c>
      <c r="J7271" s="6" t="n">
        <f aca="false">Sens!J7265-Sens!J7270*(Sens!J7267+Sens!J7269)-Sens!J7268</f>
        <v>178.197668553178</v>
      </c>
      <c r="K7271" s="6" t="n">
        <f aca="false">Sens!K7265-Sens!K7270*(Sens!K7267+Sens!K7269)-Sens!K7268</f>
        <v>192.726586741959</v>
      </c>
    </row>
    <row r="7272" customFormat="false" ht="17.15" hidden="false" customHeight="false" outlineLevel="0" collapsed="false">
      <c r="A7272" s="1" t="s">
        <v>986</v>
      </c>
      <c r="B7272" s="0" t="s">
        <v>98</v>
      </c>
      <c r="D7272" s="6" t="n">
        <f aca="false">(1-Sens!D7270)*(Sens!D7267+Sens!D7269)</f>
        <v>1.42281025374069</v>
      </c>
      <c r="E7272" s="6" t="n">
        <f aca="false">(1-Sens!E7270)*(Sens!E7267+Sens!E7269)</f>
        <v>3.25095598674472</v>
      </c>
      <c r="F7272" s="6" t="n">
        <f aca="false">(1-Sens!F7270)*(Sens!F7267+Sens!F7269)</f>
        <v>6.72135810147489</v>
      </c>
      <c r="G7272" s="6" t="n">
        <f aca="false">(1-Sens!G7270)*(Sens!G7267+Sens!G7269)</f>
        <v>11.3401410201637</v>
      </c>
      <c r="H7272" s="6" t="n">
        <f aca="false">(1-Sens!H7270)*(Sens!H7267+Sens!H7269)</f>
        <v>16.1920771049557</v>
      </c>
      <c r="I7272" s="6" t="n">
        <f aca="false">(1-Sens!I7270)*(Sens!I7267+Sens!I7269)</f>
        <v>20.3917774400264</v>
      </c>
      <c r="J7272" s="6" t="n">
        <f aca="false">(1-Sens!J7270)*(Sens!J7267+Sens!J7269)</f>
        <v>23.2503960207104</v>
      </c>
      <c r="K7272" s="6" t="n">
        <f aca="false">(1-Sens!K7270)*(Sens!K7267+Sens!K7269)</f>
        <v>24.8730801087085</v>
      </c>
    </row>
    <row r="7273" customFormat="false" ht="17.15" hidden="false" customHeight="false" outlineLevel="0" collapsed="false">
      <c r="A7273" s="1" t="s">
        <v>987</v>
      </c>
      <c r="B7273" s="0" t="s">
        <v>414</v>
      </c>
      <c r="C7273" s="8" t="n">
        <f aca="false">cxit_open</f>
        <v>27.5918995</v>
      </c>
      <c r="D7273" s="8" t="n">
        <f aca="false">cxit_open</f>
        <v>27.5918995</v>
      </c>
      <c r="E7273" s="8" t="n">
        <f aca="false">cxit_open</f>
        <v>27.5918995</v>
      </c>
      <c r="F7273" s="8" t="n">
        <f aca="false">((a_g3_27-nonnv*a_mai)*tk_cxit_gb300+nonnv*a_mai*nv_hold_mai*tk_cxit_vr200+(1-a_g3_27)*tk_cxit_vr200)</f>
        <v>32.4975576</v>
      </c>
      <c r="G7273" s="8" t="n">
        <f aca="false">((a_g3_28-nonnv*a_mai)*tk_cxit_gb300+nonnv*a_mai*nv_hold_mai*tk_cxit_vr200+(1-a_g3_28)*tk_cxit_vr200)</f>
        <v>34.6372088</v>
      </c>
      <c r="H7273" s="8" t="n">
        <f aca="false">((a_g3_29-nonnv*a_mai)*tk_cxit_gb300+nonnv*a_mai*nv_hold_mai*tk_cxit_vr200+(1-a_g3_29)*tk_cxit_vr200)</f>
        <v>35.7070344</v>
      </c>
      <c r="I7273" s="8" t="n">
        <f aca="false">((a_g3_29-nonnv*a_mai)*tk_cxit_gb300+nonnv*a_mai*nv_hold_mai*tk_cxit_vr200+(1-a_g3_29)*tk_cxit_vr200)</f>
        <v>35.7070344</v>
      </c>
      <c r="J7273" s="8" t="n">
        <f aca="false">((a_g3_29-nonnv*a_mai)*tk_cxit_gb300+nonnv*a_mai*nv_hold_mai*tk_cxit_vr200+(1-a_g3_29)*tk_cxit_vr200)</f>
        <v>35.7070344</v>
      </c>
      <c r="K7273" s="8" t="n">
        <f aca="false">((a_g3_29-nonnv*a_mai)*tk_cxit_gb300+nonnv*a_mai*nv_hold_mai*tk_cxit_vr200+(1-a_g3_29)*tk_cxit_vr200)</f>
        <v>35.7070344</v>
      </c>
      <c r="L7273" s="12" t="s">
        <v>988</v>
      </c>
    </row>
    <row r="7274" customFormat="false" ht="17.15" hidden="false" customHeight="false" outlineLevel="0" collapsed="false">
      <c r="A7274" s="0" t="s">
        <v>989</v>
      </c>
      <c r="B7274" s="0" t="s">
        <v>456</v>
      </c>
      <c r="F7274" s="30" t="n">
        <f aca="false">Sens!C7253*IF(Sens!F7246-Sens!C7246=life_it,1,0)+Sens!D7253*IF(Sens!F7246-Sens!D7246=life_it,1,0)+Sens!E7253*IF(Sens!F7246-Sens!E7246=life_it,1,0)</f>
        <v>0</v>
      </c>
      <c r="G7274" s="30" t="n">
        <f aca="false">Sens!C7253*IF(Sens!G7246-Sens!C7246=life_it,1,0)+Sens!D7253*IF(Sens!G7246-Sens!D7246=life_it,1,0)+Sens!E7253*IF(Sens!G7246-Sens!E7246=life_it,1,0)+Sens!F7253*IF(Sens!G7246-Sens!F7246=life_it,1,0)</f>
        <v>0</v>
      </c>
      <c r="H7274" s="30" t="n">
        <f aca="false">Sens!C7253*IF(Sens!H7246-Sens!C7246=life_it,1,0)+Sens!D7253*IF(Sens!H7246-Sens!D7246=life_it,1,0)+Sens!E7253*IF(Sens!H7246-Sens!E7246=life_it,1,0)+Sens!F7253*IF(Sens!H7246-Sens!F7246=life_it,1,0)+Sens!G7253*IF(Sens!H7246-Sens!G7246=life_it,1,0)</f>
        <v>0</v>
      </c>
      <c r="I7274" s="30" t="n">
        <f aca="false">Sens!C7253*IF(Sens!I7246-Sens!C7246=life_it,1,0)+Sens!D7253*IF(Sens!I7246-Sens!D7246=life_it,1,0)+Sens!E7253*IF(Sens!I7246-Sens!E7246=life_it,1,0)+Sens!F7253*IF(Sens!I7246-Sens!F7246=life_it,1,0)+Sens!G7253*IF(Sens!I7246-Sens!G7246=life_it,1,0)+Sens!H7253*IF(Sens!I7246-Sens!H7246=life_it,1,0)</f>
        <v>816.666666666667</v>
      </c>
      <c r="J7274" s="30" t="n">
        <f aca="false">Sens!C7253*IF(Sens!J7246-Sens!C7246=life_it,1,0)+Sens!D7253*IF(Sens!J7246-Sens!D7246=life_it,1,0)+Sens!E7253*IF(Sens!J7246-Sens!E7246=life_it,1,0)+Sens!F7253*IF(Sens!J7246-Sens!F7246=life_it,1,0)+Sens!G7253*IF(Sens!J7246-Sens!G7246=life_it,1,0)+Sens!H7253*IF(Sens!J7246-Sens!H7246=life_it,1,0)+Sens!I7253*IF(Sens!J7246-Sens!I7246=life_it,1,0)</f>
        <v>1233.33333333333</v>
      </c>
      <c r="K7274" s="30" t="n">
        <f aca="false">Sens!C7253*IF(Sens!K7246-Sens!C7246=life_it,1,0)+Sens!D7253*IF(Sens!K7246-Sens!D7246=life_it,1,0)+Sens!E7253*IF(Sens!K7246-Sens!E7246=life_it,1,0)+Sens!F7253*IF(Sens!K7246-Sens!F7246=life_it,1,0)+Sens!G7253*IF(Sens!K7246-Sens!G7246=life_it,1,0)+Sens!H7253*IF(Sens!K7246-Sens!H7246=life_it,1,0)+Sens!I7253*IF(Sens!K7246-Sens!I7246=life_it,1,0)+Sens!J7253*IF(Sens!K7246-Sens!J7246=life_it,1,0)</f>
        <v>2450</v>
      </c>
      <c r="L7274" s="1" t="s">
        <v>990</v>
      </c>
    </row>
    <row r="7275" customFormat="false" ht="17.15" hidden="false" customHeight="false" outlineLevel="0" collapsed="false">
      <c r="A7275" s="0" t="s">
        <v>991</v>
      </c>
      <c r="B7275" s="0" t="s">
        <v>98</v>
      </c>
      <c r="C7275" s="6" t="n">
        <f aca="false">Sens!C7253*Sens!C7273/1000</f>
        <v>22.5333845916667</v>
      </c>
      <c r="D7275" s="6" t="n">
        <f aca="false">Sens!D7253*Sens!D7273/1000</f>
        <v>34.0300093833333</v>
      </c>
      <c r="E7275" s="6" t="n">
        <f aca="false">Sens!E7253*Sens!E7273/1000</f>
        <v>67.600153775</v>
      </c>
      <c r="F7275" s="6" t="n">
        <f aca="false">(Sens!F7253+Sens!F7274)*Sens!F7273/1000</f>
        <v>136.51872432512</v>
      </c>
      <c r="G7275" s="6" t="n">
        <f aca="false">(Sens!G7253+Sens!G7274)*Sens!G7273/1000</f>
        <v>157.399275932048</v>
      </c>
      <c r="H7275" s="6" t="n">
        <f aca="false">(Sens!H7253+Sens!H7274)*Sens!H7273/1000</f>
        <v>162.260804347512</v>
      </c>
      <c r="I7275" s="6" t="n">
        <f aca="false">(Sens!I7253+Sens!I7274)*Sens!I7273/1000</f>
        <v>144.136569485434</v>
      </c>
      <c r="J7275" s="6" t="n">
        <f aca="false">(Sens!J7253+Sens!J7274)*Sens!J7273/1000</f>
        <v>114.029037357864</v>
      </c>
      <c r="K7275" s="6" t="n">
        <f aca="false">(Sens!K7253+Sens!K7274)*Sens!K7273/1000</f>
        <v>113.437085350975</v>
      </c>
    </row>
    <row r="7276" customFormat="false" ht="17.15" hidden="false" customHeight="false" outlineLevel="0" collapsed="false">
      <c r="A7276" s="0" t="s">
        <v>992</v>
      </c>
      <c r="B7276" s="0" t="s">
        <v>98</v>
      </c>
      <c r="C7276" s="6" t="n">
        <f aca="false">Sens!C7253*self_build*tk_cxfac/1000</f>
        <v>6.2083</v>
      </c>
      <c r="D7276" s="6" t="n">
        <f aca="false">Sens!D7253*self_build*tk_cxfac/1000</f>
        <v>9.3758</v>
      </c>
      <c r="E7276" s="6" t="n">
        <f aca="false">Sens!E7253*self_build*tk_cxfac/1000</f>
        <v>18.6249</v>
      </c>
      <c r="F7276" s="6" t="n">
        <f aca="false">Sens!F7253*self_build*tk_cxfac/1000</f>
        <v>31.935179717</v>
      </c>
      <c r="G7276" s="6" t="n">
        <f aca="false">Sens!G7253*self_build*tk_cxfac/1000</f>
        <v>34.545199717</v>
      </c>
      <c r="H7276" s="6" t="n">
        <f aca="false">Sens!H7253*self_build*tk_cxfac/1000</f>
        <v>34.545199717</v>
      </c>
      <c r="I7276" s="6" t="n">
        <f aca="false">Sens!I7253*self_build*tk_cxfac/1000</f>
        <v>24.4782641361767</v>
      </c>
      <c r="J7276" s="6" t="n">
        <f aca="false">Sens!J7253*self_build*tk_cxfac/1000</f>
        <v>14.9008938380769</v>
      </c>
      <c r="K7276" s="6" t="n">
        <f aca="false">Sens!K7253*self_build*tk_cxfac/1000</f>
        <v>5.52576771375761</v>
      </c>
    </row>
    <row r="7277" customFormat="false" ht="17.15" hidden="false" customHeight="false" outlineLevel="0" collapsed="false">
      <c r="A7277" s="0" t="s">
        <v>993</v>
      </c>
      <c r="B7277" s="0" t="s">
        <v>98</v>
      </c>
      <c r="F7277" s="15" t="n">
        <f aca="false">capex_floor27-Sens!F7275-Sens!F7276-Sens!F7373</f>
        <v>-0.124269980938124</v>
      </c>
      <c r="L7277" s="12" t="s">
        <v>994</v>
      </c>
    </row>
    <row r="7278" customFormat="false" ht="17.15" hidden="false" customHeight="false" outlineLevel="0" collapsed="false">
      <c r="A7278" s="0" t="s">
        <v>995</v>
      </c>
      <c r="B7278" s="0" t="s">
        <v>98</v>
      </c>
      <c r="F7278" s="6" t="n">
        <f aca="false">MAX(0,Sens!F7277)</f>
        <v>0</v>
      </c>
    </row>
    <row r="7279" customFormat="false" ht="17.15" hidden="false" customHeight="false" outlineLevel="0" collapsed="false">
      <c r="A7279" s="0" t="s">
        <v>996</v>
      </c>
      <c r="B7279" s="0" t="s">
        <v>98</v>
      </c>
      <c r="C7279" s="6" t="n">
        <f aca="false">Sens!C7275</f>
        <v>22.5333845916667</v>
      </c>
      <c r="D7279" s="6" t="n">
        <f aca="false">Sens!D7275</f>
        <v>34.0300093833333</v>
      </c>
      <c r="E7279" s="6" t="n">
        <f aca="false">Sens!E7275</f>
        <v>67.600153775</v>
      </c>
      <c r="F7279" s="6" t="n">
        <f aca="false">Sens!F7275</f>
        <v>136.51872432512</v>
      </c>
      <c r="G7279" s="6" t="n">
        <f aca="false">Sens!G7275</f>
        <v>157.399275932048</v>
      </c>
      <c r="H7279" s="6" t="n">
        <f aca="false">Sens!H7275</f>
        <v>162.260804347512</v>
      </c>
      <c r="I7279" s="6" t="n">
        <f aca="false">Sens!I7275</f>
        <v>144.136569485434</v>
      </c>
      <c r="J7279" s="6" t="n">
        <f aca="false">Sens!J7275</f>
        <v>114.029037357864</v>
      </c>
      <c r="K7279" s="6" t="n">
        <f aca="false">Sens!K7275</f>
        <v>113.437085350975</v>
      </c>
    </row>
    <row r="7280" customFormat="false" ht="17.15" hidden="false" customHeight="false" outlineLevel="0" collapsed="false">
      <c r="A7280" s="0" t="s">
        <v>997</v>
      </c>
      <c r="B7280" s="0" t="s">
        <v>98</v>
      </c>
      <c r="C7280" s="6" t="n">
        <f aca="false">Sens!C7279+Sens!C7276</f>
        <v>28.7416845916667</v>
      </c>
      <c r="D7280" s="6" t="n">
        <f aca="false">Sens!D7279+Sens!D7276</f>
        <v>43.4058093833333</v>
      </c>
      <c r="E7280" s="6" t="n">
        <f aca="false">Sens!E7279+Sens!E7276</f>
        <v>86.225053775</v>
      </c>
      <c r="F7280" s="6" t="n">
        <f aca="false">Sens!F7279+Sens!F7276</f>
        <v>168.45390404212</v>
      </c>
      <c r="G7280" s="6" t="n">
        <f aca="false">Sens!G7279+Sens!G7276</f>
        <v>191.944475649048</v>
      </c>
      <c r="H7280" s="6" t="n">
        <f aca="false">Sens!H7279+Sens!H7276</f>
        <v>196.806004064512</v>
      </c>
      <c r="I7280" s="6" t="n">
        <f aca="false">Sens!I7279+Sens!I7276</f>
        <v>168.61483362161</v>
      </c>
      <c r="J7280" s="6" t="n">
        <f aca="false">Sens!J7279+Sens!J7276</f>
        <v>128.92993119594</v>
      </c>
      <c r="K7280" s="6" t="n">
        <f aca="false">Sens!K7279+Sens!K7276</f>
        <v>118.962853064733</v>
      </c>
      <c r="L7280" s="12" t="s">
        <v>998</v>
      </c>
    </row>
    <row r="7281" customFormat="false" ht="17.15" hidden="false" customHeight="false" outlineLevel="0" collapsed="false">
      <c r="A7281" s="0" t="s">
        <v>999</v>
      </c>
      <c r="B7281" s="0" t="s">
        <v>98</v>
      </c>
      <c r="E7281" s="6" t="n">
        <f aca="false">(Sens!C7279*IF(2&lt;life_it,1,IF(2=life_it,0.5,0))+Sens!D7279*IF(1&lt;life_it,1,IF(1=life_it,0.5,0))+Sens!E7279*0.5)/life_it</f>
        <v>15.0605784770833</v>
      </c>
      <c r="F7281" s="6" t="n">
        <f aca="false">(Sens!C7279*IF(3&lt;life_it,1,IF(3=life_it,0.5,0))+Sens!D7279*IF(2&lt;life_it,1,IF(2=life_it,0.5,0))+Sens!E7279*IF(1&lt;life_it,1,IF(1=life_it,0.5,0))+Sens!F7279*0.5)/life_it</f>
        <v>32.0704849854266</v>
      </c>
      <c r="G7281" s="6" t="n">
        <f aca="false">(Sens!C7279*IF(4&lt;life_it,1,IF(4=life_it,0.5,0))+Sens!D7279*IF(3&lt;life_it,1,IF(3=life_it,0.5,0))+Sens!E7279*IF(2&lt;life_it,1,IF(2=life_it,0.5,0))+Sens!F7279*IF(1&lt;life_it,1,IF(1=life_it,0.5,0))+Sens!G7279*0.5)/life_it</f>
        <v>56.5636516735239</v>
      </c>
      <c r="H7281" s="6" t="n">
        <f aca="false">(Sens!C7279*IF(5&lt;life_it,1,IF(5=life_it,0.5,0))+Sens!D7279*IF(4&lt;life_it,1,IF(4=life_it,0.5,0))+Sens!E7279*IF(3&lt;life_it,1,IF(3=life_it,0.5,0))+Sens!F7279*IF(2&lt;life_it,1,IF(2=life_it,0.5,0))+Sens!G7279*IF(1&lt;life_it,1,IF(1=life_it,0.5,0))+Sens!H7279*0.5)/life_it</f>
        <v>83.2019916968207</v>
      </c>
      <c r="I7281" s="6" t="n">
        <f aca="false">(Sens!C7279*IF(6&lt;life_it,1,IF(6=life_it,0.5,0))+Sens!D7279*IF(5&lt;life_it,1,IF(5=life_it,0.5,0))+Sens!E7279*IF(4&lt;life_it,1,IF(4=life_it,0.5,0))+Sens!F7279*IF(3&lt;life_it,1,IF(3=life_it,0.5,0))+Sens!G7279*IF(2&lt;life_it,1,IF(2=life_it,0.5,0))+Sens!H7279*IF(1&lt;life_it,1,IF(1=life_it,0.5,0))+Sens!I7279*0.5)/life_it</f>
        <v>106.857324133594</v>
      </c>
      <c r="J7281" s="6" t="n">
        <f aca="false">(Sens!C7279*IF(7&lt;life_it,1,IF(7=life_it,0.5,0))+Sens!D7279*IF(6&lt;life_it,1,IF(6=life_it,0.5,0))+Sens!E7279*IF(5&lt;life_it,1,IF(5=life_it,0.5,0))+Sens!F7279*IF(4&lt;life_it,1,IF(4=life_it,0.5,0))+Sens!G7279*IF(3&lt;life_it,1,IF(3=life_it,0.5,0))+Sens!H7279*IF(2&lt;life_it,1,IF(2=life_it,0.5,0))+Sens!I7279*IF(1&lt;life_it,1,IF(1=life_it,0.5,0))+Sens!J7279*0.5)/life_it</f>
        <v>123.657508539285</v>
      </c>
      <c r="K7281" s="6" t="n">
        <f aca="false">(Sens!C7279*IF(8&lt;life_it,1,IF(8=life_it,0.5,0))+Sens!D7279*IF(7&lt;life_it,1,IF(7=life_it,0.5,0))+Sens!E7279*IF(6&lt;life_it,1,IF(6=life_it,0.5,0))+Sens!F7279*IF(5&lt;life_it,1,IF(5=life_it,0.5,0))+Sens!G7279*IF(4&lt;life_it,1,IF(4=life_it,0.5,0))+Sens!H7279*IF(3&lt;life_it,1,IF(3=life_it,0.5,0))+Sens!I7279*IF(2&lt;life_it,1,IF(2=life_it,0.5,0))+Sens!J7279*IF(1&lt;life_it,1,IF(1=life_it,0.5,0))+Sens!K7279*0.5)/life_it</f>
        <v>134.143838501827</v>
      </c>
    </row>
    <row r="7282" customFormat="false" ht="17.15" hidden="false" customHeight="false" outlineLevel="0" collapsed="false">
      <c r="A7282" s="0" t="s">
        <v>1000</v>
      </c>
      <c r="B7282" s="0" t="s">
        <v>98</v>
      </c>
      <c r="E7282" s="6" t="n">
        <f aca="false">(Sens!C7276*IF(2&lt;life_fac,1,IF(2=life_fac,0.5,0))+Sens!D7276*IF(1&lt;life_fac,1,IF(1=life_fac,0.5,0))+Sens!E7276*0.5)/life_fac</f>
        <v>1.2448275</v>
      </c>
      <c r="F7282" s="6" t="n">
        <f aca="false">(Sens!C7276*IF(3&lt;life_fac,1,IF(3=life_fac,0.5,0))+Sens!D7276*IF(2&lt;life_fac,1,IF(2=life_fac,0.5,0))+Sens!E7276*IF(1&lt;life_fac,1,IF(1=life_fac,0.5,0))+Sens!F7276*0.5)/life_fac</f>
        <v>2.508829492925</v>
      </c>
      <c r="G7282" s="6" t="n">
        <f aca="false">(Sens!C7276*IF(4&lt;life_fac,1,IF(4=life_fac,0.5,0))+Sens!D7276*IF(3&lt;life_fac,1,IF(3=life_fac,0.5,0))+Sens!E7276*IF(2&lt;life_fac,1,IF(2=life_fac,0.5,0))+Sens!F7276*IF(1&lt;life_fac,1,IF(1=life_fac,0.5,0))+Sens!G7276*0.5)/life_fac</f>
        <v>4.170838978775</v>
      </c>
      <c r="H7282" s="6" t="n">
        <f aca="false">(Sens!C7276*IF(5&lt;life_fac,1,IF(5=life_fac,0.5,0))+Sens!D7276*IF(4&lt;life_fac,1,IF(4=life_fac,0.5,0))+Sens!E7276*IF(3&lt;life_fac,1,IF(3=life_fac,0.5,0))+Sens!F7276*IF(2&lt;life_fac,1,IF(2=life_fac,0.5,0))+Sens!G7276*IF(1&lt;life_fac,1,IF(1=life_fac,0.5,0))+Sens!H7276*0.5)/life_fac</f>
        <v>5.898098964625</v>
      </c>
      <c r="I7282" s="6" t="n">
        <f aca="false">(Sens!C7276*IF(6&lt;life_fac,1,IF(6=life_fac,0.5,0))+Sens!D7276*IF(5&lt;life_fac,1,IF(5=life_fac,0.5,0))+Sens!E7276*IF(4&lt;life_fac,1,IF(4=life_fac,0.5,0))+Sens!F7276*IF(3&lt;life_fac,1,IF(3=life_fac,0.5,0))+Sens!G7276*IF(2&lt;life_fac,1,IF(2=life_fac,0.5,0))+Sens!H7276*IF(1&lt;life_fac,1,IF(1=life_fac,0.5,0))+Sens!I7276*0.5)/life_fac</f>
        <v>7.37368556095442</v>
      </c>
      <c r="J7282" s="6" t="n">
        <f aca="false">(Sens!C7276*IF(7&lt;life_fac,1,IF(7=life_fac,0.5,0))+Sens!D7276*IF(6&lt;life_fac,1,IF(6=life_fac,0.5,0))+Sens!E7276*IF(5&lt;life_fac,1,IF(5=life_fac,0.5,0))+Sens!F7276*IF(4&lt;life_fac,1,IF(4=life_fac,0.5,0))+Sens!G7276*IF(3&lt;life_fac,1,IF(3=life_fac,0.5,0))+Sens!H7276*IF(2&lt;life_fac,1,IF(2=life_fac,0.5,0))+Sens!I7276*IF(1&lt;life_fac,1,IF(1=life_fac,0.5,0))+Sens!J7276*0.5)/life_fac</f>
        <v>8.35816451031075</v>
      </c>
      <c r="K7282" s="6" t="n">
        <f aca="false">(Sens!C7276*IF(8&lt;life_fac,1,IF(8=life_fac,0.5,0))+Sens!D7276*IF(7&lt;life_fac,1,IF(7=life_fac,0.5,0))+Sens!E7276*IF(6&lt;life_fac,1,IF(6=life_fac,0.5,0))+Sens!F7276*IF(5&lt;life_fac,1,IF(5=life_fac,0.5,0))+Sens!G7276*IF(4&lt;life_fac,1,IF(4=life_fac,0.5,0))+Sens!H7276*IF(3&lt;life_fac,1,IF(3=life_fac,0.5,0))+Sens!I7276*IF(2&lt;life_fac,1,IF(2=life_fac,0.5,0))+Sens!J7276*IF(1&lt;life_fac,1,IF(1=life_fac,0.5,0))+Sens!K7276*0.5)/life_fac</f>
        <v>8.86883104910662</v>
      </c>
    </row>
    <row r="7283" customFormat="false" ht="17.15" hidden="false" customHeight="false" outlineLevel="0" collapsed="false">
      <c r="A7283" s="0" t="s">
        <v>1001</v>
      </c>
      <c r="B7283" s="0" t="s">
        <v>98</v>
      </c>
      <c r="E7283" s="6" t="n">
        <f aca="false">Sens!E7281+Sens!E7282</f>
        <v>16.3054059770833</v>
      </c>
      <c r="F7283" s="6" t="n">
        <f aca="false">Sens!F7281+Sens!F7282</f>
        <v>34.5793144783516</v>
      </c>
      <c r="G7283" s="6" t="n">
        <f aca="false">Sens!G7281+Sens!G7282</f>
        <v>60.7344906522989</v>
      </c>
      <c r="H7283" s="6" t="n">
        <f aca="false">Sens!H7281+Sens!H7282</f>
        <v>89.1000906614457</v>
      </c>
      <c r="I7283" s="6" t="n">
        <f aca="false">Sens!I7281+Sens!I7282</f>
        <v>114.231009694548</v>
      </c>
      <c r="J7283" s="6" t="n">
        <f aca="false">Sens!J7281+Sens!J7282</f>
        <v>132.015673049596</v>
      </c>
      <c r="K7283" s="6" t="n">
        <f aca="false">Sens!K7281+Sens!K7282</f>
        <v>143.012669550934</v>
      </c>
    </row>
    <row r="7284" customFormat="false" ht="17.15" hidden="false" customHeight="false" outlineLevel="0" collapsed="false">
      <c r="A7284" s="0" t="s">
        <v>1002</v>
      </c>
      <c r="B7284" s="0" t="s">
        <v>98</v>
      </c>
      <c r="E7284" s="6" t="n">
        <f aca="false">Sens!E7271-Sens!E7270*Sens!E7283</f>
        <v>8.92707889977379</v>
      </c>
      <c r="F7284" s="6" t="n">
        <f aca="false">Sens!F7271-Sens!F7270*Sens!F7283</f>
        <v>22.4686207259278</v>
      </c>
      <c r="G7284" s="6" t="n">
        <f aca="false">Sens!G7271-Sens!G7270*Sens!G7283</f>
        <v>43.2797528675735</v>
      </c>
      <c r="H7284" s="6" t="n">
        <f aca="false">Sens!H7271-Sens!H7270*Sens!H7283</f>
        <v>69.3477099347341</v>
      </c>
      <c r="I7284" s="6" t="n">
        <f aca="false">Sens!I7271-Sens!I7270*Sens!I7283</f>
        <v>86.8523667140836</v>
      </c>
      <c r="J7284" s="6" t="n">
        <f aca="false">Sens!J7271-Sens!J7270*Sens!J7283</f>
        <v>98.9882647234202</v>
      </c>
      <c r="K7284" s="6" t="n">
        <f aca="false">Sens!K7271-Sens!K7270*Sens!K7283</f>
        <v>106.918985011399</v>
      </c>
    </row>
    <row r="7285" customFormat="false" ht="17.15" hidden="false" customHeight="false" outlineLevel="0" collapsed="false">
      <c r="A7285" s="3" t="s">
        <v>1661</v>
      </c>
    </row>
    <row r="7286" customFormat="false" ht="15" hidden="false" customHeight="false" outlineLevel="0" collapsed="false">
      <c r="A7286" s="4" t="s">
        <v>43</v>
      </c>
      <c r="B7286" s="4" t="s">
        <v>65</v>
      </c>
      <c r="C7286" s="23" t="s">
        <v>938</v>
      </c>
      <c r="D7286" s="23" t="s">
        <v>939</v>
      </c>
      <c r="E7286" s="23" t="s">
        <v>940</v>
      </c>
      <c r="F7286" s="23" t="s">
        <v>941</v>
      </c>
      <c r="G7286" s="23" t="s">
        <v>942</v>
      </c>
      <c r="H7286" s="23" t="s">
        <v>943</v>
      </c>
      <c r="I7286" s="23" t="s">
        <v>944</v>
      </c>
      <c r="J7286" s="23" t="s">
        <v>945</v>
      </c>
      <c r="K7286" s="23" t="s">
        <v>946</v>
      </c>
      <c r="L7286" s="4" t="s">
        <v>47</v>
      </c>
    </row>
    <row r="7287" customFormat="false" ht="17.15" hidden="false" customHeight="false" outlineLevel="0" collapsed="false">
      <c r="A7287" s="0" t="s">
        <v>1021</v>
      </c>
      <c r="B7287" s="0" t="s">
        <v>98</v>
      </c>
      <c r="D7287" s="6" t="n">
        <f aca="false">Sens!D7265</f>
        <v>12.9359794422418</v>
      </c>
      <c r="E7287" s="6" t="n">
        <f aca="false">Sens!E7265</f>
        <v>27.8095064661409</v>
      </c>
      <c r="F7287" s="6" t="n">
        <f aca="false">Sens!F7265</f>
        <v>59.1034165651511</v>
      </c>
      <c r="G7287" s="6" t="n">
        <f aca="false">Sens!G7265</f>
        <v>103.451498789198</v>
      </c>
      <c r="H7287" s="6" t="n">
        <f aca="false">Sens!H7265</f>
        <v>153.816719989035</v>
      </c>
      <c r="I7287" s="6" t="n">
        <f aca="false">Sens!I7265</f>
        <v>192.699478690852</v>
      </c>
      <c r="J7287" s="6" t="n">
        <f aca="false">Sens!J7265</f>
        <v>219.794102584244</v>
      </c>
      <c r="K7287" s="6" t="n">
        <f aca="false">Sens!K7265</f>
        <v>236.757046905022</v>
      </c>
    </row>
    <row r="7288" customFormat="false" ht="17.15" hidden="false" customHeight="false" outlineLevel="0" collapsed="false">
      <c r="A7288" s="0" t="s">
        <v>1022</v>
      </c>
      <c r="B7288" s="0" t="s">
        <v>98</v>
      </c>
      <c r="D7288" s="6" t="n">
        <f aca="false">Q!L6-Sens!D7287</f>
        <v>59.6740205577583</v>
      </c>
      <c r="E7288" s="6" t="n">
        <f aca="false">Q!M6-Sens!E7287</f>
        <v>74.1284935338591</v>
      </c>
      <c r="F7288" s="6" t="n">
        <f aca="false">Q!$I$6+(Sens!F7287+Sens!E7288*(1+Sens!F7289))*(1-Q!$E$6/Q!M6)-Sens!F7287</f>
        <v>90.4866018070994</v>
      </c>
      <c r="G7288" s="6" t="n">
        <f aca="false">Sens!F7288*(1+Sens!G7289)</f>
        <v>107.511588557154</v>
      </c>
      <c r="H7288" s="6" t="n">
        <f aca="false">Sens!G7288*(1+Sens!H7289)</f>
        <v>124.832989325489</v>
      </c>
      <c r="I7288" s="6" t="n">
        <f aca="false">Sens!H7288*(1+Sens!I7289)</f>
        <v>141.56992589148</v>
      </c>
      <c r="J7288" s="6" t="n">
        <f aca="false">Sens!I7288*(1+Sens!J7289)</f>
        <v>156.723190479428</v>
      </c>
      <c r="K7288" s="6" t="n">
        <f aca="false">Sens!J7288*(1+Sens!K7289)</f>
        <v>169.261045717783</v>
      </c>
      <c r="L7288" s="12" t="s">
        <v>1023</v>
      </c>
    </row>
    <row r="7289" customFormat="false" ht="15" hidden="false" customHeight="false" outlineLevel="0" collapsed="false">
      <c r="A7289" s="1" t="s">
        <v>1024</v>
      </c>
      <c r="B7289" s="0" t="s">
        <v>168</v>
      </c>
      <c r="E7289" s="7" t="n">
        <f aca="false">Sens!E7288/Sens!D7288-1</f>
        <v>0.242223883039864</v>
      </c>
      <c r="F7289" s="7" t="n">
        <f aca="false">Sens!$E$7289+(glt_azo-Sens!$E$7289)*MIN(1,(Sens!F7246-base_fy)/n_conv)</f>
        <v>0.215186569199887</v>
      </c>
      <c r="G7289" s="7" t="n">
        <f aca="false">Sens!$E$7289+(glt_azo-Sens!$E$7289)*MIN(1,(Sens!G7246-base_fy)/n_conv)</f>
        <v>0.18814925535991</v>
      </c>
      <c r="H7289" s="7" t="n">
        <f aca="false">Sens!$E$7289+(glt_azo-Sens!$E$7289)*MIN(1,(Sens!H7246-base_fy)/n_conv)</f>
        <v>0.161111941519932</v>
      </c>
      <c r="I7289" s="7" t="n">
        <f aca="false">Sens!$E$7289+(glt_azo-Sens!$E$7289)*MIN(1,(Sens!I7246-base_fy)/n_conv)</f>
        <v>0.134074627679955</v>
      </c>
      <c r="J7289" s="7" t="n">
        <f aca="false">Sens!$E$7289+(glt_azo-Sens!$E$7289)*MIN(1,(Sens!J7246-base_fy)/n_conv)</f>
        <v>0.107037313839977</v>
      </c>
      <c r="K7289" s="7" t="n">
        <f aca="false">Sens!$E$7289+(glt_azo-Sens!$E$7289)*MIN(1,(Sens!K7246-base_fy)/n_conv)</f>
        <v>0.08</v>
      </c>
    </row>
    <row r="7290" customFormat="false" ht="15" hidden="false" customHeight="false" outlineLevel="0" collapsed="false">
      <c r="A7290" s="0" t="s">
        <v>1025</v>
      </c>
      <c r="B7290" s="0" t="s">
        <v>98</v>
      </c>
      <c r="D7290" s="6" t="n">
        <f aca="false">Sens!D7287+Sens!D7288</f>
        <v>72.61</v>
      </c>
      <c r="E7290" s="6" t="n">
        <f aca="false">Sens!E7287+Sens!E7288</f>
        <v>101.938</v>
      </c>
      <c r="F7290" s="6" t="n">
        <f aca="false">Sens!F7287+Sens!F7288</f>
        <v>149.59001837225</v>
      </c>
      <c r="G7290" s="6" t="n">
        <f aca="false">Sens!G7287+Sens!G7288</f>
        <v>210.963087346352</v>
      </c>
      <c r="H7290" s="6" t="n">
        <f aca="false">Sens!H7287+Sens!H7288</f>
        <v>278.649709314524</v>
      </c>
      <c r="I7290" s="6" t="n">
        <f aca="false">Sens!I7287+Sens!I7288</f>
        <v>334.269404582332</v>
      </c>
      <c r="J7290" s="6" t="n">
        <f aca="false">Sens!J7287+Sens!J7288</f>
        <v>376.517293063672</v>
      </c>
      <c r="K7290" s="6" t="n">
        <f aca="false">Sens!K7287+Sens!K7288</f>
        <v>406.018092622804</v>
      </c>
    </row>
    <row r="7291" customFormat="false" ht="17.15" hidden="false" customHeight="false" outlineLevel="0" collapsed="false">
      <c r="A7291" s="0" t="s">
        <v>1026</v>
      </c>
      <c r="B7291" s="1" t="s">
        <v>610</v>
      </c>
      <c r="C7291" s="30" t="n">
        <f aca="false">cop_s24</f>
        <v>1</v>
      </c>
      <c r="D7291" s="30" t="n">
        <f aca="false">cop_s25</f>
        <v>5</v>
      </c>
      <c r="E7291" s="30" t="n">
        <f aca="false">cop_s26</f>
        <v>30</v>
      </c>
      <c r="F7291" s="30" t="n">
        <f aca="false">Sens!E7291+cop_add_A*1.5</f>
        <v>75</v>
      </c>
      <c r="G7291" s="30" t="n">
        <f aca="false">Sens!F7291+cop_add_A*1.5</f>
        <v>120</v>
      </c>
      <c r="H7291" s="30" t="n">
        <f aca="false">Sens!G7291+cop_add_A*1.5</f>
        <v>165</v>
      </c>
      <c r="I7291" s="30" t="n">
        <f aca="false">Sens!H7291+cop_add_A*1.5*cop_tail</f>
        <v>187.5</v>
      </c>
      <c r="J7291" s="30" t="n">
        <f aca="false">Sens!I7291+cop_add_A*1.5*cop_tail</f>
        <v>210</v>
      </c>
      <c r="K7291" s="30" t="n">
        <f aca="false">Sens!J7291+cop_add_A*1.5*cop_tail</f>
        <v>232.5</v>
      </c>
      <c r="L7291" s="12" t="s">
        <v>1027</v>
      </c>
    </row>
    <row r="7292" customFormat="false" ht="17.15" hidden="false" customHeight="false" outlineLevel="0" collapsed="false">
      <c r="A7292" s="0" t="s">
        <v>1028</v>
      </c>
      <c r="B7292" s="0" t="s">
        <v>98</v>
      </c>
      <c r="D7292" s="6" t="n">
        <f aca="false">(Sens!C7291+Sens!D7291)/2*cop_px*12/1000</f>
        <v>0.9</v>
      </c>
      <c r="E7292" s="6" t="n">
        <f aca="false">(Sens!D7291+Sens!E7291)/2*cop_px*12/1000</f>
        <v>5.25</v>
      </c>
      <c r="F7292" s="6" t="n">
        <f aca="false">(Sens!E7291+Sens!F7291)/2*cop_px*12/1000</f>
        <v>15.75</v>
      </c>
      <c r="G7292" s="6" t="n">
        <f aca="false">(Sens!F7291+Sens!G7291)/2*cop_px*12/1000</f>
        <v>29.25</v>
      </c>
      <c r="H7292" s="6" t="n">
        <f aca="false">(Sens!G7291+Sens!H7291)/2*cop_px*12/1000</f>
        <v>42.75</v>
      </c>
      <c r="I7292" s="6" t="n">
        <f aca="false">(Sens!H7291+Sens!I7291)/2*cop_px*12/1000</f>
        <v>52.875</v>
      </c>
      <c r="J7292" s="6" t="n">
        <f aca="false">(Sens!I7291+Sens!J7291)/2*cop_px*12/1000</f>
        <v>59.625</v>
      </c>
      <c r="K7292" s="6" t="n">
        <f aca="false">(Sens!J7291+Sens!K7291)/2*cop_px*12/1000</f>
        <v>66.375</v>
      </c>
      <c r="L7292" s="1" t="s">
        <v>1029</v>
      </c>
    </row>
    <row r="7293" customFormat="false" ht="17.15" hidden="false" customHeight="false" outlineLevel="0" collapsed="false">
      <c r="A7293" s="0" t="s">
        <v>1030</v>
      </c>
      <c r="B7293" s="0" t="s">
        <v>98</v>
      </c>
      <c r="D7293" s="6" t="n">
        <f aca="false">Q!L7-Sens!D7292</f>
        <v>83.705</v>
      </c>
      <c r="E7293" s="6" t="n">
        <f aca="false">Q!M7-Sens!E7292</f>
        <v>95.049</v>
      </c>
      <c r="F7293" s="6" t="n">
        <f aca="false">Q!$I$7+(Sens!E7293*(1+Sens!F7294)+Sens!F7292)*(1-Q!$E$7/Q!M7)-Sens!F7292</f>
        <v>105.698127467675</v>
      </c>
      <c r="G7293" s="6" t="n">
        <f aca="false">Sens!F7293*(1+Sens!G7294)</f>
        <v>117.714141800408</v>
      </c>
      <c r="H7293" s="6" t="n">
        <f aca="false">Sens!G7293*(1+Sens!H7294)</f>
        <v>129.810656831422</v>
      </c>
      <c r="I7293" s="6" t="n">
        <f aca="false">Sens!H7293*(1+Sens!I7294)</f>
        <v>141.732621808847</v>
      </c>
      <c r="J7293" s="6" t="n">
        <f aca="false">Sens!I7293*(1+Sens!J7294)</f>
        <v>153.201709776069</v>
      </c>
      <c r="K7293" s="6" t="n">
        <f aca="false">Sens!J7293*(1+Sens!K7294)</f>
        <v>163.925829460394</v>
      </c>
      <c r="L7293" s="12" t="s">
        <v>1031</v>
      </c>
    </row>
    <row r="7294" customFormat="false" ht="15" hidden="false" customHeight="false" outlineLevel="0" collapsed="false">
      <c r="A7294" s="1" t="s">
        <v>1024</v>
      </c>
      <c r="B7294" s="0" t="s">
        <v>168</v>
      </c>
      <c r="E7294" s="7" t="n">
        <f aca="false">Sens!E7293/Sens!D7293-1</f>
        <v>0.135523564900544</v>
      </c>
      <c r="F7294" s="7" t="n">
        <f aca="false">Sens!$E$7294+(glt_m365b-Sens!$E$7294)*MIN(1,(Sens!F7246-base_fy)/n_conv)</f>
        <v>0.124602970750453</v>
      </c>
      <c r="G7294" s="7" t="n">
        <f aca="false">Sens!$E$7294+(glt_m365b-Sens!$E$7294)*MIN(1,(Sens!G7246-base_fy)/n_conv)</f>
        <v>0.113682376600363</v>
      </c>
      <c r="H7294" s="7" t="n">
        <f aca="false">Sens!$E$7294+(glt_m365b-Sens!$E$7294)*MIN(1,(Sens!H7246-base_fy)/n_conv)</f>
        <v>0.102761782450272</v>
      </c>
      <c r="I7294" s="7" t="n">
        <f aca="false">Sens!$E$7294+(glt_m365b-Sens!$E$7294)*MIN(1,(Sens!I7246-base_fy)/n_conv)</f>
        <v>0.0918411883001813</v>
      </c>
      <c r="J7294" s="7" t="n">
        <f aca="false">Sens!$E$7294+(glt_m365b-Sens!$E$7294)*MIN(1,(Sens!J7246-base_fy)/n_conv)</f>
        <v>0.0809205941500906</v>
      </c>
      <c r="K7294" s="7" t="n">
        <f aca="false">Sens!$E$7294+(glt_m365b-Sens!$E$7294)*MIN(1,(Sens!K7246-base_fy)/n_conv)</f>
        <v>0.07</v>
      </c>
    </row>
    <row r="7295" customFormat="false" ht="15" hidden="false" customHeight="false" outlineLevel="0" collapsed="false">
      <c r="A7295" s="0" t="s">
        <v>1032</v>
      </c>
      <c r="B7295" s="0" t="s">
        <v>98</v>
      </c>
      <c r="D7295" s="6" t="n">
        <f aca="false">Sens!D7293+Sens!D7292</f>
        <v>84.605</v>
      </c>
      <c r="E7295" s="6" t="n">
        <f aca="false">Sens!E7293+Sens!E7292</f>
        <v>100.299</v>
      </c>
      <c r="F7295" s="6" t="n">
        <f aca="false">Sens!F7293+Sens!F7292</f>
        <v>121.448127467675</v>
      </c>
      <c r="G7295" s="6" t="n">
        <f aca="false">Sens!G7293+Sens!G7292</f>
        <v>146.964141800408</v>
      </c>
      <c r="H7295" s="6" t="n">
        <f aca="false">Sens!H7293+Sens!H7292</f>
        <v>172.560656831422</v>
      </c>
      <c r="I7295" s="6" t="n">
        <f aca="false">Sens!I7293+Sens!I7292</f>
        <v>194.607621808847</v>
      </c>
      <c r="J7295" s="6" t="n">
        <f aca="false">Sens!J7293+Sens!J7292</f>
        <v>212.826709776069</v>
      </c>
      <c r="K7295" s="6" t="n">
        <f aca="false">Sens!K7293+Sens!K7292</f>
        <v>230.300829460394</v>
      </c>
    </row>
    <row r="7296" customFormat="false" ht="17.15" hidden="false" customHeight="false" outlineLevel="0" collapsed="false">
      <c r="A7296" s="0" t="s">
        <v>1033</v>
      </c>
      <c r="B7296" s="0" t="s">
        <v>98</v>
      </c>
      <c r="D7296" s="6" t="n">
        <f aca="false">Q!L8</f>
        <v>35.391</v>
      </c>
      <c r="E7296" s="6" t="n">
        <f aca="false">Q!M8</f>
        <v>37.285</v>
      </c>
      <c r="F7296" s="6" t="n">
        <f aca="false">Q!$I$8+(Q!M8-Q!$E$8)*(1+Sens!F7297)</f>
        <v>38.3851437782675</v>
      </c>
      <c r="G7296" s="6" t="n">
        <f aca="false">Sens!F7296*(1+Sens!G7297)</f>
        <v>40.0105353288615</v>
      </c>
      <c r="H7296" s="6" t="n">
        <f aca="false">Sens!G7296*(1+Sens!H7297)</f>
        <v>41.4812512033683</v>
      </c>
      <c r="I7296" s="6" t="n">
        <f aca="false">Sens!H7296*(1+Sens!I7297)</f>
        <v>42.7743107216329</v>
      </c>
      <c r="J7296" s="6" t="n">
        <f aca="false">Sens!I7296*(1+Sens!J7297)</f>
        <v>43.8687373064601</v>
      </c>
      <c r="K7296" s="6" t="n">
        <f aca="false">Sens!J7296*(1+Sens!K7297)</f>
        <v>44.7461120525893</v>
      </c>
      <c r="L7296" s="12" t="s">
        <v>1034</v>
      </c>
    </row>
    <row r="7297" customFormat="false" ht="15" hidden="false" customHeight="false" outlineLevel="0" collapsed="false">
      <c r="A7297" s="1" t="s">
        <v>1024</v>
      </c>
      <c r="B7297" s="0" t="s">
        <v>168</v>
      </c>
      <c r="E7297" s="7" t="n">
        <f aca="false">Sens!E7296/Sens!D7296-1</f>
        <v>0.0535164307309768</v>
      </c>
      <c r="F7297" s="7" t="n">
        <f aca="false">Sens!$E$7297+(glt_lic-Sens!$E$7297)*MIN(1,(Sens!F7246-base_fy)/n_conv)</f>
        <v>0.0479303589424807</v>
      </c>
      <c r="G7297" s="7" t="n">
        <f aca="false">Sens!$E$7297+(glt_lic-Sens!$E$7297)*MIN(1,(Sens!G7246-base_fy)/n_conv)</f>
        <v>0.0423442871539845</v>
      </c>
      <c r="H7297" s="7" t="n">
        <f aca="false">Sens!$E$7297+(glt_lic-Sens!$E$7297)*MIN(1,(Sens!H7246-base_fy)/n_conv)</f>
        <v>0.0367582153654884</v>
      </c>
      <c r="I7297" s="7" t="n">
        <f aca="false">Sens!$E$7297+(glt_lic-Sens!$E$7297)*MIN(1,(Sens!I7246-base_fy)/n_conv)</f>
        <v>0.0311721435769923</v>
      </c>
      <c r="J7297" s="7" t="n">
        <f aca="false">Sens!$E$7297+(glt_lic-Sens!$E$7297)*MIN(1,(Sens!J7246-base_fy)/n_conv)</f>
        <v>0.0255860717884961</v>
      </c>
      <c r="K7297" s="7" t="n">
        <f aca="false">Sens!$E$7297+(glt_lic-Sens!$E$7297)*MIN(1,(Sens!K7246-base_fy)/n_conv)</f>
        <v>0.02</v>
      </c>
    </row>
    <row r="7298" customFormat="false" ht="17.15" hidden="false" customHeight="false" outlineLevel="0" collapsed="false">
      <c r="A7298" s="0" t="s">
        <v>1035</v>
      </c>
      <c r="B7298" s="0" t="s">
        <v>98</v>
      </c>
      <c r="D7298" s="6" t="n">
        <f aca="false">Q!L9</f>
        <v>18.417</v>
      </c>
      <c r="E7298" s="6" t="n">
        <f aca="false">Q!M9</f>
        <v>20.345</v>
      </c>
      <c r="F7298" s="6" t="n">
        <f aca="false">Q!$I$9+(Q!M9-Q!$E$9)*(1+Sens!F7299)</f>
        <v>22.3161797133988</v>
      </c>
      <c r="G7298" s="6" t="n">
        <f aca="false">Sens!F7298*(1+Sens!G7299)</f>
        <v>24.3943499673233</v>
      </c>
      <c r="H7298" s="6" t="n">
        <f aca="false">Sens!G7298*(1+Sens!H7299)</f>
        <v>26.5250243109019</v>
      </c>
      <c r="I7298" s="6" t="n">
        <f aca="false">Sens!H7298*(1+Sens!I7299)</f>
        <v>28.6884573538181</v>
      </c>
      <c r="J7298" s="6" t="n">
        <f aca="false">Sens!I7298*(1+Sens!J7299)</f>
        <v>30.8624968052127</v>
      </c>
      <c r="K7298" s="6" t="n">
        <f aca="false">Sens!J7298*(1+Sens!K7299)</f>
        <v>33.0228715815776</v>
      </c>
      <c r="L7298" s="12" t="s">
        <v>1034</v>
      </c>
    </row>
    <row r="7299" customFormat="false" ht="15" hidden="false" customHeight="false" outlineLevel="0" collapsed="false">
      <c r="A7299" s="1" t="s">
        <v>1024</v>
      </c>
      <c r="B7299" s="0" t="s">
        <v>168</v>
      </c>
      <c r="E7299" s="7" t="n">
        <f aca="false">Sens!E7298/Sens!D7298-1</f>
        <v>0.104685888038225</v>
      </c>
      <c r="F7299" s="7" t="n">
        <f aca="false">Sens!$E$7299+(glt_ind-Sens!$E$7299)*MIN(1,(Sens!F7246-base_fy)/n_conv)</f>
        <v>0.0989049066985211</v>
      </c>
      <c r="G7299" s="7" t="n">
        <f aca="false">Sens!$E$7299+(glt_ind-Sens!$E$7299)*MIN(1,(Sens!G7246-base_fy)/n_conv)</f>
        <v>0.0931239253588169</v>
      </c>
      <c r="H7299" s="7" t="n">
        <f aca="false">Sens!$E$7299+(glt_ind-Sens!$E$7299)*MIN(1,(Sens!H7246-base_fy)/n_conv)</f>
        <v>0.0873429440191127</v>
      </c>
      <c r="I7299" s="7" t="n">
        <f aca="false">Sens!$E$7299+(glt_ind-Sens!$E$7299)*MIN(1,(Sens!I7246-base_fy)/n_conv)</f>
        <v>0.0815619626794085</v>
      </c>
      <c r="J7299" s="7" t="n">
        <f aca="false">Sens!$E$7299+(glt_ind-Sens!$E$7299)*MIN(1,(Sens!J7246-base_fy)/n_conv)</f>
        <v>0.0757809813397042</v>
      </c>
      <c r="K7299" s="7" t="n">
        <f aca="false">Sens!$E$7299+(glt_ind-Sens!$E$7299)*MIN(1,(Sens!K7246-base_fy)/n_conv)</f>
        <v>0.07</v>
      </c>
    </row>
    <row r="7300" customFormat="false" ht="17.15" hidden="false" customHeight="false" outlineLevel="0" collapsed="false">
      <c r="A7300" s="0" t="s">
        <v>1036</v>
      </c>
      <c r="B7300" s="0" t="s">
        <v>98</v>
      </c>
      <c r="D7300" s="6" t="n">
        <f aca="false">Q!L10</f>
        <v>7.76</v>
      </c>
      <c r="E7300" s="6" t="n">
        <f aca="false">Q!M10</f>
        <v>8.26</v>
      </c>
      <c r="F7300" s="6" t="n">
        <f aca="false">Q!$I$10+(Q!M10-Q!$E$10)*(1+Sens!F7301)</f>
        <v>8.75372082474227</v>
      </c>
      <c r="G7300" s="6" t="n">
        <f aca="false">Sens!F7300*(1+Sens!G7301)</f>
        <v>9.33399324642364</v>
      </c>
      <c r="H7300" s="6" t="n">
        <f aca="false">Sens!G7300*(1+Sens!H7301)</f>
        <v>9.96139155535851</v>
      </c>
      <c r="I7300" s="6" t="n">
        <f aca="false">Sens!H7300*(1+Sens!I7301)</f>
        <v>10.6402039077391</v>
      </c>
      <c r="J7300" s="6" t="n">
        <f aca="false">Sens!I7300*(1+Sens!J7301)</f>
        <v>11.3751458271397</v>
      </c>
      <c r="K7300" s="6" t="n">
        <f aca="false">Sens!J7300*(1+Sens!K7301)</f>
        <v>12.1714060350394</v>
      </c>
      <c r="L7300" s="12" t="s">
        <v>1034</v>
      </c>
    </row>
    <row r="7301" customFormat="false" ht="15" hidden="false" customHeight="false" outlineLevel="0" collapsed="false">
      <c r="A7301" s="1" t="s">
        <v>1024</v>
      </c>
      <c r="B7301" s="0" t="s">
        <v>168</v>
      </c>
      <c r="E7301" s="7" t="n">
        <f aca="false">Sens!E7300/Sens!D7300-1</f>
        <v>0.0644329896907216</v>
      </c>
      <c r="F7301" s="7" t="n">
        <f aca="false">Sens!$E$7301+(glt_fro-Sens!$E$7301)*MIN(1,(Sens!F7246-base_fy)/n_conv)</f>
        <v>0.065360824742268</v>
      </c>
      <c r="G7301" s="7" t="n">
        <f aca="false">Sens!$E$7301+(glt_fro-Sens!$E$7301)*MIN(1,(Sens!G7246-base_fy)/n_conv)</f>
        <v>0.0662886597938144</v>
      </c>
      <c r="H7301" s="7" t="n">
        <f aca="false">Sens!$E$7301+(glt_fro-Sens!$E$7301)*MIN(1,(Sens!H7246-base_fy)/n_conv)</f>
        <v>0.0672164948453608</v>
      </c>
      <c r="I7301" s="7" t="n">
        <f aca="false">Sens!$E$7301+(glt_fro-Sens!$E$7301)*MIN(1,(Sens!I7246-base_fy)/n_conv)</f>
        <v>0.0681443298969072</v>
      </c>
      <c r="J7301" s="7" t="n">
        <f aca="false">Sens!$E$7301+(glt_fro-Sens!$E$7301)*MIN(1,(Sens!J7246-base_fy)/n_conv)</f>
        <v>0.0690721649484536</v>
      </c>
      <c r="K7301" s="7" t="n">
        <f aca="false">Sens!$E$7301+(glt_fro-Sens!$E$7301)*MIN(1,(Sens!K7246-base_fy)/n_conv)</f>
        <v>0.07</v>
      </c>
    </row>
    <row r="7302" customFormat="false" ht="15" hidden="false" customHeight="false" outlineLevel="0" collapsed="false">
      <c r="A7302" s="0" t="s">
        <v>852</v>
      </c>
      <c r="B7302" s="0" t="s">
        <v>98</v>
      </c>
      <c r="D7302" s="6" t="n">
        <f aca="false">Sens!D7290+Sens!D7295+Sens!D7296+Sens!D7298+Sens!D7300</f>
        <v>218.783</v>
      </c>
      <c r="E7302" s="6" t="n">
        <f aca="false">Sens!E7290+Sens!E7295+Sens!E7296+Sens!E7298+Sens!E7300</f>
        <v>268.127</v>
      </c>
      <c r="F7302" s="6" t="n">
        <f aca="false">Sens!F7290+Sens!F7295+Sens!F7296+Sens!F7298+Sens!F7300</f>
        <v>340.493190156334</v>
      </c>
      <c r="G7302" s="6" t="n">
        <f aca="false">Sens!G7290+Sens!G7295+Sens!G7296+Sens!G7298+Sens!G7300</f>
        <v>431.666107689369</v>
      </c>
      <c r="H7302" s="6" t="n">
        <f aca="false">Sens!H7290+Sens!H7295+Sens!H7296+Sens!H7298+Sens!H7300</f>
        <v>529.178033215575</v>
      </c>
      <c r="I7302" s="6" t="n">
        <f aca="false">Sens!I7290+Sens!I7295+Sens!I7296+Sens!I7298+Sens!I7300</f>
        <v>610.979998374369</v>
      </c>
      <c r="J7302" s="6" t="n">
        <f aca="false">Sens!J7290+Sens!J7295+Sens!J7296+Sens!J7298+Sens!J7300</f>
        <v>675.450382778553</v>
      </c>
      <c r="K7302" s="6" t="n">
        <f aca="false">Sens!K7290+Sens!K7295+Sens!K7296+Sens!K7298+Sens!K7300</f>
        <v>726.259311752404</v>
      </c>
    </row>
    <row r="7303" customFormat="false" ht="17.15" hidden="false" customHeight="false" outlineLevel="0" collapsed="false">
      <c r="A7303" s="0" t="s">
        <v>1037</v>
      </c>
      <c r="B7303" s="0" t="s">
        <v>98</v>
      </c>
      <c r="D7303" s="6" t="n">
        <f aca="false">Q!L13</f>
        <v>22.171</v>
      </c>
      <c r="E7303" s="6" t="n">
        <f aca="false">Q!M13</f>
        <v>24.835</v>
      </c>
      <c r="F7303" s="6" t="n">
        <f aca="false">Q!$I$13+(Q!M13-Q!$E$13)*(1+Sens!F7304)</f>
        <v>27.5591895660247</v>
      </c>
      <c r="G7303" s="6" t="n">
        <f aca="false">Sens!F7303*(1+Sens!G7304)</f>
        <v>30.4098563144583</v>
      </c>
      <c r="H7303" s="6" t="n">
        <f aca="false">Sens!G7303*(1+Sens!H7304)</f>
        <v>33.3011792571777</v>
      </c>
      <c r="I7303" s="6" t="n">
        <f aca="false">Sens!H7303*(1+Sens!I7304)</f>
        <v>36.189023797112</v>
      </c>
      <c r="J7303" s="6" t="n">
        <f aca="false">Sens!I7303*(1+Sens!J7304)</f>
        <v>39.0247773769199</v>
      </c>
      <c r="K7303" s="6" t="n">
        <f aca="false">Sens!J7303*(1+Sens!K7304)</f>
        <v>41.7565117933043</v>
      </c>
      <c r="L7303" s="12" t="s">
        <v>1034</v>
      </c>
    </row>
    <row r="7304" customFormat="false" ht="15" hidden="false" customHeight="false" outlineLevel="0" collapsed="false">
      <c r="A7304" s="1" t="s">
        <v>1024</v>
      </c>
      <c r="B7304" s="0" t="s">
        <v>168</v>
      </c>
      <c r="E7304" s="7" t="n">
        <f aca="false">Sens!E7303/Sens!D7303-1</f>
        <v>0.120156961796942</v>
      </c>
      <c r="F7304" s="7" t="n">
        <f aca="false">Sens!$E$7304+(glt_srch-Sens!$E$7304)*MIN(1,(Sens!F7246-base_fy)/n_conv)</f>
        <v>0.111797468164118</v>
      </c>
      <c r="G7304" s="7" t="n">
        <f aca="false">Sens!$E$7304+(glt_srch-Sens!$E$7304)*MIN(1,(Sens!G7246-base_fy)/n_conv)</f>
        <v>0.103437974531295</v>
      </c>
      <c r="H7304" s="7" t="n">
        <f aca="false">Sens!$E$7304+(glt_srch-Sens!$E$7304)*MIN(1,(Sens!H7246-base_fy)/n_conv)</f>
        <v>0.095078480898471</v>
      </c>
      <c r="I7304" s="7" t="n">
        <f aca="false">Sens!$E$7304+(glt_srch-Sens!$E$7304)*MIN(1,(Sens!I7246-base_fy)/n_conv)</f>
        <v>0.0867189872656474</v>
      </c>
      <c r="J7304" s="7" t="n">
        <f aca="false">Sens!$E$7304+(glt_srch-Sens!$E$7304)*MIN(1,(Sens!J7246-base_fy)/n_conv)</f>
        <v>0.0783594936328237</v>
      </c>
      <c r="K7304" s="7" t="n">
        <f aca="false">Sens!$E$7304+(glt_srch-Sens!$E$7304)*MIN(1,(Sens!K7246-base_fy)/n_conv)</f>
        <v>0.07</v>
      </c>
    </row>
    <row r="7305" customFormat="false" ht="17.15" hidden="false" customHeight="false" outlineLevel="0" collapsed="false">
      <c r="A7305" s="0" t="s">
        <v>1038</v>
      </c>
      <c r="B7305" s="0" t="s">
        <v>98</v>
      </c>
      <c r="D7305" s="6" t="n">
        <f aca="false">Q!L14</f>
        <v>23.455</v>
      </c>
      <c r="E7305" s="6" t="n">
        <f aca="false">Q!M14</f>
        <v>21.79</v>
      </c>
      <c r="F7305" s="6" t="n">
        <f aca="false">Q!$I$14+(Q!M14-Q!$E$14)*(1+Sens!F7306)</f>
        <v>20.7520981041711</v>
      </c>
      <c r="G7305" s="6" t="n">
        <f aca="false">Sens!F7305*(1+Sens!G7306)</f>
        <v>19.9083593495882</v>
      </c>
      <c r="H7305" s="6" t="n">
        <f aca="false">Sens!G7305*(1+Sens!H7306)</f>
        <v>19.4008256265831</v>
      </c>
      <c r="I7305" s="6" t="n">
        <f aca="false">Sens!H7305*(1+Sens!I7306)</f>
        <v>19.200434522122</v>
      </c>
      <c r="J7305" s="6" t="n">
        <f aca="false">Sens!I7305*(1+Sens!J7306)</f>
        <v>19.2932782348507</v>
      </c>
      <c r="K7305" s="6" t="n">
        <f aca="false">Sens!J7305*(1+Sens!K7306)</f>
        <v>19.6791437995477</v>
      </c>
      <c r="L7305" s="12" t="s">
        <v>1034</v>
      </c>
    </row>
    <row r="7306" customFormat="false" ht="15" hidden="false" customHeight="false" outlineLevel="0" collapsed="false">
      <c r="A7306" s="1" t="s">
        <v>1024</v>
      </c>
      <c r="B7306" s="0" t="s">
        <v>168</v>
      </c>
      <c r="E7306" s="7" t="n">
        <f aca="false">Sens!E7305/Sens!D7305-1</f>
        <v>-0.0709869963760392</v>
      </c>
      <c r="F7306" s="7" t="n">
        <f aca="false">Sens!$E$7306+(glt_xbox-Sens!$E$7306)*MIN(1,(Sens!F7246-base_fy)/n_conv)</f>
        <v>-0.0558224969800327</v>
      </c>
      <c r="G7306" s="7" t="n">
        <f aca="false">Sens!$E$7306+(glt_xbox-Sens!$E$7306)*MIN(1,(Sens!G7246-base_fy)/n_conv)</f>
        <v>-0.0406579975840262</v>
      </c>
      <c r="H7306" s="7" t="n">
        <f aca="false">Sens!$E$7306+(glt_xbox-Sens!$E$7306)*MIN(1,(Sens!H7246-base_fy)/n_conv)</f>
        <v>-0.0254934981880196</v>
      </c>
      <c r="I7306" s="7" t="n">
        <f aca="false">Sens!$E$7306+(glt_xbox-Sens!$E$7306)*MIN(1,(Sens!I7246-base_fy)/n_conv)</f>
        <v>-0.0103289987920131</v>
      </c>
      <c r="J7306" s="7" t="n">
        <f aca="false">Sens!$E$7306+(glt_xbox-Sens!$E$7306)*MIN(1,(Sens!J7246-base_fy)/n_conv)</f>
        <v>0.00483550060399347</v>
      </c>
      <c r="K7306" s="7" t="n">
        <f aca="false">Sens!$E$7306+(glt_xbox-Sens!$E$7306)*MIN(1,(Sens!K7246-base_fy)/n_conv)</f>
        <v>0.02</v>
      </c>
    </row>
    <row r="7307" customFormat="false" ht="17.15" hidden="false" customHeight="false" outlineLevel="0" collapsed="false">
      <c r="A7307" s="0" t="s">
        <v>1039</v>
      </c>
      <c r="B7307" s="0" t="s">
        <v>98</v>
      </c>
      <c r="D7307" s="6" t="n">
        <f aca="false">Q!L15</f>
        <v>17.315</v>
      </c>
      <c r="E7307" s="6" t="n">
        <f aca="false">Q!M15</f>
        <v>17.087</v>
      </c>
      <c r="F7307" s="6" t="n">
        <f aca="false">Q!$I$15+(Q!M15-Q!$E$15)*(1+Sens!F7308)</f>
        <v>15.9912273250553</v>
      </c>
      <c r="G7307" s="6" t="n">
        <f aca="false">Sens!F7307*(1+Sens!G7308)</f>
        <v>15.9574562664827</v>
      </c>
      <c r="H7307" s="6" t="n">
        <f aca="false">Sens!G7307*(1+Sens!H7308)</f>
        <v>16.0119687434196</v>
      </c>
      <c r="I7307" s="6" t="n">
        <f aca="false">Sens!H7307*(1+Sens!I7308)</f>
        <v>16.1551810001948</v>
      </c>
      <c r="J7307" s="6" t="n">
        <f aca="false">Sens!I7307*(1+Sens!J7308)</f>
        <v>16.3889793892005</v>
      </c>
      <c r="K7307" s="6" t="n">
        <f aca="false">Sens!J7307*(1+Sens!K7308)</f>
        <v>16.7167589769845</v>
      </c>
      <c r="L7307" s="12" t="s">
        <v>1034</v>
      </c>
    </row>
    <row r="7308" customFormat="false" ht="15" hidden="false" customHeight="false" outlineLevel="0" collapsed="false">
      <c r="A7308" s="1" t="s">
        <v>1024</v>
      </c>
      <c r="B7308" s="0" t="s">
        <v>168</v>
      </c>
      <c r="E7308" s="7" t="n">
        <f aca="false">Sens!E7307/Sens!D7307-1</f>
        <v>-0.0131677736066995</v>
      </c>
      <c r="F7308" s="7" t="n">
        <f aca="false">Sens!$E$7308+(glt_win-Sens!$E$7308)*MIN(1,(Sens!F7246-base_fy)/n_conv)</f>
        <v>-0.00763981133891627</v>
      </c>
      <c r="G7308" s="7" t="n">
        <f aca="false">Sens!$E$7308+(glt_win-Sens!$E$7308)*MIN(1,(Sens!G7246-base_fy)/n_conv)</f>
        <v>-0.00211184907113301</v>
      </c>
      <c r="H7308" s="7" t="n">
        <f aca="false">Sens!$E$7308+(glt_win-Sens!$E$7308)*MIN(1,(Sens!H7246-base_fy)/n_conv)</f>
        <v>0.00341611319665024</v>
      </c>
      <c r="I7308" s="7" t="n">
        <f aca="false">Sens!$E$7308+(glt_win-Sens!$E$7308)*MIN(1,(Sens!I7246-base_fy)/n_conv)</f>
        <v>0.00894407546443349</v>
      </c>
      <c r="J7308" s="7" t="n">
        <f aca="false">Sens!$E$7308+(glt_win-Sens!$E$7308)*MIN(1,(Sens!J7246-base_fy)/n_conv)</f>
        <v>0.0144720377322168</v>
      </c>
      <c r="K7308" s="7" t="n">
        <f aca="false">Sens!$E$7308+(glt_win-Sens!$E$7308)*MIN(1,(Sens!K7246-base_fy)/n_conv)</f>
        <v>0.02</v>
      </c>
    </row>
    <row r="7309" customFormat="false" ht="15" hidden="false" customHeight="false" outlineLevel="0" collapsed="false">
      <c r="A7309" s="0" t="s">
        <v>866</v>
      </c>
      <c r="B7309" s="0" t="s">
        <v>98</v>
      </c>
      <c r="D7309" s="6" t="n">
        <f aca="false">Sens!D7303+Sens!D7305+Sens!D7307</f>
        <v>62.941</v>
      </c>
      <c r="E7309" s="6" t="n">
        <f aca="false">Sens!E7303+Sens!E7305+Sens!E7307</f>
        <v>63.712</v>
      </c>
      <c r="F7309" s="6" t="n">
        <f aca="false">Sens!F7303+Sens!F7305+Sens!F7307</f>
        <v>64.3025149952511</v>
      </c>
      <c r="G7309" s="6" t="n">
        <f aca="false">Sens!G7303+Sens!G7305+Sens!G7307</f>
        <v>66.2756719305292</v>
      </c>
      <c r="H7309" s="6" t="n">
        <f aca="false">Sens!H7303+Sens!H7305+Sens!H7307</f>
        <v>68.7139736271804</v>
      </c>
      <c r="I7309" s="6" t="n">
        <f aca="false">Sens!I7303+Sens!I7305+Sens!I7307</f>
        <v>71.5446393194289</v>
      </c>
      <c r="J7309" s="6" t="n">
        <f aca="false">Sens!J7303+Sens!J7305+Sens!J7307</f>
        <v>74.707035000971</v>
      </c>
      <c r="K7309" s="6" t="n">
        <f aca="false">Sens!K7303+Sens!K7305+Sens!K7307</f>
        <v>78.1524145698365</v>
      </c>
    </row>
    <row r="7310" customFormat="false" ht="15" hidden="false" customHeight="false" outlineLevel="0" collapsed="false">
      <c r="A7310" s="1" t="s">
        <v>1040</v>
      </c>
      <c r="B7310" s="0" t="s">
        <v>98</v>
      </c>
      <c r="D7310" s="6" t="n">
        <f aca="false">Sens!D7302+Sens!D7309</f>
        <v>281.724</v>
      </c>
      <c r="E7310" s="6" t="n">
        <f aca="false">Sens!E7302+Sens!E7309</f>
        <v>331.839</v>
      </c>
      <c r="F7310" s="6" t="n">
        <f aca="false">Sens!F7302+Sens!F7309</f>
        <v>404.795705151585</v>
      </c>
      <c r="G7310" s="6" t="n">
        <f aca="false">Sens!G7302+Sens!G7309</f>
        <v>497.941779619898</v>
      </c>
      <c r="H7310" s="6" t="n">
        <f aca="false">Sens!H7302+Sens!H7309</f>
        <v>597.892006842755</v>
      </c>
      <c r="I7310" s="6" t="n">
        <f aca="false">Sens!I7302+Sens!I7309</f>
        <v>682.524637693798</v>
      </c>
      <c r="J7310" s="6" t="n">
        <f aca="false">Sens!J7302+Sens!J7309</f>
        <v>750.157417779524</v>
      </c>
      <c r="K7310" s="6" t="n">
        <f aca="false">Sens!K7302+Sens!K7309</f>
        <v>804.411726322241</v>
      </c>
    </row>
    <row r="7311" customFormat="false" ht="15" hidden="false" customHeight="false" outlineLevel="0" collapsed="false">
      <c r="A7311" s="26" t="s">
        <v>1041</v>
      </c>
      <c r="B7311" s="31" t="s">
        <v>98</v>
      </c>
      <c r="C7311" s="31"/>
      <c r="D7311" s="27" t="n">
        <f aca="false">(Sens!D7290+Sens!D7295+Sens!D7296+Sens!D7298+Sens!D7300-Sens!D7302)+(Sens!D7303+Sens!D7305+Sens!D7307-Sens!D7309)+(Sens!D7302-Q!L5)+(Sens!D7309-Q!L12)+(Sens!D7290-Q!L6)+(Sens!D7295-Q!L7)</f>
        <v>0</v>
      </c>
      <c r="E7311" s="27" t="n">
        <f aca="false">(Sens!E7290+Sens!E7295+Sens!E7296+Sens!E7298+Sens!E7300-Sens!E7302)+(Sens!E7303+Sens!E7305+Sens!E7307-Sens!E7309)+(Sens!E7302-Q!M5)+(Sens!E7309-Q!M12)+(Sens!E7290-Q!M6)+(Sens!E7295-Q!M7)</f>
        <v>0</v>
      </c>
      <c r="F7311" s="27" t="n">
        <f aca="false">(Sens!F7290+Sens!F7295+Sens!F7296+Sens!F7298+Sens!F7300-Sens!F7302)+(Sens!F7303+Sens!F7305+Sens!F7307-Sens!F7309)</f>
        <v>0</v>
      </c>
      <c r="G7311" s="27" t="n">
        <f aca="false">(Sens!G7290+Sens!G7295+Sens!G7296+Sens!G7298+Sens!G7300-Sens!G7302)+(Sens!G7303+Sens!G7305+Sens!G7307-Sens!G7309)</f>
        <v>0</v>
      </c>
      <c r="H7311" s="27" t="n">
        <f aca="false">(Sens!H7290+Sens!H7295+Sens!H7296+Sens!H7298+Sens!H7300-Sens!H7302)+(Sens!H7303+Sens!H7305+Sens!H7307-Sens!H7309)</f>
        <v>0</v>
      </c>
      <c r="I7311" s="27" t="n">
        <f aca="false">(Sens!I7290+Sens!I7295+Sens!I7296+Sens!I7298+Sens!I7300-Sens!I7302)+(Sens!I7303+Sens!I7305+Sens!I7307-Sens!I7309)</f>
        <v>0</v>
      </c>
      <c r="J7311" s="27" t="n">
        <f aca="false">(Sens!J7290+Sens!J7295+Sens!J7296+Sens!J7298+Sens!J7300-Sens!J7302)+(Sens!J7303+Sens!J7305+Sens!J7307-Sens!J7309)</f>
        <v>0</v>
      </c>
      <c r="K7311" s="27" t="n">
        <f aca="false">(Sens!K7290+Sens!K7295+Sens!K7296+Sens!K7298+Sens!K7300-Sens!K7302)+(Sens!K7303+Sens!K7305+Sens!K7307-Sens!K7309)</f>
        <v>0</v>
      </c>
    </row>
    <row r="7312" customFormat="false" ht="17.15" hidden="false" customHeight="false" outlineLevel="0" collapsed="false">
      <c r="A7312" s="3" t="s">
        <v>1662</v>
      </c>
    </row>
    <row r="7313" customFormat="false" ht="15" hidden="false" customHeight="false" outlineLevel="0" collapsed="false">
      <c r="A7313" s="4" t="s">
        <v>43</v>
      </c>
      <c r="B7313" s="4" t="s">
        <v>65</v>
      </c>
      <c r="C7313" s="23" t="s">
        <v>938</v>
      </c>
      <c r="D7313" s="23" t="s">
        <v>939</v>
      </c>
      <c r="E7313" s="23" t="s">
        <v>940</v>
      </c>
      <c r="F7313" s="23" t="s">
        <v>941</v>
      </c>
      <c r="G7313" s="23" t="s">
        <v>942</v>
      </c>
      <c r="H7313" s="23" t="s">
        <v>943</v>
      </c>
      <c r="I7313" s="23" t="s">
        <v>944</v>
      </c>
      <c r="J7313" s="23" t="s">
        <v>945</v>
      </c>
      <c r="K7313" s="23" t="s">
        <v>946</v>
      </c>
      <c r="L7313" s="4" t="s">
        <v>47</v>
      </c>
    </row>
    <row r="7314" customFormat="false" ht="15" hidden="false" customHeight="false" outlineLevel="0" collapsed="false">
      <c r="A7314" s="0" t="s">
        <v>1025</v>
      </c>
      <c r="B7314" s="0" t="s">
        <v>98</v>
      </c>
      <c r="D7314" s="6" t="n">
        <f aca="false">Sens!D7290</f>
        <v>72.61</v>
      </c>
      <c r="E7314" s="6" t="n">
        <f aca="false">Sens!E7290</f>
        <v>101.938</v>
      </c>
      <c r="F7314" s="6" t="n">
        <f aca="false">Sens!F7290</f>
        <v>149.59001837225</v>
      </c>
      <c r="G7314" s="6" t="n">
        <f aca="false">Sens!G7290</f>
        <v>210.963087346352</v>
      </c>
      <c r="H7314" s="6" t="n">
        <f aca="false">Sens!H7290</f>
        <v>278.649709314524</v>
      </c>
      <c r="I7314" s="6" t="n">
        <f aca="false">Sens!I7290</f>
        <v>334.269404582332</v>
      </c>
      <c r="J7314" s="6" t="n">
        <f aca="false">Sens!J7290</f>
        <v>376.517293063672</v>
      </c>
      <c r="K7314" s="6" t="n">
        <f aca="false">Sens!K7290</f>
        <v>406.018092622804</v>
      </c>
    </row>
    <row r="7315" customFormat="false" ht="17.15" hidden="false" customHeight="false" outlineLevel="0" collapsed="false">
      <c r="A7315" s="0" t="s">
        <v>1021</v>
      </c>
      <c r="B7315" s="0" t="s">
        <v>98</v>
      </c>
      <c r="D7315" s="6" t="n">
        <f aca="false">Sens!D7287</f>
        <v>12.9359794422418</v>
      </c>
      <c r="E7315" s="6" t="n">
        <f aca="false">Sens!E7287</f>
        <v>27.8095064661409</v>
      </c>
      <c r="F7315" s="6" t="n">
        <f aca="false">Sens!F7287</f>
        <v>59.1034165651511</v>
      </c>
      <c r="G7315" s="6" t="n">
        <f aca="false">Sens!G7287</f>
        <v>103.451498789198</v>
      </c>
      <c r="H7315" s="6" t="n">
        <f aca="false">Sens!H7287</f>
        <v>153.816719989035</v>
      </c>
      <c r="I7315" s="6" t="n">
        <f aca="false">Sens!I7287</f>
        <v>192.699478690852</v>
      </c>
      <c r="J7315" s="6" t="n">
        <f aca="false">Sens!J7287</f>
        <v>219.794102584244</v>
      </c>
      <c r="K7315" s="6" t="n">
        <f aca="false">Sens!K7287</f>
        <v>236.757046905022</v>
      </c>
    </row>
    <row r="7316" customFormat="false" ht="17.15" hidden="false" customHeight="false" outlineLevel="0" collapsed="false">
      <c r="A7316" s="0" t="s">
        <v>1052</v>
      </c>
      <c r="B7316" s="0" t="s">
        <v>98</v>
      </c>
      <c r="D7316" s="6" t="n">
        <f aca="false">Sens!D7288</f>
        <v>59.6740205577583</v>
      </c>
      <c r="E7316" s="6" t="n">
        <f aca="false">Sens!E7288</f>
        <v>74.1284935338591</v>
      </c>
      <c r="F7316" s="6" t="n">
        <f aca="false">Sens!F7288</f>
        <v>90.4866018070994</v>
      </c>
      <c r="G7316" s="6" t="n">
        <f aca="false">Sens!G7288</f>
        <v>107.511588557154</v>
      </c>
      <c r="H7316" s="6" t="n">
        <f aca="false">Sens!H7288</f>
        <v>124.832989325489</v>
      </c>
      <c r="I7316" s="6" t="n">
        <f aca="false">Sens!I7288</f>
        <v>141.56992589148</v>
      </c>
      <c r="J7316" s="6" t="n">
        <f aca="false">Sens!J7288</f>
        <v>156.723190479428</v>
      </c>
      <c r="K7316" s="6" t="n">
        <f aca="false">Sens!K7288</f>
        <v>169.261045717783</v>
      </c>
    </row>
    <row r="7317" customFormat="false" ht="15" hidden="false" customHeight="false" outlineLevel="0" collapsed="false">
      <c r="A7317" s="0" t="s">
        <v>1032</v>
      </c>
      <c r="B7317" s="0" t="s">
        <v>98</v>
      </c>
      <c r="D7317" s="6" t="n">
        <f aca="false">Sens!D7295</f>
        <v>84.605</v>
      </c>
      <c r="E7317" s="6" t="n">
        <f aca="false">Sens!E7295</f>
        <v>100.299</v>
      </c>
      <c r="F7317" s="6" t="n">
        <f aca="false">Sens!F7295</f>
        <v>121.448127467675</v>
      </c>
      <c r="G7317" s="6" t="n">
        <f aca="false">Sens!G7295</f>
        <v>146.964141800408</v>
      </c>
      <c r="H7317" s="6" t="n">
        <f aca="false">Sens!H7295</f>
        <v>172.560656831422</v>
      </c>
      <c r="I7317" s="6" t="n">
        <f aca="false">Sens!I7295</f>
        <v>194.607621808847</v>
      </c>
      <c r="J7317" s="6" t="n">
        <f aca="false">Sens!J7295</f>
        <v>212.826709776069</v>
      </c>
      <c r="K7317" s="6" t="n">
        <f aca="false">Sens!K7295</f>
        <v>230.300829460394</v>
      </c>
    </row>
    <row r="7318" customFormat="false" ht="17.15" hidden="false" customHeight="false" outlineLevel="0" collapsed="false">
      <c r="A7318" s="0" t="s">
        <v>1053</v>
      </c>
      <c r="B7318" s="0" t="s">
        <v>98</v>
      </c>
      <c r="D7318" s="6" t="n">
        <f aca="false">Sens!D7293</f>
        <v>83.705</v>
      </c>
      <c r="E7318" s="6" t="n">
        <f aca="false">Sens!E7293</f>
        <v>95.049</v>
      </c>
      <c r="F7318" s="6" t="n">
        <f aca="false">Sens!F7293</f>
        <v>105.698127467675</v>
      </c>
      <c r="G7318" s="6" t="n">
        <f aca="false">Sens!G7293</f>
        <v>117.714141800408</v>
      </c>
      <c r="H7318" s="6" t="n">
        <f aca="false">Sens!H7293</f>
        <v>129.810656831422</v>
      </c>
      <c r="I7318" s="6" t="n">
        <f aca="false">Sens!I7293</f>
        <v>141.732621808847</v>
      </c>
      <c r="J7318" s="6" t="n">
        <f aca="false">Sens!J7293</f>
        <v>153.201709776069</v>
      </c>
      <c r="K7318" s="6" t="n">
        <f aca="false">Sens!K7293</f>
        <v>163.925829460394</v>
      </c>
    </row>
    <row r="7319" customFormat="false" ht="17.15" hidden="false" customHeight="false" outlineLevel="0" collapsed="false">
      <c r="A7319" s="0" t="s">
        <v>1054</v>
      </c>
      <c r="B7319" s="0" t="s">
        <v>98</v>
      </c>
      <c r="D7319" s="6" t="n">
        <f aca="false">Sens!D7292</f>
        <v>0.9</v>
      </c>
      <c r="E7319" s="6" t="n">
        <f aca="false">Sens!E7292</f>
        <v>5.25</v>
      </c>
      <c r="F7319" s="6" t="n">
        <f aca="false">Sens!F7292</f>
        <v>15.75</v>
      </c>
      <c r="G7319" s="6" t="n">
        <f aca="false">Sens!G7292</f>
        <v>29.25</v>
      </c>
      <c r="H7319" s="6" t="n">
        <f aca="false">Sens!H7292</f>
        <v>42.75</v>
      </c>
      <c r="I7319" s="6" t="n">
        <f aca="false">Sens!I7292</f>
        <v>52.875</v>
      </c>
      <c r="J7319" s="6" t="n">
        <f aca="false">Sens!J7292</f>
        <v>59.625</v>
      </c>
      <c r="K7319" s="6" t="n">
        <f aca="false">Sens!K7292</f>
        <v>66.375</v>
      </c>
    </row>
    <row r="7320" customFormat="false" ht="15" hidden="false" customHeight="false" outlineLevel="0" collapsed="false">
      <c r="A7320" s="0" t="s">
        <v>1033</v>
      </c>
      <c r="B7320" s="0" t="s">
        <v>98</v>
      </c>
      <c r="D7320" s="6" t="n">
        <f aca="false">Sens!D7296</f>
        <v>35.391</v>
      </c>
      <c r="E7320" s="6" t="n">
        <f aca="false">Sens!E7296</f>
        <v>37.285</v>
      </c>
      <c r="F7320" s="6" t="n">
        <f aca="false">Sens!F7296</f>
        <v>38.3851437782675</v>
      </c>
      <c r="G7320" s="6" t="n">
        <f aca="false">Sens!G7296</f>
        <v>40.0105353288615</v>
      </c>
      <c r="H7320" s="6" t="n">
        <f aca="false">Sens!H7296</f>
        <v>41.4812512033683</v>
      </c>
      <c r="I7320" s="6" t="n">
        <f aca="false">Sens!I7296</f>
        <v>42.7743107216329</v>
      </c>
      <c r="J7320" s="6" t="n">
        <f aca="false">Sens!J7296</f>
        <v>43.8687373064601</v>
      </c>
      <c r="K7320" s="6" t="n">
        <f aca="false">Sens!K7296</f>
        <v>44.7461120525893</v>
      </c>
    </row>
    <row r="7321" customFormat="false" ht="15" hidden="false" customHeight="false" outlineLevel="0" collapsed="false">
      <c r="A7321" s="0" t="s">
        <v>1035</v>
      </c>
      <c r="B7321" s="0" t="s">
        <v>98</v>
      </c>
      <c r="D7321" s="6" t="n">
        <f aca="false">Sens!D7298</f>
        <v>18.417</v>
      </c>
      <c r="E7321" s="6" t="n">
        <f aca="false">Sens!E7298</f>
        <v>20.345</v>
      </c>
      <c r="F7321" s="6" t="n">
        <f aca="false">Sens!F7298</f>
        <v>22.3161797133988</v>
      </c>
      <c r="G7321" s="6" t="n">
        <f aca="false">Sens!G7298</f>
        <v>24.3943499673233</v>
      </c>
      <c r="H7321" s="6" t="n">
        <f aca="false">Sens!H7298</f>
        <v>26.5250243109019</v>
      </c>
      <c r="I7321" s="6" t="n">
        <f aca="false">Sens!I7298</f>
        <v>28.6884573538181</v>
      </c>
      <c r="J7321" s="6" t="n">
        <f aca="false">Sens!J7298</f>
        <v>30.8624968052127</v>
      </c>
      <c r="K7321" s="6" t="n">
        <f aca="false">Sens!K7298</f>
        <v>33.0228715815776</v>
      </c>
    </row>
    <row r="7322" customFormat="false" ht="15" hidden="false" customHeight="false" outlineLevel="0" collapsed="false">
      <c r="A7322" s="0" t="s">
        <v>1036</v>
      </c>
      <c r="B7322" s="0" t="s">
        <v>98</v>
      </c>
      <c r="D7322" s="6" t="n">
        <f aca="false">Sens!D7300</f>
        <v>7.76</v>
      </c>
      <c r="E7322" s="6" t="n">
        <f aca="false">Sens!E7300</f>
        <v>8.26</v>
      </c>
      <c r="F7322" s="6" t="n">
        <f aca="false">Sens!F7300</f>
        <v>8.75372082474227</v>
      </c>
      <c r="G7322" s="6" t="n">
        <f aca="false">Sens!G7300</f>
        <v>9.33399324642364</v>
      </c>
      <c r="H7322" s="6" t="n">
        <f aca="false">Sens!H7300</f>
        <v>9.96139155535851</v>
      </c>
      <c r="I7322" s="6" t="n">
        <f aca="false">Sens!I7300</f>
        <v>10.6402039077391</v>
      </c>
      <c r="J7322" s="6" t="n">
        <f aca="false">Sens!J7300</f>
        <v>11.3751458271397</v>
      </c>
      <c r="K7322" s="6" t="n">
        <f aca="false">Sens!K7300</f>
        <v>12.1714060350394</v>
      </c>
    </row>
    <row r="7323" customFormat="false" ht="15" hidden="false" customHeight="false" outlineLevel="0" collapsed="false">
      <c r="A7323" s="0" t="s">
        <v>852</v>
      </c>
      <c r="B7323" s="0" t="s">
        <v>98</v>
      </c>
      <c r="D7323" s="6" t="n">
        <f aca="false">Sens!D7302</f>
        <v>218.783</v>
      </c>
      <c r="E7323" s="6" t="n">
        <f aca="false">Sens!E7302</f>
        <v>268.127</v>
      </c>
      <c r="F7323" s="6" t="n">
        <f aca="false">Sens!F7302</f>
        <v>340.493190156334</v>
      </c>
      <c r="G7323" s="6" t="n">
        <f aca="false">Sens!G7302</f>
        <v>431.666107689369</v>
      </c>
      <c r="H7323" s="6" t="n">
        <f aca="false">Sens!H7302</f>
        <v>529.178033215575</v>
      </c>
      <c r="I7323" s="6" t="n">
        <f aca="false">Sens!I7302</f>
        <v>610.979998374369</v>
      </c>
      <c r="J7323" s="6" t="n">
        <f aca="false">Sens!J7302</f>
        <v>675.450382778553</v>
      </c>
      <c r="K7323" s="6" t="n">
        <f aca="false">Sens!K7302</f>
        <v>726.259311752404</v>
      </c>
    </row>
    <row r="7324" customFormat="false" ht="15" hidden="false" customHeight="false" outlineLevel="0" collapsed="false">
      <c r="A7324" s="0" t="s">
        <v>1037</v>
      </c>
      <c r="B7324" s="0" t="s">
        <v>98</v>
      </c>
      <c r="D7324" s="6" t="n">
        <f aca="false">Sens!D7303</f>
        <v>22.171</v>
      </c>
      <c r="E7324" s="6" t="n">
        <f aca="false">Sens!E7303</f>
        <v>24.835</v>
      </c>
      <c r="F7324" s="6" t="n">
        <f aca="false">Sens!F7303</f>
        <v>27.5591895660247</v>
      </c>
      <c r="G7324" s="6" t="n">
        <f aca="false">Sens!G7303</f>
        <v>30.4098563144583</v>
      </c>
      <c r="H7324" s="6" t="n">
        <f aca="false">Sens!H7303</f>
        <v>33.3011792571777</v>
      </c>
      <c r="I7324" s="6" t="n">
        <f aca="false">Sens!I7303</f>
        <v>36.189023797112</v>
      </c>
      <c r="J7324" s="6" t="n">
        <f aca="false">Sens!J7303</f>
        <v>39.0247773769199</v>
      </c>
      <c r="K7324" s="6" t="n">
        <f aca="false">Sens!K7303</f>
        <v>41.7565117933043</v>
      </c>
    </row>
    <row r="7325" customFormat="false" ht="15" hidden="false" customHeight="false" outlineLevel="0" collapsed="false">
      <c r="A7325" s="0" t="s">
        <v>1038</v>
      </c>
      <c r="B7325" s="0" t="s">
        <v>98</v>
      </c>
      <c r="D7325" s="6" t="n">
        <f aca="false">Sens!D7305</f>
        <v>23.455</v>
      </c>
      <c r="E7325" s="6" t="n">
        <f aca="false">Sens!E7305</f>
        <v>21.79</v>
      </c>
      <c r="F7325" s="6" t="n">
        <f aca="false">Sens!F7305</f>
        <v>20.7520981041711</v>
      </c>
      <c r="G7325" s="6" t="n">
        <f aca="false">Sens!G7305</f>
        <v>19.9083593495882</v>
      </c>
      <c r="H7325" s="6" t="n">
        <f aca="false">Sens!H7305</f>
        <v>19.4008256265831</v>
      </c>
      <c r="I7325" s="6" t="n">
        <f aca="false">Sens!I7305</f>
        <v>19.200434522122</v>
      </c>
      <c r="J7325" s="6" t="n">
        <f aca="false">Sens!J7305</f>
        <v>19.2932782348507</v>
      </c>
      <c r="K7325" s="6" t="n">
        <f aca="false">Sens!K7305</f>
        <v>19.6791437995477</v>
      </c>
    </row>
    <row r="7326" customFormat="false" ht="15" hidden="false" customHeight="false" outlineLevel="0" collapsed="false">
      <c r="A7326" s="0" t="s">
        <v>1039</v>
      </c>
      <c r="B7326" s="0" t="s">
        <v>98</v>
      </c>
      <c r="D7326" s="6" t="n">
        <f aca="false">Sens!D7307</f>
        <v>17.315</v>
      </c>
      <c r="E7326" s="6" t="n">
        <f aca="false">Sens!E7307</f>
        <v>17.087</v>
      </c>
      <c r="F7326" s="6" t="n">
        <f aca="false">Sens!F7307</f>
        <v>15.9912273250553</v>
      </c>
      <c r="G7326" s="6" t="n">
        <f aca="false">Sens!G7307</f>
        <v>15.9574562664827</v>
      </c>
      <c r="H7326" s="6" t="n">
        <f aca="false">Sens!H7307</f>
        <v>16.0119687434196</v>
      </c>
      <c r="I7326" s="6" t="n">
        <f aca="false">Sens!I7307</f>
        <v>16.1551810001948</v>
      </c>
      <c r="J7326" s="6" t="n">
        <f aca="false">Sens!J7307</f>
        <v>16.3889793892005</v>
      </c>
      <c r="K7326" s="6" t="n">
        <f aca="false">Sens!K7307</f>
        <v>16.7167589769845</v>
      </c>
    </row>
    <row r="7327" customFormat="false" ht="15" hidden="false" customHeight="false" outlineLevel="0" collapsed="false">
      <c r="A7327" s="0" t="s">
        <v>866</v>
      </c>
      <c r="B7327" s="0" t="s">
        <v>98</v>
      </c>
      <c r="D7327" s="6" t="n">
        <f aca="false">Sens!D7309</f>
        <v>62.941</v>
      </c>
      <c r="E7327" s="6" t="n">
        <f aca="false">Sens!E7309</f>
        <v>63.712</v>
      </c>
      <c r="F7327" s="6" t="n">
        <f aca="false">Sens!F7309</f>
        <v>64.3025149952511</v>
      </c>
      <c r="G7327" s="6" t="n">
        <f aca="false">Sens!G7309</f>
        <v>66.2756719305292</v>
      </c>
      <c r="H7327" s="6" t="n">
        <f aca="false">Sens!H7309</f>
        <v>68.7139736271804</v>
      </c>
      <c r="I7327" s="6" t="n">
        <f aca="false">Sens!I7309</f>
        <v>71.5446393194289</v>
      </c>
      <c r="J7327" s="6" t="n">
        <f aca="false">Sens!J7309</f>
        <v>74.707035000971</v>
      </c>
      <c r="K7327" s="6" t="n">
        <f aca="false">Sens!K7309</f>
        <v>78.1524145698365</v>
      </c>
    </row>
    <row r="7328" customFormat="false" ht="15" hidden="false" customHeight="false" outlineLevel="0" collapsed="false">
      <c r="A7328" s="1" t="s">
        <v>1055</v>
      </c>
      <c r="B7328" s="0" t="s">
        <v>98</v>
      </c>
      <c r="D7328" s="6" t="n">
        <f aca="false">Sens!D7310</f>
        <v>281.724</v>
      </c>
      <c r="E7328" s="6" t="n">
        <f aca="false">Sens!E7310</f>
        <v>331.839</v>
      </c>
      <c r="F7328" s="6" t="n">
        <f aca="false">Sens!F7310</f>
        <v>404.795705151585</v>
      </c>
      <c r="G7328" s="6" t="n">
        <f aca="false">Sens!G7310</f>
        <v>497.941779619898</v>
      </c>
      <c r="H7328" s="6" t="n">
        <f aca="false">Sens!H7310</f>
        <v>597.892006842755</v>
      </c>
      <c r="I7328" s="6" t="n">
        <f aca="false">Sens!I7310</f>
        <v>682.524637693798</v>
      </c>
      <c r="J7328" s="6" t="n">
        <f aca="false">Sens!J7310</f>
        <v>750.157417779524</v>
      </c>
      <c r="K7328" s="6" t="n">
        <f aca="false">Sens!K7310</f>
        <v>804.411726322241</v>
      </c>
    </row>
    <row r="7329" customFormat="false" ht="15" hidden="false" customHeight="false" outlineLevel="0" collapsed="false">
      <c r="A7329" s="1" t="s">
        <v>1056</v>
      </c>
      <c r="B7329" s="0" t="s">
        <v>168</v>
      </c>
      <c r="E7329" s="7" t="n">
        <f aca="false">Sens!E7328/Sens!D7328-1</f>
        <v>0.177886867998467</v>
      </c>
      <c r="F7329" s="7" t="n">
        <f aca="false">Sens!F7328/Sens!E7328-1</f>
        <v>0.219855728686456</v>
      </c>
      <c r="G7329" s="7" t="n">
        <f aca="false">Sens!G7328/Sens!F7328-1</f>
        <v>0.23010638028739</v>
      </c>
      <c r="H7329" s="7" t="n">
        <f aca="false">Sens!H7328/Sens!G7328-1</f>
        <v>0.200726734155857</v>
      </c>
      <c r="I7329" s="7" t="n">
        <f aca="false">Sens!I7328/Sens!H7328-1</f>
        <v>0.141551701448487</v>
      </c>
      <c r="J7329" s="7" t="n">
        <f aca="false">Sens!J7328/Sens!I7328-1</f>
        <v>0.0990920713342347</v>
      </c>
      <c r="K7329" s="7" t="n">
        <f aca="false">Sens!K7328/Sens!J7328-1</f>
        <v>0.0723238979670562</v>
      </c>
    </row>
    <row r="7330" customFormat="false" ht="17.15" hidden="false" customHeight="false" outlineLevel="0" collapsed="false">
      <c r="A7330" s="26" t="s">
        <v>1057</v>
      </c>
      <c r="B7330" s="31" t="s">
        <v>98</v>
      </c>
      <c r="C7330" s="31"/>
      <c r="D7330" s="27" t="n">
        <f aca="false">(Sens!D7323+Sens!D7327-Sens!D7328)+(Sens!D7315+Sens!D7316-Sens!D7314)+(Sens!D7318+Sens!D7319-Sens!D7317)+(Sens!D7328-Q!L18)</f>
        <v>0</v>
      </c>
      <c r="E7330" s="27" t="n">
        <f aca="false">(Sens!E7323+Sens!E7327-Sens!E7328)+(Sens!E7315+Sens!E7316-Sens!E7314)+(Sens!E7318+Sens!E7319-Sens!E7317)+(Sens!E7328-Q!M18)</f>
        <v>0</v>
      </c>
      <c r="F7330" s="27" t="n">
        <f aca="false">(Sens!F7323+Sens!F7327-Sens!F7328)+(Sens!F7315+Sens!F7316-Sens!F7314)+(Sens!F7318+Sens!F7319-Sens!F7317)</f>
        <v>0</v>
      </c>
      <c r="G7330" s="27" t="n">
        <f aca="false">(Sens!G7323+Sens!G7327-Sens!G7328)+(Sens!G7315+Sens!G7316-Sens!G7314)+(Sens!G7318+Sens!G7319-Sens!G7317)</f>
        <v>0</v>
      </c>
      <c r="H7330" s="27" t="n">
        <f aca="false">(Sens!H7323+Sens!H7327-Sens!H7328)+(Sens!H7315+Sens!H7316-Sens!H7314)+(Sens!H7318+Sens!H7319-Sens!H7317)</f>
        <v>0</v>
      </c>
      <c r="I7330" s="27" t="n">
        <f aca="false">(Sens!I7323+Sens!I7327-Sens!I7328)+(Sens!I7315+Sens!I7316-Sens!I7314)+(Sens!I7318+Sens!I7319-Sens!I7317)</f>
        <v>0</v>
      </c>
      <c r="J7330" s="27" t="n">
        <f aca="false">(Sens!J7323+Sens!J7327-Sens!J7328)+(Sens!J7315+Sens!J7316-Sens!J7314)+(Sens!J7318+Sens!J7319-Sens!J7317)</f>
        <v>0</v>
      </c>
      <c r="K7330" s="27" t="n">
        <f aca="false">(Sens!K7323+Sens!K7327-Sens!K7328)+(Sens!K7315+Sens!K7316-Sens!K7314)+(Sens!K7318+Sens!K7319-Sens!K7317)</f>
        <v>0</v>
      </c>
    </row>
    <row r="7331" customFormat="false" ht="17.15" hidden="false" customHeight="false" outlineLevel="0" collapsed="false">
      <c r="A7331" s="0" t="s">
        <v>1058</v>
      </c>
      <c r="B7331" s="0" t="s">
        <v>168</v>
      </c>
      <c r="E7331" s="7" t="n">
        <f aca="false">(Q!M21+Sens!E7267+Sens!E7268+Sens!E7269+Sens!E7283-Sens!E7265)/(Q!M5-Sens!E7265)</f>
        <v>0.570957350878296</v>
      </c>
      <c r="F7331" s="7" t="n">
        <f aca="false">Sens!$E$7331+dm_seg</f>
        <v>0.570957350878296</v>
      </c>
      <c r="G7331" s="7" t="n">
        <f aca="false">Sens!$E$7331+dm_seg</f>
        <v>0.570957350878296</v>
      </c>
      <c r="H7331" s="7" t="n">
        <f aca="false">Sens!$E$7331+dm_seg</f>
        <v>0.570957350878296</v>
      </c>
      <c r="I7331" s="7" t="n">
        <f aca="false">Sens!$E$7331+dm_seg</f>
        <v>0.570957350878296</v>
      </c>
      <c r="J7331" s="7" t="n">
        <f aca="false">Sens!$E$7331+dm_seg</f>
        <v>0.570957350878296</v>
      </c>
      <c r="K7331" s="7" t="n">
        <f aca="false">Sens!$E$7331+dm_seg</f>
        <v>0.570957350878296</v>
      </c>
      <c r="L7331" s="12" t="s">
        <v>1059</v>
      </c>
    </row>
    <row r="7332" customFormat="false" ht="17.15" hidden="false" customHeight="false" outlineLevel="0" collapsed="false">
      <c r="A7332" s="0" t="s">
        <v>880</v>
      </c>
      <c r="B7332" s="0" t="s">
        <v>98</v>
      </c>
      <c r="D7332" s="6" t="n">
        <f aca="false">Q!L21</f>
        <v>110.814</v>
      </c>
      <c r="E7332" s="6" t="n">
        <f aca="false">Q!M21</f>
        <v>136.365</v>
      </c>
      <c r="F7332" s="6" t="n">
        <f aca="false">Q!$I$21+(Sens!F7331*(Sens!F7302-Sens!F7265)+Sens!F7265-(Sens!F7267+Sens!F7268+Sens!F7269)-Sens!F7283-Sens!F7366)*(Sens!F7302-Q!$I$5)/Sens!F7302</f>
        <v>166.467378966879</v>
      </c>
      <c r="G7332" s="6" t="n">
        <f aca="false">(Sens!G7331*(Sens!G7302-Sens!G7265)+Sens!G7265-(Sens!G7267+Sens!G7268+Sens!G7269)-Sens!G7283-Sens!G7366)</f>
        <v>195.042359203687</v>
      </c>
      <c r="H7332" s="6" t="n">
        <f aca="false">(Sens!H7331*(Sens!H7302-Sens!H7265)+Sens!H7265-(Sens!H7267+Sens!H7268+Sens!H7269)-Sens!H7283-Sens!H7366)</f>
        <v>231.830897587224</v>
      </c>
      <c r="I7332" s="6" t="n">
        <f aca="false">(Sens!I7331*(Sens!I7302-Sens!I7265)+Sens!I7265-(Sens!I7267+Sens!I7268+Sens!I7269)-Sens!I7283-Sens!I7366)</f>
        <v>259.588522838735</v>
      </c>
      <c r="J7332" s="6" t="n">
        <f aca="false">(Sens!J7331*(Sens!J7302-Sens!J7265)+Sens!J7265-(Sens!J7267+Sens!J7268+Sens!J7269)-Sens!J7283-Sens!J7366)</f>
        <v>283.091902133673</v>
      </c>
      <c r="K7332" s="6" t="n">
        <f aca="false">(Sens!K7331*(Sens!K7302-Sens!K7265)+Sens!K7265-(Sens!K7267+Sens!K7268+Sens!K7269)-Sens!K7283-Sens!K7366)</f>
        <v>304.325753468504</v>
      </c>
      <c r="L7332" s="1" t="s">
        <v>1060</v>
      </c>
    </row>
    <row r="7333" customFormat="false" ht="17.15" hidden="false" customHeight="false" outlineLevel="0" collapsed="false">
      <c r="A7333" s="0" t="s">
        <v>1061</v>
      </c>
      <c r="B7333" s="0" t="s">
        <v>168</v>
      </c>
      <c r="E7333" s="7" t="n">
        <f aca="false">Q!M22/Q!M12</f>
        <v>0.296207935710698</v>
      </c>
      <c r="F7333" s="7" t="n">
        <f aca="false">Sens!$E$7333+dm_seg</f>
        <v>0.296207935710698</v>
      </c>
      <c r="G7333" s="7" t="n">
        <f aca="false">Sens!$E$7333+dm_seg</f>
        <v>0.296207935710698</v>
      </c>
      <c r="H7333" s="7" t="n">
        <f aca="false">Sens!$E$7333+dm_seg</f>
        <v>0.296207935710698</v>
      </c>
      <c r="I7333" s="7" t="n">
        <f aca="false">Sens!$E$7333+dm_seg</f>
        <v>0.296207935710698</v>
      </c>
      <c r="J7333" s="7" t="n">
        <f aca="false">Sens!$E$7333+dm_seg</f>
        <v>0.296207935710698</v>
      </c>
      <c r="K7333" s="7" t="n">
        <f aca="false">Sens!$E$7333+dm_seg</f>
        <v>0.296207935710698</v>
      </c>
      <c r="L7333" s="12" t="s">
        <v>1062</v>
      </c>
    </row>
    <row r="7334" customFormat="false" ht="17.15" hidden="false" customHeight="false" outlineLevel="0" collapsed="false">
      <c r="A7334" s="0" t="s">
        <v>882</v>
      </c>
      <c r="B7334" s="0" t="s">
        <v>98</v>
      </c>
      <c r="D7334" s="6" t="n">
        <f aca="false">Q!L22</f>
        <v>17.714</v>
      </c>
      <c r="E7334" s="6" t="n">
        <f aca="false">Q!M22</f>
        <v>18.872</v>
      </c>
      <c r="F7334" s="6" t="n">
        <f aca="false">Q!$I$22+(Sens!F7309-Q!$I$12)*Sens!F7333</f>
        <v>19.8174315512051</v>
      </c>
      <c r="G7334" s="6" t="n">
        <f aca="false">Sens!G7309*Sens!G7333</f>
        <v>19.6313799703815</v>
      </c>
      <c r="H7334" s="6" t="n">
        <f aca="false">Sens!H7309*Sens!H7333</f>
        <v>20.3536242825865</v>
      </c>
      <c r="I7334" s="6" t="n">
        <f aca="false">Sens!I7309*Sens!I7333</f>
        <v>21.1920899239745</v>
      </c>
      <c r="J7334" s="6" t="n">
        <f aca="false">Sens!J7309*Sens!J7333</f>
        <v>22.1288166207045</v>
      </c>
      <c r="K7334" s="6" t="n">
        <f aca="false">Sens!K7309*Sens!K7333</f>
        <v>23.1493653905379</v>
      </c>
      <c r="L7334" s="12" t="s">
        <v>1063</v>
      </c>
    </row>
    <row r="7335" customFormat="false" ht="15" hidden="false" customHeight="false" outlineLevel="0" collapsed="false">
      <c r="A7335" s="1" t="s">
        <v>1064</v>
      </c>
      <c r="B7335" s="0" t="s">
        <v>98</v>
      </c>
      <c r="D7335" s="6" t="n">
        <f aca="false">Sens!D7332+Sens!D7334</f>
        <v>128.528</v>
      </c>
      <c r="E7335" s="6" t="n">
        <f aca="false">Sens!E7332+Sens!E7334</f>
        <v>155.237</v>
      </c>
      <c r="F7335" s="6" t="n">
        <f aca="false">Sens!F7332+Sens!F7334</f>
        <v>186.284810518084</v>
      </c>
      <c r="G7335" s="6" t="n">
        <f aca="false">Sens!G7332+Sens!G7334</f>
        <v>214.673739174069</v>
      </c>
      <c r="H7335" s="6" t="n">
        <f aca="false">Sens!H7332+Sens!H7334</f>
        <v>252.18452186981</v>
      </c>
      <c r="I7335" s="6" t="n">
        <f aca="false">Sens!I7332+Sens!I7334</f>
        <v>280.78061276271</v>
      </c>
      <c r="J7335" s="6" t="n">
        <f aca="false">Sens!J7332+Sens!J7334</f>
        <v>305.220718754377</v>
      </c>
      <c r="K7335" s="6" t="n">
        <f aca="false">Sens!K7332+Sens!K7334</f>
        <v>327.475118859042</v>
      </c>
    </row>
    <row r="7336" customFormat="false" ht="15" hidden="false" customHeight="false" outlineLevel="0" collapsed="false">
      <c r="A7336" s="26" t="s">
        <v>1065</v>
      </c>
      <c r="B7336" s="31" t="s">
        <v>98</v>
      </c>
      <c r="C7336" s="31"/>
      <c r="D7336" s="27" t="n">
        <f aca="false">Sens!D7335-Q!L23</f>
        <v>0</v>
      </c>
      <c r="E7336" s="27" t="n">
        <f aca="false">Sens!E7335-Q!M23</f>
        <v>0</v>
      </c>
      <c r="F7336" s="31"/>
      <c r="G7336" s="31"/>
      <c r="H7336" s="31"/>
      <c r="I7336" s="31"/>
      <c r="J7336" s="31"/>
      <c r="K7336" s="31"/>
    </row>
    <row r="7337" customFormat="false" ht="15" hidden="false" customHeight="false" outlineLevel="0" collapsed="false">
      <c r="A7337" s="1" t="s">
        <v>1066</v>
      </c>
      <c r="B7337" s="0" t="s">
        <v>168</v>
      </c>
      <c r="D7337" s="7" t="n">
        <f aca="false">Sens!D7335/Sens!D7328</f>
        <v>0.456219562408598</v>
      </c>
      <c r="E7337" s="7" t="n">
        <f aca="false">Sens!E7335/Sens!E7328</f>
        <v>0.467808184089272</v>
      </c>
      <c r="F7337" s="7" t="n">
        <f aca="false">Sens!F7335/Sens!F7328</f>
        <v>0.460194631878137</v>
      </c>
      <c r="G7337" s="7" t="n">
        <f aca="false">Sens!G7335/Sens!G7328</f>
        <v>0.431122167209868</v>
      </c>
      <c r="H7337" s="7" t="n">
        <f aca="false">Sens!H7335/Sens!H7328</f>
        <v>0.42178941846288</v>
      </c>
      <c r="I7337" s="7" t="n">
        <f aca="false">Sens!I7335/Sens!I7328</f>
        <v>0.411385314545491</v>
      </c>
      <c r="J7337" s="7" t="n">
        <f aca="false">Sens!J7335/Sens!J7328</f>
        <v>0.406875559076433</v>
      </c>
      <c r="K7337" s="7" t="n">
        <f aca="false">Sens!K7335/Sens!K7328</f>
        <v>0.407098887476757</v>
      </c>
    </row>
    <row r="7338" customFormat="false" ht="17.15" hidden="false" customHeight="false" outlineLevel="0" collapsed="false">
      <c r="A7338" s="1" t="s">
        <v>1067</v>
      </c>
      <c r="B7338" s="0" t="s">
        <v>98</v>
      </c>
      <c r="F7338" s="6" t="n">
        <f aca="false">Sens!F7353</f>
        <v>7.59875270583629</v>
      </c>
      <c r="G7338" s="6" t="n">
        <f aca="false">Sens!G7353</f>
        <v>18.8520683985989</v>
      </c>
      <c r="H7338" s="6" t="n">
        <f aca="false">Sens!H7353</f>
        <v>31.5785750408267</v>
      </c>
      <c r="I7338" s="6" t="n">
        <f aca="false">Sens!I7353</f>
        <v>43.7878582139226</v>
      </c>
      <c r="J7338" s="6" t="n">
        <f aca="false">Sens!J7353</f>
        <v>52.424676597368</v>
      </c>
      <c r="K7338" s="6" t="n">
        <f aca="false">Sens!K7353</f>
        <v>56.1605719350792</v>
      </c>
      <c r="L7338" s="1" t="s">
        <v>1068</v>
      </c>
    </row>
    <row r="7339" customFormat="false" ht="17.15" hidden="false" customHeight="false" outlineLevel="0" collapsed="false">
      <c r="A7339" s="1" t="s">
        <v>1069</v>
      </c>
      <c r="B7339" s="0" t="s">
        <v>98</v>
      </c>
      <c r="D7339" s="6" t="n">
        <f aca="false">Sens!D7335</f>
        <v>128.528</v>
      </c>
      <c r="E7339" s="6" t="n">
        <f aca="false">Sens!E7335</f>
        <v>155.237</v>
      </c>
      <c r="F7339" s="6" t="n">
        <f aca="false">Sens!F7335+Sens!F7338</f>
        <v>193.883563223921</v>
      </c>
      <c r="G7339" s="6" t="n">
        <f aca="false">Sens!G7335+Sens!G7338</f>
        <v>233.525807572668</v>
      </c>
      <c r="H7339" s="6" t="n">
        <f aca="false">Sens!H7335+Sens!H7338</f>
        <v>283.763096910637</v>
      </c>
      <c r="I7339" s="6" t="n">
        <f aca="false">Sens!I7335+Sens!I7338</f>
        <v>324.568470976632</v>
      </c>
      <c r="J7339" s="6" t="n">
        <f aca="false">Sens!J7335+Sens!J7338</f>
        <v>357.645395351745</v>
      </c>
      <c r="K7339" s="6" t="n">
        <f aca="false">Sens!K7335+Sens!K7338</f>
        <v>383.635690794121</v>
      </c>
    </row>
    <row r="7340" customFormat="false" ht="17.15" hidden="false" customHeight="false" outlineLevel="0" collapsed="false">
      <c r="A7340" s="1" t="s">
        <v>1070</v>
      </c>
      <c r="B7340" s="0" t="s">
        <v>98</v>
      </c>
      <c r="E7340" s="6" t="n">
        <f aca="false">Sens!E7283</f>
        <v>16.3054059770833</v>
      </c>
      <c r="F7340" s="6" t="n">
        <f aca="false">Sens!F7283</f>
        <v>34.5793144783516</v>
      </c>
      <c r="G7340" s="6" t="n">
        <f aca="false">Sens!G7283</f>
        <v>60.7344906522989</v>
      </c>
      <c r="H7340" s="6" t="n">
        <f aca="false">Sens!H7283</f>
        <v>89.1000906614457</v>
      </c>
      <c r="I7340" s="6" t="n">
        <f aca="false">Sens!I7283</f>
        <v>114.231009694548</v>
      </c>
      <c r="J7340" s="6" t="n">
        <f aca="false">Sens!J7283</f>
        <v>132.015673049596</v>
      </c>
      <c r="K7340" s="6" t="n">
        <f aca="false">Sens!K7283</f>
        <v>143.012669550934</v>
      </c>
    </row>
    <row r="7341" customFormat="false" ht="17.15" hidden="false" customHeight="false" outlineLevel="0" collapsed="false">
      <c r="A7341" s="1" t="s">
        <v>1071</v>
      </c>
      <c r="B7341" s="0" t="s">
        <v>98</v>
      </c>
      <c r="E7341" s="6" t="n">
        <f aca="false">Sens!E7365</f>
        <v>22.2285940229167</v>
      </c>
      <c r="F7341" s="6" t="n">
        <f aca="false">Sens!F7365</f>
        <v>23.5927712145069</v>
      </c>
      <c r="G7341" s="6" t="n">
        <f aca="false">Sens!G7365</f>
        <v>25.4529063662937</v>
      </c>
      <c r="H7341" s="6" t="n">
        <f aca="false">Sens!H7365</f>
        <v>27.7679244833938</v>
      </c>
      <c r="I7341" s="6" t="n">
        <f aca="false">Sens!I7365</f>
        <v>30.4463777356673</v>
      </c>
      <c r="J7341" s="6" t="n">
        <f aca="false">Sens!J7365</f>
        <v>33.3826415491121</v>
      </c>
      <c r="K7341" s="6" t="n">
        <f aca="false">Sens!K7365</f>
        <v>36.4913100180247</v>
      </c>
    </row>
    <row r="7342" customFormat="false" ht="17.15" hidden="false" customHeight="false" outlineLevel="0" collapsed="false">
      <c r="A7342" s="1" t="s">
        <v>1072</v>
      </c>
      <c r="B7342" s="0" t="s">
        <v>98</v>
      </c>
      <c r="D7342" s="6" t="n">
        <f aca="false">Q!L27</f>
        <v>-4.901</v>
      </c>
      <c r="E7342" s="6" t="n">
        <f aca="false">Q!M27</f>
        <v>10.697</v>
      </c>
      <c r="F7342" s="6" t="n">
        <f aca="false">Q!$I$27+oie_f*(q_per_yr-1)/q_per_yr</f>
        <v>-0.862</v>
      </c>
      <c r="G7342" s="6" t="n">
        <f aca="false">oie_f</f>
        <v>-1.2</v>
      </c>
      <c r="H7342" s="6" t="n">
        <f aca="false">oie_f</f>
        <v>-1.2</v>
      </c>
      <c r="I7342" s="6" t="n">
        <f aca="false">oie_f</f>
        <v>-1.2</v>
      </c>
      <c r="J7342" s="6" t="n">
        <f aca="false">oie_f</f>
        <v>-1.2</v>
      </c>
      <c r="K7342" s="6" t="n">
        <f aca="false">oie_f</f>
        <v>-1.2</v>
      </c>
      <c r="L7342" s="12" t="s">
        <v>1073</v>
      </c>
    </row>
    <row r="7343" customFormat="false" ht="15" hidden="false" customHeight="false" outlineLevel="0" collapsed="false">
      <c r="A7343" s="1" t="s">
        <v>1074</v>
      </c>
      <c r="B7343" s="0" t="s">
        <v>98</v>
      </c>
      <c r="D7343" s="6" t="n">
        <f aca="false">Sens!D7335+Sens!D7342</f>
        <v>123.627</v>
      </c>
      <c r="E7343" s="6" t="n">
        <f aca="false">Sens!E7335+Sens!E7342</f>
        <v>165.934</v>
      </c>
      <c r="F7343" s="6" t="n">
        <f aca="false">Sens!F7335+Sens!F7342</f>
        <v>185.422810518084</v>
      </c>
      <c r="G7343" s="6" t="n">
        <f aca="false">Sens!G7335+Sens!G7342</f>
        <v>213.473739174069</v>
      </c>
      <c r="H7343" s="6" t="n">
        <f aca="false">Sens!H7335+Sens!H7342</f>
        <v>250.98452186981</v>
      </c>
      <c r="I7343" s="6" t="n">
        <f aca="false">Sens!I7335+Sens!I7342</f>
        <v>279.58061276271</v>
      </c>
      <c r="J7343" s="6" t="n">
        <f aca="false">Sens!J7335+Sens!J7342</f>
        <v>304.020718754377</v>
      </c>
      <c r="K7343" s="6" t="n">
        <f aca="false">Sens!K7335+Sens!K7342</f>
        <v>326.275118859042</v>
      </c>
    </row>
    <row r="7344" customFormat="false" ht="15" hidden="false" customHeight="false" outlineLevel="0" collapsed="false">
      <c r="A7344" s="1" t="s">
        <v>1075</v>
      </c>
      <c r="B7344" s="0" t="s">
        <v>98</v>
      </c>
      <c r="D7344" s="6" t="n">
        <f aca="false">Q!L29</f>
        <v>21.795</v>
      </c>
      <c r="E7344" s="6" t="n">
        <f aca="false">Q!M29</f>
        <v>32.185</v>
      </c>
      <c r="F7344" s="6" t="n">
        <f aca="false">Q!$I$29+(Sens!F7343-Q!$I$28)*tax_f</f>
        <v>37.2179621036169</v>
      </c>
      <c r="G7344" s="6" t="n">
        <f aca="false">Sens!G7343*tax_f</f>
        <v>42.6947478348138</v>
      </c>
      <c r="H7344" s="6" t="n">
        <f aca="false">Sens!H7343*tax_f</f>
        <v>50.196904373962</v>
      </c>
      <c r="I7344" s="6" t="n">
        <f aca="false">Sens!I7343*tax_f</f>
        <v>55.916122552542</v>
      </c>
      <c r="J7344" s="6" t="n">
        <f aca="false">Sens!J7343*tax_f</f>
        <v>60.8041437508755</v>
      </c>
      <c r="K7344" s="6" t="n">
        <f aca="false">Sens!K7343*tax_f</f>
        <v>65.2550237718084</v>
      </c>
    </row>
    <row r="7345" customFormat="false" ht="15" hidden="false" customHeight="false" outlineLevel="0" collapsed="false">
      <c r="A7345" s="1" t="s">
        <v>1076</v>
      </c>
      <c r="B7345" s="0" t="s">
        <v>98</v>
      </c>
      <c r="D7345" s="6" t="n">
        <f aca="false">Sens!D7343-Sens!D7344</f>
        <v>101.832</v>
      </c>
      <c r="E7345" s="6" t="n">
        <f aca="false">Sens!E7343-Sens!E7344</f>
        <v>133.749</v>
      </c>
      <c r="F7345" s="6" t="n">
        <f aca="false">Sens!F7343-Sens!F7344</f>
        <v>148.204848414468</v>
      </c>
      <c r="G7345" s="6" t="n">
        <f aca="false">Sens!G7343-Sens!G7344</f>
        <v>170.778991339255</v>
      </c>
      <c r="H7345" s="6" t="n">
        <f aca="false">Sens!H7343-Sens!H7344</f>
        <v>200.787617495848</v>
      </c>
      <c r="I7345" s="6" t="n">
        <f aca="false">Sens!I7343-Sens!I7344</f>
        <v>223.664490210168</v>
      </c>
      <c r="J7345" s="6" t="n">
        <f aca="false">Sens!J7343-Sens!J7344</f>
        <v>243.216575003502</v>
      </c>
      <c r="K7345" s="6" t="n">
        <f aca="false">Sens!K7343-Sens!K7344</f>
        <v>261.020095087234</v>
      </c>
    </row>
    <row r="7346" customFormat="false" ht="17.15" hidden="false" customHeight="false" outlineLevel="0" collapsed="false">
      <c r="A7346" s="1" t="s">
        <v>1077</v>
      </c>
      <c r="B7346" s="1" t="s">
        <v>81</v>
      </c>
      <c r="D7346" s="15" t="n">
        <f aca="false">Q!L31</f>
        <v>7.465</v>
      </c>
      <c r="E7346" s="15" t="n">
        <f aca="false">Q!M31</f>
        <v>7.453</v>
      </c>
      <c r="F7346" s="15" t="n">
        <f aca="false">Sens!F7390</f>
        <v>7.46998834631225</v>
      </c>
      <c r="G7346" s="15" t="n">
        <f aca="false">Sens!G7390</f>
        <v>7.50651023771241</v>
      </c>
      <c r="H7346" s="15" t="n">
        <f aca="false">Sens!H7390</f>
        <v>7.52924372182911</v>
      </c>
      <c r="I7346" s="15" t="n">
        <f aca="false">Sens!I7390</f>
        <v>7.54092508588458</v>
      </c>
      <c r="J7346" s="15" t="n">
        <f aca="false">Sens!J7390</f>
        <v>7.55507449704706</v>
      </c>
      <c r="K7346" s="15" t="n">
        <f aca="false">Sens!K7390</f>
        <v>7.57150913701231</v>
      </c>
    </row>
    <row r="7347" customFormat="false" ht="17.15" hidden="false" customHeight="false" outlineLevel="0" collapsed="false">
      <c r="A7347" s="0" t="s">
        <v>1078</v>
      </c>
      <c r="B7347" s="0" t="s">
        <v>75</v>
      </c>
      <c r="D7347" s="8" t="n">
        <f aca="false">Sens!D7345/Sens!D7346</f>
        <v>13.641259209645</v>
      </c>
      <c r="E7347" s="8" t="n">
        <f aca="false">Sens!E7345/Sens!E7346</f>
        <v>17.9456594659869</v>
      </c>
      <c r="F7347" s="8" t="n">
        <f aca="false">Sens!F7345/Sens!F7346</f>
        <v>19.8400374329409</v>
      </c>
      <c r="G7347" s="8" t="n">
        <f aca="false">Sens!G7345/Sens!G7346</f>
        <v>22.750783777163</v>
      </c>
      <c r="H7347" s="8" t="n">
        <f aca="false">Sens!H7345/Sens!H7346</f>
        <v>26.6677006235986</v>
      </c>
      <c r="I7347" s="8" t="n">
        <f aca="false">Sens!I7345/Sens!I7346</f>
        <v>29.6600864831335</v>
      </c>
      <c r="J7347" s="8" t="n">
        <f aca="false">Sens!J7345/Sens!J7346</f>
        <v>32.1924787238782</v>
      </c>
      <c r="K7347" s="8" t="n">
        <f aca="false">Sens!K7345/Sens!K7346</f>
        <v>34.4739853527049</v>
      </c>
      <c r="L7347" s="1" t="s">
        <v>1079</v>
      </c>
    </row>
    <row r="7348" customFormat="false" ht="17.15" hidden="false" customHeight="false" outlineLevel="0" collapsed="false">
      <c r="A7348" s="1" t="s">
        <v>1080</v>
      </c>
      <c r="B7348" s="0" t="s">
        <v>98</v>
      </c>
      <c r="D7348" s="6" t="n">
        <f aca="false">Sens!D7345</f>
        <v>101.832</v>
      </c>
      <c r="E7348" s="6" t="n">
        <f aca="false">Sens!E7345</f>
        <v>133.749</v>
      </c>
      <c r="F7348" s="6" t="n">
        <f aca="false">Sens!F7345+Sens!F7338*(1-tax_f)</f>
        <v>154.283850579137</v>
      </c>
      <c r="G7348" s="6" t="n">
        <f aca="false">Sens!G7345+Sens!G7338*(1-tax_f)</f>
        <v>185.860646058134</v>
      </c>
      <c r="H7348" s="6" t="n">
        <f aca="false">Sens!H7345+Sens!H7338*(1-tax_f)</f>
        <v>226.050477528509</v>
      </c>
      <c r="I7348" s="6" t="n">
        <f aca="false">Sens!I7345+Sens!I7338*(1-tax_f)</f>
        <v>258.694776781306</v>
      </c>
      <c r="J7348" s="6" t="n">
        <f aca="false">Sens!J7345+Sens!J7338*(1-tax_f)</f>
        <v>285.156316281396</v>
      </c>
      <c r="K7348" s="6" t="n">
        <f aca="false">Sens!K7345+Sens!K7338*(1-tax_f)</f>
        <v>305.948552635297</v>
      </c>
    </row>
    <row r="7349" customFormat="false" ht="17.15" hidden="false" customHeight="false" outlineLevel="0" collapsed="false">
      <c r="A7349" s="0" t="s">
        <v>1081</v>
      </c>
      <c r="B7349" s="0" t="s">
        <v>75</v>
      </c>
      <c r="D7349" s="8" t="n">
        <f aca="false">Sens!D7348/Sens!D7346</f>
        <v>13.641259209645</v>
      </c>
      <c r="E7349" s="8" t="n">
        <f aca="false">Sens!E7348/Sens!E7346</f>
        <v>17.9456594659869</v>
      </c>
      <c r="F7349" s="8" t="n">
        <f aca="false">Sens!F7348/Sens!F7346</f>
        <v>20.6538274795706</v>
      </c>
      <c r="G7349" s="8" t="n">
        <f aca="false">Sens!G7348/Sens!G7346</f>
        <v>24.759927072953</v>
      </c>
      <c r="H7349" s="8" t="n">
        <f aca="false">Sens!H7348/Sens!H7346</f>
        <v>30.0229991058908</v>
      </c>
      <c r="I7349" s="8" t="n">
        <f aca="false">Sens!I7348/Sens!I7346</f>
        <v>34.305443143248</v>
      </c>
      <c r="J7349" s="8" t="n">
        <f aca="false">Sens!J7348/Sens!J7346</f>
        <v>37.743680276462</v>
      </c>
      <c r="K7349" s="8" t="n">
        <f aca="false">Sens!K7348/Sens!K7346</f>
        <v>40.4078694351313</v>
      </c>
      <c r="L7349" s="1" t="s">
        <v>1082</v>
      </c>
    </row>
    <row r="7350" customFormat="false" ht="17.15" hidden="false" customHeight="false" outlineLevel="0" collapsed="false">
      <c r="A7350" s="0" t="s">
        <v>1083</v>
      </c>
      <c r="B7350" s="0" t="s">
        <v>168</v>
      </c>
      <c r="E7350" s="7" t="n">
        <f aca="false">Sens!E7349/Sens!D7349-1</f>
        <v>0.315542736208578</v>
      </c>
      <c r="F7350" s="7" t="n">
        <f aca="false">Sens!F7349/Sens!E7349-1</f>
        <v>0.150909361604498</v>
      </c>
      <c r="G7350" s="7" t="n">
        <f aca="false">Sens!G7349/Sens!F7349-1</f>
        <v>0.198805746656101</v>
      </c>
      <c r="H7350" s="7" t="n">
        <f aca="false">Sens!H7349/Sens!G7349-1</f>
        <v>0.212564116906751</v>
      </c>
      <c r="I7350" s="7" t="n">
        <f aca="false">Sens!I7349/Sens!H7349-1</f>
        <v>0.142638782429865</v>
      </c>
      <c r="J7350" s="7" t="n">
        <f aca="false">Sens!J7349/Sens!I7349-1</f>
        <v>0.100224244848176</v>
      </c>
      <c r="K7350" s="7" t="n">
        <f aca="false">Sens!K7349/Sens!J7349-1</f>
        <v>0.0705863641053228</v>
      </c>
    </row>
    <row r="7351" customFormat="false" ht="17.15" hidden="false" customHeight="false" outlineLevel="0" collapsed="false">
      <c r="A7351" s="0" t="s">
        <v>1003</v>
      </c>
      <c r="B7351" s="0" t="s">
        <v>98</v>
      </c>
      <c r="E7351" s="6" t="n">
        <f aca="false">Sens!E7292</f>
        <v>5.25</v>
      </c>
      <c r="F7351" s="6" t="n">
        <f aca="false">Sens!F7292</f>
        <v>15.75</v>
      </c>
      <c r="G7351" s="6" t="n">
        <f aca="false">Sens!G7292</f>
        <v>29.25</v>
      </c>
      <c r="H7351" s="6" t="n">
        <f aca="false">Sens!H7292</f>
        <v>42.75</v>
      </c>
      <c r="I7351" s="6" t="n">
        <f aca="false">Sens!I7292</f>
        <v>52.875</v>
      </c>
      <c r="J7351" s="6" t="n">
        <f aca="false">Sens!J7292</f>
        <v>59.625</v>
      </c>
      <c r="K7351" s="6" t="n">
        <f aca="false">Sens!K7292</f>
        <v>66.375</v>
      </c>
    </row>
    <row r="7352" customFormat="false" ht="17.15" hidden="false" customHeight="false" outlineLevel="0" collapsed="false">
      <c r="A7352" s="1" t="s">
        <v>1004</v>
      </c>
      <c r="B7352" s="0" t="s">
        <v>98</v>
      </c>
      <c r="F7352" s="6" t="n">
        <f aca="false">MAX(0,((Sens!E7252+Sens!F7252)/2-(shadow_base*(Sens!$D$7252+Sens!$E$7252)/2+(1-shadow_base)*Sens!$E$7252))*Sens!F7261/1000-(Sens!F7351-Sens!$E$7351)*Sens!F7331)</f>
        <v>7.59875270583629</v>
      </c>
      <c r="G7352" s="6" t="n">
        <f aca="false">MAX(0,((Sens!F7252+Sens!G7252)/2-(shadow_base*(Sens!$D$7252+Sens!$E$7252)/2+(1-shadow_base)*Sens!$E$7252))*Sens!G7261/1000-(Sens!G7351-Sens!$E$7351)*Sens!G7331)</f>
        <v>18.8520683985989</v>
      </c>
      <c r="H7352" s="6" t="n">
        <f aca="false">MAX(0,((Sens!G7252+Sens!H7252)/2-(shadow_base*(Sens!$D$7252+Sens!$E$7252)/2+(1-shadow_base)*Sens!$E$7252))*Sens!H7261/1000-(Sens!H7351-Sens!$E$7351)*Sens!H7331)</f>
        <v>31.5785750408267</v>
      </c>
      <c r="I7352" s="6" t="n">
        <f aca="false">MAX(0,((Sens!H7252+Sens!I7252)/2-(shadow_base*(Sens!$D$7252+Sens!$E$7252)/2+(1-shadow_base)*Sens!$E$7252))*Sens!I7261/1000-(Sens!I7351-Sens!$E$7351)*Sens!I7331)</f>
        <v>43.7878582139226</v>
      </c>
      <c r="J7352" s="6" t="n">
        <f aca="false">MAX(0,((Sens!I7252+Sens!J7252)/2-(shadow_base*(Sens!$D$7252+Sens!$E$7252)/2+(1-shadow_base)*Sens!$E$7252))*Sens!J7261/1000-(Sens!J7351-Sens!$E$7351)*Sens!J7331)</f>
        <v>52.424676597368</v>
      </c>
      <c r="K7352" s="6" t="n">
        <f aca="false">MAX(0,((Sens!J7252+Sens!K7252)/2-(shadow_base*(Sens!$D$7252+Sens!$E$7252)/2+(1-shadow_base)*Sens!$E$7252))*Sens!K7261/1000-(Sens!K7351-Sens!$E$7351)*Sens!K7331)</f>
        <v>56.1605719350792</v>
      </c>
      <c r="L7352" s="1" t="s">
        <v>1005</v>
      </c>
    </row>
    <row r="7353" customFormat="false" ht="17.15" hidden="false" customHeight="false" outlineLevel="0" collapsed="false">
      <c r="A7353" s="1" t="s">
        <v>1006</v>
      </c>
      <c r="B7353" s="0" t="s">
        <v>98</v>
      </c>
      <c r="F7353" s="6" t="n">
        <f aca="false">IF(internal_ai_reading=2,1,0)*Sens!F7352</f>
        <v>7.59875270583629</v>
      </c>
      <c r="G7353" s="6" t="n">
        <f aca="false">IF(internal_ai_reading=2,1,0)*Sens!G7352</f>
        <v>18.8520683985989</v>
      </c>
      <c r="H7353" s="6" t="n">
        <f aca="false">IF(internal_ai_reading=2,1,0)*Sens!H7352</f>
        <v>31.5785750408267</v>
      </c>
      <c r="I7353" s="6" t="n">
        <f aca="false">IF(internal_ai_reading=2,1,0)*Sens!I7352</f>
        <v>43.7878582139226</v>
      </c>
      <c r="J7353" s="6" t="n">
        <f aca="false">IF(internal_ai_reading=2,1,0)*Sens!J7352</f>
        <v>52.424676597368</v>
      </c>
      <c r="K7353" s="6" t="n">
        <f aca="false">IF(internal_ai_reading=2,1,0)*Sens!K7352</f>
        <v>56.1605719350792</v>
      </c>
    </row>
    <row r="7354" customFormat="false" ht="17.15" hidden="false" customHeight="false" outlineLevel="0" collapsed="false">
      <c r="A7354" s="0" t="s">
        <v>1007</v>
      </c>
      <c r="B7354" s="0" t="s">
        <v>98</v>
      </c>
      <c r="F7354" s="6" t="n">
        <f aca="false">Sens!F7271+Sens!F7351*Sens!F7331+Sens!F7353-Sens!F7272-Sens!F7283</f>
        <v>18.5068678152817</v>
      </c>
      <c r="G7354" s="6" t="n">
        <f aca="false">Sens!G7271+Sens!G7351*Sens!G7331+Sens!G7353-Sens!G7272-Sens!G7283</f>
        <v>43.1983864982792</v>
      </c>
      <c r="H7354" s="6" t="n">
        <f aca="false">Sens!H7271+Sens!H7351*Sens!H7331+Sens!H7353-Sens!H7272-Sens!H7283</f>
        <v>73.502598356074</v>
      </c>
      <c r="I7354" s="6" t="n">
        <f aca="false">Sens!I7271+Sens!I7351*Sens!I7331+Sens!I7353-Sens!I7272-Sens!I7283</f>
        <v>94.7454135378504</v>
      </c>
      <c r="J7354" s="6" t="n">
        <f aca="false">Sens!J7271+Sens!J7351*Sens!J7331+Sens!J7353-Sens!J7272-Sens!J7283</f>
        <v>109.399608126358</v>
      </c>
      <c r="K7354" s="6" t="n">
        <f aca="false">Sens!K7271+Sens!K7351*Sens!K7331+Sens!K7353-Sens!K7272-Sens!K7283</f>
        <v>118.898703181943</v>
      </c>
    </row>
    <row r="7355" customFormat="false" ht="17.15" hidden="false" customHeight="false" outlineLevel="0" collapsed="false">
      <c r="A7355" s="0" t="s">
        <v>1008</v>
      </c>
      <c r="B7355" s="0" t="s">
        <v>98</v>
      </c>
      <c r="E7355" s="6" t="n">
        <f aca="false">Sens!E7251*(cxit_open+self_build*tk_cxfac)/1000*ai_net_open</f>
        <v>126.6980382</v>
      </c>
      <c r="F7355" s="6" t="n">
        <f aca="false">Sens!E7355+Sens!F7280-Sens!F7283</f>
        <v>260.572627763768</v>
      </c>
      <c r="G7355" s="6" t="n">
        <f aca="false">Sens!F7355+Sens!G7280-Sens!G7283</f>
        <v>391.782612760517</v>
      </c>
      <c r="H7355" s="6" t="n">
        <f aca="false">Sens!G7355+Sens!H7280-Sens!H7283</f>
        <v>499.488526163584</v>
      </c>
      <c r="I7355" s="6" t="n">
        <f aca="false">Sens!H7355+Sens!I7280-Sens!I7283</f>
        <v>553.872350090646</v>
      </c>
      <c r="J7355" s="6" t="n">
        <f aca="false">Sens!I7355+Sens!J7280-Sens!J7283</f>
        <v>550.78660823699</v>
      </c>
      <c r="K7355" s="6" t="n">
        <f aca="false">Sens!J7355+Sens!K7280-Sens!K7283</f>
        <v>526.736791750789</v>
      </c>
      <c r="L7355" s="1" t="s">
        <v>1009</v>
      </c>
    </row>
    <row r="7356" customFormat="false" ht="17.15" hidden="false" customHeight="false" outlineLevel="0" collapsed="false">
      <c r="A7356" s="0" t="s">
        <v>1010</v>
      </c>
      <c r="B7356" s="0" t="s">
        <v>168</v>
      </c>
      <c r="F7356" s="7" t="n">
        <f aca="false">Sens!F7354*(1-tax_f)/((Sens!E7355+Sens!F7355)/2)</f>
        <v>0.0764607059271074</v>
      </c>
      <c r="G7356" s="7" t="n">
        <f aca="false">Sens!G7354*(1-tax_f)/((Sens!F7355+Sens!G7355)/2)</f>
        <v>0.105950583522098</v>
      </c>
      <c r="H7356" s="7" t="n">
        <f aca="false">Sens!H7354*(1-tax_f)/((Sens!G7355+Sens!H7355)/2)</f>
        <v>0.131951044114011</v>
      </c>
      <c r="I7356" s="7" t="n">
        <f aca="false">Sens!I7354*(1-tax_f)/((Sens!H7355+Sens!I7355)/2)</f>
        <v>0.143913320760143</v>
      </c>
      <c r="J7356" s="7" t="n">
        <f aca="false">Sens!J7354*(1-tax_f)/((Sens!I7355+Sens!J7355)/2)</f>
        <v>0.158455577336889</v>
      </c>
      <c r="K7356" s="7" t="n">
        <f aca="false">Sens!K7354*(1-tax_f)/((Sens!J7355+Sens!K7355)/2)</f>
        <v>0.176551084731214</v>
      </c>
    </row>
    <row r="7357" customFormat="false" ht="17.15" hidden="false" customHeight="false" outlineLevel="0" collapsed="false">
      <c r="A7357" s="1" t="s">
        <v>1011</v>
      </c>
      <c r="B7357" s="0" t="s">
        <v>168</v>
      </c>
      <c r="F7357" s="7" t="n">
        <f aca="false">(Sens!F7354-Sens!F7353)*(1-tax_f)/((Sens!E7355+Sens!F7355)/2)</f>
        <v>0.0450666309354438</v>
      </c>
      <c r="G7357" s="7" t="n">
        <f aca="false">(Sens!G7354-Sens!G7353)*(1-tax_f)/((Sens!F7355+Sens!G7355)/2)</f>
        <v>0.0597130313970988</v>
      </c>
      <c r="H7357" s="7" t="n">
        <f aca="false">(Sens!H7354-Sens!H7353)*(1-tax_f)/((Sens!G7355+Sens!H7355)/2)</f>
        <v>0.0752615386888546</v>
      </c>
      <c r="I7357" s="7" t="n">
        <f aca="false">(Sens!I7354-Sens!I7353)*(1-tax_f)/((Sens!H7355+Sens!I7355)/2)</f>
        <v>0.0774018575744089</v>
      </c>
      <c r="J7357" s="7" t="n">
        <f aca="false">(Sens!J7354-Sens!J7353)*(1-tax_f)/((Sens!I7355+Sens!J7355)/2)</f>
        <v>0.0825231079322367</v>
      </c>
      <c r="K7357" s="7" t="n">
        <f aca="false">(Sens!K7354-Sens!K7353)*(1-tax_f)/((Sens!J7355+Sens!K7355)/2)</f>
        <v>0.0931590070304924</v>
      </c>
    </row>
    <row r="7358" customFormat="false" ht="17.15" hidden="false" customHeight="false" outlineLevel="0" collapsed="false">
      <c r="A7358" s="1" t="s">
        <v>1012</v>
      </c>
      <c r="B7358" s="0" t="s">
        <v>168</v>
      </c>
      <c r="F7358" s="7" t="n">
        <f aca="false">(Sens!F7354-Sens!F7353+Sens!F7352)*(1-tax_f)/((Sens!E7355+Sens!F7355)/2)</f>
        <v>0.0764607059271074</v>
      </c>
      <c r="G7358" s="7" t="n">
        <f aca="false">(Sens!G7354-Sens!G7353+Sens!G7352)*(1-tax_f)/((Sens!F7355+Sens!G7355)/2)</f>
        <v>0.105950583522098</v>
      </c>
      <c r="H7358" s="7" t="n">
        <f aca="false">(Sens!H7354-Sens!H7353+Sens!H7352)*(1-tax_f)/((Sens!G7355+Sens!H7355)/2)</f>
        <v>0.131951044114011</v>
      </c>
      <c r="I7358" s="7" t="n">
        <f aca="false">(Sens!I7354-Sens!I7353+Sens!I7352)*(1-tax_f)/((Sens!H7355+Sens!I7355)/2)</f>
        <v>0.143913320760143</v>
      </c>
      <c r="J7358" s="7" t="n">
        <f aca="false">(Sens!J7354-Sens!J7353+Sens!J7352)*(1-tax_f)/((Sens!I7355+Sens!J7355)/2)</f>
        <v>0.158455577336889</v>
      </c>
      <c r="K7358" s="7" t="n">
        <f aca="false">(Sens!K7354-Sens!K7353+Sens!K7352)*(1-tax_f)/((Sens!J7355+Sens!K7355)/2)</f>
        <v>0.176551084731214</v>
      </c>
    </row>
    <row r="7359" customFormat="false" ht="17.15" hidden="false" customHeight="false" outlineLevel="0" collapsed="false">
      <c r="A7359" s="1" t="s">
        <v>1013</v>
      </c>
      <c r="B7359" s="0" t="s">
        <v>168</v>
      </c>
      <c r="F7359" s="7" t="n">
        <f aca="false">Sens!F7284*(1-tax_f)/(Sens!F7270*(Sens!E7355+Sens!F7355)/2)</f>
        <v>0.15471433083293</v>
      </c>
      <c r="G7359" s="7" t="n">
        <f aca="false">Sens!G7284*(1-tax_f)/(Sens!G7270*(Sens!F7355+Sens!G7355)/2)</f>
        <v>0.176916911437355</v>
      </c>
      <c r="H7359" s="7" t="n">
        <f aca="false">Sens!H7284*(1-tax_f)/(Sens!H7270*(Sens!G7355+Sens!H7355)/2)</f>
        <v>0.207487057996582</v>
      </c>
      <c r="I7359" s="7" t="n">
        <f aca="false">Sens!I7284*(1-tax_f)/(Sens!I7270*(Sens!H7355+Sens!I7355)/2)</f>
        <v>0.219873660070946</v>
      </c>
      <c r="J7359" s="7" t="n">
        <f aca="false">Sens!J7284*(1-tax_f)/(Sens!J7270*(Sens!I7355+Sens!J7355)/2)</f>
        <v>0.238959457974928</v>
      </c>
      <c r="K7359" s="7" t="n">
        <f aca="false">Sens!K7284*(1-tax_f)/(Sens!K7270*(Sens!J7355+Sens!K7355)/2)</f>
        <v>0.264604270651536</v>
      </c>
    </row>
    <row r="7360" customFormat="false" ht="17.15" hidden="false" customHeight="false" outlineLevel="0" collapsed="false">
      <c r="A7360" s="0" t="s">
        <v>1014</v>
      </c>
      <c r="B7360" s="0" t="s">
        <v>253</v>
      </c>
      <c r="F7360" s="7" t="n">
        <f aca="false">Sens!F7356-wacc</f>
        <v>-0.0264758850184899</v>
      </c>
      <c r="G7360" s="7" t="n">
        <f aca="false">Sens!G7356-wacc</f>
        <v>0.00301399257650095</v>
      </c>
      <c r="H7360" s="7" t="n">
        <f aca="false">Sens!H7356-wacc</f>
        <v>0.0290144531684132</v>
      </c>
      <c r="I7360" s="7" t="n">
        <f aca="false">Sens!I7356-wacc</f>
        <v>0.040976729814546</v>
      </c>
      <c r="J7360" s="7" t="n">
        <f aca="false">Sens!J7356-wacc</f>
        <v>0.0555189863912922</v>
      </c>
      <c r="K7360" s="7" t="n">
        <f aca="false">Sens!K7356-wacc</f>
        <v>0.0736144937856168</v>
      </c>
    </row>
    <row r="7361" customFormat="false" ht="17.15" hidden="false" customHeight="false" outlineLevel="0" collapsed="false">
      <c r="A7361" s="0" t="s">
        <v>1015</v>
      </c>
      <c r="B7361" s="0" t="s">
        <v>98</v>
      </c>
      <c r="F7361" s="6" t="n">
        <f aca="false">Sens!F7354*(1-tax_f)-wacc*(Sens!E7355+Sens!F7355)/2</f>
        <v>-5.12666681154535</v>
      </c>
      <c r="G7361" s="6" t="n">
        <f aca="false">Sens!G7354*(1-tax_f)-wacc*(Sens!F7355+Sens!G7355)/2</f>
        <v>0.983096926090845</v>
      </c>
      <c r="H7361" s="6" t="n">
        <f aca="false">Sens!H7354*(1-tax_f)-wacc*(Sens!G7355+Sens!H7355)/2</f>
        <v>12.9298723603358</v>
      </c>
      <c r="I7361" s="6" t="n">
        <f aca="false">Sens!I7354*(1-tax_f)-wacc*(Sens!H7355+Sens!I7355)/2</f>
        <v>21.5816420117415</v>
      </c>
      <c r="J7361" s="6" t="n">
        <f aca="false">Sens!J7354*(1-tax_f)-wacc*(Sens!I7355+Sens!J7355)/2</f>
        <v>30.6647728372055</v>
      </c>
      <c r="K7361" s="6" t="n">
        <f aca="false">Sens!K7354*(1-tax_f)-wacc*(Sens!J7355+Sens!K7355)/2</f>
        <v>39.6606698161285</v>
      </c>
    </row>
    <row r="7362" customFormat="false" ht="17.15" hidden="false" customHeight="false" outlineLevel="0" collapsed="false">
      <c r="A7362" s="3" t="s">
        <v>1663</v>
      </c>
    </row>
    <row r="7363" customFormat="false" ht="15" hidden="false" customHeight="false" outlineLevel="0" collapsed="false">
      <c r="A7363" s="4" t="s">
        <v>43</v>
      </c>
      <c r="B7363" s="4" t="s">
        <v>65</v>
      </c>
      <c r="C7363" s="23" t="s">
        <v>938</v>
      </c>
      <c r="D7363" s="23" t="s">
        <v>939</v>
      </c>
      <c r="E7363" s="23" t="s">
        <v>940</v>
      </c>
      <c r="F7363" s="23" t="s">
        <v>941</v>
      </c>
      <c r="G7363" s="23" t="s">
        <v>942</v>
      </c>
      <c r="H7363" s="23" t="s">
        <v>943</v>
      </c>
      <c r="I7363" s="23" t="s">
        <v>944</v>
      </c>
      <c r="J7363" s="23" t="s">
        <v>945</v>
      </c>
      <c r="K7363" s="23" t="s">
        <v>946</v>
      </c>
      <c r="L7363" s="4" t="s">
        <v>47</v>
      </c>
    </row>
    <row r="7364" customFormat="false" ht="15" hidden="false" customHeight="false" outlineLevel="0" collapsed="false">
      <c r="A7364" s="1" t="s">
        <v>1076</v>
      </c>
      <c r="B7364" s="0" t="s">
        <v>98</v>
      </c>
      <c r="F7364" s="6" t="n">
        <f aca="false">Sens!F7345</f>
        <v>148.204848414468</v>
      </c>
      <c r="G7364" s="6" t="n">
        <f aca="false">Sens!G7345</f>
        <v>170.778991339255</v>
      </c>
      <c r="H7364" s="6" t="n">
        <f aca="false">Sens!H7345</f>
        <v>200.787617495848</v>
      </c>
      <c r="I7364" s="6" t="n">
        <f aca="false">Sens!I7345</f>
        <v>223.664490210168</v>
      </c>
      <c r="J7364" s="6" t="n">
        <f aca="false">Sens!J7345</f>
        <v>243.216575003502</v>
      </c>
      <c r="K7364" s="6" t="n">
        <f aca="false">Sens!K7345</f>
        <v>261.020095087234</v>
      </c>
    </row>
    <row r="7365" customFormat="false" ht="17.15" hidden="false" customHeight="false" outlineLevel="0" collapsed="false">
      <c r="A7365" s="1" t="s">
        <v>1098</v>
      </c>
      <c r="B7365" s="0" t="s">
        <v>98</v>
      </c>
      <c r="E7365" s="6" t="n">
        <f aca="false">Q!M38-Sens!E7283</f>
        <v>22.2285940229167</v>
      </c>
      <c r="F7365" s="6" t="n">
        <f aca="false">Sens!E7365*(1-1/life_nonai)+(Sens!F7373+Sens!F7374)/life_nonai</f>
        <v>23.5927712145069</v>
      </c>
      <c r="G7365" s="6" t="n">
        <f aca="false">Sens!F7365*(1-1/life_nonai)+(Sens!G7373)/life_nonai</f>
        <v>25.4529063662937</v>
      </c>
      <c r="H7365" s="6" t="n">
        <f aca="false">Sens!G7365*(1-1/life_nonai)+(Sens!H7373)/life_nonai</f>
        <v>27.7679244833938</v>
      </c>
      <c r="I7365" s="6" t="n">
        <f aca="false">Sens!H7365*(1-1/life_nonai)+(Sens!I7373)/life_nonai</f>
        <v>30.4463777356673</v>
      </c>
      <c r="J7365" s="6" t="n">
        <f aca="false">Sens!I7365*(1-1/life_nonai)+(Sens!J7373)/life_nonai</f>
        <v>33.3826415491121</v>
      </c>
      <c r="K7365" s="6" t="n">
        <f aca="false">Sens!J7365*(1-1/life_nonai)+(Sens!K7373)/life_nonai</f>
        <v>36.4913100180247</v>
      </c>
      <c r="L7365" s="12" t="s">
        <v>1099</v>
      </c>
    </row>
    <row r="7366" customFormat="false" ht="17.15" hidden="false" customHeight="false" outlineLevel="0" collapsed="false">
      <c r="A7366" s="1" t="s">
        <v>1100</v>
      </c>
      <c r="B7366" s="0" t="s">
        <v>98</v>
      </c>
      <c r="F7366" s="6" t="n">
        <f aca="false">Sens!$F$7374/life_nonai*(1-1/life_nonai)^(Sens!F7246-2027)</f>
        <v>0</v>
      </c>
      <c r="G7366" s="6" t="n">
        <f aca="false">Sens!$F$7374/life_nonai*(1-1/life_nonai)^(Sens!G7246-2027)</f>
        <v>0</v>
      </c>
      <c r="H7366" s="6" t="n">
        <f aca="false">Sens!$F$7374/life_nonai*(1-1/life_nonai)^(Sens!H7246-2027)</f>
        <v>0</v>
      </c>
      <c r="I7366" s="6" t="n">
        <f aca="false">Sens!$F$7374/life_nonai*(1-1/life_nonai)^(Sens!I7246-2027)</f>
        <v>0</v>
      </c>
      <c r="J7366" s="6" t="n">
        <f aca="false">Sens!$F$7374/life_nonai*(1-1/life_nonai)^(Sens!J7246-2027)</f>
        <v>0</v>
      </c>
      <c r="K7366" s="6" t="n">
        <f aca="false">Sens!$F$7374/life_nonai*(1-1/life_nonai)^(Sens!K7246-2027)</f>
        <v>0</v>
      </c>
      <c r="L7366" s="1" t="s">
        <v>1101</v>
      </c>
    </row>
    <row r="7367" customFormat="false" ht="17.15" hidden="false" customHeight="false" outlineLevel="0" collapsed="false">
      <c r="A7367" s="1" t="s">
        <v>1102</v>
      </c>
      <c r="B7367" s="0" t="s">
        <v>98</v>
      </c>
      <c r="E7367" s="6" t="n">
        <f aca="false">Sens!E7283+Sens!E7365</f>
        <v>38.534</v>
      </c>
      <c r="F7367" s="6" t="n">
        <f aca="false">Sens!F7283+Sens!F7365</f>
        <v>58.1720856928585</v>
      </c>
      <c r="G7367" s="6" t="n">
        <f aca="false">Sens!G7283+Sens!G7365</f>
        <v>86.1873970185926</v>
      </c>
      <c r="H7367" s="6" t="n">
        <f aca="false">Sens!H7283+Sens!H7365</f>
        <v>116.868015144839</v>
      </c>
      <c r="I7367" s="6" t="n">
        <f aca="false">Sens!I7283+Sens!I7365</f>
        <v>144.677387430216</v>
      </c>
      <c r="J7367" s="6" t="n">
        <f aca="false">Sens!J7283+Sens!J7365</f>
        <v>165.398314598708</v>
      </c>
      <c r="K7367" s="6" t="n">
        <f aca="false">Sens!K7283+Sens!K7365</f>
        <v>179.503979568959</v>
      </c>
    </row>
    <row r="7368" customFormat="false" ht="17.15" hidden="false" customHeight="false" outlineLevel="0" collapsed="false">
      <c r="A7368" s="1" t="s">
        <v>1103</v>
      </c>
      <c r="B7368" s="0" t="s">
        <v>98</v>
      </c>
      <c r="F7368" s="6" t="n">
        <f aca="false">Sens!F7310*sbc_r</f>
        <v>15.1323103143555</v>
      </c>
      <c r="G7368" s="6" t="n">
        <f aca="false">Sens!G7310*sbc_r</f>
        <v>18.6143514661774</v>
      </c>
      <c r="H7368" s="6" t="n">
        <f aca="false">Sens!H7310*sbc_r</f>
        <v>22.3507494444124</v>
      </c>
      <c r="I7368" s="6" t="n">
        <f aca="false">Sens!I7310*sbc_r</f>
        <v>25.5145360569178</v>
      </c>
      <c r="J7368" s="6" t="n">
        <f aca="false">Sens!J7310*sbc_r</f>
        <v>28.0428242839298</v>
      </c>
      <c r="K7368" s="6" t="n">
        <f aca="false">Sens!K7310*sbc_r</f>
        <v>30.0709906461489</v>
      </c>
    </row>
    <row r="7369" customFormat="false" ht="17.15" hidden="false" customHeight="false" outlineLevel="0" collapsed="false">
      <c r="A7369" s="1" t="s">
        <v>1104</v>
      </c>
      <c r="B7369" s="0" t="s">
        <v>98</v>
      </c>
      <c r="F7369" s="6" t="n">
        <f aca="false">wc27-wc26q1</f>
        <v>-4.677</v>
      </c>
      <c r="G7369" s="6" t="n">
        <f aca="false">wc_f</f>
        <v>0</v>
      </c>
      <c r="H7369" s="6" t="n">
        <f aca="false">wc_f</f>
        <v>0</v>
      </c>
      <c r="I7369" s="6" t="n">
        <f aca="false">wc_f</f>
        <v>0</v>
      </c>
      <c r="J7369" s="6" t="n">
        <f aca="false">wc_f</f>
        <v>0</v>
      </c>
      <c r="K7369" s="6" t="n">
        <f aca="false">wc_f</f>
        <v>0</v>
      </c>
      <c r="L7369" s="12" t="s">
        <v>1105</v>
      </c>
    </row>
    <row r="7370" customFormat="false" ht="17.15" hidden="false" customHeight="false" outlineLevel="0" collapsed="false">
      <c r="A7370" s="0" t="s">
        <v>1106</v>
      </c>
      <c r="B7370" s="0" t="s">
        <v>98</v>
      </c>
      <c r="F7370" s="6" t="n">
        <f aca="false">Q!$I$35-Q!$I$26-Q!$I$38-Q!$I$39</f>
        <v>6.493</v>
      </c>
      <c r="L7370" s="1" t="s">
        <v>1107</v>
      </c>
    </row>
    <row r="7371" customFormat="false" ht="15" hidden="false" customHeight="false" outlineLevel="0" collapsed="false">
      <c r="A7371" s="1" t="s">
        <v>904</v>
      </c>
      <c r="B7371" s="0" t="s">
        <v>98</v>
      </c>
      <c r="E7371" s="6" t="n">
        <f aca="false">Q!M35</f>
        <v>182.935</v>
      </c>
      <c r="F7371" s="6" t="n">
        <f aca="false">Sens!F7364+Sens!F7367+Sens!F7368+Sens!F7369+Sens!F7370</f>
        <v>223.325244421682</v>
      </c>
      <c r="G7371" s="6" t="n">
        <f aca="false">Sens!G7364+Sens!G7367+Sens!G7368+Sens!G7369</f>
        <v>275.580739824025</v>
      </c>
      <c r="H7371" s="6" t="n">
        <f aca="false">Sens!H7364+Sens!H7367+Sens!H7368+Sens!H7369</f>
        <v>340.0063820851</v>
      </c>
      <c r="I7371" s="6" t="n">
        <f aca="false">Sens!I7364+Sens!I7367+Sens!I7368+Sens!I7369</f>
        <v>393.856413697301</v>
      </c>
      <c r="J7371" s="6" t="n">
        <f aca="false">Sens!J7364+Sens!J7367+Sens!J7368+Sens!J7369</f>
        <v>436.65771388614</v>
      </c>
      <c r="K7371" s="6" t="n">
        <f aca="false">Sens!K7364+Sens!K7367+Sens!K7368+Sens!K7369</f>
        <v>470.595065302341</v>
      </c>
    </row>
    <row r="7372" customFormat="false" ht="17.15" hidden="false" customHeight="false" outlineLevel="0" collapsed="false">
      <c r="A7372" s="0" t="s">
        <v>1108</v>
      </c>
      <c r="B7372" s="0" t="s">
        <v>98</v>
      </c>
      <c r="F7372" s="6" t="n">
        <f aca="false">Sens!F7280</f>
        <v>168.45390404212</v>
      </c>
      <c r="G7372" s="6" t="n">
        <f aca="false">Sens!G7280</f>
        <v>191.944475649048</v>
      </c>
      <c r="H7372" s="6" t="n">
        <f aca="false">Sens!H7280</f>
        <v>196.806004064512</v>
      </c>
      <c r="I7372" s="6" t="n">
        <f aca="false">Sens!I7280</f>
        <v>168.61483362161</v>
      </c>
      <c r="J7372" s="6" t="n">
        <f aca="false">Sens!J7280</f>
        <v>128.92993119594</v>
      </c>
      <c r="K7372" s="6" t="n">
        <f aca="false">Sens!K7280</f>
        <v>118.962853064733</v>
      </c>
    </row>
    <row r="7373" customFormat="false" ht="17.15" hidden="false" customHeight="false" outlineLevel="0" collapsed="false">
      <c r="A7373" s="1" t="s">
        <v>1109</v>
      </c>
      <c r="B7373" s="0" t="s">
        <v>98</v>
      </c>
      <c r="E7373" s="6" t="n">
        <f aca="false">Sens!E7288*cx_azo+Sens!E7295*cx_m365+Sens!E7296*cx_lic+(Sens!E7298+Sens!E7300)*cx_ind+Sens!E7303*cx_srch+(Sens!E7305+Sens!E7307)*cx_dev</f>
        <v>30.1846587067718</v>
      </c>
      <c r="F7373" s="6" t="n">
        <f aca="false">Sens!F7288*cx_azo+Sens!F7295*cx_m365+Sens!F7296*cx_lic+(Sens!F7298+Sens!F7300)*cx_ind+Sens!F7303*cx_srch+(Sens!F7305+Sens!F7307)*cx_dev</f>
        <v>35.8703659388185</v>
      </c>
      <c r="G7373" s="6" t="n">
        <f aca="false">Sens!G7288*cx_azo+Sens!G7295*cx_m365+Sens!G7296*cx_lic+(Sens!G7298+Sens!G7300)*cx_ind+Sens!G7303*cx_srch+(Sens!G7305+Sens!G7307)*cx_dev</f>
        <v>42.1941227323749</v>
      </c>
      <c r="H7373" s="6" t="n">
        <f aca="false">Sens!H7288*cx_azo+Sens!H7295*cx_m365+Sens!H7296*cx_lic+(Sens!H7298+Sens!H7300)*cx_ind+Sens!H7303*cx_srch+(Sens!H7305+Sens!H7307)*cx_dev</f>
        <v>48.6030875372947</v>
      </c>
      <c r="I7373" s="6" t="n">
        <f aca="false">Sens!I7288*cx_azo+Sens!I7295*cx_m365+Sens!I7296*cx_lic+(Sens!I7298+Sens!I7300)*cx_ind+Sens!I7303*cx_srch+(Sens!I7305+Sens!I7307)*cx_dev</f>
        <v>54.5524570061296</v>
      </c>
      <c r="J7373" s="6" t="n">
        <f aca="false">Sens!J7288*cx_azo+Sens!J7295*cx_m365+Sens!J7296*cx_lic+(Sens!J7298+Sens!J7300)*cx_ind+Sens!J7303*cx_srch+(Sens!J7305+Sens!J7307)*cx_dev</f>
        <v>59.8090158701145</v>
      </c>
      <c r="K7373" s="6" t="n">
        <f aca="false">Sens!K7288*cx_azo+Sens!K7295*cx_m365+Sens!K7296*cx_lic+(Sens!K7298+Sens!K7300)*cx_ind+Sens!K7303*cx_srch+(Sens!K7305+Sens!K7307)*cx_dev</f>
        <v>64.4693262382388</v>
      </c>
    </row>
    <row r="7374" customFormat="false" ht="17.15" hidden="false" customHeight="false" outlineLevel="0" collapsed="false">
      <c r="A7374" s="0" t="s">
        <v>1110</v>
      </c>
      <c r="B7374" s="0" t="s">
        <v>98</v>
      </c>
      <c r="F7374" s="6" t="n">
        <f aca="false">Sens!F7278</f>
        <v>0</v>
      </c>
      <c r="L7374" s="1" t="s">
        <v>1111</v>
      </c>
    </row>
    <row r="7375" customFormat="false" ht="17.15" hidden="false" customHeight="false" outlineLevel="0" collapsed="false">
      <c r="A7375" s="1" t="s">
        <v>1112</v>
      </c>
      <c r="B7375" s="0" t="s">
        <v>98</v>
      </c>
      <c r="E7375" s="6" t="n">
        <f aca="false">Q!M43</f>
        <v>145.3</v>
      </c>
      <c r="F7375" s="6" t="n">
        <f aca="false">Sens!F7372+Sens!F7373+Sens!F7374</f>
        <v>204.324269980938</v>
      </c>
      <c r="G7375" s="6" t="n">
        <f aca="false">Sens!G7372+Sens!G7373</f>
        <v>234.138598381423</v>
      </c>
      <c r="H7375" s="6" t="n">
        <f aca="false">Sens!H7372+Sens!H7373</f>
        <v>245.409091601807</v>
      </c>
      <c r="I7375" s="6" t="n">
        <f aca="false">Sens!I7372+Sens!I7373</f>
        <v>223.16729062774</v>
      </c>
      <c r="J7375" s="6" t="n">
        <f aca="false">Sens!J7372+Sens!J7373</f>
        <v>188.738947066055</v>
      </c>
      <c r="K7375" s="6" t="n">
        <f aca="false">Sens!K7372+Sens!K7373</f>
        <v>183.432179302971</v>
      </c>
      <c r="L7375" s="1" t="s">
        <v>1113</v>
      </c>
    </row>
    <row r="7376" customFormat="false" ht="15" hidden="false" customHeight="false" outlineLevel="0" collapsed="false">
      <c r="A7376" s="1" t="s">
        <v>1114</v>
      </c>
      <c r="B7376" s="0" t="s">
        <v>98</v>
      </c>
      <c r="E7376" s="6" t="n">
        <f aca="false">fl_liab</f>
        <v>66.594</v>
      </c>
      <c r="F7376" s="6" t="n">
        <f aca="false">Sens!E7376-Sens!F7377</f>
        <v>62.46973</v>
      </c>
      <c r="G7376" s="6" t="n">
        <f aca="false">Sens!F7376-Sens!G7377</f>
        <v>57.98686785</v>
      </c>
      <c r="H7376" s="6" t="n">
        <f aca="false">Sens!G7376-Sens!H7377</f>
        <v>53.92827690325</v>
      </c>
      <c r="I7376" s="6" t="n">
        <f aca="false">Sens!H7376-Sens!I7377</f>
        <v>49.7850493638962</v>
      </c>
      <c r="J7376" s="6" t="n">
        <f aca="false">Sens!I7376-Sens!J7377</f>
        <v>45.4823765852716</v>
      </c>
      <c r="K7376" s="6" t="n">
        <f aca="false">Sens!J7376-Sens!K7377</f>
        <v>40.9860835316088</v>
      </c>
    </row>
    <row r="7377" customFormat="false" ht="15" hidden="false" customHeight="false" outlineLevel="0" collapsed="false">
      <c r="A7377" s="1" t="s">
        <v>1115</v>
      </c>
      <c r="B7377" s="0" t="s">
        <v>98</v>
      </c>
      <c r="F7377" s="6" t="n">
        <f aca="false">fl_pay_27-Sens!E7376*fl_rate</f>
        <v>4.12427</v>
      </c>
      <c r="G7377" s="6" t="n">
        <f aca="false">fl_pay_28-Sens!F7376*fl_rate</f>
        <v>4.48286215</v>
      </c>
      <c r="H7377" s="6" t="n">
        <f aca="false">fl_pay_29-Sens!G7376*fl_rate</f>
        <v>4.05859094675</v>
      </c>
      <c r="I7377" s="6" t="n">
        <f aca="false">fl_pay_30-Sens!H7376*fl_rate</f>
        <v>4.14322753935375</v>
      </c>
      <c r="J7377" s="6" t="n">
        <f aca="false">fl_pay_31-Sens!I7376*fl_rate</f>
        <v>4.30267277862467</v>
      </c>
      <c r="K7377" s="6" t="n">
        <f aca="false">fl_pay_32-Sens!J7376*fl_rate</f>
        <v>4.49629305366278</v>
      </c>
    </row>
    <row r="7378" customFormat="false" ht="17.15" hidden="false" customHeight="false" outlineLevel="0" collapsed="false">
      <c r="A7378" s="1" t="s">
        <v>1116</v>
      </c>
      <c r="B7378" s="0" t="s">
        <v>98</v>
      </c>
      <c r="E7378" s="6" t="n">
        <f aca="false">Q!M35-Q!M36-Q!M44</f>
        <v>63.886</v>
      </c>
      <c r="F7378" s="6" t="n">
        <f aca="false">Sens!F7371-Sens!F7375-Sens!F7377</f>
        <v>14.8767044407434</v>
      </c>
      <c r="G7378" s="6" t="n">
        <f aca="false">Sens!G7371-Sens!G7375-Sens!G7377</f>
        <v>36.959279292602</v>
      </c>
      <c r="H7378" s="6" t="n">
        <f aca="false">Sens!H7371-Sens!H7375-Sens!H7377</f>
        <v>90.5386995365428</v>
      </c>
      <c r="I7378" s="6" t="n">
        <f aca="false">Sens!I7371-Sens!I7375-Sens!I7377</f>
        <v>166.545895530208</v>
      </c>
      <c r="J7378" s="6" t="n">
        <f aca="false">Sens!J7371-Sens!J7375-Sens!J7377</f>
        <v>243.61609404146</v>
      </c>
      <c r="K7378" s="6" t="n">
        <f aca="false">Sens!K7371-Sens!K7375-Sens!K7377</f>
        <v>282.666592945707</v>
      </c>
      <c r="L7378" s="12" t="s">
        <v>1117</v>
      </c>
    </row>
    <row r="7379" customFormat="false" ht="15" hidden="false" customHeight="false" outlineLevel="0" collapsed="false">
      <c r="A7379" s="1" t="s">
        <v>1118</v>
      </c>
      <c r="B7379" s="0" t="s">
        <v>75</v>
      </c>
      <c r="F7379" s="8" t="n">
        <f aca="false">dps_27</f>
        <v>3.85</v>
      </c>
      <c r="G7379" s="8" t="n">
        <f aca="false">Sens!F7379*(1+dps_g)</f>
        <v>4.158</v>
      </c>
      <c r="H7379" s="8" t="n">
        <f aca="false">Sens!G7379*(1+dps_g)</f>
        <v>4.49064</v>
      </c>
      <c r="I7379" s="8" t="n">
        <f aca="false">Sens!H7379*(1+dps_g)</f>
        <v>4.8498912</v>
      </c>
      <c r="J7379" s="8" t="n">
        <f aca="false">Sens!I7379*(1+dps_g)</f>
        <v>5.237882496</v>
      </c>
      <c r="K7379" s="8" t="n">
        <f aca="false">Sens!J7379*(1+dps_g)</f>
        <v>5.65691309568</v>
      </c>
    </row>
    <row r="7380" customFormat="false" ht="17.15" hidden="false" customHeight="false" outlineLevel="0" collapsed="false">
      <c r="A7380" s="1" t="s">
        <v>1119</v>
      </c>
      <c r="B7380" s="0" t="s">
        <v>98</v>
      </c>
      <c r="E7380" s="6" t="n">
        <f aca="false">Q!M41</f>
        <v>26.445</v>
      </c>
      <c r="F7380" s="6" t="n">
        <f aca="false">Sens!F7379*Sens!E7389</f>
        <v>28.59395</v>
      </c>
      <c r="G7380" s="6" t="n">
        <f aca="false">Sens!G7379*Sens!F7389</f>
        <v>31.0393730879327</v>
      </c>
      <c r="H7380" s="6" t="n">
        <f aca="false">Sens!H7379*Sens!G7389</f>
        <v>33.6799966127944</v>
      </c>
      <c r="I7380" s="6" t="n">
        <f aca="false">Sens!I7379*Sens!H7389</f>
        <v>36.4248346188906</v>
      </c>
      <c r="J7380" s="6" t="n">
        <f aca="false">Sens!J7379*Sens!I7389</f>
        <v>39.4067192737945</v>
      </c>
      <c r="K7380" s="6" t="n">
        <f aca="false">Sens!K7379*Sens!J7389</f>
        <v>42.6460110780763</v>
      </c>
      <c r="L7380" s="1" t="s">
        <v>1120</v>
      </c>
    </row>
    <row r="7381" customFormat="false" ht="15" hidden="false" customHeight="false" outlineLevel="0" collapsed="false">
      <c r="A7381" s="1" t="s">
        <v>1121</v>
      </c>
      <c r="B7381" s="0" t="s">
        <v>98</v>
      </c>
      <c r="E7381" s="6" t="n">
        <f aca="false">Sens!E7378-Sens!E7380</f>
        <v>37.441</v>
      </c>
      <c r="F7381" s="6" t="n">
        <f aca="false">Sens!F7378-Sens!F7380</f>
        <v>-13.7172455592566</v>
      </c>
      <c r="G7381" s="6" t="n">
        <f aca="false">Sens!G7378-Sens!G7380</f>
        <v>5.91990620466933</v>
      </c>
      <c r="H7381" s="6" t="n">
        <f aca="false">Sens!H7378-Sens!H7380</f>
        <v>56.8587029237484</v>
      </c>
      <c r="I7381" s="6" t="n">
        <f aca="false">Sens!I7378-Sens!I7380</f>
        <v>130.121060911317</v>
      </c>
      <c r="J7381" s="6" t="n">
        <f aca="false">Sens!J7378-Sens!J7380</f>
        <v>204.209374767666</v>
      </c>
      <c r="K7381" s="6" t="n">
        <f aca="false">Sens!K7378-Sens!K7380</f>
        <v>240.020581867631</v>
      </c>
    </row>
    <row r="7382" customFormat="false" ht="15" hidden="false" customHeight="false" outlineLevel="0" collapsed="false">
      <c r="A7382" s="1" t="s">
        <v>1122</v>
      </c>
      <c r="B7382" s="0" t="s">
        <v>98</v>
      </c>
      <c r="F7382" s="6" t="n">
        <f aca="false">debt_mat_27</f>
        <v>9.25</v>
      </c>
      <c r="G7382" s="6" t="n">
        <f aca="false">debt_mat_28</f>
        <v>0</v>
      </c>
      <c r="H7382" s="6" t="n">
        <f aca="false">debt_mat_29</f>
        <v>2.001</v>
      </c>
      <c r="I7382" s="6" t="n">
        <f aca="false">debt_mat_30</f>
        <v>0</v>
      </c>
      <c r="J7382" s="6" t="n">
        <f aca="false">debt_mat_31</f>
        <v>0.5</v>
      </c>
      <c r="K7382" s="6" t="n">
        <f aca="false">debt_mat_32</f>
        <v>0</v>
      </c>
    </row>
    <row r="7383" customFormat="false" ht="15" hidden="false" customHeight="false" outlineLevel="0" collapsed="false">
      <c r="A7383" s="1" t="s">
        <v>1123</v>
      </c>
      <c r="B7383" s="0" t="s">
        <v>98</v>
      </c>
      <c r="E7383" s="6" t="n">
        <f aca="false">Q!M40</f>
        <v>22.271</v>
      </c>
      <c r="F7383" s="6" t="n">
        <f aca="false">MAX(0,MIN(bb_target,Sens!E7385+Sens!F7381-Sens!F7382-min_cash))</f>
        <v>3.87575444074342</v>
      </c>
      <c r="G7383" s="6" t="n">
        <f aca="false">MAX(0,MIN(bb_target,Sens!F7385+Sens!G7381-Sens!G7382-min_cash))</f>
        <v>5.91990620466933</v>
      </c>
      <c r="H7383" s="6" t="n">
        <f aca="false">MAX(0,MIN(bb_target,Sens!G7385+Sens!H7381-Sens!H7382-min_cash))</f>
        <v>22.271</v>
      </c>
      <c r="I7383" s="6" t="n">
        <f aca="false">MAX(0,MIN(bb_target,Sens!H7385+Sens!I7381-Sens!I7382-min_cash))</f>
        <v>22.271</v>
      </c>
      <c r="J7383" s="6" t="n">
        <f aca="false">MAX(0,MIN(bb_target,Sens!I7385+Sens!J7381-Sens!J7382-min_cash))</f>
        <v>22.271</v>
      </c>
      <c r="K7383" s="6" t="n">
        <f aca="false">MAX(0,MIN(bb_target,Sens!J7385+Sens!K7381-Sens!K7382-min_cash))</f>
        <v>22.271</v>
      </c>
    </row>
    <row r="7384" customFormat="false" ht="15" hidden="false" customHeight="false" outlineLevel="0" collapsed="false">
      <c r="A7384" s="1" t="s">
        <v>1124</v>
      </c>
      <c r="B7384" s="0" t="s">
        <v>98</v>
      </c>
      <c r="F7384" s="6" t="n">
        <f aca="false">MAX(0,min_cash-(Sens!E7385+Sens!F7381-Sens!F7382-Sens!F7383))</f>
        <v>0</v>
      </c>
      <c r="G7384" s="6" t="n">
        <f aca="false">MAX(0,min_cash-(Sens!F7385+Sens!G7381-Sens!G7382-Sens!G7383))</f>
        <v>0</v>
      </c>
      <c r="H7384" s="6" t="n">
        <f aca="false">MAX(0,min_cash-(Sens!G7385+Sens!H7381-Sens!H7382-Sens!H7383))</f>
        <v>0</v>
      </c>
      <c r="I7384" s="6" t="n">
        <f aca="false">MAX(0,min_cash-(Sens!H7385+Sens!I7381-Sens!I7382-Sens!I7383))</f>
        <v>0</v>
      </c>
      <c r="J7384" s="6" t="n">
        <f aca="false">MAX(0,min_cash-(Sens!I7385+Sens!J7381-Sens!J7382-Sens!J7383))</f>
        <v>0</v>
      </c>
      <c r="K7384" s="6" t="n">
        <f aca="false">MAX(0,min_cash-(Sens!J7385+Sens!K7381-Sens!K7382-Sens!K7383))</f>
        <v>0</v>
      </c>
    </row>
    <row r="7385" customFormat="false" ht="15" hidden="false" customHeight="false" outlineLevel="0" collapsed="false">
      <c r="A7385" s="1" t="s">
        <v>1125</v>
      </c>
      <c r="B7385" s="0" t="s">
        <v>98</v>
      </c>
      <c r="E7385" s="6" t="n">
        <f aca="false">cash_open</f>
        <v>76.843</v>
      </c>
      <c r="F7385" s="6" t="n">
        <f aca="false">Sens!E7385+Sens!F7381-Sens!F7382-Sens!F7383+Sens!F7384</f>
        <v>50</v>
      </c>
      <c r="G7385" s="6" t="n">
        <f aca="false">Sens!F7385+Sens!G7381-Sens!G7382-Sens!G7383+Sens!G7384</f>
        <v>50</v>
      </c>
      <c r="H7385" s="6" t="n">
        <f aca="false">Sens!G7385+Sens!H7381-Sens!H7382-Sens!H7383+Sens!H7384</f>
        <v>82.5867029237484</v>
      </c>
      <c r="I7385" s="6" t="n">
        <f aca="false">Sens!H7385+Sens!I7381-Sens!I7382-Sens!I7383+Sens!I7384</f>
        <v>190.436763835066</v>
      </c>
      <c r="J7385" s="6" t="n">
        <f aca="false">Sens!I7385+Sens!J7381-Sens!J7382-Sens!J7383+Sens!J7384</f>
        <v>371.875138602732</v>
      </c>
      <c r="K7385" s="6" t="n">
        <f aca="false">Sens!J7385+Sens!K7381-Sens!K7382-Sens!K7383+Sens!K7384</f>
        <v>589.624720470362</v>
      </c>
    </row>
    <row r="7386" customFormat="false" ht="15" hidden="false" customHeight="false" outlineLevel="0" collapsed="false">
      <c r="A7386" s="1" t="s">
        <v>1126</v>
      </c>
      <c r="B7386" s="0" t="s">
        <v>98</v>
      </c>
      <c r="E7386" s="6" t="n">
        <f aca="false">debt_face</f>
        <v>46.136</v>
      </c>
      <c r="F7386" s="6" t="n">
        <f aca="false">Sens!E7386-Sens!F7382+Sens!F7384</f>
        <v>36.886</v>
      </c>
      <c r="G7386" s="6" t="n">
        <f aca="false">Sens!F7386-Sens!G7382+Sens!G7384</f>
        <v>36.886</v>
      </c>
      <c r="H7386" s="6" t="n">
        <f aca="false">Sens!G7386-Sens!H7382+Sens!H7384</f>
        <v>34.885</v>
      </c>
      <c r="I7386" s="6" t="n">
        <f aca="false">Sens!H7386-Sens!I7382+Sens!I7384</f>
        <v>34.885</v>
      </c>
      <c r="J7386" s="6" t="n">
        <f aca="false">Sens!I7386-Sens!J7382+Sens!J7384</f>
        <v>34.385</v>
      </c>
      <c r="K7386" s="6" t="n">
        <f aca="false">Sens!J7386-Sens!K7382+Sens!K7384</f>
        <v>34.385</v>
      </c>
    </row>
    <row r="7387" customFormat="false" ht="15" hidden="false" customHeight="false" outlineLevel="0" collapsed="false">
      <c r="A7387" s="1" t="s">
        <v>1127</v>
      </c>
      <c r="B7387" s="0" t="s">
        <v>98</v>
      </c>
      <c r="E7387" s="6" t="n">
        <f aca="false">Sens!E7385-Sens!E7386</f>
        <v>30.707</v>
      </c>
      <c r="F7387" s="6" t="n">
        <f aca="false">Sens!F7385-Sens!F7386</f>
        <v>13.114</v>
      </c>
      <c r="G7387" s="6" t="n">
        <f aca="false">Sens!G7385-Sens!G7386</f>
        <v>13.114</v>
      </c>
      <c r="H7387" s="6" t="n">
        <f aca="false">Sens!H7385-Sens!H7386</f>
        <v>47.7017029237484</v>
      </c>
      <c r="I7387" s="6" t="n">
        <f aca="false">Sens!I7385-Sens!I7386</f>
        <v>155.551763835066</v>
      </c>
      <c r="J7387" s="6" t="n">
        <f aca="false">Sens!J7385-Sens!J7386</f>
        <v>337.490138602732</v>
      </c>
      <c r="K7387" s="6" t="n">
        <f aca="false">Sens!K7385-Sens!K7386</f>
        <v>555.239720470362</v>
      </c>
    </row>
    <row r="7388" customFormat="false" ht="15" hidden="false" customHeight="false" outlineLevel="0" collapsed="false">
      <c r="A7388" s="1" t="s">
        <v>1128</v>
      </c>
      <c r="B7388" s="0" t="s">
        <v>75</v>
      </c>
      <c r="F7388" s="30" t="n">
        <f aca="false">px*(1+bb_g)^(Sens!F7246-base_fy-mid_yr)</f>
        <v>551.84177959629</v>
      </c>
      <c r="G7388" s="30" t="n">
        <f aca="false">px*(1+bb_g)^(Sens!G7246-base_fy-mid_yr)</f>
        <v>595.989121963993</v>
      </c>
      <c r="H7388" s="30" t="n">
        <f aca="false">px*(1+bb_g)^(Sens!H7246-base_fy-mid_yr)</f>
        <v>643.668251721112</v>
      </c>
      <c r="I7388" s="30" t="n">
        <f aca="false">px*(1+bb_g)^(Sens!I7246-base_fy-mid_yr)</f>
        <v>695.161711858801</v>
      </c>
      <c r="J7388" s="30" t="n">
        <f aca="false">px*(1+bb_g)^(Sens!J7246-base_fy-mid_yr)</f>
        <v>750.774648807506</v>
      </c>
      <c r="K7388" s="30" t="n">
        <f aca="false">px*(1+bb_g)^(Sens!K7246-base_fy-mid_yr)</f>
        <v>810.836620712106</v>
      </c>
    </row>
    <row r="7389" customFormat="false" ht="15" hidden="false" customHeight="false" outlineLevel="0" collapsed="false">
      <c r="A7389" s="1" t="s">
        <v>1129</v>
      </c>
      <c r="B7389" s="1" t="s">
        <v>81</v>
      </c>
      <c r="E7389" s="15" t="n">
        <f aca="false">sh_out26</f>
        <v>7.427</v>
      </c>
      <c r="F7389" s="15" t="n">
        <f aca="false">Sens!E7389+sh_iss-Sens!F7383/Sens!F7388</f>
        <v>7.46497669262451</v>
      </c>
      <c r="G7389" s="15" t="n">
        <f aca="false">Sens!F7389+sh_iss-Sens!G7383/Sens!G7388</f>
        <v>7.50004378280031</v>
      </c>
      <c r="H7389" s="15" t="n">
        <f aca="false">Sens!G7389+sh_iss-Sens!H7383/Sens!H7388</f>
        <v>7.51044366085792</v>
      </c>
      <c r="I7389" s="15" t="n">
        <f aca="false">Sens!H7389+sh_iss-Sens!I7383/Sens!I7388</f>
        <v>7.52340651091125</v>
      </c>
      <c r="J7389" s="15" t="n">
        <f aca="false">Sens!I7389+sh_iss-Sens!J7383/Sens!J7388</f>
        <v>7.53874248318286</v>
      </c>
      <c r="K7389" s="15" t="n">
        <f aca="false">Sens!J7389+sh_iss-Sens!K7383/Sens!K7388</f>
        <v>7.55627579084176</v>
      </c>
    </row>
    <row r="7390" customFormat="false" ht="15" hidden="false" customHeight="false" outlineLevel="0" collapsed="false">
      <c r="A7390" s="1" t="s">
        <v>1130</v>
      </c>
      <c r="B7390" s="1" t="s">
        <v>81</v>
      </c>
      <c r="E7390" s="15" t="n">
        <f aca="false">sh_dil26</f>
        <v>7.453</v>
      </c>
      <c r="F7390" s="15" t="n">
        <f aca="false">(Sens!E7389+Sens!F7389)/2+dil_gap</f>
        <v>7.46998834631225</v>
      </c>
      <c r="G7390" s="15" t="n">
        <f aca="false">(Sens!F7389+Sens!G7389)/2+dil_gap</f>
        <v>7.50651023771241</v>
      </c>
      <c r="H7390" s="15" t="n">
        <f aca="false">(Sens!G7389+Sens!H7389)/2+dil_gap</f>
        <v>7.52924372182911</v>
      </c>
      <c r="I7390" s="15" t="n">
        <f aca="false">(Sens!H7389+Sens!I7389)/2+dil_gap</f>
        <v>7.54092508588458</v>
      </c>
      <c r="J7390" s="15" t="n">
        <f aca="false">(Sens!I7389+Sens!J7389)/2+dil_gap</f>
        <v>7.55507449704706</v>
      </c>
      <c r="K7390" s="15" t="n">
        <f aca="false">(Sens!J7389+Sens!K7389)/2+dil_gap</f>
        <v>7.57150913701231</v>
      </c>
    </row>
    <row r="7391" customFormat="false" ht="17.15" hidden="false" customHeight="false" outlineLevel="0" collapsed="false">
      <c r="A7391" s="1" t="s">
        <v>1131</v>
      </c>
      <c r="B7391" s="0" t="s">
        <v>98</v>
      </c>
      <c r="C7391" s="6" t="n">
        <f aca="false">SUM(Sens!F7381:J7381)</f>
        <v>383.391799248144</v>
      </c>
    </row>
    <row r="7392" customFormat="false" ht="15" hidden="false" customHeight="false" outlineLevel="0" collapsed="false">
      <c r="A7392" s="26" t="s">
        <v>1096</v>
      </c>
      <c r="B7392" s="31" t="s">
        <v>98</v>
      </c>
      <c r="C7392" s="27" t="n">
        <f aca="false">Sens!$C$7391-(Sens!F7381+Sens!G7381+Sens!H7381+Sens!I7381+Sens!J7381)</f>
        <v>0</v>
      </c>
      <c r="D7392" s="31"/>
      <c r="E7392" s="31"/>
      <c r="F7392" s="31"/>
      <c r="G7392" s="31"/>
      <c r="H7392" s="31"/>
      <c r="I7392" s="31"/>
      <c r="J7392" s="31"/>
      <c r="K7392" s="31"/>
    </row>
    <row r="7393" customFormat="false" ht="17.15" hidden="false" customHeight="false" outlineLevel="0" collapsed="false">
      <c r="A7393" s="1" t="s">
        <v>1090</v>
      </c>
      <c r="B7393" s="1" t="s">
        <v>1132</v>
      </c>
      <c r="C7393" s="33" t="str">
        <f aca="false">IF(SUM(Sens!F7384:J7384)&gt;0.05,"需要舉債 "&amp;TEXT(SUM(Sens!F7384:J7384),"0.0")&amp;" 十億美元","不需舉債")&amp;"；"&amp;IF(SUM(Sens!F7383:J7383)&lt;COUNT(Sens!F7383:J7383)*bb_target-0.05,"回購較每年 "&amp;TEXT(bb_target,"0.0")&amp;" 的目標少 "&amp;TEXT(COUNT(Sens!F7383:J7383)*bb_target-SUM(Sens!F7383:J7383),"0.0")&amp;" 十億美元（"&amp;TEXT(COUNTIF(Sens!F7383:J7383,"&lt;"&amp;(bb_target-0.05)),"0")&amp;" 年減少）","回購不減")</f>
        <v>不需舉債；回購較每年 22.3 的目標少 34.7 十億美元（2 年減少）</v>
      </c>
    </row>
    <row r="7394" customFormat="false" ht="17.15" hidden="false" customHeight="false" outlineLevel="0" collapsed="false">
      <c r="A7394" s="3" t="s">
        <v>1664</v>
      </c>
    </row>
    <row r="7395" customFormat="false" ht="15" hidden="false" customHeight="false" outlineLevel="0" collapsed="false">
      <c r="A7395" s="4" t="s">
        <v>43</v>
      </c>
      <c r="B7395" s="4" t="s">
        <v>65</v>
      </c>
      <c r="C7395" s="23" t="s">
        <v>938</v>
      </c>
      <c r="D7395" s="23" t="s">
        <v>939</v>
      </c>
      <c r="E7395" s="23" t="s">
        <v>940</v>
      </c>
      <c r="F7395" s="23" t="s">
        <v>941</v>
      </c>
      <c r="G7395" s="23" t="s">
        <v>942</v>
      </c>
      <c r="H7395" s="23" t="s">
        <v>943</v>
      </c>
      <c r="I7395" s="23" t="s">
        <v>944</v>
      </c>
      <c r="J7395" s="23" t="s">
        <v>945</v>
      </c>
      <c r="K7395" s="23" t="s">
        <v>946</v>
      </c>
      <c r="L7395" s="4" t="s">
        <v>47</v>
      </c>
    </row>
    <row r="7396" customFormat="false" ht="17.15" hidden="false" customHeight="false" outlineLevel="0" collapsed="false">
      <c r="A7396" s="1" t="s">
        <v>1212</v>
      </c>
      <c r="B7396" s="1" t="s">
        <v>279</v>
      </c>
      <c r="F7396" s="8" t="n">
        <f aca="false">(1-v_off)*mid_yr</f>
        <v>0.373972602739726</v>
      </c>
      <c r="G7396" s="8" t="n">
        <f aca="false">Sens!G7246-base_fy-mid_yr-v_off</f>
        <v>1.24794520547945</v>
      </c>
      <c r="H7396" s="8" t="n">
        <f aca="false">Sens!H7246-base_fy-mid_yr-v_off</f>
        <v>2.24794520547945</v>
      </c>
      <c r="I7396" s="8" t="n">
        <f aca="false">Sens!I7246-base_fy-mid_yr-v_off</f>
        <v>3.24794520547945</v>
      </c>
      <c r="J7396" s="8" t="n">
        <f aca="false">Sens!J7246-base_fy-mid_yr-v_off</f>
        <v>4.24794520547945</v>
      </c>
      <c r="K7396" s="8" t="n">
        <f aca="false">Sens!K7246-base_fy-mid_yr-v_off</f>
        <v>5.24794520547945</v>
      </c>
      <c r="L7396" s="12" t="s">
        <v>1213</v>
      </c>
    </row>
    <row r="7397" customFormat="false" ht="15" hidden="false" customHeight="false" outlineLevel="0" collapsed="false">
      <c r="A7397" s="1" t="s">
        <v>1214</v>
      </c>
      <c r="B7397" s="1" t="s">
        <v>279</v>
      </c>
      <c r="F7397" s="8" t="n">
        <f aca="false">Sens!F7246-base_fy-v_off</f>
        <v>0.747945205479452</v>
      </c>
      <c r="G7397" s="8" t="n">
        <f aca="false">Sens!G7246-base_fy-v_off</f>
        <v>1.74794520547945</v>
      </c>
      <c r="H7397" s="8" t="n">
        <f aca="false">Sens!H7246-base_fy-v_off</f>
        <v>2.74794520547945</v>
      </c>
      <c r="I7397" s="8" t="n">
        <f aca="false">Sens!I7246-base_fy-v_off</f>
        <v>3.74794520547945</v>
      </c>
      <c r="J7397" s="8" t="n">
        <f aca="false">Sens!J7246-base_fy-v_off</f>
        <v>4.74794520547945</v>
      </c>
      <c r="K7397" s="8" t="n">
        <f aca="false">Sens!K7246-base_fy-v_off</f>
        <v>5.74794520547945</v>
      </c>
    </row>
    <row r="7398" customFormat="false" ht="15" hidden="false" customHeight="false" outlineLevel="0" collapsed="false">
      <c r="A7398" s="1" t="s">
        <v>1215</v>
      </c>
      <c r="B7398" s="0" t="s">
        <v>229</v>
      </c>
      <c r="F7398" s="15" t="n">
        <f aca="false">1/(1+wacc)^Sens!F7396</f>
        <v>0.964022703286649</v>
      </c>
      <c r="G7398" s="15" t="n">
        <f aca="false">1/(1+wacc)^Sens!G7396</f>
        <v>0.884910302296739</v>
      </c>
      <c r="H7398" s="15" t="n">
        <f aca="false">1/(1+wacc)^Sens!H7396</f>
        <v>0.802322009770358</v>
      </c>
      <c r="I7398" s="15" t="n">
        <f aca="false">1/(1+wacc)^Sens!I7396</f>
        <v>0.727441646561469</v>
      </c>
      <c r="J7398" s="15" t="n">
        <f aca="false">1/(1+wacc)^Sens!J7396</f>
        <v>0.659549834988973</v>
      </c>
      <c r="K7398" s="15" t="n">
        <f aca="false">1/(1+wacc)^Sens!K7396</f>
        <v>0.597994336576966</v>
      </c>
    </row>
    <row r="7399" customFormat="false" ht="17.15" hidden="false" customHeight="false" outlineLevel="0" collapsed="false">
      <c r="A7399" s="1" t="s">
        <v>1216</v>
      </c>
      <c r="B7399" s="0" t="s">
        <v>98</v>
      </c>
      <c r="F7399" s="6" t="n">
        <f aca="false">Q!$I$35-Q!$I$39-Q!$I$43</f>
        <v>9.666</v>
      </c>
      <c r="L7399" s="12" t="s">
        <v>1217</v>
      </c>
    </row>
    <row r="7400" customFormat="false" ht="17.15" hidden="false" customHeight="false" outlineLevel="0" collapsed="false">
      <c r="A7400" s="1" t="s">
        <v>1218</v>
      </c>
      <c r="B7400" s="0" t="s">
        <v>98</v>
      </c>
      <c r="F7400" s="6" t="n">
        <f aca="false">Sens!F7371-Sens!F7368-Sens!F7375+Sens!F7353*(1-tax_f)*(1-v_off)-Sens!F7399</f>
        <v>-1.25057535044866</v>
      </c>
      <c r="G7400" s="6" t="n">
        <f aca="false">Sens!G7371-Sens!G7368-Sens!G7375+Sens!G7353*(1-tax_f)</f>
        <v>37.9094446953038</v>
      </c>
      <c r="H7400" s="6" t="n">
        <f aca="false">Sens!H7371-Sens!H7368-Sens!H7375+Sens!H7353*(1-tax_f)</f>
        <v>97.5094010715418</v>
      </c>
      <c r="I7400" s="6" t="n">
        <f aca="false">Sens!I7371-Sens!I7368-Sens!I7375+Sens!I7353*(1-tax_f)</f>
        <v>180.204873583782</v>
      </c>
      <c r="J7400" s="6" t="n">
        <f aca="false">Sens!J7371-Sens!J7368-Sens!J7375+Sens!J7353*(1-tax_f)</f>
        <v>261.81568381405</v>
      </c>
      <c r="K7400" s="6" t="n">
        <f aca="false">Sens!K7371-Sens!K7368-Sens!K7375+Sens!K7353*(1-tax_f)</f>
        <v>302.020352901284</v>
      </c>
      <c r="L7400" s="1" t="s">
        <v>1219</v>
      </c>
    </row>
    <row r="7401" customFormat="false" ht="15" hidden="false" customHeight="false" outlineLevel="0" collapsed="false">
      <c r="A7401" s="1" t="s">
        <v>1220</v>
      </c>
      <c r="B7401" s="0" t="s">
        <v>98</v>
      </c>
      <c r="F7401" s="6" t="n">
        <f aca="false">Sens!F7400*Sens!F7398</f>
        <v>-1.20558303000317</v>
      </c>
      <c r="G7401" s="6" t="n">
        <f aca="false">Sens!G7400*Sens!G7398</f>
        <v>33.5464581652227</v>
      </c>
      <c r="H7401" s="6" t="n">
        <f aca="false">Sens!H7400*Sens!H7398</f>
        <v>78.2339386392233</v>
      </c>
      <c r="I7401" s="6" t="n">
        <f aca="false">Sens!I7400*Sens!I7398</f>
        <v>131.088529958187</v>
      </c>
      <c r="J7401" s="6" t="n">
        <f aca="false">Sens!J7400*Sens!J7398</f>
        <v>172.680491057081</v>
      </c>
      <c r="K7401" s="6" t="n">
        <f aca="false">Sens!K7400*Sens!K7398</f>
        <v>180.606460565944</v>
      </c>
    </row>
    <row r="7402" customFormat="false" ht="17.15" hidden="false" customHeight="false" outlineLevel="0" collapsed="false">
      <c r="A7402" s="1" t="s">
        <v>1221</v>
      </c>
      <c r="B7402" s="0" t="s">
        <v>98</v>
      </c>
      <c r="C7402" s="6" t="n">
        <f aca="false">SUM(Sens!F7401:K7401)</f>
        <v>594.950295355656</v>
      </c>
    </row>
    <row r="7403" customFormat="false" ht="17.15" hidden="false" customHeight="false" outlineLevel="0" collapsed="false">
      <c r="A7403" s="1" t="s">
        <v>1222</v>
      </c>
      <c r="B7403" s="0" t="s">
        <v>98</v>
      </c>
      <c r="C7403" s="6" t="n">
        <f aca="false">Sens!K7339*(1+g_tv)*(1-tax_f)</f>
        <v>316.115809214356</v>
      </c>
    </row>
    <row r="7404" customFormat="false" ht="17.15" hidden="false" customHeight="false" outlineLevel="0" collapsed="false">
      <c r="A7404" s="1" t="s">
        <v>1223</v>
      </c>
      <c r="B7404" s="0" t="s">
        <v>98</v>
      </c>
      <c r="C7404" s="6" t="n">
        <f aca="false">Sens!$C$7403*(1-g_tv/(wacc+ronic_prem))</f>
        <v>223.986526620931</v>
      </c>
    </row>
    <row r="7405" customFormat="false" ht="17.15" hidden="false" customHeight="false" outlineLevel="0" collapsed="false">
      <c r="A7405" s="1" t="s">
        <v>1224</v>
      </c>
      <c r="B7405" s="0" t="s">
        <v>98</v>
      </c>
      <c r="C7405" s="6" t="n">
        <f aca="false">Sens!$C$7404/(wacc-g_tv)</f>
        <v>3070.97608644748</v>
      </c>
    </row>
    <row r="7406" customFormat="false" ht="15" hidden="false" customHeight="false" outlineLevel="0" collapsed="false">
      <c r="A7406" s="1" t="s">
        <v>1225</v>
      </c>
      <c r="B7406" s="0" t="s">
        <v>98</v>
      </c>
      <c r="C7406" s="6" t="n">
        <f aca="false">Sens!$C$7405/(1+wacc)^Sens!K7397</f>
        <v>1748.63124020972</v>
      </c>
    </row>
    <row r="7407" customFormat="false" ht="17.15" hidden="false" customHeight="false" outlineLevel="0" collapsed="false">
      <c r="A7407" s="0" t="s">
        <v>1226</v>
      </c>
      <c r="B7407" s="0" t="s">
        <v>98</v>
      </c>
      <c r="C7407" s="6" t="n">
        <f aca="false">Sens!$C$7402+Sens!$C$7406</f>
        <v>2343.58153556537</v>
      </c>
    </row>
    <row r="7408" customFormat="false" ht="15" hidden="false" customHeight="false" outlineLevel="0" collapsed="false">
      <c r="A7408" s="1" t="s">
        <v>1141</v>
      </c>
      <c r="B7408" s="0" t="s">
        <v>168</v>
      </c>
      <c r="C7408" s="7" t="n">
        <f aca="false">Sens!$C$7406/Sens!$C$7407</f>
        <v>0.746136293392443</v>
      </c>
    </row>
    <row r="7409" customFormat="false" ht="17.15" hidden="false" customHeight="false" outlineLevel="0" collapsed="false">
      <c r="A7409" s="1" t="s">
        <v>1227</v>
      </c>
      <c r="B7409" s="0" t="s">
        <v>98</v>
      </c>
      <c r="C7409" s="6" t="n">
        <f aca="false">Sens!$C$7407+cash_val-debt_val-fl_val+oai_v</f>
        <v>2459.43253556537</v>
      </c>
    </row>
    <row r="7410" customFormat="false" ht="17.15" hidden="false" customHeight="false" outlineLevel="0" collapsed="false">
      <c r="A7410" s="0" t="s">
        <v>1149</v>
      </c>
      <c r="B7410" s="0" t="s">
        <v>75</v>
      </c>
      <c r="C7410" s="5" t="n">
        <f aca="false">Sens!$C$7409/shd_val</f>
        <v>330.302516191965</v>
      </c>
    </row>
    <row r="7411" customFormat="false" ht="15" hidden="false" customHeight="false" outlineLevel="0" collapsed="false">
      <c r="A7411" s="1" t="s">
        <v>1228</v>
      </c>
      <c r="B7411" s="0" t="s">
        <v>75</v>
      </c>
      <c r="C7411" s="8" t="n">
        <f aca="false">div_rem27+Sens!G7379*roll_div_q/q_per_yr</f>
        <v>3.9795</v>
      </c>
    </row>
    <row r="7412" customFormat="false" ht="17.15" hidden="false" customHeight="false" outlineLevel="0" collapsed="false">
      <c r="A7412" s="0" t="s">
        <v>1229</v>
      </c>
      <c r="B7412" s="0" t="s">
        <v>75</v>
      </c>
      <c r="C7412" s="5" t="n">
        <f aca="false">Sens!$C$7410*(1+wacc)^t_roll-Sens!$C$7411</f>
        <v>363.170181176483</v>
      </c>
    </row>
    <row r="7413" customFormat="false" ht="17.15" hidden="false" customHeight="false" outlineLevel="0" collapsed="false">
      <c r="A7413" s="1" t="s">
        <v>1230</v>
      </c>
      <c r="B7413" s="0" t="s">
        <v>168</v>
      </c>
      <c r="F7413" s="7" t="n">
        <f aca="false">Sens!F7365/(Sens!F7310-Sens!F7265)</f>
        <v>0.0682478955807194</v>
      </c>
      <c r="G7413" s="7" t="n">
        <f aca="false">Sens!G7365/(Sens!G7310-Sens!G7265)</f>
        <v>0.0645209973556157</v>
      </c>
      <c r="H7413" s="7" t="n">
        <f aca="false">Sens!H7365/(Sens!H7310-Sens!H7265)</f>
        <v>0.0625297675989356</v>
      </c>
      <c r="I7413" s="7" t="n">
        <f aca="false">Sens!I7365/(Sens!I7310-Sens!I7265)</f>
        <v>0.0621576437552573</v>
      </c>
      <c r="J7413" s="7" t="n">
        <f aca="false">Sens!J7365/(Sens!J7310-Sens!J7265)</f>
        <v>0.0629429687021632</v>
      </c>
      <c r="K7413" s="7" t="n">
        <f aca="false">Sens!K7365/(Sens!K7310-Sens!K7265)</f>
        <v>0.0642843463485379</v>
      </c>
    </row>
    <row r="7414" customFormat="false" ht="17.15" hidden="false" customHeight="false" outlineLevel="0" collapsed="false">
      <c r="A7414" s="0" t="s">
        <v>1231</v>
      </c>
      <c r="B7414" s="0" t="s">
        <v>98</v>
      </c>
      <c r="F7414" s="6" t="n">
        <f aca="false">Sens!F7295*(al_m365+Sens!F7413+sbc_r)</f>
        <v>85.6975006883218</v>
      </c>
      <c r="G7414" s="6" t="n">
        <f aca="false">Sens!G7295*(al_m365+Sens!G7413+sbc_r)</f>
        <v>103.154657774129</v>
      </c>
      <c r="H7414" s="6" t="n">
        <f aca="false">Sens!H7295*(al_m365+Sens!H7413+sbc_r)</f>
        <v>120.777335484519</v>
      </c>
      <c r="I7414" s="6" t="n">
        <f aca="false">Sens!I7295*(al_m365+Sens!I7413+sbc_r)</f>
        <v>136.135860498292</v>
      </c>
      <c r="J7414" s="6" t="n">
        <f aca="false">Sens!J7295*(al_m365+Sens!J7413+sbc_r)</f>
        <v>149.047983607803</v>
      </c>
      <c r="K7414" s="6" t="n">
        <f aca="false">Sens!K7295*(al_m365+Sens!K7413+sbc_r)</f>
        <v>161.594476555575</v>
      </c>
      <c r="L7414" s="12" t="s">
        <v>1232</v>
      </c>
    </row>
    <row r="7415" customFormat="false" ht="17.15" hidden="false" customHeight="false" outlineLevel="0" collapsed="false">
      <c r="A7415" s="0" t="s">
        <v>1233</v>
      </c>
      <c r="B7415" s="0" t="s">
        <v>98</v>
      </c>
      <c r="F7415" s="6" t="n">
        <f aca="false">Sens!F7296*(al_lic+Sens!F7413+sbc_r)</f>
        <v>32.8434990616739</v>
      </c>
      <c r="G7415" s="6" t="n">
        <f aca="false">Sens!G7296*(al_lic+Sens!G7413+sbc_r)</f>
        <v>34.0851184239805</v>
      </c>
      <c r="H7415" s="6" t="n">
        <f aca="false">Sens!H7296*(al_lic+Sens!H7413+sbc_r)</f>
        <v>35.2554278460268</v>
      </c>
      <c r="I7415" s="6" t="n">
        <f aca="false">Sens!I7296*(al_lic+Sens!I7413+sbc_r)</f>
        <v>36.3384977637951</v>
      </c>
      <c r="J7415" s="6" t="n">
        <f aca="false">Sens!J7296*(al_lic+Sens!J7413+sbc_r)</f>
        <v>37.3027083900616</v>
      </c>
      <c r="K7415" s="6" t="n">
        <f aca="false">Sens!K7296*(al_lic+Sens!K7413+sbc_r)</f>
        <v>38.1087839923324</v>
      </c>
    </row>
    <row r="7416" customFormat="false" ht="17.15" hidden="false" customHeight="false" outlineLevel="0" collapsed="false">
      <c r="A7416" s="0" t="s">
        <v>1234</v>
      </c>
      <c r="B7416" s="0" t="s">
        <v>98</v>
      </c>
      <c r="F7416" s="6" t="n">
        <f aca="false">Sens!F7298*(al_ind+Sens!F7413+sbc_r)</f>
        <v>9.05212272717012</v>
      </c>
      <c r="G7416" s="6" t="n">
        <f aca="false">Sens!G7298*(al_ind+Sens!G7413+sbc_r)</f>
        <v>9.80417666875819</v>
      </c>
      <c r="H7416" s="6" t="n">
        <f aca="false">Sens!H7298*(al_ind+Sens!H7413+sbc_r)</f>
        <v>10.6076849049865</v>
      </c>
      <c r="I7416" s="6" t="n">
        <f aca="false">Sens!I7298*(al_ind+Sens!I7413+sbc_r)</f>
        <v>11.4621928463022</v>
      </c>
      <c r="J7416" s="6" t="n">
        <f aca="false">Sens!J7298*(al_ind+Sens!J7413+sbc_r)</f>
        <v>12.3550461571649</v>
      </c>
      <c r="K7416" s="6" t="n">
        <f aca="false">Sens!K7298*(al_ind+Sens!K7413+sbc_r)</f>
        <v>13.2641955299251</v>
      </c>
    </row>
    <row r="7417" customFormat="false" ht="17.15" hidden="false" customHeight="false" outlineLevel="0" collapsed="false">
      <c r="A7417" s="0" t="s">
        <v>1235</v>
      </c>
      <c r="B7417" s="0" t="s">
        <v>98</v>
      </c>
      <c r="F7417" s="6" t="n">
        <f aca="false">Sens!F7300*(al_fro+Sens!F7413+sbc_r)</f>
        <v>3.5507759949332</v>
      </c>
      <c r="G7417" s="6" t="n">
        <f aca="false">Sens!G7300*(al_fro+Sens!G7413+sbc_r)</f>
        <v>3.75136533400214</v>
      </c>
      <c r="H7417" s="6" t="n">
        <f aca="false">Sens!H7300*(al_fro+Sens!H7413+sbc_r)</f>
        <v>3.98368354335519</v>
      </c>
      <c r="I7417" s="6" t="n">
        <f aca="false">Sens!I7300*(al_fro+Sens!I7413+sbc_r)</f>
        <v>4.2511895153628</v>
      </c>
      <c r="J7417" s="6" t="n">
        <f aca="false">Sens!J7300*(al_fro+Sens!J7413+sbc_r)</f>
        <v>4.55376156458782</v>
      </c>
      <c r="K7417" s="6" t="n">
        <f aca="false">Sens!K7300*(al_fro+Sens!K7413+sbc_r)</f>
        <v>4.88885132608932</v>
      </c>
    </row>
    <row r="7418" customFormat="false" ht="17.15" hidden="false" customHeight="false" outlineLevel="0" collapsed="false">
      <c r="A7418" s="0" t="s">
        <v>1236</v>
      </c>
      <c r="B7418" s="0" t="s">
        <v>98</v>
      </c>
      <c r="F7418" s="6" t="n">
        <f aca="false">Sens!F7303*(al_srch+Sens!F7413+sbc_r)</f>
        <v>11.1788473393239</v>
      </c>
      <c r="G7418" s="6" t="n">
        <f aca="false">Sens!G7303*(al_srch+Sens!G7413+sbc_r)</f>
        <v>12.2218302261741</v>
      </c>
      <c r="H7418" s="6" t="n">
        <f aca="false">Sens!H7303*(al_srch+Sens!H7413+sbc_r)</f>
        <v>13.3175529788083</v>
      </c>
      <c r="I7418" s="6" t="n">
        <f aca="false">Sens!I7303*(al_srch+Sens!I7413+sbc_r)</f>
        <v>14.4589708873528</v>
      </c>
      <c r="J7418" s="6" t="n">
        <f aca="false">Sens!J7303*(al_srch+Sens!J7413+sbc_r)</f>
        <v>15.622615655759</v>
      </c>
      <c r="K7418" s="6" t="n">
        <f aca="false">Sens!K7303*(al_srch+Sens!K7413+sbc_r)</f>
        <v>16.7722100031723</v>
      </c>
    </row>
    <row r="7419" customFormat="false" ht="17.15" hidden="false" customHeight="false" outlineLevel="0" collapsed="false">
      <c r="A7419" s="0" t="s">
        <v>1237</v>
      </c>
      <c r="B7419" s="0" t="s">
        <v>98</v>
      </c>
      <c r="F7419" s="6" t="n">
        <f aca="false">Sens!F7271-Sens!F7272+Sens!F7353</f>
        <v>44.0936040173002</v>
      </c>
      <c r="G7419" s="6" t="n">
        <f aca="false">Sens!G7271-Sens!G7272+Sens!G7353</f>
        <v>87.232374637388</v>
      </c>
      <c r="H7419" s="6" t="n">
        <f aca="false">Sens!H7271-Sens!H7272+Sens!H7353</f>
        <v>138.194262267473</v>
      </c>
      <c r="I7419" s="6" t="n">
        <f aca="false">Sens!I7271-Sens!I7272+Sens!I7353</f>
        <v>178.787053304709</v>
      </c>
      <c r="J7419" s="6" t="n">
        <f aca="false">Sens!J7271-Sens!J7272+Sens!J7353</f>
        <v>207.371949129836</v>
      </c>
      <c r="K7419" s="6" t="n">
        <f aca="false">Sens!K7271-Sens!K7272+Sens!K7353</f>
        <v>224.01407856833</v>
      </c>
    </row>
    <row r="7420" customFormat="false" ht="17.15" hidden="false" customHeight="false" outlineLevel="0" collapsed="false">
      <c r="A7420" s="0" t="s">
        <v>1238</v>
      </c>
      <c r="B7420" s="0" t="s">
        <v>98</v>
      </c>
      <c r="F7420" s="6" t="n">
        <f aca="false">Sens!F7332+Sens!F7353+Sens!F7283+Sens!F7413*(Sens!F7302-Sens!F7265)+sbc_r*Sens!F7302</f>
        <v>240.578222045537</v>
      </c>
      <c r="G7420" s="6" t="n">
        <f aca="false">Sens!G7332+Sens!G7353+Sens!G7283+Sens!G7413*(Sens!G7302-Sens!G7265)+sbc_r*Sens!G7302</f>
        <v>311.942447619177</v>
      </c>
      <c r="H7420" s="6" t="n">
        <f aca="false">Sens!H7332+Sens!H7353+Sens!H7283+Sens!H7413*(Sens!H7302-Sens!H7265)+sbc_r*Sens!H7302</f>
        <v>395.762862377893</v>
      </c>
      <c r="I7420" s="6" t="n">
        <f aca="false">Sens!I7332+Sens!I7353+Sens!I7283+Sens!I7413*(Sens!I7302-Sens!I7265)+sbc_r*Sens!I7302</f>
        <v>466.446734694618</v>
      </c>
      <c r="J7420" s="6" t="n">
        <f aca="false">Sens!J7332+Sens!J7353+Sens!J7283+Sens!J7413*(Sens!J7302-Sens!J7265)+sbc_r*Sens!J7302</f>
        <v>521.462692877069</v>
      </c>
      <c r="K7420" s="6" t="n">
        <f aca="false">Sens!K7332+Sens!K7353+Sens!K7283+Sens!K7413*(Sens!K7302-Sens!K7265)+sbc_r*Sens!K7302</f>
        <v>562.1157793633</v>
      </c>
    </row>
    <row r="7421" customFormat="false" ht="17.15" hidden="false" customHeight="false" outlineLevel="0" collapsed="false">
      <c r="A7421" s="0" t="s">
        <v>1239</v>
      </c>
      <c r="B7421" s="0" t="s">
        <v>98</v>
      </c>
      <c r="F7421" s="6" t="n">
        <f aca="false">Sens!F7420-Sens!F7414-Sens!F7415-Sens!F7416-Sens!F7417-Sens!F7419</f>
        <v>65.3407195561374</v>
      </c>
      <c r="G7421" s="6" t="n">
        <f aca="false">Sens!G7420-Sens!G7414-Sens!G7415-Sens!G7416-Sens!G7417-Sens!G7419</f>
        <v>73.9147547809194</v>
      </c>
      <c r="H7421" s="6" t="n">
        <f aca="false">Sens!H7420-Sens!H7414-Sens!H7415-Sens!H7416-Sens!H7417-Sens!H7419</f>
        <v>86.9444683315323</v>
      </c>
      <c r="I7421" s="6" t="n">
        <f aca="false">Sens!I7420-Sens!I7414-Sens!I7415-Sens!I7416-Sens!I7417-Sens!I7419</f>
        <v>99.4719407661569</v>
      </c>
      <c r="J7421" s="6" t="n">
        <f aca="false">Sens!J7420-Sens!J7414-Sens!J7415-Sens!J7416-Sens!J7417-Sens!J7419</f>
        <v>110.831244027616</v>
      </c>
      <c r="K7421" s="6" t="n">
        <f aca="false">Sens!K7420-Sens!K7414-Sens!K7415-Sens!K7416-Sens!K7417-Sens!K7419</f>
        <v>120.245393391049</v>
      </c>
    </row>
    <row r="7422" customFormat="false" ht="17.15" hidden="false" customHeight="false" outlineLevel="0" collapsed="false">
      <c r="A7422" s="0" t="s">
        <v>1240</v>
      </c>
      <c r="B7422" s="0" t="s">
        <v>98</v>
      </c>
      <c r="F7422" s="6" t="n">
        <f aca="false">Sens!F7334+Sens!F7413*Sens!F7309+sbc_r*Sens!F7309</f>
        <v>26.6097371855981</v>
      </c>
      <c r="G7422" s="6" t="n">
        <f aca="false">Sens!G7334+Sens!G7413*Sens!G7309+sbc_r*Sens!G7309</f>
        <v>26.3851084382605</v>
      </c>
      <c r="H7422" s="6" t="n">
        <f aca="false">Sens!H7334+Sens!H7413*Sens!H7309+sbc_r*Sens!H7309</f>
        <v>27.218999121996</v>
      </c>
      <c r="I7422" s="6" t="n">
        <f aca="false">Sens!I7334+Sens!I7413*Sens!I7309+sbc_r*Sens!I7309</f>
        <v>28.3136597691485</v>
      </c>
      <c r="J7422" s="6" t="n">
        <f aca="false">Sens!J7334+Sens!J7413*Sens!J7309+sbc_r*Sens!J7309</f>
        <v>29.6238413573145</v>
      </c>
      <c r="K7422" s="6" t="n">
        <f aca="false">Sens!K7334+Sens!K7413*Sens!K7309+sbc_r*Sens!K7309</f>
        <v>31.0948816459285</v>
      </c>
    </row>
    <row r="7423" customFormat="false" ht="17.15" hidden="false" customHeight="false" outlineLevel="0" collapsed="false">
      <c r="A7423" s="0" t="s">
        <v>1241</v>
      </c>
      <c r="B7423" s="0" t="s">
        <v>98</v>
      </c>
      <c r="F7423" s="6" t="n">
        <f aca="false">(Sens!F7422-Sens!F7418)*Sens!F7305/(Sens!F7305+Sens!F7307)</f>
        <v>8.71514312283309</v>
      </c>
      <c r="G7423" s="6" t="n">
        <f aca="false">(Sens!G7422-Sens!G7418)*Sens!G7305/(Sens!G7305+Sens!G7307)</f>
        <v>7.86173762874266</v>
      </c>
      <c r="H7423" s="6" t="n">
        <f aca="false">(Sens!H7422-Sens!H7418)*Sens!H7305/(Sens!H7305+Sens!H7307)</f>
        <v>7.61587831119524</v>
      </c>
      <c r="I7423" s="6" t="n">
        <f aca="false">(Sens!I7422-Sens!I7418)*Sens!I7305/(Sens!I7305+Sens!I7307)</f>
        <v>7.52401118660704</v>
      </c>
      <c r="J7423" s="6" t="n">
        <f aca="false">(Sens!J7422-Sens!J7418)*Sens!J7305/(Sens!J7305+Sens!J7307)</f>
        <v>7.57041625379036</v>
      </c>
      <c r="K7423" s="6" t="n">
        <f aca="false">(Sens!K7422-Sens!K7418)*Sens!K7305/(Sens!K7305+Sens!K7307)</f>
        <v>7.74422100702068</v>
      </c>
    </row>
    <row r="7424" customFormat="false" ht="17.15" hidden="false" customHeight="false" outlineLevel="0" collapsed="false">
      <c r="A7424" s="0" t="s">
        <v>1242</v>
      </c>
      <c r="B7424" s="0" t="s">
        <v>98</v>
      </c>
      <c r="F7424" s="6" t="n">
        <f aca="false">Sens!F7422-Sens!F7418-Sens!F7423</f>
        <v>6.71574672344116</v>
      </c>
      <c r="G7424" s="6" t="n">
        <f aca="false">Sens!G7422-Sens!G7418-Sens!G7423</f>
        <v>6.30154058334379</v>
      </c>
      <c r="H7424" s="6" t="n">
        <f aca="false">Sens!H7422-Sens!H7418-Sens!H7423</f>
        <v>6.28556783199244</v>
      </c>
      <c r="I7424" s="6" t="n">
        <f aca="false">Sens!I7422-Sens!I7418-Sens!I7423</f>
        <v>6.33067769518862</v>
      </c>
      <c r="J7424" s="6" t="n">
        <f aca="false">Sens!J7422-Sens!J7418-Sens!J7423</f>
        <v>6.43080944776508</v>
      </c>
      <c r="K7424" s="6" t="n">
        <f aca="false">Sens!K7422-Sens!K7418-Sens!K7423</f>
        <v>6.57845063573548</v>
      </c>
    </row>
    <row r="7425" customFormat="false" ht="17.15" hidden="false" customHeight="false" outlineLevel="0" collapsed="false">
      <c r="A7425" s="0" t="s">
        <v>1243</v>
      </c>
      <c r="B7425" s="0" t="s">
        <v>98</v>
      </c>
      <c r="F7425" s="6" t="n">
        <f aca="false">Sens!F7419-tax_f*(Sens!F7419-Sens!F7283)-Sens!F7280</f>
        <v>-126.263157932609</v>
      </c>
      <c r="G7425" s="6" t="n">
        <f aca="false">Sens!G7419-tax_f*(Sens!G7419-Sens!G7283)-Sens!G7280</f>
        <v>-110.011677808678</v>
      </c>
      <c r="H7425" s="6" t="n">
        <f aca="false">Sens!H7419-tax_f*(Sens!H7419-Sens!H7283)-Sens!H7280</f>
        <v>-68.4305761182452</v>
      </c>
      <c r="I7425" s="6" t="n">
        <f aca="false">Sens!I7419-tax_f*(Sens!I7419-Sens!I7283)-Sens!I7280</f>
        <v>-2.7389890389336</v>
      </c>
      <c r="J7425" s="6" t="n">
        <f aca="false">Sens!J7419-tax_f*(Sens!J7419-Sens!J7283)-Sens!J7280</f>
        <v>63.3707627178472</v>
      </c>
      <c r="K7425" s="6" t="n">
        <f aca="false">Sens!K7419-tax_f*(Sens!K7419-Sens!K7283)-Sens!K7280</f>
        <v>88.850943700118</v>
      </c>
    </row>
    <row r="7426" customFormat="false" ht="17.15" hidden="false" customHeight="false" outlineLevel="0" collapsed="false">
      <c r="A7426" s="0" t="s">
        <v>1244</v>
      </c>
      <c r="B7426" s="0" t="s">
        <v>98</v>
      </c>
      <c r="G7426" s="6" t="n">
        <f aca="false">Sens!G7425/(1+wacc)^(Sens!G7396-Sens!F7397)</f>
        <v>-104.752287539557</v>
      </c>
      <c r="H7426" s="6" t="n">
        <f aca="false">Sens!H7425/(1+wacc)^(Sens!H7396-Sens!F7397)</f>
        <v>-59.0778087717792</v>
      </c>
      <c r="I7426" s="6" t="n">
        <f aca="false">Sens!I7425/(1+wacc)^(Sens!I7396-Sens!F7397)</f>
        <v>-2.14394643967351</v>
      </c>
      <c r="J7426" s="6" t="n">
        <f aca="false">Sens!J7425/(1+wacc)^(Sens!J7396-Sens!F7397)</f>
        <v>44.9740529057534</v>
      </c>
      <c r="K7426" s="6" t="n">
        <f aca="false">Sens!K7425/(1+wacc)^(Sens!K7396-Sens!F7397)</f>
        <v>57.1721588886674</v>
      </c>
      <c r="L7426" s="1" t="s">
        <v>1245</v>
      </c>
    </row>
    <row r="7427" customFormat="false" ht="17.15" hidden="false" customHeight="false" outlineLevel="0" collapsed="false">
      <c r="A7427" s="0" t="s">
        <v>1246</v>
      </c>
      <c r="B7427" s="0" t="s">
        <v>98</v>
      </c>
      <c r="C7427" s="6" t="n">
        <f aca="false">(Sens!K7419-Sens!K7283)*(1-tax_f)*(1+g_tv)*(1-g_tv/(wacc+ronic_prem))/(wacc-g_tv)/(1+wacc)^(Sens!K7397-Sens!F7397)</f>
        <v>397.280527243933</v>
      </c>
    </row>
    <row r="7428" customFormat="false" ht="17.15" hidden="false" customHeight="false" outlineLevel="0" collapsed="false">
      <c r="A7428" s="1" t="s">
        <v>1247</v>
      </c>
      <c r="B7428" s="0" t="s">
        <v>98</v>
      </c>
      <c r="C7428" s="6" t="n">
        <f aca="false">(SUM(Sens!G7426:K7426)+Sens!$C$7427)*(1+wacc)^(t_roll-Sens!F7397)</f>
        <v>344.460978227593</v>
      </c>
      <c r="L7428" s="12" t="s">
        <v>1248</v>
      </c>
    </row>
    <row r="7429" customFormat="false" ht="17.15" hidden="false" customHeight="false" outlineLevel="0" collapsed="false">
      <c r="A7429" s="1" t="s">
        <v>1249</v>
      </c>
      <c r="B7429" s="0" t="s">
        <v>98</v>
      </c>
      <c r="C7429" s="6" t="n">
        <f aca="false">(w_ntm28*Sens!G7271+(1-w_ntm28)*Sens!H7271)*m_ai</f>
        <v>563.316843258668</v>
      </c>
    </row>
    <row r="7430" customFormat="false" ht="17.15" hidden="false" customHeight="false" outlineLevel="0" collapsed="false">
      <c r="A7430" s="1" t="s">
        <v>1250</v>
      </c>
      <c r="B7430" s="0" t="s">
        <v>98</v>
      </c>
      <c r="C7430" s="6" t="n">
        <f aca="false">(w_ntm28*Sens!G7421+(1-w_ntm28)*Sens!H7421)*m_cloud</f>
        <v>1080.70321779104</v>
      </c>
    </row>
    <row r="7431" customFormat="false" ht="17.15" hidden="false" customHeight="false" outlineLevel="0" collapsed="false">
      <c r="A7431" s="1" t="s">
        <v>1251</v>
      </c>
      <c r="B7431" s="0" t="s">
        <v>98</v>
      </c>
      <c r="C7431" s="6" t="n">
        <f aca="false">(w_ntm28*Sens!G7414+(1-w_ntm28)*Sens!H7414)*m_sw</f>
        <v>1176.64288015968</v>
      </c>
    </row>
    <row r="7432" customFormat="false" ht="17.15" hidden="false" customHeight="false" outlineLevel="0" collapsed="false">
      <c r="A7432" s="1" t="s">
        <v>1252</v>
      </c>
      <c r="B7432" s="0" t="s">
        <v>98</v>
      </c>
      <c r="C7432" s="6" t="n">
        <f aca="false">(w_ntm28*Sens!G7415+(1-w_ntm28)*Sens!H7415)*m_sw</f>
        <v>372.274679009049</v>
      </c>
    </row>
    <row r="7433" customFormat="false" ht="17.15" hidden="false" customHeight="false" outlineLevel="0" collapsed="false">
      <c r="A7433" s="1" t="s">
        <v>1253</v>
      </c>
      <c r="B7433" s="0" t="s">
        <v>98</v>
      </c>
      <c r="C7433" s="6" t="n">
        <f aca="false">(w_ntm28*Sens!G7416+(1-w_ntm28)*Sens!H7416)*m_sw</f>
        <v>108.738112609306</v>
      </c>
    </row>
    <row r="7434" customFormat="false" ht="17.15" hidden="false" customHeight="false" outlineLevel="0" collapsed="false">
      <c r="A7434" s="1" t="s">
        <v>1254</v>
      </c>
      <c r="B7434" s="0" t="s">
        <v>98</v>
      </c>
      <c r="C7434" s="6" t="n">
        <f aca="false">(w_ntm28*Sens!G7417+(1-w_ntm28)*Sens!H7417)*m_sw</f>
        <v>41.3396343724877</v>
      </c>
    </row>
    <row r="7435" customFormat="false" ht="17.15" hidden="false" customHeight="false" outlineLevel="0" collapsed="false">
      <c r="A7435" s="1" t="s">
        <v>1255</v>
      </c>
      <c r="B7435" s="0" t="s">
        <v>98</v>
      </c>
      <c r="C7435" s="6" t="n">
        <f aca="false">(w_ntm28*Sens!G7418+(1-w_ntm28)*Sens!H7418)*m_ads</f>
        <v>114.622638054089</v>
      </c>
    </row>
    <row r="7436" customFormat="false" ht="17.15" hidden="false" customHeight="false" outlineLevel="0" collapsed="false">
      <c r="A7436" s="1" t="s">
        <v>1256</v>
      </c>
      <c r="B7436" s="0" t="s">
        <v>98</v>
      </c>
      <c r="C7436" s="6" t="n">
        <f aca="false">(w_ntm28*Sens!G7423+(1-w_ntm28)*Sens!H7423)*m_game</f>
        <v>98.2728575341024</v>
      </c>
    </row>
    <row r="7437" customFormat="false" ht="17.15" hidden="false" customHeight="false" outlineLevel="0" collapsed="false">
      <c r="A7437" s="1" t="s">
        <v>1257</v>
      </c>
      <c r="B7437" s="0" t="s">
        <v>98</v>
      </c>
      <c r="C7437" s="6" t="n">
        <f aca="false">(w_ntm28*Sens!G7424+(1-w_ntm28)*Sens!H7424)*m_pc</f>
        <v>91.1073057055148</v>
      </c>
    </row>
    <row r="7438" customFormat="false" ht="17.15" hidden="false" customHeight="false" outlineLevel="0" collapsed="false">
      <c r="A7438" s="1" t="s">
        <v>1258</v>
      </c>
      <c r="B7438" s="0" t="s">
        <v>98</v>
      </c>
      <c r="C7438" s="6" t="n">
        <f aca="false">Sens!$C$7428+Sens!$C$7430+Sens!$C$7431+Sens!$C$7432+Sens!$C$7433+Sens!$C$7434+Sens!$C$7435+Sens!$C$7436+Sens!$C$7437</f>
        <v>3428.16230346285</v>
      </c>
    </row>
    <row r="7439" customFormat="false" ht="17.15" hidden="false" customHeight="false" outlineLevel="0" collapsed="false">
      <c r="A7439" s="1" t="s">
        <v>1259</v>
      </c>
      <c r="B7439" s="0" t="s">
        <v>98</v>
      </c>
      <c r="C7439" s="6" t="n">
        <f aca="false">(Sens!G7400-Sens!G7425)*t_stub</f>
        <v>49.0368652684433</v>
      </c>
      <c r="L7439" s="1" t="s">
        <v>1260</v>
      </c>
    </row>
    <row r="7440" customFormat="false" ht="17.15" hidden="false" customHeight="false" outlineLevel="0" collapsed="false">
      <c r="A7440" s="1" t="s">
        <v>1169</v>
      </c>
      <c r="B7440" s="0" t="s">
        <v>98</v>
      </c>
      <c r="C7440" s="6" t="n">
        <f aca="false">Sens!F7387+oai_v-Sens!F7376+Sens!$C$7439</f>
        <v>163.265135268443</v>
      </c>
      <c r="L7440" s="1" t="s">
        <v>1261</v>
      </c>
    </row>
    <row r="7441" customFormat="false" ht="17.15" hidden="false" customHeight="false" outlineLevel="0" collapsed="false">
      <c r="A7441" s="1" t="s">
        <v>1262</v>
      </c>
      <c r="B7441" s="0" t="s">
        <v>75</v>
      </c>
      <c r="C7441" s="5" t="n">
        <f aca="false">(Sens!$C$7438+Sens!$C$7440)/(Sens!F7389+dil_gap)-Sens!G7379*roll_div_q/q_per_yr</f>
        <v>478.52233950583</v>
      </c>
      <c r="L7441" s="1" t="s">
        <v>1263</v>
      </c>
    </row>
    <row r="7442" customFormat="false" ht="17.15" hidden="false" customHeight="false" outlineLevel="0" collapsed="false">
      <c r="A7442" s="1" t="s">
        <v>1264</v>
      </c>
      <c r="B7442" s="0" t="s">
        <v>75</v>
      </c>
      <c r="C7442" s="5" t="n">
        <f aca="false">w_dcf*Sens!$C$7412+(1-w_dcf)*Sens!$C$7441</f>
        <v>420.846260341157</v>
      </c>
    </row>
    <row r="7443" customFormat="false" ht="17.15" hidden="false" customHeight="false" outlineLevel="0" collapsed="false">
      <c r="A7443" s="3" t="s">
        <v>1665</v>
      </c>
    </row>
    <row r="7444" customFormat="false" ht="15" hidden="false" customHeight="false" outlineLevel="0" collapsed="false">
      <c r="A7444" s="4" t="s">
        <v>43</v>
      </c>
      <c r="B7444" s="4" t="s">
        <v>65</v>
      </c>
      <c r="C7444" s="23" t="s">
        <v>938</v>
      </c>
      <c r="D7444" s="23" t="s">
        <v>939</v>
      </c>
      <c r="E7444" s="23" t="s">
        <v>940</v>
      </c>
      <c r="F7444" s="23" t="s">
        <v>941</v>
      </c>
      <c r="G7444" s="23" t="s">
        <v>942</v>
      </c>
      <c r="H7444" s="23" t="s">
        <v>943</v>
      </c>
      <c r="I7444" s="23" t="s">
        <v>944</v>
      </c>
      <c r="J7444" s="23" t="s">
        <v>945</v>
      </c>
      <c r="K7444" s="23" t="s">
        <v>946</v>
      </c>
      <c r="L7444" s="4" t="s">
        <v>47</v>
      </c>
    </row>
    <row r="7445" customFormat="false" ht="17.15" hidden="false" customHeight="false" outlineLevel="0" collapsed="false">
      <c r="A7445" s="1" t="s">
        <v>947</v>
      </c>
      <c r="B7445" s="1" t="s">
        <v>279</v>
      </c>
      <c r="C7445" s="21" t="n">
        <v>2024</v>
      </c>
      <c r="D7445" s="21" t="n">
        <v>2025</v>
      </c>
      <c r="E7445" s="21" t="n">
        <v>2026</v>
      </c>
      <c r="F7445" s="21" t="n">
        <v>2027</v>
      </c>
      <c r="G7445" s="21" t="n">
        <v>2028</v>
      </c>
      <c r="H7445" s="21" t="n">
        <v>2029</v>
      </c>
      <c r="I7445" s="21" t="n">
        <v>2030</v>
      </c>
      <c r="J7445" s="21" t="n">
        <v>2031</v>
      </c>
      <c r="K7445" s="21" t="n">
        <v>2032</v>
      </c>
    </row>
    <row r="7446" customFormat="false" ht="17.15" hidden="false" customHeight="false" outlineLevel="0" collapsed="false">
      <c r="A7446" s="1" t="s">
        <v>948</v>
      </c>
      <c r="B7446" s="0" t="s">
        <v>456</v>
      </c>
      <c r="F7446" s="30" t="n">
        <f aca="false">pace</f>
        <v>2726.5351</v>
      </c>
      <c r="G7446" s="30" t="n">
        <f aca="false">pace</f>
        <v>2726.5351</v>
      </c>
      <c r="H7446" s="30" t="n">
        <f aca="false">pace</f>
        <v>2726.5351</v>
      </c>
      <c r="I7446" s="30" t="n">
        <f aca="false">pace+(g_tv*Sens!H7447-pace)*MIN(1,(Sens!I7445-pace_y0)/(pace_y1-pace_y0))</f>
        <v>1931.98611966667</v>
      </c>
      <c r="J7446" s="30" t="n">
        <f aca="false">pace+(g_tv*Sens!I7447-pace)*MIN(1,(Sens!J7445-pace_y0)/(pace_y1-pace_y0))</f>
        <v>1176.07686172667</v>
      </c>
      <c r="K7446" s="30" t="n">
        <f aca="false">pace+(g_tv*Sens!J7447-pace)*MIN(1,(Sens!K7445-pace_y0)/(pace_y1-pace_y0))</f>
        <v>436.1300484418</v>
      </c>
      <c r="L7446" s="12" t="s">
        <v>949</v>
      </c>
    </row>
    <row r="7447" customFormat="false" ht="17.15" hidden="false" customHeight="false" outlineLevel="0" collapsed="false">
      <c r="A7447" s="1" t="s">
        <v>950</v>
      </c>
      <c r="B7447" s="0" t="s">
        <v>456</v>
      </c>
      <c r="C7447" s="30" t="n">
        <f aca="false">mw_ext_24</f>
        <v>640</v>
      </c>
      <c r="D7447" s="30" t="n">
        <f aca="false">mw_ext_25</f>
        <v>1630</v>
      </c>
      <c r="E7447" s="30" t="n">
        <f aca="false">mw_ext_26</f>
        <v>3250</v>
      </c>
      <c r="F7447" s="30" t="n">
        <f aca="false">Sens!E7447+Sens!F7446</f>
        <v>5976.5351</v>
      </c>
      <c r="G7447" s="30" t="n">
        <f aca="false">Sens!F7447+Sens!G7446</f>
        <v>8703.0702</v>
      </c>
      <c r="H7447" s="30" t="n">
        <f aca="false">Sens!G7447+Sens!H7446</f>
        <v>11429.6053</v>
      </c>
      <c r="I7447" s="30" t="n">
        <f aca="false">Sens!H7447+Sens!I7446</f>
        <v>13361.5914196667</v>
      </c>
      <c r="J7447" s="30" t="n">
        <f aca="false">Sens!I7447+Sens!J7446</f>
        <v>14537.6682813933</v>
      </c>
      <c r="K7447" s="30" t="n">
        <f aca="false">Sens!J7447+Sens!K7446</f>
        <v>14973.7983298351</v>
      </c>
      <c r="L7447" s="1" t="s">
        <v>951</v>
      </c>
    </row>
    <row r="7448" customFormat="false" ht="17.15" hidden="false" customHeight="false" outlineLevel="0" collapsed="false">
      <c r="A7448" s="1" t="s">
        <v>952</v>
      </c>
      <c r="B7448" s="0" t="s">
        <v>456</v>
      </c>
      <c r="C7448" s="30" t="n">
        <f aca="false">rent_ext_24</f>
        <v>150</v>
      </c>
      <c r="D7448" s="30" t="n">
        <f aca="false">rent_ext_25</f>
        <v>400</v>
      </c>
      <c r="E7448" s="30" t="n">
        <f aca="false">rent_ext_26</f>
        <v>550</v>
      </c>
      <c r="F7448" s="30" t="n">
        <f aca="false">rent_ext_f</f>
        <v>756</v>
      </c>
      <c r="G7448" s="30" t="n">
        <f aca="false">rent_ext_f</f>
        <v>756</v>
      </c>
      <c r="H7448" s="30" t="n">
        <f aca="false">rent_ext_f</f>
        <v>756</v>
      </c>
      <c r="I7448" s="30" t="n">
        <f aca="false">rent_ext_f</f>
        <v>756</v>
      </c>
      <c r="J7448" s="30" t="n">
        <f aca="false">rent_ext_f</f>
        <v>756</v>
      </c>
      <c r="K7448" s="30" t="n">
        <f aca="false">rent_ext_f</f>
        <v>756</v>
      </c>
      <c r="L7448" s="1" t="s">
        <v>953</v>
      </c>
    </row>
    <row r="7449" customFormat="false" ht="17.15" hidden="false" customHeight="false" outlineLevel="0" collapsed="false">
      <c r="A7449" s="1" t="s">
        <v>954</v>
      </c>
      <c r="B7449" s="0" t="s">
        <v>456</v>
      </c>
      <c r="C7449" s="30" t="n">
        <f aca="false">Sens!C7447-Sens!C7448</f>
        <v>490</v>
      </c>
      <c r="D7449" s="30" t="n">
        <f aca="false">Sens!D7447-Sens!D7448</f>
        <v>1230</v>
      </c>
      <c r="E7449" s="30" t="n">
        <f aca="false">Sens!E7447-Sens!E7448</f>
        <v>2700</v>
      </c>
      <c r="F7449" s="30" t="n">
        <f aca="false">Sens!F7447-Sens!F7448</f>
        <v>5220.5351</v>
      </c>
      <c r="G7449" s="30" t="n">
        <f aca="false">Sens!G7447-Sens!G7448</f>
        <v>7947.0702</v>
      </c>
      <c r="H7449" s="30" t="n">
        <f aca="false">Sens!H7447-Sens!H7448</f>
        <v>10673.6053</v>
      </c>
      <c r="I7449" s="30" t="n">
        <f aca="false">Sens!I7447-Sens!I7448</f>
        <v>12605.5914196667</v>
      </c>
      <c r="J7449" s="30" t="n">
        <f aca="false">Sens!J7447-Sens!J7448</f>
        <v>13781.6682813933</v>
      </c>
      <c r="K7449" s="30" t="n">
        <f aca="false">Sens!K7447-Sens!K7448</f>
        <v>14217.7983298351</v>
      </c>
    </row>
    <row r="7450" customFormat="false" ht="17.15" hidden="false" customHeight="false" outlineLevel="0" collapsed="false">
      <c r="A7450" s="1" t="s">
        <v>955</v>
      </c>
      <c r="B7450" s="0" t="s">
        <v>456</v>
      </c>
      <c r="C7450" s="30" t="n">
        <f aca="false">Sens!C7449/ext_sh</f>
        <v>816.666666666667</v>
      </c>
      <c r="D7450" s="30" t="n">
        <f aca="false">Sens!D7449/ext_sh</f>
        <v>2050</v>
      </c>
      <c r="E7450" s="30" t="n">
        <f aca="false">Sens!E7449/ext_sh</f>
        <v>4500</v>
      </c>
      <c r="F7450" s="30" t="n">
        <f aca="false">Sens!F7449/ext_sh</f>
        <v>8700.89183333333</v>
      </c>
      <c r="G7450" s="30" t="n">
        <f aca="false">Sens!G7449/ext_sh</f>
        <v>13245.117</v>
      </c>
      <c r="H7450" s="30" t="n">
        <f aca="false">Sens!H7449/ext_sh</f>
        <v>17789.3421666667</v>
      </c>
      <c r="I7450" s="30" t="n">
        <f aca="false">Sens!I7449/ext_sh</f>
        <v>21009.3190327778</v>
      </c>
      <c r="J7450" s="30" t="n">
        <f aca="false">Sens!J7449/ext_sh</f>
        <v>22969.4471356556</v>
      </c>
      <c r="K7450" s="30" t="n">
        <f aca="false">Sens!K7449/ext_sh</f>
        <v>23696.3305497252</v>
      </c>
      <c r="L7450" s="1" t="s">
        <v>956</v>
      </c>
    </row>
    <row r="7451" customFormat="false" ht="17.15" hidden="false" customHeight="false" outlineLevel="0" collapsed="false">
      <c r="A7451" s="1" t="s">
        <v>957</v>
      </c>
      <c r="B7451" s="0" t="s">
        <v>456</v>
      </c>
      <c r="C7451" s="30" t="n">
        <f aca="false">Sens!C7450-Sens!C7449</f>
        <v>326.666666666667</v>
      </c>
      <c r="D7451" s="30" t="n">
        <f aca="false">Sens!D7450-Sens!D7449</f>
        <v>820</v>
      </c>
      <c r="E7451" s="30" t="n">
        <f aca="false">Sens!E7450-Sens!E7449</f>
        <v>1800</v>
      </c>
      <c r="F7451" s="30" t="n">
        <f aca="false">Sens!F7450-Sens!F7449</f>
        <v>3480.35673333333</v>
      </c>
      <c r="G7451" s="30" t="n">
        <f aca="false">Sens!G7450-Sens!G7449</f>
        <v>5298.0468</v>
      </c>
      <c r="H7451" s="30" t="n">
        <f aca="false">Sens!H7450-Sens!H7449</f>
        <v>7115.73686666667</v>
      </c>
      <c r="I7451" s="30" t="n">
        <f aca="false">Sens!I7450-Sens!I7449</f>
        <v>8403.72761311111</v>
      </c>
      <c r="J7451" s="30" t="n">
        <f aca="false">Sens!J7450-Sens!J7449</f>
        <v>9187.77885426222</v>
      </c>
      <c r="K7451" s="30" t="n">
        <f aca="false">Sens!K7450-Sens!K7449</f>
        <v>9478.53221989009</v>
      </c>
    </row>
    <row r="7452" customFormat="false" ht="17.15" hidden="false" customHeight="false" outlineLevel="0" collapsed="false">
      <c r="A7452" s="1" t="s">
        <v>958</v>
      </c>
      <c r="B7452" s="0" t="s">
        <v>456</v>
      </c>
      <c r="C7452" s="30" t="n">
        <f aca="false">Sens!C7450</f>
        <v>816.666666666667</v>
      </c>
      <c r="D7452" s="30" t="n">
        <f aca="false">Sens!D7450-Sens!C7450</f>
        <v>1233.33333333333</v>
      </c>
      <c r="E7452" s="30" t="n">
        <f aca="false">Sens!E7450-Sens!D7450</f>
        <v>2450</v>
      </c>
      <c r="F7452" s="30" t="n">
        <f aca="false">Sens!F7450-Sens!E7450</f>
        <v>4200.89183333333</v>
      </c>
      <c r="G7452" s="30" t="n">
        <f aca="false">Sens!G7450-Sens!F7450</f>
        <v>4544.22516666667</v>
      </c>
      <c r="H7452" s="30" t="n">
        <f aca="false">Sens!H7450-Sens!G7450</f>
        <v>4544.22516666667</v>
      </c>
      <c r="I7452" s="30" t="n">
        <f aca="false">Sens!I7450-Sens!H7450</f>
        <v>3219.97686611111</v>
      </c>
      <c r="J7452" s="30" t="n">
        <f aca="false">Sens!J7450-Sens!I7450</f>
        <v>1960.12810287778</v>
      </c>
      <c r="K7452" s="30" t="n">
        <f aca="false">Sens!K7450-Sens!J7450</f>
        <v>726.883414069667</v>
      </c>
    </row>
    <row r="7453" customFormat="false" ht="17.15" hidden="false" customHeight="false" outlineLevel="0" collapsed="false">
      <c r="A7453" s="1" t="s">
        <v>959</v>
      </c>
      <c r="B7453" s="0" t="s">
        <v>456</v>
      </c>
      <c r="D7453" s="30" t="n">
        <f aca="false">Sens!D7447-Sens!C7447</f>
        <v>990</v>
      </c>
      <c r="E7453" s="30" t="n">
        <f aca="false">Sens!E7447-Sens!D7447</f>
        <v>1620</v>
      </c>
      <c r="F7453" s="30" t="n">
        <f aca="false">Sens!F7447-Sens!E7447</f>
        <v>2726.5351</v>
      </c>
      <c r="G7453" s="30" t="n">
        <f aca="false">Sens!G7447-Sens!F7447</f>
        <v>2726.5351</v>
      </c>
      <c r="H7453" s="30" t="n">
        <f aca="false">Sens!H7447-Sens!G7447</f>
        <v>2726.5351</v>
      </c>
      <c r="I7453" s="30" t="n">
        <f aca="false">Sens!I7447-Sens!H7447</f>
        <v>1931.98611966667</v>
      </c>
      <c r="J7453" s="30" t="n">
        <f aca="false">Sens!J7447-Sens!I7447</f>
        <v>1176.07686172667</v>
      </c>
      <c r="K7453" s="30" t="n">
        <f aca="false">Sens!K7447-Sens!J7447</f>
        <v>436.130048441799</v>
      </c>
    </row>
    <row r="7454" customFormat="false" ht="17.15" hidden="false" customHeight="false" outlineLevel="0" collapsed="false">
      <c r="A7454" s="1" t="s">
        <v>960</v>
      </c>
      <c r="B7454" s="0" t="s">
        <v>456</v>
      </c>
      <c r="F7454" s="30" t="n">
        <f aca="false">Sens!F7473*ext_sh</f>
        <v>0</v>
      </c>
      <c r="G7454" s="30" t="n">
        <f aca="false">Sens!G7473*ext_sh</f>
        <v>0</v>
      </c>
      <c r="H7454" s="30" t="n">
        <f aca="false">Sens!H7473*ext_sh</f>
        <v>0</v>
      </c>
      <c r="I7454" s="30" t="n">
        <f aca="false">Sens!I7473*ext_sh</f>
        <v>490</v>
      </c>
      <c r="J7454" s="30" t="n">
        <f aca="false">Sens!J7473*ext_sh</f>
        <v>740</v>
      </c>
      <c r="K7454" s="30" t="n">
        <f aca="false">Sens!K7473*ext_sh</f>
        <v>1470</v>
      </c>
      <c r="L7454" s="1" t="s">
        <v>961</v>
      </c>
    </row>
    <row r="7455" customFormat="false" ht="17.15" hidden="false" customHeight="false" outlineLevel="0" collapsed="false">
      <c r="A7455" s="1" t="s">
        <v>962</v>
      </c>
      <c r="B7455" s="0" t="s">
        <v>456</v>
      </c>
      <c r="C7455" s="30" t="n">
        <f aca="false">mix_h*Sens!C7447</f>
        <v>128</v>
      </c>
      <c r="D7455" s="30" t="n">
        <f aca="false">mix_h*Sens!D7447</f>
        <v>326</v>
      </c>
      <c r="E7455" s="30" t="n">
        <f aca="false">mix_h*Sens!E7447</f>
        <v>650</v>
      </c>
      <c r="F7455" s="30" t="n">
        <f aca="false">Sens!E7455-Sens!F7454*mix_h</f>
        <v>650</v>
      </c>
      <c r="G7455" s="30" t="n">
        <f aca="false">Sens!F7455-Sens!G7454*mix_h</f>
        <v>650</v>
      </c>
      <c r="H7455" s="30" t="n">
        <f aca="false">Sens!G7455-Sens!H7454*mix_h</f>
        <v>650</v>
      </c>
      <c r="I7455" s="30" t="n">
        <f aca="false">Sens!H7455-Sens!I7454*mix_h</f>
        <v>552</v>
      </c>
      <c r="J7455" s="30" t="n">
        <f aca="false">Sens!I7455-Sens!J7454*mix_h</f>
        <v>404</v>
      </c>
      <c r="K7455" s="30" t="n">
        <f aca="false">Sens!J7455-Sens!K7454*mix_h</f>
        <v>110</v>
      </c>
    </row>
    <row r="7456" customFormat="false" ht="17.15" hidden="false" customHeight="false" outlineLevel="0" collapsed="false">
      <c r="A7456" s="1" t="s">
        <v>963</v>
      </c>
      <c r="B7456" s="0" t="s">
        <v>456</v>
      </c>
      <c r="C7456" s="30" t="n">
        <f aca="false">mix_g2*Sens!C7447</f>
        <v>288</v>
      </c>
      <c r="D7456" s="30" t="n">
        <f aca="false">mix_g2*Sens!D7447</f>
        <v>733.5</v>
      </c>
      <c r="E7456" s="30" t="n">
        <f aca="false">mix_g2*Sens!E7447</f>
        <v>1462.5</v>
      </c>
      <c r="F7456" s="30" t="n">
        <f aca="false">Sens!E7456-Sens!F7454*mix_g2</f>
        <v>1462.5</v>
      </c>
      <c r="G7456" s="30" t="n">
        <f aca="false">Sens!F7456-Sens!G7454*mix_g2</f>
        <v>1462.5</v>
      </c>
      <c r="H7456" s="30" t="n">
        <f aca="false">Sens!G7456-Sens!H7454*mix_g2</f>
        <v>1462.5</v>
      </c>
      <c r="I7456" s="30" t="n">
        <f aca="false">Sens!H7456-Sens!I7454*mix_g2</f>
        <v>1242</v>
      </c>
      <c r="J7456" s="30" t="n">
        <f aca="false">Sens!I7456-Sens!J7454*mix_g2</f>
        <v>909</v>
      </c>
      <c r="K7456" s="30" t="n">
        <f aca="false">Sens!J7456-Sens!K7454*mix_g2</f>
        <v>247.5</v>
      </c>
    </row>
    <row r="7457" customFormat="false" ht="17.15" hidden="false" customHeight="false" outlineLevel="0" collapsed="false">
      <c r="A7457" s="1" t="s">
        <v>964</v>
      </c>
      <c r="B7457" s="0" t="s">
        <v>456</v>
      </c>
      <c r="C7457" s="30" t="n">
        <f aca="false">mix_g3*Sens!C7447</f>
        <v>224</v>
      </c>
      <c r="D7457" s="30" t="n">
        <f aca="false">mix_g3*Sens!D7447</f>
        <v>570.5</v>
      </c>
      <c r="E7457" s="30" t="n">
        <f aca="false">mix_g3*Sens!E7447</f>
        <v>1137.5</v>
      </c>
      <c r="F7457" s="30" t="n">
        <f aca="false">Sens!E7457+(Sens!F7453+Sens!F7454)*(a_g3_27-nonnv*a_mai)-Sens!F7454*mix_g3</f>
        <v>2773.42106</v>
      </c>
      <c r="G7457" s="30" t="n">
        <f aca="false">Sens!F7457+(Sens!G7453+Sens!G7454)*(a_g3_28-nonnv*a_mai)-Sens!G7454*mix_g3</f>
        <v>3318.72808</v>
      </c>
      <c r="H7457" s="30" t="n">
        <f aca="false">Sens!G7457+(Sens!H7453+Sens!H7454)*(a_g3_29-nonnv*a_mai)-Sens!H7454*mix_g3</f>
        <v>3318.72808</v>
      </c>
      <c r="I7457" s="30" t="n">
        <f aca="false">Sens!H7457+(Sens!I7453+Sens!I7454)*(a_g3_29-nonnv*a_mai)-Sens!I7454*mix_g3</f>
        <v>3147.22808</v>
      </c>
      <c r="J7457" s="30" t="n">
        <f aca="false">Sens!I7457+(Sens!J7453+Sens!J7454)*(a_g3_29-nonnv*a_mai)-Sens!J7454*mix_g3</f>
        <v>2888.22808</v>
      </c>
      <c r="K7457" s="30" t="n">
        <f aca="false">Sens!J7457+(Sens!K7453+Sens!K7454)*(a_g3_29-nonnv*a_mai)-Sens!K7454*mix_g3</f>
        <v>2373.72808</v>
      </c>
    </row>
    <row r="7458" customFormat="false" ht="17.15" hidden="false" customHeight="false" outlineLevel="0" collapsed="false">
      <c r="A7458" s="1" t="s">
        <v>965</v>
      </c>
      <c r="B7458" s="0" t="s">
        <v>456</v>
      </c>
      <c r="C7458" s="30" t="n">
        <v>0</v>
      </c>
      <c r="D7458" s="30" t="n">
        <v>0</v>
      </c>
      <c r="E7458" s="30" t="n">
        <v>0</v>
      </c>
      <c r="F7458" s="30" t="n">
        <f aca="false">Sens!E7458+(Sens!F7453+Sens!F7454)*nonnv*a_mai</f>
        <v>272.65351</v>
      </c>
      <c r="G7458" s="30" t="n">
        <f aca="false">Sens!F7458+(Sens!G7453+Sens!G7454)*nonnv*a_mai</f>
        <v>545.30702</v>
      </c>
      <c r="H7458" s="30" t="n">
        <f aca="false">Sens!G7458+(Sens!H7453+Sens!H7454)*nonnv*a_mai</f>
        <v>817.96053</v>
      </c>
      <c r="I7458" s="30" t="n">
        <f aca="false">Sens!H7458+(Sens!I7453+Sens!I7454)*nonnv*a_mai</f>
        <v>1060.15914196667</v>
      </c>
      <c r="J7458" s="30" t="n">
        <f aca="false">Sens!I7458+(Sens!J7453+Sens!J7454)*nonnv*a_mai</f>
        <v>1251.76682813933</v>
      </c>
      <c r="K7458" s="30" t="n">
        <f aca="false">Sens!J7458+(Sens!K7453+Sens!K7454)*nonnv*a_mai</f>
        <v>1442.37983298351</v>
      </c>
      <c r="L7458" s="12" t="s">
        <v>966</v>
      </c>
    </row>
    <row r="7459" customFormat="false" ht="17.15" hidden="false" customHeight="false" outlineLevel="0" collapsed="false">
      <c r="A7459" s="1" t="s">
        <v>967</v>
      </c>
      <c r="B7459" s="0" t="s">
        <v>456</v>
      </c>
      <c r="C7459" s="30" t="n">
        <v>0</v>
      </c>
      <c r="D7459" s="30" t="n">
        <v>0</v>
      </c>
      <c r="E7459" s="30" t="n">
        <v>0</v>
      </c>
      <c r="F7459" s="30" t="n">
        <f aca="false">Sens!E7459+(Sens!F7453+Sens!F7454)*(1-a_g3_27)</f>
        <v>817.96053</v>
      </c>
      <c r="G7459" s="30" t="n">
        <f aca="false">Sens!F7459+(Sens!G7453+Sens!G7454)*(1-a_g3_28)</f>
        <v>2726.5351</v>
      </c>
      <c r="H7459" s="30" t="n">
        <f aca="false">Sens!G7459+(Sens!H7453+Sens!H7454)*(1-a_g3_29)</f>
        <v>5180.41669</v>
      </c>
      <c r="I7459" s="30" t="n">
        <f aca="false">Sens!H7459+(Sens!I7453+Sens!I7454)*(1-a_g3_29)</f>
        <v>7360.2041977</v>
      </c>
      <c r="J7459" s="30" t="n">
        <f aca="false">Sens!I7459+(Sens!J7453+Sens!J7454)*(1-a_g3_29)</f>
        <v>9084.673373254</v>
      </c>
      <c r="K7459" s="30" t="n">
        <f aca="false">Sens!J7459+(Sens!K7453+Sens!K7454)*(1-a_g3_29)</f>
        <v>10800.1904168516</v>
      </c>
    </row>
    <row r="7460" customFormat="false" ht="17.15" hidden="false" customHeight="false" outlineLevel="0" collapsed="false">
      <c r="A7460" s="1" t="s">
        <v>968</v>
      </c>
      <c r="B7460" s="0" t="s">
        <v>403</v>
      </c>
      <c r="C7460" s="15" t="n">
        <f aca="false">(Sens!C7455*tk_hold_h100+Sens!C7456*tk_hold_gb200+Sens!C7457*tk_hold_gb300+Sens!C7459*tk_hold_vr200+Sens!C7458*nv_hold_mai*tk_hold_vr200)/Sens!C7447</f>
        <v>9.7235358126469</v>
      </c>
      <c r="D7460" s="15" t="n">
        <f aca="false">(Sens!D7455*tk_hold_h100+Sens!D7456*tk_hold_gb200+Sens!D7457*tk_hold_gb300+Sens!D7459*tk_hold_vr200+Sens!D7458*nv_hold_mai*tk_hold_vr200)/Sens!D7447</f>
        <v>9.7235358126469</v>
      </c>
      <c r="E7460" s="15" t="n">
        <f aca="false">(Sens!E7455*tk_hold_h100+Sens!E7456*tk_hold_gb200+Sens!E7457*tk_hold_gb300+Sens!E7459*tk_hold_vr200+Sens!E7458*nv_hold_mai*tk_hold_vr200)/Sens!E7447</f>
        <v>9.7235358126469</v>
      </c>
      <c r="F7460" s="15" t="n">
        <f aca="false">(Sens!F7455*tk_hold_h100+Sens!F7456*tk_hold_gb200+Sens!F7457*tk_hold_gb300+Sens!F7459*tk_hold_vr200+Sens!F7458*nv_hold_mai*tk_hold_vr200)/Sens!F7447</f>
        <v>10.2195353876665</v>
      </c>
      <c r="G7460" s="15" t="n">
        <f aca="false">(Sens!G7455*tk_hold_h100+Sens!G7456*tk_hold_gb200+Sens!G7457*tk_hold_gb300+Sens!G7459*tk_hold_vr200+Sens!G7458*nv_hold_mai*tk_hold_vr200)/Sens!G7447</f>
        <v>10.5725598017306</v>
      </c>
      <c r="H7460" s="15" t="n">
        <f aca="false">(Sens!H7455*tk_hold_h100+Sens!H7456*tk_hold_gb200+Sens!H7457*tk_hold_gb300+Sens!H7459*tk_hold_vr200+Sens!H7458*nv_hold_mai*tk_hold_vr200)/Sens!H7447</f>
        <v>10.8210427149036</v>
      </c>
      <c r="I7460" s="15" t="n">
        <f aca="false">(Sens!I7455*tk_hold_h100+Sens!I7456*tk_hold_gb200+Sens!I7457*tk_hold_gb300+Sens!I7459*tk_hold_vr200+Sens!I7458*nv_hold_mai*tk_hold_vr200)/Sens!I7447</f>
        <v>11.0050618241982</v>
      </c>
      <c r="J7460" s="15" t="n">
        <f aca="false">(Sens!J7455*tk_hold_h100+Sens!J7456*tk_hold_gb200+Sens!J7457*tk_hold_gb300+Sens!J7459*tk_hold_vr200+Sens!J7458*nv_hold_mai*tk_hold_vr200)/Sens!J7447</f>
        <v>11.1505789658881</v>
      </c>
      <c r="K7460" s="15" t="n">
        <f aca="false">(Sens!K7455*tk_hold_h100+Sens!K7456*tk_hold_gb200+Sens!K7457*tk_hold_gb300+Sens!K7459*tk_hold_vr200+Sens!K7458*nv_hold_mai*tk_hold_vr200)/Sens!K7447</f>
        <v>11.3496914757183</v>
      </c>
      <c r="L7460" s="1" t="s">
        <v>969</v>
      </c>
    </row>
    <row r="7461" customFormat="false" ht="17.15" hidden="false" customHeight="false" outlineLevel="0" collapsed="false">
      <c r="A7461" s="1" t="s">
        <v>970</v>
      </c>
      <c r="B7461" s="0" t="s">
        <v>403</v>
      </c>
      <c r="C7461" s="15" t="n">
        <f aca="false">(Sens!C7455*tk_hold_h100+Sens!C7456*tk_hold_gb200+Sens!C7457*tk_hold_gb300+Sens!C7459*tk_hold_vr200+Sens!C7458*nv_out_mai*tk_hold_vr200)/Sens!C7447</f>
        <v>9.7235358126469</v>
      </c>
      <c r="D7461" s="15" t="n">
        <f aca="false">(Sens!D7455*tk_hold_h100+Sens!D7456*tk_hold_gb200+Sens!D7457*tk_hold_gb300+Sens!D7459*tk_hold_vr200+Sens!D7458*nv_out_mai*tk_hold_vr200)/Sens!D7447</f>
        <v>9.7235358126469</v>
      </c>
      <c r="E7461" s="15" t="n">
        <f aca="false">(Sens!E7455*tk_hold_h100+Sens!E7456*tk_hold_gb200+Sens!E7457*tk_hold_gb300+Sens!E7459*tk_hold_vr200+Sens!E7458*nv_out_mai*tk_hold_vr200)/Sens!E7447</f>
        <v>9.7235358126469</v>
      </c>
      <c r="F7461" s="15" t="n">
        <f aca="false">(Sens!F7455*tk_hold_h100+Sens!F7456*tk_hold_gb200+Sens!F7457*tk_hold_gb300+Sens!F7459*tk_hold_vr200+Sens!F7458*nv_out_mai*tk_hold_vr200)/Sens!F7447</f>
        <v>10.247422093969</v>
      </c>
      <c r="G7461" s="15" t="n">
        <f aca="false">(Sens!G7455*tk_hold_h100+Sens!G7456*tk_hold_gb200+Sens!G7457*tk_hold_gb300+Sens!G7459*tk_hold_vr200+Sens!G7458*nv_out_mai*tk_hold_vr200)/Sens!G7447</f>
        <v>10.6108602808053</v>
      </c>
      <c r="H7461" s="15" t="n">
        <f aca="false">(Sens!H7455*tk_hold_h100+Sens!H7456*tk_hold_gb200+Sens!H7457*tk_hold_gb300+Sens!H7459*tk_hold_vr200+Sens!H7458*nv_out_mai*tk_hold_vr200)/Sens!H7447</f>
        <v>10.8647885507393</v>
      </c>
      <c r="I7461" s="15" t="n">
        <f aca="false">(Sens!I7455*tk_hold_h100+Sens!I7456*tk_hold_gb200+Sens!I7457*tk_hold_gb300+Sens!I7459*tk_hold_vr200+Sens!I7458*nv_out_mai*tk_hold_vr200)/Sens!I7447</f>
        <v>11.0535625770025</v>
      </c>
      <c r="J7461" s="15" t="n">
        <f aca="false">(Sens!J7455*tk_hold_h100+Sens!J7456*tk_hold_gb200+Sens!J7457*tk_hold_gb300+Sens!J7459*tk_hold_vr200+Sens!J7458*nv_out_mai*tk_hold_vr200)/Sens!J7447</f>
        <v>11.2032127128058</v>
      </c>
      <c r="K7461" s="15" t="n">
        <f aca="false">(Sens!K7455*tk_hold_h100+Sens!K7456*tk_hold_gb200+Sens!K7457*tk_hold_gb300+Sens!K7459*tk_hold_vr200+Sens!K7458*nv_out_mai*tk_hold_vr200)/Sens!K7447</f>
        <v>11.4085735724225</v>
      </c>
      <c r="L7461" s="12" t="s">
        <v>971</v>
      </c>
    </row>
    <row r="7462" customFormat="false" ht="17.15" hidden="false" customHeight="false" outlineLevel="0" collapsed="false">
      <c r="A7462" s="0" t="s">
        <v>972</v>
      </c>
      <c r="B7462" s="0" t="s">
        <v>229</v>
      </c>
      <c r="C7462" s="15" t="n">
        <f aca="false">k_B</f>
        <v>1.17213932619116</v>
      </c>
      <c r="D7462" s="15" t="n">
        <f aca="false">k_B</f>
        <v>1.17213932619116</v>
      </c>
      <c r="E7462" s="15" t="n">
        <f aca="false">k_B</f>
        <v>1.17213932619116</v>
      </c>
      <c r="F7462" s="15" t="n">
        <f aca="false">(k_B+((ls_B*k_long+(1-ls_B)*k_spot)-k_B)*MIN(1,(Sens!F7445-base_fy)/k_ramp))</f>
        <v>1.17213932619116</v>
      </c>
      <c r="G7462" s="15" t="n">
        <f aca="false">(k_B+((ls_B*k_long+(1-ls_B)*k_spot)-k_B)*MIN(1,(Sens!G7445-base_fy)/k_ramp))</f>
        <v>1.17213932619116</v>
      </c>
      <c r="H7462" s="15" t="n">
        <f aca="false">(k_B+((ls_B*k_long+(1-ls_B)*k_spot)-k_B)*MIN(1,(Sens!H7445-base_fy)/k_ramp))</f>
        <v>1.17213932619116</v>
      </c>
      <c r="I7462" s="15" t="n">
        <f aca="false">(k_B+((ls_B*k_long+(1-ls_B)*k_spot)-k_B)*MIN(1,(Sens!I7445-base_fy)/k_ramp))</f>
        <v>1.17213932619116</v>
      </c>
      <c r="J7462" s="15" t="n">
        <f aca="false">(k_B+((ls_B*k_long+(1-ls_B)*k_spot)-k_B)*MIN(1,(Sens!J7445-base_fy)/k_ramp))</f>
        <v>1.17213932619116</v>
      </c>
      <c r="K7462" s="15" t="n">
        <f aca="false">(k_B+((ls_B*k_long+(1-ls_B)*k_spot)-k_B)*MIN(1,(Sens!K7445-base_fy)/k_ramp))</f>
        <v>1.17213932619116</v>
      </c>
      <c r="L7462" s="1" t="s">
        <v>973</v>
      </c>
    </row>
    <row r="7463" customFormat="false" ht="17.15" hidden="false" customHeight="false" outlineLevel="0" collapsed="false">
      <c r="A7463" s="1" t="s">
        <v>974</v>
      </c>
      <c r="B7463" s="0" t="s">
        <v>403</v>
      </c>
      <c r="C7463" s="15" t="n">
        <f aca="false">Sens!C7461*Sens!C7462*chip_f</f>
        <v>11.3973387156315</v>
      </c>
      <c r="D7463" s="15" t="n">
        <f aca="false">Sens!D7461*Sens!D7462*chip_f</f>
        <v>11.3973387156315</v>
      </c>
      <c r="E7463" s="15" t="n">
        <f aca="false">Sens!E7461*Sens!E7462*chip_f</f>
        <v>11.3973387156315</v>
      </c>
      <c r="F7463" s="15" t="n">
        <f aca="false">Sens!F7461*Sens!F7462*chip_f</f>
        <v>12.0114064284211</v>
      </c>
      <c r="G7463" s="15" t="n">
        <f aca="false">Sens!G7461*Sens!G7462*chip_f</f>
        <v>12.4374066198516</v>
      </c>
      <c r="H7463" s="15" t="n">
        <f aca="false">Sens!H7461*Sens!H7462*chip_f</f>
        <v>12.735045931073</v>
      </c>
      <c r="I7463" s="15" t="n">
        <f aca="false">Sens!I7461*Sens!I7462*chip_f</f>
        <v>12.9563153910195</v>
      </c>
      <c r="J7463" s="15" t="n">
        <f aca="false">Sens!J7461*Sens!J7462*chip_f</f>
        <v>13.1317262003643</v>
      </c>
      <c r="K7463" s="15" t="n">
        <f aca="false">Sens!K7461*Sens!K7462*chip_f</f>
        <v>13.3724377399815</v>
      </c>
      <c r="L7463" s="1" t="s">
        <v>975</v>
      </c>
    </row>
    <row r="7464" customFormat="false" ht="17.15" hidden="false" customHeight="false" outlineLevel="0" collapsed="false">
      <c r="A7464" s="0" t="s">
        <v>976</v>
      </c>
      <c r="B7464" s="0" t="s">
        <v>98</v>
      </c>
      <c r="D7464" s="6" t="n">
        <f aca="false">(Sens!C7447+Sens!D7447)/2*Sens!D7463/1000</f>
        <v>12.9359794422418</v>
      </c>
      <c r="E7464" s="6" t="n">
        <f aca="false">(Sens!D7447+Sens!E7447)/2*Sens!E7463/1000</f>
        <v>27.8095064661409</v>
      </c>
      <c r="F7464" s="6" t="n">
        <f aca="false">(Sens!E7447+Sens!F7447)/2*Sens!F7463/1000</f>
        <v>55.4118315060966</v>
      </c>
      <c r="G7464" s="6" t="n">
        <f aca="false">(Sens!F7447+Sens!G7447)/2*Sens!G7463/1000</f>
        <v>91.2881100675143</v>
      </c>
      <c r="H7464" s="6" t="n">
        <f aca="false">(Sens!G7447+Sens!H7447)/2*Sens!H7463/1000</f>
        <v>128.195273603944</v>
      </c>
      <c r="I7464" s="6" t="n">
        <f aca="false">(Sens!H7447+Sens!I7447)/2*Sens!I7463/1000</f>
        <v>160.601281810405</v>
      </c>
      <c r="J7464" s="6" t="n">
        <f aca="false">(Sens!I7447+Sens!J7447)/2*Sens!J7463/1000</f>
        <v>183.182719793589</v>
      </c>
      <c r="K7464" s="6" t="n">
        <f aca="false">(Sens!J7447+Sens!K7447)/2*Sens!K7463/1000</f>
        <v>197.320124937098</v>
      </c>
      <c r="L7464" s="12" t="s">
        <v>977</v>
      </c>
    </row>
    <row r="7465" customFormat="false" ht="17.15" hidden="false" customHeight="false" outlineLevel="0" collapsed="false">
      <c r="A7465" s="1" t="s">
        <v>978</v>
      </c>
      <c r="B7465" s="0" t="s">
        <v>403</v>
      </c>
      <c r="C7465" s="15" t="n">
        <f aca="false">(Sens!C7455*tk_opex_h100+Sens!C7456*tk_opex_gb200+Sens!C7457*tk_opex_gb300+(Sens!C7459+Sens!C7458)*tk_opex_vr200)/Sens!C7447</f>
        <v>1.88636041306092</v>
      </c>
      <c r="D7465" s="15" t="n">
        <f aca="false">(Sens!D7455*tk_opex_h100+Sens!D7456*tk_opex_gb200+Sens!D7457*tk_opex_gb300+(Sens!D7459+Sens!D7458)*tk_opex_vr200)/Sens!D7447</f>
        <v>1.88636041306092</v>
      </c>
      <c r="E7465" s="15" t="n">
        <f aca="false">(Sens!E7455*tk_opex_h100+Sens!E7456*tk_opex_gb200+Sens!E7457*tk_opex_gb300+(Sens!E7459+Sens!E7458)*tk_opex_vr200)/Sens!E7447</f>
        <v>1.88636041306092</v>
      </c>
      <c r="F7465" s="15" t="n">
        <f aca="false">(Sens!F7455*tk_opex_h100+Sens!F7456*tk_opex_gb200+Sens!F7457*tk_opex_gb300+(Sens!F7459+Sens!F7458)*tk_opex_vr200)/Sens!F7447</f>
        <v>1.95051159746876</v>
      </c>
      <c r="G7465" s="15" t="n">
        <f aca="false">(Sens!G7455*tk_opex_h100+Sens!G7456*tk_opex_gb200+Sens!G7457*tk_opex_gb300+(Sens!G7459+Sens!G7458)*tk_opex_vr200)/Sens!G7447</f>
        <v>1.98836003669956</v>
      </c>
      <c r="H7465" s="15" t="n">
        <f aca="false">(Sens!H7455*tk_opex_h100+Sens!H7456*tk_opex_gb200+Sens!H7457*tk_opex_gb300+(Sens!H7459+Sens!H7458)*tk_opex_vr200)/Sens!H7447</f>
        <v>2.01344013834343</v>
      </c>
      <c r="I7465" s="15" t="n">
        <f aca="false">(Sens!I7455*tk_opex_h100+Sens!I7456*tk_opex_gb200+Sens!I7457*tk_opex_gb300+(Sens!I7459+Sens!I7458)*tk_opex_vr200)/Sens!I7447</f>
        <v>2.03261166882178</v>
      </c>
      <c r="J7465" s="15" t="n">
        <f aca="false">(Sens!J7455*tk_opex_h100+Sens!J7456*tk_opex_gb200+Sens!J7457*tk_opex_gb300+(Sens!J7459+Sens!J7458)*tk_opex_vr200)/Sens!J7447</f>
        <v>2.04808073288745</v>
      </c>
      <c r="K7465" s="15" t="n">
        <f aca="false">(Sens!K7455*tk_opex_h100+Sens!K7456*tk_opex_gb200+Sens!K7457*tk_opex_gb300+(Sens!K7459+Sens!K7458)*tk_opex_vr200)/Sens!K7447</f>
        <v>2.06973825807449</v>
      </c>
      <c r="L7465" s="12" t="s">
        <v>979</v>
      </c>
    </row>
    <row r="7466" customFormat="false" ht="17.15" hidden="false" customHeight="false" outlineLevel="0" collapsed="false">
      <c r="A7466" s="0" t="s">
        <v>980</v>
      </c>
      <c r="B7466" s="0" t="s">
        <v>98</v>
      </c>
      <c r="D7466" s="6" t="n">
        <f aca="false">(Sens!C7450+Sens!D7450)/2*Sens!D7465/1000</f>
        <v>2.70378325872065</v>
      </c>
      <c r="E7466" s="6" t="n">
        <f aca="false">(Sens!D7450+Sens!E7450)/2*Sens!E7465/1000</f>
        <v>6.17783035277451</v>
      </c>
      <c r="F7466" s="6" t="n">
        <f aca="false">(Sens!E7450+Sens!F7450)/2*Sens!F7465/1000</f>
        <v>12.8742463089237</v>
      </c>
      <c r="G7466" s="6" t="n">
        <f aca="false">(Sens!F7450+Sens!G7450)/2*Sens!G7465/1000</f>
        <v>21.8182834646277</v>
      </c>
      <c r="H7466" s="6" t="n">
        <f aca="false">(Sens!G7450+Sens!H7450)/2*Sens!H7465/1000</f>
        <v>31.2430128789734</v>
      </c>
      <c r="I7466" s="6" t="n">
        <f aca="false">(Sens!H7450+Sens!I7450)/2*Sens!I7465/1000</f>
        <v>39.4313057443268</v>
      </c>
      <c r="J7466" s="6" t="n">
        <f aca="false">(Sens!I7450+Sens!J7450)/2*Sens!J7465/1000</f>
        <v>45.0360318228653</v>
      </c>
      <c r="K7466" s="6" t="n">
        <f aca="false">(Sens!J7450+Sens!K7450)/2*Sens!K7465/1000</f>
        <v>48.2929727091156</v>
      </c>
    </row>
    <row r="7467" customFormat="false" ht="17.15" hidden="false" customHeight="false" outlineLevel="0" collapsed="false">
      <c r="A7467" s="0" t="s">
        <v>981</v>
      </c>
      <c r="B7467" s="0" t="s">
        <v>98</v>
      </c>
      <c r="D7467" s="6" t="n">
        <f aca="false">(Sens!C7448+Sens!D7448)/2*rent_mw/1000</f>
        <v>2.44475</v>
      </c>
      <c r="E7467" s="6" t="n">
        <f aca="false">(Sens!D7448+Sens!E7448)/2*rent_mw/1000</f>
        <v>4.22275</v>
      </c>
      <c r="F7467" s="6" t="n">
        <f aca="false">(Sens!E7448+Sens!F7448)/2*rent_mw/1000</f>
        <v>5.80517</v>
      </c>
      <c r="G7467" s="6" t="n">
        <f aca="false">(Sens!F7448+Sens!G7448)/2*rent_mw/1000</f>
        <v>6.72084</v>
      </c>
      <c r="H7467" s="6" t="n">
        <f aca="false">(Sens!G7448+Sens!H7448)/2*rent_mw/1000</f>
        <v>6.72084</v>
      </c>
      <c r="I7467" s="6" t="n">
        <f aca="false">(Sens!H7448+Sens!I7448)/2*rent_mw/1000</f>
        <v>6.72084</v>
      </c>
      <c r="J7467" s="6" t="n">
        <f aca="false">(Sens!I7448+Sens!J7448)/2*rent_mw/1000</f>
        <v>6.72084</v>
      </c>
      <c r="K7467" s="6" t="n">
        <f aca="false">(Sens!J7448+Sens!K7448)/2*rent_mw/1000</f>
        <v>6.72084</v>
      </c>
    </row>
    <row r="7468" customFormat="false" ht="17.15" hidden="false" customHeight="false" outlineLevel="0" collapsed="false">
      <c r="A7468" s="0" t="s">
        <v>982</v>
      </c>
      <c r="B7468" s="0" t="s">
        <v>98</v>
      </c>
      <c r="D7468" s="6" t="n">
        <f aca="false">(Sens!C7450+Sens!D7450)/2*(1-self_build)*fac_rent/1000</f>
        <v>0.853242375631075</v>
      </c>
      <c r="E7468" s="6" t="n">
        <f aca="false">(Sens!D7450+Sens!E7450)/2*(1-self_build)*fac_rent/1000</f>
        <v>1.94955961408728</v>
      </c>
      <c r="F7468" s="6" t="n">
        <f aca="false">(Sens!E7450+Sens!F7450)/2*(1-self_build)*fac_rent/1000</f>
        <v>3.92914894476356</v>
      </c>
      <c r="G7468" s="6" t="n">
        <f aca="false">(Sens!F7450+Sens!G7450)/2*(1-self_build)*fac_rent/1000</f>
        <v>6.53206908578159</v>
      </c>
      <c r="H7468" s="6" t="n">
        <f aca="false">(Sens!G7450+Sens!H7450)/2*(1-self_build)*fac_rent/1000</f>
        <v>9.23717988341591</v>
      </c>
      <c r="I7468" s="6" t="n">
        <f aca="false">(Sens!H7450+Sens!I7450)/2*(1-self_build)*fac_rent/1000</f>
        <v>11.5481378557393</v>
      </c>
      <c r="J7468" s="6" t="n">
        <f aca="false">(Sens!I7450+Sens!J7450)/2*(1-self_build)*fac_rent/1000</f>
        <v>13.0899582289108</v>
      </c>
      <c r="K7468" s="6" t="n">
        <f aca="false">(Sens!J7450+Sens!K7450)/2*(1-self_build)*fac_rent/1000</f>
        <v>13.8897275626556</v>
      </c>
      <c r="L7468" s="12" t="s">
        <v>983</v>
      </c>
    </row>
    <row r="7469" customFormat="false" ht="17.15" hidden="false" customHeight="false" outlineLevel="0" collapsed="false">
      <c r="A7469" s="1" t="s">
        <v>984</v>
      </c>
      <c r="B7469" s="0" t="s">
        <v>168</v>
      </c>
      <c r="D7469" s="7" t="n">
        <f aca="false">(Sens!C7449+Sens!D7449)/(Sens!C7450+Sens!D7450)</f>
        <v>0.6</v>
      </c>
      <c r="E7469" s="7" t="n">
        <f aca="false">(Sens!D7449+Sens!E7449)/(Sens!D7450+Sens!E7450)</f>
        <v>0.6</v>
      </c>
      <c r="F7469" s="7" t="n">
        <f aca="false">(Sens!E7449+Sens!F7449)/(Sens!E7450+Sens!F7450)</f>
        <v>0.6</v>
      </c>
      <c r="G7469" s="7" t="n">
        <f aca="false">(Sens!F7449+Sens!G7449)/(Sens!F7450+Sens!G7450)</f>
        <v>0.6</v>
      </c>
      <c r="H7469" s="7" t="n">
        <f aca="false">(Sens!G7449+Sens!H7449)/(Sens!G7450+Sens!H7450)</f>
        <v>0.6</v>
      </c>
      <c r="I7469" s="7" t="n">
        <f aca="false">(Sens!H7449+Sens!I7449)/(Sens!H7450+Sens!I7450)</f>
        <v>0.6</v>
      </c>
      <c r="J7469" s="7" t="n">
        <f aca="false">(Sens!I7449+Sens!J7449)/(Sens!I7450+Sens!J7450)</f>
        <v>0.6</v>
      </c>
      <c r="K7469" s="7" t="n">
        <f aca="false">(Sens!J7449+Sens!K7449)/(Sens!J7450+Sens!K7450)</f>
        <v>0.6</v>
      </c>
    </row>
    <row r="7470" customFormat="false" ht="17.15" hidden="false" customHeight="false" outlineLevel="0" collapsed="false">
      <c r="A7470" s="0" t="s">
        <v>985</v>
      </c>
      <c r="B7470" s="0" t="s">
        <v>98</v>
      </c>
      <c r="D7470" s="6" t="n">
        <f aca="false">Sens!D7464-Sens!D7469*(Sens!D7466+Sens!D7468)-Sens!D7467</f>
        <v>8.35701406163072</v>
      </c>
      <c r="E7470" s="6" t="n">
        <f aca="false">Sens!E7464-Sens!E7469*(Sens!E7466+Sens!E7468)-Sens!E7467</f>
        <v>18.7103224860238</v>
      </c>
      <c r="F7470" s="6" t="n">
        <f aca="false">Sens!F7464-Sens!F7469*(Sens!F7466+Sens!F7468)-Sens!F7467</f>
        <v>39.5246243538843</v>
      </c>
      <c r="G7470" s="6" t="n">
        <f aca="false">Sens!G7464-Sens!G7469*(Sens!G7466+Sens!G7468)-Sens!G7467</f>
        <v>67.5570585372687</v>
      </c>
      <c r="H7470" s="6" t="n">
        <f aca="false">Sens!H7464-Sens!H7469*(Sens!H7466+Sens!H7468)-Sens!H7467</f>
        <v>97.1863179465102</v>
      </c>
      <c r="I7470" s="6" t="n">
        <f aca="false">Sens!I7464-Sens!I7469*(Sens!I7466+Sens!I7468)-Sens!I7467</f>
        <v>123.292775650365</v>
      </c>
      <c r="J7470" s="6" t="n">
        <f aca="false">Sens!J7464-Sens!J7469*(Sens!J7466+Sens!J7468)-Sens!J7467</f>
        <v>141.586285762524</v>
      </c>
      <c r="K7470" s="6" t="n">
        <f aca="false">Sens!K7464-Sens!K7469*(Sens!K7466+Sens!K7468)-Sens!K7467</f>
        <v>153.289664774035</v>
      </c>
    </row>
    <row r="7471" customFormat="false" ht="17.15" hidden="false" customHeight="false" outlineLevel="0" collapsed="false">
      <c r="A7471" s="1" t="s">
        <v>986</v>
      </c>
      <c r="B7471" s="0" t="s">
        <v>98</v>
      </c>
      <c r="D7471" s="6" t="n">
        <f aca="false">(1-Sens!D7469)*(Sens!D7466+Sens!D7468)</f>
        <v>1.42281025374069</v>
      </c>
      <c r="E7471" s="6" t="n">
        <f aca="false">(1-Sens!E7469)*(Sens!E7466+Sens!E7468)</f>
        <v>3.25095598674472</v>
      </c>
      <c r="F7471" s="6" t="n">
        <f aca="false">(1-Sens!F7469)*(Sens!F7466+Sens!F7468)</f>
        <v>6.72135810147489</v>
      </c>
      <c r="G7471" s="6" t="n">
        <f aca="false">(1-Sens!G7469)*(Sens!G7466+Sens!G7468)</f>
        <v>11.3401410201637</v>
      </c>
      <c r="H7471" s="6" t="n">
        <f aca="false">(1-Sens!H7469)*(Sens!H7466+Sens!H7468)</f>
        <v>16.1920771049557</v>
      </c>
      <c r="I7471" s="6" t="n">
        <f aca="false">(1-Sens!I7469)*(Sens!I7466+Sens!I7468)</f>
        <v>20.3917774400264</v>
      </c>
      <c r="J7471" s="6" t="n">
        <f aca="false">(1-Sens!J7469)*(Sens!J7466+Sens!J7468)</f>
        <v>23.2503960207104</v>
      </c>
      <c r="K7471" s="6" t="n">
        <f aca="false">(1-Sens!K7469)*(Sens!K7466+Sens!K7468)</f>
        <v>24.8730801087085</v>
      </c>
    </row>
    <row r="7472" customFormat="false" ht="17.15" hidden="false" customHeight="false" outlineLevel="0" collapsed="false">
      <c r="A7472" s="1" t="s">
        <v>987</v>
      </c>
      <c r="B7472" s="0" t="s">
        <v>414</v>
      </c>
      <c r="C7472" s="8" t="n">
        <f aca="false">cxit_open</f>
        <v>27.5918995</v>
      </c>
      <c r="D7472" s="8" t="n">
        <f aca="false">cxit_open</f>
        <v>27.5918995</v>
      </c>
      <c r="E7472" s="8" t="n">
        <f aca="false">cxit_open</f>
        <v>27.5918995</v>
      </c>
      <c r="F7472" s="8" t="n">
        <f aca="false">((a_g3_27-nonnv*a_mai)*tk_cxit_gb300+nonnv*a_mai*nv_hold_mai*tk_cxit_vr200+(1-a_g3_27)*tk_cxit_vr200)</f>
        <v>32.4975576</v>
      </c>
      <c r="G7472" s="8" t="n">
        <f aca="false">((a_g3_28-nonnv*a_mai)*tk_cxit_gb300+nonnv*a_mai*nv_hold_mai*tk_cxit_vr200+(1-a_g3_28)*tk_cxit_vr200)</f>
        <v>34.6372088</v>
      </c>
      <c r="H7472" s="8" t="n">
        <f aca="false">((a_g3_29-nonnv*a_mai)*tk_cxit_gb300+nonnv*a_mai*nv_hold_mai*tk_cxit_vr200+(1-a_g3_29)*tk_cxit_vr200)</f>
        <v>35.7070344</v>
      </c>
      <c r="I7472" s="8" t="n">
        <f aca="false">((a_g3_29-nonnv*a_mai)*tk_cxit_gb300+nonnv*a_mai*nv_hold_mai*tk_cxit_vr200+(1-a_g3_29)*tk_cxit_vr200)</f>
        <v>35.7070344</v>
      </c>
      <c r="J7472" s="8" t="n">
        <f aca="false">((a_g3_29-nonnv*a_mai)*tk_cxit_gb300+nonnv*a_mai*nv_hold_mai*tk_cxit_vr200+(1-a_g3_29)*tk_cxit_vr200)</f>
        <v>35.7070344</v>
      </c>
      <c r="K7472" s="8" t="n">
        <f aca="false">((a_g3_29-nonnv*a_mai)*tk_cxit_gb300+nonnv*a_mai*nv_hold_mai*tk_cxit_vr200+(1-a_g3_29)*tk_cxit_vr200)</f>
        <v>35.7070344</v>
      </c>
      <c r="L7472" s="12" t="s">
        <v>988</v>
      </c>
    </row>
    <row r="7473" customFormat="false" ht="17.15" hidden="false" customHeight="false" outlineLevel="0" collapsed="false">
      <c r="A7473" s="0" t="s">
        <v>989</v>
      </c>
      <c r="B7473" s="0" t="s">
        <v>456</v>
      </c>
      <c r="F7473" s="30" t="n">
        <f aca="false">Sens!C7452*IF(Sens!F7445-Sens!C7445=life_it,1,0)+Sens!D7452*IF(Sens!F7445-Sens!D7445=life_it,1,0)+Sens!E7452*IF(Sens!F7445-Sens!E7445=life_it,1,0)</f>
        <v>0</v>
      </c>
      <c r="G7473" s="30" t="n">
        <f aca="false">Sens!C7452*IF(Sens!G7445-Sens!C7445=life_it,1,0)+Sens!D7452*IF(Sens!G7445-Sens!D7445=life_it,1,0)+Sens!E7452*IF(Sens!G7445-Sens!E7445=life_it,1,0)+Sens!F7452*IF(Sens!G7445-Sens!F7445=life_it,1,0)</f>
        <v>0</v>
      </c>
      <c r="H7473" s="30" t="n">
        <f aca="false">Sens!C7452*IF(Sens!H7445-Sens!C7445=life_it,1,0)+Sens!D7452*IF(Sens!H7445-Sens!D7445=life_it,1,0)+Sens!E7452*IF(Sens!H7445-Sens!E7445=life_it,1,0)+Sens!F7452*IF(Sens!H7445-Sens!F7445=life_it,1,0)+Sens!G7452*IF(Sens!H7445-Sens!G7445=life_it,1,0)</f>
        <v>0</v>
      </c>
      <c r="I7473" s="30" t="n">
        <f aca="false">Sens!C7452*IF(Sens!I7445-Sens!C7445=life_it,1,0)+Sens!D7452*IF(Sens!I7445-Sens!D7445=life_it,1,0)+Sens!E7452*IF(Sens!I7445-Sens!E7445=life_it,1,0)+Sens!F7452*IF(Sens!I7445-Sens!F7445=life_it,1,0)+Sens!G7452*IF(Sens!I7445-Sens!G7445=life_it,1,0)+Sens!H7452*IF(Sens!I7445-Sens!H7445=life_it,1,0)</f>
        <v>816.666666666667</v>
      </c>
      <c r="J7473" s="30" t="n">
        <f aca="false">Sens!C7452*IF(Sens!J7445-Sens!C7445=life_it,1,0)+Sens!D7452*IF(Sens!J7445-Sens!D7445=life_it,1,0)+Sens!E7452*IF(Sens!J7445-Sens!E7445=life_it,1,0)+Sens!F7452*IF(Sens!J7445-Sens!F7445=life_it,1,0)+Sens!G7452*IF(Sens!J7445-Sens!G7445=life_it,1,0)+Sens!H7452*IF(Sens!J7445-Sens!H7445=life_it,1,0)+Sens!I7452*IF(Sens!J7445-Sens!I7445=life_it,1,0)</f>
        <v>1233.33333333333</v>
      </c>
      <c r="K7473" s="30" t="n">
        <f aca="false">Sens!C7452*IF(Sens!K7445-Sens!C7445=life_it,1,0)+Sens!D7452*IF(Sens!K7445-Sens!D7445=life_it,1,0)+Sens!E7452*IF(Sens!K7445-Sens!E7445=life_it,1,0)+Sens!F7452*IF(Sens!K7445-Sens!F7445=life_it,1,0)+Sens!G7452*IF(Sens!K7445-Sens!G7445=life_it,1,0)+Sens!H7452*IF(Sens!K7445-Sens!H7445=life_it,1,0)+Sens!I7452*IF(Sens!K7445-Sens!I7445=life_it,1,0)+Sens!J7452*IF(Sens!K7445-Sens!J7445=life_it,1,0)</f>
        <v>2450</v>
      </c>
      <c r="L7473" s="1" t="s">
        <v>990</v>
      </c>
    </row>
    <row r="7474" customFormat="false" ht="17.15" hidden="false" customHeight="false" outlineLevel="0" collapsed="false">
      <c r="A7474" s="0" t="s">
        <v>991</v>
      </c>
      <c r="B7474" s="0" t="s">
        <v>98</v>
      </c>
      <c r="C7474" s="6" t="n">
        <f aca="false">Sens!C7452*Sens!C7472/1000</f>
        <v>22.5333845916667</v>
      </c>
      <c r="D7474" s="6" t="n">
        <f aca="false">Sens!D7452*Sens!D7472/1000</f>
        <v>34.0300093833333</v>
      </c>
      <c r="E7474" s="6" t="n">
        <f aca="false">Sens!E7452*Sens!E7472/1000</f>
        <v>67.600153775</v>
      </c>
      <c r="F7474" s="6" t="n">
        <f aca="false">(Sens!F7452+Sens!F7473)*Sens!F7472/1000</f>
        <v>136.51872432512</v>
      </c>
      <c r="G7474" s="6" t="n">
        <f aca="false">(Sens!G7452+Sens!G7473)*Sens!G7472/1000</f>
        <v>157.399275932048</v>
      </c>
      <c r="H7474" s="6" t="n">
        <f aca="false">(Sens!H7452+Sens!H7473)*Sens!H7472/1000</f>
        <v>162.260804347512</v>
      </c>
      <c r="I7474" s="6" t="n">
        <f aca="false">(Sens!I7452+Sens!I7473)*Sens!I7472/1000</f>
        <v>144.136569485434</v>
      </c>
      <c r="J7474" s="6" t="n">
        <f aca="false">(Sens!J7452+Sens!J7473)*Sens!J7472/1000</f>
        <v>114.029037357864</v>
      </c>
      <c r="K7474" s="6" t="n">
        <f aca="false">(Sens!K7452+Sens!K7473)*Sens!K7472/1000</f>
        <v>113.437085350975</v>
      </c>
    </row>
    <row r="7475" customFormat="false" ht="17.15" hidden="false" customHeight="false" outlineLevel="0" collapsed="false">
      <c r="A7475" s="0" t="s">
        <v>992</v>
      </c>
      <c r="B7475" s="0" t="s">
        <v>98</v>
      </c>
      <c r="C7475" s="6" t="n">
        <f aca="false">Sens!C7452*self_build*tk_cxfac/1000</f>
        <v>6.2083</v>
      </c>
      <c r="D7475" s="6" t="n">
        <f aca="false">Sens!D7452*self_build*tk_cxfac/1000</f>
        <v>9.3758</v>
      </c>
      <c r="E7475" s="6" t="n">
        <f aca="false">Sens!E7452*self_build*tk_cxfac/1000</f>
        <v>18.6249</v>
      </c>
      <c r="F7475" s="6" t="n">
        <f aca="false">Sens!F7452*self_build*tk_cxfac/1000</f>
        <v>31.935179717</v>
      </c>
      <c r="G7475" s="6" t="n">
        <f aca="false">Sens!G7452*self_build*tk_cxfac/1000</f>
        <v>34.545199717</v>
      </c>
      <c r="H7475" s="6" t="n">
        <f aca="false">Sens!H7452*self_build*tk_cxfac/1000</f>
        <v>34.545199717</v>
      </c>
      <c r="I7475" s="6" t="n">
        <f aca="false">Sens!I7452*self_build*tk_cxfac/1000</f>
        <v>24.4782641361767</v>
      </c>
      <c r="J7475" s="6" t="n">
        <f aca="false">Sens!J7452*self_build*tk_cxfac/1000</f>
        <v>14.9008938380769</v>
      </c>
      <c r="K7475" s="6" t="n">
        <f aca="false">Sens!K7452*self_build*tk_cxfac/1000</f>
        <v>5.52576771375761</v>
      </c>
    </row>
    <row r="7476" customFormat="false" ht="17.15" hidden="false" customHeight="false" outlineLevel="0" collapsed="false">
      <c r="A7476" s="0" t="s">
        <v>993</v>
      </c>
      <c r="B7476" s="0" t="s">
        <v>98</v>
      </c>
      <c r="F7476" s="15" t="n">
        <f aca="false">capex_floor27-Sens!F7474-Sens!F7475-Sens!F7572</f>
        <v>-0.114545492139435</v>
      </c>
      <c r="L7476" s="12" t="s">
        <v>994</v>
      </c>
    </row>
    <row r="7477" customFormat="false" ht="17.15" hidden="false" customHeight="false" outlineLevel="0" collapsed="false">
      <c r="A7477" s="0" t="s">
        <v>995</v>
      </c>
      <c r="B7477" s="0" t="s">
        <v>98</v>
      </c>
      <c r="F7477" s="6" t="n">
        <f aca="false">MAX(0,Sens!F7476)</f>
        <v>0</v>
      </c>
    </row>
    <row r="7478" customFormat="false" ht="17.15" hidden="false" customHeight="false" outlineLevel="0" collapsed="false">
      <c r="A7478" s="0" t="s">
        <v>996</v>
      </c>
      <c r="B7478" s="0" t="s">
        <v>98</v>
      </c>
      <c r="C7478" s="6" t="n">
        <f aca="false">Sens!C7474</f>
        <v>22.5333845916667</v>
      </c>
      <c r="D7478" s="6" t="n">
        <f aca="false">Sens!D7474</f>
        <v>34.0300093833333</v>
      </c>
      <c r="E7478" s="6" t="n">
        <f aca="false">Sens!E7474</f>
        <v>67.600153775</v>
      </c>
      <c r="F7478" s="6" t="n">
        <f aca="false">Sens!F7474</f>
        <v>136.51872432512</v>
      </c>
      <c r="G7478" s="6" t="n">
        <f aca="false">Sens!G7474</f>
        <v>157.399275932048</v>
      </c>
      <c r="H7478" s="6" t="n">
        <f aca="false">Sens!H7474</f>
        <v>162.260804347512</v>
      </c>
      <c r="I7478" s="6" t="n">
        <f aca="false">Sens!I7474</f>
        <v>144.136569485434</v>
      </c>
      <c r="J7478" s="6" t="n">
        <f aca="false">Sens!J7474</f>
        <v>114.029037357864</v>
      </c>
      <c r="K7478" s="6" t="n">
        <f aca="false">Sens!K7474</f>
        <v>113.437085350975</v>
      </c>
    </row>
    <row r="7479" customFormat="false" ht="17.15" hidden="false" customHeight="false" outlineLevel="0" collapsed="false">
      <c r="A7479" s="0" t="s">
        <v>997</v>
      </c>
      <c r="B7479" s="0" t="s">
        <v>98</v>
      </c>
      <c r="C7479" s="6" t="n">
        <f aca="false">Sens!C7478+Sens!C7475</f>
        <v>28.7416845916667</v>
      </c>
      <c r="D7479" s="6" t="n">
        <f aca="false">Sens!D7478+Sens!D7475</f>
        <v>43.4058093833333</v>
      </c>
      <c r="E7479" s="6" t="n">
        <f aca="false">Sens!E7478+Sens!E7475</f>
        <v>86.225053775</v>
      </c>
      <c r="F7479" s="6" t="n">
        <f aca="false">Sens!F7478+Sens!F7475</f>
        <v>168.45390404212</v>
      </c>
      <c r="G7479" s="6" t="n">
        <f aca="false">Sens!G7478+Sens!G7475</f>
        <v>191.944475649048</v>
      </c>
      <c r="H7479" s="6" t="n">
        <f aca="false">Sens!H7478+Sens!H7475</f>
        <v>196.806004064512</v>
      </c>
      <c r="I7479" s="6" t="n">
        <f aca="false">Sens!I7478+Sens!I7475</f>
        <v>168.61483362161</v>
      </c>
      <c r="J7479" s="6" t="n">
        <f aca="false">Sens!J7478+Sens!J7475</f>
        <v>128.92993119594</v>
      </c>
      <c r="K7479" s="6" t="n">
        <f aca="false">Sens!K7478+Sens!K7475</f>
        <v>118.962853064733</v>
      </c>
      <c r="L7479" s="12" t="s">
        <v>998</v>
      </c>
    </row>
    <row r="7480" customFormat="false" ht="17.15" hidden="false" customHeight="false" outlineLevel="0" collapsed="false">
      <c r="A7480" s="0" t="s">
        <v>999</v>
      </c>
      <c r="B7480" s="0" t="s">
        <v>98</v>
      </c>
      <c r="E7480" s="6" t="n">
        <f aca="false">(Sens!C7478*IF(2&lt;life_it,1,IF(2=life_it,0.5,0))+Sens!D7478*IF(1&lt;life_it,1,IF(1=life_it,0.5,0))+Sens!E7478*0.5)/life_it</f>
        <v>15.0605784770833</v>
      </c>
      <c r="F7480" s="6" t="n">
        <f aca="false">(Sens!C7478*IF(3&lt;life_it,1,IF(3=life_it,0.5,0))+Sens!D7478*IF(2&lt;life_it,1,IF(2=life_it,0.5,0))+Sens!E7478*IF(1&lt;life_it,1,IF(1=life_it,0.5,0))+Sens!F7478*0.5)/life_it</f>
        <v>32.0704849854266</v>
      </c>
      <c r="G7480" s="6" t="n">
        <f aca="false">(Sens!C7478*IF(4&lt;life_it,1,IF(4=life_it,0.5,0))+Sens!D7478*IF(3&lt;life_it,1,IF(3=life_it,0.5,0))+Sens!E7478*IF(2&lt;life_it,1,IF(2=life_it,0.5,0))+Sens!F7478*IF(1&lt;life_it,1,IF(1=life_it,0.5,0))+Sens!G7478*0.5)/life_it</f>
        <v>56.5636516735239</v>
      </c>
      <c r="H7480" s="6" t="n">
        <f aca="false">(Sens!C7478*IF(5&lt;life_it,1,IF(5=life_it,0.5,0))+Sens!D7478*IF(4&lt;life_it,1,IF(4=life_it,0.5,0))+Sens!E7478*IF(3&lt;life_it,1,IF(3=life_it,0.5,0))+Sens!F7478*IF(2&lt;life_it,1,IF(2=life_it,0.5,0))+Sens!G7478*IF(1&lt;life_it,1,IF(1=life_it,0.5,0))+Sens!H7478*0.5)/life_it</f>
        <v>83.2019916968207</v>
      </c>
      <c r="I7480" s="6" t="n">
        <f aca="false">(Sens!C7478*IF(6&lt;life_it,1,IF(6=life_it,0.5,0))+Sens!D7478*IF(5&lt;life_it,1,IF(5=life_it,0.5,0))+Sens!E7478*IF(4&lt;life_it,1,IF(4=life_it,0.5,0))+Sens!F7478*IF(3&lt;life_it,1,IF(3=life_it,0.5,0))+Sens!G7478*IF(2&lt;life_it,1,IF(2=life_it,0.5,0))+Sens!H7478*IF(1&lt;life_it,1,IF(1=life_it,0.5,0))+Sens!I7478*0.5)/life_it</f>
        <v>106.857324133594</v>
      </c>
      <c r="J7480" s="6" t="n">
        <f aca="false">(Sens!C7478*IF(7&lt;life_it,1,IF(7=life_it,0.5,0))+Sens!D7478*IF(6&lt;life_it,1,IF(6=life_it,0.5,0))+Sens!E7478*IF(5&lt;life_it,1,IF(5=life_it,0.5,0))+Sens!F7478*IF(4&lt;life_it,1,IF(4=life_it,0.5,0))+Sens!G7478*IF(3&lt;life_it,1,IF(3=life_it,0.5,0))+Sens!H7478*IF(2&lt;life_it,1,IF(2=life_it,0.5,0))+Sens!I7478*IF(1&lt;life_it,1,IF(1=life_it,0.5,0))+Sens!J7478*0.5)/life_it</f>
        <v>123.657508539285</v>
      </c>
      <c r="K7480" s="6" t="n">
        <f aca="false">(Sens!C7478*IF(8&lt;life_it,1,IF(8=life_it,0.5,0))+Sens!D7478*IF(7&lt;life_it,1,IF(7=life_it,0.5,0))+Sens!E7478*IF(6&lt;life_it,1,IF(6=life_it,0.5,0))+Sens!F7478*IF(5&lt;life_it,1,IF(5=life_it,0.5,0))+Sens!G7478*IF(4&lt;life_it,1,IF(4=life_it,0.5,0))+Sens!H7478*IF(3&lt;life_it,1,IF(3=life_it,0.5,0))+Sens!I7478*IF(2&lt;life_it,1,IF(2=life_it,0.5,0))+Sens!J7478*IF(1&lt;life_it,1,IF(1=life_it,0.5,0))+Sens!K7478*0.5)/life_it</f>
        <v>134.143838501827</v>
      </c>
    </row>
    <row r="7481" customFormat="false" ht="17.15" hidden="false" customHeight="false" outlineLevel="0" collapsed="false">
      <c r="A7481" s="0" t="s">
        <v>1000</v>
      </c>
      <c r="B7481" s="0" t="s">
        <v>98</v>
      </c>
      <c r="E7481" s="6" t="n">
        <f aca="false">(Sens!C7475*IF(2&lt;life_fac,1,IF(2=life_fac,0.5,0))+Sens!D7475*IF(1&lt;life_fac,1,IF(1=life_fac,0.5,0))+Sens!E7475*0.5)/life_fac</f>
        <v>1.2448275</v>
      </c>
      <c r="F7481" s="6" t="n">
        <f aca="false">(Sens!C7475*IF(3&lt;life_fac,1,IF(3=life_fac,0.5,0))+Sens!D7475*IF(2&lt;life_fac,1,IF(2=life_fac,0.5,0))+Sens!E7475*IF(1&lt;life_fac,1,IF(1=life_fac,0.5,0))+Sens!F7475*0.5)/life_fac</f>
        <v>2.508829492925</v>
      </c>
      <c r="G7481" s="6" t="n">
        <f aca="false">(Sens!C7475*IF(4&lt;life_fac,1,IF(4=life_fac,0.5,0))+Sens!D7475*IF(3&lt;life_fac,1,IF(3=life_fac,0.5,0))+Sens!E7475*IF(2&lt;life_fac,1,IF(2=life_fac,0.5,0))+Sens!F7475*IF(1&lt;life_fac,1,IF(1=life_fac,0.5,0))+Sens!G7475*0.5)/life_fac</f>
        <v>4.170838978775</v>
      </c>
      <c r="H7481" s="6" t="n">
        <f aca="false">(Sens!C7475*IF(5&lt;life_fac,1,IF(5=life_fac,0.5,0))+Sens!D7475*IF(4&lt;life_fac,1,IF(4=life_fac,0.5,0))+Sens!E7475*IF(3&lt;life_fac,1,IF(3=life_fac,0.5,0))+Sens!F7475*IF(2&lt;life_fac,1,IF(2=life_fac,0.5,0))+Sens!G7475*IF(1&lt;life_fac,1,IF(1=life_fac,0.5,0))+Sens!H7475*0.5)/life_fac</f>
        <v>5.898098964625</v>
      </c>
      <c r="I7481" s="6" t="n">
        <f aca="false">(Sens!C7475*IF(6&lt;life_fac,1,IF(6=life_fac,0.5,0))+Sens!D7475*IF(5&lt;life_fac,1,IF(5=life_fac,0.5,0))+Sens!E7475*IF(4&lt;life_fac,1,IF(4=life_fac,0.5,0))+Sens!F7475*IF(3&lt;life_fac,1,IF(3=life_fac,0.5,0))+Sens!G7475*IF(2&lt;life_fac,1,IF(2=life_fac,0.5,0))+Sens!H7475*IF(1&lt;life_fac,1,IF(1=life_fac,0.5,0))+Sens!I7475*0.5)/life_fac</f>
        <v>7.37368556095442</v>
      </c>
      <c r="J7481" s="6" t="n">
        <f aca="false">(Sens!C7475*IF(7&lt;life_fac,1,IF(7=life_fac,0.5,0))+Sens!D7475*IF(6&lt;life_fac,1,IF(6=life_fac,0.5,0))+Sens!E7475*IF(5&lt;life_fac,1,IF(5=life_fac,0.5,0))+Sens!F7475*IF(4&lt;life_fac,1,IF(4=life_fac,0.5,0))+Sens!G7475*IF(3&lt;life_fac,1,IF(3=life_fac,0.5,0))+Sens!H7475*IF(2&lt;life_fac,1,IF(2=life_fac,0.5,0))+Sens!I7475*IF(1&lt;life_fac,1,IF(1=life_fac,0.5,0))+Sens!J7475*0.5)/life_fac</f>
        <v>8.35816451031075</v>
      </c>
      <c r="K7481" s="6" t="n">
        <f aca="false">(Sens!C7475*IF(8&lt;life_fac,1,IF(8=life_fac,0.5,0))+Sens!D7475*IF(7&lt;life_fac,1,IF(7=life_fac,0.5,0))+Sens!E7475*IF(6&lt;life_fac,1,IF(6=life_fac,0.5,0))+Sens!F7475*IF(5&lt;life_fac,1,IF(5=life_fac,0.5,0))+Sens!G7475*IF(4&lt;life_fac,1,IF(4=life_fac,0.5,0))+Sens!H7475*IF(3&lt;life_fac,1,IF(3=life_fac,0.5,0))+Sens!I7475*IF(2&lt;life_fac,1,IF(2=life_fac,0.5,0))+Sens!J7475*IF(1&lt;life_fac,1,IF(1=life_fac,0.5,0))+Sens!K7475*0.5)/life_fac</f>
        <v>8.86883104910662</v>
      </c>
    </row>
    <row r="7482" customFormat="false" ht="17.15" hidden="false" customHeight="false" outlineLevel="0" collapsed="false">
      <c r="A7482" s="0" t="s">
        <v>1001</v>
      </c>
      <c r="B7482" s="0" t="s">
        <v>98</v>
      </c>
      <c r="E7482" s="6" t="n">
        <f aca="false">Sens!E7480+Sens!E7481</f>
        <v>16.3054059770833</v>
      </c>
      <c r="F7482" s="6" t="n">
        <f aca="false">Sens!F7480+Sens!F7481</f>
        <v>34.5793144783516</v>
      </c>
      <c r="G7482" s="6" t="n">
        <f aca="false">Sens!G7480+Sens!G7481</f>
        <v>60.7344906522989</v>
      </c>
      <c r="H7482" s="6" t="n">
        <f aca="false">Sens!H7480+Sens!H7481</f>
        <v>89.1000906614457</v>
      </c>
      <c r="I7482" s="6" t="n">
        <f aca="false">Sens!I7480+Sens!I7481</f>
        <v>114.231009694548</v>
      </c>
      <c r="J7482" s="6" t="n">
        <f aca="false">Sens!J7480+Sens!J7481</f>
        <v>132.015673049596</v>
      </c>
      <c r="K7482" s="6" t="n">
        <f aca="false">Sens!K7480+Sens!K7481</f>
        <v>143.012669550934</v>
      </c>
    </row>
    <row r="7483" customFormat="false" ht="17.15" hidden="false" customHeight="false" outlineLevel="0" collapsed="false">
      <c r="A7483" s="0" t="s">
        <v>1002</v>
      </c>
      <c r="B7483" s="0" t="s">
        <v>98</v>
      </c>
      <c r="E7483" s="6" t="n">
        <f aca="false">Sens!E7470-Sens!E7469*Sens!E7482</f>
        <v>8.92707889977379</v>
      </c>
      <c r="F7483" s="6" t="n">
        <f aca="false">Sens!F7470-Sens!F7469*Sens!F7482</f>
        <v>18.7770356668733</v>
      </c>
      <c r="G7483" s="6" t="n">
        <f aca="false">Sens!G7470-Sens!G7469*Sens!G7482</f>
        <v>31.1163641458894</v>
      </c>
      <c r="H7483" s="6" t="n">
        <f aca="false">Sens!H7470-Sens!H7469*Sens!H7482</f>
        <v>43.7262635496428</v>
      </c>
      <c r="I7483" s="6" t="n">
        <f aca="false">Sens!I7470-Sens!I7469*Sens!I7482</f>
        <v>54.7541698336361</v>
      </c>
      <c r="J7483" s="6" t="n">
        <f aca="false">Sens!J7470-Sens!J7469*Sens!J7482</f>
        <v>62.3768819327658</v>
      </c>
      <c r="K7483" s="6" t="n">
        <f aca="false">Sens!K7470-Sens!K7469*Sens!K7482</f>
        <v>67.4820630434748</v>
      </c>
    </row>
    <row r="7484" customFormat="false" ht="17.15" hidden="false" customHeight="false" outlineLevel="0" collapsed="false">
      <c r="A7484" s="3" t="s">
        <v>1666</v>
      </c>
    </row>
    <row r="7485" customFormat="false" ht="15" hidden="false" customHeight="false" outlineLevel="0" collapsed="false">
      <c r="A7485" s="4" t="s">
        <v>43</v>
      </c>
      <c r="B7485" s="4" t="s">
        <v>65</v>
      </c>
      <c r="C7485" s="23" t="s">
        <v>938</v>
      </c>
      <c r="D7485" s="23" t="s">
        <v>939</v>
      </c>
      <c r="E7485" s="23" t="s">
        <v>940</v>
      </c>
      <c r="F7485" s="23" t="s">
        <v>941</v>
      </c>
      <c r="G7485" s="23" t="s">
        <v>942</v>
      </c>
      <c r="H7485" s="23" t="s">
        <v>943</v>
      </c>
      <c r="I7485" s="23" t="s">
        <v>944</v>
      </c>
      <c r="J7485" s="23" t="s">
        <v>945</v>
      </c>
      <c r="K7485" s="23" t="s">
        <v>946</v>
      </c>
      <c r="L7485" s="4" t="s">
        <v>47</v>
      </c>
    </row>
    <row r="7486" customFormat="false" ht="17.15" hidden="false" customHeight="false" outlineLevel="0" collapsed="false">
      <c r="A7486" s="0" t="s">
        <v>1021</v>
      </c>
      <c r="B7486" s="0" t="s">
        <v>98</v>
      </c>
      <c r="D7486" s="6" t="n">
        <f aca="false">Sens!D7464</f>
        <v>12.9359794422418</v>
      </c>
      <c r="E7486" s="6" t="n">
        <f aca="false">Sens!E7464</f>
        <v>27.8095064661409</v>
      </c>
      <c r="F7486" s="6" t="n">
        <f aca="false">Sens!F7464</f>
        <v>55.4118315060966</v>
      </c>
      <c r="G7486" s="6" t="n">
        <f aca="false">Sens!G7464</f>
        <v>91.2881100675143</v>
      </c>
      <c r="H7486" s="6" t="n">
        <f aca="false">Sens!H7464</f>
        <v>128.195273603944</v>
      </c>
      <c r="I7486" s="6" t="n">
        <f aca="false">Sens!I7464</f>
        <v>160.601281810405</v>
      </c>
      <c r="J7486" s="6" t="n">
        <f aca="false">Sens!J7464</f>
        <v>183.182719793589</v>
      </c>
      <c r="K7486" s="6" t="n">
        <f aca="false">Sens!K7464</f>
        <v>197.320124937098</v>
      </c>
    </row>
    <row r="7487" customFormat="false" ht="17.15" hidden="false" customHeight="false" outlineLevel="0" collapsed="false">
      <c r="A7487" s="0" t="s">
        <v>1022</v>
      </c>
      <c r="B7487" s="0" t="s">
        <v>98</v>
      </c>
      <c r="D7487" s="6" t="n">
        <f aca="false">Q!L6-Sens!D7486</f>
        <v>59.6740205577583</v>
      </c>
      <c r="E7487" s="6" t="n">
        <f aca="false">Q!M6-Sens!E7486</f>
        <v>74.1284935338591</v>
      </c>
      <c r="F7487" s="6" t="n">
        <f aca="false">Q!$I$6+(Sens!F7486+Sens!E7487*(1+Sens!F7488))*(1-Q!$E$6/Q!M6)-Sens!F7486</f>
        <v>91.2972164940844</v>
      </c>
      <c r="G7487" s="6" t="n">
        <f aca="false">Sens!F7487*(1+Sens!G7488)</f>
        <v>108.474719793879</v>
      </c>
      <c r="H7487" s="6" t="n">
        <f aca="false">Sens!G7487*(1+Sens!H7488)</f>
        <v>125.951292505701</v>
      </c>
      <c r="I7487" s="6" t="n">
        <f aca="false">Sens!H7487*(1+Sens!I7488)</f>
        <v>142.838165154212</v>
      </c>
      <c r="J7487" s="6" t="n">
        <f aca="false">Sens!I7487*(1+Sens!J7488)</f>
        <v>158.12717866615</v>
      </c>
      <c r="K7487" s="6" t="n">
        <f aca="false">Sens!J7487*(1+Sens!K7488)</f>
        <v>170.777352959442</v>
      </c>
      <c r="L7487" s="12" t="s">
        <v>1023</v>
      </c>
    </row>
    <row r="7488" customFormat="false" ht="15" hidden="false" customHeight="false" outlineLevel="0" collapsed="false">
      <c r="A7488" s="1" t="s">
        <v>1024</v>
      </c>
      <c r="B7488" s="0" t="s">
        <v>168</v>
      </c>
      <c r="E7488" s="7" t="n">
        <f aca="false">Sens!E7487/Sens!D7487-1</f>
        <v>0.242223883039864</v>
      </c>
      <c r="F7488" s="7" t="n">
        <f aca="false">Sens!$E$7488+(glt_azo-Sens!$E$7488)*MIN(1,(Sens!F7445-base_fy)/n_conv)</f>
        <v>0.215186569199887</v>
      </c>
      <c r="G7488" s="7" t="n">
        <f aca="false">Sens!$E$7488+(glt_azo-Sens!$E$7488)*MIN(1,(Sens!G7445-base_fy)/n_conv)</f>
        <v>0.18814925535991</v>
      </c>
      <c r="H7488" s="7" t="n">
        <f aca="false">Sens!$E$7488+(glt_azo-Sens!$E$7488)*MIN(1,(Sens!H7445-base_fy)/n_conv)</f>
        <v>0.161111941519932</v>
      </c>
      <c r="I7488" s="7" t="n">
        <f aca="false">Sens!$E$7488+(glt_azo-Sens!$E$7488)*MIN(1,(Sens!I7445-base_fy)/n_conv)</f>
        <v>0.134074627679955</v>
      </c>
      <c r="J7488" s="7" t="n">
        <f aca="false">Sens!$E$7488+(glt_azo-Sens!$E$7488)*MIN(1,(Sens!J7445-base_fy)/n_conv)</f>
        <v>0.107037313839977</v>
      </c>
      <c r="K7488" s="7" t="n">
        <f aca="false">Sens!$E$7488+(glt_azo-Sens!$E$7488)*MIN(1,(Sens!K7445-base_fy)/n_conv)</f>
        <v>0.08</v>
      </c>
    </row>
    <row r="7489" customFormat="false" ht="15" hidden="false" customHeight="false" outlineLevel="0" collapsed="false">
      <c r="A7489" s="0" t="s">
        <v>1025</v>
      </c>
      <c r="B7489" s="0" t="s">
        <v>98</v>
      </c>
      <c r="D7489" s="6" t="n">
        <f aca="false">Sens!D7486+Sens!D7487</f>
        <v>72.61</v>
      </c>
      <c r="E7489" s="6" t="n">
        <f aca="false">Sens!E7486+Sens!E7487</f>
        <v>101.938</v>
      </c>
      <c r="F7489" s="6" t="n">
        <f aca="false">Sens!F7486+Sens!F7487</f>
        <v>146.709048000181</v>
      </c>
      <c r="G7489" s="6" t="n">
        <f aca="false">Sens!G7486+Sens!G7487</f>
        <v>199.762829861393</v>
      </c>
      <c r="H7489" s="6" t="n">
        <f aca="false">Sens!H7486+Sens!H7487</f>
        <v>254.146566109645</v>
      </c>
      <c r="I7489" s="6" t="n">
        <f aca="false">Sens!I7486+Sens!I7487</f>
        <v>303.439446964617</v>
      </c>
      <c r="J7489" s="6" t="n">
        <f aca="false">Sens!J7486+Sens!J7487</f>
        <v>341.309898459739</v>
      </c>
      <c r="K7489" s="6" t="n">
        <f aca="false">Sens!K7486+Sens!K7487</f>
        <v>368.09747789654</v>
      </c>
    </row>
    <row r="7490" customFormat="false" ht="17.15" hidden="false" customHeight="false" outlineLevel="0" collapsed="false">
      <c r="A7490" s="0" t="s">
        <v>1026</v>
      </c>
      <c r="B7490" s="1" t="s">
        <v>610</v>
      </c>
      <c r="C7490" s="30" t="n">
        <f aca="false">cop_s24</f>
        <v>1</v>
      </c>
      <c r="D7490" s="30" t="n">
        <f aca="false">cop_s25</f>
        <v>5</v>
      </c>
      <c r="E7490" s="30" t="n">
        <f aca="false">cop_s26</f>
        <v>30</v>
      </c>
      <c r="F7490" s="30" t="n">
        <f aca="false">Sens!E7490+cop_add_B*1.5</f>
        <v>60</v>
      </c>
      <c r="G7490" s="30" t="n">
        <f aca="false">Sens!F7490+cop_add_B*1.5</f>
        <v>90</v>
      </c>
      <c r="H7490" s="30" t="n">
        <f aca="false">Sens!G7490+cop_add_B*1.5</f>
        <v>120</v>
      </c>
      <c r="I7490" s="30" t="n">
        <f aca="false">Sens!H7490+cop_add_B*1.5*cop_tail</f>
        <v>135</v>
      </c>
      <c r="J7490" s="30" t="n">
        <f aca="false">Sens!I7490+cop_add_B*1.5*cop_tail</f>
        <v>150</v>
      </c>
      <c r="K7490" s="30" t="n">
        <f aca="false">Sens!J7490+cop_add_B*1.5*cop_tail</f>
        <v>165</v>
      </c>
      <c r="L7490" s="12" t="s">
        <v>1027</v>
      </c>
    </row>
    <row r="7491" customFormat="false" ht="17.15" hidden="false" customHeight="false" outlineLevel="0" collapsed="false">
      <c r="A7491" s="0" t="s">
        <v>1028</v>
      </c>
      <c r="B7491" s="0" t="s">
        <v>98</v>
      </c>
      <c r="D7491" s="6" t="n">
        <f aca="false">(Sens!C7490+Sens!D7490)/2*cop_px*12/1000</f>
        <v>0.9</v>
      </c>
      <c r="E7491" s="6" t="n">
        <f aca="false">(Sens!D7490+Sens!E7490)/2*cop_px*12/1000</f>
        <v>5.25</v>
      </c>
      <c r="F7491" s="6" t="n">
        <f aca="false">(Sens!E7490+Sens!F7490)/2*cop_px*12/1000</f>
        <v>13.5</v>
      </c>
      <c r="G7491" s="6" t="n">
        <f aca="false">(Sens!F7490+Sens!G7490)/2*cop_px*12/1000</f>
        <v>22.5</v>
      </c>
      <c r="H7491" s="6" t="n">
        <f aca="false">(Sens!G7490+Sens!H7490)/2*cop_px*12/1000</f>
        <v>31.5</v>
      </c>
      <c r="I7491" s="6" t="n">
        <f aca="false">(Sens!H7490+Sens!I7490)/2*cop_px*12/1000</f>
        <v>38.25</v>
      </c>
      <c r="J7491" s="6" t="n">
        <f aca="false">(Sens!I7490+Sens!J7490)/2*cop_px*12/1000</f>
        <v>42.75</v>
      </c>
      <c r="K7491" s="6" t="n">
        <f aca="false">(Sens!J7490+Sens!K7490)/2*cop_px*12/1000</f>
        <v>47.25</v>
      </c>
      <c r="L7491" s="1" t="s">
        <v>1029</v>
      </c>
    </row>
    <row r="7492" customFormat="false" ht="17.15" hidden="false" customHeight="false" outlineLevel="0" collapsed="false">
      <c r="A7492" s="0" t="s">
        <v>1030</v>
      </c>
      <c r="B7492" s="0" t="s">
        <v>98</v>
      </c>
      <c r="D7492" s="6" t="n">
        <f aca="false">Q!L7-Sens!D7491</f>
        <v>83.705</v>
      </c>
      <c r="E7492" s="6" t="n">
        <f aca="false">Q!M7-Sens!E7491</f>
        <v>95.049</v>
      </c>
      <c r="F7492" s="6" t="n">
        <f aca="false">Q!$I$7+(Sens!E7492*(1+Sens!F7493)+Sens!F7491)*(1-Q!$E$7/Q!M7)-Sens!F7491</f>
        <v>106.229653205718</v>
      </c>
      <c r="G7492" s="6" t="n">
        <f aca="false">Sens!F7492*(1+Sens!G7493)</f>
        <v>118.306092647576</v>
      </c>
      <c r="H7492" s="6" t="n">
        <f aca="false">Sens!G7492*(1+Sens!H7493)</f>
        <v>130.463437602768</v>
      </c>
      <c r="I7492" s="6" t="n">
        <f aca="false">Sens!H7492*(1+Sens!I7493)</f>
        <v>142.445354741933</v>
      </c>
      <c r="J7492" s="6" t="n">
        <f aca="false">Sens!I7492*(1+Sens!J7493)</f>
        <v>153.972117481571</v>
      </c>
      <c r="K7492" s="6" t="n">
        <f aca="false">Sens!J7492*(1+Sens!K7493)</f>
        <v>164.75016570528</v>
      </c>
      <c r="L7492" s="12" t="s">
        <v>1031</v>
      </c>
    </row>
    <row r="7493" customFormat="false" ht="15" hidden="false" customHeight="false" outlineLevel="0" collapsed="false">
      <c r="A7493" s="1" t="s">
        <v>1024</v>
      </c>
      <c r="B7493" s="0" t="s">
        <v>168</v>
      </c>
      <c r="E7493" s="7" t="n">
        <f aca="false">Sens!E7492/Sens!D7492-1</f>
        <v>0.135523564900544</v>
      </c>
      <c r="F7493" s="7" t="n">
        <f aca="false">Sens!$E$7493+(glt_m365b-Sens!$E$7493)*MIN(1,(Sens!F7445-base_fy)/n_conv)</f>
        <v>0.124602970750453</v>
      </c>
      <c r="G7493" s="7" t="n">
        <f aca="false">Sens!$E$7493+(glt_m365b-Sens!$E$7493)*MIN(1,(Sens!G7445-base_fy)/n_conv)</f>
        <v>0.113682376600363</v>
      </c>
      <c r="H7493" s="7" t="n">
        <f aca="false">Sens!$E$7493+(glt_m365b-Sens!$E$7493)*MIN(1,(Sens!H7445-base_fy)/n_conv)</f>
        <v>0.102761782450272</v>
      </c>
      <c r="I7493" s="7" t="n">
        <f aca="false">Sens!$E$7493+(glt_m365b-Sens!$E$7493)*MIN(1,(Sens!I7445-base_fy)/n_conv)</f>
        <v>0.0918411883001813</v>
      </c>
      <c r="J7493" s="7" t="n">
        <f aca="false">Sens!$E$7493+(glt_m365b-Sens!$E$7493)*MIN(1,(Sens!J7445-base_fy)/n_conv)</f>
        <v>0.0809205941500906</v>
      </c>
      <c r="K7493" s="7" t="n">
        <f aca="false">Sens!$E$7493+(glt_m365b-Sens!$E$7493)*MIN(1,(Sens!K7445-base_fy)/n_conv)</f>
        <v>0.07</v>
      </c>
    </row>
    <row r="7494" customFormat="false" ht="15" hidden="false" customHeight="false" outlineLevel="0" collapsed="false">
      <c r="A7494" s="0" t="s">
        <v>1032</v>
      </c>
      <c r="B7494" s="0" t="s">
        <v>98</v>
      </c>
      <c r="D7494" s="6" t="n">
        <f aca="false">Sens!D7492+Sens!D7491</f>
        <v>84.605</v>
      </c>
      <c r="E7494" s="6" t="n">
        <f aca="false">Sens!E7492+Sens!E7491</f>
        <v>100.299</v>
      </c>
      <c r="F7494" s="6" t="n">
        <f aca="false">Sens!F7492+Sens!F7491</f>
        <v>119.729653205718</v>
      </c>
      <c r="G7494" s="6" t="n">
        <f aca="false">Sens!G7492+Sens!G7491</f>
        <v>140.806092647576</v>
      </c>
      <c r="H7494" s="6" t="n">
        <f aca="false">Sens!H7492+Sens!H7491</f>
        <v>161.963437602768</v>
      </c>
      <c r="I7494" s="6" t="n">
        <f aca="false">Sens!I7492+Sens!I7491</f>
        <v>180.695354741933</v>
      </c>
      <c r="J7494" s="6" t="n">
        <f aca="false">Sens!J7492+Sens!J7491</f>
        <v>196.722117481571</v>
      </c>
      <c r="K7494" s="6" t="n">
        <f aca="false">Sens!K7492+Sens!K7491</f>
        <v>212.00016570528</v>
      </c>
    </row>
    <row r="7495" customFormat="false" ht="17.15" hidden="false" customHeight="false" outlineLevel="0" collapsed="false">
      <c r="A7495" s="0" t="s">
        <v>1033</v>
      </c>
      <c r="B7495" s="0" t="s">
        <v>98</v>
      </c>
      <c r="D7495" s="6" t="n">
        <f aca="false">Q!L8</f>
        <v>35.391</v>
      </c>
      <c r="E7495" s="6" t="n">
        <f aca="false">Q!M8</f>
        <v>37.285</v>
      </c>
      <c r="F7495" s="6" t="n">
        <f aca="false">Q!$I$8+(Q!M8-Q!$E$8)*(1+Sens!F7496)</f>
        <v>38.3851437782675</v>
      </c>
      <c r="G7495" s="6" t="n">
        <f aca="false">Sens!F7495*(1+Sens!G7496)</f>
        <v>40.0105353288615</v>
      </c>
      <c r="H7495" s="6" t="n">
        <f aca="false">Sens!G7495*(1+Sens!H7496)</f>
        <v>41.4812512033683</v>
      </c>
      <c r="I7495" s="6" t="n">
        <f aca="false">Sens!H7495*(1+Sens!I7496)</f>
        <v>42.7743107216329</v>
      </c>
      <c r="J7495" s="6" t="n">
        <f aca="false">Sens!I7495*(1+Sens!J7496)</f>
        <v>43.8687373064601</v>
      </c>
      <c r="K7495" s="6" t="n">
        <f aca="false">Sens!J7495*(1+Sens!K7496)</f>
        <v>44.7461120525893</v>
      </c>
      <c r="L7495" s="12" t="s">
        <v>1034</v>
      </c>
    </row>
    <row r="7496" customFormat="false" ht="15" hidden="false" customHeight="false" outlineLevel="0" collapsed="false">
      <c r="A7496" s="1" t="s">
        <v>1024</v>
      </c>
      <c r="B7496" s="0" t="s">
        <v>168</v>
      </c>
      <c r="E7496" s="7" t="n">
        <f aca="false">Sens!E7495/Sens!D7495-1</f>
        <v>0.0535164307309768</v>
      </c>
      <c r="F7496" s="7" t="n">
        <f aca="false">Sens!$E$7496+(glt_lic-Sens!$E$7496)*MIN(1,(Sens!F7445-base_fy)/n_conv)</f>
        <v>0.0479303589424807</v>
      </c>
      <c r="G7496" s="7" t="n">
        <f aca="false">Sens!$E$7496+(glt_lic-Sens!$E$7496)*MIN(1,(Sens!G7445-base_fy)/n_conv)</f>
        <v>0.0423442871539845</v>
      </c>
      <c r="H7496" s="7" t="n">
        <f aca="false">Sens!$E$7496+(glt_lic-Sens!$E$7496)*MIN(1,(Sens!H7445-base_fy)/n_conv)</f>
        <v>0.0367582153654884</v>
      </c>
      <c r="I7496" s="7" t="n">
        <f aca="false">Sens!$E$7496+(glt_lic-Sens!$E$7496)*MIN(1,(Sens!I7445-base_fy)/n_conv)</f>
        <v>0.0311721435769923</v>
      </c>
      <c r="J7496" s="7" t="n">
        <f aca="false">Sens!$E$7496+(glt_lic-Sens!$E$7496)*MIN(1,(Sens!J7445-base_fy)/n_conv)</f>
        <v>0.0255860717884961</v>
      </c>
      <c r="K7496" s="7" t="n">
        <f aca="false">Sens!$E$7496+(glt_lic-Sens!$E$7496)*MIN(1,(Sens!K7445-base_fy)/n_conv)</f>
        <v>0.02</v>
      </c>
    </row>
    <row r="7497" customFormat="false" ht="17.15" hidden="false" customHeight="false" outlineLevel="0" collapsed="false">
      <c r="A7497" s="0" t="s">
        <v>1035</v>
      </c>
      <c r="B7497" s="0" t="s">
        <v>98</v>
      </c>
      <c r="D7497" s="6" t="n">
        <f aca="false">Q!L9</f>
        <v>18.417</v>
      </c>
      <c r="E7497" s="6" t="n">
        <f aca="false">Q!M9</f>
        <v>20.345</v>
      </c>
      <c r="F7497" s="6" t="n">
        <f aca="false">Q!$I$9+(Q!M9-Q!$E$9)*(1+Sens!F7498)</f>
        <v>22.3161797133988</v>
      </c>
      <c r="G7497" s="6" t="n">
        <f aca="false">Sens!F7497*(1+Sens!G7498)</f>
        <v>24.3943499673233</v>
      </c>
      <c r="H7497" s="6" t="n">
        <f aca="false">Sens!G7497*(1+Sens!H7498)</f>
        <v>26.5250243109019</v>
      </c>
      <c r="I7497" s="6" t="n">
        <f aca="false">Sens!H7497*(1+Sens!I7498)</f>
        <v>28.6884573538181</v>
      </c>
      <c r="J7497" s="6" t="n">
        <f aca="false">Sens!I7497*(1+Sens!J7498)</f>
        <v>30.8624968052127</v>
      </c>
      <c r="K7497" s="6" t="n">
        <f aca="false">Sens!J7497*(1+Sens!K7498)</f>
        <v>33.0228715815776</v>
      </c>
      <c r="L7497" s="12" t="s">
        <v>1034</v>
      </c>
    </row>
    <row r="7498" customFormat="false" ht="15" hidden="false" customHeight="false" outlineLevel="0" collapsed="false">
      <c r="A7498" s="1" t="s">
        <v>1024</v>
      </c>
      <c r="B7498" s="0" t="s">
        <v>168</v>
      </c>
      <c r="E7498" s="7" t="n">
        <f aca="false">Sens!E7497/Sens!D7497-1</f>
        <v>0.104685888038225</v>
      </c>
      <c r="F7498" s="7" t="n">
        <f aca="false">Sens!$E$7498+(glt_ind-Sens!$E$7498)*MIN(1,(Sens!F7445-base_fy)/n_conv)</f>
        <v>0.0989049066985211</v>
      </c>
      <c r="G7498" s="7" t="n">
        <f aca="false">Sens!$E$7498+(glt_ind-Sens!$E$7498)*MIN(1,(Sens!G7445-base_fy)/n_conv)</f>
        <v>0.0931239253588169</v>
      </c>
      <c r="H7498" s="7" t="n">
        <f aca="false">Sens!$E$7498+(glt_ind-Sens!$E$7498)*MIN(1,(Sens!H7445-base_fy)/n_conv)</f>
        <v>0.0873429440191127</v>
      </c>
      <c r="I7498" s="7" t="n">
        <f aca="false">Sens!$E$7498+(glt_ind-Sens!$E$7498)*MIN(1,(Sens!I7445-base_fy)/n_conv)</f>
        <v>0.0815619626794085</v>
      </c>
      <c r="J7498" s="7" t="n">
        <f aca="false">Sens!$E$7498+(glt_ind-Sens!$E$7498)*MIN(1,(Sens!J7445-base_fy)/n_conv)</f>
        <v>0.0757809813397042</v>
      </c>
      <c r="K7498" s="7" t="n">
        <f aca="false">Sens!$E$7498+(glt_ind-Sens!$E$7498)*MIN(1,(Sens!K7445-base_fy)/n_conv)</f>
        <v>0.07</v>
      </c>
    </row>
    <row r="7499" customFormat="false" ht="17.15" hidden="false" customHeight="false" outlineLevel="0" collapsed="false">
      <c r="A7499" s="0" t="s">
        <v>1036</v>
      </c>
      <c r="B7499" s="0" t="s">
        <v>98</v>
      </c>
      <c r="D7499" s="6" t="n">
        <f aca="false">Q!L10</f>
        <v>7.76</v>
      </c>
      <c r="E7499" s="6" t="n">
        <f aca="false">Q!M10</f>
        <v>8.26</v>
      </c>
      <c r="F7499" s="6" t="n">
        <f aca="false">Q!$I$10+(Q!M10-Q!$E$10)*(1+Sens!F7500)</f>
        <v>8.75372082474227</v>
      </c>
      <c r="G7499" s="6" t="n">
        <f aca="false">Sens!F7499*(1+Sens!G7500)</f>
        <v>9.33399324642364</v>
      </c>
      <c r="H7499" s="6" t="n">
        <f aca="false">Sens!G7499*(1+Sens!H7500)</f>
        <v>9.96139155535851</v>
      </c>
      <c r="I7499" s="6" t="n">
        <f aca="false">Sens!H7499*(1+Sens!I7500)</f>
        <v>10.6402039077391</v>
      </c>
      <c r="J7499" s="6" t="n">
        <f aca="false">Sens!I7499*(1+Sens!J7500)</f>
        <v>11.3751458271397</v>
      </c>
      <c r="K7499" s="6" t="n">
        <f aca="false">Sens!J7499*(1+Sens!K7500)</f>
        <v>12.1714060350394</v>
      </c>
      <c r="L7499" s="12" t="s">
        <v>1034</v>
      </c>
    </row>
    <row r="7500" customFormat="false" ht="15" hidden="false" customHeight="false" outlineLevel="0" collapsed="false">
      <c r="A7500" s="1" t="s">
        <v>1024</v>
      </c>
      <c r="B7500" s="0" t="s">
        <v>168</v>
      </c>
      <c r="E7500" s="7" t="n">
        <f aca="false">Sens!E7499/Sens!D7499-1</f>
        <v>0.0644329896907216</v>
      </c>
      <c r="F7500" s="7" t="n">
        <f aca="false">Sens!$E$7500+(glt_fro-Sens!$E$7500)*MIN(1,(Sens!F7445-base_fy)/n_conv)</f>
        <v>0.065360824742268</v>
      </c>
      <c r="G7500" s="7" t="n">
        <f aca="false">Sens!$E$7500+(glt_fro-Sens!$E$7500)*MIN(1,(Sens!G7445-base_fy)/n_conv)</f>
        <v>0.0662886597938144</v>
      </c>
      <c r="H7500" s="7" t="n">
        <f aca="false">Sens!$E$7500+(glt_fro-Sens!$E$7500)*MIN(1,(Sens!H7445-base_fy)/n_conv)</f>
        <v>0.0672164948453608</v>
      </c>
      <c r="I7500" s="7" t="n">
        <f aca="false">Sens!$E$7500+(glt_fro-Sens!$E$7500)*MIN(1,(Sens!I7445-base_fy)/n_conv)</f>
        <v>0.0681443298969072</v>
      </c>
      <c r="J7500" s="7" t="n">
        <f aca="false">Sens!$E$7500+(glt_fro-Sens!$E$7500)*MIN(1,(Sens!J7445-base_fy)/n_conv)</f>
        <v>0.0690721649484536</v>
      </c>
      <c r="K7500" s="7" t="n">
        <f aca="false">Sens!$E$7500+(glt_fro-Sens!$E$7500)*MIN(1,(Sens!K7445-base_fy)/n_conv)</f>
        <v>0.07</v>
      </c>
    </row>
    <row r="7501" customFormat="false" ht="15" hidden="false" customHeight="false" outlineLevel="0" collapsed="false">
      <c r="A7501" s="0" t="s">
        <v>852</v>
      </c>
      <c r="B7501" s="0" t="s">
        <v>98</v>
      </c>
      <c r="D7501" s="6" t="n">
        <f aca="false">Sens!D7489+Sens!D7494+Sens!D7495+Sens!D7497+Sens!D7499</f>
        <v>218.783</v>
      </c>
      <c r="E7501" s="6" t="n">
        <f aca="false">Sens!E7489+Sens!E7494+Sens!E7495+Sens!E7497+Sens!E7499</f>
        <v>268.127</v>
      </c>
      <c r="F7501" s="6" t="n">
        <f aca="false">Sens!F7489+Sens!F7494+Sens!F7495+Sens!F7497+Sens!F7499</f>
        <v>335.893745522308</v>
      </c>
      <c r="G7501" s="6" t="n">
        <f aca="false">Sens!G7489+Sens!G7494+Sens!G7495+Sens!G7497+Sens!G7499</f>
        <v>414.307801051578</v>
      </c>
      <c r="H7501" s="6" t="n">
        <f aca="false">Sens!H7489+Sens!H7494+Sens!H7495+Sens!H7497+Sens!H7499</f>
        <v>494.077670782042</v>
      </c>
      <c r="I7501" s="6" t="n">
        <f aca="false">Sens!I7489+Sens!I7494+Sens!I7495+Sens!I7497+Sens!I7499</f>
        <v>566.23777368974</v>
      </c>
      <c r="J7501" s="6" t="n">
        <f aca="false">Sens!J7489+Sens!J7494+Sens!J7495+Sens!J7497+Sens!J7499</f>
        <v>624.138395880122</v>
      </c>
      <c r="K7501" s="6" t="n">
        <f aca="false">Sens!K7489+Sens!K7494+Sens!K7495+Sens!K7497+Sens!K7499</f>
        <v>670.038033271027</v>
      </c>
    </row>
    <row r="7502" customFormat="false" ht="17.15" hidden="false" customHeight="false" outlineLevel="0" collapsed="false">
      <c r="A7502" s="0" t="s">
        <v>1037</v>
      </c>
      <c r="B7502" s="0" t="s">
        <v>98</v>
      </c>
      <c r="D7502" s="6" t="n">
        <f aca="false">Q!L13</f>
        <v>22.171</v>
      </c>
      <c r="E7502" s="6" t="n">
        <f aca="false">Q!M13</f>
        <v>24.835</v>
      </c>
      <c r="F7502" s="6" t="n">
        <f aca="false">Q!$I$13+(Q!M13-Q!$E$13)*(1+Sens!F7503)</f>
        <v>27.5591895660247</v>
      </c>
      <c r="G7502" s="6" t="n">
        <f aca="false">Sens!F7502*(1+Sens!G7503)</f>
        <v>30.4098563144583</v>
      </c>
      <c r="H7502" s="6" t="n">
        <f aca="false">Sens!G7502*(1+Sens!H7503)</f>
        <v>33.3011792571777</v>
      </c>
      <c r="I7502" s="6" t="n">
        <f aca="false">Sens!H7502*(1+Sens!I7503)</f>
        <v>36.189023797112</v>
      </c>
      <c r="J7502" s="6" t="n">
        <f aca="false">Sens!I7502*(1+Sens!J7503)</f>
        <v>39.0247773769199</v>
      </c>
      <c r="K7502" s="6" t="n">
        <f aca="false">Sens!J7502*(1+Sens!K7503)</f>
        <v>41.7565117933043</v>
      </c>
      <c r="L7502" s="12" t="s">
        <v>1034</v>
      </c>
    </row>
    <row r="7503" customFormat="false" ht="15" hidden="false" customHeight="false" outlineLevel="0" collapsed="false">
      <c r="A7503" s="1" t="s">
        <v>1024</v>
      </c>
      <c r="B7503" s="0" t="s">
        <v>168</v>
      </c>
      <c r="E7503" s="7" t="n">
        <f aca="false">Sens!E7502/Sens!D7502-1</f>
        <v>0.120156961796942</v>
      </c>
      <c r="F7503" s="7" t="n">
        <f aca="false">Sens!$E$7503+(glt_srch-Sens!$E$7503)*MIN(1,(Sens!F7445-base_fy)/n_conv)</f>
        <v>0.111797468164118</v>
      </c>
      <c r="G7503" s="7" t="n">
        <f aca="false">Sens!$E$7503+(glt_srch-Sens!$E$7503)*MIN(1,(Sens!G7445-base_fy)/n_conv)</f>
        <v>0.103437974531295</v>
      </c>
      <c r="H7503" s="7" t="n">
        <f aca="false">Sens!$E$7503+(glt_srch-Sens!$E$7503)*MIN(1,(Sens!H7445-base_fy)/n_conv)</f>
        <v>0.095078480898471</v>
      </c>
      <c r="I7503" s="7" t="n">
        <f aca="false">Sens!$E$7503+(glt_srch-Sens!$E$7503)*MIN(1,(Sens!I7445-base_fy)/n_conv)</f>
        <v>0.0867189872656474</v>
      </c>
      <c r="J7503" s="7" t="n">
        <f aca="false">Sens!$E$7503+(glt_srch-Sens!$E$7503)*MIN(1,(Sens!J7445-base_fy)/n_conv)</f>
        <v>0.0783594936328237</v>
      </c>
      <c r="K7503" s="7" t="n">
        <f aca="false">Sens!$E$7503+(glt_srch-Sens!$E$7503)*MIN(1,(Sens!K7445-base_fy)/n_conv)</f>
        <v>0.07</v>
      </c>
    </row>
    <row r="7504" customFormat="false" ht="17.15" hidden="false" customHeight="false" outlineLevel="0" collapsed="false">
      <c r="A7504" s="0" t="s">
        <v>1038</v>
      </c>
      <c r="B7504" s="0" t="s">
        <v>98</v>
      </c>
      <c r="D7504" s="6" t="n">
        <f aca="false">Q!L14</f>
        <v>23.455</v>
      </c>
      <c r="E7504" s="6" t="n">
        <f aca="false">Q!M14</f>
        <v>21.79</v>
      </c>
      <c r="F7504" s="6" t="n">
        <f aca="false">Q!$I$14+(Q!M14-Q!$E$14)*(1+Sens!F7505)</f>
        <v>20.7520981041711</v>
      </c>
      <c r="G7504" s="6" t="n">
        <f aca="false">Sens!F7504*(1+Sens!G7505)</f>
        <v>19.9083593495882</v>
      </c>
      <c r="H7504" s="6" t="n">
        <f aca="false">Sens!G7504*(1+Sens!H7505)</f>
        <v>19.4008256265831</v>
      </c>
      <c r="I7504" s="6" t="n">
        <f aca="false">Sens!H7504*(1+Sens!I7505)</f>
        <v>19.200434522122</v>
      </c>
      <c r="J7504" s="6" t="n">
        <f aca="false">Sens!I7504*(1+Sens!J7505)</f>
        <v>19.2932782348507</v>
      </c>
      <c r="K7504" s="6" t="n">
        <f aca="false">Sens!J7504*(1+Sens!K7505)</f>
        <v>19.6791437995477</v>
      </c>
      <c r="L7504" s="12" t="s">
        <v>1034</v>
      </c>
    </row>
    <row r="7505" customFormat="false" ht="15" hidden="false" customHeight="false" outlineLevel="0" collapsed="false">
      <c r="A7505" s="1" t="s">
        <v>1024</v>
      </c>
      <c r="B7505" s="0" t="s">
        <v>168</v>
      </c>
      <c r="E7505" s="7" t="n">
        <f aca="false">Sens!E7504/Sens!D7504-1</f>
        <v>-0.0709869963760392</v>
      </c>
      <c r="F7505" s="7" t="n">
        <f aca="false">Sens!$E$7505+(glt_xbox-Sens!$E$7505)*MIN(1,(Sens!F7445-base_fy)/n_conv)</f>
        <v>-0.0558224969800327</v>
      </c>
      <c r="G7505" s="7" t="n">
        <f aca="false">Sens!$E$7505+(glt_xbox-Sens!$E$7505)*MIN(1,(Sens!G7445-base_fy)/n_conv)</f>
        <v>-0.0406579975840262</v>
      </c>
      <c r="H7505" s="7" t="n">
        <f aca="false">Sens!$E$7505+(glt_xbox-Sens!$E$7505)*MIN(1,(Sens!H7445-base_fy)/n_conv)</f>
        <v>-0.0254934981880196</v>
      </c>
      <c r="I7505" s="7" t="n">
        <f aca="false">Sens!$E$7505+(glt_xbox-Sens!$E$7505)*MIN(1,(Sens!I7445-base_fy)/n_conv)</f>
        <v>-0.0103289987920131</v>
      </c>
      <c r="J7505" s="7" t="n">
        <f aca="false">Sens!$E$7505+(glt_xbox-Sens!$E$7505)*MIN(1,(Sens!J7445-base_fy)/n_conv)</f>
        <v>0.00483550060399347</v>
      </c>
      <c r="K7505" s="7" t="n">
        <f aca="false">Sens!$E$7505+(glt_xbox-Sens!$E$7505)*MIN(1,(Sens!K7445-base_fy)/n_conv)</f>
        <v>0.02</v>
      </c>
    </row>
    <row r="7506" customFormat="false" ht="17.15" hidden="false" customHeight="false" outlineLevel="0" collapsed="false">
      <c r="A7506" s="0" t="s">
        <v>1039</v>
      </c>
      <c r="B7506" s="0" t="s">
        <v>98</v>
      </c>
      <c r="D7506" s="6" t="n">
        <f aca="false">Q!L15</f>
        <v>17.315</v>
      </c>
      <c r="E7506" s="6" t="n">
        <f aca="false">Q!M15</f>
        <v>17.087</v>
      </c>
      <c r="F7506" s="6" t="n">
        <f aca="false">Q!$I$15+(Q!M15-Q!$E$15)*(1+Sens!F7507)</f>
        <v>15.9912273250553</v>
      </c>
      <c r="G7506" s="6" t="n">
        <f aca="false">Sens!F7506*(1+Sens!G7507)</f>
        <v>15.9574562664827</v>
      </c>
      <c r="H7506" s="6" t="n">
        <f aca="false">Sens!G7506*(1+Sens!H7507)</f>
        <v>16.0119687434196</v>
      </c>
      <c r="I7506" s="6" t="n">
        <f aca="false">Sens!H7506*(1+Sens!I7507)</f>
        <v>16.1551810001948</v>
      </c>
      <c r="J7506" s="6" t="n">
        <f aca="false">Sens!I7506*(1+Sens!J7507)</f>
        <v>16.3889793892005</v>
      </c>
      <c r="K7506" s="6" t="n">
        <f aca="false">Sens!J7506*(1+Sens!K7507)</f>
        <v>16.7167589769845</v>
      </c>
      <c r="L7506" s="12" t="s">
        <v>1034</v>
      </c>
    </row>
    <row r="7507" customFormat="false" ht="15" hidden="false" customHeight="false" outlineLevel="0" collapsed="false">
      <c r="A7507" s="1" t="s">
        <v>1024</v>
      </c>
      <c r="B7507" s="0" t="s">
        <v>168</v>
      </c>
      <c r="E7507" s="7" t="n">
        <f aca="false">Sens!E7506/Sens!D7506-1</f>
        <v>-0.0131677736066995</v>
      </c>
      <c r="F7507" s="7" t="n">
        <f aca="false">Sens!$E$7507+(glt_win-Sens!$E$7507)*MIN(1,(Sens!F7445-base_fy)/n_conv)</f>
        <v>-0.00763981133891627</v>
      </c>
      <c r="G7507" s="7" t="n">
        <f aca="false">Sens!$E$7507+(glt_win-Sens!$E$7507)*MIN(1,(Sens!G7445-base_fy)/n_conv)</f>
        <v>-0.00211184907113301</v>
      </c>
      <c r="H7507" s="7" t="n">
        <f aca="false">Sens!$E$7507+(glt_win-Sens!$E$7507)*MIN(1,(Sens!H7445-base_fy)/n_conv)</f>
        <v>0.00341611319665024</v>
      </c>
      <c r="I7507" s="7" t="n">
        <f aca="false">Sens!$E$7507+(glt_win-Sens!$E$7507)*MIN(1,(Sens!I7445-base_fy)/n_conv)</f>
        <v>0.00894407546443349</v>
      </c>
      <c r="J7507" s="7" t="n">
        <f aca="false">Sens!$E$7507+(glt_win-Sens!$E$7507)*MIN(1,(Sens!J7445-base_fy)/n_conv)</f>
        <v>0.0144720377322168</v>
      </c>
      <c r="K7507" s="7" t="n">
        <f aca="false">Sens!$E$7507+(glt_win-Sens!$E$7507)*MIN(1,(Sens!K7445-base_fy)/n_conv)</f>
        <v>0.02</v>
      </c>
    </row>
    <row r="7508" customFormat="false" ht="15" hidden="false" customHeight="false" outlineLevel="0" collapsed="false">
      <c r="A7508" s="0" t="s">
        <v>866</v>
      </c>
      <c r="B7508" s="0" t="s">
        <v>98</v>
      </c>
      <c r="D7508" s="6" t="n">
        <f aca="false">Sens!D7502+Sens!D7504+Sens!D7506</f>
        <v>62.941</v>
      </c>
      <c r="E7508" s="6" t="n">
        <f aca="false">Sens!E7502+Sens!E7504+Sens!E7506</f>
        <v>63.712</v>
      </c>
      <c r="F7508" s="6" t="n">
        <f aca="false">Sens!F7502+Sens!F7504+Sens!F7506</f>
        <v>64.3025149952511</v>
      </c>
      <c r="G7508" s="6" t="n">
        <f aca="false">Sens!G7502+Sens!G7504+Sens!G7506</f>
        <v>66.2756719305292</v>
      </c>
      <c r="H7508" s="6" t="n">
        <f aca="false">Sens!H7502+Sens!H7504+Sens!H7506</f>
        <v>68.7139736271804</v>
      </c>
      <c r="I7508" s="6" t="n">
        <f aca="false">Sens!I7502+Sens!I7504+Sens!I7506</f>
        <v>71.5446393194289</v>
      </c>
      <c r="J7508" s="6" t="n">
        <f aca="false">Sens!J7502+Sens!J7504+Sens!J7506</f>
        <v>74.707035000971</v>
      </c>
      <c r="K7508" s="6" t="n">
        <f aca="false">Sens!K7502+Sens!K7504+Sens!K7506</f>
        <v>78.1524145698365</v>
      </c>
    </row>
    <row r="7509" customFormat="false" ht="15" hidden="false" customHeight="false" outlineLevel="0" collapsed="false">
      <c r="A7509" s="1" t="s">
        <v>1040</v>
      </c>
      <c r="B7509" s="0" t="s">
        <v>98</v>
      </c>
      <c r="D7509" s="6" t="n">
        <f aca="false">Sens!D7501+Sens!D7508</f>
        <v>281.724</v>
      </c>
      <c r="E7509" s="6" t="n">
        <f aca="false">Sens!E7501+Sens!E7508</f>
        <v>331.839</v>
      </c>
      <c r="F7509" s="6" t="n">
        <f aca="false">Sens!F7501+Sens!F7508</f>
        <v>400.196260517559</v>
      </c>
      <c r="G7509" s="6" t="n">
        <f aca="false">Sens!G7501+Sens!G7508</f>
        <v>480.583472982107</v>
      </c>
      <c r="H7509" s="6" t="n">
        <f aca="false">Sens!H7501+Sens!H7508</f>
        <v>562.791644409222</v>
      </c>
      <c r="I7509" s="6" t="n">
        <f aca="false">Sens!I7501+Sens!I7508</f>
        <v>637.782413009169</v>
      </c>
      <c r="J7509" s="6" t="n">
        <f aca="false">Sens!J7501+Sens!J7508</f>
        <v>698.845430881093</v>
      </c>
      <c r="K7509" s="6" t="n">
        <f aca="false">Sens!K7501+Sens!K7508</f>
        <v>748.190447840863</v>
      </c>
    </row>
    <row r="7510" customFormat="false" ht="15" hidden="false" customHeight="false" outlineLevel="0" collapsed="false">
      <c r="A7510" s="26" t="s">
        <v>1041</v>
      </c>
      <c r="B7510" s="31" t="s">
        <v>98</v>
      </c>
      <c r="C7510" s="31"/>
      <c r="D7510" s="27" t="n">
        <f aca="false">(Sens!D7489+Sens!D7494+Sens!D7495+Sens!D7497+Sens!D7499-Sens!D7501)+(Sens!D7502+Sens!D7504+Sens!D7506-Sens!D7508)+(Sens!D7501-Q!L5)+(Sens!D7508-Q!L12)+(Sens!D7489-Q!L6)+(Sens!D7494-Q!L7)</f>
        <v>0</v>
      </c>
      <c r="E7510" s="27" t="n">
        <f aca="false">(Sens!E7489+Sens!E7494+Sens!E7495+Sens!E7497+Sens!E7499-Sens!E7501)+(Sens!E7502+Sens!E7504+Sens!E7506-Sens!E7508)+(Sens!E7501-Q!M5)+(Sens!E7508-Q!M12)+(Sens!E7489-Q!M6)+(Sens!E7494-Q!M7)</f>
        <v>0</v>
      </c>
      <c r="F7510" s="27" t="n">
        <f aca="false">(Sens!F7489+Sens!F7494+Sens!F7495+Sens!F7497+Sens!F7499-Sens!F7501)+(Sens!F7502+Sens!F7504+Sens!F7506-Sens!F7508)</f>
        <v>0</v>
      </c>
      <c r="G7510" s="27" t="n">
        <f aca="false">(Sens!G7489+Sens!G7494+Sens!G7495+Sens!G7497+Sens!G7499-Sens!G7501)+(Sens!G7502+Sens!G7504+Sens!G7506-Sens!G7508)</f>
        <v>0</v>
      </c>
      <c r="H7510" s="27" t="n">
        <f aca="false">(Sens!H7489+Sens!H7494+Sens!H7495+Sens!H7497+Sens!H7499-Sens!H7501)+(Sens!H7502+Sens!H7504+Sens!H7506-Sens!H7508)</f>
        <v>0</v>
      </c>
      <c r="I7510" s="27" t="n">
        <f aca="false">(Sens!I7489+Sens!I7494+Sens!I7495+Sens!I7497+Sens!I7499-Sens!I7501)+(Sens!I7502+Sens!I7504+Sens!I7506-Sens!I7508)</f>
        <v>0</v>
      </c>
      <c r="J7510" s="27" t="n">
        <f aca="false">(Sens!J7489+Sens!J7494+Sens!J7495+Sens!J7497+Sens!J7499-Sens!J7501)+(Sens!J7502+Sens!J7504+Sens!J7506-Sens!J7508)</f>
        <v>0</v>
      </c>
      <c r="K7510" s="27" t="n">
        <f aca="false">(Sens!K7489+Sens!K7494+Sens!K7495+Sens!K7497+Sens!K7499-Sens!K7501)+(Sens!K7502+Sens!K7504+Sens!K7506-Sens!K7508)</f>
        <v>0</v>
      </c>
    </row>
    <row r="7511" customFormat="false" ht="17.15" hidden="false" customHeight="false" outlineLevel="0" collapsed="false">
      <c r="A7511" s="3" t="s">
        <v>1667</v>
      </c>
    </row>
    <row r="7512" customFormat="false" ht="15" hidden="false" customHeight="false" outlineLevel="0" collapsed="false">
      <c r="A7512" s="4" t="s">
        <v>43</v>
      </c>
      <c r="B7512" s="4" t="s">
        <v>65</v>
      </c>
      <c r="C7512" s="23" t="s">
        <v>938</v>
      </c>
      <c r="D7512" s="23" t="s">
        <v>939</v>
      </c>
      <c r="E7512" s="23" t="s">
        <v>940</v>
      </c>
      <c r="F7512" s="23" t="s">
        <v>941</v>
      </c>
      <c r="G7512" s="23" t="s">
        <v>942</v>
      </c>
      <c r="H7512" s="23" t="s">
        <v>943</v>
      </c>
      <c r="I7512" s="23" t="s">
        <v>944</v>
      </c>
      <c r="J7512" s="23" t="s">
        <v>945</v>
      </c>
      <c r="K7512" s="23" t="s">
        <v>946</v>
      </c>
      <c r="L7512" s="4" t="s">
        <v>47</v>
      </c>
    </row>
    <row r="7513" customFormat="false" ht="15" hidden="false" customHeight="false" outlineLevel="0" collapsed="false">
      <c r="A7513" s="0" t="s">
        <v>1025</v>
      </c>
      <c r="B7513" s="0" t="s">
        <v>98</v>
      </c>
      <c r="D7513" s="6" t="n">
        <f aca="false">Sens!D7489</f>
        <v>72.61</v>
      </c>
      <c r="E7513" s="6" t="n">
        <f aca="false">Sens!E7489</f>
        <v>101.938</v>
      </c>
      <c r="F7513" s="6" t="n">
        <f aca="false">Sens!F7489</f>
        <v>146.709048000181</v>
      </c>
      <c r="G7513" s="6" t="n">
        <f aca="false">Sens!G7489</f>
        <v>199.762829861393</v>
      </c>
      <c r="H7513" s="6" t="n">
        <f aca="false">Sens!H7489</f>
        <v>254.146566109645</v>
      </c>
      <c r="I7513" s="6" t="n">
        <f aca="false">Sens!I7489</f>
        <v>303.439446964617</v>
      </c>
      <c r="J7513" s="6" t="n">
        <f aca="false">Sens!J7489</f>
        <v>341.309898459739</v>
      </c>
      <c r="K7513" s="6" t="n">
        <f aca="false">Sens!K7489</f>
        <v>368.09747789654</v>
      </c>
    </row>
    <row r="7514" customFormat="false" ht="17.15" hidden="false" customHeight="false" outlineLevel="0" collapsed="false">
      <c r="A7514" s="0" t="s">
        <v>1021</v>
      </c>
      <c r="B7514" s="0" t="s">
        <v>98</v>
      </c>
      <c r="D7514" s="6" t="n">
        <f aca="false">Sens!D7486</f>
        <v>12.9359794422418</v>
      </c>
      <c r="E7514" s="6" t="n">
        <f aca="false">Sens!E7486</f>
        <v>27.8095064661409</v>
      </c>
      <c r="F7514" s="6" t="n">
        <f aca="false">Sens!F7486</f>
        <v>55.4118315060966</v>
      </c>
      <c r="G7514" s="6" t="n">
        <f aca="false">Sens!G7486</f>
        <v>91.2881100675143</v>
      </c>
      <c r="H7514" s="6" t="n">
        <f aca="false">Sens!H7486</f>
        <v>128.195273603944</v>
      </c>
      <c r="I7514" s="6" t="n">
        <f aca="false">Sens!I7486</f>
        <v>160.601281810405</v>
      </c>
      <c r="J7514" s="6" t="n">
        <f aca="false">Sens!J7486</f>
        <v>183.182719793589</v>
      </c>
      <c r="K7514" s="6" t="n">
        <f aca="false">Sens!K7486</f>
        <v>197.320124937098</v>
      </c>
    </row>
    <row r="7515" customFormat="false" ht="17.15" hidden="false" customHeight="false" outlineLevel="0" collapsed="false">
      <c r="A7515" s="0" t="s">
        <v>1052</v>
      </c>
      <c r="B7515" s="0" t="s">
        <v>98</v>
      </c>
      <c r="D7515" s="6" t="n">
        <f aca="false">Sens!D7487</f>
        <v>59.6740205577583</v>
      </c>
      <c r="E7515" s="6" t="n">
        <f aca="false">Sens!E7487</f>
        <v>74.1284935338591</v>
      </c>
      <c r="F7515" s="6" t="n">
        <f aca="false">Sens!F7487</f>
        <v>91.2972164940844</v>
      </c>
      <c r="G7515" s="6" t="n">
        <f aca="false">Sens!G7487</f>
        <v>108.474719793879</v>
      </c>
      <c r="H7515" s="6" t="n">
        <f aca="false">Sens!H7487</f>
        <v>125.951292505701</v>
      </c>
      <c r="I7515" s="6" t="n">
        <f aca="false">Sens!I7487</f>
        <v>142.838165154212</v>
      </c>
      <c r="J7515" s="6" t="n">
        <f aca="false">Sens!J7487</f>
        <v>158.12717866615</v>
      </c>
      <c r="K7515" s="6" t="n">
        <f aca="false">Sens!K7487</f>
        <v>170.777352959442</v>
      </c>
    </row>
    <row r="7516" customFormat="false" ht="15" hidden="false" customHeight="false" outlineLevel="0" collapsed="false">
      <c r="A7516" s="0" t="s">
        <v>1032</v>
      </c>
      <c r="B7516" s="0" t="s">
        <v>98</v>
      </c>
      <c r="D7516" s="6" t="n">
        <f aca="false">Sens!D7494</f>
        <v>84.605</v>
      </c>
      <c r="E7516" s="6" t="n">
        <f aca="false">Sens!E7494</f>
        <v>100.299</v>
      </c>
      <c r="F7516" s="6" t="n">
        <f aca="false">Sens!F7494</f>
        <v>119.729653205718</v>
      </c>
      <c r="G7516" s="6" t="n">
        <f aca="false">Sens!G7494</f>
        <v>140.806092647576</v>
      </c>
      <c r="H7516" s="6" t="n">
        <f aca="false">Sens!H7494</f>
        <v>161.963437602768</v>
      </c>
      <c r="I7516" s="6" t="n">
        <f aca="false">Sens!I7494</f>
        <v>180.695354741933</v>
      </c>
      <c r="J7516" s="6" t="n">
        <f aca="false">Sens!J7494</f>
        <v>196.722117481571</v>
      </c>
      <c r="K7516" s="6" t="n">
        <f aca="false">Sens!K7494</f>
        <v>212.00016570528</v>
      </c>
    </row>
    <row r="7517" customFormat="false" ht="17.15" hidden="false" customHeight="false" outlineLevel="0" collapsed="false">
      <c r="A7517" s="0" t="s">
        <v>1053</v>
      </c>
      <c r="B7517" s="0" t="s">
        <v>98</v>
      </c>
      <c r="D7517" s="6" t="n">
        <f aca="false">Sens!D7492</f>
        <v>83.705</v>
      </c>
      <c r="E7517" s="6" t="n">
        <f aca="false">Sens!E7492</f>
        <v>95.049</v>
      </c>
      <c r="F7517" s="6" t="n">
        <f aca="false">Sens!F7492</f>
        <v>106.229653205718</v>
      </c>
      <c r="G7517" s="6" t="n">
        <f aca="false">Sens!G7492</f>
        <v>118.306092647576</v>
      </c>
      <c r="H7517" s="6" t="n">
        <f aca="false">Sens!H7492</f>
        <v>130.463437602768</v>
      </c>
      <c r="I7517" s="6" t="n">
        <f aca="false">Sens!I7492</f>
        <v>142.445354741933</v>
      </c>
      <c r="J7517" s="6" t="n">
        <f aca="false">Sens!J7492</f>
        <v>153.972117481571</v>
      </c>
      <c r="K7517" s="6" t="n">
        <f aca="false">Sens!K7492</f>
        <v>164.75016570528</v>
      </c>
    </row>
    <row r="7518" customFormat="false" ht="17.15" hidden="false" customHeight="false" outlineLevel="0" collapsed="false">
      <c r="A7518" s="0" t="s">
        <v>1054</v>
      </c>
      <c r="B7518" s="0" t="s">
        <v>98</v>
      </c>
      <c r="D7518" s="6" t="n">
        <f aca="false">Sens!D7491</f>
        <v>0.9</v>
      </c>
      <c r="E7518" s="6" t="n">
        <f aca="false">Sens!E7491</f>
        <v>5.25</v>
      </c>
      <c r="F7518" s="6" t="n">
        <f aca="false">Sens!F7491</f>
        <v>13.5</v>
      </c>
      <c r="G7518" s="6" t="n">
        <f aca="false">Sens!G7491</f>
        <v>22.5</v>
      </c>
      <c r="H7518" s="6" t="n">
        <f aca="false">Sens!H7491</f>
        <v>31.5</v>
      </c>
      <c r="I7518" s="6" t="n">
        <f aca="false">Sens!I7491</f>
        <v>38.25</v>
      </c>
      <c r="J7518" s="6" t="n">
        <f aca="false">Sens!J7491</f>
        <v>42.75</v>
      </c>
      <c r="K7518" s="6" t="n">
        <f aca="false">Sens!K7491</f>
        <v>47.25</v>
      </c>
    </row>
    <row r="7519" customFormat="false" ht="15" hidden="false" customHeight="false" outlineLevel="0" collapsed="false">
      <c r="A7519" s="0" t="s">
        <v>1033</v>
      </c>
      <c r="B7519" s="0" t="s">
        <v>98</v>
      </c>
      <c r="D7519" s="6" t="n">
        <f aca="false">Sens!D7495</f>
        <v>35.391</v>
      </c>
      <c r="E7519" s="6" t="n">
        <f aca="false">Sens!E7495</f>
        <v>37.285</v>
      </c>
      <c r="F7519" s="6" t="n">
        <f aca="false">Sens!F7495</f>
        <v>38.3851437782675</v>
      </c>
      <c r="G7519" s="6" t="n">
        <f aca="false">Sens!G7495</f>
        <v>40.0105353288615</v>
      </c>
      <c r="H7519" s="6" t="n">
        <f aca="false">Sens!H7495</f>
        <v>41.4812512033683</v>
      </c>
      <c r="I7519" s="6" t="n">
        <f aca="false">Sens!I7495</f>
        <v>42.7743107216329</v>
      </c>
      <c r="J7519" s="6" t="n">
        <f aca="false">Sens!J7495</f>
        <v>43.8687373064601</v>
      </c>
      <c r="K7519" s="6" t="n">
        <f aca="false">Sens!K7495</f>
        <v>44.7461120525893</v>
      </c>
    </row>
    <row r="7520" customFormat="false" ht="15" hidden="false" customHeight="false" outlineLevel="0" collapsed="false">
      <c r="A7520" s="0" t="s">
        <v>1035</v>
      </c>
      <c r="B7520" s="0" t="s">
        <v>98</v>
      </c>
      <c r="D7520" s="6" t="n">
        <f aca="false">Sens!D7497</f>
        <v>18.417</v>
      </c>
      <c r="E7520" s="6" t="n">
        <f aca="false">Sens!E7497</f>
        <v>20.345</v>
      </c>
      <c r="F7520" s="6" t="n">
        <f aca="false">Sens!F7497</f>
        <v>22.3161797133988</v>
      </c>
      <c r="G7520" s="6" t="n">
        <f aca="false">Sens!G7497</f>
        <v>24.3943499673233</v>
      </c>
      <c r="H7520" s="6" t="n">
        <f aca="false">Sens!H7497</f>
        <v>26.5250243109019</v>
      </c>
      <c r="I7520" s="6" t="n">
        <f aca="false">Sens!I7497</f>
        <v>28.6884573538181</v>
      </c>
      <c r="J7520" s="6" t="n">
        <f aca="false">Sens!J7497</f>
        <v>30.8624968052127</v>
      </c>
      <c r="K7520" s="6" t="n">
        <f aca="false">Sens!K7497</f>
        <v>33.0228715815776</v>
      </c>
    </row>
    <row r="7521" customFormat="false" ht="15" hidden="false" customHeight="false" outlineLevel="0" collapsed="false">
      <c r="A7521" s="0" t="s">
        <v>1036</v>
      </c>
      <c r="B7521" s="0" t="s">
        <v>98</v>
      </c>
      <c r="D7521" s="6" t="n">
        <f aca="false">Sens!D7499</f>
        <v>7.76</v>
      </c>
      <c r="E7521" s="6" t="n">
        <f aca="false">Sens!E7499</f>
        <v>8.26</v>
      </c>
      <c r="F7521" s="6" t="n">
        <f aca="false">Sens!F7499</f>
        <v>8.75372082474227</v>
      </c>
      <c r="G7521" s="6" t="n">
        <f aca="false">Sens!G7499</f>
        <v>9.33399324642364</v>
      </c>
      <c r="H7521" s="6" t="n">
        <f aca="false">Sens!H7499</f>
        <v>9.96139155535851</v>
      </c>
      <c r="I7521" s="6" t="n">
        <f aca="false">Sens!I7499</f>
        <v>10.6402039077391</v>
      </c>
      <c r="J7521" s="6" t="n">
        <f aca="false">Sens!J7499</f>
        <v>11.3751458271397</v>
      </c>
      <c r="K7521" s="6" t="n">
        <f aca="false">Sens!K7499</f>
        <v>12.1714060350394</v>
      </c>
    </row>
    <row r="7522" customFormat="false" ht="15" hidden="false" customHeight="false" outlineLevel="0" collapsed="false">
      <c r="A7522" s="0" t="s">
        <v>852</v>
      </c>
      <c r="B7522" s="0" t="s">
        <v>98</v>
      </c>
      <c r="D7522" s="6" t="n">
        <f aca="false">Sens!D7501</f>
        <v>218.783</v>
      </c>
      <c r="E7522" s="6" t="n">
        <f aca="false">Sens!E7501</f>
        <v>268.127</v>
      </c>
      <c r="F7522" s="6" t="n">
        <f aca="false">Sens!F7501</f>
        <v>335.893745522308</v>
      </c>
      <c r="G7522" s="6" t="n">
        <f aca="false">Sens!G7501</f>
        <v>414.307801051578</v>
      </c>
      <c r="H7522" s="6" t="n">
        <f aca="false">Sens!H7501</f>
        <v>494.077670782042</v>
      </c>
      <c r="I7522" s="6" t="n">
        <f aca="false">Sens!I7501</f>
        <v>566.23777368974</v>
      </c>
      <c r="J7522" s="6" t="n">
        <f aca="false">Sens!J7501</f>
        <v>624.138395880122</v>
      </c>
      <c r="K7522" s="6" t="n">
        <f aca="false">Sens!K7501</f>
        <v>670.038033271027</v>
      </c>
    </row>
    <row r="7523" customFormat="false" ht="15" hidden="false" customHeight="false" outlineLevel="0" collapsed="false">
      <c r="A7523" s="0" t="s">
        <v>1037</v>
      </c>
      <c r="B7523" s="0" t="s">
        <v>98</v>
      </c>
      <c r="D7523" s="6" t="n">
        <f aca="false">Sens!D7502</f>
        <v>22.171</v>
      </c>
      <c r="E7523" s="6" t="n">
        <f aca="false">Sens!E7502</f>
        <v>24.835</v>
      </c>
      <c r="F7523" s="6" t="n">
        <f aca="false">Sens!F7502</f>
        <v>27.5591895660247</v>
      </c>
      <c r="G7523" s="6" t="n">
        <f aca="false">Sens!G7502</f>
        <v>30.4098563144583</v>
      </c>
      <c r="H7523" s="6" t="n">
        <f aca="false">Sens!H7502</f>
        <v>33.3011792571777</v>
      </c>
      <c r="I7523" s="6" t="n">
        <f aca="false">Sens!I7502</f>
        <v>36.189023797112</v>
      </c>
      <c r="J7523" s="6" t="n">
        <f aca="false">Sens!J7502</f>
        <v>39.0247773769199</v>
      </c>
      <c r="K7523" s="6" t="n">
        <f aca="false">Sens!K7502</f>
        <v>41.7565117933043</v>
      </c>
    </row>
    <row r="7524" customFormat="false" ht="15" hidden="false" customHeight="false" outlineLevel="0" collapsed="false">
      <c r="A7524" s="0" t="s">
        <v>1038</v>
      </c>
      <c r="B7524" s="0" t="s">
        <v>98</v>
      </c>
      <c r="D7524" s="6" t="n">
        <f aca="false">Sens!D7504</f>
        <v>23.455</v>
      </c>
      <c r="E7524" s="6" t="n">
        <f aca="false">Sens!E7504</f>
        <v>21.79</v>
      </c>
      <c r="F7524" s="6" t="n">
        <f aca="false">Sens!F7504</f>
        <v>20.7520981041711</v>
      </c>
      <c r="G7524" s="6" t="n">
        <f aca="false">Sens!G7504</f>
        <v>19.9083593495882</v>
      </c>
      <c r="H7524" s="6" t="n">
        <f aca="false">Sens!H7504</f>
        <v>19.4008256265831</v>
      </c>
      <c r="I7524" s="6" t="n">
        <f aca="false">Sens!I7504</f>
        <v>19.200434522122</v>
      </c>
      <c r="J7524" s="6" t="n">
        <f aca="false">Sens!J7504</f>
        <v>19.2932782348507</v>
      </c>
      <c r="K7524" s="6" t="n">
        <f aca="false">Sens!K7504</f>
        <v>19.6791437995477</v>
      </c>
    </row>
    <row r="7525" customFormat="false" ht="15" hidden="false" customHeight="false" outlineLevel="0" collapsed="false">
      <c r="A7525" s="0" t="s">
        <v>1039</v>
      </c>
      <c r="B7525" s="0" t="s">
        <v>98</v>
      </c>
      <c r="D7525" s="6" t="n">
        <f aca="false">Sens!D7506</f>
        <v>17.315</v>
      </c>
      <c r="E7525" s="6" t="n">
        <f aca="false">Sens!E7506</f>
        <v>17.087</v>
      </c>
      <c r="F7525" s="6" t="n">
        <f aca="false">Sens!F7506</f>
        <v>15.9912273250553</v>
      </c>
      <c r="G7525" s="6" t="n">
        <f aca="false">Sens!G7506</f>
        <v>15.9574562664827</v>
      </c>
      <c r="H7525" s="6" t="n">
        <f aca="false">Sens!H7506</f>
        <v>16.0119687434196</v>
      </c>
      <c r="I7525" s="6" t="n">
        <f aca="false">Sens!I7506</f>
        <v>16.1551810001948</v>
      </c>
      <c r="J7525" s="6" t="n">
        <f aca="false">Sens!J7506</f>
        <v>16.3889793892005</v>
      </c>
      <c r="K7525" s="6" t="n">
        <f aca="false">Sens!K7506</f>
        <v>16.7167589769845</v>
      </c>
    </row>
    <row r="7526" customFormat="false" ht="15" hidden="false" customHeight="false" outlineLevel="0" collapsed="false">
      <c r="A7526" s="0" t="s">
        <v>866</v>
      </c>
      <c r="B7526" s="0" t="s">
        <v>98</v>
      </c>
      <c r="D7526" s="6" t="n">
        <f aca="false">Sens!D7508</f>
        <v>62.941</v>
      </c>
      <c r="E7526" s="6" t="n">
        <f aca="false">Sens!E7508</f>
        <v>63.712</v>
      </c>
      <c r="F7526" s="6" t="n">
        <f aca="false">Sens!F7508</f>
        <v>64.3025149952511</v>
      </c>
      <c r="G7526" s="6" t="n">
        <f aca="false">Sens!G7508</f>
        <v>66.2756719305292</v>
      </c>
      <c r="H7526" s="6" t="n">
        <f aca="false">Sens!H7508</f>
        <v>68.7139736271804</v>
      </c>
      <c r="I7526" s="6" t="n">
        <f aca="false">Sens!I7508</f>
        <v>71.5446393194289</v>
      </c>
      <c r="J7526" s="6" t="n">
        <f aca="false">Sens!J7508</f>
        <v>74.707035000971</v>
      </c>
      <c r="K7526" s="6" t="n">
        <f aca="false">Sens!K7508</f>
        <v>78.1524145698365</v>
      </c>
    </row>
    <row r="7527" customFormat="false" ht="15" hidden="false" customHeight="false" outlineLevel="0" collapsed="false">
      <c r="A7527" s="1" t="s">
        <v>1055</v>
      </c>
      <c r="B7527" s="0" t="s">
        <v>98</v>
      </c>
      <c r="D7527" s="6" t="n">
        <f aca="false">Sens!D7509</f>
        <v>281.724</v>
      </c>
      <c r="E7527" s="6" t="n">
        <f aca="false">Sens!E7509</f>
        <v>331.839</v>
      </c>
      <c r="F7527" s="6" t="n">
        <f aca="false">Sens!F7509</f>
        <v>400.196260517559</v>
      </c>
      <c r="G7527" s="6" t="n">
        <f aca="false">Sens!G7509</f>
        <v>480.583472982107</v>
      </c>
      <c r="H7527" s="6" t="n">
        <f aca="false">Sens!H7509</f>
        <v>562.791644409222</v>
      </c>
      <c r="I7527" s="6" t="n">
        <f aca="false">Sens!I7509</f>
        <v>637.782413009169</v>
      </c>
      <c r="J7527" s="6" t="n">
        <f aca="false">Sens!J7509</f>
        <v>698.845430881093</v>
      </c>
      <c r="K7527" s="6" t="n">
        <f aca="false">Sens!K7509</f>
        <v>748.190447840863</v>
      </c>
    </row>
    <row r="7528" customFormat="false" ht="15" hidden="false" customHeight="false" outlineLevel="0" collapsed="false">
      <c r="A7528" s="1" t="s">
        <v>1056</v>
      </c>
      <c r="B7528" s="0" t="s">
        <v>168</v>
      </c>
      <c r="E7528" s="7" t="n">
        <f aca="false">Sens!E7527/Sens!D7527-1</f>
        <v>0.177886867998467</v>
      </c>
      <c r="F7528" s="7" t="n">
        <f aca="false">Sens!F7527/Sens!E7527-1</f>
        <v>0.205995258295615</v>
      </c>
      <c r="G7528" s="7" t="n">
        <f aca="false">Sens!G7527/Sens!F7527-1</f>
        <v>0.200869474293904</v>
      </c>
      <c r="H7528" s="7" t="n">
        <f aca="false">Sens!H7527/Sens!G7527-1</f>
        <v>0.171059089728989</v>
      </c>
      <c r="I7528" s="7" t="n">
        <f aca="false">Sens!I7527/Sens!H7527-1</f>
        <v>0.133247835757524</v>
      </c>
      <c r="J7528" s="7" t="n">
        <f aca="false">Sens!J7527/Sens!I7527-1</f>
        <v>0.0957427119757328</v>
      </c>
      <c r="K7528" s="7" t="n">
        <f aca="false">Sens!K7527/Sens!J7527-1</f>
        <v>0.0706093433243977</v>
      </c>
    </row>
    <row r="7529" customFormat="false" ht="17.15" hidden="false" customHeight="false" outlineLevel="0" collapsed="false">
      <c r="A7529" s="26" t="s">
        <v>1057</v>
      </c>
      <c r="B7529" s="31" t="s">
        <v>98</v>
      </c>
      <c r="C7529" s="31"/>
      <c r="D7529" s="27" t="n">
        <f aca="false">(Sens!D7522+Sens!D7526-Sens!D7527)+(Sens!D7514+Sens!D7515-Sens!D7513)+(Sens!D7517+Sens!D7518-Sens!D7516)+(Sens!D7527-Q!L18)</f>
        <v>0</v>
      </c>
      <c r="E7529" s="27" t="n">
        <f aca="false">(Sens!E7522+Sens!E7526-Sens!E7527)+(Sens!E7514+Sens!E7515-Sens!E7513)+(Sens!E7517+Sens!E7518-Sens!E7516)+(Sens!E7527-Q!M18)</f>
        <v>0</v>
      </c>
      <c r="F7529" s="27" t="n">
        <f aca="false">(Sens!F7522+Sens!F7526-Sens!F7527)+(Sens!F7514+Sens!F7515-Sens!F7513)+(Sens!F7517+Sens!F7518-Sens!F7516)</f>
        <v>0</v>
      </c>
      <c r="G7529" s="27" t="n">
        <f aca="false">(Sens!G7522+Sens!G7526-Sens!G7527)+(Sens!G7514+Sens!G7515-Sens!G7513)+(Sens!G7517+Sens!G7518-Sens!G7516)</f>
        <v>0</v>
      </c>
      <c r="H7529" s="27" t="n">
        <f aca="false">(Sens!H7522+Sens!H7526-Sens!H7527)+(Sens!H7514+Sens!H7515-Sens!H7513)+(Sens!H7517+Sens!H7518-Sens!H7516)</f>
        <v>0</v>
      </c>
      <c r="I7529" s="27" t="n">
        <f aca="false">(Sens!I7522+Sens!I7526-Sens!I7527)+(Sens!I7514+Sens!I7515-Sens!I7513)+(Sens!I7517+Sens!I7518-Sens!I7516)</f>
        <v>0</v>
      </c>
      <c r="J7529" s="27" t="n">
        <f aca="false">(Sens!J7522+Sens!J7526-Sens!J7527)+(Sens!J7514+Sens!J7515-Sens!J7513)+(Sens!J7517+Sens!J7518-Sens!J7516)</f>
        <v>0</v>
      </c>
      <c r="K7529" s="27" t="n">
        <f aca="false">(Sens!K7522+Sens!K7526-Sens!K7527)+(Sens!K7514+Sens!K7515-Sens!K7513)+(Sens!K7517+Sens!K7518-Sens!K7516)</f>
        <v>0</v>
      </c>
    </row>
    <row r="7530" customFormat="false" ht="17.15" hidden="false" customHeight="false" outlineLevel="0" collapsed="false">
      <c r="A7530" s="0" t="s">
        <v>1058</v>
      </c>
      <c r="B7530" s="0" t="s">
        <v>168</v>
      </c>
      <c r="E7530" s="7" t="n">
        <f aca="false">(Q!M21+Sens!E7466+Sens!E7467+Sens!E7468+Sens!E7482-Sens!E7464)/(Q!M5-Sens!E7464)</f>
        <v>0.570957350878296</v>
      </c>
      <c r="F7530" s="7" t="n">
        <f aca="false">Sens!$E$7530+dm_seg</f>
        <v>0.570957350878296</v>
      </c>
      <c r="G7530" s="7" t="n">
        <f aca="false">Sens!$E$7530+dm_seg</f>
        <v>0.570957350878296</v>
      </c>
      <c r="H7530" s="7" t="n">
        <f aca="false">Sens!$E$7530+dm_seg</f>
        <v>0.570957350878296</v>
      </c>
      <c r="I7530" s="7" t="n">
        <f aca="false">Sens!$E$7530+dm_seg</f>
        <v>0.570957350878296</v>
      </c>
      <c r="J7530" s="7" t="n">
        <f aca="false">Sens!$E$7530+dm_seg</f>
        <v>0.570957350878296</v>
      </c>
      <c r="K7530" s="7" t="n">
        <f aca="false">Sens!$E$7530+dm_seg</f>
        <v>0.570957350878296</v>
      </c>
      <c r="L7530" s="12" t="s">
        <v>1059</v>
      </c>
    </row>
    <row r="7531" customFormat="false" ht="17.15" hidden="false" customHeight="false" outlineLevel="0" collapsed="false">
      <c r="A7531" s="0" t="s">
        <v>880</v>
      </c>
      <c r="B7531" s="0" t="s">
        <v>98</v>
      </c>
      <c r="D7531" s="6" t="n">
        <f aca="false">Q!L21</f>
        <v>110.814</v>
      </c>
      <c r="E7531" s="6" t="n">
        <f aca="false">Q!M21</f>
        <v>136.365</v>
      </c>
      <c r="F7531" s="6" t="n">
        <f aca="false">Q!$I$21+(Sens!F7530*(Sens!F7501-Sens!F7464)+Sens!F7464-(Sens!F7466+Sens!F7467+Sens!F7468)-Sens!F7482-Sens!F7565)*(Sens!F7501-Q!$I$5)/Sens!F7501</f>
        <v>162.717860518381</v>
      </c>
      <c r="G7531" s="6" t="n">
        <f aca="false">(Sens!G7530*(Sens!G7501-Sens!G7464)+Sens!G7464-(Sens!G7466+Sens!G7467+Sens!G7468)-Sens!G7482-Sens!G7565)</f>
        <v>179.912893910593</v>
      </c>
      <c r="H7531" s="6" t="n">
        <f aca="false">(Sens!H7530*(Sens!H7501-Sens!H7464)+Sens!H7464-(Sens!H7466+Sens!H7467+Sens!H7468)-Sens!H7482-Sens!H7565)</f>
        <v>200.797394405916</v>
      </c>
      <c r="I7531" s="6" t="n">
        <f aca="false">(Sens!I7530*(Sens!I7501-Sens!I7464)+Sens!I7464-(Sens!I7466+Sens!I7467+Sens!I7468)-Sens!I7482-Sens!I7565)</f>
        <v>220.271125338781</v>
      </c>
      <c r="J7531" s="6" t="n">
        <f aca="false">(Sens!J7530*(Sens!J7501-Sens!J7464)+Sens!J7464-(Sens!J7466+Sens!J7467+Sens!J7468)-Sens!J7482-Sens!J7565)</f>
        <v>238.087101365332</v>
      </c>
      <c r="K7531" s="6" t="n">
        <f aca="false">(Sens!K7530*(Sens!K7501-Sens!K7464)+Sens!K7464-(Sens!K7466+Sens!K7467+Sens!K7468)-Sens!K7482-Sens!K7565)</f>
        <v>255.305679769462</v>
      </c>
      <c r="L7531" s="1" t="s">
        <v>1060</v>
      </c>
    </row>
    <row r="7532" customFormat="false" ht="17.15" hidden="false" customHeight="false" outlineLevel="0" collapsed="false">
      <c r="A7532" s="0" t="s">
        <v>1061</v>
      </c>
      <c r="B7532" s="0" t="s">
        <v>168</v>
      </c>
      <c r="E7532" s="7" t="n">
        <f aca="false">Q!M22/Q!M12</f>
        <v>0.296207935710698</v>
      </c>
      <c r="F7532" s="7" t="n">
        <f aca="false">Sens!$E$7532+dm_seg</f>
        <v>0.296207935710698</v>
      </c>
      <c r="G7532" s="7" t="n">
        <f aca="false">Sens!$E$7532+dm_seg</f>
        <v>0.296207935710698</v>
      </c>
      <c r="H7532" s="7" t="n">
        <f aca="false">Sens!$E$7532+dm_seg</f>
        <v>0.296207935710698</v>
      </c>
      <c r="I7532" s="7" t="n">
        <f aca="false">Sens!$E$7532+dm_seg</f>
        <v>0.296207935710698</v>
      </c>
      <c r="J7532" s="7" t="n">
        <f aca="false">Sens!$E$7532+dm_seg</f>
        <v>0.296207935710698</v>
      </c>
      <c r="K7532" s="7" t="n">
        <f aca="false">Sens!$E$7532+dm_seg</f>
        <v>0.296207935710698</v>
      </c>
      <c r="L7532" s="12" t="s">
        <v>1062</v>
      </c>
    </row>
    <row r="7533" customFormat="false" ht="17.15" hidden="false" customHeight="false" outlineLevel="0" collapsed="false">
      <c r="A7533" s="0" t="s">
        <v>882</v>
      </c>
      <c r="B7533" s="0" t="s">
        <v>98</v>
      </c>
      <c r="D7533" s="6" t="n">
        <f aca="false">Q!L22</f>
        <v>17.714</v>
      </c>
      <c r="E7533" s="6" t="n">
        <f aca="false">Q!M22</f>
        <v>18.872</v>
      </c>
      <c r="F7533" s="6" t="n">
        <f aca="false">Q!$I$22+(Sens!F7508-Q!$I$12)*Sens!F7532</f>
        <v>19.8174315512051</v>
      </c>
      <c r="G7533" s="6" t="n">
        <f aca="false">Sens!G7508*Sens!G7532</f>
        <v>19.6313799703815</v>
      </c>
      <c r="H7533" s="6" t="n">
        <f aca="false">Sens!H7508*Sens!H7532</f>
        <v>20.3536242825865</v>
      </c>
      <c r="I7533" s="6" t="n">
        <f aca="false">Sens!I7508*Sens!I7532</f>
        <v>21.1920899239745</v>
      </c>
      <c r="J7533" s="6" t="n">
        <f aca="false">Sens!J7508*Sens!J7532</f>
        <v>22.1288166207045</v>
      </c>
      <c r="K7533" s="6" t="n">
        <f aca="false">Sens!K7508*Sens!K7532</f>
        <v>23.1493653905379</v>
      </c>
      <c r="L7533" s="12" t="s">
        <v>1063</v>
      </c>
    </row>
    <row r="7534" customFormat="false" ht="15" hidden="false" customHeight="false" outlineLevel="0" collapsed="false">
      <c r="A7534" s="1" t="s">
        <v>1064</v>
      </c>
      <c r="B7534" s="0" t="s">
        <v>98</v>
      </c>
      <c r="D7534" s="6" t="n">
        <f aca="false">Sens!D7531+Sens!D7533</f>
        <v>128.528</v>
      </c>
      <c r="E7534" s="6" t="n">
        <f aca="false">Sens!E7531+Sens!E7533</f>
        <v>155.237</v>
      </c>
      <c r="F7534" s="6" t="n">
        <f aca="false">Sens!F7531+Sens!F7533</f>
        <v>182.535292069586</v>
      </c>
      <c r="G7534" s="6" t="n">
        <f aca="false">Sens!G7531+Sens!G7533</f>
        <v>199.544273880974</v>
      </c>
      <c r="H7534" s="6" t="n">
        <f aca="false">Sens!H7531+Sens!H7533</f>
        <v>221.151018688503</v>
      </c>
      <c r="I7534" s="6" t="n">
        <f aca="false">Sens!I7531+Sens!I7533</f>
        <v>241.463215262755</v>
      </c>
      <c r="J7534" s="6" t="n">
        <f aca="false">Sens!J7531+Sens!J7533</f>
        <v>260.215917986036</v>
      </c>
      <c r="K7534" s="6" t="n">
        <f aca="false">Sens!K7531+Sens!K7533</f>
        <v>278.45504516</v>
      </c>
    </row>
    <row r="7535" customFormat="false" ht="15" hidden="false" customHeight="false" outlineLevel="0" collapsed="false">
      <c r="A7535" s="26" t="s">
        <v>1065</v>
      </c>
      <c r="B7535" s="31" t="s">
        <v>98</v>
      </c>
      <c r="C7535" s="31"/>
      <c r="D7535" s="27" t="n">
        <f aca="false">Sens!D7534-Q!L23</f>
        <v>0</v>
      </c>
      <c r="E7535" s="27" t="n">
        <f aca="false">Sens!E7534-Q!M23</f>
        <v>0</v>
      </c>
      <c r="F7535" s="31"/>
      <c r="G7535" s="31"/>
      <c r="H7535" s="31"/>
      <c r="I7535" s="31"/>
      <c r="J7535" s="31"/>
      <c r="K7535" s="31"/>
    </row>
    <row r="7536" customFormat="false" ht="15" hidden="false" customHeight="false" outlineLevel="0" collapsed="false">
      <c r="A7536" s="1" t="s">
        <v>1066</v>
      </c>
      <c r="B7536" s="0" t="s">
        <v>168</v>
      </c>
      <c r="D7536" s="7" t="n">
        <f aca="false">Sens!D7534/Sens!D7527</f>
        <v>0.456219562408598</v>
      </c>
      <c r="E7536" s="7" t="n">
        <f aca="false">Sens!E7534/Sens!E7527</f>
        <v>0.467808184089272</v>
      </c>
      <c r="F7536" s="7" t="n">
        <f aca="false">Sens!F7534/Sens!F7527</f>
        <v>0.456114437035269</v>
      </c>
      <c r="G7536" s="7" t="n">
        <f aca="false">Sens!G7534/Sens!G7527</f>
        <v>0.415212517906132</v>
      </c>
      <c r="H7536" s="7" t="n">
        <f aca="false">Sens!H7534/Sens!H7527</f>
        <v>0.392953628372808</v>
      </c>
      <c r="I7536" s="7" t="n">
        <f aca="false">Sens!I7534/Sens!I7527</f>
        <v>0.378598108598652</v>
      </c>
      <c r="J7536" s="7" t="n">
        <f aca="false">Sens!J7534/Sens!J7527</f>
        <v>0.372351175935944</v>
      </c>
      <c r="K7536" s="7" t="n">
        <f aca="false">Sens!K7534/Sens!K7527</f>
        <v>0.372171344827468</v>
      </c>
    </row>
    <row r="7537" customFormat="false" ht="17.15" hidden="false" customHeight="false" outlineLevel="0" collapsed="false">
      <c r="A7537" s="1" t="s">
        <v>1067</v>
      </c>
      <c r="B7537" s="0" t="s">
        <v>98</v>
      </c>
      <c r="F7537" s="6" t="n">
        <f aca="false">Sens!F7552</f>
        <v>8.88340674531245</v>
      </c>
      <c r="G7537" s="6" t="n">
        <f aca="false">Sens!G7552</f>
        <v>22.7060305170273</v>
      </c>
      <c r="H7537" s="6" t="n">
        <f aca="false">Sens!H7552</f>
        <v>38.0018452382075</v>
      </c>
      <c r="I7537" s="6" t="n">
        <f aca="false">Sens!I7552</f>
        <v>52.1381094705177</v>
      </c>
      <c r="J7537" s="6" t="n">
        <f aca="false">Sens!J7552</f>
        <v>62.0595818934393</v>
      </c>
      <c r="K7537" s="6" t="n">
        <f aca="false">Sens!K7552</f>
        <v>67.0801312706266</v>
      </c>
      <c r="L7537" s="1" t="s">
        <v>1068</v>
      </c>
    </row>
    <row r="7538" customFormat="false" ht="17.15" hidden="false" customHeight="false" outlineLevel="0" collapsed="false">
      <c r="A7538" s="1" t="s">
        <v>1069</v>
      </c>
      <c r="B7538" s="0" t="s">
        <v>98</v>
      </c>
      <c r="D7538" s="6" t="n">
        <f aca="false">Sens!D7534</f>
        <v>128.528</v>
      </c>
      <c r="E7538" s="6" t="n">
        <f aca="false">Sens!E7534</f>
        <v>155.237</v>
      </c>
      <c r="F7538" s="6" t="n">
        <f aca="false">Sens!F7534+Sens!F7537</f>
        <v>191.418698814899</v>
      </c>
      <c r="G7538" s="6" t="n">
        <f aca="false">Sens!G7534+Sens!G7537</f>
        <v>222.250304398002</v>
      </c>
      <c r="H7538" s="6" t="n">
        <f aca="false">Sens!H7534+Sens!H7537</f>
        <v>259.15286392671</v>
      </c>
      <c r="I7538" s="6" t="n">
        <f aca="false">Sens!I7534+Sens!I7537</f>
        <v>293.601324733273</v>
      </c>
      <c r="J7538" s="6" t="n">
        <f aca="false">Sens!J7534+Sens!J7537</f>
        <v>322.275499879476</v>
      </c>
      <c r="K7538" s="6" t="n">
        <f aca="false">Sens!K7534+Sens!K7537</f>
        <v>345.535176430626</v>
      </c>
    </row>
    <row r="7539" customFormat="false" ht="17.15" hidden="false" customHeight="false" outlineLevel="0" collapsed="false">
      <c r="A7539" s="1" t="s">
        <v>1070</v>
      </c>
      <c r="B7539" s="0" t="s">
        <v>98</v>
      </c>
      <c r="E7539" s="6" t="n">
        <f aca="false">Sens!E7482</f>
        <v>16.3054059770833</v>
      </c>
      <c r="F7539" s="6" t="n">
        <f aca="false">Sens!F7482</f>
        <v>34.5793144783516</v>
      </c>
      <c r="G7539" s="6" t="n">
        <f aca="false">Sens!G7482</f>
        <v>60.7344906522989</v>
      </c>
      <c r="H7539" s="6" t="n">
        <f aca="false">Sens!H7482</f>
        <v>89.1000906614457</v>
      </c>
      <c r="I7539" s="6" t="n">
        <f aca="false">Sens!I7482</f>
        <v>114.231009694548</v>
      </c>
      <c r="J7539" s="6" t="n">
        <f aca="false">Sens!J7482</f>
        <v>132.015673049596</v>
      </c>
      <c r="K7539" s="6" t="n">
        <f aca="false">Sens!K7482</f>
        <v>143.012669550934</v>
      </c>
    </row>
    <row r="7540" customFormat="false" ht="17.15" hidden="false" customHeight="false" outlineLevel="0" collapsed="false">
      <c r="A7540" s="1" t="s">
        <v>1071</v>
      </c>
      <c r="B7540" s="0" t="s">
        <v>98</v>
      </c>
      <c r="E7540" s="6" t="n">
        <f aca="false">Sens!E7564</f>
        <v>22.2285940229167</v>
      </c>
      <c r="F7540" s="6" t="n">
        <f aca="false">Sens!F7564</f>
        <v>23.591798765627</v>
      </c>
      <c r="G7540" s="6" t="n">
        <f aca="false">Sens!G7564</f>
        <v>25.409713295508</v>
      </c>
      <c r="H7540" s="6" t="n">
        <f aca="false">Sens!H7564</f>
        <v>27.6454445910043</v>
      </c>
      <c r="I7540" s="6" t="n">
        <f aca="false">Sens!I7564</f>
        <v>30.2223879471024</v>
      </c>
      <c r="J7540" s="6" t="n">
        <f aca="false">Sens!J7564</f>
        <v>33.048084580193</v>
      </c>
      <c r="K7540" s="6" t="n">
        <f aca="false">Sens!K7564</f>
        <v>36.0375282532797</v>
      </c>
    </row>
    <row r="7541" customFormat="false" ht="17.15" hidden="false" customHeight="false" outlineLevel="0" collapsed="false">
      <c r="A7541" s="1" t="s">
        <v>1072</v>
      </c>
      <c r="B7541" s="0" t="s">
        <v>98</v>
      </c>
      <c r="D7541" s="6" t="n">
        <f aca="false">Q!L27</f>
        <v>-4.901</v>
      </c>
      <c r="E7541" s="6" t="n">
        <f aca="false">Q!M27</f>
        <v>10.697</v>
      </c>
      <c r="F7541" s="6" t="n">
        <f aca="false">Q!$I$27+oie_f*(q_per_yr-1)/q_per_yr</f>
        <v>-0.862</v>
      </c>
      <c r="G7541" s="6" t="n">
        <f aca="false">oie_f</f>
        <v>-1.2</v>
      </c>
      <c r="H7541" s="6" t="n">
        <f aca="false">oie_f</f>
        <v>-1.2</v>
      </c>
      <c r="I7541" s="6" t="n">
        <f aca="false">oie_f</f>
        <v>-1.2</v>
      </c>
      <c r="J7541" s="6" t="n">
        <f aca="false">oie_f</f>
        <v>-1.2</v>
      </c>
      <c r="K7541" s="6" t="n">
        <f aca="false">oie_f</f>
        <v>-1.2</v>
      </c>
      <c r="L7541" s="12" t="s">
        <v>1073</v>
      </c>
    </row>
    <row r="7542" customFormat="false" ht="15" hidden="false" customHeight="false" outlineLevel="0" collapsed="false">
      <c r="A7542" s="1" t="s">
        <v>1074</v>
      </c>
      <c r="B7542" s="0" t="s">
        <v>98</v>
      </c>
      <c r="D7542" s="6" t="n">
        <f aca="false">Sens!D7534+Sens!D7541</f>
        <v>123.627</v>
      </c>
      <c r="E7542" s="6" t="n">
        <f aca="false">Sens!E7534+Sens!E7541</f>
        <v>165.934</v>
      </c>
      <c r="F7542" s="6" t="n">
        <f aca="false">Sens!F7534+Sens!F7541</f>
        <v>181.673292069586</v>
      </c>
      <c r="G7542" s="6" t="n">
        <f aca="false">Sens!G7534+Sens!G7541</f>
        <v>198.344273880974</v>
      </c>
      <c r="H7542" s="6" t="n">
        <f aca="false">Sens!H7534+Sens!H7541</f>
        <v>219.951018688503</v>
      </c>
      <c r="I7542" s="6" t="n">
        <f aca="false">Sens!I7534+Sens!I7541</f>
        <v>240.263215262755</v>
      </c>
      <c r="J7542" s="6" t="n">
        <f aca="false">Sens!J7534+Sens!J7541</f>
        <v>259.015917986036</v>
      </c>
      <c r="K7542" s="6" t="n">
        <f aca="false">Sens!K7534+Sens!K7541</f>
        <v>277.25504516</v>
      </c>
    </row>
    <row r="7543" customFormat="false" ht="15" hidden="false" customHeight="false" outlineLevel="0" collapsed="false">
      <c r="A7543" s="1" t="s">
        <v>1075</v>
      </c>
      <c r="B7543" s="0" t="s">
        <v>98</v>
      </c>
      <c r="D7543" s="6" t="n">
        <f aca="false">Q!L29</f>
        <v>21.795</v>
      </c>
      <c r="E7543" s="6" t="n">
        <f aca="false">Q!M29</f>
        <v>32.185</v>
      </c>
      <c r="F7543" s="6" t="n">
        <f aca="false">Q!$I$29+(Sens!F7542-Q!$I$28)*tax_f</f>
        <v>36.4680584139173</v>
      </c>
      <c r="G7543" s="6" t="n">
        <f aca="false">Sens!G7542*tax_f</f>
        <v>39.6688547761948</v>
      </c>
      <c r="H7543" s="6" t="n">
        <f aca="false">Sens!H7542*tax_f</f>
        <v>43.9902037377005</v>
      </c>
      <c r="I7543" s="6" t="n">
        <f aca="false">Sens!I7542*tax_f</f>
        <v>48.0526430525511</v>
      </c>
      <c r="J7543" s="6" t="n">
        <f aca="false">Sens!J7542*tax_f</f>
        <v>51.8031835972073</v>
      </c>
      <c r="K7543" s="6" t="n">
        <f aca="false">Sens!K7542*tax_f</f>
        <v>55.4510090319999</v>
      </c>
    </row>
    <row r="7544" customFormat="false" ht="15" hidden="false" customHeight="false" outlineLevel="0" collapsed="false">
      <c r="A7544" s="1" t="s">
        <v>1076</v>
      </c>
      <c r="B7544" s="0" t="s">
        <v>98</v>
      </c>
      <c r="D7544" s="6" t="n">
        <f aca="false">Sens!D7542-Sens!D7543</f>
        <v>101.832</v>
      </c>
      <c r="E7544" s="6" t="n">
        <f aca="false">Sens!E7542-Sens!E7543</f>
        <v>133.749</v>
      </c>
      <c r="F7544" s="6" t="n">
        <f aca="false">Sens!F7542-Sens!F7543</f>
        <v>145.205233655669</v>
      </c>
      <c r="G7544" s="6" t="n">
        <f aca="false">Sens!G7542-Sens!G7543</f>
        <v>158.675419104779</v>
      </c>
      <c r="H7544" s="6" t="n">
        <f aca="false">Sens!H7542-Sens!H7543</f>
        <v>175.960814950802</v>
      </c>
      <c r="I7544" s="6" t="n">
        <f aca="false">Sens!I7542-Sens!I7543</f>
        <v>192.210572210204</v>
      </c>
      <c r="J7544" s="6" t="n">
        <f aca="false">Sens!J7542-Sens!J7543</f>
        <v>207.212734388829</v>
      </c>
      <c r="K7544" s="6" t="n">
        <f aca="false">Sens!K7542-Sens!K7543</f>
        <v>221.804036128</v>
      </c>
    </row>
    <row r="7545" customFormat="false" ht="17.15" hidden="false" customHeight="false" outlineLevel="0" collapsed="false">
      <c r="A7545" s="1" t="s">
        <v>1077</v>
      </c>
      <c r="B7545" s="1" t="s">
        <v>81</v>
      </c>
      <c r="D7545" s="15" t="n">
        <f aca="false">Q!L31</f>
        <v>7.465</v>
      </c>
      <c r="E7545" s="15" t="n">
        <f aca="false">Q!M31</f>
        <v>7.453</v>
      </c>
      <c r="F7545" s="15" t="n">
        <f aca="false">Sens!F7589</f>
        <v>7.4728540244568</v>
      </c>
      <c r="G7545" s="15" t="n">
        <f aca="false">Sens!G7589</f>
        <v>7.51720804891361</v>
      </c>
      <c r="H7545" s="15" t="n">
        <f aca="false">Sens!H7589</f>
        <v>7.54490798794241</v>
      </c>
      <c r="I7545" s="15" t="n">
        <f aca="false">Sens!I7589</f>
        <v>7.55658935199788</v>
      </c>
      <c r="J7545" s="15" t="n">
        <f aca="false">Sens!J7589</f>
        <v>7.57073876316035</v>
      </c>
      <c r="K7545" s="15" t="n">
        <f aca="false">Sens!K7589</f>
        <v>7.5871734031256</v>
      </c>
    </row>
    <row r="7546" customFormat="false" ht="17.15" hidden="false" customHeight="false" outlineLevel="0" collapsed="false">
      <c r="A7546" s="0" t="s">
        <v>1078</v>
      </c>
      <c r="B7546" s="0" t="s">
        <v>75</v>
      </c>
      <c r="D7546" s="8" t="n">
        <f aca="false">Sens!D7544/Sens!D7545</f>
        <v>13.641259209645</v>
      </c>
      <c r="E7546" s="8" t="n">
        <f aca="false">Sens!E7544/Sens!E7545</f>
        <v>17.9456594659869</v>
      </c>
      <c r="F7546" s="8" t="n">
        <f aca="false">Sens!F7544/Sens!F7545</f>
        <v>19.4310277145048</v>
      </c>
      <c r="G7546" s="8" t="n">
        <f aca="false">Sens!G7544/Sens!G7545</f>
        <v>21.1082915455175</v>
      </c>
      <c r="H7546" s="8" t="n">
        <f aca="false">Sens!H7544/Sens!H7545</f>
        <v>23.321797327682</v>
      </c>
      <c r="I7546" s="8" t="n">
        <f aca="false">Sens!I7544/Sens!I7545</f>
        <v>25.4361542300014</v>
      </c>
      <c r="J7546" s="8" t="n">
        <f aca="false">Sens!J7544/Sens!J7545</f>
        <v>27.3702132475021</v>
      </c>
      <c r="K7546" s="8" t="n">
        <f aca="false">Sens!K7544/Sens!K7545</f>
        <v>29.2340802487295</v>
      </c>
      <c r="L7546" s="1" t="s">
        <v>1079</v>
      </c>
    </row>
    <row r="7547" customFormat="false" ht="17.15" hidden="false" customHeight="false" outlineLevel="0" collapsed="false">
      <c r="A7547" s="1" t="s">
        <v>1080</v>
      </c>
      <c r="B7547" s="0" t="s">
        <v>98</v>
      </c>
      <c r="D7547" s="6" t="n">
        <f aca="false">Sens!D7544</f>
        <v>101.832</v>
      </c>
      <c r="E7547" s="6" t="n">
        <f aca="false">Sens!E7544</f>
        <v>133.749</v>
      </c>
      <c r="F7547" s="6" t="n">
        <f aca="false">Sens!F7544+Sens!F7537*(1-tax_f)</f>
        <v>152.311959051919</v>
      </c>
      <c r="G7547" s="6" t="n">
        <f aca="false">Sens!G7544+Sens!G7537*(1-tax_f)</f>
        <v>176.840243518401</v>
      </c>
      <c r="H7547" s="6" t="n">
        <f aca="false">Sens!H7544+Sens!H7537*(1-tax_f)</f>
        <v>206.362291141368</v>
      </c>
      <c r="I7547" s="6" t="n">
        <f aca="false">Sens!I7544+Sens!I7537*(1-tax_f)</f>
        <v>233.921059786618</v>
      </c>
      <c r="J7547" s="6" t="n">
        <f aca="false">Sens!J7544+Sens!J7537*(1-tax_f)</f>
        <v>256.860399903581</v>
      </c>
      <c r="K7547" s="6" t="n">
        <f aca="false">Sens!K7544+Sens!K7537*(1-tax_f)</f>
        <v>275.468141144501</v>
      </c>
    </row>
    <row r="7548" customFormat="false" ht="17.15" hidden="false" customHeight="false" outlineLevel="0" collapsed="false">
      <c r="A7548" s="0" t="s">
        <v>1081</v>
      </c>
      <c r="B7548" s="0" t="s">
        <v>75</v>
      </c>
      <c r="D7548" s="8" t="n">
        <f aca="false">Sens!D7547/Sens!D7545</f>
        <v>13.641259209645</v>
      </c>
      <c r="E7548" s="8" t="n">
        <f aca="false">Sens!E7547/Sens!E7545</f>
        <v>17.9456594659869</v>
      </c>
      <c r="F7548" s="8" t="n">
        <f aca="false">Sens!F7547/Sens!F7545</f>
        <v>20.3820332303347</v>
      </c>
      <c r="G7548" s="8" t="n">
        <f aca="false">Sens!G7547/Sens!G7545</f>
        <v>23.5247238559479</v>
      </c>
      <c r="H7548" s="8" t="n">
        <f aca="false">Sens!H7547/Sens!H7545</f>
        <v>27.3512005012066</v>
      </c>
      <c r="I7548" s="8" t="n">
        <f aca="false">Sens!I7547/Sens!I7545</f>
        <v>30.9559046932691</v>
      </c>
      <c r="J7548" s="8" t="n">
        <f aca="false">Sens!J7547/Sens!J7545</f>
        <v>33.9280495522416</v>
      </c>
      <c r="K7548" s="8" t="n">
        <f aca="false">Sens!K7547/Sens!K7545</f>
        <v>36.3070838780381</v>
      </c>
      <c r="L7548" s="1" t="s">
        <v>1082</v>
      </c>
    </row>
    <row r="7549" customFormat="false" ht="17.15" hidden="false" customHeight="false" outlineLevel="0" collapsed="false">
      <c r="A7549" s="0" t="s">
        <v>1083</v>
      </c>
      <c r="B7549" s="0" t="s">
        <v>168</v>
      </c>
      <c r="E7549" s="7" t="n">
        <f aca="false">Sens!E7548/Sens!D7548-1</f>
        <v>0.315542736208578</v>
      </c>
      <c r="F7549" s="7" t="n">
        <f aca="false">Sens!F7548/Sens!E7548-1</f>
        <v>0.13576395835247</v>
      </c>
      <c r="G7549" s="7" t="n">
        <f aca="false">Sens!G7548/Sens!F7548-1</f>
        <v>0.154189260222374</v>
      </c>
      <c r="H7549" s="7" t="n">
        <f aca="false">Sens!H7548/Sens!G7548-1</f>
        <v>0.162657664705862</v>
      </c>
      <c r="I7549" s="7" t="n">
        <f aca="false">Sens!I7548/Sens!H7548-1</f>
        <v>0.131793271447206</v>
      </c>
      <c r="J7549" s="7" t="n">
        <f aca="false">Sens!J7548/Sens!I7548-1</f>
        <v>0.0960122111895101</v>
      </c>
      <c r="K7549" s="7" t="n">
        <f aca="false">Sens!K7548/Sens!J7548-1</f>
        <v>0.0701199850033623</v>
      </c>
    </row>
    <row r="7550" customFormat="false" ht="17.15" hidden="false" customHeight="false" outlineLevel="0" collapsed="false">
      <c r="A7550" s="0" t="s">
        <v>1003</v>
      </c>
      <c r="B7550" s="0" t="s">
        <v>98</v>
      </c>
      <c r="E7550" s="6" t="n">
        <f aca="false">Sens!E7491</f>
        <v>5.25</v>
      </c>
      <c r="F7550" s="6" t="n">
        <f aca="false">Sens!F7491</f>
        <v>13.5</v>
      </c>
      <c r="G7550" s="6" t="n">
        <f aca="false">Sens!G7491</f>
        <v>22.5</v>
      </c>
      <c r="H7550" s="6" t="n">
        <f aca="false">Sens!H7491</f>
        <v>31.5</v>
      </c>
      <c r="I7550" s="6" t="n">
        <f aca="false">Sens!I7491</f>
        <v>38.25</v>
      </c>
      <c r="J7550" s="6" t="n">
        <f aca="false">Sens!J7491</f>
        <v>42.75</v>
      </c>
      <c r="K7550" s="6" t="n">
        <f aca="false">Sens!K7491</f>
        <v>47.25</v>
      </c>
    </row>
    <row r="7551" customFormat="false" ht="17.15" hidden="false" customHeight="false" outlineLevel="0" collapsed="false">
      <c r="A7551" s="1" t="s">
        <v>1004</v>
      </c>
      <c r="B7551" s="0" t="s">
        <v>98</v>
      </c>
      <c r="F7551" s="6" t="n">
        <f aca="false">MAX(0,((Sens!E7451+Sens!F7451)/2-(shadow_base*(Sens!$D$7451+Sens!$E$7451)/2+(1-shadow_base)*Sens!$E$7451))*Sens!F7460/1000-(Sens!F7550-Sens!$E$7550)*Sens!F7530)</f>
        <v>8.88340674531245</v>
      </c>
      <c r="G7551" s="6" t="n">
        <f aca="false">MAX(0,((Sens!F7451+Sens!G7451)/2-(shadow_base*(Sens!$D$7451+Sens!$E$7451)/2+(1-shadow_base)*Sens!$E$7451))*Sens!G7460/1000-(Sens!G7550-Sens!$E$7550)*Sens!G7530)</f>
        <v>22.7060305170273</v>
      </c>
      <c r="H7551" s="6" t="n">
        <f aca="false">MAX(0,((Sens!G7451+Sens!H7451)/2-(shadow_base*(Sens!$D$7451+Sens!$E$7451)/2+(1-shadow_base)*Sens!$E$7451))*Sens!H7460/1000-(Sens!H7550-Sens!$E$7550)*Sens!H7530)</f>
        <v>38.0018452382075</v>
      </c>
      <c r="I7551" s="6" t="n">
        <f aca="false">MAX(0,((Sens!H7451+Sens!I7451)/2-(shadow_base*(Sens!$D$7451+Sens!$E$7451)/2+(1-shadow_base)*Sens!$E$7451))*Sens!I7460/1000-(Sens!I7550-Sens!$E$7550)*Sens!I7530)</f>
        <v>52.1381094705177</v>
      </c>
      <c r="J7551" s="6" t="n">
        <f aca="false">MAX(0,((Sens!I7451+Sens!J7451)/2-(shadow_base*(Sens!$D$7451+Sens!$E$7451)/2+(1-shadow_base)*Sens!$E$7451))*Sens!J7460/1000-(Sens!J7550-Sens!$E$7550)*Sens!J7530)</f>
        <v>62.0595818934393</v>
      </c>
      <c r="K7551" s="6" t="n">
        <f aca="false">MAX(0,((Sens!J7451+Sens!K7451)/2-(shadow_base*(Sens!$D$7451+Sens!$E$7451)/2+(1-shadow_base)*Sens!$E$7451))*Sens!K7460/1000-(Sens!K7550-Sens!$E$7550)*Sens!K7530)</f>
        <v>67.0801312706266</v>
      </c>
      <c r="L7551" s="1" t="s">
        <v>1005</v>
      </c>
    </row>
    <row r="7552" customFormat="false" ht="17.15" hidden="false" customHeight="false" outlineLevel="0" collapsed="false">
      <c r="A7552" s="1" t="s">
        <v>1006</v>
      </c>
      <c r="B7552" s="0" t="s">
        <v>98</v>
      </c>
      <c r="F7552" s="6" t="n">
        <f aca="false">IF(internal_ai_reading=2,1,0)*Sens!F7551</f>
        <v>8.88340674531245</v>
      </c>
      <c r="G7552" s="6" t="n">
        <f aca="false">IF(internal_ai_reading=2,1,0)*Sens!G7551</f>
        <v>22.7060305170273</v>
      </c>
      <c r="H7552" s="6" t="n">
        <f aca="false">IF(internal_ai_reading=2,1,0)*Sens!H7551</f>
        <v>38.0018452382075</v>
      </c>
      <c r="I7552" s="6" t="n">
        <f aca="false">IF(internal_ai_reading=2,1,0)*Sens!I7551</f>
        <v>52.1381094705177</v>
      </c>
      <c r="J7552" s="6" t="n">
        <f aca="false">IF(internal_ai_reading=2,1,0)*Sens!J7551</f>
        <v>62.0595818934393</v>
      </c>
      <c r="K7552" s="6" t="n">
        <f aca="false">IF(internal_ai_reading=2,1,0)*Sens!K7551</f>
        <v>67.0801312706266</v>
      </c>
    </row>
    <row r="7553" customFormat="false" ht="17.15" hidden="false" customHeight="false" outlineLevel="0" collapsed="false">
      <c r="A7553" s="0" t="s">
        <v>1007</v>
      </c>
      <c r="B7553" s="0" t="s">
        <v>98</v>
      </c>
      <c r="F7553" s="6" t="n">
        <f aca="false">Sens!F7470+Sens!F7550*Sens!F7530+Sens!F7552-Sens!F7471-Sens!F7482</f>
        <v>14.8152827562272</v>
      </c>
      <c r="G7553" s="6" t="n">
        <f aca="false">Sens!G7470+Sens!G7550*Sens!G7530+Sens!G7552-Sens!G7471-Sens!G7482</f>
        <v>31.0349977765951</v>
      </c>
      <c r="H7553" s="6" t="n">
        <f aca="false">Sens!H7470+Sens!H7550*Sens!H7530+Sens!H7552-Sens!H7471-Sens!H7482</f>
        <v>47.8811519709826</v>
      </c>
      <c r="I7553" s="6" t="n">
        <f aca="false">Sens!I7470+Sens!I7550*Sens!I7530+Sens!I7552-Sens!I7471-Sens!I7482</f>
        <v>62.6472166574028</v>
      </c>
      <c r="J7553" s="6" t="n">
        <f aca="false">Sens!J7470+Sens!J7550*Sens!J7530+Sens!J7552-Sens!J7471-Sens!J7482</f>
        <v>72.7882253357034</v>
      </c>
      <c r="K7553" s="6" t="n">
        <f aca="false">Sens!K7470+Sens!K7550*Sens!K7530+Sens!K7552-Sens!K7471-Sens!K7482</f>
        <v>79.4617812140187</v>
      </c>
    </row>
    <row r="7554" customFormat="false" ht="17.15" hidden="false" customHeight="false" outlineLevel="0" collapsed="false">
      <c r="A7554" s="0" t="s">
        <v>1008</v>
      </c>
      <c r="B7554" s="0" t="s">
        <v>98</v>
      </c>
      <c r="E7554" s="6" t="n">
        <f aca="false">Sens!E7450*(cxit_open+self_build*tk_cxfac)/1000*ai_net_open</f>
        <v>126.6980382</v>
      </c>
      <c r="F7554" s="6" t="n">
        <f aca="false">Sens!E7554+Sens!F7479-Sens!F7482</f>
        <v>260.572627763768</v>
      </c>
      <c r="G7554" s="6" t="n">
        <f aca="false">Sens!F7554+Sens!G7479-Sens!G7482</f>
        <v>391.782612760517</v>
      </c>
      <c r="H7554" s="6" t="n">
        <f aca="false">Sens!G7554+Sens!H7479-Sens!H7482</f>
        <v>499.488526163584</v>
      </c>
      <c r="I7554" s="6" t="n">
        <f aca="false">Sens!H7554+Sens!I7479-Sens!I7482</f>
        <v>553.872350090646</v>
      </c>
      <c r="J7554" s="6" t="n">
        <f aca="false">Sens!I7554+Sens!J7479-Sens!J7482</f>
        <v>550.78660823699</v>
      </c>
      <c r="K7554" s="6" t="n">
        <f aca="false">Sens!J7554+Sens!K7479-Sens!K7482</f>
        <v>526.736791750789</v>
      </c>
      <c r="L7554" s="1" t="s">
        <v>1009</v>
      </c>
    </row>
    <row r="7555" customFormat="false" ht="17.15" hidden="false" customHeight="false" outlineLevel="0" collapsed="false">
      <c r="A7555" s="0" t="s">
        <v>1010</v>
      </c>
      <c r="B7555" s="0" t="s">
        <v>168</v>
      </c>
      <c r="F7555" s="7" t="n">
        <f aca="false">Sens!F7553*(1-tax_f)/((Sens!E7554+Sens!F7554)/2)</f>
        <v>0.0612090057246454</v>
      </c>
      <c r="G7555" s="7" t="n">
        <f aca="false">Sens!G7553*(1-tax_f)/((Sens!F7554+Sens!G7554)/2)</f>
        <v>0.0761180310326695</v>
      </c>
      <c r="H7555" s="7" t="n">
        <f aca="false">Sens!H7553*(1-tax_f)/((Sens!G7554+Sens!H7554)/2)</f>
        <v>0.0859557095566361</v>
      </c>
      <c r="I7555" s="7" t="n">
        <f aca="false">Sens!I7553*(1-tax_f)/((Sens!H7554+Sens!I7554)/2)</f>
        <v>0.0951578408800258</v>
      </c>
      <c r="J7555" s="7" t="n">
        <f aca="false">Sens!J7553*(1-tax_f)/((Sens!I7554+Sens!J7554)/2)</f>
        <v>0.105427253958487</v>
      </c>
      <c r="K7555" s="7" t="n">
        <f aca="false">Sens!K7553*(1-tax_f)/((Sens!J7554+Sens!K7554)/2)</f>
        <v>0.117991729872291</v>
      </c>
    </row>
    <row r="7556" customFormat="false" ht="17.15" hidden="false" customHeight="false" outlineLevel="0" collapsed="false">
      <c r="A7556" s="1" t="s">
        <v>1011</v>
      </c>
      <c r="B7556" s="0" t="s">
        <v>168</v>
      </c>
      <c r="F7556" s="7" t="n">
        <f aca="false">(Sens!F7553-Sens!F7552)*(1-tax_f)/((Sens!E7554+Sens!F7554)/2)</f>
        <v>0.0245074116157084</v>
      </c>
      <c r="G7556" s="7" t="n">
        <f aca="false">(Sens!G7553-Sens!G7552)*(1-tax_f)/((Sens!F7554+Sens!G7554)/2)</f>
        <v>0.020428053286731</v>
      </c>
      <c r="H7556" s="7" t="n">
        <f aca="false">(Sens!H7553-Sens!H7552)*(1-tax_f)/((Sens!G7554+Sens!H7554)/2)</f>
        <v>0.0177352211713278</v>
      </c>
      <c r="I7556" s="7" t="n">
        <f aca="false">(Sens!I7553-Sens!I7552)*(1-tax_f)/((Sens!H7554+Sens!I7554)/2)</f>
        <v>0.015962783389876</v>
      </c>
      <c r="J7556" s="7" t="n">
        <f aca="false">(Sens!J7553-Sens!J7552)*(1-tax_f)/((Sens!I7554+Sens!J7554)/2)</f>
        <v>0.0155394833656265</v>
      </c>
      <c r="K7556" s="7" t="n">
        <f aca="false">(Sens!K7553-Sens!K7552)*(1-tax_f)/((Sens!J7554+Sens!K7554)/2)</f>
        <v>0.018385345422338</v>
      </c>
    </row>
    <row r="7557" customFormat="false" ht="17.15" hidden="false" customHeight="false" outlineLevel="0" collapsed="false">
      <c r="A7557" s="1" t="s">
        <v>1012</v>
      </c>
      <c r="B7557" s="0" t="s">
        <v>168</v>
      </c>
      <c r="F7557" s="7" t="n">
        <f aca="false">(Sens!F7553-Sens!F7552+Sens!F7551)*(1-tax_f)/((Sens!E7554+Sens!F7554)/2)</f>
        <v>0.0612090057246454</v>
      </c>
      <c r="G7557" s="7" t="n">
        <f aca="false">(Sens!G7553-Sens!G7552+Sens!G7551)*(1-tax_f)/((Sens!F7554+Sens!G7554)/2)</f>
        <v>0.0761180310326695</v>
      </c>
      <c r="H7557" s="7" t="n">
        <f aca="false">(Sens!H7553-Sens!H7552+Sens!H7551)*(1-tax_f)/((Sens!G7554+Sens!H7554)/2)</f>
        <v>0.0859557095566361</v>
      </c>
      <c r="I7557" s="7" t="n">
        <f aca="false">(Sens!I7553-Sens!I7552+Sens!I7551)*(1-tax_f)/((Sens!H7554+Sens!I7554)/2)</f>
        <v>0.0951578408800258</v>
      </c>
      <c r="J7557" s="7" t="n">
        <f aca="false">(Sens!J7553-Sens!J7552+Sens!J7551)*(1-tax_f)/((Sens!I7554+Sens!J7554)/2)</f>
        <v>0.105427253958487</v>
      </c>
      <c r="K7557" s="7" t="n">
        <f aca="false">(Sens!K7553-Sens!K7552+Sens!K7551)*(1-tax_f)/((Sens!J7554+Sens!K7554)/2)</f>
        <v>0.117991729872291</v>
      </c>
    </row>
    <row r="7558" customFormat="false" ht="17.15" hidden="false" customHeight="false" outlineLevel="0" collapsed="false">
      <c r="A7558" s="1" t="s">
        <v>1013</v>
      </c>
      <c r="B7558" s="0" t="s">
        <v>168</v>
      </c>
      <c r="F7558" s="7" t="n">
        <f aca="false">Sens!F7483*(1-tax_f)/(Sens!F7469*(Sens!E7554+Sens!F7554)/2)</f>
        <v>0.129294830495493</v>
      </c>
      <c r="G7558" s="7" t="n">
        <f aca="false">Sens!G7483*(1-tax_f)/(Sens!G7469*(Sens!F7554+Sens!G7554)/2)</f>
        <v>0.12719599062164</v>
      </c>
      <c r="H7558" s="7" t="n">
        <f aca="false">Sens!H7483*(1-tax_f)/(Sens!H7469*(Sens!G7554+Sens!H7554)/2)</f>
        <v>0.130828167067624</v>
      </c>
      <c r="I7558" s="7" t="n">
        <f aca="false">Sens!I7483*(1-tax_f)/(Sens!I7469*(Sens!H7554+Sens!I7554)/2)</f>
        <v>0.138614526937417</v>
      </c>
      <c r="J7558" s="7" t="n">
        <f aca="false">Sens!J7483*(1-tax_f)/(Sens!J7469*(Sens!I7554+Sens!J7554)/2)</f>
        <v>0.150578919010924</v>
      </c>
      <c r="K7558" s="7" t="n">
        <f aca="false">Sens!K7483*(1-tax_f)/(Sens!K7469*(Sens!J7554+Sens!K7554)/2)</f>
        <v>0.167005345886664</v>
      </c>
    </row>
    <row r="7559" customFormat="false" ht="17.15" hidden="false" customHeight="false" outlineLevel="0" collapsed="false">
      <c r="A7559" s="0" t="s">
        <v>1014</v>
      </c>
      <c r="B7559" s="0" t="s">
        <v>253</v>
      </c>
      <c r="F7559" s="7" t="n">
        <f aca="false">Sens!F7555-wacc</f>
        <v>-0.0417275852209519</v>
      </c>
      <c r="G7559" s="7" t="n">
        <f aca="false">Sens!G7555-wacc</f>
        <v>-0.0268185599129278</v>
      </c>
      <c r="H7559" s="7" t="n">
        <f aca="false">Sens!H7555-wacc</f>
        <v>-0.0169808813889612</v>
      </c>
      <c r="I7559" s="7" t="n">
        <f aca="false">Sens!I7555-wacc</f>
        <v>-0.00777875006557149</v>
      </c>
      <c r="J7559" s="7" t="n">
        <f aca="false">Sens!J7555-wacc</f>
        <v>0.0024906630128898</v>
      </c>
      <c r="K7559" s="7" t="n">
        <f aca="false">Sens!K7555-wacc</f>
        <v>0.0150551389266932</v>
      </c>
    </row>
    <row r="7560" customFormat="false" ht="17.15" hidden="false" customHeight="false" outlineLevel="0" collapsed="false">
      <c r="A7560" s="0" t="s">
        <v>1015</v>
      </c>
      <c r="B7560" s="0" t="s">
        <v>98</v>
      </c>
      <c r="F7560" s="6" t="n">
        <f aca="false">Sens!F7553*(1-tax_f)-wacc*(Sens!E7554+Sens!F7554)/2</f>
        <v>-8.07993485878896</v>
      </c>
      <c r="G7560" s="6" t="n">
        <f aca="false">Sens!G7553*(1-tax_f)-wacc*(Sens!F7554+Sens!G7554)/2</f>
        <v>-8.74761405125648</v>
      </c>
      <c r="H7560" s="6" t="n">
        <f aca="false">Sens!H7553*(1-tax_f)-wacc*(Sens!G7554+Sens!H7554)/2</f>
        <v>-7.56728474773728</v>
      </c>
      <c r="I7560" s="6" t="n">
        <f aca="false">Sens!I7553*(1-tax_f)-wacc*(Sens!H7554+Sens!I7554)/2</f>
        <v>-4.09691549261652</v>
      </c>
      <c r="J7560" s="6" t="n">
        <f aca="false">Sens!J7553*(1-tax_f)-wacc*(Sens!I7554+Sens!J7554)/2</f>
        <v>1.37566660468201</v>
      </c>
      <c r="K7560" s="6" t="n">
        <f aca="false">Sens!K7553*(1-tax_f)-wacc*(Sens!J7554+Sens!K7554)/2</f>
        <v>8.11113224178941</v>
      </c>
    </row>
    <row r="7561" customFormat="false" ht="17.15" hidden="false" customHeight="false" outlineLevel="0" collapsed="false">
      <c r="A7561" s="3" t="s">
        <v>1668</v>
      </c>
    </row>
    <row r="7562" customFormat="false" ht="15" hidden="false" customHeight="false" outlineLevel="0" collapsed="false">
      <c r="A7562" s="4" t="s">
        <v>43</v>
      </c>
      <c r="B7562" s="4" t="s">
        <v>65</v>
      </c>
      <c r="C7562" s="23" t="s">
        <v>938</v>
      </c>
      <c r="D7562" s="23" t="s">
        <v>939</v>
      </c>
      <c r="E7562" s="23" t="s">
        <v>940</v>
      </c>
      <c r="F7562" s="23" t="s">
        <v>941</v>
      </c>
      <c r="G7562" s="23" t="s">
        <v>942</v>
      </c>
      <c r="H7562" s="23" t="s">
        <v>943</v>
      </c>
      <c r="I7562" s="23" t="s">
        <v>944</v>
      </c>
      <c r="J7562" s="23" t="s">
        <v>945</v>
      </c>
      <c r="K7562" s="23" t="s">
        <v>946</v>
      </c>
      <c r="L7562" s="4" t="s">
        <v>47</v>
      </c>
    </row>
    <row r="7563" customFormat="false" ht="15" hidden="false" customHeight="false" outlineLevel="0" collapsed="false">
      <c r="A7563" s="1" t="s">
        <v>1076</v>
      </c>
      <c r="B7563" s="0" t="s">
        <v>98</v>
      </c>
      <c r="F7563" s="6" t="n">
        <f aca="false">Sens!F7544</f>
        <v>145.205233655669</v>
      </c>
      <c r="G7563" s="6" t="n">
        <f aca="false">Sens!G7544</f>
        <v>158.675419104779</v>
      </c>
      <c r="H7563" s="6" t="n">
        <f aca="false">Sens!H7544</f>
        <v>175.960814950802</v>
      </c>
      <c r="I7563" s="6" t="n">
        <f aca="false">Sens!I7544</f>
        <v>192.210572210204</v>
      </c>
      <c r="J7563" s="6" t="n">
        <f aca="false">Sens!J7544</f>
        <v>207.212734388829</v>
      </c>
      <c r="K7563" s="6" t="n">
        <f aca="false">Sens!K7544</f>
        <v>221.804036128</v>
      </c>
    </row>
    <row r="7564" customFormat="false" ht="17.15" hidden="false" customHeight="false" outlineLevel="0" collapsed="false">
      <c r="A7564" s="1" t="s">
        <v>1098</v>
      </c>
      <c r="B7564" s="0" t="s">
        <v>98</v>
      </c>
      <c r="E7564" s="6" t="n">
        <f aca="false">Q!M38-Sens!E7482</f>
        <v>22.2285940229167</v>
      </c>
      <c r="F7564" s="6" t="n">
        <f aca="false">Sens!E7564*(1-1/life_nonai)+(Sens!F7572+Sens!F7573)/life_nonai</f>
        <v>23.591798765627</v>
      </c>
      <c r="G7564" s="6" t="n">
        <f aca="false">Sens!F7564*(1-1/life_nonai)+(Sens!G7572)/life_nonai</f>
        <v>25.409713295508</v>
      </c>
      <c r="H7564" s="6" t="n">
        <f aca="false">Sens!G7564*(1-1/life_nonai)+(Sens!H7572)/life_nonai</f>
        <v>27.6454445910043</v>
      </c>
      <c r="I7564" s="6" t="n">
        <f aca="false">Sens!H7564*(1-1/life_nonai)+(Sens!I7572)/life_nonai</f>
        <v>30.2223879471024</v>
      </c>
      <c r="J7564" s="6" t="n">
        <f aca="false">Sens!I7564*(1-1/life_nonai)+(Sens!J7572)/life_nonai</f>
        <v>33.048084580193</v>
      </c>
      <c r="K7564" s="6" t="n">
        <f aca="false">Sens!J7564*(1-1/life_nonai)+(Sens!K7572)/life_nonai</f>
        <v>36.0375282532797</v>
      </c>
      <c r="L7564" s="12" t="s">
        <v>1099</v>
      </c>
    </row>
    <row r="7565" customFormat="false" ht="17.15" hidden="false" customHeight="false" outlineLevel="0" collapsed="false">
      <c r="A7565" s="1" t="s">
        <v>1100</v>
      </c>
      <c r="B7565" s="0" t="s">
        <v>98</v>
      </c>
      <c r="F7565" s="6" t="n">
        <f aca="false">Sens!$F$7573/life_nonai*(1-1/life_nonai)^(Sens!F7445-2027)</f>
        <v>0</v>
      </c>
      <c r="G7565" s="6" t="n">
        <f aca="false">Sens!$F$7573/life_nonai*(1-1/life_nonai)^(Sens!G7445-2027)</f>
        <v>0</v>
      </c>
      <c r="H7565" s="6" t="n">
        <f aca="false">Sens!$F$7573/life_nonai*(1-1/life_nonai)^(Sens!H7445-2027)</f>
        <v>0</v>
      </c>
      <c r="I7565" s="6" t="n">
        <f aca="false">Sens!$F$7573/life_nonai*(1-1/life_nonai)^(Sens!I7445-2027)</f>
        <v>0</v>
      </c>
      <c r="J7565" s="6" t="n">
        <f aca="false">Sens!$F$7573/life_nonai*(1-1/life_nonai)^(Sens!J7445-2027)</f>
        <v>0</v>
      </c>
      <c r="K7565" s="6" t="n">
        <f aca="false">Sens!$F$7573/life_nonai*(1-1/life_nonai)^(Sens!K7445-2027)</f>
        <v>0</v>
      </c>
      <c r="L7565" s="1" t="s">
        <v>1101</v>
      </c>
    </row>
    <row r="7566" customFormat="false" ht="17.15" hidden="false" customHeight="false" outlineLevel="0" collapsed="false">
      <c r="A7566" s="1" t="s">
        <v>1102</v>
      </c>
      <c r="B7566" s="0" t="s">
        <v>98</v>
      </c>
      <c r="E7566" s="6" t="n">
        <f aca="false">Sens!E7482+Sens!E7564</f>
        <v>38.534</v>
      </c>
      <c r="F7566" s="6" t="n">
        <f aca="false">Sens!F7482+Sens!F7564</f>
        <v>58.1711132439786</v>
      </c>
      <c r="G7566" s="6" t="n">
        <f aca="false">Sens!G7482+Sens!G7564</f>
        <v>86.1442039478069</v>
      </c>
      <c r="H7566" s="6" t="n">
        <f aca="false">Sens!H7482+Sens!H7564</f>
        <v>116.74553525245</v>
      </c>
      <c r="I7566" s="6" t="n">
        <f aca="false">Sens!I7482+Sens!I7564</f>
        <v>144.453397641651</v>
      </c>
      <c r="J7566" s="6" t="n">
        <f aca="false">Sens!J7482+Sens!J7564</f>
        <v>165.063757629789</v>
      </c>
      <c r="K7566" s="6" t="n">
        <f aca="false">Sens!K7482+Sens!K7564</f>
        <v>179.050197804214</v>
      </c>
    </row>
    <row r="7567" customFormat="false" ht="17.15" hidden="false" customHeight="false" outlineLevel="0" collapsed="false">
      <c r="A7567" s="1" t="s">
        <v>1103</v>
      </c>
      <c r="B7567" s="0" t="s">
        <v>98</v>
      </c>
      <c r="F7567" s="6" t="n">
        <f aca="false">Sens!F7509*sbc_r</f>
        <v>14.9603711791571</v>
      </c>
      <c r="G7567" s="6" t="n">
        <f aca="false">Sens!G7509*sbc_r</f>
        <v>17.9654530731561</v>
      </c>
      <c r="H7567" s="6" t="n">
        <f aca="false">Sens!H7509*sbc_r</f>
        <v>21.038607122419</v>
      </c>
      <c r="I7567" s="6" t="n">
        <f aca="false">Sens!I7509*sbc_r</f>
        <v>23.8419559888342</v>
      </c>
      <c r="J7567" s="6" t="n">
        <f aca="false">Sens!J7509*sbc_r</f>
        <v>26.1246495140112</v>
      </c>
      <c r="K7567" s="6" t="n">
        <f aca="false">Sens!K7509*sbc_r</f>
        <v>27.9692938607756</v>
      </c>
    </row>
    <row r="7568" customFormat="false" ht="17.15" hidden="false" customHeight="false" outlineLevel="0" collapsed="false">
      <c r="A7568" s="1" t="s">
        <v>1104</v>
      </c>
      <c r="B7568" s="0" t="s">
        <v>98</v>
      </c>
      <c r="F7568" s="6" t="n">
        <f aca="false">wc27-wc26q1</f>
        <v>-4.677</v>
      </c>
      <c r="G7568" s="6" t="n">
        <f aca="false">wc_f</f>
        <v>0</v>
      </c>
      <c r="H7568" s="6" t="n">
        <f aca="false">wc_f</f>
        <v>0</v>
      </c>
      <c r="I7568" s="6" t="n">
        <f aca="false">wc_f</f>
        <v>0</v>
      </c>
      <c r="J7568" s="6" t="n">
        <f aca="false">wc_f</f>
        <v>0</v>
      </c>
      <c r="K7568" s="6" t="n">
        <f aca="false">wc_f</f>
        <v>0</v>
      </c>
      <c r="L7568" s="12" t="s">
        <v>1105</v>
      </c>
    </row>
    <row r="7569" customFormat="false" ht="17.15" hidden="false" customHeight="false" outlineLevel="0" collapsed="false">
      <c r="A7569" s="0" t="s">
        <v>1106</v>
      </c>
      <c r="B7569" s="0" t="s">
        <v>98</v>
      </c>
      <c r="F7569" s="6" t="n">
        <f aca="false">Q!$I$35-Q!$I$26-Q!$I$38-Q!$I$39</f>
        <v>6.493</v>
      </c>
      <c r="L7569" s="1" t="s">
        <v>1107</v>
      </c>
    </row>
    <row r="7570" customFormat="false" ht="15" hidden="false" customHeight="false" outlineLevel="0" collapsed="false">
      <c r="A7570" s="1" t="s">
        <v>904</v>
      </c>
      <c r="B7570" s="0" t="s">
        <v>98</v>
      </c>
      <c r="E7570" s="6" t="n">
        <f aca="false">Q!M35</f>
        <v>182.935</v>
      </c>
      <c r="F7570" s="6" t="n">
        <f aca="false">Sens!F7563+Sens!F7566+Sens!F7567+Sens!F7568+Sens!F7569</f>
        <v>220.152718078805</v>
      </c>
      <c r="G7570" s="6" t="n">
        <f aca="false">Sens!G7563+Sens!G7566+Sens!G7567+Sens!G7568</f>
        <v>262.785076125742</v>
      </c>
      <c r="H7570" s="6" t="n">
        <f aca="false">Sens!H7563+Sens!H7566+Sens!H7567+Sens!H7568</f>
        <v>313.744957325671</v>
      </c>
      <c r="I7570" s="6" t="n">
        <f aca="false">Sens!I7563+Sens!I7566+Sens!I7567+Sens!I7568</f>
        <v>360.505925840689</v>
      </c>
      <c r="J7570" s="6" t="n">
        <f aca="false">Sens!J7563+Sens!J7566+Sens!J7567+Sens!J7568</f>
        <v>398.40114153263</v>
      </c>
      <c r="K7570" s="6" t="n">
        <f aca="false">Sens!K7563+Sens!K7566+Sens!K7567+Sens!K7568</f>
        <v>428.823527792989</v>
      </c>
    </row>
    <row r="7571" customFormat="false" ht="17.15" hidden="false" customHeight="false" outlineLevel="0" collapsed="false">
      <c r="A7571" s="0" t="s">
        <v>1108</v>
      </c>
      <c r="B7571" s="0" t="s">
        <v>98</v>
      </c>
      <c r="F7571" s="6" t="n">
        <f aca="false">Sens!F7479</f>
        <v>168.45390404212</v>
      </c>
      <c r="G7571" s="6" t="n">
        <f aca="false">Sens!G7479</f>
        <v>191.944475649048</v>
      </c>
      <c r="H7571" s="6" t="n">
        <f aca="false">Sens!H7479</f>
        <v>196.806004064512</v>
      </c>
      <c r="I7571" s="6" t="n">
        <f aca="false">Sens!I7479</f>
        <v>168.61483362161</v>
      </c>
      <c r="J7571" s="6" t="n">
        <f aca="false">Sens!J7479</f>
        <v>128.92993119594</v>
      </c>
      <c r="K7571" s="6" t="n">
        <f aca="false">Sens!K7479</f>
        <v>118.962853064733</v>
      </c>
    </row>
    <row r="7572" customFormat="false" ht="17.15" hidden="false" customHeight="false" outlineLevel="0" collapsed="false">
      <c r="A7572" s="1" t="s">
        <v>1109</v>
      </c>
      <c r="B7572" s="0" t="s">
        <v>98</v>
      </c>
      <c r="E7572" s="6" t="n">
        <f aca="false">Sens!E7487*cx_azo+Sens!E7494*cx_m365+Sens!E7495*cx_lic+(Sens!E7497+Sens!E7499)*cx_ind+Sens!E7502*cx_srch+(Sens!E7504+Sens!E7506)*cx_dev</f>
        <v>30.1846587067718</v>
      </c>
      <c r="F7572" s="6" t="n">
        <f aca="false">Sens!F7487*cx_azo+Sens!F7494*cx_m365+Sens!F7495*cx_lic+(Sens!F7497+Sens!F7499)*cx_ind+Sens!F7502*cx_srch+(Sens!F7504+Sens!F7506)*cx_dev</f>
        <v>35.8606414500198</v>
      </c>
      <c r="G7572" s="6" t="n">
        <f aca="false">Sens!G7487*cx_azo+Sens!G7494*cx_m365+Sens!G7495*cx_lic+(Sens!G7497+Sens!G7499)*cx_ind+Sens!G7502*cx_srch+(Sens!G7504+Sens!G7506)*cx_dev</f>
        <v>41.7709440644368</v>
      </c>
      <c r="H7572" s="6" t="n">
        <f aca="false">Sens!H7487*cx_azo+Sens!H7494*cx_m365+Sens!H7495*cx_lic+(Sens!H7497+Sens!H7499)*cx_ind+Sens!H7502*cx_srch+(Sens!H7504+Sens!H7506)*cx_dev</f>
        <v>47.7670262504717</v>
      </c>
      <c r="I7572" s="6" t="n">
        <f aca="false">Sens!I7487*cx_azo+Sens!I7494*cx_m365+Sens!I7495*cx_lic+(Sens!I7497+Sens!I7499)*cx_ind+Sens!I7502*cx_srch+(Sens!I7504+Sens!I7506)*cx_dev</f>
        <v>53.4148781519847</v>
      </c>
      <c r="J7572" s="6" t="n">
        <f aca="false">Sens!J7487*cx_azo+Sens!J7494*cx_m365+Sens!J7495*cx_lic+(Sens!J7497+Sens!J7499)*cx_ind+Sens!J7502*cx_srch+(Sens!J7504+Sens!J7506)*cx_dev</f>
        <v>58.479354278009</v>
      </c>
      <c r="K7572" s="6" t="n">
        <f aca="false">Sens!K7487*cx_azo+Sens!K7494*cx_m365+Sens!K7495*cx_lic+(Sens!K7497+Sens!K7499)*cx_ind+Sens!K7502*cx_srch+(Sens!K7504+Sens!K7506)*cx_dev</f>
        <v>62.9425213110594</v>
      </c>
    </row>
    <row r="7573" customFormat="false" ht="17.15" hidden="false" customHeight="false" outlineLevel="0" collapsed="false">
      <c r="A7573" s="0" t="s">
        <v>1110</v>
      </c>
      <c r="B7573" s="0" t="s">
        <v>98</v>
      </c>
      <c r="F7573" s="6" t="n">
        <f aca="false">Sens!F7477</f>
        <v>0</v>
      </c>
      <c r="L7573" s="1" t="s">
        <v>1111</v>
      </c>
    </row>
    <row r="7574" customFormat="false" ht="17.15" hidden="false" customHeight="false" outlineLevel="0" collapsed="false">
      <c r="A7574" s="1" t="s">
        <v>1112</v>
      </c>
      <c r="B7574" s="0" t="s">
        <v>98</v>
      </c>
      <c r="E7574" s="6" t="n">
        <f aca="false">Q!M43</f>
        <v>145.3</v>
      </c>
      <c r="F7574" s="6" t="n">
        <f aca="false">Sens!F7571+Sens!F7572+Sens!F7573</f>
        <v>204.314545492139</v>
      </c>
      <c r="G7574" s="6" t="n">
        <f aca="false">Sens!G7571+Sens!G7572</f>
        <v>233.715419713485</v>
      </c>
      <c r="H7574" s="6" t="n">
        <f aca="false">Sens!H7571+Sens!H7572</f>
        <v>244.573030314984</v>
      </c>
      <c r="I7574" s="6" t="n">
        <f aca="false">Sens!I7571+Sens!I7572</f>
        <v>222.029711773595</v>
      </c>
      <c r="J7574" s="6" t="n">
        <f aca="false">Sens!J7571+Sens!J7572</f>
        <v>187.409285473949</v>
      </c>
      <c r="K7574" s="6" t="n">
        <f aca="false">Sens!K7571+Sens!K7572</f>
        <v>181.905374375792</v>
      </c>
      <c r="L7574" s="1" t="s">
        <v>1113</v>
      </c>
    </row>
    <row r="7575" customFormat="false" ht="15" hidden="false" customHeight="false" outlineLevel="0" collapsed="false">
      <c r="A7575" s="1" t="s">
        <v>1114</v>
      </c>
      <c r="B7575" s="0" t="s">
        <v>98</v>
      </c>
      <c r="E7575" s="6" t="n">
        <f aca="false">fl_liab</f>
        <v>66.594</v>
      </c>
      <c r="F7575" s="6" t="n">
        <f aca="false">Sens!E7575-Sens!F7576</f>
        <v>62.46973</v>
      </c>
      <c r="G7575" s="6" t="n">
        <f aca="false">Sens!F7575-Sens!G7576</f>
        <v>57.98686785</v>
      </c>
      <c r="H7575" s="6" t="n">
        <f aca="false">Sens!G7575-Sens!H7576</f>
        <v>53.92827690325</v>
      </c>
      <c r="I7575" s="6" t="n">
        <f aca="false">Sens!H7575-Sens!I7576</f>
        <v>49.7850493638962</v>
      </c>
      <c r="J7575" s="6" t="n">
        <f aca="false">Sens!I7575-Sens!J7576</f>
        <v>45.4823765852716</v>
      </c>
      <c r="K7575" s="6" t="n">
        <f aca="false">Sens!J7575-Sens!K7576</f>
        <v>40.9860835316088</v>
      </c>
    </row>
    <row r="7576" customFormat="false" ht="15" hidden="false" customHeight="false" outlineLevel="0" collapsed="false">
      <c r="A7576" s="1" t="s">
        <v>1115</v>
      </c>
      <c r="B7576" s="0" t="s">
        <v>98</v>
      </c>
      <c r="F7576" s="6" t="n">
        <f aca="false">fl_pay_27-Sens!E7575*fl_rate</f>
        <v>4.12427</v>
      </c>
      <c r="G7576" s="6" t="n">
        <f aca="false">fl_pay_28-Sens!F7575*fl_rate</f>
        <v>4.48286215</v>
      </c>
      <c r="H7576" s="6" t="n">
        <f aca="false">fl_pay_29-Sens!G7575*fl_rate</f>
        <v>4.05859094675</v>
      </c>
      <c r="I7576" s="6" t="n">
        <f aca="false">fl_pay_30-Sens!H7575*fl_rate</f>
        <v>4.14322753935375</v>
      </c>
      <c r="J7576" s="6" t="n">
        <f aca="false">fl_pay_31-Sens!I7575*fl_rate</f>
        <v>4.30267277862467</v>
      </c>
      <c r="K7576" s="6" t="n">
        <f aca="false">fl_pay_32-Sens!J7575*fl_rate</f>
        <v>4.49629305366278</v>
      </c>
    </row>
    <row r="7577" customFormat="false" ht="17.15" hidden="false" customHeight="false" outlineLevel="0" collapsed="false">
      <c r="A7577" s="1" t="s">
        <v>1116</v>
      </c>
      <c r="B7577" s="0" t="s">
        <v>98</v>
      </c>
      <c r="E7577" s="6" t="n">
        <f aca="false">Q!M35-Q!M36-Q!M44</f>
        <v>63.886</v>
      </c>
      <c r="F7577" s="6" t="n">
        <f aca="false">Sens!F7570-Sens!F7574-Sens!F7576</f>
        <v>11.7139025866654</v>
      </c>
      <c r="G7577" s="6" t="n">
        <f aca="false">Sens!G7570-Sens!G7574-Sens!G7576</f>
        <v>24.5867942622574</v>
      </c>
      <c r="H7577" s="6" t="n">
        <f aca="false">Sens!H7570-Sens!H7574-Sens!H7576</f>
        <v>65.1133360639371</v>
      </c>
      <c r="I7577" s="6" t="n">
        <f aca="false">Sens!I7570-Sens!I7574-Sens!I7576</f>
        <v>134.33298652774</v>
      </c>
      <c r="J7577" s="6" t="n">
        <f aca="false">Sens!J7570-Sens!J7574-Sens!J7576</f>
        <v>206.689183280055</v>
      </c>
      <c r="K7577" s="6" t="n">
        <f aca="false">Sens!K7570-Sens!K7574-Sens!K7576</f>
        <v>242.421860363534</v>
      </c>
      <c r="L7577" s="12" t="s">
        <v>1117</v>
      </c>
    </row>
    <row r="7578" customFormat="false" ht="15" hidden="false" customHeight="false" outlineLevel="0" collapsed="false">
      <c r="A7578" s="1" t="s">
        <v>1118</v>
      </c>
      <c r="B7578" s="0" t="s">
        <v>75</v>
      </c>
      <c r="F7578" s="8" t="n">
        <f aca="false">dps_27</f>
        <v>3.85</v>
      </c>
      <c r="G7578" s="8" t="n">
        <f aca="false">Sens!F7578*(1+dps_g)</f>
        <v>4.158</v>
      </c>
      <c r="H7578" s="8" t="n">
        <f aca="false">Sens!G7578*(1+dps_g)</f>
        <v>4.49064</v>
      </c>
      <c r="I7578" s="8" t="n">
        <f aca="false">Sens!H7578*(1+dps_g)</f>
        <v>4.8498912</v>
      </c>
      <c r="J7578" s="8" t="n">
        <f aca="false">Sens!I7578*(1+dps_g)</f>
        <v>5.237882496</v>
      </c>
      <c r="K7578" s="8" t="n">
        <f aca="false">Sens!J7578*(1+dps_g)</f>
        <v>5.65691309568</v>
      </c>
    </row>
    <row r="7579" customFormat="false" ht="17.15" hidden="false" customHeight="false" outlineLevel="0" collapsed="false">
      <c r="A7579" s="1" t="s">
        <v>1119</v>
      </c>
      <c r="B7579" s="0" t="s">
        <v>98</v>
      </c>
      <c r="E7579" s="6" t="n">
        <f aca="false">Q!M41</f>
        <v>26.445</v>
      </c>
      <c r="F7579" s="6" t="n">
        <f aca="false">Sens!F7578*Sens!E7588</f>
        <v>28.59395</v>
      </c>
      <c r="G7579" s="6" t="n">
        <f aca="false">Sens!G7578*Sens!F7588</f>
        <v>31.0632040673828</v>
      </c>
      <c r="H7579" s="6" t="n">
        <f aca="false">Sens!H7578*Sens!G7588</f>
        <v>33.7503391927734</v>
      </c>
      <c r="I7579" s="6" t="n">
        <f aca="false">Sens!I7578*Sens!H7588</f>
        <v>36.5008046052679</v>
      </c>
      <c r="J7579" s="6" t="n">
        <f aca="false">Sens!J7578*Sens!I7588</f>
        <v>39.488766859082</v>
      </c>
      <c r="K7579" s="6" t="n">
        <f aca="false">Sens!K7578*Sens!J7588</f>
        <v>42.7346224701868</v>
      </c>
      <c r="L7579" s="1" t="s">
        <v>1120</v>
      </c>
    </row>
    <row r="7580" customFormat="false" ht="15" hidden="false" customHeight="false" outlineLevel="0" collapsed="false">
      <c r="A7580" s="1" t="s">
        <v>1121</v>
      </c>
      <c r="B7580" s="0" t="s">
        <v>98</v>
      </c>
      <c r="E7580" s="6" t="n">
        <f aca="false">Sens!E7577-Sens!E7579</f>
        <v>37.441</v>
      </c>
      <c r="F7580" s="6" t="n">
        <f aca="false">Sens!F7577-Sens!F7579</f>
        <v>-16.8800474133346</v>
      </c>
      <c r="G7580" s="6" t="n">
        <f aca="false">Sens!G7577-Sens!G7579</f>
        <v>-6.47640980512537</v>
      </c>
      <c r="H7580" s="6" t="n">
        <f aca="false">Sens!H7577-Sens!H7579</f>
        <v>31.3629968711637</v>
      </c>
      <c r="I7580" s="6" t="n">
        <f aca="false">Sens!I7577-Sens!I7579</f>
        <v>97.8321819224725</v>
      </c>
      <c r="J7580" s="6" t="n">
        <f aca="false">Sens!J7577-Sens!J7579</f>
        <v>167.200416420973</v>
      </c>
      <c r="K7580" s="6" t="n">
        <f aca="false">Sens!K7577-Sens!K7579</f>
        <v>199.687237893347</v>
      </c>
    </row>
    <row r="7581" customFormat="false" ht="15" hidden="false" customHeight="false" outlineLevel="0" collapsed="false">
      <c r="A7581" s="1" t="s">
        <v>1122</v>
      </c>
      <c r="B7581" s="0" t="s">
        <v>98</v>
      </c>
      <c r="F7581" s="6" t="n">
        <f aca="false">debt_mat_27</f>
        <v>9.25</v>
      </c>
      <c r="G7581" s="6" t="n">
        <f aca="false">debt_mat_28</f>
        <v>0</v>
      </c>
      <c r="H7581" s="6" t="n">
        <f aca="false">debt_mat_29</f>
        <v>2.001</v>
      </c>
      <c r="I7581" s="6" t="n">
        <f aca="false">debt_mat_30</f>
        <v>0</v>
      </c>
      <c r="J7581" s="6" t="n">
        <f aca="false">debt_mat_31</f>
        <v>0.5</v>
      </c>
      <c r="K7581" s="6" t="n">
        <f aca="false">debt_mat_32</f>
        <v>0</v>
      </c>
    </row>
    <row r="7582" customFormat="false" ht="15" hidden="false" customHeight="false" outlineLevel="0" collapsed="false">
      <c r="A7582" s="1" t="s">
        <v>1123</v>
      </c>
      <c r="B7582" s="0" t="s">
        <v>98</v>
      </c>
      <c r="E7582" s="6" t="n">
        <f aca="false">Q!M40</f>
        <v>22.271</v>
      </c>
      <c r="F7582" s="6" t="n">
        <f aca="false">MAX(0,MIN(bb_target,Sens!E7584+Sens!F7580-Sens!F7581-min_cash))</f>
        <v>0.712952586665395</v>
      </c>
      <c r="G7582" s="6" t="n">
        <f aca="false">MAX(0,MIN(bb_target,Sens!F7584+Sens!G7580-Sens!G7581-min_cash))</f>
        <v>0</v>
      </c>
      <c r="H7582" s="6" t="n">
        <f aca="false">MAX(0,MIN(bb_target,Sens!G7584+Sens!H7580-Sens!H7581-min_cash))</f>
        <v>22.271</v>
      </c>
      <c r="I7582" s="6" t="n">
        <f aca="false">MAX(0,MIN(bb_target,Sens!H7584+Sens!I7580-Sens!I7581-min_cash))</f>
        <v>22.271</v>
      </c>
      <c r="J7582" s="6" t="n">
        <f aca="false">MAX(0,MIN(bb_target,Sens!I7584+Sens!J7580-Sens!J7581-min_cash))</f>
        <v>22.271</v>
      </c>
      <c r="K7582" s="6" t="n">
        <f aca="false">MAX(0,MIN(bb_target,Sens!J7584+Sens!K7580-Sens!K7581-min_cash))</f>
        <v>22.271</v>
      </c>
    </row>
    <row r="7583" customFormat="false" ht="15" hidden="false" customHeight="false" outlineLevel="0" collapsed="false">
      <c r="A7583" s="1" t="s">
        <v>1124</v>
      </c>
      <c r="B7583" s="0" t="s">
        <v>98</v>
      </c>
      <c r="F7583" s="6" t="n">
        <f aca="false">MAX(0,min_cash-(Sens!E7584+Sens!F7580-Sens!F7581-Sens!F7582))</f>
        <v>0</v>
      </c>
      <c r="G7583" s="6" t="n">
        <f aca="false">MAX(0,min_cash-(Sens!F7584+Sens!G7580-Sens!G7581-Sens!G7582))</f>
        <v>6.47640980512537</v>
      </c>
      <c r="H7583" s="6" t="n">
        <f aca="false">MAX(0,min_cash-(Sens!G7584+Sens!H7580-Sens!H7581-Sens!H7582))</f>
        <v>0</v>
      </c>
      <c r="I7583" s="6" t="n">
        <f aca="false">MAX(0,min_cash-(Sens!H7584+Sens!I7580-Sens!I7581-Sens!I7582))</f>
        <v>0</v>
      </c>
      <c r="J7583" s="6" t="n">
        <f aca="false">MAX(0,min_cash-(Sens!I7584+Sens!J7580-Sens!J7581-Sens!J7582))</f>
        <v>0</v>
      </c>
      <c r="K7583" s="6" t="n">
        <f aca="false">MAX(0,min_cash-(Sens!J7584+Sens!K7580-Sens!K7581-Sens!K7582))</f>
        <v>0</v>
      </c>
    </row>
    <row r="7584" customFormat="false" ht="15" hidden="false" customHeight="false" outlineLevel="0" collapsed="false">
      <c r="A7584" s="1" t="s">
        <v>1125</v>
      </c>
      <c r="B7584" s="0" t="s">
        <v>98</v>
      </c>
      <c r="E7584" s="6" t="n">
        <f aca="false">cash_open</f>
        <v>76.843</v>
      </c>
      <c r="F7584" s="6" t="n">
        <f aca="false">Sens!E7584+Sens!F7580-Sens!F7581-Sens!F7582+Sens!F7583</f>
        <v>50</v>
      </c>
      <c r="G7584" s="6" t="n">
        <f aca="false">Sens!F7584+Sens!G7580-Sens!G7581-Sens!G7582+Sens!G7583</f>
        <v>50</v>
      </c>
      <c r="H7584" s="6" t="n">
        <f aca="false">Sens!G7584+Sens!H7580-Sens!H7581-Sens!H7582+Sens!H7583</f>
        <v>57.0909968711637</v>
      </c>
      <c r="I7584" s="6" t="n">
        <f aca="false">Sens!H7584+Sens!I7580-Sens!I7581-Sens!I7582+Sens!I7583</f>
        <v>132.652178793636</v>
      </c>
      <c r="J7584" s="6" t="n">
        <f aca="false">Sens!I7584+Sens!J7580-Sens!J7581-Sens!J7582+Sens!J7583</f>
        <v>277.08159521461</v>
      </c>
      <c r="K7584" s="6" t="n">
        <f aca="false">Sens!J7584+Sens!K7580-Sens!K7581-Sens!K7582+Sens!K7583</f>
        <v>454.497833107957</v>
      </c>
    </row>
    <row r="7585" customFormat="false" ht="15" hidden="false" customHeight="false" outlineLevel="0" collapsed="false">
      <c r="A7585" s="1" t="s">
        <v>1126</v>
      </c>
      <c r="B7585" s="0" t="s">
        <v>98</v>
      </c>
      <c r="E7585" s="6" t="n">
        <f aca="false">debt_face</f>
        <v>46.136</v>
      </c>
      <c r="F7585" s="6" t="n">
        <f aca="false">Sens!E7585-Sens!F7581+Sens!F7583</f>
        <v>36.886</v>
      </c>
      <c r="G7585" s="6" t="n">
        <f aca="false">Sens!F7585-Sens!G7581+Sens!G7583</f>
        <v>43.3624098051254</v>
      </c>
      <c r="H7585" s="6" t="n">
        <f aca="false">Sens!G7585-Sens!H7581+Sens!H7583</f>
        <v>41.3614098051254</v>
      </c>
      <c r="I7585" s="6" t="n">
        <f aca="false">Sens!H7585-Sens!I7581+Sens!I7583</f>
        <v>41.3614098051254</v>
      </c>
      <c r="J7585" s="6" t="n">
        <f aca="false">Sens!I7585-Sens!J7581+Sens!J7583</f>
        <v>40.8614098051254</v>
      </c>
      <c r="K7585" s="6" t="n">
        <f aca="false">Sens!J7585-Sens!K7581+Sens!K7583</f>
        <v>40.8614098051254</v>
      </c>
    </row>
    <row r="7586" customFormat="false" ht="15" hidden="false" customHeight="false" outlineLevel="0" collapsed="false">
      <c r="A7586" s="1" t="s">
        <v>1127</v>
      </c>
      <c r="B7586" s="0" t="s">
        <v>98</v>
      </c>
      <c r="E7586" s="6" t="n">
        <f aca="false">Sens!E7584-Sens!E7585</f>
        <v>30.707</v>
      </c>
      <c r="F7586" s="6" t="n">
        <f aca="false">Sens!F7584-Sens!F7585</f>
        <v>13.114</v>
      </c>
      <c r="G7586" s="6" t="n">
        <f aca="false">Sens!G7584-Sens!G7585</f>
        <v>6.63759019487463</v>
      </c>
      <c r="H7586" s="6" t="n">
        <f aca="false">Sens!H7584-Sens!H7585</f>
        <v>15.7295870660383</v>
      </c>
      <c r="I7586" s="6" t="n">
        <f aca="false">Sens!I7584-Sens!I7585</f>
        <v>91.2907689885108</v>
      </c>
      <c r="J7586" s="6" t="n">
        <f aca="false">Sens!J7584-Sens!J7585</f>
        <v>236.220185409484</v>
      </c>
      <c r="K7586" s="6" t="n">
        <f aca="false">Sens!K7584-Sens!K7585</f>
        <v>413.636423302832</v>
      </c>
    </row>
    <row r="7587" customFormat="false" ht="15" hidden="false" customHeight="false" outlineLevel="0" collapsed="false">
      <c r="A7587" s="1" t="s">
        <v>1128</v>
      </c>
      <c r="B7587" s="0" t="s">
        <v>75</v>
      </c>
      <c r="F7587" s="30" t="n">
        <f aca="false">px*(1+bb_g)^(Sens!F7445-base_fy-mid_yr)</f>
        <v>551.84177959629</v>
      </c>
      <c r="G7587" s="30" t="n">
        <f aca="false">px*(1+bb_g)^(Sens!G7445-base_fy-mid_yr)</f>
        <v>595.989121963993</v>
      </c>
      <c r="H7587" s="30" t="n">
        <f aca="false">px*(1+bb_g)^(Sens!H7445-base_fy-mid_yr)</f>
        <v>643.668251721112</v>
      </c>
      <c r="I7587" s="30" t="n">
        <f aca="false">px*(1+bb_g)^(Sens!I7445-base_fy-mid_yr)</f>
        <v>695.161711858801</v>
      </c>
      <c r="J7587" s="30" t="n">
        <f aca="false">px*(1+bb_g)^(Sens!J7445-base_fy-mid_yr)</f>
        <v>750.774648807506</v>
      </c>
      <c r="K7587" s="30" t="n">
        <f aca="false">px*(1+bb_g)^(Sens!K7445-base_fy-mid_yr)</f>
        <v>810.836620712106</v>
      </c>
    </row>
    <row r="7588" customFormat="false" ht="15" hidden="false" customHeight="false" outlineLevel="0" collapsed="false">
      <c r="A7588" s="1" t="s">
        <v>1129</v>
      </c>
      <c r="B7588" s="1" t="s">
        <v>81</v>
      </c>
      <c r="E7588" s="15" t="n">
        <f aca="false">sh_out26</f>
        <v>7.427</v>
      </c>
      <c r="F7588" s="15" t="n">
        <f aca="false">Sens!E7588+sh_iss-Sens!F7582/Sens!F7587</f>
        <v>7.47070804891361</v>
      </c>
      <c r="G7588" s="15" t="n">
        <f aca="false">Sens!F7588+sh_iss-Sens!G7582/Sens!G7587</f>
        <v>7.51570804891361</v>
      </c>
      <c r="H7588" s="15" t="n">
        <f aca="false">Sens!G7588+sh_iss-Sens!H7582/Sens!H7587</f>
        <v>7.52610792697121</v>
      </c>
      <c r="I7588" s="15" t="n">
        <f aca="false">Sens!H7588+sh_iss-Sens!I7582/Sens!I7587</f>
        <v>7.53907077702455</v>
      </c>
      <c r="J7588" s="15" t="n">
        <f aca="false">Sens!I7588+sh_iss-Sens!J7582/Sens!J7587</f>
        <v>7.55440674929616</v>
      </c>
      <c r="K7588" s="15" t="n">
        <f aca="false">Sens!J7588+sh_iss-Sens!K7582/Sens!K7587</f>
        <v>7.57194005695505</v>
      </c>
    </row>
    <row r="7589" customFormat="false" ht="15" hidden="false" customHeight="false" outlineLevel="0" collapsed="false">
      <c r="A7589" s="1" t="s">
        <v>1130</v>
      </c>
      <c r="B7589" s="1" t="s">
        <v>81</v>
      </c>
      <c r="E7589" s="15" t="n">
        <f aca="false">sh_dil26</f>
        <v>7.453</v>
      </c>
      <c r="F7589" s="15" t="n">
        <f aca="false">(Sens!E7588+Sens!F7588)/2+dil_gap</f>
        <v>7.4728540244568</v>
      </c>
      <c r="G7589" s="15" t="n">
        <f aca="false">(Sens!F7588+Sens!G7588)/2+dil_gap</f>
        <v>7.51720804891361</v>
      </c>
      <c r="H7589" s="15" t="n">
        <f aca="false">(Sens!G7588+Sens!H7588)/2+dil_gap</f>
        <v>7.54490798794241</v>
      </c>
      <c r="I7589" s="15" t="n">
        <f aca="false">(Sens!H7588+Sens!I7588)/2+dil_gap</f>
        <v>7.55658935199788</v>
      </c>
      <c r="J7589" s="15" t="n">
        <f aca="false">(Sens!I7588+Sens!J7588)/2+dil_gap</f>
        <v>7.57073876316035</v>
      </c>
      <c r="K7589" s="15" t="n">
        <f aca="false">(Sens!J7588+Sens!K7588)/2+dil_gap</f>
        <v>7.5871734031256</v>
      </c>
    </row>
    <row r="7590" customFormat="false" ht="17.15" hidden="false" customHeight="false" outlineLevel="0" collapsed="false">
      <c r="A7590" s="1" t="s">
        <v>1131</v>
      </c>
      <c r="B7590" s="0" t="s">
        <v>98</v>
      </c>
      <c r="C7590" s="6" t="n">
        <f aca="false">SUM(Sens!F7580:J7580)</f>
        <v>273.03913799615</v>
      </c>
    </row>
    <row r="7591" customFormat="false" ht="15" hidden="false" customHeight="false" outlineLevel="0" collapsed="false">
      <c r="A7591" s="26" t="s">
        <v>1096</v>
      </c>
      <c r="B7591" s="31" t="s">
        <v>98</v>
      </c>
      <c r="C7591" s="27" t="n">
        <f aca="false">Sens!$C$7590-(Sens!F7580+Sens!G7580+Sens!H7580+Sens!I7580+Sens!J7580)</f>
        <v>0</v>
      </c>
      <c r="D7591" s="31"/>
      <c r="E7591" s="31"/>
      <c r="F7591" s="31"/>
      <c r="G7591" s="31"/>
      <c r="H7591" s="31"/>
      <c r="I7591" s="31"/>
      <c r="J7591" s="31"/>
      <c r="K7591" s="31"/>
    </row>
    <row r="7592" customFormat="false" ht="17.15" hidden="false" customHeight="false" outlineLevel="0" collapsed="false">
      <c r="A7592" s="1" t="s">
        <v>1090</v>
      </c>
      <c r="B7592" s="1" t="s">
        <v>1132</v>
      </c>
      <c r="C7592" s="33" t="str">
        <f aca="false">IF(SUM(Sens!F7583:J7583)&gt;0.05,"需要舉債 "&amp;TEXT(SUM(Sens!F7583:J7583),"0.0")&amp;" 十億美元","不需舉債")&amp;"；"&amp;IF(SUM(Sens!F7582:J7582)&lt;COUNT(Sens!F7582:J7582)*bb_target-0.05,"回購較每年 "&amp;TEXT(bb_target,"0.0")&amp;" 的目標少 "&amp;TEXT(COUNT(Sens!F7582:J7582)*bb_target-SUM(Sens!F7582:J7582),"0.0")&amp;" 十億美元（"&amp;TEXT(COUNTIF(Sens!F7582:J7582,"&lt;"&amp;(bb_target-0.05)),"0")&amp;" 年減少）","回購不減")</f>
        <v>需要舉債 6.5 十億美元；回購較每年 22.3 的目標少 43.8 十億美元（2 年減少）</v>
      </c>
    </row>
    <row r="7593" customFormat="false" ht="17.15" hidden="false" customHeight="false" outlineLevel="0" collapsed="false">
      <c r="A7593" s="3" t="s">
        <v>1669</v>
      </c>
    </row>
    <row r="7594" customFormat="false" ht="15" hidden="false" customHeight="false" outlineLevel="0" collapsed="false">
      <c r="A7594" s="4" t="s">
        <v>43</v>
      </c>
      <c r="B7594" s="4" t="s">
        <v>65</v>
      </c>
      <c r="C7594" s="23" t="s">
        <v>938</v>
      </c>
      <c r="D7594" s="23" t="s">
        <v>939</v>
      </c>
      <c r="E7594" s="23" t="s">
        <v>940</v>
      </c>
      <c r="F7594" s="23" t="s">
        <v>941</v>
      </c>
      <c r="G7594" s="23" t="s">
        <v>942</v>
      </c>
      <c r="H7594" s="23" t="s">
        <v>943</v>
      </c>
      <c r="I7594" s="23" t="s">
        <v>944</v>
      </c>
      <c r="J7594" s="23" t="s">
        <v>945</v>
      </c>
      <c r="K7594" s="23" t="s">
        <v>946</v>
      </c>
      <c r="L7594" s="4" t="s">
        <v>47</v>
      </c>
    </row>
    <row r="7595" customFormat="false" ht="17.15" hidden="false" customHeight="false" outlineLevel="0" collapsed="false">
      <c r="A7595" s="1" t="s">
        <v>1212</v>
      </c>
      <c r="B7595" s="1" t="s">
        <v>279</v>
      </c>
      <c r="F7595" s="8" t="n">
        <f aca="false">(1-v_off)*mid_yr</f>
        <v>0.373972602739726</v>
      </c>
      <c r="G7595" s="8" t="n">
        <f aca="false">Sens!G7445-base_fy-mid_yr-v_off</f>
        <v>1.24794520547945</v>
      </c>
      <c r="H7595" s="8" t="n">
        <f aca="false">Sens!H7445-base_fy-mid_yr-v_off</f>
        <v>2.24794520547945</v>
      </c>
      <c r="I7595" s="8" t="n">
        <f aca="false">Sens!I7445-base_fy-mid_yr-v_off</f>
        <v>3.24794520547945</v>
      </c>
      <c r="J7595" s="8" t="n">
        <f aca="false">Sens!J7445-base_fy-mid_yr-v_off</f>
        <v>4.24794520547945</v>
      </c>
      <c r="K7595" s="8" t="n">
        <f aca="false">Sens!K7445-base_fy-mid_yr-v_off</f>
        <v>5.24794520547945</v>
      </c>
      <c r="L7595" s="12" t="s">
        <v>1213</v>
      </c>
    </row>
    <row r="7596" customFormat="false" ht="15" hidden="false" customHeight="false" outlineLevel="0" collapsed="false">
      <c r="A7596" s="1" t="s">
        <v>1214</v>
      </c>
      <c r="B7596" s="1" t="s">
        <v>279</v>
      </c>
      <c r="F7596" s="8" t="n">
        <f aca="false">Sens!F7445-base_fy-v_off</f>
        <v>0.747945205479452</v>
      </c>
      <c r="G7596" s="8" t="n">
        <f aca="false">Sens!G7445-base_fy-v_off</f>
        <v>1.74794520547945</v>
      </c>
      <c r="H7596" s="8" t="n">
        <f aca="false">Sens!H7445-base_fy-v_off</f>
        <v>2.74794520547945</v>
      </c>
      <c r="I7596" s="8" t="n">
        <f aca="false">Sens!I7445-base_fy-v_off</f>
        <v>3.74794520547945</v>
      </c>
      <c r="J7596" s="8" t="n">
        <f aca="false">Sens!J7445-base_fy-v_off</f>
        <v>4.74794520547945</v>
      </c>
      <c r="K7596" s="8" t="n">
        <f aca="false">Sens!K7445-base_fy-v_off</f>
        <v>5.74794520547945</v>
      </c>
    </row>
    <row r="7597" customFormat="false" ht="15" hidden="false" customHeight="false" outlineLevel="0" collapsed="false">
      <c r="A7597" s="1" t="s">
        <v>1215</v>
      </c>
      <c r="B7597" s="0" t="s">
        <v>229</v>
      </c>
      <c r="F7597" s="15" t="n">
        <f aca="false">1/(1+wacc)^Sens!F7595</f>
        <v>0.964022703286649</v>
      </c>
      <c r="G7597" s="15" t="n">
        <f aca="false">1/(1+wacc)^Sens!G7595</f>
        <v>0.884910302296739</v>
      </c>
      <c r="H7597" s="15" t="n">
        <f aca="false">1/(1+wacc)^Sens!H7595</f>
        <v>0.802322009770358</v>
      </c>
      <c r="I7597" s="15" t="n">
        <f aca="false">1/(1+wacc)^Sens!I7595</f>
        <v>0.727441646561469</v>
      </c>
      <c r="J7597" s="15" t="n">
        <f aca="false">1/(1+wacc)^Sens!J7595</f>
        <v>0.659549834988973</v>
      </c>
      <c r="K7597" s="15" t="n">
        <f aca="false">1/(1+wacc)^Sens!K7595</f>
        <v>0.597994336576966</v>
      </c>
    </row>
    <row r="7598" customFormat="false" ht="17.15" hidden="false" customHeight="false" outlineLevel="0" collapsed="false">
      <c r="A7598" s="1" t="s">
        <v>1216</v>
      </c>
      <c r="B7598" s="0" t="s">
        <v>98</v>
      </c>
      <c r="F7598" s="6" t="n">
        <f aca="false">Q!$I$35-Q!$I$39-Q!$I$43</f>
        <v>9.666</v>
      </c>
      <c r="L7598" s="12" t="s">
        <v>1217</v>
      </c>
    </row>
    <row r="7599" customFormat="false" ht="17.15" hidden="false" customHeight="false" outlineLevel="0" collapsed="false">
      <c r="A7599" s="1" t="s">
        <v>1218</v>
      </c>
      <c r="B7599" s="0" t="s">
        <v>98</v>
      </c>
      <c r="F7599" s="6" t="n">
        <f aca="false">Sens!F7570-Sens!F7567-Sens!F7574+Sens!F7552*(1-tax_f)*(1-v_off)-Sens!F7598</f>
        <v>-3.47275740570749</v>
      </c>
      <c r="G7599" s="6" t="n">
        <f aca="false">Sens!G7570-Sens!G7567-Sens!G7574+Sens!G7552*(1-tax_f)</f>
        <v>29.2690277527232</v>
      </c>
      <c r="H7599" s="6" t="n">
        <f aca="false">Sens!H7570-Sens!H7567-Sens!H7574+Sens!H7552*(1-tax_f)</f>
        <v>78.5347960788341</v>
      </c>
      <c r="I7599" s="6" t="n">
        <f aca="false">Sens!I7570-Sens!I7567-Sens!I7574+Sens!I7552*(1-tax_f)</f>
        <v>156.344745654674</v>
      </c>
      <c r="J7599" s="6" t="n">
        <f aca="false">Sens!J7570-Sens!J7567-Sens!J7574+Sens!J7552*(1-tax_f)</f>
        <v>234.51487205942</v>
      </c>
      <c r="K7599" s="6" t="n">
        <f aca="false">Sens!K7570-Sens!K7567-Sens!K7574+Sens!K7552*(1-tax_f)</f>
        <v>272.612964572923</v>
      </c>
      <c r="L7599" s="1" t="s">
        <v>1219</v>
      </c>
    </row>
    <row r="7600" customFormat="false" ht="15" hidden="false" customHeight="false" outlineLevel="0" collapsed="false">
      <c r="A7600" s="1" t="s">
        <v>1220</v>
      </c>
      <c r="B7600" s="0" t="s">
        <v>98</v>
      </c>
      <c r="F7600" s="6" t="n">
        <f aca="false">Sens!F7599*Sens!F7597</f>
        <v>-3.34781698210887</v>
      </c>
      <c r="G7600" s="6" t="n">
        <f aca="false">Sens!G7599*Sens!G7597</f>
        <v>25.900464196594</v>
      </c>
      <c r="H7600" s="6" t="n">
        <f aca="false">Sens!H7599*Sens!H7597</f>
        <v>63.0101954268754</v>
      </c>
      <c r="I7600" s="6" t="n">
        <f aca="false">Sens!I7599*Sens!I7597</f>
        <v>113.73167921027</v>
      </c>
      <c r="J7600" s="6" t="n">
        <f aca="false">Sens!J7599*Sens!J7597</f>
        <v>154.674245169251</v>
      </c>
      <c r="K7600" s="6" t="n">
        <f aca="false">Sens!K7599*Sens!K7597</f>
        <v>163.021008892065</v>
      </c>
    </row>
    <row r="7601" customFormat="false" ht="17.15" hidden="false" customHeight="false" outlineLevel="0" collapsed="false">
      <c r="A7601" s="1" t="s">
        <v>1221</v>
      </c>
      <c r="B7601" s="0" t="s">
        <v>98</v>
      </c>
      <c r="C7601" s="6" t="n">
        <f aca="false">SUM(Sens!F7600:K7600)</f>
        <v>516.989775912946</v>
      </c>
    </row>
    <row r="7602" customFormat="false" ht="17.15" hidden="false" customHeight="false" outlineLevel="0" collapsed="false">
      <c r="A7602" s="1" t="s">
        <v>1222</v>
      </c>
      <c r="B7602" s="0" t="s">
        <v>98</v>
      </c>
      <c r="C7602" s="6" t="n">
        <f aca="false">Sens!K7538*(1+g_tv)*(1-tax_f)</f>
        <v>284.720985378836</v>
      </c>
    </row>
    <row r="7603" customFormat="false" ht="17.15" hidden="false" customHeight="false" outlineLevel="0" collapsed="false">
      <c r="A7603" s="1" t="s">
        <v>1223</v>
      </c>
      <c r="B7603" s="0" t="s">
        <v>98</v>
      </c>
      <c r="C7603" s="6" t="n">
        <f aca="false">Sens!$C$7602*(1-g_tv/(wacc+ronic_prem))</f>
        <v>201.741459022855</v>
      </c>
    </row>
    <row r="7604" customFormat="false" ht="17.15" hidden="false" customHeight="false" outlineLevel="0" collapsed="false">
      <c r="A7604" s="1" t="s">
        <v>1224</v>
      </c>
      <c r="B7604" s="0" t="s">
        <v>98</v>
      </c>
      <c r="C7604" s="6" t="n">
        <f aca="false">Sens!$C$7603/(wacc-g_tv)</f>
        <v>2765.98421186605</v>
      </c>
    </row>
    <row r="7605" customFormat="false" ht="15" hidden="false" customHeight="false" outlineLevel="0" collapsed="false">
      <c r="A7605" s="1" t="s">
        <v>1225</v>
      </c>
      <c r="B7605" s="0" t="s">
        <v>98</v>
      </c>
      <c r="C7605" s="6" t="n">
        <f aca="false">Sens!$C$7604/(1+wacc)^Sens!K7596</f>
        <v>1574.96713313418</v>
      </c>
    </row>
    <row r="7606" customFormat="false" ht="17.15" hidden="false" customHeight="false" outlineLevel="0" collapsed="false">
      <c r="A7606" s="0" t="s">
        <v>1226</v>
      </c>
      <c r="B7606" s="0" t="s">
        <v>98</v>
      </c>
      <c r="C7606" s="6" t="n">
        <f aca="false">Sens!$C$7601+Sens!$C$7605</f>
        <v>2091.95690904713</v>
      </c>
    </row>
    <row r="7607" customFormat="false" ht="15" hidden="false" customHeight="false" outlineLevel="0" collapsed="false">
      <c r="A7607" s="1" t="s">
        <v>1141</v>
      </c>
      <c r="B7607" s="0" t="s">
        <v>168</v>
      </c>
      <c r="C7607" s="7" t="n">
        <f aca="false">Sens!$C$7605/Sens!$C$7606</f>
        <v>0.752867865644312</v>
      </c>
    </row>
    <row r="7608" customFormat="false" ht="17.15" hidden="false" customHeight="false" outlineLevel="0" collapsed="false">
      <c r="A7608" s="1" t="s">
        <v>1227</v>
      </c>
      <c r="B7608" s="0" t="s">
        <v>98</v>
      </c>
      <c r="C7608" s="6" t="n">
        <f aca="false">Sens!$C$7606+cash_val-debt_val-fl_val+oai_v</f>
        <v>2207.80790904713</v>
      </c>
    </row>
    <row r="7609" customFormat="false" ht="17.15" hidden="false" customHeight="false" outlineLevel="0" collapsed="false">
      <c r="A7609" s="0" t="s">
        <v>1149</v>
      </c>
      <c r="B7609" s="0" t="s">
        <v>75</v>
      </c>
      <c r="C7609" s="5" t="n">
        <f aca="false">Sens!$C$7608/shd_val</f>
        <v>296.50925450539</v>
      </c>
    </row>
    <row r="7610" customFormat="false" ht="15" hidden="false" customHeight="false" outlineLevel="0" collapsed="false">
      <c r="A7610" s="1" t="s">
        <v>1228</v>
      </c>
      <c r="B7610" s="0" t="s">
        <v>75</v>
      </c>
      <c r="C7610" s="8" t="n">
        <f aca="false">div_rem27+Sens!G7578*roll_div_q/q_per_yr</f>
        <v>3.9795</v>
      </c>
    </row>
    <row r="7611" customFormat="false" ht="17.15" hidden="false" customHeight="false" outlineLevel="0" collapsed="false">
      <c r="A7611" s="0" t="s">
        <v>1229</v>
      </c>
      <c r="B7611" s="0" t="s">
        <v>75</v>
      </c>
      <c r="C7611" s="5" t="n">
        <f aca="false">Sens!$C$7609*(1+wacc)^t_roll-Sens!$C$7610</f>
        <v>325.607084784784</v>
      </c>
    </row>
    <row r="7612" customFormat="false" ht="17.15" hidden="false" customHeight="false" outlineLevel="0" collapsed="false">
      <c r="A7612" s="1" t="s">
        <v>1230</v>
      </c>
      <c r="B7612" s="0" t="s">
        <v>168</v>
      </c>
      <c r="F7612" s="7" t="n">
        <f aca="false">Sens!F7564/(Sens!F7509-Sens!F7464)</f>
        <v>0.0684247801829899</v>
      </c>
      <c r="G7612" s="7" t="n">
        <f aca="false">Sens!G7564/(Sens!G7509-Sens!G7464)</f>
        <v>0.0652710402334862</v>
      </c>
      <c r="H7612" s="7" t="n">
        <f aca="false">Sens!H7564/(Sens!H7509-Sens!H7464)</f>
        <v>0.0636117704797653</v>
      </c>
      <c r="I7612" s="7" t="n">
        <f aca="false">Sens!I7564/(Sens!I7509-Sens!I7464)</f>
        <v>0.0633352535779828</v>
      </c>
      <c r="J7612" s="7" t="n">
        <f aca="false">Sens!J7564/(Sens!J7509-Sens!J7464)</f>
        <v>0.0640885677199665</v>
      </c>
      <c r="K7612" s="7" t="n">
        <f aca="false">Sens!K7564/(Sens!K7509-Sens!K7464)</f>
        <v>0.0654192588617182</v>
      </c>
    </row>
    <row r="7613" customFormat="false" ht="17.15" hidden="false" customHeight="false" outlineLevel="0" collapsed="false">
      <c r="A7613" s="0" t="s">
        <v>1231</v>
      </c>
      <c r="B7613" s="0" t="s">
        <v>98</v>
      </c>
      <c r="F7613" s="6" t="n">
        <f aca="false">Sens!F7494*(al_m365+Sens!F7612+sbc_r)</f>
        <v>84.5060711991308</v>
      </c>
      <c r="G7613" s="6" t="n">
        <f aca="false">Sens!G7494*(al_m365+Sens!G7612+sbc_r)</f>
        <v>98.9379116134045</v>
      </c>
      <c r="H7613" s="6" t="n">
        <f aca="false">Sens!H7494*(al_m365+Sens!H7612+sbc_r)</f>
        <v>113.535455737247</v>
      </c>
      <c r="I7613" s="6" t="n">
        <f aca="false">Sens!I7494*(al_m365+Sens!I7612+sbc_r)</f>
        <v>126.616458620692</v>
      </c>
      <c r="J7613" s="6" t="n">
        <f aca="false">Sens!J7494*(al_m365+Sens!J7612+sbc_r)</f>
        <v>137.994890738321</v>
      </c>
      <c r="K7613" s="6" t="n">
        <f aca="false">Sens!K7494*(al_m365+Sens!K7612+sbc_r)</f>
        <v>148.994107596992</v>
      </c>
      <c r="L7613" s="12" t="s">
        <v>1232</v>
      </c>
    </row>
    <row r="7614" customFormat="false" ht="17.15" hidden="false" customHeight="false" outlineLevel="0" collapsed="false">
      <c r="A7614" s="0" t="s">
        <v>1233</v>
      </c>
      <c r="B7614" s="0" t="s">
        <v>98</v>
      </c>
      <c r="F7614" s="6" t="n">
        <f aca="false">Sens!F7495*(al_lic+Sens!F7612+sbc_r)</f>
        <v>32.8502888025642</v>
      </c>
      <c r="G7614" s="6" t="n">
        <f aca="false">Sens!G7495*(al_lic+Sens!G7612+sbc_r)</f>
        <v>34.1151280410437</v>
      </c>
      <c r="H7614" s="6" t="n">
        <f aca="false">Sens!H7495*(al_lic+Sens!H7612+sbc_r)</f>
        <v>35.3003106793293</v>
      </c>
      <c r="I7614" s="6" t="n">
        <f aca="false">Sens!I7495*(al_lic+Sens!I7612+sbc_r)</f>
        <v>36.3888692122612</v>
      </c>
      <c r="J7614" s="6" t="n">
        <f aca="false">Sens!J7495*(al_lic+Sens!J7612+sbc_r)</f>
        <v>37.3529643724322</v>
      </c>
      <c r="K7614" s="6" t="n">
        <f aca="false">Sens!K7495*(al_lic+Sens!K7612+sbc_r)</f>
        <v>38.159566914817</v>
      </c>
    </row>
    <row r="7615" customFormat="false" ht="17.15" hidden="false" customHeight="false" outlineLevel="0" collapsed="false">
      <c r="A7615" s="0" t="s">
        <v>1234</v>
      </c>
      <c r="B7615" s="0" t="s">
        <v>98</v>
      </c>
      <c r="F7615" s="6" t="n">
        <f aca="false">Sens!F7497*(al_ind+Sens!F7612+sbc_r)</f>
        <v>9.05607011574293</v>
      </c>
      <c r="G7615" s="6" t="n">
        <f aca="false">Sens!G7497*(al_ind+Sens!G7612+sbc_r)</f>
        <v>9.82247347721146</v>
      </c>
      <c r="H7615" s="6" t="n">
        <f aca="false">Sens!H7497*(al_ind+Sens!H7612+sbc_r)</f>
        <v>10.636385057705</v>
      </c>
      <c r="I7615" s="6" t="n">
        <f aca="false">Sens!I7497*(al_ind+Sens!I7612+sbc_r)</f>
        <v>11.4959766554809</v>
      </c>
      <c r="J7615" s="6" t="n">
        <f aca="false">Sens!J7497*(al_ind+Sens!J7612+sbc_r)</f>
        <v>12.3904022031919</v>
      </c>
      <c r="K7615" s="6" t="n">
        <f aca="false">Sens!K7497*(al_ind+Sens!K7612+sbc_r)</f>
        <v>13.3016736001041</v>
      </c>
    </row>
    <row r="7616" customFormat="false" ht="17.15" hidden="false" customHeight="false" outlineLevel="0" collapsed="false">
      <c r="A7616" s="0" t="s">
        <v>1235</v>
      </c>
      <c r="B7616" s="0" t="s">
        <v>98</v>
      </c>
      <c r="F7616" s="6" t="n">
        <f aca="false">Sens!F7499*(al_fro+Sens!F7612+sbc_r)</f>
        <v>3.55232439335967</v>
      </c>
      <c r="G7616" s="6" t="n">
        <f aca="false">Sens!G7499*(al_fro+Sens!G7612+sbc_r)</f>
        <v>3.75836622915871</v>
      </c>
      <c r="H7616" s="6" t="n">
        <f aca="false">Sens!H7499*(al_fro+Sens!H7612+sbc_r)</f>
        <v>3.99446179771516</v>
      </c>
      <c r="I7616" s="6" t="n">
        <f aca="false">Sens!I7499*(al_fro+Sens!I7612+sbc_r)</f>
        <v>4.26371952400036</v>
      </c>
      <c r="J7616" s="6" t="n">
        <f aca="false">Sens!J7499*(al_fro+Sens!J7612+sbc_r)</f>
        <v>4.56679292047476</v>
      </c>
      <c r="K7616" s="6" t="n">
        <f aca="false">Sens!K7499*(al_fro+Sens!K7612+sbc_r)</f>
        <v>4.90266480710149</v>
      </c>
    </row>
    <row r="7617" customFormat="false" ht="17.15" hidden="false" customHeight="false" outlineLevel="0" collapsed="false">
      <c r="A7617" s="0" t="s">
        <v>1236</v>
      </c>
      <c r="B7617" s="0" t="s">
        <v>98</v>
      </c>
      <c r="F7617" s="6" t="n">
        <f aca="false">Sens!F7502*(al_srch+Sens!F7612+sbc_r)</f>
        <v>11.1837221356091</v>
      </c>
      <c r="G7617" s="6" t="n">
        <f aca="false">Sens!G7502*(al_srch+Sens!G7612+sbc_r)</f>
        <v>12.2446389223198</v>
      </c>
      <c r="H7617" s="6" t="n">
        <f aca="false">Sens!H7502*(al_srch+Sens!H7612+sbc_r)</f>
        <v>13.3535849506996</v>
      </c>
      <c r="I7617" s="6" t="n">
        <f aca="false">Sens!I7502*(al_srch+Sens!I7612+sbc_r)</f>
        <v>14.5015874372511</v>
      </c>
      <c r="J7617" s="6" t="n">
        <f aca="false">Sens!J7502*(al_srch+Sens!J7612+sbc_r)</f>
        <v>15.667322402392</v>
      </c>
      <c r="K7617" s="6" t="n">
        <f aca="false">Sens!K7502*(al_srch+Sens!K7612+sbc_r)</f>
        <v>16.8195999909133</v>
      </c>
    </row>
    <row r="7618" customFormat="false" ht="17.15" hidden="false" customHeight="false" outlineLevel="0" collapsed="false">
      <c r="A7618" s="0" t="s">
        <v>1237</v>
      </c>
      <c r="B7618" s="0" t="s">
        <v>98</v>
      </c>
      <c r="F7618" s="6" t="n">
        <f aca="false">Sens!F7470-Sens!F7471+Sens!F7552</f>
        <v>41.6866729977218</v>
      </c>
      <c r="G7618" s="6" t="n">
        <f aca="false">Sens!G7470-Sens!G7471+Sens!G7552</f>
        <v>78.9229480341323</v>
      </c>
      <c r="H7618" s="6" t="n">
        <f aca="false">Sens!H7470-Sens!H7471+Sens!H7552</f>
        <v>118.996086079762</v>
      </c>
      <c r="I7618" s="6" t="n">
        <f aca="false">Sens!I7470-Sens!I7471+Sens!I7552</f>
        <v>155.039107680856</v>
      </c>
      <c r="J7618" s="6" t="n">
        <f aca="false">Sens!J7470-Sens!J7471+Sens!J7552</f>
        <v>180.395471635252</v>
      </c>
      <c r="K7618" s="6" t="n">
        <f aca="false">Sens!K7470-Sens!K7471+Sens!K7552</f>
        <v>195.496715935953</v>
      </c>
    </row>
    <row r="7619" customFormat="false" ht="17.15" hidden="false" customHeight="false" outlineLevel="0" collapsed="false">
      <c r="A7619" s="0" t="s">
        <v>1238</v>
      </c>
      <c r="B7619" s="0" t="s">
        <v>98</v>
      </c>
      <c r="F7619" s="6" t="n">
        <f aca="false">Sens!F7531+Sens!F7552+Sens!F7482+Sens!F7612*(Sens!F7501-Sens!F7464)+sbc_r*Sens!F7501</f>
        <v>237.929071927646</v>
      </c>
      <c r="G7619" s="6" t="n">
        <f aca="false">Sens!G7531+Sens!G7552+Sens!G7482+Sens!G7612*(Sens!G7501-Sens!G7464)+sbc_r*Sens!G7501</f>
        <v>299.925143384996</v>
      </c>
      <c r="H7619" s="6" t="n">
        <f aca="false">Sens!H7531+Sens!H7552+Sens!H7482+Sens!H7612*(Sens!H7501-Sens!H7464)+sbc_r*Sens!H7501</f>
        <v>369.643658462165</v>
      </c>
      <c r="I7619" s="6" t="n">
        <f aca="false">Sens!I7531+Sens!I7552+Sens!I7482+Sens!I7612*(Sens!I7501-Sens!I7464)+sbc_r*Sens!I7501</f>
        <v>433.498766924584</v>
      </c>
      <c r="J7619" s="6" t="n">
        <f aca="false">Sens!J7531+Sens!J7552+Sens!J7482+Sens!J7612*(Sens!J7501-Sens!J7464)+sbc_r*Sens!J7501</f>
        <v>483.754481360042</v>
      </c>
      <c r="K7619" s="6" t="n">
        <f aca="false">Sens!K7531+Sens!K7552+Sens!K7482+Sens!K7612*(Sens!K7501-Sens!K7464)+sbc_r*Sens!K7501</f>
        <v>521.371090296457</v>
      </c>
    </row>
    <row r="7620" customFormat="false" ht="17.15" hidden="false" customHeight="false" outlineLevel="0" collapsed="false">
      <c r="A7620" s="0" t="s">
        <v>1239</v>
      </c>
      <c r="B7620" s="0" t="s">
        <v>98</v>
      </c>
      <c r="F7620" s="6" t="n">
        <f aca="false">Sens!F7619-Sens!F7613-Sens!F7614-Sens!F7615-Sens!F7616-Sens!F7618</f>
        <v>66.277644419127</v>
      </c>
      <c r="G7620" s="6" t="n">
        <f aca="false">Sens!G7619-Sens!G7613-Sens!G7614-Sens!G7615-Sens!G7616-Sens!G7618</f>
        <v>74.3683159900457</v>
      </c>
      <c r="H7620" s="6" t="n">
        <f aca="false">Sens!H7619-Sens!H7613-Sens!H7614-Sens!H7615-Sens!H7616-Sens!H7618</f>
        <v>87.1809591104066</v>
      </c>
      <c r="I7620" s="6" t="n">
        <f aca="false">Sens!I7619-Sens!I7613-Sens!I7614-Sens!I7615-Sens!I7616-Sens!I7618</f>
        <v>99.6946352312927</v>
      </c>
      <c r="J7620" s="6" t="n">
        <f aca="false">Sens!J7619-Sens!J7613-Sens!J7614-Sens!J7615-Sens!J7616-Sens!J7618</f>
        <v>111.053959490369</v>
      </c>
      <c r="K7620" s="6" t="n">
        <f aca="false">Sens!K7619-Sens!K7613-Sens!K7614-Sens!K7615-Sens!K7616-Sens!K7618</f>
        <v>120.516361441489</v>
      </c>
    </row>
    <row r="7621" customFormat="false" ht="17.15" hidden="false" customHeight="false" outlineLevel="0" collapsed="false">
      <c r="A7621" s="0" t="s">
        <v>1240</v>
      </c>
      <c r="B7621" s="0" t="s">
        <v>98</v>
      </c>
      <c r="F7621" s="6" t="n">
        <f aca="false">Sens!F7533+Sens!F7612*Sens!F7508+sbc_r*Sens!F7508</f>
        <v>26.621111310388</v>
      </c>
      <c r="G7621" s="6" t="n">
        <f aca="false">Sens!G7533+Sens!G7612*Sens!G7508+sbc_r*Sens!G7508</f>
        <v>26.4348180339681</v>
      </c>
      <c r="H7621" s="6" t="n">
        <f aca="false">Sens!H7533+Sens!H7612*Sens!H7508+sbc_r*Sens!H7508</f>
        <v>27.2933478394138</v>
      </c>
      <c r="I7621" s="6" t="n">
        <f aca="false">Sens!I7533+Sens!I7612*Sens!I7508+sbc_r*Sens!I7508</f>
        <v>28.3979114391744</v>
      </c>
      <c r="J7621" s="6" t="n">
        <f aca="false">Sens!J7533+Sens!J7612*Sens!J7508+sbc_r*Sens!J7508</f>
        <v>29.7094256632346</v>
      </c>
      <c r="K7621" s="6" t="n">
        <f aca="false">Sens!K7533+Sens!K7612*Sens!K7508+sbc_r*Sens!K7508</f>
        <v>31.183577799159</v>
      </c>
    </row>
    <row r="7622" customFormat="false" ht="17.15" hidden="false" customHeight="false" outlineLevel="0" collapsed="false">
      <c r="A7622" s="0" t="s">
        <v>1241</v>
      </c>
      <c r="B7622" s="0" t="s">
        <v>98</v>
      </c>
      <c r="F7622" s="6" t="n">
        <f aca="false">(Sens!F7621-Sens!F7617)*Sens!F7504/(Sens!F7504+Sens!F7506)</f>
        <v>8.71881384945253</v>
      </c>
      <c r="G7622" s="6" t="n">
        <f aca="false">(Sens!G7621-Sens!G7617)*Sens!G7504/(Sens!G7504+Sens!G7506)</f>
        <v>7.87666975188291</v>
      </c>
      <c r="H7622" s="6" t="n">
        <f aca="false">(Sens!H7621-Sens!H7617)*Sens!H7504/(Sens!H7504+Sens!H7506)</f>
        <v>7.63687006041368</v>
      </c>
      <c r="I7622" s="6" t="n">
        <f aca="false">(Sens!I7621-Sens!I7617)*Sens!I7504/(Sens!I7504+Sens!I7506)</f>
        <v>7.54662180690089</v>
      </c>
      <c r="J7622" s="6" t="n">
        <f aca="false">(Sens!J7621-Sens!J7617)*Sens!J7504/(Sens!J7504+Sens!J7506)</f>
        <v>7.59251861438641</v>
      </c>
      <c r="K7622" s="6" t="n">
        <f aca="false">(Sens!K7621-Sens!K7617)*Sens!K7504/(Sens!K7504+Sens!K7506)</f>
        <v>7.76655511356746</v>
      </c>
    </row>
    <row r="7623" customFormat="false" ht="17.15" hidden="false" customHeight="false" outlineLevel="0" collapsed="false">
      <c r="A7623" s="0" t="s">
        <v>1242</v>
      </c>
      <c r="B7623" s="0" t="s">
        <v>98</v>
      </c>
      <c r="F7623" s="6" t="n">
        <f aca="false">Sens!F7621-Sens!F7617-Sens!F7622</f>
        <v>6.71857532532637</v>
      </c>
      <c r="G7623" s="6" t="n">
        <f aca="false">Sens!G7621-Sens!G7617-Sens!G7622</f>
        <v>6.31350935976539</v>
      </c>
      <c r="H7623" s="6" t="n">
        <f aca="false">Sens!H7621-Sens!H7617-Sens!H7622</f>
        <v>6.30289282830058</v>
      </c>
      <c r="I7623" s="6" t="n">
        <f aca="false">Sens!I7621-Sens!I7617-Sens!I7622</f>
        <v>6.34970219502236</v>
      </c>
      <c r="J7623" s="6" t="n">
        <f aca="false">Sens!J7621-Sens!J7617-Sens!J7622</f>
        <v>6.44958464645615</v>
      </c>
      <c r="K7623" s="6" t="n">
        <f aca="false">Sens!K7621-Sens!K7617-Sens!K7622</f>
        <v>6.59742269467828</v>
      </c>
    </row>
    <row r="7624" customFormat="false" ht="17.15" hidden="false" customHeight="false" outlineLevel="0" collapsed="false">
      <c r="A7624" s="0" t="s">
        <v>1243</v>
      </c>
      <c r="B7624" s="0" t="s">
        <v>98</v>
      </c>
      <c r="F7624" s="6" t="n">
        <f aca="false">Sens!F7618-tax_f*(Sens!F7618-Sens!F7482)-Sens!F7479</f>
        <v>-128.188702748272</v>
      </c>
      <c r="G7624" s="6" t="n">
        <f aca="false">Sens!G7618-tax_f*(Sens!G7618-Sens!G7482)-Sens!G7479</f>
        <v>-116.659219091283</v>
      </c>
      <c r="H7624" s="6" t="n">
        <f aca="false">Sens!H7618-tax_f*(Sens!H7618-Sens!H7482)-Sens!H7479</f>
        <v>-83.7891170684136</v>
      </c>
      <c r="I7624" s="6" t="n">
        <f aca="false">Sens!I7618-tax_f*(Sens!I7618-Sens!I7482)-Sens!I7479</f>
        <v>-21.7373455380156</v>
      </c>
      <c r="J7624" s="6" t="n">
        <f aca="false">Sens!J7618-tax_f*(Sens!J7618-Sens!J7482)-Sens!J7479</f>
        <v>41.7895807221807</v>
      </c>
      <c r="K7624" s="6" t="n">
        <f aca="false">Sens!K7618-tax_f*(Sens!K7618-Sens!K7482)-Sens!K7479</f>
        <v>66.0370535942168</v>
      </c>
    </row>
    <row r="7625" customFormat="false" ht="17.15" hidden="false" customHeight="false" outlineLevel="0" collapsed="false">
      <c r="A7625" s="0" t="s">
        <v>1244</v>
      </c>
      <c r="B7625" s="0" t="s">
        <v>98</v>
      </c>
      <c r="G7625" s="6" t="n">
        <f aca="false">Sens!G7624/(1+wacc)^(Sens!G7595-Sens!F7596)</f>
        <v>-111.082026070383</v>
      </c>
      <c r="H7625" s="6" t="n">
        <f aca="false">Sens!H7624/(1+wacc)^(Sens!H7595-Sens!F7596)</f>
        <v>-72.3372170178786</v>
      </c>
      <c r="I7625" s="6" t="n">
        <f aca="false">Sens!I7624/(1+wacc)^(Sens!I7595-Sens!F7596)</f>
        <v>-17.0149291989596</v>
      </c>
      <c r="J7625" s="6" t="n">
        <f aca="false">Sens!J7624/(1+wacc)^(Sens!J7595-Sens!F7596)</f>
        <v>29.6579484560834</v>
      </c>
      <c r="K7625" s="6" t="n">
        <f aca="false">Sens!K7624/(1+wacc)^(Sens!K7595-Sens!F7596)</f>
        <v>42.4922996132791</v>
      </c>
      <c r="L7625" s="1" t="s">
        <v>1245</v>
      </c>
    </row>
    <row r="7626" customFormat="false" ht="17.15" hidden="false" customHeight="false" outlineLevel="0" collapsed="false">
      <c r="A7626" s="0" t="s">
        <v>1246</v>
      </c>
      <c r="B7626" s="0" t="s">
        <v>98</v>
      </c>
      <c r="C7626" s="6" t="n">
        <f aca="false">(Sens!K7618-Sens!K7482)*(1-tax_f)*(1+g_tv)*(1-g_tv/(wacc+ronic_prem))/(wacc-g_tv)/(1+wacc)^(Sens!K7596-Sens!F7596)</f>
        <v>257.413912580923</v>
      </c>
    </row>
    <row r="7627" customFormat="false" ht="17.15" hidden="false" customHeight="false" outlineLevel="0" collapsed="false">
      <c r="A7627" s="1" t="s">
        <v>1247</v>
      </c>
      <c r="B7627" s="0" t="s">
        <v>98</v>
      </c>
      <c r="C7627" s="6" t="n">
        <f aca="false">(SUM(Sens!G7625:K7625)+Sens!$C$7626)*(1+wacc)^(t_roll-Sens!F7596)</f>
        <v>133.392959796999</v>
      </c>
      <c r="L7627" s="12" t="s">
        <v>1248</v>
      </c>
    </row>
    <row r="7628" customFormat="false" ht="17.15" hidden="false" customHeight="false" outlineLevel="0" collapsed="false">
      <c r="A7628" s="1" t="s">
        <v>1249</v>
      </c>
      <c r="B7628" s="0" t="s">
        <v>98</v>
      </c>
      <c r="C7628" s="6" t="n">
        <f aca="false">(w_ntm28*Sens!G7470+(1-w_ntm28)*Sens!H7470)*m_ai</f>
        <v>463.789109510335</v>
      </c>
    </row>
    <row r="7629" customFormat="false" ht="17.15" hidden="false" customHeight="false" outlineLevel="0" collapsed="false">
      <c r="A7629" s="1" t="s">
        <v>1250</v>
      </c>
      <c r="B7629" s="0" t="s">
        <v>98</v>
      </c>
      <c r="C7629" s="6" t="n">
        <f aca="false">(w_ntm28*Sens!G7620+(1-w_ntm28)*Sens!H7620)*m_cloud</f>
        <v>1085.98516082026</v>
      </c>
    </row>
    <row r="7630" customFormat="false" ht="17.15" hidden="false" customHeight="false" outlineLevel="0" collapsed="false">
      <c r="A7630" s="1" t="s">
        <v>1251</v>
      </c>
      <c r="B7630" s="0" t="s">
        <v>98</v>
      </c>
      <c r="C7630" s="6" t="n">
        <f aca="false">(w_ntm28*Sens!G7613+(1-w_ntm28)*Sens!H7613)*m_sw</f>
        <v>1120.3607253823</v>
      </c>
    </row>
    <row r="7631" customFormat="false" ht="17.15" hidden="false" customHeight="false" outlineLevel="0" collapsed="false">
      <c r="A7631" s="1" t="s">
        <v>1252</v>
      </c>
      <c r="B7631" s="0" t="s">
        <v>98</v>
      </c>
      <c r="C7631" s="6" t="n">
        <f aca="false">(w_ntm28*Sens!G7614+(1-w_ntm28)*Sens!H7614)*m_sw</f>
        <v>372.651592978116</v>
      </c>
    </row>
    <row r="7632" customFormat="false" ht="17.15" hidden="false" customHeight="false" outlineLevel="0" collapsed="false">
      <c r="A7632" s="1" t="s">
        <v>1253</v>
      </c>
      <c r="B7632" s="0" t="s">
        <v>98</v>
      </c>
      <c r="C7632" s="6" t="n">
        <f aca="false">(w_ntm28*Sens!G7615+(1-w_ntm28)*Sens!H7615)*m_sw</f>
        <v>108.972657138321</v>
      </c>
    </row>
    <row r="7633" customFormat="false" ht="17.15" hidden="false" customHeight="false" outlineLevel="0" collapsed="false">
      <c r="A7633" s="1" t="s">
        <v>1254</v>
      </c>
      <c r="B7633" s="0" t="s">
        <v>98</v>
      </c>
      <c r="C7633" s="6" t="n">
        <f aca="false">(w_ntm28*Sens!G7616+(1-w_ntm28)*Sens!H7616)*m_sw</f>
        <v>41.428656252583</v>
      </c>
    </row>
    <row r="7634" customFormat="false" ht="17.15" hidden="false" customHeight="false" outlineLevel="0" collapsed="false">
      <c r="A7634" s="1" t="s">
        <v>1255</v>
      </c>
      <c r="B7634" s="0" t="s">
        <v>98</v>
      </c>
      <c r="C7634" s="6" t="n">
        <f aca="false">(w_ntm28*Sens!G7617+(1-w_ntm28)*Sens!H7617)*m_ads</f>
        <v>114.870029892538</v>
      </c>
    </row>
    <row r="7635" customFormat="false" ht="17.15" hidden="false" customHeight="false" outlineLevel="0" collapsed="false">
      <c r="A7635" s="1" t="s">
        <v>1256</v>
      </c>
      <c r="B7635" s="0" t="s">
        <v>98</v>
      </c>
      <c r="C7635" s="6" t="n">
        <f aca="false">(w_ntm28*Sens!G7622+(1-w_ntm28)*Sens!H7622)*m_game</f>
        <v>98.4866118090462</v>
      </c>
    </row>
    <row r="7636" customFormat="false" ht="17.15" hidden="false" customHeight="false" outlineLevel="0" collapsed="false">
      <c r="A7636" s="1" t="s">
        <v>1257</v>
      </c>
      <c r="B7636" s="0" t="s">
        <v>98</v>
      </c>
      <c r="C7636" s="6" t="n">
        <f aca="false">(w_ntm28*Sens!G7623+(1-w_ntm28)*Sens!H7623)*m_pc</f>
        <v>91.3059748324203</v>
      </c>
    </row>
    <row r="7637" customFormat="false" ht="17.15" hidden="false" customHeight="false" outlineLevel="0" collapsed="false">
      <c r="A7637" s="1" t="s">
        <v>1258</v>
      </c>
      <c r="B7637" s="0" t="s">
        <v>98</v>
      </c>
      <c r="C7637" s="6" t="n">
        <f aca="false">Sens!$C$7627+Sens!$C$7629+Sens!$C$7630+Sens!$C$7631+Sens!$C$7632+Sens!$C$7633+Sens!$C$7634+Sens!$C$7635+Sens!$C$7636</f>
        <v>3167.45436890259</v>
      </c>
    </row>
    <row r="7638" customFormat="false" ht="17.15" hidden="false" customHeight="false" outlineLevel="0" collapsed="false">
      <c r="A7638" s="1" t="s">
        <v>1259</v>
      </c>
      <c r="B7638" s="0" t="s">
        <v>98</v>
      </c>
      <c r="C7638" s="6" t="n">
        <f aca="false">(Sens!G7599-Sens!G7624)*t_stub</f>
        <v>48.3762133373279</v>
      </c>
      <c r="L7638" s="1" t="s">
        <v>1260</v>
      </c>
    </row>
    <row r="7639" customFormat="false" ht="17.15" hidden="false" customHeight="false" outlineLevel="0" collapsed="false">
      <c r="A7639" s="1" t="s">
        <v>1169</v>
      </c>
      <c r="B7639" s="0" t="s">
        <v>98</v>
      </c>
      <c r="C7639" s="6" t="n">
        <f aca="false">Sens!F7586+oai_v-Sens!F7575+Sens!$C$7638</f>
        <v>162.604483337328</v>
      </c>
      <c r="L7639" s="1" t="s">
        <v>1261</v>
      </c>
    </row>
    <row r="7640" customFormat="false" ht="17.15" hidden="false" customHeight="false" outlineLevel="0" collapsed="false">
      <c r="A7640" s="1" t="s">
        <v>1262</v>
      </c>
      <c r="B7640" s="0" t="s">
        <v>75</v>
      </c>
      <c r="C7640" s="5" t="n">
        <f aca="false">(Sens!$C$7637+Sens!$C$7639)/(Sens!F7588+dil_gap)-Sens!G7578*roll_div_q/q_per_yr</f>
        <v>443.281857217193</v>
      </c>
      <c r="L7640" s="1" t="s">
        <v>1263</v>
      </c>
    </row>
    <row r="7641" customFormat="false" ht="17.15" hidden="false" customHeight="false" outlineLevel="0" collapsed="false">
      <c r="A7641" s="1" t="s">
        <v>1264</v>
      </c>
      <c r="B7641" s="0" t="s">
        <v>75</v>
      </c>
      <c r="C7641" s="5" t="n">
        <f aca="false">w_dcf*Sens!$C$7611+(1-w_dcf)*Sens!$C$7640</f>
        <v>384.444471000988</v>
      </c>
    </row>
    <row r="7642" customFormat="false" ht="17.15" hidden="false" customHeight="false" outlineLevel="0" collapsed="false">
      <c r="A7642" s="3" t="s">
        <v>1670</v>
      </c>
    </row>
    <row r="7643" customFormat="false" ht="15" hidden="false" customHeight="false" outlineLevel="0" collapsed="false">
      <c r="A7643" s="4" t="s">
        <v>43</v>
      </c>
      <c r="B7643" s="4" t="s">
        <v>65</v>
      </c>
      <c r="C7643" s="23" t="s">
        <v>938</v>
      </c>
      <c r="D7643" s="23" t="s">
        <v>939</v>
      </c>
      <c r="E7643" s="23" t="s">
        <v>940</v>
      </c>
      <c r="F7643" s="23" t="s">
        <v>941</v>
      </c>
      <c r="G7643" s="23" t="s">
        <v>942</v>
      </c>
      <c r="H7643" s="23" t="s">
        <v>943</v>
      </c>
      <c r="I7643" s="23" t="s">
        <v>944</v>
      </c>
      <c r="J7643" s="23" t="s">
        <v>945</v>
      </c>
      <c r="K7643" s="23" t="s">
        <v>946</v>
      </c>
      <c r="L7643" s="4" t="s">
        <v>47</v>
      </c>
    </row>
    <row r="7644" customFormat="false" ht="17.15" hidden="false" customHeight="false" outlineLevel="0" collapsed="false">
      <c r="A7644" s="1" t="s">
        <v>947</v>
      </c>
      <c r="B7644" s="1" t="s">
        <v>279</v>
      </c>
      <c r="C7644" s="21" t="n">
        <v>2024</v>
      </c>
      <c r="D7644" s="21" t="n">
        <v>2025</v>
      </c>
      <c r="E7644" s="21" t="n">
        <v>2026</v>
      </c>
      <c r="F7644" s="21" t="n">
        <v>2027</v>
      </c>
      <c r="G7644" s="21" t="n">
        <v>2028</v>
      </c>
      <c r="H7644" s="21" t="n">
        <v>2029</v>
      </c>
      <c r="I7644" s="21" t="n">
        <v>2030</v>
      </c>
      <c r="J7644" s="21" t="n">
        <v>2031</v>
      </c>
      <c r="K7644" s="21" t="n">
        <v>2032</v>
      </c>
    </row>
    <row r="7645" customFormat="false" ht="17.15" hidden="false" customHeight="false" outlineLevel="0" collapsed="false">
      <c r="A7645" s="1" t="s">
        <v>948</v>
      </c>
      <c r="B7645" s="0" t="s">
        <v>456</v>
      </c>
      <c r="F7645" s="30" t="n">
        <f aca="false">pace</f>
        <v>2726.5351</v>
      </c>
      <c r="G7645" s="30" t="n">
        <f aca="false">pace</f>
        <v>2726.5351</v>
      </c>
      <c r="H7645" s="30" t="n">
        <f aca="false">pace</f>
        <v>2726.5351</v>
      </c>
      <c r="I7645" s="30" t="n">
        <f aca="false">pace+(g_tv*Sens!H7646-pace)*MIN(1,(Sens!I7644-pace_y0)/(pace_y1-pace_y0))</f>
        <v>1931.98611966667</v>
      </c>
      <c r="J7645" s="30" t="n">
        <f aca="false">pace+(g_tv*Sens!I7646-pace)*MIN(1,(Sens!J7644-pace_y0)/(pace_y1-pace_y0))</f>
        <v>1176.07686172667</v>
      </c>
      <c r="K7645" s="30" t="n">
        <f aca="false">pace+(g_tv*Sens!J7646-pace)*MIN(1,(Sens!K7644-pace_y0)/(pace_y1-pace_y0))</f>
        <v>436.1300484418</v>
      </c>
      <c r="L7645" s="12" t="s">
        <v>949</v>
      </c>
    </row>
    <row r="7646" customFormat="false" ht="17.15" hidden="false" customHeight="false" outlineLevel="0" collapsed="false">
      <c r="A7646" s="1" t="s">
        <v>950</v>
      </c>
      <c r="B7646" s="0" t="s">
        <v>456</v>
      </c>
      <c r="C7646" s="30" t="n">
        <f aca="false">mw_ext_24</f>
        <v>640</v>
      </c>
      <c r="D7646" s="30" t="n">
        <f aca="false">mw_ext_25</f>
        <v>1630</v>
      </c>
      <c r="E7646" s="30" t="n">
        <f aca="false">mw_ext_26</f>
        <v>3250</v>
      </c>
      <c r="F7646" s="30" t="n">
        <f aca="false">Sens!E7646+Sens!F7645</f>
        <v>5976.5351</v>
      </c>
      <c r="G7646" s="30" t="n">
        <f aca="false">Sens!F7646+Sens!G7645</f>
        <v>8703.0702</v>
      </c>
      <c r="H7646" s="30" t="n">
        <f aca="false">Sens!G7646+Sens!H7645</f>
        <v>11429.6053</v>
      </c>
      <c r="I7646" s="30" t="n">
        <f aca="false">Sens!H7646+Sens!I7645</f>
        <v>13361.5914196667</v>
      </c>
      <c r="J7646" s="30" t="n">
        <f aca="false">Sens!I7646+Sens!J7645</f>
        <v>14537.6682813933</v>
      </c>
      <c r="K7646" s="30" t="n">
        <f aca="false">Sens!J7646+Sens!K7645</f>
        <v>14973.7983298351</v>
      </c>
      <c r="L7646" s="1" t="s">
        <v>951</v>
      </c>
    </row>
    <row r="7647" customFormat="false" ht="17.15" hidden="false" customHeight="false" outlineLevel="0" collapsed="false">
      <c r="A7647" s="1" t="s">
        <v>952</v>
      </c>
      <c r="B7647" s="0" t="s">
        <v>456</v>
      </c>
      <c r="C7647" s="30" t="n">
        <f aca="false">rent_ext_24</f>
        <v>150</v>
      </c>
      <c r="D7647" s="30" t="n">
        <f aca="false">rent_ext_25</f>
        <v>400</v>
      </c>
      <c r="E7647" s="30" t="n">
        <f aca="false">rent_ext_26</f>
        <v>550</v>
      </c>
      <c r="F7647" s="30" t="n">
        <f aca="false">rent_ext_f</f>
        <v>756</v>
      </c>
      <c r="G7647" s="30" t="n">
        <f aca="false">rent_ext_f</f>
        <v>756</v>
      </c>
      <c r="H7647" s="30" t="n">
        <f aca="false">rent_ext_f</f>
        <v>756</v>
      </c>
      <c r="I7647" s="30" t="n">
        <f aca="false">rent_ext_f</f>
        <v>756</v>
      </c>
      <c r="J7647" s="30" t="n">
        <f aca="false">rent_ext_f</f>
        <v>756</v>
      </c>
      <c r="K7647" s="30" t="n">
        <f aca="false">rent_ext_f</f>
        <v>756</v>
      </c>
      <c r="L7647" s="1" t="s">
        <v>953</v>
      </c>
    </row>
    <row r="7648" customFormat="false" ht="17.15" hidden="false" customHeight="false" outlineLevel="0" collapsed="false">
      <c r="A7648" s="1" t="s">
        <v>954</v>
      </c>
      <c r="B7648" s="0" t="s">
        <v>456</v>
      </c>
      <c r="C7648" s="30" t="n">
        <f aca="false">Sens!C7646-Sens!C7647</f>
        <v>490</v>
      </c>
      <c r="D7648" s="30" t="n">
        <f aca="false">Sens!D7646-Sens!D7647</f>
        <v>1230</v>
      </c>
      <c r="E7648" s="30" t="n">
        <f aca="false">Sens!E7646-Sens!E7647</f>
        <v>2700</v>
      </c>
      <c r="F7648" s="30" t="n">
        <f aca="false">Sens!F7646-Sens!F7647</f>
        <v>5220.5351</v>
      </c>
      <c r="G7648" s="30" t="n">
        <f aca="false">Sens!G7646-Sens!G7647</f>
        <v>7947.0702</v>
      </c>
      <c r="H7648" s="30" t="n">
        <f aca="false">Sens!H7646-Sens!H7647</f>
        <v>10673.6053</v>
      </c>
      <c r="I7648" s="30" t="n">
        <f aca="false">Sens!I7646-Sens!I7647</f>
        <v>12605.5914196667</v>
      </c>
      <c r="J7648" s="30" t="n">
        <f aca="false">Sens!J7646-Sens!J7647</f>
        <v>13781.6682813933</v>
      </c>
      <c r="K7648" s="30" t="n">
        <f aca="false">Sens!K7646-Sens!K7647</f>
        <v>14217.7983298351</v>
      </c>
    </row>
    <row r="7649" customFormat="false" ht="17.15" hidden="false" customHeight="false" outlineLevel="0" collapsed="false">
      <c r="A7649" s="1" t="s">
        <v>955</v>
      </c>
      <c r="B7649" s="0" t="s">
        <v>456</v>
      </c>
      <c r="C7649" s="30" t="n">
        <f aca="false">Sens!C7648/ext_sh</f>
        <v>816.666666666667</v>
      </c>
      <c r="D7649" s="30" t="n">
        <f aca="false">Sens!D7648/ext_sh</f>
        <v>2050</v>
      </c>
      <c r="E7649" s="30" t="n">
        <f aca="false">Sens!E7648/ext_sh</f>
        <v>4500</v>
      </c>
      <c r="F7649" s="30" t="n">
        <f aca="false">Sens!F7648/ext_sh</f>
        <v>8700.89183333333</v>
      </c>
      <c r="G7649" s="30" t="n">
        <f aca="false">Sens!G7648/ext_sh</f>
        <v>13245.117</v>
      </c>
      <c r="H7649" s="30" t="n">
        <f aca="false">Sens!H7648/ext_sh</f>
        <v>17789.3421666667</v>
      </c>
      <c r="I7649" s="30" t="n">
        <f aca="false">Sens!I7648/ext_sh</f>
        <v>21009.3190327778</v>
      </c>
      <c r="J7649" s="30" t="n">
        <f aca="false">Sens!J7648/ext_sh</f>
        <v>22969.4471356556</v>
      </c>
      <c r="K7649" s="30" t="n">
        <f aca="false">Sens!K7648/ext_sh</f>
        <v>23696.3305497252</v>
      </c>
      <c r="L7649" s="1" t="s">
        <v>956</v>
      </c>
    </row>
    <row r="7650" customFormat="false" ht="17.15" hidden="false" customHeight="false" outlineLevel="0" collapsed="false">
      <c r="A7650" s="1" t="s">
        <v>957</v>
      </c>
      <c r="B7650" s="0" t="s">
        <v>456</v>
      </c>
      <c r="C7650" s="30" t="n">
        <f aca="false">Sens!C7649-Sens!C7648</f>
        <v>326.666666666667</v>
      </c>
      <c r="D7650" s="30" t="n">
        <f aca="false">Sens!D7649-Sens!D7648</f>
        <v>820</v>
      </c>
      <c r="E7650" s="30" t="n">
        <f aca="false">Sens!E7649-Sens!E7648</f>
        <v>1800</v>
      </c>
      <c r="F7650" s="30" t="n">
        <f aca="false">Sens!F7649-Sens!F7648</f>
        <v>3480.35673333333</v>
      </c>
      <c r="G7650" s="30" t="n">
        <f aca="false">Sens!G7649-Sens!G7648</f>
        <v>5298.0468</v>
      </c>
      <c r="H7650" s="30" t="n">
        <f aca="false">Sens!H7649-Sens!H7648</f>
        <v>7115.73686666667</v>
      </c>
      <c r="I7650" s="30" t="n">
        <f aca="false">Sens!I7649-Sens!I7648</f>
        <v>8403.72761311111</v>
      </c>
      <c r="J7650" s="30" t="n">
        <f aca="false">Sens!J7649-Sens!J7648</f>
        <v>9187.77885426222</v>
      </c>
      <c r="K7650" s="30" t="n">
        <f aca="false">Sens!K7649-Sens!K7648</f>
        <v>9478.53221989009</v>
      </c>
    </row>
    <row r="7651" customFormat="false" ht="17.15" hidden="false" customHeight="false" outlineLevel="0" collapsed="false">
      <c r="A7651" s="1" t="s">
        <v>958</v>
      </c>
      <c r="B7651" s="0" t="s">
        <v>456</v>
      </c>
      <c r="C7651" s="30" t="n">
        <f aca="false">Sens!C7649</f>
        <v>816.666666666667</v>
      </c>
      <c r="D7651" s="30" t="n">
        <f aca="false">Sens!D7649-Sens!C7649</f>
        <v>1233.33333333333</v>
      </c>
      <c r="E7651" s="30" t="n">
        <f aca="false">Sens!E7649-Sens!D7649</f>
        <v>2450</v>
      </c>
      <c r="F7651" s="30" t="n">
        <f aca="false">Sens!F7649-Sens!E7649</f>
        <v>4200.89183333333</v>
      </c>
      <c r="G7651" s="30" t="n">
        <f aca="false">Sens!G7649-Sens!F7649</f>
        <v>4544.22516666667</v>
      </c>
      <c r="H7651" s="30" t="n">
        <f aca="false">Sens!H7649-Sens!G7649</f>
        <v>4544.22516666667</v>
      </c>
      <c r="I7651" s="30" t="n">
        <f aca="false">Sens!I7649-Sens!H7649</f>
        <v>3219.97686611111</v>
      </c>
      <c r="J7651" s="30" t="n">
        <f aca="false">Sens!J7649-Sens!I7649</f>
        <v>1960.12810287778</v>
      </c>
      <c r="K7651" s="30" t="n">
        <f aca="false">Sens!K7649-Sens!J7649</f>
        <v>726.883414069667</v>
      </c>
    </row>
    <row r="7652" customFormat="false" ht="17.15" hidden="false" customHeight="false" outlineLevel="0" collapsed="false">
      <c r="A7652" s="1" t="s">
        <v>959</v>
      </c>
      <c r="B7652" s="0" t="s">
        <v>456</v>
      </c>
      <c r="D7652" s="30" t="n">
        <f aca="false">Sens!D7646-Sens!C7646</f>
        <v>990</v>
      </c>
      <c r="E7652" s="30" t="n">
        <f aca="false">Sens!E7646-Sens!D7646</f>
        <v>1620</v>
      </c>
      <c r="F7652" s="30" t="n">
        <f aca="false">Sens!F7646-Sens!E7646</f>
        <v>2726.5351</v>
      </c>
      <c r="G7652" s="30" t="n">
        <f aca="false">Sens!G7646-Sens!F7646</f>
        <v>2726.5351</v>
      </c>
      <c r="H7652" s="30" t="n">
        <f aca="false">Sens!H7646-Sens!G7646</f>
        <v>2726.5351</v>
      </c>
      <c r="I7652" s="30" t="n">
        <f aca="false">Sens!I7646-Sens!H7646</f>
        <v>1931.98611966667</v>
      </c>
      <c r="J7652" s="30" t="n">
        <f aca="false">Sens!J7646-Sens!I7646</f>
        <v>1176.07686172667</v>
      </c>
      <c r="K7652" s="30" t="n">
        <f aca="false">Sens!K7646-Sens!J7646</f>
        <v>436.130048441799</v>
      </c>
    </row>
    <row r="7653" customFormat="false" ht="17.15" hidden="false" customHeight="false" outlineLevel="0" collapsed="false">
      <c r="A7653" s="1" t="s">
        <v>960</v>
      </c>
      <c r="B7653" s="0" t="s">
        <v>456</v>
      </c>
      <c r="F7653" s="30" t="n">
        <f aca="false">Sens!F7672*ext_sh</f>
        <v>0</v>
      </c>
      <c r="G7653" s="30" t="n">
        <f aca="false">Sens!G7672*ext_sh</f>
        <v>0</v>
      </c>
      <c r="H7653" s="30" t="n">
        <f aca="false">Sens!H7672*ext_sh</f>
        <v>0</v>
      </c>
      <c r="I7653" s="30" t="n">
        <f aca="false">Sens!I7672*ext_sh</f>
        <v>490</v>
      </c>
      <c r="J7653" s="30" t="n">
        <f aca="false">Sens!J7672*ext_sh</f>
        <v>740</v>
      </c>
      <c r="K7653" s="30" t="n">
        <f aca="false">Sens!K7672*ext_sh</f>
        <v>1470</v>
      </c>
      <c r="L7653" s="1" t="s">
        <v>961</v>
      </c>
    </row>
    <row r="7654" customFormat="false" ht="17.15" hidden="false" customHeight="false" outlineLevel="0" collapsed="false">
      <c r="A7654" s="1" t="s">
        <v>962</v>
      </c>
      <c r="B7654" s="0" t="s">
        <v>456</v>
      </c>
      <c r="C7654" s="30" t="n">
        <f aca="false">mix_h*Sens!C7646</f>
        <v>128</v>
      </c>
      <c r="D7654" s="30" t="n">
        <f aca="false">mix_h*Sens!D7646</f>
        <v>326</v>
      </c>
      <c r="E7654" s="30" t="n">
        <f aca="false">mix_h*Sens!E7646</f>
        <v>650</v>
      </c>
      <c r="F7654" s="30" t="n">
        <f aca="false">Sens!E7654-Sens!F7653*mix_h</f>
        <v>650</v>
      </c>
      <c r="G7654" s="30" t="n">
        <f aca="false">Sens!F7654-Sens!G7653*mix_h</f>
        <v>650</v>
      </c>
      <c r="H7654" s="30" t="n">
        <f aca="false">Sens!G7654-Sens!H7653*mix_h</f>
        <v>650</v>
      </c>
      <c r="I7654" s="30" t="n">
        <f aca="false">Sens!H7654-Sens!I7653*mix_h</f>
        <v>552</v>
      </c>
      <c r="J7654" s="30" t="n">
        <f aca="false">Sens!I7654-Sens!J7653*mix_h</f>
        <v>404</v>
      </c>
      <c r="K7654" s="30" t="n">
        <f aca="false">Sens!J7654-Sens!K7653*mix_h</f>
        <v>110</v>
      </c>
    </row>
    <row r="7655" customFormat="false" ht="17.15" hidden="false" customHeight="false" outlineLevel="0" collapsed="false">
      <c r="A7655" s="1" t="s">
        <v>963</v>
      </c>
      <c r="B7655" s="0" t="s">
        <v>456</v>
      </c>
      <c r="C7655" s="30" t="n">
        <f aca="false">mix_g2*Sens!C7646</f>
        <v>288</v>
      </c>
      <c r="D7655" s="30" t="n">
        <f aca="false">mix_g2*Sens!D7646</f>
        <v>733.5</v>
      </c>
      <c r="E7655" s="30" t="n">
        <f aca="false">mix_g2*Sens!E7646</f>
        <v>1462.5</v>
      </c>
      <c r="F7655" s="30" t="n">
        <f aca="false">Sens!E7655-Sens!F7653*mix_g2</f>
        <v>1462.5</v>
      </c>
      <c r="G7655" s="30" t="n">
        <f aca="false">Sens!F7655-Sens!G7653*mix_g2</f>
        <v>1462.5</v>
      </c>
      <c r="H7655" s="30" t="n">
        <f aca="false">Sens!G7655-Sens!H7653*mix_g2</f>
        <v>1462.5</v>
      </c>
      <c r="I7655" s="30" t="n">
        <f aca="false">Sens!H7655-Sens!I7653*mix_g2</f>
        <v>1242</v>
      </c>
      <c r="J7655" s="30" t="n">
        <f aca="false">Sens!I7655-Sens!J7653*mix_g2</f>
        <v>909</v>
      </c>
      <c r="K7655" s="30" t="n">
        <f aca="false">Sens!J7655-Sens!K7653*mix_g2</f>
        <v>247.5</v>
      </c>
    </row>
    <row r="7656" customFormat="false" ht="17.15" hidden="false" customHeight="false" outlineLevel="0" collapsed="false">
      <c r="A7656" s="1" t="s">
        <v>964</v>
      </c>
      <c r="B7656" s="0" t="s">
        <v>456</v>
      </c>
      <c r="C7656" s="30" t="n">
        <f aca="false">mix_g3*Sens!C7646</f>
        <v>224</v>
      </c>
      <c r="D7656" s="30" t="n">
        <f aca="false">mix_g3*Sens!D7646</f>
        <v>570.5</v>
      </c>
      <c r="E7656" s="30" t="n">
        <f aca="false">mix_g3*Sens!E7646</f>
        <v>1137.5</v>
      </c>
      <c r="F7656" s="30" t="n">
        <f aca="false">Sens!E7656+(Sens!F7652+Sens!F7653)*(a_g3_27-nonnv*a_mai)-Sens!F7653*mix_g3</f>
        <v>2773.42106</v>
      </c>
      <c r="G7656" s="30" t="n">
        <f aca="false">Sens!F7656+(Sens!G7652+Sens!G7653)*(a_g3_28-nonnv*a_mai)-Sens!G7653*mix_g3</f>
        <v>3318.72808</v>
      </c>
      <c r="H7656" s="30" t="n">
        <f aca="false">Sens!G7656+(Sens!H7652+Sens!H7653)*(a_g3_29-nonnv*a_mai)-Sens!H7653*mix_g3</f>
        <v>3318.72808</v>
      </c>
      <c r="I7656" s="30" t="n">
        <f aca="false">Sens!H7656+(Sens!I7652+Sens!I7653)*(a_g3_29-nonnv*a_mai)-Sens!I7653*mix_g3</f>
        <v>3147.22808</v>
      </c>
      <c r="J7656" s="30" t="n">
        <f aca="false">Sens!I7656+(Sens!J7652+Sens!J7653)*(a_g3_29-nonnv*a_mai)-Sens!J7653*mix_g3</f>
        <v>2888.22808</v>
      </c>
      <c r="K7656" s="30" t="n">
        <f aca="false">Sens!J7656+(Sens!K7652+Sens!K7653)*(a_g3_29-nonnv*a_mai)-Sens!K7653*mix_g3</f>
        <v>2373.72808</v>
      </c>
    </row>
    <row r="7657" customFormat="false" ht="17.15" hidden="false" customHeight="false" outlineLevel="0" collapsed="false">
      <c r="A7657" s="1" t="s">
        <v>965</v>
      </c>
      <c r="B7657" s="0" t="s">
        <v>456</v>
      </c>
      <c r="C7657" s="30" t="n">
        <v>0</v>
      </c>
      <c r="D7657" s="30" t="n">
        <v>0</v>
      </c>
      <c r="E7657" s="30" t="n">
        <v>0</v>
      </c>
      <c r="F7657" s="30" t="n">
        <f aca="false">Sens!E7657+(Sens!F7652+Sens!F7653)*nonnv*a_mai</f>
        <v>272.65351</v>
      </c>
      <c r="G7657" s="30" t="n">
        <f aca="false">Sens!F7657+(Sens!G7652+Sens!G7653)*nonnv*a_mai</f>
        <v>545.30702</v>
      </c>
      <c r="H7657" s="30" t="n">
        <f aca="false">Sens!G7657+(Sens!H7652+Sens!H7653)*nonnv*a_mai</f>
        <v>817.96053</v>
      </c>
      <c r="I7657" s="30" t="n">
        <f aca="false">Sens!H7657+(Sens!I7652+Sens!I7653)*nonnv*a_mai</f>
        <v>1060.15914196667</v>
      </c>
      <c r="J7657" s="30" t="n">
        <f aca="false">Sens!I7657+(Sens!J7652+Sens!J7653)*nonnv*a_mai</f>
        <v>1251.76682813933</v>
      </c>
      <c r="K7657" s="30" t="n">
        <f aca="false">Sens!J7657+(Sens!K7652+Sens!K7653)*nonnv*a_mai</f>
        <v>1442.37983298351</v>
      </c>
      <c r="L7657" s="12" t="s">
        <v>966</v>
      </c>
    </row>
    <row r="7658" customFormat="false" ht="17.15" hidden="false" customHeight="false" outlineLevel="0" collapsed="false">
      <c r="A7658" s="1" t="s">
        <v>967</v>
      </c>
      <c r="B7658" s="0" t="s">
        <v>456</v>
      </c>
      <c r="C7658" s="30" t="n">
        <v>0</v>
      </c>
      <c r="D7658" s="30" t="n">
        <v>0</v>
      </c>
      <c r="E7658" s="30" t="n">
        <v>0</v>
      </c>
      <c r="F7658" s="30" t="n">
        <f aca="false">Sens!E7658+(Sens!F7652+Sens!F7653)*(1-a_g3_27)</f>
        <v>817.96053</v>
      </c>
      <c r="G7658" s="30" t="n">
        <f aca="false">Sens!F7658+(Sens!G7652+Sens!G7653)*(1-a_g3_28)</f>
        <v>2726.5351</v>
      </c>
      <c r="H7658" s="30" t="n">
        <f aca="false">Sens!G7658+(Sens!H7652+Sens!H7653)*(1-a_g3_29)</f>
        <v>5180.41669</v>
      </c>
      <c r="I7658" s="30" t="n">
        <f aca="false">Sens!H7658+(Sens!I7652+Sens!I7653)*(1-a_g3_29)</f>
        <v>7360.2041977</v>
      </c>
      <c r="J7658" s="30" t="n">
        <f aca="false">Sens!I7658+(Sens!J7652+Sens!J7653)*(1-a_g3_29)</f>
        <v>9084.673373254</v>
      </c>
      <c r="K7658" s="30" t="n">
        <f aca="false">Sens!J7658+(Sens!K7652+Sens!K7653)*(1-a_g3_29)</f>
        <v>10800.1904168516</v>
      </c>
    </row>
    <row r="7659" customFormat="false" ht="17.15" hidden="false" customHeight="false" outlineLevel="0" collapsed="false">
      <c r="A7659" s="1" t="s">
        <v>968</v>
      </c>
      <c r="B7659" s="0" t="s">
        <v>403</v>
      </c>
      <c r="C7659" s="15" t="n">
        <f aca="false">(Sens!C7654*tk_hold_h100+Sens!C7655*tk_hold_gb200+Sens!C7656*tk_hold_gb300+Sens!C7658*tk_hold_vr200+Sens!C7657*nv_hold_mai*tk_hold_vr200)/Sens!C7646</f>
        <v>9.7235358126469</v>
      </c>
      <c r="D7659" s="15" t="n">
        <f aca="false">(Sens!D7654*tk_hold_h100+Sens!D7655*tk_hold_gb200+Sens!D7656*tk_hold_gb300+Sens!D7658*tk_hold_vr200+Sens!D7657*nv_hold_mai*tk_hold_vr200)/Sens!D7646</f>
        <v>9.7235358126469</v>
      </c>
      <c r="E7659" s="15" t="n">
        <f aca="false">(Sens!E7654*tk_hold_h100+Sens!E7655*tk_hold_gb200+Sens!E7656*tk_hold_gb300+Sens!E7658*tk_hold_vr200+Sens!E7657*nv_hold_mai*tk_hold_vr200)/Sens!E7646</f>
        <v>9.7235358126469</v>
      </c>
      <c r="F7659" s="15" t="n">
        <f aca="false">(Sens!F7654*tk_hold_h100+Sens!F7655*tk_hold_gb200+Sens!F7656*tk_hold_gb300+Sens!F7658*tk_hold_vr200+Sens!F7657*nv_hold_mai*tk_hold_vr200)/Sens!F7646</f>
        <v>10.2195353876665</v>
      </c>
      <c r="G7659" s="15" t="n">
        <f aca="false">(Sens!G7654*tk_hold_h100+Sens!G7655*tk_hold_gb200+Sens!G7656*tk_hold_gb300+Sens!G7658*tk_hold_vr200+Sens!G7657*nv_hold_mai*tk_hold_vr200)/Sens!G7646</f>
        <v>10.5725598017306</v>
      </c>
      <c r="H7659" s="15" t="n">
        <f aca="false">(Sens!H7654*tk_hold_h100+Sens!H7655*tk_hold_gb200+Sens!H7656*tk_hold_gb300+Sens!H7658*tk_hold_vr200+Sens!H7657*nv_hold_mai*tk_hold_vr200)/Sens!H7646</f>
        <v>10.8210427149036</v>
      </c>
      <c r="I7659" s="15" t="n">
        <f aca="false">(Sens!I7654*tk_hold_h100+Sens!I7655*tk_hold_gb200+Sens!I7656*tk_hold_gb300+Sens!I7658*tk_hold_vr200+Sens!I7657*nv_hold_mai*tk_hold_vr200)/Sens!I7646</f>
        <v>11.0050618241982</v>
      </c>
      <c r="J7659" s="15" t="n">
        <f aca="false">(Sens!J7654*tk_hold_h100+Sens!J7655*tk_hold_gb200+Sens!J7656*tk_hold_gb300+Sens!J7658*tk_hold_vr200+Sens!J7657*nv_hold_mai*tk_hold_vr200)/Sens!J7646</f>
        <v>11.1505789658881</v>
      </c>
      <c r="K7659" s="15" t="n">
        <f aca="false">(Sens!K7654*tk_hold_h100+Sens!K7655*tk_hold_gb200+Sens!K7656*tk_hold_gb300+Sens!K7658*tk_hold_vr200+Sens!K7657*nv_hold_mai*tk_hold_vr200)/Sens!K7646</f>
        <v>11.3496914757183</v>
      </c>
      <c r="L7659" s="1" t="s">
        <v>969</v>
      </c>
    </row>
    <row r="7660" customFormat="false" ht="17.15" hidden="false" customHeight="false" outlineLevel="0" collapsed="false">
      <c r="A7660" s="1" t="s">
        <v>970</v>
      </c>
      <c r="B7660" s="0" t="s">
        <v>403</v>
      </c>
      <c r="C7660" s="15" t="n">
        <f aca="false">(Sens!C7654*tk_hold_h100+Sens!C7655*tk_hold_gb200+Sens!C7656*tk_hold_gb300+Sens!C7658*tk_hold_vr200+Sens!C7657*nv_out_mai*tk_hold_vr200)/Sens!C7646</f>
        <v>9.7235358126469</v>
      </c>
      <c r="D7660" s="15" t="n">
        <f aca="false">(Sens!D7654*tk_hold_h100+Sens!D7655*tk_hold_gb200+Sens!D7656*tk_hold_gb300+Sens!D7658*tk_hold_vr200+Sens!D7657*nv_out_mai*tk_hold_vr200)/Sens!D7646</f>
        <v>9.7235358126469</v>
      </c>
      <c r="E7660" s="15" t="n">
        <f aca="false">(Sens!E7654*tk_hold_h100+Sens!E7655*tk_hold_gb200+Sens!E7656*tk_hold_gb300+Sens!E7658*tk_hold_vr200+Sens!E7657*nv_out_mai*tk_hold_vr200)/Sens!E7646</f>
        <v>9.7235358126469</v>
      </c>
      <c r="F7660" s="15" t="n">
        <f aca="false">(Sens!F7654*tk_hold_h100+Sens!F7655*tk_hold_gb200+Sens!F7656*tk_hold_gb300+Sens!F7658*tk_hold_vr200+Sens!F7657*nv_out_mai*tk_hold_vr200)/Sens!F7646</f>
        <v>10.247422093969</v>
      </c>
      <c r="G7660" s="15" t="n">
        <f aca="false">(Sens!G7654*tk_hold_h100+Sens!G7655*tk_hold_gb200+Sens!G7656*tk_hold_gb300+Sens!G7658*tk_hold_vr200+Sens!G7657*nv_out_mai*tk_hold_vr200)/Sens!G7646</f>
        <v>10.6108602808053</v>
      </c>
      <c r="H7660" s="15" t="n">
        <f aca="false">(Sens!H7654*tk_hold_h100+Sens!H7655*tk_hold_gb200+Sens!H7656*tk_hold_gb300+Sens!H7658*tk_hold_vr200+Sens!H7657*nv_out_mai*tk_hold_vr200)/Sens!H7646</f>
        <v>10.8647885507393</v>
      </c>
      <c r="I7660" s="15" t="n">
        <f aca="false">(Sens!I7654*tk_hold_h100+Sens!I7655*tk_hold_gb200+Sens!I7656*tk_hold_gb300+Sens!I7658*tk_hold_vr200+Sens!I7657*nv_out_mai*tk_hold_vr200)/Sens!I7646</f>
        <v>11.0535625770025</v>
      </c>
      <c r="J7660" s="15" t="n">
        <f aca="false">(Sens!J7654*tk_hold_h100+Sens!J7655*tk_hold_gb200+Sens!J7656*tk_hold_gb300+Sens!J7658*tk_hold_vr200+Sens!J7657*nv_out_mai*tk_hold_vr200)/Sens!J7646</f>
        <v>11.2032127128058</v>
      </c>
      <c r="K7660" s="15" t="n">
        <f aca="false">(Sens!K7654*tk_hold_h100+Sens!K7655*tk_hold_gb200+Sens!K7656*tk_hold_gb300+Sens!K7658*tk_hold_vr200+Sens!K7657*nv_out_mai*tk_hold_vr200)/Sens!K7646</f>
        <v>11.4085735724225</v>
      </c>
      <c r="L7660" s="12" t="s">
        <v>971</v>
      </c>
    </row>
    <row r="7661" customFormat="false" ht="17.15" hidden="false" customHeight="false" outlineLevel="0" collapsed="false">
      <c r="A7661" s="0" t="s">
        <v>972</v>
      </c>
      <c r="B7661" s="0" t="s">
        <v>229</v>
      </c>
      <c r="C7661" s="15" t="n">
        <f aca="false">k_B</f>
        <v>1.17213932619116</v>
      </c>
      <c r="D7661" s="15" t="n">
        <f aca="false">k_B</f>
        <v>1.17213932619116</v>
      </c>
      <c r="E7661" s="15" t="n">
        <f aca="false">k_B</f>
        <v>1.17213932619116</v>
      </c>
      <c r="F7661" s="15" t="n">
        <f aca="false">(k_B+((ls_C*k_long+(1-ls_C)*k_spot)-k_B)*MIN(1,(Sens!F7644-base_fy)/k_ramp))</f>
        <v>1.07843258004497</v>
      </c>
      <c r="G7661" s="15" t="n">
        <f aca="false">(k_B+((ls_C*k_long+(1-ls_C)*k_spot)-k_B)*MIN(1,(Sens!G7644-base_fy)/k_ramp))</f>
        <v>0.984725833898784</v>
      </c>
      <c r="H7661" s="15" t="n">
        <f aca="false">(k_B+((ls_C*k_long+(1-ls_C)*k_spot)-k_B)*MIN(1,(Sens!H7644-base_fy)/k_ramp))</f>
        <v>0.891019087752599</v>
      </c>
      <c r="I7661" s="15" t="n">
        <f aca="false">(k_B+((ls_C*k_long+(1-ls_C)*k_spot)-k_B)*MIN(1,(Sens!I7644-base_fy)/k_ramp))</f>
        <v>0.891019087752599</v>
      </c>
      <c r="J7661" s="15" t="n">
        <f aca="false">(k_B+((ls_C*k_long+(1-ls_C)*k_spot)-k_B)*MIN(1,(Sens!J7644-base_fy)/k_ramp))</f>
        <v>0.891019087752599</v>
      </c>
      <c r="K7661" s="15" t="n">
        <f aca="false">(k_B+((ls_C*k_long+(1-ls_C)*k_spot)-k_B)*MIN(1,(Sens!K7644-base_fy)/k_ramp))</f>
        <v>0.891019087752599</v>
      </c>
      <c r="L7661" s="1" t="s">
        <v>973</v>
      </c>
    </row>
    <row r="7662" customFormat="false" ht="17.15" hidden="false" customHeight="false" outlineLevel="0" collapsed="false">
      <c r="A7662" s="1" t="s">
        <v>974</v>
      </c>
      <c r="B7662" s="0" t="s">
        <v>403</v>
      </c>
      <c r="C7662" s="15" t="n">
        <f aca="false">Sens!C7660*Sens!C7661*chip_f</f>
        <v>11.3973387156315</v>
      </c>
      <c r="D7662" s="15" t="n">
        <f aca="false">Sens!D7660*Sens!D7661*chip_f</f>
        <v>11.3973387156315</v>
      </c>
      <c r="E7662" s="15" t="n">
        <f aca="false">Sens!E7660*Sens!E7661*chip_f</f>
        <v>11.3973387156315</v>
      </c>
      <c r="F7662" s="15" t="n">
        <f aca="false">Sens!F7660*Sens!F7661*chip_f</f>
        <v>11.0511538476088</v>
      </c>
      <c r="G7662" s="15" t="n">
        <f aca="false">Sens!G7660*Sens!G7661*chip_f</f>
        <v>10.4487882383995</v>
      </c>
      <c r="H7662" s="15" t="n">
        <f aca="false">Sens!H7660*Sens!H7661*chip_f</f>
        <v>9.68073398310464</v>
      </c>
      <c r="I7662" s="15" t="n">
        <f aca="false">Sens!I7660*Sens!I7661*chip_f</f>
        <v>9.84893524377706</v>
      </c>
      <c r="J7662" s="15" t="n">
        <f aca="false">Sens!J7660*Sens!J7661*chip_f</f>
        <v>9.98227637126252</v>
      </c>
      <c r="K7662" s="15" t="n">
        <f aca="false">Sens!K7660*Sens!K7661*chip_f</f>
        <v>10.1652568170583</v>
      </c>
      <c r="L7662" s="1" t="s">
        <v>975</v>
      </c>
    </row>
    <row r="7663" customFormat="false" ht="17.15" hidden="false" customHeight="false" outlineLevel="0" collapsed="false">
      <c r="A7663" s="0" t="s">
        <v>976</v>
      </c>
      <c r="B7663" s="0" t="s">
        <v>98</v>
      </c>
      <c r="D7663" s="6" t="n">
        <f aca="false">(Sens!C7646+Sens!D7646)/2*Sens!D7662/1000</f>
        <v>12.9359794422418</v>
      </c>
      <c r="E7663" s="6" t="n">
        <f aca="false">(Sens!D7646+Sens!E7646)/2*Sens!E7662/1000</f>
        <v>27.8095064661409</v>
      </c>
      <c r="F7663" s="6" t="n">
        <f aca="false">(Sens!E7646+Sens!F7646)/2*Sens!F7662/1000</f>
        <v>50.9819294352312</v>
      </c>
      <c r="G7663" s="6" t="n">
        <f aca="false">(Sens!F7646+Sens!G7646)/2*Sens!G7662/1000</f>
        <v>76.6920436014933</v>
      </c>
      <c r="H7663" s="6" t="n">
        <f aca="false">(Sens!G7646+Sens!H7646)/2*Sens!H7662/1000</f>
        <v>97.4495379418341</v>
      </c>
      <c r="I7663" s="6" t="n">
        <f aca="false">(Sens!H7646+Sens!I7646)/2*Sens!I7662/1000</f>
        <v>122.083445553868</v>
      </c>
      <c r="J7663" s="6" t="n">
        <f aca="false">(Sens!I7646+Sens!J7646)/2*Sens!J7662/1000</f>
        <v>139.249060444804</v>
      </c>
      <c r="K7663" s="6" t="n">
        <f aca="false">(Sens!J7646+Sens!K7646)/2*Sens!K7662/1000</f>
        <v>149.995818575589</v>
      </c>
      <c r="L7663" s="12" t="s">
        <v>977</v>
      </c>
    </row>
    <row r="7664" customFormat="false" ht="17.15" hidden="false" customHeight="false" outlineLevel="0" collapsed="false">
      <c r="A7664" s="1" t="s">
        <v>978</v>
      </c>
      <c r="B7664" s="0" t="s">
        <v>403</v>
      </c>
      <c r="C7664" s="15" t="n">
        <f aca="false">(Sens!C7654*tk_opex_h100+Sens!C7655*tk_opex_gb200+Sens!C7656*tk_opex_gb300+(Sens!C7658+Sens!C7657)*tk_opex_vr200)/Sens!C7646</f>
        <v>1.88636041306092</v>
      </c>
      <c r="D7664" s="15" t="n">
        <f aca="false">(Sens!D7654*tk_opex_h100+Sens!D7655*tk_opex_gb200+Sens!D7656*tk_opex_gb300+(Sens!D7658+Sens!D7657)*tk_opex_vr200)/Sens!D7646</f>
        <v>1.88636041306092</v>
      </c>
      <c r="E7664" s="15" t="n">
        <f aca="false">(Sens!E7654*tk_opex_h100+Sens!E7655*tk_opex_gb200+Sens!E7656*tk_opex_gb300+(Sens!E7658+Sens!E7657)*tk_opex_vr200)/Sens!E7646</f>
        <v>1.88636041306092</v>
      </c>
      <c r="F7664" s="15" t="n">
        <f aca="false">(Sens!F7654*tk_opex_h100+Sens!F7655*tk_opex_gb200+Sens!F7656*tk_opex_gb300+(Sens!F7658+Sens!F7657)*tk_opex_vr200)/Sens!F7646</f>
        <v>1.95051159746876</v>
      </c>
      <c r="G7664" s="15" t="n">
        <f aca="false">(Sens!G7654*tk_opex_h100+Sens!G7655*tk_opex_gb200+Sens!G7656*tk_opex_gb300+(Sens!G7658+Sens!G7657)*tk_opex_vr200)/Sens!G7646</f>
        <v>1.98836003669956</v>
      </c>
      <c r="H7664" s="15" t="n">
        <f aca="false">(Sens!H7654*tk_opex_h100+Sens!H7655*tk_opex_gb200+Sens!H7656*tk_opex_gb300+(Sens!H7658+Sens!H7657)*tk_opex_vr200)/Sens!H7646</f>
        <v>2.01344013834343</v>
      </c>
      <c r="I7664" s="15" t="n">
        <f aca="false">(Sens!I7654*tk_opex_h100+Sens!I7655*tk_opex_gb200+Sens!I7656*tk_opex_gb300+(Sens!I7658+Sens!I7657)*tk_opex_vr200)/Sens!I7646</f>
        <v>2.03261166882178</v>
      </c>
      <c r="J7664" s="15" t="n">
        <f aca="false">(Sens!J7654*tk_opex_h100+Sens!J7655*tk_opex_gb200+Sens!J7656*tk_opex_gb300+(Sens!J7658+Sens!J7657)*tk_opex_vr200)/Sens!J7646</f>
        <v>2.04808073288745</v>
      </c>
      <c r="K7664" s="15" t="n">
        <f aca="false">(Sens!K7654*tk_opex_h100+Sens!K7655*tk_opex_gb200+Sens!K7656*tk_opex_gb300+(Sens!K7658+Sens!K7657)*tk_opex_vr200)/Sens!K7646</f>
        <v>2.06973825807449</v>
      </c>
      <c r="L7664" s="12" t="s">
        <v>979</v>
      </c>
    </row>
    <row r="7665" customFormat="false" ht="17.15" hidden="false" customHeight="false" outlineLevel="0" collapsed="false">
      <c r="A7665" s="0" t="s">
        <v>980</v>
      </c>
      <c r="B7665" s="0" t="s">
        <v>98</v>
      </c>
      <c r="D7665" s="6" t="n">
        <f aca="false">(Sens!C7649+Sens!D7649)/2*Sens!D7664/1000</f>
        <v>2.70378325872065</v>
      </c>
      <c r="E7665" s="6" t="n">
        <f aca="false">(Sens!D7649+Sens!E7649)/2*Sens!E7664/1000</f>
        <v>6.17783035277451</v>
      </c>
      <c r="F7665" s="6" t="n">
        <f aca="false">(Sens!E7649+Sens!F7649)/2*Sens!F7664/1000</f>
        <v>12.8742463089237</v>
      </c>
      <c r="G7665" s="6" t="n">
        <f aca="false">(Sens!F7649+Sens!G7649)/2*Sens!G7664/1000</f>
        <v>21.8182834646277</v>
      </c>
      <c r="H7665" s="6" t="n">
        <f aca="false">(Sens!G7649+Sens!H7649)/2*Sens!H7664/1000</f>
        <v>31.2430128789734</v>
      </c>
      <c r="I7665" s="6" t="n">
        <f aca="false">(Sens!H7649+Sens!I7649)/2*Sens!I7664/1000</f>
        <v>39.4313057443268</v>
      </c>
      <c r="J7665" s="6" t="n">
        <f aca="false">(Sens!I7649+Sens!J7649)/2*Sens!J7664/1000</f>
        <v>45.0360318228653</v>
      </c>
      <c r="K7665" s="6" t="n">
        <f aca="false">(Sens!J7649+Sens!K7649)/2*Sens!K7664/1000</f>
        <v>48.2929727091156</v>
      </c>
    </row>
    <row r="7666" customFormat="false" ht="17.15" hidden="false" customHeight="false" outlineLevel="0" collapsed="false">
      <c r="A7666" s="0" t="s">
        <v>981</v>
      </c>
      <c r="B7666" s="0" t="s">
        <v>98</v>
      </c>
      <c r="D7666" s="6" t="n">
        <f aca="false">(Sens!C7647+Sens!D7647)/2*rent_mw/1000</f>
        <v>2.44475</v>
      </c>
      <c r="E7666" s="6" t="n">
        <f aca="false">(Sens!D7647+Sens!E7647)/2*rent_mw/1000</f>
        <v>4.22275</v>
      </c>
      <c r="F7666" s="6" t="n">
        <f aca="false">(Sens!E7647+Sens!F7647)/2*rent_mw/1000</f>
        <v>5.80517</v>
      </c>
      <c r="G7666" s="6" t="n">
        <f aca="false">(Sens!F7647+Sens!G7647)/2*rent_mw/1000</f>
        <v>6.72084</v>
      </c>
      <c r="H7666" s="6" t="n">
        <f aca="false">(Sens!G7647+Sens!H7647)/2*rent_mw/1000</f>
        <v>6.72084</v>
      </c>
      <c r="I7666" s="6" t="n">
        <f aca="false">(Sens!H7647+Sens!I7647)/2*rent_mw/1000</f>
        <v>6.72084</v>
      </c>
      <c r="J7666" s="6" t="n">
        <f aca="false">(Sens!I7647+Sens!J7647)/2*rent_mw/1000</f>
        <v>6.72084</v>
      </c>
      <c r="K7666" s="6" t="n">
        <f aca="false">(Sens!J7647+Sens!K7647)/2*rent_mw/1000</f>
        <v>6.72084</v>
      </c>
    </row>
    <row r="7667" customFormat="false" ht="17.15" hidden="false" customHeight="false" outlineLevel="0" collapsed="false">
      <c r="A7667" s="0" t="s">
        <v>982</v>
      </c>
      <c r="B7667" s="0" t="s">
        <v>98</v>
      </c>
      <c r="D7667" s="6" t="n">
        <f aca="false">(Sens!C7649+Sens!D7649)/2*(1-self_build)*fac_rent/1000</f>
        <v>0.853242375631075</v>
      </c>
      <c r="E7667" s="6" t="n">
        <f aca="false">(Sens!D7649+Sens!E7649)/2*(1-self_build)*fac_rent/1000</f>
        <v>1.94955961408728</v>
      </c>
      <c r="F7667" s="6" t="n">
        <f aca="false">(Sens!E7649+Sens!F7649)/2*(1-self_build)*fac_rent/1000</f>
        <v>3.92914894476356</v>
      </c>
      <c r="G7667" s="6" t="n">
        <f aca="false">(Sens!F7649+Sens!G7649)/2*(1-self_build)*fac_rent/1000</f>
        <v>6.53206908578159</v>
      </c>
      <c r="H7667" s="6" t="n">
        <f aca="false">(Sens!G7649+Sens!H7649)/2*(1-self_build)*fac_rent/1000</f>
        <v>9.23717988341591</v>
      </c>
      <c r="I7667" s="6" t="n">
        <f aca="false">(Sens!H7649+Sens!I7649)/2*(1-self_build)*fac_rent/1000</f>
        <v>11.5481378557393</v>
      </c>
      <c r="J7667" s="6" t="n">
        <f aca="false">(Sens!I7649+Sens!J7649)/2*(1-self_build)*fac_rent/1000</f>
        <v>13.0899582289108</v>
      </c>
      <c r="K7667" s="6" t="n">
        <f aca="false">(Sens!J7649+Sens!K7649)/2*(1-self_build)*fac_rent/1000</f>
        <v>13.8897275626556</v>
      </c>
      <c r="L7667" s="12" t="s">
        <v>983</v>
      </c>
    </row>
    <row r="7668" customFormat="false" ht="17.15" hidden="false" customHeight="false" outlineLevel="0" collapsed="false">
      <c r="A7668" s="1" t="s">
        <v>984</v>
      </c>
      <c r="B7668" s="0" t="s">
        <v>168</v>
      </c>
      <c r="D7668" s="7" t="n">
        <f aca="false">(Sens!C7648+Sens!D7648)/(Sens!C7649+Sens!D7649)</f>
        <v>0.6</v>
      </c>
      <c r="E7668" s="7" t="n">
        <f aca="false">(Sens!D7648+Sens!E7648)/(Sens!D7649+Sens!E7649)</f>
        <v>0.6</v>
      </c>
      <c r="F7668" s="7" t="n">
        <f aca="false">(Sens!E7648+Sens!F7648)/(Sens!E7649+Sens!F7649)</f>
        <v>0.6</v>
      </c>
      <c r="G7668" s="7" t="n">
        <f aca="false">(Sens!F7648+Sens!G7648)/(Sens!F7649+Sens!G7649)</f>
        <v>0.6</v>
      </c>
      <c r="H7668" s="7" t="n">
        <f aca="false">(Sens!G7648+Sens!H7648)/(Sens!G7649+Sens!H7649)</f>
        <v>0.6</v>
      </c>
      <c r="I7668" s="7" t="n">
        <f aca="false">(Sens!H7648+Sens!I7648)/(Sens!H7649+Sens!I7649)</f>
        <v>0.6</v>
      </c>
      <c r="J7668" s="7" t="n">
        <f aca="false">(Sens!I7648+Sens!J7648)/(Sens!I7649+Sens!J7649)</f>
        <v>0.6</v>
      </c>
      <c r="K7668" s="7" t="n">
        <f aca="false">(Sens!J7648+Sens!K7648)/(Sens!J7649+Sens!K7649)</f>
        <v>0.6</v>
      </c>
    </row>
    <row r="7669" customFormat="false" ht="17.15" hidden="false" customHeight="false" outlineLevel="0" collapsed="false">
      <c r="A7669" s="0" t="s">
        <v>985</v>
      </c>
      <c r="B7669" s="0" t="s">
        <v>98</v>
      </c>
      <c r="D7669" s="6" t="n">
        <f aca="false">Sens!D7663-Sens!D7668*(Sens!D7665+Sens!D7667)-Sens!D7666</f>
        <v>8.35701406163072</v>
      </c>
      <c r="E7669" s="6" t="n">
        <f aca="false">Sens!E7663-Sens!E7668*(Sens!E7665+Sens!E7667)-Sens!E7666</f>
        <v>18.7103224860238</v>
      </c>
      <c r="F7669" s="6" t="n">
        <f aca="false">Sens!F7663-Sens!F7668*(Sens!F7665+Sens!F7667)-Sens!F7666</f>
        <v>35.0947222830189</v>
      </c>
      <c r="G7669" s="6" t="n">
        <f aca="false">Sens!G7663-Sens!G7668*(Sens!G7665+Sens!G7667)-Sens!G7666</f>
        <v>52.9609920712477</v>
      </c>
      <c r="H7669" s="6" t="n">
        <f aca="false">Sens!H7663-Sens!H7668*(Sens!H7665+Sens!H7667)-Sens!H7666</f>
        <v>66.4405822844005</v>
      </c>
      <c r="I7669" s="6" t="n">
        <f aca="false">Sens!I7663-Sens!I7668*(Sens!I7665+Sens!I7667)-Sens!I7666</f>
        <v>84.7749393938279</v>
      </c>
      <c r="J7669" s="6" t="n">
        <f aca="false">Sens!J7663-Sens!J7668*(Sens!J7665+Sens!J7667)-Sens!J7666</f>
        <v>97.6526264137382</v>
      </c>
      <c r="K7669" s="6" t="n">
        <f aca="false">Sens!K7663-Sens!K7668*(Sens!K7665+Sens!K7667)-Sens!K7666</f>
        <v>105.965358412527</v>
      </c>
    </row>
    <row r="7670" customFormat="false" ht="17.15" hidden="false" customHeight="false" outlineLevel="0" collapsed="false">
      <c r="A7670" s="1" t="s">
        <v>986</v>
      </c>
      <c r="B7670" s="0" t="s">
        <v>98</v>
      </c>
      <c r="D7670" s="6" t="n">
        <f aca="false">(1-Sens!D7668)*(Sens!D7665+Sens!D7667)</f>
        <v>1.42281025374069</v>
      </c>
      <c r="E7670" s="6" t="n">
        <f aca="false">(1-Sens!E7668)*(Sens!E7665+Sens!E7667)</f>
        <v>3.25095598674472</v>
      </c>
      <c r="F7670" s="6" t="n">
        <f aca="false">(1-Sens!F7668)*(Sens!F7665+Sens!F7667)</f>
        <v>6.72135810147489</v>
      </c>
      <c r="G7670" s="6" t="n">
        <f aca="false">(1-Sens!G7668)*(Sens!G7665+Sens!G7667)</f>
        <v>11.3401410201637</v>
      </c>
      <c r="H7670" s="6" t="n">
        <f aca="false">(1-Sens!H7668)*(Sens!H7665+Sens!H7667)</f>
        <v>16.1920771049557</v>
      </c>
      <c r="I7670" s="6" t="n">
        <f aca="false">(1-Sens!I7668)*(Sens!I7665+Sens!I7667)</f>
        <v>20.3917774400264</v>
      </c>
      <c r="J7670" s="6" t="n">
        <f aca="false">(1-Sens!J7668)*(Sens!J7665+Sens!J7667)</f>
        <v>23.2503960207104</v>
      </c>
      <c r="K7670" s="6" t="n">
        <f aca="false">(1-Sens!K7668)*(Sens!K7665+Sens!K7667)</f>
        <v>24.8730801087085</v>
      </c>
    </row>
    <row r="7671" customFormat="false" ht="17.15" hidden="false" customHeight="false" outlineLevel="0" collapsed="false">
      <c r="A7671" s="1" t="s">
        <v>987</v>
      </c>
      <c r="B7671" s="0" t="s">
        <v>414</v>
      </c>
      <c r="C7671" s="8" t="n">
        <f aca="false">cxit_open</f>
        <v>27.5918995</v>
      </c>
      <c r="D7671" s="8" t="n">
        <f aca="false">cxit_open</f>
        <v>27.5918995</v>
      </c>
      <c r="E7671" s="8" t="n">
        <f aca="false">cxit_open</f>
        <v>27.5918995</v>
      </c>
      <c r="F7671" s="8" t="n">
        <f aca="false">((a_g3_27-nonnv*a_mai)*tk_cxit_gb300+nonnv*a_mai*nv_hold_mai*tk_cxit_vr200+(1-a_g3_27)*tk_cxit_vr200)</f>
        <v>32.4975576</v>
      </c>
      <c r="G7671" s="8" t="n">
        <f aca="false">((a_g3_28-nonnv*a_mai)*tk_cxit_gb300+nonnv*a_mai*nv_hold_mai*tk_cxit_vr200+(1-a_g3_28)*tk_cxit_vr200)</f>
        <v>34.6372088</v>
      </c>
      <c r="H7671" s="8" t="n">
        <f aca="false">((a_g3_29-nonnv*a_mai)*tk_cxit_gb300+nonnv*a_mai*nv_hold_mai*tk_cxit_vr200+(1-a_g3_29)*tk_cxit_vr200)</f>
        <v>35.7070344</v>
      </c>
      <c r="I7671" s="8" t="n">
        <f aca="false">((a_g3_29-nonnv*a_mai)*tk_cxit_gb300+nonnv*a_mai*nv_hold_mai*tk_cxit_vr200+(1-a_g3_29)*tk_cxit_vr200)</f>
        <v>35.7070344</v>
      </c>
      <c r="J7671" s="8" t="n">
        <f aca="false">((a_g3_29-nonnv*a_mai)*tk_cxit_gb300+nonnv*a_mai*nv_hold_mai*tk_cxit_vr200+(1-a_g3_29)*tk_cxit_vr200)</f>
        <v>35.7070344</v>
      </c>
      <c r="K7671" s="8" t="n">
        <f aca="false">((a_g3_29-nonnv*a_mai)*tk_cxit_gb300+nonnv*a_mai*nv_hold_mai*tk_cxit_vr200+(1-a_g3_29)*tk_cxit_vr200)</f>
        <v>35.7070344</v>
      </c>
      <c r="L7671" s="12" t="s">
        <v>988</v>
      </c>
    </row>
    <row r="7672" customFormat="false" ht="17.15" hidden="false" customHeight="false" outlineLevel="0" collapsed="false">
      <c r="A7672" s="0" t="s">
        <v>989</v>
      </c>
      <c r="B7672" s="0" t="s">
        <v>456</v>
      </c>
      <c r="F7672" s="30" t="n">
        <f aca="false">Sens!C7651*IF(Sens!F7644-Sens!C7644=life_it,1,0)+Sens!D7651*IF(Sens!F7644-Sens!D7644=life_it,1,0)+Sens!E7651*IF(Sens!F7644-Sens!E7644=life_it,1,0)</f>
        <v>0</v>
      </c>
      <c r="G7672" s="30" t="n">
        <f aca="false">Sens!C7651*IF(Sens!G7644-Sens!C7644=life_it,1,0)+Sens!D7651*IF(Sens!G7644-Sens!D7644=life_it,1,0)+Sens!E7651*IF(Sens!G7644-Sens!E7644=life_it,1,0)+Sens!F7651*IF(Sens!G7644-Sens!F7644=life_it,1,0)</f>
        <v>0</v>
      </c>
      <c r="H7672" s="30" t="n">
        <f aca="false">Sens!C7651*IF(Sens!H7644-Sens!C7644=life_it,1,0)+Sens!D7651*IF(Sens!H7644-Sens!D7644=life_it,1,0)+Sens!E7651*IF(Sens!H7644-Sens!E7644=life_it,1,0)+Sens!F7651*IF(Sens!H7644-Sens!F7644=life_it,1,0)+Sens!G7651*IF(Sens!H7644-Sens!G7644=life_it,1,0)</f>
        <v>0</v>
      </c>
      <c r="I7672" s="30" t="n">
        <f aca="false">Sens!C7651*IF(Sens!I7644-Sens!C7644=life_it,1,0)+Sens!D7651*IF(Sens!I7644-Sens!D7644=life_it,1,0)+Sens!E7651*IF(Sens!I7644-Sens!E7644=life_it,1,0)+Sens!F7651*IF(Sens!I7644-Sens!F7644=life_it,1,0)+Sens!G7651*IF(Sens!I7644-Sens!G7644=life_it,1,0)+Sens!H7651*IF(Sens!I7644-Sens!H7644=life_it,1,0)</f>
        <v>816.666666666667</v>
      </c>
      <c r="J7672" s="30" t="n">
        <f aca="false">Sens!C7651*IF(Sens!J7644-Sens!C7644=life_it,1,0)+Sens!D7651*IF(Sens!J7644-Sens!D7644=life_it,1,0)+Sens!E7651*IF(Sens!J7644-Sens!E7644=life_it,1,0)+Sens!F7651*IF(Sens!J7644-Sens!F7644=life_it,1,0)+Sens!G7651*IF(Sens!J7644-Sens!G7644=life_it,1,0)+Sens!H7651*IF(Sens!J7644-Sens!H7644=life_it,1,0)+Sens!I7651*IF(Sens!J7644-Sens!I7644=life_it,1,0)</f>
        <v>1233.33333333333</v>
      </c>
      <c r="K7672" s="30" t="n">
        <f aca="false">Sens!C7651*IF(Sens!K7644-Sens!C7644=life_it,1,0)+Sens!D7651*IF(Sens!K7644-Sens!D7644=life_it,1,0)+Sens!E7651*IF(Sens!K7644-Sens!E7644=life_it,1,0)+Sens!F7651*IF(Sens!K7644-Sens!F7644=life_it,1,0)+Sens!G7651*IF(Sens!K7644-Sens!G7644=life_it,1,0)+Sens!H7651*IF(Sens!K7644-Sens!H7644=life_it,1,0)+Sens!I7651*IF(Sens!K7644-Sens!I7644=life_it,1,0)+Sens!J7651*IF(Sens!K7644-Sens!J7644=life_it,1,0)</f>
        <v>2450</v>
      </c>
      <c r="L7672" s="1" t="s">
        <v>990</v>
      </c>
    </row>
    <row r="7673" customFormat="false" ht="17.15" hidden="false" customHeight="false" outlineLevel="0" collapsed="false">
      <c r="A7673" s="0" t="s">
        <v>991</v>
      </c>
      <c r="B7673" s="0" t="s">
        <v>98</v>
      </c>
      <c r="C7673" s="6" t="n">
        <f aca="false">Sens!C7651*Sens!C7671/1000</f>
        <v>22.5333845916667</v>
      </c>
      <c r="D7673" s="6" t="n">
        <f aca="false">Sens!D7651*Sens!D7671/1000</f>
        <v>34.0300093833333</v>
      </c>
      <c r="E7673" s="6" t="n">
        <f aca="false">Sens!E7651*Sens!E7671/1000</f>
        <v>67.600153775</v>
      </c>
      <c r="F7673" s="6" t="n">
        <f aca="false">(Sens!F7651+Sens!F7672)*Sens!F7671/1000</f>
        <v>136.51872432512</v>
      </c>
      <c r="G7673" s="6" t="n">
        <f aca="false">(Sens!G7651+Sens!G7672)*Sens!G7671/1000</f>
        <v>157.399275932048</v>
      </c>
      <c r="H7673" s="6" t="n">
        <f aca="false">(Sens!H7651+Sens!H7672)*Sens!H7671/1000</f>
        <v>162.260804347512</v>
      </c>
      <c r="I7673" s="6" t="n">
        <f aca="false">(Sens!I7651+Sens!I7672)*Sens!I7671/1000</f>
        <v>144.136569485434</v>
      </c>
      <c r="J7673" s="6" t="n">
        <f aca="false">(Sens!J7651+Sens!J7672)*Sens!J7671/1000</f>
        <v>114.029037357864</v>
      </c>
      <c r="K7673" s="6" t="n">
        <f aca="false">(Sens!K7651+Sens!K7672)*Sens!K7671/1000</f>
        <v>113.437085350975</v>
      </c>
    </row>
    <row r="7674" customFormat="false" ht="17.15" hidden="false" customHeight="false" outlineLevel="0" collapsed="false">
      <c r="A7674" s="0" t="s">
        <v>992</v>
      </c>
      <c r="B7674" s="0" t="s">
        <v>98</v>
      </c>
      <c r="C7674" s="6" t="n">
        <f aca="false">Sens!C7651*self_build*tk_cxfac/1000</f>
        <v>6.2083</v>
      </c>
      <c r="D7674" s="6" t="n">
        <f aca="false">Sens!D7651*self_build*tk_cxfac/1000</f>
        <v>9.3758</v>
      </c>
      <c r="E7674" s="6" t="n">
        <f aca="false">Sens!E7651*self_build*tk_cxfac/1000</f>
        <v>18.6249</v>
      </c>
      <c r="F7674" s="6" t="n">
        <f aca="false">Sens!F7651*self_build*tk_cxfac/1000</f>
        <v>31.935179717</v>
      </c>
      <c r="G7674" s="6" t="n">
        <f aca="false">Sens!G7651*self_build*tk_cxfac/1000</f>
        <v>34.545199717</v>
      </c>
      <c r="H7674" s="6" t="n">
        <f aca="false">Sens!H7651*self_build*tk_cxfac/1000</f>
        <v>34.545199717</v>
      </c>
      <c r="I7674" s="6" t="n">
        <f aca="false">Sens!I7651*self_build*tk_cxfac/1000</f>
        <v>24.4782641361767</v>
      </c>
      <c r="J7674" s="6" t="n">
        <f aca="false">Sens!J7651*self_build*tk_cxfac/1000</f>
        <v>14.9008938380769</v>
      </c>
      <c r="K7674" s="6" t="n">
        <f aca="false">Sens!K7651*self_build*tk_cxfac/1000</f>
        <v>5.52576771375761</v>
      </c>
    </row>
    <row r="7675" customFormat="false" ht="17.15" hidden="false" customHeight="false" outlineLevel="0" collapsed="false">
      <c r="A7675" s="0" t="s">
        <v>993</v>
      </c>
      <c r="B7675" s="0" t="s">
        <v>98</v>
      </c>
      <c r="F7675" s="15" t="n">
        <f aca="false">capex_floor27-Sens!F7673-Sens!F7674-Sens!F7771</f>
        <v>-0.137245590820164</v>
      </c>
      <c r="L7675" s="12" t="s">
        <v>994</v>
      </c>
    </row>
    <row r="7676" customFormat="false" ht="17.15" hidden="false" customHeight="false" outlineLevel="0" collapsed="false">
      <c r="A7676" s="0" t="s">
        <v>995</v>
      </c>
      <c r="B7676" s="0" t="s">
        <v>98</v>
      </c>
      <c r="F7676" s="6" t="n">
        <f aca="false">MAX(0,Sens!F7675)</f>
        <v>0</v>
      </c>
    </row>
    <row r="7677" customFormat="false" ht="17.15" hidden="false" customHeight="false" outlineLevel="0" collapsed="false">
      <c r="A7677" s="0" t="s">
        <v>996</v>
      </c>
      <c r="B7677" s="0" t="s">
        <v>98</v>
      </c>
      <c r="C7677" s="6" t="n">
        <f aca="false">Sens!C7673</f>
        <v>22.5333845916667</v>
      </c>
      <c r="D7677" s="6" t="n">
        <f aca="false">Sens!D7673</f>
        <v>34.0300093833333</v>
      </c>
      <c r="E7677" s="6" t="n">
        <f aca="false">Sens!E7673</f>
        <v>67.600153775</v>
      </c>
      <c r="F7677" s="6" t="n">
        <f aca="false">Sens!F7673</f>
        <v>136.51872432512</v>
      </c>
      <c r="G7677" s="6" t="n">
        <f aca="false">Sens!G7673</f>
        <v>157.399275932048</v>
      </c>
      <c r="H7677" s="6" t="n">
        <f aca="false">Sens!H7673</f>
        <v>162.260804347512</v>
      </c>
      <c r="I7677" s="6" t="n">
        <f aca="false">Sens!I7673</f>
        <v>144.136569485434</v>
      </c>
      <c r="J7677" s="6" t="n">
        <f aca="false">Sens!J7673</f>
        <v>114.029037357864</v>
      </c>
      <c r="K7677" s="6" t="n">
        <f aca="false">Sens!K7673</f>
        <v>113.437085350975</v>
      </c>
    </row>
    <row r="7678" customFormat="false" ht="17.15" hidden="false" customHeight="false" outlineLevel="0" collapsed="false">
      <c r="A7678" s="0" t="s">
        <v>997</v>
      </c>
      <c r="B7678" s="0" t="s">
        <v>98</v>
      </c>
      <c r="C7678" s="6" t="n">
        <f aca="false">Sens!C7677+Sens!C7674</f>
        <v>28.7416845916667</v>
      </c>
      <c r="D7678" s="6" t="n">
        <f aca="false">Sens!D7677+Sens!D7674</f>
        <v>43.4058093833333</v>
      </c>
      <c r="E7678" s="6" t="n">
        <f aca="false">Sens!E7677+Sens!E7674</f>
        <v>86.225053775</v>
      </c>
      <c r="F7678" s="6" t="n">
        <f aca="false">Sens!F7677+Sens!F7674</f>
        <v>168.45390404212</v>
      </c>
      <c r="G7678" s="6" t="n">
        <f aca="false">Sens!G7677+Sens!G7674</f>
        <v>191.944475649048</v>
      </c>
      <c r="H7678" s="6" t="n">
        <f aca="false">Sens!H7677+Sens!H7674</f>
        <v>196.806004064512</v>
      </c>
      <c r="I7678" s="6" t="n">
        <f aca="false">Sens!I7677+Sens!I7674</f>
        <v>168.61483362161</v>
      </c>
      <c r="J7678" s="6" t="n">
        <f aca="false">Sens!J7677+Sens!J7674</f>
        <v>128.92993119594</v>
      </c>
      <c r="K7678" s="6" t="n">
        <f aca="false">Sens!K7677+Sens!K7674</f>
        <v>118.962853064733</v>
      </c>
      <c r="L7678" s="12" t="s">
        <v>998</v>
      </c>
    </row>
    <row r="7679" customFormat="false" ht="17.15" hidden="false" customHeight="false" outlineLevel="0" collapsed="false">
      <c r="A7679" s="0" t="s">
        <v>999</v>
      </c>
      <c r="B7679" s="0" t="s">
        <v>98</v>
      </c>
      <c r="E7679" s="6" t="n">
        <f aca="false">(Sens!C7677*IF(2&lt;life_it,1,IF(2=life_it,0.5,0))+Sens!D7677*IF(1&lt;life_it,1,IF(1=life_it,0.5,0))+Sens!E7677*0.5)/life_it</f>
        <v>15.0605784770833</v>
      </c>
      <c r="F7679" s="6" t="n">
        <f aca="false">(Sens!C7677*IF(3&lt;life_it,1,IF(3=life_it,0.5,0))+Sens!D7677*IF(2&lt;life_it,1,IF(2=life_it,0.5,0))+Sens!E7677*IF(1&lt;life_it,1,IF(1=life_it,0.5,0))+Sens!F7677*0.5)/life_it</f>
        <v>32.0704849854266</v>
      </c>
      <c r="G7679" s="6" t="n">
        <f aca="false">(Sens!C7677*IF(4&lt;life_it,1,IF(4=life_it,0.5,0))+Sens!D7677*IF(3&lt;life_it,1,IF(3=life_it,0.5,0))+Sens!E7677*IF(2&lt;life_it,1,IF(2=life_it,0.5,0))+Sens!F7677*IF(1&lt;life_it,1,IF(1=life_it,0.5,0))+Sens!G7677*0.5)/life_it</f>
        <v>56.5636516735239</v>
      </c>
      <c r="H7679" s="6" t="n">
        <f aca="false">(Sens!C7677*IF(5&lt;life_it,1,IF(5=life_it,0.5,0))+Sens!D7677*IF(4&lt;life_it,1,IF(4=life_it,0.5,0))+Sens!E7677*IF(3&lt;life_it,1,IF(3=life_it,0.5,0))+Sens!F7677*IF(2&lt;life_it,1,IF(2=life_it,0.5,0))+Sens!G7677*IF(1&lt;life_it,1,IF(1=life_it,0.5,0))+Sens!H7677*0.5)/life_it</f>
        <v>83.2019916968207</v>
      </c>
      <c r="I7679" s="6" t="n">
        <f aca="false">(Sens!C7677*IF(6&lt;life_it,1,IF(6=life_it,0.5,0))+Sens!D7677*IF(5&lt;life_it,1,IF(5=life_it,0.5,0))+Sens!E7677*IF(4&lt;life_it,1,IF(4=life_it,0.5,0))+Sens!F7677*IF(3&lt;life_it,1,IF(3=life_it,0.5,0))+Sens!G7677*IF(2&lt;life_it,1,IF(2=life_it,0.5,0))+Sens!H7677*IF(1&lt;life_it,1,IF(1=life_it,0.5,0))+Sens!I7677*0.5)/life_it</f>
        <v>106.857324133594</v>
      </c>
      <c r="J7679" s="6" t="n">
        <f aca="false">(Sens!C7677*IF(7&lt;life_it,1,IF(7=life_it,0.5,0))+Sens!D7677*IF(6&lt;life_it,1,IF(6=life_it,0.5,0))+Sens!E7677*IF(5&lt;life_it,1,IF(5=life_it,0.5,0))+Sens!F7677*IF(4&lt;life_it,1,IF(4=life_it,0.5,0))+Sens!G7677*IF(3&lt;life_it,1,IF(3=life_it,0.5,0))+Sens!H7677*IF(2&lt;life_it,1,IF(2=life_it,0.5,0))+Sens!I7677*IF(1&lt;life_it,1,IF(1=life_it,0.5,0))+Sens!J7677*0.5)/life_it</f>
        <v>123.657508539285</v>
      </c>
      <c r="K7679" s="6" t="n">
        <f aca="false">(Sens!C7677*IF(8&lt;life_it,1,IF(8=life_it,0.5,0))+Sens!D7677*IF(7&lt;life_it,1,IF(7=life_it,0.5,0))+Sens!E7677*IF(6&lt;life_it,1,IF(6=life_it,0.5,0))+Sens!F7677*IF(5&lt;life_it,1,IF(5=life_it,0.5,0))+Sens!G7677*IF(4&lt;life_it,1,IF(4=life_it,0.5,0))+Sens!H7677*IF(3&lt;life_it,1,IF(3=life_it,0.5,0))+Sens!I7677*IF(2&lt;life_it,1,IF(2=life_it,0.5,0))+Sens!J7677*IF(1&lt;life_it,1,IF(1=life_it,0.5,0))+Sens!K7677*0.5)/life_it</f>
        <v>134.143838501827</v>
      </c>
    </row>
    <row r="7680" customFormat="false" ht="17.15" hidden="false" customHeight="false" outlineLevel="0" collapsed="false">
      <c r="A7680" s="0" t="s">
        <v>1000</v>
      </c>
      <c r="B7680" s="0" t="s">
        <v>98</v>
      </c>
      <c r="E7680" s="6" t="n">
        <f aca="false">(Sens!C7674*IF(2&lt;life_fac,1,IF(2=life_fac,0.5,0))+Sens!D7674*IF(1&lt;life_fac,1,IF(1=life_fac,0.5,0))+Sens!E7674*0.5)/life_fac</f>
        <v>1.2448275</v>
      </c>
      <c r="F7680" s="6" t="n">
        <f aca="false">(Sens!C7674*IF(3&lt;life_fac,1,IF(3=life_fac,0.5,0))+Sens!D7674*IF(2&lt;life_fac,1,IF(2=life_fac,0.5,0))+Sens!E7674*IF(1&lt;life_fac,1,IF(1=life_fac,0.5,0))+Sens!F7674*0.5)/life_fac</f>
        <v>2.508829492925</v>
      </c>
      <c r="G7680" s="6" t="n">
        <f aca="false">(Sens!C7674*IF(4&lt;life_fac,1,IF(4=life_fac,0.5,0))+Sens!D7674*IF(3&lt;life_fac,1,IF(3=life_fac,0.5,0))+Sens!E7674*IF(2&lt;life_fac,1,IF(2=life_fac,0.5,0))+Sens!F7674*IF(1&lt;life_fac,1,IF(1=life_fac,0.5,0))+Sens!G7674*0.5)/life_fac</f>
        <v>4.170838978775</v>
      </c>
      <c r="H7680" s="6" t="n">
        <f aca="false">(Sens!C7674*IF(5&lt;life_fac,1,IF(5=life_fac,0.5,0))+Sens!D7674*IF(4&lt;life_fac,1,IF(4=life_fac,0.5,0))+Sens!E7674*IF(3&lt;life_fac,1,IF(3=life_fac,0.5,0))+Sens!F7674*IF(2&lt;life_fac,1,IF(2=life_fac,0.5,0))+Sens!G7674*IF(1&lt;life_fac,1,IF(1=life_fac,0.5,0))+Sens!H7674*0.5)/life_fac</f>
        <v>5.898098964625</v>
      </c>
      <c r="I7680" s="6" t="n">
        <f aca="false">(Sens!C7674*IF(6&lt;life_fac,1,IF(6=life_fac,0.5,0))+Sens!D7674*IF(5&lt;life_fac,1,IF(5=life_fac,0.5,0))+Sens!E7674*IF(4&lt;life_fac,1,IF(4=life_fac,0.5,0))+Sens!F7674*IF(3&lt;life_fac,1,IF(3=life_fac,0.5,0))+Sens!G7674*IF(2&lt;life_fac,1,IF(2=life_fac,0.5,0))+Sens!H7674*IF(1&lt;life_fac,1,IF(1=life_fac,0.5,0))+Sens!I7674*0.5)/life_fac</f>
        <v>7.37368556095442</v>
      </c>
      <c r="J7680" s="6" t="n">
        <f aca="false">(Sens!C7674*IF(7&lt;life_fac,1,IF(7=life_fac,0.5,0))+Sens!D7674*IF(6&lt;life_fac,1,IF(6=life_fac,0.5,0))+Sens!E7674*IF(5&lt;life_fac,1,IF(5=life_fac,0.5,0))+Sens!F7674*IF(4&lt;life_fac,1,IF(4=life_fac,0.5,0))+Sens!G7674*IF(3&lt;life_fac,1,IF(3=life_fac,0.5,0))+Sens!H7674*IF(2&lt;life_fac,1,IF(2=life_fac,0.5,0))+Sens!I7674*IF(1&lt;life_fac,1,IF(1=life_fac,0.5,0))+Sens!J7674*0.5)/life_fac</f>
        <v>8.35816451031075</v>
      </c>
      <c r="K7680" s="6" t="n">
        <f aca="false">(Sens!C7674*IF(8&lt;life_fac,1,IF(8=life_fac,0.5,0))+Sens!D7674*IF(7&lt;life_fac,1,IF(7=life_fac,0.5,0))+Sens!E7674*IF(6&lt;life_fac,1,IF(6=life_fac,0.5,0))+Sens!F7674*IF(5&lt;life_fac,1,IF(5=life_fac,0.5,0))+Sens!G7674*IF(4&lt;life_fac,1,IF(4=life_fac,0.5,0))+Sens!H7674*IF(3&lt;life_fac,1,IF(3=life_fac,0.5,0))+Sens!I7674*IF(2&lt;life_fac,1,IF(2=life_fac,0.5,0))+Sens!J7674*IF(1&lt;life_fac,1,IF(1=life_fac,0.5,0))+Sens!K7674*0.5)/life_fac</f>
        <v>8.86883104910662</v>
      </c>
    </row>
    <row r="7681" customFormat="false" ht="17.15" hidden="false" customHeight="false" outlineLevel="0" collapsed="false">
      <c r="A7681" s="0" t="s">
        <v>1001</v>
      </c>
      <c r="B7681" s="0" t="s">
        <v>98</v>
      </c>
      <c r="E7681" s="6" t="n">
        <f aca="false">Sens!E7679+Sens!E7680</f>
        <v>16.3054059770833</v>
      </c>
      <c r="F7681" s="6" t="n">
        <f aca="false">Sens!F7679+Sens!F7680</f>
        <v>34.5793144783516</v>
      </c>
      <c r="G7681" s="6" t="n">
        <f aca="false">Sens!G7679+Sens!G7680</f>
        <v>60.7344906522989</v>
      </c>
      <c r="H7681" s="6" t="n">
        <f aca="false">Sens!H7679+Sens!H7680</f>
        <v>89.1000906614457</v>
      </c>
      <c r="I7681" s="6" t="n">
        <f aca="false">Sens!I7679+Sens!I7680</f>
        <v>114.231009694548</v>
      </c>
      <c r="J7681" s="6" t="n">
        <f aca="false">Sens!J7679+Sens!J7680</f>
        <v>132.015673049596</v>
      </c>
      <c r="K7681" s="6" t="n">
        <f aca="false">Sens!K7679+Sens!K7680</f>
        <v>143.012669550934</v>
      </c>
    </row>
    <row r="7682" customFormat="false" ht="17.15" hidden="false" customHeight="false" outlineLevel="0" collapsed="false">
      <c r="A7682" s="0" t="s">
        <v>1002</v>
      </c>
      <c r="B7682" s="0" t="s">
        <v>98</v>
      </c>
      <c r="E7682" s="6" t="n">
        <f aca="false">Sens!E7669-Sens!E7668*Sens!E7681</f>
        <v>8.92707889977379</v>
      </c>
      <c r="F7682" s="6" t="n">
        <f aca="false">Sens!F7669-Sens!F7668*Sens!F7681</f>
        <v>14.3471335960079</v>
      </c>
      <c r="G7682" s="6" t="n">
        <f aca="false">Sens!G7669-Sens!G7668*Sens!G7681</f>
        <v>16.5202976798683</v>
      </c>
      <c r="H7682" s="6" t="n">
        <f aca="false">Sens!H7669-Sens!H7668*Sens!H7681</f>
        <v>12.9805278875331</v>
      </c>
      <c r="I7682" s="6" t="n">
        <f aca="false">Sens!I7669-Sens!I7668*Sens!I7681</f>
        <v>16.2363335770989</v>
      </c>
      <c r="J7682" s="6" t="n">
        <f aca="false">Sens!J7669-Sens!J7668*Sens!J7681</f>
        <v>18.4432225839805</v>
      </c>
      <c r="K7682" s="6" t="n">
        <f aca="false">Sens!K7669-Sens!K7668*Sens!K7681</f>
        <v>20.1577566819661</v>
      </c>
    </row>
    <row r="7683" customFormat="false" ht="17.15" hidden="false" customHeight="false" outlineLevel="0" collapsed="false">
      <c r="A7683" s="3" t="s">
        <v>1671</v>
      </c>
    </row>
    <row r="7684" customFormat="false" ht="15" hidden="false" customHeight="false" outlineLevel="0" collapsed="false">
      <c r="A7684" s="4" t="s">
        <v>43</v>
      </c>
      <c r="B7684" s="4" t="s">
        <v>65</v>
      </c>
      <c r="C7684" s="23" t="s">
        <v>938</v>
      </c>
      <c r="D7684" s="23" t="s">
        <v>939</v>
      </c>
      <c r="E7684" s="23" t="s">
        <v>940</v>
      </c>
      <c r="F7684" s="23" t="s">
        <v>941</v>
      </c>
      <c r="G7684" s="23" t="s">
        <v>942</v>
      </c>
      <c r="H7684" s="23" t="s">
        <v>943</v>
      </c>
      <c r="I7684" s="23" t="s">
        <v>944</v>
      </c>
      <c r="J7684" s="23" t="s">
        <v>945</v>
      </c>
      <c r="K7684" s="23" t="s">
        <v>946</v>
      </c>
      <c r="L7684" s="4" t="s">
        <v>47</v>
      </c>
    </row>
    <row r="7685" customFormat="false" ht="17.15" hidden="false" customHeight="false" outlineLevel="0" collapsed="false">
      <c r="A7685" s="0" t="s">
        <v>1021</v>
      </c>
      <c r="B7685" s="0" t="s">
        <v>98</v>
      </c>
      <c r="D7685" s="6" t="n">
        <f aca="false">Sens!D7663</f>
        <v>12.9359794422418</v>
      </c>
      <c r="E7685" s="6" t="n">
        <f aca="false">Sens!E7663</f>
        <v>27.8095064661409</v>
      </c>
      <c r="F7685" s="6" t="n">
        <f aca="false">Sens!F7663</f>
        <v>50.9819294352312</v>
      </c>
      <c r="G7685" s="6" t="n">
        <f aca="false">Sens!G7663</f>
        <v>76.6920436014933</v>
      </c>
      <c r="H7685" s="6" t="n">
        <f aca="false">Sens!H7663</f>
        <v>97.4495379418341</v>
      </c>
      <c r="I7685" s="6" t="n">
        <f aca="false">Sens!I7663</f>
        <v>122.083445553868</v>
      </c>
      <c r="J7685" s="6" t="n">
        <f aca="false">Sens!J7663</f>
        <v>139.249060444804</v>
      </c>
      <c r="K7685" s="6" t="n">
        <f aca="false">Sens!K7663</f>
        <v>149.995818575589</v>
      </c>
    </row>
    <row r="7686" customFormat="false" ht="17.15" hidden="false" customHeight="false" outlineLevel="0" collapsed="false">
      <c r="A7686" s="0" t="s">
        <v>1022</v>
      </c>
      <c r="B7686" s="0" t="s">
        <v>98</v>
      </c>
      <c r="D7686" s="6" t="n">
        <f aca="false">Q!L6-Sens!D7685</f>
        <v>59.6740205577583</v>
      </c>
      <c r="E7686" s="6" t="n">
        <f aca="false">Q!M6-Sens!E7685</f>
        <v>74.1284935338591</v>
      </c>
      <c r="F7686" s="6" t="n">
        <f aca="false">Q!$I$6+(Sens!F7685+Sens!E7686*(1+Sens!F7687))*(1-Q!$E$6/Q!M6)-Sens!F7685</f>
        <v>92.2699541184664</v>
      </c>
      <c r="G7686" s="6" t="n">
        <f aca="false">Sens!F7686*(1+Sens!G7687)</f>
        <v>109.630477277949</v>
      </c>
      <c r="H7686" s="6" t="n">
        <f aca="false">Sens!G7686*(1+Sens!H7687)</f>
        <v>127.293256321956</v>
      </c>
      <c r="I7686" s="6" t="n">
        <f aca="false">Sens!H7686*(1+Sens!I7687)</f>
        <v>144.360052269491</v>
      </c>
      <c r="J7686" s="6" t="n">
        <f aca="false">Sens!I7686*(1+Sens!J7687)</f>
        <v>159.811964490216</v>
      </c>
      <c r="K7686" s="6" t="n">
        <f aca="false">Sens!J7686*(1+Sens!K7687)</f>
        <v>172.596921649434</v>
      </c>
      <c r="L7686" s="12" t="s">
        <v>1023</v>
      </c>
    </row>
    <row r="7687" customFormat="false" ht="15" hidden="false" customHeight="false" outlineLevel="0" collapsed="false">
      <c r="A7687" s="1" t="s">
        <v>1024</v>
      </c>
      <c r="B7687" s="0" t="s">
        <v>168</v>
      </c>
      <c r="E7687" s="7" t="n">
        <f aca="false">Sens!E7686/Sens!D7686-1</f>
        <v>0.242223883039864</v>
      </c>
      <c r="F7687" s="7" t="n">
        <f aca="false">Sens!$E$7687+(glt_azo-Sens!$E$7687)*MIN(1,(Sens!F7644-base_fy)/n_conv)</f>
        <v>0.215186569199887</v>
      </c>
      <c r="G7687" s="7" t="n">
        <f aca="false">Sens!$E$7687+(glt_azo-Sens!$E$7687)*MIN(1,(Sens!G7644-base_fy)/n_conv)</f>
        <v>0.18814925535991</v>
      </c>
      <c r="H7687" s="7" t="n">
        <f aca="false">Sens!$E$7687+(glt_azo-Sens!$E$7687)*MIN(1,(Sens!H7644-base_fy)/n_conv)</f>
        <v>0.161111941519932</v>
      </c>
      <c r="I7687" s="7" t="n">
        <f aca="false">Sens!$E$7687+(glt_azo-Sens!$E$7687)*MIN(1,(Sens!I7644-base_fy)/n_conv)</f>
        <v>0.134074627679955</v>
      </c>
      <c r="J7687" s="7" t="n">
        <f aca="false">Sens!$E$7687+(glt_azo-Sens!$E$7687)*MIN(1,(Sens!J7644-base_fy)/n_conv)</f>
        <v>0.107037313839977</v>
      </c>
      <c r="K7687" s="7" t="n">
        <f aca="false">Sens!$E$7687+(glt_azo-Sens!$E$7687)*MIN(1,(Sens!K7644-base_fy)/n_conv)</f>
        <v>0.08</v>
      </c>
    </row>
    <row r="7688" customFormat="false" ht="15" hidden="false" customHeight="false" outlineLevel="0" collapsed="false">
      <c r="A7688" s="0" t="s">
        <v>1025</v>
      </c>
      <c r="B7688" s="0" t="s">
        <v>98</v>
      </c>
      <c r="D7688" s="6" t="n">
        <f aca="false">Sens!D7685+Sens!D7686</f>
        <v>72.61</v>
      </c>
      <c r="E7688" s="6" t="n">
        <f aca="false">Sens!E7685+Sens!E7686</f>
        <v>101.938</v>
      </c>
      <c r="F7688" s="6" t="n">
        <f aca="false">Sens!F7685+Sens!F7686</f>
        <v>143.251883553698</v>
      </c>
      <c r="G7688" s="6" t="n">
        <f aca="false">Sens!G7685+Sens!G7686</f>
        <v>186.322520879442</v>
      </c>
      <c r="H7688" s="6" t="n">
        <f aca="false">Sens!H7685+Sens!H7686</f>
        <v>224.74279426379</v>
      </c>
      <c r="I7688" s="6" t="n">
        <f aca="false">Sens!I7685+Sens!I7686</f>
        <v>266.443497823359</v>
      </c>
      <c r="J7688" s="6" t="n">
        <f aca="false">Sens!J7685+Sens!J7686</f>
        <v>299.06102493502</v>
      </c>
      <c r="K7688" s="6" t="n">
        <f aca="false">Sens!K7685+Sens!K7686</f>
        <v>322.592740225023</v>
      </c>
    </row>
    <row r="7689" customFormat="false" ht="17.15" hidden="false" customHeight="false" outlineLevel="0" collapsed="false">
      <c r="A7689" s="0" t="s">
        <v>1026</v>
      </c>
      <c r="B7689" s="1" t="s">
        <v>610</v>
      </c>
      <c r="C7689" s="30" t="n">
        <f aca="false">cop_s24</f>
        <v>1</v>
      </c>
      <c r="D7689" s="30" t="n">
        <f aca="false">cop_s25</f>
        <v>5</v>
      </c>
      <c r="E7689" s="30" t="n">
        <f aca="false">cop_s26</f>
        <v>30</v>
      </c>
      <c r="F7689" s="30" t="n">
        <f aca="false">Sens!E7689+cop_add_C*1.5</f>
        <v>45</v>
      </c>
      <c r="G7689" s="30" t="n">
        <f aca="false">Sens!F7689+cop_add_C*1.5</f>
        <v>60</v>
      </c>
      <c r="H7689" s="30" t="n">
        <f aca="false">Sens!G7689+cop_add_C*1.5</f>
        <v>75</v>
      </c>
      <c r="I7689" s="30" t="n">
        <f aca="false">Sens!H7689+cop_add_C*1.5*cop_tail</f>
        <v>82.5</v>
      </c>
      <c r="J7689" s="30" t="n">
        <f aca="false">Sens!I7689+cop_add_C*1.5*cop_tail</f>
        <v>90</v>
      </c>
      <c r="K7689" s="30" t="n">
        <f aca="false">Sens!J7689+cop_add_C*1.5*cop_tail</f>
        <v>97.5</v>
      </c>
      <c r="L7689" s="12" t="s">
        <v>1027</v>
      </c>
    </row>
    <row r="7690" customFormat="false" ht="17.15" hidden="false" customHeight="false" outlineLevel="0" collapsed="false">
      <c r="A7690" s="0" t="s">
        <v>1028</v>
      </c>
      <c r="B7690" s="0" t="s">
        <v>98</v>
      </c>
      <c r="D7690" s="6" t="n">
        <f aca="false">(Sens!C7689+Sens!D7689)/2*cop_px*12/1000</f>
        <v>0.9</v>
      </c>
      <c r="E7690" s="6" t="n">
        <f aca="false">(Sens!D7689+Sens!E7689)/2*cop_px*12/1000</f>
        <v>5.25</v>
      </c>
      <c r="F7690" s="6" t="n">
        <f aca="false">(Sens!E7689+Sens!F7689)/2*cop_px*12/1000</f>
        <v>11.25</v>
      </c>
      <c r="G7690" s="6" t="n">
        <f aca="false">(Sens!F7689+Sens!G7689)/2*cop_px*12/1000</f>
        <v>15.75</v>
      </c>
      <c r="H7690" s="6" t="n">
        <f aca="false">(Sens!G7689+Sens!H7689)/2*cop_px*12/1000</f>
        <v>20.25</v>
      </c>
      <c r="I7690" s="6" t="n">
        <f aca="false">(Sens!H7689+Sens!I7689)/2*cop_px*12/1000</f>
        <v>23.625</v>
      </c>
      <c r="J7690" s="6" t="n">
        <f aca="false">(Sens!I7689+Sens!J7689)/2*cop_px*12/1000</f>
        <v>25.875</v>
      </c>
      <c r="K7690" s="6" t="n">
        <f aca="false">(Sens!J7689+Sens!K7689)/2*cop_px*12/1000</f>
        <v>28.125</v>
      </c>
      <c r="L7690" s="1" t="s">
        <v>1029</v>
      </c>
    </row>
    <row r="7691" customFormat="false" ht="17.15" hidden="false" customHeight="false" outlineLevel="0" collapsed="false">
      <c r="A7691" s="0" t="s">
        <v>1030</v>
      </c>
      <c r="B7691" s="0" t="s">
        <v>98</v>
      </c>
      <c r="D7691" s="6" t="n">
        <f aca="false">Q!L7-Sens!D7690</f>
        <v>83.705</v>
      </c>
      <c r="E7691" s="6" t="n">
        <f aca="false">Q!M7-Sens!E7690</f>
        <v>95.049</v>
      </c>
      <c r="F7691" s="6" t="n">
        <f aca="false">Q!$I$7+(Sens!E7691*(1+Sens!F7692)+Sens!F7690)*(1-Q!$E$7/Q!M7)-Sens!F7690</f>
        <v>106.761178943761</v>
      </c>
      <c r="G7691" s="6" t="n">
        <f aca="false">Sens!F7691*(1+Sens!G7692)</f>
        <v>118.898043494744</v>
      </c>
      <c r="H7691" s="6" t="n">
        <f aca="false">Sens!G7691*(1+Sens!H7692)</f>
        <v>131.116218374114</v>
      </c>
      <c r="I7691" s="6" t="n">
        <f aca="false">Sens!H7691*(1+Sens!I7692)</f>
        <v>143.158087675019</v>
      </c>
      <c r="J7691" s="6" t="n">
        <f aca="false">Sens!I7691*(1+Sens!J7692)</f>
        <v>154.742525187072</v>
      </c>
      <c r="K7691" s="6" t="n">
        <f aca="false">Sens!J7691*(1+Sens!K7692)</f>
        <v>165.574501950167</v>
      </c>
      <c r="L7691" s="12" t="s">
        <v>1031</v>
      </c>
    </row>
    <row r="7692" customFormat="false" ht="15" hidden="false" customHeight="false" outlineLevel="0" collapsed="false">
      <c r="A7692" s="1" t="s">
        <v>1024</v>
      </c>
      <c r="B7692" s="0" t="s">
        <v>168</v>
      </c>
      <c r="E7692" s="7" t="n">
        <f aca="false">Sens!E7691/Sens!D7691-1</f>
        <v>0.135523564900544</v>
      </c>
      <c r="F7692" s="7" t="n">
        <f aca="false">Sens!$E$7692+(glt_m365b-Sens!$E$7692)*MIN(1,(Sens!F7644-base_fy)/n_conv)</f>
        <v>0.124602970750453</v>
      </c>
      <c r="G7692" s="7" t="n">
        <f aca="false">Sens!$E$7692+(glt_m365b-Sens!$E$7692)*MIN(1,(Sens!G7644-base_fy)/n_conv)</f>
        <v>0.113682376600363</v>
      </c>
      <c r="H7692" s="7" t="n">
        <f aca="false">Sens!$E$7692+(glt_m365b-Sens!$E$7692)*MIN(1,(Sens!H7644-base_fy)/n_conv)</f>
        <v>0.102761782450272</v>
      </c>
      <c r="I7692" s="7" t="n">
        <f aca="false">Sens!$E$7692+(glt_m365b-Sens!$E$7692)*MIN(1,(Sens!I7644-base_fy)/n_conv)</f>
        <v>0.0918411883001813</v>
      </c>
      <c r="J7692" s="7" t="n">
        <f aca="false">Sens!$E$7692+(glt_m365b-Sens!$E$7692)*MIN(1,(Sens!J7644-base_fy)/n_conv)</f>
        <v>0.0809205941500906</v>
      </c>
      <c r="K7692" s="7" t="n">
        <f aca="false">Sens!$E$7692+(glt_m365b-Sens!$E$7692)*MIN(1,(Sens!K7644-base_fy)/n_conv)</f>
        <v>0.07</v>
      </c>
    </row>
    <row r="7693" customFormat="false" ht="15" hidden="false" customHeight="false" outlineLevel="0" collapsed="false">
      <c r="A7693" s="0" t="s">
        <v>1032</v>
      </c>
      <c r="B7693" s="0" t="s">
        <v>98</v>
      </c>
      <c r="D7693" s="6" t="n">
        <f aca="false">Sens!D7691+Sens!D7690</f>
        <v>84.605</v>
      </c>
      <c r="E7693" s="6" t="n">
        <f aca="false">Sens!E7691+Sens!E7690</f>
        <v>100.299</v>
      </c>
      <c r="F7693" s="6" t="n">
        <f aca="false">Sens!F7691+Sens!F7690</f>
        <v>118.011178943761</v>
      </c>
      <c r="G7693" s="6" t="n">
        <f aca="false">Sens!G7691+Sens!G7690</f>
        <v>134.648043494744</v>
      </c>
      <c r="H7693" s="6" t="n">
        <f aca="false">Sens!H7691+Sens!H7690</f>
        <v>151.366218374114</v>
      </c>
      <c r="I7693" s="6" t="n">
        <f aca="false">Sens!I7691+Sens!I7690</f>
        <v>166.783087675019</v>
      </c>
      <c r="J7693" s="6" t="n">
        <f aca="false">Sens!J7691+Sens!J7690</f>
        <v>180.617525187072</v>
      </c>
      <c r="K7693" s="6" t="n">
        <f aca="false">Sens!K7691+Sens!K7690</f>
        <v>193.699501950167</v>
      </c>
    </row>
    <row r="7694" customFormat="false" ht="17.15" hidden="false" customHeight="false" outlineLevel="0" collapsed="false">
      <c r="A7694" s="0" t="s">
        <v>1033</v>
      </c>
      <c r="B7694" s="0" t="s">
        <v>98</v>
      </c>
      <c r="D7694" s="6" t="n">
        <f aca="false">Q!L8</f>
        <v>35.391</v>
      </c>
      <c r="E7694" s="6" t="n">
        <f aca="false">Q!M8</f>
        <v>37.285</v>
      </c>
      <c r="F7694" s="6" t="n">
        <f aca="false">Q!$I$8+(Q!M8-Q!$E$8)*(1+Sens!F7695)</f>
        <v>38.3851437782675</v>
      </c>
      <c r="G7694" s="6" t="n">
        <f aca="false">Sens!F7694*(1+Sens!G7695)</f>
        <v>40.0105353288615</v>
      </c>
      <c r="H7694" s="6" t="n">
        <f aca="false">Sens!G7694*(1+Sens!H7695)</f>
        <v>41.4812512033683</v>
      </c>
      <c r="I7694" s="6" t="n">
        <f aca="false">Sens!H7694*(1+Sens!I7695)</f>
        <v>42.7743107216329</v>
      </c>
      <c r="J7694" s="6" t="n">
        <f aca="false">Sens!I7694*(1+Sens!J7695)</f>
        <v>43.8687373064601</v>
      </c>
      <c r="K7694" s="6" t="n">
        <f aca="false">Sens!J7694*(1+Sens!K7695)</f>
        <v>44.7461120525893</v>
      </c>
      <c r="L7694" s="12" t="s">
        <v>1034</v>
      </c>
    </row>
    <row r="7695" customFormat="false" ht="15" hidden="false" customHeight="false" outlineLevel="0" collapsed="false">
      <c r="A7695" s="1" t="s">
        <v>1024</v>
      </c>
      <c r="B7695" s="0" t="s">
        <v>168</v>
      </c>
      <c r="E7695" s="7" t="n">
        <f aca="false">Sens!E7694/Sens!D7694-1</f>
        <v>0.0535164307309768</v>
      </c>
      <c r="F7695" s="7" t="n">
        <f aca="false">Sens!$E$7695+(glt_lic-Sens!$E$7695)*MIN(1,(Sens!F7644-base_fy)/n_conv)</f>
        <v>0.0479303589424807</v>
      </c>
      <c r="G7695" s="7" t="n">
        <f aca="false">Sens!$E$7695+(glt_lic-Sens!$E$7695)*MIN(1,(Sens!G7644-base_fy)/n_conv)</f>
        <v>0.0423442871539845</v>
      </c>
      <c r="H7695" s="7" t="n">
        <f aca="false">Sens!$E$7695+(glt_lic-Sens!$E$7695)*MIN(1,(Sens!H7644-base_fy)/n_conv)</f>
        <v>0.0367582153654884</v>
      </c>
      <c r="I7695" s="7" t="n">
        <f aca="false">Sens!$E$7695+(glt_lic-Sens!$E$7695)*MIN(1,(Sens!I7644-base_fy)/n_conv)</f>
        <v>0.0311721435769923</v>
      </c>
      <c r="J7695" s="7" t="n">
        <f aca="false">Sens!$E$7695+(glt_lic-Sens!$E$7695)*MIN(1,(Sens!J7644-base_fy)/n_conv)</f>
        <v>0.0255860717884961</v>
      </c>
      <c r="K7695" s="7" t="n">
        <f aca="false">Sens!$E$7695+(glt_lic-Sens!$E$7695)*MIN(1,(Sens!K7644-base_fy)/n_conv)</f>
        <v>0.02</v>
      </c>
    </row>
    <row r="7696" customFormat="false" ht="17.15" hidden="false" customHeight="false" outlineLevel="0" collapsed="false">
      <c r="A7696" s="0" t="s">
        <v>1035</v>
      </c>
      <c r="B7696" s="0" t="s">
        <v>98</v>
      </c>
      <c r="D7696" s="6" t="n">
        <f aca="false">Q!L9</f>
        <v>18.417</v>
      </c>
      <c r="E7696" s="6" t="n">
        <f aca="false">Q!M9</f>
        <v>20.345</v>
      </c>
      <c r="F7696" s="6" t="n">
        <f aca="false">Q!$I$9+(Q!M9-Q!$E$9)*(1+Sens!F7697)</f>
        <v>22.3161797133988</v>
      </c>
      <c r="G7696" s="6" t="n">
        <f aca="false">Sens!F7696*(1+Sens!G7697)</f>
        <v>24.3943499673233</v>
      </c>
      <c r="H7696" s="6" t="n">
        <f aca="false">Sens!G7696*(1+Sens!H7697)</f>
        <v>26.5250243109019</v>
      </c>
      <c r="I7696" s="6" t="n">
        <f aca="false">Sens!H7696*(1+Sens!I7697)</f>
        <v>28.6884573538181</v>
      </c>
      <c r="J7696" s="6" t="n">
        <f aca="false">Sens!I7696*(1+Sens!J7697)</f>
        <v>30.8624968052127</v>
      </c>
      <c r="K7696" s="6" t="n">
        <f aca="false">Sens!J7696*(1+Sens!K7697)</f>
        <v>33.0228715815776</v>
      </c>
      <c r="L7696" s="12" t="s">
        <v>1034</v>
      </c>
    </row>
    <row r="7697" customFormat="false" ht="15" hidden="false" customHeight="false" outlineLevel="0" collapsed="false">
      <c r="A7697" s="1" t="s">
        <v>1024</v>
      </c>
      <c r="B7697" s="0" t="s">
        <v>168</v>
      </c>
      <c r="E7697" s="7" t="n">
        <f aca="false">Sens!E7696/Sens!D7696-1</f>
        <v>0.104685888038225</v>
      </c>
      <c r="F7697" s="7" t="n">
        <f aca="false">Sens!$E$7697+(glt_ind-Sens!$E$7697)*MIN(1,(Sens!F7644-base_fy)/n_conv)</f>
        <v>0.0989049066985211</v>
      </c>
      <c r="G7697" s="7" t="n">
        <f aca="false">Sens!$E$7697+(glt_ind-Sens!$E$7697)*MIN(1,(Sens!G7644-base_fy)/n_conv)</f>
        <v>0.0931239253588169</v>
      </c>
      <c r="H7697" s="7" t="n">
        <f aca="false">Sens!$E$7697+(glt_ind-Sens!$E$7697)*MIN(1,(Sens!H7644-base_fy)/n_conv)</f>
        <v>0.0873429440191127</v>
      </c>
      <c r="I7697" s="7" t="n">
        <f aca="false">Sens!$E$7697+(glt_ind-Sens!$E$7697)*MIN(1,(Sens!I7644-base_fy)/n_conv)</f>
        <v>0.0815619626794085</v>
      </c>
      <c r="J7697" s="7" t="n">
        <f aca="false">Sens!$E$7697+(glt_ind-Sens!$E$7697)*MIN(1,(Sens!J7644-base_fy)/n_conv)</f>
        <v>0.0757809813397042</v>
      </c>
      <c r="K7697" s="7" t="n">
        <f aca="false">Sens!$E$7697+(glt_ind-Sens!$E$7697)*MIN(1,(Sens!K7644-base_fy)/n_conv)</f>
        <v>0.07</v>
      </c>
    </row>
    <row r="7698" customFormat="false" ht="17.15" hidden="false" customHeight="false" outlineLevel="0" collapsed="false">
      <c r="A7698" s="0" t="s">
        <v>1036</v>
      </c>
      <c r="B7698" s="0" t="s">
        <v>98</v>
      </c>
      <c r="D7698" s="6" t="n">
        <f aca="false">Q!L10</f>
        <v>7.76</v>
      </c>
      <c r="E7698" s="6" t="n">
        <f aca="false">Q!M10</f>
        <v>8.26</v>
      </c>
      <c r="F7698" s="6" t="n">
        <f aca="false">Q!$I$10+(Q!M10-Q!$E$10)*(1+Sens!F7699)</f>
        <v>8.75372082474227</v>
      </c>
      <c r="G7698" s="6" t="n">
        <f aca="false">Sens!F7698*(1+Sens!G7699)</f>
        <v>9.33399324642364</v>
      </c>
      <c r="H7698" s="6" t="n">
        <f aca="false">Sens!G7698*(1+Sens!H7699)</f>
        <v>9.96139155535851</v>
      </c>
      <c r="I7698" s="6" t="n">
        <f aca="false">Sens!H7698*(1+Sens!I7699)</f>
        <v>10.6402039077391</v>
      </c>
      <c r="J7698" s="6" t="n">
        <f aca="false">Sens!I7698*(1+Sens!J7699)</f>
        <v>11.3751458271397</v>
      </c>
      <c r="K7698" s="6" t="n">
        <f aca="false">Sens!J7698*(1+Sens!K7699)</f>
        <v>12.1714060350394</v>
      </c>
      <c r="L7698" s="12" t="s">
        <v>1034</v>
      </c>
    </row>
    <row r="7699" customFormat="false" ht="15" hidden="false" customHeight="false" outlineLevel="0" collapsed="false">
      <c r="A7699" s="1" t="s">
        <v>1024</v>
      </c>
      <c r="B7699" s="0" t="s">
        <v>168</v>
      </c>
      <c r="E7699" s="7" t="n">
        <f aca="false">Sens!E7698/Sens!D7698-1</f>
        <v>0.0644329896907216</v>
      </c>
      <c r="F7699" s="7" t="n">
        <f aca="false">Sens!$E$7699+(glt_fro-Sens!$E$7699)*MIN(1,(Sens!F7644-base_fy)/n_conv)</f>
        <v>0.065360824742268</v>
      </c>
      <c r="G7699" s="7" t="n">
        <f aca="false">Sens!$E$7699+(glt_fro-Sens!$E$7699)*MIN(1,(Sens!G7644-base_fy)/n_conv)</f>
        <v>0.0662886597938144</v>
      </c>
      <c r="H7699" s="7" t="n">
        <f aca="false">Sens!$E$7699+(glt_fro-Sens!$E$7699)*MIN(1,(Sens!H7644-base_fy)/n_conv)</f>
        <v>0.0672164948453608</v>
      </c>
      <c r="I7699" s="7" t="n">
        <f aca="false">Sens!$E$7699+(glt_fro-Sens!$E$7699)*MIN(1,(Sens!I7644-base_fy)/n_conv)</f>
        <v>0.0681443298969072</v>
      </c>
      <c r="J7699" s="7" t="n">
        <f aca="false">Sens!$E$7699+(glt_fro-Sens!$E$7699)*MIN(1,(Sens!J7644-base_fy)/n_conv)</f>
        <v>0.0690721649484536</v>
      </c>
      <c r="K7699" s="7" t="n">
        <f aca="false">Sens!$E$7699+(glt_fro-Sens!$E$7699)*MIN(1,(Sens!K7644-base_fy)/n_conv)</f>
        <v>0.07</v>
      </c>
    </row>
    <row r="7700" customFormat="false" ht="15" hidden="false" customHeight="false" outlineLevel="0" collapsed="false">
      <c r="A7700" s="0" t="s">
        <v>852</v>
      </c>
      <c r="B7700" s="0" t="s">
        <v>98</v>
      </c>
      <c r="D7700" s="6" t="n">
        <f aca="false">Sens!D7688+Sens!D7693+Sens!D7694+Sens!D7696+Sens!D7698</f>
        <v>218.783</v>
      </c>
      <c r="E7700" s="6" t="n">
        <f aca="false">Sens!E7688+Sens!E7693+Sens!E7694+Sens!E7696+Sens!E7698</f>
        <v>268.127</v>
      </c>
      <c r="F7700" s="6" t="n">
        <f aca="false">Sens!F7688+Sens!F7693+Sens!F7694+Sens!F7696+Sens!F7698</f>
        <v>330.718106813867</v>
      </c>
      <c r="G7700" s="6" t="n">
        <f aca="false">Sens!G7688+Sens!G7693+Sens!G7694+Sens!G7696+Sens!G7698</f>
        <v>394.709442916795</v>
      </c>
      <c r="H7700" s="6" t="n">
        <f aca="false">Sens!H7688+Sens!H7693+Sens!H7694+Sens!H7696+Sens!H7698</f>
        <v>454.076679707533</v>
      </c>
      <c r="I7700" s="6" t="n">
        <f aca="false">Sens!I7688+Sens!I7693+Sens!I7694+Sens!I7696+Sens!I7698</f>
        <v>515.329557481568</v>
      </c>
      <c r="J7700" s="6" t="n">
        <f aca="false">Sens!J7688+Sens!J7693+Sens!J7694+Sens!J7696+Sens!J7698</f>
        <v>565.784930060905</v>
      </c>
      <c r="K7700" s="6" t="n">
        <f aca="false">Sens!K7688+Sens!K7693+Sens!K7694+Sens!K7696+Sens!K7698</f>
        <v>606.232631844397</v>
      </c>
    </row>
    <row r="7701" customFormat="false" ht="17.15" hidden="false" customHeight="false" outlineLevel="0" collapsed="false">
      <c r="A7701" s="0" t="s">
        <v>1037</v>
      </c>
      <c r="B7701" s="0" t="s">
        <v>98</v>
      </c>
      <c r="D7701" s="6" t="n">
        <f aca="false">Q!L13</f>
        <v>22.171</v>
      </c>
      <c r="E7701" s="6" t="n">
        <f aca="false">Q!M13</f>
        <v>24.835</v>
      </c>
      <c r="F7701" s="6" t="n">
        <f aca="false">Q!$I$13+(Q!M13-Q!$E$13)*(1+Sens!F7702)</f>
        <v>27.5591895660247</v>
      </c>
      <c r="G7701" s="6" t="n">
        <f aca="false">Sens!F7701*(1+Sens!G7702)</f>
        <v>30.4098563144583</v>
      </c>
      <c r="H7701" s="6" t="n">
        <f aca="false">Sens!G7701*(1+Sens!H7702)</f>
        <v>33.3011792571777</v>
      </c>
      <c r="I7701" s="6" t="n">
        <f aca="false">Sens!H7701*(1+Sens!I7702)</f>
        <v>36.189023797112</v>
      </c>
      <c r="J7701" s="6" t="n">
        <f aca="false">Sens!I7701*(1+Sens!J7702)</f>
        <v>39.0247773769199</v>
      </c>
      <c r="K7701" s="6" t="n">
        <f aca="false">Sens!J7701*(1+Sens!K7702)</f>
        <v>41.7565117933043</v>
      </c>
      <c r="L7701" s="12" t="s">
        <v>1034</v>
      </c>
    </row>
    <row r="7702" customFormat="false" ht="15" hidden="false" customHeight="false" outlineLevel="0" collapsed="false">
      <c r="A7702" s="1" t="s">
        <v>1024</v>
      </c>
      <c r="B7702" s="0" t="s">
        <v>168</v>
      </c>
      <c r="E7702" s="7" t="n">
        <f aca="false">Sens!E7701/Sens!D7701-1</f>
        <v>0.120156961796942</v>
      </c>
      <c r="F7702" s="7" t="n">
        <f aca="false">Sens!$E$7702+(glt_srch-Sens!$E$7702)*MIN(1,(Sens!F7644-base_fy)/n_conv)</f>
        <v>0.111797468164118</v>
      </c>
      <c r="G7702" s="7" t="n">
        <f aca="false">Sens!$E$7702+(glt_srch-Sens!$E$7702)*MIN(1,(Sens!G7644-base_fy)/n_conv)</f>
        <v>0.103437974531295</v>
      </c>
      <c r="H7702" s="7" t="n">
        <f aca="false">Sens!$E$7702+(glt_srch-Sens!$E$7702)*MIN(1,(Sens!H7644-base_fy)/n_conv)</f>
        <v>0.095078480898471</v>
      </c>
      <c r="I7702" s="7" t="n">
        <f aca="false">Sens!$E$7702+(glt_srch-Sens!$E$7702)*MIN(1,(Sens!I7644-base_fy)/n_conv)</f>
        <v>0.0867189872656474</v>
      </c>
      <c r="J7702" s="7" t="n">
        <f aca="false">Sens!$E$7702+(glt_srch-Sens!$E$7702)*MIN(1,(Sens!J7644-base_fy)/n_conv)</f>
        <v>0.0783594936328237</v>
      </c>
      <c r="K7702" s="7" t="n">
        <f aca="false">Sens!$E$7702+(glt_srch-Sens!$E$7702)*MIN(1,(Sens!K7644-base_fy)/n_conv)</f>
        <v>0.07</v>
      </c>
    </row>
    <row r="7703" customFormat="false" ht="17.15" hidden="false" customHeight="false" outlineLevel="0" collapsed="false">
      <c r="A7703" s="0" t="s">
        <v>1038</v>
      </c>
      <c r="B7703" s="0" t="s">
        <v>98</v>
      </c>
      <c r="D7703" s="6" t="n">
        <f aca="false">Q!L14</f>
        <v>23.455</v>
      </c>
      <c r="E7703" s="6" t="n">
        <f aca="false">Q!M14</f>
        <v>21.79</v>
      </c>
      <c r="F7703" s="6" t="n">
        <f aca="false">Q!$I$14+(Q!M14-Q!$E$14)*(1+Sens!F7704)</f>
        <v>20.7520981041711</v>
      </c>
      <c r="G7703" s="6" t="n">
        <f aca="false">Sens!F7703*(1+Sens!G7704)</f>
        <v>19.9083593495882</v>
      </c>
      <c r="H7703" s="6" t="n">
        <f aca="false">Sens!G7703*(1+Sens!H7704)</f>
        <v>19.4008256265831</v>
      </c>
      <c r="I7703" s="6" t="n">
        <f aca="false">Sens!H7703*(1+Sens!I7704)</f>
        <v>19.200434522122</v>
      </c>
      <c r="J7703" s="6" t="n">
        <f aca="false">Sens!I7703*(1+Sens!J7704)</f>
        <v>19.2932782348507</v>
      </c>
      <c r="K7703" s="6" t="n">
        <f aca="false">Sens!J7703*(1+Sens!K7704)</f>
        <v>19.6791437995477</v>
      </c>
      <c r="L7703" s="12" t="s">
        <v>1034</v>
      </c>
    </row>
    <row r="7704" customFormat="false" ht="15" hidden="false" customHeight="false" outlineLevel="0" collapsed="false">
      <c r="A7704" s="1" t="s">
        <v>1024</v>
      </c>
      <c r="B7704" s="0" t="s">
        <v>168</v>
      </c>
      <c r="E7704" s="7" t="n">
        <f aca="false">Sens!E7703/Sens!D7703-1</f>
        <v>-0.0709869963760392</v>
      </c>
      <c r="F7704" s="7" t="n">
        <f aca="false">Sens!$E$7704+(glt_xbox-Sens!$E$7704)*MIN(1,(Sens!F7644-base_fy)/n_conv)</f>
        <v>-0.0558224969800327</v>
      </c>
      <c r="G7704" s="7" t="n">
        <f aca="false">Sens!$E$7704+(glt_xbox-Sens!$E$7704)*MIN(1,(Sens!G7644-base_fy)/n_conv)</f>
        <v>-0.0406579975840262</v>
      </c>
      <c r="H7704" s="7" t="n">
        <f aca="false">Sens!$E$7704+(glt_xbox-Sens!$E$7704)*MIN(1,(Sens!H7644-base_fy)/n_conv)</f>
        <v>-0.0254934981880196</v>
      </c>
      <c r="I7704" s="7" t="n">
        <f aca="false">Sens!$E$7704+(glt_xbox-Sens!$E$7704)*MIN(1,(Sens!I7644-base_fy)/n_conv)</f>
        <v>-0.0103289987920131</v>
      </c>
      <c r="J7704" s="7" t="n">
        <f aca="false">Sens!$E$7704+(glt_xbox-Sens!$E$7704)*MIN(1,(Sens!J7644-base_fy)/n_conv)</f>
        <v>0.00483550060399347</v>
      </c>
      <c r="K7704" s="7" t="n">
        <f aca="false">Sens!$E$7704+(glt_xbox-Sens!$E$7704)*MIN(1,(Sens!K7644-base_fy)/n_conv)</f>
        <v>0.02</v>
      </c>
    </row>
    <row r="7705" customFormat="false" ht="17.15" hidden="false" customHeight="false" outlineLevel="0" collapsed="false">
      <c r="A7705" s="0" t="s">
        <v>1039</v>
      </c>
      <c r="B7705" s="0" t="s">
        <v>98</v>
      </c>
      <c r="D7705" s="6" t="n">
        <f aca="false">Q!L15</f>
        <v>17.315</v>
      </c>
      <c r="E7705" s="6" t="n">
        <f aca="false">Q!M15</f>
        <v>17.087</v>
      </c>
      <c r="F7705" s="6" t="n">
        <f aca="false">Q!$I$15+(Q!M15-Q!$E$15)*(1+Sens!F7706)</f>
        <v>15.9912273250553</v>
      </c>
      <c r="G7705" s="6" t="n">
        <f aca="false">Sens!F7705*(1+Sens!G7706)</f>
        <v>15.9574562664827</v>
      </c>
      <c r="H7705" s="6" t="n">
        <f aca="false">Sens!G7705*(1+Sens!H7706)</f>
        <v>16.0119687434196</v>
      </c>
      <c r="I7705" s="6" t="n">
        <f aca="false">Sens!H7705*(1+Sens!I7706)</f>
        <v>16.1551810001948</v>
      </c>
      <c r="J7705" s="6" t="n">
        <f aca="false">Sens!I7705*(1+Sens!J7706)</f>
        <v>16.3889793892005</v>
      </c>
      <c r="K7705" s="6" t="n">
        <f aca="false">Sens!J7705*(1+Sens!K7706)</f>
        <v>16.7167589769845</v>
      </c>
      <c r="L7705" s="12" t="s">
        <v>1034</v>
      </c>
    </row>
    <row r="7706" customFormat="false" ht="15" hidden="false" customHeight="false" outlineLevel="0" collapsed="false">
      <c r="A7706" s="1" t="s">
        <v>1024</v>
      </c>
      <c r="B7706" s="0" t="s">
        <v>168</v>
      </c>
      <c r="E7706" s="7" t="n">
        <f aca="false">Sens!E7705/Sens!D7705-1</f>
        <v>-0.0131677736066995</v>
      </c>
      <c r="F7706" s="7" t="n">
        <f aca="false">Sens!$E$7706+(glt_win-Sens!$E$7706)*MIN(1,(Sens!F7644-base_fy)/n_conv)</f>
        <v>-0.00763981133891627</v>
      </c>
      <c r="G7706" s="7" t="n">
        <f aca="false">Sens!$E$7706+(glt_win-Sens!$E$7706)*MIN(1,(Sens!G7644-base_fy)/n_conv)</f>
        <v>-0.00211184907113301</v>
      </c>
      <c r="H7706" s="7" t="n">
        <f aca="false">Sens!$E$7706+(glt_win-Sens!$E$7706)*MIN(1,(Sens!H7644-base_fy)/n_conv)</f>
        <v>0.00341611319665024</v>
      </c>
      <c r="I7706" s="7" t="n">
        <f aca="false">Sens!$E$7706+(glt_win-Sens!$E$7706)*MIN(1,(Sens!I7644-base_fy)/n_conv)</f>
        <v>0.00894407546443349</v>
      </c>
      <c r="J7706" s="7" t="n">
        <f aca="false">Sens!$E$7706+(glt_win-Sens!$E$7706)*MIN(1,(Sens!J7644-base_fy)/n_conv)</f>
        <v>0.0144720377322168</v>
      </c>
      <c r="K7706" s="7" t="n">
        <f aca="false">Sens!$E$7706+(glt_win-Sens!$E$7706)*MIN(1,(Sens!K7644-base_fy)/n_conv)</f>
        <v>0.02</v>
      </c>
    </row>
    <row r="7707" customFormat="false" ht="15" hidden="false" customHeight="false" outlineLevel="0" collapsed="false">
      <c r="A7707" s="0" t="s">
        <v>866</v>
      </c>
      <c r="B7707" s="0" t="s">
        <v>98</v>
      </c>
      <c r="D7707" s="6" t="n">
        <f aca="false">Sens!D7701+Sens!D7703+Sens!D7705</f>
        <v>62.941</v>
      </c>
      <c r="E7707" s="6" t="n">
        <f aca="false">Sens!E7701+Sens!E7703+Sens!E7705</f>
        <v>63.712</v>
      </c>
      <c r="F7707" s="6" t="n">
        <f aca="false">Sens!F7701+Sens!F7703+Sens!F7705</f>
        <v>64.3025149952511</v>
      </c>
      <c r="G7707" s="6" t="n">
        <f aca="false">Sens!G7701+Sens!G7703+Sens!G7705</f>
        <v>66.2756719305292</v>
      </c>
      <c r="H7707" s="6" t="n">
        <f aca="false">Sens!H7701+Sens!H7703+Sens!H7705</f>
        <v>68.7139736271804</v>
      </c>
      <c r="I7707" s="6" t="n">
        <f aca="false">Sens!I7701+Sens!I7703+Sens!I7705</f>
        <v>71.5446393194289</v>
      </c>
      <c r="J7707" s="6" t="n">
        <f aca="false">Sens!J7701+Sens!J7703+Sens!J7705</f>
        <v>74.707035000971</v>
      </c>
      <c r="K7707" s="6" t="n">
        <f aca="false">Sens!K7701+Sens!K7703+Sens!K7705</f>
        <v>78.1524145698365</v>
      </c>
    </row>
    <row r="7708" customFormat="false" ht="15" hidden="false" customHeight="false" outlineLevel="0" collapsed="false">
      <c r="A7708" s="1" t="s">
        <v>1040</v>
      </c>
      <c r="B7708" s="0" t="s">
        <v>98</v>
      </c>
      <c r="D7708" s="6" t="n">
        <f aca="false">Sens!D7700+Sens!D7707</f>
        <v>281.724</v>
      </c>
      <c r="E7708" s="6" t="n">
        <f aca="false">Sens!E7700+Sens!E7707</f>
        <v>331.839</v>
      </c>
      <c r="F7708" s="6" t="n">
        <f aca="false">Sens!F7700+Sens!F7707</f>
        <v>395.020621809119</v>
      </c>
      <c r="G7708" s="6" t="n">
        <f aca="false">Sens!G7700+Sens!G7707</f>
        <v>460.985114847324</v>
      </c>
      <c r="H7708" s="6" t="n">
        <f aca="false">Sens!H7700+Sens!H7707</f>
        <v>522.790653334713</v>
      </c>
      <c r="I7708" s="6" t="n">
        <f aca="false">Sens!I7700+Sens!I7707</f>
        <v>586.874196800997</v>
      </c>
      <c r="J7708" s="6" t="n">
        <f aca="false">Sens!J7700+Sens!J7707</f>
        <v>640.491965061876</v>
      </c>
      <c r="K7708" s="6" t="n">
        <f aca="false">Sens!K7700+Sens!K7707</f>
        <v>684.385046414233</v>
      </c>
    </row>
    <row r="7709" customFormat="false" ht="15" hidden="false" customHeight="false" outlineLevel="0" collapsed="false">
      <c r="A7709" s="26" t="s">
        <v>1041</v>
      </c>
      <c r="B7709" s="31" t="s">
        <v>98</v>
      </c>
      <c r="C7709" s="31"/>
      <c r="D7709" s="27" t="n">
        <f aca="false">(Sens!D7688+Sens!D7693+Sens!D7694+Sens!D7696+Sens!D7698-Sens!D7700)+(Sens!D7701+Sens!D7703+Sens!D7705-Sens!D7707)+(Sens!D7700-Q!L5)+(Sens!D7707-Q!L12)+(Sens!D7688-Q!L6)+(Sens!D7693-Q!L7)</f>
        <v>0</v>
      </c>
      <c r="E7709" s="27" t="n">
        <f aca="false">(Sens!E7688+Sens!E7693+Sens!E7694+Sens!E7696+Sens!E7698-Sens!E7700)+(Sens!E7701+Sens!E7703+Sens!E7705-Sens!E7707)+(Sens!E7700-Q!M5)+(Sens!E7707-Q!M12)+(Sens!E7688-Q!M6)+(Sens!E7693-Q!M7)</f>
        <v>0</v>
      </c>
      <c r="F7709" s="27" t="n">
        <f aca="false">(Sens!F7688+Sens!F7693+Sens!F7694+Sens!F7696+Sens!F7698-Sens!F7700)+(Sens!F7701+Sens!F7703+Sens!F7705-Sens!F7707)</f>
        <v>0</v>
      </c>
      <c r="G7709" s="27" t="n">
        <f aca="false">(Sens!G7688+Sens!G7693+Sens!G7694+Sens!G7696+Sens!G7698-Sens!G7700)+(Sens!G7701+Sens!G7703+Sens!G7705-Sens!G7707)</f>
        <v>0</v>
      </c>
      <c r="H7709" s="27" t="n">
        <f aca="false">(Sens!H7688+Sens!H7693+Sens!H7694+Sens!H7696+Sens!H7698-Sens!H7700)+(Sens!H7701+Sens!H7703+Sens!H7705-Sens!H7707)</f>
        <v>0</v>
      </c>
      <c r="I7709" s="27" t="n">
        <f aca="false">(Sens!I7688+Sens!I7693+Sens!I7694+Sens!I7696+Sens!I7698-Sens!I7700)+(Sens!I7701+Sens!I7703+Sens!I7705-Sens!I7707)</f>
        <v>0</v>
      </c>
      <c r="J7709" s="27" t="n">
        <f aca="false">(Sens!J7688+Sens!J7693+Sens!J7694+Sens!J7696+Sens!J7698-Sens!J7700)+(Sens!J7701+Sens!J7703+Sens!J7705-Sens!J7707)</f>
        <v>0</v>
      </c>
      <c r="K7709" s="27" t="n">
        <f aca="false">(Sens!K7688+Sens!K7693+Sens!K7694+Sens!K7696+Sens!K7698-Sens!K7700)+(Sens!K7701+Sens!K7703+Sens!K7705-Sens!K7707)</f>
        <v>0</v>
      </c>
    </row>
    <row r="7710" customFormat="false" ht="17.15" hidden="false" customHeight="false" outlineLevel="0" collapsed="false">
      <c r="A7710" s="3" t="s">
        <v>1672</v>
      </c>
    </row>
    <row r="7711" customFormat="false" ht="15" hidden="false" customHeight="false" outlineLevel="0" collapsed="false">
      <c r="A7711" s="4" t="s">
        <v>43</v>
      </c>
      <c r="B7711" s="4" t="s">
        <v>65</v>
      </c>
      <c r="C7711" s="23" t="s">
        <v>938</v>
      </c>
      <c r="D7711" s="23" t="s">
        <v>939</v>
      </c>
      <c r="E7711" s="23" t="s">
        <v>940</v>
      </c>
      <c r="F7711" s="23" t="s">
        <v>941</v>
      </c>
      <c r="G7711" s="23" t="s">
        <v>942</v>
      </c>
      <c r="H7711" s="23" t="s">
        <v>943</v>
      </c>
      <c r="I7711" s="23" t="s">
        <v>944</v>
      </c>
      <c r="J7711" s="23" t="s">
        <v>945</v>
      </c>
      <c r="K7711" s="23" t="s">
        <v>946</v>
      </c>
      <c r="L7711" s="4" t="s">
        <v>47</v>
      </c>
    </row>
    <row r="7712" customFormat="false" ht="15" hidden="false" customHeight="false" outlineLevel="0" collapsed="false">
      <c r="A7712" s="0" t="s">
        <v>1025</v>
      </c>
      <c r="B7712" s="0" t="s">
        <v>98</v>
      </c>
      <c r="D7712" s="6" t="n">
        <f aca="false">Sens!D7688</f>
        <v>72.61</v>
      </c>
      <c r="E7712" s="6" t="n">
        <f aca="false">Sens!E7688</f>
        <v>101.938</v>
      </c>
      <c r="F7712" s="6" t="n">
        <f aca="false">Sens!F7688</f>
        <v>143.251883553698</v>
      </c>
      <c r="G7712" s="6" t="n">
        <f aca="false">Sens!G7688</f>
        <v>186.322520879442</v>
      </c>
      <c r="H7712" s="6" t="n">
        <f aca="false">Sens!H7688</f>
        <v>224.74279426379</v>
      </c>
      <c r="I7712" s="6" t="n">
        <f aca="false">Sens!I7688</f>
        <v>266.443497823359</v>
      </c>
      <c r="J7712" s="6" t="n">
        <f aca="false">Sens!J7688</f>
        <v>299.06102493502</v>
      </c>
      <c r="K7712" s="6" t="n">
        <f aca="false">Sens!K7688</f>
        <v>322.592740225023</v>
      </c>
    </row>
    <row r="7713" customFormat="false" ht="17.15" hidden="false" customHeight="false" outlineLevel="0" collapsed="false">
      <c r="A7713" s="0" t="s">
        <v>1021</v>
      </c>
      <c r="B7713" s="0" t="s">
        <v>98</v>
      </c>
      <c r="D7713" s="6" t="n">
        <f aca="false">Sens!D7685</f>
        <v>12.9359794422418</v>
      </c>
      <c r="E7713" s="6" t="n">
        <f aca="false">Sens!E7685</f>
        <v>27.8095064661409</v>
      </c>
      <c r="F7713" s="6" t="n">
        <f aca="false">Sens!F7685</f>
        <v>50.9819294352312</v>
      </c>
      <c r="G7713" s="6" t="n">
        <f aca="false">Sens!G7685</f>
        <v>76.6920436014933</v>
      </c>
      <c r="H7713" s="6" t="n">
        <f aca="false">Sens!H7685</f>
        <v>97.4495379418341</v>
      </c>
      <c r="I7713" s="6" t="n">
        <f aca="false">Sens!I7685</f>
        <v>122.083445553868</v>
      </c>
      <c r="J7713" s="6" t="n">
        <f aca="false">Sens!J7685</f>
        <v>139.249060444804</v>
      </c>
      <c r="K7713" s="6" t="n">
        <f aca="false">Sens!K7685</f>
        <v>149.995818575589</v>
      </c>
    </row>
    <row r="7714" customFormat="false" ht="17.15" hidden="false" customHeight="false" outlineLevel="0" collapsed="false">
      <c r="A7714" s="0" t="s">
        <v>1052</v>
      </c>
      <c r="B7714" s="0" t="s">
        <v>98</v>
      </c>
      <c r="D7714" s="6" t="n">
        <f aca="false">Sens!D7686</f>
        <v>59.6740205577583</v>
      </c>
      <c r="E7714" s="6" t="n">
        <f aca="false">Sens!E7686</f>
        <v>74.1284935338591</v>
      </c>
      <c r="F7714" s="6" t="n">
        <f aca="false">Sens!F7686</f>
        <v>92.2699541184664</v>
      </c>
      <c r="G7714" s="6" t="n">
        <f aca="false">Sens!G7686</f>
        <v>109.630477277949</v>
      </c>
      <c r="H7714" s="6" t="n">
        <f aca="false">Sens!H7686</f>
        <v>127.293256321956</v>
      </c>
      <c r="I7714" s="6" t="n">
        <f aca="false">Sens!I7686</f>
        <v>144.360052269491</v>
      </c>
      <c r="J7714" s="6" t="n">
        <f aca="false">Sens!J7686</f>
        <v>159.811964490216</v>
      </c>
      <c r="K7714" s="6" t="n">
        <f aca="false">Sens!K7686</f>
        <v>172.596921649434</v>
      </c>
    </row>
    <row r="7715" customFormat="false" ht="15" hidden="false" customHeight="false" outlineLevel="0" collapsed="false">
      <c r="A7715" s="0" t="s">
        <v>1032</v>
      </c>
      <c r="B7715" s="0" t="s">
        <v>98</v>
      </c>
      <c r="D7715" s="6" t="n">
        <f aca="false">Sens!D7693</f>
        <v>84.605</v>
      </c>
      <c r="E7715" s="6" t="n">
        <f aca="false">Sens!E7693</f>
        <v>100.299</v>
      </c>
      <c r="F7715" s="6" t="n">
        <f aca="false">Sens!F7693</f>
        <v>118.011178943761</v>
      </c>
      <c r="G7715" s="6" t="n">
        <f aca="false">Sens!G7693</f>
        <v>134.648043494744</v>
      </c>
      <c r="H7715" s="6" t="n">
        <f aca="false">Sens!H7693</f>
        <v>151.366218374114</v>
      </c>
      <c r="I7715" s="6" t="n">
        <f aca="false">Sens!I7693</f>
        <v>166.783087675019</v>
      </c>
      <c r="J7715" s="6" t="n">
        <f aca="false">Sens!J7693</f>
        <v>180.617525187072</v>
      </c>
      <c r="K7715" s="6" t="n">
        <f aca="false">Sens!K7693</f>
        <v>193.699501950167</v>
      </c>
    </row>
    <row r="7716" customFormat="false" ht="17.15" hidden="false" customHeight="false" outlineLevel="0" collapsed="false">
      <c r="A7716" s="0" t="s">
        <v>1053</v>
      </c>
      <c r="B7716" s="0" t="s">
        <v>98</v>
      </c>
      <c r="D7716" s="6" t="n">
        <f aca="false">Sens!D7691</f>
        <v>83.705</v>
      </c>
      <c r="E7716" s="6" t="n">
        <f aca="false">Sens!E7691</f>
        <v>95.049</v>
      </c>
      <c r="F7716" s="6" t="n">
        <f aca="false">Sens!F7691</f>
        <v>106.761178943761</v>
      </c>
      <c r="G7716" s="6" t="n">
        <f aca="false">Sens!G7691</f>
        <v>118.898043494744</v>
      </c>
      <c r="H7716" s="6" t="n">
        <f aca="false">Sens!H7691</f>
        <v>131.116218374114</v>
      </c>
      <c r="I7716" s="6" t="n">
        <f aca="false">Sens!I7691</f>
        <v>143.158087675019</v>
      </c>
      <c r="J7716" s="6" t="n">
        <f aca="false">Sens!J7691</f>
        <v>154.742525187072</v>
      </c>
      <c r="K7716" s="6" t="n">
        <f aca="false">Sens!K7691</f>
        <v>165.574501950167</v>
      </c>
    </row>
    <row r="7717" customFormat="false" ht="17.15" hidden="false" customHeight="false" outlineLevel="0" collapsed="false">
      <c r="A7717" s="0" t="s">
        <v>1054</v>
      </c>
      <c r="B7717" s="0" t="s">
        <v>98</v>
      </c>
      <c r="D7717" s="6" t="n">
        <f aca="false">Sens!D7690</f>
        <v>0.9</v>
      </c>
      <c r="E7717" s="6" t="n">
        <f aca="false">Sens!E7690</f>
        <v>5.25</v>
      </c>
      <c r="F7717" s="6" t="n">
        <f aca="false">Sens!F7690</f>
        <v>11.25</v>
      </c>
      <c r="G7717" s="6" t="n">
        <f aca="false">Sens!G7690</f>
        <v>15.75</v>
      </c>
      <c r="H7717" s="6" t="n">
        <f aca="false">Sens!H7690</f>
        <v>20.25</v>
      </c>
      <c r="I7717" s="6" t="n">
        <f aca="false">Sens!I7690</f>
        <v>23.625</v>
      </c>
      <c r="J7717" s="6" t="n">
        <f aca="false">Sens!J7690</f>
        <v>25.875</v>
      </c>
      <c r="K7717" s="6" t="n">
        <f aca="false">Sens!K7690</f>
        <v>28.125</v>
      </c>
    </row>
    <row r="7718" customFormat="false" ht="15" hidden="false" customHeight="false" outlineLevel="0" collapsed="false">
      <c r="A7718" s="0" t="s">
        <v>1033</v>
      </c>
      <c r="B7718" s="0" t="s">
        <v>98</v>
      </c>
      <c r="D7718" s="6" t="n">
        <f aca="false">Sens!D7694</f>
        <v>35.391</v>
      </c>
      <c r="E7718" s="6" t="n">
        <f aca="false">Sens!E7694</f>
        <v>37.285</v>
      </c>
      <c r="F7718" s="6" t="n">
        <f aca="false">Sens!F7694</f>
        <v>38.3851437782675</v>
      </c>
      <c r="G7718" s="6" t="n">
        <f aca="false">Sens!G7694</f>
        <v>40.0105353288615</v>
      </c>
      <c r="H7718" s="6" t="n">
        <f aca="false">Sens!H7694</f>
        <v>41.4812512033683</v>
      </c>
      <c r="I7718" s="6" t="n">
        <f aca="false">Sens!I7694</f>
        <v>42.7743107216329</v>
      </c>
      <c r="J7718" s="6" t="n">
        <f aca="false">Sens!J7694</f>
        <v>43.8687373064601</v>
      </c>
      <c r="K7718" s="6" t="n">
        <f aca="false">Sens!K7694</f>
        <v>44.7461120525893</v>
      </c>
    </row>
    <row r="7719" customFormat="false" ht="15" hidden="false" customHeight="false" outlineLevel="0" collapsed="false">
      <c r="A7719" s="0" t="s">
        <v>1035</v>
      </c>
      <c r="B7719" s="0" t="s">
        <v>98</v>
      </c>
      <c r="D7719" s="6" t="n">
        <f aca="false">Sens!D7696</f>
        <v>18.417</v>
      </c>
      <c r="E7719" s="6" t="n">
        <f aca="false">Sens!E7696</f>
        <v>20.345</v>
      </c>
      <c r="F7719" s="6" t="n">
        <f aca="false">Sens!F7696</f>
        <v>22.3161797133988</v>
      </c>
      <c r="G7719" s="6" t="n">
        <f aca="false">Sens!G7696</f>
        <v>24.3943499673233</v>
      </c>
      <c r="H7719" s="6" t="n">
        <f aca="false">Sens!H7696</f>
        <v>26.5250243109019</v>
      </c>
      <c r="I7719" s="6" t="n">
        <f aca="false">Sens!I7696</f>
        <v>28.6884573538181</v>
      </c>
      <c r="J7719" s="6" t="n">
        <f aca="false">Sens!J7696</f>
        <v>30.8624968052127</v>
      </c>
      <c r="K7719" s="6" t="n">
        <f aca="false">Sens!K7696</f>
        <v>33.0228715815776</v>
      </c>
    </row>
    <row r="7720" customFormat="false" ht="15" hidden="false" customHeight="false" outlineLevel="0" collapsed="false">
      <c r="A7720" s="0" t="s">
        <v>1036</v>
      </c>
      <c r="B7720" s="0" t="s">
        <v>98</v>
      </c>
      <c r="D7720" s="6" t="n">
        <f aca="false">Sens!D7698</f>
        <v>7.76</v>
      </c>
      <c r="E7720" s="6" t="n">
        <f aca="false">Sens!E7698</f>
        <v>8.26</v>
      </c>
      <c r="F7720" s="6" t="n">
        <f aca="false">Sens!F7698</f>
        <v>8.75372082474227</v>
      </c>
      <c r="G7720" s="6" t="n">
        <f aca="false">Sens!G7698</f>
        <v>9.33399324642364</v>
      </c>
      <c r="H7720" s="6" t="n">
        <f aca="false">Sens!H7698</f>
        <v>9.96139155535851</v>
      </c>
      <c r="I7720" s="6" t="n">
        <f aca="false">Sens!I7698</f>
        <v>10.6402039077391</v>
      </c>
      <c r="J7720" s="6" t="n">
        <f aca="false">Sens!J7698</f>
        <v>11.3751458271397</v>
      </c>
      <c r="K7720" s="6" t="n">
        <f aca="false">Sens!K7698</f>
        <v>12.1714060350394</v>
      </c>
    </row>
    <row r="7721" customFormat="false" ht="15" hidden="false" customHeight="false" outlineLevel="0" collapsed="false">
      <c r="A7721" s="0" t="s">
        <v>852</v>
      </c>
      <c r="B7721" s="0" t="s">
        <v>98</v>
      </c>
      <c r="D7721" s="6" t="n">
        <f aca="false">Sens!D7700</f>
        <v>218.783</v>
      </c>
      <c r="E7721" s="6" t="n">
        <f aca="false">Sens!E7700</f>
        <v>268.127</v>
      </c>
      <c r="F7721" s="6" t="n">
        <f aca="false">Sens!F7700</f>
        <v>330.718106813867</v>
      </c>
      <c r="G7721" s="6" t="n">
        <f aca="false">Sens!G7700</f>
        <v>394.709442916795</v>
      </c>
      <c r="H7721" s="6" t="n">
        <f aca="false">Sens!H7700</f>
        <v>454.076679707533</v>
      </c>
      <c r="I7721" s="6" t="n">
        <f aca="false">Sens!I7700</f>
        <v>515.329557481568</v>
      </c>
      <c r="J7721" s="6" t="n">
        <f aca="false">Sens!J7700</f>
        <v>565.784930060905</v>
      </c>
      <c r="K7721" s="6" t="n">
        <f aca="false">Sens!K7700</f>
        <v>606.232631844397</v>
      </c>
    </row>
    <row r="7722" customFormat="false" ht="15" hidden="false" customHeight="false" outlineLevel="0" collapsed="false">
      <c r="A7722" s="0" t="s">
        <v>1037</v>
      </c>
      <c r="B7722" s="0" t="s">
        <v>98</v>
      </c>
      <c r="D7722" s="6" t="n">
        <f aca="false">Sens!D7701</f>
        <v>22.171</v>
      </c>
      <c r="E7722" s="6" t="n">
        <f aca="false">Sens!E7701</f>
        <v>24.835</v>
      </c>
      <c r="F7722" s="6" t="n">
        <f aca="false">Sens!F7701</f>
        <v>27.5591895660247</v>
      </c>
      <c r="G7722" s="6" t="n">
        <f aca="false">Sens!G7701</f>
        <v>30.4098563144583</v>
      </c>
      <c r="H7722" s="6" t="n">
        <f aca="false">Sens!H7701</f>
        <v>33.3011792571777</v>
      </c>
      <c r="I7722" s="6" t="n">
        <f aca="false">Sens!I7701</f>
        <v>36.189023797112</v>
      </c>
      <c r="J7722" s="6" t="n">
        <f aca="false">Sens!J7701</f>
        <v>39.0247773769199</v>
      </c>
      <c r="K7722" s="6" t="n">
        <f aca="false">Sens!K7701</f>
        <v>41.7565117933043</v>
      </c>
    </row>
    <row r="7723" customFormat="false" ht="15" hidden="false" customHeight="false" outlineLevel="0" collapsed="false">
      <c r="A7723" s="0" t="s">
        <v>1038</v>
      </c>
      <c r="B7723" s="0" t="s">
        <v>98</v>
      </c>
      <c r="D7723" s="6" t="n">
        <f aca="false">Sens!D7703</f>
        <v>23.455</v>
      </c>
      <c r="E7723" s="6" t="n">
        <f aca="false">Sens!E7703</f>
        <v>21.79</v>
      </c>
      <c r="F7723" s="6" t="n">
        <f aca="false">Sens!F7703</f>
        <v>20.7520981041711</v>
      </c>
      <c r="G7723" s="6" t="n">
        <f aca="false">Sens!G7703</f>
        <v>19.9083593495882</v>
      </c>
      <c r="H7723" s="6" t="n">
        <f aca="false">Sens!H7703</f>
        <v>19.4008256265831</v>
      </c>
      <c r="I7723" s="6" t="n">
        <f aca="false">Sens!I7703</f>
        <v>19.200434522122</v>
      </c>
      <c r="J7723" s="6" t="n">
        <f aca="false">Sens!J7703</f>
        <v>19.2932782348507</v>
      </c>
      <c r="K7723" s="6" t="n">
        <f aca="false">Sens!K7703</f>
        <v>19.6791437995477</v>
      </c>
    </row>
    <row r="7724" customFormat="false" ht="15" hidden="false" customHeight="false" outlineLevel="0" collapsed="false">
      <c r="A7724" s="0" t="s">
        <v>1039</v>
      </c>
      <c r="B7724" s="0" t="s">
        <v>98</v>
      </c>
      <c r="D7724" s="6" t="n">
        <f aca="false">Sens!D7705</f>
        <v>17.315</v>
      </c>
      <c r="E7724" s="6" t="n">
        <f aca="false">Sens!E7705</f>
        <v>17.087</v>
      </c>
      <c r="F7724" s="6" t="n">
        <f aca="false">Sens!F7705</f>
        <v>15.9912273250553</v>
      </c>
      <c r="G7724" s="6" t="n">
        <f aca="false">Sens!G7705</f>
        <v>15.9574562664827</v>
      </c>
      <c r="H7724" s="6" t="n">
        <f aca="false">Sens!H7705</f>
        <v>16.0119687434196</v>
      </c>
      <c r="I7724" s="6" t="n">
        <f aca="false">Sens!I7705</f>
        <v>16.1551810001948</v>
      </c>
      <c r="J7724" s="6" t="n">
        <f aca="false">Sens!J7705</f>
        <v>16.3889793892005</v>
      </c>
      <c r="K7724" s="6" t="n">
        <f aca="false">Sens!K7705</f>
        <v>16.7167589769845</v>
      </c>
    </row>
    <row r="7725" customFormat="false" ht="15" hidden="false" customHeight="false" outlineLevel="0" collapsed="false">
      <c r="A7725" s="0" t="s">
        <v>866</v>
      </c>
      <c r="B7725" s="0" t="s">
        <v>98</v>
      </c>
      <c r="D7725" s="6" t="n">
        <f aca="false">Sens!D7707</f>
        <v>62.941</v>
      </c>
      <c r="E7725" s="6" t="n">
        <f aca="false">Sens!E7707</f>
        <v>63.712</v>
      </c>
      <c r="F7725" s="6" t="n">
        <f aca="false">Sens!F7707</f>
        <v>64.3025149952511</v>
      </c>
      <c r="G7725" s="6" t="n">
        <f aca="false">Sens!G7707</f>
        <v>66.2756719305292</v>
      </c>
      <c r="H7725" s="6" t="n">
        <f aca="false">Sens!H7707</f>
        <v>68.7139736271804</v>
      </c>
      <c r="I7725" s="6" t="n">
        <f aca="false">Sens!I7707</f>
        <v>71.5446393194289</v>
      </c>
      <c r="J7725" s="6" t="n">
        <f aca="false">Sens!J7707</f>
        <v>74.707035000971</v>
      </c>
      <c r="K7725" s="6" t="n">
        <f aca="false">Sens!K7707</f>
        <v>78.1524145698365</v>
      </c>
    </row>
    <row r="7726" customFormat="false" ht="15" hidden="false" customHeight="false" outlineLevel="0" collapsed="false">
      <c r="A7726" s="1" t="s">
        <v>1055</v>
      </c>
      <c r="B7726" s="0" t="s">
        <v>98</v>
      </c>
      <c r="D7726" s="6" t="n">
        <f aca="false">Sens!D7708</f>
        <v>281.724</v>
      </c>
      <c r="E7726" s="6" t="n">
        <f aca="false">Sens!E7708</f>
        <v>331.839</v>
      </c>
      <c r="F7726" s="6" t="n">
        <f aca="false">Sens!F7708</f>
        <v>395.020621809119</v>
      </c>
      <c r="G7726" s="6" t="n">
        <f aca="false">Sens!G7708</f>
        <v>460.985114847324</v>
      </c>
      <c r="H7726" s="6" t="n">
        <f aca="false">Sens!H7708</f>
        <v>522.790653334713</v>
      </c>
      <c r="I7726" s="6" t="n">
        <f aca="false">Sens!I7708</f>
        <v>586.874196800997</v>
      </c>
      <c r="J7726" s="6" t="n">
        <f aca="false">Sens!J7708</f>
        <v>640.491965061876</v>
      </c>
      <c r="K7726" s="6" t="n">
        <f aca="false">Sens!K7708</f>
        <v>684.385046414233</v>
      </c>
    </row>
    <row r="7727" customFormat="false" ht="15" hidden="false" customHeight="false" outlineLevel="0" collapsed="false">
      <c r="A7727" s="1" t="s">
        <v>1056</v>
      </c>
      <c r="B7727" s="0" t="s">
        <v>168</v>
      </c>
      <c r="E7727" s="7" t="n">
        <f aca="false">Sens!E7726/Sens!D7726-1</f>
        <v>0.177886867998467</v>
      </c>
      <c r="F7727" s="7" t="n">
        <f aca="false">Sens!F7726/Sens!E7726-1</f>
        <v>0.19039842155117</v>
      </c>
      <c r="G7727" s="7" t="n">
        <f aca="false">Sens!G7726/Sens!F7726-1</f>
        <v>0.166989998486917</v>
      </c>
      <c r="H7727" s="7" t="n">
        <f aca="false">Sens!H7726/Sens!G7726-1</f>
        <v>0.134072742257326</v>
      </c>
      <c r="I7727" s="7" t="n">
        <f aca="false">Sens!I7726/Sens!H7726-1</f>
        <v>0.122579742115731</v>
      </c>
      <c r="J7727" s="7" t="n">
        <f aca="false">Sens!J7726/Sens!I7726-1</f>
        <v>0.0913616045025412</v>
      </c>
      <c r="K7727" s="7" t="n">
        <f aca="false">Sens!K7726/Sens!J7726-1</f>
        <v>0.0685302607162552</v>
      </c>
    </row>
    <row r="7728" customFormat="false" ht="17.15" hidden="false" customHeight="false" outlineLevel="0" collapsed="false">
      <c r="A7728" s="26" t="s">
        <v>1057</v>
      </c>
      <c r="B7728" s="31" t="s">
        <v>98</v>
      </c>
      <c r="C7728" s="31"/>
      <c r="D7728" s="27" t="n">
        <f aca="false">(Sens!D7721+Sens!D7725-Sens!D7726)+(Sens!D7713+Sens!D7714-Sens!D7712)+(Sens!D7716+Sens!D7717-Sens!D7715)+(Sens!D7726-Q!L18)</f>
        <v>0</v>
      </c>
      <c r="E7728" s="27" t="n">
        <f aca="false">(Sens!E7721+Sens!E7725-Sens!E7726)+(Sens!E7713+Sens!E7714-Sens!E7712)+(Sens!E7716+Sens!E7717-Sens!E7715)+(Sens!E7726-Q!M18)</f>
        <v>0</v>
      </c>
      <c r="F7728" s="27" t="n">
        <f aca="false">(Sens!F7721+Sens!F7725-Sens!F7726)+(Sens!F7713+Sens!F7714-Sens!F7712)+(Sens!F7716+Sens!F7717-Sens!F7715)</f>
        <v>0</v>
      </c>
      <c r="G7728" s="27" t="n">
        <f aca="false">(Sens!G7721+Sens!G7725-Sens!G7726)+(Sens!G7713+Sens!G7714-Sens!G7712)+(Sens!G7716+Sens!G7717-Sens!G7715)</f>
        <v>0</v>
      </c>
      <c r="H7728" s="27" t="n">
        <f aca="false">(Sens!H7721+Sens!H7725-Sens!H7726)+(Sens!H7713+Sens!H7714-Sens!H7712)+(Sens!H7716+Sens!H7717-Sens!H7715)</f>
        <v>0</v>
      </c>
      <c r="I7728" s="27" t="n">
        <f aca="false">(Sens!I7721+Sens!I7725-Sens!I7726)+(Sens!I7713+Sens!I7714-Sens!I7712)+(Sens!I7716+Sens!I7717-Sens!I7715)</f>
        <v>0</v>
      </c>
      <c r="J7728" s="27" t="n">
        <f aca="false">(Sens!J7721+Sens!J7725-Sens!J7726)+(Sens!J7713+Sens!J7714-Sens!J7712)+(Sens!J7716+Sens!J7717-Sens!J7715)</f>
        <v>0</v>
      </c>
      <c r="K7728" s="27" t="n">
        <f aca="false">(Sens!K7721+Sens!K7725-Sens!K7726)+(Sens!K7713+Sens!K7714-Sens!K7712)+(Sens!K7716+Sens!K7717-Sens!K7715)</f>
        <v>0</v>
      </c>
    </row>
    <row r="7729" customFormat="false" ht="17.15" hidden="false" customHeight="false" outlineLevel="0" collapsed="false">
      <c r="A7729" s="0" t="s">
        <v>1058</v>
      </c>
      <c r="B7729" s="0" t="s">
        <v>168</v>
      </c>
      <c r="E7729" s="7" t="n">
        <f aca="false">(Q!M21+Sens!E7665+Sens!E7666+Sens!E7667+Sens!E7681-Sens!E7663)/(Q!M5-Sens!E7663)</f>
        <v>0.570957350878296</v>
      </c>
      <c r="F7729" s="7" t="n">
        <f aca="false">Sens!$E$7729+dm_seg</f>
        <v>0.570957350878296</v>
      </c>
      <c r="G7729" s="7" t="n">
        <f aca="false">Sens!$E$7729+dm_seg</f>
        <v>0.570957350878296</v>
      </c>
      <c r="H7729" s="7" t="n">
        <f aca="false">Sens!$E$7729+dm_seg</f>
        <v>0.570957350878296</v>
      </c>
      <c r="I7729" s="7" t="n">
        <f aca="false">Sens!$E$7729+dm_seg</f>
        <v>0.570957350878296</v>
      </c>
      <c r="J7729" s="7" t="n">
        <f aca="false">Sens!$E$7729+dm_seg</f>
        <v>0.570957350878296</v>
      </c>
      <c r="K7729" s="7" t="n">
        <f aca="false">Sens!$E$7729+dm_seg</f>
        <v>0.570957350878296</v>
      </c>
      <c r="L7729" s="12" t="s">
        <v>1059</v>
      </c>
    </row>
    <row r="7730" customFormat="false" ht="17.15" hidden="false" customHeight="false" outlineLevel="0" collapsed="false">
      <c r="A7730" s="0" t="s">
        <v>880</v>
      </c>
      <c r="B7730" s="0" t="s">
        <v>98</v>
      </c>
      <c r="D7730" s="6" t="n">
        <f aca="false">Q!L21</f>
        <v>110.814</v>
      </c>
      <c r="E7730" s="6" t="n">
        <f aca="false">Q!M21</f>
        <v>136.365</v>
      </c>
      <c r="F7730" s="6" t="n">
        <f aca="false">Q!$I$21+(Sens!F7729*(Sens!F7700-Sens!F7663)+Sens!F7663-(Sens!F7665+Sens!F7666+Sens!F7667)-Sens!F7681-Sens!F7764)*(Sens!F7700-Q!$I$5)/Sens!F7700</f>
        <v>158.423064649666</v>
      </c>
      <c r="G7730" s="6" t="n">
        <f aca="false">(Sens!G7729*(Sens!G7700-Sens!G7663)+Sens!G7663-(Sens!G7665+Sens!G7666+Sens!G7667)-Sens!G7681-Sens!G7764)</f>
        <v>162.460732245055</v>
      </c>
      <c r="H7730" s="6" t="n">
        <f aca="false">(Sens!H7729*(Sens!H7700-Sens!H7663)+Sens!H7663-(Sens!H7665+Sens!H7666+Sens!H7667)-Sens!H7681-Sens!H7764)</f>
        <v>164.767302631841</v>
      </c>
      <c r="I7730" s="6" t="n">
        <f aca="false">(Sens!I7729*(Sens!I7700-Sens!I7663)+Sens!I7663-(Sens!I7665+Sens!I7666+Sens!I7667)-Sens!I7681-Sens!I7764)</f>
        <v>174.678910568683</v>
      </c>
      <c r="J7730" s="6" t="n">
        <f aca="false">(Sens!J7729*(Sens!J7700-Sens!J7663)+Sens!J7663-(Sens!J7665+Sens!J7666+Sens!J7667)-Sens!J7681-Sens!J7764)</f>
        <v>185.920347514011</v>
      </c>
      <c r="K7730" s="6" t="n">
        <f aca="false">(Sens!K7729*(Sens!K7700-Sens!K7663)+Sens!K7663-(Sens!K7665+Sens!K7666+Sens!K7667)-Sens!K7681-Sens!K7764)</f>
        <v>198.571371029998</v>
      </c>
      <c r="L7730" s="1" t="s">
        <v>1060</v>
      </c>
    </row>
    <row r="7731" customFormat="false" ht="17.15" hidden="false" customHeight="false" outlineLevel="0" collapsed="false">
      <c r="A7731" s="0" t="s">
        <v>1061</v>
      </c>
      <c r="B7731" s="0" t="s">
        <v>168</v>
      </c>
      <c r="E7731" s="7" t="n">
        <f aca="false">Q!M22/Q!M12</f>
        <v>0.296207935710698</v>
      </c>
      <c r="F7731" s="7" t="n">
        <f aca="false">Sens!$E$7731+dm_seg</f>
        <v>0.296207935710698</v>
      </c>
      <c r="G7731" s="7" t="n">
        <f aca="false">Sens!$E$7731+dm_seg</f>
        <v>0.296207935710698</v>
      </c>
      <c r="H7731" s="7" t="n">
        <f aca="false">Sens!$E$7731+dm_seg</f>
        <v>0.296207935710698</v>
      </c>
      <c r="I7731" s="7" t="n">
        <f aca="false">Sens!$E$7731+dm_seg</f>
        <v>0.296207935710698</v>
      </c>
      <c r="J7731" s="7" t="n">
        <f aca="false">Sens!$E$7731+dm_seg</f>
        <v>0.296207935710698</v>
      </c>
      <c r="K7731" s="7" t="n">
        <f aca="false">Sens!$E$7731+dm_seg</f>
        <v>0.296207935710698</v>
      </c>
      <c r="L7731" s="12" t="s">
        <v>1062</v>
      </c>
    </row>
    <row r="7732" customFormat="false" ht="17.15" hidden="false" customHeight="false" outlineLevel="0" collapsed="false">
      <c r="A7732" s="0" t="s">
        <v>882</v>
      </c>
      <c r="B7732" s="0" t="s">
        <v>98</v>
      </c>
      <c r="D7732" s="6" t="n">
        <f aca="false">Q!L22</f>
        <v>17.714</v>
      </c>
      <c r="E7732" s="6" t="n">
        <f aca="false">Q!M22</f>
        <v>18.872</v>
      </c>
      <c r="F7732" s="6" t="n">
        <f aca="false">Q!$I$22+(Sens!F7707-Q!$I$12)*Sens!F7731</f>
        <v>19.8174315512051</v>
      </c>
      <c r="G7732" s="6" t="n">
        <f aca="false">Sens!G7707*Sens!G7731</f>
        <v>19.6313799703815</v>
      </c>
      <c r="H7732" s="6" t="n">
        <f aca="false">Sens!H7707*Sens!H7731</f>
        <v>20.3536242825865</v>
      </c>
      <c r="I7732" s="6" t="n">
        <f aca="false">Sens!I7707*Sens!I7731</f>
        <v>21.1920899239745</v>
      </c>
      <c r="J7732" s="6" t="n">
        <f aca="false">Sens!J7707*Sens!J7731</f>
        <v>22.1288166207045</v>
      </c>
      <c r="K7732" s="6" t="n">
        <f aca="false">Sens!K7707*Sens!K7731</f>
        <v>23.1493653905379</v>
      </c>
      <c r="L7732" s="12" t="s">
        <v>1063</v>
      </c>
    </row>
    <row r="7733" customFormat="false" ht="15" hidden="false" customHeight="false" outlineLevel="0" collapsed="false">
      <c r="A7733" s="1" t="s">
        <v>1064</v>
      </c>
      <c r="B7733" s="0" t="s">
        <v>98</v>
      </c>
      <c r="D7733" s="6" t="n">
        <f aca="false">Sens!D7730+Sens!D7732</f>
        <v>128.528</v>
      </c>
      <c r="E7733" s="6" t="n">
        <f aca="false">Sens!E7730+Sens!E7732</f>
        <v>155.237</v>
      </c>
      <c r="F7733" s="6" t="n">
        <f aca="false">Sens!F7730+Sens!F7732</f>
        <v>178.240496200871</v>
      </c>
      <c r="G7733" s="6" t="n">
        <f aca="false">Sens!G7730+Sens!G7732</f>
        <v>182.092112215436</v>
      </c>
      <c r="H7733" s="6" t="n">
        <f aca="false">Sens!H7730+Sens!H7732</f>
        <v>185.120926914428</v>
      </c>
      <c r="I7733" s="6" t="n">
        <f aca="false">Sens!I7730+Sens!I7732</f>
        <v>195.871000492657</v>
      </c>
      <c r="J7733" s="6" t="n">
        <f aca="false">Sens!J7730+Sens!J7732</f>
        <v>208.049164134716</v>
      </c>
      <c r="K7733" s="6" t="n">
        <f aca="false">Sens!K7730+Sens!K7732</f>
        <v>221.720736420536</v>
      </c>
    </row>
    <row r="7734" customFormat="false" ht="15" hidden="false" customHeight="false" outlineLevel="0" collapsed="false">
      <c r="A7734" s="26" t="s">
        <v>1065</v>
      </c>
      <c r="B7734" s="31" t="s">
        <v>98</v>
      </c>
      <c r="C7734" s="31"/>
      <c r="D7734" s="27" t="n">
        <f aca="false">Sens!D7733-Q!L23</f>
        <v>0</v>
      </c>
      <c r="E7734" s="27" t="n">
        <f aca="false">Sens!E7733-Q!M23</f>
        <v>0</v>
      </c>
      <c r="F7734" s="31"/>
      <c r="G7734" s="31"/>
      <c r="H7734" s="31"/>
      <c r="I7734" s="31"/>
      <c r="J7734" s="31"/>
      <c r="K7734" s="31"/>
    </row>
    <row r="7735" customFormat="false" ht="15" hidden="false" customHeight="false" outlineLevel="0" collapsed="false">
      <c r="A7735" s="1" t="s">
        <v>1066</v>
      </c>
      <c r="B7735" s="0" t="s">
        <v>168</v>
      </c>
      <c r="D7735" s="7" t="n">
        <f aca="false">Sens!D7733/Sens!D7726</f>
        <v>0.456219562408598</v>
      </c>
      <c r="E7735" s="7" t="n">
        <f aca="false">Sens!E7733/Sens!E7726</f>
        <v>0.467808184089272</v>
      </c>
      <c r="F7735" s="7" t="n">
        <f aca="false">Sens!F7733/Sens!F7726</f>
        <v>0.451218205734586</v>
      </c>
      <c r="G7735" s="7" t="n">
        <f aca="false">Sens!G7733/Sens!G7726</f>
        <v>0.395006490124403</v>
      </c>
      <c r="H7735" s="7" t="n">
        <f aca="false">Sens!H7733/Sens!H7726</f>
        <v>0.354101447173167</v>
      </c>
      <c r="I7735" s="7" t="n">
        <f aca="false">Sens!I7733/Sens!I7726</f>
        <v>0.333752960277235</v>
      </c>
      <c r="J7735" s="7" t="n">
        <f aca="false">Sens!J7733/Sens!J7726</f>
        <v>0.324827125840082</v>
      </c>
      <c r="K7735" s="7" t="n">
        <f aca="false">Sens!K7733/Sens!K7726</f>
        <v>0.323970749481187</v>
      </c>
    </row>
    <row r="7736" customFormat="false" ht="17.15" hidden="false" customHeight="false" outlineLevel="0" collapsed="false">
      <c r="A7736" s="1" t="s">
        <v>1067</v>
      </c>
      <c r="B7736" s="0" t="s">
        <v>98</v>
      </c>
      <c r="F7736" s="6" t="n">
        <f aca="false">Sens!F7751</f>
        <v>10.1680607847886</v>
      </c>
      <c r="G7736" s="6" t="n">
        <f aca="false">Sens!G7751</f>
        <v>26.5599926354558</v>
      </c>
      <c r="H7736" s="6" t="n">
        <f aca="false">Sens!H7751</f>
        <v>44.4251154355884</v>
      </c>
      <c r="I7736" s="6" t="n">
        <f aca="false">Sens!I7751</f>
        <v>60.4883607271127</v>
      </c>
      <c r="J7736" s="6" t="n">
        <f aca="false">Sens!J7751</f>
        <v>71.6944871895105</v>
      </c>
      <c r="K7736" s="6" t="n">
        <f aca="false">Sens!K7751</f>
        <v>77.999690606174</v>
      </c>
      <c r="L7736" s="1" t="s">
        <v>1068</v>
      </c>
    </row>
    <row r="7737" customFormat="false" ht="17.15" hidden="false" customHeight="false" outlineLevel="0" collapsed="false">
      <c r="A7737" s="1" t="s">
        <v>1069</v>
      </c>
      <c r="B7737" s="0" t="s">
        <v>98</v>
      </c>
      <c r="D7737" s="6" t="n">
        <f aca="false">Sens!D7733</f>
        <v>128.528</v>
      </c>
      <c r="E7737" s="6" t="n">
        <f aca="false">Sens!E7733</f>
        <v>155.237</v>
      </c>
      <c r="F7737" s="6" t="n">
        <f aca="false">Sens!F7733+Sens!F7736</f>
        <v>188.40855698566</v>
      </c>
      <c r="G7737" s="6" t="n">
        <f aca="false">Sens!G7733+Sens!G7736</f>
        <v>208.652104850892</v>
      </c>
      <c r="H7737" s="6" t="n">
        <f aca="false">Sens!H7733+Sens!H7736</f>
        <v>229.546042350016</v>
      </c>
      <c r="I7737" s="6" t="n">
        <f aca="false">Sens!I7733+Sens!I7736</f>
        <v>256.35936121977</v>
      </c>
      <c r="J7737" s="6" t="n">
        <f aca="false">Sens!J7733+Sens!J7736</f>
        <v>279.743651324226</v>
      </c>
      <c r="K7737" s="6" t="n">
        <f aca="false">Sens!K7733+Sens!K7736</f>
        <v>299.72042702671</v>
      </c>
    </row>
    <row r="7738" customFormat="false" ht="17.15" hidden="false" customHeight="false" outlineLevel="0" collapsed="false">
      <c r="A7738" s="1" t="s">
        <v>1070</v>
      </c>
      <c r="B7738" s="0" t="s">
        <v>98</v>
      </c>
      <c r="E7738" s="6" t="n">
        <f aca="false">Sens!E7681</f>
        <v>16.3054059770833</v>
      </c>
      <c r="F7738" s="6" t="n">
        <f aca="false">Sens!F7681</f>
        <v>34.5793144783516</v>
      </c>
      <c r="G7738" s="6" t="n">
        <f aca="false">Sens!G7681</f>
        <v>60.7344906522989</v>
      </c>
      <c r="H7738" s="6" t="n">
        <f aca="false">Sens!H7681</f>
        <v>89.1000906614457</v>
      </c>
      <c r="I7738" s="6" t="n">
        <f aca="false">Sens!I7681</f>
        <v>114.231009694548</v>
      </c>
      <c r="J7738" s="6" t="n">
        <f aca="false">Sens!J7681</f>
        <v>132.015673049596</v>
      </c>
      <c r="K7738" s="6" t="n">
        <f aca="false">Sens!K7681</f>
        <v>143.012669550934</v>
      </c>
    </row>
    <row r="7739" customFormat="false" ht="17.15" hidden="false" customHeight="false" outlineLevel="0" collapsed="false">
      <c r="A7739" s="1" t="s">
        <v>1071</v>
      </c>
      <c r="B7739" s="0" t="s">
        <v>98</v>
      </c>
      <c r="E7739" s="6" t="n">
        <f aca="false">Sens!E7763</f>
        <v>22.2285940229167</v>
      </c>
      <c r="F7739" s="6" t="n">
        <f aca="false">Sens!F7763</f>
        <v>23.5940687754951</v>
      </c>
      <c r="G7739" s="6" t="n">
        <f aca="false">Sens!G7763</f>
        <v>25.3732909625423</v>
      </c>
      <c r="H7739" s="6" t="n">
        <f aca="false">Sens!H7763</f>
        <v>27.5335315753738</v>
      </c>
      <c r="I7739" s="6" t="n">
        <f aca="false">Sens!I7763</f>
        <v>30.0129813046714</v>
      </c>
      <c r="J7739" s="6" t="n">
        <f aca="false">Sens!J7763</f>
        <v>32.7322683955415</v>
      </c>
      <c r="K7739" s="6" t="n">
        <f aca="false">Sens!K7763</f>
        <v>35.606678423342</v>
      </c>
    </row>
    <row r="7740" customFormat="false" ht="17.15" hidden="false" customHeight="false" outlineLevel="0" collapsed="false">
      <c r="A7740" s="1" t="s">
        <v>1072</v>
      </c>
      <c r="B7740" s="0" t="s">
        <v>98</v>
      </c>
      <c r="D7740" s="6" t="n">
        <f aca="false">Q!L27</f>
        <v>-4.901</v>
      </c>
      <c r="E7740" s="6" t="n">
        <f aca="false">Q!M27</f>
        <v>10.697</v>
      </c>
      <c r="F7740" s="6" t="n">
        <f aca="false">Q!$I$27+oie_f*(q_per_yr-1)/q_per_yr</f>
        <v>-0.862</v>
      </c>
      <c r="G7740" s="6" t="n">
        <f aca="false">oie_f</f>
        <v>-1.2</v>
      </c>
      <c r="H7740" s="6" t="n">
        <f aca="false">oie_f</f>
        <v>-1.2</v>
      </c>
      <c r="I7740" s="6" t="n">
        <f aca="false">oie_f</f>
        <v>-1.2</v>
      </c>
      <c r="J7740" s="6" t="n">
        <f aca="false">oie_f</f>
        <v>-1.2</v>
      </c>
      <c r="K7740" s="6" t="n">
        <f aca="false">oie_f</f>
        <v>-1.2</v>
      </c>
      <c r="L7740" s="12" t="s">
        <v>1073</v>
      </c>
    </row>
    <row r="7741" customFormat="false" ht="15" hidden="false" customHeight="false" outlineLevel="0" collapsed="false">
      <c r="A7741" s="1" t="s">
        <v>1074</v>
      </c>
      <c r="B7741" s="0" t="s">
        <v>98</v>
      </c>
      <c r="D7741" s="6" t="n">
        <f aca="false">Sens!D7733+Sens!D7740</f>
        <v>123.627</v>
      </c>
      <c r="E7741" s="6" t="n">
        <f aca="false">Sens!E7733+Sens!E7740</f>
        <v>165.934</v>
      </c>
      <c r="F7741" s="6" t="n">
        <f aca="false">Sens!F7733+Sens!F7740</f>
        <v>177.378496200871</v>
      </c>
      <c r="G7741" s="6" t="n">
        <f aca="false">Sens!G7733+Sens!G7740</f>
        <v>180.892112215436</v>
      </c>
      <c r="H7741" s="6" t="n">
        <f aca="false">Sens!H7733+Sens!H7740</f>
        <v>183.920926914428</v>
      </c>
      <c r="I7741" s="6" t="n">
        <f aca="false">Sens!I7733+Sens!I7740</f>
        <v>194.671000492657</v>
      </c>
      <c r="J7741" s="6" t="n">
        <f aca="false">Sens!J7733+Sens!J7740</f>
        <v>206.849164134716</v>
      </c>
      <c r="K7741" s="6" t="n">
        <f aca="false">Sens!K7733+Sens!K7740</f>
        <v>220.520736420536</v>
      </c>
    </row>
    <row r="7742" customFormat="false" ht="15" hidden="false" customHeight="false" outlineLevel="0" collapsed="false">
      <c r="A7742" s="1" t="s">
        <v>1075</v>
      </c>
      <c r="B7742" s="0" t="s">
        <v>98</v>
      </c>
      <c r="D7742" s="6" t="n">
        <f aca="false">Q!L29</f>
        <v>21.795</v>
      </c>
      <c r="E7742" s="6" t="n">
        <f aca="false">Q!M29</f>
        <v>32.185</v>
      </c>
      <c r="F7742" s="6" t="n">
        <f aca="false">Q!$I$29+(Sens!F7741-Q!$I$28)*tax_f</f>
        <v>35.6090992401742</v>
      </c>
      <c r="G7742" s="6" t="n">
        <f aca="false">Sens!G7741*tax_f</f>
        <v>36.1784224430873</v>
      </c>
      <c r="H7742" s="6" t="n">
        <f aca="false">Sens!H7741*tax_f</f>
        <v>36.7841853828855</v>
      </c>
      <c r="I7742" s="6" t="n">
        <f aca="false">Sens!I7741*tax_f</f>
        <v>38.9342000985315</v>
      </c>
      <c r="J7742" s="6" t="n">
        <f aca="false">Sens!J7741*tax_f</f>
        <v>41.3698328269431</v>
      </c>
      <c r="K7742" s="6" t="n">
        <f aca="false">Sens!K7741*tax_f</f>
        <v>44.1041472841072</v>
      </c>
    </row>
    <row r="7743" customFormat="false" ht="15" hidden="false" customHeight="false" outlineLevel="0" collapsed="false">
      <c r="A7743" s="1" t="s">
        <v>1076</v>
      </c>
      <c r="B7743" s="0" t="s">
        <v>98</v>
      </c>
      <c r="D7743" s="6" t="n">
        <f aca="false">Sens!D7741-Sens!D7742</f>
        <v>101.832</v>
      </c>
      <c r="E7743" s="6" t="n">
        <f aca="false">Sens!E7741-Sens!E7742</f>
        <v>133.749</v>
      </c>
      <c r="F7743" s="6" t="n">
        <f aca="false">Sens!F7741-Sens!F7742</f>
        <v>141.769396960697</v>
      </c>
      <c r="G7743" s="6" t="n">
        <f aca="false">Sens!G7741-Sens!G7742</f>
        <v>144.713689772349</v>
      </c>
      <c r="H7743" s="6" t="n">
        <f aca="false">Sens!H7741-Sens!H7742</f>
        <v>147.136741531542</v>
      </c>
      <c r="I7743" s="6" t="n">
        <f aca="false">Sens!I7741-Sens!I7742</f>
        <v>155.736800394126</v>
      </c>
      <c r="J7743" s="6" t="n">
        <f aca="false">Sens!J7741-Sens!J7742</f>
        <v>165.479331307772</v>
      </c>
      <c r="K7743" s="6" t="n">
        <f aca="false">Sens!K7741-Sens!K7742</f>
        <v>176.416589136429</v>
      </c>
    </row>
    <row r="7744" customFormat="false" ht="17.15" hidden="false" customHeight="false" outlineLevel="0" collapsed="false">
      <c r="A7744" s="1" t="s">
        <v>1077</v>
      </c>
      <c r="B7744" s="1" t="s">
        <v>81</v>
      </c>
      <c r="D7744" s="15" t="n">
        <f aca="false">Q!L31</f>
        <v>7.465</v>
      </c>
      <c r="E7744" s="15" t="n">
        <f aca="false">Q!M31</f>
        <v>7.453</v>
      </c>
      <c r="F7744" s="15" t="n">
        <f aca="false">Sens!F7788</f>
        <v>7.4735</v>
      </c>
      <c r="G7744" s="15" t="n">
        <f aca="false">Sens!G7788</f>
        <v>7.5185</v>
      </c>
      <c r="H7744" s="15" t="n">
        <f aca="false">Sens!H7788</f>
        <v>7.5635</v>
      </c>
      <c r="I7744" s="15" t="n">
        <f aca="false">Sens!I7788</f>
        <v>7.59248142502667</v>
      </c>
      <c r="J7744" s="15" t="n">
        <f aca="false">Sens!J7788</f>
        <v>7.60663083618914</v>
      </c>
      <c r="K7744" s="15" t="n">
        <f aca="false">Sens!K7788</f>
        <v>7.62306547615439</v>
      </c>
    </row>
    <row r="7745" customFormat="false" ht="17.15" hidden="false" customHeight="false" outlineLevel="0" collapsed="false">
      <c r="A7745" s="0" t="s">
        <v>1078</v>
      </c>
      <c r="B7745" s="0" t="s">
        <v>75</v>
      </c>
      <c r="D7745" s="8" t="n">
        <f aca="false">Sens!D7743/Sens!D7744</f>
        <v>13.641259209645</v>
      </c>
      <c r="E7745" s="8" t="n">
        <f aca="false">Sens!E7743/Sens!E7744</f>
        <v>17.9456594659869</v>
      </c>
      <c r="F7745" s="8" t="n">
        <f aca="false">Sens!F7743/Sens!F7744</f>
        <v>18.9696122246199</v>
      </c>
      <c r="G7745" s="8" t="n">
        <f aca="false">Sens!G7743/Sens!G7744</f>
        <v>19.2476810231229</v>
      </c>
      <c r="H7745" s="8" t="n">
        <f aca="false">Sens!H7743/Sens!H7744</f>
        <v>19.4535256867247</v>
      </c>
      <c r="I7745" s="8" t="n">
        <f aca="false">Sens!I7743/Sens!I7744</f>
        <v>20.5119764772528</v>
      </c>
      <c r="J7745" s="8" t="n">
        <f aca="false">Sens!J7743/Sens!J7744</f>
        <v>21.7546157913293</v>
      </c>
      <c r="K7745" s="8" t="n">
        <f aca="false">Sens!K7743/Sens!K7744</f>
        <v>23.1424732856192</v>
      </c>
      <c r="L7745" s="1" t="s">
        <v>1079</v>
      </c>
    </row>
    <row r="7746" customFormat="false" ht="17.15" hidden="false" customHeight="false" outlineLevel="0" collapsed="false">
      <c r="A7746" s="1" t="s">
        <v>1080</v>
      </c>
      <c r="B7746" s="0" t="s">
        <v>98</v>
      </c>
      <c r="D7746" s="6" t="n">
        <f aca="false">Sens!D7743</f>
        <v>101.832</v>
      </c>
      <c r="E7746" s="6" t="n">
        <f aca="false">Sens!E7743</f>
        <v>133.749</v>
      </c>
      <c r="F7746" s="6" t="n">
        <f aca="false">Sens!F7743+Sens!F7736*(1-tax_f)</f>
        <v>149.903845588528</v>
      </c>
      <c r="G7746" s="6" t="n">
        <f aca="false">Sens!G7743+Sens!G7736*(1-tax_f)</f>
        <v>165.961683880714</v>
      </c>
      <c r="H7746" s="6" t="n">
        <f aca="false">Sens!H7743+Sens!H7736*(1-tax_f)</f>
        <v>182.676833880013</v>
      </c>
      <c r="I7746" s="6" t="n">
        <f aca="false">Sens!I7743+Sens!I7736*(1-tax_f)</f>
        <v>204.127488975816</v>
      </c>
      <c r="J7746" s="6" t="n">
        <f aca="false">Sens!J7743+Sens!J7736*(1-tax_f)</f>
        <v>222.834921059381</v>
      </c>
      <c r="K7746" s="6" t="n">
        <f aca="false">Sens!K7743+Sens!K7736*(1-tax_f)</f>
        <v>238.816341621368</v>
      </c>
    </row>
    <row r="7747" customFormat="false" ht="17.15" hidden="false" customHeight="false" outlineLevel="0" collapsed="false">
      <c r="A7747" s="0" t="s">
        <v>1081</v>
      </c>
      <c r="B7747" s="0" t="s">
        <v>75</v>
      </c>
      <c r="D7747" s="8" t="n">
        <f aca="false">Sens!D7746/Sens!D7744</f>
        <v>13.641259209645</v>
      </c>
      <c r="E7747" s="8" t="n">
        <f aca="false">Sens!E7746/Sens!E7744</f>
        <v>17.9456594659869</v>
      </c>
      <c r="F7747" s="8" t="n">
        <f aca="false">Sens!F7746/Sens!F7744</f>
        <v>20.0580511926845</v>
      </c>
      <c r="G7747" s="8" t="n">
        <f aca="false">Sens!G7746/Sens!G7744</f>
        <v>22.0737758702818</v>
      </c>
      <c r="H7747" s="8" t="n">
        <f aca="false">Sens!H7746/Sens!H7744</f>
        <v>24.1524206888362</v>
      </c>
      <c r="I7747" s="8" t="n">
        <f aca="false">Sens!I7746/Sens!I7744</f>
        <v>26.8854775598083</v>
      </c>
      <c r="J7747" s="8" t="n">
        <f aca="false">Sens!J7746/Sens!J7744</f>
        <v>29.2948252463136</v>
      </c>
      <c r="K7747" s="8" t="n">
        <f aca="false">Sens!K7746/Sens!K7744</f>
        <v>31.3281241474845</v>
      </c>
      <c r="L7747" s="1" t="s">
        <v>1082</v>
      </c>
    </row>
    <row r="7748" customFormat="false" ht="17.15" hidden="false" customHeight="false" outlineLevel="0" collapsed="false">
      <c r="A7748" s="0" t="s">
        <v>1083</v>
      </c>
      <c r="B7748" s="0" t="s">
        <v>168</v>
      </c>
      <c r="E7748" s="7" t="n">
        <f aca="false">Sens!E7747/Sens!D7747-1</f>
        <v>0.315542736208578</v>
      </c>
      <c r="F7748" s="7" t="n">
        <f aca="false">Sens!F7747/Sens!E7747-1</f>
        <v>0.117710454202107</v>
      </c>
      <c r="G7748" s="7" t="n">
        <f aca="false">Sens!G7747/Sens!F7747-1</f>
        <v>0.10049454247741</v>
      </c>
      <c r="H7748" s="7" t="n">
        <f aca="false">Sens!H7747/Sens!G7747-1</f>
        <v>0.0941680676097159</v>
      </c>
      <c r="I7748" s="7" t="n">
        <f aca="false">Sens!I7747/Sens!H7747-1</f>
        <v>0.113158714241649</v>
      </c>
      <c r="J7748" s="7" t="n">
        <f aca="false">Sens!J7747/Sens!I7747-1</f>
        <v>0.0896152088481779</v>
      </c>
      <c r="K7748" s="7" t="n">
        <f aca="false">Sens!K7747/Sens!J7747-1</f>
        <v>0.0694081252943073</v>
      </c>
    </row>
    <row r="7749" customFormat="false" ht="17.15" hidden="false" customHeight="false" outlineLevel="0" collapsed="false">
      <c r="A7749" s="0" t="s">
        <v>1003</v>
      </c>
      <c r="B7749" s="0" t="s">
        <v>98</v>
      </c>
      <c r="E7749" s="6" t="n">
        <f aca="false">Sens!E7690</f>
        <v>5.25</v>
      </c>
      <c r="F7749" s="6" t="n">
        <f aca="false">Sens!F7690</f>
        <v>11.25</v>
      </c>
      <c r="G7749" s="6" t="n">
        <f aca="false">Sens!G7690</f>
        <v>15.75</v>
      </c>
      <c r="H7749" s="6" t="n">
        <f aca="false">Sens!H7690</f>
        <v>20.25</v>
      </c>
      <c r="I7749" s="6" t="n">
        <f aca="false">Sens!I7690</f>
        <v>23.625</v>
      </c>
      <c r="J7749" s="6" t="n">
        <f aca="false">Sens!J7690</f>
        <v>25.875</v>
      </c>
      <c r="K7749" s="6" t="n">
        <f aca="false">Sens!K7690</f>
        <v>28.125</v>
      </c>
    </row>
    <row r="7750" customFormat="false" ht="17.15" hidden="false" customHeight="false" outlineLevel="0" collapsed="false">
      <c r="A7750" s="1" t="s">
        <v>1004</v>
      </c>
      <c r="B7750" s="0" t="s">
        <v>98</v>
      </c>
      <c r="F7750" s="6" t="n">
        <f aca="false">MAX(0,((Sens!E7650+Sens!F7650)/2-(shadow_base*(Sens!$D$7650+Sens!$E$7650)/2+(1-shadow_base)*Sens!$E$7650))*Sens!F7659/1000-(Sens!F7749-Sens!$E$7749)*Sens!F7729)</f>
        <v>10.1680607847886</v>
      </c>
      <c r="G7750" s="6" t="n">
        <f aca="false">MAX(0,((Sens!F7650+Sens!G7650)/2-(shadow_base*(Sens!$D$7650+Sens!$E$7650)/2+(1-shadow_base)*Sens!$E$7650))*Sens!G7659/1000-(Sens!G7749-Sens!$E$7749)*Sens!G7729)</f>
        <v>26.5599926354558</v>
      </c>
      <c r="H7750" s="6" t="n">
        <f aca="false">MAX(0,((Sens!G7650+Sens!H7650)/2-(shadow_base*(Sens!$D$7650+Sens!$E$7650)/2+(1-shadow_base)*Sens!$E$7650))*Sens!H7659/1000-(Sens!H7749-Sens!$E$7749)*Sens!H7729)</f>
        <v>44.4251154355884</v>
      </c>
      <c r="I7750" s="6" t="n">
        <f aca="false">MAX(0,((Sens!H7650+Sens!I7650)/2-(shadow_base*(Sens!$D$7650+Sens!$E$7650)/2+(1-shadow_base)*Sens!$E$7650))*Sens!I7659/1000-(Sens!I7749-Sens!$E$7749)*Sens!I7729)</f>
        <v>60.4883607271127</v>
      </c>
      <c r="J7750" s="6" t="n">
        <f aca="false">MAX(0,((Sens!I7650+Sens!J7650)/2-(shadow_base*(Sens!$D$7650+Sens!$E$7650)/2+(1-shadow_base)*Sens!$E$7650))*Sens!J7659/1000-(Sens!J7749-Sens!$E$7749)*Sens!J7729)</f>
        <v>71.6944871895105</v>
      </c>
      <c r="K7750" s="6" t="n">
        <f aca="false">MAX(0,((Sens!J7650+Sens!K7650)/2-(shadow_base*(Sens!$D$7650+Sens!$E$7650)/2+(1-shadow_base)*Sens!$E$7650))*Sens!K7659/1000-(Sens!K7749-Sens!$E$7749)*Sens!K7729)</f>
        <v>77.999690606174</v>
      </c>
      <c r="L7750" s="1" t="s">
        <v>1005</v>
      </c>
    </row>
    <row r="7751" customFormat="false" ht="17.15" hidden="false" customHeight="false" outlineLevel="0" collapsed="false">
      <c r="A7751" s="1" t="s">
        <v>1006</v>
      </c>
      <c r="B7751" s="0" t="s">
        <v>98</v>
      </c>
      <c r="F7751" s="6" t="n">
        <f aca="false">IF(internal_ai_reading=2,1,0)*Sens!F7750</f>
        <v>10.1680607847886</v>
      </c>
      <c r="G7751" s="6" t="n">
        <f aca="false">IF(internal_ai_reading=2,1,0)*Sens!G7750</f>
        <v>26.5599926354558</v>
      </c>
      <c r="H7751" s="6" t="n">
        <f aca="false">IF(internal_ai_reading=2,1,0)*Sens!H7750</f>
        <v>44.4251154355884</v>
      </c>
      <c r="I7751" s="6" t="n">
        <f aca="false">IF(internal_ai_reading=2,1,0)*Sens!I7750</f>
        <v>60.4883607271127</v>
      </c>
      <c r="J7751" s="6" t="n">
        <f aca="false">IF(internal_ai_reading=2,1,0)*Sens!J7750</f>
        <v>71.6944871895105</v>
      </c>
      <c r="K7751" s="6" t="n">
        <f aca="false">IF(internal_ai_reading=2,1,0)*Sens!K7750</f>
        <v>77.999690606174</v>
      </c>
    </row>
    <row r="7752" customFormat="false" ht="17.15" hidden="false" customHeight="false" outlineLevel="0" collapsed="false">
      <c r="A7752" s="0" t="s">
        <v>1007</v>
      </c>
      <c r="B7752" s="0" t="s">
        <v>98</v>
      </c>
      <c r="F7752" s="6" t="n">
        <f aca="false">Sens!F7669+Sens!F7749*Sens!F7729+Sens!F7751-Sens!F7670-Sens!F7681</f>
        <v>10.3853806853618</v>
      </c>
      <c r="G7752" s="6" t="n">
        <f aca="false">Sens!G7669+Sens!G7749*Sens!G7729+Sens!G7751-Sens!G7670-Sens!G7681</f>
        <v>16.4389313105741</v>
      </c>
      <c r="H7752" s="6" t="n">
        <f aca="false">Sens!H7669+Sens!H7749*Sens!H7729+Sens!H7751-Sens!H7670-Sens!H7681</f>
        <v>17.135416308873</v>
      </c>
      <c r="I7752" s="6" t="n">
        <f aca="false">Sens!I7669+Sens!I7749*Sens!I7729+Sens!I7751-Sens!I7670-Sens!I7681</f>
        <v>24.1293804008656</v>
      </c>
      <c r="J7752" s="6" t="n">
        <f aca="false">Sens!J7669+Sens!J7749*Sens!J7729+Sens!J7751-Sens!J7670-Sens!J7681</f>
        <v>28.8545659869181</v>
      </c>
      <c r="K7752" s="6" t="n">
        <f aca="false">Sens!K7669+Sens!K7749*Sens!K7729+Sens!K7751-Sens!K7670-Sens!K7681</f>
        <v>32.1374748525101</v>
      </c>
    </row>
    <row r="7753" customFormat="false" ht="17.15" hidden="false" customHeight="false" outlineLevel="0" collapsed="false">
      <c r="A7753" s="0" t="s">
        <v>1008</v>
      </c>
      <c r="B7753" s="0" t="s">
        <v>98</v>
      </c>
      <c r="E7753" s="6" t="n">
        <f aca="false">Sens!E7649*(cxit_open+self_build*tk_cxfac)/1000*ai_net_open</f>
        <v>126.6980382</v>
      </c>
      <c r="F7753" s="6" t="n">
        <f aca="false">Sens!E7753+Sens!F7678-Sens!F7681</f>
        <v>260.572627763768</v>
      </c>
      <c r="G7753" s="6" t="n">
        <f aca="false">Sens!F7753+Sens!G7678-Sens!G7681</f>
        <v>391.782612760517</v>
      </c>
      <c r="H7753" s="6" t="n">
        <f aca="false">Sens!G7753+Sens!H7678-Sens!H7681</f>
        <v>499.488526163584</v>
      </c>
      <c r="I7753" s="6" t="n">
        <f aca="false">Sens!H7753+Sens!I7678-Sens!I7681</f>
        <v>553.872350090646</v>
      </c>
      <c r="J7753" s="6" t="n">
        <f aca="false">Sens!I7753+Sens!J7678-Sens!J7681</f>
        <v>550.78660823699</v>
      </c>
      <c r="K7753" s="6" t="n">
        <f aca="false">Sens!J7753+Sens!K7678-Sens!K7681</f>
        <v>526.736791750789</v>
      </c>
      <c r="L7753" s="1" t="s">
        <v>1009</v>
      </c>
    </row>
    <row r="7754" customFormat="false" ht="17.15" hidden="false" customHeight="false" outlineLevel="0" collapsed="false">
      <c r="A7754" s="0" t="s">
        <v>1010</v>
      </c>
      <c r="B7754" s="0" t="s">
        <v>168</v>
      </c>
      <c r="F7754" s="7" t="n">
        <f aca="false">Sens!F7752*(1-tax_f)/((Sens!E7753+Sens!F7753)/2)</f>
        <v>0.0429069654816909</v>
      </c>
      <c r="G7754" s="7" t="n">
        <f aca="false">Sens!G7752*(1-tax_f)/((Sens!F7753+Sens!G7753)/2)</f>
        <v>0.0403189680453549</v>
      </c>
      <c r="H7754" s="7" t="n">
        <f aca="false">Sens!H7752*(1-tax_f)/((Sens!G7753+Sens!H7753)/2)</f>
        <v>0.0307613080877867</v>
      </c>
      <c r="I7754" s="7" t="n">
        <f aca="false">Sens!I7752*(1-tax_f)/((Sens!H7753+Sens!I7753)/2)</f>
        <v>0.0366512650238845</v>
      </c>
      <c r="J7754" s="7" t="n">
        <f aca="false">Sens!J7752*(1-tax_f)/((Sens!I7753+Sens!J7753)/2)</f>
        <v>0.0417932659044041</v>
      </c>
      <c r="K7754" s="7" t="n">
        <f aca="false">Sens!K7752*(1-tax_f)/((Sens!J7753+Sens!K7753)/2)</f>
        <v>0.0477205040415821</v>
      </c>
    </row>
    <row r="7755" customFormat="false" ht="17.15" hidden="false" customHeight="false" outlineLevel="0" collapsed="false">
      <c r="A7755" s="1" t="s">
        <v>1011</v>
      </c>
      <c r="B7755" s="0" t="s">
        <v>168</v>
      </c>
      <c r="F7755" s="7" t="n">
        <f aca="false">(Sens!F7752-Sens!F7751)*(1-tax_f)/((Sens!E7753+Sens!F7753)/2)</f>
        <v>0.000897852255480644</v>
      </c>
      <c r="G7755" s="7" t="n">
        <f aca="false">(Sens!G7752-Sens!G7751)*(1-tax_f)/((Sens!F7753+Sens!G7753)/2)</f>
        <v>-0.0248234353215226</v>
      </c>
      <c r="H7755" s="7" t="n">
        <f aca="false">(Sens!H7752-Sens!H7751)*(1-tax_f)/((Sens!G7753+Sens!H7753)/2)</f>
        <v>-0.0489901632576738</v>
      </c>
      <c r="I7755" s="7" t="n">
        <f aca="false">(Sens!I7752-Sens!I7751)*(1-tax_f)/((Sens!H7753+Sens!I7753)/2)</f>
        <v>-0.0552273867706806</v>
      </c>
      <c r="J7755" s="7" t="n">
        <f aca="false">(Sens!J7752-Sens!J7751)*(1-tax_f)/((Sens!I7753+Sens!J7753)/2)</f>
        <v>-0.0620498058766642</v>
      </c>
      <c r="K7755" s="7" t="n">
        <f aca="false">(Sens!K7752-Sens!K7751)*(1-tax_f)/((Sens!J7753+Sens!K7753)/2)</f>
        <v>-0.0681001871576011</v>
      </c>
    </row>
    <row r="7756" customFormat="false" ht="17.15" hidden="false" customHeight="false" outlineLevel="0" collapsed="false">
      <c r="A7756" s="1" t="s">
        <v>1012</v>
      </c>
      <c r="B7756" s="0" t="s">
        <v>168</v>
      </c>
      <c r="F7756" s="7" t="n">
        <f aca="false">(Sens!F7752-Sens!F7751+Sens!F7750)*(1-tax_f)/((Sens!E7753+Sens!F7753)/2)</f>
        <v>0.0429069654816909</v>
      </c>
      <c r="G7756" s="7" t="n">
        <f aca="false">(Sens!G7752-Sens!G7751+Sens!G7750)*(1-tax_f)/((Sens!F7753+Sens!G7753)/2)</f>
        <v>0.0403189680453549</v>
      </c>
      <c r="H7756" s="7" t="n">
        <f aca="false">(Sens!H7752-Sens!H7751+Sens!H7750)*(1-tax_f)/((Sens!G7753+Sens!H7753)/2)</f>
        <v>0.0307613080877867</v>
      </c>
      <c r="I7756" s="7" t="n">
        <f aca="false">(Sens!I7752-Sens!I7751+Sens!I7750)*(1-tax_f)/((Sens!H7753+Sens!I7753)/2)</f>
        <v>0.0366512650238845</v>
      </c>
      <c r="J7756" s="7" t="n">
        <f aca="false">(Sens!J7752-Sens!J7751+Sens!J7750)*(1-tax_f)/((Sens!I7753+Sens!J7753)/2)</f>
        <v>0.0417932659044041</v>
      </c>
      <c r="K7756" s="7" t="n">
        <f aca="false">(Sens!K7752-Sens!K7751+Sens!K7750)*(1-tax_f)/((Sens!J7753+Sens!K7753)/2)</f>
        <v>0.0477205040415821</v>
      </c>
    </row>
    <row r="7757" customFormat="false" ht="17.15" hidden="false" customHeight="false" outlineLevel="0" collapsed="false">
      <c r="A7757" s="1" t="s">
        <v>1013</v>
      </c>
      <c r="B7757" s="0" t="s">
        <v>168</v>
      </c>
      <c r="F7757" s="7" t="n">
        <f aca="false">Sens!F7682*(1-tax_f)/(Sens!F7668*(Sens!E7753+Sens!F7753)/2)</f>
        <v>0.098791430090569</v>
      </c>
      <c r="G7757" s="7" t="n">
        <f aca="false">Sens!G7682*(1-tax_f)/(Sens!G7668*(Sens!F7753+Sens!G7753)/2)</f>
        <v>0.0675308856427828</v>
      </c>
      <c r="H7757" s="7" t="n">
        <f aca="false">Sens!H7682*(1-tax_f)/(Sens!H7668*(Sens!G7753+Sens!H7753)/2)</f>
        <v>0.0388374979528754</v>
      </c>
      <c r="I7757" s="7" t="n">
        <f aca="false">Sens!I7682*(1-tax_f)/(Sens!I7668*(Sens!H7753+Sens!I7753)/2)</f>
        <v>0.0411035671771815</v>
      </c>
      <c r="J7757" s="7" t="n">
        <f aca="false">Sens!J7682*(1-tax_f)/(Sens!J7668*(Sens!I7753+Sens!J7753)/2)</f>
        <v>0.0445222722541192</v>
      </c>
      <c r="K7757" s="7" t="n">
        <f aca="false">Sens!K7682*(1-tax_f)/(Sens!K7668*(Sens!J7753+Sens!K7753)/2)</f>
        <v>0.0498866361688162</v>
      </c>
    </row>
    <row r="7758" customFormat="false" ht="17.15" hidden="false" customHeight="false" outlineLevel="0" collapsed="false">
      <c r="A7758" s="0" t="s">
        <v>1014</v>
      </c>
      <c r="B7758" s="0" t="s">
        <v>253</v>
      </c>
      <c r="F7758" s="7" t="n">
        <f aca="false">Sens!F7754-wacc</f>
        <v>-0.0600296254639064</v>
      </c>
      <c r="G7758" s="7" t="n">
        <f aca="false">Sens!G7754-wacc</f>
        <v>-0.0626176229002424</v>
      </c>
      <c r="H7758" s="7" t="n">
        <f aca="false">Sens!H7754-wacc</f>
        <v>-0.0721752828578106</v>
      </c>
      <c r="I7758" s="7" t="n">
        <f aca="false">Sens!I7754-wacc</f>
        <v>-0.0662853259217128</v>
      </c>
      <c r="J7758" s="7" t="n">
        <f aca="false">Sens!J7754-wacc</f>
        <v>-0.0611433250411932</v>
      </c>
      <c r="K7758" s="7" t="n">
        <f aca="false">Sens!K7754-wacc</f>
        <v>-0.0552160869040152</v>
      </c>
    </row>
    <row r="7759" customFormat="false" ht="17.15" hidden="false" customHeight="false" outlineLevel="0" collapsed="false">
      <c r="A7759" s="0" t="s">
        <v>1015</v>
      </c>
      <c r="B7759" s="0" t="s">
        <v>98</v>
      </c>
      <c r="F7759" s="6" t="n">
        <f aca="false">Sens!F7752*(1-tax_f)-wacc*(Sens!E7753+Sens!F7753)/2</f>
        <v>-11.6238565154813</v>
      </c>
      <c r="G7759" s="6" t="n">
        <f aca="false">Sens!G7752*(1-tax_f)-wacc*(Sens!F7753+Sens!G7753)/2</f>
        <v>-20.4244672240733</v>
      </c>
      <c r="H7759" s="6" t="n">
        <f aca="false">Sens!H7752*(1-tax_f)-wacc*(Sens!G7753+Sens!H7753)/2</f>
        <v>-32.163873277425</v>
      </c>
      <c r="I7759" s="6" t="n">
        <f aca="false">Sens!I7752*(1-tax_f)-wacc*(Sens!H7753+Sens!I7753)/2</f>
        <v>-34.9111844978463</v>
      </c>
      <c r="J7759" s="6" t="n">
        <f aca="false">Sens!J7752*(1-tax_f)-wacc*(Sens!I7753+Sens!J7753)/2</f>
        <v>-33.7712608743463</v>
      </c>
      <c r="K7759" s="6" t="n">
        <f aca="false">Sens!K7752*(1-tax_f)-wacc*(Sens!J7753+Sens!K7753)/2</f>
        <v>-29.7483128474176</v>
      </c>
    </row>
    <row r="7760" customFormat="false" ht="17.15" hidden="false" customHeight="false" outlineLevel="0" collapsed="false">
      <c r="A7760" s="3" t="s">
        <v>1673</v>
      </c>
    </row>
    <row r="7761" customFormat="false" ht="15" hidden="false" customHeight="false" outlineLevel="0" collapsed="false">
      <c r="A7761" s="4" t="s">
        <v>43</v>
      </c>
      <c r="B7761" s="4" t="s">
        <v>65</v>
      </c>
      <c r="C7761" s="23" t="s">
        <v>938</v>
      </c>
      <c r="D7761" s="23" t="s">
        <v>939</v>
      </c>
      <c r="E7761" s="23" t="s">
        <v>940</v>
      </c>
      <c r="F7761" s="23" t="s">
        <v>941</v>
      </c>
      <c r="G7761" s="23" t="s">
        <v>942</v>
      </c>
      <c r="H7761" s="23" t="s">
        <v>943</v>
      </c>
      <c r="I7761" s="23" t="s">
        <v>944</v>
      </c>
      <c r="J7761" s="23" t="s">
        <v>945</v>
      </c>
      <c r="K7761" s="23" t="s">
        <v>946</v>
      </c>
      <c r="L7761" s="4" t="s">
        <v>47</v>
      </c>
    </row>
    <row r="7762" customFormat="false" ht="15" hidden="false" customHeight="false" outlineLevel="0" collapsed="false">
      <c r="A7762" s="1" t="s">
        <v>1076</v>
      </c>
      <c r="B7762" s="0" t="s">
        <v>98</v>
      </c>
      <c r="F7762" s="6" t="n">
        <f aca="false">Sens!F7743</f>
        <v>141.769396960697</v>
      </c>
      <c r="G7762" s="6" t="n">
        <f aca="false">Sens!G7743</f>
        <v>144.713689772349</v>
      </c>
      <c r="H7762" s="6" t="n">
        <f aca="false">Sens!H7743</f>
        <v>147.136741531542</v>
      </c>
      <c r="I7762" s="6" t="n">
        <f aca="false">Sens!I7743</f>
        <v>155.736800394126</v>
      </c>
      <c r="J7762" s="6" t="n">
        <f aca="false">Sens!J7743</f>
        <v>165.479331307772</v>
      </c>
      <c r="K7762" s="6" t="n">
        <f aca="false">Sens!K7743</f>
        <v>176.416589136429</v>
      </c>
    </row>
    <row r="7763" customFormat="false" ht="17.15" hidden="false" customHeight="false" outlineLevel="0" collapsed="false">
      <c r="A7763" s="1" t="s">
        <v>1098</v>
      </c>
      <c r="B7763" s="0" t="s">
        <v>98</v>
      </c>
      <c r="E7763" s="6" t="n">
        <f aca="false">Q!M38-Sens!E7681</f>
        <v>22.2285940229167</v>
      </c>
      <c r="F7763" s="6" t="n">
        <f aca="false">Sens!E7763*(1-1/life_nonai)+(Sens!F7771+Sens!F7772)/life_nonai</f>
        <v>23.5940687754951</v>
      </c>
      <c r="G7763" s="6" t="n">
        <f aca="false">Sens!F7763*(1-1/life_nonai)+(Sens!G7771)/life_nonai</f>
        <v>25.3732909625423</v>
      </c>
      <c r="H7763" s="6" t="n">
        <f aca="false">Sens!G7763*(1-1/life_nonai)+(Sens!H7771)/life_nonai</f>
        <v>27.5335315753738</v>
      </c>
      <c r="I7763" s="6" t="n">
        <f aca="false">Sens!H7763*(1-1/life_nonai)+(Sens!I7771)/life_nonai</f>
        <v>30.0129813046714</v>
      </c>
      <c r="J7763" s="6" t="n">
        <f aca="false">Sens!I7763*(1-1/life_nonai)+(Sens!J7771)/life_nonai</f>
        <v>32.7322683955415</v>
      </c>
      <c r="K7763" s="6" t="n">
        <f aca="false">Sens!J7763*(1-1/life_nonai)+(Sens!K7771)/life_nonai</f>
        <v>35.606678423342</v>
      </c>
      <c r="L7763" s="12" t="s">
        <v>1099</v>
      </c>
    </row>
    <row r="7764" customFormat="false" ht="17.15" hidden="false" customHeight="false" outlineLevel="0" collapsed="false">
      <c r="A7764" s="1" t="s">
        <v>1100</v>
      </c>
      <c r="B7764" s="0" t="s">
        <v>98</v>
      </c>
      <c r="F7764" s="6" t="n">
        <f aca="false">Sens!$F$7772/life_nonai*(1-1/life_nonai)^(Sens!F7644-2027)</f>
        <v>0</v>
      </c>
      <c r="G7764" s="6" t="n">
        <f aca="false">Sens!$F$7772/life_nonai*(1-1/life_nonai)^(Sens!G7644-2027)</f>
        <v>0</v>
      </c>
      <c r="H7764" s="6" t="n">
        <f aca="false">Sens!$F$7772/life_nonai*(1-1/life_nonai)^(Sens!H7644-2027)</f>
        <v>0</v>
      </c>
      <c r="I7764" s="6" t="n">
        <f aca="false">Sens!$F$7772/life_nonai*(1-1/life_nonai)^(Sens!I7644-2027)</f>
        <v>0</v>
      </c>
      <c r="J7764" s="6" t="n">
        <f aca="false">Sens!$F$7772/life_nonai*(1-1/life_nonai)^(Sens!J7644-2027)</f>
        <v>0</v>
      </c>
      <c r="K7764" s="6" t="n">
        <f aca="false">Sens!$F$7772/life_nonai*(1-1/life_nonai)^(Sens!K7644-2027)</f>
        <v>0</v>
      </c>
      <c r="L7764" s="1" t="s">
        <v>1101</v>
      </c>
    </row>
    <row r="7765" customFormat="false" ht="17.15" hidden="false" customHeight="false" outlineLevel="0" collapsed="false">
      <c r="A7765" s="1" t="s">
        <v>1102</v>
      </c>
      <c r="B7765" s="0" t="s">
        <v>98</v>
      </c>
      <c r="E7765" s="6" t="n">
        <f aca="false">Sens!E7681+Sens!E7763</f>
        <v>38.534</v>
      </c>
      <c r="F7765" s="6" t="n">
        <f aca="false">Sens!F7681+Sens!F7763</f>
        <v>58.1733832538467</v>
      </c>
      <c r="G7765" s="6" t="n">
        <f aca="false">Sens!G7681+Sens!G7763</f>
        <v>86.1077816148413</v>
      </c>
      <c r="H7765" s="6" t="n">
        <f aca="false">Sens!H7681+Sens!H7763</f>
        <v>116.633622236819</v>
      </c>
      <c r="I7765" s="6" t="n">
        <f aca="false">Sens!I7681+Sens!I7763</f>
        <v>144.24399099922</v>
      </c>
      <c r="J7765" s="6" t="n">
        <f aca="false">Sens!J7681+Sens!J7763</f>
        <v>164.747941445138</v>
      </c>
      <c r="K7765" s="6" t="n">
        <f aca="false">Sens!K7681+Sens!K7763</f>
        <v>178.619347974276</v>
      </c>
    </row>
    <row r="7766" customFormat="false" ht="17.15" hidden="false" customHeight="false" outlineLevel="0" collapsed="false">
      <c r="A7766" s="1" t="s">
        <v>1103</v>
      </c>
      <c r="B7766" s="0" t="s">
        <v>98</v>
      </c>
      <c r="F7766" s="6" t="n">
        <f aca="false">Sens!F7708*sbc_r</f>
        <v>14.7668924193423</v>
      </c>
      <c r="G7766" s="6" t="n">
        <f aca="false">Sens!G7708*sbc_r</f>
        <v>17.2328157621047</v>
      </c>
      <c r="H7766" s="6" t="n">
        <f aca="false">Sens!H7708*sbc_r</f>
        <v>19.5432666281453</v>
      </c>
      <c r="I7766" s="6" t="n">
        <f aca="false">Sens!I7708*sbc_r</f>
        <v>21.9388752115224</v>
      </c>
      <c r="J7766" s="6" t="n">
        <f aca="false">Sens!J7708*sbc_r</f>
        <v>23.9432460518281</v>
      </c>
      <c r="K7766" s="6" t="n">
        <f aca="false">Sens!K7708*sbc_r</f>
        <v>25.5840829461533</v>
      </c>
    </row>
    <row r="7767" customFormat="false" ht="17.15" hidden="false" customHeight="false" outlineLevel="0" collapsed="false">
      <c r="A7767" s="1" t="s">
        <v>1104</v>
      </c>
      <c r="B7767" s="0" t="s">
        <v>98</v>
      </c>
      <c r="F7767" s="6" t="n">
        <f aca="false">wc27-wc26q1</f>
        <v>-4.677</v>
      </c>
      <c r="G7767" s="6" t="n">
        <f aca="false">wc_f</f>
        <v>0</v>
      </c>
      <c r="H7767" s="6" t="n">
        <f aca="false">wc_f</f>
        <v>0</v>
      </c>
      <c r="I7767" s="6" t="n">
        <f aca="false">wc_f</f>
        <v>0</v>
      </c>
      <c r="J7767" s="6" t="n">
        <f aca="false">wc_f</f>
        <v>0</v>
      </c>
      <c r="K7767" s="6" t="n">
        <f aca="false">wc_f</f>
        <v>0</v>
      </c>
      <c r="L7767" s="12" t="s">
        <v>1105</v>
      </c>
    </row>
    <row r="7768" customFormat="false" ht="17.15" hidden="false" customHeight="false" outlineLevel="0" collapsed="false">
      <c r="A7768" s="0" t="s">
        <v>1106</v>
      </c>
      <c r="B7768" s="0" t="s">
        <v>98</v>
      </c>
      <c r="F7768" s="6" t="n">
        <f aca="false">Q!$I$35-Q!$I$26-Q!$I$38-Q!$I$39</f>
        <v>6.493</v>
      </c>
      <c r="L7768" s="1" t="s">
        <v>1107</v>
      </c>
    </row>
    <row r="7769" customFormat="false" ht="15" hidden="false" customHeight="false" outlineLevel="0" collapsed="false">
      <c r="A7769" s="1" t="s">
        <v>904</v>
      </c>
      <c r="B7769" s="0" t="s">
        <v>98</v>
      </c>
      <c r="E7769" s="6" t="n">
        <f aca="false">Q!M35</f>
        <v>182.935</v>
      </c>
      <c r="F7769" s="6" t="n">
        <f aca="false">Sens!F7762+Sens!F7765+Sens!F7766+Sens!F7767+Sens!F7768</f>
        <v>216.525672633886</v>
      </c>
      <c r="G7769" s="6" t="n">
        <f aca="false">Sens!G7762+Sens!G7765+Sens!G7766+Sens!G7767</f>
        <v>248.054287149295</v>
      </c>
      <c r="H7769" s="6" t="n">
        <f aca="false">Sens!H7762+Sens!H7765+Sens!H7766+Sens!H7767</f>
        <v>283.313630396507</v>
      </c>
      <c r="I7769" s="6" t="n">
        <f aca="false">Sens!I7762+Sens!I7765+Sens!I7766+Sens!I7767</f>
        <v>321.919666604868</v>
      </c>
      <c r="J7769" s="6" t="n">
        <f aca="false">Sens!J7762+Sens!J7765+Sens!J7766+Sens!J7767</f>
        <v>354.170518804738</v>
      </c>
      <c r="K7769" s="6" t="n">
        <f aca="false">Sens!K7762+Sens!K7765+Sens!K7766+Sens!K7767</f>
        <v>380.620020056858</v>
      </c>
    </row>
    <row r="7770" customFormat="false" ht="17.15" hidden="false" customHeight="false" outlineLevel="0" collapsed="false">
      <c r="A7770" s="0" t="s">
        <v>1108</v>
      </c>
      <c r="B7770" s="0" t="s">
        <v>98</v>
      </c>
      <c r="F7770" s="6" t="n">
        <f aca="false">Sens!F7678</f>
        <v>168.45390404212</v>
      </c>
      <c r="G7770" s="6" t="n">
        <f aca="false">Sens!G7678</f>
        <v>191.944475649048</v>
      </c>
      <c r="H7770" s="6" t="n">
        <f aca="false">Sens!H7678</f>
        <v>196.806004064512</v>
      </c>
      <c r="I7770" s="6" t="n">
        <f aca="false">Sens!I7678</f>
        <v>168.61483362161</v>
      </c>
      <c r="J7770" s="6" t="n">
        <f aca="false">Sens!J7678</f>
        <v>128.92993119594</v>
      </c>
      <c r="K7770" s="6" t="n">
        <f aca="false">Sens!K7678</f>
        <v>118.962853064733</v>
      </c>
    </row>
    <row r="7771" customFormat="false" ht="17.15" hidden="false" customHeight="false" outlineLevel="0" collapsed="false">
      <c r="A7771" s="1" t="s">
        <v>1109</v>
      </c>
      <c r="B7771" s="0" t="s">
        <v>98</v>
      </c>
      <c r="E7771" s="6" t="n">
        <f aca="false">Sens!E7686*cx_azo+Sens!E7693*cx_m365+Sens!E7694*cx_lic+(Sens!E7696+Sens!E7698)*cx_ind+Sens!E7701*cx_srch+(Sens!E7703+Sens!E7705)*cx_dev</f>
        <v>30.1846587067718</v>
      </c>
      <c r="F7771" s="6" t="n">
        <f aca="false">Sens!F7686*cx_azo+Sens!F7693*cx_m365+Sens!F7694*cx_lic+(Sens!F7696+Sens!F7698)*cx_ind+Sens!F7701*cx_srch+(Sens!F7703+Sens!F7705)*cx_dev</f>
        <v>35.8833415487006</v>
      </c>
      <c r="G7771" s="6" t="n">
        <f aca="false">Sens!G7686*cx_azo+Sens!G7693*cx_m365+Sens!G7694*cx_lic+(Sens!G7696+Sens!G7698)*cx_ind+Sens!G7701*cx_srch+(Sens!G7703+Sens!G7705)*cx_dev</f>
        <v>41.3862906459676</v>
      </c>
      <c r="H7771" s="6" t="n">
        <f aca="false">Sens!H7686*cx_azo+Sens!H7693*cx_m365+Sens!H7694*cx_lic+(Sens!H7696+Sens!H7698)*cx_ind+Sens!H7701*cx_srch+(Sens!H7703+Sens!H7705)*cx_dev</f>
        <v>46.9756970908573</v>
      </c>
      <c r="I7771" s="6" t="n">
        <f aca="false">Sens!I7686*cx_azo+Sens!I7693*cx_m365+Sens!I7694*cx_lic+(Sens!I7696+Sens!I7698)*cx_ind+Sens!I7701*cx_srch+(Sens!I7703+Sens!I7705)*cx_dev</f>
        <v>52.3280288683491</v>
      </c>
      <c r="J7771" s="6" t="n">
        <f aca="false">Sens!J7686*cx_azo+Sens!J7693*cx_m365+Sens!J7694*cx_lic+(Sens!J7696+Sens!J7698)*cx_ind+Sens!J7701*cx_srch+(Sens!J7703+Sens!J7705)*cx_dev</f>
        <v>57.2058522133724</v>
      </c>
      <c r="K7771" s="6" t="n">
        <f aca="false">Sens!K7686*cx_azo+Sens!K7693*cx_m365+Sens!K7694*cx_lic+(Sens!K7696+Sens!K7698)*cx_ind+Sens!K7701*cx_srch+(Sens!K7703+Sens!K7705)*cx_dev</f>
        <v>61.4763686735464</v>
      </c>
    </row>
    <row r="7772" customFormat="false" ht="17.15" hidden="false" customHeight="false" outlineLevel="0" collapsed="false">
      <c r="A7772" s="0" t="s">
        <v>1110</v>
      </c>
      <c r="B7772" s="0" t="s">
        <v>98</v>
      </c>
      <c r="F7772" s="6" t="n">
        <f aca="false">Sens!F7676</f>
        <v>0</v>
      </c>
      <c r="L7772" s="1" t="s">
        <v>1111</v>
      </c>
    </row>
    <row r="7773" customFormat="false" ht="17.15" hidden="false" customHeight="false" outlineLevel="0" collapsed="false">
      <c r="A7773" s="1" t="s">
        <v>1112</v>
      </c>
      <c r="B7773" s="0" t="s">
        <v>98</v>
      </c>
      <c r="E7773" s="6" t="n">
        <f aca="false">Q!M43</f>
        <v>145.3</v>
      </c>
      <c r="F7773" s="6" t="n">
        <f aca="false">Sens!F7770+Sens!F7771+Sens!F7772</f>
        <v>204.33724559082</v>
      </c>
      <c r="G7773" s="6" t="n">
        <f aca="false">Sens!G7770+Sens!G7771</f>
        <v>233.330766295016</v>
      </c>
      <c r="H7773" s="6" t="n">
        <f aca="false">Sens!H7770+Sens!H7771</f>
        <v>243.78170115537</v>
      </c>
      <c r="I7773" s="6" t="n">
        <f aca="false">Sens!I7770+Sens!I7771</f>
        <v>220.942862489959</v>
      </c>
      <c r="J7773" s="6" t="n">
        <f aca="false">Sens!J7770+Sens!J7771</f>
        <v>186.135783409313</v>
      </c>
      <c r="K7773" s="6" t="n">
        <f aca="false">Sens!K7770+Sens!K7771</f>
        <v>180.439221738279</v>
      </c>
      <c r="L7773" s="1" t="s">
        <v>1113</v>
      </c>
    </row>
    <row r="7774" customFormat="false" ht="15" hidden="false" customHeight="false" outlineLevel="0" collapsed="false">
      <c r="A7774" s="1" t="s">
        <v>1114</v>
      </c>
      <c r="B7774" s="0" t="s">
        <v>98</v>
      </c>
      <c r="E7774" s="6" t="n">
        <f aca="false">fl_liab</f>
        <v>66.594</v>
      </c>
      <c r="F7774" s="6" t="n">
        <f aca="false">Sens!E7774-Sens!F7775</f>
        <v>62.46973</v>
      </c>
      <c r="G7774" s="6" t="n">
        <f aca="false">Sens!F7774-Sens!G7775</f>
        <v>57.98686785</v>
      </c>
      <c r="H7774" s="6" t="n">
        <f aca="false">Sens!G7774-Sens!H7775</f>
        <v>53.92827690325</v>
      </c>
      <c r="I7774" s="6" t="n">
        <f aca="false">Sens!H7774-Sens!I7775</f>
        <v>49.7850493638962</v>
      </c>
      <c r="J7774" s="6" t="n">
        <f aca="false">Sens!I7774-Sens!J7775</f>
        <v>45.4823765852716</v>
      </c>
      <c r="K7774" s="6" t="n">
        <f aca="false">Sens!J7774-Sens!K7775</f>
        <v>40.9860835316088</v>
      </c>
    </row>
    <row r="7775" customFormat="false" ht="15" hidden="false" customHeight="false" outlineLevel="0" collapsed="false">
      <c r="A7775" s="1" t="s">
        <v>1115</v>
      </c>
      <c r="B7775" s="0" t="s">
        <v>98</v>
      </c>
      <c r="F7775" s="6" t="n">
        <f aca="false">fl_pay_27-Sens!E7774*fl_rate</f>
        <v>4.12427</v>
      </c>
      <c r="G7775" s="6" t="n">
        <f aca="false">fl_pay_28-Sens!F7774*fl_rate</f>
        <v>4.48286215</v>
      </c>
      <c r="H7775" s="6" t="n">
        <f aca="false">fl_pay_29-Sens!G7774*fl_rate</f>
        <v>4.05859094675</v>
      </c>
      <c r="I7775" s="6" t="n">
        <f aca="false">fl_pay_30-Sens!H7774*fl_rate</f>
        <v>4.14322753935375</v>
      </c>
      <c r="J7775" s="6" t="n">
        <f aca="false">fl_pay_31-Sens!I7774*fl_rate</f>
        <v>4.30267277862467</v>
      </c>
      <c r="K7775" s="6" t="n">
        <f aca="false">fl_pay_32-Sens!J7774*fl_rate</f>
        <v>4.49629305366278</v>
      </c>
    </row>
    <row r="7776" customFormat="false" ht="17.15" hidden="false" customHeight="false" outlineLevel="0" collapsed="false">
      <c r="A7776" s="1" t="s">
        <v>1116</v>
      </c>
      <c r="B7776" s="0" t="s">
        <v>98</v>
      </c>
      <c r="E7776" s="6" t="n">
        <f aca="false">Q!M35-Q!M36-Q!M44</f>
        <v>63.886</v>
      </c>
      <c r="F7776" s="6" t="n">
        <f aca="false">Sens!F7769-Sens!F7773-Sens!F7775</f>
        <v>8.06415704306562</v>
      </c>
      <c r="G7776" s="6" t="n">
        <f aca="false">Sens!G7769-Sens!G7773-Sens!G7775</f>
        <v>10.2406587042793</v>
      </c>
      <c r="H7776" s="6" t="n">
        <f aca="false">Sens!H7769-Sens!H7773-Sens!H7775</f>
        <v>35.4733382943873</v>
      </c>
      <c r="I7776" s="6" t="n">
        <f aca="false">Sens!I7769-Sens!I7773-Sens!I7775</f>
        <v>96.8335765755548</v>
      </c>
      <c r="J7776" s="6" t="n">
        <f aca="false">Sens!J7769-Sens!J7773-Sens!J7775</f>
        <v>163.732062616801</v>
      </c>
      <c r="K7776" s="6" t="n">
        <f aca="false">Sens!K7769-Sens!K7773-Sens!K7775</f>
        <v>195.684505264916</v>
      </c>
      <c r="L7776" s="12" t="s">
        <v>1117</v>
      </c>
    </row>
    <row r="7777" customFormat="false" ht="15" hidden="false" customHeight="false" outlineLevel="0" collapsed="false">
      <c r="A7777" s="1" t="s">
        <v>1118</v>
      </c>
      <c r="B7777" s="0" t="s">
        <v>75</v>
      </c>
      <c r="F7777" s="8" t="n">
        <f aca="false">dps_27</f>
        <v>3.85</v>
      </c>
      <c r="G7777" s="8" t="n">
        <f aca="false">Sens!F7777*(1+dps_g)</f>
        <v>4.158</v>
      </c>
      <c r="H7777" s="8" t="n">
        <f aca="false">Sens!G7777*(1+dps_g)</f>
        <v>4.49064</v>
      </c>
      <c r="I7777" s="8" t="n">
        <f aca="false">Sens!H7777*(1+dps_g)</f>
        <v>4.8498912</v>
      </c>
      <c r="J7777" s="8" t="n">
        <f aca="false">Sens!I7777*(1+dps_g)</f>
        <v>5.237882496</v>
      </c>
      <c r="K7777" s="8" t="n">
        <f aca="false">Sens!J7777*(1+dps_g)</f>
        <v>5.65691309568</v>
      </c>
    </row>
    <row r="7778" customFormat="false" ht="17.15" hidden="false" customHeight="false" outlineLevel="0" collapsed="false">
      <c r="A7778" s="1" t="s">
        <v>1119</v>
      </c>
      <c r="B7778" s="0" t="s">
        <v>98</v>
      </c>
      <c r="E7778" s="6" t="n">
        <f aca="false">Q!M41</f>
        <v>26.445</v>
      </c>
      <c r="F7778" s="6" t="n">
        <f aca="false">Sens!F7777*Sens!E7787</f>
        <v>28.59395</v>
      </c>
      <c r="G7778" s="6" t="n">
        <f aca="false">Sens!G7777*Sens!F7787</f>
        <v>31.068576</v>
      </c>
      <c r="H7778" s="6" t="n">
        <f aca="false">Sens!H7777*Sens!G7787</f>
        <v>33.75614088</v>
      </c>
      <c r="I7778" s="6" t="n">
        <f aca="false">Sens!I7777*Sens!H7787</f>
        <v>36.6748772544</v>
      </c>
      <c r="J7778" s="6" t="n">
        <f aca="false">Sens!J7777*Sens!I7787</f>
        <v>39.6767653201446</v>
      </c>
      <c r="K7778" s="6" t="n">
        <f aca="false">Sens!K7777*Sens!J7787</f>
        <v>42.9376608081345</v>
      </c>
      <c r="L7778" s="1" t="s">
        <v>1120</v>
      </c>
    </row>
    <row r="7779" customFormat="false" ht="15" hidden="false" customHeight="false" outlineLevel="0" collapsed="false">
      <c r="A7779" s="1" t="s">
        <v>1121</v>
      </c>
      <c r="B7779" s="0" t="s">
        <v>98</v>
      </c>
      <c r="E7779" s="6" t="n">
        <f aca="false">Sens!E7776-Sens!E7778</f>
        <v>37.441</v>
      </c>
      <c r="F7779" s="6" t="n">
        <f aca="false">Sens!F7776-Sens!F7778</f>
        <v>-20.5297929569344</v>
      </c>
      <c r="G7779" s="6" t="n">
        <f aca="false">Sens!G7776-Sens!G7778</f>
        <v>-20.8279172957207</v>
      </c>
      <c r="H7779" s="6" t="n">
        <f aca="false">Sens!H7776-Sens!H7778</f>
        <v>1.71719741438724</v>
      </c>
      <c r="I7779" s="6" t="n">
        <f aca="false">Sens!I7776-Sens!I7778</f>
        <v>60.1586993211548</v>
      </c>
      <c r="J7779" s="6" t="n">
        <f aca="false">Sens!J7776-Sens!J7778</f>
        <v>124.055297296656</v>
      </c>
      <c r="K7779" s="6" t="n">
        <f aca="false">Sens!K7776-Sens!K7778</f>
        <v>152.746844456782</v>
      </c>
    </row>
    <row r="7780" customFormat="false" ht="15" hidden="false" customHeight="false" outlineLevel="0" collapsed="false">
      <c r="A7780" s="1" t="s">
        <v>1122</v>
      </c>
      <c r="B7780" s="0" t="s">
        <v>98</v>
      </c>
      <c r="F7780" s="6" t="n">
        <f aca="false">debt_mat_27</f>
        <v>9.25</v>
      </c>
      <c r="G7780" s="6" t="n">
        <f aca="false">debt_mat_28</f>
        <v>0</v>
      </c>
      <c r="H7780" s="6" t="n">
        <f aca="false">debt_mat_29</f>
        <v>2.001</v>
      </c>
      <c r="I7780" s="6" t="n">
        <f aca="false">debt_mat_30</f>
        <v>0</v>
      </c>
      <c r="J7780" s="6" t="n">
        <f aca="false">debt_mat_31</f>
        <v>0.5</v>
      </c>
      <c r="K7780" s="6" t="n">
        <f aca="false">debt_mat_32</f>
        <v>0</v>
      </c>
    </row>
    <row r="7781" customFormat="false" ht="15" hidden="false" customHeight="false" outlineLevel="0" collapsed="false">
      <c r="A7781" s="1" t="s">
        <v>1123</v>
      </c>
      <c r="B7781" s="0" t="s">
        <v>98</v>
      </c>
      <c r="E7781" s="6" t="n">
        <f aca="false">Q!M40</f>
        <v>22.271</v>
      </c>
      <c r="F7781" s="6" t="n">
        <f aca="false">MAX(0,MIN(bb_target,Sens!E7783+Sens!F7779-Sens!F7780-min_cash))</f>
        <v>0</v>
      </c>
      <c r="G7781" s="6" t="n">
        <f aca="false">MAX(0,MIN(bb_target,Sens!F7783+Sens!G7779-Sens!G7780-min_cash))</f>
        <v>0</v>
      </c>
      <c r="H7781" s="6" t="n">
        <f aca="false">MAX(0,MIN(bb_target,Sens!G7783+Sens!H7779-Sens!H7780-min_cash))</f>
        <v>0</v>
      </c>
      <c r="I7781" s="6" t="n">
        <f aca="false">MAX(0,MIN(bb_target,Sens!H7783+Sens!I7779-Sens!I7780-min_cash))</f>
        <v>22.271</v>
      </c>
      <c r="J7781" s="6" t="n">
        <f aca="false">MAX(0,MIN(bb_target,Sens!I7783+Sens!J7779-Sens!J7780-min_cash))</f>
        <v>22.271</v>
      </c>
      <c r="K7781" s="6" t="n">
        <f aca="false">MAX(0,MIN(bb_target,Sens!J7783+Sens!K7779-Sens!K7780-min_cash))</f>
        <v>22.271</v>
      </c>
    </row>
    <row r="7782" customFormat="false" ht="15" hidden="false" customHeight="false" outlineLevel="0" collapsed="false">
      <c r="A7782" s="1" t="s">
        <v>1124</v>
      </c>
      <c r="B7782" s="0" t="s">
        <v>98</v>
      </c>
      <c r="F7782" s="6" t="n">
        <f aca="false">MAX(0,min_cash-(Sens!E7783+Sens!F7779-Sens!F7780-Sens!F7781))</f>
        <v>2.93679295693438</v>
      </c>
      <c r="G7782" s="6" t="n">
        <f aca="false">MAX(0,min_cash-(Sens!F7783+Sens!G7779-Sens!G7780-Sens!G7781))</f>
        <v>20.8279172957207</v>
      </c>
      <c r="H7782" s="6" t="n">
        <f aca="false">MAX(0,min_cash-(Sens!G7783+Sens!H7779-Sens!H7780-Sens!H7781))</f>
        <v>0.283802585612754</v>
      </c>
      <c r="I7782" s="6" t="n">
        <f aca="false">MAX(0,min_cash-(Sens!H7783+Sens!I7779-Sens!I7780-Sens!I7781))</f>
        <v>0</v>
      </c>
      <c r="J7782" s="6" t="n">
        <f aca="false">MAX(0,min_cash-(Sens!I7783+Sens!J7779-Sens!J7780-Sens!J7781))</f>
        <v>0</v>
      </c>
      <c r="K7782" s="6" t="n">
        <f aca="false">MAX(0,min_cash-(Sens!J7783+Sens!K7779-Sens!K7780-Sens!K7781))</f>
        <v>0</v>
      </c>
    </row>
    <row r="7783" customFormat="false" ht="15" hidden="false" customHeight="false" outlineLevel="0" collapsed="false">
      <c r="A7783" s="1" t="s">
        <v>1125</v>
      </c>
      <c r="B7783" s="0" t="s">
        <v>98</v>
      </c>
      <c r="E7783" s="6" t="n">
        <f aca="false">cash_open</f>
        <v>76.843</v>
      </c>
      <c r="F7783" s="6" t="n">
        <f aca="false">Sens!E7783+Sens!F7779-Sens!F7780-Sens!F7781+Sens!F7782</f>
        <v>50</v>
      </c>
      <c r="G7783" s="6" t="n">
        <f aca="false">Sens!F7783+Sens!G7779-Sens!G7780-Sens!G7781+Sens!G7782</f>
        <v>50</v>
      </c>
      <c r="H7783" s="6" t="n">
        <f aca="false">Sens!G7783+Sens!H7779-Sens!H7780-Sens!H7781+Sens!H7782</f>
        <v>50</v>
      </c>
      <c r="I7783" s="6" t="n">
        <f aca="false">Sens!H7783+Sens!I7779-Sens!I7780-Sens!I7781+Sens!I7782</f>
        <v>87.8876993211548</v>
      </c>
      <c r="J7783" s="6" t="n">
        <f aca="false">Sens!I7783+Sens!J7779-Sens!J7780-Sens!J7781+Sens!J7782</f>
        <v>189.171996617811</v>
      </c>
      <c r="K7783" s="6" t="n">
        <f aca="false">Sens!J7783+Sens!K7779-Sens!K7780-Sens!K7781+Sens!K7782</f>
        <v>319.647841074592</v>
      </c>
    </row>
    <row r="7784" customFormat="false" ht="15" hidden="false" customHeight="false" outlineLevel="0" collapsed="false">
      <c r="A7784" s="1" t="s">
        <v>1126</v>
      </c>
      <c r="B7784" s="0" t="s">
        <v>98</v>
      </c>
      <c r="E7784" s="6" t="n">
        <f aca="false">debt_face</f>
        <v>46.136</v>
      </c>
      <c r="F7784" s="6" t="n">
        <f aca="false">Sens!E7784-Sens!F7780+Sens!F7782</f>
        <v>39.8227929569344</v>
      </c>
      <c r="G7784" s="6" t="n">
        <f aca="false">Sens!F7784-Sens!G7780+Sens!G7782</f>
        <v>60.650710252655</v>
      </c>
      <c r="H7784" s="6" t="n">
        <f aca="false">Sens!G7784-Sens!H7780+Sens!H7782</f>
        <v>58.9335128382678</v>
      </c>
      <c r="I7784" s="6" t="n">
        <f aca="false">Sens!H7784-Sens!I7780+Sens!I7782</f>
        <v>58.9335128382678</v>
      </c>
      <c r="J7784" s="6" t="n">
        <f aca="false">Sens!I7784-Sens!J7780+Sens!J7782</f>
        <v>58.4335128382678</v>
      </c>
      <c r="K7784" s="6" t="n">
        <f aca="false">Sens!J7784-Sens!K7780+Sens!K7782</f>
        <v>58.4335128382678</v>
      </c>
    </row>
    <row r="7785" customFormat="false" ht="15" hidden="false" customHeight="false" outlineLevel="0" collapsed="false">
      <c r="A7785" s="1" t="s">
        <v>1127</v>
      </c>
      <c r="B7785" s="0" t="s">
        <v>98</v>
      </c>
      <c r="E7785" s="6" t="n">
        <f aca="false">Sens!E7783-Sens!E7784</f>
        <v>30.707</v>
      </c>
      <c r="F7785" s="6" t="n">
        <f aca="false">Sens!F7783-Sens!F7784</f>
        <v>10.1772070430656</v>
      </c>
      <c r="G7785" s="6" t="n">
        <f aca="false">Sens!G7783-Sens!G7784</f>
        <v>-10.650710252655</v>
      </c>
      <c r="H7785" s="6" t="n">
        <f aca="false">Sens!H7783-Sens!H7784</f>
        <v>-8.9335128382678</v>
      </c>
      <c r="I7785" s="6" t="n">
        <f aca="false">Sens!I7783-Sens!I7784</f>
        <v>28.954186482887</v>
      </c>
      <c r="J7785" s="6" t="n">
        <f aca="false">Sens!J7783-Sens!J7784</f>
        <v>130.738483779543</v>
      </c>
      <c r="K7785" s="6" t="n">
        <f aca="false">Sens!K7783-Sens!K7784</f>
        <v>261.214328236325</v>
      </c>
    </row>
    <row r="7786" customFormat="false" ht="15" hidden="false" customHeight="false" outlineLevel="0" collapsed="false">
      <c r="A7786" s="1" t="s">
        <v>1128</v>
      </c>
      <c r="B7786" s="0" t="s">
        <v>75</v>
      </c>
      <c r="F7786" s="30" t="n">
        <f aca="false">px*(1+bb_g)^(Sens!F7644-base_fy-mid_yr)</f>
        <v>551.84177959629</v>
      </c>
      <c r="G7786" s="30" t="n">
        <f aca="false">px*(1+bb_g)^(Sens!G7644-base_fy-mid_yr)</f>
        <v>595.989121963993</v>
      </c>
      <c r="H7786" s="30" t="n">
        <f aca="false">px*(1+bb_g)^(Sens!H7644-base_fy-mid_yr)</f>
        <v>643.668251721112</v>
      </c>
      <c r="I7786" s="30" t="n">
        <f aca="false">px*(1+bb_g)^(Sens!I7644-base_fy-mid_yr)</f>
        <v>695.161711858801</v>
      </c>
      <c r="J7786" s="30" t="n">
        <f aca="false">px*(1+bb_g)^(Sens!J7644-base_fy-mid_yr)</f>
        <v>750.774648807506</v>
      </c>
      <c r="K7786" s="30" t="n">
        <f aca="false">px*(1+bb_g)^(Sens!K7644-base_fy-mid_yr)</f>
        <v>810.836620712106</v>
      </c>
    </row>
    <row r="7787" customFormat="false" ht="15" hidden="false" customHeight="false" outlineLevel="0" collapsed="false">
      <c r="A7787" s="1" t="s">
        <v>1129</v>
      </c>
      <c r="B7787" s="1" t="s">
        <v>81</v>
      </c>
      <c r="E7787" s="15" t="n">
        <f aca="false">sh_out26</f>
        <v>7.427</v>
      </c>
      <c r="F7787" s="15" t="n">
        <f aca="false">Sens!E7787+sh_iss-Sens!F7781/Sens!F7786</f>
        <v>7.472</v>
      </c>
      <c r="G7787" s="15" t="n">
        <f aca="false">Sens!F7787+sh_iss-Sens!G7781/Sens!G7786</f>
        <v>7.517</v>
      </c>
      <c r="H7787" s="15" t="n">
        <f aca="false">Sens!G7787+sh_iss-Sens!H7781/Sens!H7786</f>
        <v>7.562</v>
      </c>
      <c r="I7787" s="15" t="n">
        <f aca="false">Sens!H7787+sh_iss-Sens!I7781/Sens!I7786</f>
        <v>7.57496285005334</v>
      </c>
      <c r="J7787" s="15" t="n">
        <f aca="false">Sens!I7787+sh_iss-Sens!J7781/Sens!J7786</f>
        <v>7.59029882232494</v>
      </c>
      <c r="K7787" s="15" t="n">
        <f aca="false">Sens!J7787+sh_iss-Sens!K7781/Sens!K7786</f>
        <v>7.60783212998384</v>
      </c>
    </row>
    <row r="7788" customFormat="false" ht="15" hidden="false" customHeight="false" outlineLevel="0" collapsed="false">
      <c r="A7788" s="1" t="s">
        <v>1130</v>
      </c>
      <c r="B7788" s="1" t="s">
        <v>81</v>
      </c>
      <c r="E7788" s="15" t="n">
        <f aca="false">sh_dil26</f>
        <v>7.453</v>
      </c>
      <c r="F7788" s="15" t="n">
        <f aca="false">(Sens!E7787+Sens!F7787)/2+dil_gap</f>
        <v>7.4735</v>
      </c>
      <c r="G7788" s="15" t="n">
        <f aca="false">(Sens!F7787+Sens!G7787)/2+dil_gap</f>
        <v>7.5185</v>
      </c>
      <c r="H7788" s="15" t="n">
        <f aca="false">(Sens!G7787+Sens!H7787)/2+dil_gap</f>
        <v>7.5635</v>
      </c>
      <c r="I7788" s="15" t="n">
        <f aca="false">(Sens!H7787+Sens!I7787)/2+dil_gap</f>
        <v>7.59248142502667</v>
      </c>
      <c r="J7788" s="15" t="n">
        <f aca="false">(Sens!I7787+Sens!J7787)/2+dil_gap</f>
        <v>7.60663083618914</v>
      </c>
      <c r="K7788" s="15" t="n">
        <f aca="false">(Sens!J7787+Sens!K7787)/2+dil_gap</f>
        <v>7.62306547615439</v>
      </c>
    </row>
    <row r="7789" customFormat="false" ht="17.15" hidden="false" customHeight="false" outlineLevel="0" collapsed="false">
      <c r="A7789" s="1" t="s">
        <v>1131</v>
      </c>
      <c r="B7789" s="0" t="s">
        <v>98</v>
      </c>
      <c r="C7789" s="6" t="n">
        <f aca="false">SUM(Sens!F7779:J7779)</f>
        <v>144.573483779543</v>
      </c>
    </row>
    <row r="7790" customFormat="false" ht="15" hidden="false" customHeight="false" outlineLevel="0" collapsed="false">
      <c r="A7790" s="26" t="s">
        <v>1096</v>
      </c>
      <c r="B7790" s="31" t="s">
        <v>98</v>
      </c>
      <c r="C7790" s="27" t="n">
        <f aca="false">Sens!$C$7789-(Sens!F7779+Sens!G7779+Sens!H7779+Sens!I7779+Sens!J7779)</f>
        <v>0</v>
      </c>
      <c r="D7790" s="31"/>
      <c r="E7790" s="31"/>
      <c r="F7790" s="31"/>
      <c r="G7790" s="31"/>
      <c r="H7790" s="31"/>
      <c r="I7790" s="31"/>
      <c r="J7790" s="31"/>
      <c r="K7790" s="31"/>
    </row>
    <row r="7791" customFormat="false" ht="17.15" hidden="false" customHeight="false" outlineLevel="0" collapsed="false">
      <c r="A7791" s="1" t="s">
        <v>1090</v>
      </c>
      <c r="B7791" s="1" t="s">
        <v>1132</v>
      </c>
      <c r="C7791" s="33" t="str">
        <f aca="false">IF(SUM(Sens!F7782:J7782)&gt;0.05,"需要舉債 "&amp;TEXT(SUM(Sens!F7782:J7782),"0.0")&amp;" 十億美元","不需舉債")&amp;"；"&amp;IF(SUM(Sens!F7781:J7781)&lt;COUNT(Sens!F7781:J7781)*bb_target-0.05,"回購較每年 "&amp;TEXT(bb_target,"0.0")&amp;" 的目標少 "&amp;TEXT(COUNT(Sens!F7781:J7781)*bb_target-SUM(Sens!F7781:J7781),"0.0")&amp;" 十億美元（"&amp;TEXT(COUNTIF(Sens!F7781:J7781,"&lt;"&amp;(bb_target-0.05)),"0")&amp;" 年減少）","回購不減")</f>
        <v>需要舉債 24.0 十億美元；回購較每年 22.3 的目標少 66.8 十億美元（3 年減少）</v>
      </c>
    </row>
    <row r="7792" customFormat="false" ht="17.15" hidden="false" customHeight="false" outlineLevel="0" collapsed="false">
      <c r="A7792" s="3" t="s">
        <v>1674</v>
      </c>
    </row>
    <row r="7793" customFormat="false" ht="15" hidden="false" customHeight="false" outlineLevel="0" collapsed="false">
      <c r="A7793" s="4" t="s">
        <v>43</v>
      </c>
      <c r="B7793" s="4" t="s">
        <v>65</v>
      </c>
      <c r="C7793" s="23" t="s">
        <v>938</v>
      </c>
      <c r="D7793" s="23" t="s">
        <v>939</v>
      </c>
      <c r="E7793" s="23" t="s">
        <v>940</v>
      </c>
      <c r="F7793" s="23" t="s">
        <v>941</v>
      </c>
      <c r="G7793" s="23" t="s">
        <v>942</v>
      </c>
      <c r="H7793" s="23" t="s">
        <v>943</v>
      </c>
      <c r="I7793" s="23" t="s">
        <v>944</v>
      </c>
      <c r="J7793" s="23" t="s">
        <v>945</v>
      </c>
      <c r="K7793" s="23" t="s">
        <v>946</v>
      </c>
      <c r="L7793" s="4" t="s">
        <v>47</v>
      </c>
    </row>
    <row r="7794" customFormat="false" ht="17.15" hidden="false" customHeight="false" outlineLevel="0" collapsed="false">
      <c r="A7794" s="1" t="s">
        <v>1212</v>
      </c>
      <c r="B7794" s="1" t="s">
        <v>279</v>
      </c>
      <c r="F7794" s="8" t="n">
        <f aca="false">(1-v_off)*mid_yr</f>
        <v>0.373972602739726</v>
      </c>
      <c r="G7794" s="8" t="n">
        <f aca="false">Sens!G7644-base_fy-mid_yr-v_off</f>
        <v>1.24794520547945</v>
      </c>
      <c r="H7794" s="8" t="n">
        <f aca="false">Sens!H7644-base_fy-mid_yr-v_off</f>
        <v>2.24794520547945</v>
      </c>
      <c r="I7794" s="8" t="n">
        <f aca="false">Sens!I7644-base_fy-mid_yr-v_off</f>
        <v>3.24794520547945</v>
      </c>
      <c r="J7794" s="8" t="n">
        <f aca="false">Sens!J7644-base_fy-mid_yr-v_off</f>
        <v>4.24794520547945</v>
      </c>
      <c r="K7794" s="8" t="n">
        <f aca="false">Sens!K7644-base_fy-mid_yr-v_off</f>
        <v>5.24794520547945</v>
      </c>
      <c r="L7794" s="12" t="s">
        <v>1213</v>
      </c>
    </row>
    <row r="7795" customFormat="false" ht="15" hidden="false" customHeight="false" outlineLevel="0" collapsed="false">
      <c r="A7795" s="1" t="s">
        <v>1214</v>
      </c>
      <c r="B7795" s="1" t="s">
        <v>279</v>
      </c>
      <c r="F7795" s="8" t="n">
        <f aca="false">Sens!F7644-base_fy-v_off</f>
        <v>0.747945205479452</v>
      </c>
      <c r="G7795" s="8" t="n">
        <f aca="false">Sens!G7644-base_fy-v_off</f>
        <v>1.74794520547945</v>
      </c>
      <c r="H7795" s="8" t="n">
        <f aca="false">Sens!H7644-base_fy-v_off</f>
        <v>2.74794520547945</v>
      </c>
      <c r="I7795" s="8" t="n">
        <f aca="false">Sens!I7644-base_fy-v_off</f>
        <v>3.74794520547945</v>
      </c>
      <c r="J7795" s="8" t="n">
        <f aca="false">Sens!J7644-base_fy-v_off</f>
        <v>4.74794520547945</v>
      </c>
      <c r="K7795" s="8" t="n">
        <f aca="false">Sens!K7644-base_fy-v_off</f>
        <v>5.74794520547945</v>
      </c>
    </row>
    <row r="7796" customFormat="false" ht="15" hidden="false" customHeight="false" outlineLevel="0" collapsed="false">
      <c r="A7796" s="1" t="s">
        <v>1215</v>
      </c>
      <c r="B7796" s="0" t="s">
        <v>229</v>
      </c>
      <c r="F7796" s="15" t="n">
        <f aca="false">1/(1+wacc)^Sens!F7794</f>
        <v>0.964022703286649</v>
      </c>
      <c r="G7796" s="15" t="n">
        <f aca="false">1/(1+wacc)^Sens!G7794</f>
        <v>0.884910302296739</v>
      </c>
      <c r="H7796" s="15" t="n">
        <f aca="false">1/(1+wacc)^Sens!H7794</f>
        <v>0.802322009770358</v>
      </c>
      <c r="I7796" s="15" t="n">
        <f aca="false">1/(1+wacc)^Sens!I7794</f>
        <v>0.727441646561469</v>
      </c>
      <c r="J7796" s="15" t="n">
        <f aca="false">1/(1+wacc)^Sens!J7794</f>
        <v>0.659549834988973</v>
      </c>
      <c r="K7796" s="15" t="n">
        <f aca="false">1/(1+wacc)^Sens!K7794</f>
        <v>0.597994336576966</v>
      </c>
    </row>
    <row r="7797" customFormat="false" ht="17.15" hidden="false" customHeight="false" outlineLevel="0" collapsed="false">
      <c r="A7797" s="1" t="s">
        <v>1216</v>
      </c>
      <c r="B7797" s="0" t="s">
        <v>98</v>
      </c>
      <c r="F7797" s="6" t="n">
        <f aca="false">Q!$I$35-Q!$I$39-Q!$I$43</f>
        <v>9.666</v>
      </c>
      <c r="L7797" s="12" t="s">
        <v>1217</v>
      </c>
    </row>
    <row r="7798" customFormat="false" ht="17.15" hidden="false" customHeight="false" outlineLevel="0" collapsed="false">
      <c r="A7798" s="1" t="s">
        <v>1218</v>
      </c>
      <c r="B7798" s="0" t="s">
        <v>98</v>
      </c>
      <c r="F7798" s="6" t="n">
        <f aca="false">Sens!F7769-Sens!F7766-Sens!F7773+Sens!F7751*(1-tax_f)*(1-v_off)-Sens!F7797</f>
        <v>-6.16034352587163</v>
      </c>
      <c r="G7798" s="6" t="n">
        <f aca="false">Sens!G7769-Sens!G7766-Sens!G7773+Sens!G7751*(1-tax_f)</f>
        <v>18.7386992005393</v>
      </c>
      <c r="H7798" s="6" t="n">
        <f aca="false">Sens!H7769-Sens!H7766-Sens!H7773+Sens!H7751*(1-tax_f)</f>
        <v>55.5287549614626</v>
      </c>
      <c r="I7798" s="6" t="n">
        <f aca="false">Sens!I7769-Sens!I7766-Sens!I7773+Sens!I7751*(1-tax_f)</f>
        <v>127.428617485076</v>
      </c>
      <c r="J7798" s="6" t="n">
        <f aca="false">Sens!J7769-Sens!J7766-Sens!J7773+Sens!J7751*(1-tax_f)</f>
        <v>201.447079095206</v>
      </c>
      <c r="K7798" s="6" t="n">
        <f aca="false">Sens!K7769-Sens!K7766-Sens!K7773+Sens!K7751*(1-tax_f)</f>
        <v>236.996467857365</v>
      </c>
      <c r="L7798" s="1" t="s">
        <v>1219</v>
      </c>
    </row>
    <row r="7799" customFormat="false" ht="15" hidden="false" customHeight="false" outlineLevel="0" collapsed="false">
      <c r="A7799" s="1" t="s">
        <v>1220</v>
      </c>
      <c r="B7799" s="0" t="s">
        <v>98</v>
      </c>
      <c r="F7799" s="6" t="n">
        <f aca="false">Sens!F7798*Sens!F7796</f>
        <v>-5.93871101898517</v>
      </c>
      <c r="G7799" s="6" t="n">
        <f aca="false">Sens!G7798*Sens!G7796</f>
        <v>16.5820679741969</v>
      </c>
      <c r="H7799" s="6" t="n">
        <f aca="false">Sens!H7798*Sens!H7796</f>
        <v>44.5519422807264</v>
      </c>
      <c r="I7799" s="6" t="n">
        <f aca="false">Sens!I7798*Sens!I7796</f>
        <v>92.6968833223955</v>
      </c>
      <c r="J7799" s="6" t="n">
        <f aca="false">Sens!J7798*Sens!J7796</f>
        <v>132.864387776253</v>
      </c>
      <c r="K7799" s="6" t="n">
        <f aca="false">Sens!K7798*Sens!K7796</f>
        <v>141.722545567449</v>
      </c>
    </row>
    <row r="7800" customFormat="false" ht="17.15" hidden="false" customHeight="false" outlineLevel="0" collapsed="false">
      <c r="A7800" s="1" t="s">
        <v>1221</v>
      </c>
      <c r="B7800" s="0" t="s">
        <v>98</v>
      </c>
      <c r="C7800" s="6" t="n">
        <f aca="false">SUM(Sens!F7799:K7799)</f>
        <v>422.479115902036</v>
      </c>
    </row>
    <row r="7801" customFormat="false" ht="17.15" hidden="false" customHeight="false" outlineLevel="0" collapsed="false">
      <c r="A7801" s="1" t="s">
        <v>1222</v>
      </c>
      <c r="B7801" s="0" t="s">
        <v>98</v>
      </c>
      <c r="C7801" s="6" t="n">
        <f aca="false">Sens!K7737*(1+g_tv)*(1-tax_f)</f>
        <v>246.969631870009</v>
      </c>
    </row>
    <row r="7802" customFormat="false" ht="17.15" hidden="false" customHeight="false" outlineLevel="0" collapsed="false">
      <c r="A7802" s="1" t="s">
        <v>1223</v>
      </c>
      <c r="B7802" s="0" t="s">
        <v>98</v>
      </c>
      <c r="C7802" s="6" t="n">
        <f aca="false">Sens!$C$7801*(1-g_tv/(wacc+ronic_prem))</f>
        <v>174.992418635737</v>
      </c>
    </row>
    <row r="7803" customFormat="false" ht="17.15" hidden="false" customHeight="false" outlineLevel="0" collapsed="false">
      <c r="A7803" s="1" t="s">
        <v>1224</v>
      </c>
      <c r="B7803" s="0" t="s">
        <v>98</v>
      </c>
      <c r="C7803" s="6" t="n">
        <f aca="false">Sens!$C$7802/(wacc-g_tv)</f>
        <v>2399.24044114239</v>
      </c>
    </row>
    <row r="7804" customFormat="false" ht="15" hidden="false" customHeight="false" outlineLevel="0" collapsed="false">
      <c r="A7804" s="1" t="s">
        <v>1225</v>
      </c>
      <c r="B7804" s="0" t="s">
        <v>98</v>
      </c>
      <c r="C7804" s="6" t="n">
        <f aca="false">Sens!$C$7803/(1+wacc)^Sens!K7795</f>
        <v>1366.1411453742</v>
      </c>
    </row>
    <row r="7805" customFormat="false" ht="17.15" hidden="false" customHeight="false" outlineLevel="0" collapsed="false">
      <c r="A7805" s="0" t="s">
        <v>1226</v>
      </c>
      <c r="B7805" s="0" t="s">
        <v>98</v>
      </c>
      <c r="C7805" s="6" t="n">
        <f aca="false">Sens!$C$7800+Sens!$C$7804</f>
        <v>1788.62026127623</v>
      </c>
    </row>
    <row r="7806" customFormat="false" ht="15" hidden="false" customHeight="false" outlineLevel="0" collapsed="false">
      <c r="A7806" s="1" t="s">
        <v>1141</v>
      </c>
      <c r="B7806" s="0" t="s">
        <v>168</v>
      </c>
      <c r="C7806" s="7" t="n">
        <f aca="false">Sens!$C$7804/Sens!$C$7805</f>
        <v>0.763796080672493</v>
      </c>
    </row>
    <row r="7807" customFormat="false" ht="17.15" hidden="false" customHeight="false" outlineLevel="0" collapsed="false">
      <c r="A7807" s="1" t="s">
        <v>1227</v>
      </c>
      <c r="B7807" s="0" t="s">
        <v>98</v>
      </c>
      <c r="C7807" s="6" t="n">
        <f aca="false">Sens!$C$7805+cash_val-debt_val-fl_val+oai_v</f>
        <v>1904.47126127623</v>
      </c>
    </row>
    <row r="7808" customFormat="false" ht="17.15" hidden="false" customHeight="false" outlineLevel="0" collapsed="false">
      <c r="A7808" s="0" t="s">
        <v>1149</v>
      </c>
      <c r="B7808" s="0" t="s">
        <v>75</v>
      </c>
      <c r="C7808" s="5" t="n">
        <f aca="false">Sens!$C$7807/shd_val</f>
        <v>255.771053085715</v>
      </c>
    </row>
    <row r="7809" customFormat="false" ht="15" hidden="false" customHeight="false" outlineLevel="0" collapsed="false">
      <c r="A7809" s="1" t="s">
        <v>1228</v>
      </c>
      <c r="B7809" s="0" t="s">
        <v>75</v>
      </c>
      <c r="C7809" s="8" t="n">
        <f aca="false">div_rem27+Sens!G7777*roll_div_q/q_per_yr</f>
        <v>3.9795</v>
      </c>
    </row>
    <row r="7810" customFormat="false" ht="17.15" hidden="false" customHeight="false" outlineLevel="0" collapsed="false">
      <c r="A7810" s="0" t="s">
        <v>1229</v>
      </c>
      <c r="B7810" s="0" t="s">
        <v>75</v>
      </c>
      <c r="C7810" s="5" t="n">
        <f aca="false">Sens!$C$7808*(1+wacc)^t_roll-Sens!$C$7809</f>
        <v>280.324300277492</v>
      </c>
    </row>
    <row r="7811" customFormat="false" ht="17.15" hidden="false" customHeight="false" outlineLevel="0" collapsed="false">
      <c r="A7811" s="1" t="s">
        <v>1230</v>
      </c>
      <c r="B7811" s="0" t="s">
        <v>168</v>
      </c>
      <c r="F7811" s="7" t="n">
        <f aca="false">Sens!F7763/(Sens!F7708-Sens!F7663)</f>
        <v>0.0685796955356811</v>
      </c>
      <c r="G7811" s="7" t="n">
        <f aca="false">Sens!G7763/(Sens!G7708-Sens!G7663)</f>
        <v>0.0660258871706566</v>
      </c>
      <c r="H7811" s="7" t="n">
        <f aca="false">Sens!H7763/(Sens!H7708-Sens!H7663)</f>
        <v>0.0647328240298181</v>
      </c>
      <c r="I7811" s="7" t="n">
        <f aca="false">Sens!I7763/(Sens!I7708-Sens!I7663)</f>
        <v>0.0645731035399055</v>
      </c>
      <c r="J7811" s="7" t="n">
        <f aca="false">Sens!J7763/(Sens!J7708-Sens!J7663)</f>
        <v>0.0653022079595271</v>
      </c>
      <c r="K7811" s="7" t="n">
        <f aca="false">Sens!K7763/(Sens!K7708-Sens!K7663)</f>
        <v>0.0666306066223573</v>
      </c>
    </row>
    <row r="7812" customFormat="false" ht="17.15" hidden="false" customHeight="false" outlineLevel="0" collapsed="false">
      <c r="A7812" s="0" t="s">
        <v>1231</v>
      </c>
      <c r="B7812" s="0" t="s">
        <v>98</v>
      </c>
      <c r="F7812" s="6" t="n">
        <f aca="false">Sens!F7693*(al_m365+Sens!F7811+sbc_r)</f>
        <v>83.3114411496238</v>
      </c>
      <c r="G7812" s="6" t="n">
        <f aca="false">Sens!G7693*(al_m365+Sens!G7811+sbc_r)</f>
        <v>94.7125747080483</v>
      </c>
      <c r="H7812" s="6" t="n">
        <f aca="false">Sens!H7693*(al_m365+Sens!H7811+sbc_r)</f>
        <v>106.276554498632</v>
      </c>
      <c r="I7812" s="6" t="n">
        <f aca="false">Sens!I7693*(al_m365+Sens!I7811+sbc_r)</f>
        <v>117.074337334801</v>
      </c>
      <c r="J7812" s="6" t="n">
        <f aca="false">Sens!J7693*(al_m365+Sens!J7811+sbc_r)</f>
        <v>126.917188495695</v>
      </c>
      <c r="K7812" s="6" t="n">
        <f aca="false">Sens!K7693*(al_m365+Sens!K7811+sbc_r)</f>
        <v>136.367004803183</v>
      </c>
      <c r="L7812" s="12" t="s">
        <v>1232</v>
      </c>
    </row>
    <row r="7813" customFormat="false" ht="17.15" hidden="false" customHeight="false" outlineLevel="0" collapsed="false">
      <c r="A7813" s="0" t="s">
        <v>1233</v>
      </c>
      <c r="B7813" s="0" t="s">
        <v>98</v>
      </c>
      <c r="F7813" s="6" t="n">
        <f aca="false">Sens!F7694*(al_lic+Sens!F7811+sbc_r)</f>
        <v>32.8562352506507</v>
      </c>
      <c r="G7813" s="6" t="n">
        <f aca="false">Sens!G7694*(al_lic+Sens!G7811+sbc_r)</f>
        <v>34.1453298710912</v>
      </c>
      <c r="H7813" s="6" t="n">
        <f aca="false">Sens!H7694*(al_lic+Sens!H7811+sbc_r)</f>
        <v>35.3468133832515</v>
      </c>
      <c r="I7813" s="6" t="n">
        <f aca="false">Sens!I7694*(al_lic+Sens!I7811+sbc_r)</f>
        <v>36.4418173911592</v>
      </c>
      <c r="J7813" s="6" t="n">
        <f aca="false">Sens!J7694*(al_lic+Sens!J7811+sbc_r)</f>
        <v>37.406205237286</v>
      </c>
      <c r="K7813" s="6" t="n">
        <f aca="false">Sens!K7694*(al_lic+Sens!K7811+sbc_r)</f>
        <v>38.2137700174493</v>
      </c>
    </row>
    <row r="7814" customFormat="false" ht="17.15" hidden="false" customHeight="false" outlineLevel="0" collapsed="false">
      <c r="A7814" s="0" t="s">
        <v>1234</v>
      </c>
      <c r="B7814" s="0" t="s">
        <v>98</v>
      </c>
      <c r="F7814" s="6" t="n">
        <f aca="false">Sens!F7696*(al_ind+Sens!F7811+sbc_r)</f>
        <v>9.05952723459395</v>
      </c>
      <c r="G7814" s="6" t="n">
        <f aca="false">Sens!G7696*(al_ind+Sens!G7811+sbc_r)</f>
        <v>9.84088747756856</v>
      </c>
      <c r="H7814" s="6" t="n">
        <f aca="false">Sens!H7696*(al_ind+Sens!H7811+sbc_r)</f>
        <v>10.6661210303739</v>
      </c>
      <c r="I7814" s="6" t="n">
        <f aca="false">Sens!I7696*(al_ind+Sens!I7811+sbc_r)</f>
        <v>11.531488661324</v>
      </c>
      <c r="J7814" s="6" t="n">
        <f aca="false">Sens!J7696*(al_ind+Sens!J7811+sbc_r)</f>
        <v>12.427858171208</v>
      </c>
      <c r="K7814" s="6" t="n">
        <f aca="false">Sens!K7696*(al_ind+Sens!K7811+sbc_r)</f>
        <v>13.3416757816443</v>
      </c>
    </row>
    <row r="7815" customFormat="false" ht="17.15" hidden="false" customHeight="false" outlineLevel="0" collapsed="false">
      <c r="A7815" s="0" t="s">
        <v>1235</v>
      </c>
      <c r="B7815" s="0" t="s">
        <v>98</v>
      </c>
      <c r="F7815" s="6" t="n">
        <f aca="false">Sens!F7698*(al_fro+Sens!F7811+sbc_r)</f>
        <v>3.5536804791086</v>
      </c>
      <c r="G7815" s="6" t="n">
        <f aca="false">Sens!G7698*(al_fro+Sens!G7811+sbc_r)</f>
        <v>3.76541196537235</v>
      </c>
      <c r="H7815" s="6" t="n">
        <f aca="false">Sens!H7698*(al_fro+Sens!H7811+sbc_r)</f>
        <v>4.00562905108176</v>
      </c>
      <c r="I7815" s="6" t="n">
        <f aca="false">Sens!I7698*(al_fro+Sens!I7811+sbc_r)</f>
        <v>4.2768905000024</v>
      </c>
      <c r="J7815" s="6" t="n">
        <f aca="false">Sens!J7698*(al_fro+Sens!J7811+sbc_r)</f>
        <v>4.58059825518145</v>
      </c>
      <c r="K7815" s="6" t="n">
        <f aca="false">Sens!K7698*(al_fro+Sens!K7811+sbc_r)</f>
        <v>4.91740861254586</v>
      </c>
    </row>
    <row r="7816" customFormat="false" ht="17.15" hidden="false" customHeight="false" outlineLevel="0" collapsed="false">
      <c r="A7816" s="0" t="s">
        <v>1236</v>
      </c>
      <c r="B7816" s="0" t="s">
        <v>98</v>
      </c>
      <c r="F7816" s="6" t="n">
        <f aca="false">Sens!F7701*(al_srch+Sens!F7811+sbc_r)</f>
        <v>11.1879914771806</v>
      </c>
      <c r="G7816" s="6" t="n">
        <f aca="false">Sens!G7701*(al_srch+Sens!G7811+sbc_r)</f>
        <v>12.2675937092185</v>
      </c>
      <c r="H7816" s="6" t="n">
        <f aca="false">Sens!H7701*(al_srch+Sens!H7811+sbc_r)</f>
        <v>13.3909173559268</v>
      </c>
      <c r="I7816" s="6" t="n">
        <f aca="false">Sens!I7701*(al_srch+Sens!I7811+sbc_r)</f>
        <v>14.5463840189804</v>
      </c>
      <c r="J7816" s="6" t="n">
        <f aca="false">Sens!J7701*(al_srch+Sens!J7811+sbc_r)</f>
        <v>15.7146844425566</v>
      </c>
      <c r="K7816" s="6" t="n">
        <f aca="false">Sens!K7701*(al_srch+Sens!K7811+sbc_r)</f>
        <v>16.8701816479662</v>
      </c>
    </row>
    <row r="7817" customFormat="false" ht="17.15" hidden="false" customHeight="false" outlineLevel="0" collapsed="false">
      <c r="A7817" s="0" t="s">
        <v>1237</v>
      </c>
      <c r="B7817" s="0" t="s">
        <v>98</v>
      </c>
      <c r="F7817" s="6" t="n">
        <f aca="false">Sens!F7669-Sens!F7670+Sens!F7751</f>
        <v>38.5414249663326</v>
      </c>
      <c r="G7817" s="6" t="n">
        <f aca="false">Sens!G7669-Sens!G7670+Sens!G7751</f>
        <v>68.1808436865398</v>
      </c>
      <c r="H7817" s="6" t="n">
        <f aca="false">Sens!H7669-Sens!H7670+Sens!H7751</f>
        <v>94.6736206150331</v>
      </c>
      <c r="I7817" s="6" t="n">
        <f aca="false">Sens!I7669-Sens!I7670+Sens!I7751</f>
        <v>124.871522680914</v>
      </c>
      <c r="J7817" s="6" t="n">
        <f aca="false">Sens!J7669-Sens!J7670+Sens!J7751</f>
        <v>146.096717582538</v>
      </c>
      <c r="K7817" s="6" t="n">
        <f aca="false">Sens!K7669-Sens!K7670+Sens!K7751</f>
        <v>159.091968909992</v>
      </c>
    </row>
    <row r="7818" customFormat="false" ht="17.15" hidden="false" customHeight="false" outlineLevel="0" collapsed="false">
      <c r="A7818" s="0" t="s">
        <v>1238</v>
      </c>
      <c r="B7818" s="0" t="s">
        <v>98</v>
      </c>
      <c r="F7818" s="6" t="n">
        <f aca="false">Sens!F7730+Sens!F7751+Sens!F7681+Sens!F7811*(Sens!F7700-Sens!F7663)+sbc_r*Sens!F7700</f>
        <v>234.717759901671</v>
      </c>
      <c r="G7818" s="6" t="n">
        <f aca="false">Sens!G7730+Sens!G7751+Sens!G7681+Sens!G7811*(Sens!G7700-Sens!G7663)+sbc_r*Sens!G7700</f>
        <v>285.507856205904</v>
      </c>
      <c r="H7818" s="6" t="n">
        <f aca="false">Sens!H7730+Sens!H7751+Sens!H7681+Sens!H7811*(Sens!H7700-Sens!H7663)+sbc_r*Sens!H7700</f>
        <v>338.352551331494</v>
      </c>
      <c r="I7818" s="6" t="n">
        <f aca="false">Sens!I7730+Sens!I7751+Sens!I7681+Sens!I7811*(Sens!I7700-Sens!I7663)+sbc_r*Sens!I7700</f>
        <v>394.05575446228</v>
      </c>
      <c r="J7818" s="6" t="n">
        <f aca="false">Sens!J7730+Sens!J7751+Sens!J7681+Sens!J7811*(Sens!J7700-Sens!J7663)+sbc_r*Sens!J7700</f>
        <v>438.634745694102</v>
      </c>
      <c r="K7818" s="6" t="n">
        <f aca="false">Sens!K7730+Sens!K7751+Sens!K7681+Sens!K7811*(Sens!K7700-Sens!K7663)+sbc_r*Sens!K7700</f>
        <v>472.645610395603</v>
      </c>
    </row>
    <row r="7819" customFormat="false" ht="17.15" hidden="false" customHeight="false" outlineLevel="0" collapsed="false">
      <c r="A7819" s="0" t="s">
        <v>1239</v>
      </c>
      <c r="B7819" s="0" t="s">
        <v>98</v>
      </c>
      <c r="F7819" s="6" t="n">
        <f aca="false">Sens!F7818-Sens!F7812-Sens!F7813-Sens!F7814-Sens!F7815-Sens!F7817</f>
        <v>67.3954508213615</v>
      </c>
      <c r="G7819" s="6" t="n">
        <f aca="false">Sens!G7818-Sens!G7812-Sens!G7813-Sens!G7814-Sens!G7815-Sens!G7817</f>
        <v>74.8628084972842</v>
      </c>
      <c r="H7819" s="6" t="n">
        <f aca="false">Sens!H7818-Sens!H7812-Sens!H7813-Sens!H7814-Sens!H7815-Sens!H7817</f>
        <v>87.3838127531213</v>
      </c>
      <c r="I7819" s="6" t="n">
        <f aca="false">Sens!I7818-Sens!I7812-Sens!I7813-Sens!I7814-Sens!I7815-Sens!I7817</f>
        <v>99.8596978940797</v>
      </c>
      <c r="J7819" s="6" t="n">
        <f aca="false">Sens!J7818-Sens!J7812-Sens!J7813-Sens!J7814-Sens!J7815-Sens!J7817</f>
        <v>111.206177952193</v>
      </c>
      <c r="K7819" s="6" t="n">
        <f aca="false">Sens!K7818-Sens!K7812-Sens!K7813-Sens!K7814-Sens!K7815-Sens!K7817</f>
        <v>120.713782270788</v>
      </c>
    </row>
    <row r="7820" customFormat="false" ht="17.15" hidden="false" customHeight="false" outlineLevel="0" collapsed="false">
      <c r="A7820" s="0" t="s">
        <v>1240</v>
      </c>
      <c r="B7820" s="0" t="s">
        <v>98</v>
      </c>
      <c r="F7820" s="6" t="n">
        <f aca="false">Sens!F7732+Sens!F7811*Sens!F7707+sbc_r*Sens!F7707</f>
        <v>26.6310727571775</v>
      </c>
      <c r="G7820" s="6" t="n">
        <f aca="false">Sens!G7732+Sens!G7811*Sens!G7707+sbc_r*Sens!G7707</f>
        <v>26.4848460219338</v>
      </c>
      <c r="H7820" s="6" t="n">
        <f aca="false">Sens!H7732+Sens!H7811*Sens!H7707+sbc_r*Sens!H7707</f>
        <v>27.3703798834868</v>
      </c>
      <c r="I7820" s="6" t="n">
        <f aca="false">Sens!I7732+Sens!I7811*Sens!I7707+sbc_r*Sens!I7707</f>
        <v>28.4864729682317</v>
      </c>
      <c r="J7820" s="6" t="n">
        <f aca="false">Sens!J7732+Sens!J7811*Sens!J7707+sbc_r*Sens!J7707</f>
        <v>29.80009312709</v>
      </c>
      <c r="K7820" s="6" t="n">
        <f aca="false">Sens!K7732+Sens!K7811*Sens!K7707+sbc_r*Sens!K7707</f>
        <v>31.2782475515367</v>
      </c>
    </row>
    <row r="7821" customFormat="false" ht="17.15" hidden="false" customHeight="false" outlineLevel="0" collapsed="false">
      <c r="A7821" s="0" t="s">
        <v>1241</v>
      </c>
      <c r="B7821" s="0" t="s">
        <v>98</v>
      </c>
      <c r="F7821" s="6" t="n">
        <f aca="false">(Sens!F7820-Sens!F7816)*Sens!F7703/(Sens!F7703+Sens!F7705)</f>
        <v>8.72202866804942</v>
      </c>
      <c r="G7821" s="6" t="n">
        <f aca="false">(Sens!G7820-Sens!G7816)*Sens!G7703/(Sens!G7703+Sens!G7705)</f>
        <v>7.89169751596203</v>
      </c>
      <c r="H7821" s="6" t="n">
        <f aca="false">(Sens!H7820-Sens!H7816)*Sens!H7703/(Sens!H7703+Sens!H7705)</f>
        <v>7.65861942485632</v>
      </c>
      <c r="I7821" s="6" t="n">
        <f aca="false">(Sens!I7820-Sens!I7816)*Sens!I7703/(Sens!I7703+Sens!I7705)</f>
        <v>7.570389064043</v>
      </c>
      <c r="J7821" s="6" t="n">
        <f aca="false">(Sens!J7820-Sens!J7816)*Sens!J7703/(Sens!J7703+Sens!J7705)</f>
        <v>7.61593371320526</v>
      </c>
      <c r="K7821" s="6" t="n">
        <f aca="false">(Sens!K7820-Sens!K7816)*Sens!K7703/(Sens!K7703+Sens!K7705)</f>
        <v>7.79039340034034</v>
      </c>
    </row>
    <row r="7822" customFormat="false" ht="17.15" hidden="false" customHeight="false" outlineLevel="0" collapsed="false">
      <c r="A7822" s="0" t="s">
        <v>1242</v>
      </c>
      <c r="B7822" s="0" t="s">
        <v>98</v>
      </c>
      <c r="F7822" s="6" t="n">
        <f aca="false">Sens!F7820-Sens!F7816-Sens!F7821</f>
        <v>6.7210526119474</v>
      </c>
      <c r="G7822" s="6" t="n">
        <f aca="false">Sens!G7820-Sens!G7816-Sens!G7821</f>
        <v>6.32555479675318</v>
      </c>
      <c r="H7822" s="6" t="n">
        <f aca="false">Sens!H7820-Sens!H7816-Sens!H7821</f>
        <v>6.32084310270372</v>
      </c>
      <c r="I7822" s="6" t="n">
        <f aca="false">Sens!I7820-Sens!I7816-Sens!I7821</f>
        <v>6.3696998852083</v>
      </c>
      <c r="J7822" s="6" t="n">
        <f aca="false">Sens!J7820-Sens!J7816-Sens!J7821</f>
        <v>6.46947497132821</v>
      </c>
      <c r="K7822" s="6" t="n">
        <f aca="false">Sens!K7820-Sens!K7816-Sens!K7821</f>
        <v>6.6176725032302</v>
      </c>
    </row>
    <row r="7823" customFormat="false" ht="17.15" hidden="false" customHeight="false" outlineLevel="0" collapsed="false">
      <c r="A7823" s="0" t="s">
        <v>1243</v>
      </c>
      <c r="B7823" s="0" t="s">
        <v>98</v>
      </c>
      <c r="F7823" s="6" t="n">
        <f aca="false">Sens!F7817-tax_f*(Sens!F7817-Sens!F7681)-Sens!F7678</f>
        <v>-130.704901173383</v>
      </c>
      <c r="G7823" s="6" t="n">
        <f aca="false">Sens!G7817-tax_f*(Sens!G7817-Sens!G7681)-Sens!G7678</f>
        <v>-125.252902569357</v>
      </c>
      <c r="H7823" s="6" t="n">
        <f aca="false">Sens!H7817-tax_f*(Sens!H7817-Sens!H7681)-Sens!H7678</f>
        <v>-103.247089440197</v>
      </c>
      <c r="I7823" s="6" t="n">
        <f aca="false">Sens!I7817-tax_f*(Sens!I7817-Sens!I7681)-Sens!I7678</f>
        <v>-45.8714135379693</v>
      </c>
      <c r="J7823" s="6" t="n">
        <f aca="false">Sens!J7817-tax_f*(Sens!J7817-Sens!J7681)-Sens!J7678</f>
        <v>14.3505774800094</v>
      </c>
      <c r="K7823" s="6" t="n">
        <f aca="false">Sens!K7817-tax_f*(Sens!K7817-Sens!K7681)-Sens!K7678</f>
        <v>36.9132559734478</v>
      </c>
    </row>
    <row r="7824" customFormat="false" ht="17.15" hidden="false" customHeight="false" outlineLevel="0" collapsed="false">
      <c r="A7824" s="0" t="s">
        <v>1244</v>
      </c>
      <c r="B7824" s="0" t="s">
        <v>98</v>
      </c>
      <c r="G7824" s="6" t="n">
        <f aca="false">Sens!G7823/(1+wacc)^(Sens!G7794-Sens!F7795)</f>
        <v>-119.264866480151</v>
      </c>
      <c r="H7824" s="6" t="n">
        <f aca="false">Sens!H7823/(1+wacc)^(Sens!H7794-Sens!F7795)</f>
        <v>-89.1357657964307</v>
      </c>
      <c r="I7824" s="6" t="n">
        <f aca="false">Sens!I7823/(1+wacc)^(Sens!I7794-Sens!F7795)</f>
        <v>-35.9058953283766</v>
      </c>
      <c r="J7824" s="6" t="n">
        <f aca="false">Sens!J7823/(1+wacc)^(Sens!J7794-Sens!F7795)</f>
        <v>10.1845646656907</v>
      </c>
      <c r="K7824" s="6" t="n">
        <f aca="false">Sens!K7823/(1+wacc)^(Sens!K7794-Sens!F7795)</f>
        <v>23.7522579696495</v>
      </c>
      <c r="L7824" s="1" t="s">
        <v>1245</v>
      </c>
    </row>
    <row r="7825" customFormat="false" ht="17.15" hidden="false" customHeight="false" outlineLevel="0" collapsed="false">
      <c r="A7825" s="0" t="s">
        <v>1246</v>
      </c>
      <c r="B7825" s="0" t="s">
        <v>98</v>
      </c>
      <c r="C7825" s="6" t="n">
        <f aca="false">(Sens!K7817-Sens!K7681)*(1-tax_f)*(1+g_tv)*(1-g_tv/(wacc+ronic_prem))/(wacc-g_tv)/(1+wacc)^(Sens!K7795-Sens!F7795)</f>
        <v>78.8627334335346</v>
      </c>
    </row>
    <row r="7826" customFormat="false" ht="17.15" hidden="false" customHeight="false" outlineLevel="0" collapsed="false">
      <c r="A7826" s="1" t="s">
        <v>1247</v>
      </c>
      <c r="B7826" s="0" t="s">
        <v>98</v>
      </c>
      <c r="C7826" s="6" t="n">
        <f aca="false">(SUM(Sens!G7824:K7824)+Sens!$C$7825)*(1+wacc)^(t_roll-Sens!F7795)</f>
        <v>-135.848414373091</v>
      </c>
      <c r="L7826" s="12" t="s">
        <v>1248</v>
      </c>
    </row>
    <row r="7827" customFormat="false" ht="17.15" hidden="false" customHeight="false" outlineLevel="0" collapsed="false">
      <c r="A7827" s="1" t="s">
        <v>1249</v>
      </c>
      <c r="B7827" s="0" t="s">
        <v>98</v>
      </c>
      <c r="C7827" s="6" t="n">
        <f aca="false">(w_ntm28*Sens!G7669+(1-w_ntm28)*Sens!H7669)*m_ai</f>
        <v>344.355829012336</v>
      </c>
    </row>
    <row r="7828" customFormat="false" ht="17.15" hidden="false" customHeight="false" outlineLevel="0" collapsed="false">
      <c r="A7828" s="1" t="s">
        <v>1250</v>
      </c>
      <c r="B7828" s="0" t="s">
        <v>98</v>
      </c>
      <c r="C7828" s="6" t="n">
        <f aca="false">(w_ntm28*Sens!G7819+(1-w_ntm28)*Sens!H7819)*m_cloud</f>
        <v>1091.49396811159</v>
      </c>
    </row>
    <row r="7829" customFormat="false" ht="17.15" hidden="false" customHeight="false" outlineLevel="0" collapsed="false">
      <c r="A7829" s="1" t="s">
        <v>1251</v>
      </c>
      <c r="B7829" s="0" t="s">
        <v>98</v>
      </c>
      <c r="C7829" s="6" t="n">
        <f aca="false">(w_ntm28*Sens!G7812+(1-w_ntm28)*Sens!H7812)*m_sw</f>
        <v>1063.9558556376</v>
      </c>
    </row>
    <row r="7830" customFormat="false" ht="17.15" hidden="false" customHeight="false" outlineLevel="0" collapsed="false">
      <c r="A7830" s="1" t="s">
        <v>1252</v>
      </c>
      <c r="B7830" s="0" t="s">
        <v>98</v>
      </c>
      <c r="C7830" s="6" t="n">
        <f aca="false">(w_ntm28*Sens!G7813+(1-w_ntm28)*Sens!H7813)*m_sw</f>
        <v>373.035652009866</v>
      </c>
    </row>
    <row r="7831" customFormat="false" ht="17.15" hidden="false" customHeight="false" outlineLevel="0" collapsed="false">
      <c r="A7831" s="1" t="s">
        <v>1253</v>
      </c>
      <c r="B7831" s="0" t="s">
        <v>98</v>
      </c>
      <c r="C7831" s="6" t="n">
        <f aca="false">(w_ntm28*Sens!G7814+(1-w_ntm28)*Sens!H7814)*m_sw</f>
        <v>109.21172909866</v>
      </c>
    </row>
    <row r="7832" customFormat="false" ht="17.15" hidden="false" customHeight="false" outlineLevel="0" collapsed="false">
      <c r="A7832" s="1" t="s">
        <v>1254</v>
      </c>
      <c r="B7832" s="0" t="s">
        <v>98</v>
      </c>
      <c r="C7832" s="6" t="n">
        <f aca="false">(w_ntm28*Sens!G7815+(1-w_ntm28)*Sens!H7815)*m_sw</f>
        <v>41.5193844125403</v>
      </c>
    </row>
    <row r="7833" customFormat="false" ht="17.15" hidden="false" customHeight="false" outlineLevel="0" collapsed="false">
      <c r="A7833" s="1" t="s">
        <v>1255</v>
      </c>
      <c r="B7833" s="0" t="s">
        <v>98</v>
      </c>
      <c r="C7833" s="6" t="n">
        <f aca="false">(w_ntm28*Sens!G7816+(1-w_ntm28)*Sens!H7816)*m_ads</f>
        <v>115.122209952848</v>
      </c>
    </row>
    <row r="7834" customFormat="false" ht="17.15" hidden="false" customHeight="false" outlineLevel="0" collapsed="false">
      <c r="A7834" s="1" t="s">
        <v>1256</v>
      </c>
      <c r="B7834" s="0" t="s">
        <v>98</v>
      </c>
      <c r="C7834" s="6" t="n">
        <f aca="false">(w_ntm28*Sens!G7821+(1-w_ntm28)*Sens!H7821)*m_game</f>
        <v>98.704322763916</v>
      </c>
    </row>
    <row r="7835" customFormat="false" ht="17.15" hidden="false" customHeight="false" outlineLevel="0" collapsed="false">
      <c r="A7835" s="1" t="s">
        <v>1257</v>
      </c>
      <c r="B7835" s="0" t="s">
        <v>98</v>
      </c>
      <c r="C7835" s="6" t="n">
        <f aca="false">(w_ntm28*Sens!G7822+(1-w_ntm28)*Sens!H7822)*m_pc</f>
        <v>91.5083631540939</v>
      </c>
    </row>
    <row r="7836" customFormat="false" ht="17.15" hidden="false" customHeight="false" outlineLevel="0" collapsed="false">
      <c r="A7836" s="1" t="s">
        <v>1258</v>
      </c>
      <c r="B7836" s="0" t="s">
        <v>98</v>
      </c>
      <c r="C7836" s="6" t="n">
        <f aca="false">Sens!$C$7826+Sens!$C$7828+Sens!$C$7829+Sens!$C$7830+Sens!$C$7831+Sens!$C$7832+Sens!$C$7833+Sens!$C$7834+Sens!$C$7835</f>
        <v>2848.70307076802</v>
      </c>
    </row>
    <row r="7837" customFormat="false" ht="17.15" hidden="false" customHeight="false" outlineLevel="0" collapsed="false">
      <c r="A7837" s="1" t="s">
        <v>1259</v>
      </c>
      <c r="B7837" s="0" t="s">
        <v>98</v>
      </c>
      <c r="C7837" s="6" t="n">
        <f aca="false">(Sens!G7798-Sens!G7823)*t_stub</f>
        <v>47.7342022305682</v>
      </c>
      <c r="L7837" s="1" t="s">
        <v>1260</v>
      </c>
    </row>
    <row r="7838" customFormat="false" ht="17.15" hidden="false" customHeight="false" outlineLevel="0" collapsed="false">
      <c r="A7838" s="1" t="s">
        <v>1169</v>
      </c>
      <c r="B7838" s="0" t="s">
        <v>98</v>
      </c>
      <c r="C7838" s="6" t="n">
        <f aca="false">Sens!F7785+oai_v-Sens!F7774+Sens!$C$7837</f>
        <v>159.025679273634</v>
      </c>
      <c r="L7838" s="1" t="s">
        <v>1261</v>
      </c>
    </row>
    <row r="7839" customFormat="false" ht="17.15" hidden="false" customHeight="false" outlineLevel="0" collapsed="false">
      <c r="A7839" s="1" t="s">
        <v>1262</v>
      </c>
      <c r="B7839" s="0" t="s">
        <v>75</v>
      </c>
      <c r="C7839" s="5" t="n">
        <f aca="false">(Sens!$C$7836+Sens!$C$7838)/(Sens!F7787+dil_gap)-Sens!G7777*roll_div_q/q_per_yr</f>
        <v>400.204997070659</v>
      </c>
      <c r="L7839" s="1" t="s">
        <v>1263</v>
      </c>
    </row>
    <row r="7840" customFormat="false" ht="17.15" hidden="false" customHeight="false" outlineLevel="0" collapsed="false">
      <c r="A7840" s="1" t="s">
        <v>1264</v>
      </c>
      <c r="B7840" s="0" t="s">
        <v>75</v>
      </c>
      <c r="C7840" s="5" t="n">
        <f aca="false">w_dcf*Sens!$C$7810+(1-w_dcf)*Sens!$C$7839</f>
        <v>340.264648674076</v>
      </c>
    </row>
    <row r="7841" customFormat="false" ht="17.15" hidden="false" customHeight="false" outlineLevel="0" collapsed="false">
      <c r="A7841" s="3" t="s">
        <v>1675</v>
      </c>
    </row>
    <row r="7842" customFormat="false" ht="15" hidden="false" customHeight="false" outlineLevel="0" collapsed="false">
      <c r="A7842" s="4" t="s">
        <v>43</v>
      </c>
      <c r="B7842" s="4" t="s">
        <v>65</v>
      </c>
      <c r="C7842" s="23" t="s">
        <v>938</v>
      </c>
      <c r="D7842" s="23" t="s">
        <v>939</v>
      </c>
      <c r="E7842" s="23" t="s">
        <v>940</v>
      </c>
      <c r="F7842" s="23" t="s">
        <v>941</v>
      </c>
      <c r="G7842" s="23" t="s">
        <v>942</v>
      </c>
      <c r="H7842" s="23" t="s">
        <v>943</v>
      </c>
      <c r="I7842" s="23" t="s">
        <v>944</v>
      </c>
      <c r="J7842" s="23" t="s">
        <v>945</v>
      </c>
      <c r="K7842" s="23" t="s">
        <v>946</v>
      </c>
      <c r="L7842" s="4" t="s">
        <v>47</v>
      </c>
    </row>
    <row r="7843" customFormat="false" ht="17.15" hidden="false" customHeight="false" outlineLevel="0" collapsed="false">
      <c r="A7843" s="1" t="s">
        <v>947</v>
      </c>
      <c r="B7843" s="1" t="s">
        <v>279</v>
      </c>
      <c r="C7843" s="21" t="n">
        <v>2024</v>
      </c>
      <c r="D7843" s="21" t="n">
        <v>2025</v>
      </c>
      <c r="E7843" s="21" t="n">
        <v>2026</v>
      </c>
      <c r="F7843" s="21" t="n">
        <v>2027</v>
      </c>
      <c r="G7843" s="21" t="n">
        <v>2028</v>
      </c>
      <c r="H7843" s="21" t="n">
        <v>2029</v>
      </c>
      <c r="I7843" s="21" t="n">
        <v>2030</v>
      </c>
      <c r="J7843" s="21" t="n">
        <v>2031</v>
      </c>
      <c r="K7843" s="21" t="n">
        <v>2032</v>
      </c>
    </row>
    <row r="7844" customFormat="false" ht="17.15" hidden="false" customHeight="false" outlineLevel="0" collapsed="false">
      <c r="A7844" s="1" t="s">
        <v>948</v>
      </c>
      <c r="B7844" s="0" t="s">
        <v>456</v>
      </c>
      <c r="F7844" s="30" t="n">
        <f aca="false">pace</f>
        <v>2726.5351</v>
      </c>
      <c r="G7844" s="30" t="n">
        <f aca="false">pace</f>
        <v>2726.5351</v>
      </c>
      <c r="H7844" s="30" t="n">
        <f aca="false">pace</f>
        <v>2726.5351</v>
      </c>
      <c r="I7844" s="30" t="n">
        <f aca="false">pace+(g_tv*Sens!H7845-pace)*MIN(1,(Sens!I7843-pace_y0)/(pace_y1-pace_y0))</f>
        <v>1931.98611966667</v>
      </c>
      <c r="J7844" s="30" t="n">
        <f aca="false">pace+(g_tv*Sens!I7845-pace)*MIN(1,(Sens!J7843-pace_y0)/(pace_y1-pace_y0))</f>
        <v>1176.07686172667</v>
      </c>
      <c r="K7844" s="30" t="n">
        <f aca="false">pace+(g_tv*Sens!J7845-pace)*MIN(1,(Sens!K7843-pace_y0)/(pace_y1-pace_y0))</f>
        <v>436.1300484418</v>
      </c>
      <c r="L7844" s="12" t="s">
        <v>949</v>
      </c>
    </row>
    <row r="7845" customFormat="false" ht="17.15" hidden="false" customHeight="false" outlineLevel="0" collapsed="false">
      <c r="A7845" s="1" t="s">
        <v>950</v>
      </c>
      <c r="B7845" s="0" t="s">
        <v>456</v>
      </c>
      <c r="C7845" s="30" t="n">
        <f aca="false">mw_ext_24</f>
        <v>640</v>
      </c>
      <c r="D7845" s="30" t="n">
        <f aca="false">mw_ext_25</f>
        <v>1630</v>
      </c>
      <c r="E7845" s="30" t="n">
        <f aca="false">mw_ext_26</f>
        <v>3250</v>
      </c>
      <c r="F7845" s="30" t="n">
        <f aca="false">Sens!E7845+Sens!F7844</f>
        <v>5976.5351</v>
      </c>
      <c r="G7845" s="30" t="n">
        <f aca="false">Sens!F7845+Sens!G7844</f>
        <v>8703.0702</v>
      </c>
      <c r="H7845" s="30" t="n">
        <f aca="false">Sens!G7845+Sens!H7844</f>
        <v>11429.6053</v>
      </c>
      <c r="I7845" s="30" t="n">
        <f aca="false">Sens!H7845+Sens!I7844</f>
        <v>13361.5914196667</v>
      </c>
      <c r="J7845" s="30" t="n">
        <f aca="false">Sens!I7845+Sens!J7844</f>
        <v>14537.6682813933</v>
      </c>
      <c r="K7845" s="30" t="n">
        <f aca="false">Sens!J7845+Sens!K7844</f>
        <v>14973.7983298351</v>
      </c>
      <c r="L7845" s="1" t="s">
        <v>951</v>
      </c>
    </row>
    <row r="7846" customFormat="false" ht="17.15" hidden="false" customHeight="false" outlineLevel="0" collapsed="false">
      <c r="A7846" s="1" t="s">
        <v>952</v>
      </c>
      <c r="B7846" s="0" t="s">
        <v>456</v>
      </c>
      <c r="C7846" s="30" t="n">
        <f aca="false">rent_ext_24</f>
        <v>150</v>
      </c>
      <c r="D7846" s="30" t="n">
        <f aca="false">rent_ext_25</f>
        <v>400</v>
      </c>
      <c r="E7846" s="30" t="n">
        <f aca="false">rent_ext_26</f>
        <v>550</v>
      </c>
      <c r="F7846" s="30" t="n">
        <f aca="false">rent_ext_f</f>
        <v>756</v>
      </c>
      <c r="G7846" s="30" t="n">
        <f aca="false">rent_ext_f</f>
        <v>756</v>
      </c>
      <c r="H7846" s="30" t="n">
        <f aca="false">rent_ext_f</f>
        <v>756</v>
      </c>
      <c r="I7846" s="30" t="n">
        <f aca="false">rent_ext_f</f>
        <v>756</v>
      </c>
      <c r="J7846" s="30" t="n">
        <f aca="false">rent_ext_f</f>
        <v>756</v>
      </c>
      <c r="K7846" s="30" t="n">
        <f aca="false">rent_ext_f</f>
        <v>756</v>
      </c>
      <c r="L7846" s="1" t="s">
        <v>953</v>
      </c>
    </row>
    <row r="7847" customFormat="false" ht="17.15" hidden="false" customHeight="false" outlineLevel="0" collapsed="false">
      <c r="A7847" s="1" t="s">
        <v>954</v>
      </c>
      <c r="B7847" s="0" t="s">
        <v>456</v>
      </c>
      <c r="C7847" s="30" t="n">
        <f aca="false">Sens!C7845-Sens!C7846</f>
        <v>490</v>
      </c>
      <c r="D7847" s="30" t="n">
        <f aca="false">Sens!D7845-Sens!D7846</f>
        <v>1230</v>
      </c>
      <c r="E7847" s="30" t="n">
        <f aca="false">Sens!E7845-Sens!E7846</f>
        <v>2700</v>
      </c>
      <c r="F7847" s="30" t="n">
        <f aca="false">Sens!F7845-Sens!F7846</f>
        <v>5220.5351</v>
      </c>
      <c r="G7847" s="30" t="n">
        <f aca="false">Sens!G7845-Sens!G7846</f>
        <v>7947.0702</v>
      </c>
      <c r="H7847" s="30" t="n">
        <f aca="false">Sens!H7845-Sens!H7846</f>
        <v>10673.6053</v>
      </c>
      <c r="I7847" s="30" t="n">
        <f aca="false">Sens!I7845-Sens!I7846</f>
        <v>12605.5914196667</v>
      </c>
      <c r="J7847" s="30" t="n">
        <f aca="false">Sens!J7845-Sens!J7846</f>
        <v>13781.6682813933</v>
      </c>
      <c r="K7847" s="30" t="n">
        <f aca="false">Sens!K7845-Sens!K7846</f>
        <v>14217.7983298351</v>
      </c>
    </row>
    <row r="7848" customFormat="false" ht="17.15" hidden="false" customHeight="false" outlineLevel="0" collapsed="false">
      <c r="A7848" s="1" t="s">
        <v>955</v>
      </c>
      <c r="B7848" s="0" t="s">
        <v>456</v>
      </c>
      <c r="C7848" s="30" t="n">
        <f aca="false">Sens!C7847/ext_sh</f>
        <v>816.666666666667</v>
      </c>
      <c r="D7848" s="30" t="n">
        <f aca="false">Sens!D7847/ext_sh</f>
        <v>2050</v>
      </c>
      <c r="E7848" s="30" t="n">
        <f aca="false">Sens!E7847/ext_sh</f>
        <v>4500</v>
      </c>
      <c r="F7848" s="30" t="n">
        <f aca="false">Sens!F7847/ext_sh</f>
        <v>8700.89183333333</v>
      </c>
      <c r="G7848" s="30" t="n">
        <f aca="false">Sens!G7847/ext_sh</f>
        <v>13245.117</v>
      </c>
      <c r="H7848" s="30" t="n">
        <f aca="false">Sens!H7847/ext_sh</f>
        <v>17789.3421666667</v>
      </c>
      <c r="I7848" s="30" t="n">
        <f aca="false">Sens!I7847/ext_sh</f>
        <v>21009.3190327778</v>
      </c>
      <c r="J7848" s="30" t="n">
        <f aca="false">Sens!J7847/ext_sh</f>
        <v>22969.4471356556</v>
      </c>
      <c r="K7848" s="30" t="n">
        <f aca="false">Sens!K7847/ext_sh</f>
        <v>23696.3305497252</v>
      </c>
      <c r="L7848" s="1" t="s">
        <v>956</v>
      </c>
    </row>
    <row r="7849" customFormat="false" ht="17.15" hidden="false" customHeight="false" outlineLevel="0" collapsed="false">
      <c r="A7849" s="1" t="s">
        <v>957</v>
      </c>
      <c r="B7849" s="0" t="s">
        <v>456</v>
      </c>
      <c r="C7849" s="30" t="n">
        <f aca="false">Sens!C7848-Sens!C7847</f>
        <v>326.666666666667</v>
      </c>
      <c r="D7849" s="30" t="n">
        <f aca="false">Sens!D7848-Sens!D7847</f>
        <v>820</v>
      </c>
      <c r="E7849" s="30" t="n">
        <f aca="false">Sens!E7848-Sens!E7847</f>
        <v>1800</v>
      </c>
      <c r="F7849" s="30" t="n">
        <f aca="false">Sens!F7848-Sens!F7847</f>
        <v>3480.35673333333</v>
      </c>
      <c r="G7849" s="30" t="n">
        <f aca="false">Sens!G7848-Sens!G7847</f>
        <v>5298.0468</v>
      </c>
      <c r="H7849" s="30" t="n">
        <f aca="false">Sens!H7848-Sens!H7847</f>
        <v>7115.73686666667</v>
      </c>
      <c r="I7849" s="30" t="n">
        <f aca="false">Sens!I7848-Sens!I7847</f>
        <v>8403.72761311111</v>
      </c>
      <c r="J7849" s="30" t="n">
        <f aca="false">Sens!J7848-Sens!J7847</f>
        <v>9187.77885426222</v>
      </c>
      <c r="K7849" s="30" t="n">
        <f aca="false">Sens!K7848-Sens!K7847</f>
        <v>9478.53221989009</v>
      </c>
    </row>
    <row r="7850" customFormat="false" ht="17.15" hidden="false" customHeight="false" outlineLevel="0" collapsed="false">
      <c r="A7850" s="1" t="s">
        <v>958</v>
      </c>
      <c r="B7850" s="0" t="s">
        <v>456</v>
      </c>
      <c r="C7850" s="30" t="n">
        <f aca="false">Sens!C7848</f>
        <v>816.666666666667</v>
      </c>
      <c r="D7850" s="30" t="n">
        <f aca="false">Sens!D7848-Sens!C7848</f>
        <v>1233.33333333333</v>
      </c>
      <c r="E7850" s="30" t="n">
        <f aca="false">Sens!E7848-Sens!D7848</f>
        <v>2450</v>
      </c>
      <c r="F7850" s="30" t="n">
        <f aca="false">Sens!F7848-Sens!E7848</f>
        <v>4200.89183333333</v>
      </c>
      <c r="G7850" s="30" t="n">
        <f aca="false">Sens!G7848-Sens!F7848</f>
        <v>4544.22516666667</v>
      </c>
      <c r="H7850" s="30" t="n">
        <f aca="false">Sens!H7848-Sens!G7848</f>
        <v>4544.22516666667</v>
      </c>
      <c r="I7850" s="30" t="n">
        <f aca="false">Sens!I7848-Sens!H7848</f>
        <v>3219.97686611111</v>
      </c>
      <c r="J7850" s="30" t="n">
        <f aca="false">Sens!J7848-Sens!I7848</f>
        <v>1960.12810287778</v>
      </c>
      <c r="K7850" s="30" t="n">
        <f aca="false">Sens!K7848-Sens!J7848</f>
        <v>726.883414069667</v>
      </c>
    </row>
    <row r="7851" customFormat="false" ht="17.15" hidden="false" customHeight="false" outlineLevel="0" collapsed="false">
      <c r="A7851" s="1" t="s">
        <v>959</v>
      </c>
      <c r="B7851" s="0" t="s">
        <v>456</v>
      </c>
      <c r="D7851" s="30" t="n">
        <f aca="false">Sens!D7845-Sens!C7845</f>
        <v>990</v>
      </c>
      <c r="E7851" s="30" t="n">
        <f aca="false">Sens!E7845-Sens!D7845</f>
        <v>1620</v>
      </c>
      <c r="F7851" s="30" t="n">
        <f aca="false">Sens!F7845-Sens!E7845</f>
        <v>2726.5351</v>
      </c>
      <c r="G7851" s="30" t="n">
        <f aca="false">Sens!G7845-Sens!F7845</f>
        <v>2726.5351</v>
      </c>
      <c r="H7851" s="30" t="n">
        <f aca="false">Sens!H7845-Sens!G7845</f>
        <v>2726.5351</v>
      </c>
      <c r="I7851" s="30" t="n">
        <f aca="false">Sens!I7845-Sens!H7845</f>
        <v>1931.98611966667</v>
      </c>
      <c r="J7851" s="30" t="n">
        <f aca="false">Sens!J7845-Sens!I7845</f>
        <v>1176.07686172667</v>
      </c>
      <c r="K7851" s="30" t="n">
        <f aca="false">Sens!K7845-Sens!J7845</f>
        <v>436.130048441799</v>
      </c>
    </row>
    <row r="7852" customFormat="false" ht="17.15" hidden="false" customHeight="false" outlineLevel="0" collapsed="false">
      <c r="A7852" s="1" t="s">
        <v>960</v>
      </c>
      <c r="B7852" s="0" t="s">
        <v>456</v>
      </c>
      <c r="F7852" s="30" t="n">
        <f aca="false">Sens!F7871*ext_sh</f>
        <v>0</v>
      </c>
      <c r="G7852" s="30" t="n">
        <f aca="false">Sens!G7871*ext_sh</f>
        <v>0</v>
      </c>
      <c r="H7852" s="30" t="n">
        <f aca="false">Sens!H7871*ext_sh</f>
        <v>0</v>
      </c>
      <c r="I7852" s="30" t="n">
        <f aca="false">Sens!I7871*ext_sh</f>
        <v>490</v>
      </c>
      <c r="J7852" s="30" t="n">
        <f aca="false">Sens!J7871*ext_sh</f>
        <v>740</v>
      </c>
      <c r="K7852" s="30" t="n">
        <f aca="false">Sens!K7871*ext_sh</f>
        <v>1470</v>
      </c>
      <c r="L7852" s="1" t="s">
        <v>961</v>
      </c>
    </row>
    <row r="7853" customFormat="false" ht="17.15" hidden="false" customHeight="false" outlineLevel="0" collapsed="false">
      <c r="A7853" s="1" t="s">
        <v>962</v>
      </c>
      <c r="B7853" s="0" t="s">
        <v>456</v>
      </c>
      <c r="C7853" s="30" t="n">
        <f aca="false">mix_h*Sens!C7845</f>
        <v>128</v>
      </c>
      <c r="D7853" s="30" t="n">
        <f aca="false">mix_h*Sens!D7845</f>
        <v>326</v>
      </c>
      <c r="E7853" s="30" t="n">
        <f aca="false">mix_h*Sens!E7845</f>
        <v>650</v>
      </c>
      <c r="F7853" s="30" t="n">
        <f aca="false">Sens!E7853-Sens!F7852*mix_h</f>
        <v>650</v>
      </c>
      <c r="G7853" s="30" t="n">
        <f aca="false">Sens!F7853-Sens!G7852*mix_h</f>
        <v>650</v>
      </c>
      <c r="H7853" s="30" t="n">
        <f aca="false">Sens!G7853-Sens!H7852*mix_h</f>
        <v>650</v>
      </c>
      <c r="I7853" s="30" t="n">
        <f aca="false">Sens!H7853-Sens!I7852*mix_h</f>
        <v>552</v>
      </c>
      <c r="J7853" s="30" t="n">
        <f aca="false">Sens!I7853-Sens!J7852*mix_h</f>
        <v>404</v>
      </c>
      <c r="K7853" s="30" t="n">
        <f aca="false">Sens!J7853-Sens!K7852*mix_h</f>
        <v>110</v>
      </c>
    </row>
    <row r="7854" customFormat="false" ht="17.15" hidden="false" customHeight="false" outlineLevel="0" collapsed="false">
      <c r="A7854" s="1" t="s">
        <v>963</v>
      </c>
      <c r="B7854" s="0" t="s">
        <v>456</v>
      </c>
      <c r="C7854" s="30" t="n">
        <f aca="false">mix_g2*Sens!C7845</f>
        <v>288</v>
      </c>
      <c r="D7854" s="30" t="n">
        <f aca="false">mix_g2*Sens!D7845</f>
        <v>733.5</v>
      </c>
      <c r="E7854" s="30" t="n">
        <f aca="false">mix_g2*Sens!E7845</f>
        <v>1462.5</v>
      </c>
      <c r="F7854" s="30" t="n">
        <f aca="false">Sens!E7854-Sens!F7852*mix_g2</f>
        <v>1462.5</v>
      </c>
      <c r="G7854" s="30" t="n">
        <f aca="false">Sens!F7854-Sens!G7852*mix_g2</f>
        <v>1462.5</v>
      </c>
      <c r="H7854" s="30" t="n">
        <f aca="false">Sens!G7854-Sens!H7852*mix_g2</f>
        <v>1462.5</v>
      </c>
      <c r="I7854" s="30" t="n">
        <f aca="false">Sens!H7854-Sens!I7852*mix_g2</f>
        <v>1242</v>
      </c>
      <c r="J7854" s="30" t="n">
        <f aca="false">Sens!I7854-Sens!J7852*mix_g2</f>
        <v>909</v>
      </c>
      <c r="K7854" s="30" t="n">
        <f aca="false">Sens!J7854-Sens!K7852*mix_g2</f>
        <v>247.5</v>
      </c>
    </row>
    <row r="7855" customFormat="false" ht="17.15" hidden="false" customHeight="false" outlineLevel="0" collapsed="false">
      <c r="A7855" s="1" t="s">
        <v>964</v>
      </c>
      <c r="B7855" s="0" t="s">
        <v>456</v>
      </c>
      <c r="C7855" s="30" t="n">
        <f aca="false">mix_g3*Sens!C7845</f>
        <v>224</v>
      </c>
      <c r="D7855" s="30" t="n">
        <f aca="false">mix_g3*Sens!D7845</f>
        <v>570.5</v>
      </c>
      <c r="E7855" s="30" t="n">
        <f aca="false">mix_g3*Sens!E7845</f>
        <v>1137.5</v>
      </c>
      <c r="F7855" s="30" t="n">
        <f aca="false">Sens!E7855+(Sens!F7851+Sens!F7852)*(a_g3_27-nonnv*a_mai)-Sens!F7852*mix_g3</f>
        <v>2773.42106</v>
      </c>
      <c r="G7855" s="30" t="n">
        <f aca="false">Sens!F7855+(Sens!G7851+Sens!G7852)*(a_g3_28-nonnv*a_mai)-Sens!G7852*mix_g3</f>
        <v>3318.72808</v>
      </c>
      <c r="H7855" s="30" t="n">
        <f aca="false">Sens!G7855+(Sens!H7851+Sens!H7852)*(a_g3_29-nonnv*a_mai)-Sens!H7852*mix_g3</f>
        <v>3318.72808</v>
      </c>
      <c r="I7855" s="30" t="n">
        <f aca="false">Sens!H7855+(Sens!I7851+Sens!I7852)*(a_g3_29-nonnv*a_mai)-Sens!I7852*mix_g3</f>
        <v>3147.22808</v>
      </c>
      <c r="J7855" s="30" t="n">
        <f aca="false">Sens!I7855+(Sens!J7851+Sens!J7852)*(a_g3_29-nonnv*a_mai)-Sens!J7852*mix_g3</f>
        <v>2888.22808</v>
      </c>
      <c r="K7855" s="30" t="n">
        <f aca="false">Sens!J7855+(Sens!K7851+Sens!K7852)*(a_g3_29-nonnv*a_mai)-Sens!K7852*mix_g3</f>
        <v>2373.72808</v>
      </c>
    </row>
    <row r="7856" customFormat="false" ht="17.15" hidden="false" customHeight="false" outlineLevel="0" collapsed="false">
      <c r="A7856" s="1" t="s">
        <v>965</v>
      </c>
      <c r="B7856" s="0" t="s">
        <v>456</v>
      </c>
      <c r="C7856" s="30" t="n">
        <v>0</v>
      </c>
      <c r="D7856" s="30" t="n">
        <v>0</v>
      </c>
      <c r="E7856" s="30" t="n">
        <v>0</v>
      </c>
      <c r="F7856" s="30" t="n">
        <f aca="false">Sens!E7856+(Sens!F7851+Sens!F7852)*nonnv*a_mai</f>
        <v>272.65351</v>
      </c>
      <c r="G7856" s="30" t="n">
        <f aca="false">Sens!F7856+(Sens!G7851+Sens!G7852)*nonnv*a_mai</f>
        <v>545.30702</v>
      </c>
      <c r="H7856" s="30" t="n">
        <f aca="false">Sens!G7856+(Sens!H7851+Sens!H7852)*nonnv*a_mai</f>
        <v>817.96053</v>
      </c>
      <c r="I7856" s="30" t="n">
        <f aca="false">Sens!H7856+(Sens!I7851+Sens!I7852)*nonnv*a_mai</f>
        <v>1060.15914196667</v>
      </c>
      <c r="J7856" s="30" t="n">
        <f aca="false">Sens!I7856+(Sens!J7851+Sens!J7852)*nonnv*a_mai</f>
        <v>1251.76682813933</v>
      </c>
      <c r="K7856" s="30" t="n">
        <f aca="false">Sens!J7856+(Sens!K7851+Sens!K7852)*nonnv*a_mai</f>
        <v>1442.37983298351</v>
      </c>
      <c r="L7856" s="12" t="s">
        <v>966</v>
      </c>
    </row>
    <row r="7857" customFormat="false" ht="17.15" hidden="false" customHeight="false" outlineLevel="0" collapsed="false">
      <c r="A7857" s="1" t="s">
        <v>967</v>
      </c>
      <c r="B7857" s="0" t="s">
        <v>456</v>
      </c>
      <c r="C7857" s="30" t="n">
        <v>0</v>
      </c>
      <c r="D7857" s="30" t="n">
        <v>0</v>
      </c>
      <c r="E7857" s="30" t="n">
        <v>0</v>
      </c>
      <c r="F7857" s="30" t="n">
        <f aca="false">Sens!E7857+(Sens!F7851+Sens!F7852)*(1-a_g3_27)</f>
        <v>817.96053</v>
      </c>
      <c r="G7857" s="30" t="n">
        <f aca="false">Sens!F7857+(Sens!G7851+Sens!G7852)*(1-a_g3_28)</f>
        <v>2726.5351</v>
      </c>
      <c r="H7857" s="30" t="n">
        <f aca="false">Sens!G7857+(Sens!H7851+Sens!H7852)*(1-a_g3_29)</f>
        <v>5180.41669</v>
      </c>
      <c r="I7857" s="30" t="n">
        <f aca="false">Sens!H7857+(Sens!I7851+Sens!I7852)*(1-a_g3_29)</f>
        <v>7360.2041977</v>
      </c>
      <c r="J7857" s="30" t="n">
        <f aca="false">Sens!I7857+(Sens!J7851+Sens!J7852)*(1-a_g3_29)</f>
        <v>9084.673373254</v>
      </c>
      <c r="K7857" s="30" t="n">
        <f aca="false">Sens!J7857+(Sens!K7851+Sens!K7852)*(1-a_g3_29)</f>
        <v>10800.1904168516</v>
      </c>
    </row>
    <row r="7858" customFormat="false" ht="17.15" hidden="false" customHeight="false" outlineLevel="0" collapsed="false">
      <c r="A7858" s="1" t="s">
        <v>968</v>
      </c>
      <c r="B7858" s="0" t="s">
        <v>403</v>
      </c>
      <c r="C7858" s="15" t="n">
        <f aca="false">(Sens!C7853*tk_hold_h100+Sens!C7854*tk_hold_gb200+Sens!C7855*tk_hold_gb300+Sens!C7857*tk_hold_vr200+Sens!C7856*nv_hold_mai*tk_hold_vr200)/Sens!C7845</f>
        <v>9.7235358126469</v>
      </c>
      <c r="D7858" s="15" t="n">
        <f aca="false">(Sens!D7853*tk_hold_h100+Sens!D7854*tk_hold_gb200+Sens!D7855*tk_hold_gb300+Sens!D7857*tk_hold_vr200+Sens!D7856*nv_hold_mai*tk_hold_vr200)/Sens!D7845</f>
        <v>9.7235358126469</v>
      </c>
      <c r="E7858" s="15" t="n">
        <f aca="false">(Sens!E7853*tk_hold_h100+Sens!E7854*tk_hold_gb200+Sens!E7855*tk_hold_gb300+Sens!E7857*tk_hold_vr200+Sens!E7856*nv_hold_mai*tk_hold_vr200)/Sens!E7845</f>
        <v>9.7235358126469</v>
      </c>
      <c r="F7858" s="15" t="n">
        <f aca="false">(Sens!F7853*tk_hold_h100+Sens!F7854*tk_hold_gb200+Sens!F7855*tk_hold_gb300+Sens!F7857*tk_hold_vr200+Sens!F7856*nv_hold_mai*tk_hold_vr200)/Sens!F7845</f>
        <v>10.2195353876665</v>
      </c>
      <c r="G7858" s="15" t="n">
        <f aca="false">(Sens!G7853*tk_hold_h100+Sens!G7854*tk_hold_gb200+Sens!G7855*tk_hold_gb300+Sens!G7857*tk_hold_vr200+Sens!G7856*nv_hold_mai*tk_hold_vr200)/Sens!G7845</f>
        <v>10.5725598017306</v>
      </c>
      <c r="H7858" s="15" t="n">
        <f aca="false">(Sens!H7853*tk_hold_h100+Sens!H7854*tk_hold_gb200+Sens!H7855*tk_hold_gb300+Sens!H7857*tk_hold_vr200+Sens!H7856*nv_hold_mai*tk_hold_vr200)/Sens!H7845</f>
        <v>10.8210427149036</v>
      </c>
      <c r="I7858" s="15" t="n">
        <f aca="false">(Sens!I7853*tk_hold_h100+Sens!I7854*tk_hold_gb200+Sens!I7855*tk_hold_gb300+Sens!I7857*tk_hold_vr200+Sens!I7856*nv_hold_mai*tk_hold_vr200)/Sens!I7845</f>
        <v>11.0050618241982</v>
      </c>
      <c r="J7858" s="15" t="n">
        <f aca="false">(Sens!J7853*tk_hold_h100+Sens!J7854*tk_hold_gb200+Sens!J7855*tk_hold_gb300+Sens!J7857*tk_hold_vr200+Sens!J7856*nv_hold_mai*tk_hold_vr200)/Sens!J7845</f>
        <v>11.1505789658881</v>
      </c>
      <c r="K7858" s="15" t="n">
        <f aca="false">(Sens!K7853*tk_hold_h100+Sens!K7854*tk_hold_gb200+Sens!K7855*tk_hold_gb300+Sens!K7857*tk_hold_vr200+Sens!K7856*nv_hold_mai*tk_hold_vr200)/Sens!K7845</f>
        <v>11.3496914757183</v>
      </c>
      <c r="L7858" s="1" t="s">
        <v>969</v>
      </c>
    </row>
    <row r="7859" customFormat="false" ht="17.15" hidden="false" customHeight="false" outlineLevel="0" collapsed="false">
      <c r="A7859" s="1" t="s">
        <v>970</v>
      </c>
      <c r="B7859" s="0" t="s">
        <v>403</v>
      </c>
      <c r="C7859" s="15" t="n">
        <f aca="false">(Sens!C7853*tk_hold_h100+Sens!C7854*tk_hold_gb200+Sens!C7855*tk_hold_gb300+Sens!C7857*tk_hold_vr200+Sens!C7856*nv_out_mai*tk_hold_vr200)/Sens!C7845</f>
        <v>9.7235358126469</v>
      </c>
      <c r="D7859" s="15" t="n">
        <f aca="false">(Sens!D7853*tk_hold_h100+Sens!D7854*tk_hold_gb200+Sens!D7855*tk_hold_gb300+Sens!D7857*tk_hold_vr200+Sens!D7856*nv_out_mai*tk_hold_vr200)/Sens!D7845</f>
        <v>9.7235358126469</v>
      </c>
      <c r="E7859" s="15" t="n">
        <f aca="false">(Sens!E7853*tk_hold_h100+Sens!E7854*tk_hold_gb200+Sens!E7855*tk_hold_gb300+Sens!E7857*tk_hold_vr200+Sens!E7856*nv_out_mai*tk_hold_vr200)/Sens!E7845</f>
        <v>9.7235358126469</v>
      </c>
      <c r="F7859" s="15" t="n">
        <f aca="false">(Sens!F7853*tk_hold_h100+Sens!F7854*tk_hold_gb200+Sens!F7855*tk_hold_gb300+Sens!F7857*tk_hold_vr200+Sens!F7856*nv_out_mai*tk_hold_vr200)/Sens!F7845</f>
        <v>10.247422093969</v>
      </c>
      <c r="G7859" s="15" t="n">
        <f aca="false">(Sens!G7853*tk_hold_h100+Sens!G7854*tk_hold_gb200+Sens!G7855*tk_hold_gb300+Sens!G7857*tk_hold_vr200+Sens!G7856*nv_out_mai*tk_hold_vr200)/Sens!G7845</f>
        <v>10.6108602808053</v>
      </c>
      <c r="H7859" s="15" t="n">
        <f aca="false">(Sens!H7853*tk_hold_h100+Sens!H7854*tk_hold_gb200+Sens!H7855*tk_hold_gb300+Sens!H7857*tk_hold_vr200+Sens!H7856*nv_out_mai*tk_hold_vr200)/Sens!H7845</f>
        <v>10.8647885507393</v>
      </c>
      <c r="I7859" s="15" t="n">
        <f aca="false">(Sens!I7853*tk_hold_h100+Sens!I7854*tk_hold_gb200+Sens!I7855*tk_hold_gb300+Sens!I7857*tk_hold_vr200+Sens!I7856*nv_out_mai*tk_hold_vr200)/Sens!I7845</f>
        <v>11.0535625770025</v>
      </c>
      <c r="J7859" s="15" t="n">
        <f aca="false">(Sens!J7853*tk_hold_h100+Sens!J7854*tk_hold_gb200+Sens!J7855*tk_hold_gb300+Sens!J7857*tk_hold_vr200+Sens!J7856*nv_out_mai*tk_hold_vr200)/Sens!J7845</f>
        <v>11.2032127128058</v>
      </c>
      <c r="K7859" s="15" t="n">
        <f aca="false">(Sens!K7853*tk_hold_h100+Sens!K7854*tk_hold_gb200+Sens!K7855*tk_hold_gb300+Sens!K7857*tk_hold_vr200+Sens!K7856*nv_out_mai*tk_hold_vr200)/Sens!K7845</f>
        <v>11.4085735724225</v>
      </c>
      <c r="L7859" s="12" t="s">
        <v>971</v>
      </c>
    </row>
    <row r="7860" customFormat="false" ht="17.15" hidden="false" customHeight="false" outlineLevel="0" collapsed="false">
      <c r="A7860" s="0" t="s">
        <v>972</v>
      </c>
      <c r="B7860" s="0" t="s">
        <v>229</v>
      </c>
      <c r="C7860" s="15" t="n">
        <f aca="false">k_B</f>
        <v>1.17213932619116</v>
      </c>
      <c r="D7860" s="15" t="n">
        <f aca="false">k_B</f>
        <v>1.17213932619116</v>
      </c>
      <c r="E7860" s="15" t="n">
        <f aca="false">k_B</f>
        <v>1.17213932619116</v>
      </c>
      <c r="F7860" s="15" t="n">
        <f aca="false">(k_B+((ls_A*k_long+(1-ls_A)*k_spot)-k_B)*MIN(1,(Sens!F7843-base_fy)/k_ramp))</f>
        <v>1.25022828131298</v>
      </c>
      <c r="G7860" s="15" t="n">
        <f aca="false">(k_B+((ls_A*k_long+(1-ls_A)*k_spot)-k_B)*MIN(1,(Sens!G7843-base_fy)/k_ramp))</f>
        <v>1.3283172364348</v>
      </c>
      <c r="H7860" s="15" t="n">
        <f aca="false">(k_B+((ls_A*k_long+(1-ls_A)*k_spot)-k_B)*MIN(1,(Sens!H7843-base_fy)/k_ramp))</f>
        <v>1.40640619155662</v>
      </c>
      <c r="I7860" s="15" t="n">
        <f aca="false">(k_B+((ls_A*k_long+(1-ls_A)*k_spot)-k_B)*MIN(1,(Sens!I7843-base_fy)/k_ramp))</f>
        <v>1.40640619155662</v>
      </c>
      <c r="J7860" s="15" t="n">
        <f aca="false">(k_B+((ls_A*k_long+(1-ls_A)*k_spot)-k_B)*MIN(1,(Sens!J7843-base_fy)/k_ramp))</f>
        <v>1.40640619155662</v>
      </c>
      <c r="K7860" s="15" t="n">
        <f aca="false">(k_B+((ls_A*k_long+(1-ls_A)*k_spot)-k_B)*MIN(1,(Sens!K7843-base_fy)/k_ramp))</f>
        <v>1.40640619155662</v>
      </c>
      <c r="L7860" s="1" t="s">
        <v>973</v>
      </c>
    </row>
    <row r="7861" customFormat="false" ht="17.15" hidden="false" customHeight="false" outlineLevel="0" collapsed="false">
      <c r="A7861" s="1" t="s">
        <v>974</v>
      </c>
      <c r="B7861" s="0" t="s">
        <v>403</v>
      </c>
      <c r="C7861" s="15" t="n">
        <f aca="false">Sens!C7859*Sens!C7860*chip_f</f>
        <v>11.3973387156315</v>
      </c>
      <c r="D7861" s="15" t="n">
        <f aca="false">Sens!D7859*Sens!D7860*chip_f</f>
        <v>11.3973387156315</v>
      </c>
      <c r="E7861" s="15" t="n">
        <f aca="false">Sens!E7859*Sens!E7860*chip_f</f>
        <v>11.3973387156315</v>
      </c>
      <c r="F7861" s="15" t="n">
        <f aca="false">Sens!F7859*Sens!F7860*chip_f</f>
        <v>12.8116169124314</v>
      </c>
      <c r="G7861" s="15" t="n">
        <f aca="false">Sens!G7859*Sens!G7860*chip_f</f>
        <v>14.094588604395</v>
      </c>
      <c r="H7861" s="15" t="n">
        <f aca="false">Sens!H7859*Sens!H7860*chip_f</f>
        <v>15.2803058877132</v>
      </c>
      <c r="I7861" s="15" t="n">
        <f aca="false">Sens!I7859*Sens!I7860*chip_f</f>
        <v>15.5457988470549</v>
      </c>
      <c r="J7861" s="15" t="n">
        <f aca="false">Sens!J7859*Sens!J7860*chip_f</f>
        <v>15.7562677246158</v>
      </c>
      <c r="K7861" s="15" t="n">
        <f aca="false">Sens!K7859*Sens!K7860*chip_f</f>
        <v>16.0450885090842</v>
      </c>
      <c r="L7861" s="1" t="s">
        <v>975</v>
      </c>
    </row>
    <row r="7862" customFormat="false" ht="17.15" hidden="false" customHeight="false" outlineLevel="0" collapsed="false">
      <c r="A7862" s="0" t="s">
        <v>976</v>
      </c>
      <c r="B7862" s="0" t="s">
        <v>98</v>
      </c>
      <c r="D7862" s="6" t="n">
        <f aca="false">(Sens!C7845+Sens!D7845)/2*Sens!D7861/1000</f>
        <v>12.9359794422418</v>
      </c>
      <c r="E7862" s="6" t="n">
        <f aca="false">(Sens!D7845+Sens!E7845)/2*Sens!E7861/1000</f>
        <v>27.8095064661409</v>
      </c>
      <c r="F7862" s="6" t="n">
        <f aca="false">(Sens!E7845+Sens!F7845)/2*Sens!F7861/1000</f>
        <v>59.1034165651511</v>
      </c>
      <c r="G7862" s="6" t="n">
        <f aca="false">(Sens!F7845+Sens!G7845)/2*Sens!G7861/1000</f>
        <v>103.451498789198</v>
      </c>
      <c r="H7862" s="6" t="n">
        <f aca="false">(Sens!G7845+Sens!H7845)/2*Sens!H7861/1000</f>
        <v>153.816719989035</v>
      </c>
      <c r="I7862" s="6" t="n">
        <f aca="false">(Sens!H7845+Sens!I7845)/2*Sens!I7861/1000</f>
        <v>192.699478690852</v>
      </c>
      <c r="J7862" s="6" t="n">
        <f aca="false">(Sens!I7845+Sens!J7845)/2*Sens!J7861/1000</f>
        <v>219.794102584244</v>
      </c>
      <c r="K7862" s="6" t="n">
        <f aca="false">(Sens!J7845+Sens!K7845)/2*Sens!K7861/1000</f>
        <v>236.757046905022</v>
      </c>
      <c r="L7862" s="12" t="s">
        <v>977</v>
      </c>
    </row>
    <row r="7863" customFormat="false" ht="17.15" hidden="false" customHeight="false" outlineLevel="0" collapsed="false">
      <c r="A7863" s="1" t="s">
        <v>978</v>
      </c>
      <c r="B7863" s="0" t="s">
        <v>403</v>
      </c>
      <c r="C7863" s="15" t="n">
        <f aca="false">(Sens!C7853*tk_opex_h100+Sens!C7854*tk_opex_gb200+Sens!C7855*tk_opex_gb300+(Sens!C7857+Sens!C7856)*tk_opex_vr200)/Sens!C7845</f>
        <v>1.88636041306092</v>
      </c>
      <c r="D7863" s="15" t="n">
        <f aca="false">(Sens!D7853*tk_opex_h100+Sens!D7854*tk_opex_gb200+Sens!D7855*tk_opex_gb300+(Sens!D7857+Sens!D7856)*tk_opex_vr200)/Sens!D7845</f>
        <v>1.88636041306092</v>
      </c>
      <c r="E7863" s="15" t="n">
        <f aca="false">(Sens!E7853*tk_opex_h100+Sens!E7854*tk_opex_gb200+Sens!E7855*tk_opex_gb300+(Sens!E7857+Sens!E7856)*tk_opex_vr200)/Sens!E7845</f>
        <v>1.88636041306092</v>
      </c>
      <c r="F7863" s="15" t="n">
        <f aca="false">(Sens!F7853*tk_opex_h100+Sens!F7854*tk_opex_gb200+Sens!F7855*tk_opex_gb300+(Sens!F7857+Sens!F7856)*tk_opex_vr200)/Sens!F7845</f>
        <v>1.95051159746876</v>
      </c>
      <c r="G7863" s="15" t="n">
        <f aca="false">(Sens!G7853*tk_opex_h100+Sens!G7854*tk_opex_gb200+Sens!G7855*tk_opex_gb300+(Sens!G7857+Sens!G7856)*tk_opex_vr200)/Sens!G7845</f>
        <v>1.98836003669956</v>
      </c>
      <c r="H7863" s="15" t="n">
        <f aca="false">(Sens!H7853*tk_opex_h100+Sens!H7854*tk_opex_gb200+Sens!H7855*tk_opex_gb300+(Sens!H7857+Sens!H7856)*tk_opex_vr200)/Sens!H7845</f>
        <v>2.01344013834343</v>
      </c>
      <c r="I7863" s="15" t="n">
        <f aca="false">(Sens!I7853*tk_opex_h100+Sens!I7854*tk_opex_gb200+Sens!I7855*tk_opex_gb300+(Sens!I7857+Sens!I7856)*tk_opex_vr200)/Sens!I7845</f>
        <v>2.03261166882178</v>
      </c>
      <c r="J7863" s="15" t="n">
        <f aca="false">(Sens!J7853*tk_opex_h100+Sens!J7854*tk_opex_gb200+Sens!J7855*tk_opex_gb300+(Sens!J7857+Sens!J7856)*tk_opex_vr200)/Sens!J7845</f>
        <v>2.04808073288745</v>
      </c>
      <c r="K7863" s="15" t="n">
        <f aca="false">(Sens!K7853*tk_opex_h100+Sens!K7854*tk_opex_gb200+Sens!K7855*tk_opex_gb300+(Sens!K7857+Sens!K7856)*tk_opex_vr200)/Sens!K7845</f>
        <v>2.06973825807449</v>
      </c>
      <c r="L7863" s="12" t="s">
        <v>979</v>
      </c>
    </row>
    <row r="7864" customFormat="false" ht="17.15" hidden="false" customHeight="false" outlineLevel="0" collapsed="false">
      <c r="A7864" s="0" t="s">
        <v>980</v>
      </c>
      <c r="B7864" s="0" t="s">
        <v>98</v>
      </c>
      <c r="D7864" s="6" t="n">
        <f aca="false">(Sens!C7848+Sens!D7848)/2*Sens!D7863/1000</f>
        <v>2.70378325872065</v>
      </c>
      <c r="E7864" s="6" t="n">
        <f aca="false">(Sens!D7848+Sens!E7848)/2*Sens!E7863/1000</f>
        <v>6.17783035277451</v>
      </c>
      <c r="F7864" s="6" t="n">
        <f aca="false">(Sens!E7848+Sens!F7848)/2*Sens!F7863/1000</f>
        <v>12.8742463089237</v>
      </c>
      <c r="G7864" s="6" t="n">
        <f aca="false">(Sens!F7848+Sens!G7848)/2*Sens!G7863/1000</f>
        <v>21.8182834646277</v>
      </c>
      <c r="H7864" s="6" t="n">
        <f aca="false">(Sens!G7848+Sens!H7848)/2*Sens!H7863/1000</f>
        <v>31.2430128789734</v>
      </c>
      <c r="I7864" s="6" t="n">
        <f aca="false">(Sens!H7848+Sens!I7848)/2*Sens!I7863/1000</f>
        <v>39.4313057443268</v>
      </c>
      <c r="J7864" s="6" t="n">
        <f aca="false">(Sens!I7848+Sens!J7848)/2*Sens!J7863/1000</f>
        <v>45.0360318228653</v>
      </c>
      <c r="K7864" s="6" t="n">
        <f aca="false">(Sens!J7848+Sens!K7848)/2*Sens!K7863/1000</f>
        <v>48.2929727091156</v>
      </c>
    </row>
    <row r="7865" customFormat="false" ht="17.15" hidden="false" customHeight="false" outlineLevel="0" collapsed="false">
      <c r="A7865" s="0" t="s">
        <v>981</v>
      </c>
      <c r="B7865" s="0" t="s">
        <v>98</v>
      </c>
      <c r="D7865" s="6" t="n">
        <f aca="false">(Sens!C7846+Sens!D7846)/2*rent_mw/1000</f>
        <v>2.44475</v>
      </c>
      <c r="E7865" s="6" t="n">
        <f aca="false">(Sens!D7846+Sens!E7846)/2*rent_mw/1000</f>
        <v>4.22275</v>
      </c>
      <c r="F7865" s="6" t="n">
        <f aca="false">(Sens!E7846+Sens!F7846)/2*rent_mw/1000</f>
        <v>5.80517</v>
      </c>
      <c r="G7865" s="6" t="n">
        <f aca="false">(Sens!F7846+Sens!G7846)/2*rent_mw/1000</f>
        <v>6.72084</v>
      </c>
      <c r="H7865" s="6" t="n">
        <f aca="false">(Sens!G7846+Sens!H7846)/2*rent_mw/1000</f>
        <v>6.72084</v>
      </c>
      <c r="I7865" s="6" t="n">
        <f aca="false">(Sens!H7846+Sens!I7846)/2*rent_mw/1000</f>
        <v>6.72084</v>
      </c>
      <c r="J7865" s="6" t="n">
        <f aca="false">(Sens!I7846+Sens!J7846)/2*rent_mw/1000</f>
        <v>6.72084</v>
      </c>
      <c r="K7865" s="6" t="n">
        <f aca="false">(Sens!J7846+Sens!K7846)/2*rent_mw/1000</f>
        <v>6.72084</v>
      </c>
    </row>
    <row r="7866" customFormat="false" ht="17.15" hidden="false" customHeight="false" outlineLevel="0" collapsed="false">
      <c r="A7866" s="0" t="s">
        <v>982</v>
      </c>
      <c r="B7866" s="0" t="s">
        <v>98</v>
      </c>
      <c r="D7866" s="6" t="n">
        <f aca="false">(Sens!C7848+Sens!D7848)/2*(1-self_build)*fac_rent/1000</f>
        <v>0.853242375631075</v>
      </c>
      <c r="E7866" s="6" t="n">
        <f aca="false">(Sens!D7848+Sens!E7848)/2*(1-self_build)*fac_rent/1000</f>
        <v>1.94955961408728</v>
      </c>
      <c r="F7866" s="6" t="n">
        <f aca="false">(Sens!E7848+Sens!F7848)/2*(1-self_build)*fac_rent/1000</f>
        <v>3.92914894476356</v>
      </c>
      <c r="G7866" s="6" t="n">
        <f aca="false">(Sens!F7848+Sens!G7848)/2*(1-self_build)*fac_rent/1000</f>
        <v>6.53206908578159</v>
      </c>
      <c r="H7866" s="6" t="n">
        <f aca="false">(Sens!G7848+Sens!H7848)/2*(1-self_build)*fac_rent/1000</f>
        <v>9.23717988341591</v>
      </c>
      <c r="I7866" s="6" t="n">
        <f aca="false">(Sens!H7848+Sens!I7848)/2*(1-self_build)*fac_rent/1000</f>
        <v>11.5481378557393</v>
      </c>
      <c r="J7866" s="6" t="n">
        <f aca="false">(Sens!I7848+Sens!J7848)/2*(1-self_build)*fac_rent/1000</f>
        <v>13.0899582289108</v>
      </c>
      <c r="K7866" s="6" t="n">
        <f aca="false">(Sens!J7848+Sens!K7848)/2*(1-self_build)*fac_rent/1000</f>
        <v>13.8897275626556</v>
      </c>
      <c r="L7866" s="12" t="s">
        <v>983</v>
      </c>
    </row>
    <row r="7867" customFormat="false" ht="17.15" hidden="false" customHeight="false" outlineLevel="0" collapsed="false">
      <c r="A7867" s="1" t="s">
        <v>984</v>
      </c>
      <c r="B7867" s="0" t="s">
        <v>168</v>
      </c>
      <c r="D7867" s="7" t="n">
        <f aca="false">(Sens!C7847+Sens!D7847)/(Sens!C7848+Sens!D7848)</f>
        <v>0.6</v>
      </c>
      <c r="E7867" s="7" t="n">
        <f aca="false">(Sens!D7847+Sens!E7847)/(Sens!D7848+Sens!E7848)</f>
        <v>0.6</v>
      </c>
      <c r="F7867" s="7" t="n">
        <f aca="false">(Sens!E7847+Sens!F7847)/(Sens!E7848+Sens!F7848)</f>
        <v>0.6</v>
      </c>
      <c r="G7867" s="7" t="n">
        <f aca="false">(Sens!F7847+Sens!G7847)/(Sens!F7848+Sens!G7848)</f>
        <v>0.6</v>
      </c>
      <c r="H7867" s="7" t="n">
        <f aca="false">(Sens!G7847+Sens!H7847)/(Sens!G7848+Sens!H7848)</f>
        <v>0.6</v>
      </c>
      <c r="I7867" s="7" t="n">
        <f aca="false">(Sens!H7847+Sens!I7847)/(Sens!H7848+Sens!I7848)</f>
        <v>0.6</v>
      </c>
      <c r="J7867" s="7" t="n">
        <f aca="false">(Sens!I7847+Sens!J7847)/(Sens!I7848+Sens!J7848)</f>
        <v>0.6</v>
      </c>
      <c r="K7867" s="7" t="n">
        <f aca="false">(Sens!J7847+Sens!K7847)/(Sens!J7848+Sens!K7848)</f>
        <v>0.6</v>
      </c>
    </row>
    <row r="7868" customFormat="false" ht="17.15" hidden="false" customHeight="false" outlineLevel="0" collapsed="false">
      <c r="A7868" s="0" t="s">
        <v>985</v>
      </c>
      <c r="B7868" s="0" t="s">
        <v>98</v>
      </c>
      <c r="D7868" s="6" t="n">
        <f aca="false">Sens!D7862-Sens!D7867*(Sens!D7864+Sens!D7866)-Sens!D7865</f>
        <v>8.35701406163072</v>
      </c>
      <c r="E7868" s="6" t="n">
        <f aca="false">Sens!E7862-Sens!E7867*(Sens!E7864+Sens!E7866)-Sens!E7865</f>
        <v>18.7103224860238</v>
      </c>
      <c r="F7868" s="6" t="n">
        <f aca="false">Sens!F7862-Sens!F7867*(Sens!F7864+Sens!F7866)-Sens!F7865</f>
        <v>43.2162094129388</v>
      </c>
      <c r="G7868" s="6" t="n">
        <f aca="false">Sens!G7862-Sens!G7867*(Sens!G7864+Sens!G7866)-Sens!G7865</f>
        <v>79.7204472589529</v>
      </c>
      <c r="H7868" s="6" t="n">
        <f aca="false">Sens!H7862-Sens!H7867*(Sens!H7864+Sens!H7866)-Sens!H7865</f>
        <v>122.807764331602</v>
      </c>
      <c r="I7868" s="6" t="n">
        <f aca="false">Sens!I7862-Sens!I7867*(Sens!I7864+Sens!I7866)-Sens!I7865</f>
        <v>155.390972530813</v>
      </c>
      <c r="J7868" s="6" t="n">
        <f aca="false">Sens!J7862-Sens!J7867*(Sens!J7864+Sens!J7866)-Sens!J7865</f>
        <v>178.197668553178</v>
      </c>
      <c r="K7868" s="6" t="n">
        <f aca="false">Sens!K7862-Sens!K7867*(Sens!K7864+Sens!K7866)-Sens!K7865</f>
        <v>192.726586741959</v>
      </c>
    </row>
    <row r="7869" customFormat="false" ht="17.15" hidden="false" customHeight="false" outlineLevel="0" collapsed="false">
      <c r="A7869" s="1" t="s">
        <v>986</v>
      </c>
      <c r="B7869" s="0" t="s">
        <v>98</v>
      </c>
      <c r="D7869" s="6" t="n">
        <f aca="false">(1-Sens!D7867)*(Sens!D7864+Sens!D7866)</f>
        <v>1.42281025374069</v>
      </c>
      <c r="E7869" s="6" t="n">
        <f aca="false">(1-Sens!E7867)*(Sens!E7864+Sens!E7866)</f>
        <v>3.25095598674472</v>
      </c>
      <c r="F7869" s="6" t="n">
        <f aca="false">(1-Sens!F7867)*(Sens!F7864+Sens!F7866)</f>
        <v>6.72135810147489</v>
      </c>
      <c r="G7869" s="6" t="n">
        <f aca="false">(1-Sens!G7867)*(Sens!G7864+Sens!G7866)</f>
        <v>11.3401410201637</v>
      </c>
      <c r="H7869" s="6" t="n">
        <f aca="false">(1-Sens!H7867)*(Sens!H7864+Sens!H7866)</f>
        <v>16.1920771049557</v>
      </c>
      <c r="I7869" s="6" t="n">
        <f aca="false">(1-Sens!I7867)*(Sens!I7864+Sens!I7866)</f>
        <v>20.3917774400264</v>
      </c>
      <c r="J7869" s="6" t="n">
        <f aca="false">(1-Sens!J7867)*(Sens!J7864+Sens!J7866)</f>
        <v>23.2503960207104</v>
      </c>
      <c r="K7869" s="6" t="n">
        <f aca="false">(1-Sens!K7867)*(Sens!K7864+Sens!K7866)</f>
        <v>24.8730801087085</v>
      </c>
    </row>
    <row r="7870" customFormat="false" ht="17.15" hidden="false" customHeight="false" outlineLevel="0" collapsed="false">
      <c r="A7870" s="1" t="s">
        <v>987</v>
      </c>
      <c r="B7870" s="0" t="s">
        <v>414</v>
      </c>
      <c r="C7870" s="8" t="n">
        <f aca="false">cxit_open</f>
        <v>27.5918995</v>
      </c>
      <c r="D7870" s="8" t="n">
        <f aca="false">cxit_open</f>
        <v>27.5918995</v>
      </c>
      <c r="E7870" s="8" t="n">
        <f aca="false">cxit_open</f>
        <v>27.5918995</v>
      </c>
      <c r="F7870" s="8" t="n">
        <f aca="false">((a_g3_27-nonnv*a_mai)*tk_cxit_gb300+nonnv*a_mai*nv_hold_mai*tk_cxit_vr200+(1-a_g3_27)*tk_cxit_vr200)</f>
        <v>32.4975576</v>
      </c>
      <c r="G7870" s="8" t="n">
        <f aca="false">((a_g3_28-nonnv*a_mai)*tk_cxit_gb300+nonnv*a_mai*nv_hold_mai*tk_cxit_vr200+(1-a_g3_28)*tk_cxit_vr200)</f>
        <v>34.6372088</v>
      </c>
      <c r="H7870" s="8" t="n">
        <f aca="false">((a_g3_29-nonnv*a_mai)*tk_cxit_gb300+nonnv*a_mai*nv_hold_mai*tk_cxit_vr200+(1-a_g3_29)*tk_cxit_vr200)</f>
        <v>35.7070344</v>
      </c>
      <c r="I7870" s="8" t="n">
        <f aca="false">((a_g3_29-nonnv*a_mai)*tk_cxit_gb300+nonnv*a_mai*nv_hold_mai*tk_cxit_vr200+(1-a_g3_29)*tk_cxit_vr200)</f>
        <v>35.7070344</v>
      </c>
      <c r="J7870" s="8" t="n">
        <f aca="false">((a_g3_29-nonnv*a_mai)*tk_cxit_gb300+nonnv*a_mai*nv_hold_mai*tk_cxit_vr200+(1-a_g3_29)*tk_cxit_vr200)</f>
        <v>35.7070344</v>
      </c>
      <c r="K7870" s="8" t="n">
        <f aca="false">((a_g3_29-nonnv*a_mai)*tk_cxit_gb300+nonnv*a_mai*nv_hold_mai*tk_cxit_vr200+(1-a_g3_29)*tk_cxit_vr200)</f>
        <v>35.7070344</v>
      </c>
      <c r="L7870" s="12" t="s">
        <v>988</v>
      </c>
    </row>
    <row r="7871" customFormat="false" ht="17.15" hidden="false" customHeight="false" outlineLevel="0" collapsed="false">
      <c r="A7871" s="0" t="s">
        <v>989</v>
      </c>
      <c r="B7871" s="0" t="s">
        <v>456</v>
      </c>
      <c r="F7871" s="30" t="n">
        <f aca="false">Sens!C7850*IF(Sens!F7843-Sens!C7843=life_it,1,0)+Sens!D7850*IF(Sens!F7843-Sens!D7843=life_it,1,0)+Sens!E7850*IF(Sens!F7843-Sens!E7843=life_it,1,0)</f>
        <v>0</v>
      </c>
      <c r="G7871" s="30" t="n">
        <f aca="false">Sens!C7850*IF(Sens!G7843-Sens!C7843=life_it,1,0)+Sens!D7850*IF(Sens!G7843-Sens!D7843=life_it,1,0)+Sens!E7850*IF(Sens!G7843-Sens!E7843=life_it,1,0)+Sens!F7850*IF(Sens!G7843-Sens!F7843=life_it,1,0)</f>
        <v>0</v>
      </c>
      <c r="H7871" s="30" t="n">
        <f aca="false">Sens!C7850*IF(Sens!H7843-Sens!C7843=life_it,1,0)+Sens!D7850*IF(Sens!H7843-Sens!D7843=life_it,1,0)+Sens!E7850*IF(Sens!H7843-Sens!E7843=life_it,1,0)+Sens!F7850*IF(Sens!H7843-Sens!F7843=life_it,1,0)+Sens!G7850*IF(Sens!H7843-Sens!G7843=life_it,1,0)</f>
        <v>0</v>
      </c>
      <c r="I7871" s="30" t="n">
        <f aca="false">Sens!C7850*IF(Sens!I7843-Sens!C7843=life_it,1,0)+Sens!D7850*IF(Sens!I7843-Sens!D7843=life_it,1,0)+Sens!E7850*IF(Sens!I7843-Sens!E7843=life_it,1,0)+Sens!F7850*IF(Sens!I7843-Sens!F7843=life_it,1,0)+Sens!G7850*IF(Sens!I7843-Sens!G7843=life_it,1,0)+Sens!H7850*IF(Sens!I7843-Sens!H7843=life_it,1,0)</f>
        <v>816.666666666667</v>
      </c>
      <c r="J7871" s="30" t="n">
        <f aca="false">Sens!C7850*IF(Sens!J7843-Sens!C7843=life_it,1,0)+Sens!D7850*IF(Sens!J7843-Sens!D7843=life_it,1,0)+Sens!E7850*IF(Sens!J7843-Sens!E7843=life_it,1,0)+Sens!F7850*IF(Sens!J7843-Sens!F7843=life_it,1,0)+Sens!G7850*IF(Sens!J7843-Sens!G7843=life_it,1,0)+Sens!H7850*IF(Sens!J7843-Sens!H7843=life_it,1,0)+Sens!I7850*IF(Sens!J7843-Sens!I7843=life_it,1,0)</f>
        <v>1233.33333333333</v>
      </c>
      <c r="K7871" s="30" t="n">
        <f aca="false">Sens!C7850*IF(Sens!K7843-Sens!C7843=life_it,1,0)+Sens!D7850*IF(Sens!K7843-Sens!D7843=life_it,1,0)+Sens!E7850*IF(Sens!K7843-Sens!E7843=life_it,1,0)+Sens!F7850*IF(Sens!K7843-Sens!F7843=life_it,1,0)+Sens!G7850*IF(Sens!K7843-Sens!G7843=life_it,1,0)+Sens!H7850*IF(Sens!K7843-Sens!H7843=life_it,1,0)+Sens!I7850*IF(Sens!K7843-Sens!I7843=life_it,1,0)+Sens!J7850*IF(Sens!K7843-Sens!J7843=life_it,1,0)</f>
        <v>2450</v>
      </c>
      <c r="L7871" s="1" t="s">
        <v>990</v>
      </c>
    </row>
    <row r="7872" customFormat="false" ht="17.15" hidden="false" customHeight="false" outlineLevel="0" collapsed="false">
      <c r="A7872" s="0" t="s">
        <v>991</v>
      </c>
      <c r="B7872" s="0" t="s">
        <v>98</v>
      </c>
      <c r="C7872" s="6" t="n">
        <f aca="false">Sens!C7850*Sens!C7870/1000</f>
        <v>22.5333845916667</v>
      </c>
      <c r="D7872" s="6" t="n">
        <f aca="false">Sens!D7850*Sens!D7870/1000</f>
        <v>34.0300093833333</v>
      </c>
      <c r="E7872" s="6" t="n">
        <f aca="false">Sens!E7850*Sens!E7870/1000</f>
        <v>67.600153775</v>
      </c>
      <c r="F7872" s="6" t="n">
        <f aca="false">(Sens!F7850+Sens!F7871)*Sens!F7870/1000</f>
        <v>136.51872432512</v>
      </c>
      <c r="G7872" s="6" t="n">
        <f aca="false">(Sens!G7850+Sens!G7871)*Sens!G7870/1000</f>
        <v>157.399275932048</v>
      </c>
      <c r="H7872" s="6" t="n">
        <f aca="false">(Sens!H7850+Sens!H7871)*Sens!H7870/1000</f>
        <v>162.260804347512</v>
      </c>
      <c r="I7872" s="6" t="n">
        <f aca="false">(Sens!I7850+Sens!I7871)*Sens!I7870/1000</f>
        <v>144.136569485434</v>
      </c>
      <c r="J7872" s="6" t="n">
        <f aca="false">(Sens!J7850+Sens!J7871)*Sens!J7870/1000</f>
        <v>114.029037357864</v>
      </c>
      <c r="K7872" s="6" t="n">
        <f aca="false">(Sens!K7850+Sens!K7871)*Sens!K7870/1000</f>
        <v>113.437085350975</v>
      </c>
    </row>
    <row r="7873" customFormat="false" ht="17.15" hidden="false" customHeight="false" outlineLevel="0" collapsed="false">
      <c r="A7873" s="0" t="s">
        <v>992</v>
      </c>
      <c r="B7873" s="0" t="s">
        <v>98</v>
      </c>
      <c r="C7873" s="6" t="n">
        <f aca="false">Sens!C7850*self_build*tk_cxfac/1000</f>
        <v>6.2083</v>
      </c>
      <c r="D7873" s="6" t="n">
        <f aca="false">Sens!D7850*self_build*tk_cxfac/1000</f>
        <v>9.3758</v>
      </c>
      <c r="E7873" s="6" t="n">
        <f aca="false">Sens!E7850*self_build*tk_cxfac/1000</f>
        <v>18.6249</v>
      </c>
      <c r="F7873" s="6" t="n">
        <f aca="false">Sens!F7850*self_build*tk_cxfac/1000</f>
        <v>31.935179717</v>
      </c>
      <c r="G7873" s="6" t="n">
        <f aca="false">Sens!G7850*self_build*tk_cxfac/1000</f>
        <v>34.545199717</v>
      </c>
      <c r="H7873" s="6" t="n">
        <f aca="false">Sens!H7850*self_build*tk_cxfac/1000</f>
        <v>34.545199717</v>
      </c>
      <c r="I7873" s="6" t="n">
        <f aca="false">Sens!I7850*self_build*tk_cxfac/1000</f>
        <v>24.4782641361767</v>
      </c>
      <c r="J7873" s="6" t="n">
        <f aca="false">Sens!J7850*self_build*tk_cxfac/1000</f>
        <v>14.9008938380769</v>
      </c>
      <c r="K7873" s="6" t="n">
        <f aca="false">Sens!K7850*self_build*tk_cxfac/1000</f>
        <v>5.52576771375761</v>
      </c>
    </row>
    <row r="7874" customFormat="false" ht="17.15" hidden="false" customHeight="false" outlineLevel="0" collapsed="false">
      <c r="A7874" s="0" t="s">
        <v>993</v>
      </c>
      <c r="B7874" s="0" t="s">
        <v>98</v>
      </c>
      <c r="F7874" s="15" t="n">
        <f aca="false">capex_floor27-Sens!F7872-Sens!F7873-Sens!F7970</f>
        <v>0.336281121266289</v>
      </c>
      <c r="L7874" s="12" t="s">
        <v>994</v>
      </c>
    </row>
    <row r="7875" customFormat="false" ht="17.15" hidden="false" customHeight="false" outlineLevel="0" collapsed="false">
      <c r="A7875" s="0" t="s">
        <v>995</v>
      </c>
      <c r="B7875" s="0" t="s">
        <v>98</v>
      </c>
      <c r="F7875" s="6" t="n">
        <f aca="false">MAX(0,Sens!F7874)</f>
        <v>0.336281121266289</v>
      </c>
    </row>
    <row r="7876" customFormat="false" ht="17.15" hidden="false" customHeight="false" outlineLevel="0" collapsed="false">
      <c r="A7876" s="0" t="s">
        <v>996</v>
      </c>
      <c r="B7876" s="0" t="s">
        <v>98</v>
      </c>
      <c r="C7876" s="6" t="n">
        <f aca="false">Sens!C7872</f>
        <v>22.5333845916667</v>
      </c>
      <c r="D7876" s="6" t="n">
        <f aca="false">Sens!D7872</f>
        <v>34.0300093833333</v>
      </c>
      <c r="E7876" s="6" t="n">
        <f aca="false">Sens!E7872</f>
        <v>67.600153775</v>
      </c>
      <c r="F7876" s="6" t="n">
        <f aca="false">Sens!F7872</f>
        <v>136.51872432512</v>
      </c>
      <c r="G7876" s="6" t="n">
        <f aca="false">Sens!G7872</f>
        <v>157.399275932048</v>
      </c>
      <c r="H7876" s="6" t="n">
        <f aca="false">Sens!H7872</f>
        <v>162.260804347512</v>
      </c>
      <c r="I7876" s="6" t="n">
        <f aca="false">Sens!I7872</f>
        <v>144.136569485434</v>
      </c>
      <c r="J7876" s="6" t="n">
        <f aca="false">Sens!J7872</f>
        <v>114.029037357864</v>
      </c>
      <c r="K7876" s="6" t="n">
        <f aca="false">Sens!K7872</f>
        <v>113.437085350975</v>
      </c>
    </row>
    <row r="7877" customFormat="false" ht="17.15" hidden="false" customHeight="false" outlineLevel="0" collapsed="false">
      <c r="A7877" s="0" t="s">
        <v>997</v>
      </c>
      <c r="B7877" s="0" t="s">
        <v>98</v>
      </c>
      <c r="C7877" s="6" t="n">
        <f aca="false">Sens!C7876+Sens!C7873</f>
        <v>28.7416845916667</v>
      </c>
      <c r="D7877" s="6" t="n">
        <f aca="false">Sens!D7876+Sens!D7873</f>
        <v>43.4058093833333</v>
      </c>
      <c r="E7877" s="6" t="n">
        <f aca="false">Sens!E7876+Sens!E7873</f>
        <v>86.225053775</v>
      </c>
      <c r="F7877" s="6" t="n">
        <f aca="false">Sens!F7876+Sens!F7873</f>
        <v>168.45390404212</v>
      </c>
      <c r="G7877" s="6" t="n">
        <f aca="false">Sens!G7876+Sens!G7873</f>
        <v>191.944475649048</v>
      </c>
      <c r="H7877" s="6" t="n">
        <f aca="false">Sens!H7876+Sens!H7873</f>
        <v>196.806004064512</v>
      </c>
      <c r="I7877" s="6" t="n">
        <f aca="false">Sens!I7876+Sens!I7873</f>
        <v>168.61483362161</v>
      </c>
      <c r="J7877" s="6" t="n">
        <f aca="false">Sens!J7876+Sens!J7873</f>
        <v>128.92993119594</v>
      </c>
      <c r="K7877" s="6" t="n">
        <f aca="false">Sens!K7876+Sens!K7873</f>
        <v>118.962853064733</v>
      </c>
      <c r="L7877" s="12" t="s">
        <v>998</v>
      </c>
    </row>
    <row r="7878" customFormat="false" ht="17.15" hidden="false" customHeight="false" outlineLevel="0" collapsed="false">
      <c r="A7878" s="0" t="s">
        <v>999</v>
      </c>
      <c r="B7878" s="0" t="s">
        <v>98</v>
      </c>
      <c r="E7878" s="6" t="n">
        <f aca="false">(Sens!C7876*IF(2&lt;life_it,1,IF(2=life_it,0.5,0))+Sens!D7876*IF(1&lt;life_it,1,IF(1=life_it,0.5,0))+Sens!E7876*0.5)/life_it</f>
        <v>15.0605784770833</v>
      </c>
      <c r="F7878" s="6" t="n">
        <f aca="false">(Sens!C7876*IF(3&lt;life_it,1,IF(3=life_it,0.5,0))+Sens!D7876*IF(2&lt;life_it,1,IF(2=life_it,0.5,0))+Sens!E7876*IF(1&lt;life_it,1,IF(1=life_it,0.5,0))+Sens!F7876*0.5)/life_it</f>
        <v>32.0704849854266</v>
      </c>
      <c r="G7878" s="6" t="n">
        <f aca="false">(Sens!C7876*IF(4&lt;life_it,1,IF(4=life_it,0.5,0))+Sens!D7876*IF(3&lt;life_it,1,IF(3=life_it,0.5,0))+Sens!E7876*IF(2&lt;life_it,1,IF(2=life_it,0.5,0))+Sens!F7876*IF(1&lt;life_it,1,IF(1=life_it,0.5,0))+Sens!G7876*0.5)/life_it</f>
        <v>56.5636516735239</v>
      </c>
      <c r="H7878" s="6" t="n">
        <f aca="false">(Sens!C7876*IF(5&lt;life_it,1,IF(5=life_it,0.5,0))+Sens!D7876*IF(4&lt;life_it,1,IF(4=life_it,0.5,0))+Sens!E7876*IF(3&lt;life_it,1,IF(3=life_it,0.5,0))+Sens!F7876*IF(2&lt;life_it,1,IF(2=life_it,0.5,0))+Sens!G7876*IF(1&lt;life_it,1,IF(1=life_it,0.5,0))+Sens!H7876*0.5)/life_it</f>
        <v>83.2019916968207</v>
      </c>
      <c r="I7878" s="6" t="n">
        <f aca="false">(Sens!C7876*IF(6&lt;life_it,1,IF(6=life_it,0.5,0))+Sens!D7876*IF(5&lt;life_it,1,IF(5=life_it,0.5,0))+Sens!E7876*IF(4&lt;life_it,1,IF(4=life_it,0.5,0))+Sens!F7876*IF(3&lt;life_it,1,IF(3=life_it,0.5,0))+Sens!G7876*IF(2&lt;life_it,1,IF(2=life_it,0.5,0))+Sens!H7876*IF(1&lt;life_it,1,IF(1=life_it,0.5,0))+Sens!I7876*0.5)/life_it</f>
        <v>106.857324133594</v>
      </c>
      <c r="J7878" s="6" t="n">
        <f aca="false">(Sens!C7876*IF(7&lt;life_it,1,IF(7=life_it,0.5,0))+Sens!D7876*IF(6&lt;life_it,1,IF(6=life_it,0.5,0))+Sens!E7876*IF(5&lt;life_it,1,IF(5=life_it,0.5,0))+Sens!F7876*IF(4&lt;life_it,1,IF(4=life_it,0.5,0))+Sens!G7876*IF(3&lt;life_it,1,IF(3=life_it,0.5,0))+Sens!H7876*IF(2&lt;life_it,1,IF(2=life_it,0.5,0))+Sens!I7876*IF(1&lt;life_it,1,IF(1=life_it,0.5,0))+Sens!J7876*0.5)/life_it</f>
        <v>123.657508539285</v>
      </c>
      <c r="K7878" s="6" t="n">
        <f aca="false">(Sens!C7876*IF(8&lt;life_it,1,IF(8=life_it,0.5,0))+Sens!D7876*IF(7&lt;life_it,1,IF(7=life_it,0.5,0))+Sens!E7876*IF(6&lt;life_it,1,IF(6=life_it,0.5,0))+Sens!F7876*IF(5&lt;life_it,1,IF(5=life_it,0.5,0))+Sens!G7876*IF(4&lt;life_it,1,IF(4=life_it,0.5,0))+Sens!H7876*IF(3&lt;life_it,1,IF(3=life_it,0.5,0))+Sens!I7876*IF(2&lt;life_it,1,IF(2=life_it,0.5,0))+Sens!J7876*IF(1&lt;life_it,1,IF(1=life_it,0.5,0))+Sens!K7876*0.5)/life_it</f>
        <v>134.143838501827</v>
      </c>
    </row>
    <row r="7879" customFormat="false" ht="17.15" hidden="false" customHeight="false" outlineLevel="0" collapsed="false">
      <c r="A7879" s="0" t="s">
        <v>1000</v>
      </c>
      <c r="B7879" s="0" t="s">
        <v>98</v>
      </c>
      <c r="E7879" s="6" t="n">
        <f aca="false">(Sens!C7873*IF(2&lt;life_fac,1,IF(2=life_fac,0.5,0))+Sens!D7873*IF(1&lt;life_fac,1,IF(1=life_fac,0.5,0))+Sens!E7873*0.5)/life_fac</f>
        <v>1.2448275</v>
      </c>
      <c r="F7879" s="6" t="n">
        <f aca="false">(Sens!C7873*IF(3&lt;life_fac,1,IF(3=life_fac,0.5,0))+Sens!D7873*IF(2&lt;life_fac,1,IF(2=life_fac,0.5,0))+Sens!E7873*IF(1&lt;life_fac,1,IF(1=life_fac,0.5,0))+Sens!F7873*0.5)/life_fac</f>
        <v>2.508829492925</v>
      </c>
      <c r="G7879" s="6" t="n">
        <f aca="false">(Sens!C7873*IF(4&lt;life_fac,1,IF(4=life_fac,0.5,0))+Sens!D7873*IF(3&lt;life_fac,1,IF(3=life_fac,0.5,0))+Sens!E7873*IF(2&lt;life_fac,1,IF(2=life_fac,0.5,0))+Sens!F7873*IF(1&lt;life_fac,1,IF(1=life_fac,0.5,0))+Sens!G7873*0.5)/life_fac</f>
        <v>4.170838978775</v>
      </c>
      <c r="H7879" s="6" t="n">
        <f aca="false">(Sens!C7873*IF(5&lt;life_fac,1,IF(5=life_fac,0.5,0))+Sens!D7873*IF(4&lt;life_fac,1,IF(4=life_fac,0.5,0))+Sens!E7873*IF(3&lt;life_fac,1,IF(3=life_fac,0.5,0))+Sens!F7873*IF(2&lt;life_fac,1,IF(2=life_fac,0.5,0))+Sens!G7873*IF(1&lt;life_fac,1,IF(1=life_fac,0.5,0))+Sens!H7873*0.5)/life_fac</f>
        <v>5.898098964625</v>
      </c>
      <c r="I7879" s="6" t="n">
        <f aca="false">(Sens!C7873*IF(6&lt;life_fac,1,IF(6=life_fac,0.5,0))+Sens!D7873*IF(5&lt;life_fac,1,IF(5=life_fac,0.5,0))+Sens!E7873*IF(4&lt;life_fac,1,IF(4=life_fac,0.5,0))+Sens!F7873*IF(3&lt;life_fac,1,IF(3=life_fac,0.5,0))+Sens!G7873*IF(2&lt;life_fac,1,IF(2=life_fac,0.5,0))+Sens!H7873*IF(1&lt;life_fac,1,IF(1=life_fac,0.5,0))+Sens!I7873*0.5)/life_fac</f>
        <v>7.37368556095442</v>
      </c>
      <c r="J7879" s="6" t="n">
        <f aca="false">(Sens!C7873*IF(7&lt;life_fac,1,IF(7=life_fac,0.5,0))+Sens!D7873*IF(6&lt;life_fac,1,IF(6=life_fac,0.5,0))+Sens!E7873*IF(5&lt;life_fac,1,IF(5=life_fac,0.5,0))+Sens!F7873*IF(4&lt;life_fac,1,IF(4=life_fac,0.5,0))+Sens!G7873*IF(3&lt;life_fac,1,IF(3=life_fac,0.5,0))+Sens!H7873*IF(2&lt;life_fac,1,IF(2=life_fac,0.5,0))+Sens!I7873*IF(1&lt;life_fac,1,IF(1=life_fac,0.5,0))+Sens!J7873*0.5)/life_fac</f>
        <v>8.35816451031075</v>
      </c>
      <c r="K7879" s="6" t="n">
        <f aca="false">(Sens!C7873*IF(8&lt;life_fac,1,IF(8=life_fac,0.5,0))+Sens!D7873*IF(7&lt;life_fac,1,IF(7=life_fac,0.5,0))+Sens!E7873*IF(6&lt;life_fac,1,IF(6=life_fac,0.5,0))+Sens!F7873*IF(5&lt;life_fac,1,IF(5=life_fac,0.5,0))+Sens!G7873*IF(4&lt;life_fac,1,IF(4=life_fac,0.5,0))+Sens!H7873*IF(3&lt;life_fac,1,IF(3=life_fac,0.5,0))+Sens!I7873*IF(2&lt;life_fac,1,IF(2=life_fac,0.5,0))+Sens!J7873*IF(1&lt;life_fac,1,IF(1=life_fac,0.5,0))+Sens!K7873*0.5)/life_fac</f>
        <v>8.86883104910662</v>
      </c>
    </row>
    <row r="7880" customFormat="false" ht="17.15" hidden="false" customHeight="false" outlineLevel="0" collapsed="false">
      <c r="A7880" s="0" t="s">
        <v>1001</v>
      </c>
      <c r="B7880" s="0" t="s">
        <v>98</v>
      </c>
      <c r="E7880" s="6" t="n">
        <f aca="false">Sens!E7878+Sens!E7879</f>
        <v>16.3054059770833</v>
      </c>
      <c r="F7880" s="6" t="n">
        <f aca="false">Sens!F7878+Sens!F7879</f>
        <v>34.5793144783516</v>
      </c>
      <c r="G7880" s="6" t="n">
        <f aca="false">Sens!G7878+Sens!G7879</f>
        <v>60.7344906522989</v>
      </c>
      <c r="H7880" s="6" t="n">
        <f aca="false">Sens!H7878+Sens!H7879</f>
        <v>89.1000906614457</v>
      </c>
      <c r="I7880" s="6" t="n">
        <f aca="false">Sens!I7878+Sens!I7879</f>
        <v>114.231009694548</v>
      </c>
      <c r="J7880" s="6" t="n">
        <f aca="false">Sens!J7878+Sens!J7879</f>
        <v>132.015673049596</v>
      </c>
      <c r="K7880" s="6" t="n">
        <f aca="false">Sens!K7878+Sens!K7879</f>
        <v>143.012669550934</v>
      </c>
    </row>
    <row r="7881" customFormat="false" ht="17.15" hidden="false" customHeight="false" outlineLevel="0" collapsed="false">
      <c r="A7881" s="0" t="s">
        <v>1002</v>
      </c>
      <c r="B7881" s="0" t="s">
        <v>98</v>
      </c>
      <c r="E7881" s="6" t="n">
        <f aca="false">Sens!E7868-Sens!E7867*Sens!E7880</f>
        <v>8.92707889977379</v>
      </c>
      <c r="F7881" s="6" t="n">
        <f aca="false">Sens!F7868-Sens!F7867*Sens!F7880</f>
        <v>22.4686207259278</v>
      </c>
      <c r="G7881" s="6" t="n">
        <f aca="false">Sens!G7868-Sens!G7867*Sens!G7880</f>
        <v>43.2797528675735</v>
      </c>
      <c r="H7881" s="6" t="n">
        <f aca="false">Sens!H7868-Sens!H7867*Sens!H7880</f>
        <v>69.3477099347341</v>
      </c>
      <c r="I7881" s="6" t="n">
        <f aca="false">Sens!I7868-Sens!I7867*Sens!I7880</f>
        <v>86.8523667140836</v>
      </c>
      <c r="J7881" s="6" t="n">
        <f aca="false">Sens!J7868-Sens!J7867*Sens!J7880</f>
        <v>98.9882647234202</v>
      </c>
      <c r="K7881" s="6" t="n">
        <f aca="false">Sens!K7868-Sens!K7867*Sens!K7880</f>
        <v>106.918985011399</v>
      </c>
    </row>
    <row r="7882" customFormat="false" ht="17.15" hidden="false" customHeight="false" outlineLevel="0" collapsed="false">
      <c r="A7882" s="3" t="s">
        <v>1676</v>
      </c>
    </row>
    <row r="7883" customFormat="false" ht="15" hidden="false" customHeight="false" outlineLevel="0" collapsed="false">
      <c r="A7883" s="4" t="s">
        <v>43</v>
      </c>
      <c r="B7883" s="4" t="s">
        <v>65</v>
      </c>
      <c r="C7883" s="23" t="s">
        <v>938</v>
      </c>
      <c r="D7883" s="23" t="s">
        <v>939</v>
      </c>
      <c r="E7883" s="23" t="s">
        <v>940</v>
      </c>
      <c r="F7883" s="23" t="s">
        <v>941</v>
      </c>
      <c r="G7883" s="23" t="s">
        <v>942</v>
      </c>
      <c r="H7883" s="23" t="s">
        <v>943</v>
      </c>
      <c r="I7883" s="23" t="s">
        <v>944</v>
      </c>
      <c r="J7883" s="23" t="s">
        <v>945</v>
      </c>
      <c r="K7883" s="23" t="s">
        <v>946</v>
      </c>
      <c r="L7883" s="4" t="s">
        <v>47</v>
      </c>
    </row>
    <row r="7884" customFormat="false" ht="17.15" hidden="false" customHeight="false" outlineLevel="0" collapsed="false">
      <c r="A7884" s="0" t="s">
        <v>1021</v>
      </c>
      <c r="B7884" s="0" t="s">
        <v>98</v>
      </c>
      <c r="D7884" s="6" t="n">
        <f aca="false">Sens!D7862</f>
        <v>12.9359794422418</v>
      </c>
      <c r="E7884" s="6" t="n">
        <f aca="false">Sens!E7862</f>
        <v>27.8095064661409</v>
      </c>
      <c r="F7884" s="6" t="n">
        <f aca="false">Sens!F7862</f>
        <v>59.1034165651511</v>
      </c>
      <c r="G7884" s="6" t="n">
        <f aca="false">Sens!G7862</f>
        <v>103.451498789198</v>
      </c>
      <c r="H7884" s="6" t="n">
        <f aca="false">Sens!H7862</f>
        <v>153.816719989035</v>
      </c>
      <c r="I7884" s="6" t="n">
        <f aca="false">Sens!I7862</f>
        <v>192.699478690852</v>
      </c>
      <c r="J7884" s="6" t="n">
        <f aca="false">Sens!J7862</f>
        <v>219.794102584244</v>
      </c>
      <c r="K7884" s="6" t="n">
        <f aca="false">Sens!K7862</f>
        <v>236.757046905022</v>
      </c>
    </row>
    <row r="7885" customFormat="false" ht="17.15" hidden="false" customHeight="false" outlineLevel="0" collapsed="false">
      <c r="A7885" s="0" t="s">
        <v>1022</v>
      </c>
      <c r="B7885" s="0" t="s">
        <v>98</v>
      </c>
      <c r="D7885" s="6" t="n">
        <f aca="false">Q!L6-Sens!D7884</f>
        <v>59.6740205577583</v>
      </c>
      <c r="E7885" s="6" t="n">
        <f aca="false">Q!M6-Sens!E7884</f>
        <v>74.1284935338591</v>
      </c>
      <c r="F7885" s="6" t="n">
        <f aca="false">Q!$I$6+(Sens!F7884+Sens!E7885*(1+Sens!F7886))*(1-Q!$E$6/Q!M6)-Sens!F7884</f>
        <v>90.4866018070994</v>
      </c>
      <c r="G7885" s="6" t="n">
        <f aca="false">Sens!F7885*(1+Sens!G7886)</f>
        <v>107.511588557154</v>
      </c>
      <c r="H7885" s="6" t="n">
        <f aca="false">Sens!G7885*(1+Sens!H7886)</f>
        <v>124.832989325489</v>
      </c>
      <c r="I7885" s="6" t="n">
        <f aca="false">Sens!H7885*(1+Sens!I7886)</f>
        <v>141.56992589148</v>
      </c>
      <c r="J7885" s="6" t="n">
        <f aca="false">Sens!I7885*(1+Sens!J7886)</f>
        <v>156.723190479428</v>
      </c>
      <c r="K7885" s="6" t="n">
        <f aca="false">Sens!J7885*(1+Sens!K7886)</f>
        <v>169.261045717783</v>
      </c>
      <c r="L7885" s="12" t="s">
        <v>1023</v>
      </c>
    </row>
    <row r="7886" customFormat="false" ht="15" hidden="false" customHeight="false" outlineLevel="0" collapsed="false">
      <c r="A7886" s="1" t="s">
        <v>1024</v>
      </c>
      <c r="B7886" s="0" t="s">
        <v>168</v>
      </c>
      <c r="E7886" s="7" t="n">
        <f aca="false">Sens!E7885/Sens!D7885-1</f>
        <v>0.242223883039864</v>
      </c>
      <c r="F7886" s="7" t="n">
        <f aca="false">Sens!$E$7886+(glt_azo-Sens!$E$7886)*MIN(1,(Sens!F7843-base_fy)/n_conv)</f>
        <v>0.215186569199887</v>
      </c>
      <c r="G7886" s="7" t="n">
        <f aca="false">Sens!$E$7886+(glt_azo-Sens!$E$7886)*MIN(1,(Sens!G7843-base_fy)/n_conv)</f>
        <v>0.18814925535991</v>
      </c>
      <c r="H7886" s="7" t="n">
        <f aca="false">Sens!$E$7886+(glt_azo-Sens!$E$7886)*MIN(1,(Sens!H7843-base_fy)/n_conv)</f>
        <v>0.161111941519932</v>
      </c>
      <c r="I7886" s="7" t="n">
        <f aca="false">Sens!$E$7886+(glt_azo-Sens!$E$7886)*MIN(1,(Sens!I7843-base_fy)/n_conv)</f>
        <v>0.134074627679955</v>
      </c>
      <c r="J7886" s="7" t="n">
        <f aca="false">Sens!$E$7886+(glt_azo-Sens!$E$7886)*MIN(1,(Sens!J7843-base_fy)/n_conv)</f>
        <v>0.107037313839977</v>
      </c>
      <c r="K7886" s="7" t="n">
        <f aca="false">Sens!$E$7886+(glt_azo-Sens!$E$7886)*MIN(1,(Sens!K7843-base_fy)/n_conv)</f>
        <v>0.08</v>
      </c>
    </row>
    <row r="7887" customFormat="false" ht="15" hidden="false" customHeight="false" outlineLevel="0" collapsed="false">
      <c r="A7887" s="0" t="s">
        <v>1025</v>
      </c>
      <c r="B7887" s="0" t="s">
        <v>98</v>
      </c>
      <c r="D7887" s="6" t="n">
        <f aca="false">Sens!D7884+Sens!D7885</f>
        <v>72.61</v>
      </c>
      <c r="E7887" s="6" t="n">
        <f aca="false">Sens!E7884+Sens!E7885</f>
        <v>101.938</v>
      </c>
      <c r="F7887" s="6" t="n">
        <f aca="false">Sens!F7884+Sens!F7885</f>
        <v>149.59001837225</v>
      </c>
      <c r="G7887" s="6" t="n">
        <f aca="false">Sens!G7884+Sens!G7885</f>
        <v>210.963087346352</v>
      </c>
      <c r="H7887" s="6" t="n">
        <f aca="false">Sens!H7884+Sens!H7885</f>
        <v>278.649709314524</v>
      </c>
      <c r="I7887" s="6" t="n">
        <f aca="false">Sens!I7884+Sens!I7885</f>
        <v>334.269404582332</v>
      </c>
      <c r="J7887" s="6" t="n">
        <f aca="false">Sens!J7884+Sens!J7885</f>
        <v>376.517293063672</v>
      </c>
      <c r="K7887" s="6" t="n">
        <f aca="false">Sens!K7884+Sens!K7885</f>
        <v>406.018092622804</v>
      </c>
    </row>
    <row r="7888" customFormat="false" ht="17.15" hidden="false" customHeight="false" outlineLevel="0" collapsed="false">
      <c r="A7888" s="0" t="s">
        <v>1026</v>
      </c>
      <c r="B7888" s="1" t="s">
        <v>610</v>
      </c>
      <c r="C7888" s="30" t="n">
        <f aca="false">cop_s24</f>
        <v>1</v>
      </c>
      <c r="D7888" s="30" t="n">
        <f aca="false">cop_s25</f>
        <v>5</v>
      </c>
      <c r="E7888" s="30" t="n">
        <f aca="false">cop_s26</f>
        <v>30</v>
      </c>
      <c r="F7888" s="30" t="n">
        <f aca="false">Sens!E7888+cop_add_A</f>
        <v>60</v>
      </c>
      <c r="G7888" s="30" t="n">
        <f aca="false">Sens!F7888+cop_add_A</f>
        <v>90</v>
      </c>
      <c r="H7888" s="30" t="n">
        <f aca="false">Sens!G7888+cop_add_A</f>
        <v>120</v>
      </c>
      <c r="I7888" s="30" t="n">
        <f aca="false">Sens!H7888+cop_add_A*cop_tail</f>
        <v>135</v>
      </c>
      <c r="J7888" s="30" t="n">
        <f aca="false">Sens!I7888+cop_add_A*cop_tail</f>
        <v>150</v>
      </c>
      <c r="K7888" s="30" t="n">
        <f aca="false">Sens!J7888+cop_add_A*cop_tail</f>
        <v>165</v>
      </c>
      <c r="L7888" s="12" t="s">
        <v>1027</v>
      </c>
    </row>
    <row r="7889" customFormat="false" ht="17.15" hidden="false" customHeight="false" outlineLevel="0" collapsed="false">
      <c r="A7889" s="0" t="s">
        <v>1028</v>
      </c>
      <c r="B7889" s="0" t="s">
        <v>98</v>
      </c>
      <c r="D7889" s="6" t="n">
        <f aca="false">(Sens!C7888+Sens!D7888)/2*cop_px*12/1000</f>
        <v>0.9</v>
      </c>
      <c r="E7889" s="6" t="n">
        <f aca="false">(Sens!D7888+Sens!E7888)/2*cop_px*12/1000</f>
        <v>5.25</v>
      </c>
      <c r="F7889" s="6" t="n">
        <f aca="false">(Sens!E7888+Sens!F7888)/2*cop_px_lo*12/1000</f>
        <v>9.72</v>
      </c>
      <c r="G7889" s="6" t="n">
        <f aca="false">(Sens!F7888+Sens!G7888)/2*cop_px_lo*12/1000</f>
        <v>16.2</v>
      </c>
      <c r="H7889" s="6" t="n">
        <f aca="false">(Sens!G7888+Sens!H7888)/2*cop_px_lo*12/1000</f>
        <v>22.68</v>
      </c>
      <c r="I7889" s="6" t="n">
        <f aca="false">(Sens!H7888+Sens!I7888)/2*cop_px_lo*12/1000</f>
        <v>27.54</v>
      </c>
      <c r="J7889" s="6" t="n">
        <f aca="false">(Sens!I7888+Sens!J7888)/2*cop_px_lo*12/1000</f>
        <v>30.78</v>
      </c>
      <c r="K7889" s="6" t="n">
        <f aca="false">(Sens!J7888+Sens!K7888)/2*cop_px_lo*12/1000</f>
        <v>34.02</v>
      </c>
      <c r="L7889" s="1" t="s">
        <v>1029</v>
      </c>
    </row>
    <row r="7890" customFormat="false" ht="17.15" hidden="false" customHeight="false" outlineLevel="0" collapsed="false">
      <c r="A7890" s="0" t="s">
        <v>1030</v>
      </c>
      <c r="B7890" s="0" t="s">
        <v>98</v>
      </c>
      <c r="D7890" s="6" t="n">
        <f aca="false">Q!L7-Sens!D7889</f>
        <v>83.705</v>
      </c>
      <c r="E7890" s="6" t="n">
        <f aca="false">Q!M7-Sens!E7889</f>
        <v>95.049</v>
      </c>
      <c r="F7890" s="6" t="n">
        <f aca="false">Q!$I$7+(Sens!E7890*(1+Sens!F7891)+Sens!F7889)*(1-Q!$E$7/Q!M7)-Sens!F7889</f>
        <v>107.122616445631</v>
      </c>
      <c r="G7890" s="6" t="n">
        <f aca="false">Sens!F7890*(1+Sens!G7891)</f>
        <v>119.300570070819</v>
      </c>
      <c r="H7890" s="6" t="n">
        <f aca="false">Sens!G7890*(1+Sens!H7891)</f>
        <v>131.56010929863</v>
      </c>
      <c r="I7890" s="6" t="n">
        <f aca="false">Sens!H7890*(1+Sens!I7891)</f>
        <v>143.642746069518</v>
      </c>
      <c r="J7890" s="6" t="n">
        <f aca="false">Sens!I7890*(1+Sens!J7891)</f>
        <v>155.266402426814</v>
      </c>
      <c r="K7890" s="6" t="n">
        <f aca="false">Sens!J7890*(1+Sens!K7891)</f>
        <v>166.135050596691</v>
      </c>
      <c r="L7890" s="12" t="s">
        <v>1031</v>
      </c>
    </row>
    <row r="7891" customFormat="false" ht="15" hidden="false" customHeight="false" outlineLevel="0" collapsed="false">
      <c r="A7891" s="1" t="s">
        <v>1024</v>
      </c>
      <c r="B7891" s="0" t="s">
        <v>168</v>
      </c>
      <c r="E7891" s="7" t="n">
        <f aca="false">Sens!E7890/Sens!D7890-1</f>
        <v>0.135523564900544</v>
      </c>
      <c r="F7891" s="7" t="n">
        <f aca="false">Sens!$E$7891+(glt_m365b-Sens!$E$7891)*MIN(1,(Sens!F7843-base_fy)/n_conv)</f>
        <v>0.124602970750453</v>
      </c>
      <c r="G7891" s="7" t="n">
        <f aca="false">Sens!$E$7891+(glt_m365b-Sens!$E$7891)*MIN(1,(Sens!G7843-base_fy)/n_conv)</f>
        <v>0.113682376600363</v>
      </c>
      <c r="H7891" s="7" t="n">
        <f aca="false">Sens!$E$7891+(glt_m365b-Sens!$E$7891)*MIN(1,(Sens!H7843-base_fy)/n_conv)</f>
        <v>0.102761782450272</v>
      </c>
      <c r="I7891" s="7" t="n">
        <f aca="false">Sens!$E$7891+(glt_m365b-Sens!$E$7891)*MIN(1,(Sens!I7843-base_fy)/n_conv)</f>
        <v>0.0918411883001813</v>
      </c>
      <c r="J7891" s="7" t="n">
        <f aca="false">Sens!$E$7891+(glt_m365b-Sens!$E$7891)*MIN(1,(Sens!J7843-base_fy)/n_conv)</f>
        <v>0.0809205941500906</v>
      </c>
      <c r="K7891" s="7" t="n">
        <f aca="false">Sens!$E$7891+(glt_m365b-Sens!$E$7891)*MIN(1,(Sens!K7843-base_fy)/n_conv)</f>
        <v>0.07</v>
      </c>
    </row>
    <row r="7892" customFormat="false" ht="15" hidden="false" customHeight="false" outlineLevel="0" collapsed="false">
      <c r="A7892" s="0" t="s">
        <v>1032</v>
      </c>
      <c r="B7892" s="0" t="s">
        <v>98</v>
      </c>
      <c r="D7892" s="6" t="n">
        <f aca="false">Sens!D7890+Sens!D7889</f>
        <v>84.605</v>
      </c>
      <c r="E7892" s="6" t="n">
        <f aca="false">Sens!E7890+Sens!E7889</f>
        <v>100.299</v>
      </c>
      <c r="F7892" s="6" t="n">
        <f aca="false">Sens!F7890+Sens!F7889</f>
        <v>116.842616445631</v>
      </c>
      <c r="G7892" s="6" t="n">
        <f aca="false">Sens!G7890+Sens!G7889</f>
        <v>135.500570070819</v>
      </c>
      <c r="H7892" s="6" t="n">
        <f aca="false">Sens!H7890+Sens!H7889</f>
        <v>154.24010929863</v>
      </c>
      <c r="I7892" s="6" t="n">
        <f aca="false">Sens!I7890+Sens!I7889</f>
        <v>171.182746069518</v>
      </c>
      <c r="J7892" s="6" t="n">
        <f aca="false">Sens!J7890+Sens!J7889</f>
        <v>186.046402426814</v>
      </c>
      <c r="K7892" s="6" t="n">
        <f aca="false">Sens!K7890+Sens!K7889</f>
        <v>200.155050596691</v>
      </c>
    </row>
    <row r="7893" customFormat="false" ht="17.15" hidden="false" customHeight="false" outlineLevel="0" collapsed="false">
      <c r="A7893" s="0" t="s">
        <v>1033</v>
      </c>
      <c r="B7893" s="0" t="s">
        <v>98</v>
      </c>
      <c r="D7893" s="6" t="n">
        <f aca="false">Q!L8</f>
        <v>35.391</v>
      </c>
      <c r="E7893" s="6" t="n">
        <f aca="false">Q!M8</f>
        <v>37.285</v>
      </c>
      <c r="F7893" s="6" t="n">
        <f aca="false">Q!$I$8+(Q!M8-Q!$E$8)*(1+Sens!F7894)</f>
        <v>38.3851437782675</v>
      </c>
      <c r="G7893" s="6" t="n">
        <f aca="false">Sens!F7893*(1+Sens!G7894)</f>
        <v>40.0105353288615</v>
      </c>
      <c r="H7893" s="6" t="n">
        <f aca="false">Sens!G7893*(1+Sens!H7894)</f>
        <v>41.4812512033683</v>
      </c>
      <c r="I7893" s="6" t="n">
        <f aca="false">Sens!H7893*(1+Sens!I7894)</f>
        <v>42.7743107216329</v>
      </c>
      <c r="J7893" s="6" t="n">
        <f aca="false">Sens!I7893*(1+Sens!J7894)</f>
        <v>43.8687373064601</v>
      </c>
      <c r="K7893" s="6" t="n">
        <f aca="false">Sens!J7893*(1+Sens!K7894)</f>
        <v>44.7461120525893</v>
      </c>
      <c r="L7893" s="12" t="s">
        <v>1034</v>
      </c>
    </row>
    <row r="7894" customFormat="false" ht="15" hidden="false" customHeight="false" outlineLevel="0" collapsed="false">
      <c r="A7894" s="1" t="s">
        <v>1024</v>
      </c>
      <c r="B7894" s="0" t="s">
        <v>168</v>
      </c>
      <c r="E7894" s="7" t="n">
        <f aca="false">Sens!E7893/Sens!D7893-1</f>
        <v>0.0535164307309768</v>
      </c>
      <c r="F7894" s="7" t="n">
        <f aca="false">Sens!$E$7894+(glt_lic-Sens!$E$7894)*MIN(1,(Sens!F7843-base_fy)/n_conv)</f>
        <v>0.0479303589424807</v>
      </c>
      <c r="G7894" s="7" t="n">
        <f aca="false">Sens!$E$7894+(glt_lic-Sens!$E$7894)*MIN(1,(Sens!G7843-base_fy)/n_conv)</f>
        <v>0.0423442871539845</v>
      </c>
      <c r="H7894" s="7" t="n">
        <f aca="false">Sens!$E$7894+(glt_lic-Sens!$E$7894)*MIN(1,(Sens!H7843-base_fy)/n_conv)</f>
        <v>0.0367582153654884</v>
      </c>
      <c r="I7894" s="7" t="n">
        <f aca="false">Sens!$E$7894+(glt_lic-Sens!$E$7894)*MIN(1,(Sens!I7843-base_fy)/n_conv)</f>
        <v>0.0311721435769923</v>
      </c>
      <c r="J7894" s="7" t="n">
        <f aca="false">Sens!$E$7894+(glt_lic-Sens!$E$7894)*MIN(1,(Sens!J7843-base_fy)/n_conv)</f>
        <v>0.0255860717884961</v>
      </c>
      <c r="K7894" s="7" t="n">
        <f aca="false">Sens!$E$7894+(glt_lic-Sens!$E$7894)*MIN(1,(Sens!K7843-base_fy)/n_conv)</f>
        <v>0.02</v>
      </c>
    </row>
    <row r="7895" customFormat="false" ht="17.15" hidden="false" customHeight="false" outlineLevel="0" collapsed="false">
      <c r="A7895" s="0" t="s">
        <v>1035</v>
      </c>
      <c r="B7895" s="0" t="s">
        <v>98</v>
      </c>
      <c r="D7895" s="6" t="n">
        <f aca="false">Q!L9</f>
        <v>18.417</v>
      </c>
      <c r="E7895" s="6" t="n">
        <f aca="false">Q!M9</f>
        <v>20.345</v>
      </c>
      <c r="F7895" s="6" t="n">
        <f aca="false">Q!$I$9+(Q!M9-Q!$E$9)*(1+Sens!F7896)</f>
        <v>22.3161797133988</v>
      </c>
      <c r="G7895" s="6" t="n">
        <f aca="false">Sens!F7895*(1+Sens!G7896)</f>
        <v>24.3943499673233</v>
      </c>
      <c r="H7895" s="6" t="n">
        <f aca="false">Sens!G7895*(1+Sens!H7896)</f>
        <v>26.5250243109019</v>
      </c>
      <c r="I7895" s="6" t="n">
        <f aca="false">Sens!H7895*(1+Sens!I7896)</f>
        <v>28.6884573538181</v>
      </c>
      <c r="J7895" s="6" t="n">
        <f aca="false">Sens!I7895*(1+Sens!J7896)</f>
        <v>30.8624968052127</v>
      </c>
      <c r="K7895" s="6" t="n">
        <f aca="false">Sens!J7895*(1+Sens!K7896)</f>
        <v>33.0228715815776</v>
      </c>
      <c r="L7895" s="12" t="s">
        <v>1034</v>
      </c>
    </row>
    <row r="7896" customFormat="false" ht="15" hidden="false" customHeight="false" outlineLevel="0" collapsed="false">
      <c r="A7896" s="1" t="s">
        <v>1024</v>
      </c>
      <c r="B7896" s="0" t="s">
        <v>168</v>
      </c>
      <c r="E7896" s="7" t="n">
        <f aca="false">Sens!E7895/Sens!D7895-1</f>
        <v>0.104685888038225</v>
      </c>
      <c r="F7896" s="7" t="n">
        <f aca="false">Sens!$E$7896+(glt_ind-Sens!$E$7896)*MIN(1,(Sens!F7843-base_fy)/n_conv)</f>
        <v>0.0989049066985211</v>
      </c>
      <c r="G7896" s="7" t="n">
        <f aca="false">Sens!$E$7896+(glt_ind-Sens!$E$7896)*MIN(1,(Sens!G7843-base_fy)/n_conv)</f>
        <v>0.0931239253588169</v>
      </c>
      <c r="H7896" s="7" t="n">
        <f aca="false">Sens!$E$7896+(glt_ind-Sens!$E$7896)*MIN(1,(Sens!H7843-base_fy)/n_conv)</f>
        <v>0.0873429440191127</v>
      </c>
      <c r="I7896" s="7" t="n">
        <f aca="false">Sens!$E$7896+(glt_ind-Sens!$E$7896)*MIN(1,(Sens!I7843-base_fy)/n_conv)</f>
        <v>0.0815619626794085</v>
      </c>
      <c r="J7896" s="7" t="n">
        <f aca="false">Sens!$E$7896+(glt_ind-Sens!$E$7896)*MIN(1,(Sens!J7843-base_fy)/n_conv)</f>
        <v>0.0757809813397042</v>
      </c>
      <c r="K7896" s="7" t="n">
        <f aca="false">Sens!$E$7896+(glt_ind-Sens!$E$7896)*MIN(1,(Sens!K7843-base_fy)/n_conv)</f>
        <v>0.07</v>
      </c>
    </row>
    <row r="7897" customFormat="false" ht="17.15" hidden="false" customHeight="false" outlineLevel="0" collapsed="false">
      <c r="A7897" s="0" t="s">
        <v>1036</v>
      </c>
      <c r="B7897" s="0" t="s">
        <v>98</v>
      </c>
      <c r="D7897" s="6" t="n">
        <f aca="false">Q!L10</f>
        <v>7.76</v>
      </c>
      <c r="E7897" s="6" t="n">
        <f aca="false">Q!M10</f>
        <v>8.26</v>
      </c>
      <c r="F7897" s="6" t="n">
        <f aca="false">Q!$I$10+(Q!M10-Q!$E$10)*(1+Sens!F7898)</f>
        <v>8.75372082474227</v>
      </c>
      <c r="G7897" s="6" t="n">
        <f aca="false">Sens!F7897*(1+Sens!G7898)</f>
        <v>9.33399324642364</v>
      </c>
      <c r="H7897" s="6" t="n">
        <f aca="false">Sens!G7897*(1+Sens!H7898)</f>
        <v>9.96139155535851</v>
      </c>
      <c r="I7897" s="6" t="n">
        <f aca="false">Sens!H7897*(1+Sens!I7898)</f>
        <v>10.6402039077391</v>
      </c>
      <c r="J7897" s="6" t="n">
        <f aca="false">Sens!I7897*(1+Sens!J7898)</f>
        <v>11.3751458271397</v>
      </c>
      <c r="K7897" s="6" t="n">
        <f aca="false">Sens!J7897*(1+Sens!K7898)</f>
        <v>12.1714060350394</v>
      </c>
      <c r="L7897" s="12" t="s">
        <v>1034</v>
      </c>
    </row>
    <row r="7898" customFormat="false" ht="15" hidden="false" customHeight="false" outlineLevel="0" collapsed="false">
      <c r="A7898" s="1" t="s">
        <v>1024</v>
      </c>
      <c r="B7898" s="0" t="s">
        <v>168</v>
      </c>
      <c r="E7898" s="7" t="n">
        <f aca="false">Sens!E7897/Sens!D7897-1</f>
        <v>0.0644329896907216</v>
      </c>
      <c r="F7898" s="7" t="n">
        <f aca="false">Sens!$E$7898+(glt_fro-Sens!$E$7898)*MIN(1,(Sens!F7843-base_fy)/n_conv)</f>
        <v>0.065360824742268</v>
      </c>
      <c r="G7898" s="7" t="n">
        <f aca="false">Sens!$E$7898+(glt_fro-Sens!$E$7898)*MIN(1,(Sens!G7843-base_fy)/n_conv)</f>
        <v>0.0662886597938144</v>
      </c>
      <c r="H7898" s="7" t="n">
        <f aca="false">Sens!$E$7898+(glt_fro-Sens!$E$7898)*MIN(1,(Sens!H7843-base_fy)/n_conv)</f>
        <v>0.0672164948453608</v>
      </c>
      <c r="I7898" s="7" t="n">
        <f aca="false">Sens!$E$7898+(glt_fro-Sens!$E$7898)*MIN(1,(Sens!I7843-base_fy)/n_conv)</f>
        <v>0.0681443298969072</v>
      </c>
      <c r="J7898" s="7" t="n">
        <f aca="false">Sens!$E$7898+(glt_fro-Sens!$E$7898)*MIN(1,(Sens!J7843-base_fy)/n_conv)</f>
        <v>0.0690721649484536</v>
      </c>
      <c r="K7898" s="7" t="n">
        <f aca="false">Sens!$E$7898+(glt_fro-Sens!$E$7898)*MIN(1,(Sens!K7843-base_fy)/n_conv)</f>
        <v>0.07</v>
      </c>
    </row>
    <row r="7899" customFormat="false" ht="15" hidden="false" customHeight="false" outlineLevel="0" collapsed="false">
      <c r="A7899" s="0" t="s">
        <v>852</v>
      </c>
      <c r="B7899" s="0" t="s">
        <v>98</v>
      </c>
      <c r="D7899" s="6" t="n">
        <f aca="false">Sens!D7887+Sens!D7892+Sens!D7893+Sens!D7895+Sens!D7897</f>
        <v>218.783</v>
      </c>
      <c r="E7899" s="6" t="n">
        <f aca="false">Sens!E7887+Sens!E7892+Sens!E7893+Sens!E7895+Sens!E7897</f>
        <v>268.127</v>
      </c>
      <c r="F7899" s="6" t="n">
        <f aca="false">Sens!F7887+Sens!F7892+Sens!F7893+Sens!F7895+Sens!F7897</f>
        <v>335.88767913429</v>
      </c>
      <c r="G7899" s="6" t="n">
        <f aca="false">Sens!G7887+Sens!G7892+Sens!G7893+Sens!G7895+Sens!G7897</f>
        <v>420.20253595978</v>
      </c>
      <c r="H7899" s="6" t="n">
        <f aca="false">Sens!H7887+Sens!H7892+Sens!H7893+Sens!H7895+Sens!H7897</f>
        <v>510.857485682783</v>
      </c>
      <c r="I7899" s="6" t="n">
        <f aca="false">Sens!I7887+Sens!I7892+Sens!I7893+Sens!I7895+Sens!I7897</f>
        <v>587.55512263504</v>
      </c>
      <c r="J7899" s="6" t="n">
        <f aca="false">Sens!J7887+Sens!J7892+Sens!J7893+Sens!J7895+Sens!J7897</f>
        <v>648.670075429298</v>
      </c>
      <c r="K7899" s="6" t="n">
        <f aca="false">Sens!K7887+Sens!K7892+Sens!K7893+Sens!K7895+Sens!K7897</f>
        <v>696.113532888701</v>
      </c>
    </row>
    <row r="7900" customFormat="false" ht="17.15" hidden="false" customHeight="false" outlineLevel="0" collapsed="false">
      <c r="A7900" s="0" t="s">
        <v>1037</v>
      </c>
      <c r="B7900" s="0" t="s">
        <v>98</v>
      </c>
      <c r="D7900" s="6" t="n">
        <f aca="false">Q!L13</f>
        <v>22.171</v>
      </c>
      <c r="E7900" s="6" t="n">
        <f aca="false">Q!M13</f>
        <v>24.835</v>
      </c>
      <c r="F7900" s="6" t="n">
        <f aca="false">Q!$I$13+(Q!M13-Q!$E$13)*(1+Sens!F7901)</f>
        <v>27.5591895660247</v>
      </c>
      <c r="G7900" s="6" t="n">
        <f aca="false">Sens!F7900*(1+Sens!G7901)</f>
        <v>30.4098563144583</v>
      </c>
      <c r="H7900" s="6" t="n">
        <f aca="false">Sens!G7900*(1+Sens!H7901)</f>
        <v>33.3011792571777</v>
      </c>
      <c r="I7900" s="6" t="n">
        <f aca="false">Sens!H7900*(1+Sens!I7901)</f>
        <v>36.189023797112</v>
      </c>
      <c r="J7900" s="6" t="n">
        <f aca="false">Sens!I7900*(1+Sens!J7901)</f>
        <v>39.0247773769199</v>
      </c>
      <c r="K7900" s="6" t="n">
        <f aca="false">Sens!J7900*(1+Sens!K7901)</f>
        <v>41.7565117933043</v>
      </c>
      <c r="L7900" s="12" t="s">
        <v>1034</v>
      </c>
    </row>
    <row r="7901" customFormat="false" ht="15" hidden="false" customHeight="false" outlineLevel="0" collapsed="false">
      <c r="A7901" s="1" t="s">
        <v>1024</v>
      </c>
      <c r="B7901" s="0" t="s">
        <v>168</v>
      </c>
      <c r="E7901" s="7" t="n">
        <f aca="false">Sens!E7900/Sens!D7900-1</f>
        <v>0.120156961796942</v>
      </c>
      <c r="F7901" s="7" t="n">
        <f aca="false">Sens!$E$7901+(glt_srch-Sens!$E$7901)*MIN(1,(Sens!F7843-base_fy)/n_conv)</f>
        <v>0.111797468164118</v>
      </c>
      <c r="G7901" s="7" t="n">
        <f aca="false">Sens!$E$7901+(glt_srch-Sens!$E$7901)*MIN(1,(Sens!G7843-base_fy)/n_conv)</f>
        <v>0.103437974531295</v>
      </c>
      <c r="H7901" s="7" t="n">
        <f aca="false">Sens!$E$7901+(glt_srch-Sens!$E$7901)*MIN(1,(Sens!H7843-base_fy)/n_conv)</f>
        <v>0.095078480898471</v>
      </c>
      <c r="I7901" s="7" t="n">
        <f aca="false">Sens!$E$7901+(glt_srch-Sens!$E$7901)*MIN(1,(Sens!I7843-base_fy)/n_conv)</f>
        <v>0.0867189872656474</v>
      </c>
      <c r="J7901" s="7" t="n">
        <f aca="false">Sens!$E$7901+(glt_srch-Sens!$E$7901)*MIN(1,(Sens!J7843-base_fy)/n_conv)</f>
        <v>0.0783594936328237</v>
      </c>
      <c r="K7901" s="7" t="n">
        <f aca="false">Sens!$E$7901+(glt_srch-Sens!$E$7901)*MIN(1,(Sens!K7843-base_fy)/n_conv)</f>
        <v>0.07</v>
      </c>
    </row>
    <row r="7902" customFormat="false" ht="17.15" hidden="false" customHeight="false" outlineLevel="0" collapsed="false">
      <c r="A7902" s="0" t="s">
        <v>1038</v>
      </c>
      <c r="B7902" s="0" t="s">
        <v>98</v>
      </c>
      <c r="D7902" s="6" t="n">
        <f aca="false">Q!L14</f>
        <v>23.455</v>
      </c>
      <c r="E7902" s="6" t="n">
        <f aca="false">Q!M14</f>
        <v>21.79</v>
      </c>
      <c r="F7902" s="6" t="n">
        <f aca="false">Q!$I$14+(Q!M14-Q!$E$14)*(1+Sens!F7903)</f>
        <v>20.7520981041711</v>
      </c>
      <c r="G7902" s="6" t="n">
        <f aca="false">Sens!F7902*(1+Sens!G7903)</f>
        <v>19.9083593495882</v>
      </c>
      <c r="H7902" s="6" t="n">
        <f aca="false">Sens!G7902*(1+Sens!H7903)</f>
        <v>19.4008256265831</v>
      </c>
      <c r="I7902" s="6" t="n">
        <f aca="false">Sens!H7902*(1+Sens!I7903)</f>
        <v>19.200434522122</v>
      </c>
      <c r="J7902" s="6" t="n">
        <f aca="false">Sens!I7902*(1+Sens!J7903)</f>
        <v>19.2932782348507</v>
      </c>
      <c r="K7902" s="6" t="n">
        <f aca="false">Sens!J7902*(1+Sens!K7903)</f>
        <v>19.6791437995477</v>
      </c>
      <c r="L7902" s="12" t="s">
        <v>1034</v>
      </c>
    </row>
    <row r="7903" customFormat="false" ht="15" hidden="false" customHeight="false" outlineLevel="0" collapsed="false">
      <c r="A7903" s="1" t="s">
        <v>1024</v>
      </c>
      <c r="B7903" s="0" t="s">
        <v>168</v>
      </c>
      <c r="E7903" s="7" t="n">
        <f aca="false">Sens!E7902/Sens!D7902-1</f>
        <v>-0.0709869963760392</v>
      </c>
      <c r="F7903" s="7" t="n">
        <f aca="false">Sens!$E$7903+(glt_xbox-Sens!$E$7903)*MIN(1,(Sens!F7843-base_fy)/n_conv)</f>
        <v>-0.0558224969800327</v>
      </c>
      <c r="G7903" s="7" t="n">
        <f aca="false">Sens!$E$7903+(glt_xbox-Sens!$E$7903)*MIN(1,(Sens!G7843-base_fy)/n_conv)</f>
        <v>-0.0406579975840262</v>
      </c>
      <c r="H7903" s="7" t="n">
        <f aca="false">Sens!$E$7903+(glt_xbox-Sens!$E$7903)*MIN(1,(Sens!H7843-base_fy)/n_conv)</f>
        <v>-0.0254934981880196</v>
      </c>
      <c r="I7903" s="7" t="n">
        <f aca="false">Sens!$E$7903+(glt_xbox-Sens!$E$7903)*MIN(1,(Sens!I7843-base_fy)/n_conv)</f>
        <v>-0.0103289987920131</v>
      </c>
      <c r="J7903" s="7" t="n">
        <f aca="false">Sens!$E$7903+(glt_xbox-Sens!$E$7903)*MIN(1,(Sens!J7843-base_fy)/n_conv)</f>
        <v>0.00483550060399347</v>
      </c>
      <c r="K7903" s="7" t="n">
        <f aca="false">Sens!$E$7903+(glt_xbox-Sens!$E$7903)*MIN(1,(Sens!K7843-base_fy)/n_conv)</f>
        <v>0.02</v>
      </c>
    </row>
    <row r="7904" customFormat="false" ht="17.15" hidden="false" customHeight="false" outlineLevel="0" collapsed="false">
      <c r="A7904" s="0" t="s">
        <v>1039</v>
      </c>
      <c r="B7904" s="0" t="s">
        <v>98</v>
      </c>
      <c r="D7904" s="6" t="n">
        <f aca="false">Q!L15</f>
        <v>17.315</v>
      </c>
      <c r="E7904" s="6" t="n">
        <f aca="false">Q!M15</f>
        <v>17.087</v>
      </c>
      <c r="F7904" s="6" t="n">
        <f aca="false">Q!$I$15+(Q!M15-Q!$E$15)*(1+Sens!F7905)</f>
        <v>15.9912273250553</v>
      </c>
      <c r="G7904" s="6" t="n">
        <f aca="false">Sens!F7904*(1+Sens!G7905)</f>
        <v>15.9574562664827</v>
      </c>
      <c r="H7904" s="6" t="n">
        <f aca="false">Sens!G7904*(1+Sens!H7905)</f>
        <v>16.0119687434196</v>
      </c>
      <c r="I7904" s="6" t="n">
        <f aca="false">Sens!H7904*(1+Sens!I7905)</f>
        <v>16.1551810001948</v>
      </c>
      <c r="J7904" s="6" t="n">
        <f aca="false">Sens!I7904*(1+Sens!J7905)</f>
        <v>16.3889793892005</v>
      </c>
      <c r="K7904" s="6" t="n">
        <f aca="false">Sens!J7904*(1+Sens!K7905)</f>
        <v>16.7167589769845</v>
      </c>
      <c r="L7904" s="12" t="s">
        <v>1034</v>
      </c>
    </row>
    <row r="7905" customFormat="false" ht="15" hidden="false" customHeight="false" outlineLevel="0" collapsed="false">
      <c r="A7905" s="1" t="s">
        <v>1024</v>
      </c>
      <c r="B7905" s="0" t="s">
        <v>168</v>
      </c>
      <c r="E7905" s="7" t="n">
        <f aca="false">Sens!E7904/Sens!D7904-1</f>
        <v>-0.0131677736066995</v>
      </c>
      <c r="F7905" s="7" t="n">
        <f aca="false">Sens!$E$7905+(glt_win-Sens!$E$7905)*MIN(1,(Sens!F7843-base_fy)/n_conv)</f>
        <v>-0.00763981133891627</v>
      </c>
      <c r="G7905" s="7" t="n">
        <f aca="false">Sens!$E$7905+(glt_win-Sens!$E$7905)*MIN(1,(Sens!G7843-base_fy)/n_conv)</f>
        <v>-0.00211184907113301</v>
      </c>
      <c r="H7905" s="7" t="n">
        <f aca="false">Sens!$E$7905+(glt_win-Sens!$E$7905)*MIN(1,(Sens!H7843-base_fy)/n_conv)</f>
        <v>0.00341611319665024</v>
      </c>
      <c r="I7905" s="7" t="n">
        <f aca="false">Sens!$E$7905+(glt_win-Sens!$E$7905)*MIN(1,(Sens!I7843-base_fy)/n_conv)</f>
        <v>0.00894407546443349</v>
      </c>
      <c r="J7905" s="7" t="n">
        <f aca="false">Sens!$E$7905+(glt_win-Sens!$E$7905)*MIN(1,(Sens!J7843-base_fy)/n_conv)</f>
        <v>0.0144720377322168</v>
      </c>
      <c r="K7905" s="7" t="n">
        <f aca="false">Sens!$E$7905+(glt_win-Sens!$E$7905)*MIN(1,(Sens!K7843-base_fy)/n_conv)</f>
        <v>0.02</v>
      </c>
    </row>
    <row r="7906" customFormat="false" ht="15" hidden="false" customHeight="false" outlineLevel="0" collapsed="false">
      <c r="A7906" s="0" t="s">
        <v>866</v>
      </c>
      <c r="B7906" s="0" t="s">
        <v>98</v>
      </c>
      <c r="D7906" s="6" t="n">
        <f aca="false">Sens!D7900+Sens!D7902+Sens!D7904</f>
        <v>62.941</v>
      </c>
      <c r="E7906" s="6" t="n">
        <f aca="false">Sens!E7900+Sens!E7902+Sens!E7904</f>
        <v>63.712</v>
      </c>
      <c r="F7906" s="6" t="n">
        <f aca="false">Sens!F7900+Sens!F7902+Sens!F7904</f>
        <v>64.3025149952511</v>
      </c>
      <c r="G7906" s="6" t="n">
        <f aca="false">Sens!G7900+Sens!G7902+Sens!G7904</f>
        <v>66.2756719305292</v>
      </c>
      <c r="H7906" s="6" t="n">
        <f aca="false">Sens!H7900+Sens!H7902+Sens!H7904</f>
        <v>68.7139736271804</v>
      </c>
      <c r="I7906" s="6" t="n">
        <f aca="false">Sens!I7900+Sens!I7902+Sens!I7904</f>
        <v>71.5446393194289</v>
      </c>
      <c r="J7906" s="6" t="n">
        <f aca="false">Sens!J7900+Sens!J7902+Sens!J7904</f>
        <v>74.707035000971</v>
      </c>
      <c r="K7906" s="6" t="n">
        <f aca="false">Sens!K7900+Sens!K7902+Sens!K7904</f>
        <v>78.1524145698365</v>
      </c>
    </row>
    <row r="7907" customFormat="false" ht="15" hidden="false" customHeight="false" outlineLevel="0" collapsed="false">
      <c r="A7907" s="1" t="s">
        <v>1040</v>
      </c>
      <c r="B7907" s="0" t="s">
        <v>98</v>
      </c>
      <c r="D7907" s="6" t="n">
        <f aca="false">Sens!D7899+Sens!D7906</f>
        <v>281.724</v>
      </c>
      <c r="E7907" s="6" t="n">
        <f aca="false">Sens!E7899+Sens!E7906</f>
        <v>331.839</v>
      </c>
      <c r="F7907" s="6" t="n">
        <f aca="false">Sens!F7899+Sens!F7906</f>
        <v>400.190194129541</v>
      </c>
      <c r="G7907" s="6" t="n">
        <f aca="false">Sens!G7899+Sens!G7906</f>
        <v>486.478207890309</v>
      </c>
      <c r="H7907" s="6" t="n">
        <f aca="false">Sens!H7899+Sens!H7906</f>
        <v>579.571459309963</v>
      </c>
      <c r="I7907" s="6" t="n">
        <f aca="false">Sens!I7899+Sens!I7906</f>
        <v>659.099761954469</v>
      </c>
      <c r="J7907" s="6" t="n">
        <f aca="false">Sens!J7899+Sens!J7906</f>
        <v>723.377110430269</v>
      </c>
      <c r="K7907" s="6" t="n">
        <f aca="false">Sens!K7899+Sens!K7906</f>
        <v>774.265947458538</v>
      </c>
    </row>
    <row r="7908" customFormat="false" ht="15" hidden="false" customHeight="false" outlineLevel="0" collapsed="false">
      <c r="A7908" s="26" t="s">
        <v>1041</v>
      </c>
      <c r="B7908" s="31" t="s">
        <v>98</v>
      </c>
      <c r="C7908" s="31"/>
      <c r="D7908" s="27" t="n">
        <f aca="false">(Sens!D7887+Sens!D7892+Sens!D7893+Sens!D7895+Sens!D7897-Sens!D7899)+(Sens!D7900+Sens!D7902+Sens!D7904-Sens!D7906)+(Sens!D7899-Q!L5)+(Sens!D7906-Q!L12)+(Sens!D7887-Q!L6)+(Sens!D7892-Q!L7)</f>
        <v>0</v>
      </c>
      <c r="E7908" s="27" t="n">
        <f aca="false">(Sens!E7887+Sens!E7892+Sens!E7893+Sens!E7895+Sens!E7897-Sens!E7899)+(Sens!E7900+Sens!E7902+Sens!E7904-Sens!E7906)+(Sens!E7899-Q!M5)+(Sens!E7906-Q!M12)+(Sens!E7887-Q!M6)+(Sens!E7892-Q!M7)</f>
        <v>0</v>
      </c>
      <c r="F7908" s="27" t="n">
        <f aca="false">(Sens!F7887+Sens!F7892+Sens!F7893+Sens!F7895+Sens!F7897-Sens!F7899)+(Sens!F7900+Sens!F7902+Sens!F7904-Sens!F7906)</f>
        <v>0</v>
      </c>
      <c r="G7908" s="27" t="n">
        <f aca="false">(Sens!G7887+Sens!G7892+Sens!G7893+Sens!G7895+Sens!G7897-Sens!G7899)+(Sens!G7900+Sens!G7902+Sens!G7904-Sens!G7906)</f>
        <v>0</v>
      </c>
      <c r="H7908" s="27" t="n">
        <f aca="false">(Sens!H7887+Sens!H7892+Sens!H7893+Sens!H7895+Sens!H7897-Sens!H7899)+(Sens!H7900+Sens!H7902+Sens!H7904-Sens!H7906)</f>
        <v>0</v>
      </c>
      <c r="I7908" s="27" t="n">
        <f aca="false">(Sens!I7887+Sens!I7892+Sens!I7893+Sens!I7895+Sens!I7897-Sens!I7899)+(Sens!I7900+Sens!I7902+Sens!I7904-Sens!I7906)</f>
        <v>0</v>
      </c>
      <c r="J7908" s="27" t="n">
        <f aca="false">(Sens!J7887+Sens!J7892+Sens!J7893+Sens!J7895+Sens!J7897-Sens!J7899)+(Sens!J7900+Sens!J7902+Sens!J7904-Sens!J7906)</f>
        <v>0</v>
      </c>
      <c r="K7908" s="27" t="n">
        <f aca="false">(Sens!K7887+Sens!K7892+Sens!K7893+Sens!K7895+Sens!K7897-Sens!K7899)+(Sens!K7900+Sens!K7902+Sens!K7904-Sens!K7906)</f>
        <v>0</v>
      </c>
    </row>
    <row r="7909" customFormat="false" ht="17.15" hidden="false" customHeight="false" outlineLevel="0" collapsed="false">
      <c r="A7909" s="3" t="s">
        <v>1677</v>
      </c>
    </row>
    <row r="7910" customFormat="false" ht="15" hidden="false" customHeight="false" outlineLevel="0" collapsed="false">
      <c r="A7910" s="4" t="s">
        <v>43</v>
      </c>
      <c r="B7910" s="4" t="s">
        <v>65</v>
      </c>
      <c r="C7910" s="23" t="s">
        <v>938</v>
      </c>
      <c r="D7910" s="23" t="s">
        <v>939</v>
      </c>
      <c r="E7910" s="23" t="s">
        <v>940</v>
      </c>
      <c r="F7910" s="23" t="s">
        <v>941</v>
      </c>
      <c r="G7910" s="23" t="s">
        <v>942</v>
      </c>
      <c r="H7910" s="23" t="s">
        <v>943</v>
      </c>
      <c r="I7910" s="23" t="s">
        <v>944</v>
      </c>
      <c r="J7910" s="23" t="s">
        <v>945</v>
      </c>
      <c r="K7910" s="23" t="s">
        <v>946</v>
      </c>
      <c r="L7910" s="4" t="s">
        <v>47</v>
      </c>
    </row>
    <row r="7911" customFormat="false" ht="15" hidden="false" customHeight="false" outlineLevel="0" collapsed="false">
      <c r="A7911" s="0" t="s">
        <v>1025</v>
      </c>
      <c r="B7911" s="0" t="s">
        <v>98</v>
      </c>
      <c r="D7911" s="6" t="n">
        <f aca="false">Sens!D7887</f>
        <v>72.61</v>
      </c>
      <c r="E7911" s="6" t="n">
        <f aca="false">Sens!E7887</f>
        <v>101.938</v>
      </c>
      <c r="F7911" s="6" t="n">
        <f aca="false">Sens!F7887</f>
        <v>149.59001837225</v>
      </c>
      <c r="G7911" s="6" t="n">
        <f aca="false">Sens!G7887</f>
        <v>210.963087346352</v>
      </c>
      <c r="H7911" s="6" t="n">
        <f aca="false">Sens!H7887</f>
        <v>278.649709314524</v>
      </c>
      <c r="I7911" s="6" t="n">
        <f aca="false">Sens!I7887</f>
        <v>334.269404582332</v>
      </c>
      <c r="J7911" s="6" t="n">
        <f aca="false">Sens!J7887</f>
        <v>376.517293063672</v>
      </c>
      <c r="K7911" s="6" t="n">
        <f aca="false">Sens!K7887</f>
        <v>406.018092622804</v>
      </c>
    </row>
    <row r="7912" customFormat="false" ht="17.15" hidden="false" customHeight="false" outlineLevel="0" collapsed="false">
      <c r="A7912" s="0" t="s">
        <v>1021</v>
      </c>
      <c r="B7912" s="0" t="s">
        <v>98</v>
      </c>
      <c r="D7912" s="6" t="n">
        <f aca="false">Sens!D7884</f>
        <v>12.9359794422418</v>
      </c>
      <c r="E7912" s="6" t="n">
        <f aca="false">Sens!E7884</f>
        <v>27.8095064661409</v>
      </c>
      <c r="F7912" s="6" t="n">
        <f aca="false">Sens!F7884</f>
        <v>59.1034165651511</v>
      </c>
      <c r="G7912" s="6" t="n">
        <f aca="false">Sens!G7884</f>
        <v>103.451498789198</v>
      </c>
      <c r="H7912" s="6" t="n">
        <f aca="false">Sens!H7884</f>
        <v>153.816719989035</v>
      </c>
      <c r="I7912" s="6" t="n">
        <f aca="false">Sens!I7884</f>
        <v>192.699478690852</v>
      </c>
      <c r="J7912" s="6" t="n">
        <f aca="false">Sens!J7884</f>
        <v>219.794102584244</v>
      </c>
      <c r="K7912" s="6" t="n">
        <f aca="false">Sens!K7884</f>
        <v>236.757046905022</v>
      </c>
    </row>
    <row r="7913" customFormat="false" ht="17.15" hidden="false" customHeight="false" outlineLevel="0" collapsed="false">
      <c r="A7913" s="0" t="s">
        <v>1052</v>
      </c>
      <c r="B7913" s="0" t="s">
        <v>98</v>
      </c>
      <c r="D7913" s="6" t="n">
        <f aca="false">Sens!D7885</f>
        <v>59.6740205577583</v>
      </c>
      <c r="E7913" s="6" t="n">
        <f aca="false">Sens!E7885</f>
        <v>74.1284935338591</v>
      </c>
      <c r="F7913" s="6" t="n">
        <f aca="false">Sens!F7885</f>
        <v>90.4866018070994</v>
      </c>
      <c r="G7913" s="6" t="n">
        <f aca="false">Sens!G7885</f>
        <v>107.511588557154</v>
      </c>
      <c r="H7913" s="6" t="n">
        <f aca="false">Sens!H7885</f>
        <v>124.832989325489</v>
      </c>
      <c r="I7913" s="6" t="n">
        <f aca="false">Sens!I7885</f>
        <v>141.56992589148</v>
      </c>
      <c r="J7913" s="6" t="n">
        <f aca="false">Sens!J7885</f>
        <v>156.723190479428</v>
      </c>
      <c r="K7913" s="6" t="n">
        <f aca="false">Sens!K7885</f>
        <v>169.261045717783</v>
      </c>
    </row>
    <row r="7914" customFormat="false" ht="15" hidden="false" customHeight="false" outlineLevel="0" collapsed="false">
      <c r="A7914" s="0" t="s">
        <v>1032</v>
      </c>
      <c r="B7914" s="0" t="s">
        <v>98</v>
      </c>
      <c r="D7914" s="6" t="n">
        <f aca="false">Sens!D7892</f>
        <v>84.605</v>
      </c>
      <c r="E7914" s="6" t="n">
        <f aca="false">Sens!E7892</f>
        <v>100.299</v>
      </c>
      <c r="F7914" s="6" t="n">
        <f aca="false">Sens!F7892</f>
        <v>116.842616445631</v>
      </c>
      <c r="G7914" s="6" t="n">
        <f aca="false">Sens!G7892</f>
        <v>135.500570070819</v>
      </c>
      <c r="H7914" s="6" t="n">
        <f aca="false">Sens!H7892</f>
        <v>154.24010929863</v>
      </c>
      <c r="I7914" s="6" t="n">
        <f aca="false">Sens!I7892</f>
        <v>171.182746069518</v>
      </c>
      <c r="J7914" s="6" t="n">
        <f aca="false">Sens!J7892</f>
        <v>186.046402426814</v>
      </c>
      <c r="K7914" s="6" t="n">
        <f aca="false">Sens!K7892</f>
        <v>200.155050596691</v>
      </c>
    </row>
    <row r="7915" customFormat="false" ht="17.15" hidden="false" customHeight="false" outlineLevel="0" collapsed="false">
      <c r="A7915" s="0" t="s">
        <v>1053</v>
      </c>
      <c r="B7915" s="0" t="s">
        <v>98</v>
      </c>
      <c r="D7915" s="6" t="n">
        <f aca="false">Sens!D7890</f>
        <v>83.705</v>
      </c>
      <c r="E7915" s="6" t="n">
        <f aca="false">Sens!E7890</f>
        <v>95.049</v>
      </c>
      <c r="F7915" s="6" t="n">
        <f aca="false">Sens!F7890</f>
        <v>107.122616445631</v>
      </c>
      <c r="G7915" s="6" t="n">
        <f aca="false">Sens!G7890</f>
        <v>119.300570070819</v>
      </c>
      <c r="H7915" s="6" t="n">
        <f aca="false">Sens!H7890</f>
        <v>131.56010929863</v>
      </c>
      <c r="I7915" s="6" t="n">
        <f aca="false">Sens!I7890</f>
        <v>143.642746069518</v>
      </c>
      <c r="J7915" s="6" t="n">
        <f aca="false">Sens!J7890</f>
        <v>155.266402426814</v>
      </c>
      <c r="K7915" s="6" t="n">
        <f aca="false">Sens!K7890</f>
        <v>166.135050596691</v>
      </c>
    </row>
    <row r="7916" customFormat="false" ht="17.15" hidden="false" customHeight="false" outlineLevel="0" collapsed="false">
      <c r="A7916" s="0" t="s">
        <v>1054</v>
      </c>
      <c r="B7916" s="0" t="s">
        <v>98</v>
      </c>
      <c r="D7916" s="6" t="n">
        <f aca="false">Sens!D7889</f>
        <v>0.9</v>
      </c>
      <c r="E7916" s="6" t="n">
        <f aca="false">Sens!E7889</f>
        <v>5.25</v>
      </c>
      <c r="F7916" s="6" t="n">
        <f aca="false">Sens!F7889</f>
        <v>9.72</v>
      </c>
      <c r="G7916" s="6" t="n">
        <f aca="false">Sens!G7889</f>
        <v>16.2</v>
      </c>
      <c r="H7916" s="6" t="n">
        <f aca="false">Sens!H7889</f>
        <v>22.68</v>
      </c>
      <c r="I7916" s="6" t="n">
        <f aca="false">Sens!I7889</f>
        <v>27.54</v>
      </c>
      <c r="J7916" s="6" t="n">
        <f aca="false">Sens!J7889</f>
        <v>30.78</v>
      </c>
      <c r="K7916" s="6" t="n">
        <f aca="false">Sens!K7889</f>
        <v>34.02</v>
      </c>
    </row>
    <row r="7917" customFormat="false" ht="15" hidden="false" customHeight="false" outlineLevel="0" collapsed="false">
      <c r="A7917" s="0" t="s">
        <v>1033</v>
      </c>
      <c r="B7917" s="0" t="s">
        <v>98</v>
      </c>
      <c r="D7917" s="6" t="n">
        <f aca="false">Sens!D7893</f>
        <v>35.391</v>
      </c>
      <c r="E7917" s="6" t="n">
        <f aca="false">Sens!E7893</f>
        <v>37.285</v>
      </c>
      <c r="F7917" s="6" t="n">
        <f aca="false">Sens!F7893</f>
        <v>38.3851437782675</v>
      </c>
      <c r="G7917" s="6" t="n">
        <f aca="false">Sens!G7893</f>
        <v>40.0105353288615</v>
      </c>
      <c r="H7917" s="6" t="n">
        <f aca="false">Sens!H7893</f>
        <v>41.4812512033683</v>
      </c>
      <c r="I7917" s="6" t="n">
        <f aca="false">Sens!I7893</f>
        <v>42.7743107216329</v>
      </c>
      <c r="J7917" s="6" t="n">
        <f aca="false">Sens!J7893</f>
        <v>43.8687373064601</v>
      </c>
      <c r="K7917" s="6" t="n">
        <f aca="false">Sens!K7893</f>
        <v>44.7461120525893</v>
      </c>
    </row>
    <row r="7918" customFormat="false" ht="15" hidden="false" customHeight="false" outlineLevel="0" collapsed="false">
      <c r="A7918" s="0" t="s">
        <v>1035</v>
      </c>
      <c r="B7918" s="0" t="s">
        <v>98</v>
      </c>
      <c r="D7918" s="6" t="n">
        <f aca="false">Sens!D7895</f>
        <v>18.417</v>
      </c>
      <c r="E7918" s="6" t="n">
        <f aca="false">Sens!E7895</f>
        <v>20.345</v>
      </c>
      <c r="F7918" s="6" t="n">
        <f aca="false">Sens!F7895</f>
        <v>22.3161797133988</v>
      </c>
      <c r="G7918" s="6" t="n">
        <f aca="false">Sens!G7895</f>
        <v>24.3943499673233</v>
      </c>
      <c r="H7918" s="6" t="n">
        <f aca="false">Sens!H7895</f>
        <v>26.5250243109019</v>
      </c>
      <c r="I7918" s="6" t="n">
        <f aca="false">Sens!I7895</f>
        <v>28.6884573538181</v>
      </c>
      <c r="J7918" s="6" t="n">
        <f aca="false">Sens!J7895</f>
        <v>30.8624968052127</v>
      </c>
      <c r="K7918" s="6" t="n">
        <f aca="false">Sens!K7895</f>
        <v>33.0228715815776</v>
      </c>
    </row>
    <row r="7919" customFormat="false" ht="15" hidden="false" customHeight="false" outlineLevel="0" collapsed="false">
      <c r="A7919" s="0" t="s">
        <v>1036</v>
      </c>
      <c r="B7919" s="0" t="s">
        <v>98</v>
      </c>
      <c r="D7919" s="6" t="n">
        <f aca="false">Sens!D7897</f>
        <v>7.76</v>
      </c>
      <c r="E7919" s="6" t="n">
        <f aca="false">Sens!E7897</f>
        <v>8.26</v>
      </c>
      <c r="F7919" s="6" t="n">
        <f aca="false">Sens!F7897</f>
        <v>8.75372082474227</v>
      </c>
      <c r="G7919" s="6" t="n">
        <f aca="false">Sens!G7897</f>
        <v>9.33399324642364</v>
      </c>
      <c r="H7919" s="6" t="n">
        <f aca="false">Sens!H7897</f>
        <v>9.96139155535851</v>
      </c>
      <c r="I7919" s="6" t="n">
        <f aca="false">Sens!I7897</f>
        <v>10.6402039077391</v>
      </c>
      <c r="J7919" s="6" t="n">
        <f aca="false">Sens!J7897</f>
        <v>11.3751458271397</v>
      </c>
      <c r="K7919" s="6" t="n">
        <f aca="false">Sens!K7897</f>
        <v>12.1714060350394</v>
      </c>
    </row>
    <row r="7920" customFormat="false" ht="15" hidden="false" customHeight="false" outlineLevel="0" collapsed="false">
      <c r="A7920" s="0" t="s">
        <v>852</v>
      </c>
      <c r="B7920" s="0" t="s">
        <v>98</v>
      </c>
      <c r="D7920" s="6" t="n">
        <f aca="false">Sens!D7899</f>
        <v>218.783</v>
      </c>
      <c r="E7920" s="6" t="n">
        <f aca="false">Sens!E7899</f>
        <v>268.127</v>
      </c>
      <c r="F7920" s="6" t="n">
        <f aca="false">Sens!F7899</f>
        <v>335.88767913429</v>
      </c>
      <c r="G7920" s="6" t="n">
        <f aca="false">Sens!G7899</f>
        <v>420.20253595978</v>
      </c>
      <c r="H7920" s="6" t="n">
        <f aca="false">Sens!H7899</f>
        <v>510.857485682783</v>
      </c>
      <c r="I7920" s="6" t="n">
        <f aca="false">Sens!I7899</f>
        <v>587.55512263504</v>
      </c>
      <c r="J7920" s="6" t="n">
        <f aca="false">Sens!J7899</f>
        <v>648.670075429298</v>
      </c>
      <c r="K7920" s="6" t="n">
        <f aca="false">Sens!K7899</f>
        <v>696.113532888701</v>
      </c>
    </row>
    <row r="7921" customFormat="false" ht="15" hidden="false" customHeight="false" outlineLevel="0" collapsed="false">
      <c r="A7921" s="0" t="s">
        <v>1037</v>
      </c>
      <c r="B7921" s="0" t="s">
        <v>98</v>
      </c>
      <c r="D7921" s="6" t="n">
        <f aca="false">Sens!D7900</f>
        <v>22.171</v>
      </c>
      <c r="E7921" s="6" t="n">
        <f aca="false">Sens!E7900</f>
        <v>24.835</v>
      </c>
      <c r="F7921" s="6" t="n">
        <f aca="false">Sens!F7900</f>
        <v>27.5591895660247</v>
      </c>
      <c r="G7921" s="6" t="n">
        <f aca="false">Sens!G7900</f>
        <v>30.4098563144583</v>
      </c>
      <c r="H7921" s="6" t="n">
        <f aca="false">Sens!H7900</f>
        <v>33.3011792571777</v>
      </c>
      <c r="I7921" s="6" t="n">
        <f aca="false">Sens!I7900</f>
        <v>36.189023797112</v>
      </c>
      <c r="J7921" s="6" t="n">
        <f aca="false">Sens!J7900</f>
        <v>39.0247773769199</v>
      </c>
      <c r="K7921" s="6" t="n">
        <f aca="false">Sens!K7900</f>
        <v>41.7565117933043</v>
      </c>
    </row>
    <row r="7922" customFormat="false" ht="15" hidden="false" customHeight="false" outlineLevel="0" collapsed="false">
      <c r="A7922" s="0" t="s">
        <v>1038</v>
      </c>
      <c r="B7922" s="0" t="s">
        <v>98</v>
      </c>
      <c r="D7922" s="6" t="n">
        <f aca="false">Sens!D7902</f>
        <v>23.455</v>
      </c>
      <c r="E7922" s="6" t="n">
        <f aca="false">Sens!E7902</f>
        <v>21.79</v>
      </c>
      <c r="F7922" s="6" t="n">
        <f aca="false">Sens!F7902</f>
        <v>20.7520981041711</v>
      </c>
      <c r="G7922" s="6" t="n">
        <f aca="false">Sens!G7902</f>
        <v>19.9083593495882</v>
      </c>
      <c r="H7922" s="6" t="n">
        <f aca="false">Sens!H7902</f>
        <v>19.4008256265831</v>
      </c>
      <c r="I7922" s="6" t="n">
        <f aca="false">Sens!I7902</f>
        <v>19.200434522122</v>
      </c>
      <c r="J7922" s="6" t="n">
        <f aca="false">Sens!J7902</f>
        <v>19.2932782348507</v>
      </c>
      <c r="K7922" s="6" t="n">
        <f aca="false">Sens!K7902</f>
        <v>19.6791437995477</v>
      </c>
    </row>
    <row r="7923" customFormat="false" ht="15" hidden="false" customHeight="false" outlineLevel="0" collapsed="false">
      <c r="A7923" s="0" t="s">
        <v>1039</v>
      </c>
      <c r="B7923" s="0" t="s">
        <v>98</v>
      </c>
      <c r="D7923" s="6" t="n">
        <f aca="false">Sens!D7904</f>
        <v>17.315</v>
      </c>
      <c r="E7923" s="6" t="n">
        <f aca="false">Sens!E7904</f>
        <v>17.087</v>
      </c>
      <c r="F7923" s="6" t="n">
        <f aca="false">Sens!F7904</f>
        <v>15.9912273250553</v>
      </c>
      <c r="G7923" s="6" t="n">
        <f aca="false">Sens!G7904</f>
        <v>15.9574562664827</v>
      </c>
      <c r="H7923" s="6" t="n">
        <f aca="false">Sens!H7904</f>
        <v>16.0119687434196</v>
      </c>
      <c r="I7923" s="6" t="n">
        <f aca="false">Sens!I7904</f>
        <v>16.1551810001948</v>
      </c>
      <c r="J7923" s="6" t="n">
        <f aca="false">Sens!J7904</f>
        <v>16.3889793892005</v>
      </c>
      <c r="K7923" s="6" t="n">
        <f aca="false">Sens!K7904</f>
        <v>16.7167589769845</v>
      </c>
    </row>
    <row r="7924" customFormat="false" ht="15" hidden="false" customHeight="false" outlineLevel="0" collapsed="false">
      <c r="A7924" s="0" t="s">
        <v>866</v>
      </c>
      <c r="B7924" s="0" t="s">
        <v>98</v>
      </c>
      <c r="D7924" s="6" t="n">
        <f aca="false">Sens!D7906</f>
        <v>62.941</v>
      </c>
      <c r="E7924" s="6" t="n">
        <f aca="false">Sens!E7906</f>
        <v>63.712</v>
      </c>
      <c r="F7924" s="6" t="n">
        <f aca="false">Sens!F7906</f>
        <v>64.3025149952511</v>
      </c>
      <c r="G7924" s="6" t="n">
        <f aca="false">Sens!G7906</f>
        <v>66.2756719305292</v>
      </c>
      <c r="H7924" s="6" t="n">
        <f aca="false">Sens!H7906</f>
        <v>68.7139736271804</v>
      </c>
      <c r="I7924" s="6" t="n">
        <f aca="false">Sens!I7906</f>
        <v>71.5446393194289</v>
      </c>
      <c r="J7924" s="6" t="n">
        <f aca="false">Sens!J7906</f>
        <v>74.707035000971</v>
      </c>
      <c r="K7924" s="6" t="n">
        <f aca="false">Sens!K7906</f>
        <v>78.1524145698365</v>
      </c>
    </row>
    <row r="7925" customFormat="false" ht="15" hidden="false" customHeight="false" outlineLevel="0" collapsed="false">
      <c r="A7925" s="1" t="s">
        <v>1055</v>
      </c>
      <c r="B7925" s="0" t="s">
        <v>98</v>
      </c>
      <c r="D7925" s="6" t="n">
        <f aca="false">Sens!D7907</f>
        <v>281.724</v>
      </c>
      <c r="E7925" s="6" t="n">
        <f aca="false">Sens!E7907</f>
        <v>331.839</v>
      </c>
      <c r="F7925" s="6" t="n">
        <f aca="false">Sens!F7907</f>
        <v>400.190194129541</v>
      </c>
      <c r="G7925" s="6" t="n">
        <f aca="false">Sens!G7907</f>
        <v>486.478207890309</v>
      </c>
      <c r="H7925" s="6" t="n">
        <f aca="false">Sens!H7907</f>
        <v>579.571459309963</v>
      </c>
      <c r="I7925" s="6" t="n">
        <f aca="false">Sens!I7907</f>
        <v>659.099761954469</v>
      </c>
      <c r="J7925" s="6" t="n">
        <f aca="false">Sens!J7907</f>
        <v>723.377110430269</v>
      </c>
      <c r="K7925" s="6" t="n">
        <f aca="false">Sens!K7907</f>
        <v>774.265947458538</v>
      </c>
    </row>
    <row r="7926" customFormat="false" ht="15" hidden="false" customHeight="false" outlineLevel="0" collapsed="false">
      <c r="A7926" s="1" t="s">
        <v>1056</v>
      </c>
      <c r="B7926" s="0" t="s">
        <v>168</v>
      </c>
      <c r="E7926" s="7" t="n">
        <f aca="false">Sens!E7925/Sens!D7925-1</f>
        <v>0.177886867998467</v>
      </c>
      <c r="F7926" s="7" t="n">
        <f aca="false">Sens!F7925/Sens!E7925-1</f>
        <v>0.205976977177308</v>
      </c>
      <c r="G7926" s="7" t="n">
        <f aca="false">Sens!G7925/Sens!F7925-1</f>
        <v>0.215617511439665</v>
      </c>
      <c r="H7926" s="7" t="n">
        <f aca="false">Sens!H7925/Sens!G7925-1</f>
        <v>0.191361606562744</v>
      </c>
      <c r="I7926" s="7" t="n">
        <f aca="false">Sens!I7925/Sens!H7925-1</f>
        <v>0.137219149368038</v>
      </c>
      <c r="J7926" s="7" t="n">
        <f aca="false">Sens!J7925/Sens!I7925-1</f>
        <v>0.0975229429384028</v>
      </c>
      <c r="K7926" s="7" t="n">
        <f aca="false">Sens!K7925/Sens!J7925-1</f>
        <v>0.0703489733010763</v>
      </c>
    </row>
    <row r="7927" customFormat="false" ht="17.15" hidden="false" customHeight="false" outlineLevel="0" collapsed="false">
      <c r="A7927" s="26" t="s">
        <v>1057</v>
      </c>
      <c r="B7927" s="31" t="s">
        <v>98</v>
      </c>
      <c r="C7927" s="31"/>
      <c r="D7927" s="27" t="n">
        <f aca="false">(Sens!D7920+Sens!D7924-Sens!D7925)+(Sens!D7912+Sens!D7913-Sens!D7911)+(Sens!D7915+Sens!D7916-Sens!D7914)+(Sens!D7925-Q!L18)</f>
        <v>0</v>
      </c>
      <c r="E7927" s="27" t="n">
        <f aca="false">(Sens!E7920+Sens!E7924-Sens!E7925)+(Sens!E7912+Sens!E7913-Sens!E7911)+(Sens!E7915+Sens!E7916-Sens!E7914)+(Sens!E7925-Q!M18)</f>
        <v>0</v>
      </c>
      <c r="F7927" s="27" t="n">
        <f aca="false">(Sens!F7920+Sens!F7924-Sens!F7925)+(Sens!F7912+Sens!F7913-Sens!F7911)+(Sens!F7915+Sens!F7916-Sens!F7914)</f>
        <v>0</v>
      </c>
      <c r="G7927" s="27" t="n">
        <f aca="false">(Sens!G7920+Sens!G7924-Sens!G7925)+(Sens!G7912+Sens!G7913-Sens!G7911)+(Sens!G7915+Sens!G7916-Sens!G7914)</f>
        <v>0</v>
      </c>
      <c r="H7927" s="27" t="n">
        <f aca="false">(Sens!H7920+Sens!H7924-Sens!H7925)+(Sens!H7912+Sens!H7913-Sens!H7911)+(Sens!H7915+Sens!H7916-Sens!H7914)</f>
        <v>0</v>
      </c>
      <c r="I7927" s="27" t="n">
        <f aca="false">(Sens!I7920+Sens!I7924-Sens!I7925)+(Sens!I7912+Sens!I7913-Sens!I7911)+(Sens!I7915+Sens!I7916-Sens!I7914)</f>
        <v>0</v>
      </c>
      <c r="J7927" s="27" t="n">
        <f aca="false">(Sens!J7920+Sens!J7924-Sens!J7925)+(Sens!J7912+Sens!J7913-Sens!J7911)+(Sens!J7915+Sens!J7916-Sens!J7914)</f>
        <v>0</v>
      </c>
      <c r="K7927" s="27" t="n">
        <f aca="false">(Sens!K7920+Sens!K7924-Sens!K7925)+(Sens!K7912+Sens!K7913-Sens!K7911)+(Sens!K7915+Sens!K7916-Sens!K7914)</f>
        <v>0</v>
      </c>
    </row>
    <row r="7928" customFormat="false" ht="17.15" hidden="false" customHeight="false" outlineLevel="0" collapsed="false">
      <c r="A7928" s="0" t="s">
        <v>1058</v>
      </c>
      <c r="B7928" s="0" t="s">
        <v>168</v>
      </c>
      <c r="E7928" s="7" t="n">
        <f aca="false">(Q!M21+Sens!E7864+Sens!E7865+Sens!E7866+Sens!E7880-Sens!E7862)/(Q!M5-Sens!E7862)</f>
        <v>0.570957350878296</v>
      </c>
      <c r="F7928" s="7" t="n">
        <f aca="false">Sens!$E$7928+dm_seg</f>
        <v>0.570957350878296</v>
      </c>
      <c r="G7928" s="7" t="n">
        <f aca="false">Sens!$E$7928+dm_seg</f>
        <v>0.570957350878296</v>
      </c>
      <c r="H7928" s="7" t="n">
        <f aca="false">Sens!$E$7928+dm_seg</f>
        <v>0.570957350878296</v>
      </c>
      <c r="I7928" s="7" t="n">
        <f aca="false">Sens!$E$7928+dm_seg</f>
        <v>0.570957350878296</v>
      </c>
      <c r="J7928" s="7" t="n">
        <f aca="false">Sens!$E$7928+dm_seg</f>
        <v>0.570957350878296</v>
      </c>
      <c r="K7928" s="7" t="n">
        <f aca="false">Sens!$E$7928+dm_seg</f>
        <v>0.570957350878296</v>
      </c>
      <c r="L7928" s="12" t="s">
        <v>1059</v>
      </c>
    </row>
    <row r="7929" customFormat="false" ht="17.15" hidden="false" customHeight="false" outlineLevel="0" collapsed="false">
      <c r="A7929" s="0" t="s">
        <v>880</v>
      </c>
      <c r="B7929" s="0" t="s">
        <v>98</v>
      </c>
      <c r="D7929" s="6" t="n">
        <f aca="false">Q!L21</f>
        <v>110.814</v>
      </c>
      <c r="E7929" s="6" t="n">
        <f aca="false">Q!M21</f>
        <v>136.365</v>
      </c>
      <c r="F7929" s="6" t="n">
        <f aca="false">Q!$I$21+(Sens!F7928*(Sens!F7899-Sens!F7862)+Sens!F7862-(Sens!F7864+Sens!F7865+Sens!F7866)-Sens!F7880-Sens!F7963)*(Sens!F7899-Q!$I$5)/Sens!F7899</f>
        <v>163.910322905141</v>
      </c>
      <c r="G7929" s="6" t="n">
        <f aca="false">(Sens!G7928*(Sens!G7899-Sens!G7862)+Sens!G7862-(Sens!G7864+Sens!G7865+Sens!G7866)-Sens!G7880-Sens!G7963)</f>
        <v>188.466883356444</v>
      </c>
      <c r="H7929" s="6" t="n">
        <f aca="false">(Sens!H7928*(Sens!H7899-Sens!H7862)+Sens!H7862-(Sens!H7864+Sens!H7865+Sens!H7866)-Sens!H7880-Sens!H7963)</f>
        <v>221.343407530438</v>
      </c>
      <c r="I7929" s="6" t="n">
        <f aca="false">(Sens!I7928*(Sens!I7899-Sens!I7862)+Sens!I7862-(Sens!I7864+Sens!I7865+Sens!I7866)-Sens!I7880-Sens!I7963)</f>
        <v>246.189402948215</v>
      </c>
      <c r="J7929" s="6" t="n">
        <f aca="false">(Sens!J7928*(Sens!J7899-Sens!J7862)+Sens!J7862-(Sens!J7864+Sens!J7865+Sens!J7866)-Sens!J7880-Sens!J7963)</f>
        <v>267.779425389469</v>
      </c>
      <c r="K7929" s="6" t="n">
        <f aca="false">(Sens!K7928*(Sens!K7899-Sens!K7862)+Sens!K7862-(Sens!K7864+Sens!K7865+Sens!K7866)-Sens!K7880-Sens!K7963)</f>
        <v>287.093942364392</v>
      </c>
      <c r="L7929" s="1" t="s">
        <v>1060</v>
      </c>
    </row>
    <row r="7930" customFormat="false" ht="17.15" hidden="false" customHeight="false" outlineLevel="0" collapsed="false">
      <c r="A7930" s="0" t="s">
        <v>1061</v>
      </c>
      <c r="B7930" s="0" t="s">
        <v>168</v>
      </c>
      <c r="E7930" s="7" t="n">
        <f aca="false">Q!M22/Q!M12</f>
        <v>0.296207935710698</v>
      </c>
      <c r="F7930" s="7" t="n">
        <f aca="false">Sens!$E$7930+dm_seg</f>
        <v>0.296207935710698</v>
      </c>
      <c r="G7930" s="7" t="n">
        <f aca="false">Sens!$E$7930+dm_seg</f>
        <v>0.296207935710698</v>
      </c>
      <c r="H7930" s="7" t="n">
        <f aca="false">Sens!$E$7930+dm_seg</f>
        <v>0.296207935710698</v>
      </c>
      <c r="I7930" s="7" t="n">
        <f aca="false">Sens!$E$7930+dm_seg</f>
        <v>0.296207935710698</v>
      </c>
      <c r="J7930" s="7" t="n">
        <f aca="false">Sens!$E$7930+dm_seg</f>
        <v>0.296207935710698</v>
      </c>
      <c r="K7930" s="7" t="n">
        <f aca="false">Sens!$E$7930+dm_seg</f>
        <v>0.296207935710698</v>
      </c>
      <c r="L7930" s="12" t="s">
        <v>1062</v>
      </c>
    </row>
    <row r="7931" customFormat="false" ht="17.15" hidden="false" customHeight="false" outlineLevel="0" collapsed="false">
      <c r="A7931" s="0" t="s">
        <v>882</v>
      </c>
      <c r="B7931" s="0" t="s">
        <v>98</v>
      </c>
      <c r="D7931" s="6" t="n">
        <f aca="false">Q!L22</f>
        <v>17.714</v>
      </c>
      <c r="E7931" s="6" t="n">
        <f aca="false">Q!M22</f>
        <v>18.872</v>
      </c>
      <c r="F7931" s="6" t="n">
        <f aca="false">Q!$I$22+(Sens!F7906-Q!$I$12)*Sens!F7930</f>
        <v>19.8174315512051</v>
      </c>
      <c r="G7931" s="6" t="n">
        <f aca="false">Sens!G7906*Sens!G7930</f>
        <v>19.6313799703815</v>
      </c>
      <c r="H7931" s="6" t="n">
        <f aca="false">Sens!H7906*Sens!H7930</f>
        <v>20.3536242825865</v>
      </c>
      <c r="I7931" s="6" t="n">
        <f aca="false">Sens!I7906*Sens!I7930</f>
        <v>21.1920899239745</v>
      </c>
      <c r="J7931" s="6" t="n">
        <f aca="false">Sens!J7906*Sens!J7930</f>
        <v>22.1288166207045</v>
      </c>
      <c r="K7931" s="6" t="n">
        <f aca="false">Sens!K7906*Sens!K7930</f>
        <v>23.1493653905379</v>
      </c>
      <c r="L7931" s="12" t="s">
        <v>1063</v>
      </c>
    </row>
    <row r="7932" customFormat="false" ht="15" hidden="false" customHeight="false" outlineLevel="0" collapsed="false">
      <c r="A7932" s="1" t="s">
        <v>1064</v>
      </c>
      <c r="B7932" s="0" t="s">
        <v>98</v>
      </c>
      <c r="D7932" s="6" t="n">
        <f aca="false">Sens!D7929+Sens!D7931</f>
        <v>128.528</v>
      </c>
      <c r="E7932" s="6" t="n">
        <f aca="false">Sens!E7929+Sens!E7931</f>
        <v>155.237</v>
      </c>
      <c r="F7932" s="6" t="n">
        <f aca="false">Sens!F7929+Sens!F7931</f>
        <v>183.727754456346</v>
      </c>
      <c r="G7932" s="6" t="n">
        <f aca="false">Sens!G7929+Sens!G7931</f>
        <v>208.098263326825</v>
      </c>
      <c r="H7932" s="6" t="n">
        <f aca="false">Sens!H7929+Sens!H7931</f>
        <v>241.697031813024</v>
      </c>
      <c r="I7932" s="6" t="n">
        <f aca="false">Sens!I7929+Sens!I7931</f>
        <v>267.381492872189</v>
      </c>
      <c r="J7932" s="6" t="n">
        <f aca="false">Sens!J7929+Sens!J7931</f>
        <v>289.908242010174</v>
      </c>
      <c r="K7932" s="6" t="n">
        <f aca="false">Sens!K7929+Sens!K7931</f>
        <v>310.24330775493</v>
      </c>
    </row>
    <row r="7933" customFormat="false" ht="15" hidden="false" customHeight="false" outlineLevel="0" collapsed="false">
      <c r="A7933" s="26" t="s">
        <v>1065</v>
      </c>
      <c r="B7933" s="31" t="s">
        <v>98</v>
      </c>
      <c r="C7933" s="31"/>
      <c r="D7933" s="27" t="n">
        <f aca="false">Sens!D7932-Q!L23</f>
        <v>0</v>
      </c>
      <c r="E7933" s="27" t="n">
        <f aca="false">Sens!E7932-Q!M23</f>
        <v>0</v>
      </c>
      <c r="F7933" s="31"/>
      <c r="G7933" s="31"/>
      <c r="H7933" s="31"/>
      <c r="I7933" s="31"/>
      <c r="J7933" s="31"/>
      <c r="K7933" s="31"/>
    </row>
    <row r="7934" customFormat="false" ht="15" hidden="false" customHeight="false" outlineLevel="0" collapsed="false">
      <c r="A7934" s="1" t="s">
        <v>1066</v>
      </c>
      <c r="B7934" s="0" t="s">
        <v>168</v>
      </c>
      <c r="D7934" s="7" t="n">
        <f aca="false">Sens!D7932/Sens!D7925</f>
        <v>0.456219562408598</v>
      </c>
      <c r="E7934" s="7" t="n">
        <f aca="false">Sens!E7932/Sens!E7925</f>
        <v>0.467808184089272</v>
      </c>
      <c r="F7934" s="7" t="n">
        <f aca="false">Sens!F7932/Sens!F7925</f>
        <v>0.459101090310259</v>
      </c>
      <c r="G7934" s="7" t="n">
        <f aca="false">Sens!G7932/Sens!G7925</f>
        <v>0.427764820605793</v>
      </c>
      <c r="H7934" s="7" t="n">
        <f aca="false">Sens!H7932/Sens!H7925</f>
        <v>0.417027146403635</v>
      </c>
      <c r="I7934" s="7" t="n">
        <f aca="false">Sens!I7932/Sens!I7925</f>
        <v>0.405676816024491</v>
      </c>
      <c r="J7934" s="7" t="n">
        <f aca="false">Sens!J7932/Sens!J7925</f>
        <v>0.400770549454813</v>
      </c>
      <c r="K7934" s="7" t="n">
        <f aca="false">Sens!K7932/Sens!K7925</f>
        <v>0.400693468146542</v>
      </c>
    </row>
    <row r="7935" customFormat="false" ht="17.15" hidden="false" customHeight="false" outlineLevel="0" collapsed="false">
      <c r="A7935" s="1" t="s">
        <v>1067</v>
      </c>
      <c r="B7935" s="0" t="s">
        <v>98</v>
      </c>
      <c r="F7935" s="6" t="n">
        <f aca="false">Sens!F7950</f>
        <v>11.0416255316324</v>
      </c>
      <c r="G7935" s="6" t="n">
        <f aca="false">Sens!G7950</f>
        <v>26.3030618275606</v>
      </c>
      <c r="H7935" s="6" t="n">
        <f aca="false">Sens!H7950</f>
        <v>43.0376890729541</v>
      </c>
      <c r="I7935" s="6" t="n">
        <f aca="false">Sens!I7950</f>
        <v>58.2530626984242</v>
      </c>
      <c r="J7935" s="6" t="n">
        <f aca="false">Sens!J7950</f>
        <v>68.8939413834525</v>
      </c>
      <c r="K7935" s="6" t="n">
        <f aca="false">Sens!K7950</f>
        <v>74.6338970227465</v>
      </c>
      <c r="L7935" s="1" t="s">
        <v>1068</v>
      </c>
    </row>
    <row r="7936" customFormat="false" ht="17.15" hidden="false" customHeight="false" outlineLevel="0" collapsed="false">
      <c r="A7936" s="1" t="s">
        <v>1069</v>
      </c>
      <c r="B7936" s="0" t="s">
        <v>98</v>
      </c>
      <c r="D7936" s="6" t="n">
        <f aca="false">Sens!D7932</f>
        <v>128.528</v>
      </c>
      <c r="E7936" s="6" t="n">
        <f aca="false">Sens!E7932</f>
        <v>155.237</v>
      </c>
      <c r="F7936" s="6" t="n">
        <f aca="false">Sens!F7932+Sens!F7935</f>
        <v>194.769379987979</v>
      </c>
      <c r="G7936" s="6" t="n">
        <f aca="false">Sens!G7932+Sens!G7935</f>
        <v>234.401325154386</v>
      </c>
      <c r="H7936" s="6" t="n">
        <f aca="false">Sens!H7932+Sens!H7935</f>
        <v>284.734720885979</v>
      </c>
      <c r="I7936" s="6" t="n">
        <f aca="false">Sens!I7932+Sens!I7935</f>
        <v>325.634555570613</v>
      </c>
      <c r="J7936" s="6" t="n">
        <f aca="false">Sens!J7932+Sens!J7935</f>
        <v>358.802183393626</v>
      </c>
      <c r="K7936" s="6" t="n">
        <f aca="false">Sens!K7932+Sens!K7935</f>
        <v>384.877204777676</v>
      </c>
    </row>
    <row r="7937" customFormat="false" ht="17.15" hidden="false" customHeight="false" outlineLevel="0" collapsed="false">
      <c r="A7937" s="1" t="s">
        <v>1070</v>
      </c>
      <c r="B7937" s="0" t="s">
        <v>98</v>
      </c>
      <c r="E7937" s="6" t="n">
        <f aca="false">Sens!E7880</f>
        <v>16.3054059770833</v>
      </c>
      <c r="F7937" s="6" t="n">
        <f aca="false">Sens!F7880</f>
        <v>34.5793144783516</v>
      </c>
      <c r="G7937" s="6" t="n">
        <f aca="false">Sens!G7880</f>
        <v>60.7344906522989</v>
      </c>
      <c r="H7937" s="6" t="n">
        <f aca="false">Sens!H7880</f>
        <v>89.1000906614457</v>
      </c>
      <c r="I7937" s="6" t="n">
        <f aca="false">Sens!I7880</f>
        <v>114.231009694548</v>
      </c>
      <c r="J7937" s="6" t="n">
        <f aca="false">Sens!J7880</f>
        <v>132.015673049596</v>
      </c>
      <c r="K7937" s="6" t="n">
        <f aca="false">Sens!K7880</f>
        <v>143.012669550934</v>
      </c>
    </row>
    <row r="7938" customFormat="false" ht="17.15" hidden="false" customHeight="false" outlineLevel="0" collapsed="false">
      <c r="A7938" s="1" t="s">
        <v>1071</v>
      </c>
      <c r="B7938" s="0" t="s">
        <v>98</v>
      </c>
      <c r="E7938" s="6" t="n">
        <f aca="false">Sens!E7962</f>
        <v>22.2285940229167</v>
      </c>
      <c r="F7938" s="6" t="n">
        <f aca="false">Sens!F7962</f>
        <v>23.580344216413</v>
      </c>
      <c r="G7938" s="6" t="n">
        <f aca="false">Sens!G7962</f>
        <v>25.3270863507133</v>
      </c>
      <c r="H7938" s="6" t="n">
        <f aca="false">Sens!H7962</f>
        <v>27.4714809940436</v>
      </c>
      <c r="I7938" s="6" t="n">
        <f aca="false">Sens!I7962</f>
        <v>29.9453298378589</v>
      </c>
      <c r="J7938" s="6" t="n">
        <f aca="false">Sens!J7962</f>
        <v>32.6638953675919</v>
      </c>
      <c r="K7938" s="6" t="n">
        <f aca="false">Sens!K7962</f>
        <v>35.5429806660195</v>
      </c>
    </row>
    <row r="7939" customFormat="false" ht="17.15" hidden="false" customHeight="false" outlineLevel="0" collapsed="false">
      <c r="A7939" s="1" t="s">
        <v>1072</v>
      </c>
      <c r="B7939" s="0" t="s">
        <v>98</v>
      </c>
      <c r="D7939" s="6" t="n">
        <f aca="false">Q!L27</f>
        <v>-4.901</v>
      </c>
      <c r="E7939" s="6" t="n">
        <f aca="false">Q!M27</f>
        <v>10.697</v>
      </c>
      <c r="F7939" s="6" t="n">
        <f aca="false">Q!$I$27+oie_f*(q_per_yr-1)/q_per_yr</f>
        <v>-0.862</v>
      </c>
      <c r="G7939" s="6" t="n">
        <f aca="false">oie_f</f>
        <v>-1.2</v>
      </c>
      <c r="H7939" s="6" t="n">
        <f aca="false">oie_f</f>
        <v>-1.2</v>
      </c>
      <c r="I7939" s="6" t="n">
        <f aca="false">oie_f</f>
        <v>-1.2</v>
      </c>
      <c r="J7939" s="6" t="n">
        <f aca="false">oie_f</f>
        <v>-1.2</v>
      </c>
      <c r="K7939" s="6" t="n">
        <f aca="false">oie_f</f>
        <v>-1.2</v>
      </c>
      <c r="L7939" s="12" t="s">
        <v>1073</v>
      </c>
    </row>
    <row r="7940" customFormat="false" ht="15" hidden="false" customHeight="false" outlineLevel="0" collapsed="false">
      <c r="A7940" s="1" t="s">
        <v>1074</v>
      </c>
      <c r="B7940" s="0" t="s">
        <v>98</v>
      </c>
      <c r="D7940" s="6" t="n">
        <f aca="false">Sens!D7932+Sens!D7939</f>
        <v>123.627</v>
      </c>
      <c r="E7940" s="6" t="n">
        <f aca="false">Sens!E7932+Sens!E7939</f>
        <v>165.934</v>
      </c>
      <c r="F7940" s="6" t="n">
        <f aca="false">Sens!F7932+Sens!F7939</f>
        <v>182.865754456346</v>
      </c>
      <c r="G7940" s="6" t="n">
        <f aca="false">Sens!G7932+Sens!G7939</f>
        <v>206.898263326825</v>
      </c>
      <c r="H7940" s="6" t="n">
        <f aca="false">Sens!H7932+Sens!H7939</f>
        <v>240.497031813024</v>
      </c>
      <c r="I7940" s="6" t="n">
        <f aca="false">Sens!I7932+Sens!I7939</f>
        <v>266.181492872189</v>
      </c>
      <c r="J7940" s="6" t="n">
        <f aca="false">Sens!J7932+Sens!J7939</f>
        <v>288.708242010174</v>
      </c>
      <c r="K7940" s="6" t="n">
        <f aca="false">Sens!K7932+Sens!K7939</f>
        <v>309.04330775493</v>
      </c>
    </row>
    <row r="7941" customFormat="false" ht="15" hidden="false" customHeight="false" outlineLevel="0" collapsed="false">
      <c r="A7941" s="1" t="s">
        <v>1075</v>
      </c>
      <c r="B7941" s="0" t="s">
        <v>98</v>
      </c>
      <c r="D7941" s="6" t="n">
        <f aca="false">Q!L29</f>
        <v>21.795</v>
      </c>
      <c r="E7941" s="6" t="n">
        <f aca="false">Q!M29</f>
        <v>32.185</v>
      </c>
      <c r="F7941" s="6" t="n">
        <f aca="false">Q!$I$29+(Sens!F7940-Q!$I$28)*tax_f</f>
        <v>36.7065508912692</v>
      </c>
      <c r="G7941" s="6" t="n">
        <f aca="false">Sens!G7940*tax_f</f>
        <v>41.3796526653651</v>
      </c>
      <c r="H7941" s="6" t="n">
        <f aca="false">Sens!H7940*tax_f</f>
        <v>48.0994063626049</v>
      </c>
      <c r="I7941" s="6" t="n">
        <f aca="false">Sens!I7940*tax_f</f>
        <v>53.2362985744378</v>
      </c>
      <c r="J7941" s="6" t="n">
        <f aca="false">Sens!J7940*tax_f</f>
        <v>57.7416484020348</v>
      </c>
      <c r="K7941" s="6" t="n">
        <f aca="false">Sens!K7940*tax_f</f>
        <v>61.8086615509859</v>
      </c>
    </row>
    <row r="7942" customFormat="false" ht="15" hidden="false" customHeight="false" outlineLevel="0" collapsed="false">
      <c r="A7942" s="1" t="s">
        <v>1076</v>
      </c>
      <c r="B7942" s="0" t="s">
        <v>98</v>
      </c>
      <c r="D7942" s="6" t="n">
        <f aca="false">Sens!D7940-Sens!D7941</f>
        <v>101.832</v>
      </c>
      <c r="E7942" s="6" t="n">
        <f aca="false">Sens!E7940-Sens!E7941</f>
        <v>133.749</v>
      </c>
      <c r="F7942" s="6" t="n">
        <f aca="false">Sens!F7940-Sens!F7941</f>
        <v>146.159203565077</v>
      </c>
      <c r="G7942" s="6" t="n">
        <f aca="false">Sens!G7940-Sens!G7941</f>
        <v>165.51861066146</v>
      </c>
      <c r="H7942" s="6" t="n">
        <f aca="false">Sens!H7940-Sens!H7941</f>
        <v>192.39762545042</v>
      </c>
      <c r="I7942" s="6" t="n">
        <f aca="false">Sens!I7940-Sens!I7941</f>
        <v>212.945194297751</v>
      </c>
      <c r="J7942" s="6" t="n">
        <f aca="false">Sens!J7940-Sens!J7941</f>
        <v>230.966593608139</v>
      </c>
      <c r="K7942" s="6" t="n">
        <f aca="false">Sens!K7940-Sens!K7941</f>
        <v>247.234646203944</v>
      </c>
    </row>
    <row r="7943" customFormat="false" ht="17.15" hidden="false" customHeight="false" outlineLevel="0" collapsed="false">
      <c r="A7943" s="1" t="s">
        <v>1077</v>
      </c>
      <c r="B7943" s="1" t="s">
        <v>81</v>
      </c>
      <c r="D7943" s="15" t="n">
        <f aca="false">Q!L31</f>
        <v>7.465</v>
      </c>
      <c r="E7943" s="15" t="n">
        <f aca="false">Q!M31</f>
        <v>7.453</v>
      </c>
      <c r="F7943" s="15" t="n">
        <f aca="false">Sens!F7987</f>
        <v>7.47189647275074</v>
      </c>
      <c r="G7943" s="15" t="n">
        <f aca="false">Sens!G7987</f>
        <v>7.514256301793</v>
      </c>
      <c r="H7943" s="15" t="n">
        <f aca="false">Sens!H7987</f>
        <v>7.54091959711333</v>
      </c>
      <c r="I7943" s="15" t="n">
        <f aca="false">Sens!I7987</f>
        <v>7.55260096116879</v>
      </c>
      <c r="J7943" s="15" t="n">
        <f aca="false">Sens!J7987</f>
        <v>7.56675037233127</v>
      </c>
      <c r="K7943" s="15" t="n">
        <f aca="false">Sens!K7987</f>
        <v>7.58318501229652</v>
      </c>
    </row>
    <row r="7944" customFormat="false" ht="17.15" hidden="false" customHeight="false" outlineLevel="0" collapsed="false">
      <c r="A7944" s="0" t="s">
        <v>1078</v>
      </c>
      <c r="B7944" s="0" t="s">
        <v>75</v>
      </c>
      <c r="D7944" s="8" t="n">
        <f aca="false">Sens!D7942/Sens!D7943</f>
        <v>13.641259209645</v>
      </c>
      <c r="E7944" s="8" t="n">
        <f aca="false">Sens!E7942/Sens!E7943</f>
        <v>17.9456594659869</v>
      </c>
      <c r="F7944" s="8" t="n">
        <f aca="false">Sens!F7942/Sens!F7943</f>
        <v>19.5611922753621</v>
      </c>
      <c r="G7944" s="8" t="n">
        <f aca="false">Sens!G7942/Sens!G7943</f>
        <v>22.0272777522861</v>
      </c>
      <c r="H7944" s="8" t="n">
        <f aca="false">Sens!H7942/Sens!H7943</f>
        <v>25.5138147241445</v>
      </c>
      <c r="I7944" s="8" t="n">
        <f aca="false">Sens!I7942/Sens!I7943</f>
        <v>28.1949483883228</v>
      </c>
      <c r="J7944" s="8" t="n">
        <f aca="false">Sens!J7942/Sens!J7943</f>
        <v>30.5238817514975</v>
      </c>
      <c r="K7944" s="8" t="n">
        <f aca="false">Sens!K7942/Sens!K7943</f>
        <v>32.6030086043055</v>
      </c>
      <c r="L7944" s="1" t="s">
        <v>1079</v>
      </c>
    </row>
    <row r="7945" customFormat="false" ht="17.15" hidden="false" customHeight="false" outlineLevel="0" collapsed="false">
      <c r="A7945" s="1" t="s">
        <v>1080</v>
      </c>
      <c r="B7945" s="0" t="s">
        <v>98</v>
      </c>
      <c r="D7945" s="6" t="n">
        <f aca="false">Sens!D7942</f>
        <v>101.832</v>
      </c>
      <c r="E7945" s="6" t="n">
        <f aca="false">Sens!E7942</f>
        <v>133.749</v>
      </c>
      <c r="F7945" s="6" t="n">
        <f aca="false">Sens!F7942+Sens!F7935*(1-tax_f)</f>
        <v>154.992503990383</v>
      </c>
      <c r="G7945" s="6" t="n">
        <f aca="false">Sens!G7942+Sens!G7935*(1-tax_f)</f>
        <v>186.561060123509</v>
      </c>
      <c r="H7945" s="6" t="n">
        <f aca="false">Sens!H7942+Sens!H7935*(1-tax_f)</f>
        <v>226.827776708783</v>
      </c>
      <c r="I7945" s="6" t="n">
        <f aca="false">Sens!I7942+Sens!I7935*(1-tax_f)</f>
        <v>259.547644456491</v>
      </c>
      <c r="J7945" s="6" t="n">
        <f aca="false">Sens!J7942+Sens!J7935*(1-tax_f)</f>
        <v>286.081746714901</v>
      </c>
      <c r="K7945" s="6" t="n">
        <f aca="false">Sens!K7942+Sens!K7935*(1-tax_f)</f>
        <v>306.941763822141</v>
      </c>
    </row>
    <row r="7946" customFormat="false" ht="17.15" hidden="false" customHeight="false" outlineLevel="0" collapsed="false">
      <c r="A7946" s="0" t="s">
        <v>1081</v>
      </c>
      <c r="B7946" s="0" t="s">
        <v>75</v>
      </c>
      <c r="D7946" s="8" t="n">
        <f aca="false">Sens!D7945/Sens!D7943</f>
        <v>13.641259209645</v>
      </c>
      <c r="E7946" s="8" t="n">
        <f aca="false">Sens!E7945/Sens!E7943</f>
        <v>17.9456594659869</v>
      </c>
      <c r="F7946" s="8" t="n">
        <f aca="false">Sens!F7945/Sens!F7943</f>
        <v>20.7433955429689</v>
      </c>
      <c r="G7946" s="8" t="n">
        <f aca="false">Sens!G7945/Sens!G7943</f>
        <v>24.8276146874299</v>
      </c>
      <c r="H7946" s="8" t="n">
        <f aca="false">Sens!H7945/Sens!H7943</f>
        <v>30.0795909288852</v>
      </c>
      <c r="I7946" s="8" t="n">
        <f aca="false">Sens!I7945/Sens!I7943</f>
        <v>34.365332657046</v>
      </c>
      <c r="J7946" s="8" t="n">
        <f aca="false">Sens!J7945/Sens!J7943</f>
        <v>37.8077421135754</v>
      </c>
      <c r="K7946" s="8" t="n">
        <f aca="false">Sens!K7945/Sens!K7943</f>
        <v>40.47662866255</v>
      </c>
      <c r="L7946" s="1" t="s">
        <v>1082</v>
      </c>
    </row>
    <row r="7947" customFormat="false" ht="17.15" hidden="false" customHeight="false" outlineLevel="0" collapsed="false">
      <c r="A7947" s="0" t="s">
        <v>1083</v>
      </c>
      <c r="B7947" s="0" t="s">
        <v>168</v>
      </c>
      <c r="E7947" s="7" t="n">
        <f aca="false">Sens!E7946/Sens!D7946-1</f>
        <v>0.315542736208578</v>
      </c>
      <c r="F7947" s="7" t="n">
        <f aca="false">Sens!F7946/Sens!E7946-1</f>
        <v>0.155900432763963</v>
      </c>
      <c r="G7947" s="7" t="n">
        <f aca="false">Sens!G7946/Sens!F7946-1</f>
        <v>0.196892506629436</v>
      </c>
      <c r="H7947" s="7" t="n">
        <f aca="false">Sens!H7946/Sens!G7946-1</f>
        <v>0.211537689285727</v>
      </c>
      <c r="I7947" s="7" t="n">
        <f aca="false">Sens!I7946/Sens!H7946-1</f>
        <v>0.142480053611538</v>
      </c>
      <c r="J7947" s="7" t="n">
        <f aca="false">Sens!J7946/Sens!I7946-1</f>
        <v>0.100170991821424</v>
      </c>
      <c r="K7947" s="7" t="n">
        <f aca="false">Sens!K7946/Sens!J7946-1</f>
        <v>0.0705910059626733</v>
      </c>
    </row>
    <row r="7948" customFormat="false" ht="17.15" hidden="false" customHeight="false" outlineLevel="0" collapsed="false">
      <c r="A7948" s="0" t="s">
        <v>1003</v>
      </c>
      <c r="B7948" s="0" t="s">
        <v>98</v>
      </c>
      <c r="E7948" s="6" t="n">
        <f aca="false">Sens!E7889</f>
        <v>5.25</v>
      </c>
      <c r="F7948" s="6" t="n">
        <f aca="false">Sens!F7889</f>
        <v>9.72</v>
      </c>
      <c r="G7948" s="6" t="n">
        <f aca="false">Sens!G7889</f>
        <v>16.2</v>
      </c>
      <c r="H7948" s="6" t="n">
        <f aca="false">Sens!H7889</f>
        <v>22.68</v>
      </c>
      <c r="I7948" s="6" t="n">
        <f aca="false">Sens!I7889</f>
        <v>27.54</v>
      </c>
      <c r="J7948" s="6" t="n">
        <f aca="false">Sens!J7889</f>
        <v>30.78</v>
      </c>
      <c r="K7948" s="6" t="n">
        <f aca="false">Sens!K7889</f>
        <v>34.02</v>
      </c>
    </row>
    <row r="7949" customFormat="false" ht="17.15" hidden="false" customHeight="false" outlineLevel="0" collapsed="false">
      <c r="A7949" s="1" t="s">
        <v>1004</v>
      </c>
      <c r="B7949" s="0" t="s">
        <v>98</v>
      </c>
      <c r="F7949" s="6" t="n">
        <f aca="false">MAX(0,((Sens!E7849+Sens!F7849)/2-(shadow_base*(Sens!$D$7849+Sens!$E$7849)/2+(1-shadow_base)*Sens!$E$7849))*Sens!F7858/1000-(Sens!F7948-Sens!$E$7948)*Sens!F7928)</f>
        <v>11.0416255316324</v>
      </c>
      <c r="G7949" s="6" t="n">
        <f aca="false">MAX(0,((Sens!F7849+Sens!G7849)/2-(shadow_base*(Sens!$D$7849+Sens!$E$7849)/2+(1-shadow_base)*Sens!$E$7849))*Sens!G7858/1000-(Sens!G7948-Sens!$E$7948)*Sens!G7928)</f>
        <v>26.3030618275606</v>
      </c>
      <c r="H7949" s="6" t="n">
        <f aca="false">MAX(0,((Sens!G7849+Sens!H7849)/2-(shadow_base*(Sens!$D$7849+Sens!$E$7849)/2+(1-shadow_base)*Sens!$E$7849))*Sens!H7858/1000-(Sens!H7948-Sens!$E$7948)*Sens!H7928)</f>
        <v>43.0376890729541</v>
      </c>
      <c r="I7949" s="6" t="n">
        <f aca="false">MAX(0,((Sens!H7849+Sens!I7849)/2-(shadow_base*(Sens!$D$7849+Sens!$E$7849)/2+(1-shadow_base)*Sens!$E$7849))*Sens!I7858/1000-(Sens!I7948-Sens!$E$7948)*Sens!I7928)</f>
        <v>58.2530626984242</v>
      </c>
      <c r="J7949" s="6" t="n">
        <f aca="false">MAX(0,((Sens!I7849+Sens!J7849)/2-(shadow_base*(Sens!$D$7849+Sens!$E$7849)/2+(1-shadow_base)*Sens!$E$7849))*Sens!J7858/1000-(Sens!J7948-Sens!$E$7948)*Sens!J7928)</f>
        <v>68.8939413834525</v>
      </c>
      <c r="K7949" s="6" t="n">
        <f aca="false">MAX(0,((Sens!J7849+Sens!K7849)/2-(shadow_base*(Sens!$D$7849+Sens!$E$7849)/2+(1-shadow_base)*Sens!$E$7849))*Sens!K7858/1000-(Sens!K7948-Sens!$E$7948)*Sens!K7928)</f>
        <v>74.6338970227465</v>
      </c>
      <c r="L7949" s="1" t="s">
        <v>1005</v>
      </c>
    </row>
    <row r="7950" customFormat="false" ht="17.15" hidden="false" customHeight="false" outlineLevel="0" collapsed="false">
      <c r="A7950" s="1" t="s">
        <v>1006</v>
      </c>
      <c r="B7950" s="0" t="s">
        <v>98</v>
      </c>
      <c r="F7950" s="6" t="n">
        <f aca="false">IF(internal_ai_reading=2,1,0)*Sens!F7949</f>
        <v>11.0416255316324</v>
      </c>
      <c r="G7950" s="6" t="n">
        <f aca="false">IF(internal_ai_reading=2,1,0)*Sens!G7949</f>
        <v>26.3030618275606</v>
      </c>
      <c r="H7950" s="6" t="n">
        <f aca="false">IF(internal_ai_reading=2,1,0)*Sens!H7949</f>
        <v>43.0376890729541</v>
      </c>
      <c r="I7950" s="6" t="n">
        <f aca="false">IF(internal_ai_reading=2,1,0)*Sens!I7949</f>
        <v>58.2530626984242</v>
      </c>
      <c r="J7950" s="6" t="n">
        <f aca="false">IF(internal_ai_reading=2,1,0)*Sens!J7949</f>
        <v>68.8939413834525</v>
      </c>
      <c r="K7950" s="6" t="n">
        <f aca="false">IF(internal_ai_reading=2,1,0)*Sens!K7949</f>
        <v>74.6338970227465</v>
      </c>
    </row>
    <row r="7951" customFormat="false" ht="17.15" hidden="false" customHeight="false" outlineLevel="0" collapsed="false">
      <c r="A7951" s="0" t="s">
        <v>1007</v>
      </c>
      <c r="B7951" s="0" t="s">
        <v>98</v>
      </c>
      <c r="F7951" s="6" t="n">
        <f aca="false">Sens!F7868+Sens!F7948*Sens!F7928+Sens!F7950-Sens!F7869-Sens!F7880</f>
        <v>18.5068678152817</v>
      </c>
      <c r="G7951" s="6" t="n">
        <f aca="false">Sens!G7868+Sens!G7948*Sens!G7928+Sens!G7950-Sens!G7869-Sens!G7880</f>
        <v>43.1983864982792</v>
      </c>
      <c r="H7951" s="6" t="n">
        <f aca="false">Sens!H7868+Sens!H7948*Sens!H7928+Sens!H7950-Sens!H7869-Sens!H7880</f>
        <v>73.502598356074</v>
      </c>
      <c r="I7951" s="6" t="n">
        <f aca="false">Sens!I7868+Sens!I7948*Sens!I7928+Sens!I7950-Sens!I7869-Sens!I7880</f>
        <v>94.7454135378504</v>
      </c>
      <c r="J7951" s="6" t="n">
        <f aca="false">Sens!J7868+Sens!J7948*Sens!J7928+Sens!J7950-Sens!J7869-Sens!J7880</f>
        <v>109.399608126358</v>
      </c>
      <c r="K7951" s="6" t="n">
        <f aca="false">Sens!K7868+Sens!K7948*Sens!K7928+Sens!K7950-Sens!K7869-Sens!K7880</f>
        <v>118.898703181943</v>
      </c>
    </row>
    <row r="7952" customFormat="false" ht="17.15" hidden="false" customHeight="false" outlineLevel="0" collapsed="false">
      <c r="A7952" s="0" t="s">
        <v>1008</v>
      </c>
      <c r="B7952" s="0" t="s">
        <v>98</v>
      </c>
      <c r="E7952" s="6" t="n">
        <f aca="false">Sens!E7848*(cxit_open+self_build*tk_cxfac)/1000*ai_net_open</f>
        <v>126.6980382</v>
      </c>
      <c r="F7952" s="6" t="n">
        <f aca="false">Sens!E7952+Sens!F7877-Sens!F7880</f>
        <v>260.572627763768</v>
      </c>
      <c r="G7952" s="6" t="n">
        <f aca="false">Sens!F7952+Sens!G7877-Sens!G7880</f>
        <v>391.782612760517</v>
      </c>
      <c r="H7952" s="6" t="n">
        <f aca="false">Sens!G7952+Sens!H7877-Sens!H7880</f>
        <v>499.488526163584</v>
      </c>
      <c r="I7952" s="6" t="n">
        <f aca="false">Sens!H7952+Sens!I7877-Sens!I7880</f>
        <v>553.872350090646</v>
      </c>
      <c r="J7952" s="6" t="n">
        <f aca="false">Sens!I7952+Sens!J7877-Sens!J7880</f>
        <v>550.78660823699</v>
      </c>
      <c r="K7952" s="6" t="n">
        <f aca="false">Sens!J7952+Sens!K7877-Sens!K7880</f>
        <v>526.736791750789</v>
      </c>
      <c r="L7952" s="1" t="s">
        <v>1009</v>
      </c>
    </row>
    <row r="7953" customFormat="false" ht="17.15" hidden="false" customHeight="false" outlineLevel="0" collapsed="false">
      <c r="A7953" s="0" t="s">
        <v>1010</v>
      </c>
      <c r="B7953" s="0" t="s">
        <v>168</v>
      </c>
      <c r="F7953" s="7" t="n">
        <f aca="false">Sens!F7951*(1-tax_f)/((Sens!E7952+Sens!F7952)/2)</f>
        <v>0.0764607059271074</v>
      </c>
      <c r="G7953" s="7" t="n">
        <f aca="false">Sens!G7951*(1-tax_f)/((Sens!F7952+Sens!G7952)/2)</f>
        <v>0.105950583522098</v>
      </c>
      <c r="H7953" s="7" t="n">
        <f aca="false">Sens!H7951*(1-tax_f)/((Sens!G7952+Sens!H7952)/2)</f>
        <v>0.131951044114011</v>
      </c>
      <c r="I7953" s="7" t="n">
        <f aca="false">Sens!I7951*(1-tax_f)/((Sens!H7952+Sens!I7952)/2)</f>
        <v>0.143913320760143</v>
      </c>
      <c r="J7953" s="7" t="n">
        <f aca="false">Sens!J7951*(1-tax_f)/((Sens!I7952+Sens!J7952)/2)</f>
        <v>0.158455577336889</v>
      </c>
      <c r="K7953" s="7" t="n">
        <f aca="false">Sens!K7951*(1-tax_f)/((Sens!J7952+Sens!K7952)/2)</f>
        <v>0.176551084731214</v>
      </c>
    </row>
    <row r="7954" customFormat="false" ht="17.15" hidden="false" customHeight="false" outlineLevel="0" collapsed="false">
      <c r="A7954" s="1" t="s">
        <v>1011</v>
      </c>
      <c r="B7954" s="0" t="s">
        <v>168</v>
      </c>
      <c r="F7954" s="7" t="n">
        <f aca="false">(Sens!F7951-Sens!F7950)*(1-tax_f)/((Sens!E7952+Sens!F7952)/2)</f>
        <v>0.0308424797011513</v>
      </c>
      <c r="G7954" s="7" t="n">
        <f aca="false">(Sens!G7951-Sens!G7950)*(1-tax_f)/((Sens!F7952+Sens!G7952)/2)</f>
        <v>0.0414383418632833</v>
      </c>
      <c r="H7954" s="7" t="n">
        <f aca="false">(Sens!H7951-Sens!H7950)*(1-tax_f)/((Sens!G7952+Sens!H7952)/2)</f>
        <v>0.0546902650879429</v>
      </c>
      <c r="I7954" s="7" t="n">
        <f aca="false">(Sens!I7951-Sens!I7950)*(1-tax_f)/((Sens!H7952+Sens!I7952)/2)</f>
        <v>0.0554299695947601</v>
      </c>
      <c r="J7954" s="7" t="n">
        <f aca="false">(Sens!J7951-Sens!J7950)*(1-tax_f)/((Sens!I7952+Sens!J7952)/2)</f>
        <v>0.0586688464345269</v>
      </c>
      <c r="K7954" s="7" t="n">
        <f aca="false">(Sens!K7951-Sens!K7950)*(1-tax_f)/((Sens!J7952+Sens!K7952)/2)</f>
        <v>0.0657282151417938</v>
      </c>
    </row>
    <row r="7955" customFormat="false" ht="17.15" hidden="false" customHeight="false" outlineLevel="0" collapsed="false">
      <c r="A7955" s="1" t="s">
        <v>1012</v>
      </c>
      <c r="B7955" s="0" t="s">
        <v>168</v>
      </c>
      <c r="F7955" s="7" t="n">
        <f aca="false">(Sens!F7951-Sens!F7950+Sens!F7949)*(1-tax_f)/((Sens!E7952+Sens!F7952)/2)</f>
        <v>0.0764607059271074</v>
      </c>
      <c r="G7955" s="7" t="n">
        <f aca="false">(Sens!G7951-Sens!G7950+Sens!G7949)*(1-tax_f)/((Sens!F7952+Sens!G7952)/2)</f>
        <v>0.105950583522098</v>
      </c>
      <c r="H7955" s="7" t="n">
        <f aca="false">(Sens!H7951-Sens!H7950+Sens!H7949)*(1-tax_f)/((Sens!G7952+Sens!H7952)/2)</f>
        <v>0.131951044114011</v>
      </c>
      <c r="I7955" s="7" t="n">
        <f aca="false">(Sens!I7951-Sens!I7950+Sens!I7949)*(1-tax_f)/((Sens!H7952+Sens!I7952)/2)</f>
        <v>0.143913320760143</v>
      </c>
      <c r="J7955" s="7" t="n">
        <f aca="false">(Sens!J7951-Sens!J7950+Sens!J7949)*(1-tax_f)/((Sens!I7952+Sens!J7952)/2)</f>
        <v>0.158455577336889</v>
      </c>
      <c r="K7955" s="7" t="n">
        <f aca="false">(Sens!K7951-Sens!K7950+Sens!K7949)*(1-tax_f)/((Sens!J7952+Sens!K7952)/2)</f>
        <v>0.176551084731214</v>
      </c>
    </row>
    <row r="7956" customFormat="false" ht="17.15" hidden="false" customHeight="false" outlineLevel="0" collapsed="false">
      <c r="A7956" s="1" t="s">
        <v>1013</v>
      </c>
      <c r="B7956" s="0" t="s">
        <v>168</v>
      </c>
      <c r="F7956" s="7" t="n">
        <f aca="false">Sens!F7881*(1-tax_f)/(Sens!F7867*(Sens!E7952+Sens!F7952)/2)</f>
        <v>0.15471433083293</v>
      </c>
      <c r="G7956" s="7" t="n">
        <f aca="false">Sens!G7881*(1-tax_f)/(Sens!G7867*(Sens!F7952+Sens!G7952)/2)</f>
        <v>0.176916911437355</v>
      </c>
      <c r="H7956" s="7" t="n">
        <f aca="false">Sens!H7881*(1-tax_f)/(Sens!H7867*(Sens!G7952+Sens!H7952)/2)</f>
        <v>0.207487057996582</v>
      </c>
      <c r="I7956" s="7" t="n">
        <f aca="false">Sens!I7881*(1-tax_f)/(Sens!I7867*(Sens!H7952+Sens!I7952)/2)</f>
        <v>0.219873660070946</v>
      </c>
      <c r="J7956" s="7" t="n">
        <f aca="false">Sens!J7881*(1-tax_f)/(Sens!J7867*(Sens!I7952+Sens!J7952)/2)</f>
        <v>0.238959457974928</v>
      </c>
      <c r="K7956" s="7" t="n">
        <f aca="false">Sens!K7881*(1-tax_f)/(Sens!K7867*(Sens!J7952+Sens!K7952)/2)</f>
        <v>0.264604270651536</v>
      </c>
    </row>
    <row r="7957" customFormat="false" ht="17.15" hidden="false" customHeight="false" outlineLevel="0" collapsed="false">
      <c r="A7957" s="0" t="s">
        <v>1014</v>
      </c>
      <c r="B7957" s="0" t="s">
        <v>253</v>
      </c>
      <c r="F7957" s="7" t="n">
        <f aca="false">Sens!F7953-wacc</f>
        <v>-0.0264758850184899</v>
      </c>
      <c r="G7957" s="7" t="n">
        <f aca="false">Sens!G7953-wacc</f>
        <v>0.00301399257650095</v>
      </c>
      <c r="H7957" s="7" t="n">
        <f aca="false">Sens!H7953-wacc</f>
        <v>0.0290144531684132</v>
      </c>
      <c r="I7957" s="7" t="n">
        <f aca="false">Sens!I7953-wacc</f>
        <v>0.040976729814546</v>
      </c>
      <c r="J7957" s="7" t="n">
        <f aca="false">Sens!J7953-wacc</f>
        <v>0.0555189863912922</v>
      </c>
      <c r="K7957" s="7" t="n">
        <f aca="false">Sens!K7953-wacc</f>
        <v>0.0736144937856168</v>
      </c>
    </row>
    <row r="7958" customFormat="false" ht="17.15" hidden="false" customHeight="false" outlineLevel="0" collapsed="false">
      <c r="A7958" s="0" t="s">
        <v>1015</v>
      </c>
      <c r="B7958" s="0" t="s">
        <v>98</v>
      </c>
      <c r="F7958" s="6" t="n">
        <f aca="false">Sens!F7951*(1-tax_f)-wacc*(Sens!E7952+Sens!F7952)/2</f>
        <v>-5.12666681154535</v>
      </c>
      <c r="G7958" s="6" t="n">
        <f aca="false">Sens!G7951*(1-tax_f)-wacc*(Sens!F7952+Sens!G7952)/2</f>
        <v>0.983096926090845</v>
      </c>
      <c r="H7958" s="6" t="n">
        <f aca="false">Sens!H7951*(1-tax_f)-wacc*(Sens!G7952+Sens!H7952)/2</f>
        <v>12.9298723603358</v>
      </c>
      <c r="I7958" s="6" t="n">
        <f aca="false">Sens!I7951*(1-tax_f)-wacc*(Sens!H7952+Sens!I7952)/2</f>
        <v>21.5816420117415</v>
      </c>
      <c r="J7958" s="6" t="n">
        <f aca="false">Sens!J7951*(1-tax_f)-wacc*(Sens!I7952+Sens!J7952)/2</f>
        <v>30.6647728372055</v>
      </c>
      <c r="K7958" s="6" t="n">
        <f aca="false">Sens!K7951*(1-tax_f)-wacc*(Sens!J7952+Sens!K7952)/2</f>
        <v>39.6606698161285</v>
      </c>
    </row>
    <row r="7959" customFormat="false" ht="17.15" hidden="false" customHeight="false" outlineLevel="0" collapsed="false">
      <c r="A7959" s="3" t="s">
        <v>1678</v>
      </c>
    </row>
    <row r="7960" customFormat="false" ht="15" hidden="false" customHeight="false" outlineLevel="0" collapsed="false">
      <c r="A7960" s="4" t="s">
        <v>43</v>
      </c>
      <c r="B7960" s="4" t="s">
        <v>65</v>
      </c>
      <c r="C7960" s="23" t="s">
        <v>938</v>
      </c>
      <c r="D7960" s="23" t="s">
        <v>939</v>
      </c>
      <c r="E7960" s="23" t="s">
        <v>940</v>
      </c>
      <c r="F7960" s="23" t="s">
        <v>941</v>
      </c>
      <c r="G7960" s="23" t="s">
        <v>942</v>
      </c>
      <c r="H7960" s="23" t="s">
        <v>943</v>
      </c>
      <c r="I7960" s="23" t="s">
        <v>944</v>
      </c>
      <c r="J7960" s="23" t="s">
        <v>945</v>
      </c>
      <c r="K7960" s="23" t="s">
        <v>946</v>
      </c>
      <c r="L7960" s="4" t="s">
        <v>47</v>
      </c>
    </row>
    <row r="7961" customFormat="false" ht="15" hidden="false" customHeight="false" outlineLevel="0" collapsed="false">
      <c r="A7961" s="1" t="s">
        <v>1076</v>
      </c>
      <c r="B7961" s="0" t="s">
        <v>98</v>
      </c>
      <c r="F7961" s="6" t="n">
        <f aca="false">Sens!F7942</f>
        <v>146.159203565077</v>
      </c>
      <c r="G7961" s="6" t="n">
        <f aca="false">Sens!G7942</f>
        <v>165.51861066146</v>
      </c>
      <c r="H7961" s="6" t="n">
        <f aca="false">Sens!H7942</f>
        <v>192.39762545042</v>
      </c>
      <c r="I7961" s="6" t="n">
        <f aca="false">Sens!I7942</f>
        <v>212.945194297751</v>
      </c>
      <c r="J7961" s="6" t="n">
        <f aca="false">Sens!J7942</f>
        <v>230.966593608139</v>
      </c>
      <c r="K7961" s="6" t="n">
        <f aca="false">Sens!K7942</f>
        <v>247.234646203944</v>
      </c>
    </row>
    <row r="7962" customFormat="false" ht="17.15" hidden="false" customHeight="false" outlineLevel="0" collapsed="false">
      <c r="A7962" s="1" t="s">
        <v>1098</v>
      </c>
      <c r="B7962" s="0" t="s">
        <v>98</v>
      </c>
      <c r="E7962" s="6" t="n">
        <f aca="false">Q!M38-Sens!E7880</f>
        <v>22.2285940229167</v>
      </c>
      <c r="F7962" s="6" t="n">
        <f aca="false">Sens!E7962*(1-1/life_nonai)+(Sens!F7970+Sens!F7971)/life_nonai</f>
        <v>23.580344216413</v>
      </c>
      <c r="G7962" s="6" t="n">
        <f aca="false">Sens!F7962*(1-1/life_nonai)+(Sens!G7970)/life_nonai</f>
        <v>25.3270863507133</v>
      </c>
      <c r="H7962" s="6" t="n">
        <f aca="false">Sens!G7962*(1-1/life_nonai)+(Sens!H7970)/life_nonai</f>
        <v>27.4714809940436</v>
      </c>
      <c r="I7962" s="6" t="n">
        <f aca="false">Sens!H7962*(1-1/life_nonai)+(Sens!I7970)/life_nonai</f>
        <v>29.9453298378589</v>
      </c>
      <c r="J7962" s="6" t="n">
        <f aca="false">Sens!I7962*(1-1/life_nonai)+(Sens!J7970)/life_nonai</f>
        <v>32.6638953675919</v>
      </c>
      <c r="K7962" s="6" t="n">
        <f aca="false">Sens!J7962*(1-1/life_nonai)+(Sens!K7970)/life_nonai</f>
        <v>35.5429806660195</v>
      </c>
      <c r="L7962" s="12" t="s">
        <v>1099</v>
      </c>
    </row>
    <row r="7963" customFormat="false" ht="17.15" hidden="false" customHeight="false" outlineLevel="0" collapsed="false">
      <c r="A7963" s="1" t="s">
        <v>1100</v>
      </c>
      <c r="B7963" s="0" t="s">
        <v>98</v>
      </c>
      <c r="F7963" s="6" t="n">
        <f aca="false">Sens!$F$7971/life_nonai*(1-1/life_nonai)^(Sens!F7843-2027)</f>
        <v>0.0336281121266289</v>
      </c>
      <c r="G7963" s="6" t="n">
        <f aca="false">Sens!$F$7971/life_nonai*(1-1/life_nonai)^(Sens!G7843-2027)</f>
        <v>0.030265300913966</v>
      </c>
      <c r="H7963" s="6" t="n">
        <f aca="false">Sens!$F$7971/life_nonai*(1-1/life_nonai)^(Sens!H7843-2027)</f>
        <v>0.0272387708225694</v>
      </c>
      <c r="I7963" s="6" t="n">
        <f aca="false">Sens!$F$7971/life_nonai*(1-1/life_nonai)^(Sens!I7843-2027)</f>
        <v>0.0245148937403125</v>
      </c>
      <c r="J7963" s="6" t="n">
        <f aca="false">Sens!$F$7971/life_nonai*(1-1/life_nonai)^(Sens!J7843-2027)</f>
        <v>0.0220634043662812</v>
      </c>
      <c r="K7963" s="6" t="n">
        <f aca="false">Sens!$F$7971/life_nonai*(1-1/life_nonai)^(Sens!K7843-2027)</f>
        <v>0.0198570639296531</v>
      </c>
      <c r="L7963" s="1" t="s">
        <v>1101</v>
      </c>
    </row>
    <row r="7964" customFormat="false" ht="17.15" hidden="false" customHeight="false" outlineLevel="0" collapsed="false">
      <c r="A7964" s="1" t="s">
        <v>1102</v>
      </c>
      <c r="B7964" s="0" t="s">
        <v>98</v>
      </c>
      <c r="E7964" s="6" t="n">
        <f aca="false">Sens!E7880+Sens!E7962</f>
        <v>38.534</v>
      </c>
      <c r="F7964" s="6" t="n">
        <f aca="false">Sens!F7880+Sens!F7962</f>
        <v>58.1596586947647</v>
      </c>
      <c r="G7964" s="6" t="n">
        <f aca="false">Sens!G7880+Sens!G7962</f>
        <v>86.0615770030123</v>
      </c>
      <c r="H7964" s="6" t="n">
        <f aca="false">Sens!H7880+Sens!H7962</f>
        <v>116.571571655489</v>
      </c>
      <c r="I7964" s="6" t="n">
        <f aca="false">Sens!I7880+Sens!I7962</f>
        <v>144.176339532407</v>
      </c>
      <c r="J7964" s="6" t="n">
        <f aca="false">Sens!J7880+Sens!J7962</f>
        <v>164.679568417188</v>
      </c>
      <c r="K7964" s="6" t="n">
        <f aca="false">Sens!K7880+Sens!K7962</f>
        <v>178.555650216954</v>
      </c>
    </row>
    <row r="7965" customFormat="false" ht="17.15" hidden="false" customHeight="false" outlineLevel="0" collapsed="false">
      <c r="A7965" s="1" t="s">
        <v>1103</v>
      </c>
      <c r="B7965" s="0" t="s">
        <v>98</v>
      </c>
      <c r="F7965" s="6" t="n">
        <f aca="false">Sens!F7907*sbc_r</f>
        <v>14.9601444018845</v>
      </c>
      <c r="G7965" s="6" t="n">
        <f aca="false">Sens!G7907*sbc_r</f>
        <v>18.1858135085969</v>
      </c>
      <c r="H7965" s="6" t="n">
        <f aca="false">Sens!H7907*sbc_r</f>
        <v>21.6658799982524</v>
      </c>
      <c r="I7965" s="6" t="n">
        <f aca="false">Sens!I7907*sbc_r</f>
        <v>24.6388536219226</v>
      </c>
      <c r="J7965" s="6" t="n">
        <f aca="false">Sens!J7907*sbc_r</f>
        <v>27.041707137761</v>
      </c>
      <c r="K7965" s="6" t="n">
        <f aca="false">Sens!K7907*sbc_r</f>
        <v>28.9440634712109</v>
      </c>
    </row>
    <row r="7966" customFormat="false" ht="17.15" hidden="false" customHeight="false" outlineLevel="0" collapsed="false">
      <c r="A7966" s="1" t="s">
        <v>1104</v>
      </c>
      <c r="B7966" s="0" t="s">
        <v>98</v>
      </c>
      <c r="F7966" s="6" t="n">
        <f aca="false">wc27-wc26q1</f>
        <v>-4.677</v>
      </c>
      <c r="G7966" s="6" t="n">
        <f aca="false">wc_f</f>
        <v>0</v>
      </c>
      <c r="H7966" s="6" t="n">
        <f aca="false">wc_f</f>
        <v>0</v>
      </c>
      <c r="I7966" s="6" t="n">
        <f aca="false">wc_f</f>
        <v>0</v>
      </c>
      <c r="J7966" s="6" t="n">
        <f aca="false">wc_f</f>
        <v>0</v>
      </c>
      <c r="K7966" s="6" t="n">
        <f aca="false">wc_f</f>
        <v>0</v>
      </c>
      <c r="L7966" s="12" t="s">
        <v>1105</v>
      </c>
    </row>
    <row r="7967" customFormat="false" ht="17.15" hidden="false" customHeight="false" outlineLevel="0" collapsed="false">
      <c r="A7967" s="0" t="s">
        <v>1106</v>
      </c>
      <c r="B7967" s="0" t="s">
        <v>98</v>
      </c>
      <c r="F7967" s="6" t="n">
        <f aca="false">Q!$I$35-Q!$I$26-Q!$I$38-Q!$I$39</f>
        <v>6.493</v>
      </c>
      <c r="L7967" s="1" t="s">
        <v>1107</v>
      </c>
    </row>
    <row r="7968" customFormat="false" ht="15" hidden="false" customHeight="false" outlineLevel="0" collapsed="false">
      <c r="A7968" s="1" t="s">
        <v>904</v>
      </c>
      <c r="B7968" s="0" t="s">
        <v>98</v>
      </c>
      <c r="E7968" s="6" t="n">
        <f aca="false">Q!M35</f>
        <v>182.935</v>
      </c>
      <c r="F7968" s="6" t="n">
        <f aca="false">Sens!F7961+Sens!F7964+Sens!F7965+Sens!F7966+Sens!F7967</f>
        <v>221.095006661726</v>
      </c>
      <c r="G7968" s="6" t="n">
        <f aca="false">Sens!G7961+Sens!G7964+Sens!G7965+Sens!G7966</f>
        <v>269.76600117307</v>
      </c>
      <c r="H7968" s="6" t="n">
        <f aca="false">Sens!H7961+Sens!H7964+Sens!H7965+Sens!H7966</f>
        <v>330.635077104161</v>
      </c>
      <c r="I7968" s="6" t="n">
        <f aca="false">Sens!I7961+Sens!I7964+Sens!I7965+Sens!I7966</f>
        <v>381.760387452081</v>
      </c>
      <c r="J7968" s="6" t="n">
        <f aca="false">Sens!J7961+Sens!J7964+Sens!J7965+Sens!J7966</f>
        <v>422.687869163088</v>
      </c>
      <c r="K7968" s="6" t="n">
        <f aca="false">Sens!K7961+Sens!K7964+Sens!K7965+Sens!K7966</f>
        <v>454.734359892108</v>
      </c>
    </row>
    <row r="7969" customFormat="false" ht="17.15" hidden="false" customHeight="false" outlineLevel="0" collapsed="false">
      <c r="A7969" s="0" t="s">
        <v>1108</v>
      </c>
      <c r="B7969" s="0" t="s">
        <v>98</v>
      </c>
      <c r="F7969" s="6" t="n">
        <f aca="false">Sens!F7877</f>
        <v>168.45390404212</v>
      </c>
      <c r="G7969" s="6" t="n">
        <f aca="false">Sens!G7877</f>
        <v>191.944475649048</v>
      </c>
      <c r="H7969" s="6" t="n">
        <f aca="false">Sens!H7877</f>
        <v>196.806004064512</v>
      </c>
      <c r="I7969" s="6" t="n">
        <f aca="false">Sens!I7877</f>
        <v>168.61483362161</v>
      </c>
      <c r="J7969" s="6" t="n">
        <f aca="false">Sens!J7877</f>
        <v>128.92993119594</v>
      </c>
      <c r="K7969" s="6" t="n">
        <f aca="false">Sens!K7877</f>
        <v>118.962853064733</v>
      </c>
    </row>
    <row r="7970" customFormat="false" ht="17.15" hidden="false" customHeight="false" outlineLevel="0" collapsed="false">
      <c r="A7970" s="1" t="s">
        <v>1109</v>
      </c>
      <c r="B7970" s="0" t="s">
        <v>98</v>
      </c>
      <c r="E7970" s="6" t="n">
        <f aca="false">Sens!E7885*cx_azo+Sens!E7892*cx_m365+Sens!E7893*cx_lic+(Sens!E7895+Sens!E7897)*cx_ind+Sens!E7900*cx_srch+(Sens!E7902+Sens!E7904)*cx_dev</f>
        <v>30.1846587067718</v>
      </c>
      <c r="F7970" s="6" t="n">
        <f aca="false">Sens!F7885*cx_azo+Sens!F7892*cx_m365+Sens!F7893*cx_lic+(Sens!F7895+Sens!F7897)*cx_ind+Sens!F7900*cx_srch+(Sens!F7902+Sens!F7904)*cx_dev</f>
        <v>35.4098148366141</v>
      </c>
      <c r="G7970" s="6" t="n">
        <f aca="false">Sens!G7885*cx_azo+Sens!G7892*cx_m365+Sens!G7893*cx_lic+(Sens!G7895+Sens!G7897)*cx_ind+Sens!G7900*cx_srch+(Sens!G7902+Sens!G7904)*cx_dev</f>
        <v>41.047765559416</v>
      </c>
      <c r="H7970" s="6" t="n">
        <f aca="false">Sens!H7885*cx_azo+Sens!H7892*cx_m365+Sens!H7893*cx_lic+(Sens!H7895+Sens!H7897)*cx_ind+Sens!H7900*cx_srch+(Sens!H7902+Sens!H7904)*cx_dev</f>
        <v>46.7710327840155</v>
      </c>
      <c r="I7970" s="6" t="n">
        <f aca="false">Sens!I7885*cx_azo+Sens!I7892*cx_m365+Sens!I7893*cx_lic+(Sens!I7895+Sens!I7897)*cx_ind+Sens!I7900*cx_srch+(Sens!I7902+Sens!I7904)*cx_dev</f>
        <v>52.2099694321967</v>
      </c>
      <c r="J7970" s="6" t="n">
        <f aca="false">Sens!J7885*cx_azo+Sens!J7892*cx_m365+Sens!J7893*cx_lic+(Sens!J7895+Sens!J7897)*cx_ind+Sens!J7900*cx_srch+(Sens!J7902+Sens!J7904)*cx_dev</f>
        <v>57.130985135189</v>
      </c>
      <c r="K7970" s="6" t="n">
        <f aca="false">Sens!K7885*cx_azo+Sens!K7892*cx_m365+Sens!K7893*cx_lic+(Sens!K7895+Sens!K7897)*cx_ind+Sens!K7900*cx_srch+(Sens!K7902+Sens!K7904)*cx_dev</f>
        <v>61.4547483518685</v>
      </c>
    </row>
    <row r="7971" customFormat="false" ht="17.15" hidden="false" customHeight="false" outlineLevel="0" collapsed="false">
      <c r="A7971" s="0" t="s">
        <v>1110</v>
      </c>
      <c r="B7971" s="0" t="s">
        <v>98</v>
      </c>
      <c r="F7971" s="6" t="n">
        <f aca="false">Sens!F7875</f>
        <v>0.336281121266289</v>
      </c>
      <c r="L7971" s="1" t="s">
        <v>1111</v>
      </c>
    </row>
    <row r="7972" customFormat="false" ht="17.15" hidden="false" customHeight="false" outlineLevel="0" collapsed="false">
      <c r="A7972" s="1" t="s">
        <v>1112</v>
      </c>
      <c r="B7972" s="0" t="s">
        <v>98</v>
      </c>
      <c r="E7972" s="6" t="n">
        <f aca="false">Q!M43</f>
        <v>145.3</v>
      </c>
      <c r="F7972" s="6" t="n">
        <f aca="false">Sens!F7969+Sens!F7970+Sens!F7971</f>
        <v>204.2</v>
      </c>
      <c r="G7972" s="6" t="n">
        <f aca="false">Sens!G7969+Sens!G7970</f>
        <v>232.992241208464</v>
      </c>
      <c r="H7972" s="6" t="n">
        <f aca="false">Sens!H7969+Sens!H7970</f>
        <v>243.577036848528</v>
      </c>
      <c r="I7972" s="6" t="n">
        <f aca="false">Sens!I7969+Sens!I7970</f>
        <v>220.824803053807</v>
      </c>
      <c r="J7972" s="6" t="n">
        <f aca="false">Sens!J7969+Sens!J7970</f>
        <v>186.060916331129</v>
      </c>
      <c r="K7972" s="6" t="n">
        <f aca="false">Sens!K7969+Sens!K7970</f>
        <v>180.417601416601</v>
      </c>
      <c r="L7972" s="1" t="s">
        <v>1113</v>
      </c>
    </row>
    <row r="7973" customFormat="false" ht="15" hidden="false" customHeight="false" outlineLevel="0" collapsed="false">
      <c r="A7973" s="1" t="s">
        <v>1114</v>
      </c>
      <c r="B7973" s="0" t="s">
        <v>98</v>
      </c>
      <c r="E7973" s="6" t="n">
        <f aca="false">fl_liab</f>
        <v>66.594</v>
      </c>
      <c r="F7973" s="6" t="n">
        <f aca="false">Sens!E7973-Sens!F7974</f>
        <v>62.46973</v>
      </c>
      <c r="G7973" s="6" t="n">
        <f aca="false">Sens!F7973-Sens!G7974</f>
        <v>57.98686785</v>
      </c>
      <c r="H7973" s="6" t="n">
        <f aca="false">Sens!G7973-Sens!H7974</f>
        <v>53.92827690325</v>
      </c>
      <c r="I7973" s="6" t="n">
        <f aca="false">Sens!H7973-Sens!I7974</f>
        <v>49.7850493638962</v>
      </c>
      <c r="J7973" s="6" t="n">
        <f aca="false">Sens!I7973-Sens!J7974</f>
        <v>45.4823765852716</v>
      </c>
      <c r="K7973" s="6" t="n">
        <f aca="false">Sens!J7973-Sens!K7974</f>
        <v>40.9860835316088</v>
      </c>
    </row>
    <row r="7974" customFormat="false" ht="15" hidden="false" customHeight="false" outlineLevel="0" collapsed="false">
      <c r="A7974" s="1" t="s">
        <v>1115</v>
      </c>
      <c r="B7974" s="0" t="s">
        <v>98</v>
      </c>
      <c r="F7974" s="6" t="n">
        <f aca="false">fl_pay_27-Sens!E7973*fl_rate</f>
        <v>4.12427</v>
      </c>
      <c r="G7974" s="6" t="n">
        <f aca="false">fl_pay_28-Sens!F7973*fl_rate</f>
        <v>4.48286215</v>
      </c>
      <c r="H7974" s="6" t="n">
        <f aca="false">fl_pay_29-Sens!G7973*fl_rate</f>
        <v>4.05859094675</v>
      </c>
      <c r="I7974" s="6" t="n">
        <f aca="false">fl_pay_30-Sens!H7973*fl_rate</f>
        <v>4.14322753935375</v>
      </c>
      <c r="J7974" s="6" t="n">
        <f aca="false">fl_pay_31-Sens!I7973*fl_rate</f>
        <v>4.30267277862467</v>
      </c>
      <c r="K7974" s="6" t="n">
        <f aca="false">fl_pay_32-Sens!J7973*fl_rate</f>
        <v>4.49629305366278</v>
      </c>
    </row>
    <row r="7975" customFormat="false" ht="17.15" hidden="false" customHeight="false" outlineLevel="0" collapsed="false">
      <c r="A7975" s="1" t="s">
        <v>1116</v>
      </c>
      <c r="B7975" s="0" t="s">
        <v>98</v>
      </c>
      <c r="E7975" s="6" t="n">
        <f aca="false">Q!M35-Q!M36-Q!M44</f>
        <v>63.886</v>
      </c>
      <c r="F7975" s="6" t="n">
        <f aca="false">Sens!F7968-Sens!F7972-Sens!F7974</f>
        <v>12.7707366617262</v>
      </c>
      <c r="G7975" s="6" t="n">
        <f aca="false">Sens!G7968-Sens!G7972-Sens!G7974</f>
        <v>32.2908978146053</v>
      </c>
      <c r="H7975" s="6" t="n">
        <f aca="false">Sens!H7968-Sens!H7972-Sens!H7974</f>
        <v>82.9994493088834</v>
      </c>
      <c r="I7975" s="6" t="n">
        <f aca="false">Sens!I7968-Sens!I7972-Sens!I7974</f>
        <v>156.79235685892</v>
      </c>
      <c r="J7975" s="6" t="n">
        <f aca="false">Sens!J7968-Sens!J7972-Sens!J7974</f>
        <v>232.324280053334</v>
      </c>
      <c r="K7975" s="6" t="n">
        <f aca="false">Sens!K7968-Sens!K7972-Sens!K7974</f>
        <v>269.820465421844</v>
      </c>
      <c r="L7975" s="12" t="s">
        <v>1117</v>
      </c>
    </row>
    <row r="7976" customFormat="false" ht="15" hidden="false" customHeight="false" outlineLevel="0" collapsed="false">
      <c r="A7976" s="1" t="s">
        <v>1118</v>
      </c>
      <c r="B7976" s="0" t="s">
        <v>75</v>
      </c>
      <c r="F7976" s="8" t="n">
        <f aca="false">dps_27</f>
        <v>3.85</v>
      </c>
      <c r="G7976" s="8" t="n">
        <f aca="false">Sens!F7976*(1+dps_g)</f>
        <v>4.158</v>
      </c>
      <c r="H7976" s="8" t="n">
        <f aca="false">Sens!G7976*(1+dps_g)</f>
        <v>4.49064</v>
      </c>
      <c r="I7976" s="8" t="n">
        <f aca="false">Sens!H7976*(1+dps_g)</f>
        <v>4.8498912</v>
      </c>
      <c r="J7976" s="8" t="n">
        <f aca="false">Sens!I7976*(1+dps_g)</f>
        <v>5.237882496</v>
      </c>
      <c r="K7976" s="8" t="n">
        <f aca="false">Sens!J7976*(1+dps_g)</f>
        <v>5.65691309568</v>
      </c>
    </row>
    <row r="7977" customFormat="false" ht="17.15" hidden="false" customHeight="false" outlineLevel="0" collapsed="false">
      <c r="A7977" s="1" t="s">
        <v>1119</v>
      </c>
      <c r="B7977" s="0" t="s">
        <v>98</v>
      </c>
      <c r="E7977" s="6" t="n">
        <f aca="false">Q!M41</f>
        <v>26.445</v>
      </c>
      <c r="F7977" s="6" t="n">
        <f aca="false">Sens!F7976*Sens!E7986</f>
        <v>28.59395</v>
      </c>
      <c r="G7977" s="6" t="n">
        <f aca="false">Sens!G7976*Sens!F7986</f>
        <v>31.0552410673952</v>
      </c>
      <c r="H7977" s="6" t="n">
        <f aca="false">Sens!H7976*Sens!G7986</f>
        <v>33.7324287653807</v>
      </c>
      <c r="I7977" s="6" t="n">
        <f aca="false">Sens!I7976*Sens!H7986</f>
        <v>36.4814613436838</v>
      </c>
      <c r="J7977" s="6" t="n">
        <f aca="false">Sens!J7976*Sens!I7986</f>
        <v>39.4678761365711</v>
      </c>
      <c r="K7977" s="6" t="n">
        <f aca="false">Sens!K7976*Sens!J7986</f>
        <v>42.7120604898751</v>
      </c>
      <c r="L7977" s="1" t="s">
        <v>1120</v>
      </c>
    </row>
    <row r="7978" customFormat="false" ht="15" hidden="false" customHeight="false" outlineLevel="0" collapsed="false">
      <c r="A7978" s="1" t="s">
        <v>1121</v>
      </c>
      <c r="B7978" s="0" t="s">
        <v>98</v>
      </c>
      <c r="E7978" s="6" t="n">
        <f aca="false">Sens!E7975-Sens!E7977</f>
        <v>37.441</v>
      </c>
      <c r="F7978" s="6" t="n">
        <f aca="false">Sens!F7975-Sens!F7977</f>
        <v>-15.8232133382738</v>
      </c>
      <c r="G7978" s="6" t="n">
        <f aca="false">Sens!G7975-Sens!G7977</f>
        <v>1.23565674721019</v>
      </c>
      <c r="H7978" s="6" t="n">
        <f aca="false">Sens!H7975-Sens!H7977</f>
        <v>49.2670205435027</v>
      </c>
      <c r="I7978" s="6" t="n">
        <f aca="false">Sens!I7975-Sens!I7977</f>
        <v>120.310895515236</v>
      </c>
      <c r="J7978" s="6" t="n">
        <f aca="false">Sens!J7975-Sens!J7977</f>
        <v>192.856403916763</v>
      </c>
      <c r="K7978" s="6" t="n">
        <f aca="false">Sens!K7975-Sens!K7977</f>
        <v>227.108404931969</v>
      </c>
    </row>
    <row r="7979" customFormat="false" ht="15" hidden="false" customHeight="false" outlineLevel="0" collapsed="false">
      <c r="A7979" s="1" t="s">
        <v>1122</v>
      </c>
      <c r="B7979" s="0" t="s">
        <v>98</v>
      </c>
      <c r="F7979" s="6" t="n">
        <f aca="false">debt_mat_27</f>
        <v>9.25</v>
      </c>
      <c r="G7979" s="6" t="n">
        <f aca="false">debt_mat_28</f>
        <v>0</v>
      </c>
      <c r="H7979" s="6" t="n">
        <f aca="false">debt_mat_29</f>
        <v>2.001</v>
      </c>
      <c r="I7979" s="6" t="n">
        <f aca="false">debt_mat_30</f>
        <v>0</v>
      </c>
      <c r="J7979" s="6" t="n">
        <f aca="false">debt_mat_31</f>
        <v>0.5</v>
      </c>
      <c r="K7979" s="6" t="n">
        <f aca="false">debt_mat_32</f>
        <v>0</v>
      </c>
    </row>
    <row r="7980" customFormat="false" ht="15" hidden="false" customHeight="false" outlineLevel="0" collapsed="false">
      <c r="A7980" s="1" t="s">
        <v>1123</v>
      </c>
      <c r="B7980" s="0" t="s">
        <v>98</v>
      </c>
      <c r="E7980" s="6" t="n">
        <f aca="false">Q!M40</f>
        <v>22.271</v>
      </c>
      <c r="F7980" s="6" t="n">
        <f aca="false">MAX(0,MIN(bb_target,Sens!E7982+Sens!F7978-Sens!F7979-min_cash))</f>
        <v>1.76978666172617</v>
      </c>
      <c r="G7980" s="6" t="n">
        <f aca="false">MAX(0,MIN(bb_target,Sens!F7982+Sens!G7978-Sens!G7979-min_cash))</f>
        <v>1.23565674721019</v>
      </c>
      <c r="H7980" s="6" t="n">
        <f aca="false">MAX(0,MIN(bb_target,Sens!G7982+Sens!H7978-Sens!H7979-min_cash))</f>
        <v>22.271</v>
      </c>
      <c r="I7980" s="6" t="n">
        <f aca="false">MAX(0,MIN(bb_target,Sens!H7982+Sens!I7978-Sens!I7979-min_cash))</f>
        <v>22.271</v>
      </c>
      <c r="J7980" s="6" t="n">
        <f aca="false">MAX(0,MIN(bb_target,Sens!I7982+Sens!J7978-Sens!J7979-min_cash))</f>
        <v>22.271</v>
      </c>
      <c r="K7980" s="6" t="n">
        <f aca="false">MAX(0,MIN(bb_target,Sens!J7982+Sens!K7978-Sens!K7979-min_cash))</f>
        <v>22.271</v>
      </c>
    </row>
    <row r="7981" customFormat="false" ht="15" hidden="false" customHeight="false" outlineLevel="0" collapsed="false">
      <c r="A7981" s="1" t="s">
        <v>1124</v>
      </c>
      <c r="B7981" s="0" t="s">
        <v>98</v>
      </c>
      <c r="F7981" s="6" t="n">
        <f aca="false">MAX(0,min_cash-(Sens!E7982+Sens!F7978-Sens!F7979-Sens!F7980))</f>
        <v>0</v>
      </c>
      <c r="G7981" s="6" t="n">
        <f aca="false">MAX(0,min_cash-(Sens!F7982+Sens!G7978-Sens!G7979-Sens!G7980))</f>
        <v>0</v>
      </c>
      <c r="H7981" s="6" t="n">
        <f aca="false">MAX(0,min_cash-(Sens!G7982+Sens!H7978-Sens!H7979-Sens!H7980))</f>
        <v>0</v>
      </c>
      <c r="I7981" s="6" t="n">
        <f aca="false">MAX(0,min_cash-(Sens!H7982+Sens!I7978-Sens!I7979-Sens!I7980))</f>
        <v>0</v>
      </c>
      <c r="J7981" s="6" t="n">
        <f aca="false">MAX(0,min_cash-(Sens!I7982+Sens!J7978-Sens!J7979-Sens!J7980))</f>
        <v>0</v>
      </c>
      <c r="K7981" s="6" t="n">
        <f aca="false">MAX(0,min_cash-(Sens!J7982+Sens!K7978-Sens!K7979-Sens!K7980))</f>
        <v>0</v>
      </c>
    </row>
    <row r="7982" customFormat="false" ht="15" hidden="false" customHeight="false" outlineLevel="0" collapsed="false">
      <c r="A7982" s="1" t="s">
        <v>1125</v>
      </c>
      <c r="B7982" s="0" t="s">
        <v>98</v>
      </c>
      <c r="E7982" s="6" t="n">
        <f aca="false">cash_open</f>
        <v>76.843</v>
      </c>
      <c r="F7982" s="6" t="n">
        <f aca="false">Sens!E7982+Sens!F7978-Sens!F7979-Sens!F7980+Sens!F7981</f>
        <v>50</v>
      </c>
      <c r="G7982" s="6" t="n">
        <f aca="false">Sens!F7982+Sens!G7978-Sens!G7979-Sens!G7980+Sens!G7981</f>
        <v>50</v>
      </c>
      <c r="H7982" s="6" t="n">
        <f aca="false">Sens!G7982+Sens!H7978-Sens!H7979-Sens!H7980+Sens!H7981</f>
        <v>74.9950205435027</v>
      </c>
      <c r="I7982" s="6" t="n">
        <f aca="false">Sens!H7982+Sens!I7978-Sens!I7979-Sens!I7980+Sens!I7981</f>
        <v>173.034916058739</v>
      </c>
      <c r="J7982" s="6" t="n">
        <f aca="false">Sens!I7982+Sens!J7978-Sens!J7979-Sens!J7980+Sens!J7981</f>
        <v>343.120319975502</v>
      </c>
      <c r="K7982" s="6" t="n">
        <f aca="false">Sens!J7982+Sens!K7978-Sens!K7979-Sens!K7980+Sens!K7981</f>
        <v>547.957724907471</v>
      </c>
    </row>
    <row r="7983" customFormat="false" ht="15" hidden="false" customHeight="false" outlineLevel="0" collapsed="false">
      <c r="A7983" s="1" t="s">
        <v>1126</v>
      </c>
      <c r="B7983" s="0" t="s">
        <v>98</v>
      </c>
      <c r="E7983" s="6" t="n">
        <f aca="false">debt_face</f>
        <v>46.136</v>
      </c>
      <c r="F7983" s="6" t="n">
        <f aca="false">Sens!E7983-Sens!F7979+Sens!F7981</f>
        <v>36.886</v>
      </c>
      <c r="G7983" s="6" t="n">
        <f aca="false">Sens!F7983-Sens!G7979+Sens!G7981</f>
        <v>36.886</v>
      </c>
      <c r="H7983" s="6" t="n">
        <f aca="false">Sens!G7983-Sens!H7979+Sens!H7981</f>
        <v>34.885</v>
      </c>
      <c r="I7983" s="6" t="n">
        <f aca="false">Sens!H7983-Sens!I7979+Sens!I7981</f>
        <v>34.885</v>
      </c>
      <c r="J7983" s="6" t="n">
        <f aca="false">Sens!I7983-Sens!J7979+Sens!J7981</f>
        <v>34.385</v>
      </c>
      <c r="K7983" s="6" t="n">
        <f aca="false">Sens!J7983-Sens!K7979+Sens!K7981</f>
        <v>34.385</v>
      </c>
    </row>
    <row r="7984" customFormat="false" ht="15" hidden="false" customHeight="false" outlineLevel="0" collapsed="false">
      <c r="A7984" s="1" t="s">
        <v>1127</v>
      </c>
      <c r="B7984" s="0" t="s">
        <v>98</v>
      </c>
      <c r="E7984" s="6" t="n">
        <f aca="false">Sens!E7982-Sens!E7983</f>
        <v>30.707</v>
      </c>
      <c r="F7984" s="6" t="n">
        <f aca="false">Sens!F7982-Sens!F7983</f>
        <v>13.114</v>
      </c>
      <c r="G7984" s="6" t="n">
        <f aca="false">Sens!G7982-Sens!G7983</f>
        <v>13.114</v>
      </c>
      <c r="H7984" s="6" t="n">
        <f aca="false">Sens!H7982-Sens!H7983</f>
        <v>40.1100205435027</v>
      </c>
      <c r="I7984" s="6" t="n">
        <f aca="false">Sens!I7982-Sens!I7983</f>
        <v>138.149916058739</v>
      </c>
      <c r="J7984" s="6" t="n">
        <f aca="false">Sens!J7982-Sens!J7983</f>
        <v>308.735319975502</v>
      </c>
      <c r="K7984" s="6" t="n">
        <f aca="false">Sens!K7982-Sens!K7983</f>
        <v>513.572724907471</v>
      </c>
    </row>
    <row r="7985" customFormat="false" ht="15" hidden="false" customHeight="false" outlineLevel="0" collapsed="false">
      <c r="A7985" s="1" t="s">
        <v>1128</v>
      </c>
      <c r="B7985" s="0" t="s">
        <v>75</v>
      </c>
      <c r="F7985" s="30" t="n">
        <f aca="false">px*(1+bb_g)^(Sens!F7843-base_fy-mid_yr)</f>
        <v>551.84177959629</v>
      </c>
      <c r="G7985" s="30" t="n">
        <f aca="false">px*(1+bb_g)^(Sens!G7843-base_fy-mid_yr)</f>
        <v>595.989121963993</v>
      </c>
      <c r="H7985" s="30" t="n">
        <f aca="false">px*(1+bb_g)^(Sens!H7843-base_fy-mid_yr)</f>
        <v>643.668251721112</v>
      </c>
      <c r="I7985" s="30" t="n">
        <f aca="false">px*(1+bb_g)^(Sens!I7843-base_fy-mid_yr)</f>
        <v>695.161711858801</v>
      </c>
      <c r="J7985" s="30" t="n">
        <f aca="false">px*(1+bb_g)^(Sens!J7843-base_fy-mid_yr)</f>
        <v>750.774648807506</v>
      </c>
      <c r="K7985" s="30" t="n">
        <f aca="false">px*(1+bb_g)^(Sens!K7843-base_fy-mid_yr)</f>
        <v>810.836620712106</v>
      </c>
    </row>
    <row r="7986" customFormat="false" ht="15" hidden="false" customHeight="false" outlineLevel="0" collapsed="false">
      <c r="A7986" s="1" t="s">
        <v>1129</v>
      </c>
      <c r="B7986" s="1" t="s">
        <v>81</v>
      </c>
      <c r="E7986" s="15" t="n">
        <f aca="false">sh_out26</f>
        <v>7.427</v>
      </c>
      <c r="F7986" s="15" t="n">
        <f aca="false">Sens!E7986+sh_iss-Sens!F7980/Sens!F7985</f>
        <v>7.46879294550148</v>
      </c>
      <c r="G7986" s="15" t="n">
        <f aca="false">Sens!F7986+sh_iss-Sens!G7980/Sens!G7985</f>
        <v>7.51171965808452</v>
      </c>
      <c r="H7986" s="15" t="n">
        <f aca="false">Sens!G7986+sh_iss-Sens!H7980/Sens!H7985</f>
        <v>7.52211953614213</v>
      </c>
      <c r="I7986" s="15" t="n">
        <f aca="false">Sens!H7986+sh_iss-Sens!I7980/Sens!I7985</f>
        <v>7.53508238619546</v>
      </c>
      <c r="J7986" s="15" t="n">
        <f aca="false">Sens!I7986+sh_iss-Sens!J7980/Sens!J7985</f>
        <v>7.55041835846707</v>
      </c>
      <c r="K7986" s="15" t="n">
        <f aca="false">Sens!J7986+sh_iss-Sens!K7980/Sens!K7985</f>
        <v>7.56795166612597</v>
      </c>
    </row>
    <row r="7987" customFormat="false" ht="15" hidden="false" customHeight="false" outlineLevel="0" collapsed="false">
      <c r="A7987" s="1" t="s">
        <v>1130</v>
      </c>
      <c r="B7987" s="1" t="s">
        <v>81</v>
      </c>
      <c r="E7987" s="15" t="n">
        <f aca="false">sh_dil26</f>
        <v>7.453</v>
      </c>
      <c r="F7987" s="15" t="n">
        <f aca="false">(Sens!E7986+Sens!F7986)/2+dil_gap</f>
        <v>7.47189647275074</v>
      </c>
      <c r="G7987" s="15" t="n">
        <f aca="false">(Sens!F7986+Sens!G7986)/2+dil_gap</f>
        <v>7.514256301793</v>
      </c>
      <c r="H7987" s="15" t="n">
        <f aca="false">(Sens!G7986+Sens!H7986)/2+dil_gap</f>
        <v>7.54091959711333</v>
      </c>
      <c r="I7987" s="15" t="n">
        <f aca="false">(Sens!H7986+Sens!I7986)/2+dil_gap</f>
        <v>7.55260096116879</v>
      </c>
      <c r="J7987" s="15" t="n">
        <f aca="false">(Sens!I7986+Sens!J7986)/2+dil_gap</f>
        <v>7.56675037233127</v>
      </c>
      <c r="K7987" s="15" t="n">
        <f aca="false">(Sens!J7986+Sens!K7986)/2+dil_gap</f>
        <v>7.58318501229652</v>
      </c>
    </row>
    <row r="7988" customFormat="false" ht="17.15" hidden="false" customHeight="false" outlineLevel="0" collapsed="false">
      <c r="A7988" s="1" t="s">
        <v>1131</v>
      </c>
      <c r="B7988" s="0" t="s">
        <v>98</v>
      </c>
      <c r="C7988" s="6" t="n">
        <f aca="false">SUM(Sens!F7978:J7978)</f>
        <v>347.846763384439</v>
      </c>
    </row>
    <row r="7989" customFormat="false" ht="15" hidden="false" customHeight="false" outlineLevel="0" collapsed="false">
      <c r="A7989" s="26" t="s">
        <v>1096</v>
      </c>
      <c r="B7989" s="31" t="s">
        <v>98</v>
      </c>
      <c r="C7989" s="27" t="n">
        <f aca="false">Sens!$C$7988-(Sens!F7978+Sens!G7978+Sens!H7978+Sens!I7978+Sens!J7978)</f>
        <v>0</v>
      </c>
      <c r="D7989" s="31"/>
      <c r="E7989" s="31"/>
      <c r="F7989" s="31"/>
      <c r="G7989" s="31"/>
      <c r="H7989" s="31"/>
      <c r="I7989" s="31"/>
      <c r="J7989" s="31"/>
      <c r="K7989" s="31"/>
    </row>
    <row r="7990" customFormat="false" ht="17.15" hidden="false" customHeight="false" outlineLevel="0" collapsed="false">
      <c r="A7990" s="1" t="s">
        <v>1090</v>
      </c>
      <c r="B7990" s="1" t="s">
        <v>1132</v>
      </c>
      <c r="C7990" s="33" t="str">
        <f aca="false">IF(SUM(Sens!F7981:J7981)&gt;0.05,"需要舉債 "&amp;TEXT(SUM(Sens!F7981:J7981),"0.0")&amp;" 十億美元","不需舉債")&amp;"；"&amp;IF(SUM(Sens!F7980:J7980)&lt;COUNT(Sens!F7980:J7980)*bb_target-0.05,"回購較每年 "&amp;TEXT(bb_target,"0.0")&amp;" 的目標少 "&amp;TEXT(COUNT(Sens!F7980:J7980)*bb_target-SUM(Sens!F7980:J7980),"0.0")&amp;" 十億美元（"&amp;TEXT(COUNTIF(Sens!F7980:J7980,"&lt;"&amp;(bb_target-0.05)),"0")&amp;" 年減少）","回購不減")</f>
        <v>不需舉債；回購較每年 22.3 的目標少 41.5 十億美元（2 年減少）</v>
      </c>
    </row>
    <row r="7991" customFormat="false" ht="17.15" hidden="false" customHeight="false" outlineLevel="0" collapsed="false">
      <c r="A7991" s="3" t="s">
        <v>1679</v>
      </c>
    </row>
    <row r="7992" customFormat="false" ht="15" hidden="false" customHeight="false" outlineLevel="0" collapsed="false">
      <c r="A7992" s="4" t="s">
        <v>43</v>
      </c>
      <c r="B7992" s="4" t="s">
        <v>65</v>
      </c>
      <c r="C7992" s="23" t="s">
        <v>938</v>
      </c>
      <c r="D7992" s="23" t="s">
        <v>939</v>
      </c>
      <c r="E7992" s="23" t="s">
        <v>940</v>
      </c>
      <c r="F7992" s="23" t="s">
        <v>941</v>
      </c>
      <c r="G7992" s="23" t="s">
        <v>942</v>
      </c>
      <c r="H7992" s="23" t="s">
        <v>943</v>
      </c>
      <c r="I7992" s="23" t="s">
        <v>944</v>
      </c>
      <c r="J7992" s="23" t="s">
        <v>945</v>
      </c>
      <c r="K7992" s="23" t="s">
        <v>946</v>
      </c>
      <c r="L7992" s="4" t="s">
        <v>47</v>
      </c>
    </row>
    <row r="7993" customFormat="false" ht="17.15" hidden="false" customHeight="false" outlineLevel="0" collapsed="false">
      <c r="A7993" s="1" t="s">
        <v>1212</v>
      </c>
      <c r="B7993" s="1" t="s">
        <v>279</v>
      </c>
      <c r="F7993" s="8" t="n">
        <f aca="false">(1-v_off)*mid_yr</f>
        <v>0.373972602739726</v>
      </c>
      <c r="G7993" s="8" t="n">
        <f aca="false">Sens!G7843-base_fy-mid_yr-v_off</f>
        <v>1.24794520547945</v>
      </c>
      <c r="H7993" s="8" t="n">
        <f aca="false">Sens!H7843-base_fy-mid_yr-v_off</f>
        <v>2.24794520547945</v>
      </c>
      <c r="I7993" s="8" t="n">
        <f aca="false">Sens!I7843-base_fy-mid_yr-v_off</f>
        <v>3.24794520547945</v>
      </c>
      <c r="J7993" s="8" t="n">
        <f aca="false">Sens!J7843-base_fy-mid_yr-v_off</f>
        <v>4.24794520547945</v>
      </c>
      <c r="K7993" s="8" t="n">
        <f aca="false">Sens!K7843-base_fy-mid_yr-v_off</f>
        <v>5.24794520547945</v>
      </c>
      <c r="L7993" s="12" t="s">
        <v>1213</v>
      </c>
    </row>
    <row r="7994" customFormat="false" ht="15" hidden="false" customHeight="false" outlineLevel="0" collapsed="false">
      <c r="A7994" s="1" t="s">
        <v>1214</v>
      </c>
      <c r="B7994" s="1" t="s">
        <v>279</v>
      </c>
      <c r="F7994" s="8" t="n">
        <f aca="false">Sens!F7843-base_fy-v_off</f>
        <v>0.747945205479452</v>
      </c>
      <c r="G7994" s="8" t="n">
        <f aca="false">Sens!G7843-base_fy-v_off</f>
        <v>1.74794520547945</v>
      </c>
      <c r="H7994" s="8" t="n">
        <f aca="false">Sens!H7843-base_fy-v_off</f>
        <v>2.74794520547945</v>
      </c>
      <c r="I7994" s="8" t="n">
        <f aca="false">Sens!I7843-base_fy-v_off</f>
        <v>3.74794520547945</v>
      </c>
      <c r="J7994" s="8" t="n">
        <f aca="false">Sens!J7843-base_fy-v_off</f>
        <v>4.74794520547945</v>
      </c>
      <c r="K7994" s="8" t="n">
        <f aca="false">Sens!K7843-base_fy-v_off</f>
        <v>5.74794520547945</v>
      </c>
    </row>
    <row r="7995" customFormat="false" ht="15" hidden="false" customHeight="false" outlineLevel="0" collapsed="false">
      <c r="A7995" s="1" t="s">
        <v>1215</v>
      </c>
      <c r="B7995" s="0" t="s">
        <v>229</v>
      </c>
      <c r="F7995" s="15" t="n">
        <f aca="false">1/(1+wacc)^Sens!F7993</f>
        <v>0.964022703286649</v>
      </c>
      <c r="G7995" s="15" t="n">
        <f aca="false">1/(1+wacc)^Sens!G7993</f>
        <v>0.884910302296739</v>
      </c>
      <c r="H7995" s="15" t="n">
        <f aca="false">1/(1+wacc)^Sens!H7993</f>
        <v>0.802322009770358</v>
      </c>
      <c r="I7995" s="15" t="n">
        <f aca="false">1/(1+wacc)^Sens!I7993</f>
        <v>0.727441646561469</v>
      </c>
      <c r="J7995" s="15" t="n">
        <f aca="false">1/(1+wacc)^Sens!J7993</f>
        <v>0.659549834988973</v>
      </c>
      <c r="K7995" s="15" t="n">
        <f aca="false">1/(1+wacc)^Sens!K7993</f>
        <v>0.597994336576966</v>
      </c>
    </row>
    <row r="7996" customFormat="false" ht="17.15" hidden="false" customHeight="false" outlineLevel="0" collapsed="false">
      <c r="A7996" s="1" t="s">
        <v>1216</v>
      </c>
      <c r="B7996" s="0" t="s">
        <v>98</v>
      </c>
      <c r="F7996" s="6" t="n">
        <f aca="false">Q!$I$35-Q!$I$39-Q!$I$43</f>
        <v>9.666</v>
      </c>
      <c r="L7996" s="12" t="s">
        <v>1217</v>
      </c>
    </row>
    <row r="7997" customFormat="false" ht="17.15" hidden="false" customHeight="false" outlineLevel="0" collapsed="false">
      <c r="A7997" s="1" t="s">
        <v>1218</v>
      </c>
      <c r="B7997" s="0" t="s">
        <v>98</v>
      </c>
      <c r="F7997" s="6" t="n">
        <f aca="false">Sens!F7968-Sens!F7965-Sens!F7972+Sens!F7950*(1-tax_f)*(1-v_off)-Sens!F7996</f>
        <v>-1.12431303849117</v>
      </c>
      <c r="G7997" s="6" t="n">
        <f aca="false">Sens!G7968-Sens!G7965-Sens!G7972+Sens!G7950*(1-tax_f)</f>
        <v>39.630395918057</v>
      </c>
      <c r="H7997" s="6" t="n">
        <f aca="false">Sens!H7968-Sens!H7965-Sens!H7972+Sens!H7950*(1-tax_f)</f>
        <v>99.8223115157443</v>
      </c>
      <c r="I7997" s="6" t="n">
        <f aca="false">Sens!I7968-Sens!I7965-Sens!I7972+Sens!I7950*(1-tax_f)</f>
        <v>182.899180935091</v>
      </c>
      <c r="J7997" s="6" t="n">
        <f aca="false">Sens!J7968-Sens!J7965-Sens!J7972+Sens!J7950*(1-tax_f)</f>
        <v>264.70039880096</v>
      </c>
      <c r="K7997" s="6" t="n">
        <f aca="false">Sens!K7968-Sens!K7965-Sens!K7972+Sens!K7950*(1-tax_f)</f>
        <v>305.079812622493</v>
      </c>
      <c r="L7997" s="1" t="s">
        <v>1219</v>
      </c>
    </row>
    <row r="7998" customFormat="false" ht="15" hidden="false" customHeight="false" outlineLevel="0" collapsed="false">
      <c r="A7998" s="1" t="s">
        <v>1220</v>
      </c>
      <c r="B7998" s="0" t="s">
        <v>98</v>
      </c>
      <c r="F7998" s="6" t="n">
        <f aca="false">Sens!F7997*Sens!F7995</f>
        <v>-1.08386329470668</v>
      </c>
      <c r="G7998" s="6" t="n">
        <f aca="false">Sens!G7997*Sens!G7995</f>
        <v>35.0693456319872</v>
      </c>
      <c r="H7998" s="6" t="n">
        <f aca="false">Sens!H7997*Sens!H7995</f>
        <v>80.0896375952347</v>
      </c>
      <c r="I7998" s="6" t="n">
        <f aca="false">Sens!I7997*Sens!I7995</f>
        <v>133.048481334166</v>
      </c>
      <c r="J7998" s="6" t="n">
        <f aca="false">Sens!J7997*Sens!J7995</f>
        <v>174.583104350688</v>
      </c>
      <c r="K7998" s="6" t="n">
        <f aca="false">Sens!K7997*Sens!K7995</f>
        <v>182.436000152213</v>
      </c>
    </row>
    <row r="7999" customFormat="false" ht="17.15" hidden="false" customHeight="false" outlineLevel="0" collapsed="false">
      <c r="A7999" s="1" t="s">
        <v>1221</v>
      </c>
      <c r="B7999" s="0" t="s">
        <v>98</v>
      </c>
      <c r="C7999" s="6" t="n">
        <f aca="false">SUM(Sens!F7998:K7998)</f>
        <v>604.142705769583</v>
      </c>
    </row>
    <row r="8000" customFormat="false" ht="17.15" hidden="false" customHeight="false" outlineLevel="0" collapsed="false">
      <c r="A8000" s="1" t="s">
        <v>1222</v>
      </c>
      <c r="B8000" s="0" t="s">
        <v>98</v>
      </c>
      <c r="C8000" s="6" t="n">
        <f aca="false">Sens!K7936*(1+g_tv)*(1-tax_f)</f>
        <v>317.138816736805</v>
      </c>
    </row>
    <row r="8001" customFormat="false" ht="17.15" hidden="false" customHeight="false" outlineLevel="0" collapsed="false">
      <c r="A8001" s="1" t="s">
        <v>1223</v>
      </c>
      <c r="B8001" s="0" t="s">
        <v>98</v>
      </c>
      <c r="C8001" s="6" t="n">
        <f aca="false">Sens!$C$8000*(1-g_tv/(wacc+ronic_prem))</f>
        <v>224.711387241569</v>
      </c>
    </row>
    <row r="8002" customFormat="false" ht="17.15" hidden="false" customHeight="false" outlineLevel="0" collapsed="false">
      <c r="A8002" s="1" t="s">
        <v>1224</v>
      </c>
      <c r="B8002" s="0" t="s">
        <v>98</v>
      </c>
      <c r="C8002" s="6" t="n">
        <f aca="false">Sens!$C$8001/(wacc-g_tv)</f>
        <v>3080.91431650787</v>
      </c>
    </row>
    <row r="8003" customFormat="false" ht="15" hidden="false" customHeight="false" outlineLevel="0" collapsed="false">
      <c r="A8003" s="1" t="s">
        <v>1225</v>
      </c>
      <c r="B8003" s="0" t="s">
        <v>98</v>
      </c>
      <c r="C8003" s="6" t="n">
        <f aca="false">Sens!$C$8002/(1+wacc)^Sens!K7994</f>
        <v>1754.29012489875</v>
      </c>
    </row>
    <row r="8004" customFormat="false" ht="17.15" hidden="false" customHeight="false" outlineLevel="0" collapsed="false">
      <c r="A8004" s="0" t="s">
        <v>1226</v>
      </c>
      <c r="B8004" s="0" t="s">
        <v>98</v>
      </c>
      <c r="C8004" s="6" t="n">
        <f aca="false">Sens!$C$7999+Sens!$C$8003</f>
        <v>2358.43283066833</v>
      </c>
    </row>
    <row r="8005" customFormat="false" ht="15" hidden="false" customHeight="false" outlineLevel="0" collapsed="false">
      <c r="A8005" s="1" t="s">
        <v>1141</v>
      </c>
      <c r="B8005" s="0" t="s">
        <v>168</v>
      </c>
      <c r="C8005" s="7" t="n">
        <f aca="false">Sens!$C$8003/Sens!$C$8004</f>
        <v>0.743837221940987</v>
      </c>
    </row>
    <row r="8006" customFormat="false" ht="17.15" hidden="false" customHeight="false" outlineLevel="0" collapsed="false">
      <c r="A8006" s="1" t="s">
        <v>1227</v>
      </c>
      <c r="B8006" s="0" t="s">
        <v>98</v>
      </c>
      <c r="C8006" s="6" t="n">
        <f aca="false">Sens!$C$8004+cash_val-debt_val-fl_val+oai_v</f>
        <v>2474.28383066833</v>
      </c>
    </row>
    <row r="8007" customFormat="false" ht="17.15" hidden="false" customHeight="false" outlineLevel="0" collapsed="false">
      <c r="A8007" s="0" t="s">
        <v>1149</v>
      </c>
      <c r="B8007" s="0" t="s">
        <v>75</v>
      </c>
      <c r="C8007" s="5" t="n">
        <f aca="false">Sens!$C$8006/shd_val</f>
        <v>332.297049512266</v>
      </c>
    </row>
    <row r="8008" customFormat="false" ht="15" hidden="false" customHeight="false" outlineLevel="0" collapsed="false">
      <c r="A8008" s="1" t="s">
        <v>1228</v>
      </c>
      <c r="B8008" s="0" t="s">
        <v>75</v>
      </c>
      <c r="C8008" s="8" t="n">
        <f aca="false">div_rem27+Sens!G7976*roll_div_q/q_per_yr</f>
        <v>3.9795</v>
      </c>
    </row>
    <row r="8009" customFormat="false" ht="17.15" hidden="false" customHeight="false" outlineLevel="0" collapsed="false">
      <c r="A8009" s="0" t="s">
        <v>1229</v>
      </c>
      <c r="B8009" s="0" t="s">
        <v>75</v>
      </c>
      <c r="C8009" s="5" t="n">
        <f aca="false">Sens!$C$8007*(1+wacc)^t_roll-Sens!$C$8008</f>
        <v>365.387216278386</v>
      </c>
    </row>
    <row r="8010" customFormat="false" ht="17.15" hidden="false" customHeight="false" outlineLevel="0" collapsed="false">
      <c r="A8010" s="1" t="s">
        <v>1230</v>
      </c>
      <c r="B8010" s="0" t="s">
        <v>168</v>
      </c>
      <c r="F8010" s="7" t="n">
        <f aca="false">Sens!F7962/(Sens!F7907-Sens!F7862)</f>
        <v>0.0691329766131482</v>
      </c>
      <c r="G8010" s="7" t="n">
        <f aca="false">Sens!G7962/(Sens!G7907-Sens!G7862)</f>
        <v>0.0661235515668114</v>
      </c>
      <c r="H8010" s="7" t="n">
        <f aca="false">Sens!H7962/(Sens!H7907-Sens!H7862)</f>
        <v>0.0645241930550442</v>
      </c>
      <c r="I8010" s="7" t="n">
        <f aca="false">Sens!I7962/(Sens!I7907-Sens!I7862)</f>
        <v>0.0642052136596438</v>
      </c>
      <c r="J8010" s="7" t="n">
        <f aca="false">Sens!J7962/(Sens!J7907-Sens!J7862)</f>
        <v>0.0648629815912675</v>
      </c>
      <c r="K8010" s="7" t="n">
        <f aca="false">Sens!K7962/(Sens!K7907-Sens!K7862)</f>
        <v>0.066125380676335</v>
      </c>
    </row>
    <row r="8011" customFormat="false" ht="17.15" hidden="false" customHeight="false" outlineLevel="0" collapsed="false">
      <c r="A8011" s="0" t="s">
        <v>1231</v>
      </c>
      <c r="B8011" s="0" t="s">
        <v>98</v>
      </c>
      <c r="F8011" s="6" t="n">
        <f aca="false">Sens!F7892*(al_m365+Sens!F8010+sbc_r)</f>
        <v>82.5511269108914</v>
      </c>
      <c r="G8011" s="6" t="n">
        <f aca="false">Sens!G7892*(al_m365+Sens!G8010+sbc_r)</f>
        <v>95.3254827067308</v>
      </c>
      <c r="H8011" s="6" t="n">
        <f aca="false">Sens!H7892*(al_m365+Sens!H8010+sbc_r)</f>
        <v>108.262178339511</v>
      </c>
      <c r="I8011" s="6" t="n">
        <f aca="false">Sens!I7892*(al_m365+Sens!I8010+sbc_r)</f>
        <v>120.099726177485</v>
      </c>
      <c r="J8011" s="6" t="n">
        <f aca="false">Sens!J7892*(al_m365+Sens!J8010+sbc_r)</f>
        <v>130.650261495394</v>
      </c>
      <c r="K8011" s="6" t="n">
        <f aca="false">Sens!K7892*(al_m365+Sens!K8010+sbc_r)</f>
        <v>140.810672692025</v>
      </c>
      <c r="L8011" s="12" t="s">
        <v>1232</v>
      </c>
    </row>
    <row r="8012" customFormat="false" ht="17.15" hidden="false" customHeight="false" outlineLevel="0" collapsed="false">
      <c r="A8012" s="0" t="s">
        <v>1233</v>
      </c>
      <c r="B8012" s="0" t="s">
        <v>98</v>
      </c>
      <c r="F8012" s="6" t="n">
        <f aca="false">Sens!F7893*(al_lic+Sens!F8010+sbc_r)</f>
        <v>32.8774730243591</v>
      </c>
      <c r="G8012" s="6" t="n">
        <f aca="false">Sens!G7893*(al_lic+Sens!G8010+sbc_r)</f>
        <v>34.1492374758639</v>
      </c>
      <c r="H8012" s="6" t="n">
        <f aca="false">Sens!H7893*(al_lic+Sens!H8010+sbc_r)</f>
        <v>35.3381591093781</v>
      </c>
      <c r="I8012" s="6" t="n">
        <f aca="false">Sens!I7893*(al_lic+Sens!I8010+sbc_r)</f>
        <v>36.4260811551095</v>
      </c>
      <c r="J8012" s="6" t="n">
        <f aca="false">Sens!J7893*(al_lic+Sens!J8010+sbc_r)</f>
        <v>37.3869369311188</v>
      </c>
      <c r="K8012" s="6" t="n">
        <f aca="false">Sens!K7893*(al_lic+Sens!K8010+sbc_r)</f>
        <v>38.1911631206567</v>
      </c>
    </row>
    <row r="8013" customFormat="false" ht="17.15" hidden="false" customHeight="false" outlineLevel="0" collapsed="false">
      <c r="A8013" s="0" t="s">
        <v>1234</v>
      </c>
      <c r="B8013" s="0" t="s">
        <v>98</v>
      </c>
      <c r="F8013" s="6" t="n">
        <f aca="false">Sens!F7895*(al_ind+Sens!F8010+sbc_r)</f>
        <v>9.07187435455073</v>
      </c>
      <c r="G8013" s="6" t="n">
        <f aca="false">Sens!G7895*(al_ind+Sens!G8010+sbc_r)</f>
        <v>9.84326993702771</v>
      </c>
      <c r="H8013" s="6" t="n">
        <f aca="false">Sens!H7895*(al_ind+Sens!H8010+sbc_r)</f>
        <v>10.6605870886961</v>
      </c>
      <c r="I8013" s="6" t="n">
        <f aca="false">Sens!I7895*(al_ind+Sens!I8010+sbc_r)</f>
        <v>11.5209344681832</v>
      </c>
      <c r="J8013" s="6" t="n">
        <f aca="false">Sens!J7895*(al_ind+Sens!J8010+sbc_r)</f>
        <v>12.4143025488208</v>
      </c>
      <c r="K8013" s="6" t="n">
        <f aca="false">Sens!K7895*(al_ind+Sens!K8010+sbc_r)</f>
        <v>13.3249917701092</v>
      </c>
    </row>
    <row r="8014" customFormat="false" ht="17.15" hidden="false" customHeight="false" outlineLevel="0" collapsed="false">
      <c r="A8014" s="0" t="s">
        <v>1235</v>
      </c>
      <c r="B8014" s="0" t="s">
        <v>98</v>
      </c>
      <c r="F8014" s="6" t="n">
        <f aca="false">Sens!F7897*(al_fro+Sens!F8010+sbc_r)</f>
        <v>3.55852374719836</v>
      </c>
      <c r="G8014" s="6" t="n">
        <f aca="false">Sens!G7897*(al_fro+Sens!G8010+sbc_r)</f>
        <v>3.76632356418647</v>
      </c>
      <c r="H8014" s="6" t="n">
        <f aca="false">Sens!H7897*(al_fro+Sens!H8010+sbc_r)</f>
        <v>4.00355079625146</v>
      </c>
      <c r="I8014" s="6" t="n">
        <f aca="false">Sens!I7897*(al_fro+Sens!I8010+sbc_r)</f>
        <v>4.27297607666082</v>
      </c>
      <c r="J8014" s="6" t="n">
        <f aca="false">Sens!J7897*(al_fro+Sens!J8010+sbc_r)</f>
        <v>4.57560199119137</v>
      </c>
      <c r="K8014" s="6" t="n">
        <f aca="false">Sens!K7897*(al_fro+Sens!K8010+sbc_r)</f>
        <v>4.91125930241739</v>
      </c>
    </row>
    <row r="8015" customFormat="false" ht="17.15" hidden="false" customHeight="false" outlineLevel="0" collapsed="false">
      <c r="A8015" s="0" t="s">
        <v>1236</v>
      </c>
      <c r="B8015" s="0" t="s">
        <v>98</v>
      </c>
      <c r="F8015" s="6" t="n">
        <f aca="false">Sens!F7900*(al_srch+Sens!F8010+sbc_r)</f>
        <v>11.2032394552779</v>
      </c>
      <c r="G8015" s="6" t="n">
        <f aca="false">Sens!G7900*(al_srch+Sens!G8010+sbc_r)</f>
        <v>12.2705636694727</v>
      </c>
      <c r="H8015" s="6" t="n">
        <f aca="false">Sens!H7900*(al_srch+Sens!H8010+sbc_r)</f>
        <v>13.3839696984372</v>
      </c>
      <c r="I8015" s="6" t="n">
        <f aca="false">Sens!I7900*(al_srch+Sens!I8010+sbc_r)</f>
        <v>14.5330704433489</v>
      </c>
      <c r="J8015" s="6" t="n">
        <f aca="false">Sens!J7900*(al_srch+Sens!J8010+sbc_r)</f>
        <v>15.6975437313172</v>
      </c>
      <c r="K8015" s="6" t="n">
        <f aca="false">Sens!K7900*(al_srch+Sens!K8010+sbc_r)</f>
        <v>16.8490851747928</v>
      </c>
    </row>
    <row r="8016" customFormat="false" ht="17.15" hidden="false" customHeight="false" outlineLevel="0" collapsed="false">
      <c r="A8016" s="0" t="s">
        <v>1237</v>
      </c>
      <c r="B8016" s="0" t="s">
        <v>98</v>
      </c>
      <c r="F8016" s="6" t="n">
        <f aca="false">Sens!F7868-Sens!F7869+Sens!F7950</f>
        <v>47.5364768430963</v>
      </c>
      <c r="G8016" s="6" t="n">
        <f aca="false">Sens!G7868-Sens!G7869+Sens!G7950</f>
        <v>94.6833680663498</v>
      </c>
      <c r="H8016" s="6" t="n">
        <f aca="false">Sens!H7868-Sens!H7869+Sens!H7950</f>
        <v>149.6533762996</v>
      </c>
      <c r="I8016" s="6" t="n">
        <f aca="false">Sens!I7868-Sens!I7869+Sens!I7950</f>
        <v>193.25225778921</v>
      </c>
      <c r="J8016" s="6" t="n">
        <f aca="false">Sens!J7868-Sens!J7869+Sens!J7950</f>
        <v>223.84121391592</v>
      </c>
      <c r="K8016" s="6" t="n">
        <f aca="false">Sens!K7868-Sens!K7869+Sens!K7950</f>
        <v>242.487403655997</v>
      </c>
    </row>
    <row r="8017" customFormat="false" ht="17.15" hidden="false" customHeight="false" outlineLevel="0" collapsed="false">
      <c r="A8017" s="0" t="s">
        <v>1238</v>
      </c>
      <c r="B8017" s="0" t="s">
        <v>98</v>
      </c>
      <c r="F8017" s="6" t="n">
        <f aca="false">Sens!F7929+Sens!F7950+Sens!F7880+Sens!F8010*(Sens!F7899-Sens!F7862)+sbc_r*Sens!F7899</f>
        <v>241.22253296267</v>
      </c>
      <c r="G8017" s="6" t="n">
        <f aca="false">Sens!G7929+Sens!G7950+Sens!G7880+Sens!G8010*(Sens!G7899-Sens!G7862)+sbc_r*Sens!G7899</f>
        <v>312.157396870583</v>
      </c>
      <c r="H8017" s="6" t="n">
        <f aca="false">Sens!H7929+Sens!H7950+Sens!H7880+Sens!H8010*(Sens!H7899-Sens!H7862)+sbc_r*Sens!H7899</f>
        <v>395.616128519532</v>
      </c>
      <c r="I8017" s="6" t="n">
        <f aca="false">Sens!I7929+Sens!I7950+Sens!I7880+Sens!I8010*(Sens!I7899-Sens!I7862)+sbc_r*Sens!I7899</f>
        <v>465.989596305504</v>
      </c>
      <c r="J8017" s="6" t="n">
        <f aca="false">Sens!J7929+Sens!J7950+Sens!J7880+Sens!J8010*(Sens!J7899-Sens!J7862)+sbc_r*Sens!J7899</f>
        <v>520.756179121152</v>
      </c>
      <c r="K8017" s="6" t="n">
        <f aca="false">Sens!K7929+Sens!K7950+Sens!K7880+Sens!K8010*(Sens!K7899-Sens!K7862)+sbc_r*Sens!K7899</f>
        <v>561.138155541889</v>
      </c>
    </row>
    <row r="8018" customFormat="false" ht="17.15" hidden="false" customHeight="false" outlineLevel="0" collapsed="false">
      <c r="A8018" s="0" t="s">
        <v>1239</v>
      </c>
      <c r="B8018" s="0" t="s">
        <v>98</v>
      </c>
      <c r="F8018" s="6" t="n">
        <f aca="false">Sens!F8017-Sens!F8011-Sens!F8012-Sens!F8013-Sens!F8014-Sens!F8016</f>
        <v>65.627058082574</v>
      </c>
      <c r="G8018" s="6" t="n">
        <f aca="false">Sens!G8017-Sens!G8011-Sens!G8012-Sens!G8013-Sens!G8014-Sens!G8016</f>
        <v>74.389715120424</v>
      </c>
      <c r="H8018" s="6" t="n">
        <f aca="false">Sens!H8017-Sens!H8011-Sens!H8012-Sens!H8013-Sens!H8014-Sens!H8016</f>
        <v>87.6982768860949</v>
      </c>
      <c r="I8018" s="6" t="n">
        <f aca="false">Sens!I8017-Sens!I8011-Sens!I8012-Sens!I8013-Sens!I8014-Sens!I8016</f>
        <v>100.417620638855</v>
      </c>
      <c r="J8018" s="6" t="n">
        <f aca="false">Sens!J8017-Sens!J8011-Sens!J8012-Sens!J8013-Sens!J8014-Sens!J8016</f>
        <v>111.887862238708</v>
      </c>
      <c r="K8018" s="6" t="n">
        <f aca="false">Sens!K8017-Sens!K8011-Sens!K8012-Sens!K8013-Sens!K8014-Sens!K8016</f>
        <v>121.412665000684</v>
      </c>
    </row>
    <row r="8019" customFormat="false" ht="17.15" hidden="false" customHeight="false" outlineLevel="0" collapsed="false">
      <c r="A8019" s="0" t="s">
        <v>1240</v>
      </c>
      <c r="B8019" s="0" t="s">
        <v>98</v>
      </c>
      <c r="F8019" s="6" t="n">
        <f aca="false">Sens!F7931+Sens!F8010*Sens!F7906+sbc_r*Sens!F7906</f>
        <v>26.6666501219579</v>
      </c>
      <c r="G8019" s="6" t="n">
        <f aca="false">Sens!G7931+Sens!G8010*Sens!G7906+sbc_r*Sens!G7906</f>
        <v>26.4913187954126</v>
      </c>
      <c r="H8019" s="6" t="n">
        <f aca="false">Sens!H7931+Sens!H8010*Sens!H7906+sbc_r*Sens!H7906</f>
        <v>27.3560440201884</v>
      </c>
      <c r="I8019" s="6" t="n">
        <f aca="false">Sens!I7931+Sens!I8010*Sens!I7906+sbc_r*Sens!I7906</f>
        <v>28.4601524194391</v>
      </c>
      <c r="J8019" s="6" t="n">
        <f aca="false">Sens!J7931+Sens!J8010*Sens!J7906+sbc_r*Sens!J7906</f>
        <v>29.7672798274231</v>
      </c>
      <c r="K8019" s="6" t="n">
        <f aca="false">Sens!K7931+Sens!K8010*Sens!K7906+sbc_r*Sens!K7906</f>
        <v>31.2387629239518</v>
      </c>
    </row>
    <row r="8020" customFormat="false" ht="17.15" hidden="false" customHeight="false" outlineLevel="0" collapsed="false">
      <c r="A8020" s="0" t="s">
        <v>1241</v>
      </c>
      <c r="B8020" s="0" t="s">
        <v>98</v>
      </c>
      <c r="F8020" s="6" t="n">
        <f aca="false">(Sens!F8019-Sens!F8015)*Sens!F7902/(Sens!F7902+Sens!F7904)</f>
        <v>8.73351041124819</v>
      </c>
      <c r="G8020" s="6" t="n">
        <f aca="false">(Sens!G8019-Sens!G8015)*Sens!G7902/(Sens!G7902+Sens!G7904)</f>
        <v>7.89364185385634</v>
      </c>
      <c r="H8020" s="6" t="n">
        <f aca="false">(Sens!H8019-Sens!H8015)*Sens!H7902/(Sens!H7902+Sens!H7904)</f>
        <v>7.65457181169443</v>
      </c>
      <c r="I8020" s="6" t="n">
        <f aca="false">(Sens!I8019-Sens!I8015)*Sens!I7902/(Sens!I7902+Sens!I7904)</f>
        <v>7.56332541848569</v>
      </c>
      <c r="J8020" s="6" t="n">
        <f aca="false">(Sens!J8019-Sens!J8015)*Sens!J7902/(Sens!J7902+Sens!J7904)</f>
        <v>7.60745959667435</v>
      </c>
      <c r="K8020" s="6" t="n">
        <f aca="false">(Sens!K8019-Sens!K8015)*Sens!K7902/(Sens!K7902+Sens!K7904)</f>
        <v>7.78045098629731</v>
      </c>
    </row>
    <row r="8021" customFormat="false" ht="17.15" hidden="false" customHeight="false" outlineLevel="0" collapsed="false">
      <c r="A8021" s="0" t="s">
        <v>1242</v>
      </c>
      <c r="B8021" s="0" t="s">
        <v>98</v>
      </c>
      <c r="F8021" s="6" t="n">
        <f aca="false">Sens!F8019-Sens!F8015-Sens!F8020</f>
        <v>6.72990025543183</v>
      </c>
      <c r="G8021" s="6" t="n">
        <f aca="false">Sens!G8019-Sens!G8015-Sens!G8020</f>
        <v>6.32711327208361</v>
      </c>
      <c r="H8021" s="6" t="n">
        <f aca="false">Sens!H8019-Sens!H8015-Sens!H8020</f>
        <v>6.31750251005673</v>
      </c>
      <c r="I8021" s="6" t="n">
        <f aca="false">Sens!I8019-Sens!I8015-Sens!I8020</f>
        <v>6.36375655760453</v>
      </c>
      <c r="J8021" s="6" t="n">
        <f aca="false">Sens!J8019-Sens!J8015-Sens!J8020</f>
        <v>6.46227649943161</v>
      </c>
      <c r="K8021" s="6" t="n">
        <f aca="false">Sens!K8019-Sens!K8015-Sens!K8020</f>
        <v>6.60922676286162</v>
      </c>
    </row>
    <row r="8022" customFormat="false" ht="17.15" hidden="false" customHeight="false" outlineLevel="0" collapsed="false">
      <c r="A8022" s="0" t="s">
        <v>1243</v>
      </c>
      <c r="B8022" s="0" t="s">
        <v>98</v>
      </c>
      <c r="F8022" s="6" t="n">
        <f aca="false">Sens!F8016-tax_f*(Sens!F8016-Sens!F7880)-Sens!F7877</f>
        <v>-123.508859671972</v>
      </c>
      <c r="G8022" s="6" t="n">
        <f aca="false">Sens!G8016-tax_f*(Sens!G8016-Sens!G7880)-Sens!G7877</f>
        <v>-104.050883065509</v>
      </c>
      <c r="H8022" s="6" t="n">
        <f aca="false">Sens!H8016-tax_f*(Sens!H8016-Sens!H7880)-Sens!H7877</f>
        <v>-59.2632848925432</v>
      </c>
      <c r="I8022" s="6" t="n">
        <f aca="false">Sens!I8016-tax_f*(Sens!I8016-Sens!I7880)-Sens!I7877</f>
        <v>8.83317454866767</v>
      </c>
      <c r="J8022" s="6" t="n">
        <f aca="false">Sens!J8016-tax_f*(Sens!J8016-Sens!J7880)-Sens!J7877</f>
        <v>76.5461745467148</v>
      </c>
      <c r="K8022" s="6" t="n">
        <f aca="false">Sens!K8016-tax_f*(Sens!K8016-Sens!K7880)-Sens!K7877</f>
        <v>103.629603770252</v>
      </c>
    </row>
    <row r="8023" customFormat="false" ht="17.15" hidden="false" customHeight="false" outlineLevel="0" collapsed="false">
      <c r="A8023" s="0" t="s">
        <v>1244</v>
      </c>
      <c r="B8023" s="0" t="s">
        <v>98</v>
      </c>
      <c r="G8023" s="6" t="n">
        <f aca="false">Sens!G8022/(1+wacc)^(Sens!G7993-Sens!F7994)</f>
        <v>-99.0764638693946</v>
      </c>
      <c r="H8023" s="6" t="n">
        <f aca="false">Sens!H8022/(1+wacc)^(Sens!H7993-Sens!F7994)</f>
        <v>-51.1634595333424</v>
      </c>
      <c r="I8023" s="6" t="n">
        <f aca="false">Sens!I8022/(1+wacc)^(Sens!I7993-Sens!F7994)</f>
        <v>6.91417630937437</v>
      </c>
      <c r="J8023" s="6" t="n">
        <f aca="false">Sens!J8022/(1+wacc)^(Sens!J7993-Sens!F7994)</f>
        <v>54.3246057984945</v>
      </c>
      <c r="K8023" s="6" t="n">
        <f aca="false">Sens!K8022/(1+wacc)^(Sens!K7993-Sens!F7994)</f>
        <v>66.6816572294281</v>
      </c>
      <c r="L8023" s="1" t="s">
        <v>1245</v>
      </c>
    </row>
    <row r="8024" customFormat="false" ht="17.15" hidden="false" customHeight="false" outlineLevel="0" collapsed="false">
      <c r="A8024" s="0" t="s">
        <v>1246</v>
      </c>
      <c r="B8024" s="0" t="s">
        <v>98</v>
      </c>
      <c r="C8024" s="6" t="n">
        <f aca="false">(Sens!K8016-Sens!K7880)*(1-tax_f)*(1+g_tv)*(1-g_tv/(wacc+ronic_prem))/(wacc-g_tv)/(1+wacc)^(Sens!K7994-Sens!F7994)</f>
        <v>487.885029311309</v>
      </c>
    </row>
    <row r="8025" customFormat="false" ht="17.15" hidden="false" customHeight="false" outlineLevel="0" collapsed="false">
      <c r="A8025" s="1" t="s">
        <v>1247</v>
      </c>
      <c r="B8025" s="0" t="s">
        <v>98</v>
      </c>
      <c r="C8025" s="6" t="n">
        <f aca="false">(SUM(Sens!G8023:K8023)+Sens!$C$8024)*(1+wacc)^(t_roll-Sens!F7994)</f>
        <v>480.935271869149</v>
      </c>
      <c r="L8025" s="12" t="s">
        <v>1248</v>
      </c>
    </row>
    <row r="8026" customFormat="false" ht="17.15" hidden="false" customHeight="false" outlineLevel="0" collapsed="false">
      <c r="A8026" s="1" t="s">
        <v>1249</v>
      </c>
      <c r="B8026" s="0" t="s">
        <v>98</v>
      </c>
      <c r="C8026" s="6" t="n">
        <f aca="false">(w_ntm28*Sens!G7868+(1-w_ntm28)*Sens!H7868)*m_ai</f>
        <v>563.316843258668</v>
      </c>
    </row>
    <row r="8027" customFormat="false" ht="17.15" hidden="false" customHeight="false" outlineLevel="0" collapsed="false">
      <c r="A8027" s="1" t="s">
        <v>1250</v>
      </c>
      <c r="B8027" s="0" t="s">
        <v>98</v>
      </c>
      <c r="C8027" s="6" t="n">
        <f aca="false">(w_ntm28*Sens!G8018+(1-w_ntm28)*Sens!H8018)*m_cloud</f>
        <v>1088.53413373738</v>
      </c>
    </row>
    <row r="8028" customFormat="false" ht="17.15" hidden="false" customHeight="false" outlineLevel="0" collapsed="false">
      <c r="A8028" s="1" t="s">
        <v>1251</v>
      </c>
      <c r="B8028" s="0" t="s">
        <v>98</v>
      </c>
      <c r="C8028" s="6" t="n">
        <f aca="false">(w_ntm28*Sens!G8011+(1-w_ntm28)*Sens!H8011)*m_sw</f>
        <v>1075.4493434795</v>
      </c>
    </row>
    <row r="8029" customFormat="false" ht="17.15" hidden="false" customHeight="false" outlineLevel="0" collapsed="false">
      <c r="A8029" s="1" t="s">
        <v>1252</v>
      </c>
      <c r="B8029" s="0" t="s">
        <v>98</v>
      </c>
      <c r="C8029" s="6" t="n">
        <f aca="false">(w_ntm28*Sens!G8012+(1-w_ntm28)*Sens!H8012)*m_sw</f>
        <v>373.033250868191</v>
      </c>
    </row>
    <row r="8030" customFormat="false" ht="17.15" hidden="false" customHeight="false" outlineLevel="0" collapsed="false">
      <c r="A8030" s="1" t="s">
        <v>1253</v>
      </c>
      <c r="B8030" s="0" t="s">
        <v>98</v>
      </c>
      <c r="C8030" s="6" t="n">
        <f aca="false">(w_ntm28*Sens!G8013+(1-w_ntm28)*Sens!H8013)*m_sw</f>
        <v>109.20935101459</v>
      </c>
    </row>
    <row r="8031" customFormat="false" ht="17.15" hidden="false" customHeight="false" outlineLevel="0" collapsed="false">
      <c r="A8031" s="1" t="s">
        <v>1254</v>
      </c>
      <c r="B8031" s="0" t="s">
        <v>98</v>
      </c>
      <c r="C8031" s="6" t="n">
        <f aca="false">(w_ntm28*Sens!G8014+(1-w_ntm28)*Sens!H8014)*m_sw</f>
        <v>41.5186136514502</v>
      </c>
    </row>
    <row r="8032" customFormat="false" ht="17.15" hidden="false" customHeight="false" outlineLevel="0" collapsed="false">
      <c r="A8032" s="1" t="s">
        <v>1255</v>
      </c>
      <c r="B8032" s="0" t="s">
        <v>98</v>
      </c>
      <c r="C8032" s="6" t="n">
        <f aca="false">(w_ntm28*Sens!G8015+(1-w_ntm28)*Sens!H8015)*m_ads</f>
        <v>115.119562346332</v>
      </c>
    </row>
    <row r="8033" customFormat="false" ht="17.15" hidden="false" customHeight="false" outlineLevel="0" collapsed="false">
      <c r="A8033" s="1" t="s">
        <v>1256</v>
      </c>
      <c r="B8033" s="0" t="s">
        <v>98</v>
      </c>
      <c r="C8033" s="6" t="n">
        <f aca="false">(w_ntm28*Sens!G8020+(1-w_ntm28)*Sens!H8020)*m_game</f>
        <v>98.7039992007793</v>
      </c>
    </row>
    <row r="8034" customFormat="false" ht="17.15" hidden="false" customHeight="false" outlineLevel="0" collapsed="false">
      <c r="A8034" s="1" t="s">
        <v>1257</v>
      </c>
      <c r="B8034" s="0" t="s">
        <v>98</v>
      </c>
      <c r="C8034" s="6" t="n">
        <f aca="false">(w_ntm28*Sens!G8021+(1-w_ntm28)*Sens!H8021)*m_pc</f>
        <v>91.5076081506568</v>
      </c>
    </row>
    <row r="8035" customFormat="false" ht="17.15" hidden="false" customHeight="false" outlineLevel="0" collapsed="false">
      <c r="A8035" s="1" t="s">
        <v>1258</v>
      </c>
      <c r="B8035" s="0" t="s">
        <v>98</v>
      </c>
      <c r="C8035" s="6" t="n">
        <f aca="false">Sens!$C$8025+Sens!$C$8027+Sens!$C$8028+Sens!$C$8029+Sens!$C$8030+Sens!$C$8031+Sens!$C$8032+Sens!$C$8033+Sens!$C$8034</f>
        <v>3474.01113431802</v>
      </c>
    </row>
    <row r="8036" customFormat="false" ht="17.15" hidden="false" customHeight="false" outlineLevel="0" collapsed="false">
      <c r="A8036" s="1" t="s">
        <v>1259</v>
      </c>
      <c r="B8036" s="0" t="s">
        <v>98</v>
      </c>
      <c r="C8036" s="6" t="n">
        <f aca="false">(Sens!G7997-Sens!G8022)*t_stub</f>
        <v>47.6313281014012</v>
      </c>
      <c r="L8036" s="1" t="s">
        <v>1260</v>
      </c>
    </row>
    <row r="8037" customFormat="false" ht="17.15" hidden="false" customHeight="false" outlineLevel="0" collapsed="false">
      <c r="A8037" s="1" t="s">
        <v>1169</v>
      </c>
      <c r="B8037" s="0" t="s">
        <v>98</v>
      </c>
      <c r="C8037" s="6" t="n">
        <f aca="false">Sens!F7984+oai_v-Sens!F7973+Sens!$C$8036</f>
        <v>161.859598101401</v>
      </c>
      <c r="L8037" s="1" t="s">
        <v>1261</v>
      </c>
    </row>
    <row r="8038" customFormat="false" ht="17.15" hidden="false" customHeight="false" outlineLevel="0" collapsed="false">
      <c r="A8038" s="1" t="s">
        <v>1262</v>
      </c>
      <c r="B8038" s="0" t="s">
        <v>75</v>
      </c>
      <c r="C8038" s="5" t="n">
        <f aca="false">(Sens!$C$8035+Sens!$C$8037)/(Sens!F7986+dil_gap)-Sens!G7976*roll_div_q/q_per_yr</f>
        <v>484.209559845212</v>
      </c>
      <c r="L8038" s="1" t="s">
        <v>1263</v>
      </c>
    </row>
    <row r="8039" customFormat="false" ht="17.15" hidden="false" customHeight="false" outlineLevel="0" collapsed="false">
      <c r="A8039" s="1" t="s">
        <v>1264</v>
      </c>
      <c r="B8039" s="0" t="s">
        <v>75</v>
      </c>
      <c r="C8039" s="5" t="n">
        <f aca="false">w_dcf*Sens!$C$8009+(1-w_dcf)*Sens!$C$8038</f>
        <v>424.798388061799</v>
      </c>
    </row>
    <row r="8040" customFormat="false" ht="17.15" hidden="false" customHeight="false" outlineLevel="0" collapsed="false">
      <c r="A8040" s="3" t="s">
        <v>1680</v>
      </c>
    </row>
    <row r="8041" customFormat="false" ht="15" hidden="false" customHeight="false" outlineLevel="0" collapsed="false">
      <c r="A8041" s="4" t="s">
        <v>43</v>
      </c>
      <c r="B8041" s="4" t="s">
        <v>65</v>
      </c>
      <c r="C8041" s="23" t="s">
        <v>938</v>
      </c>
      <c r="D8041" s="23" t="s">
        <v>939</v>
      </c>
      <c r="E8041" s="23" t="s">
        <v>940</v>
      </c>
      <c r="F8041" s="23" t="s">
        <v>941</v>
      </c>
      <c r="G8041" s="23" t="s">
        <v>942</v>
      </c>
      <c r="H8041" s="23" t="s">
        <v>943</v>
      </c>
      <c r="I8041" s="23" t="s">
        <v>944</v>
      </c>
      <c r="J8041" s="23" t="s">
        <v>945</v>
      </c>
      <c r="K8041" s="23" t="s">
        <v>946</v>
      </c>
      <c r="L8041" s="4" t="s">
        <v>47</v>
      </c>
    </row>
    <row r="8042" customFormat="false" ht="17.15" hidden="false" customHeight="false" outlineLevel="0" collapsed="false">
      <c r="A8042" s="1" t="s">
        <v>947</v>
      </c>
      <c r="B8042" s="1" t="s">
        <v>279</v>
      </c>
      <c r="C8042" s="21" t="n">
        <v>2024</v>
      </c>
      <c r="D8042" s="21" t="n">
        <v>2025</v>
      </c>
      <c r="E8042" s="21" t="n">
        <v>2026</v>
      </c>
      <c r="F8042" s="21" t="n">
        <v>2027</v>
      </c>
      <c r="G8042" s="21" t="n">
        <v>2028</v>
      </c>
      <c r="H8042" s="21" t="n">
        <v>2029</v>
      </c>
      <c r="I8042" s="21" t="n">
        <v>2030</v>
      </c>
      <c r="J8042" s="21" t="n">
        <v>2031</v>
      </c>
      <c r="K8042" s="21" t="n">
        <v>2032</v>
      </c>
    </row>
    <row r="8043" customFormat="false" ht="17.15" hidden="false" customHeight="false" outlineLevel="0" collapsed="false">
      <c r="A8043" s="1" t="s">
        <v>948</v>
      </c>
      <c r="B8043" s="0" t="s">
        <v>456</v>
      </c>
      <c r="F8043" s="30" t="n">
        <f aca="false">pace</f>
        <v>2726.5351</v>
      </c>
      <c r="G8043" s="30" t="n">
        <f aca="false">pace</f>
        <v>2726.5351</v>
      </c>
      <c r="H8043" s="30" t="n">
        <f aca="false">pace</f>
        <v>2726.5351</v>
      </c>
      <c r="I8043" s="30" t="n">
        <f aca="false">pace+(g_tv*Sens!H8044-pace)*MIN(1,(Sens!I8042-pace_y0)/(pace_y1-pace_y0))</f>
        <v>1931.98611966667</v>
      </c>
      <c r="J8043" s="30" t="n">
        <f aca="false">pace+(g_tv*Sens!I8044-pace)*MIN(1,(Sens!J8042-pace_y0)/(pace_y1-pace_y0))</f>
        <v>1176.07686172667</v>
      </c>
      <c r="K8043" s="30" t="n">
        <f aca="false">pace+(g_tv*Sens!J8044-pace)*MIN(1,(Sens!K8042-pace_y0)/(pace_y1-pace_y0))</f>
        <v>436.1300484418</v>
      </c>
      <c r="L8043" s="12" t="s">
        <v>949</v>
      </c>
    </row>
    <row r="8044" customFormat="false" ht="17.15" hidden="false" customHeight="false" outlineLevel="0" collapsed="false">
      <c r="A8044" s="1" t="s">
        <v>950</v>
      </c>
      <c r="B8044" s="0" t="s">
        <v>456</v>
      </c>
      <c r="C8044" s="30" t="n">
        <f aca="false">mw_ext_24</f>
        <v>640</v>
      </c>
      <c r="D8044" s="30" t="n">
        <f aca="false">mw_ext_25</f>
        <v>1630</v>
      </c>
      <c r="E8044" s="30" t="n">
        <f aca="false">mw_ext_26</f>
        <v>3250</v>
      </c>
      <c r="F8044" s="30" t="n">
        <f aca="false">Sens!E8044+Sens!F8043</f>
        <v>5976.5351</v>
      </c>
      <c r="G8044" s="30" t="n">
        <f aca="false">Sens!F8044+Sens!G8043</f>
        <v>8703.0702</v>
      </c>
      <c r="H8044" s="30" t="n">
        <f aca="false">Sens!G8044+Sens!H8043</f>
        <v>11429.6053</v>
      </c>
      <c r="I8044" s="30" t="n">
        <f aca="false">Sens!H8044+Sens!I8043</f>
        <v>13361.5914196667</v>
      </c>
      <c r="J8044" s="30" t="n">
        <f aca="false">Sens!I8044+Sens!J8043</f>
        <v>14537.6682813933</v>
      </c>
      <c r="K8044" s="30" t="n">
        <f aca="false">Sens!J8044+Sens!K8043</f>
        <v>14973.7983298351</v>
      </c>
      <c r="L8044" s="1" t="s">
        <v>951</v>
      </c>
    </row>
    <row r="8045" customFormat="false" ht="17.15" hidden="false" customHeight="false" outlineLevel="0" collapsed="false">
      <c r="A8045" s="1" t="s">
        <v>952</v>
      </c>
      <c r="B8045" s="0" t="s">
        <v>456</v>
      </c>
      <c r="C8045" s="30" t="n">
        <f aca="false">rent_ext_24</f>
        <v>150</v>
      </c>
      <c r="D8045" s="30" t="n">
        <f aca="false">rent_ext_25</f>
        <v>400</v>
      </c>
      <c r="E8045" s="30" t="n">
        <f aca="false">rent_ext_26</f>
        <v>550</v>
      </c>
      <c r="F8045" s="30" t="n">
        <f aca="false">rent_ext_f</f>
        <v>756</v>
      </c>
      <c r="G8045" s="30" t="n">
        <f aca="false">rent_ext_f</f>
        <v>756</v>
      </c>
      <c r="H8045" s="30" t="n">
        <f aca="false">rent_ext_f</f>
        <v>756</v>
      </c>
      <c r="I8045" s="30" t="n">
        <f aca="false">rent_ext_f</f>
        <v>756</v>
      </c>
      <c r="J8045" s="30" t="n">
        <f aca="false">rent_ext_f</f>
        <v>756</v>
      </c>
      <c r="K8045" s="30" t="n">
        <f aca="false">rent_ext_f</f>
        <v>756</v>
      </c>
      <c r="L8045" s="1" t="s">
        <v>953</v>
      </c>
    </row>
    <row r="8046" customFormat="false" ht="17.15" hidden="false" customHeight="false" outlineLevel="0" collapsed="false">
      <c r="A8046" s="1" t="s">
        <v>954</v>
      </c>
      <c r="B8046" s="0" t="s">
        <v>456</v>
      </c>
      <c r="C8046" s="30" t="n">
        <f aca="false">Sens!C8044-Sens!C8045</f>
        <v>490</v>
      </c>
      <c r="D8046" s="30" t="n">
        <f aca="false">Sens!D8044-Sens!D8045</f>
        <v>1230</v>
      </c>
      <c r="E8046" s="30" t="n">
        <f aca="false">Sens!E8044-Sens!E8045</f>
        <v>2700</v>
      </c>
      <c r="F8046" s="30" t="n">
        <f aca="false">Sens!F8044-Sens!F8045</f>
        <v>5220.5351</v>
      </c>
      <c r="G8046" s="30" t="n">
        <f aca="false">Sens!G8044-Sens!G8045</f>
        <v>7947.0702</v>
      </c>
      <c r="H8046" s="30" t="n">
        <f aca="false">Sens!H8044-Sens!H8045</f>
        <v>10673.6053</v>
      </c>
      <c r="I8046" s="30" t="n">
        <f aca="false">Sens!I8044-Sens!I8045</f>
        <v>12605.5914196667</v>
      </c>
      <c r="J8046" s="30" t="n">
        <f aca="false">Sens!J8044-Sens!J8045</f>
        <v>13781.6682813933</v>
      </c>
      <c r="K8046" s="30" t="n">
        <f aca="false">Sens!K8044-Sens!K8045</f>
        <v>14217.7983298351</v>
      </c>
    </row>
    <row r="8047" customFormat="false" ht="17.15" hidden="false" customHeight="false" outlineLevel="0" collapsed="false">
      <c r="A8047" s="1" t="s">
        <v>955</v>
      </c>
      <c r="B8047" s="0" t="s">
        <v>456</v>
      </c>
      <c r="C8047" s="30" t="n">
        <f aca="false">Sens!C8046/ext_sh</f>
        <v>816.666666666667</v>
      </c>
      <c r="D8047" s="30" t="n">
        <f aca="false">Sens!D8046/ext_sh</f>
        <v>2050</v>
      </c>
      <c r="E8047" s="30" t="n">
        <f aca="false">Sens!E8046/ext_sh</f>
        <v>4500</v>
      </c>
      <c r="F8047" s="30" t="n">
        <f aca="false">Sens!F8046/ext_sh</f>
        <v>8700.89183333333</v>
      </c>
      <c r="G8047" s="30" t="n">
        <f aca="false">Sens!G8046/ext_sh</f>
        <v>13245.117</v>
      </c>
      <c r="H8047" s="30" t="n">
        <f aca="false">Sens!H8046/ext_sh</f>
        <v>17789.3421666667</v>
      </c>
      <c r="I8047" s="30" t="n">
        <f aca="false">Sens!I8046/ext_sh</f>
        <v>21009.3190327778</v>
      </c>
      <c r="J8047" s="30" t="n">
        <f aca="false">Sens!J8046/ext_sh</f>
        <v>22969.4471356556</v>
      </c>
      <c r="K8047" s="30" t="n">
        <f aca="false">Sens!K8046/ext_sh</f>
        <v>23696.3305497252</v>
      </c>
      <c r="L8047" s="1" t="s">
        <v>956</v>
      </c>
    </row>
    <row r="8048" customFormat="false" ht="17.15" hidden="false" customHeight="false" outlineLevel="0" collapsed="false">
      <c r="A8048" s="1" t="s">
        <v>957</v>
      </c>
      <c r="B8048" s="0" t="s">
        <v>456</v>
      </c>
      <c r="C8048" s="30" t="n">
        <f aca="false">Sens!C8047-Sens!C8046</f>
        <v>326.666666666667</v>
      </c>
      <c r="D8048" s="30" t="n">
        <f aca="false">Sens!D8047-Sens!D8046</f>
        <v>820</v>
      </c>
      <c r="E8048" s="30" t="n">
        <f aca="false">Sens!E8047-Sens!E8046</f>
        <v>1800</v>
      </c>
      <c r="F8048" s="30" t="n">
        <f aca="false">Sens!F8047-Sens!F8046</f>
        <v>3480.35673333333</v>
      </c>
      <c r="G8048" s="30" t="n">
        <f aca="false">Sens!G8047-Sens!G8046</f>
        <v>5298.0468</v>
      </c>
      <c r="H8048" s="30" t="n">
        <f aca="false">Sens!H8047-Sens!H8046</f>
        <v>7115.73686666667</v>
      </c>
      <c r="I8048" s="30" t="n">
        <f aca="false">Sens!I8047-Sens!I8046</f>
        <v>8403.72761311111</v>
      </c>
      <c r="J8048" s="30" t="n">
        <f aca="false">Sens!J8047-Sens!J8046</f>
        <v>9187.77885426222</v>
      </c>
      <c r="K8048" s="30" t="n">
        <f aca="false">Sens!K8047-Sens!K8046</f>
        <v>9478.53221989009</v>
      </c>
    </row>
    <row r="8049" customFormat="false" ht="17.15" hidden="false" customHeight="false" outlineLevel="0" collapsed="false">
      <c r="A8049" s="1" t="s">
        <v>958</v>
      </c>
      <c r="B8049" s="0" t="s">
        <v>456</v>
      </c>
      <c r="C8049" s="30" t="n">
        <f aca="false">Sens!C8047</f>
        <v>816.666666666667</v>
      </c>
      <c r="D8049" s="30" t="n">
        <f aca="false">Sens!D8047-Sens!C8047</f>
        <v>1233.33333333333</v>
      </c>
      <c r="E8049" s="30" t="n">
        <f aca="false">Sens!E8047-Sens!D8047</f>
        <v>2450</v>
      </c>
      <c r="F8049" s="30" t="n">
        <f aca="false">Sens!F8047-Sens!E8047</f>
        <v>4200.89183333333</v>
      </c>
      <c r="G8049" s="30" t="n">
        <f aca="false">Sens!G8047-Sens!F8047</f>
        <v>4544.22516666667</v>
      </c>
      <c r="H8049" s="30" t="n">
        <f aca="false">Sens!H8047-Sens!G8047</f>
        <v>4544.22516666667</v>
      </c>
      <c r="I8049" s="30" t="n">
        <f aca="false">Sens!I8047-Sens!H8047</f>
        <v>3219.97686611111</v>
      </c>
      <c r="J8049" s="30" t="n">
        <f aca="false">Sens!J8047-Sens!I8047</f>
        <v>1960.12810287778</v>
      </c>
      <c r="K8049" s="30" t="n">
        <f aca="false">Sens!K8047-Sens!J8047</f>
        <v>726.883414069667</v>
      </c>
    </row>
    <row r="8050" customFormat="false" ht="17.15" hidden="false" customHeight="false" outlineLevel="0" collapsed="false">
      <c r="A8050" s="1" t="s">
        <v>959</v>
      </c>
      <c r="B8050" s="0" t="s">
        <v>456</v>
      </c>
      <c r="D8050" s="30" t="n">
        <f aca="false">Sens!D8044-Sens!C8044</f>
        <v>990</v>
      </c>
      <c r="E8050" s="30" t="n">
        <f aca="false">Sens!E8044-Sens!D8044</f>
        <v>1620</v>
      </c>
      <c r="F8050" s="30" t="n">
        <f aca="false">Sens!F8044-Sens!E8044</f>
        <v>2726.5351</v>
      </c>
      <c r="G8050" s="30" t="n">
        <f aca="false">Sens!G8044-Sens!F8044</f>
        <v>2726.5351</v>
      </c>
      <c r="H8050" s="30" t="n">
        <f aca="false">Sens!H8044-Sens!G8044</f>
        <v>2726.5351</v>
      </c>
      <c r="I8050" s="30" t="n">
        <f aca="false">Sens!I8044-Sens!H8044</f>
        <v>1931.98611966667</v>
      </c>
      <c r="J8050" s="30" t="n">
        <f aca="false">Sens!J8044-Sens!I8044</f>
        <v>1176.07686172667</v>
      </c>
      <c r="K8050" s="30" t="n">
        <f aca="false">Sens!K8044-Sens!J8044</f>
        <v>436.130048441799</v>
      </c>
    </row>
    <row r="8051" customFormat="false" ht="17.15" hidden="false" customHeight="false" outlineLevel="0" collapsed="false">
      <c r="A8051" s="1" t="s">
        <v>960</v>
      </c>
      <c r="B8051" s="0" t="s">
        <v>456</v>
      </c>
      <c r="F8051" s="30" t="n">
        <f aca="false">Sens!F8070*ext_sh</f>
        <v>0</v>
      </c>
      <c r="G8051" s="30" t="n">
        <f aca="false">Sens!G8070*ext_sh</f>
        <v>0</v>
      </c>
      <c r="H8051" s="30" t="n">
        <f aca="false">Sens!H8070*ext_sh</f>
        <v>0</v>
      </c>
      <c r="I8051" s="30" t="n">
        <f aca="false">Sens!I8070*ext_sh</f>
        <v>490</v>
      </c>
      <c r="J8051" s="30" t="n">
        <f aca="false">Sens!J8070*ext_sh</f>
        <v>740</v>
      </c>
      <c r="K8051" s="30" t="n">
        <f aca="false">Sens!K8070*ext_sh</f>
        <v>1470</v>
      </c>
      <c r="L8051" s="1" t="s">
        <v>961</v>
      </c>
    </row>
    <row r="8052" customFormat="false" ht="17.15" hidden="false" customHeight="false" outlineLevel="0" collapsed="false">
      <c r="A8052" s="1" t="s">
        <v>962</v>
      </c>
      <c r="B8052" s="0" t="s">
        <v>456</v>
      </c>
      <c r="C8052" s="30" t="n">
        <f aca="false">mix_h*Sens!C8044</f>
        <v>128</v>
      </c>
      <c r="D8052" s="30" t="n">
        <f aca="false">mix_h*Sens!D8044</f>
        <v>326</v>
      </c>
      <c r="E8052" s="30" t="n">
        <f aca="false">mix_h*Sens!E8044</f>
        <v>650</v>
      </c>
      <c r="F8052" s="30" t="n">
        <f aca="false">Sens!E8052-Sens!F8051*mix_h</f>
        <v>650</v>
      </c>
      <c r="G8052" s="30" t="n">
        <f aca="false">Sens!F8052-Sens!G8051*mix_h</f>
        <v>650</v>
      </c>
      <c r="H8052" s="30" t="n">
        <f aca="false">Sens!G8052-Sens!H8051*mix_h</f>
        <v>650</v>
      </c>
      <c r="I8052" s="30" t="n">
        <f aca="false">Sens!H8052-Sens!I8051*mix_h</f>
        <v>552</v>
      </c>
      <c r="J8052" s="30" t="n">
        <f aca="false">Sens!I8052-Sens!J8051*mix_h</f>
        <v>404</v>
      </c>
      <c r="K8052" s="30" t="n">
        <f aca="false">Sens!J8052-Sens!K8051*mix_h</f>
        <v>110</v>
      </c>
    </row>
    <row r="8053" customFormat="false" ht="17.15" hidden="false" customHeight="false" outlineLevel="0" collapsed="false">
      <c r="A8053" s="1" t="s">
        <v>963</v>
      </c>
      <c r="B8053" s="0" t="s">
        <v>456</v>
      </c>
      <c r="C8053" s="30" t="n">
        <f aca="false">mix_g2*Sens!C8044</f>
        <v>288</v>
      </c>
      <c r="D8053" s="30" t="n">
        <f aca="false">mix_g2*Sens!D8044</f>
        <v>733.5</v>
      </c>
      <c r="E8053" s="30" t="n">
        <f aca="false">mix_g2*Sens!E8044</f>
        <v>1462.5</v>
      </c>
      <c r="F8053" s="30" t="n">
        <f aca="false">Sens!E8053-Sens!F8051*mix_g2</f>
        <v>1462.5</v>
      </c>
      <c r="G8053" s="30" t="n">
        <f aca="false">Sens!F8053-Sens!G8051*mix_g2</f>
        <v>1462.5</v>
      </c>
      <c r="H8053" s="30" t="n">
        <f aca="false">Sens!G8053-Sens!H8051*mix_g2</f>
        <v>1462.5</v>
      </c>
      <c r="I8053" s="30" t="n">
        <f aca="false">Sens!H8053-Sens!I8051*mix_g2</f>
        <v>1242</v>
      </c>
      <c r="J8053" s="30" t="n">
        <f aca="false">Sens!I8053-Sens!J8051*mix_g2</f>
        <v>909</v>
      </c>
      <c r="K8053" s="30" t="n">
        <f aca="false">Sens!J8053-Sens!K8051*mix_g2</f>
        <v>247.5</v>
      </c>
    </row>
    <row r="8054" customFormat="false" ht="17.15" hidden="false" customHeight="false" outlineLevel="0" collapsed="false">
      <c r="A8054" s="1" t="s">
        <v>964</v>
      </c>
      <c r="B8054" s="0" t="s">
        <v>456</v>
      </c>
      <c r="C8054" s="30" t="n">
        <f aca="false">mix_g3*Sens!C8044</f>
        <v>224</v>
      </c>
      <c r="D8054" s="30" t="n">
        <f aca="false">mix_g3*Sens!D8044</f>
        <v>570.5</v>
      </c>
      <c r="E8054" s="30" t="n">
        <f aca="false">mix_g3*Sens!E8044</f>
        <v>1137.5</v>
      </c>
      <c r="F8054" s="30" t="n">
        <f aca="false">Sens!E8054+(Sens!F8050+Sens!F8051)*(a_g3_27-nonnv*a_mai)-Sens!F8051*mix_g3</f>
        <v>2773.42106</v>
      </c>
      <c r="G8054" s="30" t="n">
        <f aca="false">Sens!F8054+(Sens!G8050+Sens!G8051)*(a_g3_28-nonnv*a_mai)-Sens!G8051*mix_g3</f>
        <v>3318.72808</v>
      </c>
      <c r="H8054" s="30" t="n">
        <f aca="false">Sens!G8054+(Sens!H8050+Sens!H8051)*(a_g3_29-nonnv*a_mai)-Sens!H8051*mix_g3</f>
        <v>3318.72808</v>
      </c>
      <c r="I8054" s="30" t="n">
        <f aca="false">Sens!H8054+(Sens!I8050+Sens!I8051)*(a_g3_29-nonnv*a_mai)-Sens!I8051*mix_g3</f>
        <v>3147.22808</v>
      </c>
      <c r="J8054" s="30" t="n">
        <f aca="false">Sens!I8054+(Sens!J8050+Sens!J8051)*(a_g3_29-nonnv*a_mai)-Sens!J8051*mix_g3</f>
        <v>2888.22808</v>
      </c>
      <c r="K8054" s="30" t="n">
        <f aca="false">Sens!J8054+(Sens!K8050+Sens!K8051)*(a_g3_29-nonnv*a_mai)-Sens!K8051*mix_g3</f>
        <v>2373.72808</v>
      </c>
    </row>
    <row r="8055" customFormat="false" ht="17.15" hidden="false" customHeight="false" outlineLevel="0" collapsed="false">
      <c r="A8055" s="1" t="s">
        <v>965</v>
      </c>
      <c r="B8055" s="0" t="s">
        <v>456</v>
      </c>
      <c r="C8055" s="30" t="n">
        <v>0</v>
      </c>
      <c r="D8055" s="30" t="n">
        <v>0</v>
      </c>
      <c r="E8055" s="30" t="n">
        <v>0</v>
      </c>
      <c r="F8055" s="30" t="n">
        <f aca="false">Sens!E8055+(Sens!F8050+Sens!F8051)*nonnv*a_mai</f>
        <v>272.65351</v>
      </c>
      <c r="G8055" s="30" t="n">
        <f aca="false">Sens!F8055+(Sens!G8050+Sens!G8051)*nonnv*a_mai</f>
        <v>545.30702</v>
      </c>
      <c r="H8055" s="30" t="n">
        <f aca="false">Sens!G8055+(Sens!H8050+Sens!H8051)*nonnv*a_mai</f>
        <v>817.96053</v>
      </c>
      <c r="I8055" s="30" t="n">
        <f aca="false">Sens!H8055+(Sens!I8050+Sens!I8051)*nonnv*a_mai</f>
        <v>1060.15914196667</v>
      </c>
      <c r="J8055" s="30" t="n">
        <f aca="false">Sens!I8055+(Sens!J8050+Sens!J8051)*nonnv*a_mai</f>
        <v>1251.76682813933</v>
      </c>
      <c r="K8055" s="30" t="n">
        <f aca="false">Sens!J8055+(Sens!K8050+Sens!K8051)*nonnv*a_mai</f>
        <v>1442.37983298351</v>
      </c>
      <c r="L8055" s="12" t="s">
        <v>966</v>
      </c>
    </row>
    <row r="8056" customFormat="false" ht="17.15" hidden="false" customHeight="false" outlineLevel="0" collapsed="false">
      <c r="A8056" s="1" t="s">
        <v>967</v>
      </c>
      <c r="B8056" s="0" t="s">
        <v>456</v>
      </c>
      <c r="C8056" s="30" t="n">
        <v>0</v>
      </c>
      <c r="D8056" s="30" t="n">
        <v>0</v>
      </c>
      <c r="E8056" s="30" t="n">
        <v>0</v>
      </c>
      <c r="F8056" s="30" t="n">
        <f aca="false">Sens!E8056+(Sens!F8050+Sens!F8051)*(1-a_g3_27)</f>
        <v>817.96053</v>
      </c>
      <c r="G8056" s="30" t="n">
        <f aca="false">Sens!F8056+(Sens!G8050+Sens!G8051)*(1-a_g3_28)</f>
        <v>2726.5351</v>
      </c>
      <c r="H8056" s="30" t="n">
        <f aca="false">Sens!G8056+(Sens!H8050+Sens!H8051)*(1-a_g3_29)</f>
        <v>5180.41669</v>
      </c>
      <c r="I8056" s="30" t="n">
        <f aca="false">Sens!H8056+(Sens!I8050+Sens!I8051)*(1-a_g3_29)</f>
        <v>7360.2041977</v>
      </c>
      <c r="J8056" s="30" t="n">
        <f aca="false">Sens!I8056+(Sens!J8050+Sens!J8051)*(1-a_g3_29)</f>
        <v>9084.673373254</v>
      </c>
      <c r="K8056" s="30" t="n">
        <f aca="false">Sens!J8056+(Sens!K8050+Sens!K8051)*(1-a_g3_29)</f>
        <v>10800.1904168516</v>
      </c>
    </row>
    <row r="8057" customFormat="false" ht="17.15" hidden="false" customHeight="false" outlineLevel="0" collapsed="false">
      <c r="A8057" s="1" t="s">
        <v>968</v>
      </c>
      <c r="B8057" s="0" t="s">
        <v>403</v>
      </c>
      <c r="C8057" s="15" t="n">
        <f aca="false">(Sens!C8052*tk_hold_h100+Sens!C8053*tk_hold_gb200+Sens!C8054*tk_hold_gb300+Sens!C8056*tk_hold_vr200+Sens!C8055*nv_hold_mai*tk_hold_vr200)/Sens!C8044</f>
        <v>9.7235358126469</v>
      </c>
      <c r="D8057" s="15" t="n">
        <f aca="false">(Sens!D8052*tk_hold_h100+Sens!D8053*tk_hold_gb200+Sens!D8054*tk_hold_gb300+Sens!D8056*tk_hold_vr200+Sens!D8055*nv_hold_mai*tk_hold_vr200)/Sens!D8044</f>
        <v>9.7235358126469</v>
      </c>
      <c r="E8057" s="15" t="n">
        <f aca="false">(Sens!E8052*tk_hold_h100+Sens!E8053*tk_hold_gb200+Sens!E8054*tk_hold_gb300+Sens!E8056*tk_hold_vr200+Sens!E8055*nv_hold_mai*tk_hold_vr200)/Sens!E8044</f>
        <v>9.7235358126469</v>
      </c>
      <c r="F8057" s="15" t="n">
        <f aca="false">(Sens!F8052*tk_hold_h100+Sens!F8053*tk_hold_gb200+Sens!F8054*tk_hold_gb300+Sens!F8056*tk_hold_vr200+Sens!F8055*nv_hold_mai*tk_hold_vr200)/Sens!F8044</f>
        <v>10.2195353876665</v>
      </c>
      <c r="G8057" s="15" t="n">
        <f aca="false">(Sens!G8052*tk_hold_h100+Sens!G8053*tk_hold_gb200+Sens!G8054*tk_hold_gb300+Sens!G8056*tk_hold_vr200+Sens!G8055*nv_hold_mai*tk_hold_vr200)/Sens!G8044</f>
        <v>10.5725598017306</v>
      </c>
      <c r="H8057" s="15" t="n">
        <f aca="false">(Sens!H8052*tk_hold_h100+Sens!H8053*tk_hold_gb200+Sens!H8054*tk_hold_gb300+Sens!H8056*tk_hold_vr200+Sens!H8055*nv_hold_mai*tk_hold_vr200)/Sens!H8044</f>
        <v>10.8210427149036</v>
      </c>
      <c r="I8057" s="15" t="n">
        <f aca="false">(Sens!I8052*tk_hold_h100+Sens!I8053*tk_hold_gb200+Sens!I8054*tk_hold_gb300+Sens!I8056*tk_hold_vr200+Sens!I8055*nv_hold_mai*tk_hold_vr200)/Sens!I8044</f>
        <v>11.0050618241982</v>
      </c>
      <c r="J8057" s="15" t="n">
        <f aca="false">(Sens!J8052*tk_hold_h100+Sens!J8053*tk_hold_gb200+Sens!J8054*tk_hold_gb300+Sens!J8056*tk_hold_vr200+Sens!J8055*nv_hold_mai*tk_hold_vr200)/Sens!J8044</f>
        <v>11.1505789658881</v>
      </c>
      <c r="K8057" s="15" t="n">
        <f aca="false">(Sens!K8052*tk_hold_h100+Sens!K8053*tk_hold_gb200+Sens!K8054*tk_hold_gb300+Sens!K8056*tk_hold_vr200+Sens!K8055*nv_hold_mai*tk_hold_vr200)/Sens!K8044</f>
        <v>11.3496914757183</v>
      </c>
      <c r="L8057" s="1" t="s">
        <v>969</v>
      </c>
    </row>
    <row r="8058" customFormat="false" ht="17.15" hidden="false" customHeight="false" outlineLevel="0" collapsed="false">
      <c r="A8058" s="1" t="s">
        <v>970</v>
      </c>
      <c r="B8058" s="0" t="s">
        <v>403</v>
      </c>
      <c r="C8058" s="15" t="n">
        <f aca="false">(Sens!C8052*tk_hold_h100+Sens!C8053*tk_hold_gb200+Sens!C8054*tk_hold_gb300+Sens!C8056*tk_hold_vr200+Sens!C8055*nv_out_mai*tk_hold_vr200)/Sens!C8044</f>
        <v>9.7235358126469</v>
      </c>
      <c r="D8058" s="15" t="n">
        <f aca="false">(Sens!D8052*tk_hold_h100+Sens!D8053*tk_hold_gb200+Sens!D8054*tk_hold_gb300+Sens!D8056*tk_hold_vr200+Sens!D8055*nv_out_mai*tk_hold_vr200)/Sens!D8044</f>
        <v>9.7235358126469</v>
      </c>
      <c r="E8058" s="15" t="n">
        <f aca="false">(Sens!E8052*tk_hold_h100+Sens!E8053*tk_hold_gb200+Sens!E8054*tk_hold_gb300+Sens!E8056*tk_hold_vr200+Sens!E8055*nv_out_mai*tk_hold_vr200)/Sens!E8044</f>
        <v>9.7235358126469</v>
      </c>
      <c r="F8058" s="15" t="n">
        <f aca="false">(Sens!F8052*tk_hold_h100+Sens!F8053*tk_hold_gb200+Sens!F8054*tk_hold_gb300+Sens!F8056*tk_hold_vr200+Sens!F8055*nv_out_mai*tk_hold_vr200)/Sens!F8044</f>
        <v>10.247422093969</v>
      </c>
      <c r="G8058" s="15" t="n">
        <f aca="false">(Sens!G8052*tk_hold_h100+Sens!G8053*tk_hold_gb200+Sens!G8054*tk_hold_gb300+Sens!G8056*tk_hold_vr200+Sens!G8055*nv_out_mai*tk_hold_vr200)/Sens!G8044</f>
        <v>10.6108602808053</v>
      </c>
      <c r="H8058" s="15" t="n">
        <f aca="false">(Sens!H8052*tk_hold_h100+Sens!H8053*tk_hold_gb200+Sens!H8054*tk_hold_gb300+Sens!H8056*tk_hold_vr200+Sens!H8055*nv_out_mai*tk_hold_vr200)/Sens!H8044</f>
        <v>10.8647885507393</v>
      </c>
      <c r="I8058" s="15" t="n">
        <f aca="false">(Sens!I8052*tk_hold_h100+Sens!I8053*tk_hold_gb200+Sens!I8054*tk_hold_gb300+Sens!I8056*tk_hold_vr200+Sens!I8055*nv_out_mai*tk_hold_vr200)/Sens!I8044</f>
        <v>11.0535625770025</v>
      </c>
      <c r="J8058" s="15" t="n">
        <f aca="false">(Sens!J8052*tk_hold_h100+Sens!J8053*tk_hold_gb200+Sens!J8054*tk_hold_gb300+Sens!J8056*tk_hold_vr200+Sens!J8055*nv_out_mai*tk_hold_vr200)/Sens!J8044</f>
        <v>11.2032127128058</v>
      </c>
      <c r="K8058" s="15" t="n">
        <f aca="false">(Sens!K8052*tk_hold_h100+Sens!K8053*tk_hold_gb200+Sens!K8054*tk_hold_gb300+Sens!K8056*tk_hold_vr200+Sens!K8055*nv_out_mai*tk_hold_vr200)/Sens!K8044</f>
        <v>11.4085735724225</v>
      </c>
      <c r="L8058" s="12" t="s">
        <v>971</v>
      </c>
    </row>
    <row r="8059" customFormat="false" ht="17.15" hidden="false" customHeight="false" outlineLevel="0" collapsed="false">
      <c r="A8059" s="0" t="s">
        <v>972</v>
      </c>
      <c r="B8059" s="0" t="s">
        <v>229</v>
      </c>
      <c r="C8059" s="15" t="n">
        <f aca="false">k_B</f>
        <v>1.17213932619116</v>
      </c>
      <c r="D8059" s="15" t="n">
        <f aca="false">k_B</f>
        <v>1.17213932619116</v>
      </c>
      <c r="E8059" s="15" t="n">
        <f aca="false">k_B</f>
        <v>1.17213932619116</v>
      </c>
      <c r="F8059" s="15" t="n">
        <f aca="false">(k_B+((ls_B*k_long+(1-ls_B)*k_spot)-k_B)*MIN(1,(Sens!F8042-base_fy)/k_ramp))</f>
        <v>1.17213932619116</v>
      </c>
      <c r="G8059" s="15" t="n">
        <f aca="false">(k_B+((ls_B*k_long+(1-ls_B)*k_spot)-k_B)*MIN(1,(Sens!G8042-base_fy)/k_ramp))</f>
        <v>1.17213932619116</v>
      </c>
      <c r="H8059" s="15" t="n">
        <f aca="false">(k_B+((ls_B*k_long+(1-ls_B)*k_spot)-k_B)*MIN(1,(Sens!H8042-base_fy)/k_ramp))</f>
        <v>1.17213932619116</v>
      </c>
      <c r="I8059" s="15" t="n">
        <f aca="false">(k_B+((ls_B*k_long+(1-ls_B)*k_spot)-k_B)*MIN(1,(Sens!I8042-base_fy)/k_ramp))</f>
        <v>1.17213932619116</v>
      </c>
      <c r="J8059" s="15" t="n">
        <f aca="false">(k_B+((ls_B*k_long+(1-ls_B)*k_spot)-k_B)*MIN(1,(Sens!J8042-base_fy)/k_ramp))</f>
        <v>1.17213932619116</v>
      </c>
      <c r="K8059" s="15" t="n">
        <f aca="false">(k_B+((ls_B*k_long+(1-ls_B)*k_spot)-k_B)*MIN(1,(Sens!K8042-base_fy)/k_ramp))</f>
        <v>1.17213932619116</v>
      </c>
      <c r="L8059" s="1" t="s">
        <v>973</v>
      </c>
    </row>
    <row r="8060" customFormat="false" ht="17.15" hidden="false" customHeight="false" outlineLevel="0" collapsed="false">
      <c r="A8060" s="1" t="s">
        <v>974</v>
      </c>
      <c r="B8060" s="0" t="s">
        <v>403</v>
      </c>
      <c r="C8060" s="15" t="n">
        <f aca="false">Sens!C8058*Sens!C8059*chip_f</f>
        <v>11.3973387156315</v>
      </c>
      <c r="D8060" s="15" t="n">
        <f aca="false">Sens!D8058*Sens!D8059*chip_f</f>
        <v>11.3973387156315</v>
      </c>
      <c r="E8060" s="15" t="n">
        <f aca="false">Sens!E8058*Sens!E8059*chip_f</f>
        <v>11.3973387156315</v>
      </c>
      <c r="F8060" s="15" t="n">
        <f aca="false">Sens!F8058*Sens!F8059*chip_f</f>
        <v>12.0114064284211</v>
      </c>
      <c r="G8060" s="15" t="n">
        <f aca="false">Sens!G8058*Sens!G8059*chip_f</f>
        <v>12.4374066198516</v>
      </c>
      <c r="H8060" s="15" t="n">
        <f aca="false">Sens!H8058*Sens!H8059*chip_f</f>
        <v>12.735045931073</v>
      </c>
      <c r="I8060" s="15" t="n">
        <f aca="false">Sens!I8058*Sens!I8059*chip_f</f>
        <v>12.9563153910195</v>
      </c>
      <c r="J8060" s="15" t="n">
        <f aca="false">Sens!J8058*Sens!J8059*chip_f</f>
        <v>13.1317262003643</v>
      </c>
      <c r="K8060" s="15" t="n">
        <f aca="false">Sens!K8058*Sens!K8059*chip_f</f>
        <v>13.3724377399815</v>
      </c>
      <c r="L8060" s="1" t="s">
        <v>975</v>
      </c>
    </row>
    <row r="8061" customFormat="false" ht="17.15" hidden="false" customHeight="false" outlineLevel="0" collapsed="false">
      <c r="A8061" s="0" t="s">
        <v>976</v>
      </c>
      <c r="B8061" s="0" t="s">
        <v>98</v>
      </c>
      <c r="D8061" s="6" t="n">
        <f aca="false">(Sens!C8044+Sens!D8044)/2*Sens!D8060/1000</f>
        <v>12.9359794422418</v>
      </c>
      <c r="E8061" s="6" t="n">
        <f aca="false">(Sens!D8044+Sens!E8044)/2*Sens!E8060/1000</f>
        <v>27.8095064661409</v>
      </c>
      <c r="F8061" s="6" t="n">
        <f aca="false">(Sens!E8044+Sens!F8044)/2*Sens!F8060/1000</f>
        <v>55.4118315060966</v>
      </c>
      <c r="G8061" s="6" t="n">
        <f aca="false">(Sens!F8044+Sens!G8044)/2*Sens!G8060/1000</f>
        <v>91.2881100675143</v>
      </c>
      <c r="H8061" s="6" t="n">
        <f aca="false">(Sens!G8044+Sens!H8044)/2*Sens!H8060/1000</f>
        <v>128.195273603944</v>
      </c>
      <c r="I8061" s="6" t="n">
        <f aca="false">(Sens!H8044+Sens!I8044)/2*Sens!I8060/1000</f>
        <v>160.601281810405</v>
      </c>
      <c r="J8061" s="6" t="n">
        <f aca="false">(Sens!I8044+Sens!J8044)/2*Sens!J8060/1000</f>
        <v>183.182719793589</v>
      </c>
      <c r="K8061" s="6" t="n">
        <f aca="false">(Sens!J8044+Sens!K8044)/2*Sens!K8060/1000</f>
        <v>197.320124937098</v>
      </c>
      <c r="L8061" s="12" t="s">
        <v>977</v>
      </c>
    </row>
    <row r="8062" customFormat="false" ht="17.15" hidden="false" customHeight="false" outlineLevel="0" collapsed="false">
      <c r="A8062" s="1" t="s">
        <v>978</v>
      </c>
      <c r="B8062" s="0" t="s">
        <v>403</v>
      </c>
      <c r="C8062" s="15" t="n">
        <f aca="false">(Sens!C8052*tk_opex_h100+Sens!C8053*tk_opex_gb200+Sens!C8054*tk_opex_gb300+(Sens!C8056+Sens!C8055)*tk_opex_vr200)/Sens!C8044</f>
        <v>1.88636041306092</v>
      </c>
      <c r="D8062" s="15" t="n">
        <f aca="false">(Sens!D8052*tk_opex_h100+Sens!D8053*tk_opex_gb200+Sens!D8054*tk_opex_gb300+(Sens!D8056+Sens!D8055)*tk_opex_vr200)/Sens!D8044</f>
        <v>1.88636041306092</v>
      </c>
      <c r="E8062" s="15" t="n">
        <f aca="false">(Sens!E8052*tk_opex_h100+Sens!E8053*tk_opex_gb200+Sens!E8054*tk_opex_gb300+(Sens!E8056+Sens!E8055)*tk_opex_vr200)/Sens!E8044</f>
        <v>1.88636041306092</v>
      </c>
      <c r="F8062" s="15" t="n">
        <f aca="false">(Sens!F8052*tk_opex_h100+Sens!F8053*tk_opex_gb200+Sens!F8054*tk_opex_gb300+(Sens!F8056+Sens!F8055)*tk_opex_vr200)/Sens!F8044</f>
        <v>1.95051159746876</v>
      </c>
      <c r="G8062" s="15" t="n">
        <f aca="false">(Sens!G8052*tk_opex_h100+Sens!G8053*tk_opex_gb200+Sens!G8054*tk_opex_gb300+(Sens!G8056+Sens!G8055)*tk_opex_vr200)/Sens!G8044</f>
        <v>1.98836003669956</v>
      </c>
      <c r="H8062" s="15" t="n">
        <f aca="false">(Sens!H8052*tk_opex_h100+Sens!H8053*tk_opex_gb200+Sens!H8054*tk_opex_gb300+(Sens!H8056+Sens!H8055)*tk_opex_vr200)/Sens!H8044</f>
        <v>2.01344013834343</v>
      </c>
      <c r="I8062" s="15" t="n">
        <f aca="false">(Sens!I8052*tk_opex_h100+Sens!I8053*tk_opex_gb200+Sens!I8054*tk_opex_gb300+(Sens!I8056+Sens!I8055)*tk_opex_vr200)/Sens!I8044</f>
        <v>2.03261166882178</v>
      </c>
      <c r="J8062" s="15" t="n">
        <f aca="false">(Sens!J8052*tk_opex_h100+Sens!J8053*tk_opex_gb200+Sens!J8054*tk_opex_gb300+(Sens!J8056+Sens!J8055)*tk_opex_vr200)/Sens!J8044</f>
        <v>2.04808073288745</v>
      </c>
      <c r="K8062" s="15" t="n">
        <f aca="false">(Sens!K8052*tk_opex_h100+Sens!K8053*tk_opex_gb200+Sens!K8054*tk_opex_gb300+(Sens!K8056+Sens!K8055)*tk_opex_vr200)/Sens!K8044</f>
        <v>2.06973825807449</v>
      </c>
      <c r="L8062" s="12" t="s">
        <v>979</v>
      </c>
    </row>
    <row r="8063" customFormat="false" ht="17.15" hidden="false" customHeight="false" outlineLevel="0" collapsed="false">
      <c r="A8063" s="0" t="s">
        <v>980</v>
      </c>
      <c r="B8063" s="0" t="s">
        <v>98</v>
      </c>
      <c r="D8063" s="6" t="n">
        <f aca="false">(Sens!C8047+Sens!D8047)/2*Sens!D8062/1000</f>
        <v>2.70378325872065</v>
      </c>
      <c r="E8063" s="6" t="n">
        <f aca="false">(Sens!D8047+Sens!E8047)/2*Sens!E8062/1000</f>
        <v>6.17783035277451</v>
      </c>
      <c r="F8063" s="6" t="n">
        <f aca="false">(Sens!E8047+Sens!F8047)/2*Sens!F8062/1000</f>
        <v>12.8742463089237</v>
      </c>
      <c r="G8063" s="6" t="n">
        <f aca="false">(Sens!F8047+Sens!G8047)/2*Sens!G8062/1000</f>
        <v>21.8182834646277</v>
      </c>
      <c r="H8063" s="6" t="n">
        <f aca="false">(Sens!G8047+Sens!H8047)/2*Sens!H8062/1000</f>
        <v>31.2430128789734</v>
      </c>
      <c r="I8063" s="6" t="n">
        <f aca="false">(Sens!H8047+Sens!I8047)/2*Sens!I8062/1000</f>
        <v>39.4313057443268</v>
      </c>
      <c r="J8063" s="6" t="n">
        <f aca="false">(Sens!I8047+Sens!J8047)/2*Sens!J8062/1000</f>
        <v>45.0360318228653</v>
      </c>
      <c r="K8063" s="6" t="n">
        <f aca="false">(Sens!J8047+Sens!K8047)/2*Sens!K8062/1000</f>
        <v>48.2929727091156</v>
      </c>
    </row>
    <row r="8064" customFormat="false" ht="17.15" hidden="false" customHeight="false" outlineLevel="0" collapsed="false">
      <c r="A8064" s="0" t="s">
        <v>981</v>
      </c>
      <c r="B8064" s="0" t="s">
        <v>98</v>
      </c>
      <c r="D8064" s="6" t="n">
        <f aca="false">(Sens!C8045+Sens!D8045)/2*rent_mw/1000</f>
        <v>2.44475</v>
      </c>
      <c r="E8064" s="6" t="n">
        <f aca="false">(Sens!D8045+Sens!E8045)/2*rent_mw/1000</f>
        <v>4.22275</v>
      </c>
      <c r="F8064" s="6" t="n">
        <f aca="false">(Sens!E8045+Sens!F8045)/2*rent_mw/1000</f>
        <v>5.80517</v>
      </c>
      <c r="G8064" s="6" t="n">
        <f aca="false">(Sens!F8045+Sens!G8045)/2*rent_mw/1000</f>
        <v>6.72084</v>
      </c>
      <c r="H8064" s="6" t="n">
        <f aca="false">(Sens!G8045+Sens!H8045)/2*rent_mw/1000</f>
        <v>6.72084</v>
      </c>
      <c r="I8064" s="6" t="n">
        <f aca="false">(Sens!H8045+Sens!I8045)/2*rent_mw/1000</f>
        <v>6.72084</v>
      </c>
      <c r="J8064" s="6" t="n">
        <f aca="false">(Sens!I8045+Sens!J8045)/2*rent_mw/1000</f>
        <v>6.72084</v>
      </c>
      <c r="K8064" s="6" t="n">
        <f aca="false">(Sens!J8045+Sens!K8045)/2*rent_mw/1000</f>
        <v>6.72084</v>
      </c>
    </row>
    <row r="8065" customFormat="false" ht="17.15" hidden="false" customHeight="false" outlineLevel="0" collapsed="false">
      <c r="A8065" s="0" t="s">
        <v>982</v>
      </c>
      <c r="B8065" s="0" t="s">
        <v>98</v>
      </c>
      <c r="D8065" s="6" t="n">
        <f aca="false">(Sens!C8047+Sens!D8047)/2*(1-self_build)*fac_rent/1000</f>
        <v>0.853242375631075</v>
      </c>
      <c r="E8065" s="6" t="n">
        <f aca="false">(Sens!D8047+Sens!E8047)/2*(1-self_build)*fac_rent/1000</f>
        <v>1.94955961408728</v>
      </c>
      <c r="F8065" s="6" t="n">
        <f aca="false">(Sens!E8047+Sens!F8047)/2*(1-self_build)*fac_rent/1000</f>
        <v>3.92914894476356</v>
      </c>
      <c r="G8065" s="6" t="n">
        <f aca="false">(Sens!F8047+Sens!G8047)/2*(1-self_build)*fac_rent/1000</f>
        <v>6.53206908578159</v>
      </c>
      <c r="H8065" s="6" t="n">
        <f aca="false">(Sens!G8047+Sens!H8047)/2*(1-self_build)*fac_rent/1000</f>
        <v>9.23717988341591</v>
      </c>
      <c r="I8065" s="6" t="n">
        <f aca="false">(Sens!H8047+Sens!I8047)/2*(1-self_build)*fac_rent/1000</f>
        <v>11.5481378557393</v>
      </c>
      <c r="J8065" s="6" t="n">
        <f aca="false">(Sens!I8047+Sens!J8047)/2*(1-self_build)*fac_rent/1000</f>
        <v>13.0899582289108</v>
      </c>
      <c r="K8065" s="6" t="n">
        <f aca="false">(Sens!J8047+Sens!K8047)/2*(1-self_build)*fac_rent/1000</f>
        <v>13.8897275626556</v>
      </c>
      <c r="L8065" s="12" t="s">
        <v>983</v>
      </c>
    </row>
    <row r="8066" customFormat="false" ht="17.15" hidden="false" customHeight="false" outlineLevel="0" collapsed="false">
      <c r="A8066" s="1" t="s">
        <v>984</v>
      </c>
      <c r="B8066" s="0" t="s">
        <v>168</v>
      </c>
      <c r="D8066" s="7" t="n">
        <f aca="false">(Sens!C8046+Sens!D8046)/(Sens!C8047+Sens!D8047)</f>
        <v>0.6</v>
      </c>
      <c r="E8066" s="7" t="n">
        <f aca="false">(Sens!D8046+Sens!E8046)/(Sens!D8047+Sens!E8047)</f>
        <v>0.6</v>
      </c>
      <c r="F8066" s="7" t="n">
        <f aca="false">(Sens!E8046+Sens!F8046)/(Sens!E8047+Sens!F8047)</f>
        <v>0.6</v>
      </c>
      <c r="G8066" s="7" t="n">
        <f aca="false">(Sens!F8046+Sens!G8046)/(Sens!F8047+Sens!G8047)</f>
        <v>0.6</v>
      </c>
      <c r="H8066" s="7" t="n">
        <f aca="false">(Sens!G8046+Sens!H8046)/(Sens!G8047+Sens!H8047)</f>
        <v>0.6</v>
      </c>
      <c r="I8066" s="7" t="n">
        <f aca="false">(Sens!H8046+Sens!I8046)/(Sens!H8047+Sens!I8047)</f>
        <v>0.6</v>
      </c>
      <c r="J8066" s="7" t="n">
        <f aca="false">(Sens!I8046+Sens!J8046)/(Sens!I8047+Sens!J8047)</f>
        <v>0.6</v>
      </c>
      <c r="K8066" s="7" t="n">
        <f aca="false">(Sens!J8046+Sens!K8046)/(Sens!J8047+Sens!K8047)</f>
        <v>0.6</v>
      </c>
    </row>
    <row r="8067" customFormat="false" ht="17.15" hidden="false" customHeight="false" outlineLevel="0" collapsed="false">
      <c r="A8067" s="0" t="s">
        <v>985</v>
      </c>
      <c r="B8067" s="0" t="s">
        <v>98</v>
      </c>
      <c r="D8067" s="6" t="n">
        <f aca="false">Sens!D8061-Sens!D8066*(Sens!D8063+Sens!D8065)-Sens!D8064</f>
        <v>8.35701406163072</v>
      </c>
      <c r="E8067" s="6" t="n">
        <f aca="false">Sens!E8061-Sens!E8066*(Sens!E8063+Sens!E8065)-Sens!E8064</f>
        <v>18.7103224860238</v>
      </c>
      <c r="F8067" s="6" t="n">
        <f aca="false">Sens!F8061-Sens!F8066*(Sens!F8063+Sens!F8065)-Sens!F8064</f>
        <v>39.5246243538843</v>
      </c>
      <c r="G8067" s="6" t="n">
        <f aca="false">Sens!G8061-Sens!G8066*(Sens!G8063+Sens!G8065)-Sens!G8064</f>
        <v>67.5570585372687</v>
      </c>
      <c r="H8067" s="6" t="n">
        <f aca="false">Sens!H8061-Sens!H8066*(Sens!H8063+Sens!H8065)-Sens!H8064</f>
        <v>97.1863179465102</v>
      </c>
      <c r="I8067" s="6" t="n">
        <f aca="false">Sens!I8061-Sens!I8066*(Sens!I8063+Sens!I8065)-Sens!I8064</f>
        <v>123.292775650365</v>
      </c>
      <c r="J8067" s="6" t="n">
        <f aca="false">Sens!J8061-Sens!J8066*(Sens!J8063+Sens!J8065)-Sens!J8064</f>
        <v>141.586285762524</v>
      </c>
      <c r="K8067" s="6" t="n">
        <f aca="false">Sens!K8061-Sens!K8066*(Sens!K8063+Sens!K8065)-Sens!K8064</f>
        <v>153.289664774035</v>
      </c>
    </row>
    <row r="8068" customFormat="false" ht="17.15" hidden="false" customHeight="false" outlineLevel="0" collapsed="false">
      <c r="A8068" s="1" t="s">
        <v>986</v>
      </c>
      <c r="B8068" s="0" t="s">
        <v>98</v>
      </c>
      <c r="D8068" s="6" t="n">
        <f aca="false">(1-Sens!D8066)*(Sens!D8063+Sens!D8065)</f>
        <v>1.42281025374069</v>
      </c>
      <c r="E8068" s="6" t="n">
        <f aca="false">(1-Sens!E8066)*(Sens!E8063+Sens!E8065)</f>
        <v>3.25095598674472</v>
      </c>
      <c r="F8068" s="6" t="n">
        <f aca="false">(1-Sens!F8066)*(Sens!F8063+Sens!F8065)</f>
        <v>6.72135810147489</v>
      </c>
      <c r="G8068" s="6" t="n">
        <f aca="false">(1-Sens!G8066)*(Sens!G8063+Sens!G8065)</f>
        <v>11.3401410201637</v>
      </c>
      <c r="H8068" s="6" t="n">
        <f aca="false">(1-Sens!H8066)*(Sens!H8063+Sens!H8065)</f>
        <v>16.1920771049557</v>
      </c>
      <c r="I8068" s="6" t="n">
        <f aca="false">(1-Sens!I8066)*(Sens!I8063+Sens!I8065)</f>
        <v>20.3917774400264</v>
      </c>
      <c r="J8068" s="6" t="n">
        <f aca="false">(1-Sens!J8066)*(Sens!J8063+Sens!J8065)</f>
        <v>23.2503960207104</v>
      </c>
      <c r="K8068" s="6" t="n">
        <f aca="false">(1-Sens!K8066)*(Sens!K8063+Sens!K8065)</f>
        <v>24.8730801087085</v>
      </c>
    </row>
    <row r="8069" customFormat="false" ht="17.15" hidden="false" customHeight="false" outlineLevel="0" collapsed="false">
      <c r="A8069" s="1" t="s">
        <v>987</v>
      </c>
      <c r="B8069" s="0" t="s">
        <v>414</v>
      </c>
      <c r="C8069" s="8" t="n">
        <f aca="false">cxit_open</f>
        <v>27.5918995</v>
      </c>
      <c r="D8069" s="8" t="n">
        <f aca="false">cxit_open</f>
        <v>27.5918995</v>
      </c>
      <c r="E8069" s="8" t="n">
        <f aca="false">cxit_open</f>
        <v>27.5918995</v>
      </c>
      <c r="F8069" s="8" t="n">
        <f aca="false">((a_g3_27-nonnv*a_mai)*tk_cxit_gb300+nonnv*a_mai*nv_hold_mai*tk_cxit_vr200+(1-a_g3_27)*tk_cxit_vr200)</f>
        <v>32.4975576</v>
      </c>
      <c r="G8069" s="8" t="n">
        <f aca="false">((a_g3_28-nonnv*a_mai)*tk_cxit_gb300+nonnv*a_mai*nv_hold_mai*tk_cxit_vr200+(1-a_g3_28)*tk_cxit_vr200)</f>
        <v>34.6372088</v>
      </c>
      <c r="H8069" s="8" t="n">
        <f aca="false">((a_g3_29-nonnv*a_mai)*tk_cxit_gb300+nonnv*a_mai*nv_hold_mai*tk_cxit_vr200+(1-a_g3_29)*tk_cxit_vr200)</f>
        <v>35.7070344</v>
      </c>
      <c r="I8069" s="8" t="n">
        <f aca="false">((a_g3_29-nonnv*a_mai)*tk_cxit_gb300+nonnv*a_mai*nv_hold_mai*tk_cxit_vr200+(1-a_g3_29)*tk_cxit_vr200)</f>
        <v>35.7070344</v>
      </c>
      <c r="J8069" s="8" t="n">
        <f aca="false">((a_g3_29-nonnv*a_mai)*tk_cxit_gb300+nonnv*a_mai*nv_hold_mai*tk_cxit_vr200+(1-a_g3_29)*tk_cxit_vr200)</f>
        <v>35.7070344</v>
      </c>
      <c r="K8069" s="8" t="n">
        <f aca="false">((a_g3_29-nonnv*a_mai)*tk_cxit_gb300+nonnv*a_mai*nv_hold_mai*tk_cxit_vr200+(1-a_g3_29)*tk_cxit_vr200)</f>
        <v>35.7070344</v>
      </c>
      <c r="L8069" s="12" t="s">
        <v>988</v>
      </c>
    </row>
    <row r="8070" customFormat="false" ht="17.15" hidden="false" customHeight="false" outlineLevel="0" collapsed="false">
      <c r="A8070" s="0" t="s">
        <v>989</v>
      </c>
      <c r="B8070" s="0" t="s">
        <v>456</v>
      </c>
      <c r="F8070" s="30" t="n">
        <f aca="false">Sens!C8049*IF(Sens!F8042-Sens!C8042=life_it,1,0)+Sens!D8049*IF(Sens!F8042-Sens!D8042=life_it,1,0)+Sens!E8049*IF(Sens!F8042-Sens!E8042=life_it,1,0)</f>
        <v>0</v>
      </c>
      <c r="G8070" s="30" t="n">
        <f aca="false">Sens!C8049*IF(Sens!G8042-Sens!C8042=life_it,1,0)+Sens!D8049*IF(Sens!G8042-Sens!D8042=life_it,1,0)+Sens!E8049*IF(Sens!G8042-Sens!E8042=life_it,1,0)+Sens!F8049*IF(Sens!G8042-Sens!F8042=life_it,1,0)</f>
        <v>0</v>
      </c>
      <c r="H8070" s="30" t="n">
        <f aca="false">Sens!C8049*IF(Sens!H8042-Sens!C8042=life_it,1,0)+Sens!D8049*IF(Sens!H8042-Sens!D8042=life_it,1,0)+Sens!E8049*IF(Sens!H8042-Sens!E8042=life_it,1,0)+Sens!F8049*IF(Sens!H8042-Sens!F8042=life_it,1,0)+Sens!G8049*IF(Sens!H8042-Sens!G8042=life_it,1,0)</f>
        <v>0</v>
      </c>
      <c r="I8070" s="30" t="n">
        <f aca="false">Sens!C8049*IF(Sens!I8042-Sens!C8042=life_it,1,0)+Sens!D8049*IF(Sens!I8042-Sens!D8042=life_it,1,0)+Sens!E8049*IF(Sens!I8042-Sens!E8042=life_it,1,0)+Sens!F8049*IF(Sens!I8042-Sens!F8042=life_it,1,0)+Sens!G8049*IF(Sens!I8042-Sens!G8042=life_it,1,0)+Sens!H8049*IF(Sens!I8042-Sens!H8042=life_it,1,0)</f>
        <v>816.666666666667</v>
      </c>
      <c r="J8070" s="30" t="n">
        <f aca="false">Sens!C8049*IF(Sens!J8042-Sens!C8042=life_it,1,0)+Sens!D8049*IF(Sens!J8042-Sens!D8042=life_it,1,0)+Sens!E8049*IF(Sens!J8042-Sens!E8042=life_it,1,0)+Sens!F8049*IF(Sens!J8042-Sens!F8042=life_it,1,0)+Sens!G8049*IF(Sens!J8042-Sens!G8042=life_it,1,0)+Sens!H8049*IF(Sens!J8042-Sens!H8042=life_it,1,0)+Sens!I8049*IF(Sens!J8042-Sens!I8042=life_it,1,0)</f>
        <v>1233.33333333333</v>
      </c>
      <c r="K8070" s="30" t="n">
        <f aca="false">Sens!C8049*IF(Sens!K8042-Sens!C8042=life_it,1,0)+Sens!D8049*IF(Sens!K8042-Sens!D8042=life_it,1,0)+Sens!E8049*IF(Sens!K8042-Sens!E8042=life_it,1,0)+Sens!F8049*IF(Sens!K8042-Sens!F8042=life_it,1,0)+Sens!G8049*IF(Sens!K8042-Sens!G8042=life_it,1,0)+Sens!H8049*IF(Sens!K8042-Sens!H8042=life_it,1,0)+Sens!I8049*IF(Sens!K8042-Sens!I8042=life_it,1,0)+Sens!J8049*IF(Sens!K8042-Sens!J8042=life_it,1,0)</f>
        <v>2450</v>
      </c>
      <c r="L8070" s="1" t="s">
        <v>990</v>
      </c>
    </row>
    <row r="8071" customFormat="false" ht="17.15" hidden="false" customHeight="false" outlineLevel="0" collapsed="false">
      <c r="A8071" s="0" t="s">
        <v>991</v>
      </c>
      <c r="B8071" s="0" t="s">
        <v>98</v>
      </c>
      <c r="C8071" s="6" t="n">
        <f aca="false">Sens!C8049*Sens!C8069/1000</f>
        <v>22.5333845916667</v>
      </c>
      <c r="D8071" s="6" t="n">
        <f aca="false">Sens!D8049*Sens!D8069/1000</f>
        <v>34.0300093833333</v>
      </c>
      <c r="E8071" s="6" t="n">
        <f aca="false">Sens!E8049*Sens!E8069/1000</f>
        <v>67.600153775</v>
      </c>
      <c r="F8071" s="6" t="n">
        <f aca="false">(Sens!F8049+Sens!F8070)*Sens!F8069/1000</f>
        <v>136.51872432512</v>
      </c>
      <c r="G8071" s="6" t="n">
        <f aca="false">(Sens!G8049+Sens!G8070)*Sens!G8069/1000</f>
        <v>157.399275932048</v>
      </c>
      <c r="H8071" s="6" t="n">
        <f aca="false">(Sens!H8049+Sens!H8070)*Sens!H8069/1000</f>
        <v>162.260804347512</v>
      </c>
      <c r="I8071" s="6" t="n">
        <f aca="false">(Sens!I8049+Sens!I8070)*Sens!I8069/1000</f>
        <v>144.136569485434</v>
      </c>
      <c r="J8071" s="6" t="n">
        <f aca="false">(Sens!J8049+Sens!J8070)*Sens!J8069/1000</f>
        <v>114.029037357864</v>
      </c>
      <c r="K8071" s="6" t="n">
        <f aca="false">(Sens!K8049+Sens!K8070)*Sens!K8069/1000</f>
        <v>113.437085350975</v>
      </c>
    </row>
    <row r="8072" customFormat="false" ht="17.15" hidden="false" customHeight="false" outlineLevel="0" collapsed="false">
      <c r="A8072" s="0" t="s">
        <v>992</v>
      </c>
      <c r="B8072" s="0" t="s">
        <v>98</v>
      </c>
      <c r="C8072" s="6" t="n">
        <f aca="false">Sens!C8049*self_build*tk_cxfac/1000</f>
        <v>6.2083</v>
      </c>
      <c r="D8072" s="6" t="n">
        <f aca="false">Sens!D8049*self_build*tk_cxfac/1000</f>
        <v>9.3758</v>
      </c>
      <c r="E8072" s="6" t="n">
        <f aca="false">Sens!E8049*self_build*tk_cxfac/1000</f>
        <v>18.6249</v>
      </c>
      <c r="F8072" s="6" t="n">
        <f aca="false">Sens!F8049*self_build*tk_cxfac/1000</f>
        <v>31.935179717</v>
      </c>
      <c r="G8072" s="6" t="n">
        <f aca="false">Sens!G8049*self_build*tk_cxfac/1000</f>
        <v>34.545199717</v>
      </c>
      <c r="H8072" s="6" t="n">
        <f aca="false">Sens!H8049*self_build*tk_cxfac/1000</f>
        <v>34.545199717</v>
      </c>
      <c r="I8072" s="6" t="n">
        <f aca="false">Sens!I8049*self_build*tk_cxfac/1000</f>
        <v>24.4782641361767</v>
      </c>
      <c r="J8072" s="6" t="n">
        <f aca="false">Sens!J8049*self_build*tk_cxfac/1000</f>
        <v>14.9008938380769</v>
      </c>
      <c r="K8072" s="6" t="n">
        <f aca="false">Sens!K8049*self_build*tk_cxfac/1000</f>
        <v>5.52576771375761</v>
      </c>
    </row>
    <row r="8073" customFormat="false" ht="17.15" hidden="false" customHeight="false" outlineLevel="0" collapsed="false">
      <c r="A8073" s="0" t="s">
        <v>993</v>
      </c>
      <c r="B8073" s="0" t="s">
        <v>98</v>
      </c>
      <c r="F8073" s="15" t="n">
        <f aca="false">capex_floor27-Sens!F8071-Sens!F8072-Sens!F8169</f>
        <v>0.256644948443217</v>
      </c>
      <c r="L8073" s="12" t="s">
        <v>994</v>
      </c>
    </row>
    <row r="8074" customFormat="false" ht="17.15" hidden="false" customHeight="false" outlineLevel="0" collapsed="false">
      <c r="A8074" s="0" t="s">
        <v>995</v>
      </c>
      <c r="B8074" s="0" t="s">
        <v>98</v>
      </c>
      <c r="F8074" s="6" t="n">
        <f aca="false">MAX(0,Sens!F8073)</f>
        <v>0.256644948443217</v>
      </c>
    </row>
    <row r="8075" customFormat="false" ht="17.15" hidden="false" customHeight="false" outlineLevel="0" collapsed="false">
      <c r="A8075" s="0" t="s">
        <v>996</v>
      </c>
      <c r="B8075" s="0" t="s">
        <v>98</v>
      </c>
      <c r="C8075" s="6" t="n">
        <f aca="false">Sens!C8071</f>
        <v>22.5333845916667</v>
      </c>
      <c r="D8075" s="6" t="n">
        <f aca="false">Sens!D8071</f>
        <v>34.0300093833333</v>
      </c>
      <c r="E8075" s="6" t="n">
        <f aca="false">Sens!E8071</f>
        <v>67.600153775</v>
      </c>
      <c r="F8075" s="6" t="n">
        <f aca="false">Sens!F8071</f>
        <v>136.51872432512</v>
      </c>
      <c r="G8075" s="6" t="n">
        <f aca="false">Sens!G8071</f>
        <v>157.399275932048</v>
      </c>
      <c r="H8075" s="6" t="n">
        <f aca="false">Sens!H8071</f>
        <v>162.260804347512</v>
      </c>
      <c r="I8075" s="6" t="n">
        <f aca="false">Sens!I8071</f>
        <v>144.136569485434</v>
      </c>
      <c r="J8075" s="6" t="n">
        <f aca="false">Sens!J8071</f>
        <v>114.029037357864</v>
      </c>
      <c r="K8075" s="6" t="n">
        <f aca="false">Sens!K8071</f>
        <v>113.437085350975</v>
      </c>
    </row>
    <row r="8076" customFormat="false" ht="17.15" hidden="false" customHeight="false" outlineLevel="0" collapsed="false">
      <c r="A8076" s="0" t="s">
        <v>997</v>
      </c>
      <c r="B8076" s="0" t="s">
        <v>98</v>
      </c>
      <c r="C8076" s="6" t="n">
        <f aca="false">Sens!C8075+Sens!C8072</f>
        <v>28.7416845916667</v>
      </c>
      <c r="D8076" s="6" t="n">
        <f aca="false">Sens!D8075+Sens!D8072</f>
        <v>43.4058093833333</v>
      </c>
      <c r="E8076" s="6" t="n">
        <f aca="false">Sens!E8075+Sens!E8072</f>
        <v>86.225053775</v>
      </c>
      <c r="F8076" s="6" t="n">
        <f aca="false">Sens!F8075+Sens!F8072</f>
        <v>168.45390404212</v>
      </c>
      <c r="G8076" s="6" t="n">
        <f aca="false">Sens!G8075+Sens!G8072</f>
        <v>191.944475649048</v>
      </c>
      <c r="H8076" s="6" t="n">
        <f aca="false">Sens!H8075+Sens!H8072</f>
        <v>196.806004064512</v>
      </c>
      <c r="I8076" s="6" t="n">
        <f aca="false">Sens!I8075+Sens!I8072</f>
        <v>168.61483362161</v>
      </c>
      <c r="J8076" s="6" t="n">
        <f aca="false">Sens!J8075+Sens!J8072</f>
        <v>128.92993119594</v>
      </c>
      <c r="K8076" s="6" t="n">
        <f aca="false">Sens!K8075+Sens!K8072</f>
        <v>118.962853064733</v>
      </c>
      <c r="L8076" s="12" t="s">
        <v>998</v>
      </c>
    </row>
    <row r="8077" customFormat="false" ht="17.15" hidden="false" customHeight="false" outlineLevel="0" collapsed="false">
      <c r="A8077" s="0" t="s">
        <v>999</v>
      </c>
      <c r="B8077" s="0" t="s">
        <v>98</v>
      </c>
      <c r="E8077" s="6" t="n">
        <f aca="false">(Sens!C8075*IF(2&lt;life_it,1,IF(2=life_it,0.5,0))+Sens!D8075*IF(1&lt;life_it,1,IF(1=life_it,0.5,0))+Sens!E8075*0.5)/life_it</f>
        <v>15.0605784770833</v>
      </c>
      <c r="F8077" s="6" t="n">
        <f aca="false">(Sens!C8075*IF(3&lt;life_it,1,IF(3=life_it,0.5,0))+Sens!D8075*IF(2&lt;life_it,1,IF(2=life_it,0.5,0))+Sens!E8075*IF(1&lt;life_it,1,IF(1=life_it,0.5,0))+Sens!F8075*0.5)/life_it</f>
        <v>32.0704849854266</v>
      </c>
      <c r="G8077" s="6" t="n">
        <f aca="false">(Sens!C8075*IF(4&lt;life_it,1,IF(4=life_it,0.5,0))+Sens!D8075*IF(3&lt;life_it,1,IF(3=life_it,0.5,0))+Sens!E8075*IF(2&lt;life_it,1,IF(2=life_it,0.5,0))+Sens!F8075*IF(1&lt;life_it,1,IF(1=life_it,0.5,0))+Sens!G8075*0.5)/life_it</f>
        <v>56.5636516735239</v>
      </c>
      <c r="H8077" s="6" t="n">
        <f aca="false">(Sens!C8075*IF(5&lt;life_it,1,IF(5=life_it,0.5,0))+Sens!D8075*IF(4&lt;life_it,1,IF(4=life_it,0.5,0))+Sens!E8075*IF(3&lt;life_it,1,IF(3=life_it,0.5,0))+Sens!F8075*IF(2&lt;life_it,1,IF(2=life_it,0.5,0))+Sens!G8075*IF(1&lt;life_it,1,IF(1=life_it,0.5,0))+Sens!H8075*0.5)/life_it</f>
        <v>83.2019916968207</v>
      </c>
      <c r="I8077" s="6" t="n">
        <f aca="false">(Sens!C8075*IF(6&lt;life_it,1,IF(6=life_it,0.5,0))+Sens!D8075*IF(5&lt;life_it,1,IF(5=life_it,0.5,0))+Sens!E8075*IF(4&lt;life_it,1,IF(4=life_it,0.5,0))+Sens!F8075*IF(3&lt;life_it,1,IF(3=life_it,0.5,0))+Sens!G8075*IF(2&lt;life_it,1,IF(2=life_it,0.5,0))+Sens!H8075*IF(1&lt;life_it,1,IF(1=life_it,0.5,0))+Sens!I8075*0.5)/life_it</f>
        <v>106.857324133594</v>
      </c>
      <c r="J8077" s="6" t="n">
        <f aca="false">(Sens!C8075*IF(7&lt;life_it,1,IF(7=life_it,0.5,0))+Sens!D8075*IF(6&lt;life_it,1,IF(6=life_it,0.5,0))+Sens!E8075*IF(5&lt;life_it,1,IF(5=life_it,0.5,0))+Sens!F8075*IF(4&lt;life_it,1,IF(4=life_it,0.5,0))+Sens!G8075*IF(3&lt;life_it,1,IF(3=life_it,0.5,0))+Sens!H8075*IF(2&lt;life_it,1,IF(2=life_it,0.5,0))+Sens!I8075*IF(1&lt;life_it,1,IF(1=life_it,0.5,0))+Sens!J8075*0.5)/life_it</f>
        <v>123.657508539285</v>
      </c>
      <c r="K8077" s="6" t="n">
        <f aca="false">(Sens!C8075*IF(8&lt;life_it,1,IF(8=life_it,0.5,0))+Sens!D8075*IF(7&lt;life_it,1,IF(7=life_it,0.5,0))+Sens!E8075*IF(6&lt;life_it,1,IF(6=life_it,0.5,0))+Sens!F8075*IF(5&lt;life_it,1,IF(5=life_it,0.5,0))+Sens!G8075*IF(4&lt;life_it,1,IF(4=life_it,0.5,0))+Sens!H8075*IF(3&lt;life_it,1,IF(3=life_it,0.5,0))+Sens!I8075*IF(2&lt;life_it,1,IF(2=life_it,0.5,0))+Sens!J8075*IF(1&lt;life_it,1,IF(1=life_it,0.5,0))+Sens!K8075*0.5)/life_it</f>
        <v>134.143838501827</v>
      </c>
    </row>
    <row r="8078" customFormat="false" ht="17.15" hidden="false" customHeight="false" outlineLevel="0" collapsed="false">
      <c r="A8078" s="0" t="s">
        <v>1000</v>
      </c>
      <c r="B8078" s="0" t="s">
        <v>98</v>
      </c>
      <c r="E8078" s="6" t="n">
        <f aca="false">(Sens!C8072*IF(2&lt;life_fac,1,IF(2=life_fac,0.5,0))+Sens!D8072*IF(1&lt;life_fac,1,IF(1=life_fac,0.5,0))+Sens!E8072*0.5)/life_fac</f>
        <v>1.2448275</v>
      </c>
      <c r="F8078" s="6" t="n">
        <f aca="false">(Sens!C8072*IF(3&lt;life_fac,1,IF(3=life_fac,0.5,0))+Sens!D8072*IF(2&lt;life_fac,1,IF(2=life_fac,0.5,0))+Sens!E8072*IF(1&lt;life_fac,1,IF(1=life_fac,0.5,0))+Sens!F8072*0.5)/life_fac</f>
        <v>2.508829492925</v>
      </c>
      <c r="G8078" s="6" t="n">
        <f aca="false">(Sens!C8072*IF(4&lt;life_fac,1,IF(4=life_fac,0.5,0))+Sens!D8072*IF(3&lt;life_fac,1,IF(3=life_fac,0.5,0))+Sens!E8072*IF(2&lt;life_fac,1,IF(2=life_fac,0.5,0))+Sens!F8072*IF(1&lt;life_fac,1,IF(1=life_fac,0.5,0))+Sens!G8072*0.5)/life_fac</f>
        <v>4.170838978775</v>
      </c>
      <c r="H8078" s="6" t="n">
        <f aca="false">(Sens!C8072*IF(5&lt;life_fac,1,IF(5=life_fac,0.5,0))+Sens!D8072*IF(4&lt;life_fac,1,IF(4=life_fac,0.5,0))+Sens!E8072*IF(3&lt;life_fac,1,IF(3=life_fac,0.5,0))+Sens!F8072*IF(2&lt;life_fac,1,IF(2=life_fac,0.5,0))+Sens!G8072*IF(1&lt;life_fac,1,IF(1=life_fac,0.5,0))+Sens!H8072*0.5)/life_fac</f>
        <v>5.898098964625</v>
      </c>
      <c r="I8078" s="6" t="n">
        <f aca="false">(Sens!C8072*IF(6&lt;life_fac,1,IF(6=life_fac,0.5,0))+Sens!D8072*IF(5&lt;life_fac,1,IF(5=life_fac,0.5,0))+Sens!E8072*IF(4&lt;life_fac,1,IF(4=life_fac,0.5,0))+Sens!F8072*IF(3&lt;life_fac,1,IF(3=life_fac,0.5,0))+Sens!G8072*IF(2&lt;life_fac,1,IF(2=life_fac,0.5,0))+Sens!H8072*IF(1&lt;life_fac,1,IF(1=life_fac,0.5,0))+Sens!I8072*0.5)/life_fac</f>
        <v>7.37368556095442</v>
      </c>
      <c r="J8078" s="6" t="n">
        <f aca="false">(Sens!C8072*IF(7&lt;life_fac,1,IF(7=life_fac,0.5,0))+Sens!D8072*IF(6&lt;life_fac,1,IF(6=life_fac,0.5,0))+Sens!E8072*IF(5&lt;life_fac,1,IF(5=life_fac,0.5,0))+Sens!F8072*IF(4&lt;life_fac,1,IF(4=life_fac,0.5,0))+Sens!G8072*IF(3&lt;life_fac,1,IF(3=life_fac,0.5,0))+Sens!H8072*IF(2&lt;life_fac,1,IF(2=life_fac,0.5,0))+Sens!I8072*IF(1&lt;life_fac,1,IF(1=life_fac,0.5,0))+Sens!J8072*0.5)/life_fac</f>
        <v>8.35816451031075</v>
      </c>
      <c r="K8078" s="6" t="n">
        <f aca="false">(Sens!C8072*IF(8&lt;life_fac,1,IF(8=life_fac,0.5,0))+Sens!D8072*IF(7&lt;life_fac,1,IF(7=life_fac,0.5,0))+Sens!E8072*IF(6&lt;life_fac,1,IF(6=life_fac,0.5,0))+Sens!F8072*IF(5&lt;life_fac,1,IF(5=life_fac,0.5,0))+Sens!G8072*IF(4&lt;life_fac,1,IF(4=life_fac,0.5,0))+Sens!H8072*IF(3&lt;life_fac,1,IF(3=life_fac,0.5,0))+Sens!I8072*IF(2&lt;life_fac,1,IF(2=life_fac,0.5,0))+Sens!J8072*IF(1&lt;life_fac,1,IF(1=life_fac,0.5,0))+Sens!K8072*0.5)/life_fac</f>
        <v>8.86883104910662</v>
      </c>
    </row>
    <row r="8079" customFormat="false" ht="17.15" hidden="false" customHeight="false" outlineLevel="0" collapsed="false">
      <c r="A8079" s="0" t="s">
        <v>1001</v>
      </c>
      <c r="B8079" s="0" t="s">
        <v>98</v>
      </c>
      <c r="E8079" s="6" t="n">
        <f aca="false">Sens!E8077+Sens!E8078</f>
        <v>16.3054059770833</v>
      </c>
      <c r="F8079" s="6" t="n">
        <f aca="false">Sens!F8077+Sens!F8078</f>
        <v>34.5793144783516</v>
      </c>
      <c r="G8079" s="6" t="n">
        <f aca="false">Sens!G8077+Sens!G8078</f>
        <v>60.7344906522989</v>
      </c>
      <c r="H8079" s="6" t="n">
        <f aca="false">Sens!H8077+Sens!H8078</f>
        <v>89.1000906614457</v>
      </c>
      <c r="I8079" s="6" t="n">
        <f aca="false">Sens!I8077+Sens!I8078</f>
        <v>114.231009694548</v>
      </c>
      <c r="J8079" s="6" t="n">
        <f aca="false">Sens!J8077+Sens!J8078</f>
        <v>132.015673049596</v>
      </c>
      <c r="K8079" s="6" t="n">
        <f aca="false">Sens!K8077+Sens!K8078</f>
        <v>143.012669550934</v>
      </c>
    </row>
    <row r="8080" customFormat="false" ht="17.15" hidden="false" customHeight="false" outlineLevel="0" collapsed="false">
      <c r="A8080" s="0" t="s">
        <v>1002</v>
      </c>
      <c r="B8080" s="0" t="s">
        <v>98</v>
      </c>
      <c r="E8080" s="6" t="n">
        <f aca="false">Sens!E8067-Sens!E8066*Sens!E8079</f>
        <v>8.92707889977379</v>
      </c>
      <c r="F8080" s="6" t="n">
        <f aca="false">Sens!F8067-Sens!F8066*Sens!F8079</f>
        <v>18.7770356668733</v>
      </c>
      <c r="G8080" s="6" t="n">
        <f aca="false">Sens!G8067-Sens!G8066*Sens!G8079</f>
        <v>31.1163641458894</v>
      </c>
      <c r="H8080" s="6" t="n">
        <f aca="false">Sens!H8067-Sens!H8066*Sens!H8079</f>
        <v>43.7262635496428</v>
      </c>
      <c r="I8080" s="6" t="n">
        <f aca="false">Sens!I8067-Sens!I8066*Sens!I8079</f>
        <v>54.7541698336361</v>
      </c>
      <c r="J8080" s="6" t="n">
        <f aca="false">Sens!J8067-Sens!J8066*Sens!J8079</f>
        <v>62.3768819327658</v>
      </c>
      <c r="K8080" s="6" t="n">
        <f aca="false">Sens!K8067-Sens!K8066*Sens!K8079</f>
        <v>67.4820630434748</v>
      </c>
    </row>
    <row r="8081" customFormat="false" ht="17.15" hidden="false" customHeight="false" outlineLevel="0" collapsed="false">
      <c r="A8081" s="3" t="s">
        <v>1681</v>
      </c>
    </row>
    <row r="8082" customFormat="false" ht="15" hidden="false" customHeight="false" outlineLevel="0" collapsed="false">
      <c r="A8082" s="4" t="s">
        <v>43</v>
      </c>
      <c r="B8082" s="4" t="s">
        <v>65</v>
      </c>
      <c r="C8082" s="23" t="s">
        <v>938</v>
      </c>
      <c r="D8082" s="23" t="s">
        <v>939</v>
      </c>
      <c r="E8082" s="23" t="s">
        <v>940</v>
      </c>
      <c r="F8082" s="23" t="s">
        <v>941</v>
      </c>
      <c r="G8082" s="23" t="s">
        <v>942</v>
      </c>
      <c r="H8082" s="23" t="s">
        <v>943</v>
      </c>
      <c r="I8082" s="23" t="s">
        <v>944</v>
      </c>
      <c r="J8082" s="23" t="s">
        <v>945</v>
      </c>
      <c r="K8082" s="23" t="s">
        <v>946</v>
      </c>
      <c r="L8082" s="4" t="s">
        <v>47</v>
      </c>
    </row>
    <row r="8083" customFormat="false" ht="17.15" hidden="false" customHeight="false" outlineLevel="0" collapsed="false">
      <c r="A8083" s="0" t="s">
        <v>1021</v>
      </c>
      <c r="B8083" s="0" t="s">
        <v>98</v>
      </c>
      <c r="D8083" s="6" t="n">
        <f aca="false">Sens!D8061</f>
        <v>12.9359794422418</v>
      </c>
      <c r="E8083" s="6" t="n">
        <f aca="false">Sens!E8061</f>
        <v>27.8095064661409</v>
      </c>
      <c r="F8083" s="6" t="n">
        <f aca="false">Sens!F8061</f>
        <v>55.4118315060966</v>
      </c>
      <c r="G8083" s="6" t="n">
        <f aca="false">Sens!G8061</f>
        <v>91.2881100675143</v>
      </c>
      <c r="H8083" s="6" t="n">
        <f aca="false">Sens!H8061</f>
        <v>128.195273603944</v>
      </c>
      <c r="I8083" s="6" t="n">
        <f aca="false">Sens!I8061</f>
        <v>160.601281810405</v>
      </c>
      <c r="J8083" s="6" t="n">
        <f aca="false">Sens!J8061</f>
        <v>183.182719793589</v>
      </c>
      <c r="K8083" s="6" t="n">
        <f aca="false">Sens!K8061</f>
        <v>197.320124937098</v>
      </c>
    </row>
    <row r="8084" customFormat="false" ht="17.15" hidden="false" customHeight="false" outlineLevel="0" collapsed="false">
      <c r="A8084" s="0" t="s">
        <v>1022</v>
      </c>
      <c r="B8084" s="0" t="s">
        <v>98</v>
      </c>
      <c r="D8084" s="6" t="n">
        <f aca="false">Q!L6-Sens!D8083</f>
        <v>59.6740205577583</v>
      </c>
      <c r="E8084" s="6" t="n">
        <f aca="false">Q!M6-Sens!E8083</f>
        <v>74.1284935338591</v>
      </c>
      <c r="F8084" s="6" t="n">
        <f aca="false">Q!$I$6+(Sens!F8083+Sens!E8084*(1+Sens!F8085))*(1-Q!$E$6/Q!M6)-Sens!F8083</f>
        <v>91.2972164940844</v>
      </c>
      <c r="G8084" s="6" t="n">
        <f aca="false">Sens!F8084*(1+Sens!G8085)</f>
        <v>108.474719793879</v>
      </c>
      <c r="H8084" s="6" t="n">
        <f aca="false">Sens!G8084*(1+Sens!H8085)</f>
        <v>125.951292505701</v>
      </c>
      <c r="I8084" s="6" t="n">
        <f aca="false">Sens!H8084*(1+Sens!I8085)</f>
        <v>142.838165154212</v>
      </c>
      <c r="J8084" s="6" t="n">
        <f aca="false">Sens!I8084*(1+Sens!J8085)</f>
        <v>158.12717866615</v>
      </c>
      <c r="K8084" s="6" t="n">
        <f aca="false">Sens!J8084*(1+Sens!K8085)</f>
        <v>170.777352959442</v>
      </c>
      <c r="L8084" s="12" t="s">
        <v>1023</v>
      </c>
    </row>
    <row r="8085" customFormat="false" ht="15" hidden="false" customHeight="false" outlineLevel="0" collapsed="false">
      <c r="A8085" s="1" t="s">
        <v>1024</v>
      </c>
      <c r="B8085" s="0" t="s">
        <v>168</v>
      </c>
      <c r="E8085" s="7" t="n">
        <f aca="false">Sens!E8084/Sens!D8084-1</f>
        <v>0.242223883039864</v>
      </c>
      <c r="F8085" s="7" t="n">
        <f aca="false">Sens!$E$8085+(glt_azo-Sens!$E$8085)*MIN(1,(Sens!F8042-base_fy)/n_conv)</f>
        <v>0.215186569199887</v>
      </c>
      <c r="G8085" s="7" t="n">
        <f aca="false">Sens!$E$8085+(glt_azo-Sens!$E$8085)*MIN(1,(Sens!G8042-base_fy)/n_conv)</f>
        <v>0.18814925535991</v>
      </c>
      <c r="H8085" s="7" t="n">
        <f aca="false">Sens!$E$8085+(glt_azo-Sens!$E$8085)*MIN(1,(Sens!H8042-base_fy)/n_conv)</f>
        <v>0.161111941519932</v>
      </c>
      <c r="I8085" s="7" t="n">
        <f aca="false">Sens!$E$8085+(glt_azo-Sens!$E$8085)*MIN(1,(Sens!I8042-base_fy)/n_conv)</f>
        <v>0.134074627679955</v>
      </c>
      <c r="J8085" s="7" t="n">
        <f aca="false">Sens!$E$8085+(glt_azo-Sens!$E$8085)*MIN(1,(Sens!J8042-base_fy)/n_conv)</f>
        <v>0.107037313839977</v>
      </c>
      <c r="K8085" s="7" t="n">
        <f aca="false">Sens!$E$8085+(glt_azo-Sens!$E$8085)*MIN(1,(Sens!K8042-base_fy)/n_conv)</f>
        <v>0.08</v>
      </c>
    </row>
    <row r="8086" customFormat="false" ht="15" hidden="false" customHeight="false" outlineLevel="0" collapsed="false">
      <c r="A8086" s="0" t="s">
        <v>1025</v>
      </c>
      <c r="B8086" s="0" t="s">
        <v>98</v>
      </c>
      <c r="D8086" s="6" t="n">
        <f aca="false">Sens!D8083+Sens!D8084</f>
        <v>72.61</v>
      </c>
      <c r="E8086" s="6" t="n">
        <f aca="false">Sens!E8083+Sens!E8084</f>
        <v>101.938</v>
      </c>
      <c r="F8086" s="6" t="n">
        <f aca="false">Sens!F8083+Sens!F8084</f>
        <v>146.709048000181</v>
      </c>
      <c r="G8086" s="6" t="n">
        <f aca="false">Sens!G8083+Sens!G8084</f>
        <v>199.762829861393</v>
      </c>
      <c r="H8086" s="6" t="n">
        <f aca="false">Sens!H8083+Sens!H8084</f>
        <v>254.146566109645</v>
      </c>
      <c r="I8086" s="6" t="n">
        <f aca="false">Sens!I8083+Sens!I8084</f>
        <v>303.439446964617</v>
      </c>
      <c r="J8086" s="6" t="n">
        <f aca="false">Sens!J8083+Sens!J8084</f>
        <v>341.309898459739</v>
      </c>
      <c r="K8086" s="6" t="n">
        <f aca="false">Sens!K8083+Sens!K8084</f>
        <v>368.09747789654</v>
      </c>
    </row>
    <row r="8087" customFormat="false" ht="17.15" hidden="false" customHeight="false" outlineLevel="0" collapsed="false">
      <c r="A8087" s="0" t="s">
        <v>1026</v>
      </c>
      <c r="B8087" s="1" t="s">
        <v>610</v>
      </c>
      <c r="C8087" s="30" t="n">
        <f aca="false">cop_s24</f>
        <v>1</v>
      </c>
      <c r="D8087" s="30" t="n">
        <f aca="false">cop_s25</f>
        <v>5</v>
      </c>
      <c r="E8087" s="30" t="n">
        <f aca="false">cop_s26</f>
        <v>30</v>
      </c>
      <c r="F8087" s="30" t="n">
        <f aca="false">Sens!E8087+cop_add_B</f>
        <v>50</v>
      </c>
      <c r="G8087" s="30" t="n">
        <f aca="false">Sens!F8087+cop_add_B</f>
        <v>70</v>
      </c>
      <c r="H8087" s="30" t="n">
        <f aca="false">Sens!G8087+cop_add_B</f>
        <v>90</v>
      </c>
      <c r="I8087" s="30" t="n">
        <f aca="false">Sens!H8087+cop_add_B*cop_tail</f>
        <v>100</v>
      </c>
      <c r="J8087" s="30" t="n">
        <f aca="false">Sens!I8087+cop_add_B*cop_tail</f>
        <v>110</v>
      </c>
      <c r="K8087" s="30" t="n">
        <f aca="false">Sens!J8087+cop_add_B*cop_tail</f>
        <v>120</v>
      </c>
      <c r="L8087" s="12" t="s">
        <v>1027</v>
      </c>
    </row>
    <row r="8088" customFormat="false" ht="17.15" hidden="false" customHeight="false" outlineLevel="0" collapsed="false">
      <c r="A8088" s="0" t="s">
        <v>1028</v>
      </c>
      <c r="B8088" s="0" t="s">
        <v>98</v>
      </c>
      <c r="D8088" s="6" t="n">
        <f aca="false">(Sens!C8087+Sens!D8087)/2*cop_px*12/1000</f>
        <v>0.9</v>
      </c>
      <c r="E8088" s="6" t="n">
        <f aca="false">(Sens!D8087+Sens!E8087)/2*cop_px*12/1000</f>
        <v>5.25</v>
      </c>
      <c r="F8088" s="6" t="n">
        <f aca="false">(Sens!E8087+Sens!F8087)/2*cop_px_lo*12/1000</f>
        <v>8.64</v>
      </c>
      <c r="G8088" s="6" t="n">
        <f aca="false">(Sens!F8087+Sens!G8087)/2*cop_px_lo*12/1000</f>
        <v>12.96</v>
      </c>
      <c r="H8088" s="6" t="n">
        <f aca="false">(Sens!G8087+Sens!H8087)/2*cop_px_lo*12/1000</f>
        <v>17.28</v>
      </c>
      <c r="I8088" s="6" t="n">
        <f aca="false">(Sens!H8087+Sens!I8087)/2*cop_px_lo*12/1000</f>
        <v>20.52</v>
      </c>
      <c r="J8088" s="6" t="n">
        <f aca="false">(Sens!I8087+Sens!J8087)/2*cop_px_lo*12/1000</f>
        <v>22.68</v>
      </c>
      <c r="K8088" s="6" t="n">
        <f aca="false">(Sens!J8087+Sens!K8087)/2*cop_px_lo*12/1000</f>
        <v>24.84</v>
      </c>
      <c r="L8088" s="1" t="s">
        <v>1029</v>
      </c>
    </row>
    <row r="8089" customFormat="false" ht="17.15" hidden="false" customHeight="false" outlineLevel="0" collapsed="false">
      <c r="A8089" s="0" t="s">
        <v>1030</v>
      </c>
      <c r="B8089" s="0" t="s">
        <v>98</v>
      </c>
      <c r="D8089" s="6" t="n">
        <f aca="false">Q!L7-Sens!D8088</f>
        <v>83.705</v>
      </c>
      <c r="E8089" s="6" t="n">
        <f aca="false">Q!M7-Sens!E8088</f>
        <v>95.049</v>
      </c>
      <c r="F8089" s="6" t="n">
        <f aca="false">Q!$I$7+(Sens!E8089*(1+Sens!F8090)+Sens!F8088)*(1-Q!$E$7/Q!M7)-Sens!F8088</f>
        <v>107.377748799891</v>
      </c>
      <c r="G8089" s="6" t="n">
        <f aca="false">Sens!F8089*(1+Sens!G8090)</f>
        <v>119.58470647746</v>
      </c>
      <c r="H8089" s="6" t="n">
        <f aca="false">Sens!G8089*(1+Sens!H8090)</f>
        <v>131.873444068876</v>
      </c>
      <c r="I8089" s="6" t="n">
        <f aca="false">Sens!H8089*(1+Sens!I8090)</f>
        <v>143.984857877399</v>
      </c>
      <c r="J8089" s="6" t="n">
        <f aca="false">Sens!I8089*(1+Sens!J8090)</f>
        <v>155.636198125454</v>
      </c>
      <c r="K8089" s="6" t="n">
        <f aca="false">Sens!J8089*(1+Sens!K8090)</f>
        <v>166.530731994236</v>
      </c>
      <c r="L8089" s="12" t="s">
        <v>1031</v>
      </c>
    </row>
    <row r="8090" customFormat="false" ht="15" hidden="false" customHeight="false" outlineLevel="0" collapsed="false">
      <c r="A8090" s="1" t="s">
        <v>1024</v>
      </c>
      <c r="B8090" s="0" t="s">
        <v>168</v>
      </c>
      <c r="E8090" s="7" t="n">
        <f aca="false">Sens!E8089/Sens!D8089-1</f>
        <v>0.135523564900544</v>
      </c>
      <c r="F8090" s="7" t="n">
        <f aca="false">Sens!$E$8090+(glt_m365b-Sens!$E$8090)*MIN(1,(Sens!F8042-base_fy)/n_conv)</f>
        <v>0.124602970750453</v>
      </c>
      <c r="G8090" s="7" t="n">
        <f aca="false">Sens!$E$8090+(glt_m365b-Sens!$E$8090)*MIN(1,(Sens!G8042-base_fy)/n_conv)</f>
        <v>0.113682376600363</v>
      </c>
      <c r="H8090" s="7" t="n">
        <f aca="false">Sens!$E$8090+(glt_m365b-Sens!$E$8090)*MIN(1,(Sens!H8042-base_fy)/n_conv)</f>
        <v>0.102761782450272</v>
      </c>
      <c r="I8090" s="7" t="n">
        <f aca="false">Sens!$E$8090+(glt_m365b-Sens!$E$8090)*MIN(1,(Sens!I8042-base_fy)/n_conv)</f>
        <v>0.0918411883001813</v>
      </c>
      <c r="J8090" s="7" t="n">
        <f aca="false">Sens!$E$8090+(glt_m365b-Sens!$E$8090)*MIN(1,(Sens!J8042-base_fy)/n_conv)</f>
        <v>0.0809205941500906</v>
      </c>
      <c r="K8090" s="7" t="n">
        <f aca="false">Sens!$E$8090+(glt_m365b-Sens!$E$8090)*MIN(1,(Sens!K8042-base_fy)/n_conv)</f>
        <v>0.07</v>
      </c>
    </row>
    <row r="8091" customFormat="false" ht="15" hidden="false" customHeight="false" outlineLevel="0" collapsed="false">
      <c r="A8091" s="0" t="s">
        <v>1032</v>
      </c>
      <c r="B8091" s="0" t="s">
        <v>98</v>
      </c>
      <c r="D8091" s="6" t="n">
        <f aca="false">Sens!D8089+Sens!D8088</f>
        <v>84.605</v>
      </c>
      <c r="E8091" s="6" t="n">
        <f aca="false">Sens!E8089+Sens!E8088</f>
        <v>100.299</v>
      </c>
      <c r="F8091" s="6" t="n">
        <f aca="false">Sens!F8089+Sens!F8088</f>
        <v>116.017748799891</v>
      </c>
      <c r="G8091" s="6" t="n">
        <f aca="false">Sens!G8089+Sens!G8088</f>
        <v>132.54470647746</v>
      </c>
      <c r="H8091" s="6" t="n">
        <f aca="false">Sens!H8089+Sens!H8088</f>
        <v>149.153444068876</v>
      </c>
      <c r="I8091" s="6" t="n">
        <f aca="false">Sens!I8089+Sens!I8088</f>
        <v>164.504857877399</v>
      </c>
      <c r="J8091" s="6" t="n">
        <f aca="false">Sens!J8089+Sens!J8088</f>
        <v>178.316198125455</v>
      </c>
      <c r="K8091" s="6" t="n">
        <f aca="false">Sens!K8089+Sens!K8088</f>
        <v>191.370731994236</v>
      </c>
    </row>
    <row r="8092" customFormat="false" ht="17.15" hidden="false" customHeight="false" outlineLevel="0" collapsed="false">
      <c r="A8092" s="0" t="s">
        <v>1033</v>
      </c>
      <c r="B8092" s="0" t="s">
        <v>98</v>
      </c>
      <c r="D8092" s="6" t="n">
        <f aca="false">Q!L8</f>
        <v>35.391</v>
      </c>
      <c r="E8092" s="6" t="n">
        <f aca="false">Q!M8</f>
        <v>37.285</v>
      </c>
      <c r="F8092" s="6" t="n">
        <f aca="false">Q!$I$8+(Q!M8-Q!$E$8)*(1+Sens!F8093)</f>
        <v>38.3851437782675</v>
      </c>
      <c r="G8092" s="6" t="n">
        <f aca="false">Sens!F8092*(1+Sens!G8093)</f>
        <v>40.0105353288615</v>
      </c>
      <c r="H8092" s="6" t="n">
        <f aca="false">Sens!G8092*(1+Sens!H8093)</f>
        <v>41.4812512033683</v>
      </c>
      <c r="I8092" s="6" t="n">
        <f aca="false">Sens!H8092*(1+Sens!I8093)</f>
        <v>42.7743107216329</v>
      </c>
      <c r="J8092" s="6" t="n">
        <f aca="false">Sens!I8092*(1+Sens!J8093)</f>
        <v>43.8687373064601</v>
      </c>
      <c r="K8092" s="6" t="n">
        <f aca="false">Sens!J8092*(1+Sens!K8093)</f>
        <v>44.7461120525893</v>
      </c>
      <c r="L8092" s="12" t="s">
        <v>1034</v>
      </c>
    </row>
    <row r="8093" customFormat="false" ht="15" hidden="false" customHeight="false" outlineLevel="0" collapsed="false">
      <c r="A8093" s="1" t="s">
        <v>1024</v>
      </c>
      <c r="B8093" s="0" t="s">
        <v>168</v>
      </c>
      <c r="E8093" s="7" t="n">
        <f aca="false">Sens!E8092/Sens!D8092-1</f>
        <v>0.0535164307309768</v>
      </c>
      <c r="F8093" s="7" t="n">
        <f aca="false">Sens!$E$8093+(glt_lic-Sens!$E$8093)*MIN(1,(Sens!F8042-base_fy)/n_conv)</f>
        <v>0.0479303589424807</v>
      </c>
      <c r="G8093" s="7" t="n">
        <f aca="false">Sens!$E$8093+(glt_lic-Sens!$E$8093)*MIN(1,(Sens!G8042-base_fy)/n_conv)</f>
        <v>0.0423442871539845</v>
      </c>
      <c r="H8093" s="7" t="n">
        <f aca="false">Sens!$E$8093+(glt_lic-Sens!$E$8093)*MIN(1,(Sens!H8042-base_fy)/n_conv)</f>
        <v>0.0367582153654884</v>
      </c>
      <c r="I8093" s="7" t="n">
        <f aca="false">Sens!$E$8093+(glt_lic-Sens!$E$8093)*MIN(1,(Sens!I8042-base_fy)/n_conv)</f>
        <v>0.0311721435769923</v>
      </c>
      <c r="J8093" s="7" t="n">
        <f aca="false">Sens!$E$8093+(glt_lic-Sens!$E$8093)*MIN(1,(Sens!J8042-base_fy)/n_conv)</f>
        <v>0.0255860717884961</v>
      </c>
      <c r="K8093" s="7" t="n">
        <f aca="false">Sens!$E$8093+(glt_lic-Sens!$E$8093)*MIN(1,(Sens!K8042-base_fy)/n_conv)</f>
        <v>0.02</v>
      </c>
    </row>
    <row r="8094" customFormat="false" ht="17.15" hidden="false" customHeight="false" outlineLevel="0" collapsed="false">
      <c r="A8094" s="0" t="s">
        <v>1035</v>
      </c>
      <c r="B8094" s="0" t="s">
        <v>98</v>
      </c>
      <c r="D8094" s="6" t="n">
        <f aca="false">Q!L9</f>
        <v>18.417</v>
      </c>
      <c r="E8094" s="6" t="n">
        <f aca="false">Q!M9</f>
        <v>20.345</v>
      </c>
      <c r="F8094" s="6" t="n">
        <f aca="false">Q!$I$9+(Q!M9-Q!$E$9)*(1+Sens!F8095)</f>
        <v>22.3161797133988</v>
      </c>
      <c r="G8094" s="6" t="n">
        <f aca="false">Sens!F8094*(1+Sens!G8095)</f>
        <v>24.3943499673233</v>
      </c>
      <c r="H8094" s="6" t="n">
        <f aca="false">Sens!G8094*(1+Sens!H8095)</f>
        <v>26.5250243109019</v>
      </c>
      <c r="I8094" s="6" t="n">
        <f aca="false">Sens!H8094*(1+Sens!I8095)</f>
        <v>28.6884573538181</v>
      </c>
      <c r="J8094" s="6" t="n">
        <f aca="false">Sens!I8094*(1+Sens!J8095)</f>
        <v>30.8624968052127</v>
      </c>
      <c r="K8094" s="6" t="n">
        <f aca="false">Sens!J8094*(1+Sens!K8095)</f>
        <v>33.0228715815776</v>
      </c>
      <c r="L8094" s="12" t="s">
        <v>1034</v>
      </c>
    </row>
    <row r="8095" customFormat="false" ht="15" hidden="false" customHeight="false" outlineLevel="0" collapsed="false">
      <c r="A8095" s="1" t="s">
        <v>1024</v>
      </c>
      <c r="B8095" s="0" t="s">
        <v>168</v>
      </c>
      <c r="E8095" s="7" t="n">
        <f aca="false">Sens!E8094/Sens!D8094-1</f>
        <v>0.104685888038225</v>
      </c>
      <c r="F8095" s="7" t="n">
        <f aca="false">Sens!$E$8095+(glt_ind-Sens!$E$8095)*MIN(1,(Sens!F8042-base_fy)/n_conv)</f>
        <v>0.0989049066985211</v>
      </c>
      <c r="G8095" s="7" t="n">
        <f aca="false">Sens!$E$8095+(glt_ind-Sens!$E$8095)*MIN(1,(Sens!G8042-base_fy)/n_conv)</f>
        <v>0.0931239253588169</v>
      </c>
      <c r="H8095" s="7" t="n">
        <f aca="false">Sens!$E$8095+(glt_ind-Sens!$E$8095)*MIN(1,(Sens!H8042-base_fy)/n_conv)</f>
        <v>0.0873429440191127</v>
      </c>
      <c r="I8095" s="7" t="n">
        <f aca="false">Sens!$E$8095+(glt_ind-Sens!$E$8095)*MIN(1,(Sens!I8042-base_fy)/n_conv)</f>
        <v>0.0815619626794085</v>
      </c>
      <c r="J8095" s="7" t="n">
        <f aca="false">Sens!$E$8095+(glt_ind-Sens!$E$8095)*MIN(1,(Sens!J8042-base_fy)/n_conv)</f>
        <v>0.0757809813397042</v>
      </c>
      <c r="K8095" s="7" t="n">
        <f aca="false">Sens!$E$8095+(glt_ind-Sens!$E$8095)*MIN(1,(Sens!K8042-base_fy)/n_conv)</f>
        <v>0.07</v>
      </c>
    </row>
    <row r="8096" customFormat="false" ht="17.15" hidden="false" customHeight="false" outlineLevel="0" collapsed="false">
      <c r="A8096" s="0" t="s">
        <v>1036</v>
      </c>
      <c r="B8096" s="0" t="s">
        <v>98</v>
      </c>
      <c r="D8096" s="6" t="n">
        <f aca="false">Q!L10</f>
        <v>7.76</v>
      </c>
      <c r="E8096" s="6" t="n">
        <f aca="false">Q!M10</f>
        <v>8.26</v>
      </c>
      <c r="F8096" s="6" t="n">
        <f aca="false">Q!$I$10+(Q!M10-Q!$E$10)*(1+Sens!F8097)</f>
        <v>8.75372082474227</v>
      </c>
      <c r="G8096" s="6" t="n">
        <f aca="false">Sens!F8096*(1+Sens!G8097)</f>
        <v>9.33399324642364</v>
      </c>
      <c r="H8096" s="6" t="n">
        <f aca="false">Sens!G8096*(1+Sens!H8097)</f>
        <v>9.96139155535851</v>
      </c>
      <c r="I8096" s="6" t="n">
        <f aca="false">Sens!H8096*(1+Sens!I8097)</f>
        <v>10.6402039077391</v>
      </c>
      <c r="J8096" s="6" t="n">
        <f aca="false">Sens!I8096*(1+Sens!J8097)</f>
        <v>11.3751458271397</v>
      </c>
      <c r="K8096" s="6" t="n">
        <f aca="false">Sens!J8096*(1+Sens!K8097)</f>
        <v>12.1714060350394</v>
      </c>
      <c r="L8096" s="12" t="s">
        <v>1034</v>
      </c>
    </row>
    <row r="8097" customFormat="false" ht="15" hidden="false" customHeight="false" outlineLevel="0" collapsed="false">
      <c r="A8097" s="1" t="s">
        <v>1024</v>
      </c>
      <c r="B8097" s="0" t="s">
        <v>168</v>
      </c>
      <c r="E8097" s="7" t="n">
        <f aca="false">Sens!E8096/Sens!D8096-1</f>
        <v>0.0644329896907216</v>
      </c>
      <c r="F8097" s="7" t="n">
        <f aca="false">Sens!$E$8097+(glt_fro-Sens!$E$8097)*MIN(1,(Sens!F8042-base_fy)/n_conv)</f>
        <v>0.065360824742268</v>
      </c>
      <c r="G8097" s="7" t="n">
        <f aca="false">Sens!$E$8097+(glt_fro-Sens!$E$8097)*MIN(1,(Sens!G8042-base_fy)/n_conv)</f>
        <v>0.0662886597938144</v>
      </c>
      <c r="H8097" s="7" t="n">
        <f aca="false">Sens!$E$8097+(glt_fro-Sens!$E$8097)*MIN(1,(Sens!H8042-base_fy)/n_conv)</f>
        <v>0.0672164948453608</v>
      </c>
      <c r="I8097" s="7" t="n">
        <f aca="false">Sens!$E$8097+(glt_fro-Sens!$E$8097)*MIN(1,(Sens!I8042-base_fy)/n_conv)</f>
        <v>0.0681443298969072</v>
      </c>
      <c r="J8097" s="7" t="n">
        <f aca="false">Sens!$E$8097+(glt_fro-Sens!$E$8097)*MIN(1,(Sens!J8042-base_fy)/n_conv)</f>
        <v>0.0690721649484536</v>
      </c>
      <c r="K8097" s="7" t="n">
        <f aca="false">Sens!$E$8097+(glt_fro-Sens!$E$8097)*MIN(1,(Sens!K8042-base_fy)/n_conv)</f>
        <v>0.07</v>
      </c>
    </row>
    <row r="8098" customFormat="false" ht="15" hidden="false" customHeight="false" outlineLevel="0" collapsed="false">
      <c r="A8098" s="0" t="s">
        <v>852</v>
      </c>
      <c r="B8098" s="0" t="s">
        <v>98</v>
      </c>
      <c r="D8098" s="6" t="n">
        <f aca="false">Sens!D8086+Sens!D8091+Sens!D8092+Sens!D8094+Sens!D8096</f>
        <v>218.783</v>
      </c>
      <c r="E8098" s="6" t="n">
        <f aca="false">Sens!E8086+Sens!E8091+Sens!E8092+Sens!E8094+Sens!E8096</f>
        <v>268.127</v>
      </c>
      <c r="F8098" s="6" t="n">
        <f aca="false">Sens!F8086+Sens!F8091+Sens!F8092+Sens!F8094+Sens!F8096</f>
        <v>332.181841116481</v>
      </c>
      <c r="G8098" s="6" t="n">
        <f aca="false">Sens!G8086+Sens!G8091+Sens!G8092+Sens!G8094+Sens!G8096</f>
        <v>406.046414881461</v>
      </c>
      <c r="H8098" s="6" t="n">
        <f aca="false">Sens!H8086+Sens!H8091+Sens!H8092+Sens!H8094+Sens!H8096</f>
        <v>481.26767724815</v>
      </c>
      <c r="I8098" s="6" t="n">
        <f aca="false">Sens!I8086+Sens!I8091+Sens!I8092+Sens!I8094+Sens!I8096</f>
        <v>550.047276825206</v>
      </c>
      <c r="J8098" s="6" t="n">
        <f aca="false">Sens!J8086+Sens!J8091+Sens!J8092+Sens!J8094+Sens!J8096</f>
        <v>605.732476524006</v>
      </c>
      <c r="K8098" s="6" t="n">
        <f aca="false">Sens!K8086+Sens!K8091+Sens!K8092+Sens!K8094+Sens!K8096</f>
        <v>649.408599559983</v>
      </c>
    </row>
    <row r="8099" customFormat="false" ht="17.15" hidden="false" customHeight="false" outlineLevel="0" collapsed="false">
      <c r="A8099" s="0" t="s">
        <v>1037</v>
      </c>
      <c r="B8099" s="0" t="s">
        <v>98</v>
      </c>
      <c r="D8099" s="6" t="n">
        <f aca="false">Q!L13</f>
        <v>22.171</v>
      </c>
      <c r="E8099" s="6" t="n">
        <f aca="false">Q!M13</f>
        <v>24.835</v>
      </c>
      <c r="F8099" s="6" t="n">
        <f aca="false">Q!$I$13+(Q!M13-Q!$E$13)*(1+Sens!F8100)</f>
        <v>27.5591895660247</v>
      </c>
      <c r="G8099" s="6" t="n">
        <f aca="false">Sens!F8099*(1+Sens!G8100)</f>
        <v>30.4098563144583</v>
      </c>
      <c r="H8099" s="6" t="n">
        <f aca="false">Sens!G8099*(1+Sens!H8100)</f>
        <v>33.3011792571777</v>
      </c>
      <c r="I8099" s="6" t="n">
        <f aca="false">Sens!H8099*(1+Sens!I8100)</f>
        <v>36.189023797112</v>
      </c>
      <c r="J8099" s="6" t="n">
        <f aca="false">Sens!I8099*(1+Sens!J8100)</f>
        <v>39.0247773769199</v>
      </c>
      <c r="K8099" s="6" t="n">
        <f aca="false">Sens!J8099*(1+Sens!K8100)</f>
        <v>41.7565117933043</v>
      </c>
      <c r="L8099" s="12" t="s">
        <v>1034</v>
      </c>
    </row>
    <row r="8100" customFormat="false" ht="15" hidden="false" customHeight="false" outlineLevel="0" collapsed="false">
      <c r="A8100" s="1" t="s">
        <v>1024</v>
      </c>
      <c r="B8100" s="0" t="s">
        <v>168</v>
      </c>
      <c r="E8100" s="7" t="n">
        <f aca="false">Sens!E8099/Sens!D8099-1</f>
        <v>0.120156961796942</v>
      </c>
      <c r="F8100" s="7" t="n">
        <f aca="false">Sens!$E$8100+(glt_srch-Sens!$E$8100)*MIN(1,(Sens!F8042-base_fy)/n_conv)</f>
        <v>0.111797468164118</v>
      </c>
      <c r="G8100" s="7" t="n">
        <f aca="false">Sens!$E$8100+(glt_srch-Sens!$E$8100)*MIN(1,(Sens!G8042-base_fy)/n_conv)</f>
        <v>0.103437974531295</v>
      </c>
      <c r="H8100" s="7" t="n">
        <f aca="false">Sens!$E$8100+(glt_srch-Sens!$E$8100)*MIN(1,(Sens!H8042-base_fy)/n_conv)</f>
        <v>0.095078480898471</v>
      </c>
      <c r="I8100" s="7" t="n">
        <f aca="false">Sens!$E$8100+(glt_srch-Sens!$E$8100)*MIN(1,(Sens!I8042-base_fy)/n_conv)</f>
        <v>0.0867189872656474</v>
      </c>
      <c r="J8100" s="7" t="n">
        <f aca="false">Sens!$E$8100+(glt_srch-Sens!$E$8100)*MIN(1,(Sens!J8042-base_fy)/n_conv)</f>
        <v>0.0783594936328237</v>
      </c>
      <c r="K8100" s="7" t="n">
        <f aca="false">Sens!$E$8100+(glt_srch-Sens!$E$8100)*MIN(1,(Sens!K8042-base_fy)/n_conv)</f>
        <v>0.07</v>
      </c>
    </row>
    <row r="8101" customFormat="false" ht="17.15" hidden="false" customHeight="false" outlineLevel="0" collapsed="false">
      <c r="A8101" s="0" t="s">
        <v>1038</v>
      </c>
      <c r="B8101" s="0" t="s">
        <v>98</v>
      </c>
      <c r="D8101" s="6" t="n">
        <f aca="false">Q!L14</f>
        <v>23.455</v>
      </c>
      <c r="E8101" s="6" t="n">
        <f aca="false">Q!M14</f>
        <v>21.79</v>
      </c>
      <c r="F8101" s="6" t="n">
        <f aca="false">Q!$I$14+(Q!M14-Q!$E$14)*(1+Sens!F8102)</f>
        <v>20.7520981041711</v>
      </c>
      <c r="G8101" s="6" t="n">
        <f aca="false">Sens!F8101*(1+Sens!G8102)</f>
        <v>19.9083593495882</v>
      </c>
      <c r="H8101" s="6" t="n">
        <f aca="false">Sens!G8101*(1+Sens!H8102)</f>
        <v>19.4008256265831</v>
      </c>
      <c r="I8101" s="6" t="n">
        <f aca="false">Sens!H8101*(1+Sens!I8102)</f>
        <v>19.200434522122</v>
      </c>
      <c r="J8101" s="6" t="n">
        <f aca="false">Sens!I8101*(1+Sens!J8102)</f>
        <v>19.2932782348507</v>
      </c>
      <c r="K8101" s="6" t="n">
        <f aca="false">Sens!J8101*(1+Sens!K8102)</f>
        <v>19.6791437995477</v>
      </c>
      <c r="L8101" s="12" t="s">
        <v>1034</v>
      </c>
    </row>
    <row r="8102" customFormat="false" ht="15" hidden="false" customHeight="false" outlineLevel="0" collapsed="false">
      <c r="A8102" s="1" t="s">
        <v>1024</v>
      </c>
      <c r="B8102" s="0" t="s">
        <v>168</v>
      </c>
      <c r="E8102" s="7" t="n">
        <f aca="false">Sens!E8101/Sens!D8101-1</f>
        <v>-0.0709869963760392</v>
      </c>
      <c r="F8102" s="7" t="n">
        <f aca="false">Sens!$E$8102+(glt_xbox-Sens!$E$8102)*MIN(1,(Sens!F8042-base_fy)/n_conv)</f>
        <v>-0.0558224969800327</v>
      </c>
      <c r="G8102" s="7" t="n">
        <f aca="false">Sens!$E$8102+(glt_xbox-Sens!$E$8102)*MIN(1,(Sens!G8042-base_fy)/n_conv)</f>
        <v>-0.0406579975840262</v>
      </c>
      <c r="H8102" s="7" t="n">
        <f aca="false">Sens!$E$8102+(glt_xbox-Sens!$E$8102)*MIN(1,(Sens!H8042-base_fy)/n_conv)</f>
        <v>-0.0254934981880196</v>
      </c>
      <c r="I8102" s="7" t="n">
        <f aca="false">Sens!$E$8102+(glt_xbox-Sens!$E$8102)*MIN(1,(Sens!I8042-base_fy)/n_conv)</f>
        <v>-0.0103289987920131</v>
      </c>
      <c r="J8102" s="7" t="n">
        <f aca="false">Sens!$E$8102+(glt_xbox-Sens!$E$8102)*MIN(1,(Sens!J8042-base_fy)/n_conv)</f>
        <v>0.00483550060399347</v>
      </c>
      <c r="K8102" s="7" t="n">
        <f aca="false">Sens!$E$8102+(glt_xbox-Sens!$E$8102)*MIN(1,(Sens!K8042-base_fy)/n_conv)</f>
        <v>0.02</v>
      </c>
    </row>
    <row r="8103" customFormat="false" ht="17.15" hidden="false" customHeight="false" outlineLevel="0" collapsed="false">
      <c r="A8103" s="0" t="s">
        <v>1039</v>
      </c>
      <c r="B8103" s="0" t="s">
        <v>98</v>
      </c>
      <c r="D8103" s="6" t="n">
        <f aca="false">Q!L15</f>
        <v>17.315</v>
      </c>
      <c r="E8103" s="6" t="n">
        <f aca="false">Q!M15</f>
        <v>17.087</v>
      </c>
      <c r="F8103" s="6" t="n">
        <f aca="false">Q!$I$15+(Q!M15-Q!$E$15)*(1+Sens!F8104)</f>
        <v>15.9912273250553</v>
      </c>
      <c r="G8103" s="6" t="n">
        <f aca="false">Sens!F8103*(1+Sens!G8104)</f>
        <v>15.9574562664827</v>
      </c>
      <c r="H8103" s="6" t="n">
        <f aca="false">Sens!G8103*(1+Sens!H8104)</f>
        <v>16.0119687434196</v>
      </c>
      <c r="I8103" s="6" t="n">
        <f aca="false">Sens!H8103*(1+Sens!I8104)</f>
        <v>16.1551810001948</v>
      </c>
      <c r="J8103" s="6" t="n">
        <f aca="false">Sens!I8103*(1+Sens!J8104)</f>
        <v>16.3889793892005</v>
      </c>
      <c r="K8103" s="6" t="n">
        <f aca="false">Sens!J8103*(1+Sens!K8104)</f>
        <v>16.7167589769845</v>
      </c>
      <c r="L8103" s="12" t="s">
        <v>1034</v>
      </c>
    </row>
    <row r="8104" customFormat="false" ht="15" hidden="false" customHeight="false" outlineLevel="0" collapsed="false">
      <c r="A8104" s="1" t="s">
        <v>1024</v>
      </c>
      <c r="B8104" s="0" t="s">
        <v>168</v>
      </c>
      <c r="E8104" s="7" t="n">
        <f aca="false">Sens!E8103/Sens!D8103-1</f>
        <v>-0.0131677736066995</v>
      </c>
      <c r="F8104" s="7" t="n">
        <f aca="false">Sens!$E$8104+(glt_win-Sens!$E$8104)*MIN(1,(Sens!F8042-base_fy)/n_conv)</f>
        <v>-0.00763981133891627</v>
      </c>
      <c r="G8104" s="7" t="n">
        <f aca="false">Sens!$E$8104+(glt_win-Sens!$E$8104)*MIN(1,(Sens!G8042-base_fy)/n_conv)</f>
        <v>-0.00211184907113301</v>
      </c>
      <c r="H8104" s="7" t="n">
        <f aca="false">Sens!$E$8104+(glt_win-Sens!$E$8104)*MIN(1,(Sens!H8042-base_fy)/n_conv)</f>
        <v>0.00341611319665024</v>
      </c>
      <c r="I8104" s="7" t="n">
        <f aca="false">Sens!$E$8104+(glt_win-Sens!$E$8104)*MIN(1,(Sens!I8042-base_fy)/n_conv)</f>
        <v>0.00894407546443349</v>
      </c>
      <c r="J8104" s="7" t="n">
        <f aca="false">Sens!$E$8104+(glt_win-Sens!$E$8104)*MIN(1,(Sens!J8042-base_fy)/n_conv)</f>
        <v>0.0144720377322168</v>
      </c>
      <c r="K8104" s="7" t="n">
        <f aca="false">Sens!$E$8104+(glt_win-Sens!$E$8104)*MIN(1,(Sens!K8042-base_fy)/n_conv)</f>
        <v>0.02</v>
      </c>
    </row>
    <row r="8105" customFormat="false" ht="15" hidden="false" customHeight="false" outlineLevel="0" collapsed="false">
      <c r="A8105" s="0" t="s">
        <v>866</v>
      </c>
      <c r="B8105" s="0" t="s">
        <v>98</v>
      </c>
      <c r="D8105" s="6" t="n">
        <f aca="false">Sens!D8099+Sens!D8101+Sens!D8103</f>
        <v>62.941</v>
      </c>
      <c r="E8105" s="6" t="n">
        <f aca="false">Sens!E8099+Sens!E8101+Sens!E8103</f>
        <v>63.712</v>
      </c>
      <c r="F8105" s="6" t="n">
        <f aca="false">Sens!F8099+Sens!F8101+Sens!F8103</f>
        <v>64.3025149952511</v>
      </c>
      <c r="G8105" s="6" t="n">
        <f aca="false">Sens!G8099+Sens!G8101+Sens!G8103</f>
        <v>66.2756719305292</v>
      </c>
      <c r="H8105" s="6" t="n">
        <f aca="false">Sens!H8099+Sens!H8101+Sens!H8103</f>
        <v>68.7139736271804</v>
      </c>
      <c r="I8105" s="6" t="n">
        <f aca="false">Sens!I8099+Sens!I8101+Sens!I8103</f>
        <v>71.5446393194289</v>
      </c>
      <c r="J8105" s="6" t="n">
        <f aca="false">Sens!J8099+Sens!J8101+Sens!J8103</f>
        <v>74.707035000971</v>
      </c>
      <c r="K8105" s="6" t="n">
        <f aca="false">Sens!K8099+Sens!K8101+Sens!K8103</f>
        <v>78.1524145698365</v>
      </c>
    </row>
    <row r="8106" customFormat="false" ht="15" hidden="false" customHeight="false" outlineLevel="0" collapsed="false">
      <c r="A8106" s="1" t="s">
        <v>1040</v>
      </c>
      <c r="B8106" s="0" t="s">
        <v>98</v>
      </c>
      <c r="D8106" s="6" t="n">
        <f aca="false">Sens!D8098+Sens!D8105</f>
        <v>281.724</v>
      </c>
      <c r="E8106" s="6" t="n">
        <f aca="false">Sens!E8098+Sens!E8105</f>
        <v>331.839</v>
      </c>
      <c r="F8106" s="6" t="n">
        <f aca="false">Sens!F8098+Sens!F8105</f>
        <v>396.484356111732</v>
      </c>
      <c r="G8106" s="6" t="n">
        <f aca="false">Sens!G8098+Sens!G8105</f>
        <v>472.32208681199</v>
      </c>
      <c r="H8106" s="6" t="n">
        <f aca="false">Sens!H8098+Sens!H8105</f>
        <v>549.98165087533</v>
      </c>
      <c r="I8106" s="6" t="n">
        <f aca="false">Sens!I8098+Sens!I8105</f>
        <v>621.591916144635</v>
      </c>
      <c r="J8106" s="6" t="n">
        <f aca="false">Sens!J8098+Sens!J8105</f>
        <v>680.439511524977</v>
      </c>
      <c r="K8106" s="6" t="n">
        <f aca="false">Sens!K8098+Sens!K8105</f>
        <v>727.561014129819</v>
      </c>
    </row>
    <row r="8107" customFormat="false" ht="15" hidden="false" customHeight="false" outlineLevel="0" collapsed="false">
      <c r="A8107" s="26" t="s">
        <v>1041</v>
      </c>
      <c r="B8107" s="31" t="s">
        <v>98</v>
      </c>
      <c r="C8107" s="31"/>
      <c r="D8107" s="27" t="n">
        <f aca="false">(Sens!D8086+Sens!D8091+Sens!D8092+Sens!D8094+Sens!D8096-Sens!D8098)+(Sens!D8099+Sens!D8101+Sens!D8103-Sens!D8105)+(Sens!D8098-Q!L5)+(Sens!D8105-Q!L12)+(Sens!D8086-Q!L6)+(Sens!D8091-Q!L7)</f>
        <v>0</v>
      </c>
      <c r="E8107" s="27" t="n">
        <f aca="false">(Sens!E8086+Sens!E8091+Sens!E8092+Sens!E8094+Sens!E8096-Sens!E8098)+(Sens!E8099+Sens!E8101+Sens!E8103-Sens!E8105)+(Sens!E8098-Q!M5)+(Sens!E8105-Q!M12)+(Sens!E8086-Q!M6)+(Sens!E8091-Q!M7)</f>
        <v>0</v>
      </c>
      <c r="F8107" s="27" t="n">
        <f aca="false">(Sens!F8086+Sens!F8091+Sens!F8092+Sens!F8094+Sens!F8096-Sens!F8098)+(Sens!F8099+Sens!F8101+Sens!F8103-Sens!F8105)</f>
        <v>0</v>
      </c>
      <c r="G8107" s="27" t="n">
        <f aca="false">(Sens!G8086+Sens!G8091+Sens!G8092+Sens!G8094+Sens!G8096-Sens!G8098)+(Sens!G8099+Sens!G8101+Sens!G8103-Sens!G8105)</f>
        <v>0</v>
      </c>
      <c r="H8107" s="27" t="n">
        <f aca="false">(Sens!H8086+Sens!H8091+Sens!H8092+Sens!H8094+Sens!H8096-Sens!H8098)+(Sens!H8099+Sens!H8101+Sens!H8103-Sens!H8105)</f>
        <v>0</v>
      </c>
      <c r="I8107" s="27" t="n">
        <f aca="false">(Sens!I8086+Sens!I8091+Sens!I8092+Sens!I8094+Sens!I8096-Sens!I8098)+(Sens!I8099+Sens!I8101+Sens!I8103-Sens!I8105)</f>
        <v>0</v>
      </c>
      <c r="J8107" s="27" t="n">
        <f aca="false">(Sens!J8086+Sens!J8091+Sens!J8092+Sens!J8094+Sens!J8096-Sens!J8098)+(Sens!J8099+Sens!J8101+Sens!J8103-Sens!J8105)</f>
        <v>0</v>
      </c>
      <c r="K8107" s="27" t="n">
        <f aca="false">(Sens!K8086+Sens!K8091+Sens!K8092+Sens!K8094+Sens!K8096-Sens!K8098)+(Sens!K8099+Sens!K8101+Sens!K8103-Sens!K8105)</f>
        <v>0</v>
      </c>
    </row>
    <row r="8108" customFormat="false" ht="17.15" hidden="false" customHeight="false" outlineLevel="0" collapsed="false">
      <c r="A8108" s="3" t="s">
        <v>1682</v>
      </c>
    </row>
    <row r="8109" customFormat="false" ht="15" hidden="false" customHeight="false" outlineLevel="0" collapsed="false">
      <c r="A8109" s="4" t="s">
        <v>43</v>
      </c>
      <c r="B8109" s="4" t="s">
        <v>65</v>
      </c>
      <c r="C8109" s="23" t="s">
        <v>938</v>
      </c>
      <c r="D8109" s="23" t="s">
        <v>939</v>
      </c>
      <c r="E8109" s="23" t="s">
        <v>940</v>
      </c>
      <c r="F8109" s="23" t="s">
        <v>941</v>
      </c>
      <c r="G8109" s="23" t="s">
        <v>942</v>
      </c>
      <c r="H8109" s="23" t="s">
        <v>943</v>
      </c>
      <c r="I8109" s="23" t="s">
        <v>944</v>
      </c>
      <c r="J8109" s="23" t="s">
        <v>945</v>
      </c>
      <c r="K8109" s="23" t="s">
        <v>946</v>
      </c>
      <c r="L8109" s="4" t="s">
        <v>47</v>
      </c>
    </row>
    <row r="8110" customFormat="false" ht="15" hidden="false" customHeight="false" outlineLevel="0" collapsed="false">
      <c r="A8110" s="0" t="s">
        <v>1025</v>
      </c>
      <c r="B8110" s="0" t="s">
        <v>98</v>
      </c>
      <c r="D8110" s="6" t="n">
        <f aca="false">Sens!D8086</f>
        <v>72.61</v>
      </c>
      <c r="E8110" s="6" t="n">
        <f aca="false">Sens!E8086</f>
        <v>101.938</v>
      </c>
      <c r="F8110" s="6" t="n">
        <f aca="false">Sens!F8086</f>
        <v>146.709048000181</v>
      </c>
      <c r="G8110" s="6" t="n">
        <f aca="false">Sens!G8086</f>
        <v>199.762829861393</v>
      </c>
      <c r="H8110" s="6" t="n">
        <f aca="false">Sens!H8086</f>
        <v>254.146566109645</v>
      </c>
      <c r="I8110" s="6" t="n">
        <f aca="false">Sens!I8086</f>
        <v>303.439446964617</v>
      </c>
      <c r="J8110" s="6" t="n">
        <f aca="false">Sens!J8086</f>
        <v>341.309898459739</v>
      </c>
      <c r="K8110" s="6" t="n">
        <f aca="false">Sens!K8086</f>
        <v>368.09747789654</v>
      </c>
    </row>
    <row r="8111" customFormat="false" ht="17.15" hidden="false" customHeight="false" outlineLevel="0" collapsed="false">
      <c r="A8111" s="0" t="s">
        <v>1021</v>
      </c>
      <c r="B8111" s="0" t="s">
        <v>98</v>
      </c>
      <c r="D8111" s="6" t="n">
        <f aca="false">Sens!D8083</f>
        <v>12.9359794422418</v>
      </c>
      <c r="E8111" s="6" t="n">
        <f aca="false">Sens!E8083</f>
        <v>27.8095064661409</v>
      </c>
      <c r="F8111" s="6" t="n">
        <f aca="false">Sens!F8083</f>
        <v>55.4118315060966</v>
      </c>
      <c r="G8111" s="6" t="n">
        <f aca="false">Sens!G8083</f>
        <v>91.2881100675143</v>
      </c>
      <c r="H8111" s="6" t="n">
        <f aca="false">Sens!H8083</f>
        <v>128.195273603944</v>
      </c>
      <c r="I8111" s="6" t="n">
        <f aca="false">Sens!I8083</f>
        <v>160.601281810405</v>
      </c>
      <c r="J8111" s="6" t="n">
        <f aca="false">Sens!J8083</f>
        <v>183.182719793589</v>
      </c>
      <c r="K8111" s="6" t="n">
        <f aca="false">Sens!K8083</f>
        <v>197.320124937098</v>
      </c>
    </row>
    <row r="8112" customFormat="false" ht="17.15" hidden="false" customHeight="false" outlineLevel="0" collapsed="false">
      <c r="A8112" s="0" t="s">
        <v>1052</v>
      </c>
      <c r="B8112" s="0" t="s">
        <v>98</v>
      </c>
      <c r="D8112" s="6" t="n">
        <f aca="false">Sens!D8084</f>
        <v>59.6740205577583</v>
      </c>
      <c r="E8112" s="6" t="n">
        <f aca="false">Sens!E8084</f>
        <v>74.1284935338591</v>
      </c>
      <c r="F8112" s="6" t="n">
        <f aca="false">Sens!F8084</f>
        <v>91.2972164940844</v>
      </c>
      <c r="G8112" s="6" t="n">
        <f aca="false">Sens!G8084</f>
        <v>108.474719793879</v>
      </c>
      <c r="H8112" s="6" t="n">
        <f aca="false">Sens!H8084</f>
        <v>125.951292505701</v>
      </c>
      <c r="I8112" s="6" t="n">
        <f aca="false">Sens!I8084</f>
        <v>142.838165154212</v>
      </c>
      <c r="J8112" s="6" t="n">
        <f aca="false">Sens!J8084</f>
        <v>158.12717866615</v>
      </c>
      <c r="K8112" s="6" t="n">
        <f aca="false">Sens!K8084</f>
        <v>170.777352959442</v>
      </c>
    </row>
    <row r="8113" customFormat="false" ht="15" hidden="false" customHeight="false" outlineLevel="0" collapsed="false">
      <c r="A8113" s="0" t="s">
        <v>1032</v>
      </c>
      <c r="B8113" s="0" t="s">
        <v>98</v>
      </c>
      <c r="D8113" s="6" t="n">
        <f aca="false">Sens!D8091</f>
        <v>84.605</v>
      </c>
      <c r="E8113" s="6" t="n">
        <f aca="false">Sens!E8091</f>
        <v>100.299</v>
      </c>
      <c r="F8113" s="6" t="n">
        <f aca="false">Sens!F8091</f>
        <v>116.017748799891</v>
      </c>
      <c r="G8113" s="6" t="n">
        <f aca="false">Sens!G8091</f>
        <v>132.54470647746</v>
      </c>
      <c r="H8113" s="6" t="n">
        <f aca="false">Sens!H8091</f>
        <v>149.153444068876</v>
      </c>
      <c r="I8113" s="6" t="n">
        <f aca="false">Sens!I8091</f>
        <v>164.504857877399</v>
      </c>
      <c r="J8113" s="6" t="n">
        <f aca="false">Sens!J8091</f>
        <v>178.316198125455</v>
      </c>
      <c r="K8113" s="6" t="n">
        <f aca="false">Sens!K8091</f>
        <v>191.370731994236</v>
      </c>
    </row>
    <row r="8114" customFormat="false" ht="17.15" hidden="false" customHeight="false" outlineLevel="0" collapsed="false">
      <c r="A8114" s="0" t="s">
        <v>1053</v>
      </c>
      <c r="B8114" s="0" t="s">
        <v>98</v>
      </c>
      <c r="D8114" s="6" t="n">
        <f aca="false">Sens!D8089</f>
        <v>83.705</v>
      </c>
      <c r="E8114" s="6" t="n">
        <f aca="false">Sens!E8089</f>
        <v>95.049</v>
      </c>
      <c r="F8114" s="6" t="n">
        <f aca="false">Sens!F8089</f>
        <v>107.377748799891</v>
      </c>
      <c r="G8114" s="6" t="n">
        <f aca="false">Sens!G8089</f>
        <v>119.58470647746</v>
      </c>
      <c r="H8114" s="6" t="n">
        <f aca="false">Sens!H8089</f>
        <v>131.873444068876</v>
      </c>
      <c r="I8114" s="6" t="n">
        <f aca="false">Sens!I8089</f>
        <v>143.984857877399</v>
      </c>
      <c r="J8114" s="6" t="n">
        <f aca="false">Sens!J8089</f>
        <v>155.636198125454</v>
      </c>
      <c r="K8114" s="6" t="n">
        <f aca="false">Sens!K8089</f>
        <v>166.530731994236</v>
      </c>
    </row>
    <row r="8115" customFormat="false" ht="17.15" hidden="false" customHeight="false" outlineLevel="0" collapsed="false">
      <c r="A8115" s="0" t="s">
        <v>1054</v>
      </c>
      <c r="B8115" s="0" t="s">
        <v>98</v>
      </c>
      <c r="D8115" s="6" t="n">
        <f aca="false">Sens!D8088</f>
        <v>0.9</v>
      </c>
      <c r="E8115" s="6" t="n">
        <f aca="false">Sens!E8088</f>
        <v>5.25</v>
      </c>
      <c r="F8115" s="6" t="n">
        <f aca="false">Sens!F8088</f>
        <v>8.64</v>
      </c>
      <c r="G8115" s="6" t="n">
        <f aca="false">Sens!G8088</f>
        <v>12.96</v>
      </c>
      <c r="H8115" s="6" t="n">
        <f aca="false">Sens!H8088</f>
        <v>17.28</v>
      </c>
      <c r="I8115" s="6" t="n">
        <f aca="false">Sens!I8088</f>
        <v>20.52</v>
      </c>
      <c r="J8115" s="6" t="n">
        <f aca="false">Sens!J8088</f>
        <v>22.68</v>
      </c>
      <c r="K8115" s="6" t="n">
        <f aca="false">Sens!K8088</f>
        <v>24.84</v>
      </c>
    </row>
    <row r="8116" customFormat="false" ht="15" hidden="false" customHeight="false" outlineLevel="0" collapsed="false">
      <c r="A8116" s="0" t="s">
        <v>1033</v>
      </c>
      <c r="B8116" s="0" t="s">
        <v>98</v>
      </c>
      <c r="D8116" s="6" t="n">
        <f aca="false">Sens!D8092</f>
        <v>35.391</v>
      </c>
      <c r="E8116" s="6" t="n">
        <f aca="false">Sens!E8092</f>
        <v>37.285</v>
      </c>
      <c r="F8116" s="6" t="n">
        <f aca="false">Sens!F8092</f>
        <v>38.3851437782675</v>
      </c>
      <c r="G8116" s="6" t="n">
        <f aca="false">Sens!G8092</f>
        <v>40.0105353288615</v>
      </c>
      <c r="H8116" s="6" t="n">
        <f aca="false">Sens!H8092</f>
        <v>41.4812512033683</v>
      </c>
      <c r="I8116" s="6" t="n">
        <f aca="false">Sens!I8092</f>
        <v>42.7743107216329</v>
      </c>
      <c r="J8116" s="6" t="n">
        <f aca="false">Sens!J8092</f>
        <v>43.8687373064601</v>
      </c>
      <c r="K8116" s="6" t="n">
        <f aca="false">Sens!K8092</f>
        <v>44.7461120525893</v>
      </c>
    </row>
    <row r="8117" customFormat="false" ht="15" hidden="false" customHeight="false" outlineLevel="0" collapsed="false">
      <c r="A8117" s="0" t="s">
        <v>1035</v>
      </c>
      <c r="B8117" s="0" t="s">
        <v>98</v>
      </c>
      <c r="D8117" s="6" t="n">
        <f aca="false">Sens!D8094</f>
        <v>18.417</v>
      </c>
      <c r="E8117" s="6" t="n">
        <f aca="false">Sens!E8094</f>
        <v>20.345</v>
      </c>
      <c r="F8117" s="6" t="n">
        <f aca="false">Sens!F8094</f>
        <v>22.3161797133988</v>
      </c>
      <c r="G8117" s="6" t="n">
        <f aca="false">Sens!G8094</f>
        <v>24.3943499673233</v>
      </c>
      <c r="H8117" s="6" t="n">
        <f aca="false">Sens!H8094</f>
        <v>26.5250243109019</v>
      </c>
      <c r="I8117" s="6" t="n">
        <f aca="false">Sens!I8094</f>
        <v>28.6884573538181</v>
      </c>
      <c r="J8117" s="6" t="n">
        <f aca="false">Sens!J8094</f>
        <v>30.8624968052127</v>
      </c>
      <c r="K8117" s="6" t="n">
        <f aca="false">Sens!K8094</f>
        <v>33.0228715815776</v>
      </c>
    </row>
    <row r="8118" customFormat="false" ht="15" hidden="false" customHeight="false" outlineLevel="0" collapsed="false">
      <c r="A8118" s="0" t="s">
        <v>1036</v>
      </c>
      <c r="B8118" s="0" t="s">
        <v>98</v>
      </c>
      <c r="D8118" s="6" t="n">
        <f aca="false">Sens!D8096</f>
        <v>7.76</v>
      </c>
      <c r="E8118" s="6" t="n">
        <f aca="false">Sens!E8096</f>
        <v>8.26</v>
      </c>
      <c r="F8118" s="6" t="n">
        <f aca="false">Sens!F8096</f>
        <v>8.75372082474227</v>
      </c>
      <c r="G8118" s="6" t="n">
        <f aca="false">Sens!G8096</f>
        <v>9.33399324642364</v>
      </c>
      <c r="H8118" s="6" t="n">
        <f aca="false">Sens!H8096</f>
        <v>9.96139155535851</v>
      </c>
      <c r="I8118" s="6" t="n">
        <f aca="false">Sens!I8096</f>
        <v>10.6402039077391</v>
      </c>
      <c r="J8118" s="6" t="n">
        <f aca="false">Sens!J8096</f>
        <v>11.3751458271397</v>
      </c>
      <c r="K8118" s="6" t="n">
        <f aca="false">Sens!K8096</f>
        <v>12.1714060350394</v>
      </c>
    </row>
    <row r="8119" customFormat="false" ht="15" hidden="false" customHeight="false" outlineLevel="0" collapsed="false">
      <c r="A8119" s="0" t="s">
        <v>852</v>
      </c>
      <c r="B8119" s="0" t="s">
        <v>98</v>
      </c>
      <c r="D8119" s="6" t="n">
        <f aca="false">Sens!D8098</f>
        <v>218.783</v>
      </c>
      <c r="E8119" s="6" t="n">
        <f aca="false">Sens!E8098</f>
        <v>268.127</v>
      </c>
      <c r="F8119" s="6" t="n">
        <f aca="false">Sens!F8098</f>
        <v>332.181841116481</v>
      </c>
      <c r="G8119" s="6" t="n">
        <f aca="false">Sens!G8098</f>
        <v>406.046414881461</v>
      </c>
      <c r="H8119" s="6" t="n">
        <f aca="false">Sens!H8098</f>
        <v>481.26767724815</v>
      </c>
      <c r="I8119" s="6" t="n">
        <f aca="false">Sens!I8098</f>
        <v>550.047276825206</v>
      </c>
      <c r="J8119" s="6" t="n">
        <f aca="false">Sens!J8098</f>
        <v>605.732476524006</v>
      </c>
      <c r="K8119" s="6" t="n">
        <f aca="false">Sens!K8098</f>
        <v>649.408599559983</v>
      </c>
    </row>
    <row r="8120" customFormat="false" ht="15" hidden="false" customHeight="false" outlineLevel="0" collapsed="false">
      <c r="A8120" s="0" t="s">
        <v>1037</v>
      </c>
      <c r="B8120" s="0" t="s">
        <v>98</v>
      </c>
      <c r="D8120" s="6" t="n">
        <f aca="false">Sens!D8099</f>
        <v>22.171</v>
      </c>
      <c r="E8120" s="6" t="n">
        <f aca="false">Sens!E8099</f>
        <v>24.835</v>
      </c>
      <c r="F8120" s="6" t="n">
        <f aca="false">Sens!F8099</f>
        <v>27.5591895660247</v>
      </c>
      <c r="G8120" s="6" t="n">
        <f aca="false">Sens!G8099</f>
        <v>30.4098563144583</v>
      </c>
      <c r="H8120" s="6" t="n">
        <f aca="false">Sens!H8099</f>
        <v>33.3011792571777</v>
      </c>
      <c r="I8120" s="6" t="n">
        <f aca="false">Sens!I8099</f>
        <v>36.189023797112</v>
      </c>
      <c r="J8120" s="6" t="n">
        <f aca="false">Sens!J8099</f>
        <v>39.0247773769199</v>
      </c>
      <c r="K8120" s="6" t="n">
        <f aca="false">Sens!K8099</f>
        <v>41.7565117933043</v>
      </c>
    </row>
    <row r="8121" customFormat="false" ht="15" hidden="false" customHeight="false" outlineLevel="0" collapsed="false">
      <c r="A8121" s="0" t="s">
        <v>1038</v>
      </c>
      <c r="B8121" s="0" t="s">
        <v>98</v>
      </c>
      <c r="D8121" s="6" t="n">
        <f aca="false">Sens!D8101</f>
        <v>23.455</v>
      </c>
      <c r="E8121" s="6" t="n">
        <f aca="false">Sens!E8101</f>
        <v>21.79</v>
      </c>
      <c r="F8121" s="6" t="n">
        <f aca="false">Sens!F8101</f>
        <v>20.7520981041711</v>
      </c>
      <c r="G8121" s="6" t="n">
        <f aca="false">Sens!G8101</f>
        <v>19.9083593495882</v>
      </c>
      <c r="H8121" s="6" t="n">
        <f aca="false">Sens!H8101</f>
        <v>19.4008256265831</v>
      </c>
      <c r="I8121" s="6" t="n">
        <f aca="false">Sens!I8101</f>
        <v>19.200434522122</v>
      </c>
      <c r="J8121" s="6" t="n">
        <f aca="false">Sens!J8101</f>
        <v>19.2932782348507</v>
      </c>
      <c r="K8121" s="6" t="n">
        <f aca="false">Sens!K8101</f>
        <v>19.6791437995477</v>
      </c>
    </row>
    <row r="8122" customFormat="false" ht="15" hidden="false" customHeight="false" outlineLevel="0" collapsed="false">
      <c r="A8122" s="0" t="s">
        <v>1039</v>
      </c>
      <c r="B8122" s="0" t="s">
        <v>98</v>
      </c>
      <c r="D8122" s="6" t="n">
        <f aca="false">Sens!D8103</f>
        <v>17.315</v>
      </c>
      <c r="E8122" s="6" t="n">
        <f aca="false">Sens!E8103</f>
        <v>17.087</v>
      </c>
      <c r="F8122" s="6" t="n">
        <f aca="false">Sens!F8103</f>
        <v>15.9912273250553</v>
      </c>
      <c r="G8122" s="6" t="n">
        <f aca="false">Sens!G8103</f>
        <v>15.9574562664827</v>
      </c>
      <c r="H8122" s="6" t="n">
        <f aca="false">Sens!H8103</f>
        <v>16.0119687434196</v>
      </c>
      <c r="I8122" s="6" t="n">
        <f aca="false">Sens!I8103</f>
        <v>16.1551810001948</v>
      </c>
      <c r="J8122" s="6" t="n">
        <f aca="false">Sens!J8103</f>
        <v>16.3889793892005</v>
      </c>
      <c r="K8122" s="6" t="n">
        <f aca="false">Sens!K8103</f>
        <v>16.7167589769845</v>
      </c>
    </row>
    <row r="8123" customFormat="false" ht="15" hidden="false" customHeight="false" outlineLevel="0" collapsed="false">
      <c r="A8123" s="0" t="s">
        <v>866</v>
      </c>
      <c r="B8123" s="0" t="s">
        <v>98</v>
      </c>
      <c r="D8123" s="6" t="n">
        <f aca="false">Sens!D8105</f>
        <v>62.941</v>
      </c>
      <c r="E8123" s="6" t="n">
        <f aca="false">Sens!E8105</f>
        <v>63.712</v>
      </c>
      <c r="F8123" s="6" t="n">
        <f aca="false">Sens!F8105</f>
        <v>64.3025149952511</v>
      </c>
      <c r="G8123" s="6" t="n">
        <f aca="false">Sens!G8105</f>
        <v>66.2756719305292</v>
      </c>
      <c r="H8123" s="6" t="n">
        <f aca="false">Sens!H8105</f>
        <v>68.7139736271804</v>
      </c>
      <c r="I8123" s="6" t="n">
        <f aca="false">Sens!I8105</f>
        <v>71.5446393194289</v>
      </c>
      <c r="J8123" s="6" t="n">
        <f aca="false">Sens!J8105</f>
        <v>74.707035000971</v>
      </c>
      <c r="K8123" s="6" t="n">
        <f aca="false">Sens!K8105</f>
        <v>78.1524145698365</v>
      </c>
    </row>
    <row r="8124" customFormat="false" ht="15" hidden="false" customHeight="false" outlineLevel="0" collapsed="false">
      <c r="A8124" s="1" t="s">
        <v>1055</v>
      </c>
      <c r="B8124" s="0" t="s">
        <v>98</v>
      </c>
      <c r="D8124" s="6" t="n">
        <f aca="false">Sens!D8106</f>
        <v>281.724</v>
      </c>
      <c r="E8124" s="6" t="n">
        <f aca="false">Sens!E8106</f>
        <v>331.839</v>
      </c>
      <c r="F8124" s="6" t="n">
        <f aca="false">Sens!F8106</f>
        <v>396.484356111732</v>
      </c>
      <c r="G8124" s="6" t="n">
        <f aca="false">Sens!G8106</f>
        <v>472.32208681199</v>
      </c>
      <c r="H8124" s="6" t="n">
        <f aca="false">Sens!H8106</f>
        <v>549.98165087533</v>
      </c>
      <c r="I8124" s="6" t="n">
        <f aca="false">Sens!I8106</f>
        <v>621.591916144635</v>
      </c>
      <c r="J8124" s="6" t="n">
        <f aca="false">Sens!J8106</f>
        <v>680.439511524977</v>
      </c>
      <c r="K8124" s="6" t="n">
        <f aca="false">Sens!K8106</f>
        <v>727.561014129819</v>
      </c>
    </row>
    <row r="8125" customFormat="false" ht="15" hidden="false" customHeight="false" outlineLevel="0" collapsed="false">
      <c r="A8125" s="1" t="s">
        <v>1056</v>
      </c>
      <c r="B8125" s="0" t="s">
        <v>168</v>
      </c>
      <c r="E8125" s="7" t="n">
        <f aca="false">Sens!E8124/Sens!D8124-1</f>
        <v>0.177886867998467</v>
      </c>
      <c r="F8125" s="7" t="n">
        <f aca="false">Sens!F8124/Sens!E8124-1</f>
        <v>0.194809398870332</v>
      </c>
      <c r="G8125" s="7" t="n">
        <f aca="false">Sens!G8124/Sens!F8124-1</f>
        <v>0.191275467824225</v>
      </c>
      <c r="H8125" s="7" t="n">
        <f aca="false">Sens!H8124/Sens!G8124-1</f>
        <v>0.1644207760588</v>
      </c>
      <c r="I8125" s="7" t="n">
        <f aca="false">Sens!I8124/Sens!H8124-1</f>
        <v>0.130204826207079</v>
      </c>
      <c r="J8125" s="7" t="n">
        <f aca="false">Sens!J8124/Sens!I8124-1</f>
        <v>0.0946723949457695</v>
      </c>
      <c r="K8125" s="7" t="n">
        <f aca="false">Sens!K8124/Sens!J8124-1</f>
        <v>0.0692515672689769</v>
      </c>
    </row>
    <row r="8126" customFormat="false" ht="17.15" hidden="false" customHeight="false" outlineLevel="0" collapsed="false">
      <c r="A8126" s="26" t="s">
        <v>1057</v>
      </c>
      <c r="B8126" s="31" t="s">
        <v>98</v>
      </c>
      <c r="C8126" s="31"/>
      <c r="D8126" s="27" t="n">
        <f aca="false">(Sens!D8119+Sens!D8123-Sens!D8124)+(Sens!D8111+Sens!D8112-Sens!D8110)+(Sens!D8114+Sens!D8115-Sens!D8113)+(Sens!D8124-Q!L18)</f>
        <v>0</v>
      </c>
      <c r="E8126" s="27" t="n">
        <f aca="false">(Sens!E8119+Sens!E8123-Sens!E8124)+(Sens!E8111+Sens!E8112-Sens!E8110)+(Sens!E8114+Sens!E8115-Sens!E8113)+(Sens!E8124-Q!M18)</f>
        <v>0</v>
      </c>
      <c r="F8126" s="27" t="n">
        <f aca="false">(Sens!F8119+Sens!F8123-Sens!F8124)+(Sens!F8111+Sens!F8112-Sens!F8110)+(Sens!F8114+Sens!F8115-Sens!F8113)</f>
        <v>0</v>
      </c>
      <c r="G8126" s="27" t="n">
        <f aca="false">(Sens!G8119+Sens!G8123-Sens!G8124)+(Sens!G8111+Sens!G8112-Sens!G8110)+(Sens!G8114+Sens!G8115-Sens!G8113)</f>
        <v>0</v>
      </c>
      <c r="H8126" s="27" t="n">
        <f aca="false">(Sens!H8119+Sens!H8123-Sens!H8124)+(Sens!H8111+Sens!H8112-Sens!H8110)+(Sens!H8114+Sens!H8115-Sens!H8113)</f>
        <v>0</v>
      </c>
      <c r="I8126" s="27" t="n">
        <f aca="false">(Sens!I8119+Sens!I8123-Sens!I8124)+(Sens!I8111+Sens!I8112-Sens!I8110)+(Sens!I8114+Sens!I8115-Sens!I8113)</f>
        <v>0</v>
      </c>
      <c r="J8126" s="27" t="n">
        <f aca="false">(Sens!J8119+Sens!J8123-Sens!J8124)+(Sens!J8111+Sens!J8112-Sens!J8110)+(Sens!J8114+Sens!J8115-Sens!J8113)</f>
        <v>0</v>
      </c>
      <c r="K8126" s="27" t="n">
        <f aca="false">(Sens!K8119+Sens!K8123-Sens!K8124)+(Sens!K8111+Sens!K8112-Sens!K8110)+(Sens!K8114+Sens!K8115-Sens!K8113)</f>
        <v>0</v>
      </c>
    </row>
    <row r="8127" customFormat="false" ht="17.15" hidden="false" customHeight="false" outlineLevel="0" collapsed="false">
      <c r="A8127" s="0" t="s">
        <v>1058</v>
      </c>
      <c r="B8127" s="0" t="s">
        <v>168</v>
      </c>
      <c r="E8127" s="7" t="n">
        <f aca="false">(Q!M21+Sens!E8063+Sens!E8064+Sens!E8065+Sens!E8079-Sens!E8061)/(Q!M5-Sens!E8061)</f>
        <v>0.570957350878296</v>
      </c>
      <c r="F8127" s="7" t="n">
        <f aca="false">Sens!$E$8127+dm_seg</f>
        <v>0.570957350878296</v>
      </c>
      <c r="G8127" s="7" t="n">
        <f aca="false">Sens!$E$8127+dm_seg</f>
        <v>0.570957350878296</v>
      </c>
      <c r="H8127" s="7" t="n">
        <f aca="false">Sens!$E$8127+dm_seg</f>
        <v>0.570957350878296</v>
      </c>
      <c r="I8127" s="7" t="n">
        <f aca="false">Sens!$E$8127+dm_seg</f>
        <v>0.570957350878296</v>
      </c>
      <c r="J8127" s="7" t="n">
        <f aca="false">Sens!$E$8127+dm_seg</f>
        <v>0.570957350878296</v>
      </c>
      <c r="K8127" s="7" t="n">
        <f aca="false">Sens!$E$8127+dm_seg</f>
        <v>0.570957350878296</v>
      </c>
      <c r="L8127" s="12" t="s">
        <v>1059</v>
      </c>
    </row>
    <row r="8128" customFormat="false" ht="17.15" hidden="false" customHeight="false" outlineLevel="0" collapsed="false">
      <c r="A8128" s="0" t="s">
        <v>880</v>
      </c>
      <c r="B8128" s="0" t="s">
        <v>98</v>
      </c>
      <c r="D8128" s="6" t="n">
        <f aca="false">Q!L21</f>
        <v>110.814</v>
      </c>
      <c r="E8128" s="6" t="n">
        <f aca="false">Q!M21</f>
        <v>136.365</v>
      </c>
      <c r="F8128" s="6" t="n">
        <f aca="false">Q!$I$21+(Sens!F8127*(Sens!F8098-Sens!F8061)+Sens!F8061-(Sens!F8063+Sens!F8064+Sens!F8065)-Sens!F8079-Sens!F8162)*(Sens!F8098-Q!$I$5)/Sens!F8098</f>
        <v>160.664154828618</v>
      </c>
      <c r="G8128" s="6" t="n">
        <f aca="false">(Sens!G8127*(Sens!G8098-Sens!G8061)+Sens!G8061-(Sens!G8063+Sens!G8064+Sens!G8065)-Sens!G8079-Sens!G8162)</f>
        <v>175.172896702961</v>
      </c>
      <c r="H8128" s="6" t="n">
        <f aca="false">(Sens!H8127*(Sens!H8098-Sens!H8061)+Sens!H8061-(Sens!H8063+Sens!H8064+Sens!H8065)-Sens!H8079-Sens!H8162)</f>
        <v>193.462646192213</v>
      </c>
      <c r="I8128" s="6" t="n">
        <f aca="false">(Sens!I8127*(Sens!I8098-Sens!I8061)+Sens!I8061-(Sens!I8063+Sens!I8064+Sens!I8065)-Sens!I8079-Sens!I8162)</f>
        <v>211.008332722862</v>
      </c>
      <c r="J8128" s="6" t="n">
        <f aca="false">(Sens!J8127*(Sens!J8098-Sens!J8061)+Sens!J8061-(Sens!J8063+Sens!J8064+Sens!J8065)-Sens!J8079-Sens!J8162)</f>
        <v>227.561267934217</v>
      </c>
      <c r="K8128" s="6" t="n">
        <f aca="false">(Sens!K8127*(Sens!K8098-Sens!K8061)+Sens!K8061-(Sens!K8063+Sens!K8064+Sens!K8065)-Sens!K8079-Sens!K8162)</f>
        <v>243.511998320124</v>
      </c>
      <c r="L8128" s="1" t="s">
        <v>1060</v>
      </c>
    </row>
    <row r="8129" customFormat="false" ht="17.15" hidden="false" customHeight="false" outlineLevel="0" collapsed="false">
      <c r="A8129" s="0" t="s">
        <v>1061</v>
      </c>
      <c r="B8129" s="0" t="s">
        <v>168</v>
      </c>
      <c r="E8129" s="7" t="n">
        <f aca="false">Q!M22/Q!M12</f>
        <v>0.296207935710698</v>
      </c>
      <c r="F8129" s="7" t="n">
        <f aca="false">Sens!$E$8129+dm_seg</f>
        <v>0.296207935710698</v>
      </c>
      <c r="G8129" s="7" t="n">
        <f aca="false">Sens!$E$8129+dm_seg</f>
        <v>0.296207935710698</v>
      </c>
      <c r="H8129" s="7" t="n">
        <f aca="false">Sens!$E$8129+dm_seg</f>
        <v>0.296207935710698</v>
      </c>
      <c r="I8129" s="7" t="n">
        <f aca="false">Sens!$E$8129+dm_seg</f>
        <v>0.296207935710698</v>
      </c>
      <c r="J8129" s="7" t="n">
        <f aca="false">Sens!$E$8129+dm_seg</f>
        <v>0.296207935710698</v>
      </c>
      <c r="K8129" s="7" t="n">
        <f aca="false">Sens!$E$8129+dm_seg</f>
        <v>0.296207935710698</v>
      </c>
      <c r="L8129" s="12" t="s">
        <v>1062</v>
      </c>
    </row>
    <row r="8130" customFormat="false" ht="17.15" hidden="false" customHeight="false" outlineLevel="0" collapsed="false">
      <c r="A8130" s="0" t="s">
        <v>882</v>
      </c>
      <c r="B8130" s="0" t="s">
        <v>98</v>
      </c>
      <c r="D8130" s="6" t="n">
        <f aca="false">Q!L22</f>
        <v>17.714</v>
      </c>
      <c r="E8130" s="6" t="n">
        <f aca="false">Q!M22</f>
        <v>18.872</v>
      </c>
      <c r="F8130" s="6" t="n">
        <f aca="false">Q!$I$22+(Sens!F8105-Q!$I$12)*Sens!F8129</f>
        <v>19.8174315512051</v>
      </c>
      <c r="G8130" s="6" t="n">
        <f aca="false">Sens!G8105*Sens!G8129</f>
        <v>19.6313799703815</v>
      </c>
      <c r="H8130" s="6" t="n">
        <f aca="false">Sens!H8105*Sens!H8129</f>
        <v>20.3536242825865</v>
      </c>
      <c r="I8130" s="6" t="n">
        <f aca="false">Sens!I8105*Sens!I8129</f>
        <v>21.1920899239745</v>
      </c>
      <c r="J8130" s="6" t="n">
        <f aca="false">Sens!J8105*Sens!J8129</f>
        <v>22.1288166207045</v>
      </c>
      <c r="K8130" s="6" t="n">
        <f aca="false">Sens!K8105*Sens!K8129</f>
        <v>23.1493653905379</v>
      </c>
      <c r="L8130" s="12" t="s">
        <v>1063</v>
      </c>
    </row>
    <row r="8131" customFormat="false" ht="15" hidden="false" customHeight="false" outlineLevel="0" collapsed="false">
      <c r="A8131" s="1" t="s">
        <v>1064</v>
      </c>
      <c r="B8131" s="0" t="s">
        <v>98</v>
      </c>
      <c r="D8131" s="6" t="n">
        <f aca="false">Sens!D8128+Sens!D8130</f>
        <v>128.528</v>
      </c>
      <c r="E8131" s="6" t="n">
        <f aca="false">Sens!E8128+Sens!E8130</f>
        <v>155.237</v>
      </c>
      <c r="F8131" s="6" t="n">
        <f aca="false">Sens!F8128+Sens!F8130</f>
        <v>180.481586379824</v>
      </c>
      <c r="G8131" s="6" t="n">
        <f aca="false">Sens!G8128+Sens!G8130</f>
        <v>194.804276673342</v>
      </c>
      <c r="H8131" s="6" t="n">
        <f aca="false">Sens!H8128+Sens!H8130</f>
        <v>213.8162704748</v>
      </c>
      <c r="I8131" s="6" t="n">
        <f aca="false">Sens!I8128+Sens!I8130</f>
        <v>232.200422646836</v>
      </c>
      <c r="J8131" s="6" t="n">
        <f aca="false">Sens!J8128+Sens!J8130</f>
        <v>249.690084554922</v>
      </c>
      <c r="K8131" s="6" t="n">
        <f aca="false">Sens!K8128+Sens!K8130</f>
        <v>266.661363710662</v>
      </c>
    </row>
    <row r="8132" customFormat="false" ht="15" hidden="false" customHeight="false" outlineLevel="0" collapsed="false">
      <c r="A8132" s="26" t="s">
        <v>1065</v>
      </c>
      <c r="B8132" s="31" t="s">
        <v>98</v>
      </c>
      <c r="C8132" s="31"/>
      <c r="D8132" s="27" t="n">
        <f aca="false">Sens!D8131-Q!L23</f>
        <v>0</v>
      </c>
      <c r="E8132" s="27" t="n">
        <f aca="false">Sens!E8131-Q!M23</f>
        <v>0</v>
      </c>
      <c r="F8132" s="31"/>
      <c r="G8132" s="31"/>
      <c r="H8132" s="31"/>
      <c r="I8132" s="31"/>
      <c r="J8132" s="31"/>
      <c r="K8132" s="31"/>
    </row>
    <row r="8133" customFormat="false" ht="15" hidden="false" customHeight="false" outlineLevel="0" collapsed="false">
      <c r="A8133" s="1" t="s">
        <v>1066</v>
      </c>
      <c r="B8133" s="0" t="s">
        <v>168</v>
      </c>
      <c r="D8133" s="7" t="n">
        <f aca="false">Sens!D8131/Sens!D8124</f>
        <v>0.456219562408598</v>
      </c>
      <c r="E8133" s="7" t="n">
        <f aca="false">Sens!E8131/Sens!E8124</f>
        <v>0.467808184089272</v>
      </c>
      <c r="F8133" s="7" t="n">
        <f aca="false">Sens!F8131/Sens!F8124</f>
        <v>0.455204810978627</v>
      </c>
      <c r="G8133" s="7" t="n">
        <f aca="false">Sens!G8131/Sens!G8124</f>
        <v>0.412439481685481</v>
      </c>
      <c r="H8133" s="7" t="n">
        <f aca="false">Sens!H8131/Sens!H8124</f>
        <v>0.388769825565085</v>
      </c>
      <c r="I8133" s="7" t="n">
        <f aca="false">Sens!I8131/Sens!I8124</f>
        <v>0.373557661571659</v>
      </c>
      <c r="J8133" s="7" t="n">
        <f aca="false">Sens!J8131/Sens!J8124</f>
        <v>0.3669541235125</v>
      </c>
      <c r="K8133" s="7" t="n">
        <f aca="false">Sens!K8131/Sens!K8124</f>
        <v>0.366514090958537</v>
      </c>
    </row>
    <row r="8134" customFormat="false" ht="17.15" hidden="false" customHeight="false" outlineLevel="0" collapsed="false">
      <c r="A8134" s="1" t="s">
        <v>1067</v>
      </c>
      <c r="B8134" s="0" t="s">
        <v>98</v>
      </c>
      <c r="F8134" s="6" t="n">
        <f aca="false">Sens!F8149</f>
        <v>11.658259470581</v>
      </c>
      <c r="G8134" s="6" t="n">
        <f aca="false">Sens!G8149</f>
        <v>28.1529636444063</v>
      </c>
      <c r="H8134" s="6" t="n">
        <f aca="false">Sens!H8149</f>
        <v>46.1208587676969</v>
      </c>
      <c r="I8134" s="6" t="n">
        <f aca="false">Sens!I8149</f>
        <v>62.2611833015898</v>
      </c>
      <c r="J8134" s="6" t="n">
        <f aca="false">Sens!J8149</f>
        <v>73.5186959255667</v>
      </c>
      <c r="K8134" s="6" t="n">
        <f aca="false">Sens!K8149</f>
        <v>79.8752855038092</v>
      </c>
      <c r="L8134" s="1" t="s">
        <v>1068</v>
      </c>
    </row>
    <row r="8135" customFormat="false" ht="17.15" hidden="false" customHeight="false" outlineLevel="0" collapsed="false">
      <c r="A8135" s="1" t="s">
        <v>1069</v>
      </c>
      <c r="B8135" s="0" t="s">
        <v>98</v>
      </c>
      <c r="D8135" s="6" t="n">
        <f aca="false">Sens!D8131</f>
        <v>128.528</v>
      </c>
      <c r="E8135" s="6" t="n">
        <f aca="false">Sens!E8131</f>
        <v>155.237</v>
      </c>
      <c r="F8135" s="6" t="n">
        <f aca="false">Sens!F8131+Sens!F8134</f>
        <v>192.139845850404</v>
      </c>
      <c r="G8135" s="6" t="n">
        <f aca="false">Sens!G8131+Sens!G8134</f>
        <v>222.957240317748</v>
      </c>
      <c r="H8135" s="6" t="n">
        <f aca="false">Sens!H8131+Sens!H8134</f>
        <v>259.937129242497</v>
      </c>
      <c r="I8135" s="6" t="n">
        <f aca="false">Sens!I8131+Sens!I8134</f>
        <v>294.461605948426</v>
      </c>
      <c r="J8135" s="6" t="n">
        <f aca="false">Sens!J8131+Sens!J8134</f>
        <v>323.208780480488</v>
      </c>
      <c r="K8135" s="6" t="n">
        <f aca="false">Sens!K8131+Sens!K8134</f>
        <v>346.536649214471</v>
      </c>
    </row>
    <row r="8136" customFormat="false" ht="17.15" hidden="false" customHeight="false" outlineLevel="0" collapsed="false">
      <c r="A8136" s="1" t="s">
        <v>1070</v>
      </c>
      <c r="B8136" s="0" t="s">
        <v>98</v>
      </c>
      <c r="E8136" s="6" t="n">
        <f aca="false">Sens!E8079</f>
        <v>16.3054059770833</v>
      </c>
      <c r="F8136" s="6" t="n">
        <f aca="false">Sens!F8079</f>
        <v>34.5793144783516</v>
      </c>
      <c r="G8136" s="6" t="n">
        <f aca="false">Sens!G8079</f>
        <v>60.7344906522989</v>
      </c>
      <c r="H8136" s="6" t="n">
        <f aca="false">Sens!H8079</f>
        <v>89.1000906614457</v>
      </c>
      <c r="I8136" s="6" t="n">
        <f aca="false">Sens!I8079</f>
        <v>114.231009694548</v>
      </c>
      <c r="J8136" s="6" t="n">
        <f aca="false">Sens!J8079</f>
        <v>132.015673049596</v>
      </c>
      <c r="K8136" s="6" t="n">
        <f aca="false">Sens!K8079</f>
        <v>143.012669550934</v>
      </c>
    </row>
    <row r="8137" customFormat="false" ht="17.15" hidden="false" customHeight="false" outlineLevel="0" collapsed="false">
      <c r="A8137" s="1" t="s">
        <v>1071</v>
      </c>
      <c r="B8137" s="0" t="s">
        <v>98</v>
      </c>
      <c r="E8137" s="6" t="n">
        <f aca="false">Sens!E8161</f>
        <v>22.2285940229167</v>
      </c>
      <c r="F8137" s="6" t="n">
        <f aca="false">Sens!F8161</f>
        <v>23.580344216413</v>
      </c>
      <c r="G8137" s="6" t="n">
        <f aca="false">Sens!G8161</f>
        <v>25.3167903395143</v>
      </c>
      <c r="H8137" s="6" t="n">
        <f aca="false">Sens!H8161</f>
        <v>27.4337139952711</v>
      </c>
      <c r="I8137" s="6" t="n">
        <f aca="false">Sens!I8161</f>
        <v>29.8699254422971</v>
      </c>
      <c r="J8137" s="6" t="n">
        <f aca="false">Sens!J8161</f>
        <v>32.5468091323071</v>
      </c>
      <c r="K8137" s="6" t="n">
        <f aca="false">Sens!K8161</f>
        <v>35.3800860130719</v>
      </c>
    </row>
    <row r="8138" customFormat="false" ht="17.15" hidden="false" customHeight="false" outlineLevel="0" collapsed="false">
      <c r="A8138" s="1" t="s">
        <v>1072</v>
      </c>
      <c r="B8138" s="0" t="s">
        <v>98</v>
      </c>
      <c r="D8138" s="6" t="n">
        <f aca="false">Q!L27</f>
        <v>-4.901</v>
      </c>
      <c r="E8138" s="6" t="n">
        <f aca="false">Q!M27</f>
        <v>10.697</v>
      </c>
      <c r="F8138" s="6" t="n">
        <f aca="false">Q!$I$27+oie_f*(q_per_yr-1)/q_per_yr</f>
        <v>-0.862</v>
      </c>
      <c r="G8138" s="6" t="n">
        <f aca="false">oie_f</f>
        <v>-1.2</v>
      </c>
      <c r="H8138" s="6" t="n">
        <f aca="false">oie_f</f>
        <v>-1.2</v>
      </c>
      <c r="I8138" s="6" t="n">
        <f aca="false">oie_f</f>
        <v>-1.2</v>
      </c>
      <c r="J8138" s="6" t="n">
        <f aca="false">oie_f</f>
        <v>-1.2</v>
      </c>
      <c r="K8138" s="6" t="n">
        <f aca="false">oie_f</f>
        <v>-1.2</v>
      </c>
      <c r="L8138" s="12" t="s">
        <v>1073</v>
      </c>
    </row>
    <row r="8139" customFormat="false" ht="15" hidden="false" customHeight="false" outlineLevel="0" collapsed="false">
      <c r="A8139" s="1" t="s">
        <v>1074</v>
      </c>
      <c r="B8139" s="0" t="s">
        <v>98</v>
      </c>
      <c r="D8139" s="6" t="n">
        <f aca="false">Sens!D8131+Sens!D8138</f>
        <v>123.627</v>
      </c>
      <c r="E8139" s="6" t="n">
        <f aca="false">Sens!E8131+Sens!E8138</f>
        <v>165.934</v>
      </c>
      <c r="F8139" s="6" t="n">
        <f aca="false">Sens!F8131+Sens!F8138</f>
        <v>179.619586379824</v>
      </c>
      <c r="G8139" s="6" t="n">
        <f aca="false">Sens!G8131+Sens!G8138</f>
        <v>193.604276673342</v>
      </c>
      <c r="H8139" s="6" t="n">
        <f aca="false">Sens!H8131+Sens!H8138</f>
        <v>212.6162704748</v>
      </c>
      <c r="I8139" s="6" t="n">
        <f aca="false">Sens!I8131+Sens!I8138</f>
        <v>231.000422646836</v>
      </c>
      <c r="J8139" s="6" t="n">
        <f aca="false">Sens!J8131+Sens!J8138</f>
        <v>248.490084554922</v>
      </c>
      <c r="K8139" s="6" t="n">
        <f aca="false">Sens!K8131+Sens!K8138</f>
        <v>265.461363710662</v>
      </c>
    </row>
    <row r="8140" customFormat="false" ht="15" hidden="false" customHeight="false" outlineLevel="0" collapsed="false">
      <c r="A8140" s="1" t="s">
        <v>1075</v>
      </c>
      <c r="B8140" s="0" t="s">
        <v>98</v>
      </c>
      <c r="D8140" s="6" t="n">
        <f aca="false">Q!L29</f>
        <v>21.795</v>
      </c>
      <c r="E8140" s="6" t="n">
        <f aca="false">Q!M29</f>
        <v>32.185</v>
      </c>
      <c r="F8140" s="6" t="n">
        <f aca="false">Q!$I$29+(Sens!F8139-Q!$I$28)*tax_f</f>
        <v>36.0573172759647</v>
      </c>
      <c r="G8140" s="6" t="n">
        <f aca="false">Sens!G8139*tax_f</f>
        <v>38.7208553346684</v>
      </c>
      <c r="H8140" s="6" t="n">
        <f aca="false">Sens!H8139*tax_f</f>
        <v>42.5232540949599</v>
      </c>
      <c r="I8140" s="6" t="n">
        <f aca="false">Sens!I8139*tax_f</f>
        <v>46.2000845293673</v>
      </c>
      <c r="J8140" s="6" t="n">
        <f aca="false">Sens!J8139*tax_f</f>
        <v>49.6980169109843</v>
      </c>
      <c r="K8140" s="6" t="n">
        <f aca="false">Sens!K8139*tax_f</f>
        <v>53.0922727421324</v>
      </c>
    </row>
    <row r="8141" customFormat="false" ht="15" hidden="false" customHeight="false" outlineLevel="0" collapsed="false">
      <c r="A8141" s="1" t="s">
        <v>1076</v>
      </c>
      <c r="B8141" s="0" t="s">
        <v>98</v>
      </c>
      <c r="D8141" s="6" t="n">
        <f aca="false">Sens!D8139-Sens!D8140</f>
        <v>101.832</v>
      </c>
      <c r="E8141" s="6" t="n">
        <f aca="false">Sens!E8139-Sens!E8140</f>
        <v>133.749</v>
      </c>
      <c r="F8141" s="6" t="n">
        <f aca="false">Sens!F8139-Sens!F8140</f>
        <v>143.562269103859</v>
      </c>
      <c r="G8141" s="6" t="n">
        <f aca="false">Sens!G8139-Sens!G8140</f>
        <v>154.883421338674</v>
      </c>
      <c r="H8141" s="6" t="n">
        <f aca="false">Sens!H8139-Sens!H8140</f>
        <v>170.09301637984</v>
      </c>
      <c r="I8141" s="6" t="n">
        <f aca="false">Sens!I8139-Sens!I8140</f>
        <v>184.800338117469</v>
      </c>
      <c r="J8141" s="6" t="n">
        <f aca="false">Sens!J8139-Sens!J8140</f>
        <v>198.792067643937</v>
      </c>
      <c r="K8141" s="6" t="n">
        <f aca="false">Sens!K8139-Sens!K8140</f>
        <v>212.36909096853</v>
      </c>
    </row>
    <row r="8142" customFormat="false" ht="17.15" hidden="false" customHeight="false" outlineLevel="0" collapsed="false">
      <c r="A8142" s="1" t="s">
        <v>1077</v>
      </c>
      <c r="B8142" s="1" t="s">
        <v>81</v>
      </c>
      <c r="D8142" s="15" t="n">
        <f aca="false">Q!L31</f>
        <v>7.465</v>
      </c>
      <c r="E8142" s="15" t="n">
        <f aca="false">Q!M31</f>
        <v>7.453</v>
      </c>
      <c r="F8142" s="15" t="n">
        <f aca="false">Sens!F8186</f>
        <v>7.4735</v>
      </c>
      <c r="G8142" s="15" t="n">
        <f aca="false">Sens!G8186</f>
        <v>7.5185</v>
      </c>
      <c r="H8142" s="15" t="n">
        <f aca="false">Sens!H8186</f>
        <v>7.5461999390288</v>
      </c>
      <c r="I8142" s="15" t="n">
        <f aca="false">Sens!I8186</f>
        <v>7.55788130308427</v>
      </c>
      <c r="J8142" s="15" t="n">
        <f aca="false">Sens!J8186</f>
        <v>7.57203071424674</v>
      </c>
      <c r="K8142" s="15" t="n">
        <f aca="false">Sens!K8186</f>
        <v>7.58846535421199</v>
      </c>
    </row>
    <row r="8143" customFormat="false" ht="17.15" hidden="false" customHeight="false" outlineLevel="0" collapsed="false">
      <c r="A8143" s="0" t="s">
        <v>1078</v>
      </c>
      <c r="B8143" s="0" t="s">
        <v>75</v>
      </c>
      <c r="D8143" s="8" t="n">
        <f aca="false">Sens!D8141/Sens!D8142</f>
        <v>13.641259209645</v>
      </c>
      <c r="E8143" s="8" t="n">
        <f aca="false">Sens!E8141/Sens!E8142</f>
        <v>17.9456594659869</v>
      </c>
      <c r="F8143" s="8" t="n">
        <f aca="false">Sens!F8141/Sens!F8142</f>
        <v>19.2095094806796</v>
      </c>
      <c r="G8143" s="8" t="n">
        <f aca="false">Sens!G8141/Sens!G8142</f>
        <v>20.6003087502392</v>
      </c>
      <c r="H8143" s="8" t="n">
        <f aca="false">Sens!H8141/Sens!H8142</f>
        <v>22.5402212708574</v>
      </c>
      <c r="I8143" s="8" t="n">
        <f aca="false">Sens!I8141/Sens!I8142</f>
        <v>24.4513416798507</v>
      </c>
      <c r="J8143" s="8" t="n">
        <f aca="false">Sens!J8141/Sens!J8142</f>
        <v>26.253468210306</v>
      </c>
      <c r="K8143" s="8" t="n">
        <f aca="false">Sens!K8141/Sens!K8142</f>
        <v>27.9857759185332</v>
      </c>
      <c r="L8143" s="1" t="s">
        <v>1079</v>
      </c>
    </row>
    <row r="8144" customFormat="false" ht="17.15" hidden="false" customHeight="false" outlineLevel="0" collapsed="false">
      <c r="A8144" s="1" t="s">
        <v>1080</v>
      </c>
      <c r="B8144" s="0" t="s">
        <v>98</v>
      </c>
      <c r="D8144" s="6" t="n">
        <f aca="false">Sens!D8141</f>
        <v>101.832</v>
      </c>
      <c r="E8144" s="6" t="n">
        <f aca="false">Sens!E8141</f>
        <v>133.749</v>
      </c>
      <c r="F8144" s="6" t="n">
        <f aca="false">Sens!F8141+Sens!F8134*(1-tax_f)</f>
        <v>152.888876680324</v>
      </c>
      <c r="G8144" s="6" t="n">
        <f aca="false">Sens!G8141+Sens!G8134*(1-tax_f)</f>
        <v>177.405792254199</v>
      </c>
      <c r="H8144" s="6" t="n">
        <f aca="false">Sens!H8141+Sens!H8134*(1-tax_f)</f>
        <v>206.989703393997</v>
      </c>
      <c r="I8144" s="6" t="n">
        <f aca="false">Sens!I8141+Sens!I8134*(1-tax_f)</f>
        <v>234.609284758741</v>
      </c>
      <c r="J8144" s="6" t="n">
        <f aca="false">Sens!J8141+Sens!J8134*(1-tax_f)</f>
        <v>257.607024384391</v>
      </c>
      <c r="K8144" s="6" t="n">
        <f aca="false">Sens!K8141+Sens!K8134*(1-tax_f)</f>
        <v>276.269319371577</v>
      </c>
    </row>
    <row r="8145" customFormat="false" ht="17.15" hidden="false" customHeight="false" outlineLevel="0" collapsed="false">
      <c r="A8145" s="0" t="s">
        <v>1081</v>
      </c>
      <c r="B8145" s="0" t="s">
        <v>75</v>
      </c>
      <c r="D8145" s="8" t="n">
        <f aca="false">Sens!D8144/Sens!D8142</f>
        <v>13.641259209645</v>
      </c>
      <c r="E8145" s="8" t="n">
        <f aca="false">Sens!E8144/Sens!E8142</f>
        <v>17.9456594659869</v>
      </c>
      <c r="F8145" s="8" t="n">
        <f aca="false">Sens!F8144/Sens!F8142</f>
        <v>20.4574666060512</v>
      </c>
      <c r="G8145" s="8" t="n">
        <f aca="false">Sens!G8144/Sens!G8142</f>
        <v>23.5959024079535</v>
      </c>
      <c r="H8145" s="8" t="n">
        <f aca="false">Sens!H8144/Sens!H8142</f>
        <v>27.4296606326915</v>
      </c>
      <c r="I8145" s="8" t="n">
        <f aca="false">Sens!I8144/Sens!I8142</f>
        <v>31.0416736318682</v>
      </c>
      <c r="J8145" s="8" t="n">
        <f aca="false">Sens!J8144/Sens!J8142</f>
        <v>34.0208636369771</v>
      </c>
      <c r="K8145" s="8" t="n">
        <f aca="false">Sens!K8144/Sens!K8142</f>
        <v>36.4064809518084</v>
      </c>
      <c r="L8145" s="1" t="s">
        <v>1082</v>
      </c>
    </row>
    <row r="8146" customFormat="false" ht="17.15" hidden="false" customHeight="false" outlineLevel="0" collapsed="false">
      <c r="A8146" s="0" t="s">
        <v>1083</v>
      </c>
      <c r="B8146" s="0" t="s">
        <v>168</v>
      </c>
      <c r="E8146" s="7" t="n">
        <f aca="false">Sens!E8145/Sens!D8145-1</f>
        <v>0.315542736208578</v>
      </c>
      <c r="F8146" s="7" t="n">
        <f aca="false">Sens!F8145/Sens!E8145-1</f>
        <v>0.139967391269464</v>
      </c>
      <c r="G8146" s="7" t="n">
        <f aca="false">Sens!G8145/Sens!F8145-1</f>
        <v>0.153412730048109</v>
      </c>
      <c r="H8146" s="7" t="n">
        <f aca="false">Sens!H8145/Sens!G8145-1</f>
        <v>0.162475592518373</v>
      </c>
      <c r="I8146" s="7" t="n">
        <f aca="false">Sens!I8145/Sens!H8145-1</f>
        <v>0.131682744731877</v>
      </c>
      <c r="J8146" s="7" t="n">
        <f aca="false">Sens!J8145/Sens!I8145-1</f>
        <v>0.0959738846700047</v>
      </c>
      <c r="K8146" s="7" t="n">
        <f aca="false">Sens!K8145/Sens!J8145-1</f>
        <v>0.0701221856178396</v>
      </c>
    </row>
    <row r="8147" customFormat="false" ht="17.15" hidden="false" customHeight="false" outlineLevel="0" collapsed="false">
      <c r="A8147" s="0" t="s">
        <v>1003</v>
      </c>
      <c r="B8147" s="0" t="s">
        <v>98</v>
      </c>
      <c r="E8147" s="6" t="n">
        <f aca="false">Sens!E8088</f>
        <v>5.25</v>
      </c>
      <c r="F8147" s="6" t="n">
        <f aca="false">Sens!F8088</f>
        <v>8.64</v>
      </c>
      <c r="G8147" s="6" t="n">
        <f aca="false">Sens!G8088</f>
        <v>12.96</v>
      </c>
      <c r="H8147" s="6" t="n">
        <f aca="false">Sens!H8088</f>
        <v>17.28</v>
      </c>
      <c r="I8147" s="6" t="n">
        <f aca="false">Sens!I8088</f>
        <v>20.52</v>
      </c>
      <c r="J8147" s="6" t="n">
        <f aca="false">Sens!J8088</f>
        <v>22.68</v>
      </c>
      <c r="K8147" s="6" t="n">
        <f aca="false">Sens!K8088</f>
        <v>24.84</v>
      </c>
    </row>
    <row r="8148" customFormat="false" ht="17.15" hidden="false" customHeight="false" outlineLevel="0" collapsed="false">
      <c r="A8148" s="1" t="s">
        <v>1004</v>
      </c>
      <c r="B8148" s="0" t="s">
        <v>98</v>
      </c>
      <c r="F8148" s="6" t="n">
        <f aca="false">MAX(0,((Sens!E8048+Sens!F8048)/2-(shadow_base*(Sens!$D$8048+Sens!$E$8048)/2+(1-shadow_base)*Sens!$E$8048))*Sens!F8057/1000-(Sens!F8147-Sens!$E$8147)*Sens!F8127)</f>
        <v>11.658259470581</v>
      </c>
      <c r="G8148" s="6" t="n">
        <f aca="false">MAX(0,((Sens!F8048+Sens!G8048)/2-(shadow_base*(Sens!$D$8048+Sens!$E$8048)/2+(1-shadow_base)*Sens!$E$8048))*Sens!G8057/1000-(Sens!G8147-Sens!$E$8147)*Sens!G8127)</f>
        <v>28.1529636444063</v>
      </c>
      <c r="H8148" s="6" t="n">
        <f aca="false">MAX(0,((Sens!G8048+Sens!H8048)/2-(shadow_base*(Sens!$D$8048+Sens!$E$8048)/2+(1-shadow_base)*Sens!$E$8048))*Sens!H8057/1000-(Sens!H8147-Sens!$E$8147)*Sens!H8127)</f>
        <v>46.1208587676969</v>
      </c>
      <c r="I8148" s="6" t="n">
        <f aca="false">MAX(0,((Sens!H8048+Sens!I8048)/2-(shadow_base*(Sens!$D$8048+Sens!$E$8048)/2+(1-shadow_base)*Sens!$E$8048))*Sens!I8057/1000-(Sens!I8147-Sens!$E$8147)*Sens!I8127)</f>
        <v>62.2611833015898</v>
      </c>
      <c r="J8148" s="6" t="n">
        <f aca="false">MAX(0,((Sens!I8048+Sens!J8048)/2-(shadow_base*(Sens!$D$8048+Sens!$E$8048)/2+(1-shadow_base)*Sens!$E$8048))*Sens!J8057/1000-(Sens!J8147-Sens!$E$8147)*Sens!J8127)</f>
        <v>73.5186959255667</v>
      </c>
      <c r="K8148" s="6" t="n">
        <f aca="false">MAX(0,((Sens!J8048+Sens!K8048)/2-(shadow_base*(Sens!$D$8048+Sens!$E$8048)/2+(1-shadow_base)*Sens!$E$8048))*Sens!K8057/1000-(Sens!K8147-Sens!$E$8147)*Sens!K8127)</f>
        <v>79.8752855038092</v>
      </c>
      <c r="L8148" s="1" t="s">
        <v>1005</v>
      </c>
    </row>
    <row r="8149" customFormat="false" ht="17.15" hidden="false" customHeight="false" outlineLevel="0" collapsed="false">
      <c r="A8149" s="1" t="s">
        <v>1006</v>
      </c>
      <c r="B8149" s="0" t="s">
        <v>98</v>
      </c>
      <c r="F8149" s="6" t="n">
        <f aca="false">IF(internal_ai_reading=2,1,0)*Sens!F8148</f>
        <v>11.658259470581</v>
      </c>
      <c r="G8149" s="6" t="n">
        <f aca="false">IF(internal_ai_reading=2,1,0)*Sens!G8148</f>
        <v>28.1529636444063</v>
      </c>
      <c r="H8149" s="6" t="n">
        <f aca="false">IF(internal_ai_reading=2,1,0)*Sens!H8148</f>
        <v>46.1208587676969</v>
      </c>
      <c r="I8149" s="6" t="n">
        <f aca="false">IF(internal_ai_reading=2,1,0)*Sens!I8148</f>
        <v>62.2611833015898</v>
      </c>
      <c r="J8149" s="6" t="n">
        <f aca="false">IF(internal_ai_reading=2,1,0)*Sens!J8148</f>
        <v>73.5186959255667</v>
      </c>
      <c r="K8149" s="6" t="n">
        <f aca="false">IF(internal_ai_reading=2,1,0)*Sens!K8148</f>
        <v>79.8752855038092</v>
      </c>
    </row>
    <row r="8150" customFormat="false" ht="17.15" hidden="false" customHeight="false" outlineLevel="0" collapsed="false">
      <c r="A8150" s="0" t="s">
        <v>1007</v>
      </c>
      <c r="B8150" s="0" t="s">
        <v>98</v>
      </c>
      <c r="F8150" s="6" t="n">
        <f aca="false">Sens!F8067+Sens!F8147*Sens!F8127+Sens!F8149-Sens!F8068-Sens!F8079</f>
        <v>14.8152827562272</v>
      </c>
      <c r="G8150" s="6" t="n">
        <f aca="false">Sens!G8067+Sens!G8147*Sens!G8127+Sens!G8149-Sens!G8068-Sens!G8079</f>
        <v>31.0349977765951</v>
      </c>
      <c r="H8150" s="6" t="n">
        <f aca="false">Sens!H8067+Sens!H8147*Sens!H8127+Sens!H8149-Sens!H8068-Sens!H8079</f>
        <v>47.8811519709826</v>
      </c>
      <c r="I8150" s="6" t="n">
        <f aca="false">Sens!I8067+Sens!I8147*Sens!I8127+Sens!I8149-Sens!I8068-Sens!I8079</f>
        <v>62.6472166574028</v>
      </c>
      <c r="J8150" s="6" t="n">
        <f aca="false">Sens!J8067+Sens!J8147*Sens!J8127+Sens!J8149-Sens!J8068-Sens!J8079</f>
        <v>72.7882253357034</v>
      </c>
      <c r="K8150" s="6" t="n">
        <f aca="false">Sens!K8067+Sens!K8147*Sens!K8127+Sens!K8149-Sens!K8068-Sens!K8079</f>
        <v>79.4617812140188</v>
      </c>
    </row>
    <row r="8151" customFormat="false" ht="17.15" hidden="false" customHeight="false" outlineLevel="0" collapsed="false">
      <c r="A8151" s="0" t="s">
        <v>1008</v>
      </c>
      <c r="B8151" s="0" t="s">
        <v>98</v>
      </c>
      <c r="E8151" s="6" t="n">
        <f aca="false">Sens!E8047*(cxit_open+self_build*tk_cxfac)/1000*ai_net_open</f>
        <v>126.6980382</v>
      </c>
      <c r="F8151" s="6" t="n">
        <f aca="false">Sens!E8151+Sens!F8076-Sens!F8079</f>
        <v>260.572627763768</v>
      </c>
      <c r="G8151" s="6" t="n">
        <f aca="false">Sens!F8151+Sens!G8076-Sens!G8079</f>
        <v>391.782612760517</v>
      </c>
      <c r="H8151" s="6" t="n">
        <f aca="false">Sens!G8151+Sens!H8076-Sens!H8079</f>
        <v>499.488526163584</v>
      </c>
      <c r="I8151" s="6" t="n">
        <f aca="false">Sens!H8151+Sens!I8076-Sens!I8079</f>
        <v>553.872350090646</v>
      </c>
      <c r="J8151" s="6" t="n">
        <f aca="false">Sens!I8151+Sens!J8076-Sens!J8079</f>
        <v>550.78660823699</v>
      </c>
      <c r="K8151" s="6" t="n">
        <f aca="false">Sens!J8151+Sens!K8076-Sens!K8079</f>
        <v>526.736791750789</v>
      </c>
      <c r="L8151" s="1" t="s">
        <v>1009</v>
      </c>
    </row>
    <row r="8152" customFormat="false" ht="17.15" hidden="false" customHeight="false" outlineLevel="0" collapsed="false">
      <c r="A8152" s="0" t="s">
        <v>1010</v>
      </c>
      <c r="B8152" s="0" t="s">
        <v>168</v>
      </c>
      <c r="F8152" s="7" t="n">
        <f aca="false">Sens!F8150*(1-tax_f)/((Sens!E8151+Sens!F8151)/2)</f>
        <v>0.0612090057246454</v>
      </c>
      <c r="G8152" s="7" t="n">
        <f aca="false">Sens!G8150*(1-tax_f)/((Sens!F8151+Sens!G8151)/2)</f>
        <v>0.0761180310326695</v>
      </c>
      <c r="H8152" s="7" t="n">
        <f aca="false">Sens!H8150*(1-tax_f)/((Sens!G8151+Sens!H8151)/2)</f>
        <v>0.0859557095566361</v>
      </c>
      <c r="I8152" s="7" t="n">
        <f aca="false">Sens!I8150*(1-tax_f)/((Sens!H8151+Sens!I8151)/2)</f>
        <v>0.0951578408800258</v>
      </c>
      <c r="J8152" s="7" t="n">
        <f aca="false">Sens!J8150*(1-tax_f)/((Sens!I8151+Sens!J8151)/2)</f>
        <v>0.105427253958487</v>
      </c>
      <c r="K8152" s="7" t="n">
        <f aca="false">Sens!K8150*(1-tax_f)/((Sens!J8151+Sens!K8151)/2)</f>
        <v>0.117991729872291</v>
      </c>
    </row>
    <row r="8153" customFormat="false" ht="17.15" hidden="false" customHeight="false" outlineLevel="0" collapsed="false">
      <c r="A8153" s="1" t="s">
        <v>1011</v>
      </c>
      <c r="B8153" s="0" t="s">
        <v>168</v>
      </c>
      <c r="F8153" s="7" t="n">
        <f aca="false">(Sens!F8150-Sens!F8149)*(1-tax_f)/((Sens!E8151+Sens!F8151)/2)</f>
        <v>0.0130431703223981</v>
      </c>
      <c r="G8153" s="7" t="n">
        <f aca="false">(Sens!G8150-Sens!G8149)*(1-tax_f)/((Sens!F8151+Sens!G8151)/2)</f>
        <v>0.00706862507580388</v>
      </c>
      <c r="H8153" s="7" t="n">
        <f aca="false">(Sens!H8150-Sens!H8149)*(1-tax_f)/((Sens!G8151+Sens!H8151)/2)</f>
        <v>0.00316005870969532</v>
      </c>
      <c r="I8153" s="7" t="n">
        <f aca="false">(Sens!I8150-Sens!I8149)*(1-tax_f)/((Sens!H8151+Sens!I8151)/2)</f>
        <v>0.000586364448523213</v>
      </c>
      <c r="J8153" s="7" t="n">
        <f aca="false">(Sens!J8150-Sens!J8149)*(1-tax_f)/((Sens!I8151+Sens!J8151)/2)</f>
        <v>-0.00105802151421524</v>
      </c>
      <c r="K8153" s="7" t="n">
        <f aca="false">(Sens!K8150-Sens!K8149)*(1-tax_f)/((Sens!J8151+Sens!K8151)/2)</f>
        <v>-0.000614006956760522</v>
      </c>
    </row>
    <row r="8154" customFormat="false" ht="17.15" hidden="false" customHeight="false" outlineLevel="0" collapsed="false">
      <c r="A8154" s="1" t="s">
        <v>1012</v>
      </c>
      <c r="B8154" s="0" t="s">
        <v>168</v>
      </c>
      <c r="F8154" s="7" t="n">
        <f aca="false">(Sens!F8150-Sens!F8149+Sens!F8148)*(1-tax_f)/((Sens!E8151+Sens!F8151)/2)</f>
        <v>0.0612090057246454</v>
      </c>
      <c r="G8154" s="7" t="n">
        <f aca="false">(Sens!G8150-Sens!G8149+Sens!G8148)*(1-tax_f)/((Sens!F8151+Sens!G8151)/2)</f>
        <v>0.0761180310326695</v>
      </c>
      <c r="H8154" s="7" t="n">
        <f aca="false">(Sens!H8150-Sens!H8149+Sens!H8148)*(1-tax_f)/((Sens!G8151+Sens!H8151)/2)</f>
        <v>0.0859557095566361</v>
      </c>
      <c r="I8154" s="7" t="n">
        <f aca="false">(Sens!I8150-Sens!I8149+Sens!I8148)*(1-tax_f)/((Sens!H8151+Sens!I8151)/2)</f>
        <v>0.0951578408800258</v>
      </c>
      <c r="J8154" s="7" t="n">
        <f aca="false">(Sens!J8150-Sens!J8149+Sens!J8148)*(1-tax_f)/((Sens!I8151+Sens!J8151)/2)</f>
        <v>0.105427253958487</v>
      </c>
      <c r="K8154" s="7" t="n">
        <f aca="false">(Sens!K8150-Sens!K8149+Sens!K8148)*(1-tax_f)/((Sens!J8151+Sens!K8151)/2)</f>
        <v>0.117991729872291</v>
      </c>
    </row>
    <row r="8155" customFormat="false" ht="17.15" hidden="false" customHeight="false" outlineLevel="0" collapsed="false">
      <c r="A8155" s="1" t="s">
        <v>1013</v>
      </c>
      <c r="B8155" s="0" t="s">
        <v>168</v>
      </c>
      <c r="F8155" s="7" t="n">
        <f aca="false">Sens!F8080*(1-tax_f)/(Sens!F8066*(Sens!E8151+Sens!F8151)/2)</f>
        <v>0.129294830495493</v>
      </c>
      <c r="G8155" s="7" t="n">
        <f aca="false">Sens!G8080*(1-tax_f)/(Sens!G8066*(Sens!F8151+Sens!G8151)/2)</f>
        <v>0.12719599062164</v>
      </c>
      <c r="H8155" s="7" t="n">
        <f aca="false">Sens!H8080*(1-tax_f)/(Sens!H8066*(Sens!G8151+Sens!H8151)/2)</f>
        <v>0.130828167067624</v>
      </c>
      <c r="I8155" s="7" t="n">
        <f aca="false">Sens!I8080*(1-tax_f)/(Sens!I8066*(Sens!H8151+Sens!I8151)/2)</f>
        <v>0.138614526937417</v>
      </c>
      <c r="J8155" s="7" t="n">
        <f aca="false">Sens!J8080*(1-tax_f)/(Sens!J8066*(Sens!I8151+Sens!J8151)/2)</f>
        <v>0.150578919010924</v>
      </c>
      <c r="K8155" s="7" t="n">
        <f aca="false">Sens!K8080*(1-tax_f)/(Sens!K8066*(Sens!J8151+Sens!K8151)/2)</f>
        <v>0.167005345886664</v>
      </c>
    </row>
    <row r="8156" customFormat="false" ht="17.15" hidden="false" customHeight="false" outlineLevel="0" collapsed="false">
      <c r="A8156" s="0" t="s">
        <v>1014</v>
      </c>
      <c r="B8156" s="0" t="s">
        <v>253</v>
      </c>
      <c r="F8156" s="7" t="n">
        <f aca="false">Sens!F8152-wacc</f>
        <v>-0.0417275852209519</v>
      </c>
      <c r="G8156" s="7" t="n">
        <f aca="false">Sens!G8152-wacc</f>
        <v>-0.0268185599129278</v>
      </c>
      <c r="H8156" s="7" t="n">
        <f aca="false">Sens!H8152-wacc</f>
        <v>-0.0169808813889612</v>
      </c>
      <c r="I8156" s="7" t="n">
        <f aca="false">Sens!I8152-wacc</f>
        <v>-0.00777875006557149</v>
      </c>
      <c r="J8156" s="7" t="n">
        <f aca="false">Sens!J8152-wacc</f>
        <v>0.0024906630128898</v>
      </c>
      <c r="K8156" s="7" t="n">
        <f aca="false">Sens!K8152-wacc</f>
        <v>0.0150551389266932</v>
      </c>
    </row>
    <row r="8157" customFormat="false" ht="17.15" hidden="false" customHeight="false" outlineLevel="0" collapsed="false">
      <c r="A8157" s="0" t="s">
        <v>1015</v>
      </c>
      <c r="B8157" s="0" t="s">
        <v>98</v>
      </c>
      <c r="F8157" s="6" t="n">
        <f aca="false">Sens!F8150*(1-tax_f)-wacc*(Sens!E8151+Sens!F8151)/2</f>
        <v>-8.07993485878896</v>
      </c>
      <c r="G8157" s="6" t="n">
        <f aca="false">Sens!G8150*(1-tax_f)-wacc*(Sens!F8151+Sens!G8151)/2</f>
        <v>-8.74761405125647</v>
      </c>
      <c r="H8157" s="6" t="n">
        <f aca="false">Sens!H8150*(1-tax_f)-wacc*(Sens!G8151+Sens!H8151)/2</f>
        <v>-7.56728474773728</v>
      </c>
      <c r="I8157" s="6" t="n">
        <f aca="false">Sens!I8150*(1-tax_f)-wacc*(Sens!H8151+Sens!I8151)/2</f>
        <v>-4.09691549261652</v>
      </c>
      <c r="J8157" s="6" t="n">
        <f aca="false">Sens!J8150*(1-tax_f)-wacc*(Sens!I8151+Sens!J8151)/2</f>
        <v>1.37566660468201</v>
      </c>
      <c r="K8157" s="6" t="n">
        <f aca="false">Sens!K8150*(1-tax_f)-wacc*(Sens!J8151+Sens!K8151)/2</f>
        <v>8.11113224178943</v>
      </c>
    </row>
    <row r="8158" customFormat="false" ht="17.15" hidden="false" customHeight="false" outlineLevel="0" collapsed="false">
      <c r="A8158" s="3" t="s">
        <v>1683</v>
      </c>
    </row>
    <row r="8159" customFormat="false" ht="15" hidden="false" customHeight="false" outlineLevel="0" collapsed="false">
      <c r="A8159" s="4" t="s">
        <v>43</v>
      </c>
      <c r="B8159" s="4" t="s">
        <v>65</v>
      </c>
      <c r="C8159" s="23" t="s">
        <v>938</v>
      </c>
      <c r="D8159" s="23" t="s">
        <v>939</v>
      </c>
      <c r="E8159" s="23" t="s">
        <v>940</v>
      </c>
      <c r="F8159" s="23" t="s">
        <v>941</v>
      </c>
      <c r="G8159" s="23" t="s">
        <v>942</v>
      </c>
      <c r="H8159" s="23" t="s">
        <v>943</v>
      </c>
      <c r="I8159" s="23" t="s">
        <v>944</v>
      </c>
      <c r="J8159" s="23" t="s">
        <v>945</v>
      </c>
      <c r="K8159" s="23" t="s">
        <v>946</v>
      </c>
      <c r="L8159" s="4" t="s">
        <v>47</v>
      </c>
    </row>
    <row r="8160" customFormat="false" ht="15" hidden="false" customHeight="false" outlineLevel="0" collapsed="false">
      <c r="A8160" s="1" t="s">
        <v>1076</v>
      </c>
      <c r="B8160" s="0" t="s">
        <v>98</v>
      </c>
      <c r="F8160" s="6" t="n">
        <f aca="false">Sens!F8141</f>
        <v>143.562269103859</v>
      </c>
      <c r="G8160" s="6" t="n">
        <f aca="false">Sens!G8141</f>
        <v>154.883421338674</v>
      </c>
      <c r="H8160" s="6" t="n">
        <f aca="false">Sens!H8141</f>
        <v>170.09301637984</v>
      </c>
      <c r="I8160" s="6" t="n">
        <f aca="false">Sens!I8141</f>
        <v>184.800338117469</v>
      </c>
      <c r="J8160" s="6" t="n">
        <f aca="false">Sens!J8141</f>
        <v>198.792067643937</v>
      </c>
      <c r="K8160" s="6" t="n">
        <f aca="false">Sens!K8141</f>
        <v>212.36909096853</v>
      </c>
    </row>
    <row r="8161" customFormat="false" ht="17.15" hidden="false" customHeight="false" outlineLevel="0" collapsed="false">
      <c r="A8161" s="1" t="s">
        <v>1098</v>
      </c>
      <c r="B8161" s="0" t="s">
        <v>98</v>
      </c>
      <c r="E8161" s="6" t="n">
        <f aca="false">Q!M38-Sens!E8079</f>
        <v>22.2285940229167</v>
      </c>
      <c r="F8161" s="6" t="n">
        <f aca="false">Sens!E8161*(1-1/life_nonai)+(Sens!F8169+Sens!F8170)/life_nonai</f>
        <v>23.580344216413</v>
      </c>
      <c r="G8161" s="6" t="n">
        <f aca="false">Sens!F8161*(1-1/life_nonai)+(Sens!G8169)/life_nonai</f>
        <v>25.3167903395143</v>
      </c>
      <c r="H8161" s="6" t="n">
        <f aca="false">Sens!G8161*(1-1/life_nonai)+(Sens!H8169)/life_nonai</f>
        <v>27.4337139952711</v>
      </c>
      <c r="I8161" s="6" t="n">
        <f aca="false">Sens!H8161*(1-1/life_nonai)+(Sens!I8169)/life_nonai</f>
        <v>29.8699254422971</v>
      </c>
      <c r="J8161" s="6" t="n">
        <f aca="false">Sens!I8161*(1-1/life_nonai)+(Sens!J8169)/life_nonai</f>
        <v>32.5468091323071</v>
      </c>
      <c r="K8161" s="6" t="n">
        <f aca="false">Sens!J8161*(1-1/life_nonai)+(Sens!K8169)/life_nonai</f>
        <v>35.3800860130719</v>
      </c>
      <c r="L8161" s="12" t="s">
        <v>1099</v>
      </c>
    </row>
    <row r="8162" customFormat="false" ht="17.15" hidden="false" customHeight="false" outlineLevel="0" collapsed="false">
      <c r="A8162" s="1" t="s">
        <v>1100</v>
      </c>
      <c r="B8162" s="0" t="s">
        <v>98</v>
      </c>
      <c r="F8162" s="6" t="n">
        <f aca="false">Sens!$F$8170/life_nonai*(1-1/life_nonai)^(Sens!F8042-2027)</f>
        <v>0.0256644948443217</v>
      </c>
      <c r="G8162" s="6" t="n">
        <f aca="false">Sens!$F$8170/life_nonai*(1-1/life_nonai)^(Sens!G8042-2027)</f>
        <v>0.0230980453598895</v>
      </c>
      <c r="H8162" s="6" t="n">
        <f aca="false">Sens!$F$8170/life_nonai*(1-1/life_nonai)^(Sens!H8042-2027)</f>
        <v>0.0207882408239006</v>
      </c>
      <c r="I8162" s="6" t="n">
        <f aca="false">Sens!$F$8170/life_nonai*(1-1/life_nonai)^(Sens!I8042-2027)</f>
        <v>0.0187094167415105</v>
      </c>
      <c r="J8162" s="6" t="n">
        <f aca="false">Sens!$F$8170/life_nonai*(1-1/life_nonai)^(Sens!J8042-2027)</f>
        <v>0.0168384750673595</v>
      </c>
      <c r="K8162" s="6" t="n">
        <f aca="false">Sens!$F$8170/life_nonai*(1-1/life_nonai)^(Sens!K8042-2027)</f>
        <v>0.0151546275606235</v>
      </c>
      <c r="L8162" s="1" t="s">
        <v>1101</v>
      </c>
    </row>
    <row r="8163" customFormat="false" ht="17.15" hidden="false" customHeight="false" outlineLevel="0" collapsed="false">
      <c r="A8163" s="1" t="s">
        <v>1102</v>
      </c>
      <c r="B8163" s="0" t="s">
        <v>98</v>
      </c>
      <c r="E8163" s="6" t="n">
        <f aca="false">Sens!E8079+Sens!E8161</f>
        <v>38.534</v>
      </c>
      <c r="F8163" s="6" t="n">
        <f aca="false">Sens!F8079+Sens!F8161</f>
        <v>58.1596586947647</v>
      </c>
      <c r="G8163" s="6" t="n">
        <f aca="false">Sens!G8079+Sens!G8161</f>
        <v>86.0512809918132</v>
      </c>
      <c r="H8163" s="6" t="n">
        <f aca="false">Sens!H8079+Sens!H8161</f>
        <v>116.533804656717</v>
      </c>
      <c r="I8163" s="6" t="n">
        <f aca="false">Sens!I8079+Sens!I8161</f>
        <v>144.100935136845</v>
      </c>
      <c r="J8163" s="6" t="n">
        <f aca="false">Sens!J8079+Sens!J8161</f>
        <v>164.562482181903</v>
      </c>
      <c r="K8163" s="6" t="n">
        <f aca="false">Sens!K8079+Sens!K8161</f>
        <v>178.392755564006</v>
      </c>
    </row>
    <row r="8164" customFormat="false" ht="17.15" hidden="false" customHeight="false" outlineLevel="0" collapsed="false">
      <c r="A8164" s="1" t="s">
        <v>1103</v>
      </c>
      <c r="B8164" s="0" t="s">
        <v>98</v>
      </c>
      <c r="F8164" s="6" t="n">
        <f aca="false">Sens!F8106*sbc_r</f>
        <v>14.8216105929865</v>
      </c>
      <c r="G8164" s="6" t="n">
        <f aca="false">Sens!G8106*sbc_r</f>
        <v>17.6566210930684</v>
      </c>
      <c r="H8164" s="6" t="n">
        <f aca="false">Sens!H8106*sbc_r</f>
        <v>20.5597364357669</v>
      </c>
      <c r="I8164" s="6" t="n">
        <f aca="false">Sens!I8106*sbc_r</f>
        <v>23.2367133452493</v>
      </c>
      <c r="J8164" s="6" t="n">
        <f aca="false">Sens!J8106*sbc_r</f>
        <v>25.4365886483124</v>
      </c>
      <c r="K8164" s="6" t="n">
        <f aca="false">Sens!K8106*sbc_r</f>
        <v>27.1981122781843</v>
      </c>
    </row>
    <row r="8165" customFormat="false" ht="17.15" hidden="false" customHeight="false" outlineLevel="0" collapsed="false">
      <c r="A8165" s="1" t="s">
        <v>1104</v>
      </c>
      <c r="B8165" s="0" t="s">
        <v>98</v>
      </c>
      <c r="F8165" s="6" t="n">
        <f aca="false">wc27-wc26q1</f>
        <v>-4.677</v>
      </c>
      <c r="G8165" s="6" t="n">
        <f aca="false">wc_f</f>
        <v>0</v>
      </c>
      <c r="H8165" s="6" t="n">
        <f aca="false">wc_f</f>
        <v>0</v>
      </c>
      <c r="I8165" s="6" t="n">
        <f aca="false">wc_f</f>
        <v>0</v>
      </c>
      <c r="J8165" s="6" t="n">
        <f aca="false">wc_f</f>
        <v>0</v>
      </c>
      <c r="K8165" s="6" t="n">
        <f aca="false">wc_f</f>
        <v>0</v>
      </c>
      <c r="L8165" s="12" t="s">
        <v>1105</v>
      </c>
    </row>
    <row r="8166" customFormat="false" ht="17.15" hidden="false" customHeight="false" outlineLevel="0" collapsed="false">
      <c r="A8166" s="0" t="s">
        <v>1106</v>
      </c>
      <c r="B8166" s="0" t="s">
        <v>98</v>
      </c>
      <c r="F8166" s="6" t="n">
        <f aca="false">Q!$I$35-Q!$I$26-Q!$I$38-Q!$I$39</f>
        <v>6.493</v>
      </c>
      <c r="L8166" s="1" t="s">
        <v>1107</v>
      </c>
    </row>
    <row r="8167" customFormat="false" ht="15" hidden="false" customHeight="false" outlineLevel="0" collapsed="false">
      <c r="A8167" s="1" t="s">
        <v>904</v>
      </c>
      <c r="B8167" s="0" t="s">
        <v>98</v>
      </c>
      <c r="E8167" s="6" t="n">
        <f aca="false">Q!M35</f>
        <v>182.935</v>
      </c>
      <c r="F8167" s="6" t="n">
        <f aca="false">Sens!F8160+Sens!F8163+Sens!F8164+Sens!F8165+Sens!F8166</f>
        <v>218.35953839161</v>
      </c>
      <c r="G8167" s="6" t="n">
        <f aca="false">Sens!G8160+Sens!G8163+Sens!G8164+Sens!G8165</f>
        <v>258.591323423555</v>
      </c>
      <c r="H8167" s="6" t="n">
        <f aca="false">Sens!H8160+Sens!H8163+Sens!H8164+Sens!H8165</f>
        <v>307.186557472323</v>
      </c>
      <c r="I8167" s="6" t="n">
        <f aca="false">Sens!I8160+Sens!I8163+Sens!I8164+Sens!I8165</f>
        <v>352.137986599564</v>
      </c>
      <c r="J8167" s="6" t="n">
        <f aca="false">Sens!J8160+Sens!J8163+Sens!J8164+Sens!J8165</f>
        <v>388.791138474153</v>
      </c>
      <c r="K8167" s="6" t="n">
        <f aca="false">Sens!K8160+Sens!K8163+Sens!K8164+Sens!K8165</f>
        <v>417.95995881072</v>
      </c>
    </row>
    <row r="8168" customFormat="false" ht="17.15" hidden="false" customHeight="false" outlineLevel="0" collapsed="false">
      <c r="A8168" s="0" t="s">
        <v>1108</v>
      </c>
      <c r="B8168" s="0" t="s">
        <v>98</v>
      </c>
      <c r="F8168" s="6" t="n">
        <f aca="false">Sens!F8076</f>
        <v>168.45390404212</v>
      </c>
      <c r="G8168" s="6" t="n">
        <f aca="false">Sens!G8076</f>
        <v>191.944475649048</v>
      </c>
      <c r="H8168" s="6" t="n">
        <f aca="false">Sens!H8076</f>
        <v>196.806004064512</v>
      </c>
      <c r="I8168" s="6" t="n">
        <f aca="false">Sens!I8076</f>
        <v>168.61483362161</v>
      </c>
      <c r="J8168" s="6" t="n">
        <f aca="false">Sens!J8076</f>
        <v>128.92993119594</v>
      </c>
      <c r="K8168" s="6" t="n">
        <f aca="false">Sens!K8076</f>
        <v>118.962853064733</v>
      </c>
    </row>
    <row r="8169" customFormat="false" ht="17.15" hidden="false" customHeight="false" outlineLevel="0" collapsed="false">
      <c r="A8169" s="1" t="s">
        <v>1109</v>
      </c>
      <c r="B8169" s="0" t="s">
        <v>98</v>
      </c>
      <c r="E8169" s="6" t="n">
        <f aca="false">Sens!E8084*cx_azo+Sens!E8091*cx_m365+Sens!E8092*cx_lic+(Sens!E8094+Sens!E8096)*cx_ind+Sens!E8099*cx_srch+(Sens!E8101+Sens!E8103)*cx_dev</f>
        <v>30.1846587067718</v>
      </c>
      <c r="F8169" s="6" t="n">
        <f aca="false">Sens!F8084*cx_azo+Sens!F8091*cx_m365+Sens!F8092*cx_lic+(Sens!F8094+Sens!F8096)*cx_ind+Sens!F8099*cx_srch+(Sens!F8101+Sens!F8103)*cx_dev</f>
        <v>35.4894510094372</v>
      </c>
      <c r="G8169" s="6" t="n">
        <f aca="false">Sens!G8084*cx_azo+Sens!G8091*cx_m365+Sens!G8092*cx_lic+(Sens!G8094+Sens!G8096)*cx_ind+Sens!G8099*cx_srch+(Sens!G8101+Sens!G8103)*cx_dev</f>
        <v>40.9448054474251</v>
      </c>
      <c r="H8169" s="6" t="n">
        <f aca="false">Sens!H8084*cx_azo+Sens!H8091*cx_m365+Sens!H8092*cx_lic+(Sens!H8094+Sens!H8096)*cx_ind+Sens!H8099*cx_srch+(Sens!H8101+Sens!H8103)*cx_dev</f>
        <v>46.4860268970825</v>
      </c>
      <c r="I8169" s="6" t="n">
        <f aca="false">Sens!I8084*cx_azo+Sens!I8091*cx_m365+Sens!I8092*cx_lic+(Sens!I8094+Sens!I8096)*cx_ind+Sens!I8099*cx_srch+(Sens!I8101+Sens!I8103)*cx_dev</f>
        <v>51.7958284655313</v>
      </c>
      <c r="J8169" s="6" t="n">
        <f aca="false">Sens!J8084*cx_azo+Sens!J8091*cx_m365+Sens!J8092*cx_lic+(Sens!J8094+Sens!J8096)*cx_ind+Sens!J8099*cx_srch+(Sens!J8101+Sens!J8103)*cx_dev</f>
        <v>56.6387623423974</v>
      </c>
      <c r="K8169" s="6" t="n">
        <f aca="false">Sens!K8084*cx_azo+Sens!K8091*cx_m365+Sens!K8092*cx_lic+(Sens!K8094+Sens!K8096)*cx_ind+Sens!K8099*cx_srch+(Sens!K8101+Sens!K8103)*cx_dev</f>
        <v>60.879577939955</v>
      </c>
    </row>
    <row r="8170" customFormat="false" ht="17.15" hidden="false" customHeight="false" outlineLevel="0" collapsed="false">
      <c r="A8170" s="0" t="s">
        <v>1110</v>
      </c>
      <c r="B8170" s="0" t="s">
        <v>98</v>
      </c>
      <c r="F8170" s="6" t="n">
        <f aca="false">Sens!F8074</f>
        <v>0.256644948443217</v>
      </c>
      <c r="L8170" s="1" t="s">
        <v>1111</v>
      </c>
    </row>
    <row r="8171" customFormat="false" ht="17.15" hidden="false" customHeight="false" outlineLevel="0" collapsed="false">
      <c r="A8171" s="1" t="s">
        <v>1112</v>
      </c>
      <c r="B8171" s="0" t="s">
        <v>98</v>
      </c>
      <c r="E8171" s="6" t="n">
        <f aca="false">Q!M43</f>
        <v>145.3</v>
      </c>
      <c r="F8171" s="6" t="n">
        <f aca="false">Sens!F8168+Sens!F8169+Sens!F8170</f>
        <v>204.2</v>
      </c>
      <c r="G8171" s="6" t="n">
        <f aca="false">Sens!G8168+Sens!G8169</f>
        <v>232.889281096473</v>
      </c>
      <c r="H8171" s="6" t="n">
        <f aca="false">Sens!H8168+Sens!H8169</f>
        <v>243.292030961595</v>
      </c>
      <c r="I8171" s="6" t="n">
        <f aca="false">Sens!I8168+Sens!I8169</f>
        <v>220.410662087142</v>
      </c>
      <c r="J8171" s="6" t="n">
        <f aca="false">Sens!J8168+Sens!J8169</f>
        <v>185.568693538338</v>
      </c>
      <c r="K8171" s="6" t="n">
        <f aca="false">Sens!K8168+Sens!K8169</f>
        <v>179.842431004688</v>
      </c>
      <c r="L8171" s="1" t="s">
        <v>1113</v>
      </c>
    </row>
    <row r="8172" customFormat="false" ht="15" hidden="false" customHeight="false" outlineLevel="0" collapsed="false">
      <c r="A8172" s="1" t="s">
        <v>1114</v>
      </c>
      <c r="B8172" s="0" t="s">
        <v>98</v>
      </c>
      <c r="E8172" s="6" t="n">
        <f aca="false">fl_liab</f>
        <v>66.594</v>
      </c>
      <c r="F8172" s="6" t="n">
        <f aca="false">Sens!E8172-Sens!F8173</f>
        <v>62.46973</v>
      </c>
      <c r="G8172" s="6" t="n">
        <f aca="false">Sens!F8172-Sens!G8173</f>
        <v>57.98686785</v>
      </c>
      <c r="H8172" s="6" t="n">
        <f aca="false">Sens!G8172-Sens!H8173</f>
        <v>53.92827690325</v>
      </c>
      <c r="I8172" s="6" t="n">
        <f aca="false">Sens!H8172-Sens!I8173</f>
        <v>49.7850493638962</v>
      </c>
      <c r="J8172" s="6" t="n">
        <f aca="false">Sens!I8172-Sens!J8173</f>
        <v>45.4823765852716</v>
      </c>
      <c r="K8172" s="6" t="n">
        <f aca="false">Sens!J8172-Sens!K8173</f>
        <v>40.9860835316088</v>
      </c>
    </row>
    <row r="8173" customFormat="false" ht="15" hidden="false" customHeight="false" outlineLevel="0" collapsed="false">
      <c r="A8173" s="1" t="s">
        <v>1115</v>
      </c>
      <c r="B8173" s="0" t="s">
        <v>98</v>
      </c>
      <c r="F8173" s="6" t="n">
        <f aca="false">fl_pay_27-Sens!E8172*fl_rate</f>
        <v>4.12427</v>
      </c>
      <c r="G8173" s="6" t="n">
        <f aca="false">fl_pay_28-Sens!F8172*fl_rate</f>
        <v>4.48286215</v>
      </c>
      <c r="H8173" s="6" t="n">
        <f aca="false">fl_pay_29-Sens!G8172*fl_rate</f>
        <v>4.05859094675</v>
      </c>
      <c r="I8173" s="6" t="n">
        <f aca="false">fl_pay_30-Sens!H8172*fl_rate</f>
        <v>4.14322753935375</v>
      </c>
      <c r="J8173" s="6" t="n">
        <f aca="false">fl_pay_31-Sens!I8172*fl_rate</f>
        <v>4.30267277862467</v>
      </c>
      <c r="K8173" s="6" t="n">
        <f aca="false">fl_pay_32-Sens!J8172*fl_rate</f>
        <v>4.49629305366278</v>
      </c>
    </row>
    <row r="8174" customFormat="false" ht="17.15" hidden="false" customHeight="false" outlineLevel="0" collapsed="false">
      <c r="A8174" s="1" t="s">
        <v>1116</v>
      </c>
      <c r="B8174" s="0" t="s">
        <v>98</v>
      </c>
      <c r="E8174" s="6" t="n">
        <f aca="false">Q!M35-Q!M36-Q!M44</f>
        <v>63.886</v>
      </c>
      <c r="F8174" s="6" t="n">
        <f aca="false">Sens!F8167-Sens!F8171-Sens!F8173</f>
        <v>10.03526839161</v>
      </c>
      <c r="G8174" s="6" t="n">
        <f aca="false">Sens!G8167-Sens!G8171-Sens!G8173</f>
        <v>21.219180177082</v>
      </c>
      <c r="H8174" s="6" t="n">
        <f aca="false">Sens!H8167-Sens!H8171-Sens!H8173</f>
        <v>59.8359355639785</v>
      </c>
      <c r="I8174" s="6" t="n">
        <f aca="false">Sens!I8167-Sens!I8171-Sens!I8173</f>
        <v>127.584096973068</v>
      </c>
      <c r="J8174" s="6" t="n">
        <f aca="false">Sens!J8167-Sens!J8171-Sens!J8173</f>
        <v>198.91977215719</v>
      </c>
      <c r="K8174" s="6" t="n">
        <f aca="false">Sens!K8167-Sens!K8171-Sens!K8173</f>
        <v>233.621234752369</v>
      </c>
      <c r="L8174" s="12" t="s">
        <v>1117</v>
      </c>
    </row>
    <row r="8175" customFormat="false" ht="15" hidden="false" customHeight="false" outlineLevel="0" collapsed="false">
      <c r="A8175" s="1" t="s">
        <v>1118</v>
      </c>
      <c r="B8175" s="0" t="s">
        <v>75</v>
      </c>
      <c r="F8175" s="8" t="n">
        <f aca="false">dps_27</f>
        <v>3.85</v>
      </c>
      <c r="G8175" s="8" t="n">
        <f aca="false">Sens!F8175*(1+dps_g)</f>
        <v>4.158</v>
      </c>
      <c r="H8175" s="8" t="n">
        <f aca="false">Sens!G8175*(1+dps_g)</f>
        <v>4.49064</v>
      </c>
      <c r="I8175" s="8" t="n">
        <f aca="false">Sens!H8175*(1+dps_g)</f>
        <v>4.8498912</v>
      </c>
      <c r="J8175" s="8" t="n">
        <f aca="false">Sens!I8175*(1+dps_g)</f>
        <v>5.237882496</v>
      </c>
      <c r="K8175" s="8" t="n">
        <f aca="false">Sens!J8175*(1+dps_g)</f>
        <v>5.65691309568</v>
      </c>
    </row>
    <row r="8176" customFormat="false" ht="17.15" hidden="false" customHeight="false" outlineLevel="0" collapsed="false">
      <c r="A8176" s="1" t="s">
        <v>1119</v>
      </c>
      <c r="B8176" s="0" t="s">
        <v>98</v>
      </c>
      <c r="E8176" s="6" t="n">
        <f aca="false">Q!M41</f>
        <v>26.445</v>
      </c>
      <c r="F8176" s="6" t="n">
        <f aca="false">Sens!F8175*Sens!E8185</f>
        <v>28.59395</v>
      </c>
      <c r="G8176" s="6" t="n">
        <f aca="false">Sens!G8175*Sens!F8185</f>
        <v>31.068576</v>
      </c>
      <c r="H8176" s="6" t="n">
        <f aca="false">Sens!H8175*Sens!G8185</f>
        <v>33.75614088</v>
      </c>
      <c r="I8176" s="6" t="n">
        <f aca="false">Sens!I8175*Sens!H8185</f>
        <v>36.5070704274727</v>
      </c>
      <c r="J8176" s="6" t="n">
        <f aca="false">Sens!J8175*Sens!I8185</f>
        <v>39.4955339470631</v>
      </c>
      <c r="K8176" s="6" t="n">
        <f aca="false">Sens!K8175*Sens!J8185</f>
        <v>42.7419309252064</v>
      </c>
      <c r="L8176" s="1" t="s">
        <v>1120</v>
      </c>
    </row>
    <row r="8177" customFormat="false" ht="15" hidden="false" customHeight="false" outlineLevel="0" collapsed="false">
      <c r="A8177" s="1" t="s">
        <v>1121</v>
      </c>
      <c r="B8177" s="0" t="s">
        <v>98</v>
      </c>
      <c r="E8177" s="6" t="n">
        <f aca="false">Sens!E8174-Sens!E8176</f>
        <v>37.441</v>
      </c>
      <c r="F8177" s="6" t="n">
        <f aca="false">Sens!F8174-Sens!F8176</f>
        <v>-18.55868160839</v>
      </c>
      <c r="G8177" s="6" t="n">
        <f aca="false">Sens!G8174-Sens!G8176</f>
        <v>-9.84939582291799</v>
      </c>
      <c r="H8177" s="6" t="n">
        <f aca="false">Sens!H8174-Sens!H8176</f>
        <v>26.0797946839785</v>
      </c>
      <c r="I8177" s="6" t="n">
        <f aca="false">Sens!I8174-Sens!I8176</f>
        <v>91.0770265455958</v>
      </c>
      <c r="J8177" s="6" t="n">
        <f aca="false">Sens!J8174-Sens!J8176</f>
        <v>159.424238210127</v>
      </c>
      <c r="K8177" s="6" t="n">
        <f aca="false">Sens!K8174-Sens!K8176</f>
        <v>190.879303827163</v>
      </c>
    </row>
    <row r="8178" customFormat="false" ht="15" hidden="false" customHeight="false" outlineLevel="0" collapsed="false">
      <c r="A8178" s="1" t="s">
        <v>1122</v>
      </c>
      <c r="B8178" s="0" t="s">
        <v>98</v>
      </c>
      <c r="F8178" s="6" t="n">
        <f aca="false">debt_mat_27</f>
        <v>9.25</v>
      </c>
      <c r="G8178" s="6" t="n">
        <f aca="false">debt_mat_28</f>
        <v>0</v>
      </c>
      <c r="H8178" s="6" t="n">
        <f aca="false">debt_mat_29</f>
        <v>2.001</v>
      </c>
      <c r="I8178" s="6" t="n">
        <f aca="false">debt_mat_30</f>
        <v>0</v>
      </c>
      <c r="J8178" s="6" t="n">
        <f aca="false">debt_mat_31</f>
        <v>0.5</v>
      </c>
      <c r="K8178" s="6" t="n">
        <f aca="false">debt_mat_32</f>
        <v>0</v>
      </c>
    </row>
    <row r="8179" customFormat="false" ht="15" hidden="false" customHeight="false" outlineLevel="0" collapsed="false">
      <c r="A8179" s="1" t="s">
        <v>1123</v>
      </c>
      <c r="B8179" s="0" t="s">
        <v>98</v>
      </c>
      <c r="E8179" s="6" t="n">
        <f aca="false">Q!M40</f>
        <v>22.271</v>
      </c>
      <c r="F8179" s="6" t="n">
        <f aca="false">MAX(0,MIN(bb_target,Sens!E8181+Sens!F8177-Sens!F8178-min_cash))</f>
        <v>0</v>
      </c>
      <c r="G8179" s="6" t="n">
        <f aca="false">MAX(0,MIN(bb_target,Sens!F8181+Sens!G8177-Sens!G8178-min_cash))</f>
        <v>0</v>
      </c>
      <c r="H8179" s="6" t="n">
        <f aca="false">MAX(0,MIN(bb_target,Sens!G8181+Sens!H8177-Sens!H8178-min_cash))</f>
        <v>22.271</v>
      </c>
      <c r="I8179" s="6" t="n">
        <f aca="false">MAX(0,MIN(bb_target,Sens!H8181+Sens!I8177-Sens!I8178-min_cash))</f>
        <v>22.271</v>
      </c>
      <c r="J8179" s="6" t="n">
        <f aca="false">MAX(0,MIN(bb_target,Sens!I8181+Sens!J8177-Sens!J8178-min_cash))</f>
        <v>22.271</v>
      </c>
      <c r="K8179" s="6" t="n">
        <f aca="false">MAX(0,MIN(bb_target,Sens!J8181+Sens!K8177-Sens!K8178-min_cash))</f>
        <v>22.271</v>
      </c>
    </row>
    <row r="8180" customFormat="false" ht="15" hidden="false" customHeight="false" outlineLevel="0" collapsed="false">
      <c r="A8180" s="1" t="s">
        <v>1124</v>
      </c>
      <c r="B8180" s="0" t="s">
        <v>98</v>
      </c>
      <c r="F8180" s="6" t="n">
        <f aca="false">MAX(0,min_cash-(Sens!E8181+Sens!F8177-Sens!F8178-Sens!F8179))</f>
        <v>0.96568160839</v>
      </c>
      <c r="G8180" s="6" t="n">
        <f aca="false">MAX(0,min_cash-(Sens!F8181+Sens!G8177-Sens!G8178-Sens!G8179))</f>
        <v>9.84939582291798</v>
      </c>
      <c r="H8180" s="6" t="n">
        <f aca="false">MAX(0,min_cash-(Sens!G8181+Sens!H8177-Sens!H8178-Sens!H8179))</f>
        <v>0</v>
      </c>
      <c r="I8180" s="6" t="n">
        <f aca="false">MAX(0,min_cash-(Sens!H8181+Sens!I8177-Sens!I8178-Sens!I8179))</f>
        <v>0</v>
      </c>
      <c r="J8180" s="6" t="n">
        <f aca="false">MAX(0,min_cash-(Sens!I8181+Sens!J8177-Sens!J8178-Sens!J8179))</f>
        <v>0</v>
      </c>
      <c r="K8180" s="6" t="n">
        <f aca="false">MAX(0,min_cash-(Sens!J8181+Sens!K8177-Sens!K8178-Sens!K8179))</f>
        <v>0</v>
      </c>
    </row>
    <row r="8181" customFormat="false" ht="15" hidden="false" customHeight="false" outlineLevel="0" collapsed="false">
      <c r="A8181" s="1" t="s">
        <v>1125</v>
      </c>
      <c r="B8181" s="0" t="s">
        <v>98</v>
      </c>
      <c r="E8181" s="6" t="n">
        <f aca="false">cash_open</f>
        <v>76.843</v>
      </c>
      <c r="F8181" s="6" t="n">
        <f aca="false">Sens!E8181+Sens!F8177-Sens!F8178-Sens!F8179+Sens!F8180</f>
        <v>50</v>
      </c>
      <c r="G8181" s="6" t="n">
        <f aca="false">Sens!F8181+Sens!G8177-Sens!G8178-Sens!G8179+Sens!G8180</f>
        <v>50</v>
      </c>
      <c r="H8181" s="6" t="n">
        <f aca="false">Sens!G8181+Sens!H8177-Sens!H8178-Sens!H8179+Sens!H8180</f>
        <v>51.8077946839785</v>
      </c>
      <c r="I8181" s="6" t="n">
        <f aca="false">Sens!H8181+Sens!I8177-Sens!I8178-Sens!I8179+Sens!I8180</f>
        <v>120.613821229574</v>
      </c>
      <c r="J8181" s="6" t="n">
        <f aca="false">Sens!I8181+Sens!J8177-Sens!J8178-Sens!J8179+Sens!J8180</f>
        <v>257.267059439702</v>
      </c>
      <c r="K8181" s="6" t="n">
        <f aca="false">Sens!J8181+Sens!K8177-Sens!K8178-Sens!K8179+Sens!K8180</f>
        <v>425.875363266865</v>
      </c>
    </row>
    <row r="8182" customFormat="false" ht="15" hidden="false" customHeight="false" outlineLevel="0" collapsed="false">
      <c r="A8182" s="1" t="s">
        <v>1126</v>
      </c>
      <c r="B8182" s="0" t="s">
        <v>98</v>
      </c>
      <c r="E8182" s="6" t="n">
        <f aca="false">debt_face</f>
        <v>46.136</v>
      </c>
      <c r="F8182" s="6" t="n">
        <f aca="false">Sens!E8182-Sens!F8178+Sens!F8180</f>
        <v>37.85168160839</v>
      </c>
      <c r="G8182" s="6" t="n">
        <f aca="false">Sens!F8182-Sens!G8178+Sens!G8180</f>
        <v>47.701077431308</v>
      </c>
      <c r="H8182" s="6" t="n">
        <f aca="false">Sens!G8182-Sens!H8178+Sens!H8180</f>
        <v>45.700077431308</v>
      </c>
      <c r="I8182" s="6" t="n">
        <f aca="false">Sens!H8182-Sens!I8178+Sens!I8180</f>
        <v>45.700077431308</v>
      </c>
      <c r="J8182" s="6" t="n">
        <f aca="false">Sens!I8182-Sens!J8178+Sens!J8180</f>
        <v>45.200077431308</v>
      </c>
      <c r="K8182" s="6" t="n">
        <f aca="false">Sens!J8182-Sens!K8178+Sens!K8180</f>
        <v>45.200077431308</v>
      </c>
    </row>
    <row r="8183" customFormat="false" ht="15" hidden="false" customHeight="false" outlineLevel="0" collapsed="false">
      <c r="A8183" s="1" t="s">
        <v>1127</v>
      </c>
      <c r="B8183" s="0" t="s">
        <v>98</v>
      </c>
      <c r="E8183" s="6" t="n">
        <f aca="false">Sens!E8181-Sens!E8182</f>
        <v>30.707</v>
      </c>
      <c r="F8183" s="6" t="n">
        <f aca="false">Sens!F8181-Sens!F8182</f>
        <v>12.14831839161</v>
      </c>
      <c r="G8183" s="6" t="n">
        <f aca="false">Sens!G8181-Sens!G8182</f>
        <v>2.29892256869201</v>
      </c>
      <c r="H8183" s="6" t="n">
        <f aca="false">Sens!H8181-Sens!H8182</f>
        <v>6.1077172526705</v>
      </c>
      <c r="I8183" s="6" t="n">
        <f aca="false">Sens!I8181-Sens!I8182</f>
        <v>74.9137437982663</v>
      </c>
      <c r="J8183" s="6" t="n">
        <f aca="false">Sens!J8181-Sens!J8182</f>
        <v>212.066982008394</v>
      </c>
      <c r="K8183" s="6" t="n">
        <f aca="false">Sens!K8181-Sens!K8182</f>
        <v>380.675285835557</v>
      </c>
    </row>
    <row r="8184" customFormat="false" ht="15" hidden="false" customHeight="false" outlineLevel="0" collapsed="false">
      <c r="A8184" s="1" t="s">
        <v>1128</v>
      </c>
      <c r="B8184" s="0" t="s">
        <v>75</v>
      </c>
      <c r="F8184" s="30" t="n">
        <f aca="false">px*(1+bb_g)^(Sens!F8042-base_fy-mid_yr)</f>
        <v>551.84177959629</v>
      </c>
      <c r="G8184" s="30" t="n">
        <f aca="false">px*(1+bb_g)^(Sens!G8042-base_fy-mid_yr)</f>
        <v>595.989121963993</v>
      </c>
      <c r="H8184" s="30" t="n">
        <f aca="false">px*(1+bb_g)^(Sens!H8042-base_fy-mid_yr)</f>
        <v>643.668251721112</v>
      </c>
      <c r="I8184" s="30" t="n">
        <f aca="false">px*(1+bb_g)^(Sens!I8042-base_fy-mid_yr)</f>
        <v>695.161711858801</v>
      </c>
      <c r="J8184" s="30" t="n">
        <f aca="false">px*(1+bb_g)^(Sens!J8042-base_fy-mid_yr)</f>
        <v>750.774648807506</v>
      </c>
      <c r="K8184" s="30" t="n">
        <f aca="false">px*(1+bb_g)^(Sens!K8042-base_fy-mid_yr)</f>
        <v>810.836620712106</v>
      </c>
    </row>
    <row r="8185" customFormat="false" ht="15" hidden="false" customHeight="false" outlineLevel="0" collapsed="false">
      <c r="A8185" s="1" t="s">
        <v>1129</v>
      </c>
      <c r="B8185" s="1" t="s">
        <v>81</v>
      </c>
      <c r="E8185" s="15" t="n">
        <f aca="false">sh_out26</f>
        <v>7.427</v>
      </c>
      <c r="F8185" s="15" t="n">
        <f aca="false">Sens!E8185+sh_iss-Sens!F8179/Sens!F8184</f>
        <v>7.472</v>
      </c>
      <c r="G8185" s="15" t="n">
        <f aca="false">Sens!F8185+sh_iss-Sens!G8179/Sens!G8184</f>
        <v>7.517</v>
      </c>
      <c r="H8185" s="15" t="n">
        <f aca="false">Sens!G8185+sh_iss-Sens!H8179/Sens!H8184</f>
        <v>7.5273998780576</v>
      </c>
      <c r="I8185" s="15" t="n">
        <f aca="false">Sens!H8185+sh_iss-Sens!I8179/Sens!I8184</f>
        <v>7.54036272811094</v>
      </c>
      <c r="J8185" s="15" t="n">
        <f aca="false">Sens!I8185+sh_iss-Sens!J8179/Sens!J8184</f>
        <v>7.55569870038255</v>
      </c>
      <c r="K8185" s="15" t="n">
        <f aca="false">Sens!J8185+sh_iss-Sens!K8179/Sens!K8184</f>
        <v>7.57323200804144</v>
      </c>
    </row>
    <row r="8186" customFormat="false" ht="15" hidden="false" customHeight="false" outlineLevel="0" collapsed="false">
      <c r="A8186" s="1" t="s">
        <v>1130</v>
      </c>
      <c r="B8186" s="1" t="s">
        <v>81</v>
      </c>
      <c r="E8186" s="15" t="n">
        <f aca="false">sh_dil26</f>
        <v>7.453</v>
      </c>
      <c r="F8186" s="15" t="n">
        <f aca="false">(Sens!E8185+Sens!F8185)/2+dil_gap</f>
        <v>7.4735</v>
      </c>
      <c r="G8186" s="15" t="n">
        <f aca="false">(Sens!F8185+Sens!G8185)/2+dil_gap</f>
        <v>7.5185</v>
      </c>
      <c r="H8186" s="15" t="n">
        <f aca="false">(Sens!G8185+Sens!H8185)/2+dil_gap</f>
        <v>7.5461999390288</v>
      </c>
      <c r="I8186" s="15" t="n">
        <f aca="false">(Sens!H8185+Sens!I8185)/2+dil_gap</f>
        <v>7.55788130308427</v>
      </c>
      <c r="J8186" s="15" t="n">
        <f aca="false">(Sens!I8185+Sens!J8185)/2+dil_gap</f>
        <v>7.57203071424674</v>
      </c>
      <c r="K8186" s="15" t="n">
        <f aca="false">(Sens!J8185+Sens!K8185)/2+dil_gap</f>
        <v>7.58846535421199</v>
      </c>
    </row>
    <row r="8187" customFormat="false" ht="17.15" hidden="false" customHeight="false" outlineLevel="0" collapsed="false">
      <c r="A8187" s="1" t="s">
        <v>1131</v>
      </c>
      <c r="B8187" s="0" t="s">
        <v>98</v>
      </c>
      <c r="C8187" s="6" t="n">
        <f aca="false">SUM(Sens!F8177:J8177)</f>
        <v>248.172982008394</v>
      </c>
    </row>
    <row r="8188" customFormat="false" ht="15" hidden="false" customHeight="false" outlineLevel="0" collapsed="false">
      <c r="A8188" s="26" t="s">
        <v>1096</v>
      </c>
      <c r="B8188" s="31" t="s">
        <v>98</v>
      </c>
      <c r="C8188" s="27" t="n">
        <f aca="false">Sens!$C$8187-(Sens!F8177+Sens!G8177+Sens!H8177+Sens!I8177+Sens!J8177)</f>
        <v>0</v>
      </c>
      <c r="D8188" s="31"/>
      <c r="E8188" s="31"/>
      <c r="F8188" s="31"/>
      <c r="G8188" s="31"/>
      <c r="H8188" s="31"/>
      <c r="I8188" s="31"/>
      <c r="J8188" s="31"/>
      <c r="K8188" s="31"/>
    </row>
    <row r="8189" customFormat="false" ht="17.15" hidden="false" customHeight="false" outlineLevel="0" collapsed="false">
      <c r="A8189" s="1" t="s">
        <v>1090</v>
      </c>
      <c r="B8189" s="1" t="s">
        <v>1132</v>
      </c>
      <c r="C8189" s="33" t="str">
        <f aca="false">IF(SUM(Sens!F8180:J8180)&gt;0.05,"需要舉債 "&amp;TEXT(SUM(Sens!F8180:J8180),"0.0")&amp;" 十億美元","不需舉債")&amp;"；"&amp;IF(SUM(Sens!F8179:J8179)&lt;COUNT(Sens!F8179:J8179)*bb_target-0.05,"回購較每年 "&amp;TEXT(bb_target,"0.0")&amp;" 的目標少 "&amp;TEXT(COUNT(Sens!F8179:J8179)*bb_target-SUM(Sens!F8179:J8179),"0.0")&amp;" 十億美元（"&amp;TEXT(COUNTIF(Sens!F8179:J8179,"&lt;"&amp;(bb_target-0.05)),"0")&amp;" 年減少）","回購不減")</f>
        <v>需要舉債 10.8 十億美元；回購較每年 22.3 的目標少 44.5 十億美元（2 年減少）</v>
      </c>
    </row>
    <row r="8190" customFormat="false" ht="17.15" hidden="false" customHeight="false" outlineLevel="0" collapsed="false">
      <c r="A8190" s="3" t="s">
        <v>1684</v>
      </c>
    </row>
    <row r="8191" customFormat="false" ht="15" hidden="false" customHeight="false" outlineLevel="0" collapsed="false">
      <c r="A8191" s="4" t="s">
        <v>43</v>
      </c>
      <c r="B8191" s="4" t="s">
        <v>65</v>
      </c>
      <c r="C8191" s="23" t="s">
        <v>938</v>
      </c>
      <c r="D8191" s="23" t="s">
        <v>939</v>
      </c>
      <c r="E8191" s="23" t="s">
        <v>940</v>
      </c>
      <c r="F8191" s="23" t="s">
        <v>941</v>
      </c>
      <c r="G8191" s="23" t="s">
        <v>942</v>
      </c>
      <c r="H8191" s="23" t="s">
        <v>943</v>
      </c>
      <c r="I8191" s="23" t="s">
        <v>944</v>
      </c>
      <c r="J8191" s="23" t="s">
        <v>945</v>
      </c>
      <c r="K8191" s="23" t="s">
        <v>946</v>
      </c>
      <c r="L8191" s="4" t="s">
        <v>47</v>
      </c>
    </row>
    <row r="8192" customFormat="false" ht="17.15" hidden="false" customHeight="false" outlineLevel="0" collapsed="false">
      <c r="A8192" s="1" t="s">
        <v>1212</v>
      </c>
      <c r="B8192" s="1" t="s">
        <v>279</v>
      </c>
      <c r="F8192" s="8" t="n">
        <f aca="false">(1-v_off)*mid_yr</f>
        <v>0.373972602739726</v>
      </c>
      <c r="G8192" s="8" t="n">
        <f aca="false">Sens!G8042-base_fy-mid_yr-v_off</f>
        <v>1.24794520547945</v>
      </c>
      <c r="H8192" s="8" t="n">
        <f aca="false">Sens!H8042-base_fy-mid_yr-v_off</f>
        <v>2.24794520547945</v>
      </c>
      <c r="I8192" s="8" t="n">
        <f aca="false">Sens!I8042-base_fy-mid_yr-v_off</f>
        <v>3.24794520547945</v>
      </c>
      <c r="J8192" s="8" t="n">
        <f aca="false">Sens!J8042-base_fy-mid_yr-v_off</f>
        <v>4.24794520547945</v>
      </c>
      <c r="K8192" s="8" t="n">
        <f aca="false">Sens!K8042-base_fy-mid_yr-v_off</f>
        <v>5.24794520547945</v>
      </c>
      <c r="L8192" s="12" t="s">
        <v>1213</v>
      </c>
    </row>
    <row r="8193" customFormat="false" ht="15" hidden="false" customHeight="false" outlineLevel="0" collapsed="false">
      <c r="A8193" s="1" t="s">
        <v>1214</v>
      </c>
      <c r="B8193" s="1" t="s">
        <v>279</v>
      </c>
      <c r="F8193" s="8" t="n">
        <f aca="false">Sens!F8042-base_fy-v_off</f>
        <v>0.747945205479452</v>
      </c>
      <c r="G8193" s="8" t="n">
        <f aca="false">Sens!G8042-base_fy-v_off</f>
        <v>1.74794520547945</v>
      </c>
      <c r="H8193" s="8" t="n">
        <f aca="false">Sens!H8042-base_fy-v_off</f>
        <v>2.74794520547945</v>
      </c>
      <c r="I8193" s="8" t="n">
        <f aca="false">Sens!I8042-base_fy-v_off</f>
        <v>3.74794520547945</v>
      </c>
      <c r="J8193" s="8" t="n">
        <f aca="false">Sens!J8042-base_fy-v_off</f>
        <v>4.74794520547945</v>
      </c>
      <c r="K8193" s="8" t="n">
        <f aca="false">Sens!K8042-base_fy-v_off</f>
        <v>5.74794520547945</v>
      </c>
    </row>
    <row r="8194" customFormat="false" ht="15" hidden="false" customHeight="false" outlineLevel="0" collapsed="false">
      <c r="A8194" s="1" t="s">
        <v>1215</v>
      </c>
      <c r="B8194" s="0" t="s">
        <v>229</v>
      </c>
      <c r="F8194" s="15" t="n">
        <f aca="false">1/(1+wacc)^Sens!F8192</f>
        <v>0.964022703286649</v>
      </c>
      <c r="G8194" s="15" t="n">
        <f aca="false">1/(1+wacc)^Sens!G8192</f>
        <v>0.884910302296739</v>
      </c>
      <c r="H8194" s="15" t="n">
        <f aca="false">1/(1+wacc)^Sens!H8192</f>
        <v>0.802322009770358</v>
      </c>
      <c r="I8194" s="15" t="n">
        <f aca="false">1/(1+wacc)^Sens!I8192</f>
        <v>0.727441646561469</v>
      </c>
      <c r="J8194" s="15" t="n">
        <f aca="false">1/(1+wacc)^Sens!J8192</f>
        <v>0.659549834988973</v>
      </c>
      <c r="K8194" s="15" t="n">
        <f aca="false">1/(1+wacc)^Sens!K8192</f>
        <v>0.597994336576966</v>
      </c>
    </row>
    <row r="8195" customFormat="false" ht="17.15" hidden="false" customHeight="false" outlineLevel="0" collapsed="false">
      <c r="A8195" s="1" t="s">
        <v>1216</v>
      </c>
      <c r="B8195" s="0" t="s">
        <v>98</v>
      </c>
      <c r="F8195" s="6" t="n">
        <f aca="false">Q!$I$35-Q!$I$39-Q!$I$43</f>
        <v>9.666</v>
      </c>
      <c r="L8195" s="12" t="s">
        <v>1217</v>
      </c>
    </row>
    <row r="8196" customFormat="false" ht="17.15" hidden="false" customHeight="false" outlineLevel="0" collapsed="false">
      <c r="A8196" s="1" t="s">
        <v>1218</v>
      </c>
      <c r="B8196" s="0" t="s">
        <v>98</v>
      </c>
      <c r="F8196" s="6" t="n">
        <f aca="false">Sens!F8167-Sens!F8164-Sens!F8171+Sens!F8149*(1-tax_f)*(1-v_off)-Sens!F8195</f>
        <v>-3.35228078117131</v>
      </c>
      <c r="G8196" s="6" t="n">
        <f aca="false">Sens!G8167-Sens!G8164-Sens!G8171+Sens!G8149*(1-tax_f)</f>
        <v>30.5677921495386</v>
      </c>
      <c r="H8196" s="6" t="n">
        <f aca="false">Sens!H8167-Sens!H8164-Sens!H8171+Sens!H8149*(1-tax_f)</f>
        <v>80.2314770891191</v>
      </c>
      <c r="I8196" s="6" t="n">
        <f aca="false">Sens!I8167-Sens!I8164-Sens!I8171+Sens!I8149*(1-tax_f)</f>
        <v>158.299557808445</v>
      </c>
      <c r="J8196" s="6" t="n">
        <f aca="false">Sens!J8167-Sens!J8164-Sens!J8171+Sens!J8149*(1-tax_f)</f>
        <v>236.600813027956</v>
      </c>
      <c r="K8196" s="6" t="n">
        <f aca="false">Sens!K8167-Sens!K8164-Sens!K8171+Sens!K8149*(1-tax_f)</f>
        <v>274.819643930895</v>
      </c>
      <c r="L8196" s="1" t="s">
        <v>1219</v>
      </c>
    </row>
    <row r="8197" customFormat="false" ht="15" hidden="false" customHeight="false" outlineLevel="0" collapsed="false">
      <c r="A8197" s="1" t="s">
        <v>1220</v>
      </c>
      <c r="B8197" s="0" t="s">
        <v>98</v>
      </c>
      <c r="F8197" s="6" t="n">
        <f aca="false">Sens!F8196*Sens!F8194</f>
        <v>-3.23167478084064</v>
      </c>
      <c r="G8197" s="6" t="n">
        <f aca="false">Sens!G8196*Sens!G8194</f>
        <v>27.0497541915921</v>
      </c>
      <c r="H8197" s="6" t="n">
        <f aca="false">Sens!H8196*Sens!H8194</f>
        <v>64.3714799449865</v>
      </c>
      <c r="I8197" s="6" t="n">
        <f aca="false">Sens!I8196*Sens!I8194</f>
        <v>115.153690982127</v>
      </c>
      <c r="J8197" s="6" t="n">
        <f aca="false">Sens!J8196*Sens!J8194</f>
        <v>156.050027190845</v>
      </c>
      <c r="K8197" s="6" t="n">
        <f aca="false">Sens!K8196*Sens!K8194</f>
        <v>164.340590650774</v>
      </c>
    </row>
    <row r="8198" customFormat="false" ht="17.15" hidden="false" customHeight="false" outlineLevel="0" collapsed="false">
      <c r="A8198" s="1" t="s">
        <v>1221</v>
      </c>
      <c r="B8198" s="0" t="s">
        <v>98</v>
      </c>
      <c r="C8198" s="6" t="n">
        <f aca="false">SUM(Sens!F8197:K8197)</f>
        <v>523.733868179484</v>
      </c>
    </row>
    <row r="8199" customFormat="false" ht="17.15" hidden="false" customHeight="false" outlineLevel="0" collapsed="false">
      <c r="A8199" s="1" t="s">
        <v>1222</v>
      </c>
      <c r="B8199" s="0" t="s">
        <v>98</v>
      </c>
      <c r="C8199" s="6" t="n">
        <f aca="false">Sens!K8135*(1+g_tv)*(1-tax_f)</f>
        <v>285.546198952724</v>
      </c>
    </row>
    <row r="8200" customFormat="false" ht="17.15" hidden="false" customHeight="false" outlineLevel="0" collapsed="false">
      <c r="A8200" s="1" t="s">
        <v>1223</v>
      </c>
      <c r="B8200" s="0" t="s">
        <v>98</v>
      </c>
      <c r="C8200" s="6" t="n">
        <f aca="false">Sens!$C$8199*(1-g_tv/(wacc+ronic_prem))</f>
        <v>202.326171070616</v>
      </c>
    </row>
    <row r="8201" customFormat="false" ht="17.15" hidden="false" customHeight="false" outlineLevel="0" collapsed="false">
      <c r="A8201" s="1" t="s">
        <v>1224</v>
      </c>
      <c r="B8201" s="0" t="s">
        <v>98</v>
      </c>
      <c r="C8201" s="6" t="n">
        <f aca="false">Sens!$C$8200/(wacc-g_tv)</f>
        <v>2774.00092940359</v>
      </c>
    </row>
    <row r="8202" customFormat="false" ht="15" hidden="false" customHeight="false" outlineLevel="0" collapsed="false">
      <c r="A8202" s="1" t="s">
        <v>1225</v>
      </c>
      <c r="B8202" s="0" t="s">
        <v>98</v>
      </c>
      <c r="C8202" s="6" t="n">
        <f aca="false">Sens!$C$8201/(1+wacc)^Sens!K8193</f>
        <v>1579.53189767011</v>
      </c>
    </row>
    <row r="8203" customFormat="false" ht="17.15" hidden="false" customHeight="false" outlineLevel="0" collapsed="false">
      <c r="A8203" s="0" t="s">
        <v>1226</v>
      </c>
      <c r="B8203" s="0" t="s">
        <v>98</v>
      </c>
      <c r="C8203" s="6" t="n">
        <f aca="false">Sens!$C$8198+Sens!$C$8202</f>
        <v>2103.26576584959</v>
      </c>
    </row>
    <row r="8204" customFormat="false" ht="15" hidden="false" customHeight="false" outlineLevel="0" collapsed="false">
      <c r="A8204" s="1" t="s">
        <v>1141</v>
      </c>
      <c r="B8204" s="0" t="s">
        <v>168</v>
      </c>
      <c r="C8204" s="7" t="n">
        <f aca="false">Sens!$C$8202/Sens!$C$8203</f>
        <v>0.750990161736442</v>
      </c>
    </row>
    <row r="8205" customFormat="false" ht="17.15" hidden="false" customHeight="false" outlineLevel="0" collapsed="false">
      <c r="A8205" s="1" t="s">
        <v>1227</v>
      </c>
      <c r="B8205" s="0" t="s">
        <v>98</v>
      </c>
      <c r="C8205" s="6" t="n">
        <f aca="false">Sens!$C$8203+cash_val-debt_val-fl_val+oai_v</f>
        <v>2219.11676584959</v>
      </c>
    </row>
    <row r="8206" customFormat="false" ht="17.15" hidden="false" customHeight="false" outlineLevel="0" collapsed="false">
      <c r="A8206" s="0" t="s">
        <v>1149</v>
      </c>
      <c r="B8206" s="0" t="s">
        <v>75</v>
      </c>
      <c r="C8206" s="5" t="n">
        <f aca="false">Sens!$C$8205/shd_val</f>
        <v>298.028037315282</v>
      </c>
    </row>
    <row r="8207" customFormat="false" ht="15" hidden="false" customHeight="false" outlineLevel="0" collapsed="false">
      <c r="A8207" s="1" t="s">
        <v>1228</v>
      </c>
      <c r="B8207" s="0" t="s">
        <v>75</v>
      </c>
      <c r="C8207" s="8" t="n">
        <f aca="false">div_rem27+Sens!G8175*roll_div_q/q_per_yr</f>
        <v>3.9795</v>
      </c>
    </row>
    <row r="8208" customFormat="false" ht="17.15" hidden="false" customHeight="false" outlineLevel="0" collapsed="false">
      <c r="A8208" s="0" t="s">
        <v>1229</v>
      </c>
      <c r="B8208" s="0" t="s">
        <v>75</v>
      </c>
      <c r="C8208" s="5" t="n">
        <f aca="false">Sens!$C$8206*(1+wacc)^t_roll-Sens!$C$8207</f>
        <v>327.295296642378</v>
      </c>
    </row>
    <row r="8209" customFormat="false" ht="17.15" hidden="false" customHeight="false" outlineLevel="0" collapsed="false">
      <c r="A8209" s="1" t="s">
        <v>1230</v>
      </c>
      <c r="B8209" s="0" t="s">
        <v>168</v>
      </c>
      <c r="F8209" s="7" t="n">
        <f aca="false">Sens!F8161/(Sens!F8106-Sens!F8061)</f>
        <v>0.0691358655865868</v>
      </c>
      <c r="G8209" s="7" t="n">
        <f aca="false">Sens!G8161/(Sens!G8106-Sens!G8061)</f>
        <v>0.0664423434251688</v>
      </c>
      <c r="H8209" s="7" t="n">
        <f aca="false">Sens!H8161/(Sens!H8106-Sens!H8061)</f>
        <v>0.0650417260337919</v>
      </c>
      <c r="I8209" s="7" t="n">
        <f aca="false">Sens!I8161/(Sens!I8106-Sens!I8061)</f>
        <v>0.064795080892339</v>
      </c>
      <c r="J8209" s="7" t="n">
        <f aca="false">Sens!J8161/(Sens!J8106-Sens!J8061)</f>
        <v>0.0654527191453395</v>
      </c>
      <c r="K8209" s="7" t="n">
        <f aca="false">Sens!K8161/(Sens!K8106-Sens!K8061)</f>
        <v>0.066724552433022</v>
      </c>
    </row>
    <row r="8210" customFormat="false" ht="17.15" hidden="false" customHeight="false" outlineLevel="0" collapsed="false">
      <c r="A8210" s="0" t="s">
        <v>1231</v>
      </c>
      <c r="B8210" s="0" t="s">
        <v>98</v>
      </c>
      <c r="F8210" s="6" t="n">
        <f aca="false">Sens!F8091*(al_m365+Sens!F8209+sbc_r)</f>
        <v>81.9686802541651</v>
      </c>
      <c r="G8210" s="6" t="n">
        <f aca="false">Sens!G8091*(al_m365+Sens!G8209+sbc_r)</f>
        <v>93.2882686998906</v>
      </c>
      <c r="H8210" s="6" t="n">
        <f aca="false">Sens!H8091*(al_m365+Sens!H8209+sbc_r)</f>
        <v>104.769005357483</v>
      </c>
      <c r="I8210" s="6" t="n">
        <f aca="false">Sens!I8091*(al_m365+Sens!I8209+sbc_r)</f>
        <v>115.511637318792</v>
      </c>
      <c r="J8210" s="6" t="n">
        <f aca="false">Sens!J8091*(al_m365+Sens!J8209+sbc_r)</f>
        <v>125.32691954569</v>
      </c>
      <c r="K8210" s="6" t="n">
        <f aca="false">Sens!K8091*(al_m365+Sens!K8209+sbc_r)</f>
        <v>134.745498509869</v>
      </c>
      <c r="L8210" s="12" t="s">
        <v>1232</v>
      </c>
    </row>
    <row r="8211" customFormat="false" ht="17.15" hidden="false" customHeight="false" outlineLevel="0" collapsed="false">
      <c r="A8211" s="0" t="s">
        <v>1233</v>
      </c>
      <c r="B8211" s="0" t="s">
        <v>98</v>
      </c>
      <c r="F8211" s="6" t="n">
        <f aca="false">Sens!F8092*(al_lic+Sens!F8209+sbc_r)</f>
        <v>32.8775839180199</v>
      </c>
      <c r="G8211" s="6" t="n">
        <f aca="false">Sens!G8092*(al_lic+Sens!G8209+sbc_r)</f>
        <v>34.1619925087753</v>
      </c>
      <c r="H8211" s="6" t="n">
        <f aca="false">Sens!H8092*(al_lic+Sens!H8209+sbc_r)</f>
        <v>35.3596270248755</v>
      </c>
      <c r="I8211" s="6" t="n">
        <f aca="false">Sens!I8092*(al_lic+Sens!I8209+sbc_r)</f>
        <v>36.4513123194054</v>
      </c>
      <c r="J8211" s="6" t="n">
        <f aca="false">Sens!J8092*(al_lic+Sens!J8209+sbc_r)</f>
        <v>37.4128079729581</v>
      </c>
      <c r="K8211" s="6" t="n">
        <f aca="false">Sens!K8092*(al_lic+Sens!K8209+sbc_r)</f>
        <v>38.2179737272201</v>
      </c>
    </row>
    <row r="8212" customFormat="false" ht="17.15" hidden="false" customHeight="false" outlineLevel="0" collapsed="false">
      <c r="A8212" s="0" t="s">
        <v>1234</v>
      </c>
      <c r="B8212" s="0" t="s">
        <v>98</v>
      </c>
      <c r="F8212" s="6" t="n">
        <f aca="false">Sens!F8094*(al_ind+Sens!F8209+sbc_r)</f>
        <v>9.07193882540117</v>
      </c>
      <c r="G8212" s="6" t="n">
        <f aca="false">Sens!G8094*(al_ind+Sens!G8209+sbc_r)</f>
        <v>9.85104665718721</v>
      </c>
      <c r="H8212" s="6" t="n">
        <f aca="false">Sens!H8094*(al_ind+Sens!H8209+sbc_r)</f>
        <v>10.674314663539</v>
      </c>
      <c r="I8212" s="6" t="n">
        <f aca="false">Sens!I8094*(al_ind+Sens!I8209+sbc_r)</f>
        <v>11.5378568491328</v>
      </c>
      <c r="J8212" s="6" t="n">
        <f aca="false">Sens!J8094*(al_ind+Sens!J8209+sbc_r)</f>
        <v>12.4325033221993</v>
      </c>
      <c r="K8212" s="6" t="n">
        <f aca="false">Sens!K8094*(al_ind+Sens!K8209+sbc_r)</f>
        <v>13.3447781420856</v>
      </c>
    </row>
    <row r="8213" customFormat="false" ht="17.15" hidden="false" customHeight="false" outlineLevel="0" collapsed="false">
      <c r="A8213" s="0" t="s">
        <v>1235</v>
      </c>
      <c r="B8213" s="0" t="s">
        <v>98</v>
      </c>
      <c r="F8213" s="6" t="n">
        <f aca="false">Sens!F8096*(al_fro+Sens!F8209+sbc_r)</f>
        <v>3.55854903646531</v>
      </c>
      <c r="G8213" s="6" t="n">
        <f aca="false">Sens!G8096*(al_fro+Sens!G8209+sbc_r)</f>
        <v>3.76929916523939</v>
      </c>
      <c r="H8213" s="6" t="n">
        <f aca="false">Sens!H8096*(al_fro+Sens!H8209+sbc_r)</f>
        <v>4.00870614489558</v>
      </c>
      <c r="I8213" s="6" t="n">
        <f aca="false">Sens!I8096*(al_fro+Sens!I8209+sbc_r)</f>
        <v>4.27925238429519</v>
      </c>
      <c r="J8213" s="6" t="n">
        <f aca="false">Sens!J8096*(al_fro+Sens!J8209+sbc_r)</f>
        <v>4.58231034186868</v>
      </c>
      <c r="K8213" s="6" t="n">
        <f aca="false">Sens!K8096*(al_fro+Sens!K8209+sbc_r)</f>
        <v>4.91855206515275</v>
      </c>
    </row>
    <row r="8214" customFormat="false" ht="17.15" hidden="false" customHeight="false" outlineLevel="0" collapsed="false">
      <c r="A8214" s="0" t="s">
        <v>1236</v>
      </c>
      <c r="B8214" s="0" t="s">
        <v>98</v>
      </c>
      <c r="F8214" s="6" t="n">
        <f aca="false">Sens!F8099*(al_srch+Sens!F8209+sbc_r)</f>
        <v>11.2033190730445</v>
      </c>
      <c r="G8214" s="6" t="n">
        <f aca="false">Sens!G8099*(al_srch+Sens!G8209+sbc_r)</f>
        <v>12.2802580840795</v>
      </c>
      <c r="H8214" s="6" t="n">
        <f aca="false">Sens!H8099*(al_srch+Sens!H8209+sbc_r)</f>
        <v>13.401204156934</v>
      </c>
      <c r="I8214" s="6" t="n">
        <f aca="false">Sens!I8099*(al_srch+Sens!I8209+sbc_r)</f>
        <v>14.55441716267</v>
      </c>
      <c r="J8214" s="6" t="n">
        <f aca="false">Sens!J8099*(al_srch+Sens!J8209+sbc_r)</f>
        <v>15.7205581080756</v>
      </c>
      <c r="K8214" s="6" t="n">
        <f aca="false">Sens!K8099*(al_srch+Sens!K8209+sbc_r)</f>
        <v>16.8741044973171</v>
      </c>
    </row>
    <row r="8215" customFormat="false" ht="17.15" hidden="false" customHeight="false" outlineLevel="0" collapsed="false">
      <c r="A8215" s="0" t="s">
        <v>1237</v>
      </c>
      <c r="B8215" s="0" t="s">
        <v>98</v>
      </c>
      <c r="F8215" s="6" t="n">
        <f aca="false">Sens!F8067-Sens!F8068+Sens!F8149</f>
        <v>44.4615257229903</v>
      </c>
      <c r="G8215" s="6" t="n">
        <f aca="false">Sens!G8067-Sens!G8068+Sens!G8149</f>
        <v>84.3698811615113</v>
      </c>
      <c r="H8215" s="6" t="n">
        <f aca="false">Sens!H8067-Sens!H8068+Sens!H8149</f>
        <v>127.115099609251</v>
      </c>
      <c r="I8215" s="6" t="n">
        <f aca="false">Sens!I8067-Sens!I8068+Sens!I8149</f>
        <v>165.162181511929</v>
      </c>
      <c r="J8215" s="6" t="n">
        <f aca="false">Sens!J8067-Sens!J8068+Sens!J8149</f>
        <v>191.85458566738</v>
      </c>
      <c r="K8215" s="6" t="n">
        <f aca="false">Sens!K8067-Sens!K8068+Sens!K8149</f>
        <v>208.291870169136</v>
      </c>
    </row>
    <row r="8216" customFormat="false" ht="17.15" hidden="false" customHeight="false" outlineLevel="0" collapsed="false">
      <c r="A8216" s="0" t="s">
        <v>1238</v>
      </c>
      <c r="B8216" s="0" t="s">
        <v>98</v>
      </c>
      <c r="F8216" s="6" t="n">
        <f aca="false">Sens!F8128+Sens!F8149+Sens!F8079+Sens!F8209*(Sens!F8098-Sens!F8061)+sbc_r*Sens!F8098</f>
        <v>238.45427924794</v>
      </c>
      <c r="G8216" s="6" t="n">
        <f aca="false">Sens!G8128+Sens!G8149+Sens!G8079+Sens!G8209*(Sens!G8098-Sens!G8061)+sbc_r*Sens!G8098</f>
        <v>300.152695462599</v>
      </c>
      <c r="H8216" s="6" t="n">
        <f aca="false">Sens!H8128+Sens!H8149+Sens!H8079+Sens!H8209*(Sens!H8098-Sens!H8061)+sbc_r*Sens!H8098</f>
        <v>369.639064567339</v>
      </c>
      <c r="I8216" s="6" t="n">
        <f aca="false">Sens!I8128+Sens!I8149+Sens!I8079+Sens!I8209*(Sens!I8098-Sens!I8061)+sbc_r*Sens!I8098</f>
        <v>433.296900172672</v>
      </c>
      <c r="J8216" s="6" t="n">
        <f aca="false">Sens!J8128+Sens!J8149+Sens!J8079+Sens!J8209*(Sens!J8098-Sens!J8061)+sbc_r*Sens!J8098</f>
        <v>483.396513939187</v>
      </c>
      <c r="K8216" s="6" t="n">
        <f aca="false">Sens!K8128+Sens!K8149+Sens!K8079+Sens!K8209*(Sens!K8098-Sens!K8061)+sbc_r*Sens!K8098</f>
        <v>520.841927413183</v>
      </c>
    </row>
    <row r="8217" customFormat="false" ht="17.15" hidden="false" customHeight="false" outlineLevel="0" collapsed="false">
      <c r="A8217" s="0" t="s">
        <v>1239</v>
      </c>
      <c r="B8217" s="0" t="s">
        <v>98</v>
      </c>
      <c r="F8217" s="6" t="n">
        <f aca="false">Sens!F8216-Sens!F8210-Sens!F8211-Sens!F8212-Sens!F8213-Sens!F8215</f>
        <v>66.5160014908981</v>
      </c>
      <c r="G8217" s="6" t="n">
        <f aca="false">Sens!G8216-Sens!G8210-Sens!G8211-Sens!G8212-Sens!G8213-Sens!G8215</f>
        <v>74.712207269995</v>
      </c>
      <c r="H8217" s="6" t="n">
        <f aca="false">Sens!H8216-Sens!H8210-Sens!H8211-Sens!H8212-Sens!H8213-Sens!H8215</f>
        <v>87.7123117672942</v>
      </c>
      <c r="I8217" s="6" t="n">
        <f aca="false">Sens!I8216-Sens!I8210-Sens!I8211-Sens!I8212-Sens!I8213-Sens!I8215</f>
        <v>100.354659789119</v>
      </c>
      <c r="J8217" s="6" t="n">
        <f aca="false">Sens!J8216-Sens!J8210-Sens!J8211-Sens!J8212-Sens!J8213-Sens!J8215</f>
        <v>111.787387089091</v>
      </c>
      <c r="K8217" s="6" t="n">
        <f aca="false">Sens!K8216-Sens!K8210-Sens!K8211-Sens!K8212-Sens!K8213-Sens!K8215</f>
        <v>121.323254799719</v>
      </c>
    </row>
    <row r="8218" customFormat="false" ht="17.15" hidden="false" customHeight="false" outlineLevel="0" collapsed="false">
      <c r="A8218" s="0" t="s">
        <v>1240</v>
      </c>
      <c r="B8218" s="0" t="s">
        <v>98</v>
      </c>
      <c r="F8218" s="6" t="n">
        <f aca="false">Sens!F8130+Sens!F8209*Sens!F8105+sbc_r*Sens!F8105</f>
        <v>26.6668358902157</v>
      </c>
      <c r="G8218" s="6" t="n">
        <f aca="false">Sens!G8130+Sens!G8209*Sens!G8105+sbc_r*Sens!G8105</f>
        <v>26.5124469400312</v>
      </c>
      <c r="H8218" s="6" t="n">
        <f aca="false">Sens!H8130+Sens!H8209*Sens!H8105+sbc_r*Sens!H8105</f>
        <v>27.3916057676413</v>
      </c>
      <c r="I8218" s="6" t="n">
        <f aca="false">Sens!I8130+Sens!I8209*Sens!I8105+sbc_r*Sens!I8105</f>
        <v>28.5023542578486</v>
      </c>
      <c r="J8218" s="6" t="n">
        <f aca="false">Sens!J8130+Sens!J8209*Sens!J8105+sbc_r*Sens!J8105</f>
        <v>29.8113373715166</v>
      </c>
      <c r="K8218" s="6" t="n">
        <f aca="false">Sens!K8130+Sens!K8209*Sens!K8105+sbc_r*Sens!K8105</f>
        <v>31.2855896434789</v>
      </c>
    </row>
    <row r="8219" customFormat="false" ht="17.15" hidden="false" customHeight="false" outlineLevel="0" collapsed="false">
      <c r="A8219" s="0" t="s">
        <v>1241</v>
      </c>
      <c r="B8219" s="0" t="s">
        <v>98</v>
      </c>
      <c r="F8219" s="6" t="n">
        <f aca="false">(Sens!F8218-Sens!F8214)*Sens!F8101/(Sens!F8101+Sens!F8103)</f>
        <v>8.73357036350841</v>
      </c>
      <c r="G8219" s="6" t="n">
        <f aca="false">(Sens!G8218-Sens!G8214)*Sens!G8101/(Sens!G8101+Sens!G8103)</f>
        <v>7.89998847673024</v>
      </c>
      <c r="H8219" s="6" t="n">
        <f aca="false">(Sens!H8218-Sens!H8214)*Sens!H8101/(Sens!H8101+Sens!H8103)</f>
        <v>7.66461237877111</v>
      </c>
      <c r="I8219" s="6" t="n">
        <f aca="false">(Sens!I8218-Sens!I8214)*Sens!I8101/(Sens!I8101+Sens!I8103)</f>
        <v>7.5746511256638</v>
      </c>
      <c r="J8219" s="6" t="n">
        <f aca="false">(Sens!J8218-Sens!J8214)*Sens!J8101/(Sens!J8101+Sens!J8103)</f>
        <v>7.6188375673906</v>
      </c>
      <c r="K8219" s="6" t="n">
        <f aca="false">(Sens!K8218-Sens!K8214)*Sens!K8101/(Sens!K8101+Sens!K8103)</f>
        <v>7.79224217345778</v>
      </c>
    </row>
    <row r="8220" customFormat="false" ht="17.15" hidden="false" customHeight="false" outlineLevel="0" collapsed="false">
      <c r="A8220" s="0" t="s">
        <v>1242</v>
      </c>
      <c r="B8220" s="0" t="s">
        <v>98</v>
      </c>
      <c r="F8220" s="6" t="n">
        <f aca="false">Sens!F8218-Sens!F8214-Sens!F8219</f>
        <v>6.72994645366282</v>
      </c>
      <c r="G8220" s="6" t="n">
        <f aca="false">Sens!G8218-Sens!G8214-Sens!G8219</f>
        <v>6.33220037922146</v>
      </c>
      <c r="H8220" s="6" t="n">
        <f aca="false">Sens!H8218-Sens!H8214-Sens!H8219</f>
        <v>6.32578923193613</v>
      </c>
      <c r="I8220" s="6" t="n">
        <f aca="false">Sens!I8218-Sens!I8214-Sens!I8219</f>
        <v>6.37328596951481</v>
      </c>
      <c r="J8220" s="6" t="n">
        <f aca="false">Sens!J8218-Sens!J8214-Sens!J8219</f>
        <v>6.47194169605034</v>
      </c>
      <c r="K8220" s="6" t="n">
        <f aca="false">Sens!K8218-Sens!K8214-Sens!K8219</f>
        <v>6.61924297270398</v>
      </c>
    </row>
    <row r="8221" customFormat="false" ht="17.15" hidden="false" customHeight="false" outlineLevel="0" collapsed="false">
      <c r="A8221" s="0" t="s">
        <v>1243</v>
      </c>
      <c r="B8221" s="0" t="s">
        <v>98</v>
      </c>
      <c r="F8221" s="6" t="n">
        <f aca="false">Sens!F8215-tax_f*(Sens!F8215-Sens!F8079)-Sens!F8076</f>
        <v>-125.968820568057</v>
      </c>
      <c r="G8221" s="6" t="n">
        <f aca="false">Sens!G8215-tax_f*(Sens!G8215-Sens!G8079)-Sens!G8076</f>
        <v>-112.301672589379</v>
      </c>
      <c r="H8221" s="6" t="n">
        <f aca="false">Sens!H8215-tax_f*(Sens!H8215-Sens!H8079)-Sens!H8076</f>
        <v>-77.2939062448221</v>
      </c>
      <c r="I8221" s="6" t="n">
        <f aca="false">Sens!I8215-tax_f*(Sens!I8215-Sens!I8079)-Sens!I8076</f>
        <v>-13.6388864731578</v>
      </c>
      <c r="J8221" s="6" t="n">
        <f aca="false">Sens!J8215-tax_f*(Sens!J8215-Sens!J8079)-Sens!J8076</f>
        <v>50.9568719478826</v>
      </c>
      <c r="K8221" s="6" t="n">
        <f aca="false">Sens!K8215-tax_f*(Sens!K8215-Sens!K8079)-Sens!K8076</f>
        <v>76.2731769807629</v>
      </c>
    </row>
    <row r="8222" customFormat="false" ht="17.15" hidden="false" customHeight="false" outlineLevel="0" collapsed="false">
      <c r="A8222" s="0" t="s">
        <v>1244</v>
      </c>
      <c r="B8222" s="0" t="s">
        <v>98</v>
      </c>
      <c r="G8222" s="6" t="n">
        <f aca="false">Sens!G8221/(1+wacc)^(Sens!G8192-Sens!F8193)</f>
        <v>-106.932803249437</v>
      </c>
      <c r="H8222" s="6" t="n">
        <f aca="false">Sens!H8221/(1+wacc)^(Sens!H8192-Sens!F8193)</f>
        <v>-66.7297408758471</v>
      </c>
      <c r="I8222" s="6" t="n">
        <f aca="false">Sens!I8221/(1+wacc)^(Sens!I8192-Sens!F8193)</f>
        <v>-10.6758521774234</v>
      </c>
      <c r="J8222" s="6" t="n">
        <f aca="false">Sens!J8221/(1+wacc)^(Sens!J8192-Sens!F8193)</f>
        <v>36.1639493767738</v>
      </c>
      <c r="K8222" s="6" t="n">
        <f aca="false">Sens!K8221/(1+wacc)^(Sens!K8192-Sens!F8193)</f>
        <v>49.0788506198144</v>
      </c>
      <c r="L8222" s="1" t="s">
        <v>1245</v>
      </c>
    </row>
    <row r="8223" customFormat="false" ht="17.15" hidden="false" customHeight="false" outlineLevel="0" collapsed="false">
      <c r="A8223" s="0" t="s">
        <v>1246</v>
      </c>
      <c r="B8223" s="0" t="s">
        <v>98</v>
      </c>
      <c r="C8223" s="6" t="n">
        <f aca="false">(Sens!K8215-Sens!K8079)*(1-tax_f)*(1+g_tv)*(1-g_tv/(wacc+ronic_prem))/(wacc-g_tv)/(1+wacc)^(Sens!K8193-Sens!F8193)</f>
        <v>320.169186613682</v>
      </c>
    </row>
    <row r="8224" customFormat="false" ht="17.15" hidden="false" customHeight="false" outlineLevel="0" collapsed="false">
      <c r="A8224" s="1" t="s">
        <v>1247</v>
      </c>
      <c r="B8224" s="0" t="s">
        <v>98</v>
      </c>
      <c r="C8224" s="6" t="n">
        <f aca="false">(SUM(Sens!G8222:K8222)+Sens!$C$8223)*(1+wacc)^(t_roll-Sens!F8193)</f>
        <v>228.371898099776</v>
      </c>
      <c r="L8224" s="12" t="s">
        <v>1248</v>
      </c>
    </row>
    <row r="8225" customFormat="false" ht="17.15" hidden="false" customHeight="false" outlineLevel="0" collapsed="false">
      <c r="A8225" s="1" t="s">
        <v>1249</v>
      </c>
      <c r="B8225" s="0" t="s">
        <v>98</v>
      </c>
      <c r="C8225" s="6" t="n">
        <f aca="false">(w_ntm28*Sens!G8067+(1-w_ntm28)*Sens!H8067)*m_ai</f>
        <v>463.789109510335</v>
      </c>
    </row>
    <row r="8226" customFormat="false" ht="17.15" hidden="false" customHeight="false" outlineLevel="0" collapsed="false">
      <c r="A8226" s="1" t="s">
        <v>1250</v>
      </c>
      <c r="B8226" s="0" t="s">
        <v>98</v>
      </c>
      <c r="C8226" s="6" t="n">
        <f aca="false">(w_ntm28*Sens!G8217+(1-w_ntm28)*Sens!H8217)*m_cloud</f>
        <v>1091.58948063111</v>
      </c>
    </row>
    <row r="8227" customFormat="false" ht="17.15" hidden="false" customHeight="false" outlineLevel="0" collapsed="false">
      <c r="A8227" s="1" t="s">
        <v>1251</v>
      </c>
      <c r="B8227" s="0" t="s">
        <v>98</v>
      </c>
      <c r="C8227" s="6" t="n">
        <f aca="false">(w_ntm28*Sens!G8210+(1-w_ntm28)*Sens!H8210)*m_sw</f>
        <v>1048.27778061153</v>
      </c>
    </row>
    <row r="8228" customFormat="false" ht="17.15" hidden="false" customHeight="false" outlineLevel="0" collapsed="false">
      <c r="A8228" s="1" t="s">
        <v>1252</v>
      </c>
      <c r="B8228" s="0" t="s">
        <v>98</v>
      </c>
      <c r="C8228" s="6" t="n">
        <f aca="false">(w_ntm28*Sens!G8211+(1-w_ntm28)*Sens!H8211)*m_sw</f>
        <v>373.201941924543</v>
      </c>
    </row>
    <row r="8229" customFormat="false" ht="17.15" hidden="false" customHeight="false" outlineLevel="0" collapsed="false">
      <c r="A8229" s="1" t="s">
        <v>1253</v>
      </c>
      <c r="B8229" s="0" t="s">
        <v>98</v>
      </c>
      <c r="C8229" s="6" t="n">
        <f aca="false">(w_ntm28*Sens!G8212+(1-w_ntm28)*Sens!H8212)*m_sw</f>
        <v>109.314469202367</v>
      </c>
    </row>
    <row r="8230" customFormat="false" ht="17.15" hidden="false" customHeight="false" outlineLevel="0" collapsed="false">
      <c r="A8230" s="1" t="s">
        <v>1254</v>
      </c>
      <c r="B8230" s="0" t="s">
        <v>98</v>
      </c>
      <c r="C8230" s="6" t="n">
        <f aca="false">(w_ntm28*Sens!G8213+(1-w_ntm28)*Sens!H8213)*m_sw</f>
        <v>41.5584897397483</v>
      </c>
    </row>
    <row r="8231" customFormat="false" ht="17.15" hidden="false" customHeight="false" outlineLevel="0" collapsed="false">
      <c r="A8231" s="1" t="s">
        <v>1255</v>
      </c>
      <c r="B8231" s="0" t="s">
        <v>98</v>
      </c>
      <c r="C8231" s="6" t="n">
        <f aca="false">(w_ntm28*Sens!G8214+(1-w_ntm28)*Sens!H8214)*m_ads</f>
        <v>115.230461411292</v>
      </c>
    </row>
    <row r="8232" customFormat="false" ht="17.15" hidden="false" customHeight="false" outlineLevel="0" collapsed="false">
      <c r="A8232" s="1" t="s">
        <v>1256</v>
      </c>
      <c r="B8232" s="0" t="s">
        <v>98</v>
      </c>
      <c r="C8232" s="6" t="n">
        <f aca="false">(w_ntm28*Sens!G8219+(1-w_ntm28)*Sens!H8219)*m_game</f>
        <v>98.7994955184541</v>
      </c>
    </row>
    <row r="8233" customFormat="false" ht="17.15" hidden="false" customHeight="false" outlineLevel="0" collapsed="false">
      <c r="A8233" s="1" t="s">
        <v>1257</v>
      </c>
      <c r="B8233" s="0" t="s">
        <v>98</v>
      </c>
      <c r="C8233" s="6" t="n">
        <f aca="false">(w_ntm28*Sens!G8220+(1-w_ntm28)*Sens!H8220)*m_pc</f>
        <v>91.5964399910434</v>
      </c>
    </row>
    <row r="8234" customFormat="false" ht="17.15" hidden="false" customHeight="false" outlineLevel="0" collapsed="false">
      <c r="A8234" s="1" t="s">
        <v>1258</v>
      </c>
      <c r="B8234" s="0" t="s">
        <v>98</v>
      </c>
      <c r="C8234" s="6" t="n">
        <f aca="false">Sens!$C$8224+Sens!$C$8226+Sens!$C$8227+Sens!$C$8228+Sens!$C$8229+Sens!$C$8230+Sens!$C$8231+Sens!$C$8232+Sens!$C$8233</f>
        <v>3197.94045712987</v>
      </c>
    </row>
    <row r="8235" customFormat="false" ht="17.15" hidden="false" customHeight="false" outlineLevel="0" collapsed="false">
      <c r="A8235" s="1" t="s">
        <v>1259</v>
      </c>
      <c r="B8235" s="0" t="s">
        <v>98</v>
      </c>
      <c r="C8235" s="6" t="n">
        <f aca="false">(Sens!G8196-Sens!G8221)*t_stub</f>
        <v>47.362206118929</v>
      </c>
      <c r="L8235" s="1" t="s">
        <v>1260</v>
      </c>
    </row>
    <row r="8236" customFormat="false" ht="17.15" hidden="false" customHeight="false" outlineLevel="0" collapsed="false">
      <c r="A8236" s="1" t="s">
        <v>1169</v>
      </c>
      <c r="B8236" s="0" t="s">
        <v>98</v>
      </c>
      <c r="C8236" s="6" t="n">
        <f aca="false">Sens!F8183+oai_v-Sens!F8172+Sens!$C$8235</f>
        <v>160.624794510539</v>
      </c>
      <c r="L8236" s="1" t="s">
        <v>1261</v>
      </c>
    </row>
    <row r="8237" customFormat="false" ht="17.15" hidden="false" customHeight="false" outlineLevel="0" collapsed="false">
      <c r="A8237" s="1" t="s">
        <v>1262</v>
      </c>
      <c r="B8237" s="0" t="s">
        <v>75</v>
      </c>
      <c r="C8237" s="5" t="n">
        <f aca="false">(Sens!$C$8234+Sens!$C$8236)/(Sens!F8185+dil_gap)-Sens!G8175*roll_div_q/q_per_yr</f>
        <v>447.008158970172</v>
      </c>
      <c r="L8237" s="1" t="s">
        <v>1263</v>
      </c>
    </row>
    <row r="8238" customFormat="false" ht="17.15" hidden="false" customHeight="false" outlineLevel="0" collapsed="false">
      <c r="A8238" s="1" t="s">
        <v>1264</v>
      </c>
      <c r="B8238" s="0" t="s">
        <v>75</v>
      </c>
      <c r="C8238" s="5" t="n">
        <f aca="false">w_dcf*Sens!$C$8208+(1-w_dcf)*Sens!$C$8237</f>
        <v>387.151727806275</v>
      </c>
    </row>
    <row r="8239" customFormat="false" ht="17.15" hidden="false" customHeight="false" outlineLevel="0" collapsed="false">
      <c r="A8239" s="3" t="s">
        <v>1685</v>
      </c>
    </row>
    <row r="8240" customFormat="false" ht="15" hidden="false" customHeight="false" outlineLevel="0" collapsed="false">
      <c r="A8240" s="4" t="s">
        <v>43</v>
      </c>
      <c r="B8240" s="4" t="s">
        <v>65</v>
      </c>
      <c r="C8240" s="23" t="s">
        <v>938</v>
      </c>
      <c r="D8240" s="23" t="s">
        <v>939</v>
      </c>
      <c r="E8240" s="23" t="s">
        <v>940</v>
      </c>
      <c r="F8240" s="23" t="s">
        <v>941</v>
      </c>
      <c r="G8240" s="23" t="s">
        <v>942</v>
      </c>
      <c r="H8240" s="23" t="s">
        <v>943</v>
      </c>
      <c r="I8240" s="23" t="s">
        <v>944</v>
      </c>
      <c r="J8240" s="23" t="s">
        <v>945</v>
      </c>
      <c r="K8240" s="23" t="s">
        <v>946</v>
      </c>
      <c r="L8240" s="4" t="s">
        <v>47</v>
      </c>
    </row>
    <row r="8241" customFormat="false" ht="17.15" hidden="false" customHeight="false" outlineLevel="0" collapsed="false">
      <c r="A8241" s="1" t="s">
        <v>947</v>
      </c>
      <c r="B8241" s="1" t="s">
        <v>279</v>
      </c>
      <c r="C8241" s="21" t="n">
        <v>2024</v>
      </c>
      <c r="D8241" s="21" t="n">
        <v>2025</v>
      </c>
      <c r="E8241" s="21" t="n">
        <v>2026</v>
      </c>
      <c r="F8241" s="21" t="n">
        <v>2027</v>
      </c>
      <c r="G8241" s="21" t="n">
        <v>2028</v>
      </c>
      <c r="H8241" s="21" t="n">
        <v>2029</v>
      </c>
      <c r="I8241" s="21" t="n">
        <v>2030</v>
      </c>
      <c r="J8241" s="21" t="n">
        <v>2031</v>
      </c>
      <c r="K8241" s="21" t="n">
        <v>2032</v>
      </c>
    </row>
    <row r="8242" customFormat="false" ht="17.15" hidden="false" customHeight="false" outlineLevel="0" collapsed="false">
      <c r="A8242" s="1" t="s">
        <v>948</v>
      </c>
      <c r="B8242" s="0" t="s">
        <v>456</v>
      </c>
      <c r="F8242" s="30" t="n">
        <f aca="false">pace</f>
        <v>2726.5351</v>
      </c>
      <c r="G8242" s="30" t="n">
        <f aca="false">pace</f>
        <v>2726.5351</v>
      </c>
      <c r="H8242" s="30" t="n">
        <f aca="false">pace</f>
        <v>2726.5351</v>
      </c>
      <c r="I8242" s="30" t="n">
        <f aca="false">pace+(g_tv*Sens!H8243-pace)*MIN(1,(Sens!I8241-pace_y0)/(pace_y1-pace_y0))</f>
        <v>1931.98611966667</v>
      </c>
      <c r="J8242" s="30" t="n">
        <f aca="false">pace+(g_tv*Sens!I8243-pace)*MIN(1,(Sens!J8241-pace_y0)/(pace_y1-pace_y0))</f>
        <v>1176.07686172667</v>
      </c>
      <c r="K8242" s="30" t="n">
        <f aca="false">pace+(g_tv*Sens!J8243-pace)*MIN(1,(Sens!K8241-pace_y0)/(pace_y1-pace_y0))</f>
        <v>436.1300484418</v>
      </c>
      <c r="L8242" s="12" t="s">
        <v>949</v>
      </c>
    </row>
    <row r="8243" customFormat="false" ht="17.15" hidden="false" customHeight="false" outlineLevel="0" collapsed="false">
      <c r="A8243" s="1" t="s">
        <v>950</v>
      </c>
      <c r="B8243" s="0" t="s">
        <v>456</v>
      </c>
      <c r="C8243" s="30" t="n">
        <f aca="false">mw_ext_24</f>
        <v>640</v>
      </c>
      <c r="D8243" s="30" t="n">
        <f aca="false">mw_ext_25</f>
        <v>1630</v>
      </c>
      <c r="E8243" s="30" t="n">
        <f aca="false">mw_ext_26</f>
        <v>3250</v>
      </c>
      <c r="F8243" s="30" t="n">
        <f aca="false">Sens!E8243+Sens!F8242</f>
        <v>5976.5351</v>
      </c>
      <c r="G8243" s="30" t="n">
        <f aca="false">Sens!F8243+Sens!G8242</f>
        <v>8703.0702</v>
      </c>
      <c r="H8243" s="30" t="n">
        <f aca="false">Sens!G8243+Sens!H8242</f>
        <v>11429.6053</v>
      </c>
      <c r="I8243" s="30" t="n">
        <f aca="false">Sens!H8243+Sens!I8242</f>
        <v>13361.5914196667</v>
      </c>
      <c r="J8243" s="30" t="n">
        <f aca="false">Sens!I8243+Sens!J8242</f>
        <v>14537.6682813933</v>
      </c>
      <c r="K8243" s="30" t="n">
        <f aca="false">Sens!J8243+Sens!K8242</f>
        <v>14973.7983298351</v>
      </c>
      <c r="L8243" s="1" t="s">
        <v>951</v>
      </c>
    </row>
    <row r="8244" customFormat="false" ht="17.15" hidden="false" customHeight="false" outlineLevel="0" collapsed="false">
      <c r="A8244" s="1" t="s">
        <v>952</v>
      </c>
      <c r="B8244" s="0" t="s">
        <v>456</v>
      </c>
      <c r="C8244" s="30" t="n">
        <f aca="false">rent_ext_24</f>
        <v>150</v>
      </c>
      <c r="D8244" s="30" t="n">
        <f aca="false">rent_ext_25</f>
        <v>400</v>
      </c>
      <c r="E8244" s="30" t="n">
        <f aca="false">rent_ext_26</f>
        <v>550</v>
      </c>
      <c r="F8244" s="30" t="n">
        <f aca="false">rent_ext_f</f>
        <v>756</v>
      </c>
      <c r="G8244" s="30" t="n">
        <f aca="false">rent_ext_f</f>
        <v>756</v>
      </c>
      <c r="H8244" s="30" t="n">
        <f aca="false">rent_ext_f</f>
        <v>756</v>
      </c>
      <c r="I8244" s="30" t="n">
        <f aca="false">rent_ext_f</f>
        <v>756</v>
      </c>
      <c r="J8244" s="30" t="n">
        <f aca="false">rent_ext_f</f>
        <v>756</v>
      </c>
      <c r="K8244" s="30" t="n">
        <f aca="false">rent_ext_f</f>
        <v>756</v>
      </c>
      <c r="L8244" s="1" t="s">
        <v>953</v>
      </c>
    </row>
    <row r="8245" customFormat="false" ht="17.15" hidden="false" customHeight="false" outlineLevel="0" collapsed="false">
      <c r="A8245" s="1" t="s">
        <v>954</v>
      </c>
      <c r="B8245" s="0" t="s">
        <v>456</v>
      </c>
      <c r="C8245" s="30" t="n">
        <f aca="false">Sens!C8243-Sens!C8244</f>
        <v>490</v>
      </c>
      <c r="D8245" s="30" t="n">
        <f aca="false">Sens!D8243-Sens!D8244</f>
        <v>1230</v>
      </c>
      <c r="E8245" s="30" t="n">
        <f aca="false">Sens!E8243-Sens!E8244</f>
        <v>2700</v>
      </c>
      <c r="F8245" s="30" t="n">
        <f aca="false">Sens!F8243-Sens!F8244</f>
        <v>5220.5351</v>
      </c>
      <c r="G8245" s="30" t="n">
        <f aca="false">Sens!G8243-Sens!G8244</f>
        <v>7947.0702</v>
      </c>
      <c r="H8245" s="30" t="n">
        <f aca="false">Sens!H8243-Sens!H8244</f>
        <v>10673.6053</v>
      </c>
      <c r="I8245" s="30" t="n">
        <f aca="false">Sens!I8243-Sens!I8244</f>
        <v>12605.5914196667</v>
      </c>
      <c r="J8245" s="30" t="n">
        <f aca="false">Sens!J8243-Sens!J8244</f>
        <v>13781.6682813933</v>
      </c>
      <c r="K8245" s="30" t="n">
        <f aca="false">Sens!K8243-Sens!K8244</f>
        <v>14217.7983298351</v>
      </c>
    </row>
    <row r="8246" customFormat="false" ht="17.15" hidden="false" customHeight="false" outlineLevel="0" collapsed="false">
      <c r="A8246" s="1" t="s">
        <v>955</v>
      </c>
      <c r="B8246" s="0" t="s">
        <v>456</v>
      </c>
      <c r="C8246" s="30" t="n">
        <f aca="false">Sens!C8245/ext_sh</f>
        <v>816.666666666667</v>
      </c>
      <c r="D8246" s="30" t="n">
        <f aca="false">Sens!D8245/ext_sh</f>
        <v>2050</v>
      </c>
      <c r="E8246" s="30" t="n">
        <f aca="false">Sens!E8245/ext_sh</f>
        <v>4500</v>
      </c>
      <c r="F8246" s="30" t="n">
        <f aca="false">Sens!F8245/ext_sh</f>
        <v>8700.89183333333</v>
      </c>
      <c r="G8246" s="30" t="n">
        <f aca="false">Sens!G8245/ext_sh</f>
        <v>13245.117</v>
      </c>
      <c r="H8246" s="30" t="n">
        <f aca="false">Sens!H8245/ext_sh</f>
        <v>17789.3421666667</v>
      </c>
      <c r="I8246" s="30" t="n">
        <f aca="false">Sens!I8245/ext_sh</f>
        <v>21009.3190327778</v>
      </c>
      <c r="J8246" s="30" t="n">
        <f aca="false">Sens!J8245/ext_sh</f>
        <v>22969.4471356556</v>
      </c>
      <c r="K8246" s="30" t="n">
        <f aca="false">Sens!K8245/ext_sh</f>
        <v>23696.3305497252</v>
      </c>
      <c r="L8246" s="1" t="s">
        <v>956</v>
      </c>
    </row>
    <row r="8247" customFormat="false" ht="17.15" hidden="false" customHeight="false" outlineLevel="0" collapsed="false">
      <c r="A8247" s="1" t="s">
        <v>957</v>
      </c>
      <c r="B8247" s="0" t="s">
        <v>456</v>
      </c>
      <c r="C8247" s="30" t="n">
        <f aca="false">Sens!C8246-Sens!C8245</f>
        <v>326.666666666667</v>
      </c>
      <c r="D8247" s="30" t="n">
        <f aca="false">Sens!D8246-Sens!D8245</f>
        <v>820</v>
      </c>
      <c r="E8247" s="30" t="n">
        <f aca="false">Sens!E8246-Sens!E8245</f>
        <v>1800</v>
      </c>
      <c r="F8247" s="30" t="n">
        <f aca="false">Sens!F8246-Sens!F8245</f>
        <v>3480.35673333333</v>
      </c>
      <c r="G8247" s="30" t="n">
        <f aca="false">Sens!G8246-Sens!G8245</f>
        <v>5298.0468</v>
      </c>
      <c r="H8247" s="30" t="n">
        <f aca="false">Sens!H8246-Sens!H8245</f>
        <v>7115.73686666667</v>
      </c>
      <c r="I8247" s="30" t="n">
        <f aca="false">Sens!I8246-Sens!I8245</f>
        <v>8403.72761311111</v>
      </c>
      <c r="J8247" s="30" t="n">
        <f aca="false">Sens!J8246-Sens!J8245</f>
        <v>9187.77885426222</v>
      </c>
      <c r="K8247" s="30" t="n">
        <f aca="false">Sens!K8246-Sens!K8245</f>
        <v>9478.53221989009</v>
      </c>
    </row>
    <row r="8248" customFormat="false" ht="17.15" hidden="false" customHeight="false" outlineLevel="0" collapsed="false">
      <c r="A8248" s="1" t="s">
        <v>958</v>
      </c>
      <c r="B8248" s="0" t="s">
        <v>456</v>
      </c>
      <c r="C8248" s="30" t="n">
        <f aca="false">Sens!C8246</f>
        <v>816.666666666667</v>
      </c>
      <c r="D8248" s="30" t="n">
        <f aca="false">Sens!D8246-Sens!C8246</f>
        <v>1233.33333333333</v>
      </c>
      <c r="E8248" s="30" t="n">
        <f aca="false">Sens!E8246-Sens!D8246</f>
        <v>2450</v>
      </c>
      <c r="F8248" s="30" t="n">
        <f aca="false">Sens!F8246-Sens!E8246</f>
        <v>4200.89183333333</v>
      </c>
      <c r="G8248" s="30" t="n">
        <f aca="false">Sens!G8246-Sens!F8246</f>
        <v>4544.22516666667</v>
      </c>
      <c r="H8248" s="30" t="n">
        <f aca="false">Sens!H8246-Sens!G8246</f>
        <v>4544.22516666667</v>
      </c>
      <c r="I8248" s="30" t="n">
        <f aca="false">Sens!I8246-Sens!H8246</f>
        <v>3219.97686611111</v>
      </c>
      <c r="J8248" s="30" t="n">
        <f aca="false">Sens!J8246-Sens!I8246</f>
        <v>1960.12810287778</v>
      </c>
      <c r="K8248" s="30" t="n">
        <f aca="false">Sens!K8246-Sens!J8246</f>
        <v>726.883414069667</v>
      </c>
    </row>
    <row r="8249" customFormat="false" ht="17.15" hidden="false" customHeight="false" outlineLevel="0" collapsed="false">
      <c r="A8249" s="1" t="s">
        <v>959</v>
      </c>
      <c r="B8249" s="0" t="s">
        <v>456</v>
      </c>
      <c r="D8249" s="30" t="n">
        <f aca="false">Sens!D8243-Sens!C8243</f>
        <v>990</v>
      </c>
      <c r="E8249" s="30" t="n">
        <f aca="false">Sens!E8243-Sens!D8243</f>
        <v>1620</v>
      </c>
      <c r="F8249" s="30" t="n">
        <f aca="false">Sens!F8243-Sens!E8243</f>
        <v>2726.5351</v>
      </c>
      <c r="G8249" s="30" t="n">
        <f aca="false">Sens!G8243-Sens!F8243</f>
        <v>2726.5351</v>
      </c>
      <c r="H8249" s="30" t="n">
        <f aca="false">Sens!H8243-Sens!G8243</f>
        <v>2726.5351</v>
      </c>
      <c r="I8249" s="30" t="n">
        <f aca="false">Sens!I8243-Sens!H8243</f>
        <v>1931.98611966667</v>
      </c>
      <c r="J8249" s="30" t="n">
        <f aca="false">Sens!J8243-Sens!I8243</f>
        <v>1176.07686172667</v>
      </c>
      <c r="K8249" s="30" t="n">
        <f aca="false">Sens!K8243-Sens!J8243</f>
        <v>436.130048441799</v>
      </c>
    </row>
    <row r="8250" customFormat="false" ht="17.15" hidden="false" customHeight="false" outlineLevel="0" collapsed="false">
      <c r="A8250" s="1" t="s">
        <v>960</v>
      </c>
      <c r="B8250" s="0" t="s">
        <v>456</v>
      </c>
      <c r="F8250" s="30" t="n">
        <f aca="false">Sens!F8269*ext_sh</f>
        <v>0</v>
      </c>
      <c r="G8250" s="30" t="n">
        <f aca="false">Sens!G8269*ext_sh</f>
        <v>0</v>
      </c>
      <c r="H8250" s="30" t="n">
        <f aca="false">Sens!H8269*ext_sh</f>
        <v>0</v>
      </c>
      <c r="I8250" s="30" t="n">
        <f aca="false">Sens!I8269*ext_sh</f>
        <v>490</v>
      </c>
      <c r="J8250" s="30" t="n">
        <f aca="false">Sens!J8269*ext_sh</f>
        <v>740</v>
      </c>
      <c r="K8250" s="30" t="n">
        <f aca="false">Sens!K8269*ext_sh</f>
        <v>1470</v>
      </c>
      <c r="L8250" s="1" t="s">
        <v>961</v>
      </c>
    </row>
    <row r="8251" customFormat="false" ht="17.15" hidden="false" customHeight="false" outlineLevel="0" collapsed="false">
      <c r="A8251" s="1" t="s">
        <v>962</v>
      </c>
      <c r="B8251" s="0" t="s">
        <v>456</v>
      </c>
      <c r="C8251" s="30" t="n">
        <f aca="false">mix_h*Sens!C8243</f>
        <v>128</v>
      </c>
      <c r="D8251" s="30" t="n">
        <f aca="false">mix_h*Sens!D8243</f>
        <v>326</v>
      </c>
      <c r="E8251" s="30" t="n">
        <f aca="false">mix_h*Sens!E8243</f>
        <v>650</v>
      </c>
      <c r="F8251" s="30" t="n">
        <f aca="false">Sens!E8251-Sens!F8250*mix_h</f>
        <v>650</v>
      </c>
      <c r="G8251" s="30" t="n">
        <f aca="false">Sens!F8251-Sens!G8250*mix_h</f>
        <v>650</v>
      </c>
      <c r="H8251" s="30" t="n">
        <f aca="false">Sens!G8251-Sens!H8250*mix_h</f>
        <v>650</v>
      </c>
      <c r="I8251" s="30" t="n">
        <f aca="false">Sens!H8251-Sens!I8250*mix_h</f>
        <v>552</v>
      </c>
      <c r="J8251" s="30" t="n">
        <f aca="false">Sens!I8251-Sens!J8250*mix_h</f>
        <v>404</v>
      </c>
      <c r="K8251" s="30" t="n">
        <f aca="false">Sens!J8251-Sens!K8250*mix_h</f>
        <v>110</v>
      </c>
    </row>
    <row r="8252" customFormat="false" ht="17.15" hidden="false" customHeight="false" outlineLevel="0" collapsed="false">
      <c r="A8252" s="1" t="s">
        <v>963</v>
      </c>
      <c r="B8252" s="0" t="s">
        <v>456</v>
      </c>
      <c r="C8252" s="30" t="n">
        <f aca="false">mix_g2*Sens!C8243</f>
        <v>288</v>
      </c>
      <c r="D8252" s="30" t="n">
        <f aca="false">mix_g2*Sens!D8243</f>
        <v>733.5</v>
      </c>
      <c r="E8252" s="30" t="n">
        <f aca="false">mix_g2*Sens!E8243</f>
        <v>1462.5</v>
      </c>
      <c r="F8252" s="30" t="n">
        <f aca="false">Sens!E8252-Sens!F8250*mix_g2</f>
        <v>1462.5</v>
      </c>
      <c r="G8252" s="30" t="n">
        <f aca="false">Sens!F8252-Sens!G8250*mix_g2</f>
        <v>1462.5</v>
      </c>
      <c r="H8252" s="30" t="n">
        <f aca="false">Sens!G8252-Sens!H8250*mix_g2</f>
        <v>1462.5</v>
      </c>
      <c r="I8252" s="30" t="n">
        <f aca="false">Sens!H8252-Sens!I8250*mix_g2</f>
        <v>1242</v>
      </c>
      <c r="J8252" s="30" t="n">
        <f aca="false">Sens!I8252-Sens!J8250*mix_g2</f>
        <v>909</v>
      </c>
      <c r="K8252" s="30" t="n">
        <f aca="false">Sens!J8252-Sens!K8250*mix_g2</f>
        <v>247.5</v>
      </c>
    </row>
    <row r="8253" customFormat="false" ht="17.15" hidden="false" customHeight="false" outlineLevel="0" collapsed="false">
      <c r="A8253" s="1" t="s">
        <v>964</v>
      </c>
      <c r="B8253" s="0" t="s">
        <v>456</v>
      </c>
      <c r="C8253" s="30" t="n">
        <f aca="false">mix_g3*Sens!C8243</f>
        <v>224</v>
      </c>
      <c r="D8253" s="30" t="n">
        <f aca="false">mix_g3*Sens!D8243</f>
        <v>570.5</v>
      </c>
      <c r="E8253" s="30" t="n">
        <f aca="false">mix_g3*Sens!E8243</f>
        <v>1137.5</v>
      </c>
      <c r="F8253" s="30" t="n">
        <f aca="false">Sens!E8253+(Sens!F8249+Sens!F8250)*(a_g3_27-nonnv*a_mai)-Sens!F8250*mix_g3</f>
        <v>2773.42106</v>
      </c>
      <c r="G8253" s="30" t="n">
        <f aca="false">Sens!F8253+(Sens!G8249+Sens!G8250)*(a_g3_28-nonnv*a_mai)-Sens!G8250*mix_g3</f>
        <v>3318.72808</v>
      </c>
      <c r="H8253" s="30" t="n">
        <f aca="false">Sens!G8253+(Sens!H8249+Sens!H8250)*(a_g3_29-nonnv*a_mai)-Sens!H8250*mix_g3</f>
        <v>3318.72808</v>
      </c>
      <c r="I8253" s="30" t="n">
        <f aca="false">Sens!H8253+(Sens!I8249+Sens!I8250)*(a_g3_29-nonnv*a_mai)-Sens!I8250*mix_g3</f>
        <v>3147.22808</v>
      </c>
      <c r="J8253" s="30" t="n">
        <f aca="false">Sens!I8253+(Sens!J8249+Sens!J8250)*(a_g3_29-nonnv*a_mai)-Sens!J8250*mix_g3</f>
        <v>2888.22808</v>
      </c>
      <c r="K8253" s="30" t="n">
        <f aca="false">Sens!J8253+(Sens!K8249+Sens!K8250)*(a_g3_29-nonnv*a_mai)-Sens!K8250*mix_g3</f>
        <v>2373.72808</v>
      </c>
    </row>
    <row r="8254" customFormat="false" ht="17.15" hidden="false" customHeight="false" outlineLevel="0" collapsed="false">
      <c r="A8254" s="1" t="s">
        <v>965</v>
      </c>
      <c r="B8254" s="0" t="s">
        <v>456</v>
      </c>
      <c r="C8254" s="30" t="n">
        <v>0</v>
      </c>
      <c r="D8254" s="30" t="n">
        <v>0</v>
      </c>
      <c r="E8254" s="30" t="n">
        <v>0</v>
      </c>
      <c r="F8254" s="30" t="n">
        <f aca="false">Sens!E8254+(Sens!F8249+Sens!F8250)*nonnv*a_mai</f>
        <v>272.65351</v>
      </c>
      <c r="G8254" s="30" t="n">
        <f aca="false">Sens!F8254+(Sens!G8249+Sens!G8250)*nonnv*a_mai</f>
        <v>545.30702</v>
      </c>
      <c r="H8254" s="30" t="n">
        <f aca="false">Sens!G8254+(Sens!H8249+Sens!H8250)*nonnv*a_mai</f>
        <v>817.96053</v>
      </c>
      <c r="I8254" s="30" t="n">
        <f aca="false">Sens!H8254+(Sens!I8249+Sens!I8250)*nonnv*a_mai</f>
        <v>1060.15914196667</v>
      </c>
      <c r="J8254" s="30" t="n">
        <f aca="false">Sens!I8254+(Sens!J8249+Sens!J8250)*nonnv*a_mai</f>
        <v>1251.76682813933</v>
      </c>
      <c r="K8254" s="30" t="n">
        <f aca="false">Sens!J8254+(Sens!K8249+Sens!K8250)*nonnv*a_mai</f>
        <v>1442.37983298351</v>
      </c>
      <c r="L8254" s="12" t="s">
        <v>966</v>
      </c>
    </row>
    <row r="8255" customFormat="false" ht="17.15" hidden="false" customHeight="false" outlineLevel="0" collapsed="false">
      <c r="A8255" s="1" t="s">
        <v>967</v>
      </c>
      <c r="B8255" s="0" t="s">
        <v>456</v>
      </c>
      <c r="C8255" s="30" t="n">
        <v>0</v>
      </c>
      <c r="D8255" s="30" t="n">
        <v>0</v>
      </c>
      <c r="E8255" s="30" t="n">
        <v>0</v>
      </c>
      <c r="F8255" s="30" t="n">
        <f aca="false">Sens!E8255+(Sens!F8249+Sens!F8250)*(1-a_g3_27)</f>
        <v>817.96053</v>
      </c>
      <c r="G8255" s="30" t="n">
        <f aca="false">Sens!F8255+(Sens!G8249+Sens!G8250)*(1-a_g3_28)</f>
        <v>2726.5351</v>
      </c>
      <c r="H8255" s="30" t="n">
        <f aca="false">Sens!G8255+(Sens!H8249+Sens!H8250)*(1-a_g3_29)</f>
        <v>5180.41669</v>
      </c>
      <c r="I8255" s="30" t="n">
        <f aca="false">Sens!H8255+(Sens!I8249+Sens!I8250)*(1-a_g3_29)</f>
        <v>7360.2041977</v>
      </c>
      <c r="J8255" s="30" t="n">
        <f aca="false">Sens!I8255+(Sens!J8249+Sens!J8250)*(1-a_g3_29)</f>
        <v>9084.673373254</v>
      </c>
      <c r="K8255" s="30" t="n">
        <f aca="false">Sens!J8255+(Sens!K8249+Sens!K8250)*(1-a_g3_29)</f>
        <v>10800.1904168516</v>
      </c>
    </row>
    <row r="8256" customFormat="false" ht="17.15" hidden="false" customHeight="false" outlineLevel="0" collapsed="false">
      <c r="A8256" s="1" t="s">
        <v>968</v>
      </c>
      <c r="B8256" s="0" t="s">
        <v>403</v>
      </c>
      <c r="C8256" s="15" t="n">
        <f aca="false">(Sens!C8251*tk_hold_h100+Sens!C8252*tk_hold_gb200+Sens!C8253*tk_hold_gb300+Sens!C8255*tk_hold_vr200+Sens!C8254*nv_hold_mai*tk_hold_vr200)/Sens!C8243</f>
        <v>9.7235358126469</v>
      </c>
      <c r="D8256" s="15" t="n">
        <f aca="false">(Sens!D8251*tk_hold_h100+Sens!D8252*tk_hold_gb200+Sens!D8253*tk_hold_gb300+Sens!D8255*tk_hold_vr200+Sens!D8254*nv_hold_mai*tk_hold_vr200)/Sens!D8243</f>
        <v>9.7235358126469</v>
      </c>
      <c r="E8256" s="15" t="n">
        <f aca="false">(Sens!E8251*tk_hold_h100+Sens!E8252*tk_hold_gb200+Sens!E8253*tk_hold_gb300+Sens!E8255*tk_hold_vr200+Sens!E8254*nv_hold_mai*tk_hold_vr200)/Sens!E8243</f>
        <v>9.7235358126469</v>
      </c>
      <c r="F8256" s="15" t="n">
        <f aca="false">(Sens!F8251*tk_hold_h100+Sens!F8252*tk_hold_gb200+Sens!F8253*tk_hold_gb300+Sens!F8255*tk_hold_vr200+Sens!F8254*nv_hold_mai*tk_hold_vr200)/Sens!F8243</f>
        <v>10.2195353876665</v>
      </c>
      <c r="G8256" s="15" t="n">
        <f aca="false">(Sens!G8251*tk_hold_h100+Sens!G8252*tk_hold_gb200+Sens!G8253*tk_hold_gb300+Sens!G8255*tk_hold_vr200+Sens!G8254*nv_hold_mai*tk_hold_vr200)/Sens!G8243</f>
        <v>10.5725598017306</v>
      </c>
      <c r="H8256" s="15" t="n">
        <f aca="false">(Sens!H8251*tk_hold_h100+Sens!H8252*tk_hold_gb200+Sens!H8253*tk_hold_gb300+Sens!H8255*tk_hold_vr200+Sens!H8254*nv_hold_mai*tk_hold_vr200)/Sens!H8243</f>
        <v>10.8210427149036</v>
      </c>
      <c r="I8256" s="15" t="n">
        <f aca="false">(Sens!I8251*tk_hold_h100+Sens!I8252*tk_hold_gb200+Sens!I8253*tk_hold_gb300+Sens!I8255*tk_hold_vr200+Sens!I8254*nv_hold_mai*tk_hold_vr200)/Sens!I8243</f>
        <v>11.0050618241982</v>
      </c>
      <c r="J8256" s="15" t="n">
        <f aca="false">(Sens!J8251*tk_hold_h100+Sens!J8252*tk_hold_gb200+Sens!J8253*tk_hold_gb300+Sens!J8255*tk_hold_vr200+Sens!J8254*nv_hold_mai*tk_hold_vr200)/Sens!J8243</f>
        <v>11.1505789658881</v>
      </c>
      <c r="K8256" s="15" t="n">
        <f aca="false">(Sens!K8251*tk_hold_h100+Sens!K8252*tk_hold_gb200+Sens!K8253*tk_hold_gb300+Sens!K8255*tk_hold_vr200+Sens!K8254*nv_hold_mai*tk_hold_vr200)/Sens!K8243</f>
        <v>11.3496914757183</v>
      </c>
      <c r="L8256" s="1" t="s">
        <v>969</v>
      </c>
    </row>
    <row r="8257" customFormat="false" ht="17.15" hidden="false" customHeight="false" outlineLevel="0" collapsed="false">
      <c r="A8257" s="1" t="s">
        <v>970</v>
      </c>
      <c r="B8257" s="0" t="s">
        <v>403</v>
      </c>
      <c r="C8257" s="15" t="n">
        <f aca="false">(Sens!C8251*tk_hold_h100+Sens!C8252*tk_hold_gb200+Sens!C8253*tk_hold_gb300+Sens!C8255*tk_hold_vr200+Sens!C8254*nv_out_mai*tk_hold_vr200)/Sens!C8243</f>
        <v>9.7235358126469</v>
      </c>
      <c r="D8257" s="15" t="n">
        <f aca="false">(Sens!D8251*tk_hold_h100+Sens!D8252*tk_hold_gb200+Sens!D8253*tk_hold_gb300+Sens!D8255*tk_hold_vr200+Sens!D8254*nv_out_mai*tk_hold_vr200)/Sens!D8243</f>
        <v>9.7235358126469</v>
      </c>
      <c r="E8257" s="15" t="n">
        <f aca="false">(Sens!E8251*tk_hold_h100+Sens!E8252*tk_hold_gb200+Sens!E8253*tk_hold_gb300+Sens!E8255*tk_hold_vr200+Sens!E8254*nv_out_mai*tk_hold_vr200)/Sens!E8243</f>
        <v>9.7235358126469</v>
      </c>
      <c r="F8257" s="15" t="n">
        <f aca="false">(Sens!F8251*tk_hold_h100+Sens!F8252*tk_hold_gb200+Sens!F8253*tk_hold_gb300+Sens!F8255*tk_hold_vr200+Sens!F8254*nv_out_mai*tk_hold_vr200)/Sens!F8243</f>
        <v>10.247422093969</v>
      </c>
      <c r="G8257" s="15" t="n">
        <f aca="false">(Sens!G8251*tk_hold_h100+Sens!G8252*tk_hold_gb200+Sens!G8253*tk_hold_gb300+Sens!G8255*tk_hold_vr200+Sens!G8254*nv_out_mai*tk_hold_vr200)/Sens!G8243</f>
        <v>10.6108602808053</v>
      </c>
      <c r="H8257" s="15" t="n">
        <f aca="false">(Sens!H8251*tk_hold_h100+Sens!H8252*tk_hold_gb200+Sens!H8253*tk_hold_gb300+Sens!H8255*tk_hold_vr200+Sens!H8254*nv_out_mai*tk_hold_vr200)/Sens!H8243</f>
        <v>10.8647885507393</v>
      </c>
      <c r="I8257" s="15" t="n">
        <f aca="false">(Sens!I8251*tk_hold_h100+Sens!I8252*tk_hold_gb200+Sens!I8253*tk_hold_gb300+Sens!I8255*tk_hold_vr200+Sens!I8254*nv_out_mai*tk_hold_vr200)/Sens!I8243</f>
        <v>11.0535625770025</v>
      </c>
      <c r="J8257" s="15" t="n">
        <f aca="false">(Sens!J8251*tk_hold_h100+Sens!J8252*tk_hold_gb200+Sens!J8253*tk_hold_gb300+Sens!J8255*tk_hold_vr200+Sens!J8254*nv_out_mai*tk_hold_vr200)/Sens!J8243</f>
        <v>11.2032127128058</v>
      </c>
      <c r="K8257" s="15" t="n">
        <f aca="false">(Sens!K8251*tk_hold_h100+Sens!K8252*tk_hold_gb200+Sens!K8253*tk_hold_gb300+Sens!K8255*tk_hold_vr200+Sens!K8254*nv_out_mai*tk_hold_vr200)/Sens!K8243</f>
        <v>11.4085735724225</v>
      </c>
      <c r="L8257" s="12" t="s">
        <v>971</v>
      </c>
    </row>
    <row r="8258" customFormat="false" ht="17.15" hidden="false" customHeight="false" outlineLevel="0" collapsed="false">
      <c r="A8258" s="0" t="s">
        <v>972</v>
      </c>
      <c r="B8258" s="0" t="s">
        <v>229</v>
      </c>
      <c r="C8258" s="15" t="n">
        <f aca="false">k_B</f>
        <v>1.17213932619116</v>
      </c>
      <c r="D8258" s="15" t="n">
        <f aca="false">k_B</f>
        <v>1.17213932619116</v>
      </c>
      <c r="E8258" s="15" t="n">
        <f aca="false">k_B</f>
        <v>1.17213932619116</v>
      </c>
      <c r="F8258" s="15" t="n">
        <f aca="false">(k_B+((ls_C*k_long+(1-ls_C)*k_spot)-k_B)*MIN(1,(Sens!F8241-base_fy)/k_ramp))</f>
        <v>1.07843258004497</v>
      </c>
      <c r="G8258" s="15" t="n">
        <f aca="false">(k_B+((ls_C*k_long+(1-ls_C)*k_spot)-k_B)*MIN(1,(Sens!G8241-base_fy)/k_ramp))</f>
        <v>0.984725833898784</v>
      </c>
      <c r="H8258" s="15" t="n">
        <f aca="false">(k_B+((ls_C*k_long+(1-ls_C)*k_spot)-k_B)*MIN(1,(Sens!H8241-base_fy)/k_ramp))</f>
        <v>0.891019087752599</v>
      </c>
      <c r="I8258" s="15" t="n">
        <f aca="false">(k_B+((ls_C*k_long+(1-ls_C)*k_spot)-k_B)*MIN(1,(Sens!I8241-base_fy)/k_ramp))</f>
        <v>0.891019087752599</v>
      </c>
      <c r="J8258" s="15" t="n">
        <f aca="false">(k_B+((ls_C*k_long+(1-ls_C)*k_spot)-k_B)*MIN(1,(Sens!J8241-base_fy)/k_ramp))</f>
        <v>0.891019087752599</v>
      </c>
      <c r="K8258" s="15" t="n">
        <f aca="false">(k_B+((ls_C*k_long+(1-ls_C)*k_spot)-k_B)*MIN(1,(Sens!K8241-base_fy)/k_ramp))</f>
        <v>0.891019087752599</v>
      </c>
      <c r="L8258" s="1" t="s">
        <v>973</v>
      </c>
    </row>
    <row r="8259" customFormat="false" ht="17.15" hidden="false" customHeight="false" outlineLevel="0" collapsed="false">
      <c r="A8259" s="1" t="s">
        <v>974</v>
      </c>
      <c r="B8259" s="0" t="s">
        <v>403</v>
      </c>
      <c r="C8259" s="15" t="n">
        <f aca="false">Sens!C8257*Sens!C8258*chip_f</f>
        <v>11.3973387156315</v>
      </c>
      <c r="D8259" s="15" t="n">
        <f aca="false">Sens!D8257*Sens!D8258*chip_f</f>
        <v>11.3973387156315</v>
      </c>
      <c r="E8259" s="15" t="n">
        <f aca="false">Sens!E8257*Sens!E8258*chip_f</f>
        <v>11.3973387156315</v>
      </c>
      <c r="F8259" s="15" t="n">
        <f aca="false">Sens!F8257*Sens!F8258*chip_f</f>
        <v>11.0511538476088</v>
      </c>
      <c r="G8259" s="15" t="n">
        <f aca="false">Sens!G8257*Sens!G8258*chip_f</f>
        <v>10.4487882383995</v>
      </c>
      <c r="H8259" s="15" t="n">
        <f aca="false">Sens!H8257*Sens!H8258*chip_f</f>
        <v>9.68073398310464</v>
      </c>
      <c r="I8259" s="15" t="n">
        <f aca="false">Sens!I8257*Sens!I8258*chip_f</f>
        <v>9.84893524377706</v>
      </c>
      <c r="J8259" s="15" t="n">
        <f aca="false">Sens!J8257*Sens!J8258*chip_f</f>
        <v>9.98227637126252</v>
      </c>
      <c r="K8259" s="15" t="n">
        <f aca="false">Sens!K8257*Sens!K8258*chip_f</f>
        <v>10.1652568170583</v>
      </c>
      <c r="L8259" s="1" t="s">
        <v>975</v>
      </c>
    </row>
    <row r="8260" customFormat="false" ht="17.15" hidden="false" customHeight="false" outlineLevel="0" collapsed="false">
      <c r="A8260" s="0" t="s">
        <v>976</v>
      </c>
      <c r="B8260" s="0" t="s">
        <v>98</v>
      </c>
      <c r="D8260" s="6" t="n">
        <f aca="false">(Sens!C8243+Sens!D8243)/2*Sens!D8259/1000</f>
        <v>12.9359794422418</v>
      </c>
      <c r="E8260" s="6" t="n">
        <f aca="false">(Sens!D8243+Sens!E8243)/2*Sens!E8259/1000</f>
        <v>27.8095064661409</v>
      </c>
      <c r="F8260" s="6" t="n">
        <f aca="false">(Sens!E8243+Sens!F8243)/2*Sens!F8259/1000</f>
        <v>50.9819294352312</v>
      </c>
      <c r="G8260" s="6" t="n">
        <f aca="false">(Sens!F8243+Sens!G8243)/2*Sens!G8259/1000</f>
        <v>76.6920436014933</v>
      </c>
      <c r="H8260" s="6" t="n">
        <f aca="false">(Sens!G8243+Sens!H8243)/2*Sens!H8259/1000</f>
        <v>97.4495379418341</v>
      </c>
      <c r="I8260" s="6" t="n">
        <f aca="false">(Sens!H8243+Sens!I8243)/2*Sens!I8259/1000</f>
        <v>122.083445553868</v>
      </c>
      <c r="J8260" s="6" t="n">
        <f aca="false">(Sens!I8243+Sens!J8243)/2*Sens!J8259/1000</f>
        <v>139.249060444804</v>
      </c>
      <c r="K8260" s="6" t="n">
        <f aca="false">(Sens!J8243+Sens!K8243)/2*Sens!K8259/1000</f>
        <v>149.995818575589</v>
      </c>
      <c r="L8260" s="12" t="s">
        <v>977</v>
      </c>
    </row>
    <row r="8261" customFormat="false" ht="17.15" hidden="false" customHeight="false" outlineLevel="0" collapsed="false">
      <c r="A8261" s="1" t="s">
        <v>978</v>
      </c>
      <c r="B8261" s="0" t="s">
        <v>403</v>
      </c>
      <c r="C8261" s="15" t="n">
        <f aca="false">(Sens!C8251*tk_opex_h100+Sens!C8252*tk_opex_gb200+Sens!C8253*tk_opex_gb300+(Sens!C8255+Sens!C8254)*tk_opex_vr200)/Sens!C8243</f>
        <v>1.88636041306092</v>
      </c>
      <c r="D8261" s="15" t="n">
        <f aca="false">(Sens!D8251*tk_opex_h100+Sens!D8252*tk_opex_gb200+Sens!D8253*tk_opex_gb300+(Sens!D8255+Sens!D8254)*tk_opex_vr200)/Sens!D8243</f>
        <v>1.88636041306092</v>
      </c>
      <c r="E8261" s="15" t="n">
        <f aca="false">(Sens!E8251*tk_opex_h100+Sens!E8252*tk_opex_gb200+Sens!E8253*tk_opex_gb300+(Sens!E8255+Sens!E8254)*tk_opex_vr200)/Sens!E8243</f>
        <v>1.88636041306092</v>
      </c>
      <c r="F8261" s="15" t="n">
        <f aca="false">(Sens!F8251*tk_opex_h100+Sens!F8252*tk_opex_gb200+Sens!F8253*tk_opex_gb300+(Sens!F8255+Sens!F8254)*tk_opex_vr200)/Sens!F8243</f>
        <v>1.95051159746876</v>
      </c>
      <c r="G8261" s="15" t="n">
        <f aca="false">(Sens!G8251*tk_opex_h100+Sens!G8252*tk_opex_gb200+Sens!G8253*tk_opex_gb300+(Sens!G8255+Sens!G8254)*tk_opex_vr200)/Sens!G8243</f>
        <v>1.98836003669956</v>
      </c>
      <c r="H8261" s="15" t="n">
        <f aca="false">(Sens!H8251*tk_opex_h100+Sens!H8252*tk_opex_gb200+Sens!H8253*tk_opex_gb300+(Sens!H8255+Sens!H8254)*tk_opex_vr200)/Sens!H8243</f>
        <v>2.01344013834343</v>
      </c>
      <c r="I8261" s="15" t="n">
        <f aca="false">(Sens!I8251*tk_opex_h100+Sens!I8252*tk_opex_gb200+Sens!I8253*tk_opex_gb300+(Sens!I8255+Sens!I8254)*tk_opex_vr200)/Sens!I8243</f>
        <v>2.03261166882178</v>
      </c>
      <c r="J8261" s="15" t="n">
        <f aca="false">(Sens!J8251*tk_opex_h100+Sens!J8252*tk_opex_gb200+Sens!J8253*tk_opex_gb300+(Sens!J8255+Sens!J8254)*tk_opex_vr200)/Sens!J8243</f>
        <v>2.04808073288745</v>
      </c>
      <c r="K8261" s="15" t="n">
        <f aca="false">(Sens!K8251*tk_opex_h100+Sens!K8252*tk_opex_gb200+Sens!K8253*tk_opex_gb300+(Sens!K8255+Sens!K8254)*tk_opex_vr200)/Sens!K8243</f>
        <v>2.06973825807449</v>
      </c>
      <c r="L8261" s="12" t="s">
        <v>979</v>
      </c>
    </row>
    <row r="8262" customFormat="false" ht="17.15" hidden="false" customHeight="false" outlineLevel="0" collapsed="false">
      <c r="A8262" s="0" t="s">
        <v>980</v>
      </c>
      <c r="B8262" s="0" t="s">
        <v>98</v>
      </c>
      <c r="D8262" s="6" t="n">
        <f aca="false">(Sens!C8246+Sens!D8246)/2*Sens!D8261/1000</f>
        <v>2.70378325872065</v>
      </c>
      <c r="E8262" s="6" t="n">
        <f aca="false">(Sens!D8246+Sens!E8246)/2*Sens!E8261/1000</f>
        <v>6.17783035277451</v>
      </c>
      <c r="F8262" s="6" t="n">
        <f aca="false">(Sens!E8246+Sens!F8246)/2*Sens!F8261/1000</f>
        <v>12.8742463089237</v>
      </c>
      <c r="G8262" s="6" t="n">
        <f aca="false">(Sens!F8246+Sens!G8246)/2*Sens!G8261/1000</f>
        <v>21.8182834646277</v>
      </c>
      <c r="H8262" s="6" t="n">
        <f aca="false">(Sens!G8246+Sens!H8246)/2*Sens!H8261/1000</f>
        <v>31.2430128789734</v>
      </c>
      <c r="I8262" s="6" t="n">
        <f aca="false">(Sens!H8246+Sens!I8246)/2*Sens!I8261/1000</f>
        <v>39.4313057443268</v>
      </c>
      <c r="J8262" s="6" t="n">
        <f aca="false">(Sens!I8246+Sens!J8246)/2*Sens!J8261/1000</f>
        <v>45.0360318228653</v>
      </c>
      <c r="K8262" s="6" t="n">
        <f aca="false">(Sens!J8246+Sens!K8246)/2*Sens!K8261/1000</f>
        <v>48.2929727091156</v>
      </c>
    </row>
    <row r="8263" customFormat="false" ht="17.15" hidden="false" customHeight="false" outlineLevel="0" collapsed="false">
      <c r="A8263" s="0" t="s">
        <v>981</v>
      </c>
      <c r="B8263" s="0" t="s">
        <v>98</v>
      </c>
      <c r="D8263" s="6" t="n">
        <f aca="false">(Sens!C8244+Sens!D8244)/2*rent_mw/1000</f>
        <v>2.44475</v>
      </c>
      <c r="E8263" s="6" t="n">
        <f aca="false">(Sens!D8244+Sens!E8244)/2*rent_mw/1000</f>
        <v>4.22275</v>
      </c>
      <c r="F8263" s="6" t="n">
        <f aca="false">(Sens!E8244+Sens!F8244)/2*rent_mw/1000</f>
        <v>5.80517</v>
      </c>
      <c r="G8263" s="6" t="n">
        <f aca="false">(Sens!F8244+Sens!G8244)/2*rent_mw/1000</f>
        <v>6.72084</v>
      </c>
      <c r="H8263" s="6" t="n">
        <f aca="false">(Sens!G8244+Sens!H8244)/2*rent_mw/1000</f>
        <v>6.72084</v>
      </c>
      <c r="I8263" s="6" t="n">
        <f aca="false">(Sens!H8244+Sens!I8244)/2*rent_mw/1000</f>
        <v>6.72084</v>
      </c>
      <c r="J8263" s="6" t="n">
        <f aca="false">(Sens!I8244+Sens!J8244)/2*rent_mw/1000</f>
        <v>6.72084</v>
      </c>
      <c r="K8263" s="6" t="n">
        <f aca="false">(Sens!J8244+Sens!K8244)/2*rent_mw/1000</f>
        <v>6.72084</v>
      </c>
    </row>
    <row r="8264" customFormat="false" ht="17.15" hidden="false" customHeight="false" outlineLevel="0" collapsed="false">
      <c r="A8264" s="0" t="s">
        <v>982</v>
      </c>
      <c r="B8264" s="0" t="s">
        <v>98</v>
      </c>
      <c r="D8264" s="6" t="n">
        <f aca="false">(Sens!C8246+Sens!D8246)/2*(1-self_build)*fac_rent/1000</f>
        <v>0.853242375631075</v>
      </c>
      <c r="E8264" s="6" t="n">
        <f aca="false">(Sens!D8246+Sens!E8246)/2*(1-self_build)*fac_rent/1000</f>
        <v>1.94955961408728</v>
      </c>
      <c r="F8264" s="6" t="n">
        <f aca="false">(Sens!E8246+Sens!F8246)/2*(1-self_build)*fac_rent/1000</f>
        <v>3.92914894476356</v>
      </c>
      <c r="G8264" s="6" t="n">
        <f aca="false">(Sens!F8246+Sens!G8246)/2*(1-self_build)*fac_rent/1000</f>
        <v>6.53206908578159</v>
      </c>
      <c r="H8264" s="6" t="n">
        <f aca="false">(Sens!G8246+Sens!H8246)/2*(1-self_build)*fac_rent/1000</f>
        <v>9.23717988341591</v>
      </c>
      <c r="I8264" s="6" t="n">
        <f aca="false">(Sens!H8246+Sens!I8246)/2*(1-self_build)*fac_rent/1000</f>
        <v>11.5481378557393</v>
      </c>
      <c r="J8264" s="6" t="n">
        <f aca="false">(Sens!I8246+Sens!J8246)/2*(1-self_build)*fac_rent/1000</f>
        <v>13.0899582289108</v>
      </c>
      <c r="K8264" s="6" t="n">
        <f aca="false">(Sens!J8246+Sens!K8246)/2*(1-self_build)*fac_rent/1000</f>
        <v>13.8897275626556</v>
      </c>
      <c r="L8264" s="12" t="s">
        <v>983</v>
      </c>
    </row>
    <row r="8265" customFormat="false" ht="17.15" hidden="false" customHeight="false" outlineLevel="0" collapsed="false">
      <c r="A8265" s="1" t="s">
        <v>984</v>
      </c>
      <c r="B8265" s="0" t="s">
        <v>168</v>
      </c>
      <c r="D8265" s="7" t="n">
        <f aca="false">(Sens!C8245+Sens!D8245)/(Sens!C8246+Sens!D8246)</f>
        <v>0.6</v>
      </c>
      <c r="E8265" s="7" t="n">
        <f aca="false">(Sens!D8245+Sens!E8245)/(Sens!D8246+Sens!E8246)</f>
        <v>0.6</v>
      </c>
      <c r="F8265" s="7" t="n">
        <f aca="false">(Sens!E8245+Sens!F8245)/(Sens!E8246+Sens!F8246)</f>
        <v>0.6</v>
      </c>
      <c r="G8265" s="7" t="n">
        <f aca="false">(Sens!F8245+Sens!G8245)/(Sens!F8246+Sens!G8246)</f>
        <v>0.6</v>
      </c>
      <c r="H8265" s="7" t="n">
        <f aca="false">(Sens!G8245+Sens!H8245)/(Sens!G8246+Sens!H8246)</f>
        <v>0.6</v>
      </c>
      <c r="I8265" s="7" t="n">
        <f aca="false">(Sens!H8245+Sens!I8245)/(Sens!H8246+Sens!I8246)</f>
        <v>0.6</v>
      </c>
      <c r="J8265" s="7" t="n">
        <f aca="false">(Sens!I8245+Sens!J8245)/(Sens!I8246+Sens!J8246)</f>
        <v>0.6</v>
      </c>
      <c r="K8265" s="7" t="n">
        <f aca="false">(Sens!J8245+Sens!K8245)/(Sens!J8246+Sens!K8246)</f>
        <v>0.6</v>
      </c>
    </row>
    <row r="8266" customFormat="false" ht="17.15" hidden="false" customHeight="false" outlineLevel="0" collapsed="false">
      <c r="A8266" s="0" t="s">
        <v>985</v>
      </c>
      <c r="B8266" s="0" t="s">
        <v>98</v>
      </c>
      <c r="D8266" s="6" t="n">
        <f aca="false">Sens!D8260-Sens!D8265*(Sens!D8262+Sens!D8264)-Sens!D8263</f>
        <v>8.35701406163072</v>
      </c>
      <c r="E8266" s="6" t="n">
        <f aca="false">Sens!E8260-Sens!E8265*(Sens!E8262+Sens!E8264)-Sens!E8263</f>
        <v>18.7103224860238</v>
      </c>
      <c r="F8266" s="6" t="n">
        <f aca="false">Sens!F8260-Sens!F8265*(Sens!F8262+Sens!F8264)-Sens!F8263</f>
        <v>35.0947222830189</v>
      </c>
      <c r="G8266" s="6" t="n">
        <f aca="false">Sens!G8260-Sens!G8265*(Sens!G8262+Sens!G8264)-Sens!G8263</f>
        <v>52.9609920712477</v>
      </c>
      <c r="H8266" s="6" t="n">
        <f aca="false">Sens!H8260-Sens!H8265*(Sens!H8262+Sens!H8264)-Sens!H8263</f>
        <v>66.4405822844005</v>
      </c>
      <c r="I8266" s="6" t="n">
        <f aca="false">Sens!I8260-Sens!I8265*(Sens!I8262+Sens!I8264)-Sens!I8263</f>
        <v>84.7749393938279</v>
      </c>
      <c r="J8266" s="6" t="n">
        <f aca="false">Sens!J8260-Sens!J8265*(Sens!J8262+Sens!J8264)-Sens!J8263</f>
        <v>97.6526264137382</v>
      </c>
      <c r="K8266" s="6" t="n">
        <f aca="false">Sens!K8260-Sens!K8265*(Sens!K8262+Sens!K8264)-Sens!K8263</f>
        <v>105.965358412527</v>
      </c>
    </row>
    <row r="8267" customFormat="false" ht="17.15" hidden="false" customHeight="false" outlineLevel="0" collapsed="false">
      <c r="A8267" s="1" t="s">
        <v>986</v>
      </c>
      <c r="B8267" s="0" t="s">
        <v>98</v>
      </c>
      <c r="D8267" s="6" t="n">
        <f aca="false">(1-Sens!D8265)*(Sens!D8262+Sens!D8264)</f>
        <v>1.42281025374069</v>
      </c>
      <c r="E8267" s="6" t="n">
        <f aca="false">(1-Sens!E8265)*(Sens!E8262+Sens!E8264)</f>
        <v>3.25095598674472</v>
      </c>
      <c r="F8267" s="6" t="n">
        <f aca="false">(1-Sens!F8265)*(Sens!F8262+Sens!F8264)</f>
        <v>6.72135810147489</v>
      </c>
      <c r="G8267" s="6" t="n">
        <f aca="false">(1-Sens!G8265)*(Sens!G8262+Sens!G8264)</f>
        <v>11.3401410201637</v>
      </c>
      <c r="H8267" s="6" t="n">
        <f aca="false">(1-Sens!H8265)*(Sens!H8262+Sens!H8264)</f>
        <v>16.1920771049557</v>
      </c>
      <c r="I8267" s="6" t="n">
        <f aca="false">(1-Sens!I8265)*(Sens!I8262+Sens!I8264)</f>
        <v>20.3917774400264</v>
      </c>
      <c r="J8267" s="6" t="n">
        <f aca="false">(1-Sens!J8265)*(Sens!J8262+Sens!J8264)</f>
        <v>23.2503960207104</v>
      </c>
      <c r="K8267" s="6" t="n">
        <f aca="false">(1-Sens!K8265)*(Sens!K8262+Sens!K8264)</f>
        <v>24.8730801087085</v>
      </c>
    </row>
    <row r="8268" customFormat="false" ht="17.15" hidden="false" customHeight="false" outlineLevel="0" collapsed="false">
      <c r="A8268" s="1" t="s">
        <v>987</v>
      </c>
      <c r="B8268" s="0" t="s">
        <v>414</v>
      </c>
      <c r="C8268" s="8" t="n">
        <f aca="false">cxit_open</f>
        <v>27.5918995</v>
      </c>
      <c r="D8268" s="8" t="n">
        <f aca="false">cxit_open</f>
        <v>27.5918995</v>
      </c>
      <c r="E8268" s="8" t="n">
        <f aca="false">cxit_open</f>
        <v>27.5918995</v>
      </c>
      <c r="F8268" s="8" t="n">
        <f aca="false">((a_g3_27-nonnv*a_mai)*tk_cxit_gb300+nonnv*a_mai*nv_hold_mai*tk_cxit_vr200+(1-a_g3_27)*tk_cxit_vr200)</f>
        <v>32.4975576</v>
      </c>
      <c r="G8268" s="8" t="n">
        <f aca="false">((a_g3_28-nonnv*a_mai)*tk_cxit_gb300+nonnv*a_mai*nv_hold_mai*tk_cxit_vr200+(1-a_g3_28)*tk_cxit_vr200)</f>
        <v>34.6372088</v>
      </c>
      <c r="H8268" s="8" t="n">
        <f aca="false">((a_g3_29-nonnv*a_mai)*tk_cxit_gb300+nonnv*a_mai*nv_hold_mai*tk_cxit_vr200+(1-a_g3_29)*tk_cxit_vr200)</f>
        <v>35.7070344</v>
      </c>
      <c r="I8268" s="8" t="n">
        <f aca="false">((a_g3_29-nonnv*a_mai)*tk_cxit_gb300+nonnv*a_mai*nv_hold_mai*tk_cxit_vr200+(1-a_g3_29)*tk_cxit_vr200)</f>
        <v>35.7070344</v>
      </c>
      <c r="J8268" s="8" t="n">
        <f aca="false">((a_g3_29-nonnv*a_mai)*tk_cxit_gb300+nonnv*a_mai*nv_hold_mai*tk_cxit_vr200+(1-a_g3_29)*tk_cxit_vr200)</f>
        <v>35.7070344</v>
      </c>
      <c r="K8268" s="8" t="n">
        <f aca="false">((a_g3_29-nonnv*a_mai)*tk_cxit_gb300+nonnv*a_mai*nv_hold_mai*tk_cxit_vr200+(1-a_g3_29)*tk_cxit_vr200)</f>
        <v>35.7070344</v>
      </c>
      <c r="L8268" s="12" t="s">
        <v>988</v>
      </c>
    </row>
    <row r="8269" customFormat="false" ht="17.15" hidden="false" customHeight="false" outlineLevel="0" collapsed="false">
      <c r="A8269" s="0" t="s">
        <v>989</v>
      </c>
      <c r="B8269" s="0" t="s">
        <v>456</v>
      </c>
      <c r="F8269" s="30" t="n">
        <f aca="false">Sens!C8248*IF(Sens!F8241-Sens!C8241=life_it,1,0)+Sens!D8248*IF(Sens!F8241-Sens!D8241=life_it,1,0)+Sens!E8248*IF(Sens!F8241-Sens!E8241=life_it,1,0)</f>
        <v>0</v>
      </c>
      <c r="G8269" s="30" t="n">
        <f aca="false">Sens!C8248*IF(Sens!G8241-Sens!C8241=life_it,1,0)+Sens!D8248*IF(Sens!G8241-Sens!D8241=life_it,1,0)+Sens!E8248*IF(Sens!G8241-Sens!E8241=life_it,1,0)+Sens!F8248*IF(Sens!G8241-Sens!F8241=life_it,1,0)</f>
        <v>0</v>
      </c>
      <c r="H8269" s="30" t="n">
        <f aca="false">Sens!C8248*IF(Sens!H8241-Sens!C8241=life_it,1,0)+Sens!D8248*IF(Sens!H8241-Sens!D8241=life_it,1,0)+Sens!E8248*IF(Sens!H8241-Sens!E8241=life_it,1,0)+Sens!F8248*IF(Sens!H8241-Sens!F8241=life_it,1,0)+Sens!G8248*IF(Sens!H8241-Sens!G8241=life_it,1,0)</f>
        <v>0</v>
      </c>
      <c r="I8269" s="30" t="n">
        <f aca="false">Sens!C8248*IF(Sens!I8241-Sens!C8241=life_it,1,0)+Sens!D8248*IF(Sens!I8241-Sens!D8241=life_it,1,0)+Sens!E8248*IF(Sens!I8241-Sens!E8241=life_it,1,0)+Sens!F8248*IF(Sens!I8241-Sens!F8241=life_it,1,0)+Sens!G8248*IF(Sens!I8241-Sens!G8241=life_it,1,0)+Sens!H8248*IF(Sens!I8241-Sens!H8241=life_it,1,0)</f>
        <v>816.666666666667</v>
      </c>
      <c r="J8269" s="30" t="n">
        <f aca="false">Sens!C8248*IF(Sens!J8241-Sens!C8241=life_it,1,0)+Sens!D8248*IF(Sens!J8241-Sens!D8241=life_it,1,0)+Sens!E8248*IF(Sens!J8241-Sens!E8241=life_it,1,0)+Sens!F8248*IF(Sens!J8241-Sens!F8241=life_it,1,0)+Sens!G8248*IF(Sens!J8241-Sens!G8241=life_it,1,0)+Sens!H8248*IF(Sens!J8241-Sens!H8241=life_it,1,0)+Sens!I8248*IF(Sens!J8241-Sens!I8241=life_it,1,0)</f>
        <v>1233.33333333333</v>
      </c>
      <c r="K8269" s="30" t="n">
        <f aca="false">Sens!C8248*IF(Sens!K8241-Sens!C8241=life_it,1,0)+Sens!D8248*IF(Sens!K8241-Sens!D8241=life_it,1,0)+Sens!E8248*IF(Sens!K8241-Sens!E8241=life_it,1,0)+Sens!F8248*IF(Sens!K8241-Sens!F8241=life_it,1,0)+Sens!G8248*IF(Sens!K8241-Sens!G8241=life_it,1,0)+Sens!H8248*IF(Sens!K8241-Sens!H8241=life_it,1,0)+Sens!I8248*IF(Sens!K8241-Sens!I8241=life_it,1,0)+Sens!J8248*IF(Sens!K8241-Sens!J8241=life_it,1,0)</f>
        <v>2450</v>
      </c>
      <c r="L8269" s="1" t="s">
        <v>990</v>
      </c>
    </row>
    <row r="8270" customFormat="false" ht="17.15" hidden="false" customHeight="false" outlineLevel="0" collapsed="false">
      <c r="A8270" s="0" t="s">
        <v>991</v>
      </c>
      <c r="B8270" s="0" t="s">
        <v>98</v>
      </c>
      <c r="C8270" s="6" t="n">
        <f aca="false">Sens!C8248*Sens!C8268/1000</f>
        <v>22.5333845916667</v>
      </c>
      <c r="D8270" s="6" t="n">
        <f aca="false">Sens!D8248*Sens!D8268/1000</f>
        <v>34.0300093833333</v>
      </c>
      <c r="E8270" s="6" t="n">
        <f aca="false">Sens!E8248*Sens!E8268/1000</f>
        <v>67.600153775</v>
      </c>
      <c r="F8270" s="6" t="n">
        <f aca="false">(Sens!F8248+Sens!F8269)*Sens!F8268/1000</f>
        <v>136.51872432512</v>
      </c>
      <c r="G8270" s="6" t="n">
        <f aca="false">(Sens!G8248+Sens!G8269)*Sens!G8268/1000</f>
        <v>157.399275932048</v>
      </c>
      <c r="H8270" s="6" t="n">
        <f aca="false">(Sens!H8248+Sens!H8269)*Sens!H8268/1000</f>
        <v>162.260804347512</v>
      </c>
      <c r="I8270" s="6" t="n">
        <f aca="false">(Sens!I8248+Sens!I8269)*Sens!I8268/1000</f>
        <v>144.136569485434</v>
      </c>
      <c r="J8270" s="6" t="n">
        <f aca="false">(Sens!J8248+Sens!J8269)*Sens!J8268/1000</f>
        <v>114.029037357864</v>
      </c>
      <c r="K8270" s="6" t="n">
        <f aca="false">(Sens!K8248+Sens!K8269)*Sens!K8268/1000</f>
        <v>113.437085350975</v>
      </c>
    </row>
    <row r="8271" customFormat="false" ht="17.15" hidden="false" customHeight="false" outlineLevel="0" collapsed="false">
      <c r="A8271" s="0" t="s">
        <v>992</v>
      </c>
      <c r="B8271" s="0" t="s">
        <v>98</v>
      </c>
      <c r="C8271" s="6" t="n">
        <f aca="false">Sens!C8248*self_build*tk_cxfac/1000</f>
        <v>6.2083</v>
      </c>
      <c r="D8271" s="6" t="n">
        <f aca="false">Sens!D8248*self_build*tk_cxfac/1000</f>
        <v>9.3758</v>
      </c>
      <c r="E8271" s="6" t="n">
        <f aca="false">Sens!E8248*self_build*tk_cxfac/1000</f>
        <v>18.6249</v>
      </c>
      <c r="F8271" s="6" t="n">
        <f aca="false">Sens!F8248*self_build*tk_cxfac/1000</f>
        <v>31.935179717</v>
      </c>
      <c r="G8271" s="6" t="n">
        <f aca="false">Sens!G8248*self_build*tk_cxfac/1000</f>
        <v>34.545199717</v>
      </c>
      <c r="H8271" s="6" t="n">
        <f aca="false">Sens!H8248*self_build*tk_cxfac/1000</f>
        <v>34.545199717</v>
      </c>
      <c r="I8271" s="6" t="n">
        <f aca="false">Sens!I8248*self_build*tk_cxfac/1000</f>
        <v>24.4782641361767</v>
      </c>
      <c r="J8271" s="6" t="n">
        <f aca="false">Sens!J8248*self_build*tk_cxfac/1000</f>
        <v>14.9008938380769</v>
      </c>
      <c r="K8271" s="6" t="n">
        <f aca="false">Sens!K8248*self_build*tk_cxfac/1000</f>
        <v>5.52576771375761</v>
      </c>
    </row>
    <row r="8272" customFormat="false" ht="17.15" hidden="false" customHeight="false" outlineLevel="0" collapsed="false">
      <c r="A8272" s="0" t="s">
        <v>993</v>
      </c>
      <c r="B8272" s="0" t="s">
        <v>98</v>
      </c>
      <c r="F8272" s="15" t="n">
        <f aca="false">capex_floor27-Sens!F8270-Sens!F8271-Sens!F8368</f>
        <v>0.144584188140747</v>
      </c>
      <c r="L8272" s="12" t="s">
        <v>994</v>
      </c>
    </row>
    <row r="8273" customFormat="false" ht="17.15" hidden="false" customHeight="false" outlineLevel="0" collapsed="false">
      <c r="A8273" s="0" t="s">
        <v>995</v>
      </c>
      <c r="B8273" s="0" t="s">
        <v>98</v>
      </c>
      <c r="F8273" s="6" t="n">
        <f aca="false">MAX(0,Sens!F8272)</f>
        <v>0.144584188140747</v>
      </c>
    </row>
    <row r="8274" customFormat="false" ht="17.15" hidden="false" customHeight="false" outlineLevel="0" collapsed="false">
      <c r="A8274" s="0" t="s">
        <v>996</v>
      </c>
      <c r="B8274" s="0" t="s">
        <v>98</v>
      </c>
      <c r="C8274" s="6" t="n">
        <f aca="false">Sens!C8270</f>
        <v>22.5333845916667</v>
      </c>
      <c r="D8274" s="6" t="n">
        <f aca="false">Sens!D8270</f>
        <v>34.0300093833333</v>
      </c>
      <c r="E8274" s="6" t="n">
        <f aca="false">Sens!E8270</f>
        <v>67.600153775</v>
      </c>
      <c r="F8274" s="6" t="n">
        <f aca="false">Sens!F8270</f>
        <v>136.51872432512</v>
      </c>
      <c r="G8274" s="6" t="n">
        <f aca="false">Sens!G8270</f>
        <v>157.399275932048</v>
      </c>
      <c r="H8274" s="6" t="n">
        <f aca="false">Sens!H8270</f>
        <v>162.260804347512</v>
      </c>
      <c r="I8274" s="6" t="n">
        <f aca="false">Sens!I8270</f>
        <v>144.136569485434</v>
      </c>
      <c r="J8274" s="6" t="n">
        <f aca="false">Sens!J8270</f>
        <v>114.029037357864</v>
      </c>
      <c r="K8274" s="6" t="n">
        <f aca="false">Sens!K8270</f>
        <v>113.437085350975</v>
      </c>
    </row>
    <row r="8275" customFormat="false" ht="17.15" hidden="false" customHeight="false" outlineLevel="0" collapsed="false">
      <c r="A8275" s="0" t="s">
        <v>997</v>
      </c>
      <c r="B8275" s="0" t="s">
        <v>98</v>
      </c>
      <c r="C8275" s="6" t="n">
        <f aca="false">Sens!C8274+Sens!C8271</f>
        <v>28.7416845916667</v>
      </c>
      <c r="D8275" s="6" t="n">
        <f aca="false">Sens!D8274+Sens!D8271</f>
        <v>43.4058093833333</v>
      </c>
      <c r="E8275" s="6" t="n">
        <f aca="false">Sens!E8274+Sens!E8271</f>
        <v>86.225053775</v>
      </c>
      <c r="F8275" s="6" t="n">
        <f aca="false">Sens!F8274+Sens!F8271</f>
        <v>168.45390404212</v>
      </c>
      <c r="G8275" s="6" t="n">
        <f aca="false">Sens!G8274+Sens!G8271</f>
        <v>191.944475649048</v>
      </c>
      <c r="H8275" s="6" t="n">
        <f aca="false">Sens!H8274+Sens!H8271</f>
        <v>196.806004064512</v>
      </c>
      <c r="I8275" s="6" t="n">
        <f aca="false">Sens!I8274+Sens!I8271</f>
        <v>168.61483362161</v>
      </c>
      <c r="J8275" s="6" t="n">
        <f aca="false">Sens!J8274+Sens!J8271</f>
        <v>128.92993119594</v>
      </c>
      <c r="K8275" s="6" t="n">
        <f aca="false">Sens!K8274+Sens!K8271</f>
        <v>118.962853064733</v>
      </c>
      <c r="L8275" s="12" t="s">
        <v>998</v>
      </c>
    </row>
    <row r="8276" customFormat="false" ht="17.15" hidden="false" customHeight="false" outlineLevel="0" collapsed="false">
      <c r="A8276" s="0" t="s">
        <v>999</v>
      </c>
      <c r="B8276" s="0" t="s">
        <v>98</v>
      </c>
      <c r="E8276" s="6" t="n">
        <f aca="false">(Sens!C8274*IF(2&lt;life_it,1,IF(2=life_it,0.5,0))+Sens!D8274*IF(1&lt;life_it,1,IF(1=life_it,0.5,0))+Sens!E8274*0.5)/life_it</f>
        <v>15.0605784770833</v>
      </c>
      <c r="F8276" s="6" t="n">
        <f aca="false">(Sens!C8274*IF(3&lt;life_it,1,IF(3=life_it,0.5,0))+Sens!D8274*IF(2&lt;life_it,1,IF(2=life_it,0.5,0))+Sens!E8274*IF(1&lt;life_it,1,IF(1=life_it,0.5,0))+Sens!F8274*0.5)/life_it</f>
        <v>32.0704849854266</v>
      </c>
      <c r="G8276" s="6" t="n">
        <f aca="false">(Sens!C8274*IF(4&lt;life_it,1,IF(4=life_it,0.5,0))+Sens!D8274*IF(3&lt;life_it,1,IF(3=life_it,0.5,0))+Sens!E8274*IF(2&lt;life_it,1,IF(2=life_it,0.5,0))+Sens!F8274*IF(1&lt;life_it,1,IF(1=life_it,0.5,0))+Sens!G8274*0.5)/life_it</f>
        <v>56.5636516735239</v>
      </c>
      <c r="H8276" s="6" t="n">
        <f aca="false">(Sens!C8274*IF(5&lt;life_it,1,IF(5=life_it,0.5,0))+Sens!D8274*IF(4&lt;life_it,1,IF(4=life_it,0.5,0))+Sens!E8274*IF(3&lt;life_it,1,IF(3=life_it,0.5,0))+Sens!F8274*IF(2&lt;life_it,1,IF(2=life_it,0.5,0))+Sens!G8274*IF(1&lt;life_it,1,IF(1=life_it,0.5,0))+Sens!H8274*0.5)/life_it</f>
        <v>83.2019916968207</v>
      </c>
      <c r="I8276" s="6" t="n">
        <f aca="false">(Sens!C8274*IF(6&lt;life_it,1,IF(6=life_it,0.5,0))+Sens!D8274*IF(5&lt;life_it,1,IF(5=life_it,0.5,0))+Sens!E8274*IF(4&lt;life_it,1,IF(4=life_it,0.5,0))+Sens!F8274*IF(3&lt;life_it,1,IF(3=life_it,0.5,0))+Sens!G8274*IF(2&lt;life_it,1,IF(2=life_it,0.5,0))+Sens!H8274*IF(1&lt;life_it,1,IF(1=life_it,0.5,0))+Sens!I8274*0.5)/life_it</f>
        <v>106.857324133594</v>
      </c>
      <c r="J8276" s="6" t="n">
        <f aca="false">(Sens!C8274*IF(7&lt;life_it,1,IF(7=life_it,0.5,0))+Sens!D8274*IF(6&lt;life_it,1,IF(6=life_it,0.5,0))+Sens!E8274*IF(5&lt;life_it,1,IF(5=life_it,0.5,0))+Sens!F8274*IF(4&lt;life_it,1,IF(4=life_it,0.5,0))+Sens!G8274*IF(3&lt;life_it,1,IF(3=life_it,0.5,0))+Sens!H8274*IF(2&lt;life_it,1,IF(2=life_it,0.5,0))+Sens!I8274*IF(1&lt;life_it,1,IF(1=life_it,0.5,0))+Sens!J8274*0.5)/life_it</f>
        <v>123.657508539285</v>
      </c>
      <c r="K8276" s="6" t="n">
        <f aca="false">(Sens!C8274*IF(8&lt;life_it,1,IF(8=life_it,0.5,0))+Sens!D8274*IF(7&lt;life_it,1,IF(7=life_it,0.5,0))+Sens!E8274*IF(6&lt;life_it,1,IF(6=life_it,0.5,0))+Sens!F8274*IF(5&lt;life_it,1,IF(5=life_it,0.5,0))+Sens!G8274*IF(4&lt;life_it,1,IF(4=life_it,0.5,0))+Sens!H8274*IF(3&lt;life_it,1,IF(3=life_it,0.5,0))+Sens!I8274*IF(2&lt;life_it,1,IF(2=life_it,0.5,0))+Sens!J8274*IF(1&lt;life_it,1,IF(1=life_it,0.5,0))+Sens!K8274*0.5)/life_it</f>
        <v>134.143838501827</v>
      </c>
    </row>
    <row r="8277" customFormat="false" ht="17.15" hidden="false" customHeight="false" outlineLevel="0" collapsed="false">
      <c r="A8277" s="0" t="s">
        <v>1000</v>
      </c>
      <c r="B8277" s="0" t="s">
        <v>98</v>
      </c>
      <c r="E8277" s="6" t="n">
        <f aca="false">(Sens!C8271*IF(2&lt;life_fac,1,IF(2=life_fac,0.5,0))+Sens!D8271*IF(1&lt;life_fac,1,IF(1=life_fac,0.5,0))+Sens!E8271*0.5)/life_fac</f>
        <v>1.2448275</v>
      </c>
      <c r="F8277" s="6" t="n">
        <f aca="false">(Sens!C8271*IF(3&lt;life_fac,1,IF(3=life_fac,0.5,0))+Sens!D8271*IF(2&lt;life_fac,1,IF(2=life_fac,0.5,0))+Sens!E8271*IF(1&lt;life_fac,1,IF(1=life_fac,0.5,0))+Sens!F8271*0.5)/life_fac</f>
        <v>2.508829492925</v>
      </c>
      <c r="G8277" s="6" t="n">
        <f aca="false">(Sens!C8271*IF(4&lt;life_fac,1,IF(4=life_fac,0.5,0))+Sens!D8271*IF(3&lt;life_fac,1,IF(3=life_fac,0.5,0))+Sens!E8271*IF(2&lt;life_fac,1,IF(2=life_fac,0.5,0))+Sens!F8271*IF(1&lt;life_fac,1,IF(1=life_fac,0.5,0))+Sens!G8271*0.5)/life_fac</f>
        <v>4.170838978775</v>
      </c>
      <c r="H8277" s="6" t="n">
        <f aca="false">(Sens!C8271*IF(5&lt;life_fac,1,IF(5=life_fac,0.5,0))+Sens!D8271*IF(4&lt;life_fac,1,IF(4=life_fac,0.5,0))+Sens!E8271*IF(3&lt;life_fac,1,IF(3=life_fac,0.5,0))+Sens!F8271*IF(2&lt;life_fac,1,IF(2=life_fac,0.5,0))+Sens!G8271*IF(1&lt;life_fac,1,IF(1=life_fac,0.5,0))+Sens!H8271*0.5)/life_fac</f>
        <v>5.898098964625</v>
      </c>
      <c r="I8277" s="6" t="n">
        <f aca="false">(Sens!C8271*IF(6&lt;life_fac,1,IF(6=life_fac,0.5,0))+Sens!D8271*IF(5&lt;life_fac,1,IF(5=life_fac,0.5,0))+Sens!E8271*IF(4&lt;life_fac,1,IF(4=life_fac,0.5,0))+Sens!F8271*IF(3&lt;life_fac,1,IF(3=life_fac,0.5,0))+Sens!G8271*IF(2&lt;life_fac,1,IF(2=life_fac,0.5,0))+Sens!H8271*IF(1&lt;life_fac,1,IF(1=life_fac,0.5,0))+Sens!I8271*0.5)/life_fac</f>
        <v>7.37368556095442</v>
      </c>
      <c r="J8277" s="6" t="n">
        <f aca="false">(Sens!C8271*IF(7&lt;life_fac,1,IF(7=life_fac,0.5,0))+Sens!D8271*IF(6&lt;life_fac,1,IF(6=life_fac,0.5,0))+Sens!E8271*IF(5&lt;life_fac,1,IF(5=life_fac,0.5,0))+Sens!F8271*IF(4&lt;life_fac,1,IF(4=life_fac,0.5,0))+Sens!G8271*IF(3&lt;life_fac,1,IF(3=life_fac,0.5,0))+Sens!H8271*IF(2&lt;life_fac,1,IF(2=life_fac,0.5,0))+Sens!I8271*IF(1&lt;life_fac,1,IF(1=life_fac,0.5,0))+Sens!J8271*0.5)/life_fac</f>
        <v>8.35816451031075</v>
      </c>
      <c r="K8277" s="6" t="n">
        <f aca="false">(Sens!C8271*IF(8&lt;life_fac,1,IF(8=life_fac,0.5,0))+Sens!D8271*IF(7&lt;life_fac,1,IF(7=life_fac,0.5,0))+Sens!E8271*IF(6&lt;life_fac,1,IF(6=life_fac,0.5,0))+Sens!F8271*IF(5&lt;life_fac,1,IF(5=life_fac,0.5,0))+Sens!G8271*IF(4&lt;life_fac,1,IF(4=life_fac,0.5,0))+Sens!H8271*IF(3&lt;life_fac,1,IF(3=life_fac,0.5,0))+Sens!I8271*IF(2&lt;life_fac,1,IF(2=life_fac,0.5,0))+Sens!J8271*IF(1&lt;life_fac,1,IF(1=life_fac,0.5,0))+Sens!K8271*0.5)/life_fac</f>
        <v>8.86883104910662</v>
      </c>
    </row>
    <row r="8278" customFormat="false" ht="17.15" hidden="false" customHeight="false" outlineLevel="0" collapsed="false">
      <c r="A8278" s="0" t="s">
        <v>1001</v>
      </c>
      <c r="B8278" s="0" t="s">
        <v>98</v>
      </c>
      <c r="E8278" s="6" t="n">
        <f aca="false">Sens!E8276+Sens!E8277</f>
        <v>16.3054059770833</v>
      </c>
      <c r="F8278" s="6" t="n">
        <f aca="false">Sens!F8276+Sens!F8277</f>
        <v>34.5793144783516</v>
      </c>
      <c r="G8278" s="6" t="n">
        <f aca="false">Sens!G8276+Sens!G8277</f>
        <v>60.7344906522989</v>
      </c>
      <c r="H8278" s="6" t="n">
        <f aca="false">Sens!H8276+Sens!H8277</f>
        <v>89.1000906614457</v>
      </c>
      <c r="I8278" s="6" t="n">
        <f aca="false">Sens!I8276+Sens!I8277</f>
        <v>114.231009694548</v>
      </c>
      <c r="J8278" s="6" t="n">
        <f aca="false">Sens!J8276+Sens!J8277</f>
        <v>132.015673049596</v>
      </c>
      <c r="K8278" s="6" t="n">
        <f aca="false">Sens!K8276+Sens!K8277</f>
        <v>143.012669550934</v>
      </c>
    </row>
    <row r="8279" customFormat="false" ht="17.15" hidden="false" customHeight="false" outlineLevel="0" collapsed="false">
      <c r="A8279" s="0" t="s">
        <v>1002</v>
      </c>
      <c r="B8279" s="0" t="s">
        <v>98</v>
      </c>
      <c r="E8279" s="6" t="n">
        <f aca="false">Sens!E8266-Sens!E8265*Sens!E8278</f>
        <v>8.92707889977379</v>
      </c>
      <c r="F8279" s="6" t="n">
        <f aca="false">Sens!F8266-Sens!F8265*Sens!F8278</f>
        <v>14.3471335960079</v>
      </c>
      <c r="G8279" s="6" t="n">
        <f aca="false">Sens!G8266-Sens!G8265*Sens!G8278</f>
        <v>16.5202976798683</v>
      </c>
      <c r="H8279" s="6" t="n">
        <f aca="false">Sens!H8266-Sens!H8265*Sens!H8278</f>
        <v>12.9805278875331</v>
      </c>
      <c r="I8279" s="6" t="n">
        <f aca="false">Sens!I8266-Sens!I8265*Sens!I8278</f>
        <v>16.2363335770989</v>
      </c>
      <c r="J8279" s="6" t="n">
        <f aca="false">Sens!J8266-Sens!J8265*Sens!J8278</f>
        <v>18.4432225839805</v>
      </c>
      <c r="K8279" s="6" t="n">
        <f aca="false">Sens!K8266-Sens!K8265*Sens!K8278</f>
        <v>20.1577566819661</v>
      </c>
    </row>
    <row r="8280" customFormat="false" ht="17.15" hidden="false" customHeight="false" outlineLevel="0" collapsed="false">
      <c r="A8280" s="3" t="s">
        <v>1686</v>
      </c>
    </row>
    <row r="8281" customFormat="false" ht="15" hidden="false" customHeight="false" outlineLevel="0" collapsed="false">
      <c r="A8281" s="4" t="s">
        <v>43</v>
      </c>
      <c r="B8281" s="4" t="s">
        <v>65</v>
      </c>
      <c r="C8281" s="23" t="s">
        <v>938</v>
      </c>
      <c r="D8281" s="23" t="s">
        <v>939</v>
      </c>
      <c r="E8281" s="23" t="s">
        <v>940</v>
      </c>
      <c r="F8281" s="23" t="s">
        <v>941</v>
      </c>
      <c r="G8281" s="23" t="s">
        <v>942</v>
      </c>
      <c r="H8281" s="23" t="s">
        <v>943</v>
      </c>
      <c r="I8281" s="23" t="s">
        <v>944</v>
      </c>
      <c r="J8281" s="23" t="s">
        <v>945</v>
      </c>
      <c r="K8281" s="23" t="s">
        <v>946</v>
      </c>
      <c r="L8281" s="4" t="s">
        <v>47</v>
      </c>
    </row>
    <row r="8282" customFormat="false" ht="17.15" hidden="false" customHeight="false" outlineLevel="0" collapsed="false">
      <c r="A8282" s="0" t="s">
        <v>1021</v>
      </c>
      <c r="B8282" s="0" t="s">
        <v>98</v>
      </c>
      <c r="D8282" s="6" t="n">
        <f aca="false">Sens!D8260</f>
        <v>12.9359794422418</v>
      </c>
      <c r="E8282" s="6" t="n">
        <f aca="false">Sens!E8260</f>
        <v>27.8095064661409</v>
      </c>
      <c r="F8282" s="6" t="n">
        <f aca="false">Sens!F8260</f>
        <v>50.9819294352312</v>
      </c>
      <c r="G8282" s="6" t="n">
        <f aca="false">Sens!G8260</f>
        <v>76.6920436014933</v>
      </c>
      <c r="H8282" s="6" t="n">
        <f aca="false">Sens!H8260</f>
        <v>97.4495379418341</v>
      </c>
      <c r="I8282" s="6" t="n">
        <f aca="false">Sens!I8260</f>
        <v>122.083445553868</v>
      </c>
      <c r="J8282" s="6" t="n">
        <f aca="false">Sens!J8260</f>
        <v>139.249060444804</v>
      </c>
      <c r="K8282" s="6" t="n">
        <f aca="false">Sens!K8260</f>
        <v>149.995818575589</v>
      </c>
    </row>
    <row r="8283" customFormat="false" ht="17.15" hidden="false" customHeight="false" outlineLevel="0" collapsed="false">
      <c r="A8283" s="0" t="s">
        <v>1022</v>
      </c>
      <c r="B8283" s="0" t="s">
        <v>98</v>
      </c>
      <c r="D8283" s="6" t="n">
        <f aca="false">Q!L6-Sens!D8282</f>
        <v>59.6740205577583</v>
      </c>
      <c r="E8283" s="6" t="n">
        <f aca="false">Q!M6-Sens!E8282</f>
        <v>74.1284935338591</v>
      </c>
      <c r="F8283" s="6" t="n">
        <f aca="false">Q!$I$6+(Sens!F8282+Sens!E8283*(1+Sens!F8284))*(1-Q!$E$6/Q!M6)-Sens!F8282</f>
        <v>92.2699541184664</v>
      </c>
      <c r="G8283" s="6" t="n">
        <f aca="false">Sens!F8283*(1+Sens!G8284)</f>
        <v>109.630477277949</v>
      </c>
      <c r="H8283" s="6" t="n">
        <f aca="false">Sens!G8283*(1+Sens!H8284)</f>
        <v>127.293256321956</v>
      </c>
      <c r="I8283" s="6" t="n">
        <f aca="false">Sens!H8283*(1+Sens!I8284)</f>
        <v>144.360052269491</v>
      </c>
      <c r="J8283" s="6" t="n">
        <f aca="false">Sens!I8283*(1+Sens!J8284)</f>
        <v>159.811964490216</v>
      </c>
      <c r="K8283" s="6" t="n">
        <f aca="false">Sens!J8283*(1+Sens!K8284)</f>
        <v>172.596921649434</v>
      </c>
      <c r="L8283" s="12" t="s">
        <v>1023</v>
      </c>
    </row>
    <row r="8284" customFormat="false" ht="15" hidden="false" customHeight="false" outlineLevel="0" collapsed="false">
      <c r="A8284" s="1" t="s">
        <v>1024</v>
      </c>
      <c r="B8284" s="0" t="s">
        <v>168</v>
      </c>
      <c r="E8284" s="7" t="n">
        <f aca="false">Sens!E8283/Sens!D8283-1</f>
        <v>0.242223883039864</v>
      </c>
      <c r="F8284" s="7" t="n">
        <f aca="false">Sens!$E$8284+(glt_azo-Sens!$E$8284)*MIN(1,(Sens!F8241-base_fy)/n_conv)</f>
        <v>0.215186569199887</v>
      </c>
      <c r="G8284" s="7" t="n">
        <f aca="false">Sens!$E$8284+(glt_azo-Sens!$E$8284)*MIN(1,(Sens!G8241-base_fy)/n_conv)</f>
        <v>0.18814925535991</v>
      </c>
      <c r="H8284" s="7" t="n">
        <f aca="false">Sens!$E$8284+(glt_azo-Sens!$E$8284)*MIN(1,(Sens!H8241-base_fy)/n_conv)</f>
        <v>0.161111941519932</v>
      </c>
      <c r="I8284" s="7" t="n">
        <f aca="false">Sens!$E$8284+(glt_azo-Sens!$E$8284)*MIN(1,(Sens!I8241-base_fy)/n_conv)</f>
        <v>0.134074627679955</v>
      </c>
      <c r="J8284" s="7" t="n">
        <f aca="false">Sens!$E$8284+(glt_azo-Sens!$E$8284)*MIN(1,(Sens!J8241-base_fy)/n_conv)</f>
        <v>0.107037313839977</v>
      </c>
      <c r="K8284" s="7" t="n">
        <f aca="false">Sens!$E$8284+(glt_azo-Sens!$E$8284)*MIN(1,(Sens!K8241-base_fy)/n_conv)</f>
        <v>0.08</v>
      </c>
    </row>
    <row r="8285" customFormat="false" ht="15" hidden="false" customHeight="false" outlineLevel="0" collapsed="false">
      <c r="A8285" s="0" t="s">
        <v>1025</v>
      </c>
      <c r="B8285" s="0" t="s">
        <v>98</v>
      </c>
      <c r="D8285" s="6" t="n">
        <f aca="false">Sens!D8282+Sens!D8283</f>
        <v>72.61</v>
      </c>
      <c r="E8285" s="6" t="n">
        <f aca="false">Sens!E8282+Sens!E8283</f>
        <v>101.938</v>
      </c>
      <c r="F8285" s="6" t="n">
        <f aca="false">Sens!F8282+Sens!F8283</f>
        <v>143.251883553698</v>
      </c>
      <c r="G8285" s="6" t="n">
        <f aca="false">Sens!G8282+Sens!G8283</f>
        <v>186.322520879442</v>
      </c>
      <c r="H8285" s="6" t="n">
        <f aca="false">Sens!H8282+Sens!H8283</f>
        <v>224.74279426379</v>
      </c>
      <c r="I8285" s="6" t="n">
        <f aca="false">Sens!I8282+Sens!I8283</f>
        <v>266.443497823359</v>
      </c>
      <c r="J8285" s="6" t="n">
        <f aca="false">Sens!J8282+Sens!J8283</f>
        <v>299.06102493502</v>
      </c>
      <c r="K8285" s="6" t="n">
        <f aca="false">Sens!K8282+Sens!K8283</f>
        <v>322.592740225023</v>
      </c>
    </row>
    <row r="8286" customFormat="false" ht="17.15" hidden="false" customHeight="false" outlineLevel="0" collapsed="false">
      <c r="A8286" s="0" t="s">
        <v>1026</v>
      </c>
      <c r="B8286" s="1" t="s">
        <v>610</v>
      </c>
      <c r="C8286" s="30" t="n">
        <f aca="false">cop_s24</f>
        <v>1</v>
      </c>
      <c r="D8286" s="30" t="n">
        <f aca="false">cop_s25</f>
        <v>5</v>
      </c>
      <c r="E8286" s="30" t="n">
        <f aca="false">cop_s26</f>
        <v>30</v>
      </c>
      <c r="F8286" s="30" t="n">
        <f aca="false">Sens!E8286+cop_add_C</f>
        <v>40</v>
      </c>
      <c r="G8286" s="30" t="n">
        <f aca="false">Sens!F8286+cop_add_C</f>
        <v>50</v>
      </c>
      <c r="H8286" s="30" t="n">
        <f aca="false">Sens!G8286+cop_add_C</f>
        <v>60</v>
      </c>
      <c r="I8286" s="30" t="n">
        <f aca="false">Sens!H8286+cop_add_C*cop_tail</f>
        <v>65</v>
      </c>
      <c r="J8286" s="30" t="n">
        <f aca="false">Sens!I8286+cop_add_C*cop_tail</f>
        <v>70</v>
      </c>
      <c r="K8286" s="30" t="n">
        <f aca="false">Sens!J8286+cop_add_C*cop_tail</f>
        <v>75</v>
      </c>
      <c r="L8286" s="12" t="s">
        <v>1027</v>
      </c>
    </row>
    <row r="8287" customFormat="false" ht="17.15" hidden="false" customHeight="false" outlineLevel="0" collapsed="false">
      <c r="A8287" s="0" t="s">
        <v>1028</v>
      </c>
      <c r="B8287" s="0" t="s">
        <v>98</v>
      </c>
      <c r="D8287" s="6" t="n">
        <f aca="false">(Sens!C8286+Sens!D8286)/2*cop_px*12/1000</f>
        <v>0.9</v>
      </c>
      <c r="E8287" s="6" t="n">
        <f aca="false">(Sens!D8286+Sens!E8286)/2*cop_px*12/1000</f>
        <v>5.25</v>
      </c>
      <c r="F8287" s="6" t="n">
        <f aca="false">(Sens!E8286+Sens!F8286)/2*cop_px_lo*12/1000</f>
        <v>7.56</v>
      </c>
      <c r="G8287" s="6" t="n">
        <f aca="false">(Sens!F8286+Sens!G8286)/2*cop_px_lo*12/1000</f>
        <v>9.72</v>
      </c>
      <c r="H8287" s="6" t="n">
        <f aca="false">(Sens!G8286+Sens!H8286)/2*cop_px_lo*12/1000</f>
        <v>11.88</v>
      </c>
      <c r="I8287" s="6" t="n">
        <f aca="false">(Sens!H8286+Sens!I8286)/2*cop_px_lo*12/1000</f>
        <v>13.5</v>
      </c>
      <c r="J8287" s="6" t="n">
        <f aca="false">(Sens!I8286+Sens!J8286)/2*cop_px_lo*12/1000</f>
        <v>14.58</v>
      </c>
      <c r="K8287" s="6" t="n">
        <f aca="false">(Sens!J8286+Sens!K8286)/2*cop_px_lo*12/1000</f>
        <v>15.66</v>
      </c>
      <c r="L8287" s="1" t="s">
        <v>1029</v>
      </c>
    </row>
    <row r="8288" customFormat="false" ht="17.15" hidden="false" customHeight="false" outlineLevel="0" collapsed="false">
      <c r="A8288" s="0" t="s">
        <v>1030</v>
      </c>
      <c r="B8288" s="0" t="s">
        <v>98</v>
      </c>
      <c r="D8288" s="6" t="n">
        <f aca="false">Q!L7-Sens!D8287</f>
        <v>83.705</v>
      </c>
      <c r="E8288" s="6" t="n">
        <f aca="false">Q!M7-Sens!E8287</f>
        <v>95.049</v>
      </c>
      <c r="F8288" s="6" t="n">
        <f aca="false">Q!$I$7+(Sens!E8288*(1+Sens!F8289)+Sens!F8287)*(1-Q!$E$7/Q!M7)-Sens!F8287</f>
        <v>107.632881154152</v>
      </c>
      <c r="G8288" s="6" t="n">
        <f aca="false">Sens!F8288*(1+Sens!G8289)</f>
        <v>119.8688428841</v>
      </c>
      <c r="H8288" s="6" t="n">
        <f aca="false">Sens!G8288*(1+Sens!H8289)</f>
        <v>132.186778839122</v>
      </c>
      <c r="I8288" s="6" t="n">
        <f aca="false">Sens!H8288*(1+Sens!I8289)</f>
        <v>144.32696968528</v>
      </c>
      <c r="J8288" s="6" t="n">
        <f aca="false">Sens!I8288*(1+Sens!J8289)</f>
        <v>156.005993824095</v>
      </c>
      <c r="K8288" s="6" t="n">
        <f aca="false">Sens!J8288*(1+Sens!K8289)</f>
        <v>166.926413391782</v>
      </c>
      <c r="L8288" s="12" t="s">
        <v>1031</v>
      </c>
    </row>
    <row r="8289" customFormat="false" ht="15" hidden="false" customHeight="false" outlineLevel="0" collapsed="false">
      <c r="A8289" s="1" t="s">
        <v>1024</v>
      </c>
      <c r="B8289" s="0" t="s">
        <v>168</v>
      </c>
      <c r="E8289" s="7" t="n">
        <f aca="false">Sens!E8288/Sens!D8288-1</f>
        <v>0.135523564900544</v>
      </c>
      <c r="F8289" s="7" t="n">
        <f aca="false">Sens!$E$8289+(glt_m365b-Sens!$E$8289)*MIN(1,(Sens!F8241-base_fy)/n_conv)</f>
        <v>0.124602970750453</v>
      </c>
      <c r="G8289" s="7" t="n">
        <f aca="false">Sens!$E$8289+(glt_m365b-Sens!$E$8289)*MIN(1,(Sens!G8241-base_fy)/n_conv)</f>
        <v>0.113682376600363</v>
      </c>
      <c r="H8289" s="7" t="n">
        <f aca="false">Sens!$E$8289+(glt_m365b-Sens!$E$8289)*MIN(1,(Sens!H8241-base_fy)/n_conv)</f>
        <v>0.102761782450272</v>
      </c>
      <c r="I8289" s="7" t="n">
        <f aca="false">Sens!$E$8289+(glt_m365b-Sens!$E$8289)*MIN(1,(Sens!I8241-base_fy)/n_conv)</f>
        <v>0.0918411883001813</v>
      </c>
      <c r="J8289" s="7" t="n">
        <f aca="false">Sens!$E$8289+(glt_m365b-Sens!$E$8289)*MIN(1,(Sens!J8241-base_fy)/n_conv)</f>
        <v>0.0809205941500906</v>
      </c>
      <c r="K8289" s="7" t="n">
        <f aca="false">Sens!$E$8289+(glt_m365b-Sens!$E$8289)*MIN(1,(Sens!K8241-base_fy)/n_conv)</f>
        <v>0.07</v>
      </c>
    </row>
    <row r="8290" customFormat="false" ht="15" hidden="false" customHeight="false" outlineLevel="0" collapsed="false">
      <c r="A8290" s="0" t="s">
        <v>1032</v>
      </c>
      <c r="B8290" s="0" t="s">
        <v>98</v>
      </c>
      <c r="D8290" s="6" t="n">
        <f aca="false">Sens!D8288+Sens!D8287</f>
        <v>84.605</v>
      </c>
      <c r="E8290" s="6" t="n">
        <f aca="false">Sens!E8288+Sens!E8287</f>
        <v>100.299</v>
      </c>
      <c r="F8290" s="6" t="n">
        <f aca="false">Sens!F8288+Sens!F8287</f>
        <v>115.192881154152</v>
      </c>
      <c r="G8290" s="6" t="n">
        <f aca="false">Sens!G8288+Sens!G8287</f>
        <v>129.5888428841</v>
      </c>
      <c r="H8290" s="6" t="n">
        <f aca="false">Sens!H8288+Sens!H8287</f>
        <v>144.066778839122</v>
      </c>
      <c r="I8290" s="6" t="n">
        <f aca="false">Sens!I8288+Sens!I8287</f>
        <v>157.82696968528</v>
      </c>
      <c r="J8290" s="6" t="n">
        <f aca="false">Sens!J8288+Sens!J8287</f>
        <v>170.585993824095</v>
      </c>
      <c r="K8290" s="6" t="n">
        <f aca="false">Sens!K8288+Sens!K8287</f>
        <v>182.586413391782</v>
      </c>
    </row>
    <row r="8291" customFormat="false" ht="17.15" hidden="false" customHeight="false" outlineLevel="0" collapsed="false">
      <c r="A8291" s="0" t="s">
        <v>1033</v>
      </c>
      <c r="B8291" s="0" t="s">
        <v>98</v>
      </c>
      <c r="D8291" s="6" t="n">
        <f aca="false">Q!L8</f>
        <v>35.391</v>
      </c>
      <c r="E8291" s="6" t="n">
        <f aca="false">Q!M8</f>
        <v>37.285</v>
      </c>
      <c r="F8291" s="6" t="n">
        <f aca="false">Q!$I$8+(Q!M8-Q!$E$8)*(1+Sens!F8292)</f>
        <v>38.3851437782675</v>
      </c>
      <c r="G8291" s="6" t="n">
        <f aca="false">Sens!F8291*(1+Sens!G8292)</f>
        <v>40.0105353288615</v>
      </c>
      <c r="H8291" s="6" t="n">
        <f aca="false">Sens!G8291*(1+Sens!H8292)</f>
        <v>41.4812512033683</v>
      </c>
      <c r="I8291" s="6" t="n">
        <f aca="false">Sens!H8291*(1+Sens!I8292)</f>
        <v>42.7743107216329</v>
      </c>
      <c r="J8291" s="6" t="n">
        <f aca="false">Sens!I8291*(1+Sens!J8292)</f>
        <v>43.8687373064601</v>
      </c>
      <c r="K8291" s="6" t="n">
        <f aca="false">Sens!J8291*(1+Sens!K8292)</f>
        <v>44.7461120525893</v>
      </c>
      <c r="L8291" s="12" t="s">
        <v>1034</v>
      </c>
    </row>
    <row r="8292" customFormat="false" ht="15" hidden="false" customHeight="false" outlineLevel="0" collapsed="false">
      <c r="A8292" s="1" t="s">
        <v>1024</v>
      </c>
      <c r="B8292" s="0" t="s">
        <v>168</v>
      </c>
      <c r="E8292" s="7" t="n">
        <f aca="false">Sens!E8291/Sens!D8291-1</f>
        <v>0.0535164307309768</v>
      </c>
      <c r="F8292" s="7" t="n">
        <f aca="false">Sens!$E$8292+(glt_lic-Sens!$E$8292)*MIN(1,(Sens!F8241-base_fy)/n_conv)</f>
        <v>0.0479303589424807</v>
      </c>
      <c r="G8292" s="7" t="n">
        <f aca="false">Sens!$E$8292+(glt_lic-Sens!$E$8292)*MIN(1,(Sens!G8241-base_fy)/n_conv)</f>
        <v>0.0423442871539845</v>
      </c>
      <c r="H8292" s="7" t="n">
        <f aca="false">Sens!$E$8292+(glt_lic-Sens!$E$8292)*MIN(1,(Sens!H8241-base_fy)/n_conv)</f>
        <v>0.0367582153654884</v>
      </c>
      <c r="I8292" s="7" t="n">
        <f aca="false">Sens!$E$8292+(glt_lic-Sens!$E$8292)*MIN(1,(Sens!I8241-base_fy)/n_conv)</f>
        <v>0.0311721435769923</v>
      </c>
      <c r="J8292" s="7" t="n">
        <f aca="false">Sens!$E$8292+(glt_lic-Sens!$E$8292)*MIN(1,(Sens!J8241-base_fy)/n_conv)</f>
        <v>0.0255860717884961</v>
      </c>
      <c r="K8292" s="7" t="n">
        <f aca="false">Sens!$E$8292+(glt_lic-Sens!$E$8292)*MIN(1,(Sens!K8241-base_fy)/n_conv)</f>
        <v>0.02</v>
      </c>
    </row>
    <row r="8293" customFormat="false" ht="17.15" hidden="false" customHeight="false" outlineLevel="0" collapsed="false">
      <c r="A8293" s="0" t="s">
        <v>1035</v>
      </c>
      <c r="B8293" s="0" t="s">
        <v>98</v>
      </c>
      <c r="D8293" s="6" t="n">
        <f aca="false">Q!L9</f>
        <v>18.417</v>
      </c>
      <c r="E8293" s="6" t="n">
        <f aca="false">Q!M9</f>
        <v>20.345</v>
      </c>
      <c r="F8293" s="6" t="n">
        <f aca="false">Q!$I$9+(Q!M9-Q!$E$9)*(1+Sens!F8294)</f>
        <v>22.3161797133988</v>
      </c>
      <c r="G8293" s="6" t="n">
        <f aca="false">Sens!F8293*(1+Sens!G8294)</f>
        <v>24.3943499673233</v>
      </c>
      <c r="H8293" s="6" t="n">
        <f aca="false">Sens!G8293*(1+Sens!H8294)</f>
        <v>26.5250243109019</v>
      </c>
      <c r="I8293" s="6" t="n">
        <f aca="false">Sens!H8293*(1+Sens!I8294)</f>
        <v>28.6884573538181</v>
      </c>
      <c r="J8293" s="6" t="n">
        <f aca="false">Sens!I8293*(1+Sens!J8294)</f>
        <v>30.8624968052127</v>
      </c>
      <c r="K8293" s="6" t="n">
        <f aca="false">Sens!J8293*(1+Sens!K8294)</f>
        <v>33.0228715815776</v>
      </c>
      <c r="L8293" s="12" t="s">
        <v>1034</v>
      </c>
    </row>
    <row r="8294" customFormat="false" ht="15" hidden="false" customHeight="false" outlineLevel="0" collapsed="false">
      <c r="A8294" s="1" t="s">
        <v>1024</v>
      </c>
      <c r="B8294" s="0" t="s">
        <v>168</v>
      </c>
      <c r="E8294" s="7" t="n">
        <f aca="false">Sens!E8293/Sens!D8293-1</f>
        <v>0.104685888038225</v>
      </c>
      <c r="F8294" s="7" t="n">
        <f aca="false">Sens!$E$8294+(glt_ind-Sens!$E$8294)*MIN(1,(Sens!F8241-base_fy)/n_conv)</f>
        <v>0.0989049066985211</v>
      </c>
      <c r="G8294" s="7" t="n">
        <f aca="false">Sens!$E$8294+(glt_ind-Sens!$E$8294)*MIN(1,(Sens!G8241-base_fy)/n_conv)</f>
        <v>0.0931239253588169</v>
      </c>
      <c r="H8294" s="7" t="n">
        <f aca="false">Sens!$E$8294+(glt_ind-Sens!$E$8294)*MIN(1,(Sens!H8241-base_fy)/n_conv)</f>
        <v>0.0873429440191127</v>
      </c>
      <c r="I8294" s="7" t="n">
        <f aca="false">Sens!$E$8294+(glt_ind-Sens!$E$8294)*MIN(1,(Sens!I8241-base_fy)/n_conv)</f>
        <v>0.0815619626794085</v>
      </c>
      <c r="J8294" s="7" t="n">
        <f aca="false">Sens!$E$8294+(glt_ind-Sens!$E$8294)*MIN(1,(Sens!J8241-base_fy)/n_conv)</f>
        <v>0.0757809813397042</v>
      </c>
      <c r="K8294" s="7" t="n">
        <f aca="false">Sens!$E$8294+(glt_ind-Sens!$E$8294)*MIN(1,(Sens!K8241-base_fy)/n_conv)</f>
        <v>0.07</v>
      </c>
    </row>
    <row r="8295" customFormat="false" ht="17.15" hidden="false" customHeight="false" outlineLevel="0" collapsed="false">
      <c r="A8295" s="0" t="s">
        <v>1036</v>
      </c>
      <c r="B8295" s="0" t="s">
        <v>98</v>
      </c>
      <c r="D8295" s="6" t="n">
        <f aca="false">Q!L10</f>
        <v>7.76</v>
      </c>
      <c r="E8295" s="6" t="n">
        <f aca="false">Q!M10</f>
        <v>8.26</v>
      </c>
      <c r="F8295" s="6" t="n">
        <f aca="false">Q!$I$10+(Q!M10-Q!$E$10)*(1+Sens!F8296)</f>
        <v>8.75372082474227</v>
      </c>
      <c r="G8295" s="6" t="n">
        <f aca="false">Sens!F8295*(1+Sens!G8296)</f>
        <v>9.33399324642364</v>
      </c>
      <c r="H8295" s="6" t="n">
        <f aca="false">Sens!G8295*(1+Sens!H8296)</f>
        <v>9.96139155535851</v>
      </c>
      <c r="I8295" s="6" t="n">
        <f aca="false">Sens!H8295*(1+Sens!I8296)</f>
        <v>10.6402039077391</v>
      </c>
      <c r="J8295" s="6" t="n">
        <f aca="false">Sens!I8295*(1+Sens!J8296)</f>
        <v>11.3751458271397</v>
      </c>
      <c r="K8295" s="6" t="n">
        <f aca="false">Sens!J8295*(1+Sens!K8296)</f>
        <v>12.1714060350394</v>
      </c>
      <c r="L8295" s="12" t="s">
        <v>1034</v>
      </c>
    </row>
    <row r="8296" customFormat="false" ht="15" hidden="false" customHeight="false" outlineLevel="0" collapsed="false">
      <c r="A8296" s="1" t="s">
        <v>1024</v>
      </c>
      <c r="B8296" s="0" t="s">
        <v>168</v>
      </c>
      <c r="E8296" s="7" t="n">
        <f aca="false">Sens!E8295/Sens!D8295-1</f>
        <v>0.0644329896907216</v>
      </c>
      <c r="F8296" s="7" t="n">
        <f aca="false">Sens!$E$8296+(glt_fro-Sens!$E$8296)*MIN(1,(Sens!F8241-base_fy)/n_conv)</f>
        <v>0.065360824742268</v>
      </c>
      <c r="G8296" s="7" t="n">
        <f aca="false">Sens!$E$8296+(glt_fro-Sens!$E$8296)*MIN(1,(Sens!G8241-base_fy)/n_conv)</f>
        <v>0.0662886597938144</v>
      </c>
      <c r="H8296" s="7" t="n">
        <f aca="false">Sens!$E$8296+(glt_fro-Sens!$E$8296)*MIN(1,(Sens!H8241-base_fy)/n_conv)</f>
        <v>0.0672164948453608</v>
      </c>
      <c r="I8296" s="7" t="n">
        <f aca="false">Sens!$E$8296+(glt_fro-Sens!$E$8296)*MIN(1,(Sens!I8241-base_fy)/n_conv)</f>
        <v>0.0681443298969072</v>
      </c>
      <c r="J8296" s="7" t="n">
        <f aca="false">Sens!$E$8296+(glt_fro-Sens!$E$8296)*MIN(1,(Sens!J8241-base_fy)/n_conv)</f>
        <v>0.0690721649484536</v>
      </c>
      <c r="K8296" s="7" t="n">
        <f aca="false">Sens!$E$8296+(glt_fro-Sens!$E$8296)*MIN(1,(Sens!K8241-base_fy)/n_conv)</f>
        <v>0.07</v>
      </c>
    </row>
    <row r="8297" customFormat="false" ht="15" hidden="false" customHeight="false" outlineLevel="0" collapsed="false">
      <c r="A8297" s="0" t="s">
        <v>852</v>
      </c>
      <c r="B8297" s="0" t="s">
        <v>98</v>
      </c>
      <c r="D8297" s="6" t="n">
        <f aca="false">Sens!D8285+Sens!D8290+Sens!D8291+Sens!D8293+Sens!D8295</f>
        <v>218.783</v>
      </c>
      <c r="E8297" s="6" t="n">
        <f aca="false">Sens!E8285+Sens!E8290+Sens!E8291+Sens!E8293+Sens!E8295</f>
        <v>268.127</v>
      </c>
      <c r="F8297" s="6" t="n">
        <f aca="false">Sens!F8285+Sens!F8290+Sens!F8291+Sens!F8293+Sens!F8295</f>
        <v>327.899809024258</v>
      </c>
      <c r="G8297" s="6" t="n">
        <f aca="false">Sens!G8285+Sens!G8290+Sens!G8291+Sens!G8293+Sens!G8295</f>
        <v>389.650242306151</v>
      </c>
      <c r="H8297" s="6" t="n">
        <f aca="false">Sens!H8285+Sens!H8290+Sens!H8291+Sens!H8293+Sens!H8295</f>
        <v>446.777240172541</v>
      </c>
      <c r="I8297" s="6" t="n">
        <f aca="false">Sens!I8285+Sens!I8290+Sens!I8291+Sens!I8293+Sens!I8295</f>
        <v>506.373439491829</v>
      </c>
      <c r="J8297" s="6" t="n">
        <f aca="false">Sens!J8285+Sens!J8290+Sens!J8291+Sens!J8293+Sens!J8295</f>
        <v>555.753398697928</v>
      </c>
      <c r="K8297" s="6" t="n">
        <f aca="false">Sens!K8285+Sens!K8290+Sens!K8291+Sens!K8293+Sens!K8295</f>
        <v>595.119543286011</v>
      </c>
    </row>
    <row r="8298" customFormat="false" ht="17.15" hidden="false" customHeight="false" outlineLevel="0" collapsed="false">
      <c r="A8298" s="0" t="s">
        <v>1037</v>
      </c>
      <c r="B8298" s="0" t="s">
        <v>98</v>
      </c>
      <c r="D8298" s="6" t="n">
        <f aca="false">Q!L13</f>
        <v>22.171</v>
      </c>
      <c r="E8298" s="6" t="n">
        <f aca="false">Q!M13</f>
        <v>24.835</v>
      </c>
      <c r="F8298" s="6" t="n">
        <f aca="false">Q!$I$13+(Q!M13-Q!$E$13)*(1+Sens!F8299)</f>
        <v>27.5591895660247</v>
      </c>
      <c r="G8298" s="6" t="n">
        <f aca="false">Sens!F8298*(1+Sens!G8299)</f>
        <v>30.4098563144583</v>
      </c>
      <c r="H8298" s="6" t="n">
        <f aca="false">Sens!G8298*(1+Sens!H8299)</f>
        <v>33.3011792571777</v>
      </c>
      <c r="I8298" s="6" t="n">
        <f aca="false">Sens!H8298*(1+Sens!I8299)</f>
        <v>36.189023797112</v>
      </c>
      <c r="J8298" s="6" t="n">
        <f aca="false">Sens!I8298*(1+Sens!J8299)</f>
        <v>39.0247773769199</v>
      </c>
      <c r="K8298" s="6" t="n">
        <f aca="false">Sens!J8298*(1+Sens!K8299)</f>
        <v>41.7565117933043</v>
      </c>
      <c r="L8298" s="12" t="s">
        <v>1034</v>
      </c>
    </row>
    <row r="8299" customFormat="false" ht="15" hidden="false" customHeight="false" outlineLevel="0" collapsed="false">
      <c r="A8299" s="1" t="s">
        <v>1024</v>
      </c>
      <c r="B8299" s="0" t="s">
        <v>168</v>
      </c>
      <c r="E8299" s="7" t="n">
        <f aca="false">Sens!E8298/Sens!D8298-1</f>
        <v>0.120156961796942</v>
      </c>
      <c r="F8299" s="7" t="n">
        <f aca="false">Sens!$E$8299+(glt_srch-Sens!$E$8299)*MIN(1,(Sens!F8241-base_fy)/n_conv)</f>
        <v>0.111797468164118</v>
      </c>
      <c r="G8299" s="7" t="n">
        <f aca="false">Sens!$E$8299+(glt_srch-Sens!$E$8299)*MIN(1,(Sens!G8241-base_fy)/n_conv)</f>
        <v>0.103437974531295</v>
      </c>
      <c r="H8299" s="7" t="n">
        <f aca="false">Sens!$E$8299+(glt_srch-Sens!$E$8299)*MIN(1,(Sens!H8241-base_fy)/n_conv)</f>
        <v>0.095078480898471</v>
      </c>
      <c r="I8299" s="7" t="n">
        <f aca="false">Sens!$E$8299+(glt_srch-Sens!$E$8299)*MIN(1,(Sens!I8241-base_fy)/n_conv)</f>
        <v>0.0867189872656474</v>
      </c>
      <c r="J8299" s="7" t="n">
        <f aca="false">Sens!$E$8299+(glt_srch-Sens!$E$8299)*MIN(1,(Sens!J8241-base_fy)/n_conv)</f>
        <v>0.0783594936328237</v>
      </c>
      <c r="K8299" s="7" t="n">
        <f aca="false">Sens!$E$8299+(glt_srch-Sens!$E$8299)*MIN(1,(Sens!K8241-base_fy)/n_conv)</f>
        <v>0.07</v>
      </c>
    </row>
    <row r="8300" customFormat="false" ht="17.15" hidden="false" customHeight="false" outlineLevel="0" collapsed="false">
      <c r="A8300" s="0" t="s">
        <v>1038</v>
      </c>
      <c r="B8300" s="0" t="s">
        <v>98</v>
      </c>
      <c r="D8300" s="6" t="n">
        <f aca="false">Q!L14</f>
        <v>23.455</v>
      </c>
      <c r="E8300" s="6" t="n">
        <f aca="false">Q!M14</f>
        <v>21.79</v>
      </c>
      <c r="F8300" s="6" t="n">
        <f aca="false">Q!$I$14+(Q!M14-Q!$E$14)*(1+Sens!F8301)</f>
        <v>20.7520981041711</v>
      </c>
      <c r="G8300" s="6" t="n">
        <f aca="false">Sens!F8300*(1+Sens!G8301)</f>
        <v>19.9083593495882</v>
      </c>
      <c r="H8300" s="6" t="n">
        <f aca="false">Sens!G8300*(1+Sens!H8301)</f>
        <v>19.4008256265831</v>
      </c>
      <c r="I8300" s="6" t="n">
        <f aca="false">Sens!H8300*(1+Sens!I8301)</f>
        <v>19.200434522122</v>
      </c>
      <c r="J8300" s="6" t="n">
        <f aca="false">Sens!I8300*(1+Sens!J8301)</f>
        <v>19.2932782348507</v>
      </c>
      <c r="K8300" s="6" t="n">
        <f aca="false">Sens!J8300*(1+Sens!K8301)</f>
        <v>19.6791437995477</v>
      </c>
      <c r="L8300" s="12" t="s">
        <v>1034</v>
      </c>
    </row>
    <row r="8301" customFormat="false" ht="15" hidden="false" customHeight="false" outlineLevel="0" collapsed="false">
      <c r="A8301" s="1" t="s">
        <v>1024</v>
      </c>
      <c r="B8301" s="0" t="s">
        <v>168</v>
      </c>
      <c r="E8301" s="7" t="n">
        <f aca="false">Sens!E8300/Sens!D8300-1</f>
        <v>-0.0709869963760392</v>
      </c>
      <c r="F8301" s="7" t="n">
        <f aca="false">Sens!$E$8301+(glt_xbox-Sens!$E$8301)*MIN(1,(Sens!F8241-base_fy)/n_conv)</f>
        <v>-0.0558224969800327</v>
      </c>
      <c r="G8301" s="7" t="n">
        <f aca="false">Sens!$E$8301+(glt_xbox-Sens!$E$8301)*MIN(1,(Sens!G8241-base_fy)/n_conv)</f>
        <v>-0.0406579975840262</v>
      </c>
      <c r="H8301" s="7" t="n">
        <f aca="false">Sens!$E$8301+(glt_xbox-Sens!$E$8301)*MIN(1,(Sens!H8241-base_fy)/n_conv)</f>
        <v>-0.0254934981880196</v>
      </c>
      <c r="I8301" s="7" t="n">
        <f aca="false">Sens!$E$8301+(glt_xbox-Sens!$E$8301)*MIN(1,(Sens!I8241-base_fy)/n_conv)</f>
        <v>-0.0103289987920131</v>
      </c>
      <c r="J8301" s="7" t="n">
        <f aca="false">Sens!$E$8301+(glt_xbox-Sens!$E$8301)*MIN(1,(Sens!J8241-base_fy)/n_conv)</f>
        <v>0.00483550060399347</v>
      </c>
      <c r="K8301" s="7" t="n">
        <f aca="false">Sens!$E$8301+(glt_xbox-Sens!$E$8301)*MIN(1,(Sens!K8241-base_fy)/n_conv)</f>
        <v>0.02</v>
      </c>
    </row>
    <row r="8302" customFormat="false" ht="17.15" hidden="false" customHeight="false" outlineLevel="0" collapsed="false">
      <c r="A8302" s="0" t="s">
        <v>1039</v>
      </c>
      <c r="B8302" s="0" t="s">
        <v>98</v>
      </c>
      <c r="D8302" s="6" t="n">
        <f aca="false">Q!L15</f>
        <v>17.315</v>
      </c>
      <c r="E8302" s="6" t="n">
        <f aca="false">Q!M15</f>
        <v>17.087</v>
      </c>
      <c r="F8302" s="6" t="n">
        <f aca="false">Q!$I$15+(Q!M15-Q!$E$15)*(1+Sens!F8303)</f>
        <v>15.9912273250553</v>
      </c>
      <c r="G8302" s="6" t="n">
        <f aca="false">Sens!F8302*(1+Sens!G8303)</f>
        <v>15.9574562664827</v>
      </c>
      <c r="H8302" s="6" t="n">
        <f aca="false">Sens!G8302*(1+Sens!H8303)</f>
        <v>16.0119687434196</v>
      </c>
      <c r="I8302" s="6" t="n">
        <f aca="false">Sens!H8302*(1+Sens!I8303)</f>
        <v>16.1551810001948</v>
      </c>
      <c r="J8302" s="6" t="n">
        <f aca="false">Sens!I8302*(1+Sens!J8303)</f>
        <v>16.3889793892005</v>
      </c>
      <c r="K8302" s="6" t="n">
        <f aca="false">Sens!J8302*(1+Sens!K8303)</f>
        <v>16.7167589769845</v>
      </c>
      <c r="L8302" s="12" t="s">
        <v>1034</v>
      </c>
    </row>
    <row r="8303" customFormat="false" ht="15" hidden="false" customHeight="false" outlineLevel="0" collapsed="false">
      <c r="A8303" s="1" t="s">
        <v>1024</v>
      </c>
      <c r="B8303" s="0" t="s">
        <v>168</v>
      </c>
      <c r="E8303" s="7" t="n">
        <f aca="false">Sens!E8302/Sens!D8302-1</f>
        <v>-0.0131677736066995</v>
      </c>
      <c r="F8303" s="7" t="n">
        <f aca="false">Sens!$E$8303+(glt_win-Sens!$E$8303)*MIN(1,(Sens!F8241-base_fy)/n_conv)</f>
        <v>-0.00763981133891627</v>
      </c>
      <c r="G8303" s="7" t="n">
        <f aca="false">Sens!$E$8303+(glt_win-Sens!$E$8303)*MIN(1,(Sens!G8241-base_fy)/n_conv)</f>
        <v>-0.00211184907113301</v>
      </c>
      <c r="H8303" s="7" t="n">
        <f aca="false">Sens!$E$8303+(glt_win-Sens!$E$8303)*MIN(1,(Sens!H8241-base_fy)/n_conv)</f>
        <v>0.00341611319665024</v>
      </c>
      <c r="I8303" s="7" t="n">
        <f aca="false">Sens!$E$8303+(glt_win-Sens!$E$8303)*MIN(1,(Sens!I8241-base_fy)/n_conv)</f>
        <v>0.00894407546443349</v>
      </c>
      <c r="J8303" s="7" t="n">
        <f aca="false">Sens!$E$8303+(glt_win-Sens!$E$8303)*MIN(1,(Sens!J8241-base_fy)/n_conv)</f>
        <v>0.0144720377322168</v>
      </c>
      <c r="K8303" s="7" t="n">
        <f aca="false">Sens!$E$8303+(glt_win-Sens!$E$8303)*MIN(1,(Sens!K8241-base_fy)/n_conv)</f>
        <v>0.02</v>
      </c>
    </row>
    <row r="8304" customFormat="false" ht="15" hidden="false" customHeight="false" outlineLevel="0" collapsed="false">
      <c r="A8304" s="0" t="s">
        <v>866</v>
      </c>
      <c r="B8304" s="0" t="s">
        <v>98</v>
      </c>
      <c r="D8304" s="6" t="n">
        <f aca="false">Sens!D8298+Sens!D8300+Sens!D8302</f>
        <v>62.941</v>
      </c>
      <c r="E8304" s="6" t="n">
        <f aca="false">Sens!E8298+Sens!E8300+Sens!E8302</f>
        <v>63.712</v>
      </c>
      <c r="F8304" s="6" t="n">
        <f aca="false">Sens!F8298+Sens!F8300+Sens!F8302</f>
        <v>64.3025149952511</v>
      </c>
      <c r="G8304" s="6" t="n">
        <f aca="false">Sens!G8298+Sens!G8300+Sens!G8302</f>
        <v>66.2756719305292</v>
      </c>
      <c r="H8304" s="6" t="n">
        <f aca="false">Sens!H8298+Sens!H8300+Sens!H8302</f>
        <v>68.7139736271804</v>
      </c>
      <c r="I8304" s="6" t="n">
        <f aca="false">Sens!I8298+Sens!I8300+Sens!I8302</f>
        <v>71.5446393194289</v>
      </c>
      <c r="J8304" s="6" t="n">
        <f aca="false">Sens!J8298+Sens!J8300+Sens!J8302</f>
        <v>74.707035000971</v>
      </c>
      <c r="K8304" s="6" t="n">
        <f aca="false">Sens!K8298+Sens!K8300+Sens!K8302</f>
        <v>78.1524145698365</v>
      </c>
    </row>
    <row r="8305" customFormat="false" ht="15" hidden="false" customHeight="false" outlineLevel="0" collapsed="false">
      <c r="A8305" s="1" t="s">
        <v>1040</v>
      </c>
      <c r="B8305" s="0" t="s">
        <v>98</v>
      </c>
      <c r="D8305" s="6" t="n">
        <f aca="false">Sens!D8297+Sens!D8304</f>
        <v>281.724</v>
      </c>
      <c r="E8305" s="6" t="n">
        <f aca="false">Sens!E8297+Sens!E8304</f>
        <v>331.839</v>
      </c>
      <c r="F8305" s="6" t="n">
        <f aca="false">Sens!F8297+Sens!F8304</f>
        <v>392.202324019509</v>
      </c>
      <c r="G8305" s="6" t="n">
        <f aca="false">Sens!G8297+Sens!G8304</f>
        <v>455.92591423668</v>
      </c>
      <c r="H8305" s="6" t="n">
        <f aca="false">Sens!H8297+Sens!H8304</f>
        <v>515.491213799721</v>
      </c>
      <c r="I8305" s="6" t="n">
        <f aca="false">Sens!I8297+Sens!I8304</f>
        <v>577.918078811258</v>
      </c>
      <c r="J8305" s="6" t="n">
        <f aca="false">Sens!J8297+Sens!J8304</f>
        <v>630.460433698899</v>
      </c>
      <c r="K8305" s="6" t="n">
        <f aca="false">Sens!K8297+Sens!K8304</f>
        <v>673.271957855848</v>
      </c>
    </row>
    <row r="8306" customFormat="false" ht="15" hidden="false" customHeight="false" outlineLevel="0" collapsed="false">
      <c r="A8306" s="26" t="s">
        <v>1041</v>
      </c>
      <c r="B8306" s="31" t="s">
        <v>98</v>
      </c>
      <c r="C8306" s="31"/>
      <c r="D8306" s="27" t="n">
        <f aca="false">(Sens!D8285+Sens!D8290+Sens!D8291+Sens!D8293+Sens!D8295-Sens!D8297)+(Sens!D8298+Sens!D8300+Sens!D8302-Sens!D8304)+(Sens!D8297-Q!L5)+(Sens!D8304-Q!L12)+(Sens!D8285-Q!L6)+(Sens!D8290-Q!L7)</f>
        <v>0</v>
      </c>
      <c r="E8306" s="27" t="n">
        <f aca="false">(Sens!E8285+Sens!E8290+Sens!E8291+Sens!E8293+Sens!E8295-Sens!E8297)+(Sens!E8298+Sens!E8300+Sens!E8302-Sens!E8304)+(Sens!E8297-Q!M5)+(Sens!E8304-Q!M12)+(Sens!E8285-Q!M6)+(Sens!E8290-Q!M7)</f>
        <v>0</v>
      </c>
      <c r="F8306" s="27" t="n">
        <f aca="false">(Sens!F8285+Sens!F8290+Sens!F8291+Sens!F8293+Sens!F8295-Sens!F8297)+(Sens!F8298+Sens!F8300+Sens!F8302-Sens!F8304)</f>
        <v>0</v>
      </c>
      <c r="G8306" s="27" t="n">
        <f aca="false">(Sens!G8285+Sens!G8290+Sens!G8291+Sens!G8293+Sens!G8295-Sens!G8297)+(Sens!G8298+Sens!G8300+Sens!G8302-Sens!G8304)</f>
        <v>0</v>
      </c>
      <c r="H8306" s="27" t="n">
        <f aca="false">(Sens!H8285+Sens!H8290+Sens!H8291+Sens!H8293+Sens!H8295-Sens!H8297)+(Sens!H8298+Sens!H8300+Sens!H8302-Sens!H8304)</f>
        <v>0</v>
      </c>
      <c r="I8306" s="27" t="n">
        <f aca="false">(Sens!I8285+Sens!I8290+Sens!I8291+Sens!I8293+Sens!I8295-Sens!I8297)+(Sens!I8298+Sens!I8300+Sens!I8302-Sens!I8304)</f>
        <v>0</v>
      </c>
      <c r="J8306" s="27" t="n">
        <f aca="false">(Sens!J8285+Sens!J8290+Sens!J8291+Sens!J8293+Sens!J8295-Sens!J8297)+(Sens!J8298+Sens!J8300+Sens!J8302-Sens!J8304)</f>
        <v>0</v>
      </c>
      <c r="K8306" s="27" t="n">
        <f aca="false">(Sens!K8285+Sens!K8290+Sens!K8291+Sens!K8293+Sens!K8295-Sens!K8297)+(Sens!K8298+Sens!K8300+Sens!K8302-Sens!K8304)</f>
        <v>0</v>
      </c>
    </row>
    <row r="8307" customFormat="false" ht="17.15" hidden="false" customHeight="false" outlineLevel="0" collapsed="false">
      <c r="A8307" s="3" t="s">
        <v>1687</v>
      </c>
    </row>
    <row r="8308" customFormat="false" ht="15" hidden="false" customHeight="false" outlineLevel="0" collapsed="false">
      <c r="A8308" s="4" t="s">
        <v>43</v>
      </c>
      <c r="B8308" s="4" t="s">
        <v>65</v>
      </c>
      <c r="C8308" s="23" t="s">
        <v>938</v>
      </c>
      <c r="D8308" s="23" t="s">
        <v>939</v>
      </c>
      <c r="E8308" s="23" t="s">
        <v>940</v>
      </c>
      <c r="F8308" s="23" t="s">
        <v>941</v>
      </c>
      <c r="G8308" s="23" t="s">
        <v>942</v>
      </c>
      <c r="H8308" s="23" t="s">
        <v>943</v>
      </c>
      <c r="I8308" s="23" t="s">
        <v>944</v>
      </c>
      <c r="J8308" s="23" t="s">
        <v>945</v>
      </c>
      <c r="K8308" s="23" t="s">
        <v>946</v>
      </c>
      <c r="L8308" s="4" t="s">
        <v>47</v>
      </c>
    </row>
    <row r="8309" customFormat="false" ht="15" hidden="false" customHeight="false" outlineLevel="0" collapsed="false">
      <c r="A8309" s="0" t="s">
        <v>1025</v>
      </c>
      <c r="B8309" s="0" t="s">
        <v>98</v>
      </c>
      <c r="D8309" s="6" t="n">
        <f aca="false">Sens!D8285</f>
        <v>72.61</v>
      </c>
      <c r="E8309" s="6" t="n">
        <f aca="false">Sens!E8285</f>
        <v>101.938</v>
      </c>
      <c r="F8309" s="6" t="n">
        <f aca="false">Sens!F8285</f>
        <v>143.251883553698</v>
      </c>
      <c r="G8309" s="6" t="n">
        <f aca="false">Sens!G8285</f>
        <v>186.322520879442</v>
      </c>
      <c r="H8309" s="6" t="n">
        <f aca="false">Sens!H8285</f>
        <v>224.74279426379</v>
      </c>
      <c r="I8309" s="6" t="n">
        <f aca="false">Sens!I8285</f>
        <v>266.443497823359</v>
      </c>
      <c r="J8309" s="6" t="n">
        <f aca="false">Sens!J8285</f>
        <v>299.06102493502</v>
      </c>
      <c r="K8309" s="6" t="n">
        <f aca="false">Sens!K8285</f>
        <v>322.592740225023</v>
      </c>
    </row>
    <row r="8310" customFormat="false" ht="17.15" hidden="false" customHeight="false" outlineLevel="0" collapsed="false">
      <c r="A8310" s="0" t="s">
        <v>1021</v>
      </c>
      <c r="B8310" s="0" t="s">
        <v>98</v>
      </c>
      <c r="D8310" s="6" t="n">
        <f aca="false">Sens!D8282</f>
        <v>12.9359794422418</v>
      </c>
      <c r="E8310" s="6" t="n">
        <f aca="false">Sens!E8282</f>
        <v>27.8095064661409</v>
      </c>
      <c r="F8310" s="6" t="n">
        <f aca="false">Sens!F8282</f>
        <v>50.9819294352312</v>
      </c>
      <c r="G8310" s="6" t="n">
        <f aca="false">Sens!G8282</f>
        <v>76.6920436014933</v>
      </c>
      <c r="H8310" s="6" t="n">
        <f aca="false">Sens!H8282</f>
        <v>97.4495379418341</v>
      </c>
      <c r="I8310" s="6" t="n">
        <f aca="false">Sens!I8282</f>
        <v>122.083445553868</v>
      </c>
      <c r="J8310" s="6" t="n">
        <f aca="false">Sens!J8282</f>
        <v>139.249060444804</v>
      </c>
      <c r="K8310" s="6" t="n">
        <f aca="false">Sens!K8282</f>
        <v>149.995818575589</v>
      </c>
    </row>
    <row r="8311" customFormat="false" ht="17.15" hidden="false" customHeight="false" outlineLevel="0" collapsed="false">
      <c r="A8311" s="0" t="s">
        <v>1052</v>
      </c>
      <c r="B8311" s="0" t="s">
        <v>98</v>
      </c>
      <c r="D8311" s="6" t="n">
        <f aca="false">Sens!D8283</f>
        <v>59.6740205577583</v>
      </c>
      <c r="E8311" s="6" t="n">
        <f aca="false">Sens!E8283</f>
        <v>74.1284935338591</v>
      </c>
      <c r="F8311" s="6" t="n">
        <f aca="false">Sens!F8283</f>
        <v>92.2699541184664</v>
      </c>
      <c r="G8311" s="6" t="n">
        <f aca="false">Sens!G8283</f>
        <v>109.630477277949</v>
      </c>
      <c r="H8311" s="6" t="n">
        <f aca="false">Sens!H8283</f>
        <v>127.293256321956</v>
      </c>
      <c r="I8311" s="6" t="n">
        <f aca="false">Sens!I8283</f>
        <v>144.360052269491</v>
      </c>
      <c r="J8311" s="6" t="n">
        <f aca="false">Sens!J8283</f>
        <v>159.811964490216</v>
      </c>
      <c r="K8311" s="6" t="n">
        <f aca="false">Sens!K8283</f>
        <v>172.596921649434</v>
      </c>
    </row>
    <row r="8312" customFormat="false" ht="15" hidden="false" customHeight="false" outlineLevel="0" collapsed="false">
      <c r="A8312" s="0" t="s">
        <v>1032</v>
      </c>
      <c r="B8312" s="0" t="s">
        <v>98</v>
      </c>
      <c r="D8312" s="6" t="n">
        <f aca="false">Sens!D8290</f>
        <v>84.605</v>
      </c>
      <c r="E8312" s="6" t="n">
        <f aca="false">Sens!E8290</f>
        <v>100.299</v>
      </c>
      <c r="F8312" s="6" t="n">
        <f aca="false">Sens!F8290</f>
        <v>115.192881154152</v>
      </c>
      <c r="G8312" s="6" t="n">
        <f aca="false">Sens!G8290</f>
        <v>129.5888428841</v>
      </c>
      <c r="H8312" s="6" t="n">
        <f aca="false">Sens!H8290</f>
        <v>144.066778839122</v>
      </c>
      <c r="I8312" s="6" t="n">
        <f aca="false">Sens!I8290</f>
        <v>157.82696968528</v>
      </c>
      <c r="J8312" s="6" t="n">
        <f aca="false">Sens!J8290</f>
        <v>170.585993824095</v>
      </c>
      <c r="K8312" s="6" t="n">
        <f aca="false">Sens!K8290</f>
        <v>182.586413391782</v>
      </c>
    </row>
    <row r="8313" customFormat="false" ht="17.15" hidden="false" customHeight="false" outlineLevel="0" collapsed="false">
      <c r="A8313" s="0" t="s">
        <v>1053</v>
      </c>
      <c r="B8313" s="0" t="s">
        <v>98</v>
      </c>
      <c r="D8313" s="6" t="n">
        <f aca="false">Sens!D8288</f>
        <v>83.705</v>
      </c>
      <c r="E8313" s="6" t="n">
        <f aca="false">Sens!E8288</f>
        <v>95.049</v>
      </c>
      <c r="F8313" s="6" t="n">
        <f aca="false">Sens!F8288</f>
        <v>107.632881154152</v>
      </c>
      <c r="G8313" s="6" t="n">
        <f aca="false">Sens!G8288</f>
        <v>119.8688428841</v>
      </c>
      <c r="H8313" s="6" t="n">
        <f aca="false">Sens!H8288</f>
        <v>132.186778839122</v>
      </c>
      <c r="I8313" s="6" t="n">
        <f aca="false">Sens!I8288</f>
        <v>144.32696968528</v>
      </c>
      <c r="J8313" s="6" t="n">
        <f aca="false">Sens!J8288</f>
        <v>156.005993824095</v>
      </c>
      <c r="K8313" s="6" t="n">
        <f aca="false">Sens!K8288</f>
        <v>166.926413391782</v>
      </c>
    </row>
    <row r="8314" customFormat="false" ht="17.15" hidden="false" customHeight="false" outlineLevel="0" collapsed="false">
      <c r="A8314" s="0" t="s">
        <v>1054</v>
      </c>
      <c r="B8314" s="0" t="s">
        <v>98</v>
      </c>
      <c r="D8314" s="6" t="n">
        <f aca="false">Sens!D8287</f>
        <v>0.9</v>
      </c>
      <c r="E8314" s="6" t="n">
        <f aca="false">Sens!E8287</f>
        <v>5.25</v>
      </c>
      <c r="F8314" s="6" t="n">
        <f aca="false">Sens!F8287</f>
        <v>7.56</v>
      </c>
      <c r="G8314" s="6" t="n">
        <f aca="false">Sens!G8287</f>
        <v>9.72</v>
      </c>
      <c r="H8314" s="6" t="n">
        <f aca="false">Sens!H8287</f>
        <v>11.88</v>
      </c>
      <c r="I8314" s="6" t="n">
        <f aca="false">Sens!I8287</f>
        <v>13.5</v>
      </c>
      <c r="J8314" s="6" t="n">
        <f aca="false">Sens!J8287</f>
        <v>14.58</v>
      </c>
      <c r="K8314" s="6" t="n">
        <f aca="false">Sens!K8287</f>
        <v>15.66</v>
      </c>
    </row>
    <row r="8315" customFormat="false" ht="15" hidden="false" customHeight="false" outlineLevel="0" collapsed="false">
      <c r="A8315" s="0" t="s">
        <v>1033</v>
      </c>
      <c r="B8315" s="0" t="s">
        <v>98</v>
      </c>
      <c r="D8315" s="6" t="n">
        <f aca="false">Sens!D8291</f>
        <v>35.391</v>
      </c>
      <c r="E8315" s="6" t="n">
        <f aca="false">Sens!E8291</f>
        <v>37.285</v>
      </c>
      <c r="F8315" s="6" t="n">
        <f aca="false">Sens!F8291</f>
        <v>38.3851437782675</v>
      </c>
      <c r="G8315" s="6" t="n">
        <f aca="false">Sens!G8291</f>
        <v>40.0105353288615</v>
      </c>
      <c r="H8315" s="6" t="n">
        <f aca="false">Sens!H8291</f>
        <v>41.4812512033683</v>
      </c>
      <c r="I8315" s="6" t="n">
        <f aca="false">Sens!I8291</f>
        <v>42.7743107216329</v>
      </c>
      <c r="J8315" s="6" t="n">
        <f aca="false">Sens!J8291</f>
        <v>43.8687373064601</v>
      </c>
      <c r="K8315" s="6" t="n">
        <f aca="false">Sens!K8291</f>
        <v>44.7461120525893</v>
      </c>
    </row>
    <row r="8316" customFormat="false" ht="15" hidden="false" customHeight="false" outlineLevel="0" collapsed="false">
      <c r="A8316" s="0" t="s">
        <v>1035</v>
      </c>
      <c r="B8316" s="0" t="s">
        <v>98</v>
      </c>
      <c r="D8316" s="6" t="n">
        <f aca="false">Sens!D8293</f>
        <v>18.417</v>
      </c>
      <c r="E8316" s="6" t="n">
        <f aca="false">Sens!E8293</f>
        <v>20.345</v>
      </c>
      <c r="F8316" s="6" t="n">
        <f aca="false">Sens!F8293</f>
        <v>22.3161797133988</v>
      </c>
      <c r="G8316" s="6" t="n">
        <f aca="false">Sens!G8293</f>
        <v>24.3943499673233</v>
      </c>
      <c r="H8316" s="6" t="n">
        <f aca="false">Sens!H8293</f>
        <v>26.5250243109019</v>
      </c>
      <c r="I8316" s="6" t="n">
        <f aca="false">Sens!I8293</f>
        <v>28.6884573538181</v>
      </c>
      <c r="J8316" s="6" t="n">
        <f aca="false">Sens!J8293</f>
        <v>30.8624968052127</v>
      </c>
      <c r="K8316" s="6" t="n">
        <f aca="false">Sens!K8293</f>
        <v>33.0228715815776</v>
      </c>
    </row>
    <row r="8317" customFormat="false" ht="15" hidden="false" customHeight="false" outlineLevel="0" collapsed="false">
      <c r="A8317" s="0" t="s">
        <v>1036</v>
      </c>
      <c r="B8317" s="0" t="s">
        <v>98</v>
      </c>
      <c r="D8317" s="6" t="n">
        <f aca="false">Sens!D8295</f>
        <v>7.76</v>
      </c>
      <c r="E8317" s="6" t="n">
        <f aca="false">Sens!E8295</f>
        <v>8.26</v>
      </c>
      <c r="F8317" s="6" t="n">
        <f aca="false">Sens!F8295</f>
        <v>8.75372082474227</v>
      </c>
      <c r="G8317" s="6" t="n">
        <f aca="false">Sens!G8295</f>
        <v>9.33399324642364</v>
      </c>
      <c r="H8317" s="6" t="n">
        <f aca="false">Sens!H8295</f>
        <v>9.96139155535851</v>
      </c>
      <c r="I8317" s="6" t="n">
        <f aca="false">Sens!I8295</f>
        <v>10.6402039077391</v>
      </c>
      <c r="J8317" s="6" t="n">
        <f aca="false">Sens!J8295</f>
        <v>11.3751458271397</v>
      </c>
      <c r="K8317" s="6" t="n">
        <f aca="false">Sens!K8295</f>
        <v>12.1714060350394</v>
      </c>
    </row>
    <row r="8318" customFormat="false" ht="15" hidden="false" customHeight="false" outlineLevel="0" collapsed="false">
      <c r="A8318" s="0" t="s">
        <v>852</v>
      </c>
      <c r="B8318" s="0" t="s">
        <v>98</v>
      </c>
      <c r="D8318" s="6" t="n">
        <f aca="false">Sens!D8297</f>
        <v>218.783</v>
      </c>
      <c r="E8318" s="6" t="n">
        <f aca="false">Sens!E8297</f>
        <v>268.127</v>
      </c>
      <c r="F8318" s="6" t="n">
        <f aca="false">Sens!F8297</f>
        <v>327.899809024258</v>
      </c>
      <c r="G8318" s="6" t="n">
        <f aca="false">Sens!G8297</f>
        <v>389.650242306151</v>
      </c>
      <c r="H8318" s="6" t="n">
        <f aca="false">Sens!H8297</f>
        <v>446.777240172541</v>
      </c>
      <c r="I8318" s="6" t="n">
        <f aca="false">Sens!I8297</f>
        <v>506.373439491829</v>
      </c>
      <c r="J8318" s="6" t="n">
        <f aca="false">Sens!J8297</f>
        <v>555.753398697928</v>
      </c>
      <c r="K8318" s="6" t="n">
        <f aca="false">Sens!K8297</f>
        <v>595.119543286011</v>
      </c>
    </row>
    <row r="8319" customFormat="false" ht="15" hidden="false" customHeight="false" outlineLevel="0" collapsed="false">
      <c r="A8319" s="0" t="s">
        <v>1037</v>
      </c>
      <c r="B8319" s="0" t="s">
        <v>98</v>
      </c>
      <c r="D8319" s="6" t="n">
        <f aca="false">Sens!D8298</f>
        <v>22.171</v>
      </c>
      <c r="E8319" s="6" t="n">
        <f aca="false">Sens!E8298</f>
        <v>24.835</v>
      </c>
      <c r="F8319" s="6" t="n">
        <f aca="false">Sens!F8298</f>
        <v>27.5591895660247</v>
      </c>
      <c r="G8319" s="6" t="n">
        <f aca="false">Sens!G8298</f>
        <v>30.4098563144583</v>
      </c>
      <c r="H8319" s="6" t="n">
        <f aca="false">Sens!H8298</f>
        <v>33.3011792571777</v>
      </c>
      <c r="I8319" s="6" t="n">
        <f aca="false">Sens!I8298</f>
        <v>36.189023797112</v>
      </c>
      <c r="J8319" s="6" t="n">
        <f aca="false">Sens!J8298</f>
        <v>39.0247773769199</v>
      </c>
      <c r="K8319" s="6" t="n">
        <f aca="false">Sens!K8298</f>
        <v>41.7565117933043</v>
      </c>
    </row>
    <row r="8320" customFormat="false" ht="15" hidden="false" customHeight="false" outlineLevel="0" collapsed="false">
      <c r="A8320" s="0" t="s">
        <v>1038</v>
      </c>
      <c r="B8320" s="0" t="s">
        <v>98</v>
      </c>
      <c r="D8320" s="6" t="n">
        <f aca="false">Sens!D8300</f>
        <v>23.455</v>
      </c>
      <c r="E8320" s="6" t="n">
        <f aca="false">Sens!E8300</f>
        <v>21.79</v>
      </c>
      <c r="F8320" s="6" t="n">
        <f aca="false">Sens!F8300</f>
        <v>20.7520981041711</v>
      </c>
      <c r="G8320" s="6" t="n">
        <f aca="false">Sens!G8300</f>
        <v>19.9083593495882</v>
      </c>
      <c r="H8320" s="6" t="n">
        <f aca="false">Sens!H8300</f>
        <v>19.4008256265831</v>
      </c>
      <c r="I8320" s="6" t="n">
        <f aca="false">Sens!I8300</f>
        <v>19.200434522122</v>
      </c>
      <c r="J8320" s="6" t="n">
        <f aca="false">Sens!J8300</f>
        <v>19.2932782348507</v>
      </c>
      <c r="K8320" s="6" t="n">
        <f aca="false">Sens!K8300</f>
        <v>19.6791437995477</v>
      </c>
    </row>
    <row r="8321" customFormat="false" ht="15" hidden="false" customHeight="false" outlineLevel="0" collapsed="false">
      <c r="A8321" s="0" t="s">
        <v>1039</v>
      </c>
      <c r="B8321" s="0" t="s">
        <v>98</v>
      </c>
      <c r="D8321" s="6" t="n">
        <f aca="false">Sens!D8302</f>
        <v>17.315</v>
      </c>
      <c r="E8321" s="6" t="n">
        <f aca="false">Sens!E8302</f>
        <v>17.087</v>
      </c>
      <c r="F8321" s="6" t="n">
        <f aca="false">Sens!F8302</f>
        <v>15.9912273250553</v>
      </c>
      <c r="G8321" s="6" t="n">
        <f aca="false">Sens!G8302</f>
        <v>15.9574562664827</v>
      </c>
      <c r="H8321" s="6" t="n">
        <f aca="false">Sens!H8302</f>
        <v>16.0119687434196</v>
      </c>
      <c r="I8321" s="6" t="n">
        <f aca="false">Sens!I8302</f>
        <v>16.1551810001948</v>
      </c>
      <c r="J8321" s="6" t="n">
        <f aca="false">Sens!J8302</f>
        <v>16.3889793892005</v>
      </c>
      <c r="K8321" s="6" t="n">
        <f aca="false">Sens!K8302</f>
        <v>16.7167589769845</v>
      </c>
    </row>
    <row r="8322" customFormat="false" ht="15" hidden="false" customHeight="false" outlineLevel="0" collapsed="false">
      <c r="A8322" s="0" t="s">
        <v>866</v>
      </c>
      <c r="B8322" s="0" t="s">
        <v>98</v>
      </c>
      <c r="D8322" s="6" t="n">
        <f aca="false">Sens!D8304</f>
        <v>62.941</v>
      </c>
      <c r="E8322" s="6" t="n">
        <f aca="false">Sens!E8304</f>
        <v>63.712</v>
      </c>
      <c r="F8322" s="6" t="n">
        <f aca="false">Sens!F8304</f>
        <v>64.3025149952511</v>
      </c>
      <c r="G8322" s="6" t="n">
        <f aca="false">Sens!G8304</f>
        <v>66.2756719305292</v>
      </c>
      <c r="H8322" s="6" t="n">
        <f aca="false">Sens!H8304</f>
        <v>68.7139736271804</v>
      </c>
      <c r="I8322" s="6" t="n">
        <f aca="false">Sens!I8304</f>
        <v>71.5446393194289</v>
      </c>
      <c r="J8322" s="6" t="n">
        <f aca="false">Sens!J8304</f>
        <v>74.707035000971</v>
      </c>
      <c r="K8322" s="6" t="n">
        <f aca="false">Sens!K8304</f>
        <v>78.1524145698365</v>
      </c>
    </row>
    <row r="8323" customFormat="false" ht="15" hidden="false" customHeight="false" outlineLevel="0" collapsed="false">
      <c r="A8323" s="1" t="s">
        <v>1055</v>
      </c>
      <c r="B8323" s="0" t="s">
        <v>98</v>
      </c>
      <c r="D8323" s="6" t="n">
        <f aca="false">Sens!D8305</f>
        <v>281.724</v>
      </c>
      <c r="E8323" s="6" t="n">
        <f aca="false">Sens!E8305</f>
        <v>331.839</v>
      </c>
      <c r="F8323" s="6" t="n">
        <f aca="false">Sens!F8305</f>
        <v>392.202324019509</v>
      </c>
      <c r="G8323" s="6" t="n">
        <f aca="false">Sens!G8305</f>
        <v>455.92591423668</v>
      </c>
      <c r="H8323" s="6" t="n">
        <f aca="false">Sens!H8305</f>
        <v>515.491213799721</v>
      </c>
      <c r="I8323" s="6" t="n">
        <f aca="false">Sens!I8305</f>
        <v>577.918078811258</v>
      </c>
      <c r="J8323" s="6" t="n">
        <f aca="false">Sens!J8305</f>
        <v>630.460433698899</v>
      </c>
      <c r="K8323" s="6" t="n">
        <f aca="false">Sens!K8305</f>
        <v>673.271957855848</v>
      </c>
    </row>
    <row r="8324" customFormat="false" ht="15" hidden="false" customHeight="false" outlineLevel="0" collapsed="false">
      <c r="A8324" s="1" t="s">
        <v>1056</v>
      </c>
      <c r="B8324" s="0" t="s">
        <v>168</v>
      </c>
      <c r="E8324" s="7" t="n">
        <f aca="false">Sens!E8323/Sens!D8323-1</f>
        <v>0.177886867998467</v>
      </c>
      <c r="F8324" s="7" t="n">
        <f aca="false">Sens!F8323/Sens!E8323-1</f>
        <v>0.181905454209751</v>
      </c>
      <c r="G8324" s="7" t="n">
        <f aca="false">Sens!G8323/Sens!F8323-1</f>
        <v>0.16247631978336</v>
      </c>
      <c r="H8324" s="7" t="n">
        <f aca="false">Sens!H8323/Sens!G8323-1</f>
        <v>0.130646882976078</v>
      </c>
      <c r="I8324" s="7" t="n">
        <f aca="false">Sens!I8323/Sens!H8323-1</f>
        <v>0.121101705209259</v>
      </c>
      <c r="J8324" s="7" t="n">
        <f aca="false">Sens!J8323/Sens!I8323-1</f>
        <v>0.0909166139874309</v>
      </c>
      <c r="K8324" s="7" t="n">
        <f aca="false">Sens!K8323/Sens!J8323-1</f>
        <v>0.0679051719483397</v>
      </c>
    </row>
    <row r="8325" customFormat="false" ht="17.15" hidden="false" customHeight="false" outlineLevel="0" collapsed="false">
      <c r="A8325" s="26" t="s">
        <v>1057</v>
      </c>
      <c r="B8325" s="31" t="s">
        <v>98</v>
      </c>
      <c r="C8325" s="31"/>
      <c r="D8325" s="27" t="n">
        <f aca="false">(Sens!D8318+Sens!D8322-Sens!D8323)+(Sens!D8310+Sens!D8311-Sens!D8309)+(Sens!D8313+Sens!D8314-Sens!D8312)+(Sens!D8323-Q!L18)</f>
        <v>0</v>
      </c>
      <c r="E8325" s="27" t="n">
        <f aca="false">(Sens!E8318+Sens!E8322-Sens!E8323)+(Sens!E8310+Sens!E8311-Sens!E8309)+(Sens!E8313+Sens!E8314-Sens!E8312)+(Sens!E8323-Q!M18)</f>
        <v>0</v>
      </c>
      <c r="F8325" s="27" t="n">
        <f aca="false">(Sens!F8318+Sens!F8322-Sens!F8323)+(Sens!F8310+Sens!F8311-Sens!F8309)+(Sens!F8313+Sens!F8314-Sens!F8312)</f>
        <v>0</v>
      </c>
      <c r="G8325" s="27" t="n">
        <f aca="false">(Sens!G8318+Sens!G8322-Sens!G8323)+(Sens!G8310+Sens!G8311-Sens!G8309)+(Sens!G8313+Sens!G8314-Sens!G8312)</f>
        <v>0</v>
      </c>
      <c r="H8325" s="27" t="n">
        <f aca="false">(Sens!H8318+Sens!H8322-Sens!H8323)+(Sens!H8310+Sens!H8311-Sens!H8309)+(Sens!H8313+Sens!H8314-Sens!H8312)</f>
        <v>0</v>
      </c>
      <c r="I8325" s="27" t="n">
        <f aca="false">(Sens!I8318+Sens!I8322-Sens!I8323)+(Sens!I8310+Sens!I8311-Sens!I8309)+(Sens!I8313+Sens!I8314-Sens!I8312)</f>
        <v>0</v>
      </c>
      <c r="J8325" s="27" t="n">
        <f aca="false">(Sens!J8318+Sens!J8322-Sens!J8323)+(Sens!J8310+Sens!J8311-Sens!J8309)+(Sens!J8313+Sens!J8314-Sens!J8312)</f>
        <v>0</v>
      </c>
      <c r="K8325" s="27" t="n">
        <f aca="false">(Sens!K8318+Sens!K8322-Sens!K8323)+(Sens!K8310+Sens!K8311-Sens!K8309)+(Sens!K8313+Sens!K8314-Sens!K8312)</f>
        <v>0</v>
      </c>
    </row>
    <row r="8326" customFormat="false" ht="17.15" hidden="false" customHeight="false" outlineLevel="0" collapsed="false">
      <c r="A8326" s="0" t="s">
        <v>1058</v>
      </c>
      <c r="B8326" s="0" t="s">
        <v>168</v>
      </c>
      <c r="E8326" s="7" t="n">
        <f aca="false">(Q!M21+Sens!E8262+Sens!E8263+Sens!E8264+Sens!E8278-Sens!E8260)/(Q!M5-Sens!E8260)</f>
        <v>0.570957350878296</v>
      </c>
      <c r="F8326" s="7" t="n">
        <f aca="false">Sens!$E$8326+dm_seg</f>
        <v>0.570957350878296</v>
      </c>
      <c r="G8326" s="7" t="n">
        <f aca="false">Sens!$E$8326+dm_seg</f>
        <v>0.570957350878296</v>
      </c>
      <c r="H8326" s="7" t="n">
        <f aca="false">Sens!$E$8326+dm_seg</f>
        <v>0.570957350878296</v>
      </c>
      <c r="I8326" s="7" t="n">
        <f aca="false">Sens!$E$8326+dm_seg</f>
        <v>0.570957350878296</v>
      </c>
      <c r="J8326" s="7" t="n">
        <f aca="false">Sens!$E$8326+dm_seg</f>
        <v>0.570957350878296</v>
      </c>
      <c r="K8326" s="7" t="n">
        <f aca="false">Sens!$E$8326+dm_seg</f>
        <v>0.570957350878296</v>
      </c>
      <c r="L8326" s="12" t="s">
        <v>1059</v>
      </c>
    </row>
    <row r="8327" customFormat="false" ht="17.15" hidden="false" customHeight="false" outlineLevel="0" collapsed="false">
      <c r="A8327" s="0" t="s">
        <v>880</v>
      </c>
      <c r="B8327" s="0" t="s">
        <v>98</v>
      </c>
      <c r="D8327" s="6" t="n">
        <f aca="false">Q!L21</f>
        <v>110.814</v>
      </c>
      <c r="E8327" s="6" t="n">
        <f aca="false">Q!M21</f>
        <v>136.365</v>
      </c>
      <c r="F8327" s="6" t="n">
        <f aca="false">Q!$I$21+(Sens!F8326*(Sens!F8297-Sens!F8260)+Sens!F8260-(Sens!F8262+Sens!F8263+Sens!F8264)-Sens!F8278-Sens!F8361)*(Sens!F8297-Q!$I$5)/Sens!F8297</f>
        <v>156.873345780869</v>
      </c>
      <c r="G8327" s="6" t="n">
        <f aca="false">(Sens!G8326*(Sens!G8297-Sens!G8260)+Sens!G8260-(Sens!G8262+Sens!G8263+Sens!G8264)-Sens!G8278-Sens!G8361)</f>
        <v>159.559131889907</v>
      </c>
      <c r="H8327" s="6" t="n">
        <f aca="false">(Sens!H8326*(Sens!H8297-Sens!H8260)+Sens!H8260-(Sens!H8262+Sens!H8263+Sens!H8264)-Sens!H8278-Sens!H8361)</f>
        <v>160.587922652806</v>
      </c>
      <c r="I8327" s="6" t="n">
        <f aca="false">(Sens!I8326*(Sens!I8297-Sens!I8260)+Sens!I8260-(Sens!I8262+Sens!I8263+Sens!I8264)-Sens!I8278-Sens!I8361)</f>
        <v>169.554808979793</v>
      </c>
      <c r="J8327" s="6" t="n">
        <f aca="false">(Sens!J8326*(Sens!J8297-Sens!J8260)+Sens!J8260-(Sens!J8262+Sens!J8263+Sens!J8264)-Sens!J8278-Sens!J8361)</f>
        <v>180.183284773169</v>
      </c>
      <c r="K8327" s="6" t="n">
        <f aca="false">(Sens!K8326*(Sens!K8297-Sens!K8260)+Sens!K8260-(Sens!K8262+Sens!K8263+Sens!K8264)-Sens!K8278-Sens!K8361)</f>
        <v>192.217733874901</v>
      </c>
      <c r="L8327" s="1" t="s">
        <v>1060</v>
      </c>
    </row>
    <row r="8328" customFormat="false" ht="17.15" hidden="false" customHeight="false" outlineLevel="0" collapsed="false">
      <c r="A8328" s="0" t="s">
        <v>1061</v>
      </c>
      <c r="B8328" s="0" t="s">
        <v>168</v>
      </c>
      <c r="E8328" s="7" t="n">
        <f aca="false">Q!M22/Q!M12</f>
        <v>0.296207935710698</v>
      </c>
      <c r="F8328" s="7" t="n">
        <f aca="false">Sens!$E$8328+dm_seg</f>
        <v>0.296207935710698</v>
      </c>
      <c r="G8328" s="7" t="n">
        <f aca="false">Sens!$E$8328+dm_seg</f>
        <v>0.296207935710698</v>
      </c>
      <c r="H8328" s="7" t="n">
        <f aca="false">Sens!$E$8328+dm_seg</f>
        <v>0.296207935710698</v>
      </c>
      <c r="I8328" s="7" t="n">
        <f aca="false">Sens!$E$8328+dm_seg</f>
        <v>0.296207935710698</v>
      </c>
      <c r="J8328" s="7" t="n">
        <f aca="false">Sens!$E$8328+dm_seg</f>
        <v>0.296207935710698</v>
      </c>
      <c r="K8328" s="7" t="n">
        <f aca="false">Sens!$E$8328+dm_seg</f>
        <v>0.296207935710698</v>
      </c>
      <c r="L8328" s="12" t="s">
        <v>1062</v>
      </c>
    </row>
    <row r="8329" customFormat="false" ht="17.15" hidden="false" customHeight="false" outlineLevel="0" collapsed="false">
      <c r="A8329" s="0" t="s">
        <v>882</v>
      </c>
      <c r="B8329" s="0" t="s">
        <v>98</v>
      </c>
      <c r="D8329" s="6" t="n">
        <f aca="false">Q!L22</f>
        <v>17.714</v>
      </c>
      <c r="E8329" s="6" t="n">
        <f aca="false">Q!M22</f>
        <v>18.872</v>
      </c>
      <c r="F8329" s="6" t="n">
        <f aca="false">Q!$I$22+(Sens!F8304-Q!$I$12)*Sens!F8328</f>
        <v>19.8174315512051</v>
      </c>
      <c r="G8329" s="6" t="n">
        <f aca="false">Sens!G8304*Sens!G8328</f>
        <v>19.6313799703815</v>
      </c>
      <c r="H8329" s="6" t="n">
        <f aca="false">Sens!H8304*Sens!H8328</f>
        <v>20.3536242825865</v>
      </c>
      <c r="I8329" s="6" t="n">
        <f aca="false">Sens!I8304*Sens!I8328</f>
        <v>21.1920899239745</v>
      </c>
      <c r="J8329" s="6" t="n">
        <f aca="false">Sens!J8304*Sens!J8328</f>
        <v>22.1288166207045</v>
      </c>
      <c r="K8329" s="6" t="n">
        <f aca="false">Sens!K8304*Sens!K8328</f>
        <v>23.1493653905379</v>
      </c>
      <c r="L8329" s="12" t="s">
        <v>1063</v>
      </c>
    </row>
    <row r="8330" customFormat="false" ht="15" hidden="false" customHeight="false" outlineLevel="0" collapsed="false">
      <c r="A8330" s="1" t="s">
        <v>1064</v>
      </c>
      <c r="B8330" s="0" t="s">
        <v>98</v>
      </c>
      <c r="D8330" s="6" t="n">
        <f aca="false">Sens!D8327+Sens!D8329</f>
        <v>128.528</v>
      </c>
      <c r="E8330" s="6" t="n">
        <f aca="false">Sens!E8327+Sens!E8329</f>
        <v>155.237</v>
      </c>
      <c r="F8330" s="6" t="n">
        <f aca="false">Sens!F8327+Sens!F8329</f>
        <v>176.690777332074</v>
      </c>
      <c r="G8330" s="6" t="n">
        <f aca="false">Sens!G8327+Sens!G8329</f>
        <v>179.190511860289</v>
      </c>
      <c r="H8330" s="6" t="n">
        <f aca="false">Sens!H8327+Sens!H8329</f>
        <v>180.941546935393</v>
      </c>
      <c r="I8330" s="6" t="n">
        <f aca="false">Sens!I8327+Sens!I8329</f>
        <v>190.746898903767</v>
      </c>
      <c r="J8330" s="6" t="n">
        <f aca="false">Sens!J8327+Sens!J8329</f>
        <v>202.312101393874</v>
      </c>
      <c r="K8330" s="6" t="n">
        <f aca="false">Sens!K8327+Sens!K8329</f>
        <v>215.367099265439</v>
      </c>
    </row>
    <row r="8331" customFormat="false" ht="15" hidden="false" customHeight="false" outlineLevel="0" collapsed="false">
      <c r="A8331" s="26" t="s">
        <v>1065</v>
      </c>
      <c r="B8331" s="31" t="s">
        <v>98</v>
      </c>
      <c r="C8331" s="31"/>
      <c r="D8331" s="27" t="n">
        <f aca="false">Sens!D8330-Q!L23</f>
        <v>0</v>
      </c>
      <c r="E8331" s="27" t="n">
        <f aca="false">Sens!E8330-Q!M23</f>
        <v>0</v>
      </c>
      <c r="F8331" s="31"/>
      <c r="G8331" s="31"/>
      <c r="H8331" s="31"/>
      <c r="I8331" s="31"/>
      <c r="J8331" s="31"/>
      <c r="K8331" s="31"/>
    </row>
    <row r="8332" customFormat="false" ht="15" hidden="false" customHeight="false" outlineLevel="0" collapsed="false">
      <c r="A8332" s="1" t="s">
        <v>1066</v>
      </c>
      <c r="B8332" s="0" t="s">
        <v>168</v>
      </c>
      <c r="D8332" s="7" t="n">
        <f aca="false">Sens!D8330/Sens!D8323</f>
        <v>0.456219562408598</v>
      </c>
      <c r="E8332" s="7" t="n">
        <f aca="false">Sens!E8330/Sens!E8323</f>
        <v>0.467808184089272</v>
      </c>
      <c r="F8332" s="7" t="n">
        <f aca="false">Sens!F8330/Sens!F8323</f>
        <v>0.450509256348224</v>
      </c>
      <c r="G8332" s="7" t="n">
        <f aca="false">Sens!G8330/Sens!G8323</f>
        <v>0.393025503190124</v>
      </c>
      <c r="H8332" s="7" t="n">
        <f aca="false">Sens!H8330/Sens!H8323</f>
        <v>0.351008013505526</v>
      </c>
      <c r="I8332" s="7" t="n">
        <f aca="false">Sens!I8330/Sens!I8323</f>
        <v>0.330058715754527</v>
      </c>
      <c r="J8332" s="7" t="n">
        <f aca="false">Sens!J8330/Sens!J8323</f>
        <v>0.32089579389925</v>
      </c>
      <c r="K8332" s="7" t="n">
        <f aca="false">Sens!K8330/Sens!K8323</f>
        <v>0.319881285344652</v>
      </c>
    </row>
    <row r="8333" customFormat="false" ht="17.15" hidden="false" customHeight="false" outlineLevel="0" collapsed="false">
      <c r="A8333" s="1" t="s">
        <v>1067</v>
      </c>
      <c r="B8333" s="0" t="s">
        <v>98</v>
      </c>
      <c r="F8333" s="6" t="n">
        <f aca="false">Sens!F8348</f>
        <v>12.2748934095295</v>
      </c>
      <c r="G8333" s="6" t="n">
        <f aca="false">Sens!G8348</f>
        <v>30.002865461252</v>
      </c>
      <c r="H8333" s="6" t="n">
        <f aca="false">Sens!H8348</f>
        <v>49.2040284624397</v>
      </c>
      <c r="I8333" s="6" t="n">
        <f aca="false">Sens!I8348</f>
        <v>66.2693039047555</v>
      </c>
      <c r="J8333" s="6" t="n">
        <f aca="false">Sens!J8348</f>
        <v>78.1434504676809</v>
      </c>
      <c r="K8333" s="6" t="n">
        <f aca="false">Sens!K8348</f>
        <v>85.116673984872</v>
      </c>
      <c r="L8333" s="1" t="s">
        <v>1068</v>
      </c>
    </row>
    <row r="8334" customFormat="false" ht="17.15" hidden="false" customHeight="false" outlineLevel="0" collapsed="false">
      <c r="A8334" s="1" t="s">
        <v>1069</v>
      </c>
      <c r="B8334" s="0" t="s">
        <v>98</v>
      </c>
      <c r="D8334" s="6" t="n">
        <f aca="false">Sens!D8330</f>
        <v>128.528</v>
      </c>
      <c r="E8334" s="6" t="n">
        <f aca="false">Sens!E8330</f>
        <v>155.237</v>
      </c>
      <c r="F8334" s="6" t="n">
        <f aca="false">Sens!F8330+Sens!F8333</f>
        <v>188.965670741604</v>
      </c>
      <c r="G8334" s="6" t="n">
        <f aca="false">Sens!G8330+Sens!G8333</f>
        <v>209.193377321541</v>
      </c>
      <c r="H8334" s="6" t="n">
        <f aca="false">Sens!H8330+Sens!H8333</f>
        <v>230.145575397833</v>
      </c>
      <c r="I8334" s="6" t="n">
        <f aca="false">Sens!I8330+Sens!I8333</f>
        <v>257.016202808523</v>
      </c>
      <c r="J8334" s="6" t="n">
        <f aca="false">Sens!J8330+Sens!J8333</f>
        <v>280.455551861555</v>
      </c>
      <c r="K8334" s="6" t="n">
        <f aca="false">Sens!K8330+Sens!K8333</f>
        <v>300.483773250311</v>
      </c>
    </row>
    <row r="8335" customFormat="false" ht="17.15" hidden="false" customHeight="false" outlineLevel="0" collapsed="false">
      <c r="A8335" s="1" t="s">
        <v>1070</v>
      </c>
      <c r="B8335" s="0" t="s">
        <v>98</v>
      </c>
      <c r="E8335" s="6" t="n">
        <f aca="false">Sens!E8278</f>
        <v>16.3054059770833</v>
      </c>
      <c r="F8335" s="6" t="n">
        <f aca="false">Sens!F8278</f>
        <v>34.5793144783516</v>
      </c>
      <c r="G8335" s="6" t="n">
        <f aca="false">Sens!G8278</f>
        <v>60.7344906522989</v>
      </c>
      <c r="H8335" s="6" t="n">
        <f aca="false">Sens!H8278</f>
        <v>89.1000906614457</v>
      </c>
      <c r="I8335" s="6" t="n">
        <f aca="false">Sens!I8278</f>
        <v>114.231009694548</v>
      </c>
      <c r="J8335" s="6" t="n">
        <f aca="false">Sens!J8278</f>
        <v>132.015673049596</v>
      </c>
      <c r="K8335" s="6" t="n">
        <f aca="false">Sens!K8278</f>
        <v>143.012669550934</v>
      </c>
    </row>
    <row r="8336" customFormat="false" ht="17.15" hidden="false" customHeight="false" outlineLevel="0" collapsed="false">
      <c r="A8336" s="1" t="s">
        <v>1071</v>
      </c>
      <c r="B8336" s="0" t="s">
        <v>98</v>
      </c>
      <c r="E8336" s="6" t="n">
        <f aca="false">Sens!E8360</f>
        <v>22.2285940229167</v>
      </c>
      <c r="F8336" s="6" t="n">
        <f aca="false">Sens!F8360</f>
        <v>23.580344216413</v>
      </c>
      <c r="G8336" s="6" t="n">
        <f aca="false">Sens!G8360</f>
        <v>25.3103468532621</v>
      </c>
      <c r="H8336" s="6" t="n">
        <f aca="false">Sens!H8360</f>
        <v>27.4038874816717</v>
      </c>
      <c r="I8336" s="6" t="n">
        <f aca="false">Sens!I8360</f>
        <v>29.806740440442</v>
      </c>
      <c r="J8336" s="6" t="n">
        <f aca="false">Sens!J8360</f>
        <v>32.4463363041053</v>
      </c>
      <c r="K8336" s="6" t="n">
        <f aca="false">Sens!K8360</f>
        <v>35.2382086554656</v>
      </c>
    </row>
    <row r="8337" customFormat="false" ht="17.15" hidden="false" customHeight="false" outlineLevel="0" collapsed="false">
      <c r="A8337" s="1" t="s">
        <v>1072</v>
      </c>
      <c r="B8337" s="0" t="s">
        <v>98</v>
      </c>
      <c r="D8337" s="6" t="n">
        <f aca="false">Q!L27</f>
        <v>-4.901</v>
      </c>
      <c r="E8337" s="6" t="n">
        <f aca="false">Q!M27</f>
        <v>10.697</v>
      </c>
      <c r="F8337" s="6" t="n">
        <f aca="false">Q!$I$27+oie_f*(q_per_yr-1)/q_per_yr</f>
        <v>-0.862</v>
      </c>
      <c r="G8337" s="6" t="n">
        <f aca="false">oie_f</f>
        <v>-1.2</v>
      </c>
      <c r="H8337" s="6" t="n">
        <f aca="false">oie_f</f>
        <v>-1.2</v>
      </c>
      <c r="I8337" s="6" t="n">
        <f aca="false">oie_f</f>
        <v>-1.2</v>
      </c>
      <c r="J8337" s="6" t="n">
        <f aca="false">oie_f</f>
        <v>-1.2</v>
      </c>
      <c r="K8337" s="6" t="n">
        <f aca="false">oie_f</f>
        <v>-1.2</v>
      </c>
      <c r="L8337" s="12" t="s">
        <v>1073</v>
      </c>
    </row>
    <row r="8338" customFormat="false" ht="15" hidden="false" customHeight="false" outlineLevel="0" collapsed="false">
      <c r="A8338" s="1" t="s">
        <v>1074</v>
      </c>
      <c r="B8338" s="0" t="s">
        <v>98</v>
      </c>
      <c r="D8338" s="6" t="n">
        <f aca="false">Sens!D8330+Sens!D8337</f>
        <v>123.627</v>
      </c>
      <c r="E8338" s="6" t="n">
        <f aca="false">Sens!E8330+Sens!E8337</f>
        <v>165.934</v>
      </c>
      <c r="F8338" s="6" t="n">
        <f aca="false">Sens!F8330+Sens!F8337</f>
        <v>175.828777332074</v>
      </c>
      <c r="G8338" s="6" t="n">
        <f aca="false">Sens!G8330+Sens!G8337</f>
        <v>177.990511860289</v>
      </c>
      <c r="H8338" s="6" t="n">
        <f aca="false">Sens!H8330+Sens!H8337</f>
        <v>179.741546935393</v>
      </c>
      <c r="I8338" s="6" t="n">
        <f aca="false">Sens!I8330+Sens!I8337</f>
        <v>189.546898903767</v>
      </c>
      <c r="J8338" s="6" t="n">
        <f aca="false">Sens!J8330+Sens!J8337</f>
        <v>201.112101393874</v>
      </c>
      <c r="K8338" s="6" t="n">
        <f aca="false">Sens!K8330+Sens!K8337</f>
        <v>214.167099265439</v>
      </c>
    </row>
    <row r="8339" customFormat="false" ht="15" hidden="false" customHeight="false" outlineLevel="0" collapsed="false">
      <c r="A8339" s="1" t="s">
        <v>1075</v>
      </c>
      <c r="B8339" s="0" t="s">
        <v>98</v>
      </c>
      <c r="D8339" s="6" t="n">
        <f aca="false">Q!L29</f>
        <v>21.795</v>
      </c>
      <c r="E8339" s="6" t="n">
        <f aca="false">Q!M29</f>
        <v>32.185</v>
      </c>
      <c r="F8339" s="6" t="n">
        <f aca="false">Q!$I$29+(Sens!F8338-Q!$I$28)*tax_f</f>
        <v>35.2991554664149</v>
      </c>
      <c r="G8339" s="6" t="n">
        <f aca="false">Sens!G8338*tax_f</f>
        <v>35.5981023720577</v>
      </c>
      <c r="H8339" s="6" t="n">
        <f aca="false">Sens!H8338*tax_f</f>
        <v>35.9483093870786</v>
      </c>
      <c r="I8339" s="6" t="n">
        <f aca="false">Sens!I8338*tax_f</f>
        <v>37.9093797807535</v>
      </c>
      <c r="J8339" s="6" t="n">
        <f aca="false">Sens!J8338*tax_f</f>
        <v>40.2224202787748</v>
      </c>
      <c r="K8339" s="6" t="n">
        <f aca="false">Sens!K8338*tax_f</f>
        <v>42.8334198530878</v>
      </c>
    </row>
    <row r="8340" customFormat="false" ht="15" hidden="false" customHeight="false" outlineLevel="0" collapsed="false">
      <c r="A8340" s="1" t="s">
        <v>1076</v>
      </c>
      <c r="B8340" s="0" t="s">
        <v>98</v>
      </c>
      <c r="D8340" s="6" t="n">
        <f aca="false">Sens!D8338-Sens!D8339</f>
        <v>101.832</v>
      </c>
      <c r="E8340" s="6" t="n">
        <f aca="false">Sens!E8338-Sens!E8339</f>
        <v>133.749</v>
      </c>
      <c r="F8340" s="6" t="n">
        <f aca="false">Sens!F8338-Sens!F8339</f>
        <v>140.529621865659</v>
      </c>
      <c r="G8340" s="6" t="n">
        <f aca="false">Sens!G8338-Sens!G8339</f>
        <v>142.392409488231</v>
      </c>
      <c r="H8340" s="6" t="n">
        <f aca="false">Sens!H8338-Sens!H8339</f>
        <v>143.793237548314</v>
      </c>
      <c r="I8340" s="6" t="n">
        <f aca="false">Sens!I8338-Sens!I8339</f>
        <v>151.637519123014</v>
      </c>
      <c r="J8340" s="6" t="n">
        <f aca="false">Sens!J8338-Sens!J8339</f>
        <v>160.889681115099</v>
      </c>
      <c r="K8340" s="6" t="n">
        <f aca="false">Sens!K8338-Sens!K8339</f>
        <v>171.333679412351</v>
      </c>
    </row>
    <row r="8341" customFormat="false" ht="17.15" hidden="false" customHeight="false" outlineLevel="0" collapsed="false">
      <c r="A8341" s="1" t="s">
        <v>1077</v>
      </c>
      <c r="B8341" s="1" t="s">
        <v>81</v>
      </c>
      <c r="D8341" s="15" t="n">
        <f aca="false">Q!L31</f>
        <v>7.465</v>
      </c>
      <c r="E8341" s="15" t="n">
        <f aca="false">Q!M31</f>
        <v>7.453</v>
      </c>
      <c r="F8341" s="15" t="n">
        <f aca="false">Sens!F8385</f>
        <v>7.4735</v>
      </c>
      <c r="G8341" s="15" t="n">
        <f aca="false">Sens!G8385</f>
        <v>7.5185</v>
      </c>
      <c r="H8341" s="15" t="n">
        <f aca="false">Sens!H8385</f>
        <v>7.5635</v>
      </c>
      <c r="I8341" s="15" t="n">
        <f aca="false">Sens!I8385</f>
        <v>7.59248142502667</v>
      </c>
      <c r="J8341" s="15" t="n">
        <f aca="false">Sens!J8385</f>
        <v>7.60663083618914</v>
      </c>
      <c r="K8341" s="15" t="n">
        <f aca="false">Sens!K8385</f>
        <v>7.62306547615439</v>
      </c>
    </row>
    <row r="8342" customFormat="false" ht="17.15" hidden="false" customHeight="false" outlineLevel="0" collapsed="false">
      <c r="A8342" s="0" t="s">
        <v>1078</v>
      </c>
      <c r="B8342" s="0" t="s">
        <v>75</v>
      </c>
      <c r="D8342" s="8" t="n">
        <f aca="false">Sens!D8340/Sens!D8341</f>
        <v>13.641259209645</v>
      </c>
      <c r="E8342" s="8" t="n">
        <f aca="false">Sens!E8340/Sens!E8341</f>
        <v>17.9456594659869</v>
      </c>
      <c r="F8342" s="8" t="n">
        <f aca="false">Sens!F8340/Sens!F8341</f>
        <v>18.8037227357543</v>
      </c>
      <c r="G8342" s="8" t="n">
        <f aca="false">Sens!G8340/Sens!G8341</f>
        <v>18.9389385500074</v>
      </c>
      <c r="H8342" s="8" t="n">
        <f aca="false">Sens!H8340/Sens!H8341</f>
        <v>19.0114679114582</v>
      </c>
      <c r="I8342" s="8" t="n">
        <f aca="false">Sens!I8340/Sens!I8341</f>
        <v>19.9720632339224</v>
      </c>
      <c r="J8342" s="8" t="n">
        <f aca="false">Sens!J8340/Sens!J8341</f>
        <v>21.1512408817914</v>
      </c>
      <c r="K8342" s="8" t="n">
        <f aca="false">Sens!K8340/Sens!K8341</f>
        <v>22.4756930067435</v>
      </c>
      <c r="L8342" s="1" t="s">
        <v>1079</v>
      </c>
    </row>
    <row r="8343" customFormat="false" ht="17.15" hidden="false" customHeight="false" outlineLevel="0" collapsed="false">
      <c r="A8343" s="1" t="s">
        <v>1080</v>
      </c>
      <c r="B8343" s="0" t="s">
        <v>98</v>
      </c>
      <c r="D8343" s="6" t="n">
        <f aca="false">Sens!D8340</f>
        <v>101.832</v>
      </c>
      <c r="E8343" s="6" t="n">
        <f aca="false">Sens!E8340</f>
        <v>133.749</v>
      </c>
      <c r="F8343" s="6" t="n">
        <f aca="false">Sens!F8340+Sens!F8333*(1-tax_f)</f>
        <v>150.349536593283</v>
      </c>
      <c r="G8343" s="6" t="n">
        <f aca="false">Sens!G8340+Sens!G8333*(1-tax_f)</f>
        <v>166.394701857232</v>
      </c>
      <c r="H8343" s="6" t="n">
        <f aca="false">Sens!H8340+Sens!H8333*(1-tax_f)</f>
        <v>183.156460318266</v>
      </c>
      <c r="I8343" s="6" t="n">
        <f aca="false">Sens!I8340+Sens!I8333*(1-tax_f)</f>
        <v>204.652962246818</v>
      </c>
      <c r="J8343" s="6" t="n">
        <f aca="false">Sens!J8340+Sens!J8333*(1-tax_f)</f>
        <v>223.404441489244</v>
      </c>
      <c r="K8343" s="6" t="n">
        <f aca="false">Sens!K8340+Sens!K8333*(1-tax_f)</f>
        <v>239.427018600249</v>
      </c>
    </row>
    <row r="8344" customFormat="false" ht="17.15" hidden="false" customHeight="false" outlineLevel="0" collapsed="false">
      <c r="A8344" s="0" t="s">
        <v>1081</v>
      </c>
      <c r="B8344" s="0" t="s">
        <v>75</v>
      </c>
      <c r="D8344" s="8" t="n">
        <f aca="false">Sens!D8343/Sens!D8341</f>
        <v>13.641259209645</v>
      </c>
      <c r="E8344" s="8" t="n">
        <f aca="false">Sens!E8343/Sens!E8341</f>
        <v>17.9456594659869</v>
      </c>
      <c r="F8344" s="8" t="n">
        <f aca="false">Sens!F8343/Sens!F8341</f>
        <v>20.1176873744943</v>
      </c>
      <c r="G8344" s="8" t="n">
        <f aca="false">Sens!G8343/Sens!G8341</f>
        <v>22.1313695361086</v>
      </c>
      <c r="H8344" s="8" t="n">
        <f aca="false">Sens!H8343/Sens!H8341</f>
        <v>24.215833981393</v>
      </c>
      <c r="I8344" s="8" t="n">
        <f aca="false">Sens!I8343/Sens!I8341</f>
        <v>26.954687247865</v>
      </c>
      <c r="J8344" s="8" t="n">
        <f aca="false">Sens!J8343/Sens!J8341</f>
        <v>29.3696968211445</v>
      </c>
      <c r="K8344" s="8" t="n">
        <f aca="false">Sens!K8343/Sens!K8341</f>
        <v>31.4082332559253</v>
      </c>
      <c r="L8344" s="1" t="s">
        <v>1082</v>
      </c>
    </row>
    <row r="8345" customFormat="false" ht="17.15" hidden="false" customHeight="false" outlineLevel="0" collapsed="false">
      <c r="A8345" s="0" t="s">
        <v>1083</v>
      </c>
      <c r="B8345" s="0" t="s">
        <v>168</v>
      </c>
      <c r="E8345" s="7" t="n">
        <f aca="false">Sens!E8344/Sens!D8344-1</f>
        <v>0.315542736208578</v>
      </c>
      <c r="F8345" s="7" t="n">
        <f aca="false">Sens!F8344/Sens!E8344-1</f>
        <v>0.121033607743653</v>
      </c>
      <c r="G8345" s="7" t="n">
        <f aca="false">Sens!G8344/Sens!F8344-1</f>
        <v>0.100095111536891</v>
      </c>
      <c r="H8345" s="7" t="n">
        <f aca="false">Sens!H8344/Sens!G8344-1</f>
        <v>0.0941859672029555</v>
      </c>
      <c r="I8345" s="7" t="n">
        <f aca="false">Sens!I8344/Sens!H8344-1</f>
        <v>0.113101752703478</v>
      </c>
      <c r="J8345" s="7" t="n">
        <f aca="false">Sens!J8344/Sens!I8344-1</f>
        <v>0.0895951620982269</v>
      </c>
      <c r="K8345" s="7" t="n">
        <f aca="false">Sens!K8344/Sens!J8344-1</f>
        <v>0.069409515773865</v>
      </c>
    </row>
    <row r="8346" customFormat="false" ht="17.15" hidden="false" customHeight="false" outlineLevel="0" collapsed="false">
      <c r="A8346" s="0" t="s">
        <v>1003</v>
      </c>
      <c r="B8346" s="0" t="s">
        <v>98</v>
      </c>
      <c r="E8346" s="6" t="n">
        <f aca="false">Sens!E8287</f>
        <v>5.25</v>
      </c>
      <c r="F8346" s="6" t="n">
        <f aca="false">Sens!F8287</f>
        <v>7.56</v>
      </c>
      <c r="G8346" s="6" t="n">
        <f aca="false">Sens!G8287</f>
        <v>9.72</v>
      </c>
      <c r="H8346" s="6" t="n">
        <f aca="false">Sens!H8287</f>
        <v>11.88</v>
      </c>
      <c r="I8346" s="6" t="n">
        <f aca="false">Sens!I8287</f>
        <v>13.5</v>
      </c>
      <c r="J8346" s="6" t="n">
        <f aca="false">Sens!J8287</f>
        <v>14.58</v>
      </c>
      <c r="K8346" s="6" t="n">
        <f aca="false">Sens!K8287</f>
        <v>15.66</v>
      </c>
    </row>
    <row r="8347" customFormat="false" ht="17.15" hidden="false" customHeight="false" outlineLevel="0" collapsed="false">
      <c r="A8347" s="1" t="s">
        <v>1004</v>
      </c>
      <c r="B8347" s="0" t="s">
        <v>98</v>
      </c>
      <c r="F8347" s="6" t="n">
        <f aca="false">MAX(0,((Sens!E8247+Sens!F8247)/2-(shadow_base*(Sens!$D$8247+Sens!$E$8247)/2+(1-shadow_base)*Sens!$E$8247))*Sens!F8256/1000-(Sens!F8346-Sens!$E$8346)*Sens!F8326)</f>
        <v>12.2748934095295</v>
      </c>
      <c r="G8347" s="6" t="n">
        <f aca="false">MAX(0,((Sens!F8247+Sens!G8247)/2-(shadow_base*(Sens!$D$8247+Sens!$E$8247)/2+(1-shadow_base)*Sens!$E$8247))*Sens!G8256/1000-(Sens!G8346-Sens!$E$8346)*Sens!G8326)</f>
        <v>30.002865461252</v>
      </c>
      <c r="H8347" s="6" t="n">
        <f aca="false">MAX(0,((Sens!G8247+Sens!H8247)/2-(shadow_base*(Sens!$D$8247+Sens!$E$8247)/2+(1-shadow_base)*Sens!$E$8247))*Sens!H8256/1000-(Sens!H8346-Sens!$E$8346)*Sens!H8326)</f>
        <v>49.2040284624397</v>
      </c>
      <c r="I8347" s="6" t="n">
        <f aca="false">MAX(0,((Sens!H8247+Sens!I8247)/2-(shadow_base*(Sens!$D$8247+Sens!$E$8247)/2+(1-shadow_base)*Sens!$E$8247))*Sens!I8256/1000-(Sens!I8346-Sens!$E$8346)*Sens!I8326)</f>
        <v>66.2693039047555</v>
      </c>
      <c r="J8347" s="6" t="n">
        <f aca="false">MAX(0,((Sens!I8247+Sens!J8247)/2-(shadow_base*(Sens!$D$8247+Sens!$E$8247)/2+(1-shadow_base)*Sens!$E$8247))*Sens!J8256/1000-(Sens!J8346-Sens!$E$8346)*Sens!J8326)</f>
        <v>78.1434504676809</v>
      </c>
      <c r="K8347" s="6" t="n">
        <f aca="false">MAX(0,((Sens!J8247+Sens!K8247)/2-(shadow_base*(Sens!$D$8247+Sens!$E$8247)/2+(1-shadow_base)*Sens!$E$8247))*Sens!K8256/1000-(Sens!K8346-Sens!$E$8346)*Sens!K8326)</f>
        <v>85.116673984872</v>
      </c>
      <c r="L8347" s="1" t="s">
        <v>1005</v>
      </c>
    </row>
    <row r="8348" customFormat="false" ht="17.15" hidden="false" customHeight="false" outlineLevel="0" collapsed="false">
      <c r="A8348" s="1" t="s">
        <v>1006</v>
      </c>
      <c r="B8348" s="0" t="s">
        <v>98</v>
      </c>
      <c r="F8348" s="6" t="n">
        <f aca="false">IF(internal_ai_reading=2,1,0)*Sens!F8347</f>
        <v>12.2748934095295</v>
      </c>
      <c r="G8348" s="6" t="n">
        <f aca="false">IF(internal_ai_reading=2,1,0)*Sens!G8347</f>
        <v>30.002865461252</v>
      </c>
      <c r="H8348" s="6" t="n">
        <f aca="false">IF(internal_ai_reading=2,1,0)*Sens!H8347</f>
        <v>49.2040284624397</v>
      </c>
      <c r="I8348" s="6" t="n">
        <f aca="false">IF(internal_ai_reading=2,1,0)*Sens!I8347</f>
        <v>66.2693039047555</v>
      </c>
      <c r="J8348" s="6" t="n">
        <f aca="false">IF(internal_ai_reading=2,1,0)*Sens!J8347</f>
        <v>78.1434504676809</v>
      </c>
      <c r="K8348" s="6" t="n">
        <f aca="false">IF(internal_ai_reading=2,1,0)*Sens!K8347</f>
        <v>85.116673984872</v>
      </c>
    </row>
    <row r="8349" customFormat="false" ht="17.15" hidden="false" customHeight="false" outlineLevel="0" collapsed="false">
      <c r="A8349" s="0" t="s">
        <v>1007</v>
      </c>
      <c r="B8349" s="0" t="s">
        <v>98</v>
      </c>
      <c r="F8349" s="6" t="n">
        <f aca="false">Sens!F8266+Sens!F8346*Sens!F8326+Sens!F8348-Sens!F8267-Sens!F8278</f>
        <v>10.3853806853618</v>
      </c>
      <c r="G8349" s="6" t="n">
        <f aca="false">Sens!G8266+Sens!G8346*Sens!G8326+Sens!G8348-Sens!G8267-Sens!G8278</f>
        <v>16.4389313105741</v>
      </c>
      <c r="H8349" s="6" t="n">
        <f aca="false">Sens!H8266+Sens!H8346*Sens!H8326+Sens!H8348-Sens!H8267-Sens!H8278</f>
        <v>17.135416308873</v>
      </c>
      <c r="I8349" s="6" t="n">
        <f aca="false">Sens!I8266+Sens!I8346*Sens!I8326+Sens!I8348-Sens!I8267-Sens!I8278</f>
        <v>24.1293804008657</v>
      </c>
      <c r="J8349" s="6" t="n">
        <f aca="false">Sens!J8266+Sens!J8346*Sens!J8326+Sens!J8348-Sens!J8267-Sens!J8278</f>
        <v>28.8545659869181</v>
      </c>
      <c r="K8349" s="6" t="n">
        <f aca="false">Sens!K8266+Sens!K8346*Sens!K8326+Sens!K8348-Sens!K8267-Sens!K8278</f>
        <v>32.1374748525101</v>
      </c>
    </row>
    <row r="8350" customFormat="false" ht="17.15" hidden="false" customHeight="false" outlineLevel="0" collapsed="false">
      <c r="A8350" s="0" t="s">
        <v>1008</v>
      </c>
      <c r="B8350" s="0" t="s">
        <v>98</v>
      </c>
      <c r="E8350" s="6" t="n">
        <f aca="false">Sens!E8246*(cxit_open+self_build*tk_cxfac)/1000*ai_net_open</f>
        <v>126.6980382</v>
      </c>
      <c r="F8350" s="6" t="n">
        <f aca="false">Sens!E8350+Sens!F8275-Sens!F8278</f>
        <v>260.572627763768</v>
      </c>
      <c r="G8350" s="6" t="n">
        <f aca="false">Sens!F8350+Sens!G8275-Sens!G8278</f>
        <v>391.782612760517</v>
      </c>
      <c r="H8350" s="6" t="n">
        <f aca="false">Sens!G8350+Sens!H8275-Sens!H8278</f>
        <v>499.488526163584</v>
      </c>
      <c r="I8350" s="6" t="n">
        <f aca="false">Sens!H8350+Sens!I8275-Sens!I8278</f>
        <v>553.872350090646</v>
      </c>
      <c r="J8350" s="6" t="n">
        <f aca="false">Sens!I8350+Sens!J8275-Sens!J8278</f>
        <v>550.78660823699</v>
      </c>
      <c r="K8350" s="6" t="n">
        <f aca="false">Sens!J8350+Sens!K8275-Sens!K8278</f>
        <v>526.736791750789</v>
      </c>
      <c r="L8350" s="1" t="s">
        <v>1009</v>
      </c>
    </row>
    <row r="8351" customFormat="false" ht="17.15" hidden="false" customHeight="false" outlineLevel="0" collapsed="false">
      <c r="A8351" s="0" t="s">
        <v>1010</v>
      </c>
      <c r="B8351" s="0" t="s">
        <v>168</v>
      </c>
      <c r="F8351" s="7" t="n">
        <f aca="false">Sens!F8349*(1-tax_f)/((Sens!E8350+Sens!F8350)/2)</f>
        <v>0.0429069654816909</v>
      </c>
      <c r="G8351" s="7" t="n">
        <f aca="false">Sens!G8349*(1-tax_f)/((Sens!F8350+Sens!G8350)/2)</f>
        <v>0.0403189680453549</v>
      </c>
      <c r="H8351" s="7" t="n">
        <f aca="false">Sens!H8349*(1-tax_f)/((Sens!G8350+Sens!H8350)/2)</f>
        <v>0.0307613080877867</v>
      </c>
      <c r="I8351" s="7" t="n">
        <f aca="false">Sens!I8349*(1-tax_f)/((Sens!H8350+Sens!I8350)/2)</f>
        <v>0.0366512650238846</v>
      </c>
      <c r="J8351" s="7" t="n">
        <f aca="false">Sens!J8349*(1-tax_f)/((Sens!I8350+Sens!J8350)/2)</f>
        <v>0.0417932659044041</v>
      </c>
      <c r="K8351" s="7" t="n">
        <f aca="false">Sens!K8349*(1-tax_f)/((Sens!J8350+Sens!K8350)/2)</f>
        <v>0.0477205040415821</v>
      </c>
    </row>
    <row r="8352" customFormat="false" ht="17.15" hidden="false" customHeight="false" outlineLevel="0" collapsed="false">
      <c r="A8352" s="1" t="s">
        <v>1011</v>
      </c>
      <c r="B8352" s="0" t="s">
        <v>168</v>
      </c>
      <c r="F8352" s="7" t="n">
        <f aca="false">(Sens!F8349-Sens!F8348)*(1-tax_f)/((Sens!E8350+Sens!F8350)/2)</f>
        <v>-0.0078064790968476</v>
      </c>
      <c r="G8352" s="7" t="n">
        <f aca="false">(Sens!G8349-Sens!G8348)*(1-tax_f)/((Sens!F8350+Sens!G8350)/2)</f>
        <v>-0.0332676022095614</v>
      </c>
      <c r="H8352" s="7" t="n">
        <f aca="false">(Sens!H8349-Sens!H8348)*(1-tax_f)/((Sens!G8350+Sens!H8350)/2)</f>
        <v>-0.0575692145800271</v>
      </c>
      <c r="I8352" s="7" t="n">
        <f aca="false">(Sens!I8349-Sens!I8348)*(1-tax_f)/((Sens!H8350+Sens!I8350)/2)</f>
        <v>-0.0640083366737374</v>
      </c>
      <c r="J8352" s="7" t="n">
        <f aca="false">(Sens!J8349-Sens!J8348)*(1-tax_f)/((Sens!I8350+Sens!J8350)/2)</f>
        <v>-0.071390554138638</v>
      </c>
      <c r="K8352" s="7" t="n">
        <f aca="false">(Sens!K8349-Sens!K8348)*(1-tax_f)/((Sens!J8350+Sens!K8350)/2)</f>
        <v>-0.0786681000270997</v>
      </c>
    </row>
    <row r="8353" customFormat="false" ht="17.15" hidden="false" customHeight="false" outlineLevel="0" collapsed="false">
      <c r="A8353" s="1" t="s">
        <v>1012</v>
      </c>
      <c r="B8353" s="0" t="s">
        <v>168</v>
      </c>
      <c r="F8353" s="7" t="n">
        <f aca="false">(Sens!F8349-Sens!F8348+Sens!F8347)*(1-tax_f)/((Sens!E8350+Sens!F8350)/2)</f>
        <v>0.0429069654816909</v>
      </c>
      <c r="G8353" s="7" t="n">
        <f aca="false">(Sens!G8349-Sens!G8348+Sens!G8347)*(1-tax_f)/((Sens!F8350+Sens!G8350)/2)</f>
        <v>0.0403189680453549</v>
      </c>
      <c r="H8353" s="7" t="n">
        <f aca="false">(Sens!H8349-Sens!H8348+Sens!H8347)*(1-tax_f)/((Sens!G8350+Sens!H8350)/2)</f>
        <v>0.0307613080877867</v>
      </c>
      <c r="I8353" s="7" t="n">
        <f aca="false">(Sens!I8349-Sens!I8348+Sens!I8347)*(1-tax_f)/((Sens!H8350+Sens!I8350)/2)</f>
        <v>0.0366512650238846</v>
      </c>
      <c r="J8353" s="7" t="n">
        <f aca="false">(Sens!J8349-Sens!J8348+Sens!J8347)*(1-tax_f)/((Sens!I8350+Sens!J8350)/2)</f>
        <v>0.0417932659044041</v>
      </c>
      <c r="K8353" s="7" t="n">
        <f aca="false">(Sens!K8349-Sens!K8348+Sens!K8347)*(1-tax_f)/((Sens!J8350+Sens!K8350)/2)</f>
        <v>0.0477205040415821</v>
      </c>
    </row>
    <row r="8354" customFormat="false" ht="17.15" hidden="false" customHeight="false" outlineLevel="0" collapsed="false">
      <c r="A8354" s="1" t="s">
        <v>1013</v>
      </c>
      <c r="B8354" s="0" t="s">
        <v>168</v>
      </c>
      <c r="F8354" s="7" t="n">
        <f aca="false">Sens!F8279*(1-tax_f)/(Sens!F8265*(Sens!E8350+Sens!F8350)/2)</f>
        <v>0.098791430090569</v>
      </c>
      <c r="G8354" s="7" t="n">
        <f aca="false">Sens!G8279*(1-tax_f)/(Sens!G8265*(Sens!F8350+Sens!G8350)/2)</f>
        <v>0.0675308856427828</v>
      </c>
      <c r="H8354" s="7" t="n">
        <f aca="false">Sens!H8279*(1-tax_f)/(Sens!H8265*(Sens!G8350+Sens!H8350)/2)</f>
        <v>0.0388374979528754</v>
      </c>
      <c r="I8354" s="7" t="n">
        <f aca="false">Sens!I8279*(1-tax_f)/(Sens!I8265*(Sens!H8350+Sens!I8350)/2)</f>
        <v>0.0411035671771815</v>
      </c>
      <c r="J8354" s="7" t="n">
        <f aca="false">Sens!J8279*(1-tax_f)/(Sens!J8265*(Sens!I8350+Sens!J8350)/2)</f>
        <v>0.0445222722541192</v>
      </c>
      <c r="K8354" s="7" t="n">
        <f aca="false">Sens!K8279*(1-tax_f)/(Sens!K8265*(Sens!J8350+Sens!K8350)/2)</f>
        <v>0.0498866361688162</v>
      </c>
    </row>
    <row r="8355" customFormat="false" ht="17.15" hidden="false" customHeight="false" outlineLevel="0" collapsed="false">
      <c r="A8355" s="0" t="s">
        <v>1014</v>
      </c>
      <c r="B8355" s="0" t="s">
        <v>253</v>
      </c>
      <c r="F8355" s="7" t="n">
        <f aca="false">Sens!F8351-wacc</f>
        <v>-0.0600296254639064</v>
      </c>
      <c r="G8355" s="7" t="n">
        <f aca="false">Sens!G8351-wacc</f>
        <v>-0.0626176229002424</v>
      </c>
      <c r="H8355" s="7" t="n">
        <f aca="false">Sens!H8351-wacc</f>
        <v>-0.0721752828578106</v>
      </c>
      <c r="I8355" s="7" t="n">
        <f aca="false">Sens!I8351-wacc</f>
        <v>-0.0662853259217127</v>
      </c>
      <c r="J8355" s="7" t="n">
        <f aca="false">Sens!J8351-wacc</f>
        <v>-0.0611433250411932</v>
      </c>
      <c r="K8355" s="7" t="n">
        <f aca="false">Sens!K8351-wacc</f>
        <v>-0.0552160869040152</v>
      </c>
    </row>
    <row r="8356" customFormat="false" ht="17.15" hidden="false" customHeight="false" outlineLevel="0" collapsed="false">
      <c r="A8356" s="0" t="s">
        <v>1015</v>
      </c>
      <c r="B8356" s="0" t="s">
        <v>98</v>
      </c>
      <c r="F8356" s="6" t="n">
        <f aca="false">Sens!F8349*(1-tax_f)-wacc*(Sens!E8350+Sens!F8350)/2</f>
        <v>-11.6238565154813</v>
      </c>
      <c r="G8356" s="6" t="n">
        <f aca="false">Sens!G8349*(1-tax_f)-wacc*(Sens!F8350+Sens!G8350)/2</f>
        <v>-20.4244672240733</v>
      </c>
      <c r="H8356" s="6" t="n">
        <f aca="false">Sens!H8349*(1-tax_f)-wacc*(Sens!G8350+Sens!H8350)/2</f>
        <v>-32.163873277425</v>
      </c>
      <c r="I8356" s="6" t="n">
        <f aca="false">Sens!I8349*(1-tax_f)-wacc*(Sens!H8350+Sens!I8350)/2</f>
        <v>-34.9111844978462</v>
      </c>
      <c r="J8356" s="6" t="n">
        <f aca="false">Sens!J8349*(1-tax_f)-wacc*(Sens!I8350+Sens!J8350)/2</f>
        <v>-33.7712608743463</v>
      </c>
      <c r="K8356" s="6" t="n">
        <f aca="false">Sens!K8349*(1-tax_f)-wacc*(Sens!J8350+Sens!K8350)/2</f>
        <v>-29.7483128474176</v>
      </c>
    </row>
    <row r="8357" customFormat="false" ht="17.15" hidden="false" customHeight="false" outlineLevel="0" collapsed="false">
      <c r="A8357" s="3" t="s">
        <v>1688</v>
      </c>
    </row>
    <row r="8358" customFormat="false" ht="15" hidden="false" customHeight="false" outlineLevel="0" collapsed="false">
      <c r="A8358" s="4" t="s">
        <v>43</v>
      </c>
      <c r="B8358" s="4" t="s">
        <v>65</v>
      </c>
      <c r="C8358" s="23" t="s">
        <v>938</v>
      </c>
      <c r="D8358" s="23" t="s">
        <v>939</v>
      </c>
      <c r="E8358" s="23" t="s">
        <v>940</v>
      </c>
      <c r="F8358" s="23" t="s">
        <v>941</v>
      </c>
      <c r="G8358" s="23" t="s">
        <v>942</v>
      </c>
      <c r="H8358" s="23" t="s">
        <v>943</v>
      </c>
      <c r="I8358" s="23" t="s">
        <v>944</v>
      </c>
      <c r="J8358" s="23" t="s">
        <v>945</v>
      </c>
      <c r="K8358" s="23" t="s">
        <v>946</v>
      </c>
      <c r="L8358" s="4" t="s">
        <v>47</v>
      </c>
    </row>
    <row r="8359" customFormat="false" ht="15" hidden="false" customHeight="false" outlineLevel="0" collapsed="false">
      <c r="A8359" s="1" t="s">
        <v>1076</v>
      </c>
      <c r="B8359" s="0" t="s">
        <v>98</v>
      </c>
      <c r="F8359" s="6" t="n">
        <f aca="false">Sens!F8340</f>
        <v>140.529621865659</v>
      </c>
      <c r="G8359" s="6" t="n">
        <f aca="false">Sens!G8340</f>
        <v>142.392409488231</v>
      </c>
      <c r="H8359" s="6" t="n">
        <f aca="false">Sens!H8340</f>
        <v>143.793237548314</v>
      </c>
      <c r="I8359" s="6" t="n">
        <f aca="false">Sens!I8340</f>
        <v>151.637519123014</v>
      </c>
      <c r="J8359" s="6" t="n">
        <f aca="false">Sens!J8340</f>
        <v>160.889681115099</v>
      </c>
      <c r="K8359" s="6" t="n">
        <f aca="false">Sens!K8340</f>
        <v>171.333679412351</v>
      </c>
    </row>
    <row r="8360" customFormat="false" ht="17.15" hidden="false" customHeight="false" outlineLevel="0" collapsed="false">
      <c r="A8360" s="1" t="s">
        <v>1098</v>
      </c>
      <c r="B8360" s="0" t="s">
        <v>98</v>
      </c>
      <c r="E8360" s="6" t="n">
        <f aca="false">Q!M38-Sens!E8278</f>
        <v>22.2285940229167</v>
      </c>
      <c r="F8360" s="6" t="n">
        <f aca="false">Sens!E8360*(1-1/life_nonai)+(Sens!F8368+Sens!F8369)/life_nonai</f>
        <v>23.580344216413</v>
      </c>
      <c r="G8360" s="6" t="n">
        <f aca="false">Sens!F8360*(1-1/life_nonai)+(Sens!G8368)/life_nonai</f>
        <v>25.3103468532621</v>
      </c>
      <c r="H8360" s="6" t="n">
        <f aca="false">Sens!G8360*(1-1/life_nonai)+(Sens!H8368)/life_nonai</f>
        <v>27.4038874816717</v>
      </c>
      <c r="I8360" s="6" t="n">
        <f aca="false">Sens!H8360*(1-1/life_nonai)+(Sens!I8368)/life_nonai</f>
        <v>29.806740440442</v>
      </c>
      <c r="J8360" s="6" t="n">
        <f aca="false">Sens!I8360*(1-1/life_nonai)+(Sens!J8368)/life_nonai</f>
        <v>32.4463363041053</v>
      </c>
      <c r="K8360" s="6" t="n">
        <f aca="false">Sens!J8360*(1-1/life_nonai)+(Sens!K8368)/life_nonai</f>
        <v>35.2382086554656</v>
      </c>
      <c r="L8360" s="12" t="s">
        <v>1099</v>
      </c>
    </row>
    <row r="8361" customFormat="false" ht="17.15" hidden="false" customHeight="false" outlineLevel="0" collapsed="false">
      <c r="A8361" s="1" t="s">
        <v>1100</v>
      </c>
      <c r="B8361" s="0" t="s">
        <v>98</v>
      </c>
      <c r="F8361" s="6" t="n">
        <f aca="false">Sens!$F$8369/life_nonai*(1-1/life_nonai)^(Sens!F8241-2027)</f>
        <v>0.0144584188140747</v>
      </c>
      <c r="G8361" s="6" t="n">
        <f aca="false">Sens!$F$8369/life_nonai*(1-1/life_nonai)^(Sens!G8241-2027)</f>
        <v>0.0130125769326673</v>
      </c>
      <c r="H8361" s="6" t="n">
        <f aca="false">Sens!$F$8369/life_nonai*(1-1/life_nonai)^(Sens!H8241-2027)</f>
        <v>0.0117113192394005</v>
      </c>
      <c r="I8361" s="6" t="n">
        <f aca="false">Sens!$F$8369/life_nonai*(1-1/life_nonai)^(Sens!I8241-2027)</f>
        <v>0.0105401873154605</v>
      </c>
      <c r="J8361" s="6" t="n">
        <f aca="false">Sens!$F$8369/life_nonai*(1-1/life_nonai)^(Sens!J8241-2027)</f>
        <v>0.00948616858391444</v>
      </c>
      <c r="K8361" s="6" t="n">
        <f aca="false">Sens!$F$8369/life_nonai*(1-1/life_nonai)^(Sens!K8241-2027)</f>
        <v>0.008537551725523</v>
      </c>
      <c r="L8361" s="1" t="s">
        <v>1101</v>
      </c>
    </row>
    <row r="8362" customFormat="false" ht="17.15" hidden="false" customHeight="false" outlineLevel="0" collapsed="false">
      <c r="A8362" s="1" t="s">
        <v>1102</v>
      </c>
      <c r="B8362" s="0" t="s">
        <v>98</v>
      </c>
      <c r="E8362" s="6" t="n">
        <f aca="false">Sens!E8278+Sens!E8360</f>
        <v>38.534</v>
      </c>
      <c r="F8362" s="6" t="n">
        <f aca="false">Sens!F8278+Sens!F8360</f>
        <v>58.1596586947647</v>
      </c>
      <c r="G8362" s="6" t="n">
        <f aca="false">Sens!G8278+Sens!G8360</f>
        <v>86.044837505561</v>
      </c>
      <c r="H8362" s="6" t="n">
        <f aca="false">Sens!H8278+Sens!H8360</f>
        <v>116.503978143117</v>
      </c>
      <c r="I8362" s="6" t="n">
        <f aca="false">Sens!I8278+Sens!I8360</f>
        <v>144.03775013499</v>
      </c>
      <c r="J8362" s="6" t="n">
        <f aca="false">Sens!J8278+Sens!J8360</f>
        <v>164.462009353701</v>
      </c>
      <c r="K8362" s="6" t="n">
        <f aca="false">Sens!K8278+Sens!K8360</f>
        <v>178.2508782064</v>
      </c>
    </row>
    <row r="8363" customFormat="false" ht="17.15" hidden="false" customHeight="false" outlineLevel="0" collapsed="false">
      <c r="A8363" s="1" t="s">
        <v>1103</v>
      </c>
      <c r="B8363" s="0" t="s">
        <v>98</v>
      </c>
      <c r="F8363" s="6" t="n">
        <f aca="false">Sens!F8305*sbc_r</f>
        <v>14.661537159472</v>
      </c>
      <c r="G8363" s="6" t="n">
        <f aca="false">Sens!G8305*sbc_r</f>
        <v>17.0436897595099</v>
      </c>
      <c r="H8363" s="6" t="n">
        <f aca="false">Sens!H8305*sbc_r</f>
        <v>19.2703947010012</v>
      </c>
      <c r="I8363" s="6" t="n">
        <f aca="false">Sens!I8305*sbc_r</f>
        <v>21.6040723593479</v>
      </c>
      <c r="J8363" s="6" t="n">
        <f aca="false">Sens!J8305*sbc_r</f>
        <v>23.5682414665993</v>
      </c>
      <c r="K8363" s="6" t="n">
        <f aca="false">Sens!K8305*sbc_r</f>
        <v>25.1686469559087</v>
      </c>
    </row>
    <row r="8364" customFormat="false" ht="17.15" hidden="false" customHeight="false" outlineLevel="0" collapsed="false">
      <c r="A8364" s="1" t="s">
        <v>1104</v>
      </c>
      <c r="B8364" s="0" t="s">
        <v>98</v>
      </c>
      <c r="F8364" s="6" t="n">
        <f aca="false">wc27-wc26q1</f>
        <v>-4.677</v>
      </c>
      <c r="G8364" s="6" t="n">
        <f aca="false">wc_f</f>
        <v>0</v>
      </c>
      <c r="H8364" s="6" t="n">
        <f aca="false">wc_f</f>
        <v>0</v>
      </c>
      <c r="I8364" s="6" t="n">
        <f aca="false">wc_f</f>
        <v>0</v>
      </c>
      <c r="J8364" s="6" t="n">
        <f aca="false">wc_f</f>
        <v>0</v>
      </c>
      <c r="K8364" s="6" t="n">
        <f aca="false">wc_f</f>
        <v>0</v>
      </c>
      <c r="L8364" s="12" t="s">
        <v>1105</v>
      </c>
    </row>
    <row r="8365" customFormat="false" ht="17.15" hidden="false" customHeight="false" outlineLevel="0" collapsed="false">
      <c r="A8365" s="0" t="s">
        <v>1106</v>
      </c>
      <c r="B8365" s="0" t="s">
        <v>98</v>
      </c>
      <c r="F8365" s="6" t="n">
        <f aca="false">Q!$I$35-Q!$I$26-Q!$I$38-Q!$I$39</f>
        <v>6.493</v>
      </c>
      <c r="L8365" s="1" t="s">
        <v>1107</v>
      </c>
    </row>
    <row r="8366" customFormat="false" ht="15" hidden="false" customHeight="false" outlineLevel="0" collapsed="false">
      <c r="A8366" s="1" t="s">
        <v>904</v>
      </c>
      <c r="B8366" s="0" t="s">
        <v>98</v>
      </c>
      <c r="E8366" s="6" t="n">
        <f aca="false">Q!M35</f>
        <v>182.935</v>
      </c>
      <c r="F8366" s="6" t="n">
        <f aca="false">Sens!F8359+Sens!F8362+Sens!F8363+Sens!F8364+Sens!F8365</f>
        <v>215.166817719896</v>
      </c>
      <c r="G8366" s="6" t="n">
        <f aca="false">Sens!G8359+Sens!G8362+Sens!G8363+Sens!G8364</f>
        <v>245.480936753302</v>
      </c>
      <c r="H8366" s="6" t="n">
        <f aca="false">Sens!H8359+Sens!H8362+Sens!H8363+Sens!H8364</f>
        <v>279.567610392433</v>
      </c>
      <c r="I8366" s="6" t="n">
        <f aca="false">Sens!I8359+Sens!I8362+Sens!I8363+Sens!I8364</f>
        <v>317.279341617352</v>
      </c>
      <c r="J8366" s="6" t="n">
        <f aca="false">Sens!J8359+Sens!J8362+Sens!J8363+Sens!J8364</f>
        <v>348.9199319354</v>
      </c>
      <c r="K8366" s="6" t="n">
        <f aca="false">Sens!K8359+Sens!K8362+Sens!K8363+Sens!K8364</f>
        <v>374.753204574659</v>
      </c>
    </row>
    <row r="8367" customFormat="false" ht="17.15" hidden="false" customHeight="false" outlineLevel="0" collapsed="false">
      <c r="A8367" s="0" t="s">
        <v>1108</v>
      </c>
      <c r="B8367" s="0" t="s">
        <v>98</v>
      </c>
      <c r="F8367" s="6" t="n">
        <f aca="false">Sens!F8275</f>
        <v>168.45390404212</v>
      </c>
      <c r="G8367" s="6" t="n">
        <f aca="false">Sens!G8275</f>
        <v>191.944475649048</v>
      </c>
      <c r="H8367" s="6" t="n">
        <f aca="false">Sens!H8275</f>
        <v>196.806004064512</v>
      </c>
      <c r="I8367" s="6" t="n">
        <f aca="false">Sens!I8275</f>
        <v>168.61483362161</v>
      </c>
      <c r="J8367" s="6" t="n">
        <f aca="false">Sens!J8275</f>
        <v>128.92993119594</v>
      </c>
      <c r="K8367" s="6" t="n">
        <f aca="false">Sens!K8275</f>
        <v>118.962853064733</v>
      </c>
    </row>
    <row r="8368" customFormat="false" ht="17.15" hidden="false" customHeight="false" outlineLevel="0" collapsed="false">
      <c r="A8368" s="1" t="s">
        <v>1109</v>
      </c>
      <c r="B8368" s="0" t="s">
        <v>98</v>
      </c>
      <c r="E8368" s="6" t="n">
        <f aca="false">Sens!E8283*cx_azo+Sens!E8290*cx_m365+Sens!E8291*cx_lic+(Sens!E8293+Sens!E8295)*cx_ind+Sens!E8298*cx_srch+(Sens!E8300+Sens!E8302)*cx_dev</f>
        <v>30.1846587067718</v>
      </c>
      <c r="F8368" s="6" t="n">
        <f aca="false">Sens!F8283*cx_azo+Sens!F8290*cx_m365+Sens!F8291*cx_lic+(Sens!F8293+Sens!F8295)*cx_ind+Sens!F8298*cx_srch+(Sens!F8300+Sens!F8302)*cx_dev</f>
        <v>35.6015117697397</v>
      </c>
      <c r="G8368" s="6" t="n">
        <f aca="false">Sens!G8283*cx_azo+Sens!G8290*cx_m365+Sens!G8291*cx_lic+(Sens!G8293+Sens!G8295)*cx_ind+Sens!G8298*cx_srch+(Sens!G8300+Sens!G8302)*cx_dev</f>
        <v>40.8803705849032</v>
      </c>
      <c r="H8368" s="6" t="n">
        <f aca="false">Sens!H8283*cx_azo+Sens!H8290*cx_m365+Sens!H8291*cx_lic+(Sens!H8293+Sens!H8295)*cx_ind+Sens!H8298*cx_srch+(Sens!H8300+Sens!H8302)*cx_dev</f>
        <v>46.2457531373581</v>
      </c>
      <c r="I8368" s="6" t="n">
        <f aca="false">Sens!I8283*cx_azo+Sens!I8290*cx_m365+Sens!I8291*cx_lic+(Sens!I8293+Sens!I8295)*cx_ind+Sens!I8298*cx_srch+(Sens!I8300+Sens!I8302)*cx_dev</f>
        <v>51.4324170693753</v>
      </c>
      <c r="J8368" s="6" t="n">
        <f aca="false">Sens!J8283*cx_azo+Sens!J8290*cx_m365+Sens!J8291*cx_lic+(Sens!J8293+Sens!J8295)*cx_ind+Sens!J8298*cx_srch+(Sens!J8300+Sens!J8302)*cx_dev</f>
        <v>56.2026990770748</v>
      </c>
      <c r="K8368" s="6" t="n">
        <f aca="false">Sens!K8283*cx_azo+Sens!K8290*cx_m365+Sens!K8291*cx_lic+(Sens!K8293+Sens!K8295)*cx_ind+Sens!K8298*cx_srch+(Sens!K8300+Sens!K8302)*cx_dev</f>
        <v>60.3650598177079</v>
      </c>
    </row>
    <row r="8369" customFormat="false" ht="17.15" hidden="false" customHeight="false" outlineLevel="0" collapsed="false">
      <c r="A8369" s="0" t="s">
        <v>1110</v>
      </c>
      <c r="B8369" s="0" t="s">
        <v>98</v>
      </c>
      <c r="F8369" s="6" t="n">
        <f aca="false">Sens!F8273</f>
        <v>0.144584188140747</v>
      </c>
      <c r="L8369" s="1" t="s">
        <v>1111</v>
      </c>
    </row>
    <row r="8370" customFormat="false" ht="17.15" hidden="false" customHeight="false" outlineLevel="0" collapsed="false">
      <c r="A8370" s="1" t="s">
        <v>1112</v>
      </c>
      <c r="B8370" s="0" t="s">
        <v>98</v>
      </c>
      <c r="E8370" s="6" t="n">
        <f aca="false">Q!M43</f>
        <v>145.3</v>
      </c>
      <c r="F8370" s="6" t="n">
        <f aca="false">Sens!F8367+Sens!F8368+Sens!F8369</f>
        <v>204.2</v>
      </c>
      <c r="G8370" s="6" t="n">
        <f aca="false">Sens!G8367+Sens!G8368</f>
        <v>232.824846233951</v>
      </c>
      <c r="H8370" s="6" t="n">
        <f aca="false">Sens!H8367+Sens!H8368</f>
        <v>243.05175720187</v>
      </c>
      <c r="I8370" s="6" t="n">
        <f aca="false">Sens!I8367+Sens!I8368</f>
        <v>220.047250690986</v>
      </c>
      <c r="J8370" s="6" t="n">
        <f aca="false">Sens!J8367+Sens!J8368</f>
        <v>185.132630273015</v>
      </c>
      <c r="K8370" s="6" t="n">
        <f aca="false">Sens!K8367+Sens!K8368</f>
        <v>179.327912882441</v>
      </c>
      <c r="L8370" s="1" t="s">
        <v>1113</v>
      </c>
    </row>
    <row r="8371" customFormat="false" ht="15" hidden="false" customHeight="false" outlineLevel="0" collapsed="false">
      <c r="A8371" s="1" t="s">
        <v>1114</v>
      </c>
      <c r="B8371" s="0" t="s">
        <v>98</v>
      </c>
      <c r="E8371" s="6" t="n">
        <f aca="false">fl_liab</f>
        <v>66.594</v>
      </c>
      <c r="F8371" s="6" t="n">
        <f aca="false">Sens!E8371-Sens!F8372</f>
        <v>62.46973</v>
      </c>
      <c r="G8371" s="6" t="n">
        <f aca="false">Sens!F8371-Sens!G8372</f>
        <v>57.98686785</v>
      </c>
      <c r="H8371" s="6" t="n">
        <f aca="false">Sens!G8371-Sens!H8372</f>
        <v>53.92827690325</v>
      </c>
      <c r="I8371" s="6" t="n">
        <f aca="false">Sens!H8371-Sens!I8372</f>
        <v>49.7850493638962</v>
      </c>
      <c r="J8371" s="6" t="n">
        <f aca="false">Sens!I8371-Sens!J8372</f>
        <v>45.4823765852716</v>
      </c>
      <c r="K8371" s="6" t="n">
        <f aca="false">Sens!J8371-Sens!K8372</f>
        <v>40.9860835316088</v>
      </c>
    </row>
    <row r="8372" customFormat="false" ht="15" hidden="false" customHeight="false" outlineLevel="0" collapsed="false">
      <c r="A8372" s="1" t="s">
        <v>1115</v>
      </c>
      <c r="B8372" s="0" t="s">
        <v>98</v>
      </c>
      <c r="F8372" s="6" t="n">
        <f aca="false">fl_pay_27-Sens!E8371*fl_rate</f>
        <v>4.12427</v>
      </c>
      <c r="G8372" s="6" t="n">
        <f aca="false">fl_pay_28-Sens!F8371*fl_rate</f>
        <v>4.48286215</v>
      </c>
      <c r="H8372" s="6" t="n">
        <f aca="false">fl_pay_29-Sens!G8371*fl_rate</f>
        <v>4.05859094675</v>
      </c>
      <c r="I8372" s="6" t="n">
        <f aca="false">fl_pay_30-Sens!H8371*fl_rate</f>
        <v>4.14322753935375</v>
      </c>
      <c r="J8372" s="6" t="n">
        <f aca="false">fl_pay_31-Sens!I8371*fl_rate</f>
        <v>4.30267277862467</v>
      </c>
      <c r="K8372" s="6" t="n">
        <f aca="false">fl_pay_32-Sens!J8371*fl_rate</f>
        <v>4.49629305366278</v>
      </c>
    </row>
    <row r="8373" customFormat="false" ht="17.15" hidden="false" customHeight="false" outlineLevel="0" collapsed="false">
      <c r="A8373" s="1" t="s">
        <v>1116</v>
      </c>
      <c r="B8373" s="0" t="s">
        <v>98</v>
      </c>
      <c r="E8373" s="6" t="n">
        <f aca="false">Q!M35-Q!M36-Q!M44</f>
        <v>63.886</v>
      </c>
      <c r="F8373" s="6" t="n">
        <f aca="false">Sens!F8366-Sens!F8370-Sens!F8372</f>
        <v>6.84254771989606</v>
      </c>
      <c r="G8373" s="6" t="n">
        <f aca="false">Sens!G8366-Sens!G8370-Sens!G8372</f>
        <v>8.17322836935053</v>
      </c>
      <c r="H8373" s="6" t="n">
        <f aca="false">Sens!H8366-Sens!H8370-Sens!H8372</f>
        <v>32.4572622438124</v>
      </c>
      <c r="I8373" s="6" t="n">
        <f aca="false">Sens!I8366-Sens!I8370-Sens!I8372</f>
        <v>93.0888633870127</v>
      </c>
      <c r="J8373" s="6" t="n">
        <f aca="false">Sens!J8366-Sens!J8370-Sens!J8372</f>
        <v>159.48462888376</v>
      </c>
      <c r="K8373" s="6" t="n">
        <f aca="false">Sens!K8366-Sens!K8370-Sens!K8372</f>
        <v>190.928998638556</v>
      </c>
      <c r="L8373" s="12" t="s">
        <v>1117</v>
      </c>
    </row>
    <row r="8374" customFormat="false" ht="15" hidden="false" customHeight="false" outlineLevel="0" collapsed="false">
      <c r="A8374" s="1" t="s">
        <v>1118</v>
      </c>
      <c r="B8374" s="0" t="s">
        <v>75</v>
      </c>
      <c r="F8374" s="8" t="n">
        <f aca="false">dps_27</f>
        <v>3.85</v>
      </c>
      <c r="G8374" s="8" t="n">
        <f aca="false">Sens!F8374*(1+dps_g)</f>
        <v>4.158</v>
      </c>
      <c r="H8374" s="8" t="n">
        <f aca="false">Sens!G8374*(1+dps_g)</f>
        <v>4.49064</v>
      </c>
      <c r="I8374" s="8" t="n">
        <f aca="false">Sens!H8374*(1+dps_g)</f>
        <v>4.8498912</v>
      </c>
      <c r="J8374" s="8" t="n">
        <f aca="false">Sens!I8374*(1+dps_g)</f>
        <v>5.237882496</v>
      </c>
      <c r="K8374" s="8" t="n">
        <f aca="false">Sens!J8374*(1+dps_g)</f>
        <v>5.65691309568</v>
      </c>
    </row>
    <row r="8375" customFormat="false" ht="17.15" hidden="false" customHeight="false" outlineLevel="0" collapsed="false">
      <c r="A8375" s="1" t="s">
        <v>1119</v>
      </c>
      <c r="B8375" s="0" t="s">
        <v>98</v>
      </c>
      <c r="E8375" s="6" t="n">
        <f aca="false">Q!M41</f>
        <v>26.445</v>
      </c>
      <c r="F8375" s="6" t="n">
        <f aca="false">Sens!F8374*Sens!E8384</f>
        <v>28.59395</v>
      </c>
      <c r="G8375" s="6" t="n">
        <f aca="false">Sens!G8374*Sens!F8384</f>
        <v>31.068576</v>
      </c>
      <c r="H8375" s="6" t="n">
        <f aca="false">Sens!H8374*Sens!G8384</f>
        <v>33.75614088</v>
      </c>
      <c r="I8375" s="6" t="n">
        <f aca="false">Sens!I8374*Sens!H8384</f>
        <v>36.6748772544</v>
      </c>
      <c r="J8375" s="6" t="n">
        <f aca="false">Sens!J8374*Sens!I8384</f>
        <v>39.6767653201446</v>
      </c>
      <c r="K8375" s="6" t="n">
        <f aca="false">Sens!K8374*Sens!J8384</f>
        <v>42.9376608081345</v>
      </c>
      <c r="L8375" s="1" t="s">
        <v>1120</v>
      </c>
    </row>
    <row r="8376" customFormat="false" ht="15" hidden="false" customHeight="false" outlineLevel="0" collapsed="false">
      <c r="A8376" s="1" t="s">
        <v>1121</v>
      </c>
      <c r="B8376" s="0" t="s">
        <v>98</v>
      </c>
      <c r="E8376" s="6" t="n">
        <f aca="false">Sens!E8373-Sens!E8375</f>
        <v>37.441</v>
      </c>
      <c r="F8376" s="6" t="n">
        <f aca="false">Sens!F8373-Sens!F8375</f>
        <v>-21.7514022801039</v>
      </c>
      <c r="G8376" s="6" t="n">
        <f aca="false">Sens!G8373-Sens!G8375</f>
        <v>-22.8953476306495</v>
      </c>
      <c r="H8376" s="6" t="n">
        <f aca="false">Sens!H8373-Sens!H8375</f>
        <v>-1.2988786361876</v>
      </c>
      <c r="I8376" s="6" t="n">
        <f aca="false">Sens!I8373-Sens!I8375</f>
        <v>56.4139861326127</v>
      </c>
      <c r="J8376" s="6" t="n">
        <f aca="false">Sens!J8373-Sens!J8375</f>
        <v>119.807863563615</v>
      </c>
      <c r="K8376" s="6" t="n">
        <f aca="false">Sens!K8373-Sens!K8375</f>
        <v>147.991337830422</v>
      </c>
    </row>
    <row r="8377" customFormat="false" ht="15" hidden="false" customHeight="false" outlineLevel="0" collapsed="false">
      <c r="A8377" s="1" t="s">
        <v>1122</v>
      </c>
      <c r="B8377" s="0" t="s">
        <v>98</v>
      </c>
      <c r="F8377" s="6" t="n">
        <f aca="false">debt_mat_27</f>
        <v>9.25</v>
      </c>
      <c r="G8377" s="6" t="n">
        <f aca="false">debt_mat_28</f>
        <v>0</v>
      </c>
      <c r="H8377" s="6" t="n">
        <f aca="false">debt_mat_29</f>
        <v>2.001</v>
      </c>
      <c r="I8377" s="6" t="n">
        <f aca="false">debt_mat_30</f>
        <v>0</v>
      </c>
      <c r="J8377" s="6" t="n">
        <f aca="false">debt_mat_31</f>
        <v>0.5</v>
      </c>
      <c r="K8377" s="6" t="n">
        <f aca="false">debt_mat_32</f>
        <v>0</v>
      </c>
    </row>
    <row r="8378" customFormat="false" ht="15" hidden="false" customHeight="false" outlineLevel="0" collapsed="false">
      <c r="A8378" s="1" t="s">
        <v>1123</v>
      </c>
      <c r="B8378" s="0" t="s">
        <v>98</v>
      </c>
      <c r="E8378" s="6" t="n">
        <f aca="false">Q!M40</f>
        <v>22.271</v>
      </c>
      <c r="F8378" s="6" t="n">
        <f aca="false">MAX(0,MIN(bb_target,Sens!E8380+Sens!F8376-Sens!F8377-min_cash))</f>
        <v>0</v>
      </c>
      <c r="G8378" s="6" t="n">
        <f aca="false">MAX(0,MIN(bb_target,Sens!F8380+Sens!G8376-Sens!G8377-min_cash))</f>
        <v>0</v>
      </c>
      <c r="H8378" s="6" t="n">
        <f aca="false">MAX(0,MIN(bb_target,Sens!G8380+Sens!H8376-Sens!H8377-min_cash))</f>
        <v>0</v>
      </c>
      <c r="I8378" s="6" t="n">
        <f aca="false">MAX(0,MIN(bb_target,Sens!H8380+Sens!I8376-Sens!I8377-min_cash))</f>
        <v>22.271</v>
      </c>
      <c r="J8378" s="6" t="n">
        <f aca="false">MAX(0,MIN(bb_target,Sens!I8380+Sens!J8376-Sens!J8377-min_cash))</f>
        <v>22.271</v>
      </c>
      <c r="K8378" s="6" t="n">
        <f aca="false">MAX(0,MIN(bb_target,Sens!J8380+Sens!K8376-Sens!K8377-min_cash))</f>
        <v>22.271</v>
      </c>
    </row>
    <row r="8379" customFormat="false" ht="15" hidden="false" customHeight="false" outlineLevel="0" collapsed="false">
      <c r="A8379" s="1" t="s">
        <v>1124</v>
      </c>
      <c r="B8379" s="0" t="s">
        <v>98</v>
      </c>
      <c r="F8379" s="6" t="n">
        <f aca="false">MAX(0,min_cash-(Sens!E8380+Sens!F8376-Sens!F8377-Sens!F8378))</f>
        <v>4.15840228010394</v>
      </c>
      <c r="G8379" s="6" t="n">
        <f aca="false">MAX(0,min_cash-(Sens!F8380+Sens!G8376-Sens!G8377-Sens!G8378))</f>
        <v>22.8953476306495</v>
      </c>
      <c r="H8379" s="6" t="n">
        <f aca="false">MAX(0,min_cash-(Sens!G8380+Sens!H8376-Sens!H8377-Sens!H8378))</f>
        <v>3.29987863618759</v>
      </c>
      <c r="I8379" s="6" t="n">
        <f aca="false">MAX(0,min_cash-(Sens!H8380+Sens!I8376-Sens!I8377-Sens!I8378))</f>
        <v>0</v>
      </c>
      <c r="J8379" s="6" t="n">
        <f aca="false">MAX(0,min_cash-(Sens!I8380+Sens!J8376-Sens!J8377-Sens!J8378))</f>
        <v>0</v>
      </c>
      <c r="K8379" s="6" t="n">
        <f aca="false">MAX(0,min_cash-(Sens!J8380+Sens!K8376-Sens!K8377-Sens!K8378))</f>
        <v>0</v>
      </c>
    </row>
    <row r="8380" customFormat="false" ht="15" hidden="false" customHeight="false" outlineLevel="0" collapsed="false">
      <c r="A8380" s="1" t="s">
        <v>1125</v>
      </c>
      <c r="B8380" s="0" t="s">
        <v>98</v>
      </c>
      <c r="E8380" s="6" t="n">
        <f aca="false">cash_open</f>
        <v>76.843</v>
      </c>
      <c r="F8380" s="6" t="n">
        <f aca="false">Sens!E8380+Sens!F8376-Sens!F8377-Sens!F8378+Sens!F8379</f>
        <v>50</v>
      </c>
      <c r="G8380" s="6" t="n">
        <f aca="false">Sens!F8380+Sens!G8376-Sens!G8377-Sens!G8378+Sens!G8379</f>
        <v>50</v>
      </c>
      <c r="H8380" s="6" t="n">
        <f aca="false">Sens!G8380+Sens!H8376-Sens!H8377-Sens!H8378+Sens!H8379</f>
        <v>50</v>
      </c>
      <c r="I8380" s="6" t="n">
        <f aca="false">Sens!H8380+Sens!I8376-Sens!I8377-Sens!I8378+Sens!I8379</f>
        <v>84.1429861326127</v>
      </c>
      <c r="J8380" s="6" t="n">
        <f aca="false">Sens!I8380+Sens!J8376-Sens!J8377-Sens!J8378+Sens!J8379</f>
        <v>181.179849696228</v>
      </c>
      <c r="K8380" s="6" t="n">
        <f aca="false">Sens!J8380+Sens!K8376-Sens!K8377-Sens!K8378+Sens!K8379</f>
        <v>306.90018752665</v>
      </c>
    </row>
    <row r="8381" customFormat="false" ht="15" hidden="false" customHeight="false" outlineLevel="0" collapsed="false">
      <c r="A8381" s="1" t="s">
        <v>1126</v>
      </c>
      <c r="B8381" s="0" t="s">
        <v>98</v>
      </c>
      <c r="E8381" s="6" t="n">
        <f aca="false">debt_face</f>
        <v>46.136</v>
      </c>
      <c r="F8381" s="6" t="n">
        <f aca="false">Sens!E8381-Sens!F8377+Sens!F8379</f>
        <v>41.0444022801039</v>
      </c>
      <c r="G8381" s="6" t="n">
        <f aca="false">Sens!F8381-Sens!G8377+Sens!G8379</f>
        <v>63.9397499107534</v>
      </c>
      <c r="H8381" s="6" t="n">
        <f aca="false">Sens!G8381-Sens!H8377+Sens!H8379</f>
        <v>65.238628546941</v>
      </c>
      <c r="I8381" s="6" t="n">
        <f aca="false">Sens!H8381-Sens!I8377+Sens!I8379</f>
        <v>65.238628546941</v>
      </c>
      <c r="J8381" s="6" t="n">
        <f aca="false">Sens!I8381-Sens!J8377+Sens!J8379</f>
        <v>64.738628546941</v>
      </c>
      <c r="K8381" s="6" t="n">
        <f aca="false">Sens!J8381-Sens!K8377+Sens!K8379</f>
        <v>64.738628546941</v>
      </c>
    </row>
    <row r="8382" customFormat="false" ht="15" hidden="false" customHeight="false" outlineLevel="0" collapsed="false">
      <c r="A8382" s="1" t="s">
        <v>1127</v>
      </c>
      <c r="B8382" s="0" t="s">
        <v>98</v>
      </c>
      <c r="E8382" s="6" t="n">
        <f aca="false">Sens!E8380-Sens!E8381</f>
        <v>30.707</v>
      </c>
      <c r="F8382" s="6" t="n">
        <f aca="false">Sens!F8380-Sens!F8381</f>
        <v>8.95559771989606</v>
      </c>
      <c r="G8382" s="6" t="n">
        <f aca="false">Sens!G8380-Sens!G8381</f>
        <v>-13.9397499107534</v>
      </c>
      <c r="H8382" s="6" t="n">
        <f aca="false">Sens!H8380-Sens!H8381</f>
        <v>-15.238628546941</v>
      </c>
      <c r="I8382" s="6" t="n">
        <f aca="false">Sens!I8380-Sens!I8381</f>
        <v>18.9043575856717</v>
      </c>
      <c r="J8382" s="6" t="n">
        <f aca="false">Sens!J8380-Sens!J8381</f>
        <v>116.441221149287</v>
      </c>
      <c r="K8382" s="6" t="n">
        <f aca="false">Sens!K8380-Sens!K8381</f>
        <v>242.161558979709</v>
      </c>
    </row>
    <row r="8383" customFormat="false" ht="15" hidden="false" customHeight="false" outlineLevel="0" collapsed="false">
      <c r="A8383" s="1" t="s">
        <v>1128</v>
      </c>
      <c r="B8383" s="0" t="s">
        <v>75</v>
      </c>
      <c r="F8383" s="30" t="n">
        <f aca="false">px*(1+bb_g)^(Sens!F8241-base_fy-mid_yr)</f>
        <v>551.84177959629</v>
      </c>
      <c r="G8383" s="30" t="n">
        <f aca="false">px*(1+bb_g)^(Sens!G8241-base_fy-mid_yr)</f>
        <v>595.989121963993</v>
      </c>
      <c r="H8383" s="30" t="n">
        <f aca="false">px*(1+bb_g)^(Sens!H8241-base_fy-mid_yr)</f>
        <v>643.668251721112</v>
      </c>
      <c r="I8383" s="30" t="n">
        <f aca="false">px*(1+bb_g)^(Sens!I8241-base_fy-mid_yr)</f>
        <v>695.161711858801</v>
      </c>
      <c r="J8383" s="30" t="n">
        <f aca="false">px*(1+bb_g)^(Sens!J8241-base_fy-mid_yr)</f>
        <v>750.774648807506</v>
      </c>
      <c r="K8383" s="30" t="n">
        <f aca="false">px*(1+bb_g)^(Sens!K8241-base_fy-mid_yr)</f>
        <v>810.836620712106</v>
      </c>
    </row>
    <row r="8384" customFormat="false" ht="15" hidden="false" customHeight="false" outlineLevel="0" collapsed="false">
      <c r="A8384" s="1" t="s">
        <v>1129</v>
      </c>
      <c r="B8384" s="1" t="s">
        <v>81</v>
      </c>
      <c r="E8384" s="15" t="n">
        <f aca="false">sh_out26</f>
        <v>7.427</v>
      </c>
      <c r="F8384" s="15" t="n">
        <f aca="false">Sens!E8384+sh_iss-Sens!F8378/Sens!F8383</f>
        <v>7.472</v>
      </c>
      <c r="G8384" s="15" t="n">
        <f aca="false">Sens!F8384+sh_iss-Sens!G8378/Sens!G8383</f>
        <v>7.517</v>
      </c>
      <c r="H8384" s="15" t="n">
        <f aca="false">Sens!G8384+sh_iss-Sens!H8378/Sens!H8383</f>
        <v>7.562</v>
      </c>
      <c r="I8384" s="15" t="n">
        <f aca="false">Sens!H8384+sh_iss-Sens!I8378/Sens!I8383</f>
        <v>7.57496285005334</v>
      </c>
      <c r="J8384" s="15" t="n">
        <f aca="false">Sens!I8384+sh_iss-Sens!J8378/Sens!J8383</f>
        <v>7.59029882232494</v>
      </c>
      <c r="K8384" s="15" t="n">
        <f aca="false">Sens!J8384+sh_iss-Sens!K8378/Sens!K8383</f>
        <v>7.60783212998384</v>
      </c>
    </row>
    <row r="8385" customFormat="false" ht="15" hidden="false" customHeight="false" outlineLevel="0" collapsed="false">
      <c r="A8385" s="1" t="s">
        <v>1130</v>
      </c>
      <c r="B8385" s="1" t="s">
        <v>81</v>
      </c>
      <c r="E8385" s="15" t="n">
        <f aca="false">sh_dil26</f>
        <v>7.453</v>
      </c>
      <c r="F8385" s="15" t="n">
        <f aca="false">(Sens!E8384+Sens!F8384)/2+dil_gap</f>
        <v>7.4735</v>
      </c>
      <c r="G8385" s="15" t="n">
        <f aca="false">(Sens!F8384+Sens!G8384)/2+dil_gap</f>
        <v>7.5185</v>
      </c>
      <c r="H8385" s="15" t="n">
        <f aca="false">(Sens!G8384+Sens!H8384)/2+dil_gap</f>
        <v>7.5635</v>
      </c>
      <c r="I8385" s="15" t="n">
        <f aca="false">(Sens!H8384+Sens!I8384)/2+dil_gap</f>
        <v>7.59248142502667</v>
      </c>
      <c r="J8385" s="15" t="n">
        <f aca="false">(Sens!I8384+Sens!J8384)/2+dil_gap</f>
        <v>7.60663083618914</v>
      </c>
      <c r="K8385" s="15" t="n">
        <f aca="false">(Sens!J8384+Sens!K8384)/2+dil_gap</f>
        <v>7.62306547615439</v>
      </c>
    </row>
    <row r="8386" customFormat="false" ht="17.15" hidden="false" customHeight="false" outlineLevel="0" collapsed="false">
      <c r="A8386" s="1" t="s">
        <v>1131</v>
      </c>
      <c r="B8386" s="0" t="s">
        <v>98</v>
      </c>
      <c r="C8386" s="6" t="n">
        <f aca="false">SUM(Sens!F8376:J8376)</f>
        <v>130.276221149287</v>
      </c>
    </row>
    <row r="8387" customFormat="false" ht="15" hidden="false" customHeight="false" outlineLevel="0" collapsed="false">
      <c r="A8387" s="26" t="s">
        <v>1096</v>
      </c>
      <c r="B8387" s="31" t="s">
        <v>98</v>
      </c>
      <c r="C8387" s="27" t="n">
        <f aca="false">Sens!$C$8386-(Sens!F8376+Sens!G8376+Sens!H8376+Sens!I8376+Sens!J8376)</f>
        <v>0</v>
      </c>
      <c r="D8387" s="31"/>
      <c r="E8387" s="31"/>
      <c r="F8387" s="31"/>
      <c r="G8387" s="31"/>
      <c r="H8387" s="31"/>
      <c r="I8387" s="31"/>
      <c r="J8387" s="31"/>
      <c r="K8387" s="31"/>
    </row>
    <row r="8388" customFormat="false" ht="17.15" hidden="false" customHeight="false" outlineLevel="0" collapsed="false">
      <c r="A8388" s="1" t="s">
        <v>1090</v>
      </c>
      <c r="B8388" s="1" t="s">
        <v>1132</v>
      </c>
      <c r="C8388" s="33" t="str">
        <f aca="false">IF(SUM(Sens!F8379:J8379)&gt;0.05,"需要舉債 "&amp;TEXT(SUM(Sens!F8379:J8379),"0.0")&amp;" 十億美元","不需舉債")&amp;"；"&amp;IF(SUM(Sens!F8378:J8378)&lt;COUNT(Sens!F8378:J8378)*bb_target-0.05,"回購較每年 "&amp;TEXT(bb_target,"0.0")&amp;" 的目標少 "&amp;TEXT(COUNT(Sens!F8378:J8378)*bb_target-SUM(Sens!F8378:J8378),"0.0")&amp;" 十億美元（"&amp;TEXT(COUNTIF(Sens!F8378:J8378,"&lt;"&amp;(bb_target-0.05)),"0")&amp;" 年減少）","回購不減")</f>
        <v>需要舉債 30.4 十億美元；回購較每年 22.3 的目標少 66.8 十億美元（3 年減少）</v>
      </c>
    </row>
    <row r="8389" customFormat="false" ht="17.15" hidden="false" customHeight="false" outlineLevel="0" collapsed="false">
      <c r="A8389" s="3" t="s">
        <v>1689</v>
      </c>
    </row>
    <row r="8390" customFormat="false" ht="15" hidden="false" customHeight="false" outlineLevel="0" collapsed="false">
      <c r="A8390" s="4" t="s">
        <v>43</v>
      </c>
      <c r="B8390" s="4" t="s">
        <v>65</v>
      </c>
      <c r="C8390" s="23" t="s">
        <v>938</v>
      </c>
      <c r="D8390" s="23" t="s">
        <v>939</v>
      </c>
      <c r="E8390" s="23" t="s">
        <v>940</v>
      </c>
      <c r="F8390" s="23" t="s">
        <v>941</v>
      </c>
      <c r="G8390" s="23" t="s">
        <v>942</v>
      </c>
      <c r="H8390" s="23" t="s">
        <v>943</v>
      </c>
      <c r="I8390" s="23" t="s">
        <v>944</v>
      </c>
      <c r="J8390" s="23" t="s">
        <v>945</v>
      </c>
      <c r="K8390" s="23" t="s">
        <v>946</v>
      </c>
      <c r="L8390" s="4" t="s">
        <v>47</v>
      </c>
    </row>
    <row r="8391" customFormat="false" ht="17.15" hidden="false" customHeight="false" outlineLevel="0" collapsed="false">
      <c r="A8391" s="1" t="s">
        <v>1212</v>
      </c>
      <c r="B8391" s="1" t="s">
        <v>279</v>
      </c>
      <c r="F8391" s="8" t="n">
        <f aca="false">(1-v_off)*mid_yr</f>
        <v>0.373972602739726</v>
      </c>
      <c r="G8391" s="8" t="n">
        <f aca="false">Sens!G8241-base_fy-mid_yr-v_off</f>
        <v>1.24794520547945</v>
      </c>
      <c r="H8391" s="8" t="n">
        <f aca="false">Sens!H8241-base_fy-mid_yr-v_off</f>
        <v>2.24794520547945</v>
      </c>
      <c r="I8391" s="8" t="n">
        <f aca="false">Sens!I8241-base_fy-mid_yr-v_off</f>
        <v>3.24794520547945</v>
      </c>
      <c r="J8391" s="8" t="n">
        <f aca="false">Sens!J8241-base_fy-mid_yr-v_off</f>
        <v>4.24794520547945</v>
      </c>
      <c r="K8391" s="8" t="n">
        <f aca="false">Sens!K8241-base_fy-mid_yr-v_off</f>
        <v>5.24794520547945</v>
      </c>
      <c r="L8391" s="12" t="s">
        <v>1213</v>
      </c>
    </row>
    <row r="8392" customFormat="false" ht="15" hidden="false" customHeight="false" outlineLevel="0" collapsed="false">
      <c r="A8392" s="1" t="s">
        <v>1214</v>
      </c>
      <c r="B8392" s="1" t="s">
        <v>279</v>
      </c>
      <c r="F8392" s="8" t="n">
        <f aca="false">Sens!F8241-base_fy-v_off</f>
        <v>0.747945205479452</v>
      </c>
      <c r="G8392" s="8" t="n">
        <f aca="false">Sens!G8241-base_fy-v_off</f>
        <v>1.74794520547945</v>
      </c>
      <c r="H8392" s="8" t="n">
        <f aca="false">Sens!H8241-base_fy-v_off</f>
        <v>2.74794520547945</v>
      </c>
      <c r="I8392" s="8" t="n">
        <f aca="false">Sens!I8241-base_fy-v_off</f>
        <v>3.74794520547945</v>
      </c>
      <c r="J8392" s="8" t="n">
        <f aca="false">Sens!J8241-base_fy-v_off</f>
        <v>4.74794520547945</v>
      </c>
      <c r="K8392" s="8" t="n">
        <f aca="false">Sens!K8241-base_fy-v_off</f>
        <v>5.74794520547945</v>
      </c>
    </row>
    <row r="8393" customFormat="false" ht="15" hidden="false" customHeight="false" outlineLevel="0" collapsed="false">
      <c r="A8393" s="1" t="s">
        <v>1215</v>
      </c>
      <c r="B8393" s="0" t="s">
        <v>229</v>
      </c>
      <c r="F8393" s="15" t="n">
        <f aca="false">1/(1+wacc)^Sens!F8391</f>
        <v>0.964022703286649</v>
      </c>
      <c r="G8393" s="15" t="n">
        <f aca="false">1/(1+wacc)^Sens!G8391</f>
        <v>0.884910302296739</v>
      </c>
      <c r="H8393" s="15" t="n">
        <f aca="false">1/(1+wacc)^Sens!H8391</f>
        <v>0.802322009770358</v>
      </c>
      <c r="I8393" s="15" t="n">
        <f aca="false">1/(1+wacc)^Sens!I8391</f>
        <v>0.727441646561469</v>
      </c>
      <c r="J8393" s="15" t="n">
        <f aca="false">1/(1+wacc)^Sens!J8391</f>
        <v>0.659549834988973</v>
      </c>
      <c r="K8393" s="15" t="n">
        <f aca="false">1/(1+wacc)^Sens!K8391</f>
        <v>0.597994336576966</v>
      </c>
    </row>
    <row r="8394" customFormat="false" ht="17.15" hidden="false" customHeight="false" outlineLevel="0" collapsed="false">
      <c r="A8394" s="1" t="s">
        <v>1216</v>
      </c>
      <c r="B8394" s="0" t="s">
        <v>98</v>
      </c>
      <c r="F8394" s="6" t="n">
        <f aca="false">Q!$I$35-Q!$I$39-Q!$I$43</f>
        <v>9.666</v>
      </c>
      <c r="L8394" s="12" t="s">
        <v>1217</v>
      </c>
    </row>
    <row r="8395" customFormat="false" ht="17.15" hidden="false" customHeight="false" outlineLevel="0" collapsed="false">
      <c r="A8395" s="1" t="s">
        <v>1218</v>
      </c>
      <c r="B8395" s="0" t="s">
        <v>98</v>
      </c>
      <c r="F8395" s="6" t="n">
        <f aca="false">Sens!F8366-Sens!F8363-Sens!F8370+Sens!F8348*(1-tax_f)*(1-v_off)-Sens!F8394</f>
        <v>-6.01596130083274</v>
      </c>
      <c r="G8395" s="6" t="n">
        <f aca="false">Sens!G8366-Sens!G8363-Sens!G8370+Sens!G8348*(1-tax_f)</f>
        <v>19.6146931288422</v>
      </c>
      <c r="H8395" s="6" t="n">
        <f aca="false">Sens!H8366-Sens!H8363-Sens!H8370+Sens!H8348*(1-tax_f)</f>
        <v>56.6086812595129</v>
      </c>
      <c r="I8395" s="6" t="n">
        <f aca="false">Sens!I8366-Sens!I8363-Sens!I8370+Sens!I8348*(1-tax_f)</f>
        <v>128.643461690823</v>
      </c>
      <c r="J8395" s="6" t="n">
        <f aca="false">Sens!J8366-Sens!J8363-Sens!J8370+Sens!J8348*(1-tax_f)</f>
        <v>202.73382056993</v>
      </c>
      <c r="K8395" s="6" t="n">
        <f aca="false">Sens!K8366-Sens!K8363-Sens!K8370+Sens!K8348*(1-tax_f)</f>
        <v>238.349983924208</v>
      </c>
      <c r="L8395" s="1" t="s">
        <v>1219</v>
      </c>
    </row>
    <row r="8396" customFormat="false" ht="15" hidden="false" customHeight="false" outlineLevel="0" collapsed="false">
      <c r="A8396" s="1" t="s">
        <v>1220</v>
      </c>
      <c r="B8396" s="0" t="s">
        <v>98</v>
      </c>
      <c r="F8396" s="6" t="n">
        <f aca="false">Sens!F8395*Sens!F8393</f>
        <v>-5.79952327609664</v>
      </c>
      <c r="G8396" s="6" t="n">
        <f aca="false">Sens!G8395*Sens!G8393</f>
        <v>17.3572440261015</v>
      </c>
      <c r="H8396" s="6" t="n">
        <f aca="false">Sens!H8395*Sens!H8393</f>
        <v>45.418390918582</v>
      </c>
      <c r="I8396" s="6" t="n">
        <f aca="false">Sens!I8395*Sens!I8393</f>
        <v>93.5806115917394</v>
      </c>
      <c r="J8396" s="6" t="n">
        <f aca="false">Sens!J8395*Sens!J8393</f>
        <v>133.713057903581</v>
      </c>
      <c r="K8396" s="6" t="n">
        <f aca="false">Sens!K8395*Sens!K8393</f>
        <v>142.531940509887</v>
      </c>
    </row>
    <row r="8397" customFormat="false" ht="17.15" hidden="false" customHeight="false" outlineLevel="0" collapsed="false">
      <c r="A8397" s="1" t="s">
        <v>1221</v>
      </c>
      <c r="B8397" s="0" t="s">
        <v>98</v>
      </c>
      <c r="C8397" s="6" t="n">
        <f aca="false">SUM(Sens!F8396:K8396)</f>
        <v>426.801721673795</v>
      </c>
    </row>
    <row r="8398" customFormat="false" ht="17.15" hidden="false" customHeight="false" outlineLevel="0" collapsed="false">
      <c r="A8398" s="1" t="s">
        <v>1222</v>
      </c>
      <c r="B8398" s="0" t="s">
        <v>98</v>
      </c>
      <c r="C8398" s="6" t="n">
        <f aca="false">Sens!K8334*(1+g_tv)*(1-tax_f)</f>
        <v>247.598629158256</v>
      </c>
    </row>
    <row r="8399" customFormat="false" ht="17.15" hidden="false" customHeight="false" outlineLevel="0" collapsed="false">
      <c r="A8399" s="1" t="s">
        <v>1223</v>
      </c>
      <c r="B8399" s="0" t="s">
        <v>98</v>
      </c>
      <c r="C8399" s="6" t="n">
        <f aca="false">Sens!$C$8398*(1-g_tv/(wacc+ronic_prem))</f>
        <v>175.438099977011</v>
      </c>
    </row>
    <row r="8400" customFormat="false" ht="17.15" hidden="false" customHeight="false" outlineLevel="0" collapsed="false">
      <c r="A8400" s="1" t="s">
        <v>1224</v>
      </c>
      <c r="B8400" s="0" t="s">
        <v>98</v>
      </c>
      <c r="C8400" s="6" t="n">
        <f aca="false">Sens!$C$8399/(wacc-g_tv)</f>
        <v>2405.35097270818</v>
      </c>
    </row>
    <row r="8401" customFormat="false" ht="15" hidden="false" customHeight="false" outlineLevel="0" collapsed="false">
      <c r="A8401" s="1" t="s">
        <v>1225</v>
      </c>
      <c r="B8401" s="0" t="s">
        <v>98</v>
      </c>
      <c r="C8401" s="6" t="n">
        <f aca="false">Sens!$C$8400/(1+wacc)^Sens!K8392</f>
        <v>1369.62051678232</v>
      </c>
    </row>
    <row r="8402" customFormat="false" ht="17.15" hidden="false" customHeight="false" outlineLevel="0" collapsed="false">
      <c r="A8402" s="0" t="s">
        <v>1226</v>
      </c>
      <c r="B8402" s="0" t="s">
        <v>98</v>
      </c>
      <c r="C8402" s="6" t="n">
        <f aca="false">Sens!$C$8397+Sens!$C$8401</f>
        <v>1796.42223845611</v>
      </c>
    </row>
    <row r="8403" customFormat="false" ht="15" hidden="false" customHeight="false" outlineLevel="0" collapsed="false">
      <c r="A8403" s="1" t="s">
        <v>1141</v>
      </c>
      <c r="B8403" s="0" t="s">
        <v>168</v>
      </c>
      <c r="C8403" s="7" t="n">
        <f aca="false">Sens!$C$8401/Sens!$C$8402</f>
        <v>0.762415699083865</v>
      </c>
    </row>
    <row r="8404" customFormat="false" ht="17.15" hidden="false" customHeight="false" outlineLevel="0" collapsed="false">
      <c r="A8404" s="1" t="s">
        <v>1227</v>
      </c>
      <c r="B8404" s="0" t="s">
        <v>98</v>
      </c>
      <c r="C8404" s="6" t="n">
        <f aca="false">Sens!$C$8402+cash_val-debt_val-fl_val+oai_v</f>
        <v>1912.27323845611</v>
      </c>
    </row>
    <row r="8405" customFormat="false" ht="17.15" hidden="false" customHeight="false" outlineLevel="0" collapsed="false">
      <c r="A8405" s="0" t="s">
        <v>1149</v>
      </c>
      <c r="B8405" s="0" t="s">
        <v>75</v>
      </c>
      <c r="C8405" s="5" t="n">
        <f aca="false">Sens!$C$8404/shd_val</f>
        <v>256.81886092615</v>
      </c>
    </row>
    <row r="8406" customFormat="false" ht="15" hidden="false" customHeight="false" outlineLevel="0" collapsed="false">
      <c r="A8406" s="1" t="s">
        <v>1228</v>
      </c>
      <c r="B8406" s="0" t="s">
        <v>75</v>
      </c>
      <c r="C8406" s="8" t="n">
        <f aca="false">div_rem27+Sens!G8374*roll_div_q/q_per_yr</f>
        <v>3.9795</v>
      </c>
    </row>
    <row r="8407" customFormat="false" ht="17.15" hidden="false" customHeight="false" outlineLevel="0" collapsed="false">
      <c r="A8407" s="0" t="s">
        <v>1229</v>
      </c>
      <c r="B8407" s="0" t="s">
        <v>75</v>
      </c>
      <c r="C8407" s="5" t="n">
        <f aca="false">Sens!$C$8405*(1+wacc)^t_roll-Sens!$C$8406</f>
        <v>281.488997171071</v>
      </c>
    </row>
    <row r="8408" customFormat="false" ht="17.15" hidden="false" customHeight="false" outlineLevel="0" collapsed="false">
      <c r="A8408" s="1" t="s">
        <v>1230</v>
      </c>
      <c r="B8408" s="0" t="s">
        <v>168</v>
      </c>
      <c r="F8408" s="7" t="n">
        <f aca="false">Sens!F8360/(Sens!F8305-Sens!F8260)</f>
        <v>0.0691059051295626</v>
      </c>
      <c r="G8408" s="7" t="n">
        <f aca="false">Sens!G8360/(Sens!G8305-Sens!G8260)</f>
        <v>0.0667407339193338</v>
      </c>
      <c r="H8408" s="7" t="n">
        <f aca="false">Sens!H8360/(Sens!H8305-Sens!H8260)</f>
        <v>0.0655530035981092</v>
      </c>
      <c r="I8408" s="7" t="n">
        <f aca="false">Sens!I8360/(Sens!I8305-Sens!I8260)</f>
        <v>0.0653893720787367</v>
      </c>
      <c r="J8408" s="7" t="n">
        <f aca="false">Sens!J8360/(Sens!J8305-Sens!J8260)</f>
        <v>0.0660537155098023</v>
      </c>
      <c r="K8408" s="7" t="n">
        <f aca="false">Sens!K8360/(Sens!K8305-Sens!K8260)</f>
        <v>0.0673415162860933</v>
      </c>
    </row>
    <row r="8409" customFormat="false" ht="17.15" hidden="false" customHeight="false" outlineLevel="0" collapsed="false">
      <c r="A8409" s="0" t="s">
        <v>1231</v>
      </c>
      <c r="B8409" s="0" t="s">
        <v>98</v>
      </c>
      <c r="F8409" s="6" t="n">
        <f aca="false">Sens!F8290*(al_m365+Sens!F8408+sbc_r)</f>
        <v>81.382444810858</v>
      </c>
      <c r="G8409" s="6" t="n">
        <f aca="false">Sens!G8290*(al_m365+Sens!G8408+sbc_r)</f>
        <v>91.2465262933756</v>
      </c>
      <c r="H8409" s="6" t="n">
        <f aca="false">Sens!H8290*(al_m365+Sens!H8408+sbc_r)</f>
        <v>101.269666144031</v>
      </c>
      <c r="I8409" s="6" t="n">
        <f aca="false">Sens!I8290*(al_m365+Sens!I8408+sbc_r)</f>
        <v>110.916368544449</v>
      </c>
      <c r="J8409" s="6" t="n">
        <f aca="false">Sens!J8290*(al_m365+Sens!J8408+sbc_r)</f>
        <v>119.996380607792</v>
      </c>
      <c r="K8409" s="6" t="n">
        <f aca="false">Sens!K8290*(al_m365+Sens!K8408+sbc_r)</f>
        <v>128.673046291561</v>
      </c>
      <c r="L8409" s="12" t="s">
        <v>1232</v>
      </c>
    </row>
    <row r="8410" customFormat="false" ht="17.15" hidden="false" customHeight="false" outlineLevel="0" collapsed="false">
      <c r="A8410" s="0" t="s">
        <v>1233</v>
      </c>
      <c r="B8410" s="0" t="s">
        <v>98</v>
      </c>
      <c r="F8410" s="6" t="n">
        <f aca="false">Sens!F8291*(al_lic+Sens!F8408+sbc_r)</f>
        <v>32.8764338815694</v>
      </c>
      <c r="G8410" s="6" t="n">
        <f aca="false">Sens!G8291*(al_lic+Sens!G8408+sbc_r)</f>
        <v>34.1739312721839</v>
      </c>
      <c r="H8410" s="6" t="n">
        <f aca="false">Sens!H8291*(al_lic+Sens!H8408+sbc_r)</f>
        <v>35.3808354579556</v>
      </c>
      <c r="I8410" s="6" t="n">
        <f aca="false">Sens!I8291*(al_lic+Sens!I8408+sbc_r)</f>
        <v>36.4767327152715</v>
      </c>
      <c r="J8410" s="6" t="n">
        <f aca="false">Sens!J8291*(al_lic+Sens!J8408+sbc_r)</f>
        <v>37.4391729245929</v>
      </c>
      <c r="K8410" s="6" t="n">
        <f aca="false">Sens!K8291*(al_lic+Sens!K8408+sbc_r)</f>
        <v>38.2455804609221</v>
      </c>
    </row>
    <row r="8411" customFormat="false" ht="17.15" hidden="false" customHeight="false" outlineLevel="0" collapsed="false">
      <c r="A8411" s="0" t="s">
        <v>1234</v>
      </c>
      <c r="B8411" s="0" t="s">
        <v>98</v>
      </c>
      <c r="F8411" s="6" t="n">
        <f aca="false">Sens!F8293*(al_ind+Sens!F8408+sbc_r)</f>
        <v>9.07127022245792</v>
      </c>
      <c r="G8411" s="6" t="n">
        <f aca="false">Sens!G8293*(al_ind+Sens!G8408+sbc_r)</f>
        <v>9.85832569932879</v>
      </c>
      <c r="H8411" s="6" t="n">
        <f aca="false">Sens!H8293*(al_ind+Sens!H8408+sbc_r)</f>
        <v>10.6878763133622</v>
      </c>
      <c r="I8411" s="6" t="n">
        <f aca="false">Sens!I8293*(al_ind+Sens!I8408+sbc_r)</f>
        <v>11.5549061464895</v>
      </c>
      <c r="J8411" s="6" t="n">
        <f aca="false">Sens!J8293*(al_ind+Sens!J8408+sbc_r)</f>
        <v>12.4510515705775</v>
      </c>
      <c r="K8411" s="6" t="n">
        <f aca="false">Sens!K8293*(al_ind+Sens!K8408+sbc_r)</f>
        <v>13.365152060176</v>
      </c>
    </row>
    <row r="8412" customFormat="false" ht="17.15" hidden="false" customHeight="false" outlineLevel="0" collapsed="false">
      <c r="A8412" s="0" t="s">
        <v>1235</v>
      </c>
      <c r="B8412" s="0" t="s">
        <v>98</v>
      </c>
      <c r="F8412" s="6" t="n">
        <f aca="false">Sens!F8295*(al_fro+Sens!F8408+sbc_r)</f>
        <v>3.55828677098874</v>
      </c>
      <c r="G8412" s="6" t="n">
        <f aca="false">Sens!G8295*(al_fro+Sens!G8408+sbc_r)</f>
        <v>3.77208434009673</v>
      </c>
      <c r="H8412" s="6" t="n">
        <f aca="false">Sens!H8295*(al_fro+Sens!H8408+sbc_r)</f>
        <v>4.01379918090722</v>
      </c>
      <c r="I8412" s="6" t="n">
        <f aca="false">Sens!I8295*(al_fro+Sens!I8408+sbc_r)</f>
        <v>4.28557576369904</v>
      </c>
      <c r="J8412" s="6" t="n">
        <f aca="false">Sens!J8295*(al_fro+Sens!J8408+sbc_r)</f>
        <v>4.58914676315603</v>
      </c>
      <c r="K8412" s="6" t="n">
        <f aca="false">Sens!K8295*(al_fro+Sens!K8408+sbc_r)</f>
        <v>4.92606138271743</v>
      </c>
    </row>
    <row r="8413" customFormat="false" ht="17.15" hidden="false" customHeight="false" outlineLevel="0" collapsed="false">
      <c r="A8413" s="0" t="s">
        <v>1236</v>
      </c>
      <c r="B8413" s="0" t="s">
        <v>98</v>
      </c>
      <c r="F8413" s="6" t="n">
        <f aca="false">Sens!F8298*(al_srch+Sens!F8408+sbc_r)</f>
        <v>11.2024933871299</v>
      </c>
      <c r="G8413" s="6" t="n">
        <f aca="false">Sens!G8298*(al_srch+Sens!G8408+sbc_r)</f>
        <v>12.2893320961327</v>
      </c>
      <c r="H8413" s="6" t="n">
        <f aca="false">Sens!H8298*(al_srch+Sens!H8408+sbc_r)</f>
        <v>13.4182303027535</v>
      </c>
      <c r="I8413" s="6" t="n">
        <f aca="false">Sens!I8298*(al_srch+Sens!I8408+sbc_r)</f>
        <v>14.575923980557</v>
      </c>
      <c r="J8413" s="6" t="n">
        <f aca="false">Sens!J8298*(al_srch+Sens!J8408+sbc_r)</f>
        <v>15.7440118574031</v>
      </c>
      <c r="K8413" s="6" t="n">
        <f aca="false">Sens!K8298*(al_srch+Sens!K8408+sbc_r)</f>
        <v>16.899866755724</v>
      </c>
    </row>
    <row r="8414" customFormat="false" ht="17.15" hidden="false" customHeight="false" outlineLevel="0" collapsed="false">
      <c r="A8414" s="0" t="s">
        <v>1237</v>
      </c>
      <c r="B8414" s="0" t="s">
        <v>98</v>
      </c>
      <c r="F8414" s="6" t="n">
        <f aca="false">Sens!F8266-Sens!F8267+Sens!F8348</f>
        <v>40.6482575910735</v>
      </c>
      <c r="G8414" s="6" t="n">
        <f aca="false">Sens!G8266-Sens!G8267+Sens!G8348</f>
        <v>71.623716512336</v>
      </c>
      <c r="H8414" s="6" t="n">
        <f aca="false">Sens!H8266-Sens!H8267+Sens!H8348</f>
        <v>99.4525336418845</v>
      </c>
      <c r="I8414" s="6" t="n">
        <f aca="false">Sens!I8266-Sens!I8267+Sens!I8348</f>
        <v>130.652465858557</v>
      </c>
      <c r="J8414" s="6" t="n">
        <f aca="false">Sens!J8266-Sens!J8267+Sens!J8348</f>
        <v>152.545680860709</v>
      </c>
      <c r="K8414" s="6" t="n">
        <f aca="false">Sens!K8266-Sens!K8267+Sens!K8348</f>
        <v>166.20895228869</v>
      </c>
    </row>
    <row r="8415" customFormat="false" ht="17.15" hidden="false" customHeight="false" outlineLevel="0" collapsed="false">
      <c r="A8415" s="0" t="s">
        <v>1238</v>
      </c>
      <c r="B8415" s="0" t="s">
        <v>98</v>
      </c>
      <c r="F8415" s="6" t="n">
        <f aca="false">Sens!F8327+Sens!F8348+Sens!F8278+Sens!F8408*(Sens!F8297-Sens!F8260)+sbc_r*Sens!F8297</f>
        <v>235.121957238362</v>
      </c>
      <c r="G8415" s="6" t="n">
        <f aca="false">Sens!G8327+Sens!G8348+Sens!G8278+Sens!G8408*(Sens!G8297-Sens!G8260)+sbc_r*Sens!G8297</f>
        <v>285.749681616082</v>
      </c>
      <c r="H8415" s="6" t="n">
        <f aca="false">Sens!H8327+Sens!H8348+Sens!H8278+Sens!H8408*(Sens!H8297-Sens!H8260)+sbc_r*Sens!H8297</f>
        <v>338.493210561239</v>
      </c>
      <c r="I8415" s="6" t="n">
        <f aca="false">Sens!I8327+Sens!I8348+Sens!I8278+Sens!I8408*(Sens!I8297-Sens!I8260)+sbc_r*Sens!I8297</f>
        <v>394.113152696431</v>
      </c>
      <c r="J8415" s="6" t="n">
        <f aca="false">Sens!J8327+Sens!J8348+Sens!J8278+Sens!J8408*(Sens!J8297-Sens!J8260)+sbc_r*Sens!J8297</f>
        <v>438.629566653903</v>
      </c>
      <c r="K8415" s="6" t="n">
        <f aca="false">Sens!K8327+Sens!K8348+Sens!K8278+Sens!K8408*(Sens!K8297-Sens!K8260)+sbc_r*Sens!K8297</f>
        <v>472.569491554321</v>
      </c>
    </row>
    <row r="8416" customFormat="false" ht="17.15" hidden="false" customHeight="false" outlineLevel="0" collapsed="false">
      <c r="A8416" s="0" t="s">
        <v>1239</v>
      </c>
      <c r="B8416" s="0" t="s">
        <v>98</v>
      </c>
      <c r="F8416" s="6" t="n">
        <f aca="false">Sens!F8415-Sens!F8409-Sens!F8410-Sens!F8411-Sens!F8412-Sens!F8414</f>
        <v>67.5852639614143</v>
      </c>
      <c r="G8416" s="6" t="n">
        <f aca="false">Sens!G8415-Sens!G8409-Sens!G8410-Sens!G8411-Sens!G8412-Sens!G8414</f>
        <v>75.0750974987609</v>
      </c>
      <c r="H8416" s="6" t="n">
        <f aca="false">Sens!H8415-Sens!H8409-Sens!H8410-Sens!H8411-Sens!H8412-Sens!H8414</f>
        <v>87.6884998230982</v>
      </c>
      <c r="I8416" s="6" t="n">
        <f aca="false">Sens!I8415-Sens!I8409-Sens!I8410-Sens!I8411-Sens!I8412-Sens!I8414</f>
        <v>100.227103667964</v>
      </c>
      <c r="J8416" s="6" t="n">
        <f aca="false">Sens!J8415-Sens!J8409-Sens!J8410-Sens!J8411-Sens!J8412-Sens!J8414</f>
        <v>111.608133927076</v>
      </c>
      <c r="K8416" s="6" t="n">
        <f aca="false">Sens!K8415-Sens!K8409-Sens!K8410-Sens!K8411-Sens!K8412-Sens!K8414</f>
        <v>121.150699070254</v>
      </c>
    </row>
    <row r="8417" customFormat="false" ht="17.15" hidden="false" customHeight="false" outlineLevel="0" collapsed="false">
      <c r="A8417" s="0" t="s">
        <v>1240</v>
      </c>
      <c r="B8417" s="0" t="s">
        <v>98</v>
      </c>
      <c r="F8417" s="6" t="n">
        <f aca="false">Sens!F8329+Sens!F8408*Sens!F8304+sbc_r*Sens!F8304</f>
        <v>26.6649093574787</v>
      </c>
      <c r="G8417" s="6" t="n">
        <f aca="false">Sens!G8329+Sens!G8408*Sens!G8304+sbc_r*Sens!G8304</f>
        <v>26.5322229705297</v>
      </c>
      <c r="H8417" s="6" t="n">
        <f aca="false">Sens!H8329+Sens!H8408*Sens!H8304+sbc_r*Sens!H8304</f>
        <v>27.4267376807119</v>
      </c>
      <c r="I8417" s="6" t="n">
        <f aca="false">Sens!I8329+Sens!I8408*Sens!I8304+sbc_r*Sens!I8304</f>
        <v>28.5448726064302</v>
      </c>
      <c r="J8417" s="6" t="n">
        <f aca="false">Sens!J8329+Sens!J8408*Sens!J8304+sbc_r*Sens!J8304</f>
        <v>29.8562360279519</v>
      </c>
      <c r="K8417" s="6" t="n">
        <f aca="false">Sens!K8329+Sens!K8408*Sens!K8304+sbc_r*Sens!K8304</f>
        <v>31.3338068582987</v>
      </c>
    </row>
    <row r="8418" customFormat="false" ht="17.15" hidden="false" customHeight="false" outlineLevel="0" collapsed="false">
      <c r="A8418" s="0" t="s">
        <v>1241</v>
      </c>
      <c r="B8418" s="0" t="s">
        <v>98</v>
      </c>
      <c r="F8418" s="6" t="n">
        <f aca="false">(Sens!F8417-Sens!F8413)*Sens!F8300/(Sens!F8300+Sens!F8302)</f>
        <v>8.732948621165</v>
      </c>
      <c r="G8418" s="6" t="n">
        <f aca="false">(Sens!G8417-Sens!G8413)*Sens!G8300/(Sens!G8300+Sens!G8302)</f>
        <v>7.90592894191458</v>
      </c>
      <c r="H8418" s="6" t="n">
        <f aca="false">(Sens!H8417-Sens!H8413)*Sens!H8300/(Sens!H8300+Sens!H8302)</f>
        <v>7.67453158564322</v>
      </c>
      <c r="I8418" s="6" t="n">
        <f aca="false">(Sens!I8417-Sens!I8413)*Sens!I8300/(Sens!I8300+Sens!I8302)</f>
        <v>7.5860617746753</v>
      </c>
      <c r="J8418" s="6" t="n">
        <f aca="false">(Sens!J8417-Sens!J8413)*Sens!J8300/(Sens!J8300+Sens!J8302)</f>
        <v>7.63043275746831</v>
      </c>
      <c r="K8418" s="6" t="n">
        <f aca="false">(Sens!K8417-Sens!K8413)*Sens!K8300/(Sens!K8300+Sens!K8302)</f>
        <v>7.80438349384149</v>
      </c>
    </row>
    <row r="8419" customFormat="false" ht="17.15" hidden="false" customHeight="false" outlineLevel="0" collapsed="false">
      <c r="A8419" s="0" t="s">
        <v>1242</v>
      </c>
      <c r="B8419" s="0" t="s">
        <v>98</v>
      </c>
      <c r="F8419" s="6" t="n">
        <f aca="false">Sens!F8417-Sens!F8413-Sens!F8418</f>
        <v>6.72946734918378</v>
      </c>
      <c r="G8419" s="6" t="n">
        <f aca="false">Sens!G8417-Sens!G8413-Sens!G8418</f>
        <v>6.33696193248243</v>
      </c>
      <c r="H8419" s="6" t="n">
        <f aca="false">Sens!H8417-Sens!H8413-Sens!H8418</f>
        <v>6.33397579231519</v>
      </c>
      <c r="I8419" s="6" t="n">
        <f aca="false">Sens!I8417-Sens!I8413-Sens!I8418</f>
        <v>6.38288685119789</v>
      </c>
      <c r="J8419" s="6" t="n">
        <f aca="false">Sens!J8417-Sens!J8413-Sens!J8418</f>
        <v>6.4817914130805</v>
      </c>
      <c r="K8419" s="6" t="n">
        <f aca="false">Sens!K8417-Sens!K8413-Sens!K8418</f>
        <v>6.62955660873328</v>
      </c>
    </row>
    <row r="8420" customFormat="false" ht="17.15" hidden="false" customHeight="false" outlineLevel="0" collapsed="false">
      <c r="A8420" s="0" t="s">
        <v>1243</v>
      </c>
      <c r="B8420" s="0" t="s">
        <v>98</v>
      </c>
      <c r="F8420" s="6" t="n">
        <f aca="false">Sens!F8414-tax_f*(Sens!F8414-Sens!F8278)-Sens!F8275</f>
        <v>-129.01943507359</v>
      </c>
      <c r="G8420" s="6" t="n">
        <f aca="false">Sens!G8414-tax_f*(Sens!G8414-Sens!G8278)-Sens!G8275</f>
        <v>-122.49860430872</v>
      </c>
      <c r="H8420" s="6" t="n">
        <f aca="false">Sens!H8414-tax_f*(Sens!H8414-Sens!H8278)-Sens!H8275</f>
        <v>-99.4239590187156</v>
      </c>
      <c r="I8420" s="6" t="n">
        <f aca="false">Sens!I8414-tax_f*(Sens!I8414-Sens!I8278)-Sens!I8275</f>
        <v>-41.2466589958551</v>
      </c>
      <c r="J8420" s="6" t="n">
        <f aca="false">Sens!J8414-tax_f*(Sens!J8414-Sens!J8278)-Sens!J8275</f>
        <v>19.5097481025457</v>
      </c>
      <c r="K8420" s="6" t="n">
        <f aca="false">Sens!K8414-tax_f*(Sens!K8414-Sens!K8278)-Sens!K8275</f>
        <v>42.6068426764062</v>
      </c>
    </row>
    <row r="8421" customFormat="false" ht="17.15" hidden="false" customHeight="false" outlineLevel="0" collapsed="false">
      <c r="A8421" s="0" t="s">
        <v>1244</v>
      </c>
      <c r="B8421" s="0" t="s">
        <v>98</v>
      </c>
      <c r="G8421" s="6" t="n">
        <f aca="false">Sens!G8420/(1+wacc)^(Sens!G8391-Sens!F8392)</f>
        <v>-116.642244508421</v>
      </c>
      <c r="H8421" s="6" t="n">
        <f aca="false">Sens!H8420/(1+wacc)^(Sens!H8391-Sens!F8392)</f>
        <v>-85.8351627508046</v>
      </c>
      <c r="I8421" s="6" t="n">
        <f aca="false">Sens!I8420/(1+wacc)^(Sens!I8391-Sens!F8392)</f>
        <v>-32.2858640343521</v>
      </c>
      <c r="J8421" s="6" t="n">
        <f aca="false">Sens!J8420/(1+wacc)^(Sens!J8391-Sens!F8392)</f>
        <v>13.8460136143304</v>
      </c>
      <c r="K8421" s="6" t="n">
        <f aca="false">Sens!K8420/(1+wacc)^(Sens!K8391-Sens!F8392)</f>
        <v>27.4158616419593</v>
      </c>
      <c r="L8421" s="1" t="s">
        <v>1245</v>
      </c>
    </row>
    <row r="8422" customFormat="false" ht="17.15" hidden="false" customHeight="false" outlineLevel="0" collapsed="false">
      <c r="A8422" s="0" t="s">
        <v>1246</v>
      </c>
      <c r="B8422" s="0" t="s">
        <v>98</v>
      </c>
      <c r="C8422" s="6" t="n">
        <f aca="false">(Sens!K8414-Sens!K8278)*(1-tax_f)*(1+g_tv)*(1-g_tv/(wacc+ronic_prem))/(wacc-g_tv)/(1+wacc)^(Sens!K8392-Sens!F8392)</f>
        <v>113.768779431675</v>
      </c>
    </row>
    <row r="8423" customFormat="false" ht="17.15" hidden="false" customHeight="false" outlineLevel="0" collapsed="false">
      <c r="A8423" s="1" t="s">
        <v>1247</v>
      </c>
      <c r="B8423" s="0" t="s">
        <v>98</v>
      </c>
      <c r="C8423" s="6" t="n">
        <f aca="false">(SUM(Sens!G8421:K8421)+Sens!$C$8422)*(1+wacc)^(t_roll-Sens!F8392)</f>
        <v>-82.3648314090937</v>
      </c>
      <c r="L8423" s="12" t="s">
        <v>1248</v>
      </c>
    </row>
    <row r="8424" customFormat="false" ht="17.15" hidden="false" customHeight="false" outlineLevel="0" collapsed="false">
      <c r="A8424" s="1" t="s">
        <v>1249</v>
      </c>
      <c r="B8424" s="0" t="s">
        <v>98</v>
      </c>
      <c r="C8424" s="6" t="n">
        <f aca="false">(w_ntm28*Sens!G8266+(1-w_ntm28)*Sens!H8266)*m_ai</f>
        <v>344.355829012336</v>
      </c>
    </row>
    <row r="8425" customFormat="false" ht="17.15" hidden="false" customHeight="false" outlineLevel="0" collapsed="false">
      <c r="A8425" s="1" t="s">
        <v>1250</v>
      </c>
      <c r="B8425" s="0" t="s">
        <v>98</v>
      </c>
      <c r="C8425" s="6" t="n">
        <f aca="false">(w_ntm28*Sens!G8416+(1-w_ntm28)*Sens!H8416)*m_cloud</f>
        <v>1094.847618432</v>
      </c>
    </row>
    <row r="8426" customFormat="false" ht="17.15" hidden="false" customHeight="false" outlineLevel="0" collapsed="false">
      <c r="A8426" s="1" t="s">
        <v>1251</v>
      </c>
      <c r="B8426" s="0" t="s">
        <v>98</v>
      </c>
      <c r="C8426" s="6" t="n">
        <f aca="false">(w_ntm28*Sens!G8409+(1-w_ntm28)*Sens!H8409)*m_sw</f>
        <v>1021.05149560257</v>
      </c>
    </row>
    <row r="8427" customFormat="false" ht="17.15" hidden="false" customHeight="false" outlineLevel="0" collapsed="false">
      <c r="A8427" s="1" t="s">
        <v>1252</v>
      </c>
      <c r="B8427" s="0" t="s">
        <v>98</v>
      </c>
      <c r="C8427" s="6" t="n">
        <f aca="false">(w_ntm28*Sens!G8410+(1-w_ntm28)*Sens!H8410)*m_sw</f>
        <v>373.363794245778</v>
      </c>
    </row>
    <row r="8428" customFormat="false" ht="17.15" hidden="false" customHeight="false" outlineLevel="0" collapsed="false">
      <c r="A8428" s="1" t="s">
        <v>1253</v>
      </c>
      <c r="B8428" s="0" t="s">
        <v>98</v>
      </c>
      <c r="C8428" s="6" t="n">
        <f aca="false">(w_ntm28*Sens!G8411+(1-w_ntm28)*Sens!H8411)*m_sw</f>
        <v>109.415390417922</v>
      </c>
    </row>
    <row r="8429" customFormat="false" ht="17.15" hidden="false" customHeight="false" outlineLevel="0" collapsed="false">
      <c r="A8429" s="1" t="s">
        <v>1254</v>
      </c>
      <c r="B8429" s="0" t="s">
        <v>98</v>
      </c>
      <c r="C8429" s="6" t="n">
        <f aca="false">(w_ntm28*Sens!G8412+(1-w_ntm28)*Sens!H8412)*m_sw</f>
        <v>41.596764116032</v>
      </c>
    </row>
    <row r="8430" customFormat="false" ht="17.15" hidden="false" customHeight="false" outlineLevel="0" collapsed="false">
      <c r="A8430" s="1" t="s">
        <v>1255</v>
      </c>
      <c r="B8430" s="0" t="s">
        <v>98</v>
      </c>
      <c r="C8430" s="6" t="n">
        <f aca="false">(w_ntm28*Sens!G8413+(1-w_ntm28)*Sens!H8413)*m_ads</f>
        <v>115.336942846393</v>
      </c>
    </row>
    <row r="8431" customFormat="false" ht="17.15" hidden="false" customHeight="false" outlineLevel="0" collapsed="false">
      <c r="A8431" s="1" t="s">
        <v>1256</v>
      </c>
      <c r="B8431" s="0" t="s">
        <v>98</v>
      </c>
      <c r="C8431" s="6" t="n">
        <f aca="false">(w_ntm28*Sens!G8418+(1-w_ntm28)*Sens!H8418)*m_game</f>
        <v>98.8910446372993</v>
      </c>
    </row>
    <row r="8432" customFormat="false" ht="17.15" hidden="false" customHeight="false" outlineLevel="0" collapsed="false">
      <c r="A8432" s="1" t="s">
        <v>1257</v>
      </c>
      <c r="B8432" s="0" t="s">
        <v>98</v>
      </c>
      <c r="C8432" s="6" t="n">
        <f aca="false">(w_ntm28*Sens!G8419+(1-w_ntm28)*Sens!H8419)*m_pc</f>
        <v>91.6816333170307</v>
      </c>
    </row>
    <row r="8433" customFormat="false" ht="17.15" hidden="false" customHeight="false" outlineLevel="0" collapsed="false">
      <c r="A8433" s="1" t="s">
        <v>1258</v>
      </c>
      <c r="B8433" s="0" t="s">
        <v>98</v>
      </c>
      <c r="C8433" s="6" t="n">
        <f aca="false">Sens!$C$8423+Sens!$C$8425+Sens!$C$8426+Sens!$C$8427+Sens!$C$8428+Sens!$C$8429+Sens!$C$8430+Sens!$C$8431+Sens!$C$8432</f>
        <v>2863.81985220593</v>
      </c>
    </row>
    <row r="8434" customFormat="false" ht="17.15" hidden="false" customHeight="false" outlineLevel="0" collapsed="false">
      <c r="A8434" s="1" t="s">
        <v>1259</v>
      </c>
      <c r="B8434" s="0" t="s">
        <v>98</v>
      </c>
      <c r="C8434" s="6" t="n">
        <f aca="false">(Sens!G8395-Sens!G8420)*t_stub</f>
        <v>47.1115314793013</v>
      </c>
      <c r="L8434" s="1" t="s">
        <v>1260</v>
      </c>
    </row>
    <row r="8435" customFormat="false" ht="17.15" hidden="false" customHeight="false" outlineLevel="0" collapsed="false">
      <c r="A8435" s="1" t="s">
        <v>1169</v>
      </c>
      <c r="B8435" s="0" t="s">
        <v>98</v>
      </c>
      <c r="C8435" s="6" t="n">
        <f aca="false">Sens!F8382+oai_v-Sens!F8371+Sens!$C$8434</f>
        <v>157.181399199197</v>
      </c>
      <c r="L8435" s="1" t="s">
        <v>1261</v>
      </c>
    </row>
    <row r="8436" customFormat="false" ht="17.15" hidden="false" customHeight="false" outlineLevel="0" collapsed="false">
      <c r="A8436" s="1" t="s">
        <v>1262</v>
      </c>
      <c r="B8436" s="0" t="s">
        <v>75</v>
      </c>
      <c r="C8436" s="5" t="n">
        <f aca="false">(Sens!$C$8433+Sens!$C$8435)/(Sens!F8384+dil_gap)-Sens!G8374*roll_div_q/q_per_yr</f>
        <v>401.975608245081</v>
      </c>
      <c r="L8436" s="1" t="s">
        <v>1263</v>
      </c>
    </row>
    <row r="8437" customFormat="false" ht="17.15" hidden="false" customHeight="false" outlineLevel="0" collapsed="false">
      <c r="A8437" s="1" t="s">
        <v>1264</v>
      </c>
      <c r="B8437" s="0" t="s">
        <v>75</v>
      </c>
      <c r="C8437" s="5" t="n">
        <f aca="false">w_dcf*Sens!$C$8407+(1-w_dcf)*Sens!$C$8436</f>
        <v>341.732302708076</v>
      </c>
    </row>
    <row r="8438" customFormat="false" ht="17.15" hidden="false" customHeight="false" outlineLevel="0" collapsed="false">
      <c r="A8438" s="3" t="s">
        <v>1690</v>
      </c>
    </row>
    <row r="8439" customFormat="false" ht="15" hidden="false" customHeight="false" outlineLevel="0" collapsed="false">
      <c r="A8439" s="4" t="s">
        <v>43</v>
      </c>
      <c r="B8439" s="4" t="s">
        <v>65</v>
      </c>
      <c r="C8439" s="23" t="s">
        <v>938</v>
      </c>
      <c r="D8439" s="23" t="s">
        <v>939</v>
      </c>
      <c r="E8439" s="23" t="s">
        <v>940</v>
      </c>
      <c r="F8439" s="23" t="s">
        <v>941</v>
      </c>
      <c r="G8439" s="23" t="s">
        <v>942</v>
      </c>
      <c r="H8439" s="23" t="s">
        <v>943</v>
      </c>
      <c r="I8439" s="23" t="s">
        <v>944</v>
      </c>
      <c r="J8439" s="23" t="s">
        <v>945</v>
      </c>
      <c r="K8439" s="23" t="s">
        <v>946</v>
      </c>
      <c r="L8439" s="4" t="s">
        <v>47</v>
      </c>
    </row>
    <row r="8440" customFormat="false" ht="17.15" hidden="false" customHeight="false" outlineLevel="0" collapsed="false">
      <c r="A8440" s="1" t="s">
        <v>947</v>
      </c>
      <c r="B8440" s="1" t="s">
        <v>279</v>
      </c>
      <c r="C8440" s="21" t="n">
        <v>2024</v>
      </c>
      <c r="D8440" s="21" t="n">
        <v>2025</v>
      </c>
      <c r="E8440" s="21" t="n">
        <v>2026</v>
      </c>
      <c r="F8440" s="21" t="n">
        <v>2027</v>
      </c>
      <c r="G8440" s="21" t="n">
        <v>2028</v>
      </c>
      <c r="H8440" s="21" t="n">
        <v>2029</v>
      </c>
      <c r="I8440" s="21" t="n">
        <v>2030</v>
      </c>
      <c r="J8440" s="21" t="n">
        <v>2031</v>
      </c>
      <c r="K8440" s="21" t="n">
        <v>2032</v>
      </c>
    </row>
    <row r="8441" customFormat="false" ht="17.15" hidden="false" customHeight="false" outlineLevel="0" collapsed="false">
      <c r="A8441" s="1" t="s">
        <v>948</v>
      </c>
      <c r="B8441" s="0" t="s">
        <v>456</v>
      </c>
      <c r="F8441" s="30" t="n">
        <f aca="false">pace</f>
        <v>2726.5351</v>
      </c>
      <c r="G8441" s="30" t="n">
        <f aca="false">pace</f>
        <v>2726.5351</v>
      </c>
      <c r="H8441" s="30" t="n">
        <f aca="false">pace</f>
        <v>2726.5351</v>
      </c>
      <c r="I8441" s="30" t="n">
        <f aca="false">pace+(g_tv*Sens!H8442-pace)*MIN(1,(Sens!I8440-pace_y0)/(pace_y1-pace_y0))</f>
        <v>1931.98611966667</v>
      </c>
      <c r="J8441" s="30" t="n">
        <f aca="false">pace+(g_tv*Sens!I8442-pace)*MIN(1,(Sens!J8440-pace_y0)/(pace_y1-pace_y0))</f>
        <v>1176.07686172667</v>
      </c>
      <c r="K8441" s="30" t="n">
        <f aca="false">pace+(g_tv*Sens!J8442-pace)*MIN(1,(Sens!K8440-pace_y0)/(pace_y1-pace_y0))</f>
        <v>436.1300484418</v>
      </c>
      <c r="L8441" s="12" t="s">
        <v>949</v>
      </c>
    </row>
    <row r="8442" customFormat="false" ht="17.15" hidden="false" customHeight="false" outlineLevel="0" collapsed="false">
      <c r="A8442" s="1" t="s">
        <v>950</v>
      </c>
      <c r="B8442" s="0" t="s">
        <v>456</v>
      </c>
      <c r="C8442" s="30" t="n">
        <f aca="false">mw_ext_24</f>
        <v>640</v>
      </c>
      <c r="D8442" s="30" t="n">
        <f aca="false">mw_ext_25</f>
        <v>1630</v>
      </c>
      <c r="E8442" s="30" t="n">
        <f aca="false">mw_ext_26</f>
        <v>3250</v>
      </c>
      <c r="F8442" s="30" t="n">
        <f aca="false">Sens!E8442+Sens!F8441</f>
        <v>5976.5351</v>
      </c>
      <c r="G8442" s="30" t="n">
        <f aca="false">Sens!F8442+Sens!G8441</f>
        <v>8703.0702</v>
      </c>
      <c r="H8442" s="30" t="n">
        <f aca="false">Sens!G8442+Sens!H8441</f>
        <v>11429.6053</v>
      </c>
      <c r="I8442" s="30" t="n">
        <f aca="false">Sens!H8442+Sens!I8441</f>
        <v>13361.5914196667</v>
      </c>
      <c r="J8442" s="30" t="n">
        <f aca="false">Sens!I8442+Sens!J8441</f>
        <v>14537.6682813933</v>
      </c>
      <c r="K8442" s="30" t="n">
        <f aca="false">Sens!J8442+Sens!K8441</f>
        <v>14973.7983298351</v>
      </c>
      <c r="L8442" s="1" t="s">
        <v>951</v>
      </c>
    </row>
    <row r="8443" customFormat="false" ht="17.15" hidden="false" customHeight="false" outlineLevel="0" collapsed="false">
      <c r="A8443" s="1" t="s">
        <v>952</v>
      </c>
      <c r="B8443" s="0" t="s">
        <v>456</v>
      </c>
      <c r="C8443" s="30" t="n">
        <f aca="false">rent_ext_24</f>
        <v>150</v>
      </c>
      <c r="D8443" s="30" t="n">
        <f aca="false">rent_ext_25</f>
        <v>400</v>
      </c>
      <c r="E8443" s="30" t="n">
        <f aca="false">rent_ext_26</f>
        <v>550</v>
      </c>
      <c r="F8443" s="30" t="n">
        <f aca="false">rent_ext_f</f>
        <v>756</v>
      </c>
      <c r="G8443" s="30" t="n">
        <f aca="false">rent_ext_f</f>
        <v>756</v>
      </c>
      <c r="H8443" s="30" t="n">
        <f aca="false">rent_ext_f</f>
        <v>756</v>
      </c>
      <c r="I8443" s="30" t="n">
        <f aca="false">rent_ext_f</f>
        <v>756</v>
      </c>
      <c r="J8443" s="30" t="n">
        <f aca="false">rent_ext_f</f>
        <v>756</v>
      </c>
      <c r="K8443" s="30" t="n">
        <f aca="false">rent_ext_f</f>
        <v>756</v>
      </c>
      <c r="L8443" s="1" t="s">
        <v>953</v>
      </c>
    </row>
    <row r="8444" customFormat="false" ht="17.15" hidden="false" customHeight="false" outlineLevel="0" collapsed="false">
      <c r="A8444" s="1" t="s">
        <v>954</v>
      </c>
      <c r="B8444" s="0" t="s">
        <v>456</v>
      </c>
      <c r="C8444" s="30" t="n">
        <f aca="false">Sens!C8442-Sens!C8443</f>
        <v>490</v>
      </c>
      <c r="D8444" s="30" t="n">
        <f aca="false">Sens!D8442-Sens!D8443</f>
        <v>1230</v>
      </c>
      <c r="E8444" s="30" t="n">
        <f aca="false">Sens!E8442-Sens!E8443</f>
        <v>2700</v>
      </c>
      <c r="F8444" s="30" t="n">
        <f aca="false">Sens!F8442-Sens!F8443</f>
        <v>5220.5351</v>
      </c>
      <c r="G8444" s="30" t="n">
        <f aca="false">Sens!G8442-Sens!G8443</f>
        <v>7947.0702</v>
      </c>
      <c r="H8444" s="30" t="n">
        <f aca="false">Sens!H8442-Sens!H8443</f>
        <v>10673.6053</v>
      </c>
      <c r="I8444" s="30" t="n">
        <f aca="false">Sens!I8442-Sens!I8443</f>
        <v>12605.5914196667</v>
      </c>
      <c r="J8444" s="30" t="n">
        <f aca="false">Sens!J8442-Sens!J8443</f>
        <v>13781.6682813933</v>
      </c>
      <c r="K8444" s="30" t="n">
        <f aca="false">Sens!K8442-Sens!K8443</f>
        <v>14217.7983298351</v>
      </c>
    </row>
    <row r="8445" customFormat="false" ht="17.15" hidden="false" customHeight="false" outlineLevel="0" collapsed="false">
      <c r="A8445" s="1" t="s">
        <v>955</v>
      </c>
      <c r="B8445" s="0" t="s">
        <v>456</v>
      </c>
      <c r="C8445" s="30" t="n">
        <f aca="false">Sens!C8444/ext_sh</f>
        <v>816.666666666667</v>
      </c>
      <c r="D8445" s="30" t="n">
        <f aca="false">Sens!D8444/ext_sh</f>
        <v>2050</v>
      </c>
      <c r="E8445" s="30" t="n">
        <f aca="false">Sens!E8444/ext_sh</f>
        <v>4500</v>
      </c>
      <c r="F8445" s="30" t="n">
        <f aca="false">Sens!F8444/ext_sh</f>
        <v>8700.89183333333</v>
      </c>
      <c r="G8445" s="30" t="n">
        <f aca="false">Sens!G8444/ext_sh</f>
        <v>13245.117</v>
      </c>
      <c r="H8445" s="30" t="n">
        <f aca="false">Sens!H8444/ext_sh</f>
        <v>17789.3421666667</v>
      </c>
      <c r="I8445" s="30" t="n">
        <f aca="false">Sens!I8444/ext_sh</f>
        <v>21009.3190327778</v>
      </c>
      <c r="J8445" s="30" t="n">
        <f aca="false">Sens!J8444/ext_sh</f>
        <v>22969.4471356556</v>
      </c>
      <c r="K8445" s="30" t="n">
        <f aca="false">Sens!K8444/ext_sh</f>
        <v>23696.3305497252</v>
      </c>
      <c r="L8445" s="1" t="s">
        <v>956</v>
      </c>
    </row>
    <row r="8446" customFormat="false" ht="17.15" hidden="false" customHeight="false" outlineLevel="0" collapsed="false">
      <c r="A8446" s="1" t="s">
        <v>957</v>
      </c>
      <c r="B8446" s="0" t="s">
        <v>456</v>
      </c>
      <c r="C8446" s="30" t="n">
        <f aca="false">Sens!C8445-Sens!C8444</f>
        <v>326.666666666667</v>
      </c>
      <c r="D8446" s="30" t="n">
        <f aca="false">Sens!D8445-Sens!D8444</f>
        <v>820</v>
      </c>
      <c r="E8446" s="30" t="n">
        <f aca="false">Sens!E8445-Sens!E8444</f>
        <v>1800</v>
      </c>
      <c r="F8446" s="30" t="n">
        <f aca="false">Sens!F8445-Sens!F8444</f>
        <v>3480.35673333333</v>
      </c>
      <c r="G8446" s="30" t="n">
        <f aca="false">Sens!G8445-Sens!G8444</f>
        <v>5298.0468</v>
      </c>
      <c r="H8446" s="30" t="n">
        <f aca="false">Sens!H8445-Sens!H8444</f>
        <v>7115.73686666667</v>
      </c>
      <c r="I8446" s="30" t="n">
        <f aca="false">Sens!I8445-Sens!I8444</f>
        <v>8403.72761311111</v>
      </c>
      <c r="J8446" s="30" t="n">
        <f aca="false">Sens!J8445-Sens!J8444</f>
        <v>9187.77885426222</v>
      </c>
      <c r="K8446" s="30" t="n">
        <f aca="false">Sens!K8445-Sens!K8444</f>
        <v>9478.53221989009</v>
      </c>
    </row>
    <row r="8447" customFormat="false" ht="17.15" hidden="false" customHeight="false" outlineLevel="0" collapsed="false">
      <c r="A8447" s="1" t="s">
        <v>958</v>
      </c>
      <c r="B8447" s="0" t="s">
        <v>456</v>
      </c>
      <c r="C8447" s="30" t="n">
        <f aca="false">Sens!C8445</f>
        <v>816.666666666667</v>
      </c>
      <c r="D8447" s="30" t="n">
        <f aca="false">Sens!D8445-Sens!C8445</f>
        <v>1233.33333333333</v>
      </c>
      <c r="E8447" s="30" t="n">
        <f aca="false">Sens!E8445-Sens!D8445</f>
        <v>2450</v>
      </c>
      <c r="F8447" s="30" t="n">
        <f aca="false">Sens!F8445-Sens!E8445</f>
        <v>4200.89183333333</v>
      </c>
      <c r="G8447" s="30" t="n">
        <f aca="false">Sens!G8445-Sens!F8445</f>
        <v>4544.22516666667</v>
      </c>
      <c r="H8447" s="30" t="n">
        <f aca="false">Sens!H8445-Sens!G8445</f>
        <v>4544.22516666667</v>
      </c>
      <c r="I8447" s="30" t="n">
        <f aca="false">Sens!I8445-Sens!H8445</f>
        <v>3219.97686611111</v>
      </c>
      <c r="J8447" s="30" t="n">
        <f aca="false">Sens!J8445-Sens!I8445</f>
        <v>1960.12810287778</v>
      </c>
      <c r="K8447" s="30" t="n">
        <f aca="false">Sens!K8445-Sens!J8445</f>
        <v>726.883414069667</v>
      </c>
    </row>
    <row r="8448" customFormat="false" ht="17.15" hidden="false" customHeight="false" outlineLevel="0" collapsed="false">
      <c r="A8448" s="1" t="s">
        <v>959</v>
      </c>
      <c r="B8448" s="0" t="s">
        <v>456</v>
      </c>
      <c r="D8448" s="30" t="n">
        <f aca="false">Sens!D8442-Sens!C8442</f>
        <v>990</v>
      </c>
      <c r="E8448" s="30" t="n">
        <f aca="false">Sens!E8442-Sens!D8442</f>
        <v>1620</v>
      </c>
      <c r="F8448" s="30" t="n">
        <f aca="false">Sens!F8442-Sens!E8442</f>
        <v>2726.5351</v>
      </c>
      <c r="G8448" s="30" t="n">
        <f aca="false">Sens!G8442-Sens!F8442</f>
        <v>2726.5351</v>
      </c>
      <c r="H8448" s="30" t="n">
        <f aca="false">Sens!H8442-Sens!G8442</f>
        <v>2726.5351</v>
      </c>
      <c r="I8448" s="30" t="n">
        <f aca="false">Sens!I8442-Sens!H8442</f>
        <v>1931.98611966667</v>
      </c>
      <c r="J8448" s="30" t="n">
        <f aca="false">Sens!J8442-Sens!I8442</f>
        <v>1176.07686172667</v>
      </c>
      <c r="K8448" s="30" t="n">
        <f aca="false">Sens!K8442-Sens!J8442</f>
        <v>436.130048441799</v>
      </c>
    </row>
    <row r="8449" customFormat="false" ht="17.15" hidden="false" customHeight="false" outlineLevel="0" collapsed="false">
      <c r="A8449" s="1" t="s">
        <v>960</v>
      </c>
      <c r="B8449" s="0" t="s">
        <v>456</v>
      </c>
      <c r="F8449" s="30" t="n">
        <f aca="false">Sens!F8468*ext_sh</f>
        <v>0</v>
      </c>
      <c r="G8449" s="30" t="n">
        <f aca="false">Sens!G8468*ext_sh</f>
        <v>0</v>
      </c>
      <c r="H8449" s="30" t="n">
        <f aca="false">Sens!H8468*ext_sh</f>
        <v>0</v>
      </c>
      <c r="I8449" s="30" t="n">
        <f aca="false">Sens!I8468*ext_sh</f>
        <v>490</v>
      </c>
      <c r="J8449" s="30" t="n">
        <f aca="false">Sens!J8468*ext_sh</f>
        <v>740</v>
      </c>
      <c r="K8449" s="30" t="n">
        <f aca="false">Sens!K8468*ext_sh</f>
        <v>1470</v>
      </c>
      <c r="L8449" s="1" t="s">
        <v>961</v>
      </c>
    </row>
    <row r="8450" customFormat="false" ht="17.15" hidden="false" customHeight="false" outlineLevel="0" collapsed="false">
      <c r="A8450" s="1" t="s">
        <v>962</v>
      </c>
      <c r="B8450" s="0" t="s">
        <v>456</v>
      </c>
      <c r="C8450" s="30" t="n">
        <f aca="false">mix_h*Sens!C8442</f>
        <v>128</v>
      </c>
      <c r="D8450" s="30" t="n">
        <f aca="false">mix_h*Sens!D8442</f>
        <v>326</v>
      </c>
      <c r="E8450" s="30" t="n">
        <f aca="false">mix_h*Sens!E8442</f>
        <v>650</v>
      </c>
      <c r="F8450" s="30" t="n">
        <f aca="false">Sens!E8450-Sens!F8449*mix_h</f>
        <v>650</v>
      </c>
      <c r="G8450" s="30" t="n">
        <f aca="false">Sens!F8450-Sens!G8449*mix_h</f>
        <v>650</v>
      </c>
      <c r="H8450" s="30" t="n">
        <f aca="false">Sens!G8450-Sens!H8449*mix_h</f>
        <v>650</v>
      </c>
      <c r="I8450" s="30" t="n">
        <f aca="false">Sens!H8450-Sens!I8449*mix_h</f>
        <v>552</v>
      </c>
      <c r="J8450" s="30" t="n">
        <f aca="false">Sens!I8450-Sens!J8449*mix_h</f>
        <v>404</v>
      </c>
      <c r="K8450" s="30" t="n">
        <f aca="false">Sens!J8450-Sens!K8449*mix_h</f>
        <v>110</v>
      </c>
    </row>
    <row r="8451" customFormat="false" ht="17.15" hidden="false" customHeight="false" outlineLevel="0" collapsed="false">
      <c r="A8451" s="1" t="s">
        <v>963</v>
      </c>
      <c r="B8451" s="0" t="s">
        <v>456</v>
      </c>
      <c r="C8451" s="30" t="n">
        <f aca="false">mix_g2*Sens!C8442</f>
        <v>288</v>
      </c>
      <c r="D8451" s="30" t="n">
        <f aca="false">mix_g2*Sens!D8442</f>
        <v>733.5</v>
      </c>
      <c r="E8451" s="30" t="n">
        <f aca="false">mix_g2*Sens!E8442</f>
        <v>1462.5</v>
      </c>
      <c r="F8451" s="30" t="n">
        <f aca="false">Sens!E8451-Sens!F8449*mix_g2</f>
        <v>1462.5</v>
      </c>
      <c r="G8451" s="30" t="n">
        <f aca="false">Sens!F8451-Sens!G8449*mix_g2</f>
        <v>1462.5</v>
      </c>
      <c r="H8451" s="30" t="n">
        <f aca="false">Sens!G8451-Sens!H8449*mix_g2</f>
        <v>1462.5</v>
      </c>
      <c r="I8451" s="30" t="n">
        <f aca="false">Sens!H8451-Sens!I8449*mix_g2</f>
        <v>1242</v>
      </c>
      <c r="J8451" s="30" t="n">
        <f aca="false">Sens!I8451-Sens!J8449*mix_g2</f>
        <v>909</v>
      </c>
      <c r="K8451" s="30" t="n">
        <f aca="false">Sens!J8451-Sens!K8449*mix_g2</f>
        <v>247.5</v>
      </c>
    </row>
    <row r="8452" customFormat="false" ht="17.15" hidden="false" customHeight="false" outlineLevel="0" collapsed="false">
      <c r="A8452" s="1" t="s">
        <v>964</v>
      </c>
      <c r="B8452" s="0" t="s">
        <v>456</v>
      </c>
      <c r="C8452" s="30" t="n">
        <f aca="false">mix_g3*Sens!C8442</f>
        <v>224</v>
      </c>
      <c r="D8452" s="30" t="n">
        <f aca="false">mix_g3*Sens!D8442</f>
        <v>570.5</v>
      </c>
      <c r="E8452" s="30" t="n">
        <f aca="false">mix_g3*Sens!E8442</f>
        <v>1137.5</v>
      </c>
      <c r="F8452" s="30" t="n">
        <f aca="false">Sens!E8452+(Sens!F8448+Sens!F8449)*(a_g3_27-nonnv*a_mai)-Sens!F8449*mix_g3</f>
        <v>2773.42106</v>
      </c>
      <c r="G8452" s="30" t="n">
        <f aca="false">Sens!F8452+(Sens!G8448+Sens!G8449)*(a_g3_28-nonnv*a_mai)-Sens!G8449*mix_g3</f>
        <v>3318.72808</v>
      </c>
      <c r="H8452" s="30" t="n">
        <f aca="false">Sens!G8452+(Sens!H8448+Sens!H8449)*(a_g3_29-nonnv*a_mai)-Sens!H8449*mix_g3</f>
        <v>3318.72808</v>
      </c>
      <c r="I8452" s="30" t="n">
        <f aca="false">Sens!H8452+(Sens!I8448+Sens!I8449)*(a_g3_29-nonnv*a_mai)-Sens!I8449*mix_g3</f>
        <v>3147.22808</v>
      </c>
      <c r="J8452" s="30" t="n">
        <f aca="false">Sens!I8452+(Sens!J8448+Sens!J8449)*(a_g3_29-nonnv*a_mai)-Sens!J8449*mix_g3</f>
        <v>2888.22808</v>
      </c>
      <c r="K8452" s="30" t="n">
        <f aca="false">Sens!J8452+(Sens!K8448+Sens!K8449)*(a_g3_29-nonnv*a_mai)-Sens!K8449*mix_g3</f>
        <v>2373.72808</v>
      </c>
    </row>
    <row r="8453" customFormat="false" ht="17.15" hidden="false" customHeight="false" outlineLevel="0" collapsed="false">
      <c r="A8453" s="1" t="s">
        <v>965</v>
      </c>
      <c r="B8453" s="0" t="s">
        <v>456</v>
      </c>
      <c r="C8453" s="30" t="n">
        <v>0</v>
      </c>
      <c r="D8453" s="30" t="n">
        <v>0</v>
      </c>
      <c r="E8453" s="30" t="n">
        <v>0</v>
      </c>
      <c r="F8453" s="30" t="n">
        <f aca="false">Sens!E8453+(Sens!F8448+Sens!F8449)*nonnv*a_mai</f>
        <v>272.65351</v>
      </c>
      <c r="G8453" s="30" t="n">
        <f aca="false">Sens!F8453+(Sens!G8448+Sens!G8449)*nonnv*a_mai</f>
        <v>545.30702</v>
      </c>
      <c r="H8453" s="30" t="n">
        <f aca="false">Sens!G8453+(Sens!H8448+Sens!H8449)*nonnv*a_mai</f>
        <v>817.96053</v>
      </c>
      <c r="I8453" s="30" t="n">
        <f aca="false">Sens!H8453+(Sens!I8448+Sens!I8449)*nonnv*a_mai</f>
        <v>1060.15914196667</v>
      </c>
      <c r="J8453" s="30" t="n">
        <f aca="false">Sens!I8453+(Sens!J8448+Sens!J8449)*nonnv*a_mai</f>
        <v>1251.76682813933</v>
      </c>
      <c r="K8453" s="30" t="n">
        <f aca="false">Sens!J8453+(Sens!K8448+Sens!K8449)*nonnv*a_mai</f>
        <v>1442.37983298351</v>
      </c>
      <c r="L8453" s="12" t="s">
        <v>966</v>
      </c>
    </row>
    <row r="8454" customFormat="false" ht="17.15" hidden="false" customHeight="false" outlineLevel="0" collapsed="false">
      <c r="A8454" s="1" t="s">
        <v>967</v>
      </c>
      <c r="B8454" s="0" t="s">
        <v>456</v>
      </c>
      <c r="C8454" s="30" t="n">
        <v>0</v>
      </c>
      <c r="D8454" s="30" t="n">
        <v>0</v>
      </c>
      <c r="E8454" s="30" t="n">
        <v>0</v>
      </c>
      <c r="F8454" s="30" t="n">
        <f aca="false">Sens!E8454+(Sens!F8448+Sens!F8449)*(1-a_g3_27)</f>
        <v>817.96053</v>
      </c>
      <c r="G8454" s="30" t="n">
        <f aca="false">Sens!F8454+(Sens!G8448+Sens!G8449)*(1-a_g3_28)</f>
        <v>2726.5351</v>
      </c>
      <c r="H8454" s="30" t="n">
        <f aca="false">Sens!G8454+(Sens!H8448+Sens!H8449)*(1-a_g3_29)</f>
        <v>5180.41669</v>
      </c>
      <c r="I8454" s="30" t="n">
        <f aca="false">Sens!H8454+(Sens!I8448+Sens!I8449)*(1-a_g3_29)</f>
        <v>7360.2041977</v>
      </c>
      <c r="J8454" s="30" t="n">
        <f aca="false">Sens!I8454+(Sens!J8448+Sens!J8449)*(1-a_g3_29)</f>
        <v>9084.673373254</v>
      </c>
      <c r="K8454" s="30" t="n">
        <f aca="false">Sens!J8454+(Sens!K8448+Sens!K8449)*(1-a_g3_29)</f>
        <v>10800.1904168516</v>
      </c>
    </row>
    <row r="8455" customFormat="false" ht="17.15" hidden="false" customHeight="false" outlineLevel="0" collapsed="false">
      <c r="A8455" s="1" t="s">
        <v>968</v>
      </c>
      <c r="B8455" s="0" t="s">
        <v>403</v>
      </c>
      <c r="C8455" s="15" t="n">
        <f aca="false">(Sens!C8450*tk_hold_h100+Sens!C8451*tk_hold_gb200+Sens!C8452*tk_hold_gb300+Sens!C8454*tk_hold_vr200+Sens!C8453*nv_hold_mai*tk_hold_vr200)/Sens!C8442</f>
        <v>9.7235358126469</v>
      </c>
      <c r="D8455" s="15" t="n">
        <f aca="false">(Sens!D8450*tk_hold_h100+Sens!D8451*tk_hold_gb200+Sens!D8452*tk_hold_gb300+Sens!D8454*tk_hold_vr200+Sens!D8453*nv_hold_mai*tk_hold_vr200)/Sens!D8442</f>
        <v>9.7235358126469</v>
      </c>
      <c r="E8455" s="15" t="n">
        <f aca="false">(Sens!E8450*tk_hold_h100+Sens!E8451*tk_hold_gb200+Sens!E8452*tk_hold_gb300+Sens!E8454*tk_hold_vr200+Sens!E8453*nv_hold_mai*tk_hold_vr200)/Sens!E8442</f>
        <v>9.7235358126469</v>
      </c>
      <c r="F8455" s="15" t="n">
        <f aca="false">(Sens!F8450*tk_hold_h100+Sens!F8451*tk_hold_gb200+Sens!F8452*tk_hold_gb300+Sens!F8454*tk_hold_vr200+Sens!F8453*nv_hold_mai*tk_hold_vr200)/Sens!F8442</f>
        <v>10.2195353876665</v>
      </c>
      <c r="G8455" s="15" t="n">
        <f aca="false">(Sens!G8450*tk_hold_h100+Sens!G8451*tk_hold_gb200+Sens!G8452*tk_hold_gb300+Sens!G8454*tk_hold_vr200+Sens!G8453*nv_hold_mai*tk_hold_vr200)/Sens!G8442</f>
        <v>10.5725598017306</v>
      </c>
      <c r="H8455" s="15" t="n">
        <f aca="false">(Sens!H8450*tk_hold_h100+Sens!H8451*tk_hold_gb200+Sens!H8452*tk_hold_gb300+Sens!H8454*tk_hold_vr200+Sens!H8453*nv_hold_mai*tk_hold_vr200)/Sens!H8442</f>
        <v>10.8210427149036</v>
      </c>
      <c r="I8455" s="15" t="n">
        <f aca="false">(Sens!I8450*tk_hold_h100+Sens!I8451*tk_hold_gb200+Sens!I8452*tk_hold_gb300+Sens!I8454*tk_hold_vr200+Sens!I8453*nv_hold_mai*tk_hold_vr200)/Sens!I8442</f>
        <v>11.0050618241982</v>
      </c>
      <c r="J8455" s="15" t="n">
        <f aca="false">(Sens!J8450*tk_hold_h100+Sens!J8451*tk_hold_gb200+Sens!J8452*tk_hold_gb300+Sens!J8454*tk_hold_vr200+Sens!J8453*nv_hold_mai*tk_hold_vr200)/Sens!J8442</f>
        <v>11.1505789658881</v>
      </c>
      <c r="K8455" s="15" t="n">
        <f aca="false">(Sens!K8450*tk_hold_h100+Sens!K8451*tk_hold_gb200+Sens!K8452*tk_hold_gb300+Sens!K8454*tk_hold_vr200+Sens!K8453*nv_hold_mai*tk_hold_vr200)/Sens!K8442</f>
        <v>11.3496914757183</v>
      </c>
      <c r="L8455" s="1" t="s">
        <v>969</v>
      </c>
    </row>
    <row r="8456" customFormat="false" ht="17.15" hidden="false" customHeight="false" outlineLevel="0" collapsed="false">
      <c r="A8456" s="1" t="s">
        <v>970</v>
      </c>
      <c r="B8456" s="0" t="s">
        <v>403</v>
      </c>
      <c r="C8456" s="15" t="n">
        <f aca="false">(Sens!C8450*tk_hold_h100+Sens!C8451*tk_hold_gb200+Sens!C8452*tk_hold_gb300+Sens!C8454*tk_hold_vr200+Sens!C8453*nv_out_mai*tk_hold_vr200)/Sens!C8442</f>
        <v>9.7235358126469</v>
      </c>
      <c r="D8456" s="15" t="n">
        <f aca="false">(Sens!D8450*tk_hold_h100+Sens!D8451*tk_hold_gb200+Sens!D8452*tk_hold_gb300+Sens!D8454*tk_hold_vr200+Sens!D8453*nv_out_mai*tk_hold_vr200)/Sens!D8442</f>
        <v>9.7235358126469</v>
      </c>
      <c r="E8456" s="15" t="n">
        <f aca="false">(Sens!E8450*tk_hold_h100+Sens!E8451*tk_hold_gb200+Sens!E8452*tk_hold_gb300+Sens!E8454*tk_hold_vr200+Sens!E8453*nv_out_mai*tk_hold_vr200)/Sens!E8442</f>
        <v>9.7235358126469</v>
      </c>
      <c r="F8456" s="15" t="n">
        <f aca="false">(Sens!F8450*tk_hold_h100+Sens!F8451*tk_hold_gb200+Sens!F8452*tk_hold_gb300+Sens!F8454*tk_hold_vr200+Sens!F8453*nv_out_mai*tk_hold_vr200)/Sens!F8442</f>
        <v>10.247422093969</v>
      </c>
      <c r="G8456" s="15" t="n">
        <f aca="false">(Sens!G8450*tk_hold_h100+Sens!G8451*tk_hold_gb200+Sens!G8452*tk_hold_gb300+Sens!G8454*tk_hold_vr200+Sens!G8453*nv_out_mai*tk_hold_vr200)/Sens!G8442</f>
        <v>10.6108602808053</v>
      </c>
      <c r="H8456" s="15" t="n">
        <f aca="false">(Sens!H8450*tk_hold_h100+Sens!H8451*tk_hold_gb200+Sens!H8452*tk_hold_gb300+Sens!H8454*tk_hold_vr200+Sens!H8453*nv_out_mai*tk_hold_vr200)/Sens!H8442</f>
        <v>10.8647885507393</v>
      </c>
      <c r="I8456" s="15" t="n">
        <f aca="false">(Sens!I8450*tk_hold_h100+Sens!I8451*tk_hold_gb200+Sens!I8452*tk_hold_gb300+Sens!I8454*tk_hold_vr200+Sens!I8453*nv_out_mai*tk_hold_vr200)/Sens!I8442</f>
        <v>11.0535625770025</v>
      </c>
      <c r="J8456" s="15" t="n">
        <f aca="false">(Sens!J8450*tk_hold_h100+Sens!J8451*tk_hold_gb200+Sens!J8452*tk_hold_gb300+Sens!J8454*tk_hold_vr200+Sens!J8453*nv_out_mai*tk_hold_vr200)/Sens!J8442</f>
        <v>11.2032127128058</v>
      </c>
      <c r="K8456" s="15" t="n">
        <f aca="false">(Sens!K8450*tk_hold_h100+Sens!K8451*tk_hold_gb200+Sens!K8452*tk_hold_gb300+Sens!K8454*tk_hold_vr200+Sens!K8453*nv_out_mai*tk_hold_vr200)/Sens!K8442</f>
        <v>11.4085735724225</v>
      </c>
      <c r="L8456" s="12" t="s">
        <v>971</v>
      </c>
    </row>
    <row r="8457" customFormat="false" ht="17.15" hidden="false" customHeight="false" outlineLevel="0" collapsed="false">
      <c r="A8457" s="0" t="s">
        <v>972</v>
      </c>
      <c r="B8457" s="0" t="s">
        <v>229</v>
      </c>
      <c r="C8457" s="15" t="n">
        <f aca="false">k_B</f>
        <v>1.17213932619116</v>
      </c>
      <c r="D8457" s="15" t="n">
        <f aca="false">k_B</f>
        <v>1.17213932619116</v>
      </c>
      <c r="E8457" s="15" t="n">
        <f aca="false">k_B</f>
        <v>1.17213932619116</v>
      </c>
      <c r="F8457" s="15" t="n">
        <f aca="false">(k_B+((ls_A*k_long+(1-ls_A)*k_spot)-k_B)*MIN(1,(Sens!F8440-base_fy)/k_ramp))</f>
        <v>1.25022828131298</v>
      </c>
      <c r="G8457" s="15" t="n">
        <f aca="false">(k_B+((ls_A*k_long+(1-ls_A)*k_spot)-k_B)*MIN(1,(Sens!G8440-base_fy)/k_ramp))</f>
        <v>1.3283172364348</v>
      </c>
      <c r="H8457" s="15" t="n">
        <f aca="false">(k_B+((ls_A*k_long+(1-ls_A)*k_spot)-k_B)*MIN(1,(Sens!H8440-base_fy)/k_ramp))</f>
        <v>1.40640619155662</v>
      </c>
      <c r="I8457" s="15" t="n">
        <f aca="false">(k_B+((ls_A*k_long+(1-ls_A)*k_spot)-k_B)*MIN(1,(Sens!I8440-base_fy)/k_ramp))</f>
        <v>1.40640619155662</v>
      </c>
      <c r="J8457" s="15" t="n">
        <f aca="false">(k_B+((ls_A*k_long+(1-ls_A)*k_spot)-k_B)*MIN(1,(Sens!J8440-base_fy)/k_ramp))</f>
        <v>1.40640619155662</v>
      </c>
      <c r="K8457" s="15" t="n">
        <f aca="false">(k_B+((ls_A*k_long+(1-ls_A)*k_spot)-k_B)*MIN(1,(Sens!K8440-base_fy)/k_ramp))</f>
        <v>1.40640619155662</v>
      </c>
      <c r="L8457" s="1" t="s">
        <v>973</v>
      </c>
    </row>
    <row r="8458" customFormat="false" ht="17.15" hidden="false" customHeight="false" outlineLevel="0" collapsed="false">
      <c r="A8458" s="1" t="s">
        <v>974</v>
      </c>
      <c r="B8458" s="0" t="s">
        <v>403</v>
      </c>
      <c r="C8458" s="15" t="n">
        <f aca="false">Sens!C8456*Sens!C8457*chip_f</f>
        <v>11.3973387156315</v>
      </c>
      <c r="D8458" s="15" t="n">
        <f aca="false">Sens!D8456*Sens!D8457*chip_f</f>
        <v>11.3973387156315</v>
      </c>
      <c r="E8458" s="15" t="n">
        <f aca="false">Sens!E8456*Sens!E8457*chip_f</f>
        <v>11.3973387156315</v>
      </c>
      <c r="F8458" s="15" t="n">
        <f aca="false">Sens!F8456*Sens!F8457*chip_f</f>
        <v>12.8116169124314</v>
      </c>
      <c r="G8458" s="15" t="n">
        <f aca="false">Sens!G8456*Sens!G8457*chip_f</f>
        <v>14.094588604395</v>
      </c>
      <c r="H8458" s="15" t="n">
        <f aca="false">Sens!H8456*Sens!H8457*chip_f</f>
        <v>15.2803058877132</v>
      </c>
      <c r="I8458" s="15" t="n">
        <f aca="false">Sens!I8456*Sens!I8457*chip_f</f>
        <v>15.5457988470549</v>
      </c>
      <c r="J8458" s="15" t="n">
        <f aca="false">Sens!J8456*Sens!J8457*chip_f</f>
        <v>15.7562677246158</v>
      </c>
      <c r="K8458" s="15" t="n">
        <f aca="false">Sens!K8456*Sens!K8457*chip_f</f>
        <v>16.0450885090842</v>
      </c>
      <c r="L8458" s="1" t="s">
        <v>975</v>
      </c>
    </row>
    <row r="8459" customFormat="false" ht="17.15" hidden="false" customHeight="false" outlineLevel="0" collapsed="false">
      <c r="A8459" s="0" t="s">
        <v>976</v>
      </c>
      <c r="B8459" s="0" t="s">
        <v>98</v>
      </c>
      <c r="D8459" s="6" t="n">
        <f aca="false">(Sens!C8442+Sens!D8442)/2*Sens!D8458/1000</f>
        <v>12.9359794422418</v>
      </c>
      <c r="E8459" s="6" t="n">
        <f aca="false">(Sens!D8442+Sens!E8442)/2*Sens!E8458/1000</f>
        <v>27.8095064661409</v>
      </c>
      <c r="F8459" s="6" t="n">
        <f aca="false">(Sens!E8442+Sens!F8442)/2*Sens!F8458/1000</f>
        <v>59.1034165651511</v>
      </c>
      <c r="G8459" s="6" t="n">
        <f aca="false">(Sens!F8442+Sens!G8442)/2*Sens!G8458/1000</f>
        <v>103.451498789198</v>
      </c>
      <c r="H8459" s="6" t="n">
        <f aca="false">(Sens!G8442+Sens!H8442)/2*Sens!H8458/1000</f>
        <v>153.816719989035</v>
      </c>
      <c r="I8459" s="6" t="n">
        <f aca="false">(Sens!H8442+Sens!I8442)/2*Sens!I8458/1000</f>
        <v>192.699478690852</v>
      </c>
      <c r="J8459" s="6" t="n">
        <f aca="false">(Sens!I8442+Sens!J8442)/2*Sens!J8458/1000</f>
        <v>219.794102584244</v>
      </c>
      <c r="K8459" s="6" t="n">
        <f aca="false">(Sens!J8442+Sens!K8442)/2*Sens!K8458/1000</f>
        <v>236.757046905022</v>
      </c>
      <c r="L8459" s="12" t="s">
        <v>977</v>
      </c>
    </row>
    <row r="8460" customFormat="false" ht="17.15" hidden="false" customHeight="false" outlineLevel="0" collapsed="false">
      <c r="A8460" s="1" t="s">
        <v>978</v>
      </c>
      <c r="B8460" s="0" t="s">
        <v>403</v>
      </c>
      <c r="C8460" s="15" t="n">
        <f aca="false">(Sens!C8450*tk_opex_h100+Sens!C8451*tk_opex_gb200+Sens!C8452*tk_opex_gb300+(Sens!C8454+Sens!C8453)*tk_opex_vr200)/Sens!C8442</f>
        <v>1.88636041306092</v>
      </c>
      <c r="D8460" s="15" t="n">
        <f aca="false">(Sens!D8450*tk_opex_h100+Sens!D8451*tk_opex_gb200+Sens!D8452*tk_opex_gb300+(Sens!D8454+Sens!D8453)*tk_opex_vr200)/Sens!D8442</f>
        <v>1.88636041306092</v>
      </c>
      <c r="E8460" s="15" t="n">
        <f aca="false">(Sens!E8450*tk_opex_h100+Sens!E8451*tk_opex_gb200+Sens!E8452*tk_opex_gb300+(Sens!E8454+Sens!E8453)*tk_opex_vr200)/Sens!E8442</f>
        <v>1.88636041306092</v>
      </c>
      <c r="F8460" s="15" t="n">
        <f aca="false">(Sens!F8450*tk_opex_h100+Sens!F8451*tk_opex_gb200+Sens!F8452*tk_opex_gb300+(Sens!F8454+Sens!F8453)*tk_opex_vr200)/Sens!F8442</f>
        <v>1.95051159746876</v>
      </c>
      <c r="G8460" s="15" t="n">
        <f aca="false">(Sens!G8450*tk_opex_h100+Sens!G8451*tk_opex_gb200+Sens!G8452*tk_opex_gb300+(Sens!G8454+Sens!G8453)*tk_opex_vr200)/Sens!G8442</f>
        <v>1.98836003669956</v>
      </c>
      <c r="H8460" s="15" t="n">
        <f aca="false">(Sens!H8450*tk_opex_h100+Sens!H8451*tk_opex_gb200+Sens!H8452*tk_opex_gb300+(Sens!H8454+Sens!H8453)*tk_opex_vr200)/Sens!H8442</f>
        <v>2.01344013834343</v>
      </c>
      <c r="I8460" s="15" t="n">
        <f aca="false">(Sens!I8450*tk_opex_h100+Sens!I8451*tk_opex_gb200+Sens!I8452*tk_opex_gb300+(Sens!I8454+Sens!I8453)*tk_opex_vr200)/Sens!I8442</f>
        <v>2.03261166882178</v>
      </c>
      <c r="J8460" s="15" t="n">
        <f aca="false">(Sens!J8450*tk_opex_h100+Sens!J8451*tk_opex_gb200+Sens!J8452*tk_opex_gb300+(Sens!J8454+Sens!J8453)*tk_opex_vr200)/Sens!J8442</f>
        <v>2.04808073288745</v>
      </c>
      <c r="K8460" s="15" t="n">
        <f aca="false">(Sens!K8450*tk_opex_h100+Sens!K8451*tk_opex_gb200+Sens!K8452*tk_opex_gb300+(Sens!K8454+Sens!K8453)*tk_opex_vr200)/Sens!K8442</f>
        <v>2.06973825807449</v>
      </c>
      <c r="L8460" s="12" t="s">
        <v>979</v>
      </c>
    </row>
    <row r="8461" customFormat="false" ht="17.15" hidden="false" customHeight="false" outlineLevel="0" collapsed="false">
      <c r="A8461" s="0" t="s">
        <v>980</v>
      </c>
      <c r="B8461" s="0" t="s">
        <v>98</v>
      </c>
      <c r="D8461" s="6" t="n">
        <f aca="false">(Sens!C8445+Sens!D8445)/2*Sens!D8460/1000</f>
        <v>2.70378325872065</v>
      </c>
      <c r="E8461" s="6" t="n">
        <f aca="false">(Sens!D8445+Sens!E8445)/2*Sens!E8460/1000</f>
        <v>6.17783035277451</v>
      </c>
      <c r="F8461" s="6" t="n">
        <f aca="false">(Sens!E8445+Sens!F8445)/2*Sens!F8460/1000</f>
        <v>12.8742463089237</v>
      </c>
      <c r="G8461" s="6" t="n">
        <f aca="false">(Sens!F8445+Sens!G8445)/2*Sens!G8460/1000</f>
        <v>21.8182834646277</v>
      </c>
      <c r="H8461" s="6" t="n">
        <f aca="false">(Sens!G8445+Sens!H8445)/2*Sens!H8460/1000</f>
        <v>31.2430128789734</v>
      </c>
      <c r="I8461" s="6" t="n">
        <f aca="false">(Sens!H8445+Sens!I8445)/2*Sens!I8460/1000</f>
        <v>39.4313057443268</v>
      </c>
      <c r="J8461" s="6" t="n">
        <f aca="false">(Sens!I8445+Sens!J8445)/2*Sens!J8460/1000</f>
        <v>45.0360318228653</v>
      </c>
      <c r="K8461" s="6" t="n">
        <f aca="false">(Sens!J8445+Sens!K8445)/2*Sens!K8460/1000</f>
        <v>48.2929727091156</v>
      </c>
    </row>
    <row r="8462" customFormat="false" ht="17.15" hidden="false" customHeight="false" outlineLevel="0" collapsed="false">
      <c r="A8462" s="0" t="s">
        <v>981</v>
      </c>
      <c r="B8462" s="0" t="s">
        <v>98</v>
      </c>
      <c r="D8462" s="6" t="n">
        <f aca="false">(Sens!C8443+Sens!D8443)/2*rent_mw/1000</f>
        <v>2.44475</v>
      </c>
      <c r="E8462" s="6" t="n">
        <f aca="false">(Sens!D8443+Sens!E8443)/2*rent_mw/1000</f>
        <v>4.22275</v>
      </c>
      <c r="F8462" s="6" t="n">
        <f aca="false">(Sens!E8443+Sens!F8443)/2*rent_mw/1000</f>
        <v>5.80517</v>
      </c>
      <c r="G8462" s="6" t="n">
        <f aca="false">(Sens!F8443+Sens!G8443)/2*rent_mw/1000</f>
        <v>6.72084</v>
      </c>
      <c r="H8462" s="6" t="n">
        <f aca="false">(Sens!G8443+Sens!H8443)/2*rent_mw/1000</f>
        <v>6.72084</v>
      </c>
      <c r="I8462" s="6" t="n">
        <f aca="false">(Sens!H8443+Sens!I8443)/2*rent_mw/1000</f>
        <v>6.72084</v>
      </c>
      <c r="J8462" s="6" t="n">
        <f aca="false">(Sens!I8443+Sens!J8443)/2*rent_mw/1000</f>
        <v>6.72084</v>
      </c>
      <c r="K8462" s="6" t="n">
        <f aca="false">(Sens!J8443+Sens!K8443)/2*rent_mw/1000</f>
        <v>6.72084</v>
      </c>
    </row>
    <row r="8463" customFormat="false" ht="17.15" hidden="false" customHeight="false" outlineLevel="0" collapsed="false">
      <c r="A8463" s="0" t="s">
        <v>982</v>
      </c>
      <c r="B8463" s="0" t="s">
        <v>98</v>
      </c>
      <c r="D8463" s="6" t="n">
        <f aca="false">(Sens!C8445+Sens!D8445)/2*(1-self_build)*fac_rent/1000</f>
        <v>0.853242375631075</v>
      </c>
      <c r="E8463" s="6" t="n">
        <f aca="false">(Sens!D8445+Sens!E8445)/2*(1-self_build)*fac_rent/1000</f>
        <v>1.94955961408728</v>
      </c>
      <c r="F8463" s="6" t="n">
        <f aca="false">(Sens!E8445+Sens!F8445)/2*(1-self_build)*fac_rent/1000</f>
        <v>3.92914894476356</v>
      </c>
      <c r="G8463" s="6" t="n">
        <f aca="false">(Sens!F8445+Sens!G8445)/2*(1-self_build)*fac_rent/1000</f>
        <v>6.53206908578159</v>
      </c>
      <c r="H8463" s="6" t="n">
        <f aca="false">(Sens!G8445+Sens!H8445)/2*(1-self_build)*fac_rent/1000</f>
        <v>9.23717988341591</v>
      </c>
      <c r="I8463" s="6" t="n">
        <f aca="false">(Sens!H8445+Sens!I8445)/2*(1-self_build)*fac_rent/1000</f>
        <v>11.5481378557393</v>
      </c>
      <c r="J8463" s="6" t="n">
        <f aca="false">(Sens!I8445+Sens!J8445)/2*(1-self_build)*fac_rent/1000</f>
        <v>13.0899582289108</v>
      </c>
      <c r="K8463" s="6" t="n">
        <f aca="false">(Sens!J8445+Sens!K8445)/2*(1-self_build)*fac_rent/1000</f>
        <v>13.8897275626556</v>
      </c>
      <c r="L8463" s="12" t="s">
        <v>983</v>
      </c>
    </row>
    <row r="8464" customFormat="false" ht="17.15" hidden="false" customHeight="false" outlineLevel="0" collapsed="false">
      <c r="A8464" s="1" t="s">
        <v>984</v>
      </c>
      <c r="B8464" s="0" t="s">
        <v>168</v>
      </c>
      <c r="D8464" s="7" t="n">
        <f aca="false">(Sens!C8444+Sens!D8444)/(Sens!C8445+Sens!D8445)</f>
        <v>0.6</v>
      </c>
      <c r="E8464" s="7" t="n">
        <f aca="false">(Sens!D8444+Sens!E8444)/(Sens!D8445+Sens!E8445)</f>
        <v>0.6</v>
      </c>
      <c r="F8464" s="7" t="n">
        <f aca="false">(Sens!E8444+Sens!F8444)/(Sens!E8445+Sens!F8445)</f>
        <v>0.6</v>
      </c>
      <c r="G8464" s="7" t="n">
        <f aca="false">(Sens!F8444+Sens!G8444)/(Sens!F8445+Sens!G8445)</f>
        <v>0.6</v>
      </c>
      <c r="H8464" s="7" t="n">
        <f aca="false">(Sens!G8444+Sens!H8444)/(Sens!G8445+Sens!H8445)</f>
        <v>0.6</v>
      </c>
      <c r="I8464" s="7" t="n">
        <f aca="false">(Sens!H8444+Sens!I8444)/(Sens!H8445+Sens!I8445)</f>
        <v>0.6</v>
      </c>
      <c r="J8464" s="7" t="n">
        <f aca="false">(Sens!I8444+Sens!J8444)/(Sens!I8445+Sens!J8445)</f>
        <v>0.6</v>
      </c>
      <c r="K8464" s="7" t="n">
        <f aca="false">(Sens!J8444+Sens!K8444)/(Sens!J8445+Sens!K8445)</f>
        <v>0.6</v>
      </c>
    </row>
    <row r="8465" customFormat="false" ht="17.15" hidden="false" customHeight="false" outlineLevel="0" collapsed="false">
      <c r="A8465" s="0" t="s">
        <v>985</v>
      </c>
      <c r="B8465" s="0" t="s">
        <v>98</v>
      </c>
      <c r="D8465" s="6" t="n">
        <f aca="false">Sens!D8459-Sens!D8464*(Sens!D8461+Sens!D8463)-Sens!D8462</f>
        <v>8.35701406163072</v>
      </c>
      <c r="E8465" s="6" t="n">
        <f aca="false">Sens!E8459-Sens!E8464*(Sens!E8461+Sens!E8463)-Sens!E8462</f>
        <v>18.7103224860238</v>
      </c>
      <c r="F8465" s="6" t="n">
        <f aca="false">Sens!F8459-Sens!F8464*(Sens!F8461+Sens!F8463)-Sens!F8462</f>
        <v>43.2162094129388</v>
      </c>
      <c r="G8465" s="6" t="n">
        <f aca="false">Sens!G8459-Sens!G8464*(Sens!G8461+Sens!G8463)-Sens!G8462</f>
        <v>79.7204472589529</v>
      </c>
      <c r="H8465" s="6" t="n">
        <f aca="false">Sens!H8459-Sens!H8464*(Sens!H8461+Sens!H8463)-Sens!H8462</f>
        <v>122.807764331602</v>
      </c>
      <c r="I8465" s="6" t="n">
        <f aca="false">Sens!I8459-Sens!I8464*(Sens!I8461+Sens!I8463)-Sens!I8462</f>
        <v>155.390972530813</v>
      </c>
      <c r="J8465" s="6" t="n">
        <f aca="false">Sens!J8459-Sens!J8464*(Sens!J8461+Sens!J8463)-Sens!J8462</f>
        <v>178.197668553178</v>
      </c>
      <c r="K8465" s="6" t="n">
        <f aca="false">Sens!K8459-Sens!K8464*(Sens!K8461+Sens!K8463)-Sens!K8462</f>
        <v>192.726586741959</v>
      </c>
    </row>
    <row r="8466" customFormat="false" ht="17.15" hidden="false" customHeight="false" outlineLevel="0" collapsed="false">
      <c r="A8466" s="1" t="s">
        <v>986</v>
      </c>
      <c r="B8466" s="0" t="s">
        <v>98</v>
      </c>
      <c r="D8466" s="6" t="n">
        <f aca="false">(1-Sens!D8464)*(Sens!D8461+Sens!D8463)</f>
        <v>1.42281025374069</v>
      </c>
      <c r="E8466" s="6" t="n">
        <f aca="false">(1-Sens!E8464)*(Sens!E8461+Sens!E8463)</f>
        <v>3.25095598674472</v>
      </c>
      <c r="F8466" s="6" t="n">
        <f aca="false">(1-Sens!F8464)*(Sens!F8461+Sens!F8463)</f>
        <v>6.72135810147489</v>
      </c>
      <c r="G8466" s="6" t="n">
        <f aca="false">(1-Sens!G8464)*(Sens!G8461+Sens!G8463)</f>
        <v>11.3401410201637</v>
      </c>
      <c r="H8466" s="6" t="n">
        <f aca="false">(1-Sens!H8464)*(Sens!H8461+Sens!H8463)</f>
        <v>16.1920771049557</v>
      </c>
      <c r="I8466" s="6" t="n">
        <f aca="false">(1-Sens!I8464)*(Sens!I8461+Sens!I8463)</f>
        <v>20.3917774400264</v>
      </c>
      <c r="J8466" s="6" t="n">
        <f aca="false">(1-Sens!J8464)*(Sens!J8461+Sens!J8463)</f>
        <v>23.2503960207104</v>
      </c>
      <c r="K8466" s="6" t="n">
        <f aca="false">(1-Sens!K8464)*(Sens!K8461+Sens!K8463)</f>
        <v>24.8730801087085</v>
      </c>
    </row>
    <row r="8467" customFormat="false" ht="17.15" hidden="false" customHeight="false" outlineLevel="0" collapsed="false">
      <c r="A8467" s="1" t="s">
        <v>987</v>
      </c>
      <c r="B8467" s="0" t="s">
        <v>414</v>
      </c>
      <c r="C8467" s="8" t="n">
        <f aca="false">cxit_open</f>
        <v>27.5918995</v>
      </c>
      <c r="D8467" s="8" t="n">
        <f aca="false">cxit_open</f>
        <v>27.5918995</v>
      </c>
      <c r="E8467" s="8" t="n">
        <f aca="false">cxit_open</f>
        <v>27.5918995</v>
      </c>
      <c r="F8467" s="8" t="n">
        <f aca="false">((a_g3_27-nonnv*a_mai)*tk_cxit_gb300+nonnv*a_mai*nv_hold_mai*tk_cxit_vr200+(1-a_g3_27)*tk_cxit_vr200)</f>
        <v>32.4975576</v>
      </c>
      <c r="G8467" s="8" t="n">
        <f aca="false">((a_g3_28-nonnv*a_mai)*tk_cxit_gb300+nonnv*a_mai*nv_hold_mai*tk_cxit_vr200+(1-a_g3_28)*tk_cxit_vr200)</f>
        <v>34.6372088</v>
      </c>
      <c r="H8467" s="8" t="n">
        <f aca="false">((a_g3_29-nonnv*a_mai)*tk_cxit_gb300+nonnv*a_mai*nv_hold_mai*tk_cxit_vr200+(1-a_g3_29)*tk_cxit_vr200)</f>
        <v>35.7070344</v>
      </c>
      <c r="I8467" s="8" t="n">
        <f aca="false">((a_g3_29-nonnv*a_mai)*tk_cxit_gb300+nonnv*a_mai*nv_hold_mai*tk_cxit_vr200+(1-a_g3_29)*tk_cxit_vr200)</f>
        <v>35.7070344</v>
      </c>
      <c r="J8467" s="8" t="n">
        <f aca="false">((a_g3_29-nonnv*a_mai)*tk_cxit_gb300+nonnv*a_mai*nv_hold_mai*tk_cxit_vr200+(1-a_g3_29)*tk_cxit_vr200)</f>
        <v>35.7070344</v>
      </c>
      <c r="K8467" s="8" t="n">
        <f aca="false">((a_g3_29-nonnv*a_mai)*tk_cxit_gb300+nonnv*a_mai*nv_hold_mai*tk_cxit_vr200+(1-a_g3_29)*tk_cxit_vr200)</f>
        <v>35.7070344</v>
      </c>
      <c r="L8467" s="12" t="s">
        <v>988</v>
      </c>
    </row>
    <row r="8468" customFormat="false" ht="17.15" hidden="false" customHeight="false" outlineLevel="0" collapsed="false">
      <c r="A8468" s="0" t="s">
        <v>989</v>
      </c>
      <c r="B8468" s="0" t="s">
        <v>456</v>
      </c>
      <c r="F8468" s="30" t="n">
        <f aca="false">Sens!C8447*IF(Sens!F8440-Sens!C8440=life_it,1,0)+Sens!D8447*IF(Sens!F8440-Sens!D8440=life_it,1,0)+Sens!E8447*IF(Sens!F8440-Sens!E8440=life_it,1,0)</f>
        <v>0</v>
      </c>
      <c r="G8468" s="30" t="n">
        <f aca="false">Sens!C8447*IF(Sens!G8440-Sens!C8440=life_it,1,0)+Sens!D8447*IF(Sens!G8440-Sens!D8440=life_it,1,0)+Sens!E8447*IF(Sens!G8440-Sens!E8440=life_it,1,0)+Sens!F8447*IF(Sens!G8440-Sens!F8440=life_it,1,0)</f>
        <v>0</v>
      </c>
      <c r="H8468" s="30" t="n">
        <f aca="false">Sens!C8447*IF(Sens!H8440-Sens!C8440=life_it,1,0)+Sens!D8447*IF(Sens!H8440-Sens!D8440=life_it,1,0)+Sens!E8447*IF(Sens!H8440-Sens!E8440=life_it,1,0)+Sens!F8447*IF(Sens!H8440-Sens!F8440=life_it,1,0)+Sens!G8447*IF(Sens!H8440-Sens!G8440=life_it,1,0)</f>
        <v>0</v>
      </c>
      <c r="I8468" s="30" t="n">
        <f aca="false">Sens!C8447*IF(Sens!I8440-Sens!C8440=life_it,1,0)+Sens!D8447*IF(Sens!I8440-Sens!D8440=life_it,1,0)+Sens!E8447*IF(Sens!I8440-Sens!E8440=life_it,1,0)+Sens!F8447*IF(Sens!I8440-Sens!F8440=life_it,1,0)+Sens!G8447*IF(Sens!I8440-Sens!G8440=life_it,1,0)+Sens!H8447*IF(Sens!I8440-Sens!H8440=life_it,1,0)</f>
        <v>816.666666666667</v>
      </c>
      <c r="J8468" s="30" t="n">
        <f aca="false">Sens!C8447*IF(Sens!J8440-Sens!C8440=life_it,1,0)+Sens!D8447*IF(Sens!J8440-Sens!D8440=life_it,1,0)+Sens!E8447*IF(Sens!J8440-Sens!E8440=life_it,1,0)+Sens!F8447*IF(Sens!J8440-Sens!F8440=life_it,1,0)+Sens!G8447*IF(Sens!J8440-Sens!G8440=life_it,1,0)+Sens!H8447*IF(Sens!J8440-Sens!H8440=life_it,1,0)+Sens!I8447*IF(Sens!J8440-Sens!I8440=life_it,1,0)</f>
        <v>1233.33333333333</v>
      </c>
      <c r="K8468" s="30" t="n">
        <f aca="false">Sens!C8447*IF(Sens!K8440-Sens!C8440=life_it,1,0)+Sens!D8447*IF(Sens!K8440-Sens!D8440=life_it,1,0)+Sens!E8447*IF(Sens!K8440-Sens!E8440=life_it,1,0)+Sens!F8447*IF(Sens!K8440-Sens!F8440=life_it,1,0)+Sens!G8447*IF(Sens!K8440-Sens!G8440=life_it,1,0)+Sens!H8447*IF(Sens!K8440-Sens!H8440=life_it,1,0)+Sens!I8447*IF(Sens!K8440-Sens!I8440=life_it,1,0)+Sens!J8447*IF(Sens!K8440-Sens!J8440=life_it,1,0)</f>
        <v>2450</v>
      </c>
      <c r="L8468" s="1" t="s">
        <v>990</v>
      </c>
    </row>
    <row r="8469" customFormat="false" ht="17.15" hidden="false" customHeight="false" outlineLevel="0" collapsed="false">
      <c r="A8469" s="0" t="s">
        <v>991</v>
      </c>
      <c r="B8469" s="0" t="s">
        <v>98</v>
      </c>
      <c r="C8469" s="6" t="n">
        <f aca="false">Sens!C8447*Sens!C8467/1000</f>
        <v>22.5333845916667</v>
      </c>
      <c r="D8469" s="6" t="n">
        <f aca="false">Sens!D8447*Sens!D8467/1000</f>
        <v>34.0300093833333</v>
      </c>
      <c r="E8469" s="6" t="n">
        <f aca="false">Sens!E8447*Sens!E8467/1000</f>
        <v>67.600153775</v>
      </c>
      <c r="F8469" s="6" t="n">
        <f aca="false">(Sens!F8447+Sens!F8468)*Sens!F8467/1000</f>
        <v>136.51872432512</v>
      </c>
      <c r="G8469" s="6" t="n">
        <f aca="false">(Sens!G8447+Sens!G8468)*Sens!G8467/1000</f>
        <v>157.399275932048</v>
      </c>
      <c r="H8469" s="6" t="n">
        <f aca="false">(Sens!H8447+Sens!H8468)*Sens!H8467/1000</f>
        <v>162.260804347512</v>
      </c>
      <c r="I8469" s="6" t="n">
        <f aca="false">(Sens!I8447+Sens!I8468)*Sens!I8467/1000</f>
        <v>144.136569485434</v>
      </c>
      <c r="J8469" s="6" t="n">
        <f aca="false">(Sens!J8447+Sens!J8468)*Sens!J8467/1000</f>
        <v>114.029037357864</v>
      </c>
      <c r="K8469" s="6" t="n">
        <f aca="false">(Sens!K8447+Sens!K8468)*Sens!K8467/1000</f>
        <v>113.437085350975</v>
      </c>
    </row>
    <row r="8470" customFormat="false" ht="17.15" hidden="false" customHeight="false" outlineLevel="0" collapsed="false">
      <c r="A8470" s="0" t="s">
        <v>992</v>
      </c>
      <c r="B8470" s="0" t="s">
        <v>98</v>
      </c>
      <c r="C8470" s="6" t="n">
        <f aca="false">Sens!C8447*self_build*tk_cxfac/1000</f>
        <v>6.2083</v>
      </c>
      <c r="D8470" s="6" t="n">
        <f aca="false">Sens!D8447*self_build*tk_cxfac/1000</f>
        <v>9.3758</v>
      </c>
      <c r="E8470" s="6" t="n">
        <f aca="false">Sens!E8447*self_build*tk_cxfac/1000</f>
        <v>18.6249</v>
      </c>
      <c r="F8470" s="6" t="n">
        <f aca="false">Sens!F8447*self_build*tk_cxfac/1000</f>
        <v>31.935179717</v>
      </c>
      <c r="G8470" s="6" t="n">
        <f aca="false">Sens!G8447*self_build*tk_cxfac/1000</f>
        <v>34.545199717</v>
      </c>
      <c r="H8470" s="6" t="n">
        <f aca="false">Sens!H8447*self_build*tk_cxfac/1000</f>
        <v>34.545199717</v>
      </c>
      <c r="I8470" s="6" t="n">
        <f aca="false">Sens!I8447*self_build*tk_cxfac/1000</f>
        <v>24.4782641361767</v>
      </c>
      <c r="J8470" s="6" t="n">
        <f aca="false">Sens!J8447*self_build*tk_cxfac/1000</f>
        <v>14.9008938380769</v>
      </c>
      <c r="K8470" s="6" t="n">
        <f aca="false">Sens!K8447*self_build*tk_cxfac/1000</f>
        <v>5.52576771375761</v>
      </c>
    </row>
    <row r="8471" customFormat="false" ht="17.15" hidden="false" customHeight="false" outlineLevel="0" collapsed="false">
      <c r="A8471" s="0" t="s">
        <v>993</v>
      </c>
      <c r="B8471" s="0" t="s">
        <v>98</v>
      </c>
      <c r="F8471" s="15" t="n">
        <f aca="false">capex_floor27-Sens!F8469-Sens!F8470-Sens!F8567</f>
        <v>-0.158639466177256</v>
      </c>
      <c r="L8471" s="12" t="s">
        <v>994</v>
      </c>
    </row>
    <row r="8472" customFormat="false" ht="17.15" hidden="false" customHeight="false" outlineLevel="0" collapsed="false">
      <c r="A8472" s="0" t="s">
        <v>995</v>
      </c>
      <c r="B8472" s="0" t="s">
        <v>98</v>
      </c>
      <c r="F8472" s="6" t="n">
        <f aca="false">MAX(0,Sens!F8471)</f>
        <v>0</v>
      </c>
    </row>
    <row r="8473" customFormat="false" ht="17.15" hidden="false" customHeight="false" outlineLevel="0" collapsed="false">
      <c r="A8473" s="0" t="s">
        <v>996</v>
      </c>
      <c r="B8473" s="0" t="s">
        <v>98</v>
      </c>
      <c r="C8473" s="6" t="n">
        <f aca="false">Sens!C8469</f>
        <v>22.5333845916667</v>
      </c>
      <c r="D8473" s="6" t="n">
        <f aca="false">Sens!D8469</f>
        <v>34.0300093833333</v>
      </c>
      <c r="E8473" s="6" t="n">
        <f aca="false">Sens!E8469</f>
        <v>67.600153775</v>
      </c>
      <c r="F8473" s="6" t="n">
        <f aca="false">Sens!F8469</f>
        <v>136.51872432512</v>
      </c>
      <c r="G8473" s="6" t="n">
        <f aca="false">Sens!G8469</f>
        <v>157.399275932048</v>
      </c>
      <c r="H8473" s="6" t="n">
        <f aca="false">Sens!H8469</f>
        <v>162.260804347512</v>
      </c>
      <c r="I8473" s="6" t="n">
        <f aca="false">Sens!I8469</f>
        <v>144.136569485434</v>
      </c>
      <c r="J8473" s="6" t="n">
        <f aca="false">Sens!J8469</f>
        <v>114.029037357864</v>
      </c>
      <c r="K8473" s="6" t="n">
        <f aca="false">Sens!K8469</f>
        <v>113.437085350975</v>
      </c>
    </row>
    <row r="8474" customFormat="false" ht="17.15" hidden="false" customHeight="false" outlineLevel="0" collapsed="false">
      <c r="A8474" s="0" t="s">
        <v>997</v>
      </c>
      <c r="B8474" s="0" t="s">
        <v>98</v>
      </c>
      <c r="C8474" s="6" t="n">
        <f aca="false">Sens!C8473+Sens!C8470</f>
        <v>28.7416845916667</v>
      </c>
      <c r="D8474" s="6" t="n">
        <f aca="false">Sens!D8473+Sens!D8470</f>
        <v>43.4058093833333</v>
      </c>
      <c r="E8474" s="6" t="n">
        <f aca="false">Sens!E8473+Sens!E8470</f>
        <v>86.225053775</v>
      </c>
      <c r="F8474" s="6" t="n">
        <f aca="false">Sens!F8473+Sens!F8470</f>
        <v>168.45390404212</v>
      </c>
      <c r="G8474" s="6" t="n">
        <f aca="false">Sens!G8473+Sens!G8470</f>
        <v>191.944475649048</v>
      </c>
      <c r="H8474" s="6" t="n">
        <f aca="false">Sens!H8473+Sens!H8470</f>
        <v>196.806004064512</v>
      </c>
      <c r="I8474" s="6" t="n">
        <f aca="false">Sens!I8473+Sens!I8470</f>
        <v>168.61483362161</v>
      </c>
      <c r="J8474" s="6" t="n">
        <f aca="false">Sens!J8473+Sens!J8470</f>
        <v>128.92993119594</v>
      </c>
      <c r="K8474" s="6" t="n">
        <f aca="false">Sens!K8473+Sens!K8470</f>
        <v>118.962853064733</v>
      </c>
      <c r="L8474" s="12" t="s">
        <v>998</v>
      </c>
    </row>
    <row r="8475" customFormat="false" ht="17.15" hidden="false" customHeight="false" outlineLevel="0" collapsed="false">
      <c r="A8475" s="0" t="s">
        <v>999</v>
      </c>
      <c r="B8475" s="0" t="s">
        <v>98</v>
      </c>
      <c r="E8475" s="6" t="n">
        <f aca="false">(Sens!C8473*IF(2&lt;life_it,1,IF(2=life_it,0.5,0))+Sens!D8473*IF(1&lt;life_it,1,IF(1=life_it,0.5,0))+Sens!E8473*0.5)/life_it</f>
        <v>15.0605784770833</v>
      </c>
      <c r="F8475" s="6" t="n">
        <f aca="false">(Sens!C8473*IF(3&lt;life_it,1,IF(3=life_it,0.5,0))+Sens!D8473*IF(2&lt;life_it,1,IF(2=life_it,0.5,0))+Sens!E8473*IF(1&lt;life_it,1,IF(1=life_it,0.5,0))+Sens!F8473*0.5)/life_it</f>
        <v>32.0704849854266</v>
      </c>
      <c r="G8475" s="6" t="n">
        <f aca="false">(Sens!C8473*IF(4&lt;life_it,1,IF(4=life_it,0.5,0))+Sens!D8473*IF(3&lt;life_it,1,IF(3=life_it,0.5,0))+Sens!E8473*IF(2&lt;life_it,1,IF(2=life_it,0.5,0))+Sens!F8473*IF(1&lt;life_it,1,IF(1=life_it,0.5,0))+Sens!G8473*0.5)/life_it</f>
        <v>56.5636516735239</v>
      </c>
      <c r="H8475" s="6" t="n">
        <f aca="false">(Sens!C8473*IF(5&lt;life_it,1,IF(5=life_it,0.5,0))+Sens!D8473*IF(4&lt;life_it,1,IF(4=life_it,0.5,0))+Sens!E8473*IF(3&lt;life_it,1,IF(3=life_it,0.5,0))+Sens!F8473*IF(2&lt;life_it,1,IF(2=life_it,0.5,0))+Sens!G8473*IF(1&lt;life_it,1,IF(1=life_it,0.5,0))+Sens!H8473*0.5)/life_it</f>
        <v>83.2019916968207</v>
      </c>
      <c r="I8475" s="6" t="n">
        <f aca="false">(Sens!C8473*IF(6&lt;life_it,1,IF(6=life_it,0.5,0))+Sens!D8473*IF(5&lt;life_it,1,IF(5=life_it,0.5,0))+Sens!E8473*IF(4&lt;life_it,1,IF(4=life_it,0.5,0))+Sens!F8473*IF(3&lt;life_it,1,IF(3=life_it,0.5,0))+Sens!G8473*IF(2&lt;life_it,1,IF(2=life_it,0.5,0))+Sens!H8473*IF(1&lt;life_it,1,IF(1=life_it,0.5,0))+Sens!I8473*0.5)/life_it</f>
        <v>106.857324133594</v>
      </c>
      <c r="J8475" s="6" t="n">
        <f aca="false">(Sens!C8473*IF(7&lt;life_it,1,IF(7=life_it,0.5,0))+Sens!D8473*IF(6&lt;life_it,1,IF(6=life_it,0.5,0))+Sens!E8473*IF(5&lt;life_it,1,IF(5=life_it,0.5,0))+Sens!F8473*IF(4&lt;life_it,1,IF(4=life_it,0.5,0))+Sens!G8473*IF(3&lt;life_it,1,IF(3=life_it,0.5,0))+Sens!H8473*IF(2&lt;life_it,1,IF(2=life_it,0.5,0))+Sens!I8473*IF(1&lt;life_it,1,IF(1=life_it,0.5,0))+Sens!J8473*0.5)/life_it</f>
        <v>123.657508539285</v>
      </c>
      <c r="K8475" s="6" t="n">
        <f aca="false">(Sens!C8473*IF(8&lt;life_it,1,IF(8=life_it,0.5,0))+Sens!D8473*IF(7&lt;life_it,1,IF(7=life_it,0.5,0))+Sens!E8473*IF(6&lt;life_it,1,IF(6=life_it,0.5,0))+Sens!F8473*IF(5&lt;life_it,1,IF(5=life_it,0.5,0))+Sens!G8473*IF(4&lt;life_it,1,IF(4=life_it,0.5,0))+Sens!H8473*IF(3&lt;life_it,1,IF(3=life_it,0.5,0))+Sens!I8473*IF(2&lt;life_it,1,IF(2=life_it,0.5,0))+Sens!J8473*IF(1&lt;life_it,1,IF(1=life_it,0.5,0))+Sens!K8473*0.5)/life_it</f>
        <v>134.143838501827</v>
      </c>
    </row>
    <row r="8476" customFormat="false" ht="17.15" hidden="false" customHeight="false" outlineLevel="0" collapsed="false">
      <c r="A8476" s="0" t="s">
        <v>1000</v>
      </c>
      <c r="B8476" s="0" t="s">
        <v>98</v>
      </c>
      <c r="E8476" s="6" t="n">
        <f aca="false">(Sens!C8470*IF(2&lt;life_fac,1,IF(2=life_fac,0.5,0))+Sens!D8470*IF(1&lt;life_fac,1,IF(1=life_fac,0.5,0))+Sens!E8470*0.5)/life_fac</f>
        <v>1.2448275</v>
      </c>
      <c r="F8476" s="6" t="n">
        <f aca="false">(Sens!C8470*IF(3&lt;life_fac,1,IF(3=life_fac,0.5,0))+Sens!D8470*IF(2&lt;life_fac,1,IF(2=life_fac,0.5,0))+Sens!E8470*IF(1&lt;life_fac,1,IF(1=life_fac,0.5,0))+Sens!F8470*0.5)/life_fac</f>
        <v>2.508829492925</v>
      </c>
      <c r="G8476" s="6" t="n">
        <f aca="false">(Sens!C8470*IF(4&lt;life_fac,1,IF(4=life_fac,0.5,0))+Sens!D8470*IF(3&lt;life_fac,1,IF(3=life_fac,0.5,0))+Sens!E8470*IF(2&lt;life_fac,1,IF(2=life_fac,0.5,0))+Sens!F8470*IF(1&lt;life_fac,1,IF(1=life_fac,0.5,0))+Sens!G8470*0.5)/life_fac</f>
        <v>4.170838978775</v>
      </c>
      <c r="H8476" s="6" t="n">
        <f aca="false">(Sens!C8470*IF(5&lt;life_fac,1,IF(5=life_fac,0.5,0))+Sens!D8470*IF(4&lt;life_fac,1,IF(4=life_fac,0.5,0))+Sens!E8470*IF(3&lt;life_fac,1,IF(3=life_fac,0.5,0))+Sens!F8470*IF(2&lt;life_fac,1,IF(2=life_fac,0.5,0))+Sens!G8470*IF(1&lt;life_fac,1,IF(1=life_fac,0.5,0))+Sens!H8470*0.5)/life_fac</f>
        <v>5.898098964625</v>
      </c>
      <c r="I8476" s="6" t="n">
        <f aca="false">(Sens!C8470*IF(6&lt;life_fac,1,IF(6=life_fac,0.5,0))+Sens!D8470*IF(5&lt;life_fac,1,IF(5=life_fac,0.5,0))+Sens!E8470*IF(4&lt;life_fac,1,IF(4=life_fac,0.5,0))+Sens!F8470*IF(3&lt;life_fac,1,IF(3=life_fac,0.5,0))+Sens!G8470*IF(2&lt;life_fac,1,IF(2=life_fac,0.5,0))+Sens!H8470*IF(1&lt;life_fac,1,IF(1=life_fac,0.5,0))+Sens!I8470*0.5)/life_fac</f>
        <v>7.37368556095442</v>
      </c>
      <c r="J8476" s="6" t="n">
        <f aca="false">(Sens!C8470*IF(7&lt;life_fac,1,IF(7=life_fac,0.5,0))+Sens!D8470*IF(6&lt;life_fac,1,IF(6=life_fac,0.5,0))+Sens!E8470*IF(5&lt;life_fac,1,IF(5=life_fac,0.5,0))+Sens!F8470*IF(4&lt;life_fac,1,IF(4=life_fac,0.5,0))+Sens!G8470*IF(3&lt;life_fac,1,IF(3=life_fac,0.5,0))+Sens!H8470*IF(2&lt;life_fac,1,IF(2=life_fac,0.5,0))+Sens!I8470*IF(1&lt;life_fac,1,IF(1=life_fac,0.5,0))+Sens!J8470*0.5)/life_fac</f>
        <v>8.35816451031075</v>
      </c>
      <c r="K8476" s="6" t="n">
        <f aca="false">(Sens!C8470*IF(8&lt;life_fac,1,IF(8=life_fac,0.5,0))+Sens!D8470*IF(7&lt;life_fac,1,IF(7=life_fac,0.5,0))+Sens!E8470*IF(6&lt;life_fac,1,IF(6=life_fac,0.5,0))+Sens!F8470*IF(5&lt;life_fac,1,IF(5=life_fac,0.5,0))+Sens!G8470*IF(4&lt;life_fac,1,IF(4=life_fac,0.5,0))+Sens!H8470*IF(3&lt;life_fac,1,IF(3=life_fac,0.5,0))+Sens!I8470*IF(2&lt;life_fac,1,IF(2=life_fac,0.5,0))+Sens!J8470*IF(1&lt;life_fac,1,IF(1=life_fac,0.5,0))+Sens!K8470*0.5)/life_fac</f>
        <v>8.86883104910662</v>
      </c>
    </row>
    <row r="8477" customFormat="false" ht="17.15" hidden="false" customHeight="false" outlineLevel="0" collapsed="false">
      <c r="A8477" s="0" t="s">
        <v>1001</v>
      </c>
      <c r="B8477" s="0" t="s">
        <v>98</v>
      </c>
      <c r="E8477" s="6" t="n">
        <f aca="false">Sens!E8475+Sens!E8476</f>
        <v>16.3054059770833</v>
      </c>
      <c r="F8477" s="6" t="n">
        <f aca="false">Sens!F8475+Sens!F8476</f>
        <v>34.5793144783516</v>
      </c>
      <c r="G8477" s="6" t="n">
        <f aca="false">Sens!G8475+Sens!G8476</f>
        <v>60.7344906522989</v>
      </c>
      <c r="H8477" s="6" t="n">
        <f aca="false">Sens!H8475+Sens!H8476</f>
        <v>89.1000906614457</v>
      </c>
      <c r="I8477" s="6" t="n">
        <f aca="false">Sens!I8475+Sens!I8476</f>
        <v>114.231009694548</v>
      </c>
      <c r="J8477" s="6" t="n">
        <f aca="false">Sens!J8475+Sens!J8476</f>
        <v>132.015673049596</v>
      </c>
      <c r="K8477" s="6" t="n">
        <f aca="false">Sens!K8475+Sens!K8476</f>
        <v>143.012669550934</v>
      </c>
    </row>
    <row r="8478" customFormat="false" ht="17.15" hidden="false" customHeight="false" outlineLevel="0" collapsed="false">
      <c r="A8478" s="0" t="s">
        <v>1002</v>
      </c>
      <c r="B8478" s="0" t="s">
        <v>98</v>
      </c>
      <c r="E8478" s="6" t="n">
        <f aca="false">Sens!E8465-Sens!E8464*Sens!E8477</f>
        <v>8.92707889977379</v>
      </c>
      <c r="F8478" s="6" t="n">
        <f aca="false">Sens!F8465-Sens!F8464*Sens!F8477</f>
        <v>22.4686207259278</v>
      </c>
      <c r="G8478" s="6" t="n">
        <f aca="false">Sens!G8465-Sens!G8464*Sens!G8477</f>
        <v>43.2797528675735</v>
      </c>
      <c r="H8478" s="6" t="n">
        <f aca="false">Sens!H8465-Sens!H8464*Sens!H8477</f>
        <v>69.3477099347341</v>
      </c>
      <c r="I8478" s="6" t="n">
        <f aca="false">Sens!I8465-Sens!I8464*Sens!I8477</f>
        <v>86.8523667140836</v>
      </c>
      <c r="J8478" s="6" t="n">
        <f aca="false">Sens!J8465-Sens!J8464*Sens!J8477</f>
        <v>98.9882647234202</v>
      </c>
      <c r="K8478" s="6" t="n">
        <f aca="false">Sens!K8465-Sens!K8464*Sens!K8477</f>
        <v>106.918985011399</v>
      </c>
    </row>
    <row r="8479" customFormat="false" ht="17.15" hidden="false" customHeight="false" outlineLevel="0" collapsed="false">
      <c r="A8479" s="3" t="s">
        <v>1691</v>
      </c>
    </row>
    <row r="8480" customFormat="false" ht="15" hidden="false" customHeight="false" outlineLevel="0" collapsed="false">
      <c r="A8480" s="4" t="s">
        <v>43</v>
      </c>
      <c r="B8480" s="4" t="s">
        <v>65</v>
      </c>
      <c r="C8480" s="23" t="s">
        <v>938</v>
      </c>
      <c r="D8480" s="23" t="s">
        <v>939</v>
      </c>
      <c r="E8480" s="23" t="s">
        <v>940</v>
      </c>
      <c r="F8480" s="23" t="s">
        <v>941</v>
      </c>
      <c r="G8480" s="23" t="s">
        <v>942</v>
      </c>
      <c r="H8480" s="23" t="s">
        <v>943</v>
      </c>
      <c r="I8480" s="23" t="s">
        <v>944</v>
      </c>
      <c r="J8480" s="23" t="s">
        <v>945</v>
      </c>
      <c r="K8480" s="23" t="s">
        <v>946</v>
      </c>
      <c r="L8480" s="4" t="s">
        <v>47</v>
      </c>
    </row>
    <row r="8481" customFormat="false" ht="17.15" hidden="false" customHeight="false" outlineLevel="0" collapsed="false">
      <c r="A8481" s="0" t="s">
        <v>1021</v>
      </c>
      <c r="B8481" s="0" t="s">
        <v>98</v>
      </c>
      <c r="D8481" s="6" t="n">
        <f aca="false">Sens!D8459</f>
        <v>12.9359794422418</v>
      </c>
      <c r="E8481" s="6" t="n">
        <f aca="false">Sens!E8459</f>
        <v>27.8095064661409</v>
      </c>
      <c r="F8481" s="6" t="n">
        <f aca="false">Sens!F8459</f>
        <v>59.1034165651511</v>
      </c>
      <c r="G8481" s="6" t="n">
        <f aca="false">Sens!G8459</f>
        <v>103.451498789198</v>
      </c>
      <c r="H8481" s="6" t="n">
        <f aca="false">Sens!H8459</f>
        <v>153.816719989035</v>
      </c>
      <c r="I8481" s="6" t="n">
        <f aca="false">Sens!I8459</f>
        <v>192.699478690852</v>
      </c>
      <c r="J8481" s="6" t="n">
        <f aca="false">Sens!J8459</f>
        <v>219.794102584244</v>
      </c>
      <c r="K8481" s="6" t="n">
        <f aca="false">Sens!K8459</f>
        <v>236.757046905022</v>
      </c>
    </row>
    <row r="8482" customFormat="false" ht="17.15" hidden="false" customHeight="false" outlineLevel="0" collapsed="false">
      <c r="A8482" s="0" t="s">
        <v>1022</v>
      </c>
      <c r="B8482" s="0" t="s">
        <v>98</v>
      </c>
      <c r="D8482" s="6" t="n">
        <f aca="false">Q!L6-Sens!D8481</f>
        <v>59.6740205577583</v>
      </c>
      <c r="E8482" s="6" t="n">
        <f aca="false">Q!M6-Sens!E8481</f>
        <v>74.1284935338591</v>
      </c>
      <c r="F8482" s="6" t="n">
        <f aca="false">Q!$I$6+(Sens!F8481+Sens!E8482*(1+Sens!F8483))*(1-Q!$E$6/Q!M6)-Sens!F8481</f>
        <v>90.4866018070994</v>
      </c>
      <c r="G8482" s="6" t="n">
        <f aca="false">Sens!F8482*(1+Sens!G8483)</f>
        <v>107.511588557154</v>
      </c>
      <c r="H8482" s="6" t="n">
        <f aca="false">Sens!G8482*(1+Sens!H8483)</f>
        <v>124.832989325489</v>
      </c>
      <c r="I8482" s="6" t="n">
        <f aca="false">Sens!H8482*(1+Sens!I8483)</f>
        <v>141.56992589148</v>
      </c>
      <c r="J8482" s="6" t="n">
        <f aca="false">Sens!I8482*(1+Sens!J8483)</f>
        <v>156.723190479428</v>
      </c>
      <c r="K8482" s="6" t="n">
        <f aca="false">Sens!J8482*(1+Sens!K8483)</f>
        <v>169.261045717783</v>
      </c>
      <c r="L8482" s="12" t="s">
        <v>1023</v>
      </c>
    </row>
    <row r="8483" customFormat="false" ht="15" hidden="false" customHeight="false" outlineLevel="0" collapsed="false">
      <c r="A8483" s="1" t="s">
        <v>1024</v>
      </c>
      <c r="B8483" s="0" t="s">
        <v>168</v>
      </c>
      <c r="E8483" s="7" t="n">
        <f aca="false">Sens!E8482/Sens!D8482-1</f>
        <v>0.242223883039864</v>
      </c>
      <c r="F8483" s="7" t="n">
        <f aca="false">Sens!$E$8483+(glt_azo-Sens!$E$8483)*MIN(1,(Sens!F8440-base_fy)/n_conv)</f>
        <v>0.215186569199887</v>
      </c>
      <c r="G8483" s="7" t="n">
        <f aca="false">Sens!$E$8483+(glt_azo-Sens!$E$8483)*MIN(1,(Sens!G8440-base_fy)/n_conv)</f>
        <v>0.18814925535991</v>
      </c>
      <c r="H8483" s="7" t="n">
        <f aca="false">Sens!$E$8483+(glt_azo-Sens!$E$8483)*MIN(1,(Sens!H8440-base_fy)/n_conv)</f>
        <v>0.161111941519932</v>
      </c>
      <c r="I8483" s="7" t="n">
        <f aca="false">Sens!$E$8483+(glt_azo-Sens!$E$8483)*MIN(1,(Sens!I8440-base_fy)/n_conv)</f>
        <v>0.134074627679955</v>
      </c>
      <c r="J8483" s="7" t="n">
        <f aca="false">Sens!$E$8483+(glt_azo-Sens!$E$8483)*MIN(1,(Sens!J8440-base_fy)/n_conv)</f>
        <v>0.107037313839977</v>
      </c>
      <c r="K8483" s="7" t="n">
        <f aca="false">Sens!$E$8483+(glt_azo-Sens!$E$8483)*MIN(1,(Sens!K8440-base_fy)/n_conv)</f>
        <v>0.08</v>
      </c>
    </row>
    <row r="8484" customFormat="false" ht="15" hidden="false" customHeight="false" outlineLevel="0" collapsed="false">
      <c r="A8484" s="0" t="s">
        <v>1025</v>
      </c>
      <c r="B8484" s="0" t="s">
        <v>98</v>
      </c>
      <c r="D8484" s="6" t="n">
        <f aca="false">Sens!D8481+Sens!D8482</f>
        <v>72.61</v>
      </c>
      <c r="E8484" s="6" t="n">
        <f aca="false">Sens!E8481+Sens!E8482</f>
        <v>101.938</v>
      </c>
      <c r="F8484" s="6" t="n">
        <f aca="false">Sens!F8481+Sens!F8482</f>
        <v>149.59001837225</v>
      </c>
      <c r="G8484" s="6" t="n">
        <f aca="false">Sens!G8481+Sens!G8482</f>
        <v>210.963087346352</v>
      </c>
      <c r="H8484" s="6" t="n">
        <f aca="false">Sens!H8481+Sens!H8482</f>
        <v>278.649709314524</v>
      </c>
      <c r="I8484" s="6" t="n">
        <f aca="false">Sens!I8481+Sens!I8482</f>
        <v>334.269404582332</v>
      </c>
      <c r="J8484" s="6" t="n">
        <f aca="false">Sens!J8481+Sens!J8482</f>
        <v>376.517293063672</v>
      </c>
      <c r="K8484" s="6" t="n">
        <f aca="false">Sens!K8481+Sens!K8482</f>
        <v>406.018092622804</v>
      </c>
    </row>
    <row r="8485" customFormat="false" ht="17.15" hidden="false" customHeight="false" outlineLevel="0" collapsed="false">
      <c r="A8485" s="0" t="s">
        <v>1026</v>
      </c>
      <c r="B8485" s="1" t="s">
        <v>610</v>
      </c>
      <c r="C8485" s="30" t="n">
        <f aca="false">cop_s24</f>
        <v>1</v>
      </c>
      <c r="D8485" s="30" t="n">
        <f aca="false">cop_s25</f>
        <v>5</v>
      </c>
      <c r="E8485" s="30" t="n">
        <f aca="false">cop_s26</f>
        <v>30</v>
      </c>
      <c r="F8485" s="30" t="n">
        <f aca="false">Sens!E8485+cop_add_A</f>
        <v>60</v>
      </c>
      <c r="G8485" s="30" t="n">
        <f aca="false">Sens!F8485+cop_add_A</f>
        <v>90</v>
      </c>
      <c r="H8485" s="30" t="n">
        <f aca="false">Sens!G8485+cop_add_A</f>
        <v>120</v>
      </c>
      <c r="I8485" s="30" t="n">
        <f aca="false">Sens!H8485+cop_add_A*cop_tail</f>
        <v>135</v>
      </c>
      <c r="J8485" s="30" t="n">
        <f aca="false">Sens!I8485+cop_add_A*cop_tail</f>
        <v>150</v>
      </c>
      <c r="K8485" s="30" t="n">
        <f aca="false">Sens!J8485+cop_add_A*cop_tail</f>
        <v>165</v>
      </c>
      <c r="L8485" s="12" t="s">
        <v>1027</v>
      </c>
    </row>
    <row r="8486" customFormat="false" ht="17.15" hidden="false" customHeight="false" outlineLevel="0" collapsed="false">
      <c r="A8486" s="0" t="s">
        <v>1028</v>
      </c>
      <c r="B8486" s="0" t="s">
        <v>98</v>
      </c>
      <c r="D8486" s="6" t="n">
        <f aca="false">(Sens!C8485+Sens!D8485)/2*cop_px*12/1000</f>
        <v>0.9</v>
      </c>
      <c r="E8486" s="6" t="n">
        <f aca="false">(Sens!D8485+Sens!E8485)/2*cop_px*12/1000</f>
        <v>5.25</v>
      </c>
      <c r="F8486" s="6" t="n">
        <f aca="false">(Sens!E8485+Sens!F8485)/2*cop_px_hi*12/1000</f>
        <v>16.2</v>
      </c>
      <c r="G8486" s="6" t="n">
        <f aca="false">(Sens!F8485+Sens!G8485)/2*cop_px_hi*12/1000</f>
        <v>27</v>
      </c>
      <c r="H8486" s="6" t="n">
        <f aca="false">(Sens!G8485+Sens!H8485)/2*cop_px_hi*12/1000</f>
        <v>37.8</v>
      </c>
      <c r="I8486" s="6" t="n">
        <f aca="false">(Sens!H8485+Sens!I8485)/2*cop_px_hi*12/1000</f>
        <v>45.9</v>
      </c>
      <c r="J8486" s="6" t="n">
        <f aca="false">(Sens!I8485+Sens!J8485)/2*cop_px_hi*12/1000</f>
        <v>51.3</v>
      </c>
      <c r="K8486" s="6" t="n">
        <f aca="false">(Sens!J8485+Sens!K8485)/2*cop_px_hi*12/1000</f>
        <v>56.7</v>
      </c>
      <c r="L8486" s="1" t="s">
        <v>1029</v>
      </c>
    </row>
    <row r="8487" customFormat="false" ht="17.15" hidden="false" customHeight="false" outlineLevel="0" collapsed="false">
      <c r="A8487" s="0" t="s">
        <v>1030</v>
      </c>
      <c r="B8487" s="0" t="s">
        <v>98</v>
      </c>
      <c r="D8487" s="6" t="n">
        <f aca="false">Q!L7-Sens!D8486</f>
        <v>83.705</v>
      </c>
      <c r="E8487" s="6" t="n">
        <f aca="false">Q!M7-Sens!E8486</f>
        <v>95.049</v>
      </c>
      <c r="F8487" s="6" t="n">
        <f aca="false">Q!$I$7+(Sens!E8487*(1+Sens!F8488)+Sens!F8486)*(1-Q!$E$7/Q!M7)-Sens!F8486</f>
        <v>105.591822320066</v>
      </c>
      <c r="G8487" s="6" t="n">
        <f aca="false">Sens!F8487*(1+Sens!G8488)</f>
        <v>117.595751630974</v>
      </c>
      <c r="H8487" s="6" t="n">
        <f aca="false">Sens!G8487*(1+Sens!H8488)</f>
        <v>129.680100677153</v>
      </c>
      <c r="I8487" s="6" t="n">
        <f aca="false">Sens!H8487*(1+Sens!I8488)</f>
        <v>141.590075222229</v>
      </c>
      <c r="J8487" s="6" t="n">
        <f aca="false">Sens!I8487*(1+Sens!J8488)</f>
        <v>153.047628234968</v>
      </c>
      <c r="K8487" s="6" t="n">
        <f aca="false">Sens!J8487*(1+Sens!K8488)</f>
        <v>163.760962211416</v>
      </c>
      <c r="L8487" s="12" t="s">
        <v>1031</v>
      </c>
    </row>
    <row r="8488" customFormat="false" ht="15" hidden="false" customHeight="false" outlineLevel="0" collapsed="false">
      <c r="A8488" s="1" t="s">
        <v>1024</v>
      </c>
      <c r="B8488" s="0" t="s">
        <v>168</v>
      </c>
      <c r="E8488" s="7" t="n">
        <f aca="false">Sens!E8487/Sens!D8487-1</f>
        <v>0.135523564900544</v>
      </c>
      <c r="F8488" s="7" t="n">
        <f aca="false">Sens!$E$8488+(glt_m365b-Sens!$E$8488)*MIN(1,(Sens!F8440-base_fy)/n_conv)</f>
        <v>0.124602970750453</v>
      </c>
      <c r="G8488" s="7" t="n">
        <f aca="false">Sens!$E$8488+(glt_m365b-Sens!$E$8488)*MIN(1,(Sens!G8440-base_fy)/n_conv)</f>
        <v>0.113682376600363</v>
      </c>
      <c r="H8488" s="7" t="n">
        <f aca="false">Sens!$E$8488+(glt_m365b-Sens!$E$8488)*MIN(1,(Sens!H8440-base_fy)/n_conv)</f>
        <v>0.102761782450272</v>
      </c>
      <c r="I8488" s="7" t="n">
        <f aca="false">Sens!$E$8488+(glt_m365b-Sens!$E$8488)*MIN(1,(Sens!I8440-base_fy)/n_conv)</f>
        <v>0.0918411883001813</v>
      </c>
      <c r="J8488" s="7" t="n">
        <f aca="false">Sens!$E$8488+(glt_m365b-Sens!$E$8488)*MIN(1,(Sens!J8440-base_fy)/n_conv)</f>
        <v>0.0809205941500906</v>
      </c>
      <c r="K8488" s="7" t="n">
        <f aca="false">Sens!$E$8488+(glt_m365b-Sens!$E$8488)*MIN(1,(Sens!K8440-base_fy)/n_conv)</f>
        <v>0.07</v>
      </c>
    </row>
    <row r="8489" customFormat="false" ht="15" hidden="false" customHeight="false" outlineLevel="0" collapsed="false">
      <c r="A8489" s="0" t="s">
        <v>1032</v>
      </c>
      <c r="B8489" s="0" t="s">
        <v>98</v>
      </c>
      <c r="D8489" s="6" t="n">
        <f aca="false">Sens!D8487+Sens!D8486</f>
        <v>84.605</v>
      </c>
      <c r="E8489" s="6" t="n">
        <f aca="false">Sens!E8487+Sens!E8486</f>
        <v>100.299</v>
      </c>
      <c r="F8489" s="6" t="n">
        <f aca="false">Sens!F8487+Sens!F8486</f>
        <v>121.791822320066</v>
      </c>
      <c r="G8489" s="6" t="n">
        <f aca="false">Sens!G8487+Sens!G8486</f>
        <v>144.595751630974</v>
      </c>
      <c r="H8489" s="6" t="n">
        <f aca="false">Sens!H8487+Sens!H8486</f>
        <v>167.480100677153</v>
      </c>
      <c r="I8489" s="6" t="n">
        <f aca="false">Sens!I8487+Sens!I8486</f>
        <v>187.490075222229</v>
      </c>
      <c r="J8489" s="6" t="n">
        <f aca="false">Sens!J8487+Sens!J8486</f>
        <v>204.347628234968</v>
      </c>
      <c r="K8489" s="6" t="n">
        <f aca="false">Sens!K8487+Sens!K8486</f>
        <v>220.460962211416</v>
      </c>
    </row>
    <row r="8490" customFormat="false" ht="17.15" hidden="false" customHeight="false" outlineLevel="0" collapsed="false">
      <c r="A8490" s="0" t="s">
        <v>1033</v>
      </c>
      <c r="B8490" s="0" t="s">
        <v>98</v>
      </c>
      <c r="D8490" s="6" t="n">
        <f aca="false">Q!L8</f>
        <v>35.391</v>
      </c>
      <c r="E8490" s="6" t="n">
        <f aca="false">Q!M8</f>
        <v>37.285</v>
      </c>
      <c r="F8490" s="6" t="n">
        <f aca="false">Q!$I$8+(Q!M8-Q!$E$8)*(1+Sens!F8491)</f>
        <v>38.3851437782675</v>
      </c>
      <c r="G8490" s="6" t="n">
        <f aca="false">Sens!F8490*(1+Sens!G8491)</f>
        <v>40.0105353288615</v>
      </c>
      <c r="H8490" s="6" t="n">
        <f aca="false">Sens!G8490*(1+Sens!H8491)</f>
        <v>41.4812512033683</v>
      </c>
      <c r="I8490" s="6" t="n">
        <f aca="false">Sens!H8490*(1+Sens!I8491)</f>
        <v>42.7743107216329</v>
      </c>
      <c r="J8490" s="6" t="n">
        <f aca="false">Sens!I8490*(1+Sens!J8491)</f>
        <v>43.8687373064601</v>
      </c>
      <c r="K8490" s="6" t="n">
        <f aca="false">Sens!J8490*(1+Sens!K8491)</f>
        <v>44.7461120525893</v>
      </c>
      <c r="L8490" s="12" t="s">
        <v>1034</v>
      </c>
    </row>
    <row r="8491" customFormat="false" ht="15" hidden="false" customHeight="false" outlineLevel="0" collapsed="false">
      <c r="A8491" s="1" t="s">
        <v>1024</v>
      </c>
      <c r="B8491" s="0" t="s">
        <v>168</v>
      </c>
      <c r="E8491" s="7" t="n">
        <f aca="false">Sens!E8490/Sens!D8490-1</f>
        <v>0.0535164307309768</v>
      </c>
      <c r="F8491" s="7" t="n">
        <f aca="false">Sens!$E$8491+(glt_lic-Sens!$E$8491)*MIN(1,(Sens!F8440-base_fy)/n_conv)</f>
        <v>0.0479303589424807</v>
      </c>
      <c r="G8491" s="7" t="n">
        <f aca="false">Sens!$E$8491+(glt_lic-Sens!$E$8491)*MIN(1,(Sens!G8440-base_fy)/n_conv)</f>
        <v>0.0423442871539845</v>
      </c>
      <c r="H8491" s="7" t="n">
        <f aca="false">Sens!$E$8491+(glt_lic-Sens!$E$8491)*MIN(1,(Sens!H8440-base_fy)/n_conv)</f>
        <v>0.0367582153654884</v>
      </c>
      <c r="I8491" s="7" t="n">
        <f aca="false">Sens!$E$8491+(glt_lic-Sens!$E$8491)*MIN(1,(Sens!I8440-base_fy)/n_conv)</f>
        <v>0.0311721435769923</v>
      </c>
      <c r="J8491" s="7" t="n">
        <f aca="false">Sens!$E$8491+(glt_lic-Sens!$E$8491)*MIN(1,(Sens!J8440-base_fy)/n_conv)</f>
        <v>0.0255860717884961</v>
      </c>
      <c r="K8491" s="7" t="n">
        <f aca="false">Sens!$E$8491+(glt_lic-Sens!$E$8491)*MIN(1,(Sens!K8440-base_fy)/n_conv)</f>
        <v>0.02</v>
      </c>
    </row>
    <row r="8492" customFormat="false" ht="17.15" hidden="false" customHeight="false" outlineLevel="0" collapsed="false">
      <c r="A8492" s="0" t="s">
        <v>1035</v>
      </c>
      <c r="B8492" s="0" t="s">
        <v>98</v>
      </c>
      <c r="D8492" s="6" t="n">
        <f aca="false">Q!L9</f>
        <v>18.417</v>
      </c>
      <c r="E8492" s="6" t="n">
        <f aca="false">Q!M9</f>
        <v>20.345</v>
      </c>
      <c r="F8492" s="6" t="n">
        <f aca="false">Q!$I$9+(Q!M9-Q!$E$9)*(1+Sens!F8493)</f>
        <v>22.3161797133988</v>
      </c>
      <c r="G8492" s="6" t="n">
        <f aca="false">Sens!F8492*(1+Sens!G8493)</f>
        <v>24.3943499673233</v>
      </c>
      <c r="H8492" s="6" t="n">
        <f aca="false">Sens!G8492*(1+Sens!H8493)</f>
        <v>26.5250243109019</v>
      </c>
      <c r="I8492" s="6" t="n">
        <f aca="false">Sens!H8492*(1+Sens!I8493)</f>
        <v>28.6884573538181</v>
      </c>
      <c r="J8492" s="6" t="n">
        <f aca="false">Sens!I8492*(1+Sens!J8493)</f>
        <v>30.8624968052127</v>
      </c>
      <c r="K8492" s="6" t="n">
        <f aca="false">Sens!J8492*(1+Sens!K8493)</f>
        <v>33.0228715815776</v>
      </c>
      <c r="L8492" s="12" t="s">
        <v>1034</v>
      </c>
    </row>
    <row r="8493" customFormat="false" ht="15" hidden="false" customHeight="false" outlineLevel="0" collapsed="false">
      <c r="A8493" s="1" t="s">
        <v>1024</v>
      </c>
      <c r="B8493" s="0" t="s">
        <v>168</v>
      </c>
      <c r="E8493" s="7" t="n">
        <f aca="false">Sens!E8492/Sens!D8492-1</f>
        <v>0.104685888038225</v>
      </c>
      <c r="F8493" s="7" t="n">
        <f aca="false">Sens!$E$8493+(glt_ind-Sens!$E$8493)*MIN(1,(Sens!F8440-base_fy)/n_conv)</f>
        <v>0.0989049066985211</v>
      </c>
      <c r="G8493" s="7" t="n">
        <f aca="false">Sens!$E$8493+(glt_ind-Sens!$E$8493)*MIN(1,(Sens!G8440-base_fy)/n_conv)</f>
        <v>0.0931239253588169</v>
      </c>
      <c r="H8493" s="7" t="n">
        <f aca="false">Sens!$E$8493+(glt_ind-Sens!$E$8493)*MIN(1,(Sens!H8440-base_fy)/n_conv)</f>
        <v>0.0873429440191127</v>
      </c>
      <c r="I8493" s="7" t="n">
        <f aca="false">Sens!$E$8493+(glt_ind-Sens!$E$8493)*MIN(1,(Sens!I8440-base_fy)/n_conv)</f>
        <v>0.0815619626794085</v>
      </c>
      <c r="J8493" s="7" t="n">
        <f aca="false">Sens!$E$8493+(glt_ind-Sens!$E$8493)*MIN(1,(Sens!J8440-base_fy)/n_conv)</f>
        <v>0.0757809813397042</v>
      </c>
      <c r="K8493" s="7" t="n">
        <f aca="false">Sens!$E$8493+(glt_ind-Sens!$E$8493)*MIN(1,(Sens!K8440-base_fy)/n_conv)</f>
        <v>0.07</v>
      </c>
    </row>
    <row r="8494" customFormat="false" ht="17.15" hidden="false" customHeight="false" outlineLevel="0" collapsed="false">
      <c r="A8494" s="0" t="s">
        <v>1036</v>
      </c>
      <c r="B8494" s="0" t="s">
        <v>98</v>
      </c>
      <c r="D8494" s="6" t="n">
        <f aca="false">Q!L10</f>
        <v>7.76</v>
      </c>
      <c r="E8494" s="6" t="n">
        <f aca="false">Q!M10</f>
        <v>8.26</v>
      </c>
      <c r="F8494" s="6" t="n">
        <f aca="false">Q!$I$10+(Q!M10-Q!$E$10)*(1+Sens!F8495)</f>
        <v>8.75372082474227</v>
      </c>
      <c r="G8494" s="6" t="n">
        <f aca="false">Sens!F8494*(1+Sens!G8495)</f>
        <v>9.33399324642364</v>
      </c>
      <c r="H8494" s="6" t="n">
        <f aca="false">Sens!G8494*(1+Sens!H8495)</f>
        <v>9.96139155535851</v>
      </c>
      <c r="I8494" s="6" t="n">
        <f aca="false">Sens!H8494*(1+Sens!I8495)</f>
        <v>10.6402039077391</v>
      </c>
      <c r="J8494" s="6" t="n">
        <f aca="false">Sens!I8494*(1+Sens!J8495)</f>
        <v>11.3751458271397</v>
      </c>
      <c r="K8494" s="6" t="n">
        <f aca="false">Sens!J8494*(1+Sens!K8495)</f>
        <v>12.1714060350394</v>
      </c>
      <c r="L8494" s="12" t="s">
        <v>1034</v>
      </c>
    </row>
    <row r="8495" customFormat="false" ht="15" hidden="false" customHeight="false" outlineLevel="0" collapsed="false">
      <c r="A8495" s="1" t="s">
        <v>1024</v>
      </c>
      <c r="B8495" s="0" t="s">
        <v>168</v>
      </c>
      <c r="E8495" s="7" t="n">
        <f aca="false">Sens!E8494/Sens!D8494-1</f>
        <v>0.0644329896907216</v>
      </c>
      <c r="F8495" s="7" t="n">
        <f aca="false">Sens!$E$8495+(glt_fro-Sens!$E$8495)*MIN(1,(Sens!F8440-base_fy)/n_conv)</f>
        <v>0.065360824742268</v>
      </c>
      <c r="G8495" s="7" t="n">
        <f aca="false">Sens!$E$8495+(glt_fro-Sens!$E$8495)*MIN(1,(Sens!G8440-base_fy)/n_conv)</f>
        <v>0.0662886597938144</v>
      </c>
      <c r="H8495" s="7" t="n">
        <f aca="false">Sens!$E$8495+(glt_fro-Sens!$E$8495)*MIN(1,(Sens!H8440-base_fy)/n_conv)</f>
        <v>0.0672164948453608</v>
      </c>
      <c r="I8495" s="7" t="n">
        <f aca="false">Sens!$E$8495+(glt_fro-Sens!$E$8495)*MIN(1,(Sens!I8440-base_fy)/n_conv)</f>
        <v>0.0681443298969072</v>
      </c>
      <c r="J8495" s="7" t="n">
        <f aca="false">Sens!$E$8495+(glt_fro-Sens!$E$8495)*MIN(1,(Sens!J8440-base_fy)/n_conv)</f>
        <v>0.0690721649484536</v>
      </c>
      <c r="K8495" s="7" t="n">
        <f aca="false">Sens!$E$8495+(glt_fro-Sens!$E$8495)*MIN(1,(Sens!K8440-base_fy)/n_conv)</f>
        <v>0.07</v>
      </c>
    </row>
    <row r="8496" customFormat="false" ht="15" hidden="false" customHeight="false" outlineLevel="0" collapsed="false">
      <c r="A8496" s="0" t="s">
        <v>852</v>
      </c>
      <c r="B8496" s="0" t="s">
        <v>98</v>
      </c>
      <c r="D8496" s="6" t="n">
        <f aca="false">Sens!D8484+Sens!D8489+Sens!D8490+Sens!D8492+Sens!D8494</f>
        <v>218.783</v>
      </c>
      <c r="E8496" s="6" t="n">
        <f aca="false">Sens!E8484+Sens!E8489+Sens!E8490+Sens!E8492+Sens!E8494</f>
        <v>268.127</v>
      </c>
      <c r="F8496" s="6" t="n">
        <f aca="false">Sens!F8484+Sens!F8489+Sens!F8490+Sens!F8492+Sens!F8494</f>
        <v>340.836885008725</v>
      </c>
      <c r="G8496" s="6" t="n">
        <f aca="false">Sens!G8484+Sens!G8489+Sens!G8490+Sens!G8492+Sens!G8494</f>
        <v>429.297717519935</v>
      </c>
      <c r="H8496" s="6" t="n">
        <f aca="false">Sens!H8484+Sens!H8489+Sens!H8490+Sens!H8492+Sens!H8494</f>
        <v>524.097477061305</v>
      </c>
      <c r="I8496" s="6" t="n">
        <f aca="false">Sens!I8484+Sens!I8489+Sens!I8490+Sens!I8492+Sens!I8494</f>
        <v>603.862451787752</v>
      </c>
      <c r="J8496" s="6" t="n">
        <f aca="false">Sens!J8484+Sens!J8489+Sens!J8490+Sens!J8492+Sens!J8494</f>
        <v>666.971301237453</v>
      </c>
      <c r="K8496" s="6" t="n">
        <f aca="false">Sens!K8484+Sens!K8489+Sens!K8490+Sens!K8492+Sens!K8494</f>
        <v>716.419444503427</v>
      </c>
    </row>
    <row r="8497" customFormat="false" ht="17.15" hidden="false" customHeight="false" outlineLevel="0" collapsed="false">
      <c r="A8497" s="0" t="s">
        <v>1037</v>
      </c>
      <c r="B8497" s="0" t="s">
        <v>98</v>
      </c>
      <c r="D8497" s="6" t="n">
        <f aca="false">Q!L13</f>
        <v>22.171</v>
      </c>
      <c r="E8497" s="6" t="n">
        <f aca="false">Q!M13</f>
        <v>24.835</v>
      </c>
      <c r="F8497" s="6" t="n">
        <f aca="false">Q!$I$13+(Q!M13-Q!$E$13)*(1+Sens!F8498)</f>
        <v>27.5591895660247</v>
      </c>
      <c r="G8497" s="6" t="n">
        <f aca="false">Sens!F8497*(1+Sens!G8498)</f>
        <v>30.4098563144583</v>
      </c>
      <c r="H8497" s="6" t="n">
        <f aca="false">Sens!G8497*(1+Sens!H8498)</f>
        <v>33.3011792571777</v>
      </c>
      <c r="I8497" s="6" t="n">
        <f aca="false">Sens!H8497*(1+Sens!I8498)</f>
        <v>36.189023797112</v>
      </c>
      <c r="J8497" s="6" t="n">
        <f aca="false">Sens!I8497*(1+Sens!J8498)</f>
        <v>39.0247773769199</v>
      </c>
      <c r="K8497" s="6" t="n">
        <f aca="false">Sens!J8497*(1+Sens!K8498)</f>
        <v>41.7565117933043</v>
      </c>
      <c r="L8497" s="12" t="s">
        <v>1034</v>
      </c>
    </row>
    <row r="8498" customFormat="false" ht="15" hidden="false" customHeight="false" outlineLevel="0" collapsed="false">
      <c r="A8498" s="1" t="s">
        <v>1024</v>
      </c>
      <c r="B8498" s="0" t="s">
        <v>168</v>
      </c>
      <c r="E8498" s="7" t="n">
        <f aca="false">Sens!E8497/Sens!D8497-1</f>
        <v>0.120156961796942</v>
      </c>
      <c r="F8498" s="7" t="n">
        <f aca="false">Sens!$E$8498+(glt_srch-Sens!$E$8498)*MIN(1,(Sens!F8440-base_fy)/n_conv)</f>
        <v>0.111797468164118</v>
      </c>
      <c r="G8498" s="7" t="n">
        <f aca="false">Sens!$E$8498+(glt_srch-Sens!$E$8498)*MIN(1,(Sens!G8440-base_fy)/n_conv)</f>
        <v>0.103437974531295</v>
      </c>
      <c r="H8498" s="7" t="n">
        <f aca="false">Sens!$E$8498+(glt_srch-Sens!$E$8498)*MIN(1,(Sens!H8440-base_fy)/n_conv)</f>
        <v>0.095078480898471</v>
      </c>
      <c r="I8498" s="7" t="n">
        <f aca="false">Sens!$E$8498+(glt_srch-Sens!$E$8498)*MIN(1,(Sens!I8440-base_fy)/n_conv)</f>
        <v>0.0867189872656474</v>
      </c>
      <c r="J8498" s="7" t="n">
        <f aca="false">Sens!$E$8498+(glt_srch-Sens!$E$8498)*MIN(1,(Sens!J8440-base_fy)/n_conv)</f>
        <v>0.0783594936328237</v>
      </c>
      <c r="K8498" s="7" t="n">
        <f aca="false">Sens!$E$8498+(glt_srch-Sens!$E$8498)*MIN(1,(Sens!K8440-base_fy)/n_conv)</f>
        <v>0.07</v>
      </c>
    </row>
    <row r="8499" customFormat="false" ht="17.15" hidden="false" customHeight="false" outlineLevel="0" collapsed="false">
      <c r="A8499" s="0" t="s">
        <v>1038</v>
      </c>
      <c r="B8499" s="0" t="s">
        <v>98</v>
      </c>
      <c r="D8499" s="6" t="n">
        <f aca="false">Q!L14</f>
        <v>23.455</v>
      </c>
      <c r="E8499" s="6" t="n">
        <f aca="false">Q!M14</f>
        <v>21.79</v>
      </c>
      <c r="F8499" s="6" t="n">
        <f aca="false">Q!$I$14+(Q!M14-Q!$E$14)*(1+Sens!F8500)</f>
        <v>20.7520981041711</v>
      </c>
      <c r="G8499" s="6" t="n">
        <f aca="false">Sens!F8499*(1+Sens!G8500)</f>
        <v>19.9083593495882</v>
      </c>
      <c r="H8499" s="6" t="n">
        <f aca="false">Sens!G8499*(1+Sens!H8500)</f>
        <v>19.4008256265831</v>
      </c>
      <c r="I8499" s="6" t="n">
        <f aca="false">Sens!H8499*(1+Sens!I8500)</f>
        <v>19.200434522122</v>
      </c>
      <c r="J8499" s="6" t="n">
        <f aca="false">Sens!I8499*(1+Sens!J8500)</f>
        <v>19.2932782348507</v>
      </c>
      <c r="K8499" s="6" t="n">
        <f aca="false">Sens!J8499*(1+Sens!K8500)</f>
        <v>19.6791437995477</v>
      </c>
      <c r="L8499" s="12" t="s">
        <v>1034</v>
      </c>
    </row>
    <row r="8500" customFormat="false" ht="15" hidden="false" customHeight="false" outlineLevel="0" collapsed="false">
      <c r="A8500" s="1" t="s">
        <v>1024</v>
      </c>
      <c r="B8500" s="0" t="s">
        <v>168</v>
      </c>
      <c r="E8500" s="7" t="n">
        <f aca="false">Sens!E8499/Sens!D8499-1</f>
        <v>-0.0709869963760392</v>
      </c>
      <c r="F8500" s="7" t="n">
        <f aca="false">Sens!$E$8500+(glt_xbox-Sens!$E$8500)*MIN(1,(Sens!F8440-base_fy)/n_conv)</f>
        <v>-0.0558224969800327</v>
      </c>
      <c r="G8500" s="7" t="n">
        <f aca="false">Sens!$E$8500+(glt_xbox-Sens!$E$8500)*MIN(1,(Sens!G8440-base_fy)/n_conv)</f>
        <v>-0.0406579975840262</v>
      </c>
      <c r="H8500" s="7" t="n">
        <f aca="false">Sens!$E$8500+(glt_xbox-Sens!$E$8500)*MIN(1,(Sens!H8440-base_fy)/n_conv)</f>
        <v>-0.0254934981880196</v>
      </c>
      <c r="I8500" s="7" t="n">
        <f aca="false">Sens!$E$8500+(glt_xbox-Sens!$E$8500)*MIN(1,(Sens!I8440-base_fy)/n_conv)</f>
        <v>-0.0103289987920131</v>
      </c>
      <c r="J8500" s="7" t="n">
        <f aca="false">Sens!$E$8500+(glt_xbox-Sens!$E$8500)*MIN(1,(Sens!J8440-base_fy)/n_conv)</f>
        <v>0.00483550060399347</v>
      </c>
      <c r="K8500" s="7" t="n">
        <f aca="false">Sens!$E$8500+(glt_xbox-Sens!$E$8500)*MIN(1,(Sens!K8440-base_fy)/n_conv)</f>
        <v>0.02</v>
      </c>
    </row>
    <row r="8501" customFormat="false" ht="17.15" hidden="false" customHeight="false" outlineLevel="0" collapsed="false">
      <c r="A8501" s="0" t="s">
        <v>1039</v>
      </c>
      <c r="B8501" s="0" t="s">
        <v>98</v>
      </c>
      <c r="D8501" s="6" t="n">
        <f aca="false">Q!L15</f>
        <v>17.315</v>
      </c>
      <c r="E8501" s="6" t="n">
        <f aca="false">Q!M15</f>
        <v>17.087</v>
      </c>
      <c r="F8501" s="6" t="n">
        <f aca="false">Q!$I$15+(Q!M15-Q!$E$15)*(1+Sens!F8502)</f>
        <v>15.9912273250553</v>
      </c>
      <c r="G8501" s="6" t="n">
        <f aca="false">Sens!F8501*(1+Sens!G8502)</f>
        <v>15.9574562664827</v>
      </c>
      <c r="H8501" s="6" t="n">
        <f aca="false">Sens!G8501*(1+Sens!H8502)</f>
        <v>16.0119687434196</v>
      </c>
      <c r="I8501" s="6" t="n">
        <f aca="false">Sens!H8501*(1+Sens!I8502)</f>
        <v>16.1551810001948</v>
      </c>
      <c r="J8501" s="6" t="n">
        <f aca="false">Sens!I8501*(1+Sens!J8502)</f>
        <v>16.3889793892005</v>
      </c>
      <c r="K8501" s="6" t="n">
        <f aca="false">Sens!J8501*(1+Sens!K8502)</f>
        <v>16.7167589769845</v>
      </c>
      <c r="L8501" s="12" t="s">
        <v>1034</v>
      </c>
    </row>
    <row r="8502" customFormat="false" ht="15" hidden="false" customHeight="false" outlineLevel="0" collapsed="false">
      <c r="A8502" s="1" t="s">
        <v>1024</v>
      </c>
      <c r="B8502" s="0" t="s">
        <v>168</v>
      </c>
      <c r="E8502" s="7" t="n">
        <f aca="false">Sens!E8501/Sens!D8501-1</f>
        <v>-0.0131677736066995</v>
      </c>
      <c r="F8502" s="7" t="n">
        <f aca="false">Sens!$E$8502+(glt_win-Sens!$E$8502)*MIN(1,(Sens!F8440-base_fy)/n_conv)</f>
        <v>-0.00763981133891627</v>
      </c>
      <c r="G8502" s="7" t="n">
        <f aca="false">Sens!$E$8502+(glt_win-Sens!$E$8502)*MIN(1,(Sens!G8440-base_fy)/n_conv)</f>
        <v>-0.00211184907113301</v>
      </c>
      <c r="H8502" s="7" t="n">
        <f aca="false">Sens!$E$8502+(glt_win-Sens!$E$8502)*MIN(1,(Sens!H8440-base_fy)/n_conv)</f>
        <v>0.00341611319665024</v>
      </c>
      <c r="I8502" s="7" t="n">
        <f aca="false">Sens!$E$8502+(glt_win-Sens!$E$8502)*MIN(1,(Sens!I8440-base_fy)/n_conv)</f>
        <v>0.00894407546443349</v>
      </c>
      <c r="J8502" s="7" t="n">
        <f aca="false">Sens!$E$8502+(glt_win-Sens!$E$8502)*MIN(1,(Sens!J8440-base_fy)/n_conv)</f>
        <v>0.0144720377322168</v>
      </c>
      <c r="K8502" s="7" t="n">
        <f aca="false">Sens!$E$8502+(glt_win-Sens!$E$8502)*MIN(1,(Sens!K8440-base_fy)/n_conv)</f>
        <v>0.02</v>
      </c>
    </row>
    <row r="8503" customFormat="false" ht="15" hidden="false" customHeight="false" outlineLevel="0" collapsed="false">
      <c r="A8503" s="0" t="s">
        <v>866</v>
      </c>
      <c r="B8503" s="0" t="s">
        <v>98</v>
      </c>
      <c r="D8503" s="6" t="n">
        <f aca="false">Sens!D8497+Sens!D8499+Sens!D8501</f>
        <v>62.941</v>
      </c>
      <c r="E8503" s="6" t="n">
        <f aca="false">Sens!E8497+Sens!E8499+Sens!E8501</f>
        <v>63.712</v>
      </c>
      <c r="F8503" s="6" t="n">
        <f aca="false">Sens!F8497+Sens!F8499+Sens!F8501</f>
        <v>64.3025149952511</v>
      </c>
      <c r="G8503" s="6" t="n">
        <f aca="false">Sens!G8497+Sens!G8499+Sens!G8501</f>
        <v>66.2756719305292</v>
      </c>
      <c r="H8503" s="6" t="n">
        <f aca="false">Sens!H8497+Sens!H8499+Sens!H8501</f>
        <v>68.7139736271804</v>
      </c>
      <c r="I8503" s="6" t="n">
        <f aca="false">Sens!I8497+Sens!I8499+Sens!I8501</f>
        <v>71.5446393194289</v>
      </c>
      <c r="J8503" s="6" t="n">
        <f aca="false">Sens!J8497+Sens!J8499+Sens!J8501</f>
        <v>74.707035000971</v>
      </c>
      <c r="K8503" s="6" t="n">
        <f aca="false">Sens!K8497+Sens!K8499+Sens!K8501</f>
        <v>78.1524145698365</v>
      </c>
    </row>
    <row r="8504" customFormat="false" ht="15" hidden="false" customHeight="false" outlineLevel="0" collapsed="false">
      <c r="A8504" s="1" t="s">
        <v>1040</v>
      </c>
      <c r="B8504" s="0" t="s">
        <v>98</v>
      </c>
      <c r="D8504" s="6" t="n">
        <f aca="false">Sens!D8496+Sens!D8503</f>
        <v>281.724</v>
      </c>
      <c r="E8504" s="6" t="n">
        <f aca="false">Sens!E8496+Sens!E8503</f>
        <v>331.839</v>
      </c>
      <c r="F8504" s="6" t="n">
        <f aca="false">Sens!F8496+Sens!F8503</f>
        <v>405.139400003976</v>
      </c>
      <c r="G8504" s="6" t="n">
        <f aca="false">Sens!G8496+Sens!G8503</f>
        <v>495.573389450464</v>
      </c>
      <c r="H8504" s="6" t="n">
        <f aca="false">Sens!H8496+Sens!H8503</f>
        <v>592.811450688486</v>
      </c>
      <c r="I8504" s="6" t="n">
        <f aca="false">Sens!I8496+Sens!I8503</f>
        <v>675.40709110718</v>
      </c>
      <c r="J8504" s="6" t="n">
        <f aca="false">Sens!J8496+Sens!J8503</f>
        <v>741.678336238424</v>
      </c>
      <c r="K8504" s="6" t="n">
        <f aca="false">Sens!K8496+Sens!K8503</f>
        <v>794.571859073263</v>
      </c>
    </row>
    <row r="8505" customFormat="false" ht="15" hidden="false" customHeight="false" outlineLevel="0" collapsed="false">
      <c r="A8505" s="26" t="s">
        <v>1041</v>
      </c>
      <c r="B8505" s="31" t="s">
        <v>98</v>
      </c>
      <c r="C8505" s="31"/>
      <c r="D8505" s="27" t="n">
        <f aca="false">(Sens!D8484+Sens!D8489+Sens!D8490+Sens!D8492+Sens!D8494-Sens!D8496)+(Sens!D8497+Sens!D8499+Sens!D8501-Sens!D8503)+(Sens!D8496-Q!L5)+(Sens!D8503-Q!L12)+(Sens!D8484-Q!L6)+(Sens!D8489-Q!L7)</f>
        <v>0</v>
      </c>
      <c r="E8505" s="27" t="n">
        <f aca="false">(Sens!E8484+Sens!E8489+Sens!E8490+Sens!E8492+Sens!E8494-Sens!E8496)+(Sens!E8497+Sens!E8499+Sens!E8501-Sens!E8503)+(Sens!E8496-Q!M5)+(Sens!E8503-Q!M12)+(Sens!E8484-Q!M6)+(Sens!E8489-Q!M7)</f>
        <v>0</v>
      </c>
      <c r="F8505" s="27" t="n">
        <f aca="false">(Sens!F8484+Sens!F8489+Sens!F8490+Sens!F8492+Sens!F8494-Sens!F8496)+(Sens!F8497+Sens!F8499+Sens!F8501-Sens!F8503)</f>
        <v>0</v>
      </c>
      <c r="G8505" s="27" t="n">
        <f aca="false">(Sens!G8484+Sens!G8489+Sens!G8490+Sens!G8492+Sens!G8494-Sens!G8496)+(Sens!G8497+Sens!G8499+Sens!G8501-Sens!G8503)</f>
        <v>0</v>
      </c>
      <c r="H8505" s="27" t="n">
        <f aca="false">(Sens!H8484+Sens!H8489+Sens!H8490+Sens!H8492+Sens!H8494-Sens!H8496)+(Sens!H8497+Sens!H8499+Sens!H8501-Sens!H8503)</f>
        <v>0</v>
      </c>
      <c r="I8505" s="27" t="n">
        <f aca="false">(Sens!I8484+Sens!I8489+Sens!I8490+Sens!I8492+Sens!I8494-Sens!I8496)+(Sens!I8497+Sens!I8499+Sens!I8501-Sens!I8503)</f>
        <v>0</v>
      </c>
      <c r="J8505" s="27" t="n">
        <f aca="false">(Sens!J8484+Sens!J8489+Sens!J8490+Sens!J8492+Sens!J8494-Sens!J8496)+(Sens!J8497+Sens!J8499+Sens!J8501-Sens!J8503)</f>
        <v>0</v>
      </c>
      <c r="K8505" s="27" t="n">
        <f aca="false">(Sens!K8484+Sens!K8489+Sens!K8490+Sens!K8492+Sens!K8494-Sens!K8496)+(Sens!K8497+Sens!K8499+Sens!K8501-Sens!K8503)</f>
        <v>0</v>
      </c>
    </row>
    <row r="8506" customFormat="false" ht="17.15" hidden="false" customHeight="false" outlineLevel="0" collapsed="false">
      <c r="A8506" s="3" t="s">
        <v>1692</v>
      </c>
    </row>
    <row r="8507" customFormat="false" ht="15" hidden="false" customHeight="false" outlineLevel="0" collapsed="false">
      <c r="A8507" s="4" t="s">
        <v>43</v>
      </c>
      <c r="B8507" s="4" t="s">
        <v>65</v>
      </c>
      <c r="C8507" s="23" t="s">
        <v>938</v>
      </c>
      <c r="D8507" s="23" t="s">
        <v>939</v>
      </c>
      <c r="E8507" s="23" t="s">
        <v>940</v>
      </c>
      <c r="F8507" s="23" t="s">
        <v>941</v>
      </c>
      <c r="G8507" s="23" t="s">
        <v>942</v>
      </c>
      <c r="H8507" s="23" t="s">
        <v>943</v>
      </c>
      <c r="I8507" s="23" t="s">
        <v>944</v>
      </c>
      <c r="J8507" s="23" t="s">
        <v>945</v>
      </c>
      <c r="K8507" s="23" t="s">
        <v>946</v>
      </c>
      <c r="L8507" s="4" t="s">
        <v>47</v>
      </c>
    </row>
    <row r="8508" customFormat="false" ht="15" hidden="false" customHeight="false" outlineLevel="0" collapsed="false">
      <c r="A8508" s="0" t="s">
        <v>1025</v>
      </c>
      <c r="B8508" s="0" t="s">
        <v>98</v>
      </c>
      <c r="D8508" s="6" t="n">
        <f aca="false">Sens!D8484</f>
        <v>72.61</v>
      </c>
      <c r="E8508" s="6" t="n">
        <f aca="false">Sens!E8484</f>
        <v>101.938</v>
      </c>
      <c r="F8508" s="6" t="n">
        <f aca="false">Sens!F8484</f>
        <v>149.59001837225</v>
      </c>
      <c r="G8508" s="6" t="n">
        <f aca="false">Sens!G8484</f>
        <v>210.963087346352</v>
      </c>
      <c r="H8508" s="6" t="n">
        <f aca="false">Sens!H8484</f>
        <v>278.649709314524</v>
      </c>
      <c r="I8508" s="6" t="n">
        <f aca="false">Sens!I8484</f>
        <v>334.269404582332</v>
      </c>
      <c r="J8508" s="6" t="n">
        <f aca="false">Sens!J8484</f>
        <v>376.517293063672</v>
      </c>
      <c r="K8508" s="6" t="n">
        <f aca="false">Sens!K8484</f>
        <v>406.018092622804</v>
      </c>
    </row>
    <row r="8509" customFormat="false" ht="17.15" hidden="false" customHeight="false" outlineLevel="0" collapsed="false">
      <c r="A8509" s="0" t="s">
        <v>1021</v>
      </c>
      <c r="B8509" s="0" t="s">
        <v>98</v>
      </c>
      <c r="D8509" s="6" t="n">
        <f aca="false">Sens!D8481</f>
        <v>12.9359794422418</v>
      </c>
      <c r="E8509" s="6" t="n">
        <f aca="false">Sens!E8481</f>
        <v>27.8095064661409</v>
      </c>
      <c r="F8509" s="6" t="n">
        <f aca="false">Sens!F8481</f>
        <v>59.1034165651511</v>
      </c>
      <c r="G8509" s="6" t="n">
        <f aca="false">Sens!G8481</f>
        <v>103.451498789198</v>
      </c>
      <c r="H8509" s="6" t="n">
        <f aca="false">Sens!H8481</f>
        <v>153.816719989035</v>
      </c>
      <c r="I8509" s="6" t="n">
        <f aca="false">Sens!I8481</f>
        <v>192.699478690852</v>
      </c>
      <c r="J8509" s="6" t="n">
        <f aca="false">Sens!J8481</f>
        <v>219.794102584244</v>
      </c>
      <c r="K8509" s="6" t="n">
        <f aca="false">Sens!K8481</f>
        <v>236.757046905022</v>
      </c>
    </row>
    <row r="8510" customFormat="false" ht="17.15" hidden="false" customHeight="false" outlineLevel="0" collapsed="false">
      <c r="A8510" s="0" t="s">
        <v>1052</v>
      </c>
      <c r="B8510" s="0" t="s">
        <v>98</v>
      </c>
      <c r="D8510" s="6" t="n">
        <f aca="false">Sens!D8482</f>
        <v>59.6740205577583</v>
      </c>
      <c r="E8510" s="6" t="n">
        <f aca="false">Sens!E8482</f>
        <v>74.1284935338591</v>
      </c>
      <c r="F8510" s="6" t="n">
        <f aca="false">Sens!F8482</f>
        <v>90.4866018070994</v>
      </c>
      <c r="G8510" s="6" t="n">
        <f aca="false">Sens!G8482</f>
        <v>107.511588557154</v>
      </c>
      <c r="H8510" s="6" t="n">
        <f aca="false">Sens!H8482</f>
        <v>124.832989325489</v>
      </c>
      <c r="I8510" s="6" t="n">
        <f aca="false">Sens!I8482</f>
        <v>141.56992589148</v>
      </c>
      <c r="J8510" s="6" t="n">
        <f aca="false">Sens!J8482</f>
        <v>156.723190479428</v>
      </c>
      <c r="K8510" s="6" t="n">
        <f aca="false">Sens!K8482</f>
        <v>169.261045717783</v>
      </c>
    </row>
    <row r="8511" customFormat="false" ht="15" hidden="false" customHeight="false" outlineLevel="0" collapsed="false">
      <c r="A8511" s="0" t="s">
        <v>1032</v>
      </c>
      <c r="B8511" s="0" t="s">
        <v>98</v>
      </c>
      <c r="D8511" s="6" t="n">
        <f aca="false">Sens!D8489</f>
        <v>84.605</v>
      </c>
      <c r="E8511" s="6" t="n">
        <f aca="false">Sens!E8489</f>
        <v>100.299</v>
      </c>
      <c r="F8511" s="6" t="n">
        <f aca="false">Sens!F8489</f>
        <v>121.791822320066</v>
      </c>
      <c r="G8511" s="6" t="n">
        <f aca="false">Sens!G8489</f>
        <v>144.595751630974</v>
      </c>
      <c r="H8511" s="6" t="n">
        <f aca="false">Sens!H8489</f>
        <v>167.480100677153</v>
      </c>
      <c r="I8511" s="6" t="n">
        <f aca="false">Sens!I8489</f>
        <v>187.490075222229</v>
      </c>
      <c r="J8511" s="6" t="n">
        <f aca="false">Sens!J8489</f>
        <v>204.347628234968</v>
      </c>
      <c r="K8511" s="6" t="n">
        <f aca="false">Sens!K8489</f>
        <v>220.460962211416</v>
      </c>
    </row>
    <row r="8512" customFormat="false" ht="17.15" hidden="false" customHeight="false" outlineLevel="0" collapsed="false">
      <c r="A8512" s="0" t="s">
        <v>1053</v>
      </c>
      <c r="B8512" s="0" t="s">
        <v>98</v>
      </c>
      <c r="D8512" s="6" t="n">
        <f aca="false">Sens!D8487</f>
        <v>83.705</v>
      </c>
      <c r="E8512" s="6" t="n">
        <f aca="false">Sens!E8487</f>
        <v>95.049</v>
      </c>
      <c r="F8512" s="6" t="n">
        <f aca="false">Sens!F8487</f>
        <v>105.591822320066</v>
      </c>
      <c r="G8512" s="6" t="n">
        <f aca="false">Sens!G8487</f>
        <v>117.595751630974</v>
      </c>
      <c r="H8512" s="6" t="n">
        <f aca="false">Sens!H8487</f>
        <v>129.680100677153</v>
      </c>
      <c r="I8512" s="6" t="n">
        <f aca="false">Sens!I8487</f>
        <v>141.590075222229</v>
      </c>
      <c r="J8512" s="6" t="n">
        <f aca="false">Sens!J8487</f>
        <v>153.047628234968</v>
      </c>
      <c r="K8512" s="6" t="n">
        <f aca="false">Sens!K8487</f>
        <v>163.760962211416</v>
      </c>
    </row>
    <row r="8513" customFormat="false" ht="17.15" hidden="false" customHeight="false" outlineLevel="0" collapsed="false">
      <c r="A8513" s="0" t="s">
        <v>1054</v>
      </c>
      <c r="B8513" s="0" t="s">
        <v>98</v>
      </c>
      <c r="D8513" s="6" t="n">
        <f aca="false">Sens!D8486</f>
        <v>0.9</v>
      </c>
      <c r="E8513" s="6" t="n">
        <f aca="false">Sens!E8486</f>
        <v>5.25</v>
      </c>
      <c r="F8513" s="6" t="n">
        <f aca="false">Sens!F8486</f>
        <v>16.2</v>
      </c>
      <c r="G8513" s="6" t="n">
        <f aca="false">Sens!G8486</f>
        <v>27</v>
      </c>
      <c r="H8513" s="6" t="n">
        <f aca="false">Sens!H8486</f>
        <v>37.8</v>
      </c>
      <c r="I8513" s="6" t="n">
        <f aca="false">Sens!I8486</f>
        <v>45.9</v>
      </c>
      <c r="J8513" s="6" t="n">
        <f aca="false">Sens!J8486</f>
        <v>51.3</v>
      </c>
      <c r="K8513" s="6" t="n">
        <f aca="false">Sens!K8486</f>
        <v>56.7</v>
      </c>
    </row>
    <row r="8514" customFormat="false" ht="15" hidden="false" customHeight="false" outlineLevel="0" collapsed="false">
      <c r="A8514" s="0" t="s">
        <v>1033</v>
      </c>
      <c r="B8514" s="0" t="s">
        <v>98</v>
      </c>
      <c r="D8514" s="6" t="n">
        <f aca="false">Sens!D8490</f>
        <v>35.391</v>
      </c>
      <c r="E8514" s="6" t="n">
        <f aca="false">Sens!E8490</f>
        <v>37.285</v>
      </c>
      <c r="F8514" s="6" t="n">
        <f aca="false">Sens!F8490</f>
        <v>38.3851437782675</v>
      </c>
      <c r="G8514" s="6" t="n">
        <f aca="false">Sens!G8490</f>
        <v>40.0105353288615</v>
      </c>
      <c r="H8514" s="6" t="n">
        <f aca="false">Sens!H8490</f>
        <v>41.4812512033683</v>
      </c>
      <c r="I8514" s="6" t="n">
        <f aca="false">Sens!I8490</f>
        <v>42.7743107216329</v>
      </c>
      <c r="J8514" s="6" t="n">
        <f aca="false">Sens!J8490</f>
        <v>43.8687373064601</v>
      </c>
      <c r="K8514" s="6" t="n">
        <f aca="false">Sens!K8490</f>
        <v>44.7461120525893</v>
      </c>
    </row>
    <row r="8515" customFormat="false" ht="15" hidden="false" customHeight="false" outlineLevel="0" collapsed="false">
      <c r="A8515" s="0" t="s">
        <v>1035</v>
      </c>
      <c r="B8515" s="0" t="s">
        <v>98</v>
      </c>
      <c r="D8515" s="6" t="n">
        <f aca="false">Sens!D8492</f>
        <v>18.417</v>
      </c>
      <c r="E8515" s="6" t="n">
        <f aca="false">Sens!E8492</f>
        <v>20.345</v>
      </c>
      <c r="F8515" s="6" t="n">
        <f aca="false">Sens!F8492</f>
        <v>22.3161797133988</v>
      </c>
      <c r="G8515" s="6" t="n">
        <f aca="false">Sens!G8492</f>
        <v>24.3943499673233</v>
      </c>
      <c r="H8515" s="6" t="n">
        <f aca="false">Sens!H8492</f>
        <v>26.5250243109019</v>
      </c>
      <c r="I8515" s="6" t="n">
        <f aca="false">Sens!I8492</f>
        <v>28.6884573538181</v>
      </c>
      <c r="J8515" s="6" t="n">
        <f aca="false">Sens!J8492</f>
        <v>30.8624968052127</v>
      </c>
      <c r="K8515" s="6" t="n">
        <f aca="false">Sens!K8492</f>
        <v>33.0228715815776</v>
      </c>
    </row>
    <row r="8516" customFormat="false" ht="15" hidden="false" customHeight="false" outlineLevel="0" collapsed="false">
      <c r="A8516" s="0" t="s">
        <v>1036</v>
      </c>
      <c r="B8516" s="0" t="s">
        <v>98</v>
      </c>
      <c r="D8516" s="6" t="n">
        <f aca="false">Sens!D8494</f>
        <v>7.76</v>
      </c>
      <c r="E8516" s="6" t="n">
        <f aca="false">Sens!E8494</f>
        <v>8.26</v>
      </c>
      <c r="F8516" s="6" t="n">
        <f aca="false">Sens!F8494</f>
        <v>8.75372082474227</v>
      </c>
      <c r="G8516" s="6" t="n">
        <f aca="false">Sens!G8494</f>
        <v>9.33399324642364</v>
      </c>
      <c r="H8516" s="6" t="n">
        <f aca="false">Sens!H8494</f>
        <v>9.96139155535851</v>
      </c>
      <c r="I8516" s="6" t="n">
        <f aca="false">Sens!I8494</f>
        <v>10.6402039077391</v>
      </c>
      <c r="J8516" s="6" t="n">
        <f aca="false">Sens!J8494</f>
        <v>11.3751458271397</v>
      </c>
      <c r="K8516" s="6" t="n">
        <f aca="false">Sens!K8494</f>
        <v>12.1714060350394</v>
      </c>
    </row>
    <row r="8517" customFormat="false" ht="15" hidden="false" customHeight="false" outlineLevel="0" collapsed="false">
      <c r="A8517" s="0" t="s">
        <v>852</v>
      </c>
      <c r="B8517" s="0" t="s">
        <v>98</v>
      </c>
      <c r="D8517" s="6" t="n">
        <f aca="false">Sens!D8496</f>
        <v>218.783</v>
      </c>
      <c r="E8517" s="6" t="n">
        <f aca="false">Sens!E8496</f>
        <v>268.127</v>
      </c>
      <c r="F8517" s="6" t="n">
        <f aca="false">Sens!F8496</f>
        <v>340.836885008725</v>
      </c>
      <c r="G8517" s="6" t="n">
        <f aca="false">Sens!G8496</f>
        <v>429.297717519935</v>
      </c>
      <c r="H8517" s="6" t="n">
        <f aca="false">Sens!H8496</f>
        <v>524.097477061305</v>
      </c>
      <c r="I8517" s="6" t="n">
        <f aca="false">Sens!I8496</f>
        <v>603.862451787752</v>
      </c>
      <c r="J8517" s="6" t="n">
        <f aca="false">Sens!J8496</f>
        <v>666.971301237453</v>
      </c>
      <c r="K8517" s="6" t="n">
        <f aca="false">Sens!K8496</f>
        <v>716.419444503427</v>
      </c>
    </row>
    <row r="8518" customFormat="false" ht="15" hidden="false" customHeight="false" outlineLevel="0" collapsed="false">
      <c r="A8518" s="0" t="s">
        <v>1037</v>
      </c>
      <c r="B8518" s="0" t="s">
        <v>98</v>
      </c>
      <c r="D8518" s="6" t="n">
        <f aca="false">Sens!D8497</f>
        <v>22.171</v>
      </c>
      <c r="E8518" s="6" t="n">
        <f aca="false">Sens!E8497</f>
        <v>24.835</v>
      </c>
      <c r="F8518" s="6" t="n">
        <f aca="false">Sens!F8497</f>
        <v>27.5591895660247</v>
      </c>
      <c r="G8518" s="6" t="n">
        <f aca="false">Sens!G8497</f>
        <v>30.4098563144583</v>
      </c>
      <c r="H8518" s="6" t="n">
        <f aca="false">Sens!H8497</f>
        <v>33.3011792571777</v>
      </c>
      <c r="I8518" s="6" t="n">
        <f aca="false">Sens!I8497</f>
        <v>36.189023797112</v>
      </c>
      <c r="J8518" s="6" t="n">
        <f aca="false">Sens!J8497</f>
        <v>39.0247773769199</v>
      </c>
      <c r="K8518" s="6" t="n">
        <f aca="false">Sens!K8497</f>
        <v>41.7565117933043</v>
      </c>
    </row>
    <row r="8519" customFormat="false" ht="15" hidden="false" customHeight="false" outlineLevel="0" collapsed="false">
      <c r="A8519" s="0" t="s">
        <v>1038</v>
      </c>
      <c r="B8519" s="0" t="s">
        <v>98</v>
      </c>
      <c r="D8519" s="6" t="n">
        <f aca="false">Sens!D8499</f>
        <v>23.455</v>
      </c>
      <c r="E8519" s="6" t="n">
        <f aca="false">Sens!E8499</f>
        <v>21.79</v>
      </c>
      <c r="F8519" s="6" t="n">
        <f aca="false">Sens!F8499</f>
        <v>20.7520981041711</v>
      </c>
      <c r="G8519" s="6" t="n">
        <f aca="false">Sens!G8499</f>
        <v>19.9083593495882</v>
      </c>
      <c r="H8519" s="6" t="n">
        <f aca="false">Sens!H8499</f>
        <v>19.4008256265831</v>
      </c>
      <c r="I8519" s="6" t="n">
        <f aca="false">Sens!I8499</f>
        <v>19.200434522122</v>
      </c>
      <c r="J8519" s="6" t="n">
        <f aca="false">Sens!J8499</f>
        <v>19.2932782348507</v>
      </c>
      <c r="K8519" s="6" t="n">
        <f aca="false">Sens!K8499</f>
        <v>19.6791437995477</v>
      </c>
    </row>
    <row r="8520" customFormat="false" ht="15" hidden="false" customHeight="false" outlineLevel="0" collapsed="false">
      <c r="A8520" s="0" t="s">
        <v>1039</v>
      </c>
      <c r="B8520" s="0" t="s">
        <v>98</v>
      </c>
      <c r="D8520" s="6" t="n">
        <f aca="false">Sens!D8501</f>
        <v>17.315</v>
      </c>
      <c r="E8520" s="6" t="n">
        <f aca="false">Sens!E8501</f>
        <v>17.087</v>
      </c>
      <c r="F8520" s="6" t="n">
        <f aca="false">Sens!F8501</f>
        <v>15.9912273250553</v>
      </c>
      <c r="G8520" s="6" t="n">
        <f aca="false">Sens!G8501</f>
        <v>15.9574562664827</v>
      </c>
      <c r="H8520" s="6" t="n">
        <f aca="false">Sens!H8501</f>
        <v>16.0119687434196</v>
      </c>
      <c r="I8520" s="6" t="n">
        <f aca="false">Sens!I8501</f>
        <v>16.1551810001948</v>
      </c>
      <c r="J8520" s="6" t="n">
        <f aca="false">Sens!J8501</f>
        <v>16.3889793892005</v>
      </c>
      <c r="K8520" s="6" t="n">
        <f aca="false">Sens!K8501</f>
        <v>16.7167589769845</v>
      </c>
    </row>
    <row r="8521" customFormat="false" ht="15" hidden="false" customHeight="false" outlineLevel="0" collapsed="false">
      <c r="A8521" s="0" t="s">
        <v>866</v>
      </c>
      <c r="B8521" s="0" t="s">
        <v>98</v>
      </c>
      <c r="D8521" s="6" t="n">
        <f aca="false">Sens!D8503</f>
        <v>62.941</v>
      </c>
      <c r="E8521" s="6" t="n">
        <f aca="false">Sens!E8503</f>
        <v>63.712</v>
      </c>
      <c r="F8521" s="6" t="n">
        <f aca="false">Sens!F8503</f>
        <v>64.3025149952511</v>
      </c>
      <c r="G8521" s="6" t="n">
        <f aca="false">Sens!G8503</f>
        <v>66.2756719305292</v>
      </c>
      <c r="H8521" s="6" t="n">
        <f aca="false">Sens!H8503</f>
        <v>68.7139736271804</v>
      </c>
      <c r="I8521" s="6" t="n">
        <f aca="false">Sens!I8503</f>
        <v>71.5446393194289</v>
      </c>
      <c r="J8521" s="6" t="n">
        <f aca="false">Sens!J8503</f>
        <v>74.707035000971</v>
      </c>
      <c r="K8521" s="6" t="n">
        <f aca="false">Sens!K8503</f>
        <v>78.1524145698365</v>
      </c>
    </row>
    <row r="8522" customFormat="false" ht="15" hidden="false" customHeight="false" outlineLevel="0" collapsed="false">
      <c r="A8522" s="1" t="s">
        <v>1055</v>
      </c>
      <c r="B8522" s="0" t="s">
        <v>98</v>
      </c>
      <c r="D8522" s="6" t="n">
        <f aca="false">Sens!D8504</f>
        <v>281.724</v>
      </c>
      <c r="E8522" s="6" t="n">
        <f aca="false">Sens!E8504</f>
        <v>331.839</v>
      </c>
      <c r="F8522" s="6" t="n">
        <f aca="false">Sens!F8504</f>
        <v>405.139400003976</v>
      </c>
      <c r="G8522" s="6" t="n">
        <f aca="false">Sens!G8504</f>
        <v>495.573389450464</v>
      </c>
      <c r="H8522" s="6" t="n">
        <f aca="false">Sens!H8504</f>
        <v>592.811450688486</v>
      </c>
      <c r="I8522" s="6" t="n">
        <f aca="false">Sens!I8504</f>
        <v>675.40709110718</v>
      </c>
      <c r="J8522" s="6" t="n">
        <f aca="false">Sens!J8504</f>
        <v>741.678336238424</v>
      </c>
      <c r="K8522" s="6" t="n">
        <f aca="false">Sens!K8504</f>
        <v>794.571859073263</v>
      </c>
    </row>
    <row r="8523" customFormat="false" ht="15" hidden="false" customHeight="false" outlineLevel="0" collapsed="false">
      <c r="A8523" s="1" t="s">
        <v>1056</v>
      </c>
      <c r="B8523" s="0" t="s">
        <v>168</v>
      </c>
      <c r="E8523" s="7" t="n">
        <f aca="false">Sens!E8522/Sens!D8522-1</f>
        <v>0.177886867998467</v>
      </c>
      <c r="F8523" s="7" t="n">
        <f aca="false">Sens!F8522/Sens!E8522-1</f>
        <v>0.22089145641102</v>
      </c>
      <c r="G8523" s="7" t="n">
        <f aca="false">Sens!G8522/Sens!F8522-1</f>
        <v>0.223216970370199</v>
      </c>
      <c r="H8523" s="7" t="n">
        <f aca="false">Sens!H8522/Sens!G8522-1</f>
        <v>0.196213241687266</v>
      </c>
      <c r="I8523" s="7" t="n">
        <f aca="false">Sens!I8522/Sens!H8522-1</f>
        <v>0.13932868591315</v>
      </c>
      <c r="J8523" s="7" t="n">
        <f aca="false">Sens!J8522/Sens!I8522-1</f>
        <v>0.0981204461780321</v>
      </c>
      <c r="K8523" s="7" t="n">
        <f aca="false">Sens!K8522/Sens!J8522-1</f>
        <v>0.0713159873363702</v>
      </c>
    </row>
    <row r="8524" customFormat="false" ht="17.15" hidden="false" customHeight="false" outlineLevel="0" collapsed="false">
      <c r="A8524" s="26" t="s">
        <v>1057</v>
      </c>
      <c r="B8524" s="31" t="s">
        <v>98</v>
      </c>
      <c r="C8524" s="31"/>
      <c r="D8524" s="27" t="n">
        <f aca="false">(Sens!D8517+Sens!D8521-Sens!D8522)+(Sens!D8509+Sens!D8510-Sens!D8508)+(Sens!D8512+Sens!D8513-Sens!D8511)+(Sens!D8522-Q!L18)</f>
        <v>0</v>
      </c>
      <c r="E8524" s="27" t="n">
        <f aca="false">(Sens!E8517+Sens!E8521-Sens!E8522)+(Sens!E8509+Sens!E8510-Sens!E8508)+(Sens!E8512+Sens!E8513-Sens!E8511)+(Sens!E8522-Q!M18)</f>
        <v>0</v>
      </c>
      <c r="F8524" s="27" t="n">
        <f aca="false">(Sens!F8517+Sens!F8521-Sens!F8522)+(Sens!F8509+Sens!F8510-Sens!F8508)+(Sens!F8512+Sens!F8513-Sens!F8511)</f>
        <v>0</v>
      </c>
      <c r="G8524" s="27" t="n">
        <f aca="false">(Sens!G8517+Sens!G8521-Sens!G8522)+(Sens!G8509+Sens!G8510-Sens!G8508)+(Sens!G8512+Sens!G8513-Sens!G8511)</f>
        <v>0</v>
      </c>
      <c r="H8524" s="27" t="n">
        <f aca="false">(Sens!H8517+Sens!H8521-Sens!H8522)+(Sens!H8509+Sens!H8510-Sens!H8508)+(Sens!H8512+Sens!H8513-Sens!H8511)</f>
        <v>0</v>
      </c>
      <c r="I8524" s="27" t="n">
        <f aca="false">(Sens!I8517+Sens!I8521-Sens!I8522)+(Sens!I8509+Sens!I8510-Sens!I8508)+(Sens!I8512+Sens!I8513-Sens!I8511)</f>
        <v>0</v>
      </c>
      <c r="J8524" s="27" t="n">
        <f aca="false">(Sens!J8517+Sens!J8521-Sens!J8522)+(Sens!J8509+Sens!J8510-Sens!J8508)+(Sens!J8512+Sens!J8513-Sens!J8511)</f>
        <v>0</v>
      </c>
      <c r="K8524" s="27" t="n">
        <f aca="false">(Sens!K8517+Sens!K8521-Sens!K8522)+(Sens!K8509+Sens!K8510-Sens!K8508)+(Sens!K8512+Sens!K8513-Sens!K8511)</f>
        <v>0</v>
      </c>
    </row>
    <row r="8525" customFormat="false" ht="17.15" hidden="false" customHeight="false" outlineLevel="0" collapsed="false">
      <c r="A8525" s="0" t="s">
        <v>1058</v>
      </c>
      <c r="B8525" s="0" t="s">
        <v>168</v>
      </c>
      <c r="E8525" s="7" t="n">
        <f aca="false">(Q!M21+Sens!E8461+Sens!E8462+Sens!E8463+Sens!E8477-Sens!E8459)/(Q!M5-Sens!E8459)</f>
        <v>0.570957350878296</v>
      </c>
      <c r="F8525" s="7" t="n">
        <f aca="false">Sens!$E$8525+dm_seg</f>
        <v>0.570957350878296</v>
      </c>
      <c r="G8525" s="7" t="n">
        <f aca="false">Sens!$E$8525+dm_seg</f>
        <v>0.570957350878296</v>
      </c>
      <c r="H8525" s="7" t="n">
        <f aca="false">Sens!$E$8525+dm_seg</f>
        <v>0.570957350878296</v>
      </c>
      <c r="I8525" s="7" t="n">
        <f aca="false">Sens!$E$8525+dm_seg</f>
        <v>0.570957350878296</v>
      </c>
      <c r="J8525" s="7" t="n">
        <f aca="false">Sens!$E$8525+dm_seg</f>
        <v>0.570957350878296</v>
      </c>
      <c r="K8525" s="7" t="n">
        <f aca="false">Sens!$E$8525+dm_seg</f>
        <v>0.570957350878296</v>
      </c>
      <c r="L8525" s="12" t="s">
        <v>1059</v>
      </c>
    </row>
    <row r="8526" customFormat="false" ht="17.15" hidden="false" customHeight="false" outlineLevel="0" collapsed="false">
      <c r="A8526" s="0" t="s">
        <v>880</v>
      </c>
      <c r="B8526" s="0" t="s">
        <v>98</v>
      </c>
      <c r="D8526" s="6" t="n">
        <f aca="false">Q!L21</f>
        <v>110.814</v>
      </c>
      <c r="E8526" s="6" t="n">
        <f aca="false">Q!M21</f>
        <v>136.365</v>
      </c>
      <c r="F8526" s="6" t="n">
        <f aca="false">Q!$I$21+(Sens!F8525*(Sens!F8496-Sens!F8459)+Sens!F8459-(Sens!F8461+Sens!F8462+Sens!F8463)-Sens!F8477-Sens!F8560)*(Sens!F8496-Q!$I$5)/Sens!F8496</f>
        <v>166.656374920541</v>
      </c>
      <c r="G8526" s="6" t="n">
        <f aca="false">(Sens!G8525*(Sens!G8496-Sens!G8459)+Sens!G8459-(Sens!G8461+Sens!G8462+Sens!G8463)-Sens!G8477-Sens!G8560)</f>
        <v>193.690109426701</v>
      </c>
      <c r="H8526" s="6" t="n">
        <f aca="false">(Sens!H8525*(Sens!H8496-Sens!H8459)+Sens!H8459-(Sens!H8461+Sens!H8462+Sens!H8463)-Sens!H8477-Sens!H8560)</f>
        <v>228.930116704394</v>
      </c>
      <c r="I8526" s="6" t="n">
        <f aca="false">(Sens!I8525*(Sens!I8496-Sens!I8459)+Sens!I8459-(Sens!I8461+Sens!I8462+Sens!I8463)-Sens!I8477-Sens!I8560)</f>
        <v>255.524707294888</v>
      </c>
      <c r="J8526" s="6" t="n">
        <f aca="false">(Sens!J8525*(Sens!J8496-Sens!J8459)+Sens!J8459-(Sens!J8461+Sens!J8462+Sens!J8463)-Sens!J8477-Sens!J8560)</f>
        <v>278.250708199085</v>
      </c>
      <c r="K8526" s="6" t="n">
        <f aca="false">(Sens!K8525*(Sens!K8496-Sens!K8459)+Sens!K8459-(Sens!K8461+Sens!K8462+Sens!K8463)-Sens!K8477-Sens!K8560)</f>
        <v>298.707608931034</v>
      </c>
      <c r="L8526" s="1" t="s">
        <v>1060</v>
      </c>
    </row>
    <row r="8527" customFormat="false" ht="17.15" hidden="false" customHeight="false" outlineLevel="0" collapsed="false">
      <c r="A8527" s="0" t="s">
        <v>1061</v>
      </c>
      <c r="B8527" s="0" t="s">
        <v>168</v>
      </c>
      <c r="E8527" s="7" t="n">
        <f aca="false">Q!M22/Q!M12</f>
        <v>0.296207935710698</v>
      </c>
      <c r="F8527" s="7" t="n">
        <f aca="false">Sens!$E$8527+dm_seg</f>
        <v>0.296207935710698</v>
      </c>
      <c r="G8527" s="7" t="n">
        <f aca="false">Sens!$E$8527+dm_seg</f>
        <v>0.296207935710698</v>
      </c>
      <c r="H8527" s="7" t="n">
        <f aca="false">Sens!$E$8527+dm_seg</f>
        <v>0.296207935710698</v>
      </c>
      <c r="I8527" s="7" t="n">
        <f aca="false">Sens!$E$8527+dm_seg</f>
        <v>0.296207935710698</v>
      </c>
      <c r="J8527" s="7" t="n">
        <f aca="false">Sens!$E$8527+dm_seg</f>
        <v>0.296207935710698</v>
      </c>
      <c r="K8527" s="7" t="n">
        <f aca="false">Sens!$E$8527+dm_seg</f>
        <v>0.296207935710698</v>
      </c>
      <c r="L8527" s="12" t="s">
        <v>1062</v>
      </c>
    </row>
    <row r="8528" customFormat="false" ht="17.15" hidden="false" customHeight="false" outlineLevel="0" collapsed="false">
      <c r="A8528" s="0" t="s">
        <v>882</v>
      </c>
      <c r="B8528" s="0" t="s">
        <v>98</v>
      </c>
      <c r="D8528" s="6" t="n">
        <f aca="false">Q!L22</f>
        <v>17.714</v>
      </c>
      <c r="E8528" s="6" t="n">
        <f aca="false">Q!M22</f>
        <v>18.872</v>
      </c>
      <c r="F8528" s="6" t="n">
        <f aca="false">Q!$I$22+(Sens!F8503-Q!$I$12)*Sens!F8527</f>
        <v>19.8174315512051</v>
      </c>
      <c r="G8528" s="6" t="n">
        <f aca="false">Sens!G8503*Sens!G8527</f>
        <v>19.6313799703815</v>
      </c>
      <c r="H8528" s="6" t="n">
        <f aca="false">Sens!H8503*Sens!H8527</f>
        <v>20.3536242825865</v>
      </c>
      <c r="I8528" s="6" t="n">
        <f aca="false">Sens!I8503*Sens!I8527</f>
        <v>21.1920899239745</v>
      </c>
      <c r="J8528" s="6" t="n">
        <f aca="false">Sens!J8503*Sens!J8527</f>
        <v>22.1288166207045</v>
      </c>
      <c r="K8528" s="6" t="n">
        <f aca="false">Sens!K8503*Sens!K8527</f>
        <v>23.1493653905379</v>
      </c>
      <c r="L8528" s="12" t="s">
        <v>1063</v>
      </c>
    </row>
    <row r="8529" customFormat="false" ht="15" hidden="false" customHeight="false" outlineLevel="0" collapsed="false">
      <c r="A8529" s="1" t="s">
        <v>1064</v>
      </c>
      <c r="B8529" s="0" t="s">
        <v>98</v>
      </c>
      <c r="D8529" s="6" t="n">
        <f aca="false">Sens!D8526+Sens!D8528</f>
        <v>128.528</v>
      </c>
      <c r="E8529" s="6" t="n">
        <f aca="false">Sens!E8526+Sens!E8528</f>
        <v>155.237</v>
      </c>
      <c r="F8529" s="6" t="n">
        <f aca="false">Sens!F8526+Sens!F8528</f>
        <v>186.473806471746</v>
      </c>
      <c r="G8529" s="6" t="n">
        <f aca="false">Sens!G8526+Sens!G8528</f>
        <v>213.321489397083</v>
      </c>
      <c r="H8529" s="6" t="n">
        <f aca="false">Sens!H8526+Sens!H8528</f>
        <v>249.28374098698</v>
      </c>
      <c r="I8529" s="6" t="n">
        <f aca="false">Sens!I8526+Sens!I8528</f>
        <v>276.716797218862</v>
      </c>
      <c r="J8529" s="6" t="n">
        <f aca="false">Sens!J8526+Sens!J8528</f>
        <v>300.37952481979</v>
      </c>
      <c r="K8529" s="6" t="n">
        <f aca="false">Sens!K8526+Sens!K8528</f>
        <v>321.856974321572</v>
      </c>
    </row>
    <row r="8530" customFormat="false" ht="15" hidden="false" customHeight="false" outlineLevel="0" collapsed="false">
      <c r="A8530" s="26" t="s">
        <v>1065</v>
      </c>
      <c r="B8530" s="31" t="s">
        <v>98</v>
      </c>
      <c r="C8530" s="31"/>
      <c r="D8530" s="27" t="n">
        <f aca="false">Sens!D8529-Q!L23</f>
        <v>0</v>
      </c>
      <c r="E8530" s="27" t="n">
        <f aca="false">Sens!E8529-Q!M23</f>
        <v>0</v>
      </c>
      <c r="F8530" s="31"/>
      <c r="G8530" s="31"/>
      <c r="H8530" s="31"/>
      <c r="I8530" s="31"/>
      <c r="J8530" s="31"/>
      <c r="K8530" s="31"/>
    </row>
    <row r="8531" customFormat="false" ht="15" hidden="false" customHeight="false" outlineLevel="0" collapsed="false">
      <c r="A8531" s="1" t="s">
        <v>1066</v>
      </c>
      <c r="B8531" s="0" t="s">
        <v>168</v>
      </c>
      <c r="D8531" s="7" t="n">
        <f aca="false">Sens!D8529/Sens!D8522</f>
        <v>0.456219562408598</v>
      </c>
      <c r="E8531" s="7" t="n">
        <f aca="false">Sens!E8529/Sens!E8522</f>
        <v>0.467808184089272</v>
      </c>
      <c r="F8531" s="7" t="n">
        <f aca="false">Sens!F8529/Sens!F8522</f>
        <v>0.460270727729557</v>
      </c>
      <c r="G8531" s="7" t="n">
        <f aca="false">Sens!G8529/Sens!G8522</f>
        <v>0.430453882186113</v>
      </c>
      <c r="H8531" s="7" t="n">
        <f aca="false">Sens!H8529/Sens!H8522</f>
        <v>0.420511008512849</v>
      </c>
      <c r="I8531" s="7" t="n">
        <f aca="false">Sens!I8529/Sens!I8522</f>
        <v>0.409703719226942</v>
      </c>
      <c r="J8531" s="7" t="n">
        <f aca="false">Sens!J8529/Sens!J8522</f>
        <v>0.404999728511995</v>
      </c>
      <c r="K8531" s="7" t="n">
        <f aca="false">Sens!K8529/Sens!K8522</f>
        <v>0.405069687085275</v>
      </c>
    </row>
    <row r="8532" customFormat="false" ht="17.15" hidden="false" customHeight="false" outlineLevel="0" collapsed="false">
      <c r="A8532" s="1" t="s">
        <v>1067</v>
      </c>
      <c r="B8532" s="0" t="s">
        <v>98</v>
      </c>
      <c r="F8532" s="6" t="n">
        <f aca="false">Sens!F8547</f>
        <v>7.34182189794105</v>
      </c>
      <c r="G8532" s="6" t="n">
        <f aca="false">Sens!G8547</f>
        <v>20.136722438075</v>
      </c>
      <c r="H8532" s="6" t="n">
        <f aca="false">Sens!H8547</f>
        <v>34.4048139276743</v>
      </c>
      <c r="I8532" s="6" t="n">
        <f aca="false">Sens!I8547</f>
        <v>47.7702857362987</v>
      </c>
      <c r="J8532" s="6" t="n">
        <f aca="false">Sens!J8547</f>
        <v>57.1778965434298</v>
      </c>
      <c r="K8532" s="6" t="n">
        <f aca="false">Sens!K8547</f>
        <v>61.6845843048267</v>
      </c>
      <c r="L8532" s="1" t="s">
        <v>1068</v>
      </c>
    </row>
    <row r="8533" customFormat="false" ht="17.15" hidden="false" customHeight="false" outlineLevel="0" collapsed="false">
      <c r="A8533" s="1" t="s">
        <v>1069</v>
      </c>
      <c r="B8533" s="0" t="s">
        <v>98</v>
      </c>
      <c r="D8533" s="6" t="n">
        <f aca="false">Sens!D8529</f>
        <v>128.528</v>
      </c>
      <c r="E8533" s="6" t="n">
        <f aca="false">Sens!E8529</f>
        <v>155.237</v>
      </c>
      <c r="F8533" s="6" t="n">
        <f aca="false">Sens!F8529+Sens!F8532</f>
        <v>193.815628369687</v>
      </c>
      <c r="G8533" s="6" t="n">
        <f aca="false">Sens!G8529+Sens!G8532</f>
        <v>233.458211835158</v>
      </c>
      <c r="H8533" s="6" t="n">
        <f aca="false">Sens!H8529+Sens!H8532</f>
        <v>283.688554914654</v>
      </c>
      <c r="I8533" s="6" t="n">
        <f aca="false">Sens!I8529+Sens!I8532</f>
        <v>324.487082955161</v>
      </c>
      <c r="J8533" s="6" t="n">
        <f aca="false">Sens!J8529+Sens!J8532</f>
        <v>357.55742136322</v>
      </c>
      <c r="K8533" s="6" t="n">
        <f aca="false">Sens!K8529+Sens!K8532</f>
        <v>383.541558626398</v>
      </c>
    </row>
    <row r="8534" customFormat="false" ht="17.15" hidden="false" customHeight="false" outlineLevel="0" collapsed="false">
      <c r="A8534" s="1" t="s">
        <v>1070</v>
      </c>
      <c r="B8534" s="0" t="s">
        <v>98</v>
      </c>
      <c r="E8534" s="6" t="n">
        <f aca="false">Sens!E8477</f>
        <v>16.3054059770833</v>
      </c>
      <c r="F8534" s="6" t="n">
        <f aca="false">Sens!F8477</f>
        <v>34.5793144783516</v>
      </c>
      <c r="G8534" s="6" t="n">
        <f aca="false">Sens!G8477</f>
        <v>60.7344906522989</v>
      </c>
      <c r="H8534" s="6" t="n">
        <f aca="false">Sens!H8477</f>
        <v>89.1000906614457</v>
      </c>
      <c r="I8534" s="6" t="n">
        <f aca="false">Sens!I8477</f>
        <v>114.231009694548</v>
      </c>
      <c r="J8534" s="6" t="n">
        <f aca="false">Sens!J8477</f>
        <v>132.015673049596</v>
      </c>
      <c r="K8534" s="6" t="n">
        <f aca="false">Sens!K8477</f>
        <v>143.012669550934</v>
      </c>
    </row>
    <row r="8535" customFormat="false" ht="17.15" hidden="false" customHeight="false" outlineLevel="0" collapsed="false">
      <c r="A8535" s="1" t="s">
        <v>1071</v>
      </c>
      <c r="B8535" s="0" t="s">
        <v>98</v>
      </c>
      <c r="E8535" s="6" t="n">
        <f aca="false">Sens!E8559</f>
        <v>22.2285940229167</v>
      </c>
      <c r="F8535" s="6" t="n">
        <f aca="false">Sens!F8559</f>
        <v>23.5962081630308</v>
      </c>
      <c r="G8535" s="6" t="n">
        <f aca="false">Sens!G8559</f>
        <v>25.4323157182709</v>
      </c>
      <c r="H8535" s="6" t="n">
        <f aca="false">Sens!H8559</f>
        <v>27.6985873386305</v>
      </c>
      <c r="I8535" s="6" t="n">
        <f aca="false">Sens!I8559</f>
        <v>30.3127988395143</v>
      </c>
      <c r="J8535" s="6" t="n">
        <f aca="false">Sens!J8559</f>
        <v>33.1776297271633</v>
      </c>
      <c r="K8535" s="6" t="n">
        <f aca="false">Sens!K8559</f>
        <v>36.2084007057811</v>
      </c>
    </row>
    <row r="8536" customFormat="false" ht="17.15" hidden="false" customHeight="false" outlineLevel="0" collapsed="false">
      <c r="A8536" s="1" t="s">
        <v>1072</v>
      </c>
      <c r="B8536" s="0" t="s">
        <v>98</v>
      </c>
      <c r="D8536" s="6" t="n">
        <f aca="false">Q!L27</f>
        <v>-4.901</v>
      </c>
      <c r="E8536" s="6" t="n">
        <f aca="false">Q!M27</f>
        <v>10.697</v>
      </c>
      <c r="F8536" s="6" t="n">
        <f aca="false">Q!$I$27+oie_f*(q_per_yr-1)/q_per_yr</f>
        <v>-0.862</v>
      </c>
      <c r="G8536" s="6" t="n">
        <f aca="false">oie_f</f>
        <v>-1.2</v>
      </c>
      <c r="H8536" s="6" t="n">
        <f aca="false">oie_f</f>
        <v>-1.2</v>
      </c>
      <c r="I8536" s="6" t="n">
        <f aca="false">oie_f</f>
        <v>-1.2</v>
      </c>
      <c r="J8536" s="6" t="n">
        <f aca="false">oie_f</f>
        <v>-1.2</v>
      </c>
      <c r="K8536" s="6" t="n">
        <f aca="false">oie_f</f>
        <v>-1.2</v>
      </c>
      <c r="L8536" s="12" t="s">
        <v>1073</v>
      </c>
    </row>
    <row r="8537" customFormat="false" ht="15" hidden="false" customHeight="false" outlineLevel="0" collapsed="false">
      <c r="A8537" s="1" t="s">
        <v>1074</v>
      </c>
      <c r="B8537" s="0" t="s">
        <v>98</v>
      </c>
      <c r="D8537" s="6" t="n">
        <f aca="false">Sens!D8529+Sens!D8536</f>
        <v>123.627</v>
      </c>
      <c r="E8537" s="6" t="n">
        <f aca="false">Sens!E8529+Sens!E8536</f>
        <v>165.934</v>
      </c>
      <c r="F8537" s="6" t="n">
        <f aca="false">Sens!F8529+Sens!F8536</f>
        <v>185.611806471746</v>
      </c>
      <c r="G8537" s="6" t="n">
        <f aca="false">Sens!G8529+Sens!G8536</f>
        <v>212.121489397083</v>
      </c>
      <c r="H8537" s="6" t="n">
        <f aca="false">Sens!H8529+Sens!H8536</f>
        <v>248.08374098698</v>
      </c>
      <c r="I8537" s="6" t="n">
        <f aca="false">Sens!I8529+Sens!I8536</f>
        <v>275.516797218862</v>
      </c>
      <c r="J8537" s="6" t="n">
        <f aca="false">Sens!J8529+Sens!J8536</f>
        <v>299.17952481979</v>
      </c>
      <c r="K8537" s="6" t="n">
        <f aca="false">Sens!K8529+Sens!K8536</f>
        <v>320.656974321572</v>
      </c>
    </row>
    <row r="8538" customFormat="false" ht="15" hidden="false" customHeight="false" outlineLevel="0" collapsed="false">
      <c r="A8538" s="1" t="s">
        <v>1075</v>
      </c>
      <c r="B8538" s="0" t="s">
        <v>98</v>
      </c>
      <c r="D8538" s="6" t="n">
        <f aca="false">Q!L29</f>
        <v>21.795</v>
      </c>
      <c r="E8538" s="6" t="n">
        <f aca="false">Q!M29</f>
        <v>32.185</v>
      </c>
      <c r="F8538" s="6" t="n">
        <f aca="false">Q!$I$29+(Sens!F8537-Q!$I$28)*tax_f</f>
        <v>37.2557612943492</v>
      </c>
      <c r="G8538" s="6" t="n">
        <f aca="false">Sens!G8537*tax_f</f>
        <v>42.4242978794166</v>
      </c>
      <c r="H8538" s="6" t="n">
        <f aca="false">Sens!H8537*tax_f</f>
        <v>49.616748197396</v>
      </c>
      <c r="I8538" s="6" t="n">
        <f aca="false">Sens!I8537*tax_f</f>
        <v>55.1033594437724</v>
      </c>
      <c r="J8538" s="6" t="n">
        <f aca="false">Sens!J8537*tax_f</f>
        <v>59.8359049639579</v>
      </c>
      <c r="K8538" s="6" t="n">
        <f aca="false">Sens!K8537*tax_f</f>
        <v>64.1313948643143</v>
      </c>
    </row>
    <row r="8539" customFormat="false" ht="15" hidden="false" customHeight="false" outlineLevel="0" collapsed="false">
      <c r="A8539" s="1" t="s">
        <v>1076</v>
      </c>
      <c r="B8539" s="0" t="s">
        <v>98</v>
      </c>
      <c r="D8539" s="6" t="n">
        <f aca="false">Sens!D8537-Sens!D8538</f>
        <v>101.832</v>
      </c>
      <c r="E8539" s="6" t="n">
        <f aca="false">Sens!E8537-Sens!E8538</f>
        <v>133.749</v>
      </c>
      <c r="F8539" s="6" t="n">
        <f aca="false">Sens!F8537-Sens!F8538</f>
        <v>148.356045177397</v>
      </c>
      <c r="G8539" s="6" t="n">
        <f aca="false">Sens!G8537-Sens!G8538</f>
        <v>169.697191517666</v>
      </c>
      <c r="H8539" s="6" t="n">
        <f aca="false">Sens!H8537-Sens!H8538</f>
        <v>198.466992789584</v>
      </c>
      <c r="I8539" s="6" t="n">
        <f aca="false">Sens!I8537-Sens!I8538</f>
        <v>220.41343777509</v>
      </c>
      <c r="J8539" s="6" t="n">
        <f aca="false">Sens!J8537-Sens!J8538</f>
        <v>239.343619855832</v>
      </c>
      <c r="K8539" s="6" t="n">
        <f aca="false">Sens!K8537-Sens!K8538</f>
        <v>256.525579457257</v>
      </c>
    </row>
    <row r="8540" customFormat="false" ht="17.15" hidden="false" customHeight="false" outlineLevel="0" collapsed="false">
      <c r="A8540" s="1" t="s">
        <v>1077</v>
      </c>
      <c r="B8540" s="1" t="s">
        <v>81</v>
      </c>
      <c r="D8540" s="15" t="n">
        <f aca="false">Q!L31</f>
        <v>7.465</v>
      </c>
      <c r="E8540" s="15" t="n">
        <f aca="false">Q!M31</f>
        <v>7.453</v>
      </c>
      <c r="F8540" s="15" t="n">
        <f aca="false">Sens!F8584</f>
        <v>7.46986773889038</v>
      </c>
      <c r="G8540" s="15" t="n">
        <f aca="false">Sens!G8584</f>
        <v>7.50706860544134</v>
      </c>
      <c r="H8540" s="15" t="n">
        <f aca="false">Sens!H8584</f>
        <v>7.53060167213072</v>
      </c>
      <c r="I8540" s="15" t="n">
        <f aca="false">Sens!I8584</f>
        <v>7.54228303618619</v>
      </c>
      <c r="J8540" s="15" t="n">
        <f aca="false">Sens!J8584</f>
        <v>7.55643244734866</v>
      </c>
      <c r="K8540" s="15" t="n">
        <f aca="false">Sens!K8584</f>
        <v>7.57286708731392</v>
      </c>
    </row>
    <row r="8541" customFormat="false" ht="17.15" hidden="false" customHeight="false" outlineLevel="0" collapsed="false">
      <c r="A8541" s="0" t="s">
        <v>1078</v>
      </c>
      <c r="B8541" s="0" t="s">
        <v>75</v>
      </c>
      <c r="D8541" s="8" t="n">
        <f aca="false">Sens!D8539/Sens!D8540</f>
        <v>13.641259209645</v>
      </c>
      <c r="E8541" s="8" t="n">
        <f aca="false">Sens!E8539/Sens!E8540</f>
        <v>17.9456594659869</v>
      </c>
      <c r="F8541" s="8" t="n">
        <f aca="false">Sens!F8539/Sens!F8540</f>
        <v>19.8605986562534</v>
      </c>
      <c r="G8541" s="8" t="n">
        <f aca="false">Sens!G8539/Sens!G8540</f>
        <v>22.6049874373953</v>
      </c>
      <c r="H8541" s="8" t="n">
        <f aca="false">Sens!H8539/Sens!H8540</f>
        <v>26.3547325207853</v>
      </c>
      <c r="I8541" s="8" t="n">
        <f aca="false">Sens!I8539/Sens!I8540</f>
        <v>29.2237027856943</v>
      </c>
      <c r="J8541" s="8" t="n">
        <f aca="false">Sens!J8539/Sens!J8540</f>
        <v>31.6741559622902</v>
      </c>
      <c r="K8541" s="8" t="n">
        <f aca="false">Sens!K8539/Sens!K8540</f>
        <v>33.8743010407498</v>
      </c>
      <c r="L8541" s="1" t="s">
        <v>1079</v>
      </c>
    </row>
    <row r="8542" customFormat="false" ht="17.15" hidden="false" customHeight="false" outlineLevel="0" collapsed="false">
      <c r="A8542" s="1" t="s">
        <v>1080</v>
      </c>
      <c r="B8542" s="0" t="s">
        <v>98</v>
      </c>
      <c r="D8542" s="6" t="n">
        <f aca="false">Sens!D8539</f>
        <v>101.832</v>
      </c>
      <c r="E8542" s="6" t="n">
        <f aca="false">Sens!E8539</f>
        <v>133.749</v>
      </c>
      <c r="F8542" s="6" t="n">
        <f aca="false">Sens!F8539+Sens!F8532*(1-tax_f)</f>
        <v>154.22950269575</v>
      </c>
      <c r="G8542" s="6" t="n">
        <f aca="false">Sens!G8539+Sens!G8532*(1-tax_f)</f>
        <v>185.806569468126</v>
      </c>
      <c r="H8542" s="6" t="n">
        <f aca="false">Sens!H8539+Sens!H8532*(1-tax_f)</f>
        <v>225.990843931723</v>
      </c>
      <c r="I8542" s="6" t="n">
        <f aca="false">Sens!I8539+Sens!I8532*(1-tax_f)</f>
        <v>258.629666364129</v>
      </c>
      <c r="J8542" s="6" t="n">
        <f aca="false">Sens!J8539+Sens!J8532*(1-tax_f)</f>
        <v>285.085937090576</v>
      </c>
      <c r="K8542" s="6" t="n">
        <f aca="false">Sens!K8539+Sens!K8532*(1-tax_f)</f>
        <v>305.873246901119</v>
      </c>
    </row>
    <row r="8543" customFormat="false" ht="17.15" hidden="false" customHeight="false" outlineLevel="0" collapsed="false">
      <c r="A8543" s="0" t="s">
        <v>1081</v>
      </c>
      <c r="B8543" s="0" t="s">
        <v>75</v>
      </c>
      <c r="D8543" s="8" t="n">
        <f aca="false">Sens!D8542/Sens!D8540</f>
        <v>13.641259209645</v>
      </c>
      <c r="E8543" s="8" t="n">
        <f aca="false">Sens!E8542/Sens!E8540</f>
        <v>17.9456594659869</v>
      </c>
      <c r="F8543" s="8" t="n">
        <f aca="false">Sens!F8542/Sens!F8540</f>
        <v>20.6468853381144</v>
      </c>
      <c r="G8543" s="8" t="n">
        <f aca="false">Sens!G8542/Sens!G8540</f>
        <v>24.7508820331612</v>
      </c>
      <c r="H8543" s="8" t="n">
        <f aca="false">Sens!H8542/Sens!H8540</f>
        <v>30.0096663946616</v>
      </c>
      <c r="I8543" s="8" t="n">
        <f aca="false">Sens!I8542/Sens!I8540</f>
        <v>34.2906339000116</v>
      </c>
      <c r="J8543" s="8" t="n">
        <f aca="false">Sens!J8542/Sens!J8540</f>
        <v>37.7275836285156</v>
      </c>
      <c r="K8543" s="8" t="n">
        <f aca="false">Sens!K8542/Sens!K8540</f>
        <v>40.3906794315086</v>
      </c>
      <c r="L8543" s="1" t="s">
        <v>1082</v>
      </c>
    </row>
    <row r="8544" customFormat="false" ht="17.15" hidden="false" customHeight="false" outlineLevel="0" collapsed="false">
      <c r="A8544" s="0" t="s">
        <v>1083</v>
      </c>
      <c r="B8544" s="0" t="s">
        <v>168</v>
      </c>
      <c r="E8544" s="7" t="n">
        <f aca="false">Sens!E8543/Sens!D8543-1</f>
        <v>0.315542736208578</v>
      </c>
      <c r="F8544" s="7" t="n">
        <f aca="false">Sens!F8543/Sens!E8543-1</f>
        <v>0.15052251923354</v>
      </c>
      <c r="G8544" s="7" t="n">
        <f aca="false">Sens!G8543/Sens!F8543-1</f>
        <v>0.198770740857009</v>
      </c>
      <c r="H8544" s="7" t="n">
        <f aca="false">Sens!H8543/Sens!G8543-1</f>
        <v>0.212468563926518</v>
      </c>
      <c r="I8544" s="7" t="n">
        <f aca="false">Sens!I8543/Sens!H8543-1</f>
        <v>0.142652952187152</v>
      </c>
      <c r="J8544" s="7" t="n">
        <f aca="false">Sens!J8543/Sens!I8543-1</f>
        <v>0.100229985206044</v>
      </c>
      <c r="K8544" s="7" t="n">
        <f aca="false">Sens!K8543/Sens!J8543-1</f>
        <v>0.0705874998307645</v>
      </c>
    </row>
    <row r="8545" customFormat="false" ht="17.15" hidden="false" customHeight="false" outlineLevel="0" collapsed="false">
      <c r="A8545" s="0" t="s">
        <v>1003</v>
      </c>
      <c r="B8545" s="0" t="s">
        <v>98</v>
      </c>
      <c r="E8545" s="6" t="n">
        <f aca="false">Sens!E8486</f>
        <v>5.25</v>
      </c>
      <c r="F8545" s="6" t="n">
        <f aca="false">Sens!F8486</f>
        <v>16.2</v>
      </c>
      <c r="G8545" s="6" t="n">
        <f aca="false">Sens!G8486</f>
        <v>27</v>
      </c>
      <c r="H8545" s="6" t="n">
        <f aca="false">Sens!H8486</f>
        <v>37.8</v>
      </c>
      <c r="I8545" s="6" t="n">
        <f aca="false">Sens!I8486</f>
        <v>45.9</v>
      </c>
      <c r="J8545" s="6" t="n">
        <f aca="false">Sens!J8486</f>
        <v>51.3</v>
      </c>
      <c r="K8545" s="6" t="n">
        <f aca="false">Sens!K8486</f>
        <v>56.7</v>
      </c>
    </row>
    <row r="8546" customFormat="false" ht="17.15" hidden="false" customHeight="false" outlineLevel="0" collapsed="false">
      <c r="A8546" s="1" t="s">
        <v>1004</v>
      </c>
      <c r="B8546" s="0" t="s">
        <v>98</v>
      </c>
      <c r="F8546" s="6" t="n">
        <f aca="false">MAX(0,((Sens!E8446+Sens!F8446)/2-(shadow_base*(Sens!$D$8446+Sens!$E$8446)/2+(1-shadow_base)*Sens!$E$8446))*Sens!F8455/1000-(Sens!F8545-Sens!$E$8545)*Sens!F8525)</f>
        <v>7.34182189794105</v>
      </c>
      <c r="G8546" s="6" t="n">
        <f aca="false">MAX(0,((Sens!F8446+Sens!G8446)/2-(shadow_base*(Sens!$D$8446+Sens!$E$8446)/2+(1-shadow_base)*Sens!$E$8446))*Sens!G8455/1000-(Sens!G8545-Sens!$E$8545)*Sens!G8525)</f>
        <v>20.136722438075</v>
      </c>
      <c r="H8546" s="6" t="n">
        <f aca="false">MAX(0,((Sens!G8446+Sens!H8446)/2-(shadow_base*(Sens!$D$8446+Sens!$E$8446)/2+(1-shadow_base)*Sens!$E$8446))*Sens!H8455/1000-(Sens!H8545-Sens!$E$8545)*Sens!H8525)</f>
        <v>34.4048139276743</v>
      </c>
      <c r="I8546" s="6" t="n">
        <f aca="false">MAX(0,((Sens!H8446+Sens!I8446)/2-(shadow_base*(Sens!$D$8446+Sens!$E$8446)/2+(1-shadow_base)*Sens!$E$8446))*Sens!I8455/1000-(Sens!I8545-Sens!$E$8545)*Sens!I8525)</f>
        <v>47.7702857362987</v>
      </c>
      <c r="J8546" s="6" t="n">
        <f aca="false">MAX(0,((Sens!I8446+Sens!J8446)/2-(shadow_base*(Sens!$D$8446+Sens!$E$8446)/2+(1-shadow_base)*Sens!$E$8446))*Sens!J8455/1000-(Sens!J8545-Sens!$E$8545)*Sens!J8525)</f>
        <v>57.1778965434298</v>
      </c>
      <c r="K8546" s="6" t="n">
        <f aca="false">MAX(0,((Sens!J8446+Sens!K8446)/2-(shadow_base*(Sens!$D$8446+Sens!$E$8446)/2+(1-shadow_base)*Sens!$E$8446))*Sens!K8455/1000-(Sens!K8545-Sens!$E$8545)*Sens!K8525)</f>
        <v>61.6845843048267</v>
      </c>
      <c r="L8546" s="1" t="s">
        <v>1005</v>
      </c>
    </row>
    <row r="8547" customFormat="false" ht="17.15" hidden="false" customHeight="false" outlineLevel="0" collapsed="false">
      <c r="A8547" s="1" t="s">
        <v>1006</v>
      </c>
      <c r="B8547" s="0" t="s">
        <v>98</v>
      </c>
      <c r="F8547" s="6" t="n">
        <f aca="false">IF(internal_ai_reading=2,1,0)*Sens!F8546</f>
        <v>7.34182189794105</v>
      </c>
      <c r="G8547" s="6" t="n">
        <f aca="false">IF(internal_ai_reading=2,1,0)*Sens!G8546</f>
        <v>20.136722438075</v>
      </c>
      <c r="H8547" s="6" t="n">
        <f aca="false">IF(internal_ai_reading=2,1,0)*Sens!H8546</f>
        <v>34.4048139276743</v>
      </c>
      <c r="I8547" s="6" t="n">
        <f aca="false">IF(internal_ai_reading=2,1,0)*Sens!I8546</f>
        <v>47.7702857362987</v>
      </c>
      <c r="J8547" s="6" t="n">
        <f aca="false">IF(internal_ai_reading=2,1,0)*Sens!J8546</f>
        <v>57.1778965434298</v>
      </c>
      <c r="K8547" s="6" t="n">
        <f aca="false">IF(internal_ai_reading=2,1,0)*Sens!K8546</f>
        <v>61.6845843048267</v>
      </c>
    </row>
    <row r="8548" customFormat="false" ht="17.15" hidden="false" customHeight="false" outlineLevel="0" collapsed="false">
      <c r="A8548" s="0" t="s">
        <v>1007</v>
      </c>
      <c r="B8548" s="0" t="s">
        <v>98</v>
      </c>
      <c r="F8548" s="6" t="n">
        <f aca="false">Sens!F8465+Sens!F8545*Sens!F8525+Sens!F8547-Sens!F8466-Sens!F8477</f>
        <v>18.5068678152817</v>
      </c>
      <c r="G8548" s="6" t="n">
        <f aca="false">Sens!G8465+Sens!G8545*Sens!G8525+Sens!G8547-Sens!G8466-Sens!G8477</f>
        <v>43.1983864982792</v>
      </c>
      <c r="H8548" s="6" t="n">
        <f aca="false">Sens!H8465+Sens!H8545*Sens!H8525+Sens!H8547-Sens!H8466-Sens!H8477</f>
        <v>73.502598356074</v>
      </c>
      <c r="I8548" s="6" t="n">
        <f aca="false">Sens!I8465+Sens!I8545*Sens!I8525+Sens!I8547-Sens!I8466-Sens!I8477</f>
        <v>94.7454135378504</v>
      </c>
      <c r="J8548" s="6" t="n">
        <f aca="false">Sens!J8465+Sens!J8545*Sens!J8525+Sens!J8547-Sens!J8466-Sens!J8477</f>
        <v>109.399608126358</v>
      </c>
      <c r="K8548" s="6" t="n">
        <f aca="false">Sens!K8465+Sens!K8545*Sens!K8525+Sens!K8547-Sens!K8466-Sens!K8477</f>
        <v>118.898703181943</v>
      </c>
    </row>
    <row r="8549" customFormat="false" ht="17.15" hidden="false" customHeight="false" outlineLevel="0" collapsed="false">
      <c r="A8549" s="0" t="s">
        <v>1008</v>
      </c>
      <c r="B8549" s="0" t="s">
        <v>98</v>
      </c>
      <c r="E8549" s="6" t="n">
        <f aca="false">Sens!E8445*(cxit_open+self_build*tk_cxfac)/1000*ai_net_open</f>
        <v>126.6980382</v>
      </c>
      <c r="F8549" s="6" t="n">
        <f aca="false">Sens!E8549+Sens!F8474-Sens!F8477</f>
        <v>260.572627763768</v>
      </c>
      <c r="G8549" s="6" t="n">
        <f aca="false">Sens!F8549+Sens!G8474-Sens!G8477</f>
        <v>391.782612760517</v>
      </c>
      <c r="H8549" s="6" t="n">
        <f aca="false">Sens!G8549+Sens!H8474-Sens!H8477</f>
        <v>499.488526163584</v>
      </c>
      <c r="I8549" s="6" t="n">
        <f aca="false">Sens!H8549+Sens!I8474-Sens!I8477</f>
        <v>553.872350090646</v>
      </c>
      <c r="J8549" s="6" t="n">
        <f aca="false">Sens!I8549+Sens!J8474-Sens!J8477</f>
        <v>550.78660823699</v>
      </c>
      <c r="K8549" s="6" t="n">
        <f aca="false">Sens!J8549+Sens!K8474-Sens!K8477</f>
        <v>526.736791750789</v>
      </c>
      <c r="L8549" s="1" t="s">
        <v>1009</v>
      </c>
    </row>
    <row r="8550" customFormat="false" ht="17.15" hidden="false" customHeight="false" outlineLevel="0" collapsed="false">
      <c r="A8550" s="0" t="s">
        <v>1010</v>
      </c>
      <c r="B8550" s="0" t="s">
        <v>168</v>
      </c>
      <c r="F8550" s="7" t="n">
        <f aca="false">Sens!F8548*(1-tax_f)/((Sens!E8549+Sens!F8549)/2)</f>
        <v>0.0764607059271074</v>
      </c>
      <c r="G8550" s="7" t="n">
        <f aca="false">Sens!G8548*(1-tax_f)/((Sens!F8549+Sens!G8549)/2)</f>
        <v>0.105950583522098</v>
      </c>
      <c r="H8550" s="7" t="n">
        <f aca="false">Sens!H8548*(1-tax_f)/((Sens!G8549+Sens!H8549)/2)</f>
        <v>0.131951044114011</v>
      </c>
      <c r="I8550" s="7" t="n">
        <f aca="false">Sens!I8548*(1-tax_f)/((Sens!H8549+Sens!I8549)/2)</f>
        <v>0.143913320760143</v>
      </c>
      <c r="J8550" s="7" t="n">
        <f aca="false">Sens!J8548*(1-tax_f)/((Sens!I8549+Sens!J8549)/2)</f>
        <v>0.158455577336889</v>
      </c>
      <c r="K8550" s="7" t="n">
        <f aca="false">Sens!K8548*(1-tax_f)/((Sens!J8549+Sens!K8549)/2)</f>
        <v>0.176551084731214</v>
      </c>
    </row>
    <row r="8551" customFormat="false" ht="17.15" hidden="false" customHeight="false" outlineLevel="0" collapsed="false">
      <c r="A8551" s="1" t="s">
        <v>1011</v>
      </c>
      <c r="B8551" s="0" t="s">
        <v>168</v>
      </c>
      <c r="F8551" s="7" t="n">
        <f aca="false">(Sens!F8548-Sens!F8547)*(1-tax_f)/((Sens!E8549+Sens!F8549)/2)</f>
        <v>0.0461281347588984</v>
      </c>
      <c r="G8551" s="7" t="n">
        <f aca="false">(Sens!G8548-Sens!G8547)*(1-tax_f)/((Sens!F8549+Sens!G8549)/2)</f>
        <v>0.0565622228567858</v>
      </c>
      <c r="H8551" s="7" t="n">
        <f aca="false">(Sens!H8548-Sens!H8547)*(1-tax_f)/((Sens!G8549+Sens!H8549)/2)</f>
        <v>0.0701879061863875</v>
      </c>
      <c r="I8551" s="7" t="n">
        <f aca="false">(Sens!I8548-Sens!I8547)*(1-tax_f)/((Sens!H8549+Sens!I8549)/2)</f>
        <v>0.0713527587523031</v>
      </c>
      <c r="J8551" s="7" t="n">
        <f aca="false">(Sens!J8548-Sens!J8547)*(1-tax_f)/((Sens!I8549+Sens!J8549)/2)</f>
        <v>0.0756384926793875</v>
      </c>
      <c r="K8551" s="7" t="n">
        <f aca="false">(Sens!K8548-Sens!K8547)*(1-tax_f)/((Sens!J8549+Sens!K8549)/2)</f>
        <v>0.0849564753808815</v>
      </c>
    </row>
    <row r="8552" customFormat="false" ht="17.15" hidden="false" customHeight="false" outlineLevel="0" collapsed="false">
      <c r="A8552" s="1" t="s">
        <v>1012</v>
      </c>
      <c r="B8552" s="0" t="s">
        <v>168</v>
      </c>
      <c r="F8552" s="7" t="n">
        <f aca="false">(Sens!F8548-Sens!F8547+Sens!F8546)*(1-tax_f)/((Sens!E8549+Sens!F8549)/2)</f>
        <v>0.0764607059271074</v>
      </c>
      <c r="G8552" s="7" t="n">
        <f aca="false">(Sens!G8548-Sens!G8547+Sens!G8546)*(1-tax_f)/((Sens!F8549+Sens!G8549)/2)</f>
        <v>0.105950583522098</v>
      </c>
      <c r="H8552" s="7" t="n">
        <f aca="false">(Sens!H8548-Sens!H8547+Sens!H8546)*(1-tax_f)/((Sens!G8549+Sens!H8549)/2)</f>
        <v>0.131951044114011</v>
      </c>
      <c r="I8552" s="7" t="n">
        <f aca="false">(Sens!I8548-Sens!I8547+Sens!I8546)*(1-tax_f)/((Sens!H8549+Sens!I8549)/2)</f>
        <v>0.143913320760143</v>
      </c>
      <c r="J8552" s="7" t="n">
        <f aca="false">(Sens!J8548-Sens!J8547+Sens!J8546)*(1-tax_f)/((Sens!I8549+Sens!J8549)/2)</f>
        <v>0.158455577336889</v>
      </c>
      <c r="K8552" s="7" t="n">
        <f aca="false">(Sens!K8548-Sens!K8547+Sens!K8546)*(1-tax_f)/((Sens!J8549+Sens!K8549)/2)</f>
        <v>0.176551084731214</v>
      </c>
    </row>
    <row r="8553" customFormat="false" ht="17.15" hidden="false" customHeight="false" outlineLevel="0" collapsed="false">
      <c r="A8553" s="1" t="s">
        <v>1013</v>
      </c>
      <c r="B8553" s="0" t="s">
        <v>168</v>
      </c>
      <c r="F8553" s="7" t="n">
        <f aca="false">Sens!F8478*(1-tax_f)/(Sens!F8464*(Sens!E8549+Sens!F8549)/2)</f>
        <v>0.15471433083293</v>
      </c>
      <c r="G8553" s="7" t="n">
        <f aca="false">Sens!G8478*(1-tax_f)/(Sens!G8464*(Sens!F8549+Sens!G8549)/2)</f>
        <v>0.176916911437355</v>
      </c>
      <c r="H8553" s="7" t="n">
        <f aca="false">Sens!H8478*(1-tax_f)/(Sens!H8464*(Sens!G8549+Sens!H8549)/2)</f>
        <v>0.207487057996582</v>
      </c>
      <c r="I8553" s="7" t="n">
        <f aca="false">Sens!I8478*(1-tax_f)/(Sens!I8464*(Sens!H8549+Sens!I8549)/2)</f>
        <v>0.219873660070946</v>
      </c>
      <c r="J8553" s="7" t="n">
        <f aca="false">Sens!J8478*(1-tax_f)/(Sens!J8464*(Sens!I8549+Sens!J8549)/2)</f>
        <v>0.238959457974928</v>
      </c>
      <c r="K8553" s="7" t="n">
        <f aca="false">Sens!K8478*(1-tax_f)/(Sens!K8464*(Sens!J8549+Sens!K8549)/2)</f>
        <v>0.264604270651536</v>
      </c>
    </row>
    <row r="8554" customFormat="false" ht="17.15" hidden="false" customHeight="false" outlineLevel="0" collapsed="false">
      <c r="A8554" s="0" t="s">
        <v>1014</v>
      </c>
      <c r="B8554" s="0" t="s">
        <v>253</v>
      </c>
      <c r="F8554" s="7" t="n">
        <f aca="false">Sens!F8550-wacc</f>
        <v>-0.0264758850184899</v>
      </c>
      <c r="G8554" s="7" t="n">
        <f aca="false">Sens!G8550-wacc</f>
        <v>0.00301399257650095</v>
      </c>
      <c r="H8554" s="7" t="n">
        <f aca="false">Sens!H8550-wacc</f>
        <v>0.0290144531684132</v>
      </c>
      <c r="I8554" s="7" t="n">
        <f aca="false">Sens!I8550-wacc</f>
        <v>0.040976729814546</v>
      </c>
      <c r="J8554" s="7" t="n">
        <f aca="false">Sens!J8550-wacc</f>
        <v>0.0555189863912922</v>
      </c>
      <c r="K8554" s="7" t="n">
        <f aca="false">Sens!K8550-wacc</f>
        <v>0.0736144937856168</v>
      </c>
    </row>
    <row r="8555" customFormat="false" ht="17.15" hidden="false" customHeight="false" outlineLevel="0" collapsed="false">
      <c r="A8555" s="0" t="s">
        <v>1015</v>
      </c>
      <c r="B8555" s="0" t="s">
        <v>98</v>
      </c>
      <c r="F8555" s="6" t="n">
        <f aca="false">Sens!F8548*(1-tax_f)-wacc*(Sens!E8549+Sens!F8549)/2</f>
        <v>-5.12666681154536</v>
      </c>
      <c r="G8555" s="6" t="n">
        <f aca="false">Sens!G8548*(1-tax_f)-wacc*(Sens!F8549+Sens!G8549)/2</f>
        <v>0.983096926090845</v>
      </c>
      <c r="H8555" s="6" t="n">
        <f aca="false">Sens!H8548*(1-tax_f)-wacc*(Sens!G8549+Sens!H8549)/2</f>
        <v>12.9298723603358</v>
      </c>
      <c r="I8555" s="6" t="n">
        <f aca="false">Sens!I8548*(1-tax_f)-wacc*(Sens!H8549+Sens!I8549)/2</f>
        <v>21.5816420117415</v>
      </c>
      <c r="J8555" s="6" t="n">
        <f aca="false">Sens!J8548*(1-tax_f)-wacc*(Sens!I8549+Sens!J8549)/2</f>
        <v>30.6647728372055</v>
      </c>
      <c r="K8555" s="6" t="n">
        <f aca="false">Sens!K8548*(1-tax_f)-wacc*(Sens!J8549+Sens!K8549)/2</f>
        <v>39.6606698161285</v>
      </c>
    </row>
    <row r="8556" customFormat="false" ht="17.15" hidden="false" customHeight="false" outlineLevel="0" collapsed="false">
      <c r="A8556" s="3" t="s">
        <v>1693</v>
      </c>
    </row>
    <row r="8557" customFormat="false" ht="15" hidden="false" customHeight="false" outlineLevel="0" collapsed="false">
      <c r="A8557" s="4" t="s">
        <v>43</v>
      </c>
      <c r="B8557" s="4" t="s">
        <v>65</v>
      </c>
      <c r="C8557" s="23" t="s">
        <v>938</v>
      </c>
      <c r="D8557" s="23" t="s">
        <v>939</v>
      </c>
      <c r="E8557" s="23" t="s">
        <v>940</v>
      </c>
      <c r="F8557" s="23" t="s">
        <v>941</v>
      </c>
      <c r="G8557" s="23" t="s">
        <v>942</v>
      </c>
      <c r="H8557" s="23" t="s">
        <v>943</v>
      </c>
      <c r="I8557" s="23" t="s">
        <v>944</v>
      </c>
      <c r="J8557" s="23" t="s">
        <v>945</v>
      </c>
      <c r="K8557" s="23" t="s">
        <v>946</v>
      </c>
      <c r="L8557" s="4" t="s">
        <v>47</v>
      </c>
    </row>
    <row r="8558" customFormat="false" ht="15" hidden="false" customHeight="false" outlineLevel="0" collapsed="false">
      <c r="A8558" s="1" t="s">
        <v>1076</v>
      </c>
      <c r="B8558" s="0" t="s">
        <v>98</v>
      </c>
      <c r="F8558" s="6" t="n">
        <f aca="false">Sens!F8539</f>
        <v>148.356045177397</v>
      </c>
      <c r="G8558" s="6" t="n">
        <f aca="false">Sens!G8539</f>
        <v>169.697191517666</v>
      </c>
      <c r="H8558" s="6" t="n">
        <f aca="false">Sens!H8539</f>
        <v>198.466992789584</v>
      </c>
      <c r="I8558" s="6" t="n">
        <f aca="false">Sens!I8539</f>
        <v>220.41343777509</v>
      </c>
      <c r="J8558" s="6" t="n">
        <f aca="false">Sens!J8539</f>
        <v>239.343619855832</v>
      </c>
      <c r="K8558" s="6" t="n">
        <f aca="false">Sens!K8539</f>
        <v>256.525579457257</v>
      </c>
    </row>
    <row r="8559" customFormat="false" ht="17.15" hidden="false" customHeight="false" outlineLevel="0" collapsed="false">
      <c r="A8559" s="1" t="s">
        <v>1098</v>
      </c>
      <c r="B8559" s="0" t="s">
        <v>98</v>
      </c>
      <c r="E8559" s="6" t="n">
        <f aca="false">Q!M38-Sens!E8477</f>
        <v>22.2285940229167</v>
      </c>
      <c r="F8559" s="6" t="n">
        <f aca="false">Sens!E8559*(1-1/life_nonai)+(Sens!F8567+Sens!F8568)/life_nonai</f>
        <v>23.5962081630308</v>
      </c>
      <c r="G8559" s="6" t="n">
        <f aca="false">Sens!F8559*(1-1/life_nonai)+(Sens!G8567)/life_nonai</f>
        <v>25.4323157182709</v>
      </c>
      <c r="H8559" s="6" t="n">
        <f aca="false">Sens!G8559*(1-1/life_nonai)+(Sens!H8567)/life_nonai</f>
        <v>27.6985873386305</v>
      </c>
      <c r="I8559" s="6" t="n">
        <f aca="false">Sens!H8559*(1-1/life_nonai)+(Sens!I8567)/life_nonai</f>
        <v>30.3127988395143</v>
      </c>
      <c r="J8559" s="6" t="n">
        <f aca="false">Sens!I8559*(1-1/life_nonai)+(Sens!J8567)/life_nonai</f>
        <v>33.1776297271633</v>
      </c>
      <c r="K8559" s="6" t="n">
        <f aca="false">Sens!J8559*(1-1/life_nonai)+(Sens!K8567)/life_nonai</f>
        <v>36.2084007057811</v>
      </c>
      <c r="L8559" s="12" t="s">
        <v>1099</v>
      </c>
    </row>
    <row r="8560" customFormat="false" ht="17.15" hidden="false" customHeight="false" outlineLevel="0" collapsed="false">
      <c r="A8560" s="1" t="s">
        <v>1100</v>
      </c>
      <c r="B8560" s="0" t="s">
        <v>98</v>
      </c>
      <c r="F8560" s="6" t="n">
        <f aca="false">Sens!$F$8568/life_nonai*(1-1/life_nonai)^(Sens!F8440-2027)</f>
        <v>0</v>
      </c>
      <c r="G8560" s="6" t="n">
        <f aca="false">Sens!$F$8568/life_nonai*(1-1/life_nonai)^(Sens!G8440-2027)</f>
        <v>0</v>
      </c>
      <c r="H8560" s="6" t="n">
        <f aca="false">Sens!$F$8568/life_nonai*(1-1/life_nonai)^(Sens!H8440-2027)</f>
        <v>0</v>
      </c>
      <c r="I8560" s="6" t="n">
        <f aca="false">Sens!$F$8568/life_nonai*(1-1/life_nonai)^(Sens!I8440-2027)</f>
        <v>0</v>
      </c>
      <c r="J8560" s="6" t="n">
        <f aca="false">Sens!$F$8568/life_nonai*(1-1/life_nonai)^(Sens!J8440-2027)</f>
        <v>0</v>
      </c>
      <c r="K8560" s="6" t="n">
        <f aca="false">Sens!$F$8568/life_nonai*(1-1/life_nonai)^(Sens!K8440-2027)</f>
        <v>0</v>
      </c>
      <c r="L8560" s="1" t="s">
        <v>1101</v>
      </c>
    </row>
    <row r="8561" customFormat="false" ht="17.15" hidden="false" customHeight="false" outlineLevel="0" collapsed="false">
      <c r="A8561" s="1" t="s">
        <v>1102</v>
      </c>
      <c r="B8561" s="0" t="s">
        <v>98</v>
      </c>
      <c r="E8561" s="6" t="n">
        <f aca="false">Sens!E8477+Sens!E8559</f>
        <v>38.534</v>
      </c>
      <c r="F8561" s="6" t="n">
        <f aca="false">Sens!F8477+Sens!F8559</f>
        <v>58.1755226413824</v>
      </c>
      <c r="G8561" s="6" t="n">
        <f aca="false">Sens!G8477+Sens!G8559</f>
        <v>86.1668063705698</v>
      </c>
      <c r="H8561" s="6" t="n">
        <f aca="false">Sens!H8477+Sens!H8559</f>
        <v>116.798678000076</v>
      </c>
      <c r="I8561" s="6" t="n">
        <f aca="false">Sens!I8477+Sens!I8559</f>
        <v>144.543808534063</v>
      </c>
      <c r="J8561" s="6" t="n">
        <f aca="false">Sens!J8477+Sens!J8559</f>
        <v>165.193302776759</v>
      </c>
      <c r="K8561" s="6" t="n">
        <f aca="false">Sens!K8477+Sens!K8559</f>
        <v>179.221070256715</v>
      </c>
    </row>
    <row r="8562" customFormat="false" ht="17.15" hidden="false" customHeight="false" outlineLevel="0" collapsed="false">
      <c r="A8562" s="1" t="s">
        <v>1103</v>
      </c>
      <c r="B8562" s="0" t="s">
        <v>98</v>
      </c>
      <c r="F8562" s="6" t="n">
        <f aca="false">Sens!F8504*sbc_r</f>
        <v>15.1451585167787</v>
      </c>
      <c r="G8562" s="6" t="n">
        <f aca="false">Sens!G8504*sbc_r</f>
        <v>18.5258149166705</v>
      </c>
      <c r="H8562" s="6" t="n">
        <f aca="false">Sens!H8504*sbc_r</f>
        <v>22.1608251163687</v>
      </c>
      <c r="I8562" s="6" t="n">
        <f aca="false">Sens!I8504*sbc_r</f>
        <v>25.2484637585834</v>
      </c>
      <c r="J8562" s="6" t="n">
        <f aca="false">Sens!J8504*sbc_r</f>
        <v>27.7258542878855</v>
      </c>
      <c r="K8562" s="6" t="n">
        <f aca="false">Sens!K8504*sbc_r</f>
        <v>29.7031509611704</v>
      </c>
    </row>
    <row r="8563" customFormat="false" ht="17.15" hidden="false" customHeight="false" outlineLevel="0" collapsed="false">
      <c r="A8563" s="1" t="s">
        <v>1104</v>
      </c>
      <c r="B8563" s="0" t="s">
        <v>98</v>
      </c>
      <c r="F8563" s="6" t="n">
        <f aca="false">wc27-wc26q1</f>
        <v>-4.677</v>
      </c>
      <c r="G8563" s="6" t="n">
        <f aca="false">wc_f</f>
        <v>0</v>
      </c>
      <c r="H8563" s="6" t="n">
        <f aca="false">wc_f</f>
        <v>0</v>
      </c>
      <c r="I8563" s="6" t="n">
        <f aca="false">wc_f</f>
        <v>0</v>
      </c>
      <c r="J8563" s="6" t="n">
        <f aca="false">wc_f</f>
        <v>0</v>
      </c>
      <c r="K8563" s="6" t="n">
        <f aca="false">wc_f</f>
        <v>0</v>
      </c>
      <c r="L8563" s="12" t="s">
        <v>1105</v>
      </c>
    </row>
    <row r="8564" customFormat="false" ht="17.15" hidden="false" customHeight="false" outlineLevel="0" collapsed="false">
      <c r="A8564" s="0" t="s">
        <v>1106</v>
      </c>
      <c r="B8564" s="0" t="s">
        <v>98</v>
      </c>
      <c r="F8564" s="6" t="n">
        <f aca="false">Q!$I$35-Q!$I$26-Q!$I$38-Q!$I$39</f>
        <v>6.493</v>
      </c>
      <c r="L8564" s="1" t="s">
        <v>1107</v>
      </c>
    </row>
    <row r="8565" customFormat="false" ht="15" hidden="false" customHeight="false" outlineLevel="0" collapsed="false">
      <c r="A8565" s="1" t="s">
        <v>904</v>
      </c>
      <c r="B8565" s="0" t="s">
        <v>98</v>
      </c>
      <c r="E8565" s="6" t="n">
        <f aca="false">Q!M35</f>
        <v>182.935</v>
      </c>
      <c r="F8565" s="6" t="n">
        <f aca="false">Sens!F8558+Sens!F8561+Sens!F8562+Sens!F8563+Sens!F8564</f>
        <v>223.492726335558</v>
      </c>
      <c r="G8565" s="6" t="n">
        <f aca="false">Sens!G8558+Sens!G8561+Sens!G8562+Sens!G8563</f>
        <v>274.389812804907</v>
      </c>
      <c r="H8565" s="6" t="n">
        <f aca="false">Sens!H8558+Sens!H8561+Sens!H8562+Sens!H8563</f>
        <v>337.426495906029</v>
      </c>
      <c r="I8565" s="6" t="n">
        <f aca="false">Sens!I8558+Sens!I8561+Sens!I8562+Sens!I8563</f>
        <v>390.205710067736</v>
      </c>
      <c r="J8565" s="6" t="n">
        <f aca="false">Sens!J8558+Sens!J8561+Sens!J8562+Sens!J8563</f>
        <v>432.262776920477</v>
      </c>
      <c r="K8565" s="6" t="n">
        <f aca="false">Sens!K8558+Sens!K8561+Sens!K8562+Sens!K8563</f>
        <v>465.449800675143</v>
      </c>
    </row>
    <row r="8566" customFormat="false" ht="17.15" hidden="false" customHeight="false" outlineLevel="0" collapsed="false">
      <c r="A8566" s="0" t="s">
        <v>1108</v>
      </c>
      <c r="B8566" s="0" t="s">
        <v>98</v>
      </c>
      <c r="F8566" s="6" t="n">
        <f aca="false">Sens!F8474</f>
        <v>168.45390404212</v>
      </c>
      <c r="G8566" s="6" t="n">
        <f aca="false">Sens!G8474</f>
        <v>191.944475649048</v>
      </c>
      <c r="H8566" s="6" t="n">
        <f aca="false">Sens!H8474</f>
        <v>196.806004064512</v>
      </c>
      <c r="I8566" s="6" t="n">
        <f aca="false">Sens!I8474</f>
        <v>168.61483362161</v>
      </c>
      <c r="J8566" s="6" t="n">
        <f aca="false">Sens!J8474</f>
        <v>128.92993119594</v>
      </c>
      <c r="K8566" s="6" t="n">
        <f aca="false">Sens!K8474</f>
        <v>118.962853064733</v>
      </c>
    </row>
    <row r="8567" customFormat="false" ht="17.15" hidden="false" customHeight="false" outlineLevel="0" collapsed="false">
      <c r="A8567" s="1" t="s">
        <v>1109</v>
      </c>
      <c r="B8567" s="0" t="s">
        <v>98</v>
      </c>
      <c r="E8567" s="6" t="n">
        <f aca="false">Sens!E8482*cx_azo+Sens!E8489*cx_m365+Sens!E8490*cx_lic+(Sens!E8492+Sens!E8494)*cx_ind+Sens!E8497*cx_srch+(Sens!E8499+Sens!E8501)*cx_dev</f>
        <v>30.1846587067718</v>
      </c>
      <c r="F8567" s="6" t="n">
        <f aca="false">Sens!F8482*cx_azo+Sens!F8489*cx_m365+Sens!F8490*cx_lic+(Sens!F8492+Sens!F8494)*cx_ind+Sens!F8497*cx_srch+(Sens!F8499+Sens!F8501)*cx_dev</f>
        <v>35.9047354240577</v>
      </c>
      <c r="G8567" s="6" t="n">
        <f aca="false">Sens!G8482*cx_azo+Sens!G8489*cx_m365+Sens!G8490*cx_lic+(Sens!G8492+Sens!G8494)*cx_ind+Sens!G8497*cx_srch+(Sens!G8499+Sens!G8501)*cx_dev</f>
        <v>41.9572837154316</v>
      </c>
      <c r="H8567" s="6" t="n">
        <f aca="false">Sens!H8482*cx_azo+Sens!H8489*cx_m365+Sens!H8490*cx_lic+(Sens!H8492+Sens!H8494)*cx_ind+Sens!H8497*cx_srch+(Sens!H8499+Sens!H8501)*cx_dev</f>
        <v>48.0950319218677</v>
      </c>
      <c r="I8567" s="6" t="n">
        <f aca="false">Sens!I8482*cx_azo+Sens!I8489*cx_m365+Sens!I8490*cx_lic+(Sens!I8492+Sens!I8494)*cx_ind+Sens!I8497*cx_srch+(Sens!I8499+Sens!I8501)*cx_dev</f>
        <v>53.8407023474679</v>
      </c>
      <c r="J8567" s="6" t="n">
        <f aca="false">Sens!J8482*cx_azo+Sens!J8489*cx_m365+Sens!J8490*cx_lic+(Sens!J8492+Sens!J8494)*cx_ind+Sens!J8497*cx_srch+(Sens!J8499+Sens!J8501)*cx_dev</f>
        <v>58.9611077160044</v>
      </c>
      <c r="K8567" s="6" t="n">
        <f aca="false">Sens!K8482*cx_azo+Sens!K8489*cx_m365+Sens!K8490*cx_lic+(Sens!K8492+Sens!K8494)*cx_ind+Sens!K8497*cx_srch+(Sens!K8499+Sens!K8501)*cx_dev</f>
        <v>63.4853395133411</v>
      </c>
    </row>
    <row r="8568" customFormat="false" ht="17.15" hidden="false" customHeight="false" outlineLevel="0" collapsed="false">
      <c r="A8568" s="0" t="s">
        <v>1110</v>
      </c>
      <c r="B8568" s="0" t="s">
        <v>98</v>
      </c>
      <c r="F8568" s="6" t="n">
        <f aca="false">Sens!F8472</f>
        <v>0</v>
      </c>
      <c r="L8568" s="1" t="s">
        <v>1111</v>
      </c>
    </row>
    <row r="8569" customFormat="false" ht="17.15" hidden="false" customHeight="false" outlineLevel="0" collapsed="false">
      <c r="A8569" s="1" t="s">
        <v>1112</v>
      </c>
      <c r="B8569" s="0" t="s">
        <v>98</v>
      </c>
      <c r="E8569" s="6" t="n">
        <f aca="false">Q!M43</f>
        <v>145.3</v>
      </c>
      <c r="F8569" s="6" t="n">
        <f aca="false">Sens!F8566+Sens!F8567+Sens!F8568</f>
        <v>204.358639466177</v>
      </c>
      <c r="G8569" s="6" t="n">
        <f aca="false">Sens!G8566+Sens!G8567</f>
        <v>233.90175936448</v>
      </c>
      <c r="H8569" s="6" t="n">
        <f aca="false">Sens!H8566+Sens!H8567</f>
        <v>244.90103598638</v>
      </c>
      <c r="I8569" s="6" t="n">
        <f aca="false">Sens!I8566+Sens!I8567</f>
        <v>222.455535969078</v>
      </c>
      <c r="J8569" s="6" t="n">
        <f aca="false">Sens!J8566+Sens!J8567</f>
        <v>187.891038911945</v>
      </c>
      <c r="K8569" s="6" t="n">
        <f aca="false">Sens!K8566+Sens!K8567</f>
        <v>182.448192578074</v>
      </c>
      <c r="L8569" s="1" t="s">
        <v>1113</v>
      </c>
    </row>
    <row r="8570" customFormat="false" ht="15" hidden="false" customHeight="false" outlineLevel="0" collapsed="false">
      <c r="A8570" s="1" t="s">
        <v>1114</v>
      </c>
      <c r="B8570" s="0" t="s">
        <v>98</v>
      </c>
      <c r="E8570" s="6" t="n">
        <f aca="false">fl_liab</f>
        <v>66.594</v>
      </c>
      <c r="F8570" s="6" t="n">
        <f aca="false">Sens!E8570-Sens!F8571</f>
        <v>62.46973</v>
      </c>
      <c r="G8570" s="6" t="n">
        <f aca="false">Sens!F8570-Sens!G8571</f>
        <v>57.98686785</v>
      </c>
      <c r="H8570" s="6" t="n">
        <f aca="false">Sens!G8570-Sens!H8571</f>
        <v>53.92827690325</v>
      </c>
      <c r="I8570" s="6" t="n">
        <f aca="false">Sens!H8570-Sens!I8571</f>
        <v>49.7850493638962</v>
      </c>
      <c r="J8570" s="6" t="n">
        <f aca="false">Sens!I8570-Sens!J8571</f>
        <v>45.4823765852716</v>
      </c>
      <c r="K8570" s="6" t="n">
        <f aca="false">Sens!J8570-Sens!K8571</f>
        <v>40.9860835316088</v>
      </c>
    </row>
    <row r="8571" customFormat="false" ht="15" hidden="false" customHeight="false" outlineLevel="0" collapsed="false">
      <c r="A8571" s="1" t="s">
        <v>1115</v>
      </c>
      <c r="B8571" s="0" t="s">
        <v>98</v>
      </c>
      <c r="F8571" s="6" t="n">
        <f aca="false">fl_pay_27-Sens!E8570*fl_rate</f>
        <v>4.12427</v>
      </c>
      <c r="G8571" s="6" t="n">
        <f aca="false">fl_pay_28-Sens!F8570*fl_rate</f>
        <v>4.48286215</v>
      </c>
      <c r="H8571" s="6" t="n">
        <f aca="false">fl_pay_29-Sens!G8570*fl_rate</f>
        <v>4.05859094675</v>
      </c>
      <c r="I8571" s="6" t="n">
        <f aca="false">fl_pay_30-Sens!H8570*fl_rate</f>
        <v>4.14322753935375</v>
      </c>
      <c r="J8571" s="6" t="n">
        <f aca="false">fl_pay_31-Sens!I8570*fl_rate</f>
        <v>4.30267277862467</v>
      </c>
      <c r="K8571" s="6" t="n">
        <f aca="false">fl_pay_32-Sens!J8570*fl_rate</f>
        <v>4.49629305366278</v>
      </c>
    </row>
    <row r="8572" customFormat="false" ht="17.15" hidden="false" customHeight="false" outlineLevel="0" collapsed="false">
      <c r="A8572" s="1" t="s">
        <v>1116</v>
      </c>
      <c r="B8572" s="0" t="s">
        <v>98</v>
      </c>
      <c r="E8572" s="6" t="n">
        <f aca="false">Q!M35-Q!M36-Q!M44</f>
        <v>63.886</v>
      </c>
      <c r="F8572" s="6" t="n">
        <f aca="false">Sens!F8565-Sens!F8569-Sens!F8571</f>
        <v>15.0098168693808</v>
      </c>
      <c r="G8572" s="6" t="n">
        <f aca="false">Sens!G8565-Sens!G8569-Sens!G8571</f>
        <v>36.0051912904268</v>
      </c>
      <c r="H8572" s="6" t="n">
        <f aca="false">Sens!H8565-Sens!H8569-Sens!H8571</f>
        <v>88.4668689728989</v>
      </c>
      <c r="I8572" s="6" t="n">
        <f aca="false">Sens!I8565-Sens!I8569-Sens!I8571</f>
        <v>163.606946559304</v>
      </c>
      <c r="J8572" s="6" t="n">
        <f aca="false">Sens!J8565-Sens!J8569-Sens!J8571</f>
        <v>240.069065229907</v>
      </c>
      <c r="K8572" s="6" t="n">
        <f aca="false">Sens!K8565-Sens!K8569-Sens!K8571</f>
        <v>278.505315043406</v>
      </c>
      <c r="L8572" s="12" t="s">
        <v>1117</v>
      </c>
    </row>
    <row r="8573" customFormat="false" ht="15" hidden="false" customHeight="false" outlineLevel="0" collapsed="false">
      <c r="A8573" s="1" t="s">
        <v>1118</v>
      </c>
      <c r="B8573" s="0" t="s">
        <v>75</v>
      </c>
      <c r="F8573" s="8" t="n">
        <f aca="false">dps_27</f>
        <v>3.85</v>
      </c>
      <c r="G8573" s="8" t="n">
        <f aca="false">Sens!F8573*(1+dps_g)</f>
        <v>4.158</v>
      </c>
      <c r="H8573" s="8" t="n">
        <f aca="false">Sens!G8573*(1+dps_g)</f>
        <v>4.49064</v>
      </c>
      <c r="I8573" s="8" t="n">
        <f aca="false">Sens!H8573*(1+dps_g)</f>
        <v>4.8498912</v>
      </c>
      <c r="J8573" s="8" t="n">
        <f aca="false">Sens!I8573*(1+dps_g)</f>
        <v>5.237882496</v>
      </c>
      <c r="K8573" s="8" t="n">
        <f aca="false">Sens!J8573*(1+dps_g)</f>
        <v>5.65691309568</v>
      </c>
    </row>
    <row r="8574" customFormat="false" ht="17.15" hidden="false" customHeight="false" outlineLevel="0" collapsed="false">
      <c r="A8574" s="1" t="s">
        <v>1119</v>
      </c>
      <c r="B8574" s="0" t="s">
        <v>98</v>
      </c>
      <c r="E8574" s="6" t="n">
        <f aca="false">Q!M41</f>
        <v>26.445</v>
      </c>
      <c r="F8574" s="6" t="n">
        <f aca="false">Sens!F8573*Sens!E8583</f>
        <v>28.59395</v>
      </c>
      <c r="G8574" s="6" t="n">
        <f aca="false">Sens!G8573*Sens!F8583</f>
        <v>31.0383701166124</v>
      </c>
      <c r="H8574" s="6" t="n">
        <f aca="false">Sens!H8573*Sens!G8583</f>
        <v>33.6860946787368</v>
      </c>
      <c r="I8574" s="6" t="n">
        <f aca="false">Sens!I8573*Sens!H8583</f>
        <v>36.4314205301084</v>
      </c>
      <c r="J8574" s="6" t="n">
        <f aca="false">Sens!J8573*Sens!I8583</f>
        <v>39.4138320579097</v>
      </c>
      <c r="K8574" s="6" t="n">
        <f aca="false">Sens!K8573*Sens!J8583</f>
        <v>42.6536928849207</v>
      </c>
      <c r="L8574" s="1" t="s">
        <v>1120</v>
      </c>
    </row>
    <row r="8575" customFormat="false" ht="15" hidden="false" customHeight="false" outlineLevel="0" collapsed="false">
      <c r="A8575" s="1" t="s">
        <v>1121</v>
      </c>
      <c r="B8575" s="0" t="s">
        <v>98</v>
      </c>
      <c r="E8575" s="6" t="n">
        <f aca="false">Sens!E8572-Sens!E8574</f>
        <v>37.441</v>
      </c>
      <c r="F8575" s="6" t="n">
        <f aca="false">Sens!F8572-Sens!F8574</f>
        <v>-13.5841331306192</v>
      </c>
      <c r="G8575" s="6" t="n">
        <f aca="false">Sens!G8572-Sens!G8574</f>
        <v>4.96682117381441</v>
      </c>
      <c r="H8575" s="6" t="n">
        <f aca="false">Sens!H8572-Sens!H8574</f>
        <v>54.7807742941621</v>
      </c>
      <c r="I8575" s="6" t="n">
        <f aca="false">Sens!I8572-Sens!I8574</f>
        <v>127.175526029195</v>
      </c>
      <c r="J8575" s="6" t="n">
        <f aca="false">Sens!J8572-Sens!J8574</f>
        <v>200.655233171997</v>
      </c>
      <c r="K8575" s="6" t="n">
        <f aca="false">Sens!K8572-Sens!K8574</f>
        <v>235.851622158486</v>
      </c>
    </row>
    <row r="8576" customFormat="false" ht="15" hidden="false" customHeight="false" outlineLevel="0" collapsed="false">
      <c r="A8576" s="1" t="s">
        <v>1122</v>
      </c>
      <c r="B8576" s="0" t="s">
        <v>98</v>
      </c>
      <c r="F8576" s="6" t="n">
        <f aca="false">debt_mat_27</f>
        <v>9.25</v>
      </c>
      <c r="G8576" s="6" t="n">
        <f aca="false">debt_mat_28</f>
        <v>0</v>
      </c>
      <c r="H8576" s="6" t="n">
        <f aca="false">debt_mat_29</f>
        <v>2.001</v>
      </c>
      <c r="I8576" s="6" t="n">
        <f aca="false">debt_mat_30</f>
        <v>0</v>
      </c>
      <c r="J8576" s="6" t="n">
        <f aca="false">debt_mat_31</f>
        <v>0.5</v>
      </c>
      <c r="K8576" s="6" t="n">
        <f aca="false">debt_mat_32</f>
        <v>0</v>
      </c>
    </row>
    <row r="8577" customFormat="false" ht="15" hidden="false" customHeight="false" outlineLevel="0" collapsed="false">
      <c r="A8577" s="1" t="s">
        <v>1123</v>
      </c>
      <c r="B8577" s="0" t="s">
        <v>98</v>
      </c>
      <c r="E8577" s="6" t="n">
        <f aca="false">Q!M40</f>
        <v>22.271</v>
      </c>
      <c r="F8577" s="6" t="n">
        <f aca="false">MAX(0,MIN(bb_target,Sens!E8579+Sens!F8575-Sens!F8576-min_cash))</f>
        <v>4.00886686938081</v>
      </c>
      <c r="G8577" s="6" t="n">
        <f aca="false">MAX(0,MIN(bb_target,Sens!F8579+Sens!G8575-Sens!G8576-min_cash))</f>
        <v>4.96682117381441</v>
      </c>
      <c r="H8577" s="6" t="n">
        <f aca="false">MAX(0,MIN(bb_target,Sens!G8579+Sens!H8575-Sens!H8576-min_cash))</f>
        <v>22.271</v>
      </c>
      <c r="I8577" s="6" t="n">
        <f aca="false">MAX(0,MIN(bb_target,Sens!H8579+Sens!I8575-Sens!I8576-min_cash))</f>
        <v>22.271</v>
      </c>
      <c r="J8577" s="6" t="n">
        <f aca="false">MAX(0,MIN(bb_target,Sens!I8579+Sens!J8575-Sens!J8576-min_cash))</f>
        <v>22.271</v>
      </c>
      <c r="K8577" s="6" t="n">
        <f aca="false">MAX(0,MIN(bb_target,Sens!J8579+Sens!K8575-Sens!K8576-min_cash))</f>
        <v>22.271</v>
      </c>
    </row>
    <row r="8578" customFormat="false" ht="15" hidden="false" customHeight="false" outlineLevel="0" collapsed="false">
      <c r="A8578" s="1" t="s">
        <v>1124</v>
      </c>
      <c r="B8578" s="0" t="s">
        <v>98</v>
      </c>
      <c r="F8578" s="6" t="n">
        <f aca="false">MAX(0,min_cash-(Sens!E8579+Sens!F8575-Sens!F8576-Sens!F8577))</f>
        <v>0</v>
      </c>
      <c r="G8578" s="6" t="n">
        <f aca="false">MAX(0,min_cash-(Sens!F8579+Sens!G8575-Sens!G8576-Sens!G8577))</f>
        <v>0</v>
      </c>
      <c r="H8578" s="6" t="n">
        <f aca="false">MAX(0,min_cash-(Sens!G8579+Sens!H8575-Sens!H8576-Sens!H8577))</f>
        <v>0</v>
      </c>
      <c r="I8578" s="6" t="n">
        <f aca="false">MAX(0,min_cash-(Sens!H8579+Sens!I8575-Sens!I8576-Sens!I8577))</f>
        <v>0</v>
      </c>
      <c r="J8578" s="6" t="n">
        <f aca="false">MAX(0,min_cash-(Sens!I8579+Sens!J8575-Sens!J8576-Sens!J8577))</f>
        <v>0</v>
      </c>
      <c r="K8578" s="6" t="n">
        <f aca="false">MAX(0,min_cash-(Sens!J8579+Sens!K8575-Sens!K8576-Sens!K8577))</f>
        <v>0</v>
      </c>
    </row>
    <row r="8579" customFormat="false" ht="15" hidden="false" customHeight="false" outlineLevel="0" collapsed="false">
      <c r="A8579" s="1" t="s">
        <v>1125</v>
      </c>
      <c r="B8579" s="0" t="s">
        <v>98</v>
      </c>
      <c r="E8579" s="6" t="n">
        <f aca="false">cash_open</f>
        <v>76.843</v>
      </c>
      <c r="F8579" s="6" t="n">
        <f aca="false">Sens!E8579+Sens!F8575-Sens!F8576-Sens!F8577+Sens!F8578</f>
        <v>50</v>
      </c>
      <c r="G8579" s="6" t="n">
        <f aca="false">Sens!F8579+Sens!G8575-Sens!G8576-Sens!G8577+Sens!G8578</f>
        <v>50</v>
      </c>
      <c r="H8579" s="6" t="n">
        <f aca="false">Sens!G8579+Sens!H8575-Sens!H8576-Sens!H8577+Sens!H8578</f>
        <v>80.5087742941621</v>
      </c>
      <c r="I8579" s="6" t="n">
        <f aca="false">Sens!H8579+Sens!I8575-Sens!I8576-Sens!I8577+Sens!I8578</f>
        <v>185.413300323357</v>
      </c>
      <c r="J8579" s="6" t="n">
        <f aca="false">Sens!I8579+Sens!J8575-Sens!J8576-Sens!J8577+Sens!J8578</f>
        <v>363.297533495355</v>
      </c>
      <c r="K8579" s="6" t="n">
        <f aca="false">Sens!J8579+Sens!K8575-Sens!K8576-Sens!K8577+Sens!K8578</f>
        <v>576.878155653841</v>
      </c>
    </row>
    <row r="8580" customFormat="false" ht="15" hidden="false" customHeight="false" outlineLevel="0" collapsed="false">
      <c r="A8580" s="1" t="s">
        <v>1126</v>
      </c>
      <c r="B8580" s="0" t="s">
        <v>98</v>
      </c>
      <c r="E8580" s="6" t="n">
        <f aca="false">debt_face</f>
        <v>46.136</v>
      </c>
      <c r="F8580" s="6" t="n">
        <f aca="false">Sens!E8580-Sens!F8576+Sens!F8578</f>
        <v>36.886</v>
      </c>
      <c r="G8580" s="6" t="n">
        <f aca="false">Sens!F8580-Sens!G8576+Sens!G8578</f>
        <v>36.886</v>
      </c>
      <c r="H8580" s="6" t="n">
        <f aca="false">Sens!G8580-Sens!H8576+Sens!H8578</f>
        <v>34.885</v>
      </c>
      <c r="I8580" s="6" t="n">
        <f aca="false">Sens!H8580-Sens!I8576+Sens!I8578</f>
        <v>34.885</v>
      </c>
      <c r="J8580" s="6" t="n">
        <f aca="false">Sens!I8580-Sens!J8576+Sens!J8578</f>
        <v>34.385</v>
      </c>
      <c r="K8580" s="6" t="n">
        <f aca="false">Sens!J8580-Sens!K8576+Sens!K8578</f>
        <v>34.385</v>
      </c>
    </row>
    <row r="8581" customFormat="false" ht="15" hidden="false" customHeight="false" outlineLevel="0" collapsed="false">
      <c r="A8581" s="1" t="s">
        <v>1127</v>
      </c>
      <c r="B8581" s="0" t="s">
        <v>98</v>
      </c>
      <c r="E8581" s="6" t="n">
        <f aca="false">Sens!E8579-Sens!E8580</f>
        <v>30.707</v>
      </c>
      <c r="F8581" s="6" t="n">
        <f aca="false">Sens!F8579-Sens!F8580</f>
        <v>13.114</v>
      </c>
      <c r="G8581" s="6" t="n">
        <f aca="false">Sens!G8579-Sens!G8580</f>
        <v>13.114</v>
      </c>
      <c r="H8581" s="6" t="n">
        <f aca="false">Sens!H8579-Sens!H8580</f>
        <v>45.6237742941621</v>
      </c>
      <c r="I8581" s="6" t="n">
        <f aca="false">Sens!I8579-Sens!I8580</f>
        <v>150.528300323357</v>
      </c>
      <c r="J8581" s="6" t="n">
        <f aca="false">Sens!J8579-Sens!J8580</f>
        <v>328.912533495355</v>
      </c>
      <c r="K8581" s="6" t="n">
        <f aca="false">Sens!K8579-Sens!K8580</f>
        <v>542.493155653841</v>
      </c>
    </row>
    <row r="8582" customFormat="false" ht="15" hidden="false" customHeight="false" outlineLevel="0" collapsed="false">
      <c r="A8582" s="1" t="s">
        <v>1128</v>
      </c>
      <c r="B8582" s="0" t="s">
        <v>75</v>
      </c>
      <c r="F8582" s="30" t="n">
        <f aca="false">px*(1+bb_g)^(Sens!F8440-base_fy-mid_yr)</f>
        <v>551.84177959629</v>
      </c>
      <c r="G8582" s="30" t="n">
        <f aca="false">px*(1+bb_g)^(Sens!G8440-base_fy-mid_yr)</f>
        <v>595.989121963993</v>
      </c>
      <c r="H8582" s="30" t="n">
        <f aca="false">px*(1+bb_g)^(Sens!H8440-base_fy-mid_yr)</f>
        <v>643.668251721112</v>
      </c>
      <c r="I8582" s="30" t="n">
        <f aca="false">px*(1+bb_g)^(Sens!I8440-base_fy-mid_yr)</f>
        <v>695.161711858801</v>
      </c>
      <c r="J8582" s="30" t="n">
        <f aca="false">px*(1+bb_g)^(Sens!J8440-base_fy-mid_yr)</f>
        <v>750.774648807506</v>
      </c>
      <c r="K8582" s="30" t="n">
        <f aca="false">px*(1+bb_g)^(Sens!K8440-base_fy-mid_yr)</f>
        <v>810.836620712106</v>
      </c>
    </row>
    <row r="8583" customFormat="false" ht="15" hidden="false" customHeight="false" outlineLevel="0" collapsed="false">
      <c r="A8583" s="1" t="s">
        <v>1129</v>
      </c>
      <c r="B8583" s="1" t="s">
        <v>81</v>
      </c>
      <c r="E8583" s="15" t="n">
        <f aca="false">sh_out26</f>
        <v>7.427</v>
      </c>
      <c r="F8583" s="15" t="n">
        <f aca="false">Sens!E8583+sh_iss-Sens!F8577/Sens!F8582</f>
        <v>7.46473547778076</v>
      </c>
      <c r="G8583" s="15" t="n">
        <f aca="false">Sens!F8583+sh_iss-Sens!G8577/Sens!G8582</f>
        <v>7.50140173310192</v>
      </c>
      <c r="H8583" s="15" t="n">
        <f aca="false">Sens!G8583+sh_iss-Sens!H8577/Sens!H8582</f>
        <v>7.51180161115952</v>
      </c>
      <c r="I8583" s="15" t="n">
        <f aca="false">Sens!H8583+sh_iss-Sens!I8577/Sens!I8582</f>
        <v>7.52476446121286</v>
      </c>
      <c r="J8583" s="15" t="n">
        <f aca="false">Sens!I8583+sh_iss-Sens!J8577/Sens!J8582</f>
        <v>7.54010043348447</v>
      </c>
      <c r="K8583" s="15" t="n">
        <f aca="false">Sens!J8583+sh_iss-Sens!K8577/Sens!K8582</f>
        <v>7.55763374114336</v>
      </c>
    </row>
    <row r="8584" customFormat="false" ht="15" hidden="false" customHeight="false" outlineLevel="0" collapsed="false">
      <c r="A8584" s="1" t="s">
        <v>1130</v>
      </c>
      <c r="B8584" s="1" t="s">
        <v>81</v>
      </c>
      <c r="E8584" s="15" t="n">
        <f aca="false">sh_dil26</f>
        <v>7.453</v>
      </c>
      <c r="F8584" s="15" t="n">
        <f aca="false">(Sens!E8583+Sens!F8583)/2+dil_gap</f>
        <v>7.46986773889038</v>
      </c>
      <c r="G8584" s="15" t="n">
        <f aca="false">(Sens!F8583+Sens!G8583)/2+dil_gap</f>
        <v>7.50706860544134</v>
      </c>
      <c r="H8584" s="15" t="n">
        <f aca="false">(Sens!G8583+Sens!H8583)/2+dil_gap</f>
        <v>7.53060167213072</v>
      </c>
      <c r="I8584" s="15" t="n">
        <f aca="false">(Sens!H8583+Sens!I8583)/2+dil_gap</f>
        <v>7.54228303618619</v>
      </c>
      <c r="J8584" s="15" t="n">
        <f aca="false">(Sens!I8583+Sens!J8583)/2+dil_gap</f>
        <v>7.55643244734866</v>
      </c>
      <c r="K8584" s="15" t="n">
        <f aca="false">(Sens!J8583+Sens!K8583)/2+dil_gap</f>
        <v>7.57286708731392</v>
      </c>
    </row>
    <row r="8585" customFormat="false" ht="17.15" hidden="false" customHeight="false" outlineLevel="0" collapsed="false">
      <c r="A8585" s="1" t="s">
        <v>1131</v>
      </c>
      <c r="B8585" s="0" t="s">
        <v>98</v>
      </c>
      <c r="C8585" s="6" t="n">
        <f aca="false">SUM(Sens!F8575:J8575)</f>
        <v>373.99422153855</v>
      </c>
    </row>
    <row r="8586" customFormat="false" ht="15" hidden="false" customHeight="false" outlineLevel="0" collapsed="false">
      <c r="A8586" s="26" t="s">
        <v>1096</v>
      </c>
      <c r="B8586" s="31" t="s">
        <v>98</v>
      </c>
      <c r="C8586" s="27" t="n">
        <f aca="false">Sens!$C$8585-(Sens!F8575+Sens!G8575+Sens!H8575+Sens!I8575+Sens!J8575)</f>
        <v>0</v>
      </c>
      <c r="D8586" s="31"/>
      <c r="E8586" s="31"/>
      <c r="F8586" s="31"/>
      <c r="G8586" s="31"/>
      <c r="H8586" s="31"/>
      <c r="I8586" s="31"/>
      <c r="J8586" s="31"/>
      <c r="K8586" s="31"/>
    </row>
    <row r="8587" customFormat="false" ht="17.15" hidden="false" customHeight="false" outlineLevel="0" collapsed="false">
      <c r="A8587" s="1" t="s">
        <v>1090</v>
      </c>
      <c r="B8587" s="1" t="s">
        <v>1132</v>
      </c>
      <c r="C8587" s="33" t="str">
        <f aca="false">IF(SUM(Sens!F8578:J8578)&gt;0.05,"需要舉債 "&amp;TEXT(SUM(Sens!F8578:J8578),"0.0")&amp;" 十億美元","不需舉債")&amp;"；"&amp;IF(SUM(Sens!F8577:J8577)&lt;COUNT(Sens!F8577:J8577)*bb_target-0.05,"回購較每年 "&amp;TEXT(bb_target,"0.0")&amp;" 的目標少 "&amp;TEXT(COUNT(Sens!F8577:J8577)*bb_target-SUM(Sens!F8577:J8577),"0.0")&amp;" 十億美元（"&amp;TEXT(COUNTIF(Sens!F8577:J8577,"&lt;"&amp;(bb_target-0.05)),"0")&amp;" 年減少）","回購不減")</f>
        <v>不需舉債；回購較每年 22.3 的目標少 35.6 十億美元（2 年減少）</v>
      </c>
    </row>
    <row r="8588" customFormat="false" ht="17.15" hidden="false" customHeight="false" outlineLevel="0" collapsed="false">
      <c r="A8588" s="3" t="s">
        <v>1694</v>
      </c>
    </row>
    <row r="8589" customFormat="false" ht="15" hidden="false" customHeight="false" outlineLevel="0" collapsed="false">
      <c r="A8589" s="4" t="s">
        <v>43</v>
      </c>
      <c r="B8589" s="4" t="s">
        <v>65</v>
      </c>
      <c r="C8589" s="23" t="s">
        <v>938</v>
      </c>
      <c r="D8589" s="23" t="s">
        <v>939</v>
      </c>
      <c r="E8589" s="23" t="s">
        <v>940</v>
      </c>
      <c r="F8589" s="23" t="s">
        <v>941</v>
      </c>
      <c r="G8589" s="23" t="s">
        <v>942</v>
      </c>
      <c r="H8589" s="23" t="s">
        <v>943</v>
      </c>
      <c r="I8589" s="23" t="s">
        <v>944</v>
      </c>
      <c r="J8589" s="23" t="s">
        <v>945</v>
      </c>
      <c r="K8589" s="23" t="s">
        <v>946</v>
      </c>
      <c r="L8589" s="4" t="s">
        <v>47</v>
      </c>
    </row>
    <row r="8590" customFormat="false" ht="17.15" hidden="false" customHeight="false" outlineLevel="0" collapsed="false">
      <c r="A8590" s="1" t="s">
        <v>1212</v>
      </c>
      <c r="B8590" s="1" t="s">
        <v>279</v>
      </c>
      <c r="F8590" s="8" t="n">
        <f aca="false">(1-v_off)*mid_yr</f>
        <v>0.373972602739726</v>
      </c>
      <c r="G8590" s="8" t="n">
        <f aca="false">Sens!G8440-base_fy-mid_yr-v_off</f>
        <v>1.24794520547945</v>
      </c>
      <c r="H8590" s="8" t="n">
        <f aca="false">Sens!H8440-base_fy-mid_yr-v_off</f>
        <v>2.24794520547945</v>
      </c>
      <c r="I8590" s="8" t="n">
        <f aca="false">Sens!I8440-base_fy-mid_yr-v_off</f>
        <v>3.24794520547945</v>
      </c>
      <c r="J8590" s="8" t="n">
        <f aca="false">Sens!J8440-base_fy-mid_yr-v_off</f>
        <v>4.24794520547945</v>
      </c>
      <c r="K8590" s="8" t="n">
        <f aca="false">Sens!K8440-base_fy-mid_yr-v_off</f>
        <v>5.24794520547945</v>
      </c>
      <c r="L8590" s="12" t="s">
        <v>1213</v>
      </c>
    </row>
    <row r="8591" customFormat="false" ht="15" hidden="false" customHeight="false" outlineLevel="0" collapsed="false">
      <c r="A8591" s="1" t="s">
        <v>1214</v>
      </c>
      <c r="B8591" s="1" t="s">
        <v>279</v>
      </c>
      <c r="F8591" s="8" t="n">
        <f aca="false">Sens!F8440-base_fy-v_off</f>
        <v>0.747945205479452</v>
      </c>
      <c r="G8591" s="8" t="n">
        <f aca="false">Sens!G8440-base_fy-v_off</f>
        <v>1.74794520547945</v>
      </c>
      <c r="H8591" s="8" t="n">
        <f aca="false">Sens!H8440-base_fy-v_off</f>
        <v>2.74794520547945</v>
      </c>
      <c r="I8591" s="8" t="n">
        <f aca="false">Sens!I8440-base_fy-v_off</f>
        <v>3.74794520547945</v>
      </c>
      <c r="J8591" s="8" t="n">
        <f aca="false">Sens!J8440-base_fy-v_off</f>
        <v>4.74794520547945</v>
      </c>
      <c r="K8591" s="8" t="n">
        <f aca="false">Sens!K8440-base_fy-v_off</f>
        <v>5.74794520547945</v>
      </c>
    </row>
    <row r="8592" customFormat="false" ht="15" hidden="false" customHeight="false" outlineLevel="0" collapsed="false">
      <c r="A8592" s="1" t="s">
        <v>1215</v>
      </c>
      <c r="B8592" s="0" t="s">
        <v>229</v>
      </c>
      <c r="F8592" s="15" t="n">
        <f aca="false">1/(1+wacc)^Sens!F8590</f>
        <v>0.964022703286649</v>
      </c>
      <c r="G8592" s="15" t="n">
        <f aca="false">1/(1+wacc)^Sens!G8590</f>
        <v>0.884910302296739</v>
      </c>
      <c r="H8592" s="15" t="n">
        <f aca="false">1/(1+wacc)^Sens!H8590</f>
        <v>0.802322009770358</v>
      </c>
      <c r="I8592" s="15" t="n">
        <f aca="false">1/(1+wacc)^Sens!I8590</f>
        <v>0.727441646561469</v>
      </c>
      <c r="J8592" s="15" t="n">
        <f aca="false">1/(1+wacc)^Sens!J8590</f>
        <v>0.659549834988973</v>
      </c>
      <c r="K8592" s="15" t="n">
        <f aca="false">1/(1+wacc)^Sens!K8590</f>
        <v>0.597994336576966</v>
      </c>
    </row>
    <row r="8593" customFormat="false" ht="17.15" hidden="false" customHeight="false" outlineLevel="0" collapsed="false">
      <c r="A8593" s="1" t="s">
        <v>1216</v>
      </c>
      <c r="B8593" s="0" t="s">
        <v>98</v>
      </c>
      <c r="F8593" s="6" t="n">
        <f aca="false">Q!$I$35-Q!$I$39-Q!$I$43</f>
        <v>9.666</v>
      </c>
      <c r="L8593" s="12" t="s">
        <v>1217</v>
      </c>
    </row>
    <row r="8594" customFormat="false" ht="17.15" hidden="false" customHeight="false" outlineLevel="0" collapsed="false">
      <c r="A8594" s="1" t="s">
        <v>1218</v>
      </c>
      <c r="B8594" s="0" t="s">
        <v>98</v>
      </c>
      <c r="F8594" s="6" t="n">
        <f aca="false">Sens!F8565-Sens!F8562-Sens!F8569+Sens!F8547*(1-tax_f)*(1-v_off)-Sens!F8593</f>
        <v>-1.28404725695865</v>
      </c>
      <c r="G8594" s="6" t="n">
        <f aca="false">Sens!G8565-Sens!G8562-Sens!G8569+Sens!G8547*(1-tax_f)</f>
        <v>38.0716164742164</v>
      </c>
      <c r="H8594" s="6" t="n">
        <f aca="false">Sens!H8565-Sens!H8562-Sens!H8569+Sens!H8547*(1-tax_f)</f>
        <v>97.8884859454196</v>
      </c>
      <c r="I8594" s="6" t="n">
        <f aca="false">Sens!I8565-Sens!I8562-Sens!I8569+Sens!I8547*(1-tax_f)</f>
        <v>180.717938929113</v>
      </c>
      <c r="J8594" s="6" t="n">
        <f aca="false">Sens!J8565-Sens!J8562-Sens!J8569+Sens!J8547*(1-tax_f)</f>
        <v>262.38820095539</v>
      </c>
      <c r="K8594" s="6" t="n">
        <f aca="false">Sens!K8565-Sens!K8562-Sens!K8569+Sens!K8547*(1-tax_f)</f>
        <v>302.64612457976</v>
      </c>
      <c r="L8594" s="1" t="s">
        <v>1219</v>
      </c>
    </row>
    <row r="8595" customFormat="false" ht="15" hidden="false" customHeight="false" outlineLevel="0" collapsed="false">
      <c r="A8595" s="1" t="s">
        <v>1220</v>
      </c>
      <c r="B8595" s="0" t="s">
        <v>98</v>
      </c>
      <c r="F8595" s="6" t="n">
        <f aca="false">Sens!F8594*Sens!F8592</f>
        <v>-1.23785070780108</v>
      </c>
      <c r="G8595" s="6" t="n">
        <f aca="false">Sens!G8594*Sens!G8592</f>
        <v>33.6899656431243</v>
      </c>
      <c r="H8595" s="6" t="n">
        <f aca="false">Sens!H8594*Sens!H8592</f>
        <v>78.5380867771065</v>
      </c>
      <c r="I8595" s="6" t="n">
        <f aca="false">Sens!I8594*Sens!I8592</f>
        <v>131.461755057789</v>
      </c>
      <c r="J8595" s="6" t="n">
        <f aca="false">Sens!J8594*Sens!J8592</f>
        <v>173.058094643181</v>
      </c>
      <c r="K8595" s="6" t="n">
        <f aca="false">Sens!K8594*Sens!K8592</f>
        <v>180.980668485663</v>
      </c>
    </row>
    <row r="8596" customFormat="false" ht="17.15" hidden="false" customHeight="false" outlineLevel="0" collapsed="false">
      <c r="A8596" s="1" t="s">
        <v>1221</v>
      </c>
      <c r="B8596" s="0" t="s">
        <v>98</v>
      </c>
      <c r="C8596" s="6" t="n">
        <f aca="false">SUM(Sens!F8595:K8595)</f>
        <v>596.490719899063</v>
      </c>
    </row>
    <row r="8597" customFormat="false" ht="17.15" hidden="false" customHeight="false" outlineLevel="0" collapsed="false">
      <c r="A8597" s="1" t="s">
        <v>1222</v>
      </c>
      <c r="B8597" s="0" t="s">
        <v>98</v>
      </c>
      <c r="C8597" s="6" t="n">
        <f aca="false">Sens!K8533*(1+g_tv)*(1-tax_f)</f>
        <v>316.038244308152</v>
      </c>
    </row>
    <row r="8598" customFormat="false" ht="17.15" hidden="false" customHeight="false" outlineLevel="0" collapsed="false">
      <c r="A8598" s="1" t="s">
        <v>1223</v>
      </c>
      <c r="B8598" s="0" t="s">
        <v>98</v>
      </c>
      <c r="C8598" s="6" t="n">
        <f aca="false">Sens!$C$8597*(1-g_tv/(wacc+ronic_prem))</f>
        <v>223.931567351506</v>
      </c>
    </row>
    <row r="8599" customFormat="false" ht="17.15" hidden="false" customHeight="false" outlineLevel="0" collapsed="false">
      <c r="A8599" s="1" t="s">
        <v>1224</v>
      </c>
      <c r="B8599" s="0" t="s">
        <v>98</v>
      </c>
      <c r="C8599" s="6" t="n">
        <f aca="false">Sens!$C$8598/(wacc-g_tv)</f>
        <v>3070.22256522154</v>
      </c>
    </row>
    <row r="8600" customFormat="false" ht="15" hidden="false" customHeight="false" outlineLevel="0" collapsed="false">
      <c r="A8600" s="1" t="s">
        <v>1225</v>
      </c>
      <c r="B8600" s="0" t="s">
        <v>98</v>
      </c>
      <c r="C8600" s="6" t="n">
        <f aca="false">Sens!$C$8599/(1+wacc)^Sens!K8591</f>
        <v>1748.20218094037</v>
      </c>
    </row>
    <row r="8601" customFormat="false" ht="17.15" hidden="false" customHeight="false" outlineLevel="0" collapsed="false">
      <c r="A8601" s="0" t="s">
        <v>1226</v>
      </c>
      <c r="B8601" s="0" t="s">
        <v>98</v>
      </c>
      <c r="C8601" s="6" t="n">
        <f aca="false">Sens!$C$8596+Sens!$C$8600</f>
        <v>2344.69290083943</v>
      </c>
    </row>
    <row r="8602" customFormat="false" ht="15" hidden="false" customHeight="false" outlineLevel="0" collapsed="false">
      <c r="A8602" s="1" t="s">
        <v>1141</v>
      </c>
      <c r="B8602" s="0" t="s">
        <v>168</v>
      </c>
      <c r="C8602" s="7" t="n">
        <f aca="false">Sens!$C$8600/Sens!$C$8601</f>
        <v>0.745599639216926</v>
      </c>
    </row>
    <row r="8603" customFormat="false" ht="17.15" hidden="false" customHeight="false" outlineLevel="0" collapsed="false">
      <c r="A8603" s="1" t="s">
        <v>1227</v>
      </c>
      <c r="B8603" s="0" t="s">
        <v>98</v>
      </c>
      <c r="C8603" s="6" t="n">
        <f aca="false">Sens!$C$8601+cash_val-debt_val-fl_val+oai_v</f>
        <v>2460.54390083943</v>
      </c>
    </row>
    <row r="8604" customFormat="false" ht="17.15" hidden="false" customHeight="false" outlineLevel="0" collapsed="false">
      <c r="A8604" s="0" t="s">
        <v>1149</v>
      </c>
      <c r="B8604" s="0" t="s">
        <v>75</v>
      </c>
      <c r="C8604" s="5" t="n">
        <f aca="false">Sens!$C$8603/shd_val</f>
        <v>330.451772876636</v>
      </c>
    </row>
    <row r="8605" customFormat="false" ht="15" hidden="false" customHeight="false" outlineLevel="0" collapsed="false">
      <c r="A8605" s="1" t="s">
        <v>1228</v>
      </c>
      <c r="B8605" s="0" t="s">
        <v>75</v>
      </c>
      <c r="C8605" s="8" t="n">
        <f aca="false">div_rem27+Sens!G8573*roll_div_q/q_per_yr</f>
        <v>3.9795</v>
      </c>
    </row>
    <row r="8606" customFormat="false" ht="17.15" hidden="false" customHeight="false" outlineLevel="0" collapsed="false">
      <c r="A8606" s="0" t="s">
        <v>1229</v>
      </c>
      <c r="B8606" s="0" t="s">
        <v>75</v>
      </c>
      <c r="C8606" s="5" t="n">
        <f aca="false">Sens!$C$8604*(1+wacc)^t_roll-Sens!$C$8605</f>
        <v>363.336088311621</v>
      </c>
    </row>
    <row r="8607" customFormat="false" ht="17.15" hidden="false" customHeight="false" outlineLevel="0" collapsed="false">
      <c r="A8607" s="1" t="s">
        <v>1230</v>
      </c>
      <c r="B8607" s="0" t="s">
        <v>168</v>
      </c>
      <c r="F8607" s="7" t="n">
        <f aca="false">Sens!F8559/(Sens!F8504-Sens!F8459)</f>
        <v>0.0681900417654174</v>
      </c>
      <c r="G8607" s="7" t="n">
        <f aca="false">Sens!G8559/(Sens!G8504-Sens!G8459)</f>
        <v>0.0648581890579543</v>
      </c>
      <c r="H8607" s="7" t="n">
        <f aca="false">Sens!H8559/(Sens!H8504-Sens!H8459)</f>
        <v>0.0630954893114511</v>
      </c>
      <c r="I8607" s="7" t="n">
        <f aca="false">Sens!I8559/(Sens!I8504-Sens!I8459)</f>
        <v>0.0627974327725537</v>
      </c>
      <c r="J8607" s="7" t="n">
        <f aca="false">Sens!J8559/(Sens!J8504-Sens!J8459)</f>
        <v>0.0635727764658781</v>
      </c>
      <c r="K8607" s="7" t="n">
        <f aca="false">Sens!K8559/(Sens!K8504-Sens!K8459)</f>
        <v>0.0649111495713748</v>
      </c>
    </row>
    <row r="8608" customFormat="false" ht="17.15" hidden="false" customHeight="false" outlineLevel="0" collapsed="false">
      <c r="A8608" s="0" t="s">
        <v>1231</v>
      </c>
      <c r="B8608" s="0" t="s">
        <v>98</v>
      </c>
      <c r="F8608" s="6" t="n">
        <f aca="false">Sens!F8489*(al_m365+Sens!F8607+sbc_r)</f>
        <v>85.9329761309837</v>
      </c>
      <c r="G8608" s="6" t="n">
        <f aca="false">Sens!G8489*(al_m365+Sens!G8607+sbc_r)</f>
        <v>101.541032714746</v>
      </c>
      <c r="H8608" s="6" t="n">
        <f aca="false">Sens!H8489*(al_m365+Sens!H8607+sbc_r)</f>
        <v>117.316138597681</v>
      </c>
      <c r="I8608" s="6" t="n">
        <f aca="false">Sens!I8489*(al_m365+Sens!I8607+sbc_r)</f>
        <v>131.276804413824</v>
      </c>
      <c r="J8608" s="6" t="n">
        <f aca="false">Sens!J8489*(al_m365+Sens!J8607+sbc_r)</f>
        <v>143.238565845793</v>
      </c>
      <c r="K8608" s="6" t="n">
        <f aca="false">Sens!K8489*(al_m365+Sens!K8607+sbc_r)</f>
        <v>154.828352728577</v>
      </c>
      <c r="L8608" s="12" t="s">
        <v>1232</v>
      </c>
    </row>
    <row r="8609" customFormat="false" ht="17.15" hidden="false" customHeight="false" outlineLevel="0" collapsed="false">
      <c r="A8609" s="0" t="s">
        <v>1233</v>
      </c>
      <c r="B8609" s="0" t="s">
        <v>98</v>
      </c>
      <c r="F8609" s="6" t="n">
        <f aca="false">Sens!F8490*(al_lic+Sens!F8607+sbc_r)</f>
        <v>32.8412783346554</v>
      </c>
      <c r="G8609" s="6" t="n">
        <f aca="false">Sens!G8490*(al_lic+Sens!G8607+sbc_r)</f>
        <v>34.0986096444995</v>
      </c>
      <c r="H8609" s="6" t="n">
        <f aca="false">Sens!H8490*(al_lic+Sens!H8607+sbc_r)</f>
        <v>35.2788946904949</v>
      </c>
      <c r="I8609" s="6" t="n">
        <f aca="false">Sens!I8490*(al_lic+Sens!I8607+sbc_r)</f>
        <v>36.3658642980172</v>
      </c>
      <c r="J8609" s="6" t="n">
        <f aca="false">Sens!J8490*(al_lic+Sens!J8607+sbc_r)</f>
        <v>37.3303372614016</v>
      </c>
      <c r="K8609" s="6" t="n">
        <f aca="false">Sens!K8490*(al_lic+Sens!K8607+sbc_r)</f>
        <v>38.1368309995764</v>
      </c>
    </row>
    <row r="8610" customFormat="false" ht="17.15" hidden="false" customHeight="false" outlineLevel="0" collapsed="false">
      <c r="A8610" s="0" t="s">
        <v>1234</v>
      </c>
      <c r="B8610" s="0" t="s">
        <v>98</v>
      </c>
      <c r="F8610" s="6" t="n">
        <f aca="false">Sens!F8492*(al_ind+Sens!F8607+sbc_r)</f>
        <v>9.05083165103074</v>
      </c>
      <c r="G8610" s="6" t="n">
        <f aca="false">Sens!G8492*(al_ind+Sens!G8607+sbc_r)</f>
        <v>9.81240224115112</v>
      </c>
      <c r="H8610" s="6" t="n">
        <f aca="false">Sens!H8492*(al_ind+Sens!H8607+sbc_r)</f>
        <v>10.6226906871642</v>
      </c>
      <c r="I8610" s="6" t="n">
        <f aca="false">Sens!I8492*(al_ind+Sens!I8607+sbc_r)</f>
        <v>11.4805474062404</v>
      </c>
      <c r="J8610" s="6" t="n">
        <f aca="false">Sens!J8492*(al_ind+Sens!J8607+sbc_r)</f>
        <v>12.3744835972604</v>
      </c>
      <c r="K8610" s="6" t="n">
        <f aca="false">Sens!K8492*(al_ind+Sens!K8607+sbc_r)</f>
        <v>13.2848943722597</v>
      </c>
    </row>
    <row r="8611" customFormat="false" ht="17.15" hidden="false" customHeight="false" outlineLevel="0" collapsed="false">
      <c r="A8611" s="0" t="s">
        <v>1235</v>
      </c>
      <c r="B8611" s="0" t="s">
        <v>98</v>
      </c>
      <c r="F8611" s="6" t="n">
        <f aca="false">Sens!F8494*(al_fro+Sens!F8607+sbc_r)</f>
        <v>3.5502695587854</v>
      </c>
      <c r="G8611" s="6" t="n">
        <f aca="false">Sens!G8494*(al_fro+Sens!G8607+sbc_r)</f>
        <v>3.75451267907452</v>
      </c>
      <c r="H8611" s="6" t="n">
        <f aca="false">Sens!H8494*(al_fro+Sens!H8607+sbc_r)</f>
        <v>3.98931891884493</v>
      </c>
      <c r="I8611" s="6" t="n">
        <f aca="false">Sens!I8494*(al_fro+Sens!I8607+sbc_r)</f>
        <v>4.25799700096477</v>
      </c>
      <c r="J8611" s="6" t="n">
        <f aca="false">Sens!J8494*(al_fro+Sens!J8607+sbc_r)</f>
        <v>4.56092571974314</v>
      </c>
      <c r="K8611" s="6" t="n">
        <f aca="false">Sens!K8494*(al_fro+Sens!K8607+sbc_r)</f>
        <v>4.89648040261854</v>
      </c>
    </row>
    <row r="8612" customFormat="false" ht="17.15" hidden="false" customHeight="false" outlineLevel="0" collapsed="false">
      <c r="A8612" s="0" t="s">
        <v>1236</v>
      </c>
      <c r="B8612" s="0" t="s">
        <v>98</v>
      </c>
      <c r="F8612" s="6" t="n">
        <f aca="false">Sens!F8497*(al_srch+Sens!F8607+sbc_r)</f>
        <v>11.1772529350608</v>
      </c>
      <c r="G8612" s="6" t="n">
        <f aca="false">Sens!G8497*(al_srch+Sens!G8607+sbc_r)</f>
        <v>12.2320841773926</v>
      </c>
      <c r="H8612" s="6" t="n">
        <f aca="false">Sens!H8497*(al_srch+Sens!H8607+sbc_r)</f>
        <v>13.3363921789664</v>
      </c>
      <c r="I8612" s="6" t="n">
        <f aca="false">Sens!I8497*(al_srch+Sens!I8607+sbc_r)</f>
        <v>14.4821242273249</v>
      </c>
      <c r="J8612" s="6" t="n">
        <f aca="false">Sens!J8497*(al_srch+Sens!J8607+sbc_r)</f>
        <v>15.6471937635283</v>
      </c>
      <c r="K8612" s="6" t="n">
        <f aca="false">Sens!K8497*(al_srch+Sens!K8607+sbc_r)</f>
        <v>16.7983831193388</v>
      </c>
    </row>
    <row r="8613" customFormat="false" ht="17.15" hidden="false" customHeight="false" outlineLevel="0" collapsed="false">
      <c r="A8613" s="0" t="s">
        <v>1237</v>
      </c>
      <c r="B8613" s="0" t="s">
        <v>98</v>
      </c>
      <c r="F8613" s="6" t="n">
        <f aca="false">Sens!F8465-Sens!F8466+Sens!F8547</f>
        <v>43.8366732094049</v>
      </c>
      <c r="G8613" s="6" t="n">
        <f aca="false">Sens!G8465-Sens!G8466+Sens!G8547</f>
        <v>88.5170286768642</v>
      </c>
      <c r="H8613" s="6" t="n">
        <f aca="false">Sens!H8465-Sens!H8466+Sens!H8547</f>
        <v>141.02050115432</v>
      </c>
      <c r="I8613" s="6" t="n">
        <f aca="false">Sens!I8465-Sens!I8466+Sens!I8547</f>
        <v>182.769480827085</v>
      </c>
      <c r="J8613" s="6" t="n">
        <f aca="false">Sens!J8465-Sens!J8466+Sens!J8547</f>
        <v>212.125169075897</v>
      </c>
      <c r="K8613" s="6" t="n">
        <f aca="false">Sens!K8465-Sens!K8466+Sens!K8547</f>
        <v>229.538090938077</v>
      </c>
    </row>
    <row r="8614" customFormat="false" ht="17.15" hidden="false" customHeight="false" outlineLevel="0" collapsed="false">
      <c r="A8614" s="0" t="s">
        <v>1238</v>
      </c>
      <c r="B8614" s="0" t="s">
        <v>98</v>
      </c>
      <c r="F8614" s="6" t="n">
        <f aca="false">Sens!F8526+Sens!F8547+Sens!F8477+Sens!F8607*(Sens!F8496-Sens!F8459)+sbc_r*Sens!F8496</f>
        <v>240.530292488076</v>
      </c>
      <c r="G8614" s="6" t="n">
        <f aca="false">Sens!G8526+Sens!G8547+Sens!G8477+Sens!G8607*(Sens!G8496-Sens!G8459)+sbc_r*Sens!G8496</f>
        <v>311.743377077496</v>
      </c>
      <c r="H8614" s="6" t="n">
        <f aca="false">Sens!H8526+Sens!H8547+Sens!H8477+Sens!H8607*(Sens!H8496-Sens!H8459)+sbc_r*Sens!H8496</f>
        <v>395.390185922269</v>
      </c>
      <c r="I8614" s="6" t="n">
        <f aca="false">Sens!I8526+Sens!I8547+Sens!I8477+Sens!I8607*(Sens!I8496-Sens!I8459)+sbc_r*Sens!I8496</f>
        <v>465.919922004175</v>
      </c>
      <c r="J8614" s="6" t="n">
        <f aca="false">Sens!J8526+Sens!J8547+Sens!J8477+Sens!J8607*(Sens!J8496-Sens!J8459)+sbc_r*Sens!J8496</f>
        <v>520.805685999902</v>
      </c>
      <c r="K8614" s="6" t="n">
        <f aca="false">Sens!K8526+Sens!K8547+Sens!K8477+Sens!K8607*(Sens!K8496-Sens!K8459)+sbc_r*Sens!K8496</f>
        <v>561.321912013031</v>
      </c>
    </row>
    <row r="8615" customFormat="false" ht="17.15" hidden="false" customHeight="false" outlineLevel="0" collapsed="false">
      <c r="A8615" s="0" t="s">
        <v>1239</v>
      </c>
      <c r="B8615" s="0" t="s">
        <v>98</v>
      </c>
      <c r="F8615" s="6" t="n">
        <f aca="false">Sens!F8614-Sens!F8608-Sens!F8609-Sens!F8610-Sens!F8611-Sens!F8613</f>
        <v>65.3182636032161</v>
      </c>
      <c r="G8615" s="6" t="n">
        <f aca="false">Sens!G8614-Sens!G8608-Sens!G8609-Sens!G8610-Sens!G8611-Sens!G8613</f>
        <v>74.0197911211602</v>
      </c>
      <c r="H8615" s="6" t="n">
        <f aca="false">Sens!H8614-Sens!H8608-Sens!H8609-Sens!H8610-Sens!H8611-Sens!H8613</f>
        <v>87.1626418737636</v>
      </c>
      <c r="I8615" s="6" t="n">
        <f aca="false">Sens!I8614-Sens!I8608-Sens!I8609-Sens!I8610-Sens!I8611-Sens!I8613</f>
        <v>99.7692280580442</v>
      </c>
      <c r="J8615" s="6" t="n">
        <f aca="false">Sens!J8614-Sens!J8608-Sens!J8609-Sens!J8610-Sens!J8611-Sens!J8613</f>
        <v>111.176204499807</v>
      </c>
      <c r="K8615" s="6" t="n">
        <f aca="false">Sens!K8614-Sens!K8608-Sens!K8609-Sens!K8610-Sens!K8611-Sens!K8613</f>
        <v>120.637262571922</v>
      </c>
    </row>
    <row r="8616" customFormat="false" ht="17.15" hidden="false" customHeight="false" outlineLevel="0" collapsed="false">
      <c r="A8616" s="0" t="s">
        <v>1240</v>
      </c>
      <c r="B8616" s="0" t="s">
        <v>98</v>
      </c>
      <c r="F8616" s="6" t="n">
        <f aca="false">Sens!F8528+Sens!F8607*Sens!F8503+sbc_r*Sens!F8503</f>
        <v>26.6060170397721</v>
      </c>
      <c r="G8616" s="6" t="n">
        <f aca="false">Sens!G8528+Sens!G8607*Sens!G8503+sbc_r*Sens!G8503</f>
        <v>26.4074560449024</v>
      </c>
      <c r="H8616" s="6" t="n">
        <f aca="false">Sens!H8528+Sens!H8607*Sens!H8503+sbc_r*Sens!H8503</f>
        <v>27.2578721088301</v>
      </c>
      <c r="I8616" s="6" t="n">
        <f aca="false">Sens!I8528+Sens!I8607*Sens!I8503+sbc_r*Sens!I8503</f>
        <v>28.3594332436315</v>
      </c>
      <c r="J8616" s="6" t="n">
        <f aca="false">Sens!J8528+Sens!J8607*Sens!J8503+sbc_r*Sens!J8503</f>
        <v>29.6708924279622</v>
      </c>
      <c r="K8616" s="6" t="n">
        <f aca="false">Sens!K8528+Sens!K8607*Sens!K8503+sbc_r*Sens!K8503</f>
        <v>31.1438678312533</v>
      </c>
    </row>
    <row r="8617" customFormat="false" ht="17.15" hidden="false" customHeight="false" outlineLevel="0" collapsed="false">
      <c r="A8617" s="0" t="s">
        <v>1241</v>
      </c>
      <c r="B8617" s="0" t="s">
        <v>98</v>
      </c>
      <c r="F8617" s="6" t="n">
        <f aca="false">(Sens!F8616-Sens!F8612)*Sens!F8499/(Sens!F8499+Sens!F8501)</f>
        <v>8.71394253478224</v>
      </c>
      <c r="G8617" s="6" t="n">
        <f aca="false">(Sens!G8616-Sens!G8612)*Sens!G8499/(Sens!G8499+Sens!G8501)</f>
        <v>7.86845056232252</v>
      </c>
      <c r="H8617" s="6" t="n">
        <f aca="false">(Sens!H8616-Sens!H8612)*Sens!H8499/(Sens!H8499+Sens!H8501)</f>
        <v>7.62685377949293</v>
      </c>
      <c r="I8617" s="6" t="n">
        <f aca="false">(Sens!I8616-Sens!I8612)*Sens!I8499/(Sens!I8499+Sens!I8501)</f>
        <v>7.53629541374162</v>
      </c>
      <c r="J8617" s="6" t="n">
        <f aca="false">(Sens!J8616-Sens!J8612)*Sens!J8499/(Sens!J8499+Sens!J8501)</f>
        <v>7.58256731021018</v>
      </c>
      <c r="K8617" s="6" t="n">
        <f aca="false">(Sens!K8616-Sens!K8612)*Sens!K8499/(Sens!K8499+Sens!K8501)</f>
        <v>7.75655595777691</v>
      </c>
    </row>
    <row r="8618" customFormat="false" ht="17.15" hidden="false" customHeight="false" outlineLevel="0" collapsed="false">
      <c r="A8618" s="0" t="s">
        <v>1242</v>
      </c>
      <c r="B8618" s="0" t="s">
        <v>98</v>
      </c>
      <c r="F8618" s="6" t="n">
        <f aca="false">Sens!F8616-Sens!F8612-Sens!F8617</f>
        <v>6.71482156992905</v>
      </c>
      <c r="G8618" s="6" t="n">
        <f aca="false">Sens!G8616-Sens!G8612-Sens!G8617</f>
        <v>6.30692130518728</v>
      </c>
      <c r="H8618" s="6" t="n">
        <f aca="false">Sens!H8616-Sens!H8612-Sens!H8617</f>
        <v>6.29462615037071</v>
      </c>
      <c r="I8618" s="6" t="n">
        <f aca="false">Sens!I8616-Sens!I8612-Sens!I8617</f>
        <v>6.34101360256498</v>
      </c>
      <c r="J8618" s="6" t="n">
        <f aca="false">Sens!J8616-Sens!J8612-Sens!J8617</f>
        <v>6.44113135422376</v>
      </c>
      <c r="K8618" s="6" t="n">
        <f aca="false">Sens!K8616-Sens!K8612-Sens!K8617</f>
        <v>6.58892875413765</v>
      </c>
    </row>
    <row r="8619" customFormat="false" ht="17.15" hidden="false" customHeight="false" outlineLevel="0" collapsed="false">
      <c r="A8619" s="0" t="s">
        <v>1243</v>
      </c>
      <c r="B8619" s="0" t="s">
        <v>98</v>
      </c>
      <c r="F8619" s="6" t="n">
        <f aca="false">Sens!F8613-tax_f*(Sens!F8613-Sens!F8477)-Sens!F8474</f>
        <v>-126.468702578925</v>
      </c>
      <c r="G8619" s="6" t="n">
        <f aca="false">Sens!G8613-tax_f*(Sens!G8613-Sens!G8477)-Sens!G8474</f>
        <v>-108.983954577097</v>
      </c>
      <c r="H8619" s="6" t="n">
        <f aca="false">Sens!H8613-tax_f*(Sens!H8613-Sens!H8477)-Sens!H8474</f>
        <v>-66.1695850087671</v>
      </c>
      <c r="I8619" s="6" t="n">
        <f aca="false">Sens!I8613-tax_f*(Sens!I8613-Sens!I8477)-Sens!I8474</f>
        <v>0.446952978967261</v>
      </c>
      <c r="J8619" s="6" t="n">
        <f aca="false">Sens!J8613-tax_f*(Sens!J8613-Sens!J8477)-Sens!J8474</f>
        <v>67.1733386746967</v>
      </c>
      <c r="K8619" s="6" t="n">
        <f aca="false">Sens!K8613-tax_f*(Sens!K8613-Sens!K8477)-Sens!K8474</f>
        <v>93.270153595916</v>
      </c>
    </row>
    <row r="8620" customFormat="false" ht="17.15" hidden="false" customHeight="false" outlineLevel="0" collapsed="false">
      <c r="A8620" s="0" t="s">
        <v>1244</v>
      </c>
      <c r="B8620" s="0" t="s">
        <v>98</v>
      </c>
      <c r="G8620" s="6" t="n">
        <f aca="false">Sens!G8619/(1+wacc)^(Sens!G8590-Sens!F8591)</f>
        <v>-103.773697251598</v>
      </c>
      <c r="H8620" s="6" t="n">
        <f aca="false">Sens!H8619/(1+wacc)^(Sens!H8590-Sens!F8591)</f>
        <v>-57.125839228667</v>
      </c>
      <c r="I8620" s="6" t="n">
        <f aca="false">Sens!I8619/(1+wacc)^(Sens!I8590-Sens!F8591)</f>
        <v>0.349852896209987</v>
      </c>
      <c r="J8620" s="6" t="n">
        <f aca="false">Sens!J8619/(1+wacc)^(Sens!J8590-Sens!F8591)</f>
        <v>47.6727304176989</v>
      </c>
      <c r="K8620" s="6" t="n">
        <f aca="false">Sens!K8619/(1+wacc)^(Sens!K8590-Sens!F8591)</f>
        <v>60.0157501866695</v>
      </c>
      <c r="L8620" s="1" t="s">
        <v>1245</v>
      </c>
    </row>
    <row r="8621" customFormat="false" ht="17.15" hidden="false" customHeight="false" outlineLevel="0" collapsed="false">
      <c r="A8621" s="0" t="s">
        <v>1246</v>
      </c>
      <c r="B8621" s="0" t="s">
        <v>98</v>
      </c>
      <c r="C8621" s="6" t="n">
        <f aca="false">(Sens!K8613-Sens!K8477)*(1-tax_f)*(1+g_tv)*(1-g_tv/(wacc+ronic_prem))/(wacc-g_tv)/(1+wacc)^(Sens!K8591-Sens!F8591)</f>
        <v>424.373667639602</v>
      </c>
    </row>
    <row r="8622" customFormat="false" ht="17.15" hidden="false" customHeight="false" outlineLevel="0" collapsed="false">
      <c r="A8622" s="1" t="s">
        <v>1247</v>
      </c>
      <c r="B8622" s="0" t="s">
        <v>98</v>
      </c>
      <c r="C8622" s="6" t="n">
        <f aca="false">(SUM(Sens!G8620:K8620)+Sens!$C$8621)*(1+wacc)^(t_roll-Sens!F8591)</f>
        <v>383.777214655426</v>
      </c>
      <c r="L8622" s="12" t="s">
        <v>1248</v>
      </c>
    </row>
    <row r="8623" customFormat="false" ht="17.15" hidden="false" customHeight="false" outlineLevel="0" collapsed="false">
      <c r="A8623" s="1" t="s">
        <v>1249</v>
      </c>
      <c r="B8623" s="0" t="s">
        <v>98</v>
      </c>
      <c r="C8623" s="6" t="n">
        <f aca="false">(w_ntm28*Sens!G8465+(1-w_ntm28)*Sens!H8465)*m_ai</f>
        <v>563.316843258668</v>
      </c>
    </row>
    <row r="8624" customFormat="false" ht="17.15" hidden="false" customHeight="false" outlineLevel="0" collapsed="false">
      <c r="A8624" s="1" t="s">
        <v>1250</v>
      </c>
      <c r="B8624" s="0" t="s">
        <v>98</v>
      </c>
      <c r="C8624" s="6" t="n">
        <f aca="false">(w_ntm28*Sens!G8615+(1-w_ntm28)*Sens!H8615)*m_cloud</f>
        <v>1082.66886586462</v>
      </c>
    </row>
    <row r="8625" customFormat="false" ht="17.15" hidden="false" customHeight="false" outlineLevel="0" collapsed="false">
      <c r="A8625" s="1" t="s">
        <v>1251</v>
      </c>
      <c r="B8625" s="0" t="s">
        <v>98</v>
      </c>
      <c r="C8625" s="6" t="n">
        <f aca="false">(w_ntm28*Sens!G8608+(1-w_ntm28)*Sens!H8608)*m_sw</f>
        <v>1152.65558407072</v>
      </c>
    </row>
    <row r="8626" customFormat="false" ht="17.15" hidden="false" customHeight="false" outlineLevel="0" collapsed="false">
      <c r="A8626" s="1" t="s">
        <v>1252</v>
      </c>
      <c r="B8626" s="0" t="s">
        <v>98</v>
      </c>
      <c r="C8626" s="6" t="n">
        <f aca="false">(w_ntm28*Sens!G8609+(1-w_ntm28)*Sens!H8609)*m_sw</f>
        <v>372.455804488293</v>
      </c>
    </row>
    <row r="8627" customFormat="false" ht="17.15" hidden="false" customHeight="false" outlineLevel="0" collapsed="false">
      <c r="A8627" s="1" t="s">
        <v>1253</v>
      </c>
      <c r="B8627" s="0" t="s">
        <v>98</v>
      </c>
      <c r="C8627" s="6" t="n">
        <f aca="false">(w_ntm28*Sens!G8610+(1-w_ntm28)*Sens!H8610)*m_sw</f>
        <v>108.851023179865</v>
      </c>
    </row>
    <row r="8628" customFormat="false" ht="17.15" hidden="false" customHeight="false" outlineLevel="0" collapsed="false">
      <c r="A8628" s="1" t="s">
        <v>1254</v>
      </c>
      <c r="B8628" s="0" t="s">
        <v>98</v>
      </c>
      <c r="C8628" s="6" t="n">
        <f aca="false">(w_ntm28*Sens!G8611+(1-w_ntm28)*Sens!H8611)*m_sw</f>
        <v>41.3824599113814</v>
      </c>
    </row>
    <row r="8629" customFormat="false" ht="17.15" hidden="false" customHeight="false" outlineLevel="0" collapsed="false">
      <c r="A8629" s="1" t="s">
        <v>1255</v>
      </c>
      <c r="B8629" s="0" t="s">
        <v>98</v>
      </c>
      <c r="C8629" s="6" t="n">
        <f aca="false">(w_ntm28*Sens!G8612+(1-w_ntm28)*Sens!H8612)*m_ads</f>
        <v>114.741764958295</v>
      </c>
    </row>
    <row r="8630" customFormat="false" ht="17.15" hidden="false" customHeight="false" outlineLevel="0" collapsed="false">
      <c r="A8630" s="1" t="s">
        <v>1256</v>
      </c>
      <c r="B8630" s="0" t="s">
        <v>98</v>
      </c>
      <c r="C8630" s="6" t="n">
        <f aca="false">(w_ntm28*Sens!G8617+(1-w_ntm28)*Sens!H8617)*m_game</f>
        <v>98.3753413307457</v>
      </c>
    </row>
    <row r="8631" customFormat="false" ht="17.15" hidden="false" customHeight="false" outlineLevel="0" collapsed="false">
      <c r="A8631" s="1" t="s">
        <v>1257</v>
      </c>
      <c r="B8631" s="0" t="s">
        <v>98</v>
      </c>
      <c r="C8631" s="6" t="n">
        <f aca="false">(w_ntm28*Sens!G8618+(1-w_ntm28)*Sens!H8618)*m_pc</f>
        <v>91.2026600344887</v>
      </c>
    </row>
    <row r="8632" customFormat="false" ht="17.15" hidden="false" customHeight="false" outlineLevel="0" collapsed="false">
      <c r="A8632" s="1" t="s">
        <v>1258</v>
      </c>
      <c r="B8632" s="0" t="s">
        <v>98</v>
      </c>
      <c r="C8632" s="6" t="n">
        <f aca="false">Sens!$C$8622+Sens!$C$8624+Sens!$C$8625+Sens!$C$8626+Sens!$C$8627+Sens!$C$8628+Sens!$C$8629+Sens!$C$8630+Sens!$C$8631</f>
        <v>3446.11071849384</v>
      </c>
    </row>
    <row r="8633" customFormat="false" ht="17.15" hidden="false" customHeight="false" outlineLevel="0" collapsed="false">
      <c r="A8633" s="1" t="s">
        <v>1259</v>
      </c>
      <c r="B8633" s="0" t="s">
        <v>98</v>
      </c>
      <c r="C8633" s="6" t="n">
        <f aca="false">(Sens!G8594-Sens!G8619)*t_stub</f>
        <v>48.7499290334491</v>
      </c>
      <c r="L8633" s="1" t="s">
        <v>1260</v>
      </c>
    </row>
    <row r="8634" customFormat="false" ht="17.15" hidden="false" customHeight="false" outlineLevel="0" collapsed="false">
      <c r="A8634" s="1" t="s">
        <v>1169</v>
      </c>
      <c r="B8634" s="0" t="s">
        <v>98</v>
      </c>
      <c r="C8634" s="6" t="n">
        <f aca="false">Sens!F8581+oai_v-Sens!F8570+Sens!$C$8633</f>
        <v>162.978199033449</v>
      </c>
      <c r="L8634" s="1" t="s">
        <v>1261</v>
      </c>
    </row>
    <row r="8635" customFormat="false" ht="17.15" hidden="false" customHeight="false" outlineLevel="0" collapsed="false">
      <c r="A8635" s="1" t="s">
        <v>1262</v>
      </c>
      <c r="B8635" s="0" t="s">
        <v>75</v>
      </c>
      <c r="C8635" s="5" t="n">
        <f aca="false">(Sens!$C$8632+Sens!$C$8634)/(Sens!F8583+dil_gap)-Sens!G8573*roll_div_q/q_per_yr</f>
        <v>480.896192378978</v>
      </c>
      <c r="L8635" s="1" t="s">
        <v>1263</v>
      </c>
    </row>
    <row r="8636" customFormat="false" ht="17.15" hidden="false" customHeight="false" outlineLevel="0" collapsed="false">
      <c r="A8636" s="1" t="s">
        <v>1264</v>
      </c>
      <c r="B8636" s="0" t="s">
        <v>75</v>
      </c>
      <c r="C8636" s="5" t="n">
        <f aca="false">w_dcf*Sens!$C$8606+(1-w_dcf)*Sens!$C$8635</f>
        <v>422.116140345299</v>
      </c>
    </row>
    <row r="8637" customFormat="false" ht="17.15" hidden="false" customHeight="false" outlineLevel="0" collapsed="false">
      <c r="A8637" s="3" t="s">
        <v>1695</v>
      </c>
    </row>
    <row r="8638" customFormat="false" ht="15" hidden="false" customHeight="false" outlineLevel="0" collapsed="false">
      <c r="A8638" s="4" t="s">
        <v>43</v>
      </c>
      <c r="B8638" s="4" t="s">
        <v>65</v>
      </c>
      <c r="C8638" s="23" t="s">
        <v>938</v>
      </c>
      <c r="D8638" s="23" t="s">
        <v>939</v>
      </c>
      <c r="E8638" s="23" t="s">
        <v>940</v>
      </c>
      <c r="F8638" s="23" t="s">
        <v>941</v>
      </c>
      <c r="G8638" s="23" t="s">
        <v>942</v>
      </c>
      <c r="H8638" s="23" t="s">
        <v>943</v>
      </c>
      <c r="I8638" s="23" t="s">
        <v>944</v>
      </c>
      <c r="J8638" s="23" t="s">
        <v>945</v>
      </c>
      <c r="K8638" s="23" t="s">
        <v>946</v>
      </c>
      <c r="L8638" s="4" t="s">
        <v>47</v>
      </c>
    </row>
    <row r="8639" customFormat="false" ht="17.15" hidden="false" customHeight="false" outlineLevel="0" collapsed="false">
      <c r="A8639" s="1" t="s">
        <v>947</v>
      </c>
      <c r="B8639" s="1" t="s">
        <v>279</v>
      </c>
      <c r="C8639" s="21" t="n">
        <v>2024</v>
      </c>
      <c r="D8639" s="21" t="n">
        <v>2025</v>
      </c>
      <c r="E8639" s="21" t="n">
        <v>2026</v>
      </c>
      <c r="F8639" s="21" t="n">
        <v>2027</v>
      </c>
      <c r="G8639" s="21" t="n">
        <v>2028</v>
      </c>
      <c r="H8639" s="21" t="n">
        <v>2029</v>
      </c>
      <c r="I8639" s="21" t="n">
        <v>2030</v>
      </c>
      <c r="J8639" s="21" t="n">
        <v>2031</v>
      </c>
      <c r="K8639" s="21" t="n">
        <v>2032</v>
      </c>
    </row>
    <row r="8640" customFormat="false" ht="17.15" hidden="false" customHeight="false" outlineLevel="0" collapsed="false">
      <c r="A8640" s="1" t="s">
        <v>948</v>
      </c>
      <c r="B8640" s="0" t="s">
        <v>456</v>
      </c>
      <c r="F8640" s="30" t="n">
        <f aca="false">pace</f>
        <v>2726.5351</v>
      </c>
      <c r="G8640" s="30" t="n">
        <f aca="false">pace</f>
        <v>2726.5351</v>
      </c>
      <c r="H8640" s="30" t="n">
        <f aca="false">pace</f>
        <v>2726.5351</v>
      </c>
      <c r="I8640" s="30" t="n">
        <f aca="false">pace+(g_tv*Sens!H8641-pace)*MIN(1,(Sens!I8639-pace_y0)/(pace_y1-pace_y0))</f>
        <v>1931.98611966667</v>
      </c>
      <c r="J8640" s="30" t="n">
        <f aca="false">pace+(g_tv*Sens!I8641-pace)*MIN(1,(Sens!J8639-pace_y0)/(pace_y1-pace_y0))</f>
        <v>1176.07686172667</v>
      </c>
      <c r="K8640" s="30" t="n">
        <f aca="false">pace+(g_tv*Sens!J8641-pace)*MIN(1,(Sens!K8639-pace_y0)/(pace_y1-pace_y0))</f>
        <v>436.1300484418</v>
      </c>
      <c r="L8640" s="12" t="s">
        <v>949</v>
      </c>
    </row>
    <row r="8641" customFormat="false" ht="17.15" hidden="false" customHeight="false" outlineLevel="0" collapsed="false">
      <c r="A8641" s="1" t="s">
        <v>950</v>
      </c>
      <c r="B8641" s="0" t="s">
        <v>456</v>
      </c>
      <c r="C8641" s="30" t="n">
        <f aca="false">mw_ext_24</f>
        <v>640</v>
      </c>
      <c r="D8641" s="30" t="n">
        <f aca="false">mw_ext_25</f>
        <v>1630</v>
      </c>
      <c r="E8641" s="30" t="n">
        <f aca="false">mw_ext_26</f>
        <v>3250</v>
      </c>
      <c r="F8641" s="30" t="n">
        <f aca="false">Sens!E8641+Sens!F8640</f>
        <v>5976.5351</v>
      </c>
      <c r="G8641" s="30" t="n">
        <f aca="false">Sens!F8641+Sens!G8640</f>
        <v>8703.0702</v>
      </c>
      <c r="H8641" s="30" t="n">
        <f aca="false">Sens!G8641+Sens!H8640</f>
        <v>11429.6053</v>
      </c>
      <c r="I8641" s="30" t="n">
        <f aca="false">Sens!H8641+Sens!I8640</f>
        <v>13361.5914196667</v>
      </c>
      <c r="J8641" s="30" t="n">
        <f aca="false">Sens!I8641+Sens!J8640</f>
        <v>14537.6682813933</v>
      </c>
      <c r="K8641" s="30" t="n">
        <f aca="false">Sens!J8641+Sens!K8640</f>
        <v>14973.7983298351</v>
      </c>
      <c r="L8641" s="1" t="s">
        <v>951</v>
      </c>
    </row>
    <row r="8642" customFormat="false" ht="17.15" hidden="false" customHeight="false" outlineLevel="0" collapsed="false">
      <c r="A8642" s="1" t="s">
        <v>952</v>
      </c>
      <c r="B8642" s="0" t="s">
        <v>456</v>
      </c>
      <c r="C8642" s="30" t="n">
        <f aca="false">rent_ext_24</f>
        <v>150</v>
      </c>
      <c r="D8642" s="30" t="n">
        <f aca="false">rent_ext_25</f>
        <v>400</v>
      </c>
      <c r="E8642" s="30" t="n">
        <f aca="false">rent_ext_26</f>
        <v>550</v>
      </c>
      <c r="F8642" s="30" t="n">
        <f aca="false">rent_ext_f</f>
        <v>756</v>
      </c>
      <c r="G8642" s="30" t="n">
        <f aca="false">rent_ext_f</f>
        <v>756</v>
      </c>
      <c r="H8642" s="30" t="n">
        <f aca="false">rent_ext_f</f>
        <v>756</v>
      </c>
      <c r="I8642" s="30" t="n">
        <f aca="false">rent_ext_f</f>
        <v>756</v>
      </c>
      <c r="J8642" s="30" t="n">
        <f aca="false">rent_ext_f</f>
        <v>756</v>
      </c>
      <c r="K8642" s="30" t="n">
        <f aca="false">rent_ext_f</f>
        <v>756</v>
      </c>
      <c r="L8642" s="1" t="s">
        <v>953</v>
      </c>
    </row>
    <row r="8643" customFormat="false" ht="17.15" hidden="false" customHeight="false" outlineLevel="0" collapsed="false">
      <c r="A8643" s="1" t="s">
        <v>954</v>
      </c>
      <c r="B8643" s="0" t="s">
        <v>456</v>
      </c>
      <c r="C8643" s="30" t="n">
        <f aca="false">Sens!C8641-Sens!C8642</f>
        <v>490</v>
      </c>
      <c r="D8643" s="30" t="n">
        <f aca="false">Sens!D8641-Sens!D8642</f>
        <v>1230</v>
      </c>
      <c r="E8643" s="30" t="n">
        <f aca="false">Sens!E8641-Sens!E8642</f>
        <v>2700</v>
      </c>
      <c r="F8643" s="30" t="n">
        <f aca="false">Sens!F8641-Sens!F8642</f>
        <v>5220.5351</v>
      </c>
      <c r="G8643" s="30" t="n">
        <f aca="false">Sens!G8641-Sens!G8642</f>
        <v>7947.0702</v>
      </c>
      <c r="H8643" s="30" t="n">
        <f aca="false">Sens!H8641-Sens!H8642</f>
        <v>10673.6053</v>
      </c>
      <c r="I8643" s="30" t="n">
        <f aca="false">Sens!I8641-Sens!I8642</f>
        <v>12605.5914196667</v>
      </c>
      <c r="J8643" s="30" t="n">
        <f aca="false">Sens!J8641-Sens!J8642</f>
        <v>13781.6682813933</v>
      </c>
      <c r="K8643" s="30" t="n">
        <f aca="false">Sens!K8641-Sens!K8642</f>
        <v>14217.7983298351</v>
      </c>
    </row>
    <row r="8644" customFormat="false" ht="17.15" hidden="false" customHeight="false" outlineLevel="0" collapsed="false">
      <c r="A8644" s="1" t="s">
        <v>955</v>
      </c>
      <c r="B8644" s="0" t="s">
        <v>456</v>
      </c>
      <c r="C8644" s="30" t="n">
        <f aca="false">Sens!C8643/ext_sh</f>
        <v>816.666666666667</v>
      </c>
      <c r="D8644" s="30" t="n">
        <f aca="false">Sens!D8643/ext_sh</f>
        <v>2050</v>
      </c>
      <c r="E8644" s="30" t="n">
        <f aca="false">Sens!E8643/ext_sh</f>
        <v>4500</v>
      </c>
      <c r="F8644" s="30" t="n">
        <f aca="false">Sens!F8643/ext_sh</f>
        <v>8700.89183333333</v>
      </c>
      <c r="G8644" s="30" t="n">
        <f aca="false">Sens!G8643/ext_sh</f>
        <v>13245.117</v>
      </c>
      <c r="H8644" s="30" t="n">
        <f aca="false">Sens!H8643/ext_sh</f>
        <v>17789.3421666667</v>
      </c>
      <c r="I8644" s="30" t="n">
        <f aca="false">Sens!I8643/ext_sh</f>
        <v>21009.3190327778</v>
      </c>
      <c r="J8644" s="30" t="n">
        <f aca="false">Sens!J8643/ext_sh</f>
        <v>22969.4471356556</v>
      </c>
      <c r="K8644" s="30" t="n">
        <f aca="false">Sens!K8643/ext_sh</f>
        <v>23696.3305497252</v>
      </c>
      <c r="L8644" s="1" t="s">
        <v>956</v>
      </c>
    </row>
    <row r="8645" customFormat="false" ht="17.15" hidden="false" customHeight="false" outlineLevel="0" collapsed="false">
      <c r="A8645" s="1" t="s">
        <v>957</v>
      </c>
      <c r="B8645" s="0" t="s">
        <v>456</v>
      </c>
      <c r="C8645" s="30" t="n">
        <f aca="false">Sens!C8644-Sens!C8643</f>
        <v>326.666666666667</v>
      </c>
      <c r="D8645" s="30" t="n">
        <f aca="false">Sens!D8644-Sens!D8643</f>
        <v>820</v>
      </c>
      <c r="E8645" s="30" t="n">
        <f aca="false">Sens!E8644-Sens!E8643</f>
        <v>1800</v>
      </c>
      <c r="F8645" s="30" t="n">
        <f aca="false">Sens!F8644-Sens!F8643</f>
        <v>3480.35673333333</v>
      </c>
      <c r="G8645" s="30" t="n">
        <f aca="false">Sens!G8644-Sens!G8643</f>
        <v>5298.0468</v>
      </c>
      <c r="H8645" s="30" t="n">
        <f aca="false">Sens!H8644-Sens!H8643</f>
        <v>7115.73686666667</v>
      </c>
      <c r="I8645" s="30" t="n">
        <f aca="false">Sens!I8644-Sens!I8643</f>
        <v>8403.72761311111</v>
      </c>
      <c r="J8645" s="30" t="n">
        <f aca="false">Sens!J8644-Sens!J8643</f>
        <v>9187.77885426222</v>
      </c>
      <c r="K8645" s="30" t="n">
        <f aca="false">Sens!K8644-Sens!K8643</f>
        <v>9478.53221989009</v>
      </c>
    </row>
    <row r="8646" customFormat="false" ht="17.15" hidden="false" customHeight="false" outlineLevel="0" collapsed="false">
      <c r="A8646" s="1" t="s">
        <v>958</v>
      </c>
      <c r="B8646" s="0" t="s">
        <v>456</v>
      </c>
      <c r="C8646" s="30" t="n">
        <f aca="false">Sens!C8644</f>
        <v>816.666666666667</v>
      </c>
      <c r="D8646" s="30" t="n">
        <f aca="false">Sens!D8644-Sens!C8644</f>
        <v>1233.33333333333</v>
      </c>
      <c r="E8646" s="30" t="n">
        <f aca="false">Sens!E8644-Sens!D8644</f>
        <v>2450</v>
      </c>
      <c r="F8646" s="30" t="n">
        <f aca="false">Sens!F8644-Sens!E8644</f>
        <v>4200.89183333333</v>
      </c>
      <c r="G8646" s="30" t="n">
        <f aca="false">Sens!G8644-Sens!F8644</f>
        <v>4544.22516666667</v>
      </c>
      <c r="H8646" s="30" t="n">
        <f aca="false">Sens!H8644-Sens!G8644</f>
        <v>4544.22516666667</v>
      </c>
      <c r="I8646" s="30" t="n">
        <f aca="false">Sens!I8644-Sens!H8644</f>
        <v>3219.97686611111</v>
      </c>
      <c r="J8646" s="30" t="n">
        <f aca="false">Sens!J8644-Sens!I8644</f>
        <v>1960.12810287778</v>
      </c>
      <c r="K8646" s="30" t="n">
        <f aca="false">Sens!K8644-Sens!J8644</f>
        <v>726.883414069667</v>
      </c>
    </row>
    <row r="8647" customFormat="false" ht="17.15" hidden="false" customHeight="false" outlineLevel="0" collapsed="false">
      <c r="A8647" s="1" t="s">
        <v>959</v>
      </c>
      <c r="B8647" s="0" t="s">
        <v>456</v>
      </c>
      <c r="D8647" s="30" t="n">
        <f aca="false">Sens!D8641-Sens!C8641</f>
        <v>990</v>
      </c>
      <c r="E8647" s="30" t="n">
        <f aca="false">Sens!E8641-Sens!D8641</f>
        <v>1620</v>
      </c>
      <c r="F8647" s="30" t="n">
        <f aca="false">Sens!F8641-Sens!E8641</f>
        <v>2726.5351</v>
      </c>
      <c r="G8647" s="30" t="n">
        <f aca="false">Sens!G8641-Sens!F8641</f>
        <v>2726.5351</v>
      </c>
      <c r="H8647" s="30" t="n">
        <f aca="false">Sens!H8641-Sens!G8641</f>
        <v>2726.5351</v>
      </c>
      <c r="I8647" s="30" t="n">
        <f aca="false">Sens!I8641-Sens!H8641</f>
        <v>1931.98611966667</v>
      </c>
      <c r="J8647" s="30" t="n">
        <f aca="false">Sens!J8641-Sens!I8641</f>
        <v>1176.07686172667</v>
      </c>
      <c r="K8647" s="30" t="n">
        <f aca="false">Sens!K8641-Sens!J8641</f>
        <v>436.130048441799</v>
      </c>
    </row>
    <row r="8648" customFormat="false" ht="17.15" hidden="false" customHeight="false" outlineLevel="0" collapsed="false">
      <c r="A8648" s="1" t="s">
        <v>960</v>
      </c>
      <c r="B8648" s="0" t="s">
        <v>456</v>
      </c>
      <c r="F8648" s="30" t="n">
        <f aca="false">Sens!F8667*ext_sh</f>
        <v>0</v>
      </c>
      <c r="G8648" s="30" t="n">
        <f aca="false">Sens!G8667*ext_sh</f>
        <v>0</v>
      </c>
      <c r="H8648" s="30" t="n">
        <f aca="false">Sens!H8667*ext_sh</f>
        <v>0</v>
      </c>
      <c r="I8648" s="30" t="n">
        <f aca="false">Sens!I8667*ext_sh</f>
        <v>490</v>
      </c>
      <c r="J8648" s="30" t="n">
        <f aca="false">Sens!J8667*ext_sh</f>
        <v>740</v>
      </c>
      <c r="K8648" s="30" t="n">
        <f aca="false">Sens!K8667*ext_sh</f>
        <v>1470</v>
      </c>
      <c r="L8648" s="1" t="s">
        <v>961</v>
      </c>
    </row>
    <row r="8649" customFormat="false" ht="17.15" hidden="false" customHeight="false" outlineLevel="0" collapsed="false">
      <c r="A8649" s="1" t="s">
        <v>962</v>
      </c>
      <c r="B8649" s="0" t="s">
        <v>456</v>
      </c>
      <c r="C8649" s="30" t="n">
        <f aca="false">mix_h*Sens!C8641</f>
        <v>128</v>
      </c>
      <c r="D8649" s="30" t="n">
        <f aca="false">mix_h*Sens!D8641</f>
        <v>326</v>
      </c>
      <c r="E8649" s="30" t="n">
        <f aca="false">mix_h*Sens!E8641</f>
        <v>650</v>
      </c>
      <c r="F8649" s="30" t="n">
        <f aca="false">Sens!E8649-Sens!F8648*mix_h</f>
        <v>650</v>
      </c>
      <c r="G8649" s="30" t="n">
        <f aca="false">Sens!F8649-Sens!G8648*mix_h</f>
        <v>650</v>
      </c>
      <c r="H8649" s="30" t="n">
        <f aca="false">Sens!G8649-Sens!H8648*mix_h</f>
        <v>650</v>
      </c>
      <c r="I8649" s="30" t="n">
        <f aca="false">Sens!H8649-Sens!I8648*mix_h</f>
        <v>552</v>
      </c>
      <c r="J8649" s="30" t="n">
        <f aca="false">Sens!I8649-Sens!J8648*mix_h</f>
        <v>404</v>
      </c>
      <c r="K8649" s="30" t="n">
        <f aca="false">Sens!J8649-Sens!K8648*mix_h</f>
        <v>110</v>
      </c>
    </row>
    <row r="8650" customFormat="false" ht="17.15" hidden="false" customHeight="false" outlineLevel="0" collapsed="false">
      <c r="A8650" s="1" t="s">
        <v>963</v>
      </c>
      <c r="B8650" s="0" t="s">
        <v>456</v>
      </c>
      <c r="C8650" s="30" t="n">
        <f aca="false">mix_g2*Sens!C8641</f>
        <v>288</v>
      </c>
      <c r="D8650" s="30" t="n">
        <f aca="false">mix_g2*Sens!D8641</f>
        <v>733.5</v>
      </c>
      <c r="E8650" s="30" t="n">
        <f aca="false">mix_g2*Sens!E8641</f>
        <v>1462.5</v>
      </c>
      <c r="F8650" s="30" t="n">
        <f aca="false">Sens!E8650-Sens!F8648*mix_g2</f>
        <v>1462.5</v>
      </c>
      <c r="G8650" s="30" t="n">
        <f aca="false">Sens!F8650-Sens!G8648*mix_g2</f>
        <v>1462.5</v>
      </c>
      <c r="H8650" s="30" t="n">
        <f aca="false">Sens!G8650-Sens!H8648*mix_g2</f>
        <v>1462.5</v>
      </c>
      <c r="I8650" s="30" t="n">
        <f aca="false">Sens!H8650-Sens!I8648*mix_g2</f>
        <v>1242</v>
      </c>
      <c r="J8650" s="30" t="n">
        <f aca="false">Sens!I8650-Sens!J8648*mix_g2</f>
        <v>909</v>
      </c>
      <c r="K8650" s="30" t="n">
        <f aca="false">Sens!J8650-Sens!K8648*mix_g2</f>
        <v>247.5</v>
      </c>
    </row>
    <row r="8651" customFormat="false" ht="17.15" hidden="false" customHeight="false" outlineLevel="0" collapsed="false">
      <c r="A8651" s="1" t="s">
        <v>964</v>
      </c>
      <c r="B8651" s="0" t="s">
        <v>456</v>
      </c>
      <c r="C8651" s="30" t="n">
        <f aca="false">mix_g3*Sens!C8641</f>
        <v>224</v>
      </c>
      <c r="D8651" s="30" t="n">
        <f aca="false">mix_g3*Sens!D8641</f>
        <v>570.5</v>
      </c>
      <c r="E8651" s="30" t="n">
        <f aca="false">mix_g3*Sens!E8641</f>
        <v>1137.5</v>
      </c>
      <c r="F8651" s="30" t="n">
        <f aca="false">Sens!E8651+(Sens!F8647+Sens!F8648)*(a_g3_27-nonnv*a_mai)-Sens!F8648*mix_g3</f>
        <v>2773.42106</v>
      </c>
      <c r="G8651" s="30" t="n">
        <f aca="false">Sens!F8651+(Sens!G8647+Sens!G8648)*(a_g3_28-nonnv*a_mai)-Sens!G8648*mix_g3</f>
        <v>3318.72808</v>
      </c>
      <c r="H8651" s="30" t="n">
        <f aca="false">Sens!G8651+(Sens!H8647+Sens!H8648)*(a_g3_29-nonnv*a_mai)-Sens!H8648*mix_g3</f>
        <v>3318.72808</v>
      </c>
      <c r="I8651" s="30" t="n">
        <f aca="false">Sens!H8651+(Sens!I8647+Sens!I8648)*(a_g3_29-nonnv*a_mai)-Sens!I8648*mix_g3</f>
        <v>3147.22808</v>
      </c>
      <c r="J8651" s="30" t="n">
        <f aca="false">Sens!I8651+(Sens!J8647+Sens!J8648)*(a_g3_29-nonnv*a_mai)-Sens!J8648*mix_g3</f>
        <v>2888.22808</v>
      </c>
      <c r="K8651" s="30" t="n">
        <f aca="false">Sens!J8651+(Sens!K8647+Sens!K8648)*(a_g3_29-nonnv*a_mai)-Sens!K8648*mix_g3</f>
        <v>2373.72808</v>
      </c>
    </row>
    <row r="8652" customFormat="false" ht="17.15" hidden="false" customHeight="false" outlineLevel="0" collapsed="false">
      <c r="A8652" s="1" t="s">
        <v>965</v>
      </c>
      <c r="B8652" s="0" t="s">
        <v>456</v>
      </c>
      <c r="C8652" s="30" t="n">
        <v>0</v>
      </c>
      <c r="D8652" s="30" t="n">
        <v>0</v>
      </c>
      <c r="E8652" s="30" t="n">
        <v>0</v>
      </c>
      <c r="F8652" s="30" t="n">
        <f aca="false">Sens!E8652+(Sens!F8647+Sens!F8648)*nonnv*a_mai</f>
        <v>272.65351</v>
      </c>
      <c r="G8652" s="30" t="n">
        <f aca="false">Sens!F8652+(Sens!G8647+Sens!G8648)*nonnv*a_mai</f>
        <v>545.30702</v>
      </c>
      <c r="H8652" s="30" t="n">
        <f aca="false">Sens!G8652+(Sens!H8647+Sens!H8648)*nonnv*a_mai</f>
        <v>817.96053</v>
      </c>
      <c r="I8652" s="30" t="n">
        <f aca="false">Sens!H8652+(Sens!I8647+Sens!I8648)*nonnv*a_mai</f>
        <v>1060.15914196667</v>
      </c>
      <c r="J8652" s="30" t="n">
        <f aca="false">Sens!I8652+(Sens!J8647+Sens!J8648)*nonnv*a_mai</f>
        <v>1251.76682813933</v>
      </c>
      <c r="K8652" s="30" t="n">
        <f aca="false">Sens!J8652+(Sens!K8647+Sens!K8648)*nonnv*a_mai</f>
        <v>1442.37983298351</v>
      </c>
      <c r="L8652" s="12" t="s">
        <v>966</v>
      </c>
    </row>
    <row r="8653" customFormat="false" ht="17.15" hidden="false" customHeight="false" outlineLevel="0" collapsed="false">
      <c r="A8653" s="1" t="s">
        <v>967</v>
      </c>
      <c r="B8653" s="0" t="s">
        <v>456</v>
      </c>
      <c r="C8653" s="30" t="n">
        <v>0</v>
      </c>
      <c r="D8653" s="30" t="n">
        <v>0</v>
      </c>
      <c r="E8653" s="30" t="n">
        <v>0</v>
      </c>
      <c r="F8653" s="30" t="n">
        <f aca="false">Sens!E8653+(Sens!F8647+Sens!F8648)*(1-a_g3_27)</f>
        <v>817.96053</v>
      </c>
      <c r="G8653" s="30" t="n">
        <f aca="false">Sens!F8653+(Sens!G8647+Sens!G8648)*(1-a_g3_28)</f>
        <v>2726.5351</v>
      </c>
      <c r="H8653" s="30" t="n">
        <f aca="false">Sens!G8653+(Sens!H8647+Sens!H8648)*(1-a_g3_29)</f>
        <v>5180.41669</v>
      </c>
      <c r="I8653" s="30" t="n">
        <f aca="false">Sens!H8653+(Sens!I8647+Sens!I8648)*(1-a_g3_29)</f>
        <v>7360.2041977</v>
      </c>
      <c r="J8653" s="30" t="n">
        <f aca="false">Sens!I8653+(Sens!J8647+Sens!J8648)*(1-a_g3_29)</f>
        <v>9084.673373254</v>
      </c>
      <c r="K8653" s="30" t="n">
        <f aca="false">Sens!J8653+(Sens!K8647+Sens!K8648)*(1-a_g3_29)</f>
        <v>10800.1904168516</v>
      </c>
    </row>
    <row r="8654" customFormat="false" ht="17.15" hidden="false" customHeight="false" outlineLevel="0" collapsed="false">
      <c r="A8654" s="1" t="s">
        <v>968</v>
      </c>
      <c r="B8654" s="0" t="s">
        <v>403</v>
      </c>
      <c r="C8654" s="15" t="n">
        <f aca="false">(Sens!C8649*tk_hold_h100+Sens!C8650*tk_hold_gb200+Sens!C8651*tk_hold_gb300+Sens!C8653*tk_hold_vr200+Sens!C8652*nv_hold_mai*tk_hold_vr200)/Sens!C8641</f>
        <v>9.7235358126469</v>
      </c>
      <c r="D8654" s="15" t="n">
        <f aca="false">(Sens!D8649*tk_hold_h100+Sens!D8650*tk_hold_gb200+Sens!D8651*tk_hold_gb300+Sens!D8653*tk_hold_vr200+Sens!D8652*nv_hold_mai*tk_hold_vr200)/Sens!D8641</f>
        <v>9.7235358126469</v>
      </c>
      <c r="E8654" s="15" t="n">
        <f aca="false">(Sens!E8649*tk_hold_h100+Sens!E8650*tk_hold_gb200+Sens!E8651*tk_hold_gb300+Sens!E8653*tk_hold_vr200+Sens!E8652*nv_hold_mai*tk_hold_vr200)/Sens!E8641</f>
        <v>9.7235358126469</v>
      </c>
      <c r="F8654" s="15" t="n">
        <f aca="false">(Sens!F8649*tk_hold_h100+Sens!F8650*tk_hold_gb200+Sens!F8651*tk_hold_gb300+Sens!F8653*tk_hold_vr200+Sens!F8652*nv_hold_mai*tk_hold_vr200)/Sens!F8641</f>
        <v>10.2195353876665</v>
      </c>
      <c r="G8654" s="15" t="n">
        <f aca="false">(Sens!G8649*tk_hold_h100+Sens!G8650*tk_hold_gb200+Sens!G8651*tk_hold_gb300+Sens!G8653*tk_hold_vr200+Sens!G8652*nv_hold_mai*tk_hold_vr200)/Sens!G8641</f>
        <v>10.5725598017306</v>
      </c>
      <c r="H8654" s="15" t="n">
        <f aca="false">(Sens!H8649*tk_hold_h100+Sens!H8650*tk_hold_gb200+Sens!H8651*tk_hold_gb300+Sens!H8653*tk_hold_vr200+Sens!H8652*nv_hold_mai*tk_hold_vr200)/Sens!H8641</f>
        <v>10.8210427149036</v>
      </c>
      <c r="I8654" s="15" t="n">
        <f aca="false">(Sens!I8649*tk_hold_h100+Sens!I8650*tk_hold_gb200+Sens!I8651*tk_hold_gb300+Sens!I8653*tk_hold_vr200+Sens!I8652*nv_hold_mai*tk_hold_vr200)/Sens!I8641</f>
        <v>11.0050618241982</v>
      </c>
      <c r="J8654" s="15" t="n">
        <f aca="false">(Sens!J8649*tk_hold_h100+Sens!J8650*tk_hold_gb200+Sens!J8651*tk_hold_gb300+Sens!J8653*tk_hold_vr200+Sens!J8652*nv_hold_mai*tk_hold_vr200)/Sens!J8641</f>
        <v>11.1505789658881</v>
      </c>
      <c r="K8654" s="15" t="n">
        <f aca="false">(Sens!K8649*tk_hold_h100+Sens!K8650*tk_hold_gb200+Sens!K8651*tk_hold_gb300+Sens!K8653*tk_hold_vr200+Sens!K8652*nv_hold_mai*tk_hold_vr200)/Sens!K8641</f>
        <v>11.3496914757183</v>
      </c>
      <c r="L8654" s="1" t="s">
        <v>969</v>
      </c>
    </row>
    <row r="8655" customFormat="false" ht="17.15" hidden="false" customHeight="false" outlineLevel="0" collapsed="false">
      <c r="A8655" s="1" t="s">
        <v>970</v>
      </c>
      <c r="B8655" s="0" t="s">
        <v>403</v>
      </c>
      <c r="C8655" s="15" t="n">
        <f aca="false">(Sens!C8649*tk_hold_h100+Sens!C8650*tk_hold_gb200+Sens!C8651*tk_hold_gb300+Sens!C8653*tk_hold_vr200+Sens!C8652*nv_out_mai*tk_hold_vr200)/Sens!C8641</f>
        <v>9.7235358126469</v>
      </c>
      <c r="D8655" s="15" t="n">
        <f aca="false">(Sens!D8649*tk_hold_h100+Sens!D8650*tk_hold_gb200+Sens!D8651*tk_hold_gb300+Sens!D8653*tk_hold_vr200+Sens!D8652*nv_out_mai*tk_hold_vr200)/Sens!D8641</f>
        <v>9.7235358126469</v>
      </c>
      <c r="E8655" s="15" t="n">
        <f aca="false">(Sens!E8649*tk_hold_h100+Sens!E8650*tk_hold_gb200+Sens!E8651*tk_hold_gb300+Sens!E8653*tk_hold_vr200+Sens!E8652*nv_out_mai*tk_hold_vr200)/Sens!E8641</f>
        <v>9.7235358126469</v>
      </c>
      <c r="F8655" s="15" t="n">
        <f aca="false">(Sens!F8649*tk_hold_h100+Sens!F8650*tk_hold_gb200+Sens!F8651*tk_hold_gb300+Sens!F8653*tk_hold_vr200+Sens!F8652*nv_out_mai*tk_hold_vr200)/Sens!F8641</f>
        <v>10.247422093969</v>
      </c>
      <c r="G8655" s="15" t="n">
        <f aca="false">(Sens!G8649*tk_hold_h100+Sens!G8650*tk_hold_gb200+Sens!G8651*tk_hold_gb300+Sens!G8653*tk_hold_vr200+Sens!G8652*nv_out_mai*tk_hold_vr200)/Sens!G8641</f>
        <v>10.6108602808053</v>
      </c>
      <c r="H8655" s="15" t="n">
        <f aca="false">(Sens!H8649*tk_hold_h100+Sens!H8650*tk_hold_gb200+Sens!H8651*tk_hold_gb300+Sens!H8653*tk_hold_vr200+Sens!H8652*nv_out_mai*tk_hold_vr200)/Sens!H8641</f>
        <v>10.8647885507393</v>
      </c>
      <c r="I8655" s="15" t="n">
        <f aca="false">(Sens!I8649*tk_hold_h100+Sens!I8650*tk_hold_gb200+Sens!I8651*tk_hold_gb300+Sens!I8653*tk_hold_vr200+Sens!I8652*nv_out_mai*tk_hold_vr200)/Sens!I8641</f>
        <v>11.0535625770025</v>
      </c>
      <c r="J8655" s="15" t="n">
        <f aca="false">(Sens!J8649*tk_hold_h100+Sens!J8650*tk_hold_gb200+Sens!J8651*tk_hold_gb300+Sens!J8653*tk_hold_vr200+Sens!J8652*nv_out_mai*tk_hold_vr200)/Sens!J8641</f>
        <v>11.2032127128058</v>
      </c>
      <c r="K8655" s="15" t="n">
        <f aca="false">(Sens!K8649*tk_hold_h100+Sens!K8650*tk_hold_gb200+Sens!K8651*tk_hold_gb300+Sens!K8653*tk_hold_vr200+Sens!K8652*nv_out_mai*tk_hold_vr200)/Sens!K8641</f>
        <v>11.4085735724225</v>
      </c>
      <c r="L8655" s="12" t="s">
        <v>971</v>
      </c>
    </row>
    <row r="8656" customFormat="false" ht="17.15" hidden="false" customHeight="false" outlineLevel="0" collapsed="false">
      <c r="A8656" s="0" t="s">
        <v>972</v>
      </c>
      <c r="B8656" s="0" t="s">
        <v>229</v>
      </c>
      <c r="C8656" s="15" t="n">
        <f aca="false">k_B</f>
        <v>1.17213932619116</v>
      </c>
      <c r="D8656" s="15" t="n">
        <f aca="false">k_B</f>
        <v>1.17213932619116</v>
      </c>
      <c r="E8656" s="15" t="n">
        <f aca="false">k_B</f>
        <v>1.17213932619116</v>
      </c>
      <c r="F8656" s="15" t="n">
        <f aca="false">(k_B+((ls_B*k_long+(1-ls_B)*k_spot)-k_B)*MIN(1,(Sens!F8639-base_fy)/k_ramp))</f>
        <v>1.17213932619116</v>
      </c>
      <c r="G8656" s="15" t="n">
        <f aca="false">(k_B+((ls_B*k_long+(1-ls_B)*k_spot)-k_B)*MIN(1,(Sens!G8639-base_fy)/k_ramp))</f>
        <v>1.17213932619116</v>
      </c>
      <c r="H8656" s="15" t="n">
        <f aca="false">(k_B+((ls_B*k_long+(1-ls_B)*k_spot)-k_B)*MIN(1,(Sens!H8639-base_fy)/k_ramp))</f>
        <v>1.17213932619116</v>
      </c>
      <c r="I8656" s="15" t="n">
        <f aca="false">(k_B+((ls_B*k_long+(1-ls_B)*k_spot)-k_B)*MIN(1,(Sens!I8639-base_fy)/k_ramp))</f>
        <v>1.17213932619116</v>
      </c>
      <c r="J8656" s="15" t="n">
        <f aca="false">(k_B+((ls_B*k_long+(1-ls_B)*k_spot)-k_B)*MIN(1,(Sens!J8639-base_fy)/k_ramp))</f>
        <v>1.17213932619116</v>
      </c>
      <c r="K8656" s="15" t="n">
        <f aca="false">(k_B+((ls_B*k_long+(1-ls_B)*k_spot)-k_B)*MIN(1,(Sens!K8639-base_fy)/k_ramp))</f>
        <v>1.17213932619116</v>
      </c>
      <c r="L8656" s="1" t="s">
        <v>973</v>
      </c>
    </row>
    <row r="8657" customFormat="false" ht="17.15" hidden="false" customHeight="false" outlineLevel="0" collapsed="false">
      <c r="A8657" s="1" t="s">
        <v>974</v>
      </c>
      <c r="B8657" s="0" t="s">
        <v>403</v>
      </c>
      <c r="C8657" s="15" t="n">
        <f aca="false">Sens!C8655*Sens!C8656*chip_f</f>
        <v>11.3973387156315</v>
      </c>
      <c r="D8657" s="15" t="n">
        <f aca="false">Sens!D8655*Sens!D8656*chip_f</f>
        <v>11.3973387156315</v>
      </c>
      <c r="E8657" s="15" t="n">
        <f aca="false">Sens!E8655*Sens!E8656*chip_f</f>
        <v>11.3973387156315</v>
      </c>
      <c r="F8657" s="15" t="n">
        <f aca="false">Sens!F8655*Sens!F8656*chip_f</f>
        <v>12.0114064284211</v>
      </c>
      <c r="G8657" s="15" t="n">
        <f aca="false">Sens!G8655*Sens!G8656*chip_f</f>
        <v>12.4374066198516</v>
      </c>
      <c r="H8657" s="15" t="n">
        <f aca="false">Sens!H8655*Sens!H8656*chip_f</f>
        <v>12.735045931073</v>
      </c>
      <c r="I8657" s="15" t="n">
        <f aca="false">Sens!I8655*Sens!I8656*chip_f</f>
        <v>12.9563153910195</v>
      </c>
      <c r="J8657" s="15" t="n">
        <f aca="false">Sens!J8655*Sens!J8656*chip_f</f>
        <v>13.1317262003643</v>
      </c>
      <c r="K8657" s="15" t="n">
        <f aca="false">Sens!K8655*Sens!K8656*chip_f</f>
        <v>13.3724377399815</v>
      </c>
      <c r="L8657" s="1" t="s">
        <v>975</v>
      </c>
    </row>
    <row r="8658" customFormat="false" ht="17.15" hidden="false" customHeight="false" outlineLevel="0" collapsed="false">
      <c r="A8658" s="0" t="s">
        <v>976</v>
      </c>
      <c r="B8658" s="0" t="s">
        <v>98</v>
      </c>
      <c r="D8658" s="6" t="n">
        <f aca="false">(Sens!C8641+Sens!D8641)/2*Sens!D8657/1000</f>
        <v>12.9359794422418</v>
      </c>
      <c r="E8658" s="6" t="n">
        <f aca="false">(Sens!D8641+Sens!E8641)/2*Sens!E8657/1000</f>
        <v>27.8095064661409</v>
      </c>
      <c r="F8658" s="6" t="n">
        <f aca="false">(Sens!E8641+Sens!F8641)/2*Sens!F8657/1000</f>
        <v>55.4118315060966</v>
      </c>
      <c r="G8658" s="6" t="n">
        <f aca="false">(Sens!F8641+Sens!G8641)/2*Sens!G8657/1000</f>
        <v>91.2881100675143</v>
      </c>
      <c r="H8658" s="6" t="n">
        <f aca="false">(Sens!G8641+Sens!H8641)/2*Sens!H8657/1000</f>
        <v>128.195273603944</v>
      </c>
      <c r="I8658" s="6" t="n">
        <f aca="false">(Sens!H8641+Sens!I8641)/2*Sens!I8657/1000</f>
        <v>160.601281810405</v>
      </c>
      <c r="J8658" s="6" t="n">
        <f aca="false">(Sens!I8641+Sens!J8641)/2*Sens!J8657/1000</f>
        <v>183.182719793589</v>
      </c>
      <c r="K8658" s="6" t="n">
        <f aca="false">(Sens!J8641+Sens!K8641)/2*Sens!K8657/1000</f>
        <v>197.320124937098</v>
      </c>
      <c r="L8658" s="12" t="s">
        <v>977</v>
      </c>
    </row>
    <row r="8659" customFormat="false" ht="17.15" hidden="false" customHeight="false" outlineLevel="0" collapsed="false">
      <c r="A8659" s="1" t="s">
        <v>978</v>
      </c>
      <c r="B8659" s="0" t="s">
        <v>403</v>
      </c>
      <c r="C8659" s="15" t="n">
        <f aca="false">(Sens!C8649*tk_opex_h100+Sens!C8650*tk_opex_gb200+Sens!C8651*tk_opex_gb300+(Sens!C8653+Sens!C8652)*tk_opex_vr200)/Sens!C8641</f>
        <v>1.88636041306092</v>
      </c>
      <c r="D8659" s="15" t="n">
        <f aca="false">(Sens!D8649*tk_opex_h100+Sens!D8650*tk_opex_gb200+Sens!D8651*tk_opex_gb300+(Sens!D8653+Sens!D8652)*tk_opex_vr200)/Sens!D8641</f>
        <v>1.88636041306092</v>
      </c>
      <c r="E8659" s="15" t="n">
        <f aca="false">(Sens!E8649*tk_opex_h100+Sens!E8650*tk_opex_gb200+Sens!E8651*tk_opex_gb300+(Sens!E8653+Sens!E8652)*tk_opex_vr200)/Sens!E8641</f>
        <v>1.88636041306092</v>
      </c>
      <c r="F8659" s="15" t="n">
        <f aca="false">(Sens!F8649*tk_opex_h100+Sens!F8650*tk_opex_gb200+Sens!F8651*tk_opex_gb300+(Sens!F8653+Sens!F8652)*tk_opex_vr200)/Sens!F8641</f>
        <v>1.95051159746876</v>
      </c>
      <c r="G8659" s="15" t="n">
        <f aca="false">(Sens!G8649*tk_opex_h100+Sens!G8650*tk_opex_gb200+Sens!G8651*tk_opex_gb300+(Sens!G8653+Sens!G8652)*tk_opex_vr200)/Sens!G8641</f>
        <v>1.98836003669956</v>
      </c>
      <c r="H8659" s="15" t="n">
        <f aca="false">(Sens!H8649*tk_opex_h100+Sens!H8650*tk_opex_gb200+Sens!H8651*tk_opex_gb300+(Sens!H8653+Sens!H8652)*tk_opex_vr200)/Sens!H8641</f>
        <v>2.01344013834343</v>
      </c>
      <c r="I8659" s="15" t="n">
        <f aca="false">(Sens!I8649*tk_opex_h100+Sens!I8650*tk_opex_gb200+Sens!I8651*tk_opex_gb300+(Sens!I8653+Sens!I8652)*tk_opex_vr200)/Sens!I8641</f>
        <v>2.03261166882178</v>
      </c>
      <c r="J8659" s="15" t="n">
        <f aca="false">(Sens!J8649*tk_opex_h100+Sens!J8650*tk_opex_gb200+Sens!J8651*tk_opex_gb300+(Sens!J8653+Sens!J8652)*tk_opex_vr200)/Sens!J8641</f>
        <v>2.04808073288745</v>
      </c>
      <c r="K8659" s="15" t="n">
        <f aca="false">(Sens!K8649*tk_opex_h100+Sens!K8650*tk_opex_gb200+Sens!K8651*tk_opex_gb300+(Sens!K8653+Sens!K8652)*tk_opex_vr200)/Sens!K8641</f>
        <v>2.06973825807449</v>
      </c>
      <c r="L8659" s="12" t="s">
        <v>979</v>
      </c>
    </row>
    <row r="8660" customFormat="false" ht="17.15" hidden="false" customHeight="false" outlineLevel="0" collapsed="false">
      <c r="A8660" s="0" t="s">
        <v>980</v>
      </c>
      <c r="B8660" s="0" t="s">
        <v>98</v>
      </c>
      <c r="D8660" s="6" t="n">
        <f aca="false">(Sens!C8644+Sens!D8644)/2*Sens!D8659/1000</f>
        <v>2.70378325872065</v>
      </c>
      <c r="E8660" s="6" t="n">
        <f aca="false">(Sens!D8644+Sens!E8644)/2*Sens!E8659/1000</f>
        <v>6.17783035277451</v>
      </c>
      <c r="F8660" s="6" t="n">
        <f aca="false">(Sens!E8644+Sens!F8644)/2*Sens!F8659/1000</f>
        <v>12.8742463089237</v>
      </c>
      <c r="G8660" s="6" t="n">
        <f aca="false">(Sens!F8644+Sens!G8644)/2*Sens!G8659/1000</f>
        <v>21.8182834646277</v>
      </c>
      <c r="H8660" s="6" t="n">
        <f aca="false">(Sens!G8644+Sens!H8644)/2*Sens!H8659/1000</f>
        <v>31.2430128789734</v>
      </c>
      <c r="I8660" s="6" t="n">
        <f aca="false">(Sens!H8644+Sens!I8644)/2*Sens!I8659/1000</f>
        <v>39.4313057443268</v>
      </c>
      <c r="J8660" s="6" t="n">
        <f aca="false">(Sens!I8644+Sens!J8644)/2*Sens!J8659/1000</f>
        <v>45.0360318228653</v>
      </c>
      <c r="K8660" s="6" t="n">
        <f aca="false">(Sens!J8644+Sens!K8644)/2*Sens!K8659/1000</f>
        <v>48.2929727091156</v>
      </c>
    </row>
    <row r="8661" customFormat="false" ht="17.15" hidden="false" customHeight="false" outlineLevel="0" collapsed="false">
      <c r="A8661" s="0" t="s">
        <v>981</v>
      </c>
      <c r="B8661" s="0" t="s">
        <v>98</v>
      </c>
      <c r="D8661" s="6" t="n">
        <f aca="false">(Sens!C8642+Sens!D8642)/2*rent_mw/1000</f>
        <v>2.44475</v>
      </c>
      <c r="E8661" s="6" t="n">
        <f aca="false">(Sens!D8642+Sens!E8642)/2*rent_mw/1000</f>
        <v>4.22275</v>
      </c>
      <c r="F8661" s="6" t="n">
        <f aca="false">(Sens!E8642+Sens!F8642)/2*rent_mw/1000</f>
        <v>5.80517</v>
      </c>
      <c r="G8661" s="6" t="n">
        <f aca="false">(Sens!F8642+Sens!G8642)/2*rent_mw/1000</f>
        <v>6.72084</v>
      </c>
      <c r="H8661" s="6" t="n">
        <f aca="false">(Sens!G8642+Sens!H8642)/2*rent_mw/1000</f>
        <v>6.72084</v>
      </c>
      <c r="I8661" s="6" t="n">
        <f aca="false">(Sens!H8642+Sens!I8642)/2*rent_mw/1000</f>
        <v>6.72084</v>
      </c>
      <c r="J8661" s="6" t="n">
        <f aca="false">(Sens!I8642+Sens!J8642)/2*rent_mw/1000</f>
        <v>6.72084</v>
      </c>
      <c r="K8661" s="6" t="n">
        <f aca="false">(Sens!J8642+Sens!K8642)/2*rent_mw/1000</f>
        <v>6.72084</v>
      </c>
    </row>
    <row r="8662" customFormat="false" ht="17.15" hidden="false" customHeight="false" outlineLevel="0" collapsed="false">
      <c r="A8662" s="0" t="s">
        <v>982</v>
      </c>
      <c r="B8662" s="0" t="s">
        <v>98</v>
      </c>
      <c r="D8662" s="6" t="n">
        <f aca="false">(Sens!C8644+Sens!D8644)/2*(1-self_build)*fac_rent/1000</f>
        <v>0.853242375631075</v>
      </c>
      <c r="E8662" s="6" t="n">
        <f aca="false">(Sens!D8644+Sens!E8644)/2*(1-self_build)*fac_rent/1000</f>
        <v>1.94955961408728</v>
      </c>
      <c r="F8662" s="6" t="n">
        <f aca="false">(Sens!E8644+Sens!F8644)/2*(1-self_build)*fac_rent/1000</f>
        <v>3.92914894476356</v>
      </c>
      <c r="G8662" s="6" t="n">
        <f aca="false">(Sens!F8644+Sens!G8644)/2*(1-self_build)*fac_rent/1000</f>
        <v>6.53206908578159</v>
      </c>
      <c r="H8662" s="6" t="n">
        <f aca="false">(Sens!G8644+Sens!H8644)/2*(1-self_build)*fac_rent/1000</f>
        <v>9.23717988341591</v>
      </c>
      <c r="I8662" s="6" t="n">
        <f aca="false">(Sens!H8644+Sens!I8644)/2*(1-self_build)*fac_rent/1000</f>
        <v>11.5481378557393</v>
      </c>
      <c r="J8662" s="6" t="n">
        <f aca="false">(Sens!I8644+Sens!J8644)/2*(1-self_build)*fac_rent/1000</f>
        <v>13.0899582289108</v>
      </c>
      <c r="K8662" s="6" t="n">
        <f aca="false">(Sens!J8644+Sens!K8644)/2*(1-self_build)*fac_rent/1000</f>
        <v>13.8897275626556</v>
      </c>
      <c r="L8662" s="12" t="s">
        <v>983</v>
      </c>
    </row>
    <row r="8663" customFormat="false" ht="17.15" hidden="false" customHeight="false" outlineLevel="0" collapsed="false">
      <c r="A8663" s="1" t="s">
        <v>984</v>
      </c>
      <c r="B8663" s="0" t="s">
        <v>168</v>
      </c>
      <c r="D8663" s="7" t="n">
        <f aca="false">(Sens!C8643+Sens!D8643)/(Sens!C8644+Sens!D8644)</f>
        <v>0.6</v>
      </c>
      <c r="E8663" s="7" t="n">
        <f aca="false">(Sens!D8643+Sens!E8643)/(Sens!D8644+Sens!E8644)</f>
        <v>0.6</v>
      </c>
      <c r="F8663" s="7" t="n">
        <f aca="false">(Sens!E8643+Sens!F8643)/(Sens!E8644+Sens!F8644)</f>
        <v>0.6</v>
      </c>
      <c r="G8663" s="7" t="n">
        <f aca="false">(Sens!F8643+Sens!G8643)/(Sens!F8644+Sens!G8644)</f>
        <v>0.6</v>
      </c>
      <c r="H8663" s="7" t="n">
        <f aca="false">(Sens!G8643+Sens!H8643)/(Sens!G8644+Sens!H8644)</f>
        <v>0.6</v>
      </c>
      <c r="I8663" s="7" t="n">
        <f aca="false">(Sens!H8643+Sens!I8643)/(Sens!H8644+Sens!I8644)</f>
        <v>0.6</v>
      </c>
      <c r="J8663" s="7" t="n">
        <f aca="false">(Sens!I8643+Sens!J8643)/(Sens!I8644+Sens!J8644)</f>
        <v>0.6</v>
      </c>
      <c r="K8663" s="7" t="n">
        <f aca="false">(Sens!J8643+Sens!K8643)/(Sens!J8644+Sens!K8644)</f>
        <v>0.6</v>
      </c>
    </row>
    <row r="8664" customFormat="false" ht="17.15" hidden="false" customHeight="false" outlineLevel="0" collapsed="false">
      <c r="A8664" s="0" t="s">
        <v>985</v>
      </c>
      <c r="B8664" s="0" t="s">
        <v>98</v>
      </c>
      <c r="D8664" s="6" t="n">
        <f aca="false">Sens!D8658-Sens!D8663*(Sens!D8660+Sens!D8662)-Sens!D8661</f>
        <v>8.35701406163072</v>
      </c>
      <c r="E8664" s="6" t="n">
        <f aca="false">Sens!E8658-Sens!E8663*(Sens!E8660+Sens!E8662)-Sens!E8661</f>
        <v>18.7103224860238</v>
      </c>
      <c r="F8664" s="6" t="n">
        <f aca="false">Sens!F8658-Sens!F8663*(Sens!F8660+Sens!F8662)-Sens!F8661</f>
        <v>39.5246243538843</v>
      </c>
      <c r="G8664" s="6" t="n">
        <f aca="false">Sens!G8658-Sens!G8663*(Sens!G8660+Sens!G8662)-Sens!G8661</f>
        <v>67.5570585372687</v>
      </c>
      <c r="H8664" s="6" t="n">
        <f aca="false">Sens!H8658-Sens!H8663*(Sens!H8660+Sens!H8662)-Sens!H8661</f>
        <v>97.1863179465102</v>
      </c>
      <c r="I8664" s="6" t="n">
        <f aca="false">Sens!I8658-Sens!I8663*(Sens!I8660+Sens!I8662)-Sens!I8661</f>
        <v>123.292775650365</v>
      </c>
      <c r="J8664" s="6" t="n">
        <f aca="false">Sens!J8658-Sens!J8663*(Sens!J8660+Sens!J8662)-Sens!J8661</f>
        <v>141.586285762524</v>
      </c>
      <c r="K8664" s="6" t="n">
        <f aca="false">Sens!K8658-Sens!K8663*(Sens!K8660+Sens!K8662)-Sens!K8661</f>
        <v>153.289664774035</v>
      </c>
    </row>
    <row r="8665" customFormat="false" ht="17.15" hidden="false" customHeight="false" outlineLevel="0" collapsed="false">
      <c r="A8665" s="1" t="s">
        <v>986</v>
      </c>
      <c r="B8665" s="0" t="s">
        <v>98</v>
      </c>
      <c r="D8665" s="6" t="n">
        <f aca="false">(1-Sens!D8663)*(Sens!D8660+Sens!D8662)</f>
        <v>1.42281025374069</v>
      </c>
      <c r="E8665" s="6" t="n">
        <f aca="false">(1-Sens!E8663)*(Sens!E8660+Sens!E8662)</f>
        <v>3.25095598674472</v>
      </c>
      <c r="F8665" s="6" t="n">
        <f aca="false">(1-Sens!F8663)*(Sens!F8660+Sens!F8662)</f>
        <v>6.72135810147489</v>
      </c>
      <c r="G8665" s="6" t="n">
        <f aca="false">(1-Sens!G8663)*(Sens!G8660+Sens!G8662)</f>
        <v>11.3401410201637</v>
      </c>
      <c r="H8665" s="6" t="n">
        <f aca="false">(1-Sens!H8663)*(Sens!H8660+Sens!H8662)</f>
        <v>16.1920771049557</v>
      </c>
      <c r="I8665" s="6" t="n">
        <f aca="false">(1-Sens!I8663)*(Sens!I8660+Sens!I8662)</f>
        <v>20.3917774400264</v>
      </c>
      <c r="J8665" s="6" t="n">
        <f aca="false">(1-Sens!J8663)*(Sens!J8660+Sens!J8662)</f>
        <v>23.2503960207104</v>
      </c>
      <c r="K8665" s="6" t="n">
        <f aca="false">(1-Sens!K8663)*(Sens!K8660+Sens!K8662)</f>
        <v>24.8730801087085</v>
      </c>
    </row>
    <row r="8666" customFormat="false" ht="17.15" hidden="false" customHeight="false" outlineLevel="0" collapsed="false">
      <c r="A8666" s="1" t="s">
        <v>987</v>
      </c>
      <c r="B8666" s="0" t="s">
        <v>414</v>
      </c>
      <c r="C8666" s="8" t="n">
        <f aca="false">cxit_open</f>
        <v>27.5918995</v>
      </c>
      <c r="D8666" s="8" t="n">
        <f aca="false">cxit_open</f>
        <v>27.5918995</v>
      </c>
      <c r="E8666" s="8" t="n">
        <f aca="false">cxit_open</f>
        <v>27.5918995</v>
      </c>
      <c r="F8666" s="8" t="n">
        <f aca="false">((a_g3_27-nonnv*a_mai)*tk_cxit_gb300+nonnv*a_mai*nv_hold_mai*tk_cxit_vr200+(1-a_g3_27)*tk_cxit_vr200)</f>
        <v>32.4975576</v>
      </c>
      <c r="G8666" s="8" t="n">
        <f aca="false">((a_g3_28-nonnv*a_mai)*tk_cxit_gb300+nonnv*a_mai*nv_hold_mai*tk_cxit_vr200+(1-a_g3_28)*tk_cxit_vr200)</f>
        <v>34.6372088</v>
      </c>
      <c r="H8666" s="8" t="n">
        <f aca="false">((a_g3_29-nonnv*a_mai)*tk_cxit_gb300+nonnv*a_mai*nv_hold_mai*tk_cxit_vr200+(1-a_g3_29)*tk_cxit_vr200)</f>
        <v>35.7070344</v>
      </c>
      <c r="I8666" s="8" t="n">
        <f aca="false">((a_g3_29-nonnv*a_mai)*tk_cxit_gb300+nonnv*a_mai*nv_hold_mai*tk_cxit_vr200+(1-a_g3_29)*tk_cxit_vr200)</f>
        <v>35.7070344</v>
      </c>
      <c r="J8666" s="8" t="n">
        <f aca="false">((a_g3_29-nonnv*a_mai)*tk_cxit_gb300+nonnv*a_mai*nv_hold_mai*tk_cxit_vr200+(1-a_g3_29)*tk_cxit_vr200)</f>
        <v>35.7070344</v>
      </c>
      <c r="K8666" s="8" t="n">
        <f aca="false">((a_g3_29-nonnv*a_mai)*tk_cxit_gb300+nonnv*a_mai*nv_hold_mai*tk_cxit_vr200+(1-a_g3_29)*tk_cxit_vr200)</f>
        <v>35.7070344</v>
      </c>
      <c r="L8666" s="12" t="s">
        <v>988</v>
      </c>
    </row>
    <row r="8667" customFormat="false" ht="17.15" hidden="false" customHeight="false" outlineLevel="0" collapsed="false">
      <c r="A8667" s="0" t="s">
        <v>989</v>
      </c>
      <c r="B8667" s="0" t="s">
        <v>456</v>
      </c>
      <c r="F8667" s="30" t="n">
        <f aca="false">Sens!C8646*IF(Sens!F8639-Sens!C8639=life_it,1,0)+Sens!D8646*IF(Sens!F8639-Sens!D8639=life_it,1,0)+Sens!E8646*IF(Sens!F8639-Sens!E8639=life_it,1,0)</f>
        <v>0</v>
      </c>
      <c r="G8667" s="30" t="n">
        <f aca="false">Sens!C8646*IF(Sens!G8639-Sens!C8639=life_it,1,0)+Sens!D8646*IF(Sens!G8639-Sens!D8639=life_it,1,0)+Sens!E8646*IF(Sens!G8639-Sens!E8639=life_it,1,0)+Sens!F8646*IF(Sens!G8639-Sens!F8639=life_it,1,0)</f>
        <v>0</v>
      </c>
      <c r="H8667" s="30" t="n">
        <f aca="false">Sens!C8646*IF(Sens!H8639-Sens!C8639=life_it,1,0)+Sens!D8646*IF(Sens!H8639-Sens!D8639=life_it,1,0)+Sens!E8646*IF(Sens!H8639-Sens!E8639=life_it,1,0)+Sens!F8646*IF(Sens!H8639-Sens!F8639=life_it,1,0)+Sens!G8646*IF(Sens!H8639-Sens!G8639=life_it,1,0)</f>
        <v>0</v>
      </c>
      <c r="I8667" s="30" t="n">
        <f aca="false">Sens!C8646*IF(Sens!I8639-Sens!C8639=life_it,1,0)+Sens!D8646*IF(Sens!I8639-Sens!D8639=life_it,1,0)+Sens!E8646*IF(Sens!I8639-Sens!E8639=life_it,1,0)+Sens!F8646*IF(Sens!I8639-Sens!F8639=life_it,1,0)+Sens!G8646*IF(Sens!I8639-Sens!G8639=life_it,1,0)+Sens!H8646*IF(Sens!I8639-Sens!H8639=life_it,1,0)</f>
        <v>816.666666666667</v>
      </c>
      <c r="J8667" s="30" t="n">
        <f aca="false">Sens!C8646*IF(Sens!J8639-Sens!C8639=life_it,1,0)+Sens!D8646*IF(Sens!J8639-Sens!D8639=life_it,1,0)+Sens!E8646*IF(Sens!J8639-Sens!E8639=life_it,1,0)+Sens!F8646*IF(Sens!J8639-Sens!F8639=life_it,1,0)+Sens!G8646*IF(Sens!J8639-Sens!G8639=life_it,1,0)+Sens!H8646*IF(Sens!J8639-Sens!H8639=life_it,1,0)+Sens!I8646*IF(Sens!J8639-Sens!I8639=life_it,1,0)</f>
        <v>1233.33333333333</v>
      </c>
      <c r="K8667" s="30" t="n">
        <f aca="false">Sens!C8646*IF(Sens!K8639-Sens!C8639=life_it,1,0)+Sens!D8646*IF(Sens!K8639-Sens!D8639=life_it,1,0)+Sens!E8646*IF(Sens!K8639-Sens!E8639=life_it,1,0)+Sens!F8646*IF(Sens!K8639-Sens!F8639=life_it,1,0)+Sens!G8646*IF(Sens!K8639-Sens!G8639=life_it,1,0)+Sens!H8646*IF(Sens!K8639-Sens!H8639=life_it,1,0)+Sens!I8646*IF(Sens!K8639-Sens!I8639=life_it,1,0)+Sens!J8646*IF(Sens!K8639-Sens!J8639=life_it,1,0)</f>
        <v>2450</v>
      </c>
      <c r="L8667" s="1" t="s">
        <v>990</v>
      </c>
    </row>
    <row r="8668" customFormat="false" ht="17.15" hidden="false" customHeight="false" outlineLevel="0" collapsed="false">
      <c r="A8668" s="0" t="s">
        <v>991</v>
      </c>
      <c r="B8668" s="0" t="s">
        <v>98</v>
      </c>
      <c r="C8668" s="6" t="n">
        <f aca="false">Sens!C8646*Sens!C8666/1000</f>
        <v>22.5333845916667</v>
      </c>
      <c r="D8668" s="6" t="n">
        <f aca="false">Sens!D8646*Sens!D8666/1000</f>
        <v>34.0300093833333</v>
      </c>
      <c r="E8668" s="6" t="n">
        <f aca="false">Sens!E8646*Sens!E8666/1000</f>
        <v>67.600153775</v>
      </c>
      <c r="F8668" s="6" t="n">
        <f aca="false">(Sens!F8646+Sens!F8667)*Sens!F8666/1000</f>
        <v>136.51872432512</v>
      </c>
      <c r="G8668" s="6" t="n">
        <f aca="false">(Sens!G8646+Sens!G8667)*Sens!G8666/1000</f>
        <v>157.399275932048</v>
      </c>
      <c r="H8668" s="6" t="n">
        <f aca="false">(Sens!H8646+Sens!H8667)*Sens!H8666/1000</f>
        <v>162.260804347512</v>
      </c>
      <c r="I8668" s="6" t="n">
        <f aca="false">(Sens!I8646+Sens!I8667)*Sens!I8666/1000</f>
        <v>144.136569485434</v>
      </c>
      <c r="J8668" s="6" t="n">
        <f aca="false">(Sens!J8646+Sens!J8667)*Sens!J8666/1000</f>
        <v>114.029037357864</v>
      </c>
      <c r="K8668" s="6" t="n">
        <f aca="false">(Sens!K8646+Sens!K8667)*Sens!K8666/1000</f>
        <v>113.437085350975</v>
      </c>
    </row>
    <row r="8669" customFormat="false" ht="17.15" hidden="false" customHeight="false" outlineLevel="0" collapsed="false">
      <c r="A8669" s="0" t="s">
        <v>992</v>
      </c>
      <c r="B8669" s="0" t="s">
        <v>98</v>
      </c>
      <c r="C8669" s="6" t="n">
        <f aca="false">Sens!C8646*self_build*tk_cxfac/1000</f>
        <v>6.2083</v>
      </c>
      <c r="D8669" s="6" t="n">
        <f aca="false">Sens!D8646*self_build*tk_cxfac/1000</f>
        <v>9.3758</v>
      </c>
      <c r="E8669" s="6" t="n">
        <f aca="false">Sens!E8646*self_build*tk_cxfac/1000</f>
        <v>18.6249</v>
      </c>
      <c r="F8669" s="6" t="n">
        <f aca="false">Sens!F8646*self_build*tk_cxfac/1000</f>
        <v>31.935179717</v>
      </c>
      <c r="G8669" s="6" t="n">
        <f aca="false">Sens!G8646*self_build*tk_cxfac/1000</f>
        <v>34.545199717</v>
      </c>
      <c r="H8669" s="6" t="n">
        <f aca="false">Sens!H8646*self_build*tk_cxfac/1000</f>
        <v>34.545199717</v>
      </c>
      <c r="I8669" s="6" t="n">
        <f aca="false">Sens!I8646*self_build*tk_cxfac/1000</f>
        <v>24.4782641361767</v>
      </c>
      <c r="J8669" s="6" t="n">
        <f aca="false">Sens!J8646*self_build*tk_cxfac/1000</f>
        <v>14.9008938380769</v>
      </c>
      <c r="K8669" s="6" t="n">
        <f aca="false">Sens!K8646*self_build*tk_cxfac/1000</f>
        <v>5.52576771375761</v>
      </c>
    </row>
    <row r="8670" customFormat="false" ht="17.15" hidden="false" customHeight="false" outlineLevel="0" collapsed="false">
      <c r="A8670" s="0" t="s">
        <v>993</v>
      </c>
      <c r="B8670" s="0" t="s">
        <v>98</v>
      </c>
      <c r="F8670" s="15" t="n">
        <f aca="false">capex_floor27-Sens!F8668-Sens!F8669-Sens!F8766</f>
        <v>-0.183284462617706</v>
      </c>
      <c r="L8670" s="12" t="s">
        <v>994</v>
      </c>
    </row>
    <row r="8671" customFormat="false" ht="17.15" hidden="false" customHeight="false" outlineLevel="0" collapsed="false">
      <c r="A8671" s="0" t="s">
        <v>995</v>
      </c>
      <c r="B8671" s="0" t="s">
        <v>98</v>
      </c>
      <c r="F8671" s="6" t="n">
        <f aca="false">MAX(0,Sens!F8670)</f>
        <v>0</v>
      </c>
    </row>
    <row r="8672" customFormat="false" ht="17.15" hidden="false" customHeight="false" outlineLevel="0" collapsed="false">
      <c r="A8672" s="0" t="s">
        <v>996</v>
      </c>
      <c r="B8672" s="0" t="s">
        <v>98</v>
      </c>
      <c r="C8672" s="6" t="n">
        <f aca="false">Sens!C8668</f>
        <v>22.5333845916667</v>
      </c>
      <c r="D8672" s="6" t="n">
        <f aca="false">Sens!D8668</f>
        <v>34.0300093833333</v>
      </c>
      <c r="E8672" s="6" t="n">
        <f aca="false">Sens!E8668</f>
        <v>67.600153775</v>
      </c>
      <c r="F8672" s="6" t="n">
        <f aca="false">Sens!F8668</f>
        <v>136.51872432512</v>
      </c>
      <c r="G8672" s="6" t="n">
        <f aca="false">Sens!G8668</f>
        <v>157.399275932048</v>
      </c>
      <c r="H8672" s="6" t="n">
        <f aca="false">Sens!H8668</f>
        <v>162.260804347512</v>
      </c>
      <c r="I8672" s="6" t="n">
        <f aca="false">Sens!I8668</f>
        <v>144.136569485434</v>
      </c>
      <c r="J8672" s="6" t="n">
        <f aca="false">Sens!J8668</f>
        <v>114.029037357864</v>
      </c>
      <c r="K8672" s="6" t="n">
        <f aca="false">Sens!K8668</f>
        <v>113.437085350975</v>
      </c>
    </row>
    <row r="8673" customFormat="false" ht="17.15" hidden="false" customHeight="false" outlineLevel="0" collapsed="false">
      <c r="A8673" s="0" t="s">
        <v>997</v>
      </c>
      <c r="B8673" s="0" t="s">
        <v>98</v>
      </c>
      <c r="C8673" s="6" t="n">
        <f aca="false">Sens!C8672+Sens!C8669</f>
        <v>28.7416845916667</v>
      </c>
      <c r="D8673" s="6" t="n">
        <f aca="false">Sens!D8672+Sens!D8669</f>
        <v>43.4058093833333</v>
      </c>
      <c r="E8673" s="6" t="n">
        <f aca="false">Sens!E8672+Sens!E8669</f>
        <v>86.225053775</v>
      </c>
      <c r="F8673" s="6" t="n">
        <f aca="false">Sens!F8672+Sens!F8669</f>
        <v>168.45390404212</v>
      </c>
      <c r="G8673" s="6" t="n">
        <f aca="false">Sens!G8672+Sens!G8669</f>
        <v>191.944475649048</v>
      </c>
      <c r="H8673" s="6" t="n">
        <f aca="false">Sens!H8672+Sens!H8669</f>
        <v>196.806004064512</v>
      </c>
      <c r="I8673" s="6" t="n">
        <f aca="false">Sens!I8672+Sens!I8669</f>
        <v>168.61483362161</v>
      </c>
      <c r="J8673" s="6" t="n">
        <f aca="false">Sens!J8672+Sens!J8669</f>
        <v>128.92993119594</v>
      </c>
      <c r="K8673" s="6" t="n">
        <f aca="false">Sens!K8672+Sens!K8669</f>
        <v>118.962853064733</v>
      </c>
      <c r="L8673" s="12" t="s">
        <v>998</v>
      </c>
    </row>
    <row r="8674" customFormat="false" ht="17.15" hidden="false" customHeight="false" outlineLevel="0" collapsed="false">
      <c r="A8674" s="0" t="s">
        <v>999</v>
      </c>
      <c r="B8674" s="0" t="s">
        <v>98</v>
      </c>
      <c r="E8674" s="6" t="n">
        <f aca="false">(Sens!C8672*IF(2&lt;life_it,1,IF(2=life_it,0.5,0))+Sens!D8672*IF(1&lt;life_it,1,IF(1=life_it,0.5,0))+Sens!E8672*0.5)/life_it</f>
        <v>15.0605784770833</v>
      </c>
      <c r="F8674" s="6" t="n">
        <f aca="false">(Sens!C8672*IF(3&lt;life_it,1,IF(3=life_it,0.5,0))+Sens!D8672*IF(2&lt;life_it,1,IF(2=life_it,0.5,0))+Sens!E8672*IF(1&lt;life_it,1,IF(1=life_it,0.5,0))+Sens!F8672*0.5)/life_it</f>
        <v>32.0704849854266</v>
      </c>
      <c r="G8674" s="6" t="n">
        <f aca="false">(Sens!C8672*IF(4&lt;life_it,1,IF(4=life_it,0.5,0))+Sens!D8672*IF(3&lt;life_it,1,IF(3=life_it,0.5,0))+Sens!E8672*IF(2&lt;life_it,1,IF(2=life_it,0.5,0))+Sens!F8672*IF(1&lt;life_it,1,IF(1=life_it,0.5,0))+Sens!G8672*0.5)/life_it</f>
        <v>56.5636516735239</v>
      </c>
      <c r="H8674" s="6" t="n">
        <f aca="false">(Sens!C8672*IF(5&lt;life_it,1,IF(5=life_it,0.5,0))+Sens!D8672*IF(4&lt;life_it,1,IF(4=life_it,0.5,0))+Sens!E8672*IF(3&lt;life_it,1,IF(3=life_it,0.5,0))+Sens!F8672*IF(2&lt;life_it,1,IF(2=life_it,0.5,0))+Sens!G8672*IF(1&lt;life_it,1,IF(1=life_it,0.5,0))+Sens!H8672*0.5)/life_it</f>
        <v>83.2019916968207</v>
      </c>
      <c r="I8674" s="6" t="n">
        <f aca="false">(Sens!C8672*IF(6&lt;life_it,1,IF(6=life_it,0.5,0))+Sens!D8672*IF(5&lt;life_it,1,IF(5=life_it,0.5,0))+Sens!E8672*IF(4&lt;life_it,1,IF(4=life_it,0.5,0))+Sens!F8672*IF(3&lt;life_it,1,IF(3=life_it,0.5,0))+Sens!G8672*IF(2&lt;life_it,1,IF(2=life_it,0.5,0))+Sens!H8672*IF(1&lt;life_it,1,IF(1=life_it,0.5,0))+Sens!I8672*0.5)/life_it</f>
        <v>106.857324133594</v>
      </c>
      <c r="J8674" s="6" t="n">
        <f aca="false">(Sens!C8672*IF(7&lt;life_it,1,IF(7=life_it,0.5,0))+Sens!D8672*IF(6&lt;life_it,1,IF(6=life_it,0.5,0))+Sens!E8672*IF(5&lt;life_it,1,IF(5=life_it,0.5,0))+Sens!F8672*IF(4&lt;life_it,1,IF(4=life_it,0.5,0))+Sens!G8672*IF(3&lt;life_it,1,IF(3=life_it,0.5,0))+Sens!H8672*IF(2&lt;life_it,1,IF(2=life_it,0.5,0))+Sens!I8672*IF(1&lt;life_it,1,IF(1=life_it,0.5,0))+Sens!J8672*0.5)/life_it</f>
        <v>123.657508539285</v>
      </c>
      <c r="K8674" s="6" t="n">
        <f aca="false">(Sens!C8672*IF(8&lt;life_it,1,IF(8=life_it,0.5,0))+Sens!D8672*IF(7&lt;life_it,1,IF(7=life_it,0.5,0))+Sens!E8672*IF(6&lt;life_it,1,IF(6=life_it,0.5,0))+Sens!F8672*IF(5&lt;life_it,1,IF(5=life_it,0.5,0))+Sens!G8672*IF(4&lt;life_it,1,IF(4=life_it,0.5,0))+Sens!H8672*IF(3&lt;life_it,1,IF(3=life_it,0.5,0))+Sens!I8672*IF(2&lt;life_it,1,IF(2=life_it,0.5,0))+Sens!J8672*IF(1&lt;life_it,1,IF(1=life_it,0.5,0))+Sens!K8672*0.5)/life_it</f>
        <v>134.143838501827</v>
      </c>
    </row>
    <row r="8675" customFormat="false" ht="17.15" hidden="false" customHeight="false" outlineLevel="0" collapsed="false">
      <c r="A8675" s="0" t="s">
        <v>1000</v>
      </c>
      <c r="B8675" s="0" t="s">
        <v>98</v>
      </c>
      <c r="E8675" s="6" t="n">
        <f aca="false">(Sens!C8669*IF(2&lt;life_fac,1,IF(2=life_fac,0.5,0))+Sens!D8669*IF(1&lt;life_fac,1,IF(1=life_fac,0.5,0))+Sens!E8669*0.5)/life_fac</f>
        <v>1.2448275</v>
      </c>
      <c r="F8675" s="6" t="n">
        <f aca="false">(Sens!C8669*IF(3&lt;life_fac,1,IF(3=life_fac,0.5,0))+Sens!D8669*IF(2&lt;life_fac,1,IF(2=life_fac,0.5,0))+Sens!E8669*IF(1&lt;life_fac,1,IF(1=life_fac,0.5,0))+Sens!F8669*0.5)/life_fac</f>
        <v>2.508829492925</v>
      </c>
      <c r="G8675" s="6" t="n">
        <f aca="false">(Sens!C8669*IF(4&lt;life_fac,1,IF(4=life_fac,0.5,0))+Sens!D8669*IF(3&lt;life_fac,1,IF(3=life_fac,0.5,0))+Sens!E8669*IF(2&lt;life_fac,1,IF(2=life_fac,0.5,0))+Sens!F8669*IF(1&lt;life_fac,1,IF(1=life_fac,0.5,0))+Sens!G8669*0.5)/life_fac</f>
        <v>4.170838978775</v>
      </c>
      <c r="H8675" s="6" t="n">
        <f aca="false">(Sens!C8669*IF(5&lt;life_fac,1,IF(5=life_fac,0.5,0))+Sens!D8669*IF(4&lt;life_fac,1,IF(4=life_fac,0.5,0))+Sens!E8669*IF(3&lt;life_fac,1,IF(3=life_fac,0.5,0))+Sens!F8669*IF(2&lt;life_fac,1,IF(2=life_fac,0.5,0))+Sens!G8669*IF(1&lt;life_fac,1,IF(1=life_fac,0.5,0))+Sens!H8669*0.5)/life_fac</f>
        <v>5.898098964625</v>
      </c>
      <c r="I8675" s="6" t="n">
        <f aca="false">(Sens!C8669*IF(6&lt;life_fac,1,IF(6=life_fac,0.5,0))+Sens!D8669*IF(5&lt;life_fac,1,IF(5=life_fac,0.5,0))+Sens!E8669*IF(4&lt;life_fac,1,IF(4=life_fac,0.5,0))+Sens!F8669*IF(3&lt;life_fac,1,IF(3=life_fac,0.5,0))+Sens!G8669*IF(2&lt;life_fac,1,IF(2=life_fac,0.5,0))+Sens!H8669*IF(1&lt;life_fac,1,IF(1=life_fac,0.5,0))+Sens!I8669*0.5)/life_fac</f>
        <v>7.37368556095442</v>
      </c>
      <c r="J8675" s="6" t="n">
        <f aca="false">(Sens!C8669*IF(7&lt;life_fac,1,IF(7=life_fac,0.5,0))+Sens!D8669*IF(6&lt;life_fac,1,IF(6=life_fac,0.5,0))+Sens!E8669*IF(5&lt;life_fac,1,IF(5=life_fac,0.5,0))+Sens!F8669*IF(4&lt;life_fac,1,IF(4=life_fac,0.5,0))+Sens!G8669*IF(3&lt;life_fac,1,IF(3=life_fac,0.5,0))+Sens!H8669*IF(2&lt;life_fac,1,IF(2=life_fac,0.5,0))+Sens!I8669*IF(1&lt;life_fac,1,IF(1=life_fac,0.5,0))+Sens!J8669*0.5)/life_fac</f>
        <v>8.35816451031075</v>
      </c>
      <c r="K8675" s="6" t="n">
        <f aca="false">(Sens!C8669*IF(8&lt;life_fac,1,IF(8=life_fac,0.5,0))+Sens!D8669*IF(7&lt;life_fac,1,IF(7=life_fac,0.5,0))+Sens!E8669*IF(6&lt;life_fac,1,IF(6=life_fac,0.5,0))+Sens!F8669*IF(5&lt;life_fac,1,IF(5=life_fac,0.5,0))+Sens!G8669*IF(4&lt;life_fac,1,IF(4=life_fac,0.5,0))+Sens!H8669*IF(3&lt;life_fac,1,IF(3=life_fac,0.5,0))+Sens!I8669*IF(2&lt;life_fac,1,IF(2=life_fac,0.5,0))+Sens!J8669*IF(1&lt;life_fac,1,IF(1=life_fac,0.5,0))+Sens!K8669*0.5)/life_fac</f>
        <v>8.86883104910662</v>
      </c>
    </row>
    <row r="8676" customFormat="false" ht="17.15" hidden="false" customHeight="false" outlineLevel="0" collapsed="false">
      <c r="A8676" s="0" t="s">
        <v>1001</v>
      </c>
      <c r="B8676" s="0" t="s">
        <v>98</v>
      </c>
      <c r="E8676" s="6" t="n">
        <f aca="false">Sens!E8674+Sens!E8675</f>
        <v>16.3054059770833</v>
      </c>
      <c r="F8676" s="6" t="n">
        <f aca="false">Sens!F8674+Sens!F8675</f>
        <v>34.5793144783516</v>
      </c>
      <c r="G8676" s="6" t="n">
        <f aca="false">Sens!G8674+Sens!G8675</f>
        <v>60.7344906522989</v>
      </c>
      <c r="H8676" s="6" t="n">
        <f aca="false">Sens!H8674+Sens!H8675</f>
        <v>89.1000906614457</v>
      </c>
      <c r="I8676" s="6" t="n">
        <f aca="false">Sens!I8674+Sens!I8675</f>
        <v>114.231009694548</v>
      </c>
      <c r="J8676" s="6" t="n">
        <f aca="false">Sens!J8674+Sens!J8675</f>
        <v>132.015673049596</v>
      </c>
      <c r="K8676" s="6" t="n">
        <f aca="false">Sens!K8674+Sens!K8675</f>
        <v>143.012669550934</v>
      </c>
    </row>
    <row r="8677" customFormat="false" ht="17.15" hidden="false" customHeight="false" outlineLevel="0" collapsed="false">
      <c r="A8677" s="0" t="s">
        <v>1002</v>
      </c>
      <c r="B8677" s="0" t="s">
        <v>98</v>
      </c>
      <c r="E8677" s="6" t="n">
        <f aca="false">Sens!E8664-Sens!E8663*Sens!E8676</f>
        <v>8.92707889977379</v>
      </c>
      <c r="F8677" s="6" t="n">
        <f aca="false">Sens!F8664-Sens!F8663*Sens!F8676</f>
        <v>18.7770356668733</v>
      </c>
      <c r="G8677" s="6" t="n">
        <f aca="false">Sens!G8664-Sens!G8663*Sens!G8676</f>
        <v>31.1163641458894</v>
      </c>
      <c r="H8677" s="6" t="n">
        <f aca="false">Sens!H8664-Sens!H8663*Sens!H8676</f>
        <v>43.7262635496428</v>
      </c>
      <c r="I8677" s="6" t="n">
        <f aca="false">Sens!I8664-Sens!I8663*Sens!I8676</f>
        <v>54.7541698336361</v>
      </c>
      <c r="J8677" s="6" t="n">
        <f aca="false">Sens!J8664-Sens!J8663*Sens!J8676</f>
        <v>62.3768819327658</v>
      </c>
      <c r="K8677" s="6" t="n">
        <f aca="false">Sens!K8664-Sens!K8663*Sens!K8676</f>
        <v>67.4820630434748</v>
      </c>
    </row>
    <row r="8678" customFormat="false" ht="17.15" hidden="false" customHeight="false" outlineLevel="0" collapsed="false">
      <c r="A8678" s="3" t="s">
        <v>1696</v>
      </c>
    </row>
    <row r="8679" customFormat="false" ht="15" hidden="false" customHeight="false" outlineLevel="0" collapsed="false">
      <c r="A8679" s="4" t="s">
        <v>43</v>
      </c>
      <c r="B8679" s="4" t="s">
        <v>65</v>
      </c>
      <c r="C8679" s="23" t="s">
        <v>938</v>
      </c>
      <c r="D8679" s="23" t="s">
        <v>939</v>
      </c>
      <c r="E8679" s="23" t="s">
        <v>940</v>
      </c>
      <c r="F8679" s="23" t="s">
        <v>941</v>
      </c>
      <c r="G8679" s="23" t="s">
        <v>942</v>
      </c>
      <c r="H8679" s="23" t="s">
        <v>943</v>
      </c>
      <c r="I8679" s="23" t="s">
        <v>944</v>
      </c>
      <c r="J8679" s="23" t="s">
        <v>945</v>
      </c>
      <c r="K8679" s="23" t="s">
        <v>946</v>
      </c>
      <c r="L8679" s="4" t="s">
        <v>47</v>
      </c>
    </row>
    <row r="8680" customFormat="false" ht="17.15" hidden="false" customHeight="false" outlineLevel="0" collapsed="false">
      <c r="A8680" s="0" t="s">
        <v>1021</v>
      </c>
      <c r="B8680" s="0" t="s">
        <v>98</v>
      </c>
      <c r="D8680" s="6" t="n">
        <f aca="false">Sens!D8658</f>
        <v>12.9359794422418</v>
      </c>
      <c r="E8680" s="6" t="n">
        <f aca="false">Sens!E8658</f>
        <v>27.8095064661409</v>
      </c>
      <c r="F8680" s="6" t="n">
        <f aca="false">Sens!F8658</f>
        <v>55.4118315060966</v>
      </c>
      <c r="G8680" s="6" t="n">
        <f aca="false">Sens!G8658</f>
        <v>91.2881100675143</v>
      </c>
      <c r="H8680" s="6" t="n">
        <f aca="false">Sens!H8658</f>
        <v>128.195273603944</v>
      </c>
      <c r="I8680" s="6" t="n">
        <f aca="false">Sens!I8658</f>
        <v>160.601281810405</v>
      </c>
      <c r="J8680" s="6" t="n">
        <f aca="false">Sens!J8658</f>
        <v>183.182719793589</v>
      </c>
      <c r="K8680" s="6" t="n">
        <f aca="false">Sens!K8658</f>
        <v>197.320124937098</v>
      </c>
    </row>
    <row r="8681" customFormat="false" ht="17.15" hidden="false" customHeight="false" outlineLevel="0" collapsed="false">
      <c r="A8681" s="0" t="s">
        <v>1022</v>
      </c>
      <c r="B8681" s="0" t="s">
        <v>98</v>
      </c>
      <c r="D8681" s="6" t="n">
        <f aca="false">Q!L6-Sens!D8680</f>
        <v>59.6740205577583</v>
      </c>
      <c r="E8681" s="6" t="n">
        <f aca="false">Q!M6-Sens!E8680</f>
        <v>74.1284935338591</v>
      </c>
      <c r="F8681" s="6" t="n">
        <f aca="false">Q!$I$6+(Sens!F8680+Sens!E8681*(1+Sens!F8682))*(1-Q!$E$6/Q!M6)-Sens!F8680</f>
        <v>91.2972164940844</v>
      </c>
      <c r="G8681" s="6" t="n">
        <f aca="false">Sens!F8681*(1+Sens!G8682)</f>
        <v>108.474719793879</v>
      </c>
      <c r="H8681" s="6" t="n">
        <f aca="false">Sens!G8681*(1+Sens!H8682)</f>
        <v>125.951292505701</v>
      </c>
      <c r="I8681" s="6" t="n">
        <f aca="false">Sens!H8681*(1+Sens!I8682)</f>
        <v>142.838165154212</v>
      </c>
      <c r="J8681" s="6" t="n">
        <f aca="false">Sens!I8681*(1+Sens!J8682)</f>
        <v>158.12717866615</v>
      </c>
      <c r="K8681" s="6" t="n">
        <f aca="false">Sens!J8681*(1+Sens!K8682)</f>
        <v>170.777352959442</v>
      </c>
      <c r="L8681" s="12" t="s">
        <v>1023</v>
      </c>
    </row>
    <row r="8682" customFormat="false" ht="15" hidden="false" customHeight="false" outlineLevel="0" collapsed="false">
      <c r="A8682" s="1" t="s">
        <v>1024</v>
      </c>
      <c r="B8682" s="0" t="s">
        <v>168</v>
      </c>
      <c r="E8682" s="7" t="n">
        <f aca="false">Sens!E8681/Sens!D8681-1</f>
        <v>0.242223883039864</v>
      </c>
      <c r="F8682" s="7" t="n">
        <f aca="false">Sens!$E$8682+(glt_azo-Sens!$E$8682)*MIN(1,(Sens!F8639-base_fy)/n_conv)</f>
        <v>0.215186569199887</v>
      </c>
      <c r="G8682" s="7" t="n">
        <f aca="false">Sens!$E$8682+(glt_azo-Sens!$E$8682)*MIN(1,(Sens!G8639-base_fy)/n_conv)</f>
        <v>0.18814925535991</v>
      </c>
      <c r="H8682" s="7" t="n">
        <f aca="false">Sens!$E$8682+(glt_azo-Sens!$E$8682)*MIN(1,(Sens!H8639-base_fy)/n_conv)</f>
        <v>0.161111941519932</v>
      </c>
      <c r="I8682" s="7" t="n">
        <f aca="false">Sens!$E$8682+(glt_azo-Sens!$E$8682)*MIN(1,(Sens!I8639-base_fy)/n_conv)</f>
        <v>0.134074627679955</v>
      </c>
      <c r="J8682" s="7" t="n">
        <f aca="false">Sens!$E$8682+(glt_azo-Sens!$E$8682)*MIN(1,(Sens!J8639-base_fy)/n_conv)</f>
        <v>0.107037313839977</v>
      </c>
      <c r="K8682" s="7" t="n">
        <f aca="false">Sens!$E$8682+(glt_azo-Sens!$E$8682)*MIN(1,(Sens!K8639-base_fy)/n_conv)</f>
        <v>0.08</v>
      </c>
    </row>
    <row r="8683" customFormat="false" ht="15" hidden="false" customHeight="false" outlineLevel="0" collapsed="false">
      <c r="A8683" s="0" t="s">
        <v>1025</v>
      </c>
      <c r="B8683" s="0" t="s">
        <v>98</v>
      </c>
      <c r="D8683" s="6" t="n">
        <f aca="false">Sens!D8680+Sens!D8681</f>
        <v>72.61</v>
      </c>
      <c r="E8683" s="6" t="n">
        <f aca="false">Sens!E8680+Sens!E8681</f>
        <v>101.938</v>
      </c>
      <c r="F8683" s="6" t="n">
        <f aca="false">Sens!F8680+Sens!F8681</f>
        <v>146.709048000181</v>
      </c>
      <c r="G8683" s="6" t="n">
        <f aca="false">Sens!G8680+Sens!G8681</f>
        <v>199.762829861393</v>
      </c>
      <c r="H8683" s="6" t="n">
        <f aca="false">Sens!H8680+Sens!H8681</f>
        <v>254.146566109645</v>
      </c>
      <c r="I8683" s="6" t="n">
        <f aca="false">Sens!I8680+Sens!I8681</f>
        <v>303.439446964617</v>
      </c>
      <c r="J8683" s="6" t="n">
        <f aca="false">Sens!J8680+Sens!J8681</f>
        <v>341.309898459739</v>
      </c>
      <c r="K8683" s="6" t="n">
        <f aca="false">Sens!K8680+Sens!K8681</f>
        <v>368.09747789654</v>
      </c>
    </row>
    <row r="8684" customFormat="false" ht="17.15" hidden="false" customHeight="false" outlineLevel="0" collapsed="false">
      <c r="A8684" s="0" t="s">
        <v>1026</v>
      </c>
      <c r="B8684" s="1" t="s">
        <v>610</v>
      </c>
      <c r="C8684" s="30" t="n">
        <f aca="false">cop_s24</f>
        <v>1</v>
      </c>
      <c r="D8684" s="30" t="n">
        <f aca="false">cop_s25</f>
        <v>5</v>
      </c>
      <c r="E8684" s="30" t="n">
        <f aca="false">cop_s26</f>
        <v>30</v>
      </c>
      <c r="F8684" s="30" t="n">
        <f aca="false">Sens!E8684+cop_add_B</f>
        <v>50</v>
      </c>
      <c r="G8684" s="30" t="n">
        <f aca="false">Sens!F8684+cop_add_B</f>
        <v>70</v>
      </c>
      <c r="H8684" s="30" t="n">
        <f aca="false">Sens!G8684+cop_add_B</f>
        <v>90</v>
      </c>
      <c r="I8684" s="30" t="n">
        <f aca="false">Sens!H8684+cop_add_B*cop_tail</f>
        <v>100</v>
      </c>
      <c r="J8684" s="30" t="n">
        <f aca="false">Sens!I8684+cop_add_B*cop_tail</f>
        <v>110</v>
      </c>
      <c r="K8684" s="30" t="n">
        <f aca="false">Sens!J8684+cop_add_B*cop_tail</f>
        <v>120</v>
      </c>
      <c r="L8684" s="12" t="s">
        <v>1027</v>
      </c>
    </row>
    <row r="8685" customFormat="false" ht="17.15" hidden="false" customHeight="false" outlineLevel="0" collapsed="false">
      <c r="A8685" s="0" t="s">
        <v>1028</v>
      </c>
      <c r="B8685" s="0" t="s">
        <v>98</v>
      </c>
      <c r="D8685" s="6" t="n">
        <f aca="false">(Sens!C8684+Sens!D8684)/2*cop_px*12/1000</f>
        <v>0.9</v>
      </c>
      <c r="E8685" s="6" t="n">
        <f aca="false">(Sens!D8684+Sens!E8684)/2*cop_px*12/1000</f>
        <v>5.25</v>
      </c>
      <c r="F8685" s="6" t="n">
        <f aca="false">(Sens!E8684+Sens!F8684)/2*cop_px_hi*12/1000</f>
        <v>14.4</v>
      </c>
      <c r="G8685" s="6" t="n">
        <f aca="false">(Sens!F8684+Sens!G8684)/2*cop_px_hi*12/1000</f>
        <v>21.6</v>
      </c>
      <c r="H8685" s="6" t="n">
        <f aca="false">(Sens!G8684+Sens!H8684)/2*cop_px_hi*12/1000</f>
        <v>28.8</v>
      </c>
      <c r="I8685" s="6" t="n">
        <f aca="false">(Sens!H8684+Sens!I8684)/2*cop_px_hi*12/1000</f>
        <v>34.2</v>
      </c>
      <c r="J8685" s="6" t="n">
        <f aca="false">(Sens!I8684+Sens!J8684)/2*cop_px_hi*12/1000</f>
        <v>37.8</v>
      </c>
      <c r="K8685" s="6" t="n">
        <f aca="false">(Sens!J8684+Sens!K8684)/2*cop_px_hi*12/1000</f>
        <v>41.4</v>
      </c>
      <c r="L8685" s="1" t="s">
        <v>1029</v>
      </c>
    </row>
    <row r="8686" customFormat="false" ht="17.15" hidden="false" customHeight="false" outlineLevel="0" collapsed="false">
      <c r="A8686" s="0" t="s">
        <v>1030</v>
      </c>
      <c r="B8686" s="0" t="s">
        <v>98</v>
      </c>
      <c r="D8686" s="6" t="n">
        <f aca="false">Q!L7-Sens!D8685</f>
        <v>83.705</v>
      </c>
      <c r="E8686" s="6" t="n">
        <f aca="false">Q!M7-Sens!E8685</f>
        <v>95.049</v>
      </c>
      <c r="F8686" s="6" t="n">
        <f aca="false">Q!$I$7+(Sens!E8686*(1+Sens!F8687)+Sens!F8685)*(1-Q!$E$7/Q!M7)-Sens!F8685</f>
        <v>106.017042910501</v>
      </c>
      <c r="G8686" s="6" t="n">
        <f aca="false">Sens!F8686*(1+Sens!G8687)</f>
        <v>118.069312308709</v>
      </c>
      <c r="H8686" s="6" t="n">
        <f aca="false">Sens!G8686*(1+Sens!H8687)</f>
        <v>130.20232529423</v>
      </c>
      <c r="I8686" s="6" t="n">
        <f aca="false">Sens!H8686*(1+Sens!I8687)</f>
        <v>142.160261568698</v>
      </c>
      <c r="J8686" s="6" t="n">
        <f aca="false">Sens!I8686*(1+Sens!J8687)</f>
        <v>153.66395439937</v>
      </c>
      <c r="K8686" s="6" t="n">
        <f aca="false">Sens!J8686*(1+Sens!K8687)</f>
        <v>164.420431207326</v>
      </c>
      <c r="L8686" s="12" t="s">
        <v>1031</v>
      </c>
    </row>
    <row r="8687" customFormat="false" ht="15" hidden="false" customHeight="false" outlineLevel="0" collapsed="false">
      <c r="A8687" s="1" t="s">
        <v>1024</v>
      </c>
      <c r="B8687" s="0" t="s">
        <v>168</v>
      </c>
      <c r="E8687" s="7" t="n">
        <f aca="false">Sens!E8686/Sens!D8686-1</f>
        <v>0.135523564900544</v>
      </c>
      <c r="F8687" s="7" t="n">
        <f aca="false">Sens!$E$8687+(glt_m365b-Sens!$E$8687)*MIN(1,(Sens!F8639-base_fy)/n_conv)</f>
        <v>0.124602970750453</v>
      </c>
      <c r="G8687" s="7" t="n">
        <f aca="false">Sens!$E$8687+(glt_m365b-Sens!$E$8687)*MIN(1,(Sens!G8639-base_fy)/n_conv)</f>
        <v>0.113682376600363</v>
      </c>
      <c r="H8687" s="7" t="n">
        <f aca="false">Sens!$E$8687+(glt_m365b-Sens!$E$8687)*MIN(1,(Sens!H8639-base_fy)/n_conv)</f>
        <v>0.102761782450272</v>
      </c>
      <c r="I8687" s="7" t="n">
        <f aca="false">Sens!$E$8687+(glt_m365b-Sens!$E$8687)*MIN(1,(Sens!I8639-base_fy)/n_conv)</f>
        <v>0.0918411883001813</v>
      </c>
      <c r="J8687" s="7" t="n">
        <f aca="false">Sens!$E$8687+(glt_m365b-Sens!$E$8687)*MIN(1,(Sens!J8639-base_fy)/n_conv)</f>
        <v>0.0809205941500906</v>
      </c>
      <c r="K8687" s="7" t="n">
        <f aca="false">Sens!$E$8687+(glt_m365b-Sens!$E$8687)*MIN(1,(Sens!K8639-base_fy)/n_conv)</f>
        <v>0.07</v>
      </c>
    </row>
    <row r="8688" customFormat="false" ht="15" hidden="false" customHeight="false" outlineLevel="0" collapsed="false">
      <c r="A8688" s="0" t="s">
        <v>1032</v>
      </c>
      <c r="B8688" s="0" t="s">
        <v>98</v>
      </c>
      <c r="D8688" s="6" t="n">
        <f aca="false">Sens!D8686+Sens!D8685</f>
        <v>84.605</v>
      </c>
      <c r="E8688" s="6" t="n">
        <f aca="false">Sens!E8686+Sens!E8685</f>
        <v>100.299</v>
      </c>
      <c r="F8688" s="6" t="n">
        <f aca="false">Sens!F8686+Sens!F8685</f>
        <v>120.417042910501</v>
      </c>
      <c r="G8688" s="6" t="n">
        <f aca="false">Sens!G8686+Sens!G8685</f>
        <v>139.669312308709</v>
      </c>
      <c r="H8688" s="6" t="n">
        <f aca="false">Sens!H8686+Sens!H8685</f>
        <v>159.00232529423</v>
      </c>
      <c r="I8688" s="6" t="n">
        <f aca="false">Sens!I8686+Sens!I8685</f>
        <v>176.360261568698</v>
      </c>
      <c r="J8688" s="6" t="n">
        <f aca="false">Sens!J8686+Sens!J8685</f>
        <v>191.46395439937</v>
      </c>
      <c r="K8688" s="6" t="n">
        <f aca="false">Sens!K8686+Sens!K8685</f>
        <v>205.820431207326</v>
      </c>
    </row>
    <row r="8689" customFormat="false" ht="17.15" hidden="false" customHeight="false" outlineLevel="0" collapsed="false">
      <c r="A8689" s="0" t="s">
        <v>1033</v>
      </c>
      <c r="B8689" s="0" t="s">
        <v>98</v>
      </c>
      <c r="D8689" s="6" t="n">
        <f aca="false">Q!L8</f>
        <v>35.391</v>
      </c>
      <c r="E8689" s="6" t="n">
        <f aca="false">Q!M8</f>
        <v>37.285</v>
      </c>
      <c r="F8689" s="6" t="n">
        <f aca="false">Q!$I$8+(Q!M8-Q!$E$8)*(1+Sens!F8690)</f>
        <v>38.3851437782675</v>
      </c>
      <c r="G8689" s="6" t="n">
        <f aca="false">Sens!F8689*(1+Sens!G8690)</f>
        <v>40.0105353288615</v>
      </c>
      <c r="H8689" s="6" t="n">
        <f aca="false">Sens!G8689*(1+Sens!H8690)</f>
        <v>41.4812512033683</v>
      </c>
      <c r="I8689" s="6" t="n">
        <f aca="false">Sens!H8689*(1+Sens!I8690)</f>
        <v>42.7743107216329</v>
      </c>
      <c r="J8689" s="6" t="n">
        <f aca="false">Sens!I8689*(1+Sens!J8690)</f>
        <v>43.8687373064601</v>
      </c>
      <c r="K8689" s="6" t="n">
        <f aca="false">Sens!J8689*(1+Sens!K8690)</f>
        <v>44.7461120525893</v>
      </c>
      <c r="L8689" s="12" t="s">
        <v>1034</v>
      </c>
    </row>
    <row r="8690" customFormat="false" ht="15" hidden="false" customHeight="false" outlineLevel="0" collapsed="false">
      <c r="A8690" s="1" t="s">
        <v>1024</v>
      </c>
      <c r="B8690" s="0" t="s">
        <v>168</v>
      </c>
      <c r="E8690" s="7" t="n">
        <f aca="false">Sens!E8689/Sens!D8689-1</f>
        <v>0.0535164307309768</v>
      </c>
      <c r="F8690" s="7" t="n">
        <f aca="false">Sens!$E$8690+(glt_lic-Sens!$E$8690)*MIN(1,(Sens!F8639-base_fy)/n_conv)</f>
        <v>0.0479303589424807</v>
      </c>
      <c r="G8690" s="7" t="n">
        <f aca="false">Sens!$E$8690+(glt_lic-Sens!$E$8690)*MIN(1,(Sens!G8639-base_fy)/n_conv)</f>
        <v>0.0423442871539845</v>
      </c>
      <c r="H8690" s="7" t="n">
        <f aca="false">Sens!$E$8690+(glt_lic-Sens!$E$8690)*MIN(1,(Sens!H8639-base_fy)/n_conv)</f>
        <v>0.0367582153654884</v>
      </c>
      <c r="I8690" s="7" t="n">
        <f aca="false">Sens!$E$8690+(glt_lic-Sens!$E$8690)*MIN(1,(Sens!I8639-base_fy)/n_conv)</f>
        <v>0.0311721435769923</v>
      </c>
      <c r="J8690" s="7" t="n">
        <f aca="false">Sens!$E$8690+(glt_lic-Sens!$E$8690)*MIN(1,(Sens!J8639-base_fy)/n_conv)</f>
        <v>0.0255860717884961</v>
      </c>
      <c r="K8690" s="7" t="n">
        <f aca="false">Sens!$E$8690+(glt_lic-Sens!$E$8690)*MIN(1,(Sens!K8639-base_fy)/n_conv)</f>
        <v>0.02</v>
      </c>
    </row>
    <row r="8691" customFormat="false" ht="17.15" hidden="false" customHeight="false" outlineLevel="0" collapsed="false">
      <c r="A8691" s="0" t="s">
        <v>1035</v>
      </c>
      <c r="B8691" s="0" t="s">
        <v>98</v>
      </c>
      <c r="D8691" s="6" t="n">
        <f aca="false">Q!L9</f>
        <v>18.417</v>
      </c>
      <c r="E8691" s="6" t="n">
        <f aca="false">Q!M9</f>
        <v>20.345</v>
      </c>
      <c r="F8691" s="6" t="n">
        <f aca="false">Q!$I$9+(Q!M9-Q!$E$9)*(1+Sens!F8692)</f>
        <v>22.3161797133988</v>
      </c>
      <c r="G8691" s="6" t="n">
        <f aca="false">Sens!F8691*(1+Sens!G8692)</f>
        <v>24.3943499673233</v>
      </c>
      <c r="H8691" s="6" t="n">
        <f aca="false">Sens!G8691*(1+Sens!H8692)</f>
        <v>26.5250243109019</v>
      </c>
      <c r="I8691" s="6" t="n">
        <f aca="false">Sens!H8691*(1+Sens!I8692)</f>
        <v>28.6884573538181</v>
      </c>
      <c r="J8691" s="6" t="n">
        <f aca="false">Sens!I8691*(1+Sens!J8692)</f>
        <v>30.8624968052127</v>
      </c>
      <c r="K8691" s="6" t="n">
        <f aca="false">Sens!J8691*(1+Sens!K8692)</f>
        <v>33.0228715815776</v>
      </c>
      <c r="L8691" s="12" t="s">
        <v>1034</v>
      </c>
    </row>
    <row r="8692" customFormat="false" ht="15" hidden="false" customHeight="false" outlineLevel="0" collapsed="false">
      <c r="A8692" s="1" t="s">
        <v>1024</v>
      </c>
      <c r="B8692" s="0" t="s">
        <v>168</v>
      </c>
      <c r="E8692" s="7" t="n">
        <f aca="false">Sens!E8691/Sens!D8691-1</f>
        <v>0.104685888038225</v>
      </c>
      <c r="F8692" s="7" t="n">
        <f aca="false">Sens!$E$8692+(glt_ind-Sens!$E$8692)*MIN(1,(Sens!F8639-base_fy)/n_conv)</f>
        <v>0.0989049066985211</v>
      </c>
      <c r="G8692" s="7" t="n">
        <f aca="false">Sens!$E$8692+(glt_ind-Sens!$E$8692)*MIN(1,(Sens!G8639-base_fy)/n_conv)</f>
        <v>0.0931239253588169</v>
      </c>
      <c r="H8692" s="7" t="n">
        <f aca="false">Sens!$E$8692+(glt_ind-Sens!$E$8692)*MIN(1,(Sens!H8639-base_fy)/n_conv)</f>
        <v>0.0873429440191127</v>
      </c>
      <c r="I8692" s="7" t="n">
        <f aca="false">Sens!$E$8692+(glt_ind-Sens!$E$8692)*MIN(1,(Sens!I8639-base_fy)/n_conv)</f>
        <v>0.0815619626794085</v>
      </c>
      <c r="J8692" s="7" t="n">
        <f aca="false">Sens!$E$8692+(glt_ind-Sens!$E$8692)*MIN(1,(Sens!J8639-base_fy)/n_conv)</f>
        <v>0.0757809813397042</v>
      </c>
      <c r="K8692" s="7" t="n">
        <f aca="false">Sens!$E$8692+(glt_ind-Sens!$E$8692)*MIN(1,(Sens!K8639-base_fy)/n_conv)</f>
        <v>0.07</v>
      </c>
    </row>
    <row r="8693" customFormat="false" ht="17.15" hidden="false" customHeight="false" outlineLevel="0" collapsed="false">
      <c r="A8693" s="0" t="s">
        <v>1036</v>
      </c>
      <c r="B8693" s="0" t="s">
        <v>98</v>
      </c>
      <c r="D8693" s="6" t="n">
        <f aca="false">Q!L10</f>
        <v>7.76</v>
      </c>
      <c r="E8693" s="6" t="n">
        <f aca="false">Q!M10</f>
        <v>8.26</v>
      </c>
      <c r="F8693" s="6" t="n">
        <f aca="false">Q!$I$10+(Q!M10-Q!$E$10)*(1+Sens!F8694)</f>
        <v>8.75372082474227</v>
      </c>
      <c r="G8693" s="6" t="n">
        <f aca="false">Sens!F8693*(1+Sens!G8694)</f>
        <v>9.33399324642364</v>
      </c>
      <c r="H8693" s="6" t="n">
        <f aca="false">Sens!G8693*(1+Sens!H8694)</f>
        <v>9.96139155535851</v>
      </c>
      <c r="I8693" s="6" t="n">
        <f aca="false">Sens!H8693*(1+Sens!I8694)</f>
        <v>10.6402039077391</v>
      </c>
      <c r="J8693" s="6" t="n">
        <f aca="false">Sens!I8693*(1+Sens!J8694)</f>
        <v>11.3751458271397</v>
      </c>
      <c r="K8693" s="6" t="n">
        <f aca="false">Sens!J8693*(1+Sens!K8694)</f>
        <v>12.1714060350394</v>
      </c>
      <c r="L8693" s="12" t="s">
        <v>1034</v>
      </c>
    </row>
    <row r="8694" customFormat="false" ht="15" hidden="false" customHeight="false" outlineLevel="0" collapsed="false">
      <c r="A8694" s="1" t="s">
        <v>1024</v>
      </c>
      <c r="B8694" s="0" t="s">
        <v>168</v>
      </c>
      <c r="E8694" s="7" t="n">
        <f aca="false">Sens!E8693/Sens!D8693-1</f>
        <v>0.0644329896907216</v>
      </c>
      <c r="F8694" s="7" t="n">
        <f aca="false">Sens!$E$8694+(glt_fro-Sens!$E$8694)*MIN(1,(Sens!F8639-base_fy)/n_conv)</f>
        <v>0.065360824742268</v>
      </c>
      <c r="G8694" s="7" t="n">
        <f aca="false">Sens!$E$8694+(glt_fro-Sens!$E$8694)*MIN(1,(Sens!G8639-base_fy)/n_conv)</f>
        <v>0.0662886597938144</v>
      </c>
      <c r="H8694" s="7" t="n">
        <f aca="false">Sens!$E$8694+(glt_fro-Sens!$E$8694)*MIN(1,(Sens!H8639-base_fy)/n_conv)</f>
        <v>0.0672164948453608</v>
      </c>
      <c r="I8694" s="7" t="n">
        <f aca="false">Sens!$E$8694+(glt_fro-Sens!$E$8694)*MIN(1,(Sens!I8639-base_fy)/n_conv)</f>
        <v>0.0681443298969072</v>
      </c>
      <c r="J8694" s="7" t="n">
        <f aca="false">Sens!$E$8694+(glt_fro-Sens!$E$8694)*MIN(1,(Sens!J8639-base_fy)/n_conv)</f>
        <v>0.0690721649484536</v>
      </c>
      <c r="K8694" s="7" t="n">
        <f aca="false">Sens!$E$8694+(glt_fro-Sens!$E$8694)*MIN(1,(Sens!K8639-base_fy)/n_conv)</f>
        <v>0.07</v>
      </c>
    </row>
    <row r="8695" customFormat="false" ht="15" hidden="false" customHeight="false" outlineLevel="0" collapsed="false">
      <c r="A8695" s="0" t="s">
        <v>852</v>
      </c>
      <c r="B8695" s="0" t="s">
        <v>98</v>
      </c>
      <c r="D8695" s="6" t="n">
        <f aca="false">Sens!D8683+Sens!D8688+Sens!D8689+Sens!D8691+Sens!D8693</f>
        <v>218.783</v>
      </c>
      <c r="E8695" s="6" t="n">
        <f aca="false">Sens!E8683+Sens!E8688+Sens!E8689+Sens!E8691+Sens!E8693</f>
        <v>268.127</v>
      </c>
      <c r="F8695" s="6" t="n">
        <f aca="false">Sens!F8683+Sens!F8688+Sens!F8689+Sens!F8691+Sens!F8693</f>
        <v>336.58113522709</v>
      </c>
      <c r="G8695" s="6" t="n">
        <f aca="false">Sens!G8683+Sens!G8688+Sens!G8689+Sens!G8691+Sens!G8693</f>
        <v>413.17102071271</v>
      </c>
      <c r="H8695" s="6" t="n">
        <f aca="false">Sens!H8683+Sens!H8688+Sens!H8689+Sens!H8691+Sens!H8693</f>
        <v>491.116558473503</v>
      </c>
      <c r="I8695" s="6" t="n">
        <f aca="false">Sens!I8683+Sens!I8688+Sens!I8689+Sens!I8691+Sens!I8693</f>
        <v>561.902680516505</v>
      </c>
      <c r="J8695" s="6" t="n">
        <f aca="false">Sens!J8683+Sens!J8688+Sens!J8689+Sens!J8691+Sens!J8693</f>
        <v>618.880232797922</v>
      </c>
      <c r="K8695" s="6" t="n">
        <f aca="false">Sens!K8683+Sens!K8688+Sens!K8689+Sens!K8691+Sens!K8693</f>
        <v>663.858298773072</v>
      </c>
    </row>
    <row r="8696" customFormat="false" ht="17.15" hidden="false" customHeight="false" outlineLevel="0" collapsed="false">
      <c r="A8696" s="0" t="s">
        <v>1037</v>
      </c>
      <c r="B8696" s="0" t="s">
        <v>98</v>
      </c>
      <c r="D8696" s="6" t="n">
        <f aca="false">Q!L13</f>
        <v>22.171</v>
      </c>
      <c r="E8696" s="6" t="n">
        <f aca="false">Q!M13</f>
        <v>24.835</v>
      </c>
      <c r="F8696" s="6" t="n">
        <f aca="false">Q!$I$13+(Q!M13-Q!$E$13)*(1+Sens!F8697)</f>
        <v>27.5591895660247</v>
      </c>
      <c r="G8696" s="6" t="n">
        <f aca="false">Sens!F8696*(1+Sens!G8697)</f>
        <v>30.4098563144583</v>
      </c>
      <c r="H8696" s="6" t="n">
        <f aca="false">Sens!G8696*(1+Sens!H8697)</f>
        <v>33.3011792571777</v>
      </c>
      <c r="I8696" s="6" t="n">
        <f aca="false">Sens!H8696*(1+Sens!I8697)</f>
        <v>36.189023797112</v>
      </c>
      <c r="J8696" s="6" t="n">
        <f aca="false">Sens!I8696*(1+Sens!J8697)</f>
        <v>39.0247773769199</v>
      </c>
      <c r="K8696" s="6" t="n">
        <f aca="false">Sens!J8696*(1+Sens!K8697)</f>
        <v>41.7565117933043</v>
      </c>
      <c r="L8696" s="12" t="s">
        <v>1034</v>
      </c>
    </row>
    <row r="8697" customFormat="false" ht="15" hidden="false" customHeight="false" outlineLevel="0" collapsed="false">
      <c r="A8697" s="1" t="s">
        <v>1024</v>
      </c>
      <c r="B8697" s="0" t="s">
        <v>168</v>
      </c>
      <c r="E8697" s="7" t="n">
        <f aca="false">Sens!E8696/Sens!D8696-1</f>
        <v>0.120156961796942</v>
      </c>
      <c r="F8697" s="7" t="n">
        <f aca="false">Sens!$E$8697+(glt_srch-Sens!$E$8697)*MIN(1,(Sens!F8639-base_fy)/n_conv)</f>
        <v>0.111797468164118</v>
      </c>
      <c r="G8697" s="7" t="n">
        <f aca="false">Sens!$E$8697+(glt_srch-Sens!$E$8697)*MIN(1,(Sens!G8639-base_fy)/n_conv)</f>
        <v>0.103437974531295</v>
      </c>
      <c r="H8697" s="7" t="n">
        <f aca="false">Sens!$E$8697+(glt_srch-Sens!$E$8697)*MIN(1,(Sens!H8639-base_fy)/n_conv)</f>
        <v>0.095078480898471</v>
      </c>
      <c r="I8697" s="7" t="n">
        <f aca="false">Sens!$E$8697+(glt_srch-Sens!$E$8697)*MIN(1,(Sens!I8639-base_fy)/n_conv)</f>
        <v>0.0867189872656474</v>
      </c>
      <c r="J8697" s="7" t="n">
        <f aca="false">Sens!$E$8697+(glt_srch-Sens!$E$8697)*MIN(1,(Sens!J8639-base_fy)/n_conv)</f>
        <v>0.0783594936328237</v>
      </c>
      <c r="K8697" s="7" t="n">
        <f aca="false">Sens!$E$8697+(glt_srch-Sens!$E$8697)*MIN(1,(Sens!K8639-base_fy)/n_conv)</f>
        <v>0.07</v>
      </c>
    </row>
    <row r="8698" customFormat="false" ht="17.15" hidden="false" customHeight="false" outlineLevel="0" collapsed="false">
      <c r="A8698" s="0" t="s">
        <v>1038</v>
      </c>
      <c r="B8698" s="0" t="s">
        <v>98</v>
      </c>
      <c r="D8698" s="6" t="n">
        <f aca="false">Q!L14</f>
        <v>23.455</v>
      </c>
      <c r="E8698" s="6" t="n">
        <f aca="false">Q!M14</f>
        <v>21.79</v>
      </c>
      <c r="F8698" s="6" t="n">
        <f aca="false">Q!$I$14+(Q!M14-Q!$E$14)*(1+Sens!F8699)</f>
        <v>20.7520981041711</v>
      </c>
      <c r="G8698" s="6" t="n">
        <f aca="false">Sens!F8698*(1+Sens!G8699)</f>
        <v>19.9083593495882</v>
      </c>
      <c r="H8698" s="6" t="n">
        <f aca="false">Sens!G8698*(1+Sens!H8699)</f>
        <v>19.4008256265831</v>
      </c>
      <c r="I8698" s="6" t="n">
        <f aca="false">Sens!H8698*(1+Sens!I8699)</f>
        <v>19.200434522122</v>
      </c>
      <c r="J8698" s="6" t="n">
        <f aca="false">Sens!I8698*(1+Sens!J8699)</f>
        <v>19.2932782348507</v>
      </c>
      <c r="K8698" s="6" t="n">
        <f aca="false">Sens!J8698*(1+Sens!K8699)</f>
        <v>19.6791437995477</v>
      </c>
      <c r="L8698" s="12" t="s">
        <v>1034</v>
      </c>
    </row>
    <row r="8699" customFormat="false" ht="15" hidden="false" customHeight="false" outlineLevel="0" collapsed="false">
      <c r="A8699" s="1" t="s">
        <v>1024</v>
      </c>
      <c r="B8699" s="0" t="s">
        <v>168</v>
      </c>
      <c r="E8699" s="7" t="n">
        <f aca="false">Sens!E8698/Sens!D8698-1</f>
        <v>-0.0709869963760392</v>
      </c>
      <c r="F8699" s="7" t="n">
        <f aca="false">Sens!$E$8699+(glt_xbox-Sens!$E$8699)*MIN(1,(Sens!F8639-base_fy)/n_conv)</f>
        <v>-0.0558224969800327</v>
      </c>
      <c r="G8699" s="7" t="n">
        <f aca="false">Sens!$E$8699+(glt_xbox-Sens!$E$8699)*MIN(1,(Sens!G8639-base_fy)/n_conv)</f>
        <v>-0.0406579975840262</v>
      </c>
      <c r="H8699" s="7" t="n">
        <f aca="false">Sens!$E$8699+(glt_xbox-Sens!$E$8699)*MIN(1,(Sens!H8639-base_fy)/n_conv)</f>
        <v>-0.0254934981880196</v>
      </c>
      <c r="I8699" s="7" t="n">
        <f aca="false">Sens!$E$8699+(glt_xbox-Sens!$E$8699)*MIN(1,(Sens!I8639-base_fy)/n_conv)</f>
        <v>-0.0103289987920131</v>
      </c>
      <c r="J8699" s="7" t="n">
        <f aca="false">Sens!$E$8699+(glt_xbox-Sens!$E$8699)*MIN(1,(Sens!J8639-base_fy)/n_conv)</f>
        <v>0.00483550060399347</v>
      </c>
      <c r="K8699" s="7" t="n">
        <f aca="false">Sens!$E$8699+(glt_xbox-Sens!$E$8699)*MIN(1,(Sens!K8639-base_fy)/n_conv)</f>
        <v>0.02</v>
      </c>
    </row>
    <row r="8700" customFormat="false" ht="17.15" hidden="false" customHeight="false" outlineLevel="0" collapsed="false">
      <c r="A8700" s="0" t="s">
        <v>1039</v>
      </c>
      <c r="B8700" s="0" t="s">
        <v>98</v>
      </c>
      <c r="D8700" s="6" t="n">
        <f aca="false">Q!L15</f>
        <v>17.315</v>
      </c>
      <c r="E8700" s="6" t="n">
        <f aca="false">Q!M15</f>
        <v>17.087</v>
      </c>
      <c r="F8700" s="6" t="n">
        <f aca="false">Q!$I$15+(Q!M15-Q!$E$15)*(1+Sens!F8701)</f>
        <v>15.9912273250553</v>
      </c>
      <c r="G8700" s="6" t="n">
        <f aca="false">Sens!F8700*(1+Sens!G8701)</f>
        <v>15.9574562664827</v>
      </c>
      <c r="H8700" s="6" t="n">
        <f aca="false">Sens!G8700*(1+Sens!H8701)</f>
        <v>16.0119687434196</v>
      </c>
      <c r="I8700" s="6" t="n">
        <f aca="false">Sens!H8700*(1+Sens!I8701)</f>
        <v>16.1551810001948</v>
      </c>
      <c r="J8700" s="6" t="n">
        <f aca="false">Sens!I8700*(1+Sens!J8701)</f>
        <v>16.3889793892005</v>
      </c>
      <c r="K8700" s="6" t="n">
        <f aca="false">Sens!J8700*(1+Sens!K8701)</f>
        <v>16.7167589769845</v>
      </c>
      <c r="L8700" s="12" t="s">
        <v>1034</v>
      </c>
    </row>
    <row r="8701" customFormat="false" ht="15" hidden="false" customHeight="false" outlineLevel="0" collapsed="false">
      <c r="A8701" s="1" t="s">
        <v>1024</v>
      </c>
      <c r="B8701" s="0" t="s">
        <v>168</v>
      </c>
      <c r="E8701" s="7" t="n">
        <f aca="false">Sens!E8700/Sens!D8700-1</f>
        <v>-0.0131677736066995</v>
      </c>
      <c r="F8701" s="7" t="n">
        <f aca="false">Sens!$E$8701+(glt_win-Sens!$E$8701)*MIN(1,(Sens!F8639-base_fy)/n_conv)</f>
        <v>-0.00763981133891627</v>
      </c>
      <c r="G8701" s="7" t="n">
        <f aca="false">Sens!$E$8701+(glt_win-Sens!$E$8701)*MIN(1,(Sens!G8639-base_fy)/n_conv)</f>
        <v>-0.00211184907113301</v>
      </c>
      <c r="H8701" s="7" t="n">
        <f aca="false">Sens!$E$8701+(glt_win-Sens!$E$8701)*MIN(1,(Sens!H8639-base_fy)/n_conv)</f>
        <v>0.00341611319665024</v>
      </c>
      <c r="I8701" s="7" t="n">
        <f aca="false">Sens!$E$8701+(glt_win-Sens!$E$8701)*MIN(1,(Sens!I8639-base_fy)/n_conv)</f>
        <v>0.00894407546443349</v>
      </c>
      <c r="J8701" s="7" t="n">
        <f aca="false">Sens!$E$8701+(glt_win-Sens!$E$8701)*MIN(1,(Sens!J8639-base_fy)/n_conv)</f>
        <v>0.0144720377322168</v>
      </c>
      <c r="K8701" s="7" t="n">
        <f aca="false">Sens!$E$8701+(glt_win-Sens!$E$8701)*MIN(1,(Sens!K8639-base_fy)/n_conv)</f>
        <v>0.02</v>
      </c>
    </row>
    <row r="8702" customFormat="false" ht="15" hidden="false" customHeight="false" outlineLevel="0" collapsed="false">
      <c r="A8702" s="0" t="s">
        <v>866</v>
      </c>
      <c r="B8702" s="0" t="s">
        <v>98</v>
      </c>
      <c r="D8702" s="6" t="n">
        <f aca="false">Sens!D8696+Sens!D8698+Sens!D8700</f>
        <v>62.941</v>
      </c>
      <c r="E8702" s="6" t="n">
        <f aca="false">Sens!E8696+Sens!E8698+Sens!E8700</f>
        <v>63.712</v>
      </c>
      <c r="F8702" s="6" t="n">
        <f aca="false">Sens!F8696+Sens!F8698+Sens!F8700</f>
        <v>64.3025149952511</v>
      </c>
      <c r="G8702" s="6" t="n">
        <f aca="false">Sens!G8696+Sens!G8698+Sens!G8700</f>
        <v>66.2756719305292</v>
      </c>
      <c r="H8702" s="6" t="n">
        <f aca="false">Sens!H8696+Sens!H8698+Sens!H8700</f>
        <v>68.7139736271804</v>
      </c>
      <c r="I8702" s="6" t="n">
        <f aca="false">Sens!I8696+Sens!I8698+Sens!I8700</f>
        <v>71.5446393194289</v>
      </c>
      <c r="J8702" s="6" t="n">
        <f aca="false">Sens!J8696+Sens!J8698+Sens!J8700</f>
        <v>74.707035000971</v>
      </c>
      <c r="K8702" s="6" t="n">
        <f aca="false">Sens!K8696+Sens!K8698+Sens!K8700</f>
        <v>78.1524145698365</v>
      </c>
    </row>
    <row r="8703" customFormat="false" ht="15" hidden="false" customHeight="false" outlineLevel="0" collapsed="false">
      <c r="A8703" s="1" t="s">
        <v>1040</v>
      </c>
      <c r="B8703" s="0" t="s">
        <v>98</v>
      </c>
      <c r="D8703" s="6" t="n">
        <f aca="false">Sens!D8695+Sens!D8702</f>
        <v>281.724</v>
      </c>
      <c r="E8703" s="6" t="n">
        <f aca="false">Sens!E8695+Sens!E8702</f>
        <v>331.839</v>
      </c>
      <c r="F8703" s="6" t="n">
        <f aca="false">Sens!F8695+Sens!F8702</f>
        <v>400.883650222341</v>
      </c>
      <c r="G8703" s="6" t="n">
        <f aca="false">Sens!G8695+Sens!G8702</f>
        <v>479.44669264324</v>
      </c>
      <c r="H8703" s="6" t="n">
        <f aca="false">Sens!H8695+Sens!H8702</f>
        <v>559.830532100684</v>
      </c>
      <c r="I8703" s="6" t="n">
        <f aca="false">Sens!I8695+Sens!I8702</f>
        <v>633.447319835934</v>
      </c>
      <c r="J8703" s="6" t="n">
        <f aca="false">Sens!J8695+Sens!J8702</f>
        <v>693.587267798893</v>
      </c>
      <c r="K8703" s="6" t="n">
        <f aca="false">Sens!K8695+Sens!K8702</f>
        <v>742.010713342908</v>
      </c>
    </row>
    <row r="8704" customFormat="false" ht="15" hidden="false" customHeight="false" outlineLevel="0" collapsed="false">
      <c r="A8704" s="26" t="s">
        <v>1041</v>
      </c>
      <c r="B8704" s="31" t="s">
        <v>98</v>
      </c>
      <c r="C8704" s="31"/>
      <c r="D8704" s="27" t="n">
        <f aca="false">(Sens!D8683+Sens!D8688+Sens!D8689+Sens!D8691+Sens!D8693-Sens!D8695)+(Sens!D8696+Sens!D8698+Sens!D8700-Sens!D8702)+(Sens!D8695-Q!L5)+(Sens!D8702-Q!L12)+(Sens!D8683-Q!L6)+(Sens!D8688-Q!L7)</f>
        <v>0</v>
      </c>
      <c r="E8704" s="27" t="n">
        <f aca="false">(Sens!E8683+Sens!E8688+Sens!E8689+Sens!E8691+Sens!E8693-Sens!E8695)+(Sens!E8696+Sens!E8698+Sens!E8700-Sens!E8702)+(Sens!E8695-Q!M5)+(Sens!E8702-Q!M12)+(Sens!E8683-Q!M6)+(Sens!E8688-Q!M7)</f>
        <v>0</v>
      </c>
      <c r="F8704" s="27" t="n">
        <f aca="false">(Sens!F8683+Sens!F8688+Sens!F8689+Sens!F8691+Sens!F8693-Sens!F8695)+(Sens!F8696+Sens!F8698+Sens!F8700-Sens!F8702)</f>
        <v>0</v>
      </c>
      <c r="G8704" s="27" t="n">
        <f aca="false">(Sens!G8683+Sens!G8688+Sens!G8689+Sens!G8691+Sens!G8693-Sens!G8695)+(Sens!G8696+Sens!G8698+Sens!G8700-Sens!G8702)</f>
        <v>0</v>
      </c>
      <c r="H8704" s="27" t="n">
        <f aca="false">(Sens!H8683+Sens!H8688+Sens!H8689+Sens!H8691+Sens!H8693-Sens!H8695)+(Sens!H8696+Sens!H8698+Sens!H8700-Sens!H8702)</f>
        <v>0</v>
      </c>
      <c r="I8704" s="27" t="n">
        <f aca="false">(Sens!I8683+Sens!I8688+Sens!I8689+Sens!I8691+Sens!I8693-Sens!I8695)+(Sens!I8696+Sens!I8698+Sens!I8700-Sens!I8702)</f>
        <v>0</v>
      </c>
      <c r="J8704" s="27" t="n">
        <f aca="false">(Sens!J8683+Sens!J8688+Sens!J8689+Sens!J8691+Sens!J8693-Sens!J8695)+(Sens!J8696+Sens!J8698+Sens!J8700-Sens!J8702)</f>
        <v>0</v>
      </c>
      <c r="K8704" s="27" t="n">
        <f aca="false">(Sens!K8683+Sens!K8688+Sens!K8689+Sens!K8691+Sens!K8693-Sens!K8695)+(Sens!K8696+Sens!K8698+Sens!K8700-Sens!K8702)</f>
        <v>0</v>
      </c>
    </row>
    <row r="8705" customFormat="false" ht="17.15" hidden="false" customHeight="false" outlineLevel="0" collapsed="false">
      <c r="A8705" s="3" t="s">
        <v>1697</v>
      </c>
    </row>
    <row r="8706" customFormat="false" ht="15" hidden="false" customHeight="false" outlineLevel="0" collapsed="false">
      <c r="A8706" s="4" t="s">
        <v>43</v>
      </c>
      <c r="B8706" s="4" t="s">
        <v>65</v>
      </c>
      <c r="C8706" s="23" t="s">
        <v>938</v>
      </c>
      <c r="D8706" s="23" t="s">
        <v>939</v>
      </c>
      <c r="E8706" s="23" t="s">
        <v>940</v>
      </c>
      <c r="F8706" s="23" t="s">
        <v>941</v>
      </c>
      <c r="G8706" s="23" t="s">
        <v>942</v>
      </c>
      <c r="H8706" s="23" t="s">
        <v>943</v>
      </c>
      <c r="I8706" s="23" t="s">
        <v>944</v>
      </c>
      <c r="J8706" s="23" t="s">
        <v>945</v>
      </c>
      <c r="K8706" s="23" t="s">
        <v>946</v>
      </c>
      <c r="L8706" s="4" t="s">
        <v>47</v>
      </c>
    </row>
    <row r="8707" customFormat="false" ht="15" hidden="false" customHeight="false" outlineLevel="0" collapsed="false">
      <c r="A8707" s="0" t="s">
        <v>1025</v>
      </c>
      <c r="B8707" s="0" t="s">
        <v>98</v>
      </c>
      <c r="D8707" s="6" t="n">
        <f aca="false">Sens!D8683</f>
        <v>72.61</v>
      </c>
      <c r="E8707" s="6" t="n">
        <f aca="false">Sens!E8683</f>
        <v>101.938</v>
      </c>
      <c r="F8707" s="6" t="n">
        <f aca="false">Sens!F8683</f>
        <v>146.709048000181</v>
      </c>
      <c r="G8707" s="6" t="n">
        <f aca="false">Sens!G8683</f>
        <v>199.762829861393</v>
      </c>
      <c r="H8707" s="6" t="n">
        <f aca="false">Sens!H8683</f>
        <v>254.146566109645</v>
      </c>
      <c r="I8707" s="6" t="n">
        <f aca="false">Sens!I8683</f>
        <v>303.439446964617</v>
      </c>
      <c r="J8707" s="6" t="n">
        <f aca="false">Sens!J8683</f>
        <v>341.309898459739</v>
      </c>
      <c r="K8707" s="6" t="n">
        <f aca="false">Sens!K8683</f>
        <v>368.09747789654</v>
      </c>
    </row>
    <row r="8708" customFormat="false" ht="17.15" hidden="false" customHeight="false" outlineLevel="0" collapsed="false">
      <c r="A8708" s="0" t="s">
        <v>1021</v>
      </c>
      <c r="B8708" s="0" t="s">
        <v>98</v>
      </c>
      <c r="D8708" s="6" t="n">
        <f aca="false">Sens!D8680</f>
        <v>12.9359794422418</v>
      </c>
      <c r="E8708" s="6" t="n">
        <f aca="false">Sens!E8680</f>
        <v>27.8095064661409</v>
      </c>
      <c r="F8708" s="6" t="n">
        <f aca="false">Sens!F8680</f>
        <v>55.4118315060966</v>
      </c>
      <c r="G8708" s="6" t="n">
        <f aca="false">Sens!G8680</f>
        <v>91.2881100675143</v>
      </c>
      <c r="H8708" s="6" t="n">
        <f aca="false">Sens!H8680</f>
        <v>128.195273603944</v>
      </c>
      <c r="I8708" s="6" t="n">
        <f aca="false">Sens!I8680</f>
        <v>160.601281810405</v>
      </c>
      <c r="J8708" s="6" t="n">
        <f aca="false">Sens!J8680</f>
        <v>183.182719793589</v>
      </c>
      <c r="K8708" s="6" t="n">
        <f aca="false">Sens!K8680</f>
        <v>197.320124937098</v>
      </c>
    </row>
    <row r="8709" customFormat="false" ht="17.15" hidden="false" customHeight="false" outlineLevel="0" collapsed="false">
      <c r="A8709" s="0" t="s">
        <v>1052</v>
      </c>
      <c r="B8709" s="0" t="s">
        <v>98</v>
      </c>
      <c r="D8709" s="6" t="n">
        <f aca="false">Sens!D8681</f>
        <v>59.6740205577583</v>
      </c>
      <c r="E8709" s="6" t="n">
        <f aca="false">Sens!E8681</f>
        <v>74.1284935338591</v>
      </c>
      <c r="F8709" s="6" t="n">
        <f aca="false">Sens!F8681</f>
        <v>91.2972164940844</v>
      </c>
      <c r="G8709" s="6" t="n">
        <f aca="false">Sens!G8681</f>
        <v>108.474719793879</v>
      </c>
      <c r="H8709" s="6" t="n">
        <f aca="false">Sens!H8681</f>
        <v>125.951292505701</v>
      </c>
      <c r="I8709" s="6" t="n">
        <f aca="false">Sens!I8681</f>
        <v>142.838165154212</v>
      </c>
      <c r="J8709" s="6" t="n">
        <f aca="false">Sens!J8681</f>
        <v>158.12717866615</v>
      </c>
      <c r="K8709" s="6" t="n">
        <f aca="false">Sens!K8681</f>
        <v>170.777352959442</v>
      </c>
    </row>
    <row r="8710" customFormat="false" ht="15" hidden="false" customHeight="false" outlineLevel="0" collapsed="false">
      <c r="A8710" s="0" t="s">
        <v>1032</v>
      </c>
      <c r="B8710" s="0" t="s">
        <v>98</v>
      </c>
      <c r="D8710" s="6" t="n">
        <f aca="false">Sens!D8688</f>
        <v>84.605</v>
      </c>
      <c r="E8710" s="6" t="n">
        <f aca="false">Sens!E8688</f>
        <v>100.299</v>
      </c>
      <c r="F8710" s="6" t="n">
        <f aca="false">Sens!F8688</f>
        <v>120.417042910501</v>
      </c>
      <c r="G8710" s="6" t="n">
        <f aca="false">Sens!G8688</f>
        <v>139.669312308709</v>
      </c>
      <c r="H8710" s="6" t="n">
        <f aca="false">Sens!H8688</f>
        <v>159.00232529423</v>
      </c>
      <c r="I8710" s="6" t="n">
        <f aca="false">Sens!I8688</f>
        <v>176.360261568698</v>
      </c>
      <c r="J8710" s="6" t="n">
        <f aca="false">Sens!J8688</f>
        <v>191.46395439937</v>
      </c>
      <c r="K8710" s="6" t="n">
        <f aca="false">Sens!K8688</f>
        <v>205.820431207326</v>
      </c>
    </row>
    <row r="8711" customFormat="false" ht="17.15" hidden="false" customHeight="false" outlineLevel="0" collapsed="false">
      <c r="A8711" s="0" t="s">
        <v>1053</v>
      </c>
      <c r="B8711" s="0" t="s">
        <v>98</v>
      </c>
      <c r="D8711" s="6" t="n">
        <f aca="false">Sens!D8686</f>
        <v>83.705</v>
      </c>
      <c r="E8711" s="6" t="n">
        <f aca="false">Sens!E8686</f>
        <v>95.049</v>
      </c>
      <c r="F8711" s="6" t="n">
        <f aca="false">Sens!F8686</f>
        <v>106.017042910501</v>
      </c>
      <c r="G8711" s="6" t="n">
        <f aca="false">Sens!G8686</f>
        <v>118.069312308709</v>
      </c>
      <c r="H8711" s="6" t="n">
        <f aca="false">Sens!H8686</f>
        <v>130.20232529423</v>
      </c>
      <c r="I8711" s="6" t="n">
        <f aca="false">Sens!I8686</f>
        <v>142.160261568698</v>
      </c>
      <c r="J8711" s="6" t="n">
        <f aca="false">Sens!J8686</f>
        <v>153.66395439937</v>
      </c>
      <c r="K8711" s="6" t="n">
        <f aca="false">Sens!K8686</f>
        <v>164.420431207326</v>
      </c>
    </row>
    <row r="8712" customFormat="false" ht="17.15" hidden="false" customHeight="false" outlineLevel="0" collapsed="false">
      <c r="A8712" s="0" t="s">
        <v>1054</v>
      </c>
      <c r="B8712" s="0" t="s">
        <v>98</v>
      </c>
      <c r="D8712" s="6" t="n">
        <f aca="false">Sens!D8685</f>
        <v>0.9</v>
      </c>
      <c r="E8712" s="6" t="n">
        <f aca="false">Sens!E8685</f>
        <v>5.25</v>
      </c>
      <c r="F8712" s="6" t="n">
        <f aca="false">Sens!F8685</f>
        <v>14.4</v>
      </c>
      <c r="G8712" s="6" t="n">
        <f aca="false">Sens!G8685</f>
        <v>21.6</v>
      </c>
      <c r="H8712" s="6" t="n">
        <f aca="false">Sens!H8685</f>
        <v>28.8</v>
      </c>
      <c r="I8712" s="6" t="n">
        <f aca="false">Sens!I8685</f>
        <v>34.2</v>
      </c>
      <c r="J8712" s="6" t="n">
        <f aca="false">Sens!J8685</f>
        <v>37.8</v>
      </c>
      <c r="K8712" s="6" t="n">
        <f aca="false">Sens!K8685</f>
        <v>41.4</v>
      </c>
    </row>
    <row r="8713" customFormat="false" ht="15" hidden="false" customHeight="false" outlineLevel="0" collapsed="false">
      <c r="A8713" s="0" t="s">
        <v>1033</v>
      </c>
      <c r="B8713" s="0" t="s">
        <v>98</v>
      </c>
      <c r="D8713" s="6" t="n">
        <f aca="false">Sens!D8689</f>
        <v>35.391</v>
      </c>
      <c r="E8713" s="6" t="n">
        <f aca="false">Sens!E8689</f>
        <v>37.285</v>
      </c>
      <c r="F8713" s="6" t="n">
        <f aca="false">Sens!F8689</f>
        <v>38.3851437782675</v>
      </c>
      <c r="G8713" s="6" t="n">
        <f aca="false">Sens!G8689</f>
        <v>40.0105353288615</v>
      </c>
      <c r="H8713" s="6" t="n">
        <f aca="false">Sens!H8689</f>
        <v>41.4812512033683</v>
      </c>
      <c r="I8713" s="6" t="n">
        <f aca="false">Sens!I8689</f>
        <v>42.7743107216329</v>
      </c>
      <c r="J8713" s="6" t="n">
        <f aca="false">Sens!J8689</f>
        <v>43.8687373064601</v>
      </c>
      <c r="K8713" s="6" t="n">
        <f aca="false">Sens!K8689</f>
        <v>44.7461120525893</v>
      </c>
    </row>
    <row r="8714" customFormat="false" ht="15" hidden="false" customHeight="false" outlineLevel="0" collapsed="false">
      <c r="A8714" s="0" t="s">
        <v>1035</v>
      </c>
      <c r="B8714" s="0" t="s">
        <v>98</v>
      </c>
      <c r="D8714" s="6" t="n">
        <f aca="false">Sens!D8691</f>
        <v>18.417</v>
      </c>
      <c r="E8714" s="6" t="n">
        <f aca="false">Sens!E8691</f>
        <v>20.345</v>
      </c>
      <c r="F8714" s="6" t="n">
        <f aca="false">Sens!F8691</f>
        <v>22.3161797133988</v>
      </c>
      <c r="G8714" s="6" t="n">
        <f aca="false">Sens!G8691</f>
        <v>24.3943499673233</v>
      </c>
      <c r="H8714" s="6" t="n">
        <f aca="false">Sens!H8691</f>
        <v>26.5250243109019</v>
      </c>
      <c r="I8714" s="6" t="n">
        <f aca="false">Sens!I8691</f>
        <v>28.6884573538181</v>
      </c>
      <c r="J8714" s="6" t="n">
        <f aca="false">Sens!J8691</f>
        <v>30.8624968052127</v>
      </c>
      <c r="K8714" s="6" t="n">
        <f aca="false">Sens!K8691</f>
        <v>33.0228715815776</v>
      </c>
    </row>
    <row r="8715" customFormat="false" ht="15" hidden="false" customHeight="false" outlineLevel="0" collapsed="false">
      <c r="A8715" s="0" t="s">
        <v>1036</v>
      </c>
      <c r="B8715" s="0" t="s">
        <v>98</v>
      </c>
      <c r="D8715" s="6" t="n">
        <f aca="false">Sens!D8693</f>
        <v>7.76</v>
      </c>
      <c r="E8715" s="6" t="n">
        <f aca="false">Sens!E8693</f>
        <v>8.26</v>
      </c>
      <c r="F8715" s="6" t="n">
        <f aca="false">Sens!F8693</f>
        <v>8.75372082474227</v>
      </c>
      <c r="G8715" s="6" t="n">
        <f aca="false">Sens!G8693</f>
        <v>9.33399324642364</v>
      </c>
      <c r="H8715" s="6" t="n">
        <f aca="false">Sens!H8693</f>
        <v>9.96139155535851</v>
      </c>
      <c r="I8715" s="6" t="n">
        <f aca="false">Sens!I8693</f>
        <v>10.6402039077391</v>
      </c>
      <c r="J8715" s="6" t="n">
        <f aca="false">Sens!J8693</f>
        <v>11.3751458271397</v>
      </c>
      <c r="K8715" s="6" t="n">
        <f aca="false">Sens!K8693</f>
        <v>12.1714060350394</v>
      </c>
    </row>
    <row r="8716" customFormat="false" ht="15" hidden="false" customHeight="false" outlineLevel="0" collapsed="false">
      <c r="A8716" s="0" t="s">
        <v>852</v>
      </c>
      <c r="B8716" s="0" t="s">
        <v>98</v>
      </c>
      <c r="D8716" s="6" t="n">
        <f aca="false">Sens!D8695</f>
        <v>218.783</v>
      </c>
      <c r="E8716" s="6" t="n">
        <f aca="false">Sens!E8695</f>
        <v>268.127</v>
      </c>
      <c r="F8716" s="6" t="n">
        <f aca="false">Sens!F8695</f>
        <v>336.58113522709</v>
      </c>
      <c r="G8716" s="6" t="n">
        <f aca="false">Sens!G8695</f>
        <v>413.17102071271</v>
      </c>
      <c r="H8716" s="6" t="n">
        <f aca="false">Sens!H8695</f>
        <v>491.116558473503</v>
      </c>
      <c r="I8716" s="6" t="n">
        <f aca="false">Sens!I8695</f>
        <v>561.902680516505</v>
      </c>
      <c r="J8716" s="6" t="n">
        <f aca="false">Sens!J8695</f>
        <v>618.880232797922</v>
      </c>
      <c r="K8716" s="6" t="n">
        <f aca="false">Sens!K8695</f>
        <v>663.858298773072</v>
      </c>
    </row>
    <row r="8717" customFormat="false" ht="15" hidden="false" customHeight="false" outlineLevel="0" collapsed="false">
      <c r="A8717" s="0" t="s">
        <v>1037</v>
      </c>
      <c r="B8717" s="0" t="s">
        <v>98</v>
      </c>
      <c r="D8717" s="6" t="n">
        <f aca="false">Sens!D8696</f>
        <v>22.171</v>
      </c>
      <c r="E8717" s="6" t="n">
        <f aca="false">Sens!E8696</f>
        <v>24.835</v>
      </c>
      <c r="F8717" s="6" t="n">
        <f aca="false">Sens!F8696</f>
        <v>27.5591895660247</v>
      </c>
      <c r="G8717" s="6" t="n">
        <f aca="false">Sens!G8696</f>
        <v>30.4098563144583</v>
      </c>
      <c r="H8717" s="6" t="n">
        <f aca="false">Sens!H8696</f>
        <v>33.3011792571777</v>
      </c>
      <c r="I8717" s="6" t="n">
        <f aca="false">Sens!I8696</f>
        <v>36.189023797112</v>
      </c>
      <c r="J8717" s="6" t="n">
        <f aca="false">Sens!J8696</f>
        <v>39.0247773769199</v>
      </c>
      <c r="K8717" s="6" t="n">
        <f aca="false">Sens!K8696</f>
        <v>41.7565117933043</v>
      </c>
    </row>
    <row r="8718" customFormat="false" ht="15" hidden="false" customHeight="false" outlineLevel="0" collapsed="false">
      <c r="A8718" s="0" t="s">
        <v>1038</v>
      </c>
      <c r="B8718" s="0" t="s">
        <v>98</v>
      </c>
      <c r="D8718" s="6" t="n">
        <f aca="false">Sens!D8698</f>
        <v>23.455</v>
      </c>
      <c r="E8718" s="6" t="n">
        <f aca="false">Sens!E8698</f>
        <v>21.79</v>
      </c>
      <c r="F8718" s="6" t="n">
        <f aca="false">Sens!F8698</f>
        <v>20.7520981041711</v>
      </c>
      <c r="G8718" s="6" t="n">
        <f aca="false">Sens!G8698</f>
        <v>19.9083593495882</v>
      </c>
      <c r="H8718" s="6" t="n">
        <f aca="false">Sens!H8698</f>
        <v>19.4008256265831</v>
      </c>
      <c r="I8718" s="6" t="n">
        <f aca="false">Sens!I8698</f>
        <v>19.200434522122</v>
      </c>
      <c r="J8718" s="6" t="n">
        <f aca="false">Sens!J8698</f>
        <v>19.2932782348507</v>
      </c>
      <c r="K8718" s="6" t="n">
        <f aca="false">Sens!K8698</f>
        <v>19.6791437995477</v>
      </c>
    </row>
    <row r="8719" customFormat="false" ht="15" hidden="false" customHeight="false" outlineLevel="0" collapsed="false">
      <c r="A8719" s="0" t="s">
        <v>1039</v>
      </c>
      <c r="B8719" s="0" t="s">
        <v>98</v>
      </c>
      <c r="D8719" s="6" t="n">
        <f aca="false">Sens!D8700</f>
        <v>17.315</v>
      </c>
      <c r="E8719" s="6" t="n">
        <f aca="false">Sens!E8700</f>
        <v>17.087</v>
      </c>
      <c r="F8719" s="6" t="n">
        <f aca="false">Sens!F8700</f>
        <v>15.9912273250553</v>
      </c>
      <c r="G8719" s="6" t="n">
        <f aca="false">Sens!G8700</f>
        <v>15.9574562664827</v>
      </c>
      <c r="H8719" s="6" t="n">
        <f aca="false">Sens!H8700</f>
        <v>16.0119687434196</v>
      </c>
      <c r="I8719" s="6" t="n">
        <f aca="false">Sens!I8700</f>
        <v>16.1551810001948</v>
      </c>
      <c r="J8719" s="6" t="n">
        <f aca="false">Sens!J8700</f>
        <v>16.3889793892005</v>
      </c>
      <c r="K8719" s="6" t="n">
        <f aca="false">Sens!K8700</f>
        <v>16.7167589769845</v>
      </c>
    </row>
    <row r="8720" customFormat="false" ht="15" hidden="false" customHeight="false" outlineLevel="0" collapsed="false">
      <c r="A8720" s="0" t="s">
        <v>866</v>
      </c>
      <c r="B8720" s="0" t="s">
        <v>98</v>
      </c>
      <c r="D8720" s="6" t="n">
        <f aca="false">Sens!D8702</f>
        <v>62.941</v>
      </c>
      <c r="E8720" s="6" t="n">
        <f aca="false">Sens!E8702</f>
        <v>63.712</v>
      </c>
      <c r="F8720" s="6" t="n">
        <f aca="false">Sens!F8702</f>
        <v>64.3025149952511</v>
      </c>
      <c r="G8720" s="6" t="n">
        <f aca="false">Sens!G8702</f>
        <v>66.2756719305292</v>
      </c>
      <c r="H8720" s="6" t="n">
        <f aca="false">Sens!H8702</f>
        <v>68.7139736271804</v>
      </c>
      <c r="I8720" s="6" t="n">
        <f aca="false">Sens!I8702</f>
        <v>71.5446393194289</v>
      </c>
      <c r="J8720" s="6" t="n">
        <f aca="false">Sens!J8702</f>
        <v>74.707035000971</v>
      </c>
      <c r="K8720" s="6" t="n">
        <f aca="false">Sens!K8702</f>
        <v>78.1524145698365</v>
      </c>
    </row>
    <row r="8721" customFormat="false" ht="15" hidden="false" customHeight="false" outlineLevel="0" collapsed="false">
      <c r="A8721" s="1" t="s">
        <v>1055</v>
      </c>
      <c r="B8721" s="0" t="s">
        <v>98</v>
      </c>
      <c r="D8721" s="6" t="n">
        <f aca="false">Sens!D8703</f>
        <v>281.724</v>
      </c>
      <c r="E8721" s="6" t="n">
        <f aca="false">Sens!E8703</f>
        <v>331.839</v>
      </c>
      <c r="F8721" s="6" t="n">
        <f aca="false">Sens!F8703</f>
        <v>400.883650222341</v>
      </c>
      <c r="G8721" s="6" t="n">
        <f aca="false">Sens!G8703</f>
        <v>479.44669264324</v>
      </c>
      <c r="H8721" s="6" t="n">
        <f aca="false">Sens!H8703</f>
        <v>559.830532100684</v>
      </c>
      <c r="I8721" s="6" t="n">
        <f aca="false">Sens!I8703</f>
        <v>633.447319835934</v>
      </c>
      <c r="J8721" s="6" t="n">
        <f aca="false">Sens!J8703</f>
        <v>693.587267798893</v>
      </c>
      <c r="K8721" s="6" t="n">
        <f aca="false">Sens!K8703</f>
        <v>742.010713342908</v>
      </c>
    </row>
    <row r="8722" customFormat="false" ht="15" hidden="false" customHeight="false" outlineLevel="0" collapsed="false">
      <c r="A8722" s="1" t="s">
        <v>1056</v>
      </c>
      <c r="B8722" s="0" t="s">
        <v>168</v>
      </c>
      <c r="E8722" s="7" t="n">
        <f aca="false">Sens!E8721/Sens!D8721-1</f>
        <v>0.177886867998467</v>
      </c>
      <c r="F8722" s="7" t="n">
        <f aca="false">Sens!F8721/Sens!E8721-1</f>
        <v>0.208066713744742</v>
      </c>
      <c r="G8722" s="7" t="n">
        <f aca="false">Sens!G8721/Sens!F8721-1</f>
        <v>0.195974673392953</v>
      </c>
      <c r="H8722" s="7" t="n">
        <f aca="false">Sens!H8721/Sens!G8721-1</f>
        <v>0.16765959738773</v>
      </c>
      <c r="I8722" s="7" t="n">
        <f aca="false">Sens!I8721/Sens!H8721-1</f>
        <v>0.131498343720222</v>
      </c>
      <c r="J8722" s="7" t="n">
        <f aca="false">Sens!J8721/Sens!I8721-1</f>
        <v>0.0949407252658909</v>
      </c>
      <c r="K8722" s="7" t="n">
        <f aca="false">Sens!K8721/Sens!J8721-1</f>
        <v>0.0698159377949486</v>
      </c>
    </row>
    <row r="8723" customFormat="false" ht="17.15" hidden="false" customHeight="false" outlineLevel="0" collapsed="false">
      <c r="A8723" s="26" t="s">
        <v>1057</v>
      </c>
      <c r="B8723" s="31" t="s">
        <v>98</v>
      </c>
      <c r="C8723" s="31"/>
      <c r="D8723" s="27" t="n">
        <f aca="false">(Sens!D8716+Sens!D8720-Sens!D8721)+(Sens!D8708+Sens!D8709-Sens!D8707)+(Sens!D8711+Sens!D8712-Sens!D8710)+(Sens!D8721-Q!L18)</f>
        <v>0</v>
      </c>
      <c r="E8723" s="27" t="n">
        <f aca="false">(Sens!E8716+Sens!E8720-Sens!E8721)+(Sens!E8708+Sens!E8709-Sens!E8707)+(Sens!E8711+Sens!E8712-Sens!E8710)+(Sens!E8721-Q!M18)</f>
        <v>0</v>
      </c>
      <c r="F8723" s="27" t="n">
        <f aca="false">(Sens!F8716+Sens!F8720-Sens!F8721)+(Sens!F8708+Sens!F8709-Sens!F8707)+(Sens!F8711+Sens!F8712-Sens!F8710)</f>
        <v>0</v>
      </c>
      <c r="G8723" s="27" t="n">
        <f aca="false">(Sens!G8716+Sens!G8720-Sens!G8721)+(Sens!G8708+Sens!G8709-Sens!G8707)+(Sens!G8711+Sens!G8712-Sens!G8710)</f>
        <v>0</v>
      </c>
      <c r="H8723" s="27" t="n">
        <f aca="false">(Sens!H8716+Sens!H8720-Sens!H8721)+(Sens!H8708+Sens!H8709-Sens!H8707)+(Sens!H8711+Sens!H8712-Sens!H8710)</f>
        <v>0</v>
      </c>
      <c r="I8723" s="27" t="n">
        <f aca="false">(Sens!I8716+Sens!I8720-Sens!I8721)+(Sens!I8708+Sens!I8709-Sens!I8707)+(Sens!I8711+Sens!I8712-Sens!I8710)</f>
        <v>0</v>
      </c>
      <c r="J8723" s="27" t="n">
        <f aca="false">(Sens!J8716+Sens!J8720-Sens!J8721)+(Sens!J8708+Sens!J8709-Sens!J8707)+(Sens!J8711+Sens!J8712-Sens!J8710)</f>
        <v>0</v>
      </c>
      <c r="K8723" s="27" t="n">
        <f aca="false">(Sens!K8716+Sens!K8720-Sens!K8721)+(Sens!K8708+Sens!K8709-Sens!K8707)+(Sens!K8711+Sens!K8712-Sens!K8710)</f>
        <v>0</v>
      </c>
    </row>
    <row r="8724" customFormat="false" ht="17.15" hidden="false" customHeight="false" outlineLevel="0" collapsed="false">
      <c r="A8724" s="0" t="s">
        <v>1058</v>
      </c>
      <c r="B8724" s="0" t="s">
        <v>168</v>
      </c>
      <c r="E8724" s="7" t="n">
        <f aca="false">(Q!M21+Sens!E8660+Sens!E8661+Sens!E8662+Sens!E8676-Sens!E8658)/(Q!M5-Sens!E8658)</f>
        <v>0.570957350878296</v>
      </c>
      <c r="F8724" s="7" t="n">
        <f aca="false">Sens!$E$8724+dm_seg</f>
        <v>0.570957350878296</v>
      </c>
      <c r="G8724" s="7" t="n">
        <f aca="false">Sens!$E$8724+dm_seg</f>
        <v>0.570957350878296</v>
      </c>
      <c r="H8724" s="7" t="n">
        <f aca="false">Sens!$E$8724+dm_seg</f>
        <v>0.570957350878296</v>
      </c>
      <c r="I8724" s="7" t="n">
        <f aca="false">Sens!$E$8724+dm_seg</f>
        <v>0.570957350878296</v>
      </c>
      <c r="J8724" s="7" t="n">
        <f aca="false">Sens!$E$8724+dm_seg</f>
        <v>0.570957350878296</v>
      </c>
      <c r="K8724" s="7" t="n">
        <f aca="false">Sens!$E$8724+dm_seg</f>
        <v>0.570957350878296</v>
      </c>
      <c r="L8724" s="12" t="s">
        <v>1059</v>
      </c>
    </row>
    <row r="8725" customFormat="false" ht="17.15" hidden="false" customHeight="false" outlineLevel="0" collapsed="false">
      <c r="A8725" s="0" t="s">
        <v>880</v>
      </c>
      <c r="B8725" s="0" t="s">
        <v>98</v>
      </c>
      <c r="D8725" s="6" t="n">
        <f aca="false">Q!L21</f>
        <v>110.814</v>
      </c>
      <c r="E8725" s="6" t="n">
        <f aca="false">Q!M21</f>
        <v>136.365</v>
      </c>
      <c r="F8725" s="6" t="n">
        <f aca="false">Q!$I$21+(Sens!F8724*(Sens!F8695-Sens!F8658)+Sens!F8658-(Sens!F8660+Sens!F8661+Sens!F8662)-Sens!F8676-Sens!F8759)*(Sens!F8695-Q!$I$5)/Sens!F8695</f>
        <v>163.094729067947</v>
      </c>
      <c r="G8725" s="6" t="n">
        <f aca="false">(Sens!G8724*(Sens!G8695-Sens!G8658)+Sens!G8658-(Sens!G8660+Sens!G8661+Sens!G8662)-Sens!G8676-Sens!G8759)</f>
        <v>179.263840819782</v>
      </c>
      <c r="H8725" s="6" t="n">
        <f aca="false">(Sens!H8724*(Sens!H8695-Sens!H8658)+Sens!H8658-(Sens!H8660+Sens!H8661+Sens!H8662)-Sens!H8676-Sens!H8759)</f>
        <v>199.10672556658</v>
      </c>
      <c r="I8725" s="6" t="n">
        <f aca="false">(Sens!I8724*(Sens!I8695-Sens!I8658)+Sens!I8658-(Sens!I8660+Sens!I8661+Sens!I8662)-Sens!I8676-Sens!I8759)</f>
        <v>217.79597202478</v>
      </c>
      <c r="J8725" s="6" t="n">
        <f aca="false">(Sens!J8724*(Sens!J8695-Sens!J8658)+Sens!J8658-(Sens!J8660+Sens!J8661+Sens!J8662)-Sens!J8676-Sens!J8759)</f>
        <v>235.084914501433</v>
      </c>
      <c r="K8725" s="6" t="n">
        <f aca="false">(Sens!K8724*(Sens!K8695-Sens!K8658)+Sens!K8658-(Sens!K8660+Sens!K8661+Sens!K8662)-Sens!K8676-Sens!K8759)</f>
        <v>251.777314931378</v>
      </c>
      <c r="L8725" s="1" t="s">
        <v>1060</v>
      </c>
    </row>
    <row r="8726" customFormat="false" ht="17.15" hidden="false" customHeight="false" outlineLevel="0" collapsed="false">
      <c r="A8726" s="0" t="s">
        <v>1061</v>
      </c>
      <c r="B8726" s="0" t="s">
        <v>168</v>
      </c>
      <c r="E8726" s="7" t="n">
        <f aca="false">Q!M22/Q!M12</f>
        <v>0.296207935710698</v>
      </c>
      <c r="F8726" s="7" t="n">
        <f aca="false">Sens!$E$8726+dm_seg</f>
        <v>0.296207935710698</v>
      </c>
      <c r="G8726" s="7" t="n">
        <f aca="false">Sens!$E$8726+dm_seg</f>
        <v>0.296207935710698</v>
      </c>
      <c r="H8726" s="7" t="n">
        <f aca="false">Sens!$E$8726+dm_seg</f>
        <v>0.296207935710698</v>
      </c>
      <c r="I8726" s="7" t="n">
        <f aca="false">Sens!$E$8726+dm_seg</f>
        <v>0.296207935710698</v>
      </c>
      <c r="J8726" s="7" t="n">
        <f aca="false">Sens!$E$8726+dm_seg</f>
        <v>0.296207935710698</v>
      </c>
      <c r="K8726" s="7" t="n">
        <f aca="false">Sens!$E$8726+dm_seg</f>
        <v>0.296207935710698</v>
      </c>
      <c r="L8726" s="12" t="s">
        <v>1062</v>
      </c>
    </row>
    <row r="8727" customFormat="false" ht="17.15" hidden="false" customHeight="false" outlineLevel="0" collapsed="false">
      <c r="A8727" s="0" t="s">
        <v>882</v>
      </c>
      <c r="B8727" s="0" t="s">
        <v>98</v>
      </c>
      <c r="D8727" s="6" t="n">
        <f aca="false">Q!L22</f>
        <v>17.714</v>
      </c>
      <c r="E8727" s="6" t="n">
        <f aca="false">Q!M22</f>
        <v>18.872</v>
      </c>
      <c r="F8727" s="6" t="n">
        <f aca="false">Q!$I$22+(Sens!F8702-Q!$I$12)*Sens!F8726</f>
        <v>19.8174315512051</v>
      </c>
      <c r="G8727" s="6" t="n">
        <f aca="false">Sens!G8702*Sens!G8726</f>
        <v>19.6313799703815</v>
      </c>
      <c r="H8727" s="6" t="n">
        <f aca="false">Sens!H8702*Sens!H8726</f>
        <v>20.3536242825865</v>
      </c>
      <c r="I8727" s="6" t="n">
        <f aca="false">Sens!I8702*Sens!I8726</f>
        <v>21.1920899239745</v>
      </c>
      <c r="J8727" s="6" t="n">
        <f aca="false">Sens!J8702*Sens!J8726</f>
        <v>22.1288166207045</v>
      </c>
      <c r="K8727" s="6" t="n">
        <f aca="false">Sens!K8702*Sens!K8726</f>
        <v>23.1493653905379</v>
      </c>
      <c r="L8727" s="12" t="s">
        <v>1063</v>
      </c>
    </row>
    <row r="8728" customFormat="false" ht="15" hidden="false" customHeight="false" outlineLevel="0" collapsed="false">
      <c r="A8728" s="1" t="s">
        <v>1064</v>
      </c>
      <c r="B8728" s="0" t="s">
        <v>98</v>
      </c>
      <c r="D8728" s="6" t="n">
        <f aca="false">Sens!D8725+Sens!D8727</f>
        <v>128.528</v>
      </c>
      <c r="E8728" s="6" t="n">
        <f aca="false">Sens!E8725+Sens!E8727</f>
        <v>155.237</v>
      </c>
      <c r="F8728" s="6" t="n">
        <f aca="false">Sens!F8725+Sens!F8727</f>
        <v>182.912160619152</v>
      </c>
      <c r="G8728" s="6" t="n">
        <f aca="false">Sens!G8725+Sens!G8727</f>
        <v>198.895220790164</v>
      </c>
      <c r="H8728" s="6" t="n">
        <f aca="false">Sens!H8725+Sens!H8727</f>
        <v>219.460349849166</v>
      </c>
      <c r="I8728" s="6" t="n">
        <f aca="false">Sens!I8725+Sens!I8727</f>
        <v>238.988061948755</v>
      </c>
      <c r="J8728" s="6" t="n">
        <f aca="false">Sens!J8725+Sens!J8727</f>
        <v>257.213731122137</v>
      </c>
      <c r="K8728" s="6" t="n">
        <f aca="false">Sens!K8725+Sens!K8727</f>
        <v>274.926680321916</v>
      </c>
    </row>
    <row r="8729" customFormat="false" ht="15" hidden="false" customHeight="false" outlineLevel="0" collapsed="false">
      <c r="A8729" s="26" t="s">
        <v>1065</v>
      </c>
      <c r="B8729" s="31" t="s">
        <v>98</v>
      </c>
      <c r="C8729" s="31"/>
      <c r="D8729" s="27" t="n">
        <f aca="false">Sens!D8728-Q!L23</f>
        <v>0</v>
      </c>
      <c r="E8729" s="27" t="n">
        <f aca="false">Sens!E8728-Q!M23</f>
        <v>0</v>
      </c>
      <c r="F8729" s="31"/>
      <c r="G8729" s="31"/>
      <c r="H8729" s="31"/>
      <c r="I8729" s="31"/>
      <c r="J8729" s="31"/>
      <c r="K8729" s="31"/>
    </row>
    <row r="8730" customFormat="false" ht="15" hidden="false" customHeight="false" outlineLevel="0" collapsed="false">
      <c r="A8730" s="1" t="s">
        <v>1066</v>
      </c>
      <c r="B8730" s="0" t="s">
        <v>168</v>
      </c>
      <c r="D8730" s="7" t="n">
        <f aca="false">Sens!D8728/Sens!D8721</f>
        <v>0.456219562408598</v>
      </c>
      <c r="E8730" s="7" t="n">
        <f aca="false">Sens!E8728/Sens!E8721</f>
        <v>0.467808184089272</v>
      </c>
      <c r="F8730" s="7" t="n">
        <f aca="false">Sens!F8728/Sens!F8721</f>
        <v>0.456272438443682</v>
      </c>
      <c r="G8730" s="7" t="n">
        <f aca="false">Sens!G8728/Sens!G8721</f>
        <v>0.414843242934129</v>
      </c>
      <c r="H8730" s="7" t="n">
        <f aca="false">Sens!H8728/Sens!H8721</f>
        <v>0.392012113068705</v>
      </c>
      <c r="I8730" s="7" t="n">
        <f aca="false">Sens!I8728/Sens!I8721</f>
        <v>0.37728166883815</v>
      </c>
      <c r="J8730" s="7" t="n">
        <f aca="false">Sens!J8728/Sens!J8721</f>
        <v>0.370845520187255</v>
      </c>
      <c r="K8730" s="7" t="n">
        <f aca="false">Sens!K8728/Sens!K8721</f>
        <v>0.370515782829221</v>
      </c>
    </row>
    <row r="8731" customFormat="false" ht="17.15" hidden="false" customHeight="false" outlineLevel="0" collapsed="false">
      <c r="A8731" s="1" t="s">
        <v>1067</v>
      </c>
      <c r="B8731" s="0" t="s">
        <v>98</v>
      </c>
      <c r="F8731" s="6" t="n">
        <f aca="false">Sens!F8746</f>
        <v>8.36954512952199</v>
      </c>
      <c r="G8731" s="6" t="n">
        <f aca="false">Sens!G8746</f>
        <v>23.2198921328178</v>
      </c>
      <c r="H8731" s="6" t="n">
        <f aca="false">Sens!H8746</f>
        <v>39.5434300855789</v>
      </c>
      <c r="I8731" s="6" t="n">
        <f aca="false">Sens!I8746</f>
        <v>54.4504867415748</v>
      </c>
      <c r="J8731" s="6" t="n">
        <f aca="false">Sens!J8746</f>
        <v>64.8858207802868</v>
      </c>
      <c r="K8731" s="6" t="n">
        <f aca="false">Sens!K8746</f>
        <v>70.4202317732647</v>
      </c>
      <c r="L8731" s="1" t="s">
        <v>1068</v>
      </c>
    </row>
    <row r="8732" customFormat="false" ht="17.15" hidden="false" customHeight="false" outlineLevel="0" collapsed="false">
      <c r="A8732" s="1" t="s">
        <v>1069</v>
      </c>
      <c r="B8732" s="0" t="s">
        <v>98</v>
      </c>
      <c r="D8732" s="6" t="n">
        <f aca="false">Sens!D8728</f>
        <v>128.528</v>
      </c>
      <c r="E8732" s="6" t="n">
        <f aca="false">Sens!E8728</f>
        <v>155.237</v>
      </c>
      <c r="F8732" s="6" t="n">
        <f aca="false">Sens!F8728+Sens!F8731</f>
        <v>191.281705748674</v>
      </c>
      <c r="G8732" s="6" t="n">
        <f aca="false">Sens!G8728+Sens!G8731</f>
        <v>222.115112922982</v>
      </c>
      <c r="H8732" s="6" t="n">
        <f aca="false">Sens!H8728+Sens!H8731</f>
        <v>259.003779934745</v>
      </c>
      <c r="I8732" s="6" t="n">
        <f aca="false">Sens!I8728+Sens!I8731</f>
        <v>293.43854869033</v>
      </c>
      <c r="J8732" s="6" t="n">
        <f aca="false">Sens!J8728+Sens!J8731</f>
        <v>322.099551902424</v>
      </c>
      <c r="K8732" s="6" t="n">
        <f aca="false">Sens!K8728+Sens!K8731</f>
        <v>345.346912095181</v>
      </c>
    </row>
    <row r="8733" customFormat="false" ht="17.15" hidden="false" customHeight="false" outlineLevel="0" collapsed="false">
      <c r="A8733" s="1" t="s">
        <v>1070</v>
      </c>
      <c r="B8733" s="0" t="s">
        <v>98</v>
      </c>
      <c r="E8733" s="6" t="n">
        <f aca="false">Sens!E8676</f>
        <v>16.3054059770833</v>
      </c>
      <c r="F8733" s="6" t="n">
        <f aca="false">Sens!F8676</f>
        <v>34.5793144783516</v>
      </c>
      <c r="G8733" s="6" t="n">
        <f aca="false">Sens!G8676</f>
        <v>60.7344906522989</v>
      </c>
      <c r="H8733" s="6" t="n">
        <f aca="false">Sens!H8676</f>
        <v>89.1000906614457</v>
      </c>
      <c r="I8733" s="6" t="n">
        <f aca="false">Sens!I8676</f>
        <v>114.231009694548</v>
      </c>
      <c r="J8733" s="6" t="n">
        <f aca="false">Sens!J8676</f>
        <v>132.015673049596</v>
      </c>
      <c r="K8733" s="6" t="n">
        <f aca="false">Sens!K8676</f>
        <v>143.012669550934</v>
      </c>
    </row>
    <row r="8734" customFormat="false" ht="17.15" hidden="false" customHeight="false" outlineLevel="0" collapsed="false">
      <c r="A8734" s="1" t="s">
        <v>1071</v>
      </c>
      <c r="B8734" s="0" t="s">
        <v>98</v>
      </c>
      <c r="E8734" s="6" t="n">
        <f aca="false">Sens!E8758</f>
        <v>22.2285940229167</v>
      </c>
      <c r="F8734" s="6" t="n">
        <f aca="false">Sens!F8758</f>
        <v>23.5986726626748</v>
      </c>
      <c r="G8734" s="6" t="n">
        <f aca="false">Sens!G8758</f>
        <v>25.4045319994623</v>
      </c>
      <c r="H8734" s="6" t="n">
        <f aca="false">Sens!H8758</f>
        <v>27.6111703014779</v>
      </c>
      <c r="I8734" s="6" t="n">
        <f aca="false">Sens!I8758</f>
        <v>30.1481901547962</v>
      </c>
      <c r="J8734" s="6" t="n">
        <f aca="false">Sens!J8758</f>
        <v>32.9287249362955</v>
      </c>
      <c r="K8734" s="6" t="n">
        <f aca="false">Sens!K8758</f>
        <v>35.8683072287924</v>
      </c>
    </row>
    <row r="8735" customFormat="false" ht="17.15" hidden="false" customHeight="false" outlineLevel="0" collapsed="false">
      <c r="A8735" s="1" t="s">
        <v>1072</v>
      </c>
      <c r="B8735" s="0" t="s">
        <v>98</v>
      </c>
      <c r="D8735" s="6" t="n">
        <f aca="false">Q!L27</f>
        <v>-4.901</v>
      </c>
      <c r="E8735" s="6" t="n">
        <f aca="false">Q!M27</f>
        <v>10.697</v>
      </c>
      <c r="F8735" s="6" t="n">
        <f aca="false">Q!$I$27+oie_f*(q_per_yr-1)/q_per_yr</f>
        <v>-0.862</v>
      </c>
      <c r="G8735" s="6" t="n">
        <f aca="false">oie_f</f>
        <v>-1.2</v>
      </c>
      <c r="H8735" s="6" t="n">
        <f aca="false">oie_f</f>
        <v>-1.2</v>
      </c>
      <c r="I8735" s="6" t="n">
        <f aca="false">oie_f</f>
        <v>-1.2</v>
      </c>
      <c r="J8735" s="6" t="n">
        <f aca="false">oie_f</f>
        <v>-1.2</v>
      </c>
      <c r="K8735" s="6" t="n">
        <f aca="false">oie_f</f>
        <v>-1.2</v>
      </c>
      <c r="L8735" s="12" t="s">
        <v>1073</v>
      </c>
    </row>
    <row r="8736" customFormat="false" ht="15" hidden="false" customHeight="false" outlineLevel="0" collapsed="false">
      <c r="A8736" s="1" t="s">
        <v>1074</v>
      </c>
      <c r="B8736" s="0" t="s">
        <v>98</v>
      </c>
      <c r="D8736" s="6" t="n">
        <f aca="false">Sens!D8728+Sens!D8735</f>
        <v>123.627</v>
      </c>
      <c r="E8736" s="6" t="n">
        <f aca="false">Sens!E8728+Sens!E8735</f>
        <v>165.934</v>
      </c>
      <c r="F8736" s="6" t="n">
        <f aca="false">Sens!F8728+Sens!F8735</f>
        <v>182.050160619152</v>
      </c>
      <c r="G8736" s="6" t="n">
        <f aca="false">Sens!G8728+Sens!G8735</f>
        <v>197.695220790164</v>
      </c>
      <c r="H8736" s="6" t="n">
        <f aca="false">Sens!H8728+Sens!H8735</f>
        <v>218.260349849166</v>
      </c>
      <c r="I8736" s="6" t="n">
        <f aca="false">Sens!I8728+Sens!I8735</f>
        <v>237.788061948755</v>
      </c>
      <c r="J8736" s="6" t="n">
        <f aca="false">Sens!J8728+Sens!J8735</f>
        <v>256.013731122137</v>
      </c>
      <c r="K8736" s="6" t="n">
        <f aca="false">Sens!K8728+Sens!K8735</f>
        <v>273.726680321916</v>
      </c>
    </row>
    <row r="8737" customFormat="false" ht="15" hidden="false" customHeight="false" outlineLevel="0" collapsed="false">
      <c r="A8737" s="1" t="s">
        <v>1075</v>
      </c>
      <c r="B8737" s="0" t="s">
        <v>98</v>
      </c>
      <c r="D8737" s="6" t="n">
        <f aca="false">Q!L29</f>
        <v>21.795</v>
      </c>
      <c r="E8737" s="6" t="n">
        <f aca="false">Q!M29</f>
        <v>32.185</v>
      </c>
      <c r="F8737" s="6" t="n">
        <f aca="false">Q!$I$29+(Sens!F8736-Q!$I$28)*tax_f</f>
        <v>36.5434321238304</v>
      </c>
      <c r="G8737" s="6" t="n">
        <f aca="false">Sens!G8736*tax_f</f>
        <v>39.5390441580328</v>
      </c>
      <c r="H8737" s="6" t="n">
        <f aca="false">Sens!H8736*tax_f</f>
        <v>43.6520699698333</v>
      </c>
      <c r="I8737" s="6" t="n">
        <f aca="false">Sens!I8736*tax_f</f>
        <v>47.557612389751</v>
      </c>
      <c r="J8737" s="6" t="n">
        <f aca="false">Sens!J8736*tax_f</f>
        <v>51.2027462244274</v>
      </c>
      <c r="K8737" s="6" t="n">
        <f aca="false">Sens!K8736*tax_f</f>
        <v>54.7453360643833</v>
      </c>
    </row>
    <row r="8738" customFormat="false" ht="15" hidden="false" customHeight="false" outlineLevel="0" collapsed="false">
      <c r="A8738" s="1" t="s">
        <v>1076</v>
      </c>
      <c r="B8738" s="0" t="s">
        <v>98</v>
      </c>
      <c r="D8738" s="6" t="n">
        <f aca="false">Sens!D8736-Sens!D8737</f>
        <v>101.832</v>
      </c>
      <c r="E8738" s="6" t="n">
        <f aca="false">Sens!E8736-Sens!E8737</f>
        <v>133.749</v>
      </c>
      <c r="F8738" s="6" t="n">
        <f aca="false">Sens!F8736-Sens!F8737</f>
        <v>145.506728495321</v>
      </c>
      <c r="G8738" s="6" t="n">
        <f aca="false">Sens!G8736-Sens!G8737</f>
        <v>158.156176632131</v>
      </c>
      <c r="H8738" s="6" t="n">
        <f aca="false">Sens!H8736-Sens!H8737</f>
        <v>174.608279879333</v>
      </c>
      <c r="I8738" s="6" t="n">
        <f aca="false">Sens!I8736-Sens!I8737</f>
        <v>190.230449559004</v>
      </c>
      <c r="J8738" s="6" t="n">
        <f aca="false">Sens!J8736-Sens!J8737</f>
        <v>204.81098489771</v>
      </c>
      <c r="K8738" s="6" t="n">
        <f aca="false">Sens!K8736-Sens!K8737</f>
        <v>218.981344257533</v>
      </c>
    </row>
    <row r="8739" customFormat="false" ht="17.15" hidden="false" customHeight="false" outlineLevel="0" collapsed="false">
      <c r="A8739" s="1" t="s">
        <v>1077</v>
      </c>
      <c r="B8739" s="1" t="s">
        <v>81</v>
      </c>
      <c r="D8739" s="15" t="n">
        <f aca="false">Q!L31</f>
        <v>7.465</v>
      </c>
      <c r="E8739" s="15" t="n">
        <f aca="false">Q!M31</f>
        <v>7.453</v>
      </c>
      <c r="F8739" s="15" t="n">
        <f aca="false">Sens!F8783</f>
        <v>7.47261362387381</v>
      </c>
      <c r="G8739" s="15" t="n">
        <f aca="false">Sens!G8783</f>
        <v>7.51672724774763</v>
      </c>
      <c r="H8739" s="15" t="n">
        <f aca="false">Sens!H8783</f>
        <v>7.54442718677643</v>
      </c>
      <c r="I8739" s="15" t="n">
        <f aca="false">Sens!I8783</f>
        <v>7.5561085508319</v>
      </c>
      <c r="J8739" s="15" t="n">
        <f aca="false">Sens!J8783</f>
        <v>7.57025796199437</v>
      </c>
      <c r="K8739" s="15" t="n">
        <f aca="false">Sens!K8783</f>
        <v>7.58669260195962</v>
      </c>
    </row>
    <row r="8740" customFormat="false" ht="17.15" hidden="false" customHeight="false" outlineLevel="0" collapsed="false">
      <c r="A8740" s="0" t="s">
        <v>1078</v>
      </c>
      <c r="B8740" s="0" t="s">
        <v>75</v>
      </c>
      <c r="D8740" s="8" t="n">
        <f aca="false">Sens!D8738/Sens!D8739</f>
        <v>13.641259209645</v>
      </c>
      <c r="E8740" s="8" t="n">
        <f aca="false">Sens!E8738/Sens!E8739</f>
        <v>17.9456594659869</v>
      </c>
      <c r="F8740" s="8" t="n">
        <f aca="false">Sens!F8738/Sens!F8739</f>
        <v>19.4719994662176</v>
      </c>
      <c r="G8740" s="8" t="n">
        <f aca="false">Sens!G8738/Sens!G8739</f>
        <v>21.0405634552621</v>
      </c>
      <c r="H8740" s="8" t="n">
        <f aca="false">Sens!H8738/Sens!H8739</f>
        <v>23.1440075643357</v>
      </c>
      <c r="I8740" s="8" t="n">
        <f aca="false">Sens!I8738/Sens!I8739</f>
        <v>25.1757168758594</v>
      </c>
      <c r="J8740" s="8" t="n">
        <f aca="false">Sens!J8738/Sens!J8739</f>
        <v>27.0546903323427</v>
      </c>
      <c r="K8740" s="8" t="n">
        <f aca="false">Sens!K8738/Sens!K8739</f>
        <v>28.863874648219</v>
      </c>
      <c r="L8740" s="1" t="s">
        <v>1079</v>
      </c>
    </row>
    <row r="8741" customFormat="false" ht="17.15" hidden="false" customHeight="false" outlineLevel="0" collapsed="false">
      <c r="A8741" s="1" t="s">
        <v>1080</v>
      </c>
      <c r="B8741" s="0" t="s">
        <v>98</v>
      </c>
      <c r="D8741" s="6" t="n">
        <f aca="false">Sens!D8738</f>
        <v>101.832</v>
      </c>
      <c r="E8741" s="6" t="n">
        <f aca="false">Sens!E8738</f>
        <v>133.749</v>
      </c>
      <c r="F8741" s="6" t="n">
        <f aca="false">Sens!F8738+Sens!F8731*(1-tax_f)</f>
        <v>152.202364598939</v>
      </c>
      <c r="G8741" s="6" t="n">
        <f aca="false">Sens!G8738+Sens!G8731*(1-tax_f)</f>
        <v>176.732090338385</v>
      </c>
      <c r="H8741" s="6" t="n">
        <f aca="false">Sens!H8738+Sens!H8731*(1-tax_f)</f>
        <v>206.243023947796</v>
      </c>
      <c r="I8741" s="6" t="n">
        <f aca="false">Sens!I8738+Sens!I8731*(1-tax_f)</f>
        <v>233.790838952264</v>
      </c>
      <c r="J8741" s="6" t="n">
        <f aca="false">Sens!J8738+Sens!J8731*(1-tax_f)</f>
        <v>256.719641521939</v>
      </c>
      <c r="K8741" s="6" t="n">
        <f aca="false">Sens!K8738+Sens!K8731*(1-tax_f)</f>
        <v>275.317529676145</v>
      </c>
    </row>
    <row r="8742" customFormat="false" ht="17.15" hidden="false" customHeight="false" outlineLevel="0" collapsed="false">
      <c r="A8742" s="0" t="s">
        <v>1081</v>
      </c>
      <c r="B8742" s="0" t="s">
        <v>75</v>
      </c>
      <c r="D8742" s="8" t="n">
        <f aca="false">Sens!D8741/Sens!D8739</f>
        <v>13.641259209645</v>
      </c>
      <c r="E8742" s="8" t="n">
        <f aca="false">Sens!E8741/Sens!E8739</f>
        <v>17.9456594659869</v>
      </c>
      <c r="F8742" s="8" t="n">
        <f aca="false">Sens!F8741/Sens!F8739</f>
        <v>20.3680227909385</v>
      </c>
      <c r="G8742" s="8" t="n">
        <f aca="false">Sens!G8741/Sens!G8739</f>
        <v>23.5118402615105</v>
      </c>
      <c r="H8742" s="8" t="n">
        <f aca="false">Sens!H8741/Sens!H8739</f>
        <v>27.3371349264648</v>
      </c>
      <c r="I8742" s="8" t="n">
        <f aca="false">Sens!I8741/Sens!I8739</f>
        <v>30.9406405929047</v>
      </c>
      <c r="J8742" s="8" t="n">
        <f aca="false">Sens!J8741/Sens!J8739</f>
        <v>33.9116107813989</v>
      </c>
      <c r="K8742" s="8" t="n">
        <f aca="false">Sens!K8741/Sens!K8739</f>
        <v>36.2895327543693</v>
      </c>
      <c r="L8742" s="1" t="s">
        <v>1082</v>
      </c>
    </row>
    <row r="8743" customFormat="false" ht="17.15" hidden="false" customHeight="false" outlineLevel="0" collapsed="false">
      <c r="A8743" s="0" t="s">
        <v>1083</v>
      </c>
      <c r="B8743" s="0" t="s">
        <v>168</v>
      </c>
      <c r="E8743" s="7" t="n">
        <f aca="false">Sens!E8742/Sens!D8742-1</f>
        <v>0.315542736208578</v>
      </c>
      <c r="F8743" s="7" t="n">
        <f aca="false">Sens!F8742/Sens!E8742-1</f>
        <v>0.134983243694265</v>
      </c>
      <c r="G8743" s="7" t="n">
        <f aca="false">Sens!G8742/Sens!F8742-1</f>
        <v>0.154350645756871</v>
      </c>
      <c r="H8743" s="7" t="n">
        <f aca="false">Sens!H8742/Sens!G8742-1</f>
        <v>0.162696523215855</v>
      </c>
      <c r="I8743" s="7" t="n">
        <f aca="false">Sens!I8742/Sens!H8742-1</f>
        <v>0.131817239668061</v>
      </c>
      <c r="J8743" s="7" t="n">
        <f aca="false">Sens!J8742/Sens!I8742-1</f>
        <v>0.0960216120792117</v>
      </c>
      <c r="K8743" s="7" t="n">
        <f aca="false">Sens!K8742/Sens!J8742-1</f>
        <v>0.0701211743759072</v>
      </c>
    </row>
    <row r="8744" customFormat="false" ht="17.15" hidden="false" customHeight="false" outlineLevel="0" collapsed="false">
      <c r="A8744" s="0" t="s">
        <v>1003</v>
      </c>
      <c r="B8744" s="0" t="s">
        <v>98</v>
      </c>
      <c r="E8744" s="6" t="n">
        <f aca="false">Sens!E8685</f>
        <v>5.25</v>
      </c>
      <c r="F8744" s="6" t="n">
        <f aca="false">Sens!F8685</f>
        <v>14.4</v>
      </c>
      <c r="G8744" s="6" t="n">
        <f aca="false">Sens!G8685</f>
        <v>21.6</v>
      </c>
      <c r="H8744" s="6" t="n">
        <f aca="false">Sens!H8685</f>
        <v>28.8</v>
      </c>
      <c r="I8744" s="6" t="n">
        <f aca="false">Sens!I8685</f>
        <v>34.2</v>
      </c>
      <c r="J8744" s="6" t="n">
        <f aca="false">Sens!J8685</f>
        <v>37.8</v>
      </c>
      <c r="K8744" s="6" t="n">
        <f aca="false">Sens!K8685</f>
        <v>41.4</v>
      </c>
    </row>
    <row r="8745" customFormat="false" ht="17.15" hidden="false" customHeight="false" outlineLevel="0" collapsed="false">
      <c r="A8745" s="1" t="s">
        <v>1004</v>
      </c>
      <c r="B8745" s="0" t="s">
        <v>98</v>
      </c>
      <c r="F8745" s="6" t="n">
        <f aca="false">MAX(0,((Sens!E8645+Sens!F8645)/2-(shadow_base*(Sens!$D$8645+Sens!$E$8645)/2+(1-shadow_base)*Sens!$E$8645))*Sens!F8654/1000-(Sens!F8744-Sens!$E$8744)*Sens!F8724)</f>
        <v>8.36954512952199</v>
      </c>
      <c r="G8745" s="6" t="n">
        <f aca="false">MAX(0,((Sens!F8645+Sens!G8645)/2-(shadow_base*(Sens!$D$8645+Sens!$E$8645)/2+(1-shadow_base)*Sens!$E$8645))*Sens!G8654/1000-(Sens!G8744-Sens!$E$8744)*Sens!G8724)</f>
        <v>23.2198921328178</v>
      </c>
      <c r="H8745" s="6" t="n">
        <f aca="false">MAX(0,((Sens!G8645+Sens!H8645)/2-(shadow_base*(Sens!$D$8645+Sens!$E$8645)/2+(1-shadow_base)*Sens!$E$8645))*Sens!H8654/1000-(Sens!H8744-Sens!$E$8744)*Sens!H8724)</f>
        <v>39.5434300855789</v>
      </c>
      <c r="I8745" s="6" t="n">
        <f aca="false">MAX(0,((Sens!H8645+Sens!I8645)/2-(shadow_base*(Sens!$D$8645+Sens!$E$8645)/2+(1-shadow_base)*Sens!$E$8645))*Sens!I8654/1000-(Sens!I8744-Sens!$E$8744)*Sens!I8724)</f>
        <v>54.4504867415748</v>
      </c>
      <c r="J8745" s="6" t="n">
        <f aca="false">MAX(0,((Sens!I8645+Sens!J8645)/2-(shadow_base*(Sens!$D$8645+Sens!$E$8645)/2+(1-shadow_base)*Sens!$E$8645))*Sens!J8654/1000-(Sens!J8744-Sens!$E$8744)*Sens!J8724)</f>
        <v>64.8858207802868</v>
      </c>
      <c r="K8745" s="6" t="n">
        <f aca="false">MAX(0,((Sens!J8645+Sens!K8645)/2-(shadow_base*(Sens!$D$8645+Sens!$E$8645)/2+(1-shadow_base)*Sens!$E$8645))*Sens!K8654/1000-(Sens!K8744-Sens!$E$8744)*Sens!K8724)</f>
        <v>70.4202317732647</v>
      </c>
      <c r="L8745" s="1" t="s">
        <v>1005</v>
      </c>
    </row>
    <row r="8746" customFormat="false" ht="17.15" hidden="false" customHeight="false" outlineLevel="0" collapsed="false">
      <c r="A8746" s="1" t="s">
        <v>1006</v>
      </c>
      <c r="B8746" s="0" t="s">
        <v>98</v>
      </c>
      <c r="F8746" s="6" t="n">
        <f aca="false">IF(internal_ai_reading=2,1,0)*Sens!F8745</f>
        <v>8.36954512952199</v>
      </c>
      <c r="G8746" s="6" t="n">
        <f aca="false">IF(internal_ai_reading=2,1,0)*Sens!G8745</f>
        <v>23.2198921328178</v>
      </c>
      <c r="H8746" s="6" t="n">
        <f aca="false">IF(internal_ai_reading=2,1,0)*Sens!H8745</f>
        <v>39.5434300855789</v>
      </c>
      <c r="I8746" s="6" t="n">
        <f aca="false">IF(internal_ai_reading=2,1,0)*Sens!I8745</f>
        <v>54.4504867415748</v>
      </c>
      <c r="J8746" s="6" t="n">
        <f aca="false">IF(internal_ai_reading=2,1,0)*Sens!J8745</f>
        <v>64.8858207802868</v>
      </c>
      <c r="K8746" s="6" t="n">
        <f aca="false">IF(internal_ai_reading=2,1,0)*Sens!K8745</f>
        <v>70.4202317732647</v>
      </c>
    </row>
    <row r="8747" customFormat="false" ht="17.15" hidden="false" customHeight="false" outlineLevel="0" collapsed="false">
      <c r="A8747" s="0" t="s">
        <v>1007</v>
      </c>
      <c r="B8747" s="0" t="s">
        <v>98</v>
      </c>
      <c r="F8747" s="6" t="n">
        <f aca="false">Sens!F8664+Sens!F8744*Sens!F8724+Sens!F8746-Sens!F8665-Sens!F8676</f>
        <v>14.8152827562272</v>
      </c>
      <c r="G8747" s="6" t="n">
        <f aca="false">Sens!G8664+Sens!G8744*Sens!G8724+Sens!G8746-Sens!G8665-Sens!G8676</f>
        <v>31.0349977765951</v>
      </c>
      <c r="H8747" s="6" t="n">
        <f aca="false">Sens!H8664+Sens!H8744*Sens!H8724+Sens!H8746-Sens!H8665-Sens!H8676</f>
        <v>47.8811519709826</v>
      </c>
      <c r="I8747" s="6" t="n">
        <f aca="false">Sens!I8664+Sens!I8744*Sens!I8724+Sens!I8746-Sens!I8665-Sens!I8676</f>
        <v>62.6472166574028</v>
      </c>
      <c r="J8747" s="6" t="n">
        <f aca="false">Sens!J8664+Sens!J8744*Sens!J8724+Sens!J8746-Sens!J8665-Sens!J8676</f>
        <v>72.7882253357034</v>
      </c>
      <c r="K8747" s="6" t="n">
        <f aca="false">Sens!K8664+Sens!K8744*Sens!K8724+Sens!K8746-Sens!K8665-Sens!K8676</f>
        <v>79.4617812140187</v>
      </c>
    </row>
    <row r="8748" customFormat="false" ht="17.15" hidden="false" customHeight="false" outlineLevel="0" collapsed="false">
      <c r="A8748" s="0" t="s">
        <v>1008</v>
      </c>
      <c r="B8748" s="0" t="s">
        <v>98</v>
      </c>
      <c r="E8748" s="6" t="n">
        <f aca="false">Sens!E8644*(cxit_open+self_build*tk_cxfac)/1000*ai_net_open</f>
        <v>126.6980382</v>
      </c>
      <c r="F8748" s="6" t="n">
        <f aca="false">Sens!E8748+Sens!F8673-Sens!F8676</f>
        <v>260.572627763768</v>
      </c>
      <c r="G8748" s="6" t="n">
        <f aca="false">Sens!F8748+Sens!G8673-Sens!G8676</f>
        <v>391.782612760517</v>
      </c>
      <c r="H8748" s="6" t="n">
        <f aca="false">Sens!G8748+Sens!H8673-Sens!H8676</f>
        <v>499.488526163584</v>
      </c>
      <c r="I8748" s="6" t="n">
        <f aca="false">Sens!H8748+Sens!I8673-Sens!I8676</f>
        <v>553.872350090646</v>
      </c>
      <c r="J8748" s="6" t="n">
        <f aca="false">Sens!I8748+Sens!J8673-Sens!J8676</f>
        <v>550.78660823699</v>
      </c>
      <c r="K8748" s="6" t="n">
        <f aca="false">Sens!J8748+Sens!K8673-Sens!K8676</f>
        <v>526.736791750789</v>
      </c>
      <c r="L8748" s="1" t="s">
        <v>1009</v>
      </c>
    </row>
    <row r="8749" customFormat="false" ht="17.15" hidden="false" customHeight="false" outlineLevel="0" collapsed="false">
      <c r="A8749" s="0" t="s">
        <v>1010</v>
      </c>
      <c r="B8749" s="0" t="s">
        <v>168</v>
      </c>
      <c r="F8749" s="7" t="n">
        <f aca="false">Sens!F8747*(1-tax_f)/((Sens!E8748+Sens!F8748)/2)</f>
        <v>0.0612090057246454</v>
      </c>
      <c r="G8749" s="7" t="n">
        <f aca="false">Sens!G8747*(1-tax_f)/((Sens!F8748+Sens!G8748)/2)</f>
        <v>0.0761180310326695</v>
      </c>
      <c r="H8749" s="7" t="n">
        <f aca="false">Sens!H8747*(1-tax_f)/((Sens!G8748+Sens!H8748)/2)</f>
        <v>0.0859557095566361</v>
      </c>
      <c r="I8749" s="7" t="n">
        <f aca="false">Sens!I8747*(1-tax_f)/((Sens!H8748+Sens!I8748)/2)</f>
        <v>0.0951578408800258</v>
      </c>
      <c r="J8749" s="7" t="n">
        <f aca="false">Sens!J8747*(1-tax_f)/((Sens!I8748+Sens!J8748)/2)</f>
        <v>0.105427253958487</v>
      </c>
      <c r="K8749" s="7" t="n">
        <f aca="false">Sens!K8747*(1-tax_f)/((Sens!J8748+Sens!K8748)/2)</f>
        <v>0.117991729872291</v>
      </c>
    </row>
    <row r="8750" customFormat="false" ht="17.15" hidden="false" customHeight="false" outlineLevel="0" collapsed="false">
      <c r="A8750" s="1" t="s">
        <v>1011</v>
      </c>
      <c r="B8750" s="0" t="s">
        <v>168</v>
      </c>
      <c r="F8750" s="7" t="n">
        <f aca="false">(Sens!F8747-Sens!F8746)*(1-tax_f)/((Sens!E8748+Sens!F8748)/2)</f>
        <v>0.0266304192626177</v>
      </c>
      <c r="G8750" s="7" t="n">
        <f aca="false">(Sens!G8747-Sens!G8746)*(1-tax_f)/((Sens!F8748+Sens!G8748)/2)</f>
        <v>0.0191677298706059</v>
      </c>
      <c r="H8750" s="7" t="n">
        <f aca="false">(Sens!H8747-Sens!H8746)*(1-tax_f)/((Sens!G8748+Sens!H8748)/2)</f>
        <v>0.0149677852608913</v>
      </c>
      <c r="I8750" s="7" t="n">
        <f aca="false">(Sens!I8747-Sens!I8746)*(1-tax_f)/((Sens!H8748+Sens!I8748)/2)</f>
        <v>0.0124504034286533</v>
      </c>
      <c r="J8750" s="7" t="n">
        <f aca="false">(Sens!J8747-Sens!J8746)*(1-tax_f)/((Sens!I8748+Sens!J8748)/2)</f>
        <v>0.0114459283504189</v>
      </c>
      <c r="K8750" s="7" t="n">
        <f aca="false">(Sens!K8747-Sens!K8746)*(1-tax_f)/((Sens!J8748+Sens!K8748)/2)</f>
        <v>0.0134256751225733</v>
      </c>
    </row>
    <row r="8751" customFormat="false" ht="17.15" hidden="false" customHeight="false" outlineLevel="0" collapsed="false">
      <c r="A8751" s="1" t="s">
        <v>1012</v>
      </c>
      <c r="B8751" s="0" t="s">
        <v>168</v>
      </c>
      <c r="F8751" s="7" t="n">
        <f aca="false">(Sens!F8747-Sens!F8746+Sens!F8745)*(1-tax_f)/((Sens!E8748+Sens!F8748)/2)</f>
        <v>0.0612090057246454</v>
      </c>
      <c r="G8751" s="7" t="n">
        <f aca="false">(Sens!G8747-Sens!G8746+Sens!G8745)*(1-tax_f)/((Sens!F8748+Sens!G8748)/2)</f>
        <v>0.0761180310326695</v>
      </c>
      <c r="H8751" s="7" t="n">
        <f aca="false">(Sens!H8747-Sens!H8746+Sens!H8745)*(1-tax_f)/((Sens!G8748+Sens!H8748)/2)</f>
        <v>0.0859557095566361</v>
      </c>
      <c r="I8751" s="7" t="n">
        <f aca="false">(Sens!I8747-Sens!I8746+Sens!I8745)*(1-tax_f)/((Sens!H8748+Sens!I8748)/2)</f>
        <v>0.0951578408800258</v>
      </c>
      <c r="J8751" s="7" t="n">
        <f aca="false">(Sens!J8747-Sens!J8746+Sens!J8745)*(1-tax_f)/((Sens!I8748+Sens!J8748)/2)</f>
        <v>0.105427253958487</v>
      </c>
      <c r="K8751" s="7" t="n">
        <f aca="false">(Sens!K8747-Sens!K8746+Sens!K8745)*(1-tax_f)/((Sens!J8748+Sens!K8748)/2)</f>
        <v>0.117991729872291</v>
      </c>
    </row>
    <row r="8752" customFormat="false" ht="17.15" hidden="false" customHeight="false" outlineLevel="0" collapsed="false">
      <c r="A8752" s="1" t="s">
        <v>1013</v>
      </c>
      <c r="B8752" s="0" t="s">
        <v>168</v>
      </c>
      <c r="F8752" s="7" t="n">
        <f aca="false">Sens!F8677*(1-tax_f)/(Sens!F8663*(Sens!E8748+Sens!F8748)/2)</f>
        <v>0.129294830495493</v>
      </c>
      <c r="G8752" s="7" t="n">
        <f aca="false">Sens!G8677*(1-tax_f)/(Sens!G8663*(Sens!F8748+Sens!G8748)/2)</f>
        <v>0.12719599062164</v>
      </c>
      <c r="H8752" s="7" t="n">
        <f aca="false">Sens!H8677*(1-tax_f)/(Sens!H8663*(Sens!G8748+Sens!H8748)/2)</f>
        <v>0.130828167067624</v>
      </c>
      <c r="I8752" s="7" t="n">
        <f aca="false">Sens!I8677*(1-tax_f)/(Sens!I8663*(Sens!H8748+Sens!I8748)/2)</f>
        <v>0.138614526937417</v>
      </c>
      <c r="J8752" s="7" t="n">
        <f aca="false">Sens!J8677*(1-tax_f)/(Sens!J8663*(Sens!I8748+Sens!J8748)/2)</f>
        <v>0.150578919010924</v>
      </c>
      <c r="K8752" s="7" t="n">
        <f aca="false">Sens!K8677*(1-tax_f)/(Sens!K8663*(Sens!J8748+Sens!K8748)/2)</f>
        <v>0.167005345886664</v>
      </c>
    </row>
    <row r="8753" customFormat="false" ht="17.15" hidden="false" customHeight="false" outlineLevel="0" collapsed="false">
      <c r="A8753" s="0" t="s">
        <v>1014</v>
      </c>
      <c r="B8753" s="0" t="s">
        <v>253</v>
      </c>
      <c r="F8753" s="7" t="n">
        <f aca="false">Sens!F8749-wacc</f>
        <v>-0.0417275852209519</v>
      </c>
      <c r="G8753" s="7" t="n">
        <f aca="false">Sens!G8749-wacc</f>
        <v>-0.0268185599129278</v>
      </c>
      <c r="H8753" s="7" t="n">
        <f aca="false">Sens!H8749-wacc</f>
        <v>-0.0169808813889612</v>
      </c>
      <c r="I8753" s="7" t="n">
        <f aca="false">Sens!I8749-wacc</f>
        <v>-0.00777875006557149</v>
      </c>
      <c r="J8753" s="7" t="n">
        <f aca="false">Sens!J8749-wacc</f>
        <v>0.0024906630128898</v>
      </c>
      <c r="K8753" s="7" t="n">
        <f aca="false">Sens!K8749-wacc</f>
        <v>0.0150551389266932</v>
      </c>
    </row>
    <row r="8754" customFormat="false" ht="17.15" hidden="false" customHeight="false" outlineLevel="0" collapsed="false">
      <c r="A8754" s="0" t="s">
        <v>1015</v>
      </c>
      <c r="B8754" s="0" t="s">
        <v>98</v>
      </c>
      <c r="F8754" s="6" t="n">
        <f aca="false">Sens!F8747*(1-tax_f)-wacc*(Sens!E8748+Sens!F8748)/2</f>
        <v>-8.07993485878896</v>
      </c>
      <c r="G8754" s="6" t="n">
        <f aca="false">Sens!G8747*(1-tax_f)-wacc*(Sens!F8748+Sens!G8748)/2</f>
        <v>-8.74761405125647</v>
      </c>
      <c r="H8754" s="6" t="n">
        <f aca="false">Sens!H8747*(1-tax_f)-wacc*(Sens!G8748+Sens!H8748)/2</f>
        <v>-7.56728474773728</v>
      </c>
      <c r="I8754" s="6" t="n">
        <f aca="false">Sens!I8747*(1-tax_f)-wacc*(Sens!H8748+Sens!I8748)/2</f>
        <v>-4.09691549261652</v>
      </c>
      <c r="J8754" s="6" t="n">
        <f aca="false">Sens!J8747*(1-tax_f)-wacc*(Sens!I8748+Sens!J8748)/2</f>
        <v>1.37566660468201</v>
      </c>
      <c r="K8754" s="6" t="n">
        <f aca="false">Sens!K8747*(1-tax_f)-wacc*(Sens!J8748+Sens!K8748)/2</f>
        <v>8.11113224178941</v>
      </c>
    </row>
    <row r="8755" customFormat="false" ht="17.15" hidden="false" customHeight="false" outlineLevel="0" collapsed="false">
      <c r="A8755" s="3" t="s">
        <v>1698</v>
      </c>
    </row>
    <row r="8756" customFormat="false" ht="15" hidden="false" customHeight="false" outlineLevel="0" collapsed="false">
      <c r="A8756" s="4" t="s">
        <v>43</v>
      </c>
      <c r="B8756" s="4" t="s">
        <v>65</v>
      </c>
      <c r="C8756" s="23" t="s">
        <v>938</v>
      </c>
      <c r="D8756" s="23" t="s">
        <v>939</v>
      </c>
      <c r="E8756" s="23" t="s">
        <v>940</v>
      </c>
      <c r="F8756" s="23" t="s">
        <v>941</v>
      </c>
      <c r="G8756" s="23" t="s">
        <v>942</v>
      </c>
      <c r="H8756" s="23" t="s">
        <v>943</v>
      </c>
      <c r="I8756" s="23" t="s">
        <v>944</v>
      </c>
      <c r="J8756" s="23" t="s">
        <v>945</v>
      </c>
      <c r="K8756" s="23" t="s">
        <v>946</v>
      </c>
      <c r="L8756" s="4" t="s">
        <v>47</v>
      </c>
    </row>
    <row r="8757" customFormat="false" ht="15" hidden="false" customHeight="false" outlineLevel="0" collapsed="false">
      <c r="A8757" s="1" t="s">
        <v>1076</v>
      </c>
      <c r="B8757" s="0" t="s">
        <v>98</v>
      </c>
      <c r="F8757" s="6" t="n">
        <f aca="false">Sens!F8738</f>
        <v>145.506728495321</v>
      </c>
      <c r="G8757" s="6" t="n">
        <f aca="false">Sens!G8738</f>
        <v>158.156176632131</v>
      </c>
      <c r="H8757" s="6" t="n">
        <f aca="false">Sens!H8738</f>
        <v>174.608279879333</v>
      </c>
      <c r="I8757" s="6" t="n">
        <f aca="false">Sens!I8738</f>
        <v>190.230449559004</v>
      </c>
      <c r="J8757" s="6" t="n">
        <f aca="false">Sens!J8738</f>
        <v>204.81098489771</v>
      </c>
      <c r="K8757" s="6" t="n">
        <f aca="false">Sens!K8738</f>
        <v>218.981344257533</v>
      </c>
    </row>
    <row r="8758" customFormat="false" ht="17.15" hidden="false" customHeight="false" outlineLevel="0" collapsed="false">
      <c r="A8758" s="1" t="s">
        <v>1098</v>
      </c>
      <c r="B8758" s="0" t="s">
        <v>98</v>
      </c>
      <c r="E8758" s="6" t="n">
        <f aca="false">Q!M38-Sens!E8676</f>
        <v>22.2285940229167</v>
      </c>
      <c r="F8758" s="6" t="n">
        <f aca="false">Sens!E8758*(1-1/life_nonai)+(Sens!F8766+Sens!F8767)/life_nonai</f>
        <v>23.5986726626748</v>
      </c>
      <c r="G8758" s="6" t="n">
        <f aca="false">Sens!F8758*(1-1/life_nonai)+(Sens!G8766)/life_nonai</f>
        <v>25.4045319994623</v>
      </c>
      <c r="H8758" s="6" t="n">
        <f aca="false">Sens!G8758*(1-1/life_nonai)+(Sens!H8766)/life_nonai</f>
        <v>27.6111703014779</v>
      </c>
      <c r="I8758" s="6" t="n">
        <f aca="false">Sens!H8758*(1-1/life_nonai)+(Sens!I8766)/life_nonai</f>
        <v>30.1481901547962</v>
      </c>
      <c r="J8758" s="6" t="n">
        <f aca="false">Sens!I8758*(1-1/life_nonai)+(Sens!J8766)/life_nonai</f>
        <v>32.9287249362955</v>
      </c>
      <c r="K8758" s="6" t="n">
        <f aca="false">Sens!J8758*(1-1/life_nonai)+(Sens!K8766)/life_nonai</f>
        <v>35.8683072287924</v>
      </c>
      <c r="L8758" s="12" t="s">
        <v>1099</v>
      </c>
    </row>
    <row r="8759" customFormat="false" ht="17.15" hidden="false" customHeight="false" outlineLevel="0" collapsed="false">
      <c r="A8759" s="1" t="s">
        <v>1100</v>
      </c>
      <c r="B8759" s="0" t="s">
        <v>98</v>
      </c>
      <c r="F8759" s="6" t="n">
        <f aca="false">Sens!$F$8767/life_nonai*(1-1/life_nonai)^(Sens!F8639-2027)</f>
        <v>0</v>
      </c>
      <c r="G8759" s="6" t="n">
        <f aca="false">Sens!$F$8767/life_nonai*(1-1/life_nonai)^(Sens!G8639-2027)</f>
        <v>0</v>
      </c>
      <c r="H8759" s="6" t="n">
        <f aca="false">Sens!$F$8767/life_nonai*(1-1/life_nonai)^(Sens!H8639-2027)</f>
        <v>0</v>
      </c>
      <c r="I8759" s="6" t="n">
        <f aca="false">Sens!$F$8767/life_nonai*(1-1/life_nonai)^(Sens!I8639-2027)</f>
        <v>0</v>
      </c>
      <c r="J8759" s="6" t="n">
        <f aca="false">Sens!$F$8767/life_nonai*(1-1/life_nonai)^(Sens!J8639-2027)</f>
        <v>0</v>
      </c>
      <c r="K8759" s="6" t="n">
        <f aca="false">Sens!$F$8767/life_nonai*(1-1/life_nonai)^(Sens!K8639-2027)</f>
        <v>0</v>
      </c>
      <c r="L8759" s="1" t="s">
        <v>1101</v>
      </c>
    </row>
    <row r="8760" customFormat="false" ht="17.15" hidden="false" customHeight="false" outlineLevel="0" collapsed="false">
      <c r="A8760" s="1" t="s">
        <v>1102</v>
      </c>
      <c r="B8760" s="0" t="s">
        <v>98</v>
      </c>
      <c r="E8760" s="6" t="n">
        <f aca="false">Sens!E8676+Sens!E8758</f>
        <v>38.534</v>
      </c>
      <c r="F8760" s="6" t="n">
        <f aca="false">Sens!F8676+Sens!F8758</f>
        <v>58.1779871410265</v>
      </c>
      <c r="G8760" s="6" t="n">
        <f aca="false">Sens!G8676+Sens!G8758</f>
        <v>86.1390226517613</v>
      </c>
      <c r="H8760" s="6" t="n">
        <f aca="false">Sens!H8676+Sens!H8758</f>
        <v>116.711260962924</v>
      </c>
      <c r="I8760" s="6" t="n">
        <f aca="false">Sens!I8676+Sens!I8758</f>
        <v>144.379199849345</v>
      </c>
      <c r="J8760" s="6" t="n">
        <f aca="false">Sens!J8676+Sens!J8758</f>
        <v>164.944397985892</v>
      </c>
      <c r="K8760" s="6" t="n">
        <f aca="false">Sens!K8676+Sens!K8758</f>
        <v>178.880976779726</v>
      </c>
    </row>
    <row r="8761" customFormat="false" ht="17.15" hidden="false" customHeight="false" outlineLevel="0" collapsed="false">
      <c r="A8761" s="1" t="s">
        <v>1103</v>
      </c>
      <c r="B8761" s="0" t="s">
        <v>98</v>
      </c>
      <c r="F8761" s="6" t="n">
        <f aca="false">Sens!F8703*sbc_r</f>
        <v>14.9860675840035</v>
      </c>
      <c r="G8761" s="6" t="n">
        <f aca="false">Sens!G8703*sbc_r</f>
        <v>17.9229572842233</v>
      </c>
      <c r="H8761" s="6" t="n">
        <f aca="false">Sens!H8703*sbc_r</f>
        <v>20.9279130864937</v>
      </c>
      <c r="I8761" s="6" t="n">
        <f aca="false">Sens!I8703*sbc_r</f>
        <v>23.6798989948884</v>
      </c>
      <c r="J8761" s="6" t="n">
        <f aca="false">Sens!J8703*sbc_r</f>
        <v>25.9280857796861</v>
      </c>
      <c r="K8761" s="6" t="n">
        <f aca="false">Sens!K8703*sbc_r</f>
        <v>27.7382794036228</v>
      </c>
    </row>
    <row r="8762" customFormat="false" ht="17.15" hidden="false" customHeight="false" outlineLevel="0" collapsed="false">
      <c r="A8762" s="1" t="s">
        <v>1104</v>
      </c>
      <c r="B8762" s="0" t="s">
        <v>98</v>
      </c>
      <c r="F8762" s="6" t="n">
        <f aca="false">wc27-wc26q1</f>
        <v>-4.677</v>
      </c>
      <c r="G8762" s="6" t="n">
        <f aca="false">wc_f</f>
        <v>0</v>
      </c>
      <c r="H8762" s="6" t="n">
        <f aca="false">wc_f</f>
        <v>0</v>
      </c>
      <c r="I8762" s="6" t="n">
        <f aca="false">wc_f</f>
        <v>0</v>
      </c>
      <c r="J8762" s="6" t="n">
        <f aca="false">wc_f</f>
        <v>0</v>
      </c>
      <c r="K8762" s="6" t="n">
        <f aca="false">wc_f</f>
        <v>0</v>
      </c>
      <c r="L8762" s="12" t="s">
        <v>1105</v>
      </c>
    </row>
    <row r="8763" customFormat="false" ht="17.15" hidden="false" customHeight="false" outlineLevel="0" collapsed="false">
      <c r="A8763" s="0" t="s">
        <v>1106</v>
      </c>
      <c r="B8763" s="0" t="s">
        <v>98</v>
      </c>
      <c r="F8763" s="6" t="n">
        <f aca="false">Q!$I$35-Q!$I$26-Q!$I$38-Q!$I$39</f>
        <v>6.493</v>
      </c>
      <c r="L8763" s="1" t="s">
        <v>1107</v>
      </c>
    </row>
    <row r="8764" customFormat="false" ht="15" hidden="false" customHeight="false" outlineLevel="0" collapsed="false">
      <c r="A8764" s="1" t="s">
        <v>904</v>
      </c>
      <c r="B8764" s="0" t="s">
        <v>98</v>
      </c>
      <c r="E8764" s="6" t="n">
        <f aca="false">Q!M35</f>
        <v>182.935</v>
      </c>
      <c r="F8764" s="6" t="n">
        <f aca="false">Sens!F8757+Sens!F8760+Sens!F8761+Sens!F8762+Sens!F8763</f>
        <v>220.486783220351</v>
      </c>
      <c r="G8764" s="6" t="n">
        <f aca="false">Sens!G8757+Sens!G8760+Sens!G8761+Sens!G8762</f>
        <v>262.218156568116</v>
      </c>
      <c r="H8764" s="6" t="n">
        <f aca="false">Sens!H8757+Sens!H8760+Sens!H8761+Sens!H8762</f>
        <v>312.24745392875</v>
      </c>
      <c r="I8764" s="6" t="n">
        <f aca="false">Sens!I8757+Sens!I8760+Sens!I8761+Sens!I8762</f>
        <v>358.289548403237</v>
      </c>
      <c r="J8764" s="6" t="n">
        <f aca="false">Sens!J8757+Sens!J8760+Sens!J8761+Sens!J8762</f>
        <v>395.683468663287</v>
      </c>
      <c r="K8764" s="6" t="n">
        <f aca="false">Sens!K8757+Sens!K8760+Sens!K8761+Sens!K8762</f>
        <v>425.600600440882</v>
      </c>
    </row>
    <row r="8765" customFormat="false" ht="17.15" hidden="false" customHeight="false" outlineLevel="0" collapsed="false">
      <c r="A8765" s="0" t="s">
        <v>1108</v>
      </c>
      <c r="B8765" s="0" t="s">
        <v>98</v>
      </c>
      <c r="F8765" s="6" t="n">
        <f aca="false">Sens!F8673</f>
        <v>168.45390404212</v>
      </c>
      <c r="G8765" s="6" t="n">
        <f aca="false">Sens!G8673</f>
        <v>191.944475649048</v>
      </c>
      <c r="H8765" s="6" t="n">
        <f aca="false">Sens!H8673</f>
        <v>196.806004064512</v>
      </c>
      <c r="I8765" s="6" t="n">
        <f aca="false">Sens!I8673</f>
        <v>168.61483362161</v>
      </c>
      <c r="J8765" s="6" t="n">
        <f aca="false">Sens!J8673</f>
        <v>128.92993119594</v>
      </c>
      <c r="K8765" s="6" t="n">
        <f aca="false">Sens!K8673</f>
        <v>118.962853064733</v>
      </c>
    </row>
    <row r="8766" customFormat="false" ht="17.15" hidden="false" customHeight="false" outlineLevel="0" collapsed="false">
      <c r="A8766" s="1" t="s">
        <v>1109</v>
      </c>
      <c r="B8766" s="0" t="s">
        <v>98</v>
      </c>
      <c r="E8766" s="6" t="n">
        <f aca="false">Sens!E8681*cx_azo+Sens!E8688*cx_m365+Sens!E8689*cx_lic+(Sens!E8691+Sens!E8693)*cx_ind+Sens!E8696*cx_srch+(Sens!E8698+Sens!E8700)*cx_dev</f>
        <v>30.1846587067718</v>
      </c>
      <c r="F8766" s="6" t="n">
        <f aca="false">Sens!F8681*cx_azo+Sens!F8688*cx_m365+Sens!F8689*cx_lic+(Sens!F8691+Sens!F8693)*cx_ind+Sens!F8696*cx_srch+(Sens!F8698+Sens!F8700)*cx_dev</f>
        <v>35.9293804204981</v>
      </c>
      <c r="G8766" s="6" t="n">
        <f aca="false">Sens!G8681*cx_azo+Sens!G8688*cx_m365+Sens!G8689*cx_lic+(Sens!G8691+Sens!G8693)*cx_ind+Sens!G8696*cx_srch+(Sens!G8698+Sens!G8700)*cx_dev</f>
        <v>41.65726603055</v>
      </c>
      <c r="H8766" s="6" t="n">
        <f aca="false">Sens!H8681*cx_azo+Sens!H8688*cx_m365+Sens!H8689*cx_lic+(Sens!H8691+Sens!H8693)*cx_ind+Sens!H8696*cx_srch+(Sens!H8698+Sens!H8700)*cx_dev</f>
        <v>47.4709150196179</v>
      </c>
      <c r="I8766" s="6" t="n">
        <f aca="false">Sens!I8681*cx_azo+Sens!I8688*cx_m365+Sens!I8689*cx_lic+(Sens!I8691+Sens!I8693)*cx_ind+Sens!I8696*cx_srch+(Sens!I8698+Sens!I8700)*cx_dev</f>
        <v>52.9813688346613</v>
      </c>
      <c r="J8766" s="6" t="n">
        <f aca="false">Sens!J8681*cx_azo+Sens!J8688*cx_m365+Sens!J8689*cx_lic+(Sens!J8691+Sens!J8693)*cx_ind+Sens!J8696*cx_srch+(Sens!J8698+Sens!J8700)*cx_dev</f>
        <v>57.9535379697889</v>
      </c>
      <c r="K8766" s="6" t="n">
        <f aca="false">Sens!K8681*cx_azo+Sens!K8688*cx_m365+Sens!K8689*cx_lic+(Sens!K8691+Sens!K8693)*cx_ind+Sens!K8696*cx_srch+(Sens!K8698+Sens!K8700)*cx_dev</f>
        <v>62.3245478612639</v>
      </c>
    </row>
    <row r="8767" customFormat="false" ht="17.15" hidden="false" customHeight="false" outlineLevel="0" collapsed="false">
      <c r="A8767" s="0" t="s">
        <v>1110</v>
      </c>
      <c r="B8767" s="0" t="s">
        <v>98</v>
      </c>
      <c r="F8767" s="6" t="n">
        <f aca="false">Sens!F8671</f>
        <v>0</v>
      </c>
      <c r="L8767" s="1" t="s">
        <v>1111</v>
      </c>
    </row>
    <row r="8768" customFormat="false" ht="17.15" hidden="false" customHeight="false" outlineLevel="0" collapsed="false">
      <c r="A8768" s="1" t="s">
        <v>1112</v>
      </c>
      <c r="B8768" s="0" t="s">
        <v>98</v>
      </c>
      <c r="E8768" s="6" t="n">
        <f aca="false">Q!M43</f>
        <v>145.3</v>
      </c>
      <c r="F8768" s="6" t="n">
        <f aca="false">Sens!F8765+Sens!F8766+Sens!F8767</f>
        <v>204.383284462618</v>
      </c>
      <c r="G8768" s="6" t="n">
        <f aca="false">Sens!G8765+Sens!G8766</f>
        <v>233.601741679598</v>
      </c>
      <c r="H8768" s="6" t="n">
        <f aca="false">Sens!H8765+Sens!H8766</f>
        <v>244.27691908413</v>
      </c>
      <c r="I8768" s="6" t="n">
        <f aca="false">Sens!I8765+Sens!I8766</f>
        <v>221.596202456272</v>
      </c>
      <c r="J8768" s="6" t="n">
        <f aca="false">Sens!J8765+Sens!J8766</f>
        <v>186.883469165729</v>
      </c>
      <c r="K8768" s="6" t="n">
        <f aca="false">Sens!K8765+Sens!K8766</f>
        <v>181.287400925997</v>
      </c>
      <c r="L8768" s="1" t="s">
        <v>1113</v>
      </c>
    </row>
    <row r="8769" customFormat="false" ht="15" hidden="false" customHeight="false" outlineLevel="0" collapsed="false">
      <c r="A8769" s="1" t="s">
        <v>1114</v>
      </c>
      <c r="B8769" s="0" t="s">
        <v>98</v>
      </c>
      <c r="E8769" s="6" t="n">
        <f aca="false">fl_liab</f>
        <v>66.594</v>
      </c>
      <c r="F8769" s="6" t="n">
        <f aca="false">Sens!E8769-Sens!F8770</f>
        <v>62.46973</v>
      </c>
      <c r="G8769" s="6" t="n">
        <f aca="false">Sens!F8769-Sens!G8770</f>
        <v>57.98686785</v>
      </c>
      <c r="H8769" s="6" t="n">
        <f aca="false">Sens!G8769-Sens!H8770</f>
        <v>53.92827690325</v>
      </c>
      <c r="I8769" s="6" t="n">
        <f aca="false">Sens!H8769-Sens!I8770</f>
        <v>49.7850493638962</v>
      </c>
      <c r="J8769" s="6" t="n">
        <f aca="false">Sens!I8769-Sens!J8770</f>
        <v>45.4823765852716</v>
      </c>
      <c r="K8769" s="6" t="n">
        <f aca="false">Sens!J8769-Sens!K8770</f>
        <v>40.9860835316088</v>
      </c>
    </row>
    <row r="8770" customFormat="false" ht="15" hidden="false" customHeight="false" outlineLevel="0" collapsed="false">
      <c r="A8770" s="1" t="s">
        <v>1115</v>
      </c>
      <c r="B8770" s="0" t="s">
        <v>98</v>
      </c>
      <c r="F8770" s="6" t="n">
        <f aca="false">fl_pay_27-Sens!E8769*fl_rate</f>
        <v>4.12427</v>
      </c>
      <c r="G8770" s="6" t="n">
        <f aca="false">fl_pay_28-Sens!F8769*fl_rate</f>
        <v>4.48286215</v>
      </c>
      <c r="H8770" s="6" t="n">
        <f aca="false">fl_pay_29-Sens!G8769*fl_rate</f>
        <v>4.05859094675</v>
      </c>
      <c r="I8770" s="6" t="n">
        <f aca="false">fl_pay_30-Sens!H8769*fl_rate</f>
        <v>4.14322753935375</v>
      </c>
      <c r="J8770" s="6" t="n">
        <f aca="false">fl_pay_31-Sens!I8769*fl_rate</f>
        <v>4.30267277862467</v>
      </c>
      <c r="K8770" s="6" t="n">
        <f aca="false">fl_pay_32-Sens!J8769*fl_rate</f>
        <v>4.49629305366278</v>
      </c>
    </row>
    <row r="8771" customFormat="false" ht="17.15" hidden="false" customHeight="false" outlineLevel="0" collapsed="false">
      <c r="A8771" s="1" t="s">
        <v>1116</v>
      </c>
      <c r="B8771" s="0" t="s">
        <v>98</v>
      </c>
      <c r="E8771" s="6" t="n">
        <f aca="false">Q!M35-Q!M36-Q!M44</f>
        <v>63.886</v>
      </c>
      <c r="F8771" s="6" t="n">
        <f aca="false">Sens!F8764-Sens!F8768-Sens!F8770</f>
        <v>11.9792287577337</v>
      </c>
      <c r="G8771" s="6" t="n">
        <f aca="false">Sens!G8764-Sens!G8768-Sens!G8770</f>
        <v>24.1335527385177</v>
      </c>
      <c r="H8771" s="6" t="n">
        <f aca="false">Sens!H8764-Sens!H8768-Sens!H8770</f>
        <v>63.9119438978701</v>
      </c>
      <c r="I8771" s="6" t="n">
        <f aca="false">Sens!I8764-Sens!I8768-Sens!I8770</f>
        <v>132.550118407612</v>
      </c>
      <c r="J8771" s="6" t="n">
        <f aca="false">Sens!J8764-Sens!J8768-Sens!J8770</f>
        <v>204.497326718933</v>
      </c>
      <c r="K8771" s="6" t="n">
        <f aca="false">Sens!K8764-Sens!K8768-Sens!K8770</f>
        <v>239.816906461223</v>
      </c>
      <c r="L8771" s="12" t="s">
        <v>1117</v>
      </c>
    </row>
    <row r="8772" customFormat="false" ht="15" hidden="false" customHeight="false" outlineLevel="0" collapsed="false">
      <c r="A8772" s="1" t="s">
        <v>1118</v>
      </c>
      <c r="B8772" s="0" t="s">
        <v>75</v>
      </c>
      <c r="F8772" s="8" t="n">
        <f aca="false">dps_27</f>
        <v>3.85</v>
      </c>
      <c r="G8772" s="8" t="n">
        <f aca="false">Sens!F8772*(1+dps_g)</f>
        <v>4.158</v>
      </c>
      <c r="H8772" s="8" t="n">
        <f aca="false">Sens!G8772*(1+dps_g)</f>
        <v>4.49064</v>
      </c>
      <c r="I8772" s="8" t="n">
        <f aca="false">Sens!H8772*(1+dps_g)</f>
        <v>4.8498912</v>
      </c>
      <c r="J8772" s="8" t="n">
        <f aca="false">Sens!I8772*(1+dps_g)</f>
        <v>5.237882496</v>
      </c>
      <c r="K8772" s="8" t="n">
        <f aca="false">Sens!J8772*(1+dps_g)</f>
        <v>5.65691309568</v>
      </c>
    </row>
    <row r="8773" customFormat="false" ht="17.15" hidden="false" customHeight="false" outlineLevel="0" collapsed="false">
      <c r="A8773" s="1" t="s">
        <v>1119</v>
      </c>
      <c r="B8773" s="0" t="s">
        <v>98</v>
      </c>
      <c r="E8773" s="6" t="n">
        <f aca="false">Q!M41</f>
        <v>26.445</v>
      </c>
      <c r="F8773" s="6" t="n">
        <f aca="false">Sens!F8772*Sens!E8782</f>
        <v>28.59395</v>
      </c>
      <c r="G8773" s="6" t="n">
        <f aca="false">Sens!G8772*Sens!F8782</f>
        <v>31.0612048961346</v>
      </c>
      <c r="H8773" s="6" t="n">
        <f aca="false">Sens!H8772*Sens!G8782</f>
        <v>33.7481800878254</v>
      </c>
      <c r="I8773" s="6" t="n">
        <f aca="false">Sens!I8772*Sens!H8782</f>
        <v>36.4984727719241</v>
      </c>
      <c r="J8773" s="6" t="n">
        <f aca="false">Sens!J8772*Sens!I8782</f>
        <v>39.4862484790706</v>
      </c>
      <c r="K8773" s="6" t="n">
        <f aca="false">Sens!K8772*Sens!J8782</f>
        <v>42.7319026197745</v>
      </c>
      <c r="L8773" s="1" t="s">
        <v>1120</v>
      </c>
    </row>
    <row r="8774" customFormat="false" ht="15" hidden="false" customHeight="false" outlineLevel="0" collapsed="false">
      <c r="A8774" s="1" t="s">
        <v>1121</v>
      </c>
      <c r="B8774" s="0" t="s">
        <v>98</v>
      </c>
      <c r="E8774" s="6" t="n">
        <f aca="false">Sens!E8771-Sens!E8773</f>
        <v>37.441</v>
      </c>
      <c r="F8774" s="6" t="n">
        <f aca="false">Sens!F8771-Sens!F8773</f>
        <v>-16.6147212422663</v>
      </c>
      <c r="G8774" s="6" t="n">
        <f aca="false">Sens!G8771-Sens!G8773</f>
        <v>-6.92765215761694</v>
      </c>
      <c r="H8774" s="6" t="n">
        <f aca="false">Sens!H8771-Sens!H8773</f>
        <v>30.1637638100448</v>
      </c>
      <c r="I8774" s="6" t="n">
        <f aca="false">Sens!I8771-Sens!I8773</f>
        <v>96.0516456356874</v>
      </c>
      <c r="J8774" s="6" t="n">
        <f aca="false">Sens!J8771-Sens!J8773</f>
        <v>165.011078239863</v>
      </c>
      <c r="K8774" s="6" t="n">
        <f aca="false">Sens!K8771-Sens!K8773</f>
        <v>197.085003841448</v>
      </c>
    </row>
    <row r="8775" customFormat="false" ht="15" hidden="false" customHeight="false" outlineLevel="0" collapsed="false">
      <c r="A8775" s="1" t="s">
        <v>1122</v>
      </c>
      <c r="B8775" s="0" t="s">
        <v>98</v>
      </c>
      <c r="F8775" s="6" t="n">
        <f aca="false">debt_mat_27</f>
        <v>9.25</v>
      </c>
      <c r="G8775" s="6" t="n">
        <f aca="false">debt_mat_28</f>
        <v>0</v>
      </c>
      <c r="H8775" s="6" t="n">
        <f aca="false">debt_mat_29</f>
        <v>2.001</v>
      </c>
      <c r="I8775" s="6" t="n">
        <f aca="false">debt_mat_30</f>
        <v>0</v>
      </c>
      <c r="J8775" s="6" t="n">
        <f aca="false">debt_mat_31</f>
        <v>0.5</v>
      </c>
      <c r="K8775" s="6" t="n">
        <f aca="false">debt_mat_32</f>
        <v>0</v>
      </c>
    </row>
    <row r="8776" customFormat="false" ht="15" hidden="false" customHeight="false" outlineLevel="0" collapsed="false">
      <c r="A8776" s="1" t="s">
        <v>1123</v>
      </c>
      <c r="B8776" s="0" t="s">
        <v>98</v>
      </c>
      <c r="E8776" s="6" t="n">
        <f aca="false">Q!M40</f>
        <v>22.271</v>
      </c>
      <c r="F8776" s="6" t="n">
        <f aca="false">MAX(0,MIN(bb_target,Sens!E8778+Sens!F8774-Sens!F8775-min_cash))</f>
        <v>0.97827875773369</v>
      </c>
      <c r="G8776" s="6" t="n">
        <f aca="false">MAX(0,MIN(bb_target,Sens!F8778+Sens!G8774-Sens!G8775-min_cash))</f>
        <v>0</v>
      </c>
      <c r="H8776" s="6" t="n">
        <f aca="false">MAX(0,MIN(bb_target,Sens!G8778+Sens!H8774-Sens!H8775-min_cash))</f>
        <v>22.271</v>
      </c>
      <c r="I8776" s="6" t="n">
        <f aca="false">MAX(0,MIN(bb_target,Sens!H8778+Sens!I8774-Sens!I8775-min_cash))</f>
        <v>22.271</v>
      </c>
      <c r="J8776" s="6" t="n">
        <f aca="false">MAX(0,MIN(bb_target,Sens!I8778+Sens!J8774-Sens!J8775-min_cash))</f>
        <v>22.271</v>
      </c>
      <c r="K8776" s="6" t="n">
        <f aca="false">MAX(0,MIN(bb_target,Sens!J8778+Sens!K8774-Sens!K8775-min_cash))</f>
        <v>22.271</v>
      </c>
    </row>
    <row r="8777" customFormat="false" ht="15" hidden="false" customHeight="false" outlineLevel="0" collapsed="false">
      <c r="A8777" s="1" t="s">
        <v>1124</v>
      </c>
      <c r="B8777" s="0" t="s">
        <v>98</v>
      </c>
      <c r="F8777" s="6" t="n">
        <f aca="false">MAX(0,min_cash-(Sens!E8778+Sens!F8774-Sens!F8775-Sens!F8776))</f>
        <v>0</v>
      </c>
      <c r="G8777" s="6" t="n">
        <f aca="false">MAX(0,min_cash-(Sens!F8778+Sens!G8774-Sens!G8775-Sens!G8776))</f>
        <v>6.92765215761695</v>
      </c>
      <c r="H8777" s="6" t="n">
        <f aca="false">MAX(0,min_cash-(Sens!G8778+Sens!H8774-Sens!H8775-Sens!H8776))</f>
        <v>0</v>
      </c>
      <c r="I8777" s="6" t="n">
        <f aca="false">MAX(0,min_cash-(Sens!H8778+Sens!I8774-Sens!I8775-Sens!I8776))</f>
        <v>0</v>
      </c>
      <c r="J8777" s="6" t="n">
        <f aca="false">MAX(0,min_cash-(Sens!I8778+Sens!J8774-Sens!J8775-Sens!J8776))</f>
        <v>0</v>
      </c>
      <c r="K8777" s="6" t="n">
        <f aca="false">MAX(0,min_cash-(Sens!J8778+Sens!K8774-Sens!K8775-Sens!K8776))</f>
        <v>0</v>
      </c>
    </row>
    <row r="8778" customFormat="false" ht="15" hidden="false" customHeight="false" outlineLevel="0" collapsed="false">
      <c r="A8778" s="1" t="s">
        <v>1125</v>
      </c>
      <c r="B8778" s="0" t="s">
        <v>98</v>
      </c>
      <c r="E8778" s="6" t="n">
        <f aca="false">cash_open</f>
        <v>76.843</v>
      </c>
      <c r="F8778" s="6" t="n">
        <f aca="false">Sens!E8778+Sens!F8774-Sens!F8775-Sens!F8776+Sens!F8777</f>
        <v>50</v>
      </c>
      <c r="G8778" s="6" t="n">
        <f aca="false">Sens!F8778+Sens!G8774-Sens!G8775-Sens!G8776+Sens!G8777</f>
        <v>50</v>
      </c>
      <c r="H8778" s="6" t="n">
        <f aca="false">Sens!G8778+Sens!H8774-Sens!H8775-Sens!H8776+Sens!H8777</f>
        <v>55.8917638100447</v>
      </c>
      <c r="I8778" s="6" t="n">
        <f aca="false">Sens!H8778+Sens!I8774-Sens!I8775-Sens!I8776+Sens!I8777</f>
        <v>129.672409445732</v>
      </c>
      <c r="J8778" s="6" t="n">
        <f aca="false">Sens!I8778+Sens!J8774-Sens!J8775-Sens!J8776+Sens!J8777</f>
        <v>271.912487685595</v>
      </c>
      <c r="K8778" s="6" t="n">
        <f aca="false">Sens!J8778+Sens!K8774-Sens!K8775-Sens!K8776+Sens!K8777</f>
        <v>446.726491527043</v>
      </c>
    </row>
    <row r="8779" customFormat="false" ht="15" hidden="false" customHeight="false" outlineLevel="0" collapsed="false">
      <c r="A8779" s="1" t="s">
        <v>1126</v>
      </c>
      <c r="B8779" s="0" t="s">
        <v>98</v>
      </c>
      <c r="E8779" s="6" t="n">
        <f aca="false">debt_face</f>
        <v>46.136</v>
      </c>
      <c r="F8779" s="6" t="n">
        <f aca="false">Sens!E8779-Sens!F8775+Sens!F8777</f>
        <v>36.886</v>
      </c>
      <c r="G8779" s="6" t="n">
        <f aca="false">Sens!F8779-Sens!G8775+Sens!G8777</f>
        <v>43.813652157617</v>
      </c>
      <c r="H8779" s="6" t="n">
        <f aca="false">Sens!G8779-Sens!H8775+Sens!H8777</f>
        <v>41.812652157617</v>
      </c>
      <c r="I8779" s="6" t="n">
        <f aca="false">Sens!H8779-Sens!I8775+Sens!I8777</f>
        <v>41.812652157617</v>
      </c>
      <c r="J8779" s="6" t="n">
        <f aca="false">Sens!I8779-Sens!J8775+Sens!J8777</f>
        <v>41.312652157617</v>
      </c>
      <c r="K8779" s="6" t="n">
        <f aca="false">Sens!J8779-Sens!K8775+Sens!K8777</f>
        <v>41.312652157617</v>
      </c>
    </row>
    <row r="8780" customFormat="false" ht="15" hidden="false" customHeight="false" outlineLevel="0" collapsed="false">
      <c r="A8780" s="1" t="s">
        <v>1127</v>
      </c>
      <c r="B8780" s="0" t="s">
        <v>98</v>
      </c>
      <c r="E8780" s="6" t="n">
        <f aca="false">Sens!E8778-Sens!E8779</f>
        <v>30.707</v>
      </c>
      <c r="F8780" s="6" t="n">
        <f aca="false">Sens!F8778-Sens!F8779</f>
        <v>13.114</v>
      </c>
      <c r="G8780" s="6" t="n">
        <f aca="false">Sens!G8778-Sens!G8779</f>
        <v>6.18634784238305</v>
      </c>
      <c r="H8780" s="6" t="n">
        <f aca="false">Sens!H8778-Sens!H8779</f>
        <v>14.0791116524278</v>
      </c>
      <c r="I8780" s="6" t="n">
        <f aca="false">Sens!I8778-Sens!I8779</f>
        <v>87.8597572881152</v>
      </c>
      <c r="J8780" s="6" t="n">
        <f aca="false">Sens!J8778-Sens!J8779</f>
        <v>230.599835527978</v>
      </c>
      <c r="K8780" s="6" t="n">
        <f aca="false">Sens!K8778-Sens!K8779</f>
        <v>405.413839369426</v>
      </c>
    </row>
    <row r="8781" customFormat="false" ht="15" hidden="false" customHeight="false" outlineLevel="0" collapsed="false">
      <c r="A8781" s="1" t="s">
        <v>1128</v>
      </c>
      <c r="B8781" s="0" t="s">
        <v>75</v>
      </c>
      <c r="F8781" s="30" t="n">
        <f aca="false">px*(1+bb_g)^(Sens!F8639-base_fy-mid_yr)</f>
        <v>551.84177959629</v>
      </c>
      <c r="G8781" s="30" t="n">
        <f aca="false">px*(1+bb_g)^(Sens!G8639-base_fy-mid_yr)</f>
        <v>595.989121963993</v>
      </c>
      <c r="H8781" s="30" t="n">
        <f aca="false">px*(1+bb_g)^(Sens!H8639-base_fy-mid_yr)</f>
        <v>643.668251721112</v>
      </c>
      <c r="I8781" s="30" t="n">
        <f aca="false">px*(1+bb_g)^(Sens!I8639-base_fy-mid_yr)</f>
        <v>695.161711858801</v>
      </c>
      <c r="J8781" s="30" t="n">
        <f aca="false">px*(1+bb_g)^(Sens!J8639-base_fy-mid_yr)</f>
        <v>750.774648807506</v>
      </c>
      <c r="K8781" s="30" t="n">
        <f aca="false">px*(1+bb_g)^(Sens!K8639-base_fy-mid_yr)</f>
        <v>810.836620712106</v>
      </c>
    </row>
    <row r="8782" customFormat="false" ht="15" hidden="false" customHeight="false" outlineLevel="0" collapsed="false">
      <c r="A8782" s="1" t="s">
        <v>1129</v>
      </c>
      <c r="B8782" s="1" t="s">
        <v>81</v>
      </c>
      <c r="E8782" s="15" t="n">
        <f aca="false">sh_out26</f>
        <v>7.427</v>
      </c>
      <c r="F8782" s="15" t="n">
        <f aca="false">Sens!E8782+sh_iss-Sens!F8776/Sens!F8781</f>
        <v>7.47022724774763</v>
      </c>
      <c r="G8782" s="15" t="n">
        <f aca="false">Sens!F8782+sh_iss-Sens!G8776/Sens!G8781</f>
        <v>7.51522724774762</v>
      </c>
      <c r="H8782" s="15" t="n">
        <f aca="false">Sens!G8782+sh_iss-Sens!H8776/Sens!H8781</f>
        <v>7.52562712580523</v>
      </c>
      <c r="I8782" s="15" t="n">
        <f aca="false">Sens!H8782+sh_iss-Sens!I8776/Sens!I8781</f>
        <v>7.53858997585856</v>
      </c>
      <c r="J8782" s="15" t="n">
        <f aca="false">Sens!I8782+sh_iss-Sens!J8776/Sens!J8781</f>
        <v>7.55392594813017</v>
      </c>
      <c r="K8782" s="15" t="n">
        <f aca="false">Sens!J8782+sh_iss-Sens!K8776/Sens!K8781</f>
        <v>7.57145925578907</v>
      </c>
    </row>
    <row r="8783" customFormat="false" ht="15" hidden="false" customHeight="false" outlineLevel="0" collapsed="false">
      <c r="A8783" s="1" t="s">
        <v>1130</v>
      </c>
      <c r="B8783" s="1" t="s">
        <v>81</v>
      </c>
      <c r="E8783" s="15" t="n">
        <f aca="false">sh_dil26</f>
        <v>7.453</v>
      </c>
      <c r="F8783" s="15" t="n">
        <f aca="false">(Sens!E8782+Sens!F8782)/2+dil_gap</f>
        <v>7.47261362387381</v>
      </c>
      <c r="G8783" s="15" t="n">
        <f aca="false">(Sens!F8782+Sens!G8782)/2+dil_gap</f>
        <v>7.51672724774763</v>
      </c>
      <c r="H8783" s="15" t="n">
        <f aca="false">(Sens!G8782+Sens!H8782)/2+dil_gap</f>
        <v>7.54442718677643</v>
      </c>
      <c r="I8783" s="15" t="n">
        <f aca="false">(Sens!H8782+Sens!I8782)/2+dil_gap</f>
        <v>7.5561085508319</v>
      </c>
      <c r="J8783" s="15" t="n">
        <f aca="false">(Sens!I8782+Sens!J8782)/2+dil_gap</f>
        <v>7.57025796199437</v>
      </c>
      <c r="K8783" s="15" t="n">
        <f aca="false">(Sens!J8782+Sens!K8782)/2+dil_gap</f>
        <v>7.58669260195962</v>
      </c>
    </row>
    <row r="8784" customFormat="false" ht="17.15" hidden="false" customHeight="false" outlineLevel="0" collapsed="false">
      <c r="A8784" s="1" t="s">
        <v>1131</v>
      </c>
      <c r="B8784" s="0" t="s">
        <v>98</v>
      </c>
      <c r="C8784" s="6" t="n">
        <f aca="false">SUM(Sens!F8774:J8774)</f>
        <v>267.684114285712</v>
      </c>
    </row>
    <row r="8785" customFormat="false" ht="15" hidden="false" customHeight="false" outlineLevel="0" collapsed="false">
      <c r="A8785" s="26" t="s">
        <v>1096</v>
      </c>
      <c r="B8785" s="31" t="s">
        <v>98</v>
      </c>
      <c r="C8785" s="27" t="n">
        <f aca="false">Sens!$C$8784-(Sens!F8774+Sens!G8774+Sens!H8774+Sens!I8774+Sens!J8774)</f>
        <v>0</v>
      </c>
      <c r="D8785" s="31"/>
      <c r="E8785" s="31"/>
      <c r="F8785" s="31"/>
      <c r="G8785" s="31"/>
      <c r="H8785" s="31"/>
      <c r="I8785" s="31"/>
      <c r="J8785" s="31"/>
      <c r="K8785" s="31"/>
    </row>
    <row r="8786" customFormat="false" ht="17.15" hidden="false" customHeight="false" outlineLevel="0" collapsed="false">
      <c r="A8786" s="1" t="s">
        <v>1090</v>
      </c>
      <c r="B8786" s="1" t="s">
        <v>1132</v>
      </c>
      <c r="C8786" s="33" t="str">
        <f aca="false">IF(SUM(Sens!F8777:J8777)&gt;0.05,"需要舉債 "&amp;TEXT(SUM(Sens!F8777:J8777),"0.0")&amp;" 十億美元","不需舉債")&amp;"；"&amp;IF(SUM(Sens!F8776:J8776)&lt;COUNT(Sens!F8776:J8776)*bb_target-0.05,"回購較每年 "&amp;TEXT(bb_target,"0.0")&amp;" 的目標少 "&amp;TEXT(COUNT(Sens!F8776:J8776)*bb_target-SUM(Sens!F8776:J8776),"0.0")&amp;" 十億美元（"&amp;TEXT(COUNTIF(Sens!F8776:J8776,"&lt;"&amp;(bb_target-0.05)),"0")&amp;" 年減少）","回購不減")</f>
        <v>需要舉債 6.9 十億美元；回購較每年 22.3 的目標少 43.6 十億美元（2 年減少）</v>
      </c>
    </row>
    <row r="8787" customFormat="false" ht="17.15" hidden="false" customHeight="false" outlineLevel="0" collapsed="false">
      <c r="A8787" s="3" t="s">
        <v>1699</v>
      </c>
    </row>
    <row r="8788" customFormat="false" ht="15" hidden="false" customHeight="false" outlineLevel="0" collapsed="false">
      <c r="A8788" s="4" t="s">
        <v>43</v>
      </c>
      <c r="B8788" s="4" t="s">
        <v>65</v>
      </c>
      <c r="C8788" s="23" t="s">
        <v>938</v>
      </c>
      <c r="D8788" s="23" t="s">
        <v>939</v>
      </c>
      <c r="E8788" s="23" t="s">
        <v>940</v>
      </c>
      <c r="F8788" s="23" t="s">
        <v>941</v>
      </c>
      <c r="G8788" s="23" t="s">
        <v>942</v>
      </c>
      <c r="H8788" s="23" t="s">
        <v>943</v>
      </c>
      <c r="I8788" s="23" t="s">
        <v>944</v>
      </c>
      <c r="J8788" s="23" t="s">
        <v>945</v>
      </c>
      <c r="K8788" s="23" t="s">
        <v>946</v>
      </c>
      <c r="L8788" s="4" t="s">
        <v>47</v>
      </c>
    </row>
    <row r="8789" customFormat="false" ht="17.15" hidden="false" customHeight="false" outlineLevel="0" collapsed="false">
      <c r="A8789" s="1" t="s">
        <v>1212</v>
      </c>
      <c r="B8789" s="1" t="s">
        <v>279</v>
      </c>
      <c r="F8789" s="8" t="n">
        <f aca="false">(1-v_off)*mid_yr</f>
        <v>0.373972602739726</v>
      </c>
      <c r="G8789" s="8" t="n">
        <f aca="false">Sens!G8639-base_fy-mid_yr-v_off</f>
        <v>1.24794520547945</v>
      </c>
      <c r="H8789" s="8" t="n">
        <f aca="false">Sens!H8639-base_fy-mid_yr-v_off</f>
        <v>2.24794520547945</v>
      </c>
      <c r="I8789" s="8" t="n">
        <f aca="false">Sens!I8639-base_fy-mid_yr-v_off</f>
        <v>3.24794520547945</v>
      </c>
      <c r="J8789" s="8" t="n">
        <f aca="false">Sens!J8639-base_fy-mid_yr-v_off</f>
        <v>4.24794520547945</v>
      </c>
      <c r="K8789" s="8" t="n">
        <f aca="false">Sens!K8639-base_fy-mid_yr-v_off</f>
        <v>5.24794520547945</v>
      </c>
      <c r="L8789" s="12" t="s">
        <v>1213</v>
      </c>
    </row>
    <row r="8790" customFormat="false" ht="15" hidden="false" customHeight="false" outlineLevel="0" collapsed="false">
      <c r="A8790" s="1" t="s">
        <v>1214</v>
      </c>
      <c r="B8790" s="1" t="s">
        <v>279</v>
      </c>
      <c r="F8790" s="8" t="n">
        <f aca="false">Sens!F8639-base_fy-v_off</f>
        <v>0.747945205479452</v>
      </c>
      <c r="G8790" s="8" t="n">
        <f aca="false">Sens!G8639-base_fy-v_off</f>
        <v>1.74794520547945</v>
      </c>
      <c r="H8790" s="8" t="n">
        <f aca="false">Sens!H8639-base_fy-v_off</f>
        <v>2.74794520547945</v>
      </c>
      <c r="I8790" s="8" t="n">
        <f aca="false">Sens!I8639-base_fy-v_off</f>
        <v>3.74794520547945</v>
      </c>
      <c r="J8790" s="8" t="n">
        <f aca="false">Sens!J8639-base_fy-v_off</f>
        <v>4.74794520547945</v>
      </c>
      <c r="K8790" s="8" t="n">
        <f aca="false">Sens!K8639-base_fy-v_off</f>
        <v>5.74794520547945</v>
      </c>
    </row>
    <row r="8791" customFormat="false" ht="15" hidden="false" customHeight="false" outlineLevel="0" collapsed="false">
      <c r="A8791" s="1" t="s">
        <v>1215</v>
      </c>
      <c r="B8791" s="0" t="s">
        <v>229</v>
      </c>
      <c r="F8791" s="15" t="n">
        <f aca="false">1/(1+wacc)^Sens!F8789</f>
        <v>0.964022703286649</v>
      </c>
      <c r="G8791" s="15" t="n">
        <f aca="false">1/(1+wacc)^Sens!G8789</f>
        <v>0.884910302296739</v>
      </c>
      <c r="H8791" s="15" t="n">
        <f aca="false">1/(1+wacc)^Sens!H8789</f>
        <v>0.802322009770358</v>
      </c>
      <c r="I8791" s="15" t="n">
        <f aca="false">1/(1+wacc)^Sens!I8789</f>
        <v>0.727441646561469</v>
      </c>
      <c r="J8791" s="15" t="n">
        <f aca="false">1/(1+wacc)^Sens!J8789</f>
        <v>0.659549834988973</v>
      </c>
      <c r="K8791" s="15" t="n">
        <f aca="false">1/(1+wacc)^Sens!K8789</f>
        <v>0.597994336576966</v>
      </c>
    </row>
    <row r="8792" customFormat="false" ht="17.15" hidden="false" customHeight="false" outlineLevel="0" collapsed="false">
      <c r="A8792" s="1" t="s">
        <v>1216</v>
      </c>
      <c r="B8792" s="0" t="s">
        <v>98</v>
      </c>
      <c r="F8792" s="6" t="n">
        <f aca="false">Q!$I$35-Q!$I$39-Q!$I$43</f>
        <v>9.666</v>
      </c>
      <c r="L8792" s="12" t="s">
        <v>1217</v>
      </c>
    </row>
    <row r="8793" customFormat="false" ht="17.15" hidden="false" customHeight="false" outlineLevel="0" collapsed="false">
      <c r="A8793" s="1" t="s">
        <v>1218</v>
      </c>
      <c r="B8793" s="0" t="s">
        <v>98</v>
      </c>
      <c r="F8793" s="6" t="n">
        <f aca="false">Sens!F8764-Sens!F8761-Sens!F8768+Sens!F8746*(1-tax_f)*(1-v_off)-Sens!F8792</f>
        <v>-3.54059990493392</v>
      </c>
      <c r="G8793" s="6" t="n">
        <f aca="false">Sens!G8764-Sens!G8761-Sens!G8768+Sens!G8746*(1-tax_f)</f>
        <v>29.2693713105486</v>
      </c>
      <c r="H8793" s="6" t="n">
        <f aca="false">Sens!H8764-Sens!H8761-Sens!H8768+Sens!H8746*(1-tax_f)</f>
        <v>78.6773658265896</v>
      </c>
      <c r="I8793" s="6" t="n">
        <f aca="false">Sens!I8764-Sens!I8761-Sens!I8768+Sens!I8746*(1-tax_f)</f>
        <v>156.573836345337</v>
      </c>
      <c r="J8793" s="6" t="n">
        <f aca="false">Sens!J8764-Sens!J8761-Sens!J8768+Sens!J8746*(1-tax_f)</f>
        <v>234.780570342101</v>
      </c>
      <c r="K8793" s="6" t="n">
        <f aca="false">Sens!K8764-Sens!K8761-Sens!K8768+Sens!K8746*(1-tax_f)</f>
        <v>272.911105529875</v>
      </c>
      <c r="L8793" s="1" t="s">
        <v>1219</v>
      </c>
    </row>
    <row r="8794" customFormat="false" ht="15" hidden="false" customHeight="false" outlineLevel="0" collapsed="false">
      <c r="A8794" s="1" t="s">
        <v>1220</v>
      </c>
      <c r="B8794" s="0" t="s">
        <v>98</v>
      </c>
      <c r="F8794" s="6" t="n">
        <f aca="false">Sens!F8793*Sens!F8791</f>
        <v>-3.41321869161085</v>
      </c>
      <c r="G8794" s="6" t="n">
        <f aca="false">Sens!G8793*Sens!G8791</f>
        <v>25.9007682144531</v>
      </c>
      <c r="H8794" s="6" t="n">
        <f aca="false">Sens!H8793*Sens!H8791</f>
        <v>63.1245822734271</v>
      </c>
      <c r="I8794" s="6" t="n">
        <f aca="false">Sens!I8793*Sens!I8791</f>
        <v>113.898329319498</v>
      </c>
      <c r="J8794" s="6" t="n">
        <f aca="false">Sens!J8793*Sens!J8791</f>
        <v>154.84948642775</v>
      </c>
      <c r="K8794" s="6" t="n">
        <f aca="false">Sens!K8793*Sens!K8791</f>
        <v>163.199295495824</v>
      </c>
    </row>
    <row r="8795" customFormat="false" ht="17.15" hidden="false" customHeight="false" outlineLevel="0" collapsed="false">
      <c r="A8795" s="1" t="s">
        <v>1221</v>
      </c>
      <c r="B8795" s="0" t="s">
        <v>98</v>
      </c>
      <c r="C8795" s="6" t="n">
        <f aca="false">SUM(Sens!F8794:K8794)</f>
        <v>517.55924303934</v>
      </c>
    </row>
    <row r="8796" customFormat="false" ht="17.15" hidden="false" customHeight="false" outlineLevel="0" collapsed="false">
      <c r="A8796" s="1" t="s">
        <v>1222</v>
      </c>
      <c r="B8796" s="0" t="s">
        <v>98</v>
      </c>
      <c r="C8796" s="6" t="n">
        <f aca="false">Sens!K8732*(1+g_tv)*(1-tax_f)</f>
        <v>284.565855566429</v>
      </c>
    </row>
    <row r="8797" customFormat="false" ht="17.15" hidden="false" customHeight="false" outlineLevel="0" collapsed="false">
      <c r="A8797" s="1" t="s">
        <v>1223</v>
      </c>
      <c r="B8797" s="0" t="s">
        <v>98</v>
      </c>
      <c r="C8797" s="6" t="n">
        <f aca="false">Sens!$C$8796*(1-g_tv/(wacc+ronic_prem))</f>
        <v>201.631540484004</v>
      </c>
    </row>
    <row r="8798" customFormat="false" ht="17.15" hidden="false" customHeight="false" outlineLevel="0" collapsed="false">
      <c r="A8798" s="1" t="s">
        <v>1224</v>
      </c>
      <c r="B8798" s="0" t="s">
        <v>98</v>
      </c>
      <c r="C8798" s="6" t="n">
        <f aca="false">Sens!$C$8797/(wacc-g_tv)</f>
        <v>2764.47716941417</v>
      </c>
    </row>
    <row r="8799" customFormat="false" ht="15" hidden="false" customHeight="false" outlineLevel="0" collapsed="false">
      <c r="A8799" s="1" t="s">
        <v>1225</v>
      </c>
      <c r="B8799" s="0" t="s">
        <v>98</v>
      </c>
      <c r="C8799" s="6" t="n">
        <f aca="false">Sens!$C$8798/(1+wacc)^Sens!K8790</f>
        <v>1574.10901459548</v>
      </c>
    </row>
    <row r="8800" customFormat="false" ht="17.15" hidden="false" customHeight="false" outlineLevel="0" collapsed="false">
      <c r="A8800" s="0" t="s">
        <v>1226</v>
      </c>
      <c r="B8800" s="0" t="s">
        <v>98</v>
      </c>
      <c r="C8800" s="6" t="n">
        <f aca="false">Sens!$C$8795+Sens!$C$8799</f>
        <v>2091.66825763483</v>
      </c>
    </row>
    <row r="8801" customFormat="false" ht="15" hidden="false" customHeight="false" outlineLevel="0" collapsed="false">
      <c r="A8801" s="1" t="s">
        <v>1141</v>
      </c>
      <c r="B8801" s="0" t="s">
        <v>168</v>
      </c>
      <c r="C8801" s="7" t="n">
        <f aca="false">Sens!$C$8799/Sens!$C$8800</f>
        <v>0.752561506276059</v>
      </c>
    </row>
    <row r="8802" customFormat="false" ht="17.15" hidden="false" customHeight="false" outlineLevel="0" collapsed="false">
      <c r="A8802" s="1" t="s">
        <v>1227</v>
      </c>
      <c r="B8802" s="0" t="s">
        <v>98</v>
      </c>
      <c r="C8802" s="6" t="n">
        <f aca="false">Sens!$C$8800+cash_val-debt_val-fl_val+oai_v</f>
        <v>2207.51925763483</v>
      </c>
    </row>
    <row r="8803" customFormat="false" ht="17.15" hidden="false" customHeight="false" outlineLevel="0" collapsed="false">
      <c r="A8803" s="0" t="s">
        <v>1149</v>
      </c>
      <c r="B8803" s="0" t="s">
        <v>75</v>
      </c>
      <c r="C8803" s="5" t="n">
        <f aca="false">Sens!$C$8802/shd_val</f>
        <v>296.470488535432</v>
      </c>
    </row>
    <row r="8804" customFormat="false" ht="15" hidden="false" customHeight="false" outlineLevel="0" collapsed="false">
      <c r="A8804" s="1" t="s">
        <v>1228</v>
      </c>
      <c r="B8804" s="0" t="s">
        <v>75</v>
      </c>
      <c r="C8804" s="8" t="n">
        <f aca="false">div_rem27+Sens!G8772*roll_div_q/q_per_yr</f>
        <v>3.9795</v>
      </c>
    </row>
    <row r="8805" customFormat="false" ht="17.15" hidden="false" customHeight="false" outlineLevel="0" collapsed="false">
      <c r="A8805" s="0" t="s">
        <v>1229</v>
      </c>
      <c r="B8805" s="0" t="s">
        <v>75</v>
      </c>
      <c r="C8805" s="5" t="n">
        <f aca="false">Sens!$C$8803*(1+wacc)^t_roll-Sens!$C$8804</f>
        <v>325.563994245618</v>
      </c>
    </row>
    <row r="8806" customFormat="false" ht="17.15" hidden="false" customHeight="false" outlineLevel="0" collapsed="false">
      <c r="A8806" s="1" t="s">
        <v>1230</v>
      </c>
      <c r="B8806" s="0" t="s">
        <v>168</v>
      </c>
      <c r="F8806" s="7" t="n">
        <f aca="false">Sens!F8758/(Sens!F8703-Sens!F8658)</f>
        <v>0.0683085316491697</v>
      </c>
      <c r="G8806" s="7" t="n">
        <f aca="false">Sens!G8758/(Sens!G8703-Sens!G8658)</f>
        <v>0.0654488478159728</v>
      </c>
      <c r="H8806" s="7" t="n">
        <f aca="false">Sens!H8758/(Sens!H8703-Sens!H8658)</f>
        <v>0.0639687554664546</v>
      </c>
      <c r="I8806" s="7" t="n">
        <f aca="false">Sens!I8758/(Sens!I8703-Sens!I8658)</f>
        <v>0.0637589991885868</v>
      </c>
      <c r="J8806" s="7" t="n">
        <f aca="false">Sens!J8758/(Sens!J8703-Sens!J8658)</f>
        <v>0.064514952041441</v>
      </c>
      <c r="K8806" s="7" t="n">
        <f aca="false">Sens!K8758/(Sens!K8703-Sens!K8658)</f>
        <v>0.0658507930782704</v>
      </c>
    </row>
    <row r="8807" customFormat="false" ht="17.15" hidden="false" customHeight="false" outlineLevel="0" collapsed="false">
      <c r="A8807" s="0" t="s">
        <v>1231</v>
      </c>
      <c r="B8807" s="0" t="s">
        <v>98</v>
      </c>
      <c r="F8807" s="6" t="n">
        <f aca="false">Sens!F8688*(al_m365+Sens!F8806+sbc_r)</f>
        <v>84.9772376116113</v>
      </c>
      <c r="G8807" s="6" t="n">
        <f aca="false">Sens!G8688*(al_m365+Sens!G8806+sbc_r)</f>
        <v>98.1639830486857</v>
      </c>
      <c r="H8807" s="6" t="n">
        <f aca="false">Sens!H8688*(al_m365+Sens!H8806+sbc_r)</f>
        <v>111.516494162642</v>
      </c>
      <c r="I8807" s="6" t="n">
        <f aca="false">Sens!I8688*(al_m365+Sens!I8806+sbc_r)</f>
        <v>123.653513384119</v>
      </c>
      <c r="J8807" s="6" t="n">
        <f aca="false">Sens!J8688*(al_m365+Sens!J8806+sbc_r)</f>
        <v>134.388078242183</v>
      </c>
      <c r="K8807" s="6" t="n">
        <f aca="false">Sens!K8688*(al_m365+Sens!K8806+sbc_r)</f>
        <v>144.73979734878</v>
      </c>
      <c r="L8807" s="12" t="s">
        <v>1232</v>
      </c>
    </row>
    <row r="8808" customFormat="false" ht="17.15" hidden="false" customHeight="false" outlineLevel="0" collapsed="false">
      <c r="A8808" s="0" t="s">
        <v>1233</v>
      </c>
      <c r="B8808" s="0" t="s">
        <v>98</v>
      </c>
      <c r="F8808" s="6" t="n">
        <f aca="false">Sens!F8689*(al_lic+Sens!F8806+sbc_r)</f>
        <v>32.8458265858795</v>
      </c>
      <c r="G8808" s="6" t="n">
        <f aca="false">Sens!G8689*(al_lic+Sens!G8806+sbc_r)</f>
        <v>34.1222422176045</v>
      </c>
      <c r="H8808" s="6" t="n">
        <f aca="false">Sens!H8689*(al_lic+Sens!H8806+sbc_r)</f>
        <v>35.315118863238</v>
      </c>
      <c r="I8808" s="6" t="n">
        <f aca="false">Sens!I8689*(al_lic+Sens!I8806+sbc_r)</f>
        <v>36.4069946386761</v>
      </c>
      <c r="J8808" s="6" t="n">
        <f aca="false">Sens!J8689*(al_lic+Sens!J8806+sbc_r)</f>
        <v>37.3716693142225</v>
      </c>
      <c r="K8808" s="6" t="n">
        <f aca="false">Sens!K8689*(al_lic+Sens!K8806+sbc_r)</f>
        <v>38.1788763932254</v>
      </c>
    </row>
    <row r="8809" customFormat="false" ht="17.15" hidden="false" customHeight="false" outlineLevel="0" collapsed="false">
      <c r="A8809" s="0" t="s">
        <v>1234</v>
      </c>
      <c r="B8809" s="0" t="s">
        <v>98</v>
      </c>
      <c r="F8809" s="6" t="n">
        <f aca="false">Sens!F8691*(al_ind+Sens!F8806+sbc_r)</f>
        <v>9.05347589257077</v>
      </c>
      <c r="G8809" s="6" t="n">
        <f aca="false">Sens!G8691*(al_ind+Sens!G8806+sbc_r)</f>
        <v>9.82681097760548</v>
      </c>
      <c r="H8809" s="6" t="n">
        <f aca="false">Sens!H8691*(al_ind+Sens!H8806+sbc_r)</f>
        <v>10.6458540931555</v>
      </c>
      <c r="I8809" s="6" t="n">
        <f aca="false">Sens!I8691*(al_ind+Sens!I8806+sbc_r)</f>
        <v>11.5081332633596</v>
      </c>
      <c r="J8809" s="6" t="n">
        <f aca="false">Sens!J8691*(al_ind+Sens!J8806+sbc_r)</f>
        <v>12.4035614879512</v>
      </c>
      <c r="K8809" s="6" t="n">
        <f aca="false">Sens!K8691*(al_ind+Sens!K8806+sbc_r)</f>
        <v>13.3159240991204</v>
      </c>
    </row>
    <row r="8810" customFormat="false" ht="17.15" hidden="false" customHeight="false" outlineLevel="0" collapsed="false">
      <c r="A8810" s="0" t="s">
        <v>1235</v>
      </c>
      <c r="B8810" s="0" t="s">
        <v>98</v>
      </c>
      <c r="F8810" s="6" t="n">
        <f aca="false">Sens!F8693*(al_fro+Sens!F8806+sbc_r)</f>
        <v>3.55130678614832</v>
      </c>
      <c r="G8810" s="6" t="n">
        <f aca="false">Sens!G8693*(al_fro+Sens!G8806+sbc_r)</f>
        <v>3.76002588393281</v>
      </c>
      <c r="H8810" s="6" t="n">
        <f aca="false">Sens!H8693*(al_fro+Sens!H8806+sbc_r)</f>
        <v>3.99801786494696</v>
      </c>
      <c r="I8810" s="6" t="n">
        <f aca="false">Sens!I8693*(al_fro+Sens!I8806+sbc_r)</f>
        <v>4.26822826370219</v>
      </c>
      <c r="J8810" s="6" t="n">
        <f aca="false">Sens!J8693*(al_fro+Sens!J8806+sbc_r)</f>
        <v>4.57164310430994</v>
      </c>
      <c r="K8810" s="6" t="n">
        <f aca="false">Sens!K8693*(al_fro+Sens!K8806+sbc_r)</f>
        <v>4.90791718526916</v>
      </c>
    </row>
    <row r="8811" customFormat="false" ht="17.15" hidden="false" customHeight="false" outlineLevel="0" collapsed="false">
      <c r="A8811" s="0" t="s">
        <v>1236</v>
      </c>
      <c r="B8811" s="0" t="s">
        <v>98</v>
      </c>
      <c r="F8811" s="6" t="n">
        <f aca="false">Sens!F8696*(al_srch+Sens!F8806+sbc_r)</f>
        <v>11.1805184202288</v>
      </c>
      <c r="G8811" s="6" t="n">
        <f aca="false">Sens!G8696*(al_srch+Sens!G8806+sbc_r)</f>
        <v>12.2500460253548</v>
      </c>
      <c r="H8811" s="6" t="n">
        <f aca="false">Sens!H8696*(al_srch+Sens!H8806+sbc_r)</f>
        <v>13.3654729717334</v>
      </c>
      <c r="I8811" s="6" t="n">
        <f aca="false">Sens!I8696*(al_srch+Sens!I8806+sbc_r)</f>
        <v>14.5169223772372</v>
      </c>
      <c r="J8811" s="6" t="n">
        <f aca="false">Sens!J8696*(al_srch+Sens!J8806+sbc_r)</f>
        <v>15.6839619556146</v>
      </c>
      <c r="K8811" s="6" t="n">
        <f aca="false">Sens!K8696*(al_srch+Sens!K8806+sbc_r)</f>
        <v>16.8376193545159</v>
      </c>
    </row>
    <row r="8812" customFormat="false" ht="17.15" hidden="false" customHeight="false" outlineLevel="0" collapsed="false">
      <c r="A8812" s="0" t="s">
        <v>1237</v>
      </c>
      <c r="B8812" s="0" t="s">
        <v>98</v>
      </c>
      <c r="F8812" s="6" t="n">
        <f aca="false">Sens!F8664-Sens!F8665+Sens!F8746</f>
        <v>41.1728113819314</v>
      </c>
      <c r="G8812" s="6" t="n">
        <f aca="false">Sens!G8664-Sens!G8665+Sens!G8746</f>
        <v>79.4368096499228</v>
      </c>
      <c r="H8812" s="6" t="n">
        <f aca="false">Sens!H8664-Sens!H8665+Sens!H8746</f>
        <v>120.537670927133</v>
      </c>
      <c r="I8812" s="6" t="n">
        <f aca="false">Sens!I8664-Sens!I8665+Sens!I8746</f>
        <v>157.351484951913</v>
      </c>
      <c r="J8812" s="6" t="n">
        <f aca="false">Sens!J8664-Sens!J8665+Sens!J8746</f>
        <v>183.2217105221</v>
      </c>
      <c r="K8812" s="6" t="n">
        <f aca="false">Sens!K8664-Sens!K8665+Sens!K8746</f>
        <v>198.836816438591</v>
      </c>
    </row>
    <row r="8813" customFormat="false" ht="17.15" hidden="false" customHeight="false" outlineLevel="0" collapsed="false">
      <c r="A8813" s="0" t="s">
        <v>1238</v>
      </c>
      <c r="B8813" s="0" t="s">
        <v>98</v>
      </c>
      <c r="F8813" s="6" t="n">
        <f aca="false">Sens!F8725+Sens!F8746+Sens!F8676+Sens!F8806*(Sens!F8695-Sens!F8658)+sbc_r*Sens!F8695</f>
        <v>237.832124236405</v>
      </c>
      <c r="G8813" s="6" t="n">
        <f aca="false">Sens!G8725+Sens!G8746+Sens!G8676+Sens!G8806*(Sens!G8695-Sens!G8658)+sbc_r*Sens!G8695</f>
        <v>299.730490507995</v>
      </c>
      <c r="H8813" s="6" t="n">
        <f aca="false">Sens!H8725+Sens!H8746+Sens!H8676+Sens!H8806*(Sens!H8695-Sens!H8658)+sbc_r*Sens!H8695</f>
        <v>369.325076287788</v>
      </c>
      <c r="I8813" s="6" t="n">
        <f aca="false">Sens!I8725+Sens!I8746+Sens!I8676+Sens!I8806*(Sens!I8695-Sens!I8658)+sbc_r*Sens!I8695</f>
        <v>433.069419368514</v>
      </c>
      <c r="J8813" s="6" t="n">
        <f aca="false">Sens!J8725+Sens!J8746+Sens!J8676+Sens!J8806*(Sens!J8695-Sens!J8658)+sbc_r*Sens!J8695</f>
        <v>483.230756096339</v>
      </c>
      <c r="K8813" s="6" t="n">
        <f aca="false">Sens!K8725+Sens!K8746+Sens!K8676+Sens!K8806*(Sens!K8695-Sens!K8658)+sbc_r*Sens!K8695</f>
        <v>520.748865038378</v>
      </c>
    </row>
    <row r="8814" customFormat="false" ht="17.15" hidden="false" customHeight="false" outlineLevel="0" collapsed="false">
      <c r="A8814" s="0" t="s">
        <v>1239</v>
      </c>
      <c r="B8814" s="0" t="s">
        <v>98</v>
      </c>
      <c r="F8814" s="6" t="n">
        <f aca="false">Sens!F8813-Sens!F8807-Sens!F8808-Sens!F8809-Sens!F8810-Sens!F8812</f>
        <v>66.2314659782634</v>
      </c>
      <c r="G8814" s="6" t="n">
        <f aca="false">Sens!G8813-Sens!G8807-Sens!G8808-Sens!G8809-Sens!G8810-Sens!G8812</f>
        <v>74.4206187302434</v>
      </c>
      <c r="H8814" s="6" t="n">
        <f aca="false">Sens!H8813-Sens!H8807-Sens!H8808-Sens!H8809-Sens!H8810-Sens!H8812</f>
        <v>87.3119203766721</v>
      </c>
      <c r="I8814" s="6" t="n">
        <f aca="false">Sens!I8813-Sens!I8807-Sens!I8808-Sens!I8809-Sens!I8810-Sens!I8812</f>
        <v>99.8810648667437</v>
      </c>
      <c r="J8814" s="6" t="n">
        <f aca="false">Sens!J8813-Sens!J8807-Sens!J8808-Sens!J8809-Sens!J8810-Sens!J8812</f>
        <v>111.274093425572</v>
      </c>
      <c r="K8814" s="6" t="n">
        <f aca="false">Sens!K8813-Sens!K8807-Sens!K8808-Sens!K8809-Sens!K8810-Sens!K8812</f>
        <v>120.769533573392</v>
      </c>
    </row>
    <row r="8815" customFormat="false" ht="17.15" hidden="false" customHeight="false" outlineLevel="0" collapsed="false">
      <c r="A8815" s="0" t="s">
        <v>1240</v>
      </c>
      <c r="B8815" s="0" t="s">
        <v>98</v>
      </c>
      <c r="F8815" s="6" t="n">
        <f aca="false">Sens!F8727+Sens!F8806*Sens!F8702+sbc_r*Sens!F8702</f>
        <v>26.6136362372989</v>
      </c>
      <c r="G8815" s="6" t="n">
        <f aca="false">Sens!G8727+Sens!G8806*Sens!G8702+sbc_r*Sens!G8702</f>
        <v>26.4466023509717</v>
      </c>
      <c r="H8815" s="6" t="n">
        <f aca="false">Sens!H8727+Sens!H8806*Sens!H8702+sbc_r*Sens!H8702</f>
        <v>27.3178776963745</v>
      </c>
      <c r="I8815" s="6" t="n">
        <f aca="false">Sens!I8727+Sens!I8806*Sens!I8702+sbc_r*Sens!I8702</f>
        <v>28.4282281660482</v>
      </c>
      <c r="J8815" s="6" t="n">
        <f aca="false">Sens!J8727+Sens!J8806*Sens!J8702+sbc_r*Sens!J8702</f>
        <v>29.7412795716628</v>
      </c>
      <c r="K8815" s="6" t="n">
        <f aca="false">Sens!K8727+Sens!K8806*Sens!K8702+sbc_r*Sens!K8702</f>
        <v>31.2173032401521</v>
      </c>
    </row>
    <row r="8816" customFormat="false" ht="17.15" hidden="false" customHeight="false" outlineLevel="0" collapsed="false">
      <c r="A8816" s="0" t="s">
        <v>1241</v>
      </c>
      <c r="B8816" s="0" t="s">
        <v>98</v>
      </c>
      <c r="F8816" s="6" t="n">
        <f aca="false">(Sens!F8815-Sens!F8811)*Sens!F8698/(Sens!F8698+Sens!F8700)</f>
        <v>8.71640144847422</v>
      </c>
      <c r="G8816" s="6" t="n">
        <f aca="false">(Sens!G8815-Sens!G8811)*Sens!G8698/(Sens!G8698+Sens!G8700)</f>
        <v>7.88020960913013</v>
      </c>
      <c r="H8816" s="6" t="n">
        <f aca="false">(Sens!H8815-Sens!H8811)*Sens!H8698/(Sens!H8698+Sens!H8700)</f>
        <v>7.64379586389175</v>
      </c>
      <c r="I8816" s="6" t="n">
        <f aca="false">(Sens!I8815-Sens!I8811)*Sens!I8698/(Sens!I8698+Sens!I8700)</f>
        <v>7.55475790675133</v>
      </c>
      <c r="J8816" s="6" t="n">
        <f aca="false">(Sens!J8815-Sens!J8811)*Sens!J8698/(Sens!J8698+Sens!J8700)</f>
        <v>7.60074496573559</v>
      </c>
      <c r="K8816" s="6" t="n">
        <f aca="false">(Sens!K8815-Sens!K8811)*Sens!K8698/(Sens!K8698+Sens!K8700)</f>
        <v>7.77504733746942</v>
      </c>
    </row>
    <row r="8817" customFormat="false" ht="17.15" hidden="false" customHeight="false" outlineLevel="0" collapsed="false">
      <c r="A8817" s="0" t="s">
        <v>1242</v>
      </c>
      <c r="B8817" s="0" t="s">
        <v>98</v>
      </c>
      <c r="F8817" s="6" t="n">
        <f aca="false">Sens!F8815-Sens!F8811-Sens!F8816</f>
        <v>6.71671636859585</v>
      </c>
      <c r="G8817" s="6" t="n">
        <f aca="false">Sens!G8815-Sens!G8811-Sens!G8816</f>
        <v>6.31634671648677</v>
      </c>
      <c r="H8817" s="6" t="n">
        <f aca="false">Sens!H8815-Sens!H8811-Sens!H8816</f>
        <v>6.30860886074932</v>
      </c>
      <c r="I8817" s="6" t="n">
        <f aca="false">Sens!I8815-Sens!I8811-Sens!I8816</f>
        <v>6.3565478820597</v>
      </c>
      <c r="J8817" s="6" t="n">
        <f aca="false">Sens!J8815-Sens!J8811-Sens!J8816</f>
        <v>6.45657265031267</v>
      </c>
      <c r="K8817" s="6" t="n">
        <f aca="false">Sens!K8815-Sens!K8811-Sens!K8816</f>
        <v>6.60463654816671</v>
      </c>
    </row>
    <row r="8818" customFormat="false" ht="17.15" hidden="false" customHeight="false" outlineLevel="0" collapsed="false">
      <c r="A8818" s="0" t="s">
        <v>1243</v>
      </c>
      <c r="B8818" s="0" t="s">
        <v>98</v>
      </c>
      <c r="F8818" s="6" t="n">
        <f aca="false">Sens!F8812-tax_f*(Sens!F8812-Sens!F8676)-Sens!F8673</f>
        <v>-128.599792040904</v>
      </c>
      <c r="G8818" s="6" t="n">
        <f aca="false">Sens!G8812-tax_f*(Sens!G8812-Sens!G8676)-Sens!G8673</f>
        <v>-116.24812979865</v>
      </c>
      <c r="H8818" s="6" t="n">
        <f aca="false">Sens!H8812-tax_f*(Sens!H8812-Sens!H8676)-Sens!H8673</f>
        <v>-82.5558491905165</v>
      </c>
      <c r="I8818" s="6" t="n">
        <f aca="false">Sens!I8812-tax_f*(Sens!I8812-Sens!I8676)-Sens!I8673</f>
        <v>-19.8874437211699</v>
      </c>
      <c r="J8818" s="6" t="n">
        <f aca="false">Sens!J8812-tax_f*(Sens!J8812-Sens!J8676)-Sens!J8673</f>
        <v>44.0505718316587</v>
      </c>
      <c r="K8818" s="6" t="n">
        <f aca="false">Sens!K8812-tax_f*(Sens!K8812-Sens!K8676)-Sens!K8673</f>
        <v>68.7091339963273</v>
      </c>
    </row>
    <row r="8819" customFormat="false" ht="17.15" hidden="false" customHeight="false" outlineLevel="0" collapsed="false">
      <c r="A8819" s="0" t="s">
        <v>1244</v>
      </c>
      <c r="B8819" s="0" t="s">
        <v>98</v>
      </c>
      <c r="G8819" s="6" t="n">
        <f aca="false">Sens!G8818/(1+wacc)^(Sens!G8789-Sens!F8790)</f>
        <v>-110.6905899552</v>
      </c>
      <c r="H8819" s="6" t="n">
        <f aca="false">Sens!H8818/(1+wacc)^(Sens!H8789-Sens!F8790)</f>
        <v>-71.2725063579992</v>
      </c>
      <c r="I8819" s="6" t="n">
        <f aca="false">Sens!I8818/(1+wacc)^(Sens!I8789-Sens!F8790)</f>
        <v>-15.5669166813498</v>
      </c>
      <c r="J8819" s="6" t="n">
        <f aca="false">Sens!J8818/(1+wacc)^(Sens!J8789-Sens!F8790)</f>
        <v>31.2625675172402</v>
      </c>
      <c r="K8819" s="6" t="n">
        <f aca="false">Sens!K8818/(1+wacc)^(Sens!K8789-Sens!F8790)</f>
        <v>44.2116803981176</v>
      </c>
      <c r="L8819" s="1" t="s">
        <v>1245</v>
      </c>
    </row>
    <row r="8820" customFormat="false" ht="17.15" hidden="false" customHeight="false" outlineLevel="0" collapsed="false">
      <c r="A8820" s="0" t="s">
        <v>1246</v>
      </c>
      <c r="B8820" s="0" t="s">
        <v>98</v>
      </c>
      <c r="C8820" s="6" t="n">
        <f aca="false">(Sens!K8812-Sens!K8676)*(1-tax_f)*(1+g_tv)*(1-g_tv/(wacc+ronic_prem))/(wacc-g_tv)/(1+wacc)^(Sens!K8790-Sens!F8790)</f>
        <v>273.795811424816</v>
      </c>
    </row>
    <row r="8821" customFormat="false" ht="17.15" hidden="false" customHeight="false" outlineLevel="0" collapsed="false">
      <c r="A8821" s="1" t="s">
        <v>1247</v>
      </c>
      <c r="B8821" s="0" t="s">
        <v>98</v>
      </c>
      <c r="C8821" s="6" t="n">
        <f aca="false">(SUM(Sens!G8819:K8819)+Sens!$C$8820)*(1+wacc)^(t_roll-Sens!F8790)</f>
        <v>156.749444171455</v>
      </c>
      <c r="L8821" s="12" t="s">
        <v>1248</v>
      </c>
    </row>
    <row r="8822" customFormat="false" ht="17.15" hidden="false" customHeight="false" outlineLevel="0" collapsed="false">
      <c r="A8822" s="1" t="s">
        <v>1249</v>
      </c>
      <c r="B8822" s="0" t="s">
        <v>98</v>
      </c>
      <c r="C8822" s="6" t="n">
        <f aca="false">(w_ntm28*Sens!G8664+(1-w_ntm28)*Sens!H8664)*m_ai</f>
        <v>463.789109510335</v>
      </c>
    </row>
    <row r="8823" customFormat="false" ht="17.15" hidden="false" customHeight="false" outlineLevel="0" collapsed="false">
      <c r="A8823" s="1" t="s">
        <v>1250</v>
      </c>
      <c r="B8823" s="0" t="s">
        <v>98</v>
      </c>
      <c r="C8823" s="6" t="n">
        <f aca="false">(w_ntm28*Sens!G8814+(1-w_ntm28)*Sens!H8814)*m_cloud</f>
        <v>1087.06537455179</v>
      </c>
    </row>
    <row r="8824" customFormat="false" ht="17.15" hidden="false" customHeight="false" outlineLevel="0" collapsed="false">
      <c r="A8824" s="1" t="s">
        <v>1251</v>
      </c>
      <c r="B8824" s="0" t="s">
        <v>98</v>
      </c>
      <c r="C8824" s="6" t="n">
        <f aca="false">(w_ntm28*Sens!G8807+(1-w_ntm28)*Sens!H8807)*m_sw</f>
        <v>1107.58157693591</v>
      </c>
    </row>
    <row r="8825" customFormat="false" ht="17.15" hidden="false" customHeight="false" outlineLevel="0" collapsed="false">
      <c r="A8825" s="1" t="s">
        <v>1252</v>
      </c>
      <c r="B8825" s="0" t="s">
        <v>98</v>
      </c>
      <c r="C8825" s="6" t="n">
        <f aca="false">(w_ntm28*Sens!G8808+(1-w_ntm28)*Sens!H8808)*m_sw</f>
        <v>372.755745080926</v>
      </c>
    </row>
    <row r="8826" customFormat="false" ht="17.15" hidden="false" customHeight="false" outlineLevel="0" collapsed="false">
      <c r="A8826" s="1" t="s">
        <v>1253</v>
      </c>
      <c r="B8826" s="0" t="s">
        <v>98</v>
      </c>
      <c r="C8826" s="6" t="n">
        <f aca="false">(w_ntm28*Sens!G8809+(1-w_ntm28)*Sens!H8809)*m_sw</f>
        <v>109.037722606777</v>
      </c>
    </row>
    <row r="8827" customFormat="false" ht="17.15" hidden="false" customHeight="false" outlineLevel="0" collapsed="false">
      <c r="A8827" s="1" t="s">
        <v>1254</v>
      </c>
      <c r="B8827" s="0" t="s">
        <v>98</v>
      </c>
      <c r="C8827" s="6" t="n">
        <f aca="false">(w_ntm28*Sens!G8810+(1-w_ntm28)*Sens!H8810)*m_sw</f>
        <v>41.4533140872807</v>
      </c>
    </row>
    <row r="8828" customFormat="false" ht="17.15" hidden="false" customHeight="false" outlineLevel="0" collapsed="false">
      <c r="A8828" s="1" t="s">
        <v>1255</v>
      </c>
      <c r="B8828" s="0" t="s">
        <v>98</v>
      </c>
      <c r="C8828" s="6" t="n">
        <f aca="false">(w_ntm28*Sens!G8811+(1-w_ntm28)*Sens!H8811)*m_ads</f>
        <v>114.938699394492</v>
      </c>
    </row>
    <row r="8829" customFormat="false" ht="17.15" hidden="false" customHeight="false" outlineLevel="0" collapsed="false">
      <c r="A8829" s="1" t="s">
        <v>1256</v>
      </c>
      <c r="B8829" s="0" t="s">
        <v>98</v>
      </c>
      <c r="C8829" s="6" t="n">
        <f aca="false">(w_ntm28*Sens!G8816+(1-w_ntm28)*Sens!H8816)*m_game</f>
        <v>98.5453797680169</v>
      </c>
    </row>
    <row r="8830" customFormat="false" ht="17.15" hidden="false" customHeight="false" outlineLevel="0" collapsed="false">
      <c r="A8830" s="1" t="s">
        <v>1257</v>
      </c>
      <c r="B8830" s="0" t="s">
        <v>98</v>
      </c>
      <c r="C8830" s="6" t="n">
        <f aca="false">(w_ntm28*Sens!G8817+(1-w_ntm28)*Sens!H8817)*m_pc</f>
        <v>91.360725993858</v>
      </c>
    </row>
    <row r="8831" customFormat="false" ht="17.15" hidden="false" customHeight="false" outlineLevel="0" collapsed="false">
      <c r="A8831" s="1" t="s">
        <v>1258</v>
      </c>
      <c r="B8831" s="0" t="s">
        <v>98</v>
      </c>
      <c r="C8831" s="6" t="n">
        <f aca="false">Sens!$C$8821+Sens!$C$8823+Sens!$C$8824+Sens!$C$8825+Sens!$C$8826+Sens!$C$8827+Sens!$C$8828+Sens!$C$8829+Sens!$C$8830</f>
        <v>3179.48798259051</v>
      </c>
    </row>
    <row r="8832" customFormat="false" ht="17.15" hidden="false" customHeight="false" outlineLevel="0" collapsed="false">
      <c r="A8832" s="1" t="s">
        <v>1259</v>
      </c>
      <c r="B8832" s="0" t="s">
        <v>98</v>
      </c>
      <c r="C8832" s="6" t="n">
        <f aca="false">(Sens!G8793-Sens!G8818)*t_stub</f>
        <v>48.2400483129125</v>
      </c>
      <c r="L8832" s="1" t="s">
        <v>1260</v>
      </c>
    </row>
    <row r="8833" customFormat="false" ht="17.15" hidden="false" customHeight="false" outlineLevel="0" collapsed="false">
      <c r="A8833" s="1" t="s">
        <v>1169</v>
      </c>
      <c r="B8833" s="0" t="s">
        <v>98</v>
      </c>
      <c r="C8833" s="6" t="n">
        <f aca="false">Sens!F8780+oai_v-Sens!F8769+Sens!$C$8832</f>
        <v>162.468318312912</v>
      </c>
      <c r="L8833" s="1" t="s">
        <v>1261</v>
      </c>
    </row>
    <row r="8834" customFormat="false" ht="17.15" hidden="false" customHeight="false" outlineLevel="0" collapsed="false">
      <c r="A8834" s="1" t="s">
        <v>1262</v>
      </c>
      <c r="B8834" s="0" t="s">
        <v>75</v>
      </c>
      <c r="C8834" s="5" t="n">
        <f aca="false">(Sens!$C$8831+Sens!$C$8833)/(Sens!F8782+dil_gap)-Sens!G8772*roll_div_q/q_per_yr</f>
        <v>444.89791161343</v>
      </c>
      <c r="L8834" s="1" t="s">
        <v>1263</v>
      </c>
    </row>
    <row r="8835" customFormat="false" ht="17.15" hidden="false" customHeight="false" outlineLevel="0" collapsed="false">
      <c r="A8835" s="1" t="s">
        <v>1264</v>
      </c>
      <c r="B8835" s="0" t="s">
        <v>75</v>
      </c>
      <c r="C8835" s="5" t="n">
        <f aca="false">w_dcf*Sens!$C$8805+(1-w_dcf)*Sens!$C$8834</f>
        <v>385.230952929524</v>
      </c>
    </row>
    <row r="8836" customFormat="false" ht="17.15" hidden="false" customHeight="false" outlineLevel="0" collapsed="false">
      <c r="A8836" s="3" t="s">
        <v>1700</v>
      </c>
    </row>
    <row r="8837" customFormat="false" ht="15" hidden="false" customHeight="false" outlineLevel="0" collapsed="false">
      <c r="A8837" s="4" t="s">
        <v>43</v>
      </c>
      <c r="B8837" s="4" t="s">
        <v>65</v>
      </c>
      <c r="C8837" s="23" t="s">
        <v>938</v>
      </c>
      <c r="D8837" s="23" t="s">
        <v>939</v>
      </c>
      <c r="E8837" s="23" t="s">
        <v>940</v>
      </c>
      <c r="F8837" s="23" t="s">
        <v>941</v>
      </c>
      <c r="G8837" s="23" t="s">
        <v>942</v>
      </c>
      <c r="H8837" s="23" t="s">
        <v>943</v>
      </c>
      <c r="I8837" s="23" t="s">
        <v>944</v>
      </c>
      <c r="J8837" s="23" t="s">
        <v>945</v>
      </c>
      <c r="K8837" s="23" t="s">
        <v>946</v>
      </c>
      <c r="L8837" s="4" t="s">
        <v>47</v>
      </c>
    </row>
    <row r="8838" customFormat="false" ht="17.15" hidden="false" customHeight="false" outlineLevel="0" collapsed="false">
      <c r="A8838" s="1" t="s">
        <v>947</v>
      </c>
      <c r="B8838" s="1" t="s">
        <v>279</v>
      </c>
      <c r="C8838" s="21" t="n">
        <v>2024</v>
      </c>
      <c r="D8838" s="21" t="n">
        <v>2025</v>
      </c>
      <c r="E8838" s="21" t="n">
        <v>2026</v>
      </c>
      <c r="F8838" s="21" t="n">
        <v>2027</v>
      </c>
      <c r="G8838" s="21" t="n">
        <v>2028</v>
      </c>
      <c r="H8838" s="21" t="n">
        <v>2029</v>
      </c>
      <c r="I8838" s="21" t="n">
        <v>2030</v>
      </c>
      <c r="J8838" s="21" t="n">
        <v>2031</v>
      </c>
      <c r="K8838" s="21" t="n">
        <v>2032</v>
      </c>
    </row>
    <row r="8839" customFormat="false" ht="17.15" hidden="false" customHeight="false" outlineLevel="0" collapsed="false">
      <c r="A8839" s="1" t="s">
        <v>948</v>
      </c>
      <c r="B8839" s="0" t="s">
        <v>456</v>
      </c>
      <c r="F8839" s="30" t="n">
        <f aca="false">pace</f>
        <v>2726.5351</v>
      </c>
      <c r="G8839" s="30" t="n">
        <f aca="false">pace</f>
        <v>2726.5351</v>
      </c>
      <c r="H8839" s="30" t="n">
        <f aca="false">pace</f>
        <v>2726.5351</v>
      </c>
      <c r="I8839" s="30" t="n">
        <f aca="false">pace+(g_tv*Sens!H8840-pace)*MIN(1,(Sens!I8838-pace_y0)/(pace_y1-pace_y0))</f>
        <v>1931.98611966667</v>
      </c>
      <c r="J8839" s="30" t="n">
        <f aca="false">pace+(g_tv*Sens!I8840-pace)*MIN(1,(Sens!J8838-pace_y0)/(pace_y1-pace_y0))</f>
        <v>1176.07686172667</v>
      </c>
      <c r="K8839" s="30" t="n">
        <f aca="false">pace+(g_tv*Sens!J8840-pace)*MIN(1,(Sens!K8838-pace_y0)/(pace_y1-pace_y0))</f>
        <v>436.1300484418</v>
      </c>
      <c r="L8839" s="12" t="s">
        <v>949</v>
      </c>
    </row>
    <row r="8840" customFormat="false" ht="17.15" hidden="false" customHeight="false" outlineLevel="0" collapsed="false">
      <c r="A8840" s="1" t="s">
        <v>950</v>
      </c>
      <c r="B8840" s="0" t="s">
        <v>456</v>
      </c>
      <c r="C8840" s="30" t="n">
        <f aca="false">mw_ext_24</f>
        <v>640</v>
      </c>
      <c r="D8840" s="30" t="n">
        <f aca="false">mw_ext_25</f>
        <v>1630</v>
      </c>
      <c r="E8840" s="30" t="n">
        <f aca="false">mw_ext_26</f>
        <v>3250</v>
      </c>
      <c r="F8840" s="30" t="n">
        <f aca="false">Sens!E8840+Sens!F8839</f>
        <v>5976.5351</v>
      </c>
      <c r="G8840" s="30" t="n">
        <f aca="false">Sens!F8840+Sens!G8839</f>
        <v>8703.0702</v>
      </c>
      <c r="H8840" s="30" t="n">
        <f aca="false">Sens!G8840+Sens!H8839</f>
        <v>11429.6053</v>
      </c>
      <c r="I8840" s="30" t="n">
        <f aca="false">Sens!H8840+Sens!I8839</f>
        <v>13361.5914196667</v>
      </c>
      <c r="J8840" s="30" t="n">
        <f aca="false">Sens!I8840+Sens!J8839</f>
        <v>14537.6682813933</v>
      </c>
      <c r="K8840" s="30" t="n">
        <f aca="false">Sens!J8840+Sens!K8839</f>
        <v>14973.7983298351</v>
      </c>
      <c r="L8840" s="1" t="s">
        <v>951</v>
      </c>
    </row>
    <row r="8841" customFormat="false" ht="17.15" hidden="false" customHeight="false" outlineLevel="0" collapsed="false">
      <c r="A8841" s="1" t="s">
        <v>952</v>
      </c>
      <c r="B8841" s="0" t="s">
        <v>456</v>
      </c>
      <c r="C8841" s="30" t="n">
        <f aca="false">rent_ext_24</f>
        <v>150</v>
      </c>
      <c r="D8841" s="30" t="n">
        <f aca="false">rent_ext_25</f>
        <v>400</v>
      </c>
      <c r="E8841" s="30" t="n">
        <f aca="false">rent_ext_26</f>
        <v>550</v>
      </c>
      <c r="F8841" s="30" t="n">
        <f aca="false">rent_ext_f</f>
        <v>756</v>
      </c>
      <c r="G8841" s="30" t="n">
        <f aca="false">rent_ext_f</f>
        <v>756</v>
      </c>
      <c r="H8841" s="30" t="n">
        <f aca="false">rent_ext_f</f>
        <v>756</v>
      </c>
      <c r="I8841" s="30" t="n">
        <f aca="false">rent_ext_f</f>
        <v>756</v>
      </c>
      <c r="J8841" s="30" t="n">
        <f aca="false">rent_ext_f</f>
        <v>756</v>
      </c>
      <c r="K8841" s="30" t="n">
        <f aca="false">rent_ext_f</f>
        <v>756</v>
      </c>
      <c r="L8841" s="1" t="s">
        <v>953</v>
      </c>
    </row>
    <row r="8842" customFormat="false" ht="17.15" hidden="false" customHeight="false" outlineLevel="0" collapsed="false">
      <c r="A8842" s="1" t="s">
        <v>954</v>
      </c>
      <c r="B8842" s="0" t="s">
        <v>456</v>
      </c>
      <c r="C8842" s="30" t="n">
        <f aca="false">Sens!C8840-Sens!C8841</f>
        <v>490</v>
      </c>
      <c r="D8842" s="30" t="n">
        <f aca="false">Sens!D8840-Sens!D8841</f>
        <v>1230</v>
      </c>
      <c r="E8842" s="30" t="n">
        <f aca="false">Sens!E8840-Sens!E8841</f>
        <v>2700</v>
      </c>
      <c r="F8842" s="30" t="n">
        <f aca="false">Sens!F8840-Sens!F8841</f>
        <v>5220.5351</v>
      </c>
      <c r="G8842" s="30" t="n">
        <f aca="false">Sens!G8840-Sens!G8841</f>
        <v>7947.0702</v>
      </c>
      <c r="H8842" s="30" t="n">
        <f aca="false">Sens!H8840-Sens!H8841</f>
        <v>10673.6053</v>
      </c>
      <c r="I8842" s="30" t="n">
        <f aca="false">Sens!I8840-Sens!I8841</f>
        <v>12605.5914196667</v>
      </c>
      <c r="J8842" s="30" t="n">
        <f aca="false">Sens!J8840-Sens!J8841</f>
        <v>13781.6682813933</v>
      </c>
      <c r="K8842" s="30" t="n">
        <f aca="false">Sens!K8840-Sens!K8841</f>
        <v>14217.7983298351</v>
      </c>
    </row>
    <row r="8843" customFormat="false" ht="17.15" hidden="false" customHeight="false" outlineLevel="0" collapsed="false">
      <c r="A8843" s="1" t="s">
        <v>955</v>
      </c>
      <c r="B8843" s="0" t="s">
        <v>456</v>
      </c>
      <c r="C8843" s="30" t="n">
        <f aca="false">Sens!C8842/ext_sh</f>
        <v>816.666666666667</v>
      </c>
      <c r="D8843" s="30" t="n">
        <f aca="false">Sens!D8842/ext_sh</f>
        <v>2050</v>
      </c>
      <c r="E8843" s="30" t="n">
        <f aca="false">Sens!E8842/ext_sh</f>
        <v>4500</v>
      </c>
      <c r="F8843" s="30" t="n">
        <f aca="false">Sens!F8842/ext_sh</f>
        <v>8700.89183333333</v>
      </c>
      <c r="G8843" s="30" t="n">
        <f aca="false">Sens!G8842/ext_sh</f>
        <v>13245.117</v>
      </c>
      <c r="H8843" s="30" t="n">
        <f aca="false">Sens!H8842/ext_sh</f>
        <v>17789.3421666667</v>
      </c>
      <c r="I8843" s="30" t="n">
        <f aca="false">Sens!I8842/ext_sh</f>
        <v>21009.3190327778</v>
      </c>
      <c r="J8843" s="30" t="n">
        <f aca="false">Sens!J8842/ext_sh</f>
        <v>22969.4471356556</v>
      </c>
      <c r="K8843" s="30" t="n">
        <f aca="false">Sens!K8842/ext_sh</f>
        <v>23696.3305497252</v>
      </c>
      <c r="L8843" s="1" t="s">
        <v>956</v>
      </c>
    </row>
    <row r="8844" customFormat="false" ht="17.15" hidden="false" customHeight="false" outlineLevel="0" collapsed="false">
      <c r="A8844" s="1" t="s">
        <v>957</v>
      </c>
      <c r="B8844" s="0" t="s">
        <v>456</v>
      </c>
      <c r="C8844" s="30" t="n">
        <f aca="false">Sens!C8843-Sens!C8842</f>
        <v>326.666666666667</v>
      </c>
      <c r="D8844" s="30" t="n">
        <f aca="false">Sens!D8843-Sens!D8842</f>
        <v>820</v>
      </c>
      <c r="E8844" s="30" t="n">
        <f aca="false">Sens!E8843-Sens!E8842</f>
        <v>1800</v>
      </c>
      <c r="F8844" s="30" t="n">
        <f aca="false">Sens!F8843-Sens!F8842</f>
        <v>3480.35673333333</v>
      </c>
      <c r="G8844" s="30" t="n">
        <f aca="false">Sens!G8843-Sens!G8842</f>
        <v>5298.0468</v>
      </c>
      <c r="H8844" s="30" t="n">
        <f aca="false">Sens!H8843-Sens!H8842</f>
        <v>7115.73686666667</v>
      </c>
      <c r="I8844" s="30" t="n">
        <f aca="false">Sens!I8843-Sens!I8842</f>
        <v>8403.72761311111</v>
      </c>
      <c r="J8844" s="30" t="n">
        <f aca="false">Sens!J8843-Sens!J8842</f>
        <v>9187.77885426222</v>
      </c>
      <c r="K8844" s="30" t="n">
        <f aca="false">Sens!K8843-Sens!K8842</f>
        <v>9478.53221989009</v>
      </c>
    </row>
    <row r="8845" customFormat="false" ht="17.15" hidden="false" customHeight="false" outlineLevel="0" collapsed="false">
      <c r="A8845" s="1" t="s">
        <v>958</v>
      </c>
      <c r="B8845" s="0" t="s">
        <v>456</v>
      </c>
      <c r="C8845" s="30" t="n">
        <f aca="false">Sens!C8843</f>
        <v>816.666666666667</v>
      </c>
      <c r="D8845" s="30" t="n">
        <f aca="false">Sens!D8843-Sens!C8843</f>
        <v>1233.33333333333</v>
      </c>
      <c r="E8845" s="30" t="n">
        <f aca="false">Sens!E8843-Sens!D8843</f>
        <v>2450</v>
      </c>
      <c r="F8845" s="30" t="n">
        <f aca="false">Sens!F8843-Sens!E8843</f>
        <v>4200.89183333333</v>
      </c>
      <c r="G8845" s="30" t="n">
        <f aca="false">Sens!G8843-Sens!F8843</f>
        <v>4544.22516666667</v>
      </c>
      <c r="H8845" s="30" t="n">
        <f aca="false">Sens!H8843-Sens!G8843</f>
        <v>4544.22516666667</v>
      </c>
      <c r="I8845" s="30" t="n">
        <f aca="false">Sens!I8843-Sens!H8843</f>
        <v>3219.97686611111</v>
      </c>
      <c r="J8845" s="30" t="n">
        <f aca="false">Sens!J8843-Sens!I8843</f>
        <v>1960.12810287778</v>
      </c>
      <c r="K8845" s="30" t="n">
        <f aca="false">Sens!K8843-Sens!J8843</f>
        <v>726.883414069667</v>
      </c>
    </row>
    <row r="8846" customFormat="false" ht="17.15" hidden="false" customHeight="false" outlineLevel="0" collapsed="false">
      <c r="A8846" s="1" t="s">
        <v>959</v>
      </c>
      <c r="B8846" s="0" t="s">
        <v>456</v>
      </c>
      <c r="D8846" s="30" t="n">
        <f aca="false">Sens!D8840-Sens!C8840</f>
        <v>990</v>
      </c>
      <c r="E8846" s="30" t="n">
        <f aca="false">Sens!E8840-Sens!D8840</f>
        <v>1620</v>
      </c>
      <c r="F8846" s="30" t="n">
        <f aca="false">Sens!F8840-Sens!E8840</f>
        <v>2726.5351</v>
      </c>
      <c r="G8846" s="30" t="n">
        <f aca="false">Sens!G8840-Sens!F8840</f>
        <v>2726.5351</v>
      </c>
      <c r="H8846" s="30" t="n">
        <f aca="false">Sens!H8840-Sens!G8840</f>
        <v>2726.5351</v>
      </c>
      <c r="I8846" s="30" t="n">
        <f aca="false">Sens!I8840-Sens!H8840</f>
        <v>1931.98611966667</v>
      </c>
      <c r="J8846" s="30" t="n">
        <f aca="false">Sens!J8840-Sens!I8840</f>
        <v>1176.07686172667</v>
      </c>
      <c r="K8846" s="30" t="n">
        <f aca="false">Sens!K8840-Sens!J8840</f>
        <v>436.130048441799</v>
      </c>
    </row>
    <row r="8847" customFormat="false" ht="17.15" hidden="false" customHeight="false" outlineLevel="0" collapsed="false">
      <c r="A8847" s="1" t="s">
        <v>960</v>
      </c>
      <c r="B8847" s="0" t="s">
        <v>456</v>
      </c>
      <c r="F8847" s="30" t="n">
        <f aca="false">Sens!F8866*ext_sh</f>
        <v>0</v>
      </c>
      <c r="G8847" s="30" t="n">
        <f aca="false">Sens!G8866*ext_sh</f>
        <v>0</v>
      </c>
      <c r="H8847" s="30" t="n">
        <f aca="false">Sens!H8866*ext_sh</f>
        <v>0</v>
      </c>
      <c r="I8847" s="30" t="n">
        <f aca="false">Sens!I8866*ext_sh</f>
        <v>490</v>
      </c>
      <c r="J8847" s="30" t="n">
        <f aca="false">Sens!J8866*ext_sh</f>
        <v>740</v>
      </c>
      <c r="K8847" s="30" t="n">
        <f aca="false">Sens!K8866*ext_sh</f>
        <v>1470</v>
      </c>
      <c r="L8847" s="1" t="s">
        <v>961</v>
      </c>
    </row>
    <row r="8848" customFormat="false" ht="17.15" hidden="false" customHeight="false" outlineLevel="0" collapsed="false">
      <c r="A8848" s="1" t="s">
        <v>962</v>
      </c>
      <c r="B8848" s="0" t="s">
        <v>456</v>
      </c>
      <c r="C8848" s="30" t="n">
        <f aca="false">mix_h*Sens!C8840</f>
        <v>128</v>
      </c>
      <c r="D8848" s="30" t="n">
        <f aca="false">mix_h*Sens!D8840</f>
        <v>326</v>
      </c>
      <c r="E8848" s="30" t="n">
        <f aca="false">mix_h*Sens!E8840</f>
        <v>650</v>
      </c>
      <c r="F8848" s="30" t="n">
        <f aca="false">Sens!E8848-Sens!F8847*mix_h</f>
        <v>650</v>
      </c>
      <c r="G8848" s="30" t="n">
        <f aca="false">Sens!F8848-Sens!G8847*mix_h</f>
        <v>650</v>
      </c>
      <c r="H8848" s="30" t="n">
        <f aca="false">Sens!G8848-Sens!H8847*mix_h</f>
        <v>650</v>
      </c>
      <c r="I8848" s="30" t="n">
        <f aca="false">Sens!H8848-Sens!I8847*mix_h</f>
        <v>552</v>
      </c>
      <c r="J8848" s="30" t="n">
        <f aca="false">Sens!I8848-Sens!J8847*mix_h</f>
        <v>404</v>
      </c>
      <c r="K8848" s="30" t="n">
        <f aca="false">Sens!J8848-Sens!K8847*mix_h</f>
        <v>110</v>
      </c>
    </row>
    <row r="8849" customFormat="false" ht="17.15" hidden="false" customHeight="false" outlineLevel="0" collapsed="false">
      <c r="A8849" s="1" t="s">
        <v>963</v>
      </c>
      <c r="B8849" s="0" t="s">
        <v>456</v>
      </c>
      <c r="C8849" s="30" t="n">
        <f aca="false">mix_g2*Sens!C8840</f>
        <v>288</v>
      </c>
      <c r="D8849" s="30" t="n">
        <f aca="false">mix_g2*Sens!D8840</f>
        <v>733.5</v>
      </c>
      <c r="E8849" s="30" t="n">
        <f aca="false">mix_g2*Sens!E8840</f>
        <v>1462.5</v>
      </c>
      <c r="F8849" s="30" t="n">
        <f aca="false">Sens!E8849-Sens!F8847*mix_g2</f>
        <v>1462.5</v>
      </c>
      <c r="G8849" s="30" t="n">
        <f aca="false">Sens!F8849-Sens!G8847*mix_g2</f>
        <v>1462.5</v>
      </c>
      <c r="H8849" s="30" t="n">
        <f aca="false">Sens!G8849-Sens!H8847*mix_g2</f>
        <v>1462.5</v>
      </c>
      <c r="I8849" s="30" t="n">
        <f aca="false">Sens!H8849-Sens!I8847*mix_g2</f>
        <v>1242</v>
      </c>
      <c r="J8849" s="30" t="n">
        <f aca="false">Sens!I8849-Sens!J8847*mix_g2</f>
        <v>909</v>
      </c>
      <c r="K8849" s="30" t="n">
        <f aca="false">Sens!J8849-Sens!K8847*mix_g2</f>
        <v>247.5</v>
      </c>
    </row>
    <row r="8850" customFormat="false" ht="17.15" hidden="false" customHeight="false" outlineLevel="0" collapsed="false">
      <c r="A8850" s="1" t="s">
        <v>964</v>
      </c>
      <c r="B8850" s="0" t="s">
        <v>456</v>
      </c>
      <c r="C8850" s="30" t="n">
        <f aca="false">mix_g3*Sens!C8840</f>
        <v>224</v>
      </c>
      <c r="D8850" s="30" t="n">
        <f aca="false">mix_g3*Sens!D8840</f>
        <v>570.5</v>
      </c>
      <c r="E8850" s="30" t="n">
        <f aca="false">mix_g3*Sens!E8840</f>
        <v>1137.5</v>
      </c>
      <c r="F8850" s="30" t="n">
        <f aca="false">Sens!E8850+(Sens!F8846+Sens!F8847)*(a_g3_27-nonnv*a_mai)-Sens!F8847*mix_g3</f>
        <v>2773.42106</v>
      </c>
      <c r="G8850" s="30" t="n">
        <f aca="false">Sens!F8850+(Sens!G8846+Sens!G8847)*(a_g3_28-nonnv*a_mai)-Sens!G8847*mix_g3</f>
        <v>3318.72808</v>
      </c>
      <c r="H8850" s="30" t="n">
        <f aca="false">Sens!G8850+(Sens!H8846+Sens!H8847)*(a_g3_29-nonnv*a_mai)-Sens!H8847*mix_g3</f>
        <v>3318.72808</v>
      </c>
      <c r="I8850" s="30" t="n">
        <f aca="false">Sens!H8850+(Sens!I8846+Sens!I8847)*(a_g3_29-nonnv*a_mai)-Sens!I8847*mix_g3</f>
        <v>3147.22808</v>
      </c>
      <c r="J8850" s="30" t="n">
        <f aca="false">Sens!I8850+(Sens!J8846+Sens!J8847)*(a_g3_29-nonnv*a_mai)-Sens!J8847*mix_g3</f>
        <v>2888.22808</v>
      </c>
      <c r="K8850" s="30" t="n">
        <f aca="false">Sens!J8850+(Sens!K8846+Sens!K8847)*(a_g3_29-nonnv*a_mai)-Sens!K8847*mix_g3</f>
        <v>2373.72808</v>
      </c>
    </row>
    <row r="8851" customFormat="false" ht="17.15" hidden="false" customHeight="false" outlineLevel="0" collapsed="false">
      <c r="A8851" s="1" t="s">
        <v>965</v>
      </c>
      <c r="B8851" s="0" t="s">
        <v>456</v>
      </c>
      <c r="C8851" s="30" t="n">
        <v>0</v>
      </c>
      <c r="D8851" s="30" t="n">
        <v>0</v>
      </c>
      <c r="E8851" s="30" t="n">
        <v>0</v>
      </c>
      <c r="F8851" s="30" t="n">
        <f aca="false">Sens!E8851+(Sens!F8846+Sens!F8847)*nonnv*a_mai</f>
        <v>272.65351</v>
      </c>
      <c r="G8851" s="30" t="n">
        <f aca="false">Sens!F8851+(Sens!G8846+Sens!G8847)*nonnv*a_mai</f>
        <v>545.30702</v>
      </c>
      <c r="H8851" s="30" t="n">
        <f aca="false">Sens!G8851+(Sens!H8846+Sens!H8847)*nonnv*a_mai</f>
        <v>817.96053</v>
      </c>
      <c r="I8851" s="30" t="n">
        <f aca="false">Sens!H8851+(Sens!I8846+Sens!I8847)*nonnv*a_mai</f>
        <v>1060.15914196667</v>
      </c>
      <c r="J8851" s="30" t="n">
        <f aca="false">Sens!I8851+(Sens!J8846+Sens!J8847)*nonnv*a_mai</f>
        <v>1251.76682813933</v>
      </c>
      <c r="K8851" s="30" t="n">
        <f aca="false">Sens!J8851+(Sens!K8846+Sens!K8847)*nonnv*a_mai</f>
        <v>1442.37983298351</v>
      </c>
      <c r="L8851" s="12" t="s">
        <v>966</v>
      </c>
    </row>
    <row r="8852" customFormat="false" ht="17.15" hidden="false" customHeight="false" outlineLevel="0" collapsed="false">
      <c r="A8852" s="1" t="s">
        <v>967</v>
      </c>
      <c r="B8852" s="0" t="s">
        <v>456</v>
      </c>
      <c r="C8852" s="30" t="n">
        <v>0</v>
      </c>
      <c r="D8852" s="30" t="n">
        <v>0</v>
      </c>
      <c r="E8852" s="30" t="n">
        <v>0</v>
      </c>
      <c r="F8852" s="30" t="n">
        <f aca="false">Sens!E8852+(Sens!F8846+Sens!F8847)*(1-a_g3_27)</f>
        <v>817.96053</v>
      </c>
      <c r="G8852" s="30" t="n">
        <f aca="false">Sens!F8852+(Sens!G8846+Sens!G8847)*(1-a_g3_28)</f>
        <v>2726.5351</v>
      </c>
      <c r="H8852" s="30" t="n">
        <f aca="false">Sens!G8852+(Sens!H8846+Sens!H8847)*(1-a_g3_29)</f>
        <v>5180.41669</v>
      </c>
      <c r="I8852" s="30" t="n">
        <f aca="false">Sens!H8852+(Sens!I8846+Sens!I8847)*(1-a_g3_29)</f>
        <v>7360.2041977</v>
      </c>
      <c r="J8852" s="30" t="n">
        <f aca="false">Sens!I8852+(Sens!J8846+Sens!J8847)*(1-a_g3_29)</f>
        <v>9084.673373254</v>
      </c>
      <c r="K8852" s="30" t="n">
        <f aca="false">Sens!J8852+(Sens!K8846+Sens!K8847)*(1-a_g3_29)</f>
        <v>10800.1904168516</v>
      </c>
    </row>
    <row r="8853" customFormat="false" ht="17.15" hidden="false" customHeight="false" outlineLevel="0" collapsed="false">
      <c r="A8853" s="1" t="s">
        <v>968</v>
      </c>
      <c r="B8853" s="0" t="s">
        <v>403</v>
      </c>
      <c r="C8853" s="15" t="n">
        <f aca="false">(Sens!C8848*tk_hold_h100+Sens!C8849*tk_hold_gb200+Sens!C8850*tk_hold_gb300+Sens!C8852*tk_hold_vr200+Sens!C8851*nv_hold_mai*tk_hold_vr200)/Sens!C8840</f>
        <v>9.7235358126469</v>
      </c>
      <c r="D8853" s="15" t="n">
        <f aca="false">(Sens!D8848*tk_hold_h100+Sens!D8849*tk_hold_gb200+Sens!D8850*tk_hold_gb300+Sens!D8852*tk_hold_vr200+Sens!D8851*nv_hold_mai*tk_hold_vr200)/Sens!D8840</f>
        <v>9.7235358126469</v>
      </c>
      <c r="E8853" s="15" t="n">
        <f aca="false">(Sens!E8848*tk_hold_h100+Sens!E8849*tk_hold_gb200+Sens!E8850*tk_hold_gb300+Sens!E8852*tk_hold_vr200+Sens!E8851*nv_hold_mai*tk_hold_vr200)/Sens!E8840</f>
        <v>9.7235358126469</v>
      </c>
      <c r="F8853" s="15" t="n">
        <f aca="false">(Sens!F8848*tk_hold_h100+Sens!F8849*tk_hold_gb200+Sens!F8850*tk_hold_gb300+Sens!F8852*tk_hold_vr200+Sens!F8851*nv_hold_mai*tk_hold_vr200)/Sens!F8840</f>
        <v>10.2195353876665</v>
      </c>
      <c r="G8853" s="15" t="n">
        <f aca="false">(Sens!G8848*tk_hold_h100+Sens!G8849*tk_hold_gb200+Sens!G8850*tk_hold_gb300+Sens!G8852*tk_hold_vr200+Sens!G8851*nv_hold_mai*tk_hold_vr200)/Sens!G8840</f>
        <v>10.5725598017306</v>
      </c>
      <c r="H8853" s="15" t="n">
        <f aca="false">(Sens!H8848*tk_hold_h100+Sens!H8849*tk_hold_gb200+Sens!H8850*tk_hold_gb300+Sens!H8852*tk_hold_vr200+Sens!H8851*nv_hold_mai*tk_hold_vr200)/Sens!H8840</f>
        <v>10.8210427149036</v>
      </c>
      <c r="I8853" s="15" t="n">
        <f aca="false">(Sens!I8848*tk_hold_h100+Sens!I8849*tk_hold_gb200+Sens!I8850*tk_hold_gb300+Sens!I8852*tk_hold_vr200+Sens!I8851*nv_hold_mai*tk_hold_vr200)/Sens!I8840</f>
        <v>11.0050618241982</v>
      </c>
      <c r="J8853" s="15" t="n">
        <f aca="false">(Sens!J8848*tk_hold_h100+Sens!J8849*tk_hold_gb200+Sens!J8850*tk_hold_gb300+Sens!J8852*tk_hold_vr200+Sens!J8851*nv_hold_mai*tk_hold_vr200)/Sens!J8840</f>
        <v>11.1505789658881</v>
      </c>
      <c r="K8853" s="15" t="n">
        <f aca="false">(Sens!K8848*tk_hold_h100+Sens!K8849*tk_hold_gb200+Sens!K8850*tk_hold_gb300+Sens!K8852*tk_hold_vr200+Sens!K8851*nv_hold_mai*tk_hold_vr200)/Sens!K8840</f>
        <v>11.3496914757183</v>
      </c>
      <c r="L8853" s="1" t="s">
        <v>969</v>
      </c>
    </row>
    <row r="8854" customFormat="false" ht="17.15" hidden="false" customHeight="false" outlineLevel="0" collapsed="false">
      <c r="A8854" s="1" t="s">
        <v>970</v>
      </c>
      <c r="B8854" s="0" t="s">
        <v>403</v>
      </c>
      <c r="C8854" s="15" t="n">
        <f aca="false">(Sens!C8848*tk_hold_h100+Sens!C8849*tk_hold_gb200+Sens!C8850*tk_hold_gb300+Sens!C8852*tk_hold_vr200+Sens!C8851*nv_out_mai*tk_hold_vr200)/Sens!C8840</f>
        <v>9.7235358126469</v>
      </c>
      <c r="D8854" s="15" t="n">
        <f aca="false">(Sens!D8848*tk_hold_h100+Sens!D8849*tk_hold_gb200+Sens!D8850*tk_hold_gb300+Sens!D8852*tk_hold_vr200+Sens!D8851*nv_out_mai*tk_hold_vr200)/Sens!D8840</f>
        <v>9.7235358126469</v>
      </c>
      <c r="E8854" s="15" t="n">
        <f aca="false">(Sens!E8848*tk_hold_h100+Sens!E8849*tk_hold_gb200+Sens!E8850*tk_hold_gb300+Sens!E8852*tk_hold_vr200+Sens!E8851*nv_out_mai*tk_hold_vr200)/Sens!E8840</f>
        <v>9.7235358126469</v>
      </c>
      <c r="F8854" s="15" t="n">
        <f aca="false">(Sens!F8848*tk_hold_h100+Sens!F8849*tk_hold_gb200+Sens!F8850*tk_hold_gb300+Sens!F8852*tk_hold_vr200+Sens!F8851*nv_out_mai*tk_hold_vr200)/Sens!F8840</f>
        <v>10.247422093969</v>
      </c>
      <c r="G8854" s="15" t="n">
        <f aca="false">(Sens!G8848*tk_hold_h100+Sens!G8849*tk_hold_gb200+Sens!G8850*tk_hold_gb300+Sens!G8852*tk_hold_vr200+Sens!G8851*nv_out_mai*tk_hold_vr200)/Sens!G8840</f>
        <v>10.6108602808053</v>
      </c>
      <c r="H8854" s="15" t="n">
        <f aca="false">(Sens!H8848*tk_hold_h100+Sens!H8849*tk_hold_gb200+Sens!H8850*tk_hold_gb300+Sens!H8852*tk_hold_vr200+Sens!H8851*nv_out_mai*tk_hold_vr200)/Sens!H8840</f>
        <v>10.8647885507393</v>
      </c>
      <c r="I8854" s="15" t="n">
        <f aca="false">(Sens!I8848*tk_hold_h100+Sens!I8849*tk_hold_gb200+Sens!I8850*tk_hold_gb300+Sens!I8852*tk_hold_vr200+Sens!I8851*nv_out_mai*tk_hold_vr200)/Sens!I8840</f>
        <v>11.0535625770025</v>
      </c>
      <c r="J8854" s="15" t="n">
        <f aca="false">(Sens!J8848*tk_hold_h100+Sens!J8849*tk_hold_gb200+Sens!J8850*tk_hold_gb300+Sens!J8852*tk_hold_vr200+Sens!J8851*nv_out_mai*tk_hold_vr200)/Sens!J8840</f>
        <v>11.2032127128058</v>
      </c>
      <c r="K8854" s="15" t="n">
        <f aca="false">(Sens!K8848*tk_hold_h100+Sens!K8849*tk_hold_gb200+Sens!K8850*tk_hold_gb300+Sens!K8852*tk_hold_vr200+Sens!K8851*nv_out_mai*tk_hold_vr200)/Sens!K8840</f>
        <v>11.4085735724225</v>
      </c>
      <c r="L8854" s="12" t="s">
        <v>971</v>
      </c>
    </row>
    <row r="8855" customFormat="false" ht="17.15" hidden="false" customHeight="false" outlineLevel="0" collapsed="false">
      <c r="A8855" s="0" t="s">
        <v>972</v>
      </c>
      <c r="B8855" s="0" t="s">
        <v>229</v>
      </c>
      <c r="C8855" s="15" t="n">
        <f aca="false">k_B</f>
        <v>1.17213932619116</v>
      </c>
      <c r="D8855" s="15" t="n">
        <f aca="false">k_B</f>
        <v>1.17213932619116</v>
      </c>
      <c r="E8855" s="15" t="n">
        <f aca="false">k_B</f>
        <v>1.17213932619116</v>
      </c>
      <c r="F8855" s="15" t="n">
        <f aca="false">(k_B+((ls_C*k_long+(1-ls_C)*k_spot)-k_B)*MIN(1,(Sens!F8838-base_fy)/k_ramp))</f>
        <v>1.07843258004497</v>
      </c>
      <c r="G8855" s="15" t="n">
        <f aca="false">(k_B+((ls_C*k_long+(1-ls_C)*k_spot)-k_B)*MIN(1,(Sens!G8838-base_fy)/k_ramp))</f>
        <v>0.984725833898784</v>
      </c>
      <c r="H8855" s="15" t="n">
        <f aca="false">(k_B+((ls_C*k_long+(1-ls_C)*k_spot)-k_B)*MIN(1,(Sens!H8838-base_fy)/k_ramp))</f>
        <v>0.891019087752599</v>
      </c>
      <c r="I8855" s="15" t="n">
        <f aca="false">(k_B+((ls_C*k_long+(1-ls_C)*k_spot)-k_B)*MIN(1,(Sens!I8838-base_fy)/k_ramp))</f>
        <v>0.891019087752599</v>
      </c>
      <c r="J8855" s="15" t="n">
        <f aca="false">(k_B+((ls_C*k_long+(1-ls_C)*k_spot)-k_B)*MIN(1,(Sens!J8838-base_fy)/k_ramp))</f>
        <v>0.891019087752599</v>
      </c>
      <c r="K8855" s="15" t="n">
        <f aca="false">(k_B+((ls_C*k_long+(1-ls_C)*k_spot)-k_B)*MIN(1,(Sens!K8838-base_fy)/k_ramp))</f>
        <v>0.891019087752599</v>
      </c>
      <c r="L8855" s="1" t="s">
        <v>973</v>
      </c>
    </row>
    <row r="8856" customFormat="false" ht="17.15" hidden="false" customHeight="false" outlineLevel="0" collapsed="false">
      <c r="A8856" s="1" t="s">
        <v>974</v>
      </c>
      <c r="B8856" s="0" t="s">
        <v>403</v>
      </c>
      <c r="C8856" s="15" t="n">
        <f aca="false">Sens!C8854*Sens!C8855*chip_f</f>
        <v>11.3973387156315</v>
      </c>
      <c r="D8856" s="15" t="n">
        <f aca="false">Sens!D8854*Sens!D8855*chip_f</f>
        <v>11.3973387156315</v>
      </c>
      <c r="E8856" s="15" t="n">
        <f aca="false">Sens!E8854*Sens!E8855*chip_f</f>
        <v>11.3973387156315</v>
      </c>
      <c r="F8856" s="15" t="n">
        <f aca="false">Sens!F8854*Sens!F8855*chip_f</f>
        <v>11.0511538476088</v>
      </c>
      <c r="G8856" s="15" t="n">
        <f aca="false">Sens!G8854*Sens!G8855*chip_f</f>
        <v>10.4487882383995</v>
      </c>
      <c r="H8856" s="15" t="n">
        <f aca="false">Sens!H8854*Sens!H8855*chip_f</f>
        <v>9.68073398310464</v>
      </c>
      <c r="I8856" s="15" t="n">
        <f aca="false">Sens!I8854*Sens!I8855*chip_f</f>
        <v>9.84893524377706</v>
      </c>
      <c r="J8856" s="15" t="n">
        <f aca="false">Sens!J8854*Sens!J8855*chip_f</f>
        <v>9.98227637126252</v>
      </c>
      <c r="K8856" s="15" t="n">
        <f aca="false">Sens!K8854*Sens!K8855*chip_f</f>
        <v>10.1652568170583</v>
      </c>
      <c r="L8856" s="1" t="s">
        <v>975</v>
      </c>
    </row>
    <row r="8857" customFormat="false" ht="17.15" hidden="false" customHeight="false" outlineLevel="0" collapsed="false">
      <c r="A8857" s="0" t="s">
        <v>976</v>
      </c>
      <c r="B8857" s="0" t="s">
        <v>98</v>
      </c>
      <c r="D8857" s="6" t="n">
        <f aca="false">(Sens!C8840+Sens!D8840)/2*Sens!D8856/1000</f>
        <v>12.9359794422418</v>
      </c>
      <c r="E8857" s="6" t="n">
        <f aca="false">(Sens!D8840+Sens!E8840)/2*Sens!E8856/1000</f>
        <v>27.8095064661409</v>
      </c>
      <c r="F8857" s="6" t="n">
        <f aca="false">(Sens!E8840+Sens!F8840)/2*Sens!F8856/1000</f>
        <v>50.9819294352312</v>
      </c>
      <c r="G8857" s="6" t="n">
        <f aca="false">(Sens!F8840+Sens!G8840)/2*Sens!G8856/1000</f>
        <v>76.6920436014933</v>
      </c>
      <c r="H8857" s="6" t="n">
        <f aca="false">(Sens!G8840+Sens!H8840)/2*Sens!H8856/1000</f>
        <v>97.4495379418341</v>
      </c>
      <c r="I8857" s="6" t="n">
        <f aca="false">(Sens!H8840+Sens!I8840)/2*Sens!I8856/1000</f>
        <v>122.083445553868</v>
      </c>
      <c r="J8857" s="6" t="n">
        <f aca="false">(Sens!I8840+Sens!J8840)/2*Sens!J8856/1000</f>
        <v>139.249060444804</v>
      </c>
      <c r="K8857" s="6" t="n">
        <f aca="false">(Sens!J8840+Sens!K8840)/2*Sens!K8856/1000</f>
        <v>149.995818575589</v>
      </c>
      <c r="L8857" s="12" t="s">
        <v>977</v>
      </c>
    </row>
    <row r="8858" customFormat="false" ht="17.15" hidden="false" customHeight="false" outlineLevel="0" collapsed="false">
      <c r="A8858" s="1" t="s">
        <v>978</v>
      </c>
      <c r="B8858" s="0" t="s">
        <v>403</v>
      </c>
      <c r="C8858" s="15" t="n">
        <f aca="false">(Sens!C8848*tk_opex_h100+Sens!C8849*tk_opex_gb200+Sens!C8850*tk_opex_gb300+(Sens!C8852+Sens!C8851)*tk_opex_vr200)/Sens!C8840</f>
        <v>1.88636041306092</v>
      </c>
      <c r="D8858" s="15" t="n">
        <f aca="false">(Sens!D8848*tk_opex_h100+Sens!D8849*tk_opex_gb200+Sens!D8850*tk_opex_gb300+(Sens!D8852+Sens!D8851)*tk_opex_vr200)/Sens!D8840</f>
        <v>1.88636041306092</v>
      </c>
      <c r="E8858" s="15" t="n">
        <f aca="false">(Sens!E8848*tk_opex_h100+Sens!E8849*tk_opex_gb200+Sens!E8850*tk_opex_gb300+(Sens!E8852+Sens!E8851)*tk_opex_vr200)/Sens!E8840</f>
        <v>1.88636041306092</v>
      </c>
      <c r="F8858" s="15" t="n">
        <f aca="false">(Sens!F8848*tk_opex_h100+Sens!F8849*tk_opex_gb200+Sens!F8850*tk_opex_gb300+(Sens!F8852+Sens!F8851)*tk_opex_vr200)/Sens!F8840</f>
        <v>1.95051159746876</v>
      </c>
      <c r="G8858" s="15" t="n">
        <f aca="false">(Sens!G8848*tk_opex_h100+Sens!G8849*tk_opex_gb200+Sens!G8850*tk_opex_gb300+(Sens!G8852+Sens!G8851)*tk_opex_vr200)/Sens!G8840</f>
        <v>1.98836003669956</v>
      </c>
      <c r="H8858" s="15" t="n">
        <f aca="false">(Sens!H8848*tk_opex_h100+Sens!H8849*tk_opex_gb200+Sens!H8850*tk_opex_gb300+(Sens!H8852+Sens!H8851)*tk_opex_vr200)/Sens!H8840</f>
        <v>2.01344013834343</v>
      </c>
      <c r="I8858" s="15" t="n">
        <f aca="false">(Sens!I8848*tk_opex_h100+Sens!I8849*tk_opex_gb200+Sens!I8850*tk_opex_gb300+(Sens!I8852+Sens!I8851)*tk_opex_vr200)/Sens!I8840</f>
        <v>2.03261166882178</v>
      </c>
      <c r="J8858" s="15" t="n">
        <f aca="false">(Sens!J8848*tk_opex_h100+Sens!J8849*tk_opex_gb200+Sens!J8850*tk_opex_gb300+(Sens!J8852+Sens!J8851)*tk_opex_vr200)/Sens!J8840</f>
        <v>2.04808073288745</v>
      </c>
      <c r="K8858" s="15" t="n">
        <f aca="false">(Sens!K8848*tk_opex_h100+Sens!K8849*tk_opex_gb200+Sens!K8850*tk_opex_gb300+(Sens!K8852+Sens!K8851)*tk_opex_vr200)/Sens!K8840</f>
        <v>2.06973825807449</v>
      </c>
      <c r="L8858" s="12" t="s">
        <v>979</v>
      </c>
    </row>
    <row r="8859" customFormat="false" ht="17.15" hidden="false" customHeight="false" outlineLevel="0" collapsed="false">
      <c r="A8859" s="0" t="s">
        <v>980</v>
      </c>
      <c r="B8859" s="0" t="s">
        <v>98</v>
      </c>
      <c r="D8859" s="6" t="n">
        <f aca="false">(Sens!C8843+Sens!D8843)/2*Sens!D8858/1000</f>
        <v>2.70378325872065</v>
      </c>
      <c r="E8859" s="6" t="n">
        <f aca="false">(Sens!D8843+Sens!E8843)/2*Sens!E8858/1000</f>
        <v>6.17783035277451</v>
      </c>
      <c r="F8859" s="6" t="n">
        <f aca="false">(Sens!E8843+Sens!F8843)/2*Sens!F8858/1000</f>
        <v>12.8742463089237</v>
      </c>
      <c r="G8859" s="6" t="n">
        <f aca="false">(Sens!F8843+Sens!G8843)/2*Sens!G8858/1000</f>
        <v>21.8182834646277</v>
      </c>
      <c r="H8859" s="6" t="n">
        <f aca="false">(Sens!G8843+Sens!H8843)/2*Sens!H8858/1000</f>
        <v>31.2430128789734</v>
      </c>
      <c r="I8859" s="6" t="n">
        <f aca="false">(Sens!H8843+Sens!I8843)/2*Sens!I8858/1000</f>
        <v>39.4313057443268</v>
      </c>
      <c r="J8859" s="6" t="n">
        <f aca="false">(Sens!I8843+Sens!J8843)/2*Sens!J8858/1000</f>
        <v>45.0360318228653</v>
      </c>
      <c r="K8859" s="6" t="n">
        <f aca="false">(Sens!J8843+Sens!K8843)/2*Sens!K8858/1000</f>
        <v>48.2929727091156</v>
      </c>
    </row>
    <row r="8860" customFormat="false" ht="17.15" hidden="false" customHeight="false" outlineLevel="0" collapsed="false">
      <c r="A8860" s="0" t="s">
        <v>981</v>
      </c>
      <c r="B8860" s="0" t="s">
        <v>98</v>
      </c>
      <c r="D8860" s="6" t="n">
        <f aca="false">(Sens!C8841+Sens!D8841)/2*rent_mw/1000</f>
        <v>2.44475</v>
      </c>
      <c r="E8860" s="6" t="n">
        <f aca="false">(Sens!D8841+Sens!E8841)/2*rent_mw/1000</f>
        <v>4.22275</v>
      </c>
      <c r="F8860" s="6" t="n">
        <f aca="false">(Sens!E8841+Sens!F8841)/2*rent_mw/1000</f>
        <v>5.80517</v>
      </c>
      <c r="G8860" s="6" t="n">
        <f aca="false">(Sens!F8841+Sens!G8841)/2*rent_mw/1000</f>
        <v>6.72084</v>
      </c>
      <c r="H8860" s="6" t="n">
        <f aca="false">(Sens!G8841+Sens!H8841)/2*rent_mw/1000</f>
        <v>6.72084</v>
      </c>
      <c r="I8860" s="6" t="n">
        <f aca="false">(Sens!H8841+Sens!I8841)/2*rent_mw/1000</f>
        <v>6.72084</v>
      </c>
      <c r="J8860" s="6" t="n">
        <f aca="false">(Sens!I8841+Sens!J8841)/2*rent_mw/1000</f>
        <v>6.72084</v>
      </c>
      <c r="K8860" s="6" t="n">
        <f aca="false">(Sens!J8841+Sens!K8841)/2*rent_mw/1000</f>
        <v>6.72084</v>
      </c>
    </row>
    <row r="8861" customFormat="false" ht="17.15" hidden="false" customHeight="false" outlineLevel="0" collapsed="false">
      <c r="A8861" s="0" t="s">
        <v>982</v>
      </c>
      <c r="B8861" s="0" t="s">
        <v>98</v>
      </c>
      <c r="D8861" s="6" t="n">
        <f aca="false">(Sens!C8843+Sens!D8843)/2*(1-self_build)*fac_rent/1000</f>
        <v>0.853242375631075</v>
      </c>
      <c r="E8861" s="6" t="n">
        <f aca="false">(Sens!D8843+Sens!E8843)/2*(1-self_build)*fac_rent/1000</f>
        <v>1.94955961408728</v>
      </c>
      <c r="F8861" s="6" t="n">
        <f aca="false">(Sens!E8843+Sens!F8843)/2*(1-self_build)*fac_rent/1000</f>
        <v>3.92914894476356</v>
      </c>
      <c r="G8861" s="6" t="n">
        <f aca="false">(Sens!F8843+Sens!G8843)/2*(1-self_build)*fac_rent/1000</f>
        <v>6.53206908578159</v>
      </c>
      <c r="H8861" s="6" t="n">
        <f aca="false">(Sens!G8843+Sens!H8843)/2*(1-self_build)*fac_rent/1000</f>
        <v>9.23717988341591</v>
      </c>
      <c r="I8861" s="6" t="n">
        <f aca="false">(Sens!H8843+Sens!I8843)/2*(1-self_build)*fac_rent/1000</f>
        <v>11.5481378557393</v>
      </c>
      <c r="J8861" s="6" t="n">
        <f aca="false">(Sens!I8843+Sens!J8843)/2*(1-self_build)*fac_rent/1000</f>
        <v>13.0899582289108</v>
      </c>
      <c r="K8861" s="6" t="n">
        <f aca="false">(Sens!J8843+Sens!K8843)/2*(1-self_build)*fac_rent/1000</f>
        <v>13.8897275626556</v>
      </c>
      <c r="L8861" s="12" t="s">
        <v>983</v>
      </c>
    </row>
    <row r="8862" customFormat="false" ht="17.15" hidden="false" customHeight="false" outlineLevel="0" collapsed="false">
      <c r="A8862" s="1" t="s">
        <v>984</v>
      </c>
      <c r="B8862" s="0" t="s">
        <v>168</v>
      </c>
      <c r="D8862" s="7" t="n">
        <f aca="false">(Sens!C8842+Sens!D8842)/(Sens!C8843+Sens!D8843)</f>
        <v>0.6</v>
      </c>
      <c r="E8862" s="7" t="n">
        <f aca="false">(Sens!D8842+Sens!E8842)/(Sens!D8843+Sens!E8843)</f>
        <v>0.6</v>
      </c>
      <c r="F8862" s="7" t="n">
        <f aca="false">(Sens!E8842+Sens!F8842)/(Sens!E8843+Sens!F8843)</f>
        <v>0.6</v>
      </c>
      <c r="G8862" s="7" t="n">
        <f aca="false">(Sens!F8842+Sens!G8842)/(Sens!F8843+Sens!G8843)</f>
        <v>0.6</v>
      </c>
      <c r="H8862" s="7" t="n">
        <f aca="false">(Sens!G8842+Sens!H8842)/(Sens!G8843+Sens!H8843)</f>
        <v>0.6</v>
      </c>
      <c r="I8862" s="7" t="n">
        <f aca="false">(Sens!H8842+Sens!I8842)/(Sens!H8843+Sens!I8843)</f>
        <v>0.6</v>
      </c>
      <c r="J8862" s="7" t="n">
        <f aca="false">(Sens!I8842+Sens!J8842)/(Sens!I8843+Sens!J8843)</f>
        <v>0.6</v>
      </c>
      <c r="K8862" s="7" t="n">
        <f aca="false">(Sens!J8842+Sens!K8842)/(Sens!J8843+Sens!K8843)</f>
        <v>0.6</v>
      </c>
    </row>
    <row r="8863" customFormat="false" ht="17.15" hidden="false" customHeight="false" outlineLevel="0" collapsed="false">
      <c r="A8863" s="0" t="s">
        <v>985</v>
      </c>
      <c r="B8863" s="0" t="s">
        <v>98</v>
      </c>
      <c r="D8863" s="6" t="n">
        <f aca="false">Sens!D8857-Sens!D8862*(Sens!D8859+Sens!D8861)-Sens!D8860</f>
        <v>8.35701406163072</v>
      </c>
      <c r="E8863" s="6" t="n">
        <f aca="false">Sens!E8857-Sens!E8862*(Sens!E8859+Sens!E8861)-Sens!E8860</f>
        <v>18.7103224860238</v>
      </c>
      <c r="F8863" s="6" t="n">
        <f aca="false">Sens!F8857-Sens!F8862*(Sens!F8859+Sens!F8861)-Sens!F8860</f>
        <v>35.0947222830189</v>
      </c>
      <c r="G8863" s="6" t="n">
        <f aca="false">Sens!G8857-Sens!G8862*(Sens!G8859+Sens!G8861)-Sens!G8860</f>
        <v>52.9609920712477</v>
      </c>
      <c r="H8863" s="6" t="n">
        <f aca="false">Sens!H8857-Sens!H8862*(Sens!H8859+Sens!H8861)-Sens!H8860</f>
        <v>66.4405822844005</v>
      </c>
      <c r="I8863" s="6" t="n">
        <f aca="false">Sens!I8857-Sens!I8862*(Sens!I8859+Sens!I8861)-Sens!I8860</f>
        <v>84.7749393938279</v>
      </c>
      <c r="J8863" s="6" t="n">
        <f aca="false">Sens!J8857-Sens!J8862*(Sens!J8859+Sens!J8861)-Sens!J8860</f>
        <v>97.6526264137382</v>
      </c>
      <c r="K8863" s="6" t="n">
        <f aca="false">Sens!K8857-Sens!K8862*(Sens!K8859+Sens!K8861)-Sens!K8860</f>
        <v>105.965358412527</v>
      </c>
    </row>
    <row r="8864" customFormat="false" ht="17.15" hidden="false" customHeight="false" outlineLevel="0" collapsed="false">
      <c r="A8864" s="1" t="s">
        <v>986</v>
      </c>
      <c r="B8864" s="0" t="s">
        <v>98</v>
      </c>
      <c r="D8864" s="6" t="n">
        <f aca="false">(1-Sens!D8862)*(Sens!D8859+Sens!D8861)</f>
        <v>1.42281025374069</v>
      </c>
      <c r="E8864" s="6" t="n">
        <f aca="false">(1-Sens!E8862)*(Sens!E8859+Sens!E8861)</f>
        <v>3.25095598674472</v>
      </c>
      <c r="F8864" s="6" t="n">
        <f aca="false">(1-Sens!F8862)*(Sens!F8859+Sens!F8861)</f>
        <v>6.72135810147489</v>
      </c>
      <c r="G8864" s="6" t="n">
        <f aca="false">(1-Sens!G8862)*(Sens!G8859+Sens!G8861)</f>
        <v>11.3401410201637</v>
      </c>
      <c r="H8864" s="6" t="n">
        <f aca="false">(1-Sens!H8862)*(Sens!H8859+Sens!H8861)</f>
        <v>16.1920771049557</v>
      </c>
      <c r="I8864" s="6" t="n">
        <f aca="false">(1-Sens!I8862)*(Sens!I8859+Sens!I8861)</f>
        <v>20.3917774400264</v>
      </c>
      <c r="J8864" s="6" t="n">
        <f aca="false">(1-Sens!J8862)*(Sens!J8859+Sens!J8861)</f>
        <v>23.2503960207104</v>
      </c>
      <c r="K8864" s="6" t="n">
        <f aca="false">(1-Sens!K8862)*(Sens!K8859+Sens!K8861)</f>
        <v>24.8730801087085</v>
      </c>
    </row>
    <row r="8865" customFormat="false" ht="17.15" hidden="false" customHeight="false" outlineLevel="0" collapsed="false">
      <c r="A8865" s="1" t="s">
        <v>987</v>
      </c>
      <c r="B8865" s="0" t="s">
        <v>414</v>
      </c>
      <c r="C8865" s="8" t="n">
        <f aca="false">cxit_open</f>
        <v>27.5918995</v>
      </c>
      <c r="D8865" s="8" t="n">
        <f aca="false">cxit_open</f>
        <v>27.5918995</v>
      </c>
      <c r="E8865" s="8" t="n">
        <f aca="false">cxit_open</f>
        <v>27.5918995</v>
      </c>
      <c r="F8865" s="8" t="n">
        <f aca="false">((a_g3_27-nonnv*a_mai)*tk_cxit_gb300+nonnv*a_mai*nv_hold_mai*tk_cxit_vr200+(1-a_g3_27)*tk_cxit_vr200)</f>
        <v>32.4975576</v>
      </c>
      <c r="G8865" s="8" t="n">
        <f aca="false">((a_g3_28-nonnv*a_mai)*tk_cxit_gb300+nonnv*a_mai*nv_hold_mai*tk_cxit_vr200+(1-a_g3_28)*tk_cxit_vr200)</f>
        <v>34.6372088</v>
      </c>
      <c r="H8865" s="8" t="n">
        <f aca="false">((a_g3_29-nonnv*a_mai)*tk_cxit_gb300+nonnv*a_mai*nv_hold_mai*tk_cxit_vr200+(1-a_g3_29)*tk_cxit_vr200)</f>
        <v>35.7070344</v>
      </c>
      <c r="I8865" s="8" t="n">
        <f aca="false">((a_g3_29-nonnv*a_mai)*tk_cxit_gb300+nonnv*a_mai*nv_hold_mai*tk_cxit_vr200+(1-a_g3_29)*tk_cxit_vr200)</f>
        <v>35.7070344</v>
      </c>
      <c r="J8865" s="8" t="n">
        <f aca="false">((a_g3_29-nonnv*a_mai)*tk_cxit_gb300+nonnv*a_mai*nv_hold_mai*tk_cxit_vr200+(1-a_g3_29)*tk_cxit_vr200)</f>
        <v>35.7070344</v>
      </c>
      <c r="K8865" s="8" t="n">
        <f aca="false">((a_g3_29-nonnv*a_mai)*tk_cxit_gb300+nonnv*a_mai*nv_hold_mai*tk_cxit_vr200+(1-a_g3_29)*tk_cxit_vr200)</f>
        <v>35.7070344</v>
      </c>
      <c r="L8865" s="12" t="s">
        <v>988</v>
      </c>
    </row>
    <row r="8866" customFormat="false" ht="17.15" hidden="false" customHeight="false" outlineLevel="0" collapsed="false">
      <c r="A8866" s="0" t="s">
        <v>989</v>
      </c>
      <c r="B8866" s="0" t="s">
        <v>456</v>
      </c>
      <c r="F8866" s="30" t="n">
        <f aca="false">Sens!C8845*IF(Sens!F8838-Sens!C8838=life_it,1,0)+Sens!D8845*IF(Sens!F8838-Sens!D8838=life_it,1,0)+Sens!E8845*IF(Sens!F8838-Sens!E8838=life_it,1,0)</f>
        <v>0</v>
      </c>
      <c r="G8866" s="30" t="n">
        <f aca="false">Sens!C8845*IF(Sens!G8838-Sens!C8838=life_it,1,0)+Sens!D8845*IF(Sens!G8838-Sens!D8838=life_it,1,0)+Sens!E8845*IF(Sens!G8838-Sens!E8838=life_it,1,0)+Sens!F8845*IF(Sens!G8838-Sens!F8838=life_it,1,0)</f>
        <v>0</v>
      </c>
      <c r="H8866" s="30" t="n">
        <f aca="false">Sens!C8845*IF(Sens!H8838-Sens!C8838=life_it,1,0)+Sens!D8845*IF(Sens!H8838-Sens!D8838=life_it,1,0)+Sens!E8845*IF(Sens!H8838-Sens!E8838=life_it,1,0)+Sens!F8845*IF(Sens!H8838-Sens!F8838=life_it,1,0)+Sens!G8845*IF(Sens!H8838-Sens!G8838=life_it,1,0)</f>
        <v>0</v>
      </c>
      <c r="I8866" s="30" t="n">
        <f aca="false">Sens!C8845*IF(Sens!I8838-Sens!C8838=life_it,1,0)+Sens!D8845*IF(Sens!I8838-Sens!D8838=life_it,1,0)+Sens!E8845*IF(Sens!I8838-Sens!E8838=life_it,1,0)+Sens!F8845*IF(Sens!I8838-Sens!F8838=life_it,1,0)+Sens!G8845*IF(Sens!I8838-Sens!G8838=life_it,1,0)+Sens!H8845*IF(Sens!I8838-Sens!H8838=life_it,1,0)</f>
        <v>816.666666666667</v>
      </c>
      <c r="J8866" s="30" t="n">
        <f aca="false">Sens!C8845*IF(Sens!J8838-Sens!C8838=life_it,1,0)+Sens!D8845*IF(Sens!J8838-Sens!D8838=life_it,1,0)+Sens!E8845*IF(Sens!J8838-Sens!E8838=life_it,1,0)+Sens!F8845*IF(Sens!J8838-Sens!F8838=life_it,1,0)+Sens!G8845*IF(Sens!J8838-Sens!G8838=life_it,1,0)+Sens!H8845*IF(Sens!J8838-Sens!H8838=life_it,1,0)+Sens!I8845*IF(Sens!J8838-Sens!I8838=life_it,1,0)</f>
        <v>1233.33333333333</v>
      </c>
      <c r="K8866" s="30" t="n">
        <f aca="false">Sens!C8845*IF(Sens!K8838-Sens!C8838=life_it,1,0)+Sens!D8845*IF(Sens!K8838-Sens!D8838=life_it,1,0)+Sens!E8845*IF(Sens!K8838-Sens!E8838=life_it,1,0)+Sens!F8845*IF(Sens!K8838-Sens!F8838=life_it,1,0)+Sens!G8845*IF(Sens!K8838-Sens!G8838=life_it,1,0)+Sens!H8845*IF(Sens!K8838-Sens!H8838=life_it,1,0)+Sens!I8845*IF(Sens!K8838-Sens!I8838=life_it,1,0)+Sens!J8845*IF(Sens!K8838-Sens!J8838=life_it,1,0)</f>
        <v>2450</v>
      </c>
      <c r="L8866" s="1" t="s">
        <v>990</v>
      </c>
    </row>
    <row r="8867" customFormat="false" ht="17.15" hidden="false" customHeight="false" outlineLevel="0" collapsed="false">
      <c r="A8867" s="0" t="s">
        <v>991</v>
      </c>
      <c r="B8867" s="0" t="s">
        <v>98</v>
      </c>
      <c r="C8867" s="6" t="n">
        <f aca="false">Sens!C8845*Sens!C8865/1000</f>
        <v>22.5333845916667</v>
      </c>
      <c r="D8867" s="6" t="n">
        <f aca="false">Sens!D8845*Sens!D8865/1000</f>
        <v>34.0300093833333</v>
      </c>
      <c r="E8867" s="6" t="n">
        <f aca="false">Sens!E8845*Sens!E8865/1000</f>
        <v>67.600153775</v>
      </c>
      <c r="F8867" s="6" t="n">
        <f aca="false">(Sens!F8845+Sens!F8866)*Sens!F8865/1000</f>
        <v>136.51872432512</v>
      </c>
      <c r="G8867" s="6" t="n">
        <f aca="false">(Sens!G8845+Sens!G8866)*Sens!G8865/1000</f>
        <v>157.399275932048</v>
      </c>
      <c r="H8867" s="6" t="n">
        <f aca="false">(Sens!H8845+Sens!H8866)*Sens!H8865/1000</f>
        <v>162.260804347512</v>
      </c>
      <c r="I8867" s="6" t="n">
        <f aca="false">(Sens!I8845+Sens!I8866)*Sens!I8865/1000</f>
        <v>144.136569485434</v>
      </c>
      <c r="J8867" s="6" t="n">
        <f aca="false">(Sens!J8845+Sens!J8866)*Sens!J8865/1000</f>
        <v>114.029037357864</v>
      </c>
      <c r="K8867" s="6" t="n">
        <f aca="false">(Sens!K8845+Sens!K8866)*Sens!K8865/1000</f>
        <v>113.437085350975</v>
      </c>
    </row>
    <row r="8868" customFormat="false" ht="17.15" hidden="false" customHeight="false" outlineLevel="0" collapsed="false">
      <c r="A8868" s="0" t="s">
        <v>992</v>
      </c>
      <c r="B8868" s="0" t="s">
        <v>98</v>
      </c>
      <c r="C8868" s="6" t="n">
        <f aca="false">Sens!C8845*self_build*tk_cxfac/1000</f>
        <v>6.2083</v>
      </c>
      <c r="D8868" s="6" t="n">
        <f aca="false">Sens!D8845*self_build*tk_cxfac/1000</f>
        <v>9.3758</v>
      </c>
      <c r="E8868" s="6" t="n">
        <f aca="false">Sens!E8845*self_build*tk_cxfac/1000</f>
        <v>18.6249</v>
      </c>
      <c r="F8868" s="6" t="n">
        <f aca="false">Sens!F8845*self_build*tk_cxfac/1000</f>
        <v>31.935179717</v>
      </c>
      <c r="G8868" s="6" t="n">
        <f aca="false">Sens!G8845*self_build*tk_cxfac/1000</f>
        <v>34.545199717</v>
      </c>
      <c r="H8868" s="6" t="n">
        <f aca="false">Sens!H8845*self_build*tk_cxfac/1000</f>
        <v>34.545199717</v>
      </c>
      <c r="I8868" s="6" t="n">
        <f aca="false">Sens!I8845*self_build*tk_cxfac/1000</f>
        <v>24.4782641361767</v>
      </c>
      <c r="J8868" s="6" t="n">
        <f aca="false">Sens!J8845*self_build*tk_cxfac/1000</f>
        <v>14.9008938380769</v>
      </c>
      <c r="K8868" s="6" t="n">
        <f aca="false">Sens!K8845*self_build*tk_cxfac/1000</f>
        <v>5.52576771375761</v>
      </c>
    </row>
    <row r="8869" customFormat="false" ht="17.15" hidden="false" customHeight="false" outlineLevel="0" collapsed="false">
      <c r="A8869" s="0" t="s">
        <v>993</v>
      </c>
      <c r="B8869" s="0" t="s">
        <v>98</v>
      </c>
      <c r="F8869" s="15" t="n">
        <f aca="false">capex_floor27-Sens!F8867-Sens!F8868-Sens!F8965</f>
        <v>-0.240354046537568</v>
      </c>
      <c r="L8869" s="12" t="s">
        <v>994</v>
      </c>
    </row>
    <row r="8870" customFormat="false" ht="17.15" hidden="false" customHeight="false" outlineLevel="0" collapsed="false">
      <c r="A8870" s="0" t="s">
        <v>995</v>
      </c>
      <c r="B8870" s="0" t="s">
        <v>98</v>
      </c>
      <c r="F8870" s="6" t="n">
        <f aca="false">MAX(0,Sens!F8869)</f>
        <v>0</v>
      </c>
    </row>
    <row r="8871" customFormat="false" ht="17.15" hidden="false" customHeight="false" outlineLevel="0" collapsed="false">
      <c r="A8871" s="0" t="s">
        <v>996</v>
      </c>
      <c r="B8871" s="0" t="s">
        <v>98</v>
      </c>
      <c r="C8871" s="6" t="n">
        <f aca="false">Sens!C8867</f>
        <v>22.5333845916667</v>
      </c>
      <c r="D8871" s="6" t="n">
        <f aca="false">Sens!D8867</f>
        <v>34.0300093833333</v>
      </c>
      <c r="E8871" s="6" t="n">
        <f aca="false">Sens!E8867</f>
        <v>67.600153775</v>
      </c>
      <c r="F8871" s="6" t="n">
        <f aca="false">Sens!F8867</f>
        <v>136.51872432512</v>
      </c>
      <c r="G8871" s="6" t="n">
        <f aca="false">Sens!G8867</f>
        <v>157.399275932048</v>
      </c>
      <c r="H8871" s="6" t="n">
        <f aca="false">Sens!H8867</f>
        <v>162.260804347512</v>
      </c>
      <c r="I8871" s="6" t="n">
        <f aca="false">Sens!I8867</f>
        <v>144.136569485434</v>
      </c>
      <c r="J8871" s="6" t="n">
        <f aca="false">Sens!J8867</f>
        <v>114.029037357864</v>
      </c>
      <c r="K8871" s="6" t="n">
        <f aca="false">Sens!K8867</f>
        <v>113.437085350975</v>
      </c>
    </row>
    <row r="8872" customFormat="false" ht="17.15" hidden="false" customHeight="false" outlineLevel="0" collapsed="false">
      <c r="A8872" s="0" t="s">
        <v>997</v>
      </c>
      <c r="B8872" s="0" t="s">
        <v>98</v>
      </c>
      <c r="C8872" s="6" t="n">
        <f aca="false">Sens!C8871+Sens!C8868</f>
        <v>28.7416845916667</v>
      </c>
      <c r="D8872" s="6" t="n">
        <f aca="false">Sens!D8871+Sens!D8868</f>
        <v>43.4058093833333</v>
      </c>
      <c r="E8872" s="6" t="n">
        <f aca="false">Sens!E8871+Sens!E8868</f>
        <v>86.225053775</v>
      </c>
      <c r="F8872" s="6" t="n">
        <f aca="false">Sens!F8871+Sens!F8868</f>
        <v>168.45390404212</v>
      </c>
      <c r="G8872" s="6" t="n">
        <f aca="false">Sens!G8871+Sens!G8868</f>
        <v>191.944475649048</v>
      </c>
      <c r="H8872" s="6" t="n">
        <f aca="false">Sens!H8871+Sens!H8868</f>
        <v>196.806004064512</v>
      </c>
      <c r="I8872" s="6" t="n">
        <f aca="false">Sens!I8871+Sens!I8868</f>
        <v>168.61483362161</v>
      </c>
      <c r="J8872" s="6" t="n">
        <f aca="false">Sens!J8871+Sens!J8868</f>
        <v>128.92993119594</v>
      </c>
      <c r="K8872" s="6" t="n">
        <f aca="false">Sens!K8871+Sens!K8868</f>
        <v>118.962853064733</v>
      </c>
      <c r="L8872" s="12" t="s">
        <v>998</v>
      </c>
    </row>
    <row r="8873" customFormat="false" ht="17.15" hidden="false" customHeight="false" outlineLevel="0" collapsed="false">
      <c r="A8873" s="0" t="s">
        <v>999</v>
      </c>
      <c r="B8873" s="0" t="s">
        <v>98</v>
      </c>
      <c r="E8873" s="6" t="n">
        <f aca="false">(Sens!C8871*IF(2&lt;life_it,1,IF(2=life_it,0.5,0))+Sens!D8871*IF(1&lt;life_it,1,IF(1=life_it,0.5,0))+Sens!E8871*0.5)/life_it</f>
        <v>15.0605784770833</v>
      </c>
      <c r="F8873" s="6" t="n">
        <f aca="false">(Sens!C8871*IF(3&lt;life_it,1,IF(3=life_it,0.5,0))+Sens!D8871*IF(2&lt;life_it,1,IF(2=life_it,0.5,0))+Sens!E8871*IF(1&lt;life_it,1,IF(1=life_it,0.5,0))+Sens!F8871*0.5)/life_it</f>
        <v>32.0704849854266</v>
      </c>
      <c r="G8873" s="6" t="n">
        <f aca="false">(Sens!C8871*IF(4&lt;life_it,1,IF(4=life_it,0.5,0))+Sens!D8871*IF(3&lt;life_it,1,IF(3=life_it,0.5,0))+Sens!E8871*IF(2&lt;life_it,1,IF(2=life_it,0.5,0))+Sens!F8871*IF(1&lt;life_it,1,IF(1=life_it,0.5,0))+Sens!G8871*0.5)/life_it</f>
        <v>56.5636516735239</v>
      </c>
      <c r="H8873" s="6" t="n">
        <f aca="false">(Sens!C8871*IF(5&lt;life_it,1,IF(5=life_it,0.5,0))+Sens!D8871*IF(4&lt;life_it,1,IF(4=life_it,0.5,0))+Sens!E8871*IF(3&lt;life_it,1,IF(3=life_it,0.5,0))+Sens!F8871*IF(2&lt;life_it,1,IF(2=life_it,0.5,0))+Sens!G8871*IF(1&lt;life_it,1,IF(1=life_it,0.5,0))+Sens!H8871*0.5)/life_it</f>
        <v>83.2019916968207</v>
      </c>
      <c r="I8873" s="6" t="n">
        <f aca="false">(Sens!C8871*IF(6&lt;life_it,1,IF(6=life_it,0.5,0))+Sens!D8871*IF(5&lt;life_it,1,IF(5=life_it,0.5,0))+Sens!E8871*IF(4&lt;life_it,1,IF(4=life_it,0.5,0))+Sens!F8871*IF(3&lt;life_it,1,IF(3=life_it,0.5,0))+Sens!G8871*IF(2&lt;life_it,1,IF(2=life_it,0.5,0))+Sens!H8871*IF(1&lt;life_it,1,IF(1=life_it,0.5,0))+Sens!I8871*0.5)/life_it</f>
        <v>106.857324133594</v>
      </c>
      <c r="J8873" s="6" t="n">
        <f aca="false">(Sens!C8871*IF(7&lt;life_it,1,IF(7=life_it,0.5,0))+Sens!D8871*IF(6&lt;life_it,1,IF(6=life_it,0.5,0))+Sens!E8871*IF(5&lt;life_it,1,IF(5=life_it,0.5,0))+Sens!F8871*IF(4&lt;life_it,1,IF(4=life_it,0.5,0))+Sens!G8871*IF(3&lt;life_it,1,IF(3=life_it,0.5,0))+Sens!H8871*IF(2&lt;life_it,1,IF(2=life_it,0.5,0))+Sens!I8871*IF(1&lt;life_it,1,IF(1=life_it,0.5,0))+Sens!J8871*0.5)/life_it</f>
        <v>123.657508539285</v>
      </c>
      <c r="K8873" s="6" t="n">
        <f aca="false">(Sens!C8871*IF(8&lt;life_it,1,IF(8=life_it,0.5,0))+Sens!D8871*IF(7&lt;life_it,1,IF(7=life_it,0.5,0))+Sens!E8871*IF(6&lt;life_it,1,IF(6=life_it,0.5,0))+Sens!F8871*IF(5&lt;life_it,1,IF(5=life_it,0.5,0))+Sens!G8871*IF(4&lt;life_it,1,IF(4=life_it,0.5,0))+Sens!H8871*IF(3&lt;life_it,1,IF(3=life_it,0.5,0))+Sens!I8871*IF(2&lt;life_it,1,IF(2=life_it,0.5,0))+Sens!J8871*IF(1&lt;life_it,1,IF(1=life_it,0.5,0))+Sens!K8871*0.5)/life_it</f>
        <v>134.143838501827</v>
      </c>
    </row>
    <row r="8874" customFormat="false" ht="17.15" hidden="false" customHeight="false" outlineLevel="0" collapsed="false">
      <c r="A8874" s="0" t="s">
        <v>1000</v>
      </c>
      <c r="B8874" s="0" t="s">
        <v>98</v>
      </c>
      <c r="E8874" s="6" t="n">
        <f aca="false">(Sens!C8868*IF(2&lt;life_fac,1,IF(2=life_fac,0.5,0))+Sens!D8868*IF(1&lt;life_fac,1,IF(1=life_fac,0.5,0))+Sens!E8868*0.5)/life_fac</f>
        <v>1.2448275</v>
      </c>
      <c r="F8874" s="6" t="n">
        <f aca="false">(Sens!C8868*IF(3&lt;life_fac,1,IF(3=life_fac,0.5,0))+Sens!D8868*IF(2&lt;life_fac,1,IF(2=life_fac,0.5,0))+Sens!E8868*IF(1&lt;life_fac,1,IF(1=life_fac,0.5,0))+Sens!F8868*0.5)/life_fac</f>
        <v>2.508829492925</v>
      </c>
      <c r="G8874" s="6" t="n">
        <f aca="false">(Sens!C8868*IF(4&lt;life_fac,1,IF(4=life_fac,0.5,0))+Sens!D8868*IF(3&lt;life_fac,1,IF(3=life_fac,0.5,0))+Sens!E8868*IF(2&lt;life_fac,1,IF(2=life_fac,0.5,0))+Sens!F8868*IF(1&lt;life_fac,1,IF(1=life_fac,0.5,0))+Sens!G8868*0.5)/life_fac</f>
        <v>4.170838978775</v>
      </c>
      <c r="H8874" s="6" t="n">
        <f aca="false">(Sens!C8868*IF(5&lt;life_fac,1,IF(5=life_fac,0.5,0))+Sens!D8868*IF(4&lt;life_fac,1,IF(4=life_fac,0.5,0))+Sens!E8868*IF(3&lt;life_fac,1,IF(3=life_fac,0.5,0))+Sens!F8868*IF(2&lt;life_fac,1,IF(2=life_fac,0.5,0))+Sens!G8868*IF(1&lt;life_fac,1,IF(1=life_fac,0.5,0))+Sens!H8868*0.5)/life_fac</f>
        <v>5.898098964625</v>
      </c>
      <c r="I8874" s="6" t="n">
        <f aca="false">(Sens!C8868*IF(6&lt;life_fac,1,IF(6=life_fac,0.5,0))+Sens!D8868*IF(5&lt;life_fac,1,IF(5=life_fac,0.5,0))+Sens!E8868*IF(4&lt;life_fac,1,IF(4=life_fac,0.5,0))+Sens!F8868*IF(3&lt;life_fac,1,IF(3=life_fac,0.5,0))+Sens!G8868*IF(2&lt;life_fac,1,IF(2=life_fac,0.5,0))+Sens!H8868*IF(1&lt;life_fac,1,IF(1=life_fac,0.5,0))+Sens!I8868*0.5)/life_fac</f>
        <v>7.37368556095442</v>
      </c>
      <c r="J8874" s="6" t="n">
        <f aca="false">(Sens!C8868*IF(7&lt;life_fac,1,IF(7=life_fac,0.5,0))+Sens!D8868*IF(6&lt;life_fac,1,IF(6=life_fac,0.5,0))+Sens!E8868*IF(5&lt;life_fac,1,IF(5=life_fac,0.5,0))+Sens!F8868*IF(4&lt;life_fac,1,IF(4=life_fac,0.5,0))+Sens!G8868*IF(3&lt;life_fac,1,IF(3=life_fac,0.5,0))+Sens!H8868*IF(2&lt;life_fac,1,IF(2=life_fac,0.5,0))+Sens!I8868*IF(1&lt;life_fac,1,IF(1=life_fac,0.5,0))+Sens!J8868*0.5)/life_fac</f>
        <v>8.35816451031075</v>
      </c>
      <c r="K8874" s="6" t="n">
        <f aca="false">(Sens!C8868*IF(8&lt;life_fac,1,IF(8=life_fac,0.5,0))+Sens!D8868*IF(7&lt;life_fac,1,IF(7=life_fac,0.5,0))+Sens!E8868*IF(6&lt;life_fac,1,IF(6=life_fac,0.5,0))+Sens!F8868*IF(5&lt;life_fac,1,IF(5=life_fac,0.5,0))+Sens!G8868*IF(4&lt;life_fac,1,IF(4=life_fac,0.5,0))+Sens!H8868*IF(3&lt;life_fac,1,IF(3=life_fac,0.5,0))+Sens!I8868*IF(2&lt;life_fac,1,IF(2=life_fac,0.5,0))+Sens!J8868*IF(1&lt;life_fac,1,IF(1=life_fac,0.5,0))+Sens!K8868*0.5)/life_fac</f>
        <v>8.86883104910662</v>
      </c>
    </row>
    <row r="8875" customFormat="false" ht="17.15" hidden="false" customHeight="false" outlineLevel="0" collapsed="false">
      <c r="A8875" s="0" t="s">
        <v>1001</v>
      </c>
      <c r="B8875" s="0" t="s">
        <v>98</v>
      </c>
      <c r="E8875" s="6" t="n">
        <f aca="false">Sens!E8873+Sens!E8874</f>
        <v>16.3054059770833</v>
      </c>
      <c r="F8875" s="6" t="n">
        <f aca="false">Sens!F8873+Sens!F8874</f>
        <v>34.5793144783516</v>
      </c>
      <c r="G8875" s="6" t="n">
        <f aca="false">Sens!G8873+Sens!G8874</f>
        <v>60.7344906522989</v>
      </c>
      <c r="H8875" s="6" t="n">
        <f aca="false">Sens!H8873+Sens!H8874</f>
        <v>89.1000906614457</v>
      </c>
      <c r="I8875" s="6" t="n">
        <f aca="false">Sens!I8873+Sens!I8874</f>
        <v>114.231009694548</v>
      </c>
      <c r="J8875" s="6" t="n">
        <f aca="false">Sens!J8873+Sens!J8874</f>
        <v>132.015673049596</v>
      </c>
      <c r="K8875" s="6" t="n">
        <f aca="false">Sens!K8873+Sens!K8874</f>
        <v>143.012669550934</v>
      </c>
    </row>
    <row r="8876" customFormat="false" ht="17.15" hidden="false" customHeight="false" outlineLevel="0" collapsed="false">
      <c r="A8876" s="0" t="s">
        <v>1002</v>
      </c>
      <c r="B8876" s="0" t="s">
        <v>98</v>
      </c>
      <c r="E8876" s="6" t="n">
        <f aca="false">Sens!E8863-Sens!E8862*Sens!E8875</f>
        <v>8.92707889977379</v>
      </c>
      <c r="F8876" s="6" t="n">
        <f aca="false">Sens!F8863-Sens!F8862*Sens!F8875</f>
        <v>14.3471335960079</v>
      </c>
      <c r="G8876" s="6" t="n">
        <f aca="false">Sens!G8863-Sens!G8862*Sens!G8875</f>
        <v>16.5202976798683</v>
      </c>
      <c r="H8876" s="6" t="n">
        <f aca="false">Sens!H8863-Sens!H8862*Sens!H8875</f>
        <v>12.9805278875331</v>
      </c>
      <c r="I8876" s="6" t="n">
        <f aca="false">Sens!I8863-Sens!I8862*Sens!I8875</f>
        <v>16.2363335770989</v>
      </c>
      <c r="J8876" s="6" t="n">
        <f aca="false">Sens!J8863-Sens!J8862*Sens!J8875</f>
        <v>18.4432225839805</v>
      </c>
      <c r="K8876" s="6" t="n">
        <f aca="false">Sens!K8863-Sens!K8862*Sens!K8875</f>
        <v>20.1577566819661</v>
      </c>
    </row>
    <row r="8877" customFormat="false" ht="17.15" hidden="false" customHeight="false" outlineLevel="0" collapsed="false">
      <c r="A8877" s="3" t="s">
        <v>1701</v>
      </c>
    </row>
    <row r="8878" customFormat="false" ht="15" hidden="false" customHeight="false" outlineLevel="0" collapsed="false">
      <c r="A8878" s="4" t="s">
        <v>43</v>
      </c>
      <c r="B8878" s="4" t="s">
        <v>65</v>
      </c>
      <c r="C8878" s="23" t="s">
        <v>938</v>
      </c>
      <c r="D8878" s="23" t="s">
        <v>939</v>
      </c>
      <c r="E8878" s="23" t="s">
        <v>940</v>
      </c>
      <c r="F8878" s="23" t="s">
        <v>941</v>
      </c>
      <c r="G8878" s="23" t="s">
        <v>942</v>
      </c>
      <c r="H8878" s="23" t="s">
        <v>943</v>
      </c>
      <c r="I8878" s="23" t="s">
        <v>944</v>
      </c>
      <c r="J8878" s="23" t="s">
        <v>945</v>
      </c>
      <c r="K8878" s="23" t="s">
        <v>946</v>
      </c>
      <c r="L8878" s="4" t="s">
        <v>47</v>
      </c>
    </row>
    <row r="8879" customFormat="false" ht="17.15" hidden="false" customHeight="false" outlineLevel="0" collapsed="false">
      <c r="A8879" s="0" t="s">
        <v>1021</v>
      </c>
      <c r="B8879" s="0" t="s">
        <v>98</v>
      </c>
      <c r="D8879" s="6" t="n">
        <f aca="false">Sens!D8857</f>
        <v>12.9359794422418</v>
      </c>
      <c r="E8879" s="6" t="n">
        <f aca="false">Sens!E8857</f>
        <v>27.8095064661409</v>
      </c>
      <c r="F8879" s="6" t="n">
        <f aca="false">Sens!F8857</f>
        <v>50.9819294352312</v>
      </c>
      <c r="G8879" s="6" t="n">
        <f aca="false">Sens!G8857</f>
        <v>76.6920436014933</v>
      </c>
      <c r="H8879" s="6" t="n">
        <f aca="false">Sens!H8857</f>
        <v>97.4495379418341</v>
      </c>
      <c r="I8879" s="6" t="n">
        <f aca="false">Sens!I8857</f>
        <v>122.083445553868</v>
      </c>
      <c r="J8879" s="6" t="n">
        <f aca="false">Sens!J8857</f>
        <v>139.249060444804</v>
      </c>
      <c r="K8879" s="6" t="n">
        <f aca="false">Sens!K8857</f>
        <v>149.995818575589</v>
      </c>
    </row>
    <row r="8880" customFormat="false" ht="17.15" hidden="false" customHeight="false" outlineLevel="0" collapsed="false">
      <c r="A8880" s="0" t="s">
        <v>1022</v>
      </c>
      <c r="B8880" s="0" t="s">
        <v>98</v>
      </c>
      <c r="D8880" s="6" t="n">
        <f aca="false">Q!L6-Sens!D8879</f>
        <v>59.6740205577583</v>
      </c>
      <c r="E8880" s="6" t="n">
        <f aca="false">Q!M6-Sens!E8879</f>
        <v>74.1284935338591</v>
      </c>
      <c r="F8880" s="6" t="n">
        <f aca="false">Q!$I$6+(Sens!F8879+Sens!E8880*(1+Sens!F8881))*(1-Q!$E$6/Q!M6)-Sens!F8879</f>
        <v>92.2699541184664</v>
      </c>
      <c r="G8880" s="6" t="n">
        <f aca="false">Sens!F8880*(1+Sens!G8881)</f>
        <v>109.630477277949</v>
      </c>
      <c r="H8880" s="6" t="n">
        <f aca="false">Sens!G8880*(1+Sens!H8881)</f>
        <v>127.293256321956</v>
      </c>
      <c r="I8880" s="6" t="n">
        <f aca="false">Sens!H8880*(1+Sens!I8881)</f>
        <v>144.360052269491</v>
      </c>
      <c r="J8880" s="6" t="n">
        <f aca="false">Sens!I8880*(1+Sens!J8881)</f>
        <v>159.811964490216</v>
      </c>
      <c r="K8880" s="6" t="n">
        <f aca="false">Sens!J8880*(1+Sens!K8881)</f>
        <v>172.596921649434</v>
      </c>
      <c r="L8880" s="12" t="s">
        <v>1023</v>
      </c>
    </row>
    <row r="8881" customFormat="false" ht="15" hidden="false" customHeight="false" outlineLevel="0" collapsed="false">
      <c r="A8881" s="1" t="s">
        <v>1024</v>
      </c>
      <c r="B8881" s="0" t="s">
        <v>168</v>
      </c>
      <c r="E8881" s="7" t="n">
        <f aca="false">Sens!E8880/Sens!D8880-1</f>
        <v>0.242223883039864</v>
      </c>
      <c r="F8881" s="7" t="n">
        <f aca="false">Sens!$E$8881+(glt_azo-Sens!$E$8881)*MIN(1,(Sens!F8838-base_fy)/n_conv)</f>
        <v>0.215186569199887</v>
      </c>
      <c r="G8881" s="7" t="n">
        <f aca="false">Sens!$E$8881+(glt_azo-Sens!$E$8881)*MIN(1,(Sens!G8838-base_fy)/n_conv)</f>
        <v>0.18814925535991</v>
      </c>
      <c r="H8881" s="7" t="n">
        <f aca="false">Sens!$E$8881+(glt_azo-Sens!$E$8881)*MIN(1,(Sens!H8838-base_fy)/n_conv)</f>
        <v>0.161111941519932</v>
      </c>
      <c r="I8881" s="7" t="n">
        <f aca="false">Sens!$E$8881+(glt_azo-Sens!$E$8881)*MIN(1,(Sens!I8838-base_fy)/n_conv)</f>
        <v>0.134074627679955</v>
      </c>
      <c r="J8881" s="7" t="n">
        <f aca="false">Sens!$E$8881+(glt_azo-Sens!$E$8881)*MIN(1,(Sens!J8838-base_fy)/n_conv)</f>
        <v>0.107037313839977</v>
      </c>
      <c r="K8881" s="7" t="n">
        <f aca="false">Sens!$E$8881+(glt_azo-Sens!$E$8881)*MIN(1,(Sens!K8838-base_fy)/n_conv)</f>
        <v>0.08</v>
      </c>
    </row>
    <row r="8882" customFormat="false" ht="15" hidden="false" customHeight="false" outlineLevel="0" collapsed="false">
      <c r="A8882" s="0" t="s">
        <v>1025</v>
      </c>
      <c r="B8882" s="0" t="s">
        <v>98</v>
      </c>
      <c r="D8882" s="6" t="n">
        <f aca="false">Sens!D8879+Sens!D8880</f>
        <v>72.61</v>
      </c>
      <c r="E8882" s="6" t="n">
        <f aca="false">Sens!E8879+Sens!E8880</f>
        <v>101.938</v>
      </c>
      <c r="F8882" s="6" t="n">
        <f aca="false">Sens!F8879+Sens!F8880</f>
        <v>143.251883553698</v>
      </c>
      <c r="G8882" s="6" t="n">
        <f aca="false">Sens!G8879+Sens!G8880</f>
        <v>186.322520879442</v>
      </c>
      <c r="H8882" s="6" t="n">
        <f aca="false">Sens!H8879+Sens!H8880</f>
        <v>224.74279426379</v>
      </c>
      <c r="I8882" s="6" t="n">
        <f aca="false">Sens!I8879+Sens!I8880</f>
        <v>266.443497823359</v>
      </c>
      <c r="J8882" s="6" t="n">
        <f aca="false">Sens!J8879+Sens!J8880</f>
        <v>299.06102493502</v>
      </c>
      <c r="K8882" s="6" t="n">
        <f aca="false">Sens!K8879+Sens!K8880</f>
        <v>322.592740225023</v>
      </c>
    </row>
    <row r="8883" customFormat="false" ht="17.15" hidden="false" customHeight="false" outlineLevel="0" collapsed="false">
      <c r="A8883" s="0" t="s">
        <v>1026</v>
      </c>
      <c r="B8883" s="1" t="s">
        <v>610</v>
      </c>
      <c r="C8883" s="30" t="n">
        <f aca="false">cop_s24</f>
        <v>1</v>
      </c>
      <c r="D8883" s="30" t="n">
        <f aca="false">cop_s25</f>
        <v>5</v>
      </c>
      <c r="E8883" s="30" t="n">
        <f aca="false">cop_s26</f>
        <v>30</v>
      </c>
      <c r="F8883" s="30" t="n">
        <f aca="false">Sens!E8883+cop_add_C</f>
        <v>40</v>
      </c>
      <c r="G8883" s="30" t="n">
        <f aca="false">Sens!F8883+cop_add_C</f>
        <v>50</v>
      </c>
      <c r="H8883" s="30" t="n">
        <f aca="false">Sens!G8883+cop_add_C</f>
        <v>60</v>
      </c>
      <c r="I8883" s="30" t="n">
        <f aca="false">Sens!H8883+cop_add_C*cop_tail</f>
        <v>65</v>
      </c>
      <c r="J8883" s="30" t="n">
        <f aca="false">Sens!I8883+cop_add_C*cop_tail</f>
        <v>70</v>
      </c>
      <c r="K8883" s="30" t="n">
        <f aca="false">Sens!J8883+cop_add_C*cop_tail</f>
        <v>75</v>
      </c>
      <c r="L8883" s="12" t="s">
        <v>1027</v>
      </c>
    </row>
    <row r="8884" customFormat="false" ht="17.15" hidden="false" customHeight="false" outlineLevel="0" collapsed="false">
      <c r="A8884" s="0" t="s">
        <v>1028</v>
      </c>
      <c r="B8884" s="0" t="s">
        <v>98</v>
      </c>
      <c r="D8884" s="6" t="n">
        <f aca="false">(Sens!C8883+Sens!D8883)/2*cop_px*12/1000</f>
        <v>0.9</v>
      </c>
      <c r="E8884" s="6" t="n">
        <f aca="false">(Sens!D8883+Sens!E8883)/2*cop_px*12/1000</f>
        <v>5.25</v>
      </c>
      <c r="F8884" s="6" t="n">
        <f aca="false">(Sens!E8883+Sens!F8883)/2*cop_px_hi*12/1000</f>
        <v>12.6</v>
      </c>
      <c r="G8884" s="6" t="n">
        <f aca="false">(Sens!F8883+Sens!G8883)/2*cop_px_hi*12/1000</f>
        <v>16.2</v>
      </c>
      <c r="H8884" s="6" t="n">
        <f aca="false">(Sens!G8883+Sens!H8883)/2*cop_px_hi*12/1000</f>
        <v>19.8</v>
      </c>
      <c r="I8884" s="6" t="n">
        <f aca="false">(Sens!H8883+Sens!I8883)/2*cop_px_hi*12/1000</f>
        <v>22.5</v>
      </c>
      <c r="J8884" s="6" t="n">
        <f aca="false">(Sens!I8883+Sens!J8883)/2*cop_px_hi*12/1000</f>
        <v>24.3</v>
      </c>
      <c r="K8884" s="6" t="n">
        <f aca="false">(Sens!J8883+Sens!K8883)/2*cop_px_hi*12/1000</f>
        <v>26.1</v>
      </c>
      <c r="L8884" s="1" t="s">
        <v>1029</v>
      </c>
    </row>
    <row r="8885" customFormat="false" ht="17.15" hidden="false" customHeight="false" outlineLevel="0" collapsed="false">
      <c r="A8885" s="0" t="s">
        <v>1030</v>
      </c>
      <c r="B8885" s="0" t="s">
        <v>98</v>
      </c>
      <c r="D8885" s="6" t="n">
        <f aca="false">Q!L7-Sens!D8884</f>
        <v>83.705</v>
      </c>
      <c r="E8885" s="6" t="n">
        <f aca="false">Q!M7-Sens!E8884</f>
        <v>95.049</v>
      </c>
      <c r="F8885" s="6" t="n">
        <f aca="false">Q!$I$7+(Sens!E8885*(1+Sens!F8886)+Sens!F8884)*(1-Q!$E$7/Q!M7)-Sens!F8884</f>
        <v>106.442263500935</v>
      </c>
      <c r="G8885" s="6" t="n">
        <f aca="false">Sens!F8885*(1+Sens!G8886)</f>
        <v>118.542872986443</v>
      </c>
      <c r="H8885" s="6" t="n">
        <f aca="false">Sens!G8885*(1+Sens!H8886)</f>
        <v>130.724549911307</v>
      </c>
      <c r="I8885" s="6" t="n">
        <f aca="false">Sens!H8885*(1+Sens!I8886)</f>
        <v>142.730447915167</v>
      </c>
      <c r="J8885" s="6" t="n">
        <f aca="false">Sens!I8885*(1+Sens!J8886)</f>
        <v>154.280280563771</v>
      </c>
      <c r="K8885" s="6" t="n">
        <f aca="false">Sens!J8885*(1+Sens!K8886)</f>
        <v>165.079900203235</v>
      </c>
      <c r="L8885" s="12" t="s">
        <v>1031</v>
      </c>
    </row>
    <row r="8886" customFormat="false" ht="15" hidden="false" customHeight="false" outlineLevel="0" collapsed="false">
      <c r="A8886" s="1" t="s">
        <v>1024</v>
      </c>
      <c r="B8886" s="0" t="s">
        <v>168</v>
      </c>
      <c r="E8886" s="7" t="n">
        <f aca="false">Sens!E8885/Sens!D8885-1</f>
        <v>0.135523564900544</v>
      </c>
      <c r="F8886" s="7" t="n">
        <f aca="false">Sens!$E$8886+(glt_m365b-Sens!$E$8886)*MIN(1,(Sens!F8838-base_fy)/n_conv)</f>
        <v>0.124602970750453</v>
      </c>
      <c r="G8886" s="7" t="n">
        <f aca="false">Sens!$E$8886+(glt_m365b-Sens!$E$8886)*MIN(1,(Sens!G8838-base_fy)/n_conv)</f>
        <v>0.113682376600363</v>
      </c>
      <c r="H8886" s="7" t="n">
        <f aca="false">Sens!$E$8886+(glt_m365b-Sens!$E$8886)*MIN(1,(Sens!H8838-base_fy)/n_conv)</f>
        <v>0.102761782450272</v>
      </c>
      <c r="I8886" s="7" t="n">
        <f aca="false">Sens!$E$8886+(glt_m365b-Sens!$E$8886)*MIN(1,(Sens!I8838-base_fy)/n_conv)</f>
        <v>0.0918411883001813</v>
      </c>
      <c r="J8886" s="7" t="n">
        <f aca="false">Sens!$E$8886+(glt_m365b-Sens!$E$8886)*MIN(1,(Sens!J8838-base_fy)/n_conv)</f>
        <v>0.0809205941500906</v>
      </c>
      <c r="K8886" s="7" t="n">
        <f aca="false">Sens!$E$8886+(glt_m365b-Sens!$E$8886)*MIN(1,(Sens!K8838-base_fy)/n_conv)</f>
        <v>0.07</v>
      </c>
    </row>
    <row r="8887" customFormat="false" ht="15" hidden="false" customHeight="false" outlineLevel="0" collapsed="false">
      <c r="A8887" s="0" t="s">
        <v>1032</v>
      </c>
      <c r="B8887" s="0" t="s">
        <v>98</v>
      </c>
      <c r="D8887" s="6" t="n">
        <f aca="false">Sens!D8885+Sens!D8884</f>
        <v>84.605</v>
      </c>
      <c r="E8887" s="6" t="n">
        <f aca="false">Sens!E8885+Sens!E8884</f>
        <v>100.299</v>
      </c>
      <c r="F8887" s="6" t="n">
        <f aca="false">Sens!F8885+Sens!F8884</f>
        <v>119.042263500935</v>
      </c>
      <c r="G8887" s="6" t="n">
        <f aca="false">Sens!G8885+Sens!G8884</f>
        <v>134.742872986443</v>
      </c>
      <c r="H8887" s="6" t="n">
        <f aca="false">Sens!H8885+Sens!H8884</f>
        <v>150.524549911307</v>
      </c>
      <c r="I8887" s="6" t="n">
        <f aca="false">Sens!I8885+Sens!I8884</f>
        <v>165.230447915167</v>
      </c>
      <c r="J8887" s="6" t="n">
        <f aca="false">Sens!J8885+Sens!J8884</f>
        <v>178.580280563771</v>
      </c>
      <c r="K8887" s="6" t="n">
        <f aca="false">Sens!K8885+Sens!K8884</f>
        <v>191.179900203235</v>
      </c>
    </row>
    <row r="8888" customFormat="false" ht="17.15" hidden="false" customHeight="false" outlineLevel="0" collapsed="false">
      <c r="A8888" s="0" t="s">
        <v>1033</v>
      </c>
      <c r="B8888" s="0" t="s">
        <v>98</v>
      </c>
      <c r="D8888" s="6" t="n">
        <f aca="false">Q!L8</f>
        <v>35.391</v>
      </c>
      <c r="E8888" s="6" t="n">
        <f aca="false">Q!M8</f>
        <v>37.285</v>
      </c>
      <c r="F8888" s="6" t="n">
        <f aca="false">Q!$I$8+(Q!M8-Q!$E$8)*(1+Sens!F8889)</f>
        <v>38.3851437782675</v>
      </c>
      <c r="G8888" s="6" t="n">
        <f aca="false">Sens!F8888*(1+Sens!G8889)</f>
        <v>40.0105353288615</v>
      </c>
      <c r="H8888" s="6" t="n">
        <f aca="false">Sens!G8888*(1+Sens!H8889)</f>
        <v>41.4812512033683</v>
      </c>
      <c r="I8888" s="6" t="n">
        <f aca="false">Sens!H8888*(1+Sens!I8889)</f>
        <v>42.7743107216329</v>
      </c>
      <c r="J8888" s="6" t="n">
        <f aca="false">Sens!I8888*(1+Sens!J8889)</f>
        <v>43.8687373064601</v>
      </c>
      <c r="K8888" s="6" t="n">
        <f aca="false">Sens!J8888*(1+Sens!K8889)</f>
        <v>44.7461120525893</v>
      </c>
      <c r="L8888" s="12" t="s">
        <v>1034</v>
      </c>
    </row>
    <row r="8889" customFormat="false" ht="15" hidden="false" customHeight="false" outlineLevel="0" collapsed="false">
      <c r="A8889" s="1" t="s">
        <v>1024</v>
      </c>
      <c r="B8889" s="0" t="s">
        <v>168</v>
      </c>
      <c r="E8889" s="7" t="n">
        <f aca="false">Sens!E8888/Sens!D8888-1</f>
        <v>0.0535164307309768</v>
      </c>
      <c r="F8889" s="7" t="n">
        <f aca="false">Sens!$E$8889+(glt_lic-Sens!$E$8889)*MIN(1,(Sens!F8838-base_fy)/n_conv)</f>
        <v>0.0479303589424807</v>
      </c>
      <c r="G8889" s="7" t="n">
        <f aca="false">Sens!$E$8889+(glt_lic-Sens!$E$8889)*MIN(1,(Sens!G8838-base_fy)/n_conv)</f>
        <v>0.0423442871539845</v>
      </c>
      <c r="H8889" s="7" t="n">
        <f aca="false">Sens!$E$8889+(glt_lic-Sens!$E$8889)*MIN(1,(Sens!H8838-base_fy)/n_conv)</f>
        <v>0.0367582153654884</v>
      </c>
      <c r="I8889" s="7" t="n">
        <f aca="false">Sens!$E$8889+(glt_lic-Sens!$E$8889)*MIN(1,(Sens!I8838-base_fy)/n_conv)</f>
        <v>0.0311721435769923</v>
      </c>
      <c r="J8889" s="7" t="n">
        <f aca="false">Sens!$E$8889+(glt_lic-Sens!$E$8889)*MIN(1,(Sens!J8838-base_fy)/n_conv)</f>
        <v>0.0255860717884961</v>
      </c>
      <c r="K8889" s="7" t="n">
        <f aca="false">Sens!$E$8889+(glt_lic-Sens!$E$8889)*MIN(1,(Sens!K8838-base_fy)/n_conv)</f>
        <v>0.02</v>
      </c>
    </row>
    <row r="8890" customFormat="false" ht="17.15" hidden="false" customHeight="false" outlineLevel="0" collapsed="false">
      <c r="A8890" s="0" t="s">
        <v>1035</v>
      </c>
      <c r="B8890" s="0" t="s">
        <v>98</v>
      </c>
      <c r="D8890" s="6" t="n">
        <f aca="false">Q!L9</f>
        <v>18.417</v>
      </c>
      <c r="E8890" s="6" t="n">
        <f aca="false">Q!M9</f>
        <v>20.345</v>
      </c>
      <c r="F8890" s="6" t="n">
        <f aca="false">Q!$I$9+(Q!M9-Q!$E$9)*(1+Sens!F8891)</f>
        <v>22.3161797133988</v>
      </c>
      <c r="G8890" s="6" t="n">
        <f aca="false">Sens!F8890*(1+Sens!G8891)</f>
        <v>24.3943499673233</v>
      </c>
      <c r="H8890" s="6" t="n">
        <f aca="false">Sens!G8890*(1+Sens!H8891)</f>
        <v>26.5250243109019</v>
      </c>
      <c r="I8890" s="6" t="n">
        <f aca="false">Sens!H8890*(1+Sens!I8891)</f>
        <v>28.6884573538181</v>
      </c>
      <c r="J8890" s="6" t="n">
        <f aca="false">Sens!I8890*(1+Sens!J8891)</f>
        <v>30.8624968052127</v>
      </c>
      <c r="K8890" s="6" t="n">
        <f aca="false">Sens!J8890*(1+Sens!K8891)</f>
        <v>33.0228715815776</v>
      </c>
      <c r="L8890" s="12" t="s">
        <v>1034</v>
      </c>
    </row>
    <row r="8891" customFormat="false" ht="15" hidden="false" customHeight="false" outlineLevel="0" collapsed="false">
      <c r="A8891" s="1" t="s">
        <v>1024</v>
      </c>
      <c r="B8891" s="0" t="s">
        <v>168</v>
      </c>
      <c r="E8891" s="7" t="n">
        <f aca="false">Sens!E8890/Sens!D8890-1</f>
        <v>0.104685888038225</v>
      </c>
      <c r="F8891" s="7" t="n">
        <f aca="false">Sens!$E$8891+(glt_ind-Sens!$E$8891)*MIN(1,(Sens!F8838-base_fy)/n_conv)</f>
        <v>0.0989049066985211</v>
      </c>
      <c r="G8891" s="7" t="n">
        <f aca="false">Sens!$E$8891+(glt_ind-Sens!$E$8891)*MIN(1,(Sens!G8838-base_fy)/n_conv)</f>
        <v>0.0931239253588169</v>
      </c>
      <c r="H8891" s="7" t="n">
        <f aca="false">Sens!$E$8891+(glt_ind-Sens!$E$8891)*MIN(1,(Sens!H8838-base_fy)/n_conv)</f>
        <v>0.0873429440191127</v>
      </c>
      <c r="I8891" s="7" t="n">
        <f aca="false">Sens!$E$8891+(glt_ind-Sens!$E$8891)*MIN(1,(Sens!I8838-base_fy)/n_conv)</f>
        <v>0.0815619626794085</v>
      </c>
      <c r="J8891" s="7" t="n">
        <f aca="false">Sens!$E$8891+(glt_ind-Sens!$E$8891)*MIN(1,(Sens!J8838-base_fy)/n_conv)</f>
        <v>0.0757809813397042</v>
      </c>
      <c r="K8891" s="7" t="n">
        <f aca="false">Sens!$E$8891+(glt_ind-Sens!$E$8891)*MIN(1,(Sens!K8838-base_fy)/n_conv)</f>
        <v>0.07</v>
      </c>
    </row>
    <row r="8892" customFormat="false" ht="17.15" hidden="false" customHeight="false" outlineLevel="0" collapsed="false">
      <c r="A8892" s="0" t="s">
        <v>1036</v>
      </c>
      <c r="B8892" s="0" t="s">
        <v>98</v>
      </c>
      <c r="D8892" s="6" t="n">
        <f aca="false">Q!L10</f>
        <v>7.76</v>
      </c>
      <c r="E8892" s="6" t="n">
        <f aca="false">Q!M10</f>
        <v>8.26</v>
      </c>
      <c r="F8892" s="6" t="n">
        <f aca="false">Q!$I$10+(Q!M10-Q!$E$10)*(1+Sens!F8893)</f>
        <v>8.75372082474227</v>
      </c>
      <c r="G8892" s="6" t="n">
        <f aca="false">Sens!F8892*(1+Sens!G8893)</f>
        <v>9.33399324642364</v>
      </c>
      <c r="H8892" s="6" t="n">
        <f aca="false">Sens!G8892*(1+Sens!H8893)</f>
        <v>9.96139155535851</v>
      </c>
      <c r="I8892" s="6" t="n">
        <f aca="false">Sens!H8892*(1+Sens!I8893)</f>
        <v>10.6402039077391</v>
      </c>
      <c r="J8892" s="6" t="n">
        <f aca="false">Sens!I8892*(1+Sens!J8893)</f>
        <v>11.3751458271397</v>
      </c>
      <c r="K8892" s="6" t="n">
        <f aca="false">Sens!J8892*(1+Sens!K8893)</f>
        <v>12.1714060350394</v>
      </c>
      <c r="L8892" s="12" t="s">
        <v>1034</v>
      </c>
    </row>
    <row r="8893" customFormat="false" ht="15" hidden="false" customHeight="false" outlineLevel="0" collapsed="false">
      <c r="A8893" s="1" t="s">
        <v>1024</v>
      </c>
      <c r="B8893" s="0" t="s">
        <v>168</v>
      </c>
      <c r="E8893" s="7" t="n">
        <f aca="false">Sens!E8892/Sens!D8892-1</f>
        <v>0.0644329896907216</v>
      </c>
      <c r="F8893" s="7" t="n">
        <f aca="false">Sens!$E$8893+(glt_fro-Sens!$E$8893)*MIN(1,(Sens!F8838-base_fy)/n_conv)</f>
        <v>0.065360824742268</v>
      </c>
      <c r="G8893" s="7" t="n">
        <f aca="false">Sens!$E$8893+(glt_fro-Sens!$E$8893)*MIN(1,(Sens!G8838-base_fy)/n_conv)</f>
        <v>0.0662886597938144</v>
      </c>
      <c r="H8893" s="7" t="n">
        <f aca="false">Sens!$E$8893+(glt_fro-Sens!$E$8893)*MIN(1,(Sens!H8838-base_fy)/n_conv)</f>
        <v>0.0672164948453608</v>
      </c>
      <c r="I8893" s="7" t="n">
        <f aca="false">Sens!$E$8893+(glt_fro-Sens!$E$8893)*MIN(1,(Sens!I8838-base_fy)/n_conv)</f>
        <v>0.0681443298969072</v>
      </c>
      <c r="J8893" s="7" t="n">
        <f aca="false">Sens!$E$8893+(glt_fro-Sens!$E$8893)*MIN(1,(Sens!J8838-base_fy)/n_conv)</f>
        <v>0.0690721649484536</v>
      </c>
      <c r="K8893" s="7" t="n">
        <f aca="false">Sens!$E$8893+(glt_fro-Sens!$E$8893)*MIN(1,(Sens!K8838-base_fy)/n_conv)</f>
        <v>0.07</v>
      </c>
    </row>
    <row r="8894" customFormat="false" ht="15" hidden="false" customHeight="false" outlineLevel="0" collapsed="false">
      <c r="A8894" s="0" t="s">
        <v>852</v>
      </c>
      <c r="B8894" s="0" t="s">
        <v>98</v>
      </c>
      <c r="D8894" s="6" t="n">
        <f aca="false">Sens!D8882+Sens!D8887+Sens!D8888+Sens!D8890+Sens!D8892</f>
        <v>218.783</v>
      </c>
      <c r="E8894" s="6" t="n">
        <f aca="false">Sens!E8882+Sens!E8887+Sens!E8888+Sens!E8890+Sens!E8892</f>
        <v>268.127</v>
      </c>
      <c r="F8894" s="6" t="n">
        <f aca="false">Sens!F8882+Sens!F8887+Sens!F8888+Sens!F8890+Sens!F8892</f>
        <v>331.749191371041</v>
      </c>
      <c r="G8894" s="6" t="n">
        <f aca="false">Sens!G8882+Sens!G8887+Sens!G8888+Sens!G8890+Sens!G8892</f>
        <v>394.804272408494</v>
      </c>
      <c r="H8894" s="6" t="n">
        <f aca="false">Sens!H8882+Sens!H8887+Sens!H8888+Sens!H8890+Sens!H8892</f>
        <v>453.235011244725</v>
      </c>
      <c r="I8894" s="6" t="n">
        <f aca="false">Sens!I8882+Sens!I8887+Sens!I8888+Sens!I8890+Sens!I8892</f>
        <v>513.776917721716</v>
      </c>
      <c r="J8894" s="6" t="n">
        <f aca="false">Sens!J8882+Sens!J8887+Sens!J8888+Sens!J8890+Sens!J8892</f>
        <v>563.747685437604</v>
      </c>
      <c r="K8894" s="6" t="n">
        <f aca="false">Sens!K8882+Sens!K8887+Sens!K8888+Sens!K8890+Sens!K8892</f>
        <v>603.713030097464</v>
      </c>
    </row>
    <row r="8895" customFormat="false" ht="17.15" hidden="false" customHeight="false" outlineLevel="0" collapsed="false">
      <c r="A8895" s="0" t="s">
        <v>1037</v>
      </c>
      <c r="B8895" s="0" t="s">
        <v>98</v>
      </c>
      <c r="D8895" s="6" t="n">
        <f aca="false">Q!L13</f>
        <v>22.171</v>
      </c>
      <c r="E8895" s="6" t="n">
        <f aca="false">Q!M13</f>
        <v>24.835</v>
      </c>
      <c r="F8895" s="6" t="n">
        <f aca="false">Q!$I$13+(Q!M13-Q!$E$13)*(1+Sens!F8896)</f>
        <v>27.5591895660247</v>
      </c>
      <c r="G8895" s="6" t="n">
        <f aca="false">Sens!F8895*(1+Sens!G8896)</f>
        <v>30.4098563144583</v>
      </c>
      <c r="H8895" s="6" t="n">
        <f aca="false">Sens!G8895*(1+Sens!H8896)</f>
        <v>33.3011792571777</v>
      </c>
      <c r="I8895" s="6" t="n">
        <f aca="false">Sens!H8895*(1+Sens!I8896)</f>
        <v>36.189023797112</v>
      </c>
      <c r="J8895" s="6" t="n">
        <f aca="false">Sens!I8895*(1+Sens!J8896)</f>
        <v>39.0247773769199</v>
      </c>
      <c r="K8895" s="6" t="n">
        <f aca="false">Sens!J8895*(1+Sens!K8896)</f>
        <v>41.7565117933043</v>
      </c>
      <c r="L8895" s="12" t="s">
        <v>1034</v>
      </c>
    </row>
    <row r="8896" customFormat="false" ht="15" hidden="false" customHeight="false" outlineLevel="0" collapsed="false">
      <c r="A8896" s="1" t="s">
        <v>1024</v>
      </c>
      <c r="B8896" s="0" t="s">
        <v>168</v>
      </c>
      <c r="E8896" s="7" t="n">
        <f aca="false">Sens!E8895/Sens!D8895-1</f>
        <v>0.120156961796942</v>
      </c>
      <c r="F8896" s="7" t="n">
        <f aca="false">Sens!$E$8896+(glt_srch-Sens!$E$8896)*MIN(1,(Sens!F8838-base_fy)/n_conv)</f>
        <v>0.111797468164118</v>
      </c>
      <c r="G8896" s="7" t="n">
        <f aca="false">Sens!$E$8896+(glt_srch-Sens!$E$8896)*MIN(1,(Sens!G8838-base_fy)/n_conv)</f>
        <v>0.103437974531295</v>
      </c>
      <c r="H8896" s="7" t="n">
        <f aca="false">Sens!$E$8896+(glt_srch-Sens!$E$8896)*MIN(1,(Sens!H8838-base_fy)/n_conv)</f>
        <v>0.095078480898471</v>
      </c>
      <c r="I8896" s="7" t="n">
        <f aca="false">Sens!$E$8896+(glt_srch-Sens!$E$8896)*MIN(1,(Sens!I8838-base_fy)/n_conv)</f>
        <v>0.0867189872656474</v>
      </c>
      <c r="J8896" s="7" t="n">
        <f aca="false">Sens!$E$8896+(glt_srch-Sens!$E$8896)*MIN(1,(Sens!J8838-base_fy)/n_conv)</f>
        <v>0.0783594936328237</v>
      </c>
      <c r="K8896" s="7" t="n">
        <f aca="false">Sens!$E$8896+(glt_srch-Sens!$E$8896)*MIN(1,(Sens!K8838-base_fy)/n_conv)</f>
        <v>0.07</v>
      </c>
    </row>
    <row r="8897" customFormat="false" ht="17.15" hidden="false" customHeight="false" outlineLevel="0" collapsed="false">
      <c r="A8897" s="0" t="s">
        <v>1038</v>
      </c>
      <c r="B8897" s="0" t="s">
        <v>98</v>
      </c>
      <c r="D8897" s="6" t="n">
        <f aca="false">Q!L14</f>
        <v>23.455</v>
      </c>
      <c r="E8897" s="6" t="n">
        <f aca="false">Q!M14</f>
        <v>21.79</v>
      </c>
      <c r="F8897" s="6" t="n">
        <f aca="false">Q!$I$14+(Q!M14-Q!$E$14)*(1+Sens!F8898)</f>
        <v>20.7520981041711</v>
      </c>
      <c r="G8897" s="6" t="n">
        <f aca="false">Sens!F8897*(1+Sens!G8898)</f>
        <v>19.9083593495882</v>
      </c>
      <c r="H8897" s="6" t="n">
        <f aca="false">Sens!G8897*(1+Sens!H8898)</f>
        <v>19.4008256265831</v>
      </c>
      <c r="I8897" s="6" t="n">
        <f aca="false">Sens!H8897*(1+Sens!I8898)</f>
        <v>19.200434522122</v>
      </c>
      <c r="J8897" s="6" t="n">
        <f aca="false">Sens!I8897*(1+Sens!J8898)</f>
        <v>19.2932782348507</v>
      </c>
      <c r="K8897" s="6" t="n">
        <f aca="false">Sens!J8897*(1+Sens!K8898)</f>
        <v>19.6791437995477</v>
      </c>
      <c r="L8897" s="12" t="s">
        <v>1034</v>
      </c>
    </row>
    <row r="8898" customFormat="false" ht="15" hidden="false" customHeight="false" outlineLevel="0" collapsed="false">
      <c r="A8898" s="1" t="s">
        <v>1024</v>
      </c>
      <c r="B8898" s="0" t="s">
        <v>168</v>
      </c>
      <c r="E8898" s="7" t="n">
        <f aca="false">Sens!E8897/Sens!D8897-1</f>
        <v>-0.0709869963760392</v>
      </c>
      <c r="F8898" s="7" t="n">
        <f aca="false">Sens!$E$8898+(glt_xbox-Sens!$E$8898)*MIN(1,(Sens!F8838-base_fy)/n_conv)</f>
        <v>-0.0558224969800327</v>
      </c>
      <c r="G8898" s="7" t="n">
        <f aca="false">Sens!$E$8898+(glt_xbox-Sens!$E$8898)*MIN(1,(Sens!G8838-base_fy)/n_conv)</f>
        <v>-0.0406579975840262</v>
      </c>
      <c r="H8898" s="7" t="n">
        <f aca="false">Sens!$E$8898+(glt_xbox-Sens!$E$8898)*MIN(1,(Sens!H8838-base_fy)/n_conv)</f>
        <v>-0.0254934981880196</v>
      </c>
      <c r="I8898" s="7" t="n">
        <f aca="false">Sens!$E$8898+(glt_xbox-Sens!$E$8898)*MIN(1,(Sens!I8838-base_fy)/n_conv)</f>
        <v>-0.0103289987920131</v>
      </c>
      <c r="J8898" s="7" t="n">
        <f aca="false">Sens!$E$8898+(glt_xbox-Sens!$E$8898)*MIN(1,(Sens!J8838-base_fy)/n_conv)</f>
        <v>0.00483550060399347</v>
      </c>
      <c r="K8898" s="7" t="n">
        <f aca="false">Sens!$E$8898+(glt_xbox-Sens!$E$8898)*MIN(1,(Sens!K8838-base_fy)/n_conv)</f>
        <v>0.02</v>
      </c>
    </row>
    <row r="8899" customFormat="false" ht="17.15" hidden="false" customHeight="false" outlineLevel="0" collapsed="false">
      <c r="A8899" s="0" t="s">
        <v>1039</v>
      </c>
      <c r="B8899" s="0" t="s">
        <v>98</v>
      </c>
      <c r="D8899" s="6" t="n">
        <f aca="false">Q!L15</f>
        <v>17.315</v>
      </c>
      <c r="E8899" s="6" t="n">
        <f aca="false">Q!M15</f>
        <v>17.087</v>
      </c>
      <c r="F8899" s="6" t="n">
        <f aca="false">Q!$I$15+(Q!M15-Q!$E$15)*(1+Sens!F8900)</f>
        <v>15.9912273250553</v>
      </c>
      <c r="G8899" s="6" t="n">
        <f aca="false">Sens!F8899*(1+Sens!G8900)</f>
        <v>15.9574562664827</v>
      </c>
      <c r="H8899" s="6" t="n">
        <f aca="false">Sens!G8899*(1+Sens!H8900)</f>
        <v>16.0119687434196</v>
      </c>
      <c r="I8899" s="6" t="n">
        <f aca="false">Sens!H8899*(1+Sens!I8900)</f>
        <v>16.1551810001948</v>
      </c>
      <c r="J8899" s="6" t="n">
        <f aca="false">Sens!I8899*(1+Sens!J8900)</f>
        <v>16.3889793892005</v>
      </c>
      <c r="K8899" s="6" t="n">
        <f aca="false">Sens!J8899*(1+Sens!K8900)</f>
        <v>16.7167589769845</v>
      </c>
      <c r="L8899" s="12" t="s">
        <v>1034</v>
      </c>
    </row>
    <row r="8900" customFormat="false" ht="15" hidden="false" customHeight="false" outlineLevel="0" collapsed="false">
      <c r="A8900" s="1" t="s">
        <v>1024</v>
      </c>
      <c r="B8900" s="0" t="s">
        <v>168</v>
      </c>
      <c r="E8900" s="7" t="n">
        <f aca="false">Sens!E8899/Sens!D8899-1</f>
        <v>-0.0131677736066995</v>
      </c>
      <c r="F8900" s="7" t="n">
        <f aca="false">Sens!$E$8900+(glt_win-Sens!$E$8900)*MIN(1,(Sens!F8838-base_fy)/n_conv)</f>
        <v>-0.00763981133891627</v>
      </c>
      <c r="G8900" s="7" t="n">
        <f aca="false">Sens!$E$8900+(glt_win-Sens!$E$8900)*MIN(1,(Sens!G8838-base_fy)/n_conv)</f>
        <v>-0.00211184907113301</v>
      </c>
      <c r="H8900" s="7" t="n">
        <f aca="false">Sens!$E$8900+(glt_win-Sens!$E$8900)*MIN(1,(Sens!H8838-base_fy)/n_conv)</f>
        <v>0.00341611319665024</v>
      </c>
      <c r="I8900" s="7" t="n">
        <f aca="false">Sens!$E$8900+(glt_win-Sens!$E$8900)*MIN(1,(Sens!I8838-base_fy)/n_conv)</f>
        <v>0.00894407546443349</v>
      </c>
      <c r="J8900" s="7" t="n">
        <f aca="false">Sens!$E$8900+(glt_win-Sens!$E$8900)*MIN(1,(Sens!J8838-base_fy)/n_conv)</f>
        <v>0.0144720377322168</v>
      </c>
      <c r="K8900" s="7" t="n">
        <f aca="false">Sens!$E$8900+(glt_win-Sens!$E$8900)*MIN(1,(Sens!K8838-base_fy)/n_conv)</f>
        <v>0.02</v>
      </c>
    </row>
    <row r="8901" customFormat="false" ht="15" hidden="false" customHeight="false" outlineLevel="0" collapsed="false">
      <c r="A8901" s="0" t="s">
        <v>866</v>
      </c>
      <c r="B8901" s="0" t="s">
        <v>98</v>
      </c>
      <c r="D8901" s="6" t="n">
        <f aca="false">Sens!D8895+Sens!D8897+Sens!D8899</f>
        <v>62.941</v>
      </c>
      <c r="E8901" s="6" t="n">
        <f aca="false">Sens!E8895+Sens!E8897+Sens!E8899</f>
        <v>63.712</v>
      </c>
      <c r="F8901" s="6" t="n">
        <f aca="false">Sens!F8895+Sens!F8897+Sens!F8899</f>
        <v>64.3025149952511</v>
      </c>
      <c r="G8901" s="6" t="n">
        <f aca="false">Sens!G8895+Sens!G8897+Sens!G8899</f>
        <v>66.2756719305292</v>
      </c>
      <c r="H8901" s="6" t="n">
        <f aca="false">Sens!H8895+Sens!H8897+Sens!H8899</f>
        <v>68.7139736271804</v>
      </c>
      <c r="I8901" s="6" t="n">
        <f aca="false">Sens!I8895+Sens!I8897+Sens!I8899</f>
        <v>71.5446393194289</v>
      </c>
      <c r="J8901" s="6" t="n">
        <f aca="false">Sens!J8895+Sens!J8897+Sens!J8899</f>
        <v>74.707035000971</v>
      </c>
      <c r="K8901" s="6" t="n">
        <f aca="false">Sens!K8895+Sens!K8897+Sens!K8899</f>
        <v>78.1524145698365</v>
      </c>
    </row>
    <row r="8902" customFormat="false" ht="15" hidden="false" customHeight="false" outlineLevel="0" collapsed="false">
      <c r="A8902" s="1" t="s">
        <v>1040</v>
      </c>
      <c r="B8902" s="0" t="s">
        <v>98</v>
      </c>
      <c r="D8902" s="6" t="n">
        <f aca="false">Sens!D8894+Sens!D8901</f>
        <v>281.724</v>
      </c>
      <c r="E8902" s="6" t="n">
        <f aca="false">Sens!E8894+Sens!E8901</f>
        <v>331.839</v>
      </c>
      <c r="F8902" s="6" t="n">
        <f aca="false">Sens!F8894+Sens!F8901</f>
        <v>396.051706366293</v>
      </c>
      <c r="G8902" s="6" t="n">
        <f aca="false">Sens!G8894+Sens!G8901</f>
        <v>461.079944339023</v>
      </c>
      <c r="H8902" s="6" t="n">
        <f aca="false">Sens!H8894+Sens!H8901</f>
        <v>521.948984871906</v>
      </c>
      <c r="I8902" s="6" t="n">
        <f aca="false">Sens!I8894+Sens!I8901</f>
        <v>585.321557041145</v>
      </c>
      <c r="J8902" s="6" t="n">
        <f aca="false">Sens!J8894+Sens!J8901</f>
        <v>638.454720438575</v>
      </c>
      <c r="K8902" s="6" t="n">
        <f aca="false">Sens!K8894+Sens!K8901</f>
        <v>681.865444667301</v>
      </c>
    </row>
    <row r="8903" customFormat="false" ht="15" hidden="false" customHeight="false" outlineLevel="0" collapsed="false">
      <c r="A8903" s="26" t="s">
        <v>1041</v>
      </c>
      <c r="B8903" s="31" t="s">
        <v>98</v>
      </c>
      <c r="C8903" s="31"/>
      <c r="D8903" s="27" t="n">
        <f aca="false">(Sens!D8882+Sens!D8887+Sens!D8888+Sens!D8890+Sens!D8892-Sens!D8894)+(Sens!D8895+Sens!D8897+Sens!D8899-Sens!D8901)+(Sens!D8894-Q!L5)+(Sens!D8901-Q!L12)+(Sens!D8882-Q!L6)+(Sens!D8887-Q!L7)</f>
        <v>0</v>
      </c>
      <c r="E8903" s="27" t="n">
        <f aca="false">(Sens!E8882+Sens!E8887+Sens!E8888+Sens!E8890+Sens!E8892-Sens!E8894)+(Sens!E8895+Sens!E8897+Sens!E8899-Sens!E8901)+(Sens!E8894-Q!M5)+(Sens!E8901-Q!M12)+(Sens!E8882-Q!M6)+(Sens!E8887-Q!M7)</f>
        <v>0</v>
      </c>
      <c r="F8903" s="27" t="n">
        <f aca="false">(Sens!F8882+Sens!F8887+Sens!F8888+Sens!F8890+Sens!F8892-Sens!F8894)+(Sens!F8895+Sens!F8897+Sens!F8899-Sens!F8901)</f>
        <v>0</v>
      </c>
      <c r="G8903" s="27" t="n">
        <f aca="false">(Sens!G8882+Sens!G8887+Sens!G8888+Sens!G8890+Sens!G8892-Sens!G8894)+(Sens!G8895+Sens!G8897+Sens!G8899-Sens!G8901)</f>
        <v>0</v>
      </c>
      <c r="H8903" s="27" t="n">
        <f aca="false">(Sens!H8882+Sens!H8887+Sens!H8888+Sens!H8890+Sens!H8892-Sens!H8894)+(Sens!H8895+Sens!H8897+Sens!H8899-Sens!H8901)</f>
        <v>0</v>
      </c>
      <c r="I8903" s="27" t="n">
        <f aca="false">(Sens!I8882+Sens!I8887+Sens!I8888+Sens!I8890+Sens!I8892-Sens!I8894)+(Sens!I8895+Sens!I8897+Sens!I8899-Sens!I8901)</f>
        <v>0</v>
      </c>
      <c r="J8903" s="27" t="n">
        <f aca="false">(Sens!J8882+Sens!J8887+Sens!J8888+Sens!J8890+Sens!J8892-Sens!J8894)+(Sens!J8895+Sens!J8897+Sens!J8899-Sens!J8901)</f>
        <v>0</v>
      </c>
      <c r="K8903" s="27" t="n">
        <f aca="false">(Sens!K8882+Sens!K8887+Sens!K8888+Sens!K8890+Sens!K8892-Sens!K8894)+(Sens!K8895+Sens!K8897+Sens!K8899-Sens!K8901)</f>
        <v>0</v>
      </c>
    </row>
    <row r="8904" customFormat="false" ht="17.15" hidden="false" customHeight="false" outlineLevel="0" collapsed="false">
      <c r="A8904" s="3" t="s">
        <v>1702</v>
      </c>
    </row>
    <row r="8905" customFormat="false" ht="15" hidden="false" customHeight="false" outlineLevel="0" collapsed="false">
      <c r="A8905" s="4" t="s">
        <v>43</v>
      </c>
      <c r="B8905" s="4" t="s">
        <v>65</v>
      </c>
      <c r="C8905" s="23" t="s">
        <v>938</v>
      </c>
      <c r="D8905" s="23" t="s">
        <v>939</v>
      </c>
      <c r="E8905" s="23" t="s">
        <v>940</v>
      </c>
      <c r="F8905" s="23" t="s">
        <v>941</v>
      </c>
      <c r="G8905" s="23" t="s">
        <v>942</v>
      </c>
      <c r="H8905" s="23" t="s">
        <v>943</v>
      </c>
      <c r="I8905" s="23" t="s">
        <v>944</v>
      </c>
      <c r="J8905" s="23" t="s">
        <v>945</v>
      </c>
      <c r="K8905" s="23" t="s">
        <v>946</v>
      </c>
      <c r="L8905" s="4" t="s">
        <v>47</v>
      </c>
    </row>
    <row r="8906" customFormat="false" ht="15" hidden="false" customHeight="false" outlineLevel="0" collapsed="false">
      <c r="A8906" s="0" t="s">
        <v>1025</v>
      </c>
      <c r="B8906" s="0" t="s">
        <v>98</v>
      </c>
      <c r="D8906" s="6" t="n">
        <f aca="false">Sens!D8882</f>
        <v>72.61</v>
      </c>
      <c r="E8906" s="6" t="n">
        <f aca="false">Sens!E8882</f>
        <v>101.938</v>
      </c>
      <c r="F8906" s="6" t="n">
        <f aca="false">Sens!F8882</f>
        <v>143.251883553698</v>
      </c>
      <c r="G8906" s="6" t="n">
        <f aca="false">Sens!G8882</f>
        <v>186.322520879442</v>
      </c>
      <c r="H8906" s="6" t="n">
        <f aca="false">Sens!H8882</f>
        <v>224.74279426379</v>
      </c>
      <c r="I8906" s="6" t="n">
        <f aca="false">Sens!I8882</f>
        <v>266.443497823359</v>
      </c>
      <c r="J8906" s="6" t="n">
        <f aca="false">Sens!J8882</f>
        <v>299.06102493502</v>
      </c>
      <c r="K8906" s="6" t="n">
        <f aca="false">Sens!K8882</f>
        <v>322.592740225023</v>
      </c>
    </row>
    <row r="8907" customFormat="false" ht="17.15" hidden="false" customHeight="false" outlineLevel="0" collapsed="false">
      <c r="A8907" s="0" t="s">
        <v>1021</v>
      </c>
      <c r="B8907" s="0" t="s">
        <v>98</v>
      </c>
      <c r="D8907" s="6" t="n">
        <f aca="false">Sens!D8879</f>
        <v>12.9359794422418</v>
      </c>
      <c r="E8907" s="6" t="n">
        <f aca="false">Sens!E8879</f>
        <v>27.8095064661409</v>
      </c>
      <c r="F8907" s="6" t="n">
        <f aca="false">Sens!F8879</f>
        <v>50.9819294352312</v>
      </c>
      <c r="G8907" s="6" t="n">
        <f aca="false">Sens!G8879</f>
        <v>76.6920436014933</v>
      </c>
      <c r="H8907" s="6" t="n">
        <f aca="false">Sens!H8879</f>
        <v>97.4495379418341</v>
      </c>
      <c r="I8907" s="6" t="n">
        <f aca="false">Sens!I8879</f>
        <v>122.083445553868</v>
      </c>
      <c r="J8907" s="6" t="n">
        <f aca="false">Sens!J8879</f>
        <v>139.249060444804</v>
      </c>
      <c r="K8907" s="6" t="n">
        <f aca="false">Sens!K8879</f>
        <v>149.995818575589</v>
      </c>
    </row>
    <row r="8908" customFormat="false" ht="17.15" hidden="false" customHeight="false" outlineLevel="0" collapsed="false">
      <c r="A8908" s="0" t="s">
        <v>1052</v>
      </c>
      <c r="B8908" s="0" t="s">
        <v>98</v>
      </c>
      <c r="D8908" s="6" t="n">
        <f aca="false">Sens!D8880</f>
        <v>59.6740205577583</v>
      </c>
      <c r="E8908" s="6" t="n">
        <f aca="false">Sens!E8880</f>
        <v>74.1284935338591</v>
      </c>
      <c r="F8908" s="6" t="n">
        <f aca="false">Sens!F8880</f>
        <v>92.2699541184664</v>
      </c>
      <c r="G8908" s="6" t="n">
        <f aca="false">Sens!G8880</f>
        <v>109.630477277949</v>
      </c>
      <c r="H8908" s="6" t="n">
        <f aca="false">Sens!H8880</f>
        <v>127.293256321956</v>
      </c>
      <c r="I8908" s="6" t="n">
        <f aca="false">Sens!I8880</f>
        <v>144.360052269491</v>
      </c>
      <c r="J8908" s="6" t="n">
        <f aca="false">Sens!J8880</f>
        <v>159.811964490216</v>
      </c>
      <c r="K8908" s="6" t="n">
        <f aca="false">Sens!K8880</f>
        <v>172.596921649434</v>
      </c>
    </row>
    <row r="8909" customFormat="false" ht="15" hidden="false" customHeight="false" outlineLevel="0" collapsed="false">
      <c r="A8909" s="0" t="s">
        <v>1032</v>
      </c>
      <c r="B8909" s="0" t="s">
        <v>98</v>
      </c>
      <c r="D8909" s="6" t="n">
        <f aca="false">Sens!D8887</f>
        <v>84.605</v>
      </c>
      <c r="E8909" s="6" t="n">
        <f aca="false">Sens!E8887</f>
        <v>100.299</v>
      </c>
      <c r="F8909" s="6" t="n">
        <f aca="false">Sens!F8887</f>
        <v>119.042263500935</v>
      </c>
      <c r="G8909" s="6" t="n">
        <f aca="false">Sens!G8887</f>
        <v>134.742872986443</v>
      </c>
      <c r="H8909" s="6" t="n">
        <f aca="false">Sens!H8887</f>
        <v>150.524549911307</v>
      </c>
      <c r="I8909" s="6" t="n">
        <f aca="false">Sens!I8887</f>
        <v>165.230447915167</v>
      </c>
      <c r="J8909" s="6" t="n">
        <f aca="false">Sens!J8887</f>
        <v>178.580280563771</v>
      </c>
      <c r="K8909" s="6" t="n">
        <f aca="false">Sens!K8887</f>
        <v>191.179900203235</v>
      </c>
    </row>
    <row r="8910" customFormat="false" ht="17.15" hidden="false" customHeight="false" outlineLevel="0" collapsed="false">
      <c r="A8910" s="0" t="s">
        <v>1053</v>
      </c>
      <c r="B8910" s="0" t="s">
        <v>98</v>
      </c>
      <c r="D8910" s="6" t="n">
        <f aca="false">Sens!D8885</f>
        <v>83.705</v>
      </c>
      <c r="E8910" s="6" t="n">
        <f aca="false">Sens!E8885</f>
        <v>95.049</v>
      </c>
      <c r="F8910" s="6" t="n">
        <f aca="false">Sens!F8885</f>
        <v>106.442263500935</v>
      </c>
      <c r="G8910" s="6" t="n">
        <f aca="false">Sens!G8885</f>
        <v>118.542872986443</v>
      </c>
      <c r="H8910" s="6" t="n">
        <f aca="false">Sens!H8885</f>
        <v>130.724549911307</v>
      </c>
      <c r="I8910" s="6" t="n">
        <f aca="false">Sens!I8885</f>
        <v>142.730447915167</v>
      </c>
      <c r="J8910" s="6" t="n">
        <f aca="false">Sens!J8885</f>
        <v>154.280280563771</v>
      </c>
      <c r="K8910" s="6" t="n">
        <f aca="false">Sens!K8885</f>
        <v>165.079900203235</v>
      </c>
    </row>
    <row r="8911" customFormat="false" ht="17.15" hidden="false" customHeight="false" outlineLevel="0" collapsed="false">
      <c r="A8911" s="0" t="s">
        <v>1054</v>
      </c>
      <c r="B8911" s="0" t="s">
        <v>98</v>
      </c>
      <c r="D8911" s="6" t="n">
        <f aca="false">Sens!D8884</f>
        <v>0.9</v>
      </c>
      <c r="E8911" s="6" t="n">
        <f aca="false">Sens!E8884</f>
        <v>5.25</v>
      </c>
      <c r="F8911" s="6" t="n">
        <f aca="false">Sens!F8884</f>
        <v>12.6</v>
      </c>
      <c r="G8911" s="6" t="n">
        <f aca="false">Sens!G8884</f>
        <v>16.2</v>
      </c>
      <c r="H8911" s="6" t="n">
        <f aca="false">Sens!H8884</f>
        <v>19.8</v>
      </c>
      <c r="I8911" s="6" t="n">
        <f aca="false">Sens!I8884</f>
        <v>22.5</v>
      </c>
      <c r="J8911" s="6" t="n">
        <f aca="false">Sens!J8884</f>
        <v>24.3</v>
      </c>
      <c r="K8911" s="6" t="n">
        <f aca="false">Sens!K8884</f>
        <v>26.1</v>
      </c>
    </row>
    <row r="8912" customFormat="false" ht="15" hidden="false" customHeight="false" outlineLevel="0" collapsed="false">
      <c r="A8912" s="0" t="s">
        <v>1033</v>
      </c>
      <c r="B8912" s="0" t="s">
        <v>98</v>
      </c>
      <c r="D8912" s="6" t="n">
        <f aca="false">Sens!D8888</f>
        <v>35.391</v>
      </c>
      <c r="E8912" s="6" t="n">
        <f aca="false">Sens!E8888</f>
        <v>37.285</v>
      </c>
      <c r="F8912" s="6" t="n">
        <f aca="false">Sens!F8888</f>
        <v>38.3851437782675</v>
      </c>
      <c r="G8912" s="6" t="n">
        <f aca="false">Sens!G8888</f>
        <v>40.0105353288615</v>
      </c>
      <c r="H8912" s="6" t="n">
        <f aca="false">Sens!H8888</f>
        <v>41.4812512033683</v>
      </c>
      <c r="I8912" s="6" t="n">
        <f aca="false">Sens!I8888</f>
        <v>42.7743107216329</v>
      </c>
      <c r="J8912" s="6" t="n">
        <f aca="false">Sens!J8888</f>
        <v>43.8687373064601</v>
      </c>
      <c r="K8912" s="6" t="n">
        <f aca="false">Sens!K8888</f>
        <v>44.7461120525893</v>
      </c>
    </row>
    <row r="8913" customFormat="false" ht="15" hidden="false" customHeight="false" outlineLevel="0" collapsed="false">
      <c r="A8913" s="0" t="s">
        <v>1035</v>
      </c>
      <c r="B8913" s="0" t="s">
        <v>98</v>
      </c>
      <c r="D8913" s="6" t="n">
        <f aca="false">Sens!D8890</f>
        <v>18.417</v>
      </c>
      <c r="E8913" s="6" t="n">
        <f aca="false">Sens!E8890</f>
        <v>20.345</v>
      </c>
      <c r="F8913" s="6" t="n">
        <f aca="false">Sens!F8890</f>
        <v>22.3161797133988</v>
      </c>
      <c r="G8913" s="6" t="n">
        <f aca="false">Sens!G8890</f>
        <v>24.3943499673233</v>
      </c>
      <c r="H8913" s="6" t="n">
        <f aca="false">Sens!H8890</f>
        <v>26.5250243109019</v>
      </c>
      <c r="I8913" s="6" t="n">
        <f aca="false">Sens!I8890</f>
        <v>28.6884573538181</v>
      </c>
      <c r="J8913" s="6" t="n">
        <f aca="false">Sens!J8890</f>
        <v>30.8624968052127</v>
      </c>
      <c r="K8913" s="6" t="n">
        <f aca="false">Sens!K8890</f>
        <v>33.0228715815776</v>
      </c>
    </row>
    <row r="8914" customFormat="false" ht="15" hidden="false" customHeight="false" outlineLevel="0" collapsed="false">
      <c r="A8914" s="0" t="s">
        <v>1036</v>
      </c>
      <c r="B8914" s="0" t="s">
        <v>98</v>
      </c>
      <c r="D8914" s="6" t="n">
        <f aca="false">Sens!D8892</f>
        <v>7.76</v>
      </c>
      <c r="E8914" s="6" t="n">
        <f aca="false">Sens!E8892</f>
        <v>8.26</v>
      </c>
      <c r="F8914" s="6" t="n">
        <f aca="false">Sens!F8892</f>
        <v>8.75372082474227</v>
      </c>
      <c r="G8914" s="6" t="n">
        <f aca="false">Sens!G8892</f>
        <v>9.33399324642364</v>
      </c>
      <c r="H8914" s="6" t="n">
        <f aca="false">Sens!H8892</f>
        <v>9.96139155535851</v>
      </c>
      <c r="I8914" s="6" t="n">
        <f aca="false">Sens!I8892</f>
        <v>10.6402039077391</v>
      </c>
      <c r="J8914" s="6" t="n">
        <f aca="false">Sens!J8892</f>
        <v>11.3751458271397</v>
      </c>
      <c r="K8914" s="6" t="n">
        <f aca="false">Sens!K8892</f>
        <v>12.1714060350394</v>
      </c>
    </row>
    <row r="8915" customFormat="false" ht="15" hidden="false" customHeight="false" outlineLevel="0" collapsed="false">
      <c r="A8915" s="0" t="s">
        <v>852</v>
      </c>
      <c r="B8915" s="0" t="s">
        <v>98</v>
      </c>
      <c r="D8915" s="6" t="n">
        <f aca="false">Sens!D8894</f>
        <v>218.783</v>
      </c>
      <c r="E8915" s="6" t="n">
        <f aca="false">Sens!E8894</f>
        <v>268.127</v>
      </c>
      <c r="F8915" s="6" t="n">
        <f aca="false">Sens!F8894</f>
        <v>331.749191371041</v>
      </c>
      <c r="G8915" s="6" t="n">
        <f aca="false">Sens!G8894</f>
        <v>394.804272408494</v>
      </c>
      <c r="H8915" s="6" t="n">
        <f aca="false">Sens!H8894</f>
        <v>453.235011244725</v>
      </c>
      <c r="I8915" s="6" t="n">
        <f aca="false">Sens!I8894</f>
        <v>513.776917721716</v>
      </c>
      <c r="J8915" s="6" t="n">
        <f aca="false">Sens!J8894</f>
        <v>563.747685437604</v>
      </c>
      <c r="K8915" s="6" t="n">
        <f aca="false">Sens!K8894</f>
        <v>603.713030097464</v>
      </c>
    </row>
    <row r="8916" customFormat="false" ht="15" hidden="false" customHeight="false" outlineLevel="0" collapsed="false">
      <c r="A8916" s="0" t="s">
        <v>1037</v>
      </c>
      <c r="B8916" s="0" t="s">
        <v>98</v>
      </c>
      <c r="D8916" s="6" t="n">
        <f aca="false">Sens!D8895</f>
        <v>22.171</v>
      </c>
      <c r="E8916" s="6" t="n">
        <f aca="false">Sens!E8895</f>
        <v>24.835</v>
      </c>
      <c r="F8916" s="6" t="n">
        <f aca="false">Sens!F8895</f>
        <v>27.5591895660247</v>
      </c>
      <c r="G8916" s="6" t="n">
        <f aca="false">Sens!G8895</f>
        <v>30.4098563144583</v>
      </c>
      <c r="H8916" s="6" t="n">
        <f aca="false">Sens!H8895</f>
        <v>33.3011792571777</v>
      </c>
      <c r="I8916" s="6" t="n">
        <f aca="false">Sens!I8895</f>
        <v>36.189023797112</v>
      </c>
      <c r="J8916" s="6" t="n">
        <f aca="false">Sens!J8895</f>
        <v>39.0247773769199</v>
      </c>
      <c r="K8916" s="6" t="n">
        <f aca="false">Sens!K8895</f>
        <v>41.7565117933043</v>
      </c>
    </row>
    <row r="8917" customFormat="false" ht="15" hidden="false" customHeight="false" outlineLevel="0" collapsed="false">
      <c r="A8917" s="0" t="s">
        <v>1038</v>
      </c>
      <c r="B8917" s="0" t="s">
        <v>98</v>
      </c>
      <c r="D8917" s="6" t="n">
        <f aca="false">Sens!D8897</f>
        <v>23.455</v>
      </c>
      <c r="E8917" s="6" t="n">
        <f aca="false">Sens!E8897</f>
        <v>21.79</v>
      </c>
      <c r="F8917" s="6" t="n">
        <f aca="false">Sens!F8897</f>
        <v>20.7520981041711</v>
      </c>
      <c r="G8917" s="6" t="n">
        <f aca="false">Sens!G8897</f>
        <v>19.9083593495882</v>
      </c>
      <c r="H8917" s="6" t="n">
        <f aca="false">Sens!H8897</f>
        <v>19.4008256265831</v>
      </c>
      <c r="I8917" s="6" t="n">
        <f aca="false">Sens!I8897</f>
        <v>19.200434522122</v>
      </c>
      <c r="J8917" s="6" t="n">
        <f aca="false">Sens!J8897</f>
        <v>19.2932782348507</v>
      </c>
      <c r="K8917" s="6" t="n">
        <f aca="false">Sens!K8897</f>
        <v>19.6791437995477</v>
      </c>
    </row>
    <row r="8918" customFormat="false" ht="15" hidden="false" customHeight="false" outlineLevel="0" collapsed="false">
      <c r="A8918" s="0" t="s">
        <v>1039</v>
      </c>
      <c r="B8918" s="0" t="s">
        <v>98</v>
      </c>
      <c r="D8918" s="6" t="n">
        <f aca="false">Sens!D8899</f>
        <v>17.315</v>
      </c>
      <c r="E8918" s="6" t="n">
        <f aca="false">Sens!E8899</f>
        <v>17.087</v>
      </c>
      <c r="F8918" s="6" t="n">
        <f aca="false">Sens!F8899</f>
        <v>15.9912273250553</v>
      </c>
      <c r="G8918" s="6" t="n">
        <f aca="false">Sens!G8899</f>
        <v>15.9574562664827</v>
      </c>
      <c r="H8918" s="6" t="n">
        <f aca="false">Sens!H8899</f>
        <v>16.0119687434196</v>
      </c>
      <c r="I8918" s="6" t="n">
        <f aca="false">Sens!I8899</f>
        <v>16.1551810001948</v>
      </c>
      <c r="J8918" s="6" t="n">
        <f aca="false">Sens!J8899</f>
        <v>16.3889793892005</v>
      </c>
      <c r="K8918" s="6" t="n">
        <f aca="false">Sens!K8899</f>
        <v>16.7167589769845</v>
      </c>
    </row>
    <row r="8919" customFormat="false" ht="15" hidden="false" customHeight="false" outlineLevel="0" collapsed="false">
      <c r="A8919" s="0" t="s">
        <v>866</v>
      </c>
      <c r="B8919" s="0" t="s">
        <v>98</v>
      </c>
      <c r="D8919" s="6" t="n">
        <f aca="false">Sens!D8901</f>
        <v>62.941</v>
      </c>
      <c r="E8919" s="6" t="n">
        <f aca="false">Sens!E8901</f>
        <v>63.712</v>
      </c>
      <c r="F8919" s="6" t="n">
        <f aca="false">Sens!F8901</f>
        <v>64.3025149952511</v>
      </c>
      <c r="G8919" s="6" t="n">
        <f aca="false">Sens!G8901</f>
        <v>66.2756719305292</v>
      </c>
      <c r="H8919" s="6" t="n">
        <f aca="false">Sens!H8901</f>
        <v>68.7139736271804</v>
      </c>
      <c r="I8919" s="6" t="n">
        <f aca="false">Sens!I8901</f>
        <v>71.5446393194289</v>
      </c>
      <c r="J8919" s="6" t="n">
        <f aca="false">Sens!J8901</f>
        <v>74.707035000971</v>
      </c>
      <c r="K8919" s="6" t="n">
        <f aca="false">Sens!K8901</f>
        <v>78.1524145698365</v>
      </c>
    </row>
    <row r="8920" customFormat="false" ht="15" hidden="false" customHeight="false" outlineLevel="0" collapsed="false">
      <c r="A8920" s="1" t="s">
        <v>1055</v>
      </c>
      <c r="B8920" s="0" t="s">
        <v>98</v>
      </c>
      <c r="D8920" s="6" t="n">
        <f aca="false">Sens!D8902</f>
        <v>281.724</v>
      </c>
      <c r="E8920" s="6" t="n">
        <f aca="false">Sens!E8902</f>
        <v>331.839</v>
      </c>
      <c r="F8920" s="6" t="n">
        <f aca="false">Sens!F8902</f>
        <v>396.051706366293</v>
      </c>
      <c r="G8920" s="6" t="n">
        <f aca="false">Sens!G8902</f>
        <v>461.079944339023</v>
      </c>
      <c r="H8920" s="6" t="n">
        <f aca="false">Sens!H8902</f>
        <v>521.948984871906</v>
      </c>
      <c r="I8920" s="6" t="n">
        <f aca="false">Sens!I8902</f>
        <v>585.321557041145</v>
      </c>
      <c r="J8920" s="6" t="n">
        <f aca="false">Sens!J8902</f>
        <v>638.454720438575</v>
      </c>
      <c r="K8920" s="6" t="n">
        <f aca="false">Sens!K8902</f>
        <v>681.865444667301</v>
      </c>
    </row>
    <row r="8921" customFormat="false" ht="15" hidden="false" customHeight="false" outlineLevel="0" collapsed="false">
      <c r="A8921" s="1" t="s">
        <v>1056</v>
      </c>
      <c r="B8921" s="0" t="s">
        <v>168</v>
      </c>
      <c r="E8921" s="7" t="n">
        <f aca="false">Sens!E8920/Sens!D8920-1</f>
        <v>0.177886867998467</v>
      </c>
      <c r="F8921" s="7" t="n">
        <f aca="false">Sens!F8920/Sens!E8920-1</f>
        <v>0.193505604724859</v>
      </c>
      <c r="G8921" s="7" t="n">
        <f aca="false">Sens!G8920/Sens!F8920-1</f>
        <v>0.164191283429514</v>
      </c>
      <c r="H8921" s="7" t="n">
        <f aca="false">Sens!H8920/Sens!G8920-1</f>
        <v>0.13201407105256</v>
      </c>
      <c r="I8921" s="7" t="n">
        <f aca="false">Sens!I8920/Sens!H8920-1</f>
        <v>0.121415260889514</v>
      </c>
      <c r="J8921" s="7" t="n">
        <f aca="false">Sens!J8920/Sens!I8920-1</f>
        <v>0.0907760234665247</v>
      </c>
      <c r="K8921" s="7" t="n">
        <f aca="false">Sens!K8920/Sens!J8920-1</f>
        <v>0.0679934266895319</v>
      </c>
    </row>
    <row r="8922" customFormat="false" ht="17.15" hidden="false" customHeight="false" outlineLevel="0" collapsed="false">
      <c r="A8922" s="26" t="s">
        <v>1057</v>
      </c>
      <c r="B8922" s="31" t="s">
        <v>98</v>
      </c>
      <c r="C8922" s="31"/>
      <c r="D8922" s="27" t="n">
        <f aca="false">(Sens!D8915+Sens!D8919-Sens!D8920)+(Sens!D8907+Sens!D8908-Sens!D8906)+(Sens!D8910+Sens!D8911-Sens!D8909)+(Sens!D8920-Q!L18)</f>
        <v>0</v>
      </c>
      <c r="E8922" s="27" t="n">
        <f aca="false">(Sens!E8915+Sens!E8919-Sens!E8920)+(Sens!E8907+Sens!E8908-Sens!E8906)+(Sens!E8910+Sens!E8911-Sens!E8909)+(Sens!E8920-Q!M18)</f>
        <v>0</v>
      </c>
      <c r="F8922" s="27" t="n">
        <f aca="false">(Sens!F8915+Sens!F8919-Sens!F8920)+(Sens!F8907+Sens!F8908-Sens!F8906)+(Sens!F8910+Sens!F8911-Sens!F8909)</f>
        <v>0</v>
      </c>
      <c r="G8922" s="27" t="n">
        <f aca="false">(Sens!G8915+Sens!G8919-Sens!G8920)+(Sens!G8907+Sens!G8908-Sens!G8906)+(Sens!G8910+Sens!G8911-Sens!G8909)</f>
        <v>0</v>
      </c>
      <c r="H8922" s="27" t="n">
        <f aca="false">(Sens!H8915+Sens!H8919-Sens!H8920)+(Sens!H8907+Sens!H8908-Sens!H8906)+(Sens!H8910+Sens!H8911-Sens!H8909)</f>
        <v>0</v>
      </c>
      <c r="I8922" s="27" t="n">
        <f aca="false">(Sens!I8915+Sens!I8919-Sens!I8920)+(Sens!I8907+Sens!I8908-Sens!I8906)+(Sens!I8910+Sens!I8911-Sens!I8909)</f>
        <v>0</v>
      </c>
      <c r="J8922" s="27" t="n">
        <f aca="false">(Sens!J8915+Sens!J8919-Sens!J8920)+(Sens!J8907+Sens!J8908-Sens!J8906)+(Sens!J8910+Sens!J8911-Sens!J8909)</f>
        <v>0</v>
      </c>
      <c r="K8922" s="27" t="n">
        <f aca="false">(Sens!K8915+Sens!K8919-Sens!K8920)+(Sens!K8907+Sens!K8908-Sens!K8906)+(Sens!K8910+Sens!K8911-Sens!K8909)</f>
        <v>0</v>
      </c>
    </row>
    <row r="8923" customFormat="false" ht="17.15" hidden="false" customHeight="false" outlineLevel="0" collapsed="false">
      <c r="A8923" s="0" t="s">
        <v>1058</v>
      </c>
      <c r="B8923" s="0" t="s">
        <v>168</v>
      </c>
      <c r="E8923" s="7" t="n">
        <f aca="false">(Q!M21+Sens!E8859+Sens!E8860+Sens!E8861+Sens!E8875-Sens!E8857)/(Q!M5-Sens!E8857)</f>
        <v>0.570957350878296</v>
      </c>
      <c r="F8923" s="7" t="n">
        <f aca="false">Sens!$E$8923+dm_seg</f>
        <v>0.570957350878296</v>
      </c>
      <c r="G8923" s="7" t="n">
        <f aca="false">Sens!$E$8923+dm_seg</f>
        <v>0.570957350878296</v>
      </c>
      <c r="H8923" s="7" t="n">
        <f aca="false">Sens!$E$8923+dm_seg</f>
        <v>0.570957350878296</v>
      </c>
      <c r="I8923" s="7" t="n">
        <f aca="false">Sens!$E$8923+dm_seg</f>
        <v>0.570957350878296</v>
      </c>
      <c r="J8923" s="7" t="n">
        <f aca="false">Sens!$E$8923+dm_seg</f>
        <v>0.570957350878296</v>
      </c>
      <c r="K8923" s="7" t="n">
        <f aca="false">Sens!$E$8923+dm_seg</f>
        <v>0.570957350878296</v>
      </c>
      <c r="L8923" s="12" t="s">
        <v>1059</v>
      </c>
    </row>
    <row r="8924" customFormat="false" ht="17.15" hidden="false" customHeight="false" outlineLevel="0" collapsed="false">
      <c r="A8924" s="0" t="s">
        <v>880</v>
      </c>
      <c r="B8924" s="0" t="s">
        <v>98</v>
      </c>
      <c r="D8924" s="6" t="n">
        <f aca="false">Q!L21</f>
        <v>110.814</v>
      </c>
      <c r="E8924" s="6" t="n">
        <f aca="false">Q!M21</f>
        <v>136.365</v>
      </c>
      <c r="F8924" s="6" t="n">
        <f aca="false">Q!$I$21+(Sens!F8923*(Sens!F8894-Sens!F8857)+Sens!F8857-(Sens!F8859+Sens!F8860+Sens!F8861)-Sens!F8875-Sens!F8958)*(Sens!F8894-Q!$I$5)/Sens!F8894</f>
        <v>158.986283355841</v>
      </c>
      <c r="G8924" s="6" t="n">
        <f aca="false">(Sens!G8923*(Sens!G8894-Sens!G8857)+Sens!G8857-(Sens!G8859+Sens!G8860+Sens!G8861)-Sens!G8875-Sens!G8958)</f>
        <v>162.514875840421</v>
      </c>
      <c r="H8924" s="6" t="n">
        <f aca="false">(Sens!H8923*(Sens!H8894-Sens!H8857)+Sens!H8857-(Sens!H8859+Sens!H8860+Sens!H8861)-Sens!H8875-Sens!H8958)</f>
        <v>164.286745835999</v>
      </c>
      <c r="I8924" s="6" t="n">
        <f aca="false">(Sens!I8923*(Sens!I8894-Sens!I8857)+Sens!I8857-(Sens!I8859+Sens!I8860+Sens!I8861)-Sens!I8875-Sens!I8958)</f>
        <v>173.79241948453</v>
      </c>
      <c r="J8924" s="6" t="n">
        <f aca="false">(Sens!J8923*(Sens!J8894-Sens!J8857)+Sens!J8857-(Sens!J8859+Sens!J8860+Sens!J8861)-Sens!J8875-Sens!J8958)</f>
        <v>184.7571677208</v>
      </c>
      <c r="K8924" s="6" t="n">
        <f aca="false">(Sens!K8923*(Sens!K8894-Sens!K8857)+Sens!K8857-(Sens!K8859+Sens!K8860+Sens!K8861)-Sens!K8875-Sens!K8958)</f>
        <v>197.132785891301</v>
      </c>
      <c r="L8924" s="1" t="s">
        <v>1060</v>
      </c>
    </row>
    <row r="8925" customFormat="false" ht="17.15" hidden="false" customHeight="false" outlineLevel="0" collapsed="false">
      <c r="A8925" s="0" t="s">
        <v>1061</v>
      </c>
      <c r="B8925" s="0" t="s">
        <v>168</v>
      </c>
      <c r="E8925" s="7" t="n">
        <f aca="false">Q!M22/Q!M12</f>
        <v>0.296207935710698</v>
      </c>
      <c r="F8925" s="7" t="n">
        <f aca="false">Sens!$E$8925+dm_seg</f>
        <v>0.296207935710698</v>
      </c>
      <c r="G8925" s="7" t="n">
        <f aca="false">Sens!$E$8925+dm_seg</f>
        <v>0.296207935710698</v>
      </c>
      <c r="H8925" s="7" t="n">
        <f aca="false">Sens!$E$8925+dm_seg</f>
        <v>0.296207935710698</v>
      </c>
      <c r="I8925" s="7" t="n">
        <f aca="false">Sens!$E$8925+dm_seg</f>
        <v>0.296207935710698</v>
      </c>
      <c r="J8925" s="7" t="n">
        <f aca="false">Sens!$E$8925+dm_seg</f>
        <v>0.296207935710698</v>
      </c>
      <c r="K8925" s="7" t="n">
        <f aca="false">Sens!$E$8925+dm_seg</f>
        <v>0.296207935710698</v>
      </c>
      <c r="L8925" s="12" t="s">
        <v>1062</v>
      </c>
    </row>
    <row r="8926" customFormat="false" ht="17.15" hidden="false" customHeight="false" outlineLevel="0" collapsed="false">
      <c r="A8926" s="0" t="s">
        <v>882</v>
      </c>
      <c r="B8926" s="0" t="s">
        <v>98</v>
      </c>
      <c r="D8926" s="6" t="n">
        <f aca="false">Q!L22</f>
        <v>17.714</v>
      </c>
      <c r="E8926" s="6" t="n">
        <f aca="false">Q!M22</f>
        <v>18.872</v>
      </c>
      <c r="F8926" s="6" t="n">
        <f aca="false">Q!$I$22+(Sens!F8901-Q!$I$12)*Sens!F8925</f>
        <v>19.8174315512051</v>
      </c>
      <c r="G8926" s="6" t="n">
        <f aca="false">Sens!G8901*Sens!G8925</f>
        <v>19.6313799703815</v>
      </c>
      <c r="H8926" s="6" t="n">
        <f aca="false">Sens!H8901*Sens!H8925</f>
        <v>20.3536242825865</v>
      </c>
      <c r="I8926" s="6" t="n">
        <f aca="false">Sens!I8901*Sens!I8925</f>
        <v>21.1920899239745</v>
      </c>
      <c r="J8926" s="6" t="n">
        <f aca="false">Sens!J8901*Sens!J8925</f>
        <v>22.1288166207045</v>
      </c>
      <c r="K8926" s="6" t="n">
        <f aca="false">Sens!K8901*Sens!K8925</f>
        <v>23.1493653905379</v>
      </c>
      <c r="L8926" s="12" t="s">
        <v>1063</v>
      </c>
    </row>
    <row r="8927" customFormat="false" ht="15" hidden="false" customHeight="false" outlineLevel="0" collapsed="false">
      <c r="A8927" s="1" t="s">
        <v>1064</v>
      </c>
      <c r="B8927" s="0" t="s">
        <v>98</v>
      </c>
      <c r="D8927" s="6" t="n">
        <f aca="false">Sens!D8924+Sens!D8926</f>
        <v>128.528</v>
      </c>
      <c r="E8927" s="6" t="n">
        <f aca="false">Sens!E8924+Sens!E8926</f>
        <v>155.237</v>
      </c>
      <c r="F8927" s="6" t="n">
        <f aca="false">Sens!F8924+Sens!F8926</f>
        <v>178.803714907046</v>
      </c>
      <c r="G8927" s="6" t="n">
        <f aca="false">Sens!G8924+Sens!G8926</f>
        <v>182.146255810802</v>
      </c>
      <c r="H8927" s="6" t="n">
        <f aca="false">Sens!H8924+Sens!H8926</f>
        <v>184.640370118585</v>
      </c>
      <c r="I8927" s="6" t="n">
        <f aca="false">Sens!I8924+Sens!I8926</f>
        <v>194.984509408504</v>
      </c>
      <c r="J8927" s="6" t="n">
        <f aca="false">Sens!J8924+Sens!J8926</f>
        <v>206.885984341505</v>
      </c>
      <c r="K8927" s="6" t="n">
        <f aca="false">Sens!K8924+Sens!K8926</f>
        <v>220.282151281839</v>
      </c>
    </row>
    <row r="8928" customFormat="false" ht="15" hidden="false" customHeight="false" outlineLevel="0" collapsed="false">
      <c r="A8928" s="26" t="s">
        <v>1065</v>
      </c>
      <c r="B8928" s="31" t="s">
        <v>98</v>
      </c>
      <c r="C8928" s="31"/>
      <c r="D8928" s="27" t="n">
        <f aca="false">Sens!D8927-Q!L23</f>
        <v>0</v>
      </c>
      <c r="E8928" s="27" t="n">
        <f aca="false">Sens!E8927-Q!M23</f>
        <v>0</v>
      </c>
      <c r="F8928" s="31"/>
      <c r="G8928" s="31"/>
      <c r="H8928" s="31"/>
      <c r="I8928" s="31"/>
      <c r="J8928" s="31"/>
      <c r="K8928" s="31"/>
    </row>
    <row r="8929" customFormat="false" ht="15" hidden="false" customHeight="false" outlineLevel="0" collapsed="false">
      <c r="A8929" s="1" t="s">
        <v>1066</v>
      </c>
      <c r="B8929" s="0" t="s">
        <v>168</v>
      </c>
      <c r="D8929" s="7" t="n">
        <f aca="false">Sens!D8927/Sens!D8920</f>
        <v>0.456219562408598</v>
      </c>
      <c r="E8929" s="7" t="n">
        <f aca="false">Sens!E8927/Sens!E8920</f>
        <v>0.467808184089272</v>
      </c>
      <c r="F8929" s="7" t="n">
        <f aca="false">Sens!F8927/Sens!F8920</f>
        <v>0.451465583995433</v>
      </c>
      <c r="G8929" s="7" t="n">
        <f aca="false">Sens!G8927/Sens!G8920</f>
        <v>0.395042677624845</v>
      </c>
      <c r="H8929" s="7" t="n">
        <f aca="false">Sens!H8927/Sens!H8920</f>
        <v>0.353751756340514</v>
      </c>
      <c r="I8929" s="7" t="n">
        <f aca="false">Sens!I8927/Sens!I8920</f>
        <v>0.333123745508655</v>
      </c>
      <c r="J8929" s="7" t="n">
        <f aca="false">Sens!J8927/Sens!J8920</f>
        <v>0.324041749114781</v>
      </c>
      <c r="K8929" s="7" t="n">
        <f aca="false">Sens!K8927/Sens!K8920</f>
        <v>0.323058094532596</v>
      </c>
    </row>
    <row r="8930" customFormat="false" ht="17.15" hidden="false" customHeight="false" outlineLevel="0" collapsed="false">
      <c r="A8930" s="1" t="s">
        <v>1067</v>
      </c>
      <c r="B8930" s="0" t="s">
        <v>98</v>
      </c>
      <c r="F8930" s="6" t="n">
        <f aca="false">Sens!F8945</f>
        <v>9.39726836110292</v>
      </c>
      <c r="G8930" s="6" t="n">
        <f aca="false">Sens!G8945</f>
        <v>26.3030618275606</v>
      </c>
      <c r="H8930" s="6" t="n">
        <f aca="false">Sens!H8945</f>
        <v>44.6820462434836</v>
      </c>
      <c r="I8930" s="6" t="n">
        <f aca="false">Sens!I8945</f>
        <v>61.1306877468508</v>
      </c>
      <c r="J8930" s="6" t="n">
        <f aca="false">Sens!J8945</f>
        <v>72.5937450171438</v>
      </c>
      <c r="K8930" s="6" t="n">
        <f aca="false">Sens!K8945</f>
        <v>79.1558792417026</v>
      </c>
      <c r="L8930" s="1" t="s">
        <v>1068</v>
      </c>
    </row>
    <row r="8931" customFormat="false" ht="17.15" hidden="false" customHeight="false" outlineLevel="0" collapsed="false">
      <c r="A8931" s="1" t="s">
        <v>1069</v>
      </c>
      <c r="B8931" s="0" t="s">
        <v>98</v>
      </c>
      <c r="D8931" s="6" t="n">
        <f aca="false">Sens!D8927</f>
        <v>128.528</v>
      </c>
      <c r="E8931" s="6" t="n">
        <f aca="false">Sens!E8927</f>
        <v>155.237</v>
      </c>
      <c r="F8931" s="6" t="n">
        <f aca="false">Sens!F8927+Sens!F8930</f>
        <v>188.200983268149</v>
      </c>
      <c r="G8931" s="6" t="n">
        <f aca="false">Sens!G8927+Sens!G8930</f>
        <v>208.449317638363</v>
      </c>
      <c r="H8931" s="6" t="n">
        <f aca="false">Sens!H8927+Sens!H8930</f>
        <v>229.322416362069</v>
      </c>
      <c r="I8931" s="6" t="n">
        <f aca="false">Sens!I8927+Sens!I8930</f>
        <v>256.115197155355</v>
      </c>
      <c r="J8931" s="6" t="n">
        <f aca="false">Sens!J8927+Sens!J8930</f>
        <v>279.479729358648</v>
      </c>
      <c r="K8931" s="6" t="n">
        <f aca="false">Sens!K8927+Sens!K8930</f>
        <v>299.438030523542</v>
      </c>
    </row>
    <row r="8932" customFormat="false" ht="17.15" hidden="false" customHeight="false" outlineLevel="0" collapsed="false">
      <c r="A8932" s="1" t="s">
        <v>1070</v>
      </c>
      <c r="B8932" s="0" t="s">
        <v>98</v>
      </c>
      <c r="E8932" s="6" t="n">
        <f aca="false">Sens!E8875</f>
        <v>16.3054059770833</v>
      </c>
      <c r="F8932" s="6" t="n">
        <f aca="false">Sens!F8875</f>
        <v>34.5793144783516</v>
      </c>
      <c r="G8932" s="6" t="n">
        <f aca="false">Sens!G8875</f>
        <v>60.7344906522989</v>
      </c>
      <c r="H8932" s="6" t="n">
        <f aca="false">Sens!H8875</f>
        <v>89.1000906614457</v>
      </c>
      <c r="I8932" s="6" t="n">
        <f aca="false">Sens!I8875</f>
        <v>114.231009694548</v>
      </c>
      <c r="J8932" s="6" t="n">
        <f aca="false">Sens!J8875</f>
        <v>132.015673049596</v>
      </c>
      <c r="K8932" s="6" t="n">
        <f aca="false">Sens!K8875</f>
        <v>143.012669550934</v>
      </c>
    </row>
    <row r="8933" customFormat="false" ht="17.15" hidden="false" customHeight="false" outlineLevel="0" collapsed="false">
      <c r="A8933" s="1" t="s">
        <v>1071</v>
      </c>
      <c r="B8933" s="0" t="s">
        <v>98</v>
      </c>
      <c r="E8933" s="6" t="n">
        <f aca="false">Sens!E8957</f>
        <v>22.2285940229167</v>
      </c>
      <c r="F8933" s="6" t="n">
        <f aca="false">Sens!F8957</f>
        <v>23.6043796210668</v>
      </c>
      <c r="G8933" s="6" t="n">
        <f aca="false">Sens!G8957</f>
        <v>25.3835190184739</v>
      </c>
      <c r="H8933" s="6" t="n">
        <f aca="false">Sens!H8957</f>
        <v>27.5343201410841</v>
      </c>
      <c r="I8933" s="6" t="n">
        <f aca="false">Sens!I8957</f>
        <v>29.9981646162121</v>
      </c>
      <c r="J8933" s="6" t="n">
        <f aca="false">Sens!J8957</f>
        <v>32.6985609296951</v>
      </c>
      <c r="K8933" s="6" t="n">
        <f aca="false">Sens!K8957</f>
        <v>35.551145686611</v>
      </c>
    </row>
    <row r="8934" customFormat="false" ht="17.15" hidden="false" customHeight="false" outlineLevel="0" collapsed="false">
      <c r="A8934" s="1" t="s">
        <v>1072</v>
      </c>
      <c r="B8934" s="0" t="s">
        <v>98</v>
      </c>
      <c r="D8934" s="6" t="n">
        <f aca="false">Q!L27</f>
        <v>-4.901</v>
      </c>
      <c r="E8934" s="6" t="n">
        <f aca="false">Q!M27</f>
        <v>10.697</v>
      </c>
      <c r="F8934" s="6" t="n">
        <f aca="false">Q!$I$27+oie_f*(q_per_yr-1)/q_per_yr</f>
        <v>-0.862</v>
      </c>
      <c r="G8934" s="6" t="n">
        <f aca="false">oie_f</f>
        <v>-1.2</v>
      </c>
      <c r="H8934" s="6" t="n">
        <f aca="false">oie_f</f>
        <v>-1.2</v>
      </c>
      <c r="I8934" s="6" t="n">
        <f aca="false">oie_f</f>
        <v>-1.2</v>
      </c>
      <c r="J8934" s="6" t="n">
        <f aca="false">oie_f</f>
        <v>-1.2</v>
      </c>
      <c r="K8934" s="6" t="n">
        <f aca="false">oie_f</f>
        <v>-1.2</v>
      </c>
      <c r="L8934" s="12" t="s">
        <v>1073</v>
      </c>
    </row>
    <row r="8935" customFormat="false" ht="15" hidden="false" customHeight="false" outlineLevel="0" collapsed="false">
      <c r="A8935" s="1" t="s">
        <v>1074</v>
      </c>
      <c r="B8935" s="0" t="s">
        <v>98</v>
      </c>
      <c r="D8935" s="6" t="n">
        <f aca="false">Sens!D8927+Sens!D8934</f>
        <v>123.627</v>
      </c>
      <c r="E8935" s="6" t="n">
        <f aca="false">Sens!E8927+Sens!E8934</f>
        <v>165.934</v>
      </c>
      <c r="F8935" s="6" t="n">
        <f aca="false">Sens!F8927+Sens!F8934</f>
        <v>177.941714907046</v>
      </c>
      <c r="G8935" s="6" t="n">
        <f aca="false">Sens!G8927+Sens!G8934</f>
        <v>180.946255810802</v>
      </c>
      <c r="H8935" s="6" t="n">
        <f aca="false">Sens!H8927+Sens!H8934</f>
        <v>183.440370118585</v>
      </c>
      <c r="I8935" s="6" t="n">
        <f aca="false">Sens!I8927+Sens!I8934</f>
        <v>193.784509408504</v>
      </c>
      <c r="J8935" s="6" t="n">
        <f aca="false">Sens!J8927+Sens!J8934</f>
        <v>205.685984341505</v>
      </c>
      <c r="K8935" s="6" t="n">
        <f aca="false">Sens!K8927+Sens!K8934</f>
        <v>219.082151281839</v>
      </c>
    </row>
    <row r="8936" customFormat="false" ht="15" hidden="false" customHeight="false" outlineLevel="0" collapsed="false">
      <c r="A8936" s="1" t="s">
        <v>1075</v>
      </c>
      <c r="B8936" s="0" t="s">
        <v>98</v>
      </c>
      <c r="D8936" s="6" t="n">
        <f aca="false">Q!L29</f>
        <v>21.795</v>
      </c>
      <c r="E8936" s="6" t="n">
        <f aca="false">Q!M29</f>
        <v>32.185</v>
      </c>
      <c r="F8936" s="6" t="n">
        <f aca="false">Q!$I$29+(Sens!F8935-Q!$I$28)*tax_f</f>
        <v>35.7217429814092</v>
      </c>
      <c r="G8936" s="6" t="n">
        <f aca="false">Sens!G8935*tax_f</f>
        <v>36.1892511621604</v>
      </c>
      <c r="H8936" s="6" t="n">
        <f aca="false">Sens!H8935*tax_f</f>
        <v>36.688074023717</v>
      </c>
      <c r="I8936" s="6" t="n">
        <f aca="false">Sens!I8935*tax_f</f>
        <v>38.7569018817008</v>
      </c>
      <c r="J8936" s="6" t="n">
        <f aca="false">Sens!J8935*tax_f</f>
        <v>41.1371968683009</v>
      </c>
      <c r="K8936" s="6" t="n">
        <f aca="false">Sens!K8935*tax_f</f>
        <v>43.8164302563679</v>
      </c>
    </row>
    <row r="8937" customFormat="false" ht="15" hidden="false" customHeight="false" outlineLevel="0" collapsed="false">
      <c r="A8937" s="1" t="s">
        <v>1076</v>
      </c>
      <c r="B8937" s="0" t="s">
        <v>98</v>
      </c>
      <c r="D8937" s="6" t="n">
        <f aca="false">Sens!D8935-Sens!D8936</f>
        <v>101.832</v>
      </c>
      <c r="E8937" s="6" t="n">
        <f aca="false">Sens!E8935-Sens!E8936</f>
        <v>133.749</v>
      </c>
      <c r="F8937" s="6" t="n">
        <f aca="false">Sens!F8935-Sens!F8936</f>
        <v>142.219971925637</v>
      </c>
      <c r="G8937" s="6" t="n">
        <f aca="false">Sens!G8935-Sens!G8936</f>
        <v>144.757004648642</v>
      </c>
      <c r="H8937" s="6" t="n">
        <f aca="false">Sens!H8935-Sens!H8936</f>
        <v>146.752296094868</v>
      </c>
      <c r="I8937" s="6" t="n">
        <f aca="false">Sens!I8935-Sens!I8936</f>
        <v>155.027607526803</v>
      </c>
      <c r="J8937" s="6" t="n">
        <f aca="false">Sens!J8935-Sens!J8936</f>
        <v>164.548787473204</v>
      </c>
      <c r="K8937" s="6" t="n">
        <f aca="false">Sens!K8935-Sens!K8936</f>
        <v>175.265721025471</v>
      </c>
    </row>
    <row r="8938" customFormat="false" ht="17.15" hidden="false" customHeight="false" outlineLevel="0" collapsed="false">
      <c r="A8938" s="1" t="s">
        <v>1077</v>
      </c>
      <c r="B8938" s="1" t="s">
        <v>81</v>
      </c>
      <c r="D8938" s="15" t="n">
        <f aca="false">Q!L31</f>
        <v>7.465</v>
      </c>
      <c r="E8938" s="15" t="n">
        <f aca="false">Q!M31</f>
        <v>7.453</v>
      </c>
      <c r="F8938" s="15" t="n">
        <f aca="false">Sens!F8982</f>
        <v>7.4735</v>
      </c>
      <c r="G8938" s="15" t="n">
        <f aca="false">Sens!G8982</f>
        <v>7.5185</v>
      </c>
      <c r="H8938" s="15" t="n">
        <f aca="false">Sens!H8982</f>
        <v>7.5635</v>
      </c>
      <c r="I8938" s="15" t="n">
        <f aca="false">Sens!I8982</f>
        <v>7.59248142502667</v>
      </c>
      <c r="J8938" s="15" t="n">
        <f aca="false">Sens!J8982</f>
        <v>7.60663083618914</v>
      </c>
      <c r="K8938" s="15" t="n">
        <f aca="false">Sens!K8982</f>
        <v>7.62306547615439</v>
      </c>
    </row>
    <row r="8939" customFormat="false" ht="17.15" hidden="false" customHeight="false" outlineLevel="0" collapsed="false">
      <c r="A8939" s="0" t="s">
        <v>1078</v>
      </c>
      <c r="B8939" s="0" t="s">
        <v>75</v>
      </c>
      <c r="D8939" s="8" t="n">
        <f aca="false">Sens!D8937/Sens!D8938</f>
        <v>13.641259209645</v>
      </c>
      <c r="E8939" s="8" t="n">
        <f aca="false">Sens!E8937/Sens!E8938</f>
        <v>17.9456594659869</v>
      </c>
      <c r="F8939" s="8" t="n">
        <f aca="false">Sens!F8937/Sens!F8938</f>
        <v>19.0299019101675</v>
      </c>
      <c r="G8939" s="8" t="n">
        <f aca="false">Sens!G8937/Sens!G8938</f>
        <v>19.2534421292335</v>
      </c>
      <c r="H8939" s="8" t="n">
        <f aca="false">Sens!H8937/Sens!H8938</f>
        <v>19.4026966476986</v>
      </c>
      <c r="I8939" s="8" t="n">
        <f aca="false">Sens!I8937/Sens!I8938</f>
        <v>20.4185692197803</v>
      </c>
      <c r="J8939" s="8" t="n">
        <f aca="false">Sens!J8937/Sens!J8938</f>
        <v>21.6322825462161</v>
      </c>
      <c r="K8939" s="8" t="n">
        <f aca="false">Sens!K8937/Sens!K8938</f>
        <v>22.9915014601039</v>
      </c>
      <c r="L8939" s="1" t="s">
        <v>1079</v>
      </c>
    </row>
    <row r="8940" customFormat="false" ht="17.15" hidden="false" customHeight="false" outlineLevel="0" collapsed="false">
      <c r="A8940" s="1" t="s">
        <v>1080</v>
      </c>
      <c r="B8940" s="0" t="s">
        <v>98</v>
      </c>
      <c r="D8940" s="6" t="n">
        <f aca="false">Sens!D8937</f>
        <v>101.832</v>
      </c>
      <c r="E8940" s="6" t="n">
        <f aca="false">Sens!E8937</f>
        <v>133.749</v>
      </c>
      <c r="F8940" s="6" t="n">
        <f aca="false">Sens!F8937+Sens!F8930*(1-tax_f)</f>
        <v>149.737786614519</v>
      </c>
      <c r="G8940" s="6" t="n">
        <f aca="false">Sens!G8937+Sens!G8930*(1-tax_f)</f>
        <v>165.79945411069</v>
      </c>
      <c r="H8940" s="6" t="n">
        <f aca="false">Sens!H8937+Sens!H8930*(1-tax_f)</f>
        <v>182.497933089655</v>
      </c>
      <c r="I8940" s="6" t="n">
        <f aca="false">Sens!I8937+Sens!I8930*(1-tax_f)</f>
        <v>203.932157724284</v>
      </c>
      <c r="J8940" s="6" t="n">
        <f aca="false">Sens!J8937+Sens!J8930*(1-tax_f)</f>
        <v>222.623783486919</v>
      </c>
      <c r="K8940" s="6" t="n">
        <f aca="false">Sens!K8937+Sens!K8930*(1-tax_f)</f>
        <v>238.590424418833</v>
      </c>
    </row>
    <row r="8941" customFormat="false" ht="17.15" hidden="false" customHeight="false" outlineLevel="0" collapsed="false">
      <c r="A8941" s="0" t="s">
        <v>1081</v>
      </c>
      <c r="B8941" s="0" t="s">
        <v>75</v>
      </c>
      <c r="D8941" s="8" t="n">
        <f aca="false">Sens!D8940/Sens!D8938</f>
        <v>13.641259209645</v>
      </c>
      <c r="E8941" s="8" t="n">
        <f aca="false">Sens!E8940/Sens!E8938</f>
        <v>17.9456594659869</v>
      </c>
      <c r="F8941" s="8" t="n">
        <f aca="false">Sens!F8940/Sens!F8938</f>
        <v>20.0358314865216</v>
      </c>
      <c r="G8941" s="8" t="n">
        <f aca="false">Sens!G8940/Sens!G8938</f>
        <v>22.0521984585609</v>
      </c>
      <c r="H8941" s="8" t="n">
        <f aca="false">Sens!H8940/Sens!H8938</f>
        <v>24.1287675136716</v>
      </c>
      <c r="I8941" s="8" t="n">
        <f aca="false">Sens!I8940/Sens!I8938</f>
        <v>26.8597506280455</v>
      </c>
      <c r="J8941" s="8" t="n">
        <f aca="false">Sens!J8940/Sens!J8938</f>
        <v>29.2670682042</v>
      </c>
      <c r="K8941" s="8" t="n">
        <f aca="false">Sens!K8940/Sens!K8938</f>
        <v>31.2984881430135</v>
      </c>
      <c r="L8941" s="1" t="s">
        <v>1082</v>
      </c>
    </row>
    <row r="8942" customFormat="false" ht="17.15" hidden="false" customHeight="false" outlineLevel="0" collapsed="false">
      <c r="A8942" s="0" t="s">
        <v>1083</v>
      </c>
      <c r="B8942" s="0" t="s">
        <v>168</v>
      </c>
      <c r="E8942" s="7" t="n">
        <f aca="false">Sens!E8941/Sens!D8941-1</f>
        <v>0.315542736208578</v>
      </c>
      <c r="F8942" s="7" t="n">
        <f aca="false">Sens!F8941/Sens!E8941-1</f>
        <v>0.116472288159503</v>
      </c>
      <c r="G8942" s="7" t="n">
        <f aca="false">Sens!G8941/Sens!F8941-1</f>
        <v>0.100638048058837</v>
      </c>
      <c r="H8942" s="7" t="n">
        <f aca="false">Sens!H8941/Sens!G8941-1</f>
        <v>0.0941660786797665</v>
      </c>
      <c r="I8942" s="7" t="n">
        <f aca="false">Sens!I8941/Sens!H8941-1</f>
        <v>0.113183697129434</v>
      </c>
      <c r="J8942" s="7" t="n">
        <f aca="false">Sens!J8941/Sens!I8941-1</f>
        <v>0.0896254626296094</v>
      </c>
      <c r="K8942" s="7" t="n">
        <f aca="false">Sens!K8941/Sens!J8941-1</f>
        <v>0.0694097517605776</v>
      </c>
    </row>
    <row r="8943" customFormat="false" ht="17.15" hidden="false" customHeight="false" outlineLevel="0" collapsed="false">
      <c r="A8943" s="0" t="s">
        <v>1003</v>
      </c>
      <c r="B8943" s="0" t="s">
        <v>98</v>
      </c>
      <c r="E8943" s="6" t="n">
        <f aca="false">Sens!E8884</f>
        <v>5.25</v>
      </c>
      <c r="F8943" s="6" t="n">
        <f aca="false">Sens!F8884</f>
        <v>12.6</v>
      </c>
      <c r="G8943" s="6" t="n">
        <f aca="false">Sens!G8884</f>
        <v>16.2</v>
      </c>
      <c r="H8943" s="6" t="n">
        <f aca="false">Sens!H8884</f>
        <v>19.8</v>
      </c>
      <c r="I8943" s="6" t="n">
        <f aca="false">Sens!I8884</f>
        <v>22.5</v>
      </c>
      <c r="J8943" s="6" t="n">
        <f aca="false">Sens!J8884</f>
        <v>24.3</v>
      </c>
      <c r="K8943" s="6" t="n">
        <f aca="false">Sens!K8884</f>
        <v>26.1</v>
      </c>
    </row>
    <row r="8944" customFormat="false" ht="17.15" hidden="false" customHeight="false" outlineLevel="0" collapsed="false">
      <c r="A8944" s="1" t="s">
        <v>1004</v>
      </c>
      <c r="B8944" s="0" t="s">
        <v>98</v>
      </c>
      <c r="F8944" s="6" t="n">
        <f aca="false">MAX(0,((Sens!E8844+Sens!F8844)/2-(shadow_base*(Sens!$D$8844+Sens!$E$8844)/2+(1-shadow_base)*Sens!$E$8844))*Sens!F8853/1000-(Sens!F8943-Sens!$E$8943)*Sens!F8923)</f>
        <v>9.39726836110292</v>
      </c>
      <c r="G8944" s="6" t="n">
        <f aca="false">MAX(0,((Sens!F8844+Sens!G8844)/2-(shadow_base*(Sens!$D$8844+Sens!$E$8844)/2+(1-shadow_base)*Sens!$E$8844))*Sens!G8853/1000-(Sens!G8943-Sens!$E$8943)*Sens!G8923)</f>
        <v>26.3030618275606</v>
      </c>
      <c r="H8944" s="6" t="n">
        <f aca="false">MAX(0,((Sens!G8844+Sens!H8844)/2-(shadow_base*(Sens!$D$8844+Sens!$E$8844)/2+(1-shadow_base)*Sens!$E$8844))*Sens!H8853/1000-(Sens!H8943-Sens!$E$8943)*Sens!H8923)</f>
        <v>44.6820462434836</v>
      </c>
      <c r="I8944" s="6" t="n">
        <f aca="false">MAX(0,((Sens!H8844+Sens!I8844)/2-(shadow_base*(Sens!$D$8844+Sens!$E$8844)/2+(1-shadow_base)*Sens!$E$8844))*Sens!I8853/1000-(Sens!I8943-Sens!$E$8943)*Sens!I8923)</f>
        <v>61.1306877468508</v>
      </c>
      <c r="J8944" s="6" t="n">
        <f aca="false">MAX(0,((Sens!I8844+Sens!J8844)/2-(shadow_base*(Sens!$D$8844+Sens!$E$8844)/2+(1-shadow_base)*Sens!$E$8844))*Sens!J8853/1000-(Sens!J8943-Sens!$E$8943)*Sens!J8923)</f>
        <v>72.5937450171438</v>
      </c>
      <c r="K8944" s="6" t="n">
        <f aca="false">MAX(0,((Sens!J8844+Sens!K8844)/2-(shadow_base*(Sens!$D$8844+Sens!$E$8844)/2+(1-shadow_base)*Sens!$E$8844))*Sens!K8853/1000-(Sens!K8943-Sens!$E$8943)*Sens!K8923)</f>
        <v>79.1558792417026</v>
      </c>
      <c r="L8944" s="1" t="s">
        <v>1005</v>
      </c>
    </row>
    <row r="8945" customFormat="false" ht="17.15" hidden="false" customHeight="false" outlineLevel="0" collapsed="false">
      <c r="A8945" s="1" t="s">
        <v>1006</v>
      </c>
      <c r="B8945" s="0" t="s">
        <v>98</v>
      </c>
      <c r="F8945" s="6" t="n">
        <f aca="false">IF(internal_ai_reading=2,1,0)*Sens!F8944</f>
        <v>9.39726836110292</v>
      </c>
      <c r="G8945" s="6" t="n">
        <f aca="false">IF(internal_ai_reading=2,1,0)*Sens!G8944</f>
        <v>26.3030618275606</v>
      </c>
      <c r="H8945" s="6" t="n">
        <f aca="false">IF(internal_ai_reading=2,1,0)*Sens!H8944</f>
        <v>44.6820462434836</v>
      </c>
      <c r="I8945" s="6" t="n">
        <f aca="false">IF(internal_ai_reading=2,1,0)*Sens!I8944</f>
        <v>61.1306877468508</v>
      </c>
      <c r="J8945" s="6" t="n">
        <f aca="false">IF(internal_ai_reading=2,1,0)*Sens!J8944</f>
        <v>72.5937450171438</v>
      </c>
      <c r="K8945" s="6" t="n">
        <f aca="false">IF(internal_ai_reading=2,1,0)*Sens!K8944</f>
        <v>79.1558792417026</v>
      </c>
    </row>
    <row r="8946" customFormat="false" ht="17.15" hidden="false" customHeight="false" outlineLevel="0" collapsed="false">
      <c r="A8946" s="0" t="s">
        <v>1007</v>
      </c>
      <c r="B8946" s="0" t="s">
        <v>98</v>
      </c>
      <c r="F8946" s="6" t="n">
        <f aca="false">Sens!F8863+Sens!F8943*Sens!F8923+Sens!F8945-Sens!F8864-Sens!F8875</f>
        <v>10.3853806853618</v>
      </c>
      <c r="G8946" s="6" t="n">
        <f aca="false">Sens!G8863+Sens!G8943*Sens!G8923+Sens!G8945-Sens!G8864-Sens!G8875</f>
        <v>16.438931310574</v>
      </c>
      <c r="H8946" s="6" t="n">
        <f aca="false">Sens!H8863+Sens!H8943*Sens!H8923+Sens!H8945-Sens!H8864-Sens!H8875</f>
        <v>17.135416308873</v>
      </c>
      <c r="I8946" s="6" t="n">
        <f aca="false">Sens!I8863+Sens!I8943*Sens!I8923+Sens!I8945-Sens!I8864-Sens!I8875</f>
        <v>24.1293804008656</v>
      </c>
      <c r="J8946" s="6" t="n">
        <f aca="false">Sens!J8863+Sens!J8943*Sens!J8923+Sens!J8945-Sens!J8864-Sens!J8875</f>
        <v>28.8545659869181</v>
      </c>
      <c r="K8946" s="6" t="n">
        <f aca="false">Sens!K8863+Sens!K8943*Sens!K8923+Sens!K8945-Sens!K8864-Sens!K8875</f>
        <v>32.1374748525101</v>
      </c>
    </row>
    <row r="8947" customFormat="false" ht="17.15" hidden="false" customHeight="false" outlineLevel="0" collapsed="false">
      <c r="A8947" s="0" t="s">
        <v>1008</v>
      </c>
      <c r="B8947" s="0" t="s">
        <v>98</v>
      </c>
      <c r="E8947" s="6" t="n">
        <f aca="false">Sens!E8843*(cxit_open+self_build*tk_cxfac)/1000*ai_net_open</f>
        <v>126.6980382</v>
      </c>
      <c r="F8947" s="6" t="n">
        <f aca="false">Sens!E8947+Sens!F8872-Sens!F8875</f>
        <v>260.572627763768</v>
      </c>
      <c r="G8947" s="6" t="n">
        <f aca="false">Sens!F8947+Sens!G8872-Sens!G8875</f>
        <v>391.782612760517</v>
      </c>
      <c r="H8947" s="6" t="n">
        <f aca="false">Sens!G8947+Sens!H8872-Sens!H8875</f>
        <v>499.488526163584</v>
      </c>
      <c r="I8947" s="6" t="n">
        <f aca="false">Sens!H8947+Sens!I8872-Sens!I8875</f>
        <v>553.872350090646</v>
      </c>
      <c r="J8947" s="6" t="n">
        <f aca="false">Sens!I8947+Sens!J8872-Sens!J8875</f>
        <v>550.78660823699</v>
      </c>
      <c r="K8947" s="6" t="n">
        <f aca="false">Sens!J8947+Sens!K8872-Sens!K8875</f>
        <v>526.736791750789</v>
      </c>
      <c r="L8947" s="1" t="s">
        <v>1009</v>
      </c>
    </row>
    <row r="8948" customFormat="false" ht="17.15" hidden="false" customHeight="false" outlineLevel="0" collapsed="false">
      <c r="A8948" s="0" t="s">
        <v>1010</v>
      </c>
      <c r="B8948" s="0" t="s">
        <v>168</v>
      </c>
      <c r="F8948" s="7" t="n">
        <f aca="false">Sens!F8946*(1-tax_f)/((Sens!E8947+Sens!F8947)/2)</f>
        <v>0.0429069654816909</v>
      </c>
      <c r="G8948" s="7" t="n">
        <f aca="false">Sens!G8946*(1-tax_f)/((Sens!F8947+Sens!G8947)/2)</f>
        <v>0.0403189680453549</v>
      </c>
      <c r="H8948" s="7" t="n">
        <f aca="false">Sens!H8946*(1-tax_f)/((Sens!G8947+Sens!H8947)/2)</f>
        <v>0.0307613080877867</v>
      </c>
      <c r="I8948" s="7" t="n">
        <f aca="false">Sens!I8946*(1-tax_f)/((Sens!H8947+Sens!I8947)/2)</f>
        <v>0.0366512650238845</v>
      </c>
      <c r="J8948" s="7" t="n">
        <f aca="false">Sens!J8946*(1-tax_f)/((Sens!I8947+Sens!J8947)/2)</f>
        <v>0.0417932659044041</v>
      </c>
      <c r="K8948" s="7" t="n">
        <f aca="false">Sens!K8946*(1-tax_f)/((Sens!J8947+Sens!K8947)/2)</f>
        <v>0.0477205040415821</v>
      </c>
    </row>
    <row r="8949" customFormat="false" ht="17.15" hidden="false" customHeight="false" outlineLevel="0" collapsed="false">
      <c r="A8949" s="1" t="s">
        <v>1011</v>
      </c>
      <c r="B8949" s="0" t="s">
        <v>168</v>
      </c>
      <c r="F8949" s="7" t="n">
        <f aca="false">(Sens!F8946-Sens!F8945)*(1-tax_f)/((Sens!E8947+Sens!F8947)/2)</f>
        <v>0.00408236372584463</v>
      </c>
      <c r="G8949" s="7" t="n">
        <f aca="false">(Sens!G8946-Sens!G8945)*(1-tax_f)/((Sens!F8947+Sens!G8947)/2)</f>
        <v>-0.02419327361346</v>
      </c>
      <c r="H8949" s="7" t="n">
        <f aca="false">(Sens!H8946-Sens!H8945)*(1-tax_f)/((Sens!G8947+Sens!H8947)/2)</f>
        <v>-0.0494514025760799</v>
      </c>
      <c r="I8949" s="7" t="n">
        <f aca="false">(Sens!I8946-Sens!I8945)*(1-tax_f)/((Sens!H8947+Sens!I8947)/2)</f>
        <v>-0.0562030478710203</v>
      </c>
      <c r="J8949" s="7" t="n">
        <f aca="false">(Sens!J8946-Sens!J8945)*(1-tax_f)/((Sens!I8947+Sens!J8947)/2)</f>
        <v>-0.0633523006542303</v>
      </c>
      <c r="K8949" s="7" t="n">
        <f aca="false">(Sens!K8946-Sens!K8945)*(1-tax_f)/((Sens!J8947+Sens!K8947)/2)</f>
        <v>-0.0698169961075196</v>
      </c>
    </row>
    <row r="8950" customFormat="false" ht="17.15" hidden="false" customHeight="false" outlineLevel="0" collapsed="false">
      <c r="A8950" s="1" t="s">
        <v>1012</v>
      </c>
      <c r="B8950" s="0" t="s">
        <v>168</v>
      </c>
      <c r="F8950" s="7" t="n">
        <f aca="false">(Sens!F8946-Sens!F8945+Sens!F8944)*(1-tax_f)/((Sens!E8947+Sens!F8947)/2)</f>
        <v>0.0429069654816909</v>
      </c>
      <c r="G8950" s="7" t="n">
        <f aca="false">(Sens!G8946-Sens!G8945+Sens!G8944)*(1-tax_f)/((Sens!F8947+Sens!G8947)/2)</f>
        <v>0.0403189680453549</v>
      </c>
      <c r="H8950" s="7" t="n">
        <f aca="false">(Sens!H8946-Sens!H8945+Sens!H8944)*(1-tax_f)/((Sens!G8947+Sens!H8947)/2)</f>
        <v>0.0307613080877867</v>
      </c>
      <c r="I8950" s="7" t="n">
        <f aca="false">(Sens!I8946-Sens!I8945+Sens!I8944)*(1-tax_f)/((Sens!H8947+Sens!I8947)/2)</f>
        <v>0.0366512650238845</v>
      </c>
      <c r="J8950" s="7" t="n">
        <f aca="false">(Sens!J8946-Sens!J8945+Sens!J8944)*(1-tax_f)/((Sens!I8947+Sens!J8947)/2)</f>
        <v>0.0417932659044041</v>
      </c>
      <c r="K8950" s="7" t="n">
        <f aca="false">(Sens!K8946-Sens!K8945+Sens!K8944)*(1-tax_f)/((Sens!J8947+Sens!K8947)/2)</f>
        <v>0.0477205040415821</v>
      </c>
    </row>
    <row r="8951" customFormat="false" ht="17.15" hidden="false" customHeight="false" outlineLevel="0" collapsed="false">
      <c r="A8951" s="1" t="s">
        <v>1013</v>
      </c>
      <c r="B8951" s="0" t="s">
        <v>168</v>
      </c>
      <c r="F8951" s="7" t="n">
        <f aca="false">Sens!F8876*(1-tax_f)/(Sens!F8862*(Sens!E8947+Sens!F8947)/2)</f>
        <v>0.098791430090569</v>
      </c>
      <c r="G8951" s="7" t="n">
        <f aca="false">Sens!G8876*(1-tax_f)/(Sens!G8862*(Sens!F8947+Sens!G8947)/2)</f>
        <v>0.0675308856427828</v>
      </c>
      <c r="H8951" s="7" t="n">
        <f aca="false">Sens!H8876*(1-tax_f)/(Sens!H8862*(Sens!G8947+Sens!H8947)/2)</f>
        <v>0.0388374979528754</v>
      </c>
      <c r="I8951" s="7" t="n">
        <f aca="false">Sens!I8876*(1-tax_f)/(Sens!I8862*(Sens!H8947+Sens!I8947)/2)</f>
        <v>0.0411035671771815</v>
      </c>
      <c r="J8951" s="7" t="n">
        <f aca="false">Sens!J8876*(1-tax_f)/(Sens!J8862*(Sens!I8947+Sens!J8947)/2)</f>
        <v>0.0445222722541192</v>
      </c>
      <c r="K8951" s="7" t="n">
        <f aca="false">Sens!K8876*(1-tax_f)/(Sens!K8862*(Sens!J8947+Sens!K8947)/2)</f>
        <v>0.0498866361688162</v>
      </c>
    </row>
    <row r="8952" customFormat="false" ht="17.15" hidden="false" customHeight="false" outlineLevel="0" collapsed="false">
      <c r="A8952" s="0" t="s">
        <v>1014</v>
      </c>
      <c r="B8952" s="0" t="s">
        <v>253</v>
      </c>
      <c r="F8952" s="7" t="n">
        <f aca="false">Sens!F8948-wacc</f>
        <v>-0.0600296254639064</v>
      </c>
      <c r="G8952" s="7" t="n">
        <f aca="false">Sens!G8948-wacc</f>
        <v>-0.0626176229002424</v>
      </c>
      <c r="H8952" s="7" t="n">
        <f aca="false">Sens!H8948-wacc</f>
        <v>-0.0721752828578106</v>
      </c>
      <c r="I8952" s="7" t="n">
        <f aca="false">Sens!I8948-wacc</f>
        <v>-0.0662853259217128</v>
      </c>
      <c r="J8952" s="7" t="n">
        <f aca="false">Sens!J8948-wacc</f>
        <v>-0.0611433250411932</v>
      </c>
      <c r="K8952" s="7" t="n">
        <f aca="false">Sens!K8948-wacc</f>
        <v>-0.0552160869040152</v>
      </c>
    </row>
    <row r="8953" customFormat="false" ht="17.15" hidden="false" customHeight="false" outlineLevel="0" collapsed="false">
      <c r="A8953" s="0" t="s">
        <v>1015</v>
      </c>
      <c r="B8953" s="0" t="s">
        <v>98</v>
      </c>
      <c r="F8953" s="6" t="n">
        <f aca="false">Sens!F8946*(1-tax_f)-wacc*(Sens!E8947+Sens!F8947)/2</f>
        <v>-11.6238565154813</v>
      </c>
      <c r="G8953" s="6" t="n">
        <f aca="false">Sens!G8946*(1-tax_f)-wacc*(Sens!F8947+Sens!G8947)/2</f>
        <v>-20.4244672240733</v>
      </c>
      <c r="H8953" s="6" t="n">
        <f aca="false">Sens!H8946*(1-tax_f)-wacc*(Sens!G8947+Sens!H8947)/2</f>
        <v>-32.163873277425</v>
      </c>
      <c r="I8953" s="6" t="n">
        <f aca="false">Sens!I8946*(1-tax_f)-wacc*(Sens!H8947+Sens!I8947)/2</f>
        <v>-34.9111844978463</v>
      </c>
      <c r="J8953" s="6" t="n">
        <f aca="false">Sens!J8946*(1-tax_f)-wacc*(Sens!I8947+Sens!J8947)/2</f>
        <v>-33.7712608743463</v>
      </c>
      <c r="K8953" s="6" t="n">
        <f aca="false">Sens!K8946*(1-tax_f)-wacc*(Sens!J8947+Sens!K8947)/2</f>
        <v>-29.7483128474176</v>
      </c>
    </row>
    <row r="8954" customFormat="false" ht="17.15" hidden="false" customHeight="false" outlineLevel="0" collapsed="false">
      <c r="A8954" s="3" t="s">
        <v>1703</v>
      </c>
    </row>
    <row r="8955" customFormat="false" ht="15" hidden="false" customHeight="false" outlineLevel="0" collapsed="false">
      <c r="A8955" s="4" t="s">
        <v>43</v>
      </c>
      <c r="B8955" s="4" t="s">
        <v>65</v>
      </c>
      <c r="C8955" s="23" t="s">
        <v>938</v>
      </c>
      <c r="D8955" s="23" t="s">
        <v>939</v>
      </c>
      <c r="E8955" s="23" t="s">
        <v>940</v>
      </c>
      <c r="F8955" s="23" t="s">
        <v>941</v>
      </c>
      <c r="G8955" s="23" t="s">
        <v>942</v>
      </c>
      <c r="H8955" s="23" t="s">
        <v>943</v>
      </c>
      <c r="I8955" s="23" t="s">
        <v>944</v>
      </c>
      <c r="J8955" s="23" t="s">
        <v>945</v>
      </c>
      <c r="K8955" s="23" t="s">
        <v>946</v>
      </c>
      <c r="L8955" s="4" t="s">
        <v>47</v>
      </c>
    </row>
    <row r="8956" customFormat="false" ht="15" hidden="false" customHeight="false" outlineLevel="0" collapsed="false">
      <c r="A8956" s="1" t="s">
        <v>1076</v>
      </c>
      <c r="B8956" s="0" t="s">
        <v>98</v>
      </c>
      <c r="F8956" s="6" t="n">
        <f aca="false">Sens!F8937</f>
        <v>142.219971925637</v>
      </c>
      <c r="G8956" s="6" t="n">
        <f aca="false">Sens!G8937</f>
        <v>144.757004648642</v>
      </c>
      <c r="H8956" s="6" t="n">
        <f aca="false">Sens!H8937</f>
        <v>146.752296094868</v>
      </c>
      <c r="I8956" s="6" t="n">
        <f aca="false">Sens!I8937</f>
        <v>155.027607526803</v>
      </c>
      <c r="J8956" s="6" t="n">
        <f aca="false">Sens!J8937</f>
        <v>164.548787473204</v>
      </c>
      <c r="K8956" s="6" t="n">
        <f aca="false">Sens!K8937</f>
        <v>175.265721025471</v>
      </c>
    </row>
    <row r="8957" customFormat="false" ht="17.15" hidden="false" customHeight="false" outlineLevel="0" collapsed="false">
      <c r="A8957" s="1" t="s">
        <v>1098</v>
      </c>
      <c r="B8957" s="0" t="s">
        <v>98</v>
      </c>
      <c r="E8957" s="6" t="n">
        <f aca="false">Q!M38-Sens!E8875</f>
        <v>22.2285940229167</v>
      </c>
      <c r="F8957" s="6" t="n">
        <f aca="false">Sens!E8957*(1-1/life_nonai)+(Sens!F8965+Sens!F8966)/life_nonai</f>
        <v>23.6043796210668</v>
      </c>
      <c r="G8957" s="6" t="n">
        <f aca="false">Sens!F8957*(1-1/life_nonai)+(Sens!G8965)/life_nonai</f>
        <v>25.3835190184739</v>
      </c>
      <c r="H8957" s="6" t="n">
        <f aca="false">Sens!G8957*(1-1/life_nonai)+(Sens!H8965)/life_nonai</f>
        <v>27.5343201410841</v>
      </c>
      <c r="I8957" s="6" t="n">
        <f aca="false">Sens!H8957*(1-1/life_nonai)+(Sens!I8965)/life_nonai</f>
        <v>29.9981646162121</v>
      </c>
      <c r="J8957" s="6" t="n">
        <f aca="false">Sens!I8957*(1-1/life_nonai)+(Sens!J8965)/life_nonai</f>
        <v>32.6985609296951</v>
      </c>
      <c r="K8957" s="6" t="n">
        <f aca="false">Sens!J8957*(1-1/life_nonai)+(Sens!K8965)/life_nonai</f>
        <v>35.551145686611</v>
      </c>
      <c r="L8957" s="12" t="s">
        <v>1099</v>
      </c>
    </row>
    <row r="8958" customFormat="false" ht="17.15" hidden="false" customHeight="false" outlineLevel="0" collapsed="false">
      <c r="A8958" s="1" t="s">
        <v>1100</v>
      </c>
      <c r="B8958" s="0" t="s">
        <v>98</v>
      </c>
      <c r="F8958" s="6" t="n">
        <f aca="false">Sens!$F$8966/life_nonai*(1-1/life_nonai)^(Sens!F8838-2027)</f>
        <v>0</v>
      </c>
      <c r="G8958" s="6" t="n">
        <f aca="false">Sens!$F$8966/life_nonai*(1-1/life_nonai)^(Sens!G8838-2027)</f>
        <v>0</v>
      </c>
      <c r="H8958" s="6" t="n">
        <f aca="false">Sens!$F$8966/life_nonai*(1-1/life_nonai)^(Sens!H8838-2027)</f>
        <v>0</v>
      </c>
      <c r="I8958" s="6" t="n">
        <f aca="false">Sens!$F$8966/life_nonai*(1-1/life_nonai)^(Sens!I8838-2027)</f>
        <v>0</v>
      </c>
      <c r="J8958" s="6" t="n">
        <f aca="false">Sens!$F$8966/life_nonai*(1-1/life_nonai)^(Sens!J8838-2027)</f>
        <v>0</v>
      </c>
      <c r="K8958" s="6" t="n">
        <f aca="false">Sens!$F$8966/life_nonai*(1-1/life_nonai)^(Sens!K8838-2027)</f>
        <v>0</v>
      </c>
      <c r="L8958" s="1" t="s">
        <v>1101</v>
      </c>
    </row>
    <row r="8959" customFormat="false" ht="17.15" hidden="false" customHeight="false" outlineLevel="0" collapsed="false">
      <c r="A8959" s="1" t="s">
        <v>1102</v>
      </c>
      <c r="B8959" s="0" t="s">
        <v>98</v>
      </c>
      <c r="E8959" s="6" t="n">
        <f aca="false">Sens!E8875+Sens!E8957</f>
        <v>38.534</v>
      </c>
      <c r="F8959" s="6" t="n">
        <f aca="false">Sens!F8875+Sens!F8957</f>
        <v>58.1836940994184</v>
      </c>
      <c r="G8959" s="6" t="n">
        <f aca="false">Sens!G8875+Sens!G8957</f>
        <v>86.1180096707728</v>
      </c>
      <c r="H8959" s="6" t="n">
        <f aca="false">Sens!H8875+Sens!H8957</f>
        <v>116.63441080253</v>
      </c>
      <c r="I8959" s="6" t="n">
        <f aca="false">Sens!I8875+Sens!I8957</f>
        <v>144.22917431076</v>
      </c>
      <c r="J8959" s="6" t="n">
        <f aca="false">Sens!J8875+Sens!J8957</f>
        <v>164.714233979291</v>
      </c>
      <c r="K8959" s="6" t="n">
        <f aca="false">Sens!K8875+Sens!K8957</f>
        <v>178.563815237545</v>
      </c>
    </row>
    <row r="8960" customFormat="false" ht="17.15" hidden="false" customHeight="false" outlineLevel="0" collapsed="false">
      <c r="A8960" s="1" t="s">
        <v>1103</v>
      </c>
      <c r="B8960" s="0" t="s">
        <v>98</v>
      </c>
      <c r="F8960" s="6" t="n">
        <f aca="false">Sens!F8902*sbc_r</f>
        <v>14.8054370266119</v>
      </c>
      <c r="G8960" s="6" t="n">
        <f aca="false">Sens!G8902*sbc_r</f>
        <v>17.2363607337461</v>
      </c>
      <c r="H8960" s="6" t="n">
        <f aca="false">Sens!H8902*sbc_r</f>
        <v>19.5118028843385</v>
      </c>
      <c r="I8960" s="6" t="n">
        <f aca="false">Sens!I8902*sbc_r</f>
        <v>21.8808335219652</v>
      </c>
      <c r="J8960" s="6" t="n">
        <f aca="false">Sens!J8902*sbc_r</f>
        <v>23.8670885792222</v>
      </c>
      <c r="K8960" s="6" t="n">
        <f aca="false">Sens!K8902*sbc_r</f>
        <v>25.4898937168261</v>
      </c>
    </row>
    <row r="8961" customFormat="false" ht="17.15" hidden="false" customHeight="false" outlineLevel="0" collapsed="false">
      <c r="A8961" s="1" t="s">
        <v>1104</v>
      </c>
      <c r="B8961" s="0" t="s">
        <v>98</v>
      </c>
      <c r="F8961" s="6" t="n">
        <f aca="false">wc27-wc26q1</f>
        <v>-4.677</v>
      </c>
      <c r="G8961" s="6" t="n">
        <f aca="false">wc_f</f>
        <v>0</v>
      </c>
      <c r="H8961" s="6" t="n">
        <f aca="false">wc_f</f>
        <v>0</v>
      </c>
      <c r="I8961" s="6" t="n">
        <f aca="false">wc_f</f>
        <v>0</v>
      </c>
      <c r="J8961" s="6" t="n">
        <f aca="false">wc_f</f>
        <v>0</v>
      </c>
      <c r="K8961" s="6" t="n">
        <f aca="false">wc_f</f>
        <v>0</v>
      </c>
      <c r="L8961" s="12" t="s">
        <v>1105</v>
      </c>
    </row>
    <row r="8962" customFormat="false" ht="17.15" hidden="false" customHeight="false" outlineLevel="0" collapsed="false">
      <c r="A8962" s="0" t="s">
        <v>1106</v>
      </c>
      <c r="B8962" s="0" t="s">
        <v>98</v>
      </c>
      <c r="F8962" s="6" t="n">
        <f aca="false">Q!$I$35-Q!$I$26-Q!$I$38-Q!$I$39</f>
        <v>6.493</v>
      </c>
      <c r="L8962" s="1" t="s">
        <v>1107</v>
      </c>
    </row>
    <row r="8963" customFormat="false" ht="15" hidden="false" customHeight="false" outlineLevel="0" collapsed="false">
      <c r="A8963" s="1" t="s">
        <v>904</v>
      </c>
      <c r="B8963" s="0" t="s">
        <v>98</v>
      </c>
      <c r="E8963" s="6" t="n">
        <f aca="false">Q!M35</f>
        <v>182.935</v>
      </c>
      <c r="F8963" s="6" t="n">
        <f aca="false">Sens!F8956+Sens!F8959+Sens!F8960+Sens!F8961+Sens!F8962</f>
        <v>217.025103051667</v>
      </c>
      <c r="G8963" s="6" t="n">
        <f aca="false">Sens!G8956+Sens!G8959+Sens!G8960+Sens!G8961</f>
        <v>248.111375053161</v>
      </c>
      <c r="H8963" s="6" t="n">
        <f aca="false">Sens!H8956+Sens!H8959+Sens!H8960+Sens!H8961</f>
        <v>282.898509781736</v>
      </c>
      <c r="I8963" s="6" t="n">
        <f aca="false">Sens!I8956+Sens!I8959+Sens!I8960+Sens!I8961</f>
        <v>321.137615359529</v>
      </c>
      <c r="J8963" s="6" t="n">
        <f aca="false">Sens!J8956+Sens!J8959+Sens!J8960+Sens!J8961</f>
        <v>353.130110031717</v>
      </c>
      <c r="K8963" s="6" t="n">
        <f aca="false">Sens!K8956+Sens!K8959+Sens!K8960+Sens!K8961</f>
        <v>379.319429979843</v>
      </c>
    </row>
    <row r="8964" customFormat="false" ht="17.15" hidden="false" customHeight="false" outlineLevel="0" collapsed="false">
      <c r="A8964" s="0" t="s">
        <v>1108</v>
      </c>
      <c r="B8964" s="0" t="s">
        <v>98</v>
      </c>
      <c r="F8964" s="6" t="n">
        <f aca="false">Sens!F8872</f>
        <v>168.45390404212</v>
      </c>
      <c r="G8964" s="6" t="n">
        <f aca="false">Sens!G8872</f>
        <v>191.944475649048</v>
      </c>
      <c r="H8964" s="6" t="n">
        <f aca="false">Sens!H8872</f>
        <v>196.806004064512</v>
      </c>
      <c r="I8964" s="6" t="n">
        <f aca="false">Sens!I8872</f>
        <v>168.61483362161</v>
      </c>
      <c r="J8964" s="6" t="n">
        <f aca="false">Sens!J8872</f>
        <v>128.92993119594</v>
      </c>
      <c r="K8964" s="6" t="n">
        <f aca="false">Sens!K8872</f>
        <v>118.962853064733</v>
      </c>
    </row>
    <row r="8965" customFormat="false" ht="17.15" hidden="false" customHeight="false" outlineLevel="0" collapsed="false">
      <c r="A8965" s="1" t="s">
        <v>1109</v>
      </c>
      <c r="B8965" s="0" t="s">
        <v>98</v>
      </c>
      <c r="E8965" s="6" t="n">
        <f aca="false">Sens!E8880*cx_azo+Sens!E8887*cx_m365+Sens!E8888*cx_lic+(Sens!E8890+Sens!E8892)*cx_ind+Sens!E8895*cx_srch+(Sens!E8897+Sens!E8899)*cx_dev</f>
        <v>30.1846587067718</v>
      </c>
      <c r="F8965" s="6" t="n">
        <f aca="false">Sens!F8880*cx_azo+Sens!F8887*cx_m365+Sens!F8888*cx_lic+(Sens!F8890+Sens!F8892)*cx_ind+Sens!F8895*cx_srch+(Sens!F8897+Sens!F8899)*cx_dev</f>
        <v>35.986450004418</v>
      </c>
      <c r="G8965" s="6" t="n">
        <f aca="false">Sens!G8880*cx_azo+Sens!G8887*cx_m365+Sens!G8888*cx_lic+(Sens!G8890+Sens!G8892)*cx_ind+Sens!G8895*cx_srch+(Sens!G8897+Sens!G8899)*cx_dev</f>
        <v>41.3957735951375</v>
      </c>
      <c r="H8965" s="6" t="n">
        <f aca="false">Sens!H8880*cx_azo+Sens!H8887*cx_m365+Sens!H8888*cx_lic+(Sens!H8890+Sens!H8892)*cx_ind+Sens!H8895*cx_srch+(Sens!H8897+Sens!H8899)*cx_dev</f>
        <v>46.8915302445765</v>
      </c>
      <c r="I8965" s="6" t="n">
        <f aca="false">Sens!I8880*cx_azo+Sens!I8887*cx_m365+Sens!I8888*cx_lic+(Sens!I8890+Sens!I8892)*cx_ind+Sens!I8895*cx_srch+(Sens!I8897+Sens!I8899)*cx_dev</f>
        <v>52.172764892364</v>
      </c>
      <c r="J8965" s="6" t="n">
        <f aca="false">Sens!J8880*cx_azo+Sens!J8887*cx_m365+Sens!J8888*cx_lic+(Sens!J8890+Sens!J8892)*cx_ind+Sens!J8895*cx_srch+(Sens!J8897+Sens!J8899)*cx_dev</f>
        <v>57.0021277510423</v>
      </c>
      <c r="K8965" s="6" t="n">
        <f aca="false">Sens!K8880*cx_azo+Sens!K8887*cx_m365+Sens!K8888*cx_lic+(Sens!K8890+Sens!K8892)*cx_ind+Sens!K8895*cx_srch+(Sens!K8897+Sens!K8899)*cx_dev</f>
        <v>61.2244084988532</v>
      </c>
    </row>
    <row r="8966" customFormat="false" ht="17.15" hidden="false" customHeight="false" outlineLevel="0" collapsed="false">
      <c r="A8966" s="0" t="s">
        <v>1110</v>
      </c>
      <c r="B8966" s="0" t="s">
        <v>98</v>
      </c>
      <c r="F8966" s="6" t="n">
        <f aca="false">Sens!F8870</f>
        <v>0</v>
      </c>
      <c r="L8966" s="1" t="s">
        <v>1111</v>
      </c>
    </row>
    <row r="8967" customFormat="false" ht="17.15" hidden="false" customHeight="false" outlineLevel="0" collapsed="false">
      <c r="A8967" s="1" t="s">
        <v>1112</v>
      </c>
      <c r="B8967" s="0" t="s">
        <v>98</v>
      </c>
      <c r="E8967" s="6" t="n">
        <f aca="false">Q!M43</f>
        <v>145.3</v>
      </c>
      <c r="F8967" s="6" t="n">
        <f aca="false">Sens!F8964+Sens!F8965+Sens!F8966</f>
        <v>204.440354046538</v>
      </c>
      <c r="G8967" s="6" t="n">
        <f aca="false">Sens!G8964+Sens!G8965</f>
        <v>233.340249244186</v>
      </c>
      <c r="H8967" s="6" t="n">
        <f aca="false">Sens!H8964+Sens!H8965</f>
        <v>243.697534309089</v>
      </c>
      <c r="I8967" s="6" t="n">
        <f aca="false">Sens!I8964+Sens!I8965</f>
        <v>220.787598513974</v>
      </c>
      <c r="J8967" s="6" t="n">
        <f aca="false">Sens!J8964+Sens!J8965</f>
        <v>185.932058946983</v>
      </c>
      <c r="K8967" s="6" t="n">
        <f aca="false">Sens!K8964+Sens!K8965</f>
        <v>180.187261563586</v>
      </c>
      <c r="L8967" s="1" t="s">
        <v>1113</v>
      </c>
    </row>
    <row r="8968" customFormat="false" ht="15" hidden="false" customHeight="false" outlineLevel="0" collapsed="false">
      <c r="A8968" s="1" t="s">
        <v>1114</v>
      </c>
      <c r="B8968" s="0" t="s">
        <v>98</v>
      </c>
      <c r="E8968" s="6" t="n">
        <f aca="false">fl_liab</f>
        <v>66.594</v>
      </c>
      <c r="F8968" s="6" t="n">
        <f aca="false">Sens!E8968-Sens!F8969</f>
        <v>62.46973</v>
      </c>
      <c r="G8968" s="6" t="n">
        <f aca="false">Sens!F8968-Sens!G8969</f>
        <v>57.98686785</v>
      </c>
      <c r="H8968" s="6" t="n">
        <f aca="false">Sens!G8968-Sens!H8969</f>
        <v>53.92827690325</v>
      </c>
      <c r="I8968" s="6" t="n">
        <f aca="false">Sens!H8968-Sens!I8969</f>
        <v>49.7850493638962</v>
      </c>
      <c r="J8968" s="6" t="n">
        <f aca="false">Sens!I8968-Sens!J8969</f>
        <v>45.4823765852716</v>
      </c>
      <c r="K8968" s="6" t="n">
        <f aca="false">Sens!J8968-Sens!K8969</f>
        <v>40.9860835316088</v>
      </c>
    </row>
    <row r="8969" customFormat="false" ht="15" hidden="false" customHeight="false" outlineLevel="0" collapsed="false">
      <c r="A8969" s="1" t="s">
        <v>1115</v>
      </c>
      <c r="B8969" s="0" t="s">
        <v>98</v>
      </c>
      <c r="F8969" s="6" t="n">
        <f aca="false">fl_pay_27-Sens!E8968*fl_rate</f>
        <v>4.12427</v>
      </c>
      <c r="G8969" s="6" t="n">
        <f aca="false">fl_pay_28-Sens!F8968*fl_rate</f>
        <v>4.48286215</v>
      </c>
      <c r="H8969" s="6" t="n">
        <f aca="false">fl_pay_29-Sens!G8968*fl_rate</f>
        <v>4.05859094675</v>
      </c>
      <c r="I8969" s="6" t="n">
        <f aca="false">fl_pay_30-Sens!H8968*fl_rate</f>
        <v>4.14322753935375</v>
      </c>
      <c r="J8969" s="6" t="n">
        <f aca="false">fl_pay_31-Sens!I8968*fl_rate</f>
        <v>4.30267277862467</v>
      </c>
      <c r="K8969" s="6" t="n">
        <f aca="false">fl_pay_32-Sens!J8968*fl_rate</f>
        <v>4.49629305366278</v>
      </c>
    </row>
    <row r="8970" customFormat="false" ht="17.15" hidden="false" customHeight="false" outlineLevel="0" collapsed="false">
      <c r="A8970" s="1" t="s">
        <v>1116</v>
      </c>
      <c r="B8970" s="0" t="s">
        <v>98</v>
      </c>
      <c r="E8970" s="6" t="n">
        <f aca="false">Q!M35-Q!M36-Q!M44</f>
        <v>63.886</v>
      </c>
      <c r="F8970" s="6" t="n">
        <f aca="false">Sens!F8963-Sens!F8967-Sens!F8969</f>
        <v>8.46047900512945</v>
      </c>
      <c r="G8970" s="6" t="n">
        <f aca="false">Sens!G8963-Sens!G8967-Sens!G8969</f>
        <v>10.288263658975</v>
      </c>
      <c r="H8970" s="6" t="n">
        <f aca="false">Sens!H8963-Sens!H8967-Sens!H8969</f>
        <v>35.1423845258975</v>
      </c>
      <c r="I8970" s="6" t="n">
        <f aca="false">Sens!I8963-Sens!I8967-Sens!I8969</f>
        <v>96.2067893062009</v>
      </c>
      <c r="J8970" s="6" t="n">
        <f aca="false">Sens!J8963-Sens!J8967-Sens!J8969</f>
        <v>162.89537830611</v>
      </c>
      <c r="K8970" s="6" t="n">
        <f aca="false">Sens!K8963-Sens!K8967-Sens!K8969</f>
        <v>194.635875362594</v>
      </c>
      <c r="L8970" s="12" t="s">
        <v>1117</v>
      </c>
    </row>
    <row r="8971" customFormat="false" ht="15" hidden="false" customHeight="false" outlineLevel="0" collapsed="false">
      <c r="A8971" s="1" t="s">
        <v>1118</v>
      </c>
      <c r="B8971" s="0" t="s">
        <v>75</v>
      </c>
      <c r="F8971" s="8" t="n">
        <f aca="false">dps_27</f>
        <v>3.85</v>
      </c>
      <c r="G8971" s="8" t="n">
        <f aca="false">Sens!F8971*(1+dps_g)</f>
        <v>4.158</v>
      </c>
      <c r="H8971" s="8" t="n">
        <f aca="false">Sens!G8971*(1+dps_g)</f>
        <v>4.49064</v>
      </c>
      <c r="I8971" s="8" t="n">
        <f aca="false">Sens!H8971*(1+dps_g)</f>
        <v>4.8498912</v>
      </c>
      <c r="J8971" s="8" t="n">
        <f aca="false">Sens!I8971*(1+dps_g)</f>
        <v>5.237882496</v>
      </c>
      <c r="K8971" s="8" t="n">
        <f aca="false">Sens!J8971*(1+dps_g)</f>
        <v>5.65691309568</v>
      </c>
    </row>
    <row r="8972" customFormat="false" ht="17.15" hidden="false" customHeight="false" outlineLevel="0" collapsed="false">
      <c r="A8972" s="1" t="s">
        <v>1119</v>
      </c>
      <c r="B8972" s="0" t="s">
        <v>98</v>
      </c>
      <c r="E8972" s="6" t="n">
        <f aca="false">Q!M41</f>
        <v>26.445</v>
      </c>
      <c r="F8972" s="6" t="n">
        <f aca="false">Sens!F8971*Sens!E8981</f>
        <v>28.59395</v>
      </c>
      <c r="G8972" s="6" t="n">
        <f aca="false">Sens!G8971*Sens!F8981</f>
        <v>31.068576</v>
      </c>
      <c r="H8972" s="6" t="n">
        <f aca="false">Sens!H8971*Sens!G8981</f>
        <v>33.75614088</v>
      </c>
      <c r="I8972" s="6" t="n">
        <f aca="false">Sens!I8971*Sens!H8981</f>
        <v>36.6748772544</v>
      </c>
      <c r="J8972" s="6" t="n">
        <f aca="false">Sens!J8971*Sens!I8981</f>
        <v>39.6767653201446</v>
      </c>
      <c r="K8972" s="6" t="n">
        <f aca="false">Sens!K8971*Sens!J8981</f>
        <v>42.9376608081345</v>
      </c>
      <c r="L8972" s="1" t="s">
        <v>1120</v>
      </c>
    </row>
    <row r="8973" customFormat="false" ht="15" hidden="false" customHeight="false" outlineLevel="0" collapsed="false">
      <c r="A8973" s="1" t="s">
        <v>1121</v>
      </c>
      <c r="B8973" s="0" t="s">
        <v>98</v>
      </c>
      <c r="E8973" s="6" t="n">
        <f aca="false">Sens!E8970-Sens!E8972</f>
        <v>37.441</v>
      </c>
      <c r="F8973" s="6" t="n">
        <f aca="false">Sens!F8970-Sens!F8972</f>
        <v>-20.1334709948706</v>
      </c>
      <c r="G8973" s="6" t="n">
        <f aca="false">Sens!G8970-Sens!G8972</f>
        <v>-20.780312341025</v>
      </c>
      <c r="H8973" s="6" t="n">
        <f aca="false">Sens!H8970-Sens!H8972</f>
        <v>1.38624364589748</v>
      </c>
      <c r="I8973" s="6" t="n">
        <f aca="false">Sens!I8970-Sens!I8972</f>
        <v>59.5319120518009</v>
      </c>
      <c r="J8973" s="6" t="n">
        <f aca="false">Sens!J8970-Sens!J8972</f>
        <v>123.218612985965</v>
      </c>
      <c r="K8973" s="6" t="n">
        <f aca="false">Sens!K8970-Sens!K8972</f>
        <v>151.698214554459</v>
      </c>
    </row>
    <row r="8974" customFormat="false" ht="15" hidden="false" customHeight="false" outlineLevel="0" collapsed="false">
      <c r="A8974" s="1" t="s">
        <v>1122</v>
      </c>
      <c r="B8974" s="0" t="s">
        <v>98</v>
      </c>
      <c r="F8974" s="6" t="n">
        <f aca="false">debt_mat_27</f>
        <v>9.25</v>
      </c>
      <c r="G8974" s="6" t="n">
        <f aca="false">debt_mat_28</f>
        <v>0</v>
      </c>
      <c r="H8974" s="6" t="n">
        <f aca="false">debt_mat_29</f>
        <v>2.001</v>
      </c>
      <c r="I8974" s="6" t="n">
        <f aca="false">debt_mat_30</f>
        <v>0</v>
      </c>
      <c r="J8974" s="6" t="n">
        <f aca="false">debt_mat_31</f>
        <v>0.5</v>
      </c>
      <c r="K8974" s="6" t="n">
        <f aca="false">debt_mat_32</f>
        <v>0</v>
      </c>
    </row>
    <row r="8975" customFormat="false" ht="15" hidden="false" customHeight="false" outlineLevel="0" collapsed="false">
      <c r="A8975" s="1" t="s">
        <v>1123</v>
      </c>
      <c r="B8975" s="0" t="s">
        <v>98</v>
      </c>
      <c r="E8975" s="6" t="n">
        <f aca="false">Q!M40</f>
        <v>22.271</v>
      </c>
      <c r="F8975" s="6" t="n">
        <f aca="false">MAX(0,MIN(bb_target,Sens!E8977+Sens!F8973-Sens!F8974-min_cash))</f>
        <v>0</v>
      </c>
      <c r="G8975" s="6" t="n">
        <f aca="false">MAX(0,MIN(bb_target,Sens!F8977+Sens!G8973-Sens!G8974-min_cash))</f>
        <v>0</v>
      </c>
      <c r="H8975" s="6" t="n">
        <f aca="false">MAX(0,MIN(bb_target,Sens!G8977+Sens!H8973-Sens!H8974-min_cash))</f>
        <v>0</v>
      </c>
      <c r="I8975" s="6" t="n">
        <f aca="false">MAX(0,MIN(bb_target,Sens!H8977+Sens!I8973-Sens!I8974-min_cash))</f>
        <v>22.271</v>
      </c>
      <c r="J8975" s="6" t="n">
        <f aca="false">MAX(0,MIN(bb_target,Sens!I8977+Sens!J8973-Sens!J8974-min_cash))</f>
        <v>22.271</v>
      </c>
      <c r="K8975" s="6" t="n">
        <f aca="false">MAX(0,MIN(bb_target,Sens!J8977+Sens!K8973-Sens!K8974-min_cash))</f>
        <v>22.271</v>
      </c>
    </row>
    <row r="8976" customFormat="false" ht="15" hidden="false" customHeight="false" outlineLevel="0" collapsed="false">
      <c r="A8976" s="1" t="s">
        <v>1124</v>
      </c>
      <c r="B8976" s="0" t="s">
        <v>98</v>
      </c>
      <c r="F8976" s="6" t="n">
        <f aca="false">MAX(0,min_cash-(Sens!E8977+Sens!F8973-Sens!F8974-Sens!F8975))</f>
        <v>2.54047099487055</v>
      </c>
      <c r="G8976" s="6" t="n">
        <f aca="false">MAX(0,min_cash-(Sens!F8977+Sens!G8973-Sens!G8974-Sens!G8975))</f>
        <v>20.780312341025</v>
      </c>
      <c r="H8976" s="6" t="n">
        <f aca="false">MAX(0,min_cash-(Sens!G8977+Sens!H8973-Sens!H8974-Sens!H8975))</f>
        <v>0.614756354102518</v>
      </c>
      <c r="I8976" s="6" t="n">
        <f aca="false">MAX(0,min_cash-(Sens!H8977+Sens!I8973-Sens!I8974-Sens!I8975))</f>
        <v>0</v>
      </c>
      <c r="J8976" s="6" t="n">
        <f aca="false">MAX(0,min_cash-(Sens!I8977+Sens!J8973-Sens!J8974-Sens!J8975))</f>
        <v>0</v>
      </c>
      <c r="K8976" s="6" t="n">
        <f aca="false">MAX(0,min_cash-(Sens!J8977+Sens!K8973-Sens!K8974-Sens!K8975))</f>
        <v>0</v>
      </c>
    </row>
    <row r="8977" customFormat="false" ht="15" hidden="false" customHeight="false" outlineLevel="0" collapsed="false">
      <c r="A8977" s="1" t="s">
        <v>1125</v>
      </c>
      <c r="B8977" s="0" t="s">
        <v>98</v>
      </c>
      <c r="E8977" s="6" t="n">
        <f aca="false">cash_open</f>
        <v>76.843</v>
      </c>
      <c r="F8977" s="6" t="n">
        <f aca="false">Sens!E8977+Sens!F8973-Sens!F8974-Sens!F8975+Sens!F8976</f>
        <v>50</v>
      </c>
      <c r="G8977" s="6" t="n">
        <f aca="false">Sens!F8977+Sens!G8973-Sens!G8974-Sens!G8975+Sens!G8976</f>
        <v>50</v>
      </c>
      <c r="H8977" s="6" t="n">
        <f aca="false">Sens!G8977+Sens!H8973-Sens!H8974-Sens!H8975+Sens!H8976</f>
        <v>50</v>
      </c>
      <c r="I8977" s="6" t="n">
        <f aca="false">Sens!H8977+Sens!I8973-Sens!I8974-Sens!I8975+Sens!I8976</f>
        <v>87.2609120518009</v>
      </c>
      <c r="J8977" s="6" t="n">
        <f aca="false">Sens!I8977+Sens!J8973-Sens!J8974-Sens!J8975+Sens!J8976</f>
        <v>187.708525037766</v>
      </c>
      <c r="K8977" s="6" t="n">
        <f aca="false">Sens!J8977+Sens!K8973-Sens!K8974-Sens!K8975+Sens!K8976</f>
        <v>317.135739592225</v>
      </c>
    </row>
    <row r="8978" customFormat="false" ht="15" hidden="false" customHeight="false" outlineLevel="0" collapsed="false">
      <c r="A8978" s="1" t="s">
        <v>1126</v>
      </c>
      <c r="B8978" s="0" t="s">
        <v>98</v>
      </c>
      <c r="E8978" s="6" t="n">
        <f aca="false">debt_face</f>
        <v>46.136</v>
      </c>
      <c r="F8978" s="6" t="n">
        <f aca="false">Sens!E8978-Sens!F8974+Sens!F8976</f>
        <v>39.4264709948706</v>
      </c>
      <c r="G8978" s="6" t="n">
        <f aca="false">Sens!F8978-Sens!G8974+Sens!G8976</f>
        <v>60.2067833358956</v>
      </c>
      <c r="H8978" s="6" t="n">
        <f aca="false">Sens!G8978-Sens!H8974+Sens!H8976</f>
        <v>58.8205396899981</v>
      </c>
      <c r="I8978" s="6" t="n">
        <f aca="false">Sens!H8978-Sens!I8974+Sens!I8976</f>
        <v>58.8205396899981</v>
      </c>
      <c r="J8978" s="6" t="n">
        <f aca="false">Sens!I8978-Sens!J8974+Sens!J8976</f>
        <v>58.3205396899981</v>
      </c>
      <c r="K8978" s="6" t="n">
        <f aca="false">Sens!J8978-Sens!K8974+Sens!K8976</f>
        <v>58.3205396899981</v>
      </c>
    </row>
    <row r="8979" customFormat="false" ht="15" hidden="false" customHeight="false" outlineLevel="0" collapsed="false">
      <c r="A8979" s="1" t="s">
        <v>1127</v>
      </c>
      <c r="B8979" s="0" t="s">
        <v>98</v>
      </c>
      <c r="E8979" s="6" t="n">
        <f aca="false">Sens!E8977-Sens!E8978</f>
        <v>30.707</v>
      </c>
      <c r="F8979" s="6" t="n">
        <f aca="false">Sens!F8977-Sens!F8978</f>
        <v>10.5735290051295</v>
      </c>
      <c r="G8979" s="6" t="n">
        <f aca="false">Sens!G8977-Sens!G8978</f>
        <v>-10.2067833358956</v>
      </c>
      <c r="H8979" s="6" t="n">
        <f aca="false">Sens!H8977-Sens!H8978</f>
        <v>-8.8205396899981</v>
      </c>
      <c r="I8979" s="6" t="n">
        <f aca="false">Sens!I8977-Sens!I8978</f>
        <v>28.4403723618028</v>
      </c>
      <c r="J8979" s="6" t="n">
        <f aca="false">Sens!J8977-Sens!J8978</f>
        <v>129.387985347768</v>
      </c>
      <c r="K8979" s="6" t="n">
        <f aca="false">Sens!K8977-Sens!K8978</f>
        <v>258.815199902227</v>
      </c>
    </row>
    <row r="8980" customFormat="false" ht="15" hidden="false" customHeight="false" outlineLevel="0" collapsed="false">
      <c r="A8980" s="1" t="s">
        <v>1128</v>
      </c>
      <c r="B8980" s="0" t="s">
        <v>75</v>
      </c>
      <c r="F8980" s="30" t="n">
        <f aca="false">px*(1+bb_g)^(Sens!F8838-base_fy-mid_yr)</f>
        <v>551.84177959629</v>
      </c>
      <c r="G8980" s="30" t="n">
        <f aca="false">px*(1+bb_g)^(Sens!G8838-base_fy-mid_yr)</f>
        <v>595.989121963993</v>
      </c>
      <c r="H8980" s="30" t="n">
        <f aca="false">px*(1+bb_g)^(Sens!H8838-base_fy-mid_yr)</f>
        <v>643.668251721112</v>
      </c>
      <c r="I8980" s="30" t="n">
        <f aca="false">px*(1+bb_g)^(Sens!I8838-base_fy-mid_yr)</f>
        <v>695.161711858801</v>
      </c>
      <c r="J8980" s="30" t="n">
        <f aca="false">px*(1+bb_g)^(Sens!J8838-base_fy-mid_yr)</f>
        <v>750.774648807506</v>
      </c>
      <c r="K8980" s="30" t="n">
        <f aca="false">px*(1+bb_g)^(Sens!K8838-base_fy-mid_yr)</f>
        <v>810.836620712106</v>
      </c>
    </row>
    <row r="8981" customFormat="false" ht="15" hidden="false" customHeight="false" outlineLevel="0" collapsed="false">
      <c r="A8981" s="1" t="s">
        <v>1129</v>
      </c>
      <c r="B8981" s="1" t="s">
        <v>81</v>
      </c>
      <c r="E8981" s="15" t="n">
        <f aca="false">sh_out26</f>
        <v>7.427</v>
      </c>
      <c r="F8981" s="15" t="n">
        <f aca="false">Sens!E8981+sh_iss-Sens!F8975/Sens!F8980</f>
        <v>7.472</v>
      </c>
      <c r="G8981" s="15" t="n">
        <f aca="false">Sens!F8981+sh_iss-Sens!G8975/Sens!G8980</f>
        <v>7.517</v>
      </c>
      <c r="H8981" s="15" t="n">
        <f aca="false">Sens!G8981+sh_iss-Sens!H8975/Sens!H8980</f>
        <v>7.562</v>
      </c>
      <c r="I8981" s="15" t="n">
        <f aca="false">Sens!H8981+sh_iss-Sens!I8975/Sens!I8980</f>
        <v>7.57496285005334</v>
      </c>
      <c r="J8981" s="15" t="n">
        <f aca="false">Sens!I8981+sh_iss-Sens!J8975/Sens!J8980</f>
        <v>7.59029882232494</v>
      </c>
      <c r="K8981" s="15" t="n">
        <f aca="false">Sens!J8981+sh_iss-Sens!K8975/Sens!K8980</f>
        <v>7.60783212998384</v>
      </c>
    </row>
    <row r="8982" customFormat="false" ht="15" hidden="false" customHeight="false" outlineLevel="0" collapsed="false">
      <c r="A8982" s="1" t="s">
        <v>1130</v>
      </c>
      <c r="B8982" s="1" t="s">
        <v>81</v>
      </c>
      <c r="E8982" s="15" t="n">
        <f aca="false">sh_dil26</f>
        <v>7.453</v>
      </c>
      <c r="F8982" s="15" t="n">
        <f aca="false">(Sens!E8981+Sens!F8981)/2+dil_gap</f>
        <v>7.4735</v>
      </c>
      <c r="G8982" s="15" t="n">
        <f aca="false">(Sens!F8981+Sens!G8981)/2+dil_gap</f>
        <v>7.5185</v>
      </c>
      <c r="H8982" s="15" t="n">
        <f aca="false">(Sens!G8981+Sens!H8981)/2+dil_gap</f>
        <v>7.5635</v>
      </c>
      <c r="I8982" s="15" t="n">
        <f aca="false">(Sens!H8981+Sens!I8981)/2+dil_gap</f>
        <v>7.59248142502667</v>
      </c>
      <c r="J8982" s="15" t="n">
        <f aca="false">(Sens!I8981+Sens!J8981)/2+dil_gap</f>
        <v>7.60663083618914</v>
      </c>
      <c r="K8982" s="15" t="n">
        <f aca="false">(Sens!J8981+Sens!K8981)/2+dil_gap</f>
        <v>7.62306547615439</v>
      </c>
    </row>
    <row r="8983" customFormat="false" ht="17.15" hidden="false" customHeight="false" outlineLevel="0" collapsed="false">
      <c r="A8983" s="1" t="s">
        <v>1131</v>
      </c>
      <c r="B8983" s="0" t="s">
        <v>98</v>
      </c>
      <c r="C8983" s="6" t="n">
        <f aca="false">SUM(Sens!F8973:J8973)</f>
        <v>143.222985347768</v>
      </c>
    </row>
    <row r="8984" customFormat="false" ht="15" hidden="false" customHeight="false" outlineLevel="0" collapsed="false">
      <c r="A8984" s="26" t="s">
        <v>1096</v>
      </c>
      <c r="B8984" s="31" t="s">
        <v>98</v>
      </c>
      <c r="C8984" s="27" t="n">
        <f aca="false">Sens!$C$8983-(Sens!F8973+Sens!G8973+Sens!H8973+Sens!I8973+Sens!J8973)</f>
        <v>0</v>
      </c>
      <c r="D8984" s="31"/>
      <c r="E8984" s="31"/>
      <c r="F8984" s="31"/>
      <c r="G8984" s="31"/>
      <c r="H8984" s="31"/>
      <c r="I8984" s="31"/>
      <c r="J8984" s="31"/>
      <c r="K8984" s="31"/>
    </row>
    <row r="8985" customFormat="false" ht="17.15" hidden="false" customHeight="false" outlineLevel="0" collapsed="false">
      <c r="A8985" s="1" t="s">
        <v>1090</v>
      </c>
      <c r="B8985" s="1" t="s">
        <v>1132</v>
      </c>
      <c r="C8985" s="33" t="str">
        <f aca="false">IF(SUM(Sens!F8976:J8976)&gt;0.05,"需要舉債 "&amp;TEXT(SUM(Sens!F8976:J8976),"0.0")&amp;" 十億美元","不需舉債")&amp;"；"&amp;IF(SUM(Sens!F8975:J8975)&lt;COUNT(Sens!F8975:J8975)*bb_target-0.05,"回購較每年 "&amp;TEXT(bb_target,"0.0")&amp;" 的目標少 "&amp;TEXT(COUNT(Sens!F8975:J8975)*bb_target-SUM(Sens!F8975:J8975),"0.0")&amp;" 十億美元（"&amp;TEXT(COUNTIF(Sens!F8975:J8975,"&lt;"&amp;(bb_target-0.05)),"0")&amp;" 年減少）","回購不減")</f>
        <v>需要舉債 23.9 十億美元；回購較每年 22.3 的目標少 66.8 十億美元（3 年減少）</v>
      </c>
    </row>
    <row r="8986" customFormat="false" ht="17.15" hidden="false" customHeight="false" outlineLevel="0" collapsed="false">
      <c r="A8986" s="3" t="s">
        <v>1704</v>
      </c>
    </row>
    <row r="8987" customFormat="false" ht="15" hidden="false" customHeight="false" outlineLevel="0" collapsed="false">
      <c r="A8987" s="4" t="s">
        <v>43</v>
      </c>
      <c r="B8987" s="4" t="s">
        <v>65</v>
      </c>
      <c r="C8987" s="23" t="s">
        <v>938</v>
      </c>
      <c r="D8987" s="23" t="s">
        <v>939</v>
      </c>
      <c r="E8987" s="23" t="s">
        <v>940</v>
      </c>
      <c r="F8987" s="23" t="s">
        <v>941</v>
      </c>
      <c r="G8987" s="23" t="s">
        <v>942</v>
      </c>
      <c r="H8987" s="23" t="s">
        <v>943</v>
      </c>
      <c r="I8987" s="23" t="s">
        <v>944</v>
      </c>
      <c r="J8987" s="23" t="s">
        <v>945</v>
      </c>
      <c r="K8987" s="23" t="s">
        <v>946</v>
      </c>
      <c r="L8987" s="4" t="s">
        <v>47</v>
      </c>
    </row>
    <row r="8988" customFormat="false" ht="17.15" hidden="false" customHeight="false" outlineLevel="0" collapsed="false">
      <c r="A8988" s="1" t="s">
        <v>1212</v>
      </c>
      <c r="B8988" s="1" t="s">
        <v>279</v>
      </c>
      <c r="F8988" s="8" t="n">
        <f aca="false">(1-v_off)*mid_yr</f>
        <v>0.373972602739726</v>
      </c>
      <c r="G8988" s="8" t="n">
        <f aca="false">Sens!G8838-base_fy-mid_yr-v_off</f>
        <v>1.24794520547945</v>
      </c>
      <c r="H8988" s="8" t="n">
        <f aca="false">Sens!H8838-base_fy-mid_yr-v_off</f>
        <v>2.24794520547945</v>
      </c>
      <c r="I8988" s="8" t="n">
        <f aca="false">Sens!I8838-base_fy-mid_yr-v_off</f>
        <v>3.24794520547945</v>
      </c>
      <c r="J8988" s="8" t="n">
        <f aca="false">Sens!J8838-base_fy-mid_yr-v_off</f>
        <v>4.24794520547945</v>
      </c>
      <c r="K8988" s="8" t="n">
        <f aca="false">Sens!K8838-base_fy-mid_yr-v_off</f>
        <v>5.24794520547945</v>
      </c>
      <c r="L8988" s="12" t="s">
        <v>1213</v>
      </c>
    </row>
    <row r="8989" customFormat="false" ht="15" hidden="false" customHeight="false" outlineLevel="0" collapsed="false">
      <c r="A8989" s="1" t="s">
        <v>1214</v>
      </c>
      <c r="B8989" s="1" t="s">
        <v>279</v>
      </c>
      <c r="F8989" s="8" t="n">
        <f aca="false">Sens!F8838-base_fy-v_off</f>
        <v>0.747945205479452</v>
      </c>
      <c r="G8989" s="8" t="n">
        <f aca="false">Sens!G8838-base_fy-v_off</f>
        <v>1.74794520547945</v>
      </c>
      <c r="H8989" s="8" t="n">
        <f aca="false">Sens!H8838-base_fy-v_off</f>
        <v>2.74794520547945</v>
      </c>
      <c r="I8989" s="8" t="n">
        <f aca="false">Sens!I8838-base_fy-v_off</f>
        <v>3.74794520547945</v>
      </c>
      <c r="J8989" s="8" t="n">
        <f aca="false">Sens!J8838-base_fy-v_off</f>
        <v>4.74794520547945</v>
      </c>
      <c r="K8989" s="8" t="n">
        <f aca="false">Sens!K8838-base_fy-v_off</f>
        <v>5.74794520547945</v>
      </c>
    </row>
    <row r="8990" customFormat="false" ht="15" hidden="false" customHeight="false" outlineLevel="0" collapsed="false">
      <c r="A8990" s="1" t="s">
        <v>1215</v>
      </c>
      <c r="B8990" s="0" t="s">
        <v>229</v>
      </c>
      <c r="F8990" s="15" t="n">
        <f aca="false">1/(1+wacc)^Sens!F8988</f>
        <v>0.964022703286649</v>
      </c>
      <c r="G8990" s="15" t="n">
        <f aca="false">1/(1+wacc)^Sens!G8988</f>
        <v>0.884910302296739</v>
      </c>
      <c r="H8990" s="15" t="n">
        <f aca="false">1/(1+wacc)^Sens!H8988</f>
        <v>0.802322009770358</v>
      </c>
      <c r="I8990" s="15" t="n">
        <f aca="false">1/(1+wacc)^Sens!I8988</f>
        <v>0.727441646561469</v>
      </c>
      <c r="J8990" s="15" t="n">
        <f aca="false">1/(1+wacc)^Sens!J8988</f>
        <v>0.659549834988973</v>
      </c>
      <c r="K8990" s="15" t="n">
        <f aca="false">1/(1+wacc)^Sens!K8988</f>
        <v>0.597994336576966</v>
      </c>
    </row>
    <row r="8991" customFormat="false" ht="17.15" hidden="false" customHeight="false" outlineLevel="0" collapsed="false">
      <c r="A8991" s="1" t="s">
        <v>1216</v>
      </c>
      <c r="B8991" s="0" t="s">
        <v>98</v>
      </c>
      <c r="F8991" s="6" t="n">
        <f aca="false">Q!$I$35-Q!$I$39-Q!$I$43</f>
        <v>9.666</v>
      </c>
      <c r="L8991" s="12" t="s">
        <v>1217</v>
      </c>
    </row>
    <row r="8992" customFormat="false" ht="17.15" hidden="false" customHeight="false" outlineLevel="0" collapsed="false">
      <c r="A8992" s="1" t="s">
        <v>1218</v>
      </c>
      <c r="B8992" s="0" t="s">
        <v>98</v>
      </c>
      <c r="F8992" s="6" t="n">
        <f aca="false">Sens!F8963-Sens!F8960-Sens!F8967+Sens!F8945*(1-tax_f)*(1-v_off)-Sens!F8991</f>
        <v>-6.26377456924989</v>
      </c>
      <c r="G8992" s="6" t="n">
        <f aca="false">Sens!G8963-Sens!G8960-Sens!G8967+Sens!G8945*(1-tax_f)</f>
        <v>18.5772145372773</v>
      </c>
      <c r="H8992" s="6" t="n">
        <f aca="false">Sens!H8963-Sens!H8960-Sens!H8967+Sens!H8945*(1-tax_f)</f>
        <v>55.4348095830959</v>
      </c>
      <c r="I8992" s="6" t="n">
        <f aca="false">Sens!I8963-Sens!I8960-Sens!I8967+Sens!I8945*(1-tax_f)</f>
        <v>127.37373352107</v>
      </c>
      <c r="J8992" s="6" t="n">
        <f aca="false">Sens!J8963-Sens!J8960-Sens!J8967+Sens!J8945*(1-tax_f)</f>
        <v>201.405958519227</v>
      </c>
      <c r="K8992" s="6" t="n">
        <f aca="false">Sens!K8963-Sens!K8960-Sens!K8967+Sens!K8945*(1-tax_f)</f>
        <v>236.966978092793</v>
      </c>
      <c r="L8992" s="1" t="s">
        <v>1219</v>
      </c>
    </row>
    <row r="8993" customFormat="false" ht="15" hidden="false" customHeight="false" outlineLevel="0" collapsed="false">
      <c r="A8993" s="1" t="s">
        <v>1220</v>
      </c>
      <c r="B8993" s="0" t="s">
        <v>98</v>
      </c>
      <c r="F8993" s="6" t="n">
        <f aca="false">Sens!F8992*Sens!F8990</f>
        <v>-6.03842089302644</v>
      </c>
      <c r="G8993" s="6" t="n">
        <f aca="false">Sens!G8992*Sens!G8990</f>
        <v>16.4391685320135</v>
      </c>
      <c r="H8993" s="6" t="n">
        <f aca="false">Sens!H8992*Sens!H8990</f>
        <v>44.4765678359466</v>
      </c>
      <c r="I8993" s="6" t="n">
        <f aca="false">Sens!I8992*Sens!I8990</f>
        <v>92.656958441249</v>
      </c>
      <c r="J8993" s="6" t="n">
        <f aca="false">Sens!J8992*Sens!J8990</f>
        <v>132.837266707152</v>
      </c>
      <c r="K8993" s="6" t="n">
        <f aca="false">Sens!K8992*Sens!K8990</f>
        <v>141.704910855248</v>
      </c>
    </row>
    <row r="8994" customFormat="false" ht="17.15" hidden="false" customHeight="false" outlineLevel="0" collapsed="false">
      <c r="A8994" s="1" t="s">
        <v>1221</v>
      </c>
      <c r="B8994" s="0" t="s">
        <v>98</v>
      </c>
      <c r="C8994" s="6" t="n">
        <f aca="false">SUM(Sens!F8993:K8993)</f>
        <v>422.076451478583</v>
      </c>
    </row>
    <row r="8995" customFormat="false" ht="17.15" hidden="false" customHeight="false" outlineLevel="0" collapsed="false">
      <c r="A8995" s="1" t="s">
        <v>1222</v>
      </c>
      <c r="B8995" s="0" t="s">
        <v>98</v>
      </c>
      <c r="C8995" s="6" t="n">
        <f aca="false">Sens!K8931*(1+g_tv)*(1-tax_f)</f>
        <v>246.736937151398</v>
      </c>
    </row>
    <row r="8996" customFormat="false" ht="17.15" hidden="false" customHeight="false" outlineLevel="0" collapsed="false">
      <c r="A8996" s="1" t="s">
        <v>1223</v>
      </c>
      <c r="B8996" s="0" t="s">
        <v>98</v>
      </c>
      <c r="C8996" s="6" t="n">
        <f aca="false">Sens!$C$8995*(1-g_tv/(wacc+ronic_prem))</f>
        <v>174.827540827461</v>
      </c>
    </row>
    <row r="8997" customFormat="false" ht="17.15" hidden="false" customHeight="false" outlineLevel="0" collapsed="false">
      <c r="A8997" s="1" t="s">
        <v>1224</v>
      </c>
      <c r="B8997" s="0" t="s">
        <v>98</v>
      </c>
      <c r="C8997" s="6" t="n">
        <f aca="false">Sens!$C$8996/(wacc-g_tv)</f>
        <v>2396.97987746457</v>
      </c>
    </row>
    <row r="8998" customFormat="false" ht="15" hidden="false" customHeight="false" outlineLevel="0" collapsed="false">
      <c r="A8998" s="1" t="s">
        <v>1225</v>
      </c>
      <c r="B8998" s="0" t="s">
        <v>98</v>
      </c>
      <c r="C8998" s="6" t="n">
        <f aca="false">Sens!$C$8997/(1+wacc)^Sens!K8989</f>
        <v>1364.85396756615</v>
      </c>
    </row>
    <row r="8999" customFormat="false" ht="17.15" hidden="false" customHeight="false" outlineLevel="0" collapsed="false">
      <c r="A8999" s="0" t="s">
        <v>1226</v>
      </c>
      <c r="B8999" s="0" t="s">
        <v>98</v>
      </c>
      <c r="C8999" s="6" t="n">
        <f aca="false">Sens!$C$8994+Sens!$C$8998</f>
        <v>1786.93041904473</v>
      </c>
    </row>
    <row r="9000" customFormat="false" ht="15" hidden="false" customHeight="false" outlineLevel="0" collapsed="false">
      <c r="A9000" s="1" t="s">
        <v>1141</v>
      </c>
      <c r="B9000" s="0" t="s">
        <v>168</v>
      </c>
      <c r="C9000" s="7" t="n">
        <f aca="false">Sens!$C$8998/Sens!$C$8999</f>
        <v>0.763798048888653</v>
      </c>
    </row>
    <row r="9001" customFormat="false" ht="17.15" hidden="false" customHeight="false" outlineLevel="0" collapsed="false">
      <c r="A9001" s="1" t="s">
        <v>1227</v>
      </c>
      <c r="B9001" s="0" t="s">
        <v>98</v>
      </c>
      <c r="C9001" s="6" t="n">
        <f aca="false">Sens!$C$8999+cash_val-debt_val-fl_val+oai_v</f>
        <v>1902.78141904473</v>
      </c>
    </row>
    <row r="9002" customFormat="false" ht="17.15" hidden="false" customHeight="false" outlineLevel="0" collapsed="false">
      <c r="A9002" s="0" t="s">
        <v>1149</v>
      </c>
      <c r="B9002" s="0" t="s">
        <v>75</v>
      </c>
      <c r="C9002" s="5" t="n">
        <f aca="false">Sens!$C$9001/shd_val</f>
        <v>255.544106774742</v>
      </c>
    </row>
    <row r="9003" customFormat="false" ht="15" hidden="false" customHeight="false" outlineLevel="0" collapsed="false">
      <c r="A9003" s="1" t="s">
        <v>1228</v>
      </c>
      <c r="B9003" s="0" t="s">
        <v>75</v>
      </c>
      <c r="C9003" s="8" t="n">
        <f aca="false">div_rem27+Sens!G8971*roll_div_q/q_per_yr</f>
        <v>3.9795</v>
      </c>
    </row>
    <row r="9004" customFormat="false" ht="17.15" hidden="false" customHeight="false" outlineLevel="0" collapsed="false">
      <c r="A9004" s="0" t="s">
        <v>1229</v>
      </c>
      <c r="B9004" s="0" t="s">
        <v>75</v>
      </c>
      <c r="C9004" s="5" t="n">
        <f aca="false">Sens!$C$9002*(1+wacc)^t_roll-Sens!$C$9003</f>
        <v>280.072036786804</v>
      </c>
    </row>
    <row r="9005" customFormat="false" ht="17.15" hidden="false" customHeight="false" outlineLevel="0" collapsed="false">
      <c r="A9005" s="1" t="s">
        <v>1230</v>
      </c>
      <c r="B9005" s="0" t="s">
        <v>168</v>
      </c>
      <c r="F9005" s="7" t="n">
        <f aca="false">Sens!F8957/(Sens!F8902-Sens!F8857)</f>
        <v>0.0684046566784159</v>
      </c>
      <c r="G9005" s="7" t="n">
        <f aca="false">Sens!G8957/(Sens!G8902-Sens!G8857)</f>
        <v>0.0660362070964518</v>
      </c>
      <c r="H9005" s="7" t="n">
        <f aca="false">Sens!H8957/(Sens!H8902-Sens!H8857)</f>
        <v>0.0648630294814493</v>
      </c>
      <c r="I9005" s="7" t="n">
        <f aca="false">Sens!I8957/(Sens!I8902-Sens!I8857)</f>
        <v>0.0647575488119915</v>
      </c>
      <c r="J9005" s="7" t="n">
        <f aca="false">Sens!J8957/(Sens!J8902-Sens!J8857)</f>
        <v>0.0655011822784685</v>
      </c>
      <c r="K9005" s="7" t="n">
        <f aca="false">Sens!K8957/(Sens!K8902-Sens!K8857)</f>
        <v>0.0668418423286326</v>
      </c>
    </row>
    <row r="9006" customFormat="false" ht="17.15" hidden="false" customHeight="false" outlineLevel="0" collapsed="false">
      <c r="A9006" s="0" t="s">
        <v>1231</v>
      </c>
      <c r="B9006" s="0" t="s">
        <v>98</v>
      </c>
      <c r="F9006" s="6" t="n">
        <f aca="false">Sens!F8887*(al_m365+Sens!F9005+sbc_r)</f>
        <v>84.0185109344309</v>
      </c>
      <c r="G9006" s="6" t="n">
        <f aca="false">Sens!G8887*(al_m365+Sens!G9005+sbc_r)</f>
        <v>94.7806691124792</v>
      </c>
      <c r="H9006" s="6" t="n">
        <f aca="false">Sens!H8887*(al_m365+Sens!H9005+sbc_r)</f>
        <v>105.705205217649</v>
      </c>
      <c r="I9006" s="6" t="n">
        <f aca="false">Sens!I8887*(al_m365+Sens!I9005+sbc_r)</f>
        <v>116.014928996282</v>
      </c>
      <c r="J9006" s="6" t="n">
        <f aca="false">Sens!J8887*(al_m365+Sens!J9005+sbc_r)</f>
        <v>125.521180566755</v>
      </c>
      <c r="K9006" s="6" t="n">
        <f aca="false">Sens!K8887*(al_m365+Sens!K9005+sbc_r)</f>
        <v>134.633555954097</v>
      </c>
      <c r="L9006" s="12" t="s">
        <v>1232</v>
      </c>
    </row>
    <row r="9007" customFormat="false" ht="17.15" hidden="false" customHeight="false" outlineLevel="0" collapsed="false">
      <c r="A9007" s="0" t="s">
        <v>1233</v>
      </c>
      <c r="B9007" s="0" t="s">
        <v>98</v>
      </c>
      <c r="F9007" s="6" t="n">
        <f aca="false">Sens!F8888*(al_lic+Sens!F9005+sbc_r)</f>
        <v>32.8495163589478</v>
      </c>
      <c r="G9007" s="6" t="n">
        <f aca="false">Sens!G8888*(al_lic+Sens!G9005+sbc_r)</f>
        <v>34.1457427768468</v>
      </c>
      <c r="H9007" s="6" t="n">
        <f aca="false">Sens!H8888*(al_lic+Sens!H9005+sbc_r)</f>
        <v>35.3522144682986</v>
      </c>
      <c r="I9007" s="6" t="n">
        <f aca="false">Sens!I8888*(al_lic+Sens!I9005+sbc_r)</f>
        <v>36.4497069105385</v>
      </c>
      <c r="J9007" s="6" t="n">
        <f aca="false">Sens!J8888*(al_lic+Sens!J9005+sbc_r)</f>
        <v>37.4149339894144</v>
      </c>
      <c r="K9007" s="6" t="n">
        <f aca="false">Sens!K8888*(al_lic+Sens!K9005+sbc_r)</f>
        <v>38.2232219940317</v>
      </c>
    </row>
    <row r="9008" customFormat="false" ht="17.15" hidden="false" customHeight="false" outlineLevel="0" collapsed="false">
      <c r="A9008" s="0" t="s">
        <v>1234</v>
      </c>
      <c r="B9008" s="0" t="s">
        <v>98</v>
      </c>
      <c r="F9008" s="6" t="n">
        <f aca="false">Sens!F8890*(al_ind+Sens!F9005+sbc_r)</f>
        <v>9.05562103599839</v>
      </c>
      <c r="G9008" s="6" t="n">
        <f aca="false">Sens!G8890*(al_ind+Sens!G9005+sbc_r)</f>
        <v>9.84113922545004</v>
      </c>
      <c r="H9008" s="6" t="n">
        <f aca="false">Sens!H8890*(al_ind+Sens!H9005+sbc_r)</f>
        <v>10.6695747331439</v>
      </c>
      <c r="I9008" s="6" t="n">
        <f aca="false">Sens!I8890*(al_ind+Sens!I9005+sbc_r)</f>
        <v>11.5367801116463</v>
      </c>
      <c r="J9008" s="6" t="n">
        <f aca="false">Sens!J8890*(al_ind+Sens!J9005+sbc_r)</f>
        <v>12.4339990154907</v>
      </c>
      <c r="K9008" s="6" t="n">
        <f aca="false">Sens!K8890*(al_ind+Sens!K9005+sbc_r)</f>
        <v>13.3486513912461</v>
      </c>
    </row>
    <row r="9009" customFormat="false" ht="17.15" hidden="false" customHeight="false" outlineLevel="0" collapsed="false">
      <c r="A9009" s="0" t="s">
        <v>1235</v>
      </c>
      <c r="B9009" s="0" t="s">
        <v>98</v>
      </c>
      <c r="F9009" s="6" t="n">
        <f aca="false">Sens!F8892*(al_fro+Sens!F9005+sbc_r)</f>
        <v>3.55214823781862</v>
      </c>
      <c r="G9009" s="6" t="n">
        <f aca="false">Sens!G8892*(al_fro+Sens!G9005+sbc_r)</f>
        <v>3.76550829149002</v>
      </c>
      <c r="H9009" s="6" t="n">
        <f aca="false">Sens!H8892*(al_fro+Sens!H9005+sbc_r)</f>
        <v>4.0069260785681</v>
      </c>
      <c r="I9009" s="6" t="n">
        <f aca="false">Sens!I8892*(al_fro+Sens!I9005+sbc_r)</f>
        <v>4.27885303530722</v>
      </c>
      <c r="J9009" s="6" t="n">
        <f aca="false">Sens!J8892*(al_fro+Sens!J9005+sbc_r)</f>
        <v>4.58286161707526</v>
      </c>
      <c r="K9009" s="6" t="n">
        <f aca="false">Sens!K8892*(al_fro+Sens!K9005+sbc_r)</f>
        <v>4.91997964809604</v>
      </c>
    </row>
    <row r="9010" customFormat="false" ht="17.15" hidden="false" customHeight="false" outlineLevel="0" collapsed="false">
      <c r="A9010" s="0" t="s">
        <v>1236</v>
      </c>
      <c r="B9010" s="0" t="s">
        <v>98</v>
      </c>
      <c r="F9010" s="6" t="n">
        <f aca="false">Sens!F8895*(al_srch+Sens!F9005+sbc_r)</f>
        <v>11.1831675481319</v>
      </c>
      <c r="G9010" s="6" t="n">
        <f aca="false">Sens!G8895*(al_srch+Sens!G9005+sbc_r)</f>
        <v>12.2679075366792</v>
      </c>
      <c r="H9010" s="6" t="n">
        <f aca="false">Sens!H8895*(al_srch+Sens!H9005+sbc_r)</f>
        <v>13.3952533510118</v>
      </c>
      <c r="I9010" s="6" t="n">
        <f aca="false">Sens!I8895*(al_srch+Sens!I9005+sbc_r)</f>
        <v>14.5530589133212</v>
      </c>
      <c r="J9010" s="6" t="n">
        <f aca="false">Sens!J8895*(al_srch+Sens!J9005+sbc_r)</f>
        <v>15.722449371057</v>
      </c>
      <c r="K9010" s="6" t="n">
        <f aca="false">Sens!K8895*(al_srch+Sens!K9005+sbc_r)</f>
        <v>16.8790021142264</v>
      </c>
    </row>
    <row r="9011" customFormat="false" ht="17.15" hidden="false" customHeight="false" outlineLevel="0" collapsed="false">
      <c r="A9011" s="0" t="s">
        <v>1237</v>
      </c>
      <c r="B9011" s="0" t="s">
        <v>98</v>
      </c>
      <c r="F9011" s="6" t="n">
        <f aca="false">Sens!F8863-Sens!F8864+Sens!F8945</f>
        <v>37.7706325426469</v>
      </c>
      <c r="G9011" s="6" t="n">
        <f aca="false">Sens!G8863-Sens!G8864+Sens!G8945</f>
        <v>67.9239128786446</v>
      </c>
      <c r="H9011" s="6" t="n">
        <f aca="false">Sens!H8863-Sens!H8864+Sens!H8945</f>
        <v>94.9305514229284</v>
      </c>
      <c r="I9011" s="6" t="n">
        <f aca="false">Sens!I8863-Sens!I8864+Sens!I8945</f>
        <v>125.513849700652</v>
      </c>
      <c r="J9011" s="6" t="n">
        <f aca="false">Sens!J8863-Sens!J8864+Sens!J8945</f>
        <v>146.995975410172</v>
      </c>
      <c r="K9011" s="6" t="n">
        <f aca="false">Sens!K8863-Sens!K8864+Sens!K8945</f>
        <v>160.248157545521</v>
      </c>
    </row>
    <row r="9012" customFormat="false" ht="17.15" hidden="false" customHeight="false" outlineLevel="0" collapsed="false">
      <c r="A9012" s="0" t="s">
        <v>1238</v>
      </c>
      <c r="B9012" s="0" t="s">
        <v>98</v>
      </c>
      <c r="F9012" s="6" t="n">
        <f aca="false">Sens!F8924+Sens!F8945+Sens!F8875+Sens!F9005*(Sens!F8894-Sens!F8857)+sbc_r*Sens!F8894</f>
        <v>234.570297075746</v>
      </c>
      <c r="G9012" s="6" t="n">
        <f aca="false">Sens!G8924+Sens!G8945+Sens!G8875+Sens!G9005*(Sens!G8894-Sens!G8857)+sbc_r*Sens!G8894</f>
        <v>285.318158060932</v>
      </c>
      <c r="H9012" s="6" t="n">
        <f aca="false">Sens!H8924+Sens!H8945+Sens!H8875+Sens!H9005*(Sens!H8894-Sens!H8857)+sbc_r*Sens!H8894</f>
        <v>338.089303231481</v>
      </c>
      <c r="I9012" s="6" t="n">
        <f aca="false">Sens!I8924+Sens!I8945+Sens!I8875+Sens!I9005*(Sens!I8894-Sens!I8857)+sbc_r*Sens!I8894</f>
        <v>393.725535949383</v>
      </c>
      <c r="J9012" s="6" t="n">
        <f aca="false">Sens!J8924+Sens!J8945+Sens!J8875+Sens!J9005*(Sens!J8894-Sens!J8857)+sbc_r*Sens!J8894</f>
        <v>438.246094008662</v>
      </c>
      <c r="K9012" s="6" t="n">
        <f aca="false">Sens!K8924+Sens!K8945+Sens!K8875+Sens!K9005*(Sens!K8894-Sens!K8857)+sbc_r*Sens!K8894</f>
        <v>472.196983345888</v>
      </c>
    </row>
    <row r="9013" customFormat="false" ht="17.15" hidden="false" customHeight="false" outlineLevel="0" collapsed="false">
      <c r="A9013" s="0" t="s">
        <v>1239</v>
      </c>
      <c r="B9013" s="0" t="s">
        <v>98</v>
      </c>
      <c r="F9013" s="6" t="n">
        <f aca="false">Sens!F9012-Sens!F9006-Sens!F9007-Sens!F9008-Sens!F9009-Sens!F9011</f>
        <v>67.3238679659031</v>
      </c>
      <c r="G9013" s="6" t="n">
        <f aca="false">Sens!G9012-Sens!G9006-Sens!G9007-Sens!G9008-Sens!G9009-Sens!G9011</f>
        <v>74.8611857760209</v>
      </c>
      <c r="H9013" s="6" t="n">
        <f aca="false">Sens!H9012-Sens!H9006-Sens!H9007-Sens!H9008-Sens!H9009-Sens!H9011</f>
        <v>87.4248313108923</v>
      </c>
      <c r="I9013" s="6" t="n">
        <f aca="false">Sens!I9012-Sens!I9006-Sens!I9007-Sens!I9008-Sens!I9009-Sens!I9011</f>
        <v>99.9314171949567</v>
      </c>
      <c r="J9013" s="6" t="n">
        <f aca="false">Sens!J9012-Sens!J9006-Sens!J9007-Sens!J9008-Sens!J9009-Sens!J9011</f>
        <v>111.297143409756</v>
      </c>
      <c r="K9013" s="6" t="n">
        <f aca="false">Sens!K9012-Sens!K9006-Sens!K9007-Sens!K9008-Sens!K9009-Sens!K9011</f>
        <v>120.823416812896</v>
      </c>
    </row>
    <row r="9014" customFormat="false" ht="17.15" hidden="false" customHeight="false" outlineLevel="0" collapsed="false">
      <c r="A9014" s="0" t="s">
        <v>1240</v>
      </c>
      <c r="B9014" s="0" t="s">
        <v>98</v>
      </c>
      <c r="F9014" s="6" t="n">
        <f aca="false">Sens!F8926+Sens!F9005*Sens!F8901+sbc_r*Sens!F8901</f>
        <v>26.6198173184334</v>
      </c>
      <c r="G9014" s="6" t="n">
        <f aca="false">Sens!G8926+Sens!G9005*Sens!G8901+sbc_r*Sens!G8901</f>
        <v>26.4855299819501</v>
      </c>
      <c r="H9014" s="6" t="n">
        <f aca="false">Sens!H8926+Sens!H9005*Sens!H8901+sbc_r*Sens!H8901</f>
        <v>27.3793268174563</v>
      </c>
      <c r="I9014" s="6" t="n">
        <f aca="false">Sens!I8926+Sens!I9005*Sens!I8901+sbc_r*Sens!I8901</f>
        <v>28.4996690386973</v>
      </c>
      <c r="J9014" s="6" t="n">
        <f aca="false">Sens!J8926+Sens!J9005*Sens!J8901+sbc_r*Sens!J8901</f>
        <v>29.8149579084995</v>
      </c>
      <c r="K9014" s="6" t="n">
        <f aca="false">Sens!K8926+Sens!K9005*Sens!K8901+sbc_r*Sens!K8901</f>
        <v>31.2947561320255</v>
      </c>
    </row>
    <row r="9015" customFormat="false" ht="17.15" hidden="false" customHeight="false" outlineLevel="0" collapsed="false">
      <c r="A9015" s="0" t="s">
        <v>1241</v>
      </c>
      <c r="B9015" s="0" t="s">
        <v>98</v>
      </c>
      <c r="F9015" s="6" t="n">
        <f aca="false">(Sens!F9014-Sens!F9010)*Sens!F8897/(Sens!F8897+Sens!F8899)</f>
        <v>8.71839624451141</v>
      </c>
      <c r="G9015" s="6" t="n">
        <f aca="false">(Sens!G9014-Sens!G9010)*Sens!G8897/(Sens!G8897+Sens!G8899)</f>
        <v>7.89190296875322</v>
      </c>
      <c r="H9015" s="6" t="n">
        <f aca="false">(Sens!H9014-Sens!H9010)*Sens!H8897/(Sens!H8897+Sens!H8899)</f>
        <v>7.66114551811905</v>
      </c>
      <c r="I9015" s="6" t="n">
        <f aca="false">(Sens!I9014-Sens!I9010)*Sens!I8897/(Sens!I8897+Sens!I8899)</f>
        <v>7.5739304934126</v>
      </c>
      <c r="J9015" s="6" t="n">
        <f aca="false">(Sens!J9014-Sens!J9010)*Sens!J8897/(Sens!J8897+Sens!J8899)</f>
        <v>7.61977258010219</v>
      </c>
      <c r="K9015" s="6" t="n">
        <f aca="false">(Sens!K9014-Sens!K9010)*Sens!K8897/(Sens!K8897+Sens!K8899)</f>
        <v>7.79455033817973</v>
      </c>
    </row>
    <row r="9016" customFormat="false" ht="17.15" hidden="false" customHeight="false" outlineLevel="0" collapsed="false">
      <c r="A9016" s="0" t="s">
        <v>1242</v>
      </c>
      <c r="B9016" s="0" t="s">
        <v>98</v>
      </c>
      <c r="F9016" s="6" t="n">
        <f aca="false">Sens!F9014-Sens!F9010-Sens!F9015</f>
        <v>6.71825352579015</v>
      </c>
      <c r="G9016" s="6" t="n">
        <f aca="false">Sens!G9014-Sens!G9010-Sens!G9015</f>
        <v>6.32571947651773</v>
      </c>
      <c r="H9016" s="6" t="n">
        <f aca="false">Sens!H9014-Sens!H9010-Sens!H9015</f>
        <v>6.32292794832546</v>
      </c>
      <c r="I9016" s="6" t="n">
        <f aca="false">Sens!I9014-Sens!I9010-Sens!I9015</f>
        <v>6.37267963196348</v>
      </c>
      <c r="J9016" s="6" t="n">
        <f aca="false">Sens!J9014-Sens!J9010-Sens!J9015</f>
        <v>6.47273595734032</v>
      </c>
      <c r="K9016" s="6" t="n">
        <f aca="false">Sens!K9014-Sens!K9010-Sens!K9015</f>
        <v>6.62120367961933</v>
      </c>
    </row>
    <row r="9017" customFormat="false" ht="17.15" hidden="false" customHeight="false" outlineLevel="0" collapsed="false">
      <c r="A9017" s="0" t="s">
        <v>1243</v>
      </c>
      <c r="B9017" s="0" t="s">
        <v>98</v>
      </c>
      <c r="F9017" s="6" t="n">
        <f aca="false">Sens!F9011-tax_f*(Sens!F9011-Sens!F8875)-Sens!F8872</f>
        <v>-131.321535112332</v>
      </c>
      <c r="G9017" s="6" t="n">
        <f aca="false">Sens!G9011-tax_f*(Sens!G9011-Sens!G8875)-Sens!G8872</f>
        <v>-125.458447215673</v>
      </c>
      <c r="H9017" s="6" t="n">
        <f aca="false">Sens!H9011-tax_f*(Sens!H9011-Sens!H8875)-Sens!H8872</f>
        <v>-103.04154479388</v>
      </c>
      <c r="I9017" s="6" t="n">
        <f aca="false">Sens!I9011-tax_f*(Sens!I9011-Sens!I8875)-Sens!I8872</f>
        <v>-45.3575519221788</v>
      </c>
      <c r="J9017" s="6" t="n">
        <f aca="false">Sens!J9011-tax_f*(Sens!J9011-Sens!J8875)-Sens!J8872</f>
        <v>15.0699837421161</v>
      </c>
      <c r="K9017" s="6" t="n">
        <f aca="false">Sens!K9011-tax_f*(Sens!K9011-Sens!K8875)-Sens!K8872</f>
        <v>37.8382068818706</v>
      </c>
    </row>
    <row r="9018" customFormat="false" ht="17.15" hidden="false" customHeight="false" outlineLevel="0" collapsed="false">
      <c r="A9018" s="0" t="s">
        <v>1244</v>
      </c>
      <c r="B9018" s="0" t="s">
        <v>98</v>
      </c>
      <c r="G9018" s="6" t="n">
        <f aca="false">Sens!G9017/(1+wacc)^(Sens!G8988-Sens!F8989)</f>
        <v>-119.460584537743</v>
      </c>
      <c r="H9018" s="6" t="n">
        <f aca="false">Sens!H9017/(1+wacc)^(Sens!H8988-Sens!F8989)</f>
        <v>-88.9583140197841</v>
      </c>
      <c r="I9018" s="6" t="n">
        <f aca="false">Sens!I9017/(1+wacc)^(Sens!I8988-Sens!F8989)</f>
        <v>-35.5036696290406</v>
      </c>
      <c r="J9018" s="6" t="n">
        <f aca="false">Sens!J9017/(1+wacc)^(Sens!J8988-Sens!F8989)</f>
        <v>10.6951252760588</v>
      </c>
      <c r="K9018" s="6" t="n">
        <f aca="false">Sens!K9017/(1+wacc)^(Sens!K8988-Sens!F8989)</f>
        <v>24.3474282413244</v>
      </c>
      <c r="L9018" s="1" t="s">
        <v>1245</v>
      </c>
    </row>
    <row r="9019" customFormat="false" ht="17.15" hidden="false" customHeight="false" outlineLevel="0" collapsed="false">
      <c r="A9019" s="0" t="s">
        <v>1246</v>
      </c>
      <c r="B9019" s="0" t="s">
        <v>98</v>
      </c>
      <c r="C9019" s="6" t="n">
        <f aca="false">(Sens!K9011-Sens!K8875)*(1-tax_f)*(1+g_tv)*(1-g_tv/(wacc+ronic_prem))/(wacc-g_tv)/(1+wacc)^(Sens!K8989-Sens!F8989)</f>
        <v>84.5333907256514</v>
      </c>
    </row>
    <row r="9020" customFormat="false" ht="17.15" hidden="false" customHeight="false" outlineLevel="0" collapsed="false">
      <c r="A9020" s="1" t="s">
        <v>1247</v>
      </c>
      <c r="B9020" s="0" t="s">
        <v>98</v>
      </c>
      <c r="C9020" s="6" t="n">
        <f aca="false">(SUM(Sens!G9018:K9018)+Sens!$C$9019)*(1+wacc)^(t_roll-Sens!F8989)</f>
        <v>-128.451682052012</v>
      </c>
      <c r="L9020" s="12" t="s">
        <v>1248</v>
      </c>
    </row>
    <row r="9021" customFormat="false" ht="17.15" hidden="false" customHeight="false" outlineLevel="0" collapsed="false">
      <c r="A9021" s="1" t="s">
        <v>1249</v>
      </c>
      <c r="B9021" s="0" t="s">
        <v>98</v>
      </c>
      <c r="C9021" s="6" t="n">
        <f aca="false">(w_ntm28*Sens!G8863+(1-w_ntm28)*Sens!H8863)*m_ai</f>
        <v>344.355829012336</v>
      </c>
    </row>
    <row r="9022" customFormat="false" ht="17.15" hidden="false" customHeight="false" outlineLevel="0" collapsed="false">
      <c r="A9022" s="1" t="s">
        <v>1250</v>
      </c>
      <c r="B9022" s="0" t="s">
        <v>98</v>
      </c>
      <c r="C9022" s="6" t="n">
        <f aca="false">(w_ntm28*Sens!G9013+(1-w_ntm28)*Sens!H9013)*m_cloud</f>
        <v>1091.6652853836</v>
      </c>
    </row>
    <row r="9023" customFormat="false" ht="17.15" hidden="false" customHeight="false" outlineLevel="0" collapsed="false">
      <c r="A9023" s="1" t="s">
        <v>1251</v>
      </c>
      <c r="B9023" s="0" t="s">
        <v>98</v>
      </c>
      <c r="C9023" s="6" t="n">
        <f aca="false">(w_ntm28*Sens!G9006+(1-w_ntm28)*Sens!H9006)*m_sw</f>
        <v>1062.42081214711</v>
      </c>
    </row>
    <row r="9024" customFormat="false" ht="17.15" hidden="false" customHeight="false" outlineLevel="0" collapsed="false">
      <c r="A9024" s="1" t="s">
        <v>1252</v>
      </c>
      <c r="B9024" s="0" t="s">
        <v>98</v>
      </c>
      <c r="C9024" s="6" t="n">
        <f aca="false">(w_ntm28*Sens!G9007+(1-w_ntm28)*Sens!H9007)*m_sw</f>
        <v>373.057822845073</v>
      </c>
    </row>
    <row r="9025" customFormat="false" ht="17.15" hidden="false" customHeight="false" outlineLevel="0" collapsed="false">
      <c r="A9025" s="1" t="s">
        <v>1253</v>
      </c>
      <c r="B9025" s="0" t="s">
        <v>98</v>
      </c>
      <c r="C9025" s="6" t="n">
        <f aca="false">(w_ntm28*Sens!G9008+(1-w_ntm28)*Sens!H9008)*m_sw</f>
        <v>109.225817108754</v>
      </c>
    </row>
    <row r="9026" customFormat="false" ht="17.15" hidden="false" customHeight="false" outlineLevel="0" collapsed="false">
      <c r="A9026" s="1" t="s">
        <v>1254</v>
      </c>
      <c r="B9026" s="0" t="s">
        <v>98</v>
      </c>
      <c r="C9026" s="6" t="n">
        <f aca="false">(w_ntm28*Sens!G9009+(1-w_ntm28)*Sens!H9009)*m_sw</f>
        <v>41.5246880468681</v>
      </c>
    </row>
    <row r="9027" customFormat="false" ht="17.15" hidden="false" customHeight="false" outlineLevel="0" collapsed="false">
      <c r="A9027" s="1" t="s">
        <v>1255</v>
      </c>
      <c r="B9027" s="0" t="s">
        <v>98</v>
      </c>
      <c r="C9027" s="6" t="n">
        <f aca="false">(w_ntm28*Sens!G9010+(1-w_ntm28)*Sens!H9010)*m_ads</f>
        <v>115.13711558854</v>
      </c>
    </row>
    <row r="9028" customFormat="false" ht="17.15" hidden="false" customHeight="false" outlineLevel="0" collapsed="false">
      <c r="A9028" s="1" t="s">
        <v>1256</v>
      </c>
      <c r="B9028" s="0" t="s">
        <v>98</v>
      </c>
      <c r="C9028" s="6" t="n">
        <f aca="false">(w_ntm28*Sens!G9015+(1-w_ntm28)*Sens!H9015)*m_game</f>
        <v>98.7165536948569</v>
      </c>
    </row>
    <row r="9029" customFormat="false" ht="17.15" hidden="false" customHeight="false" outlineLevel="0" collapsed="false">
      <c r="A9029" s="1" t="s">
        <v>1257</v>
      </c>
      <c r="B9029" s="0" t="s">
        <v>98</v>
      </c>
      <c r="C9029" s="6" t="n">
        <f aca="false">(w_ntm28*Sens!G9016+(1-w_ntm28)*Sens!H9016)*m_pc</f>
        <v>91.5198807990388</v>
      </c>
    </row>
    <row r="9030" customFormat="false" ht="17.15" hidden="false" customHeight="false" outlineLevel="0" collapsed="false">
      <c r="A9030" s="1" t="s">
        <v>1258</v>
      </c>
      <c r="B9030" s="0" t="s">
        <v>98</v>
      </c>
      <c r="C9030" s="6" t="n">
        <f aca="false">Sens!$C$9020+Sens!$C$9022+Sens!$C$9023+Sens!$C$9024+Sens!$C$9025+Sens!$C$9026+Sens!$C$9027+Sens!$C$9028+Sens!$C$9029</f>
        <v>2854.81629356182</v>
      </c>
    </row>
    <row r="9031" customFormat="false" ht="17.15" hidden="false" customHeight="false" outlineLevel="0" collapsed="false">
      <c r="A9031" s="1" t="s">
        <v>1259</v>
      </c>
      <c r="B9031" s="0" t="s">
        <v>98</v>
      </c>
      <c r="C9031" s="6" t="n">
        <f aca="false">(Sens!G8992-Sens!G9017)*t_stub</f>
        <v>47.7488084167314</v>
      </c>
      <c r="L9031" s="1" t="s">
        <v>1260</v>
      </c>
    </row>
    <row r="9032" customFormat="false" ht="17.15" hidden="false" customHeight="false" outlineLevel="0" collapsed="false">
      <c r="A9032" s="1" t="s">
        <v>1169</v>
      </c>
      <c r="B9032" s="0" t="s">
        <v>98</v>
      </c>
      <c r="C9032" s="6" t="n">
        <f aca="false">Sens!F8979+oai_v-Sens!F8968+Sens!$C$9031</f>
        <v>159.436607421861</v>
      </c>
      <c r="L9032" s="1" t="s">
        <v>1261</v>
      </c>
    </row>
    <row r="9033" customFormat="false" ht="17.15" hidden="false" customHeight="false" outlineLevel="0" collapsed="false">
      <c r="A9033" s="1" t="s">
        <v>1262</v>
      </c>
      <c r="B9033" s="0" t="s">
        <v>75</v>
      </c>
      <c r="C9033" s="5" t="n">
        <f aca="false">(Sens!$C$9030+Sens!$C$9032)/(Sens!F8981+dil_gap)-Sens!G8971*roll_div_q/q_per_yr</f>
        <v>401.075348050118</v>
      </c>
      <c r="L9033" s="1" t="s">
        <v>1263</v>
      </c>
    </row>
    <row r="9034" customFormat="false" ht="17.15" hidden="false" customHeight="false" outlineLevel="0" collapsed="false">
      <c r="A9034" s="1" t="s">
        <v>1264</v>
      </c>
      <c r="B9034" s="0" t="s">
        <v>75</v>
      </c>
      <c r="C9034" s="5" t="n">
        <f aca="false">w_dcf*Sens!$C$9004+(1-w_dcf)*Sens!$C$9033</f>
        <v>340.573692418461</v>
      </c>
    </row>
    <row r="9035" customFormat="false" ht="17.15" hidden="false" customHeight="false" outlineLevel="0" collapsed="false">
      <c r="A9035" s="3" t="s">
        <v>1705</v>
      </c>
    </row>
    <row r="9036" customFormat="false" ht="15" hidden="false" customHeight="false" outlineLevel="0" collapsed="false">
      <c r="A9036" s="4" t="s">
        <v>43</v>
      </c>
      <c r="B9036" s="4" t="s">
        <v>65</v>
      </c>
      <c r="C9036" s="23" t="s">
        <v>938</v>
      </c>
      <c r="D9036" s="23" t="s">
        <v>939</v>
      </c>
      <c r="E9036" s="23" t="s">
        <v>940</v>
      </c>
      <c r="F9036" s="23" t="s">
        <v>941</v>
      </c>
      <c r="G9036" s="23" t="s">
        <v>942</v>
      </c>
      <c r="H9036" s="23" t="s">
        <v>943</v>
      </c>
      <c r="I9036" s="23" t="s">
        <v>944</v>
      </c>
      <c r="J9036" s="23" t="s">
        <v>945</v>
      </c>
      <c r="K9036" s="23" t="s">
        <v>946</v>
      </c>
      <c r="L9036" s="4" t="s">
        <v>47</v>
      </c>
    </row>
    <row r="9037" customFormat="false" ht="17.15" hidden="false" customHeight="false" outlineLevel="0" collapsed="false">
      <c r="A9037" s="1" t="s">
        <v>947</v>
      </c>
      <c r="B9037" s="1" t="s">
        <v>279</v>
      </c>
      <c r="C9037" s="21" t="n">
        <v>2024</v>
      </c>
      <c r="D9037" s="21" t="n">
        <v>2025</v>
      </c>
      <c r="E9037" s="21" t="n">
        <v>2026</v>
      </c>
      <c r="F9037" s="21" t="n">
        <v>2027</v>
      </c>
      <c r="G9037" s="21" t="n">
        <v>2028</v>
      </c>
      <c r="H9037" s="21" t="n">
        <v>2029</v>
      </c>
      <c r="I9037" s="21" t="n">
        <v>2030</v>
      </c>
      <c r="J9037" s="21" t="n">
        <v>2031</v>
      </c>
      <c r="K9037" s="21" t="n">
        <v>2032</v>
      </c>
    </row>
    <row r="9038" customFormat="false" ht="17.15" hidden="false" customHeight="false" outlineLevel="0" collapsed="false">
      <c r="A9038" s="1" t="s">
        <v>948</v>
      </c>
      <c r="B9038" s="0" t="s">
        <v>456</v>
      </c>
      <c r="F9038" s="30" t="n">
        <f aca="false">pace</f>
        <v>2726.5351</v>
      </c>
      <c r="G9038" s="30" t="n">
        <f aca="false">pace</f>
        <v>2726.5351</v>
      </c>
      <c r="H9038" s="30" t="n">
        <f aca="false">pace</f>
        <v>2726.5351</v>
      </c>
      <c r="I9038" s="30" t="n">
        <f aca="false">pace+(g_tv*Sens!H9039-pace)*MIN(1,(Sens!I9037-pace_y0)/(pace_y1-pace_y0))</f>
        <v>1931.98611966667</v>
      </c>
      <c r="J9038" s="30" t="n">
        <f aca="false">pace+(g_tv*Sens!I9039-pace)*MIN(1,(Sens!J9037-pace_y0)/(pace_y1-pace_y0))</f>
        <v>1176.07686172667</v>
      </c>
      <c r="K9038" s="30" t="n">
        <f aca="false">pace+(g_tv*Sens!J9039-pace)*MIN(1,(Sens!K9037-pace_y0)/(pace_y1-pace_y0))</f>
        <v>436.1300484418</v>
      </c>
      <c r="L9038" s="12" t="s">
        <v>949</v>
      </c>
    </row>
    <row r="9039" customFormat="false" ht="17.15" hidden="false" customHeight="false" outlineLevel="0" collapsed="false">
      <c r="A9039" s="1" t="s">
        <v>950</v>
      </c>
      <c r="B9039" s="0" t="s">
        <v>456</v>
      </c>
      <c r="C9039" s="30" t="n">
        <f aca="false">mw_ext_24</f>
        <v>640</v>
      </c>
      <c r="D9039" s="30" t="n">
        <f aca="false">mw_ext_25</f>
        <v>1630</v>
      </c>
      <c r="E9039" s="30" t="n">
        <f aca="false">mw_ext_26</f>
        <v>3250</v>
      </c>
      <c r="F9039" s="30" t="n">
        <f aca="false">Sens!E9039+Sens!F9038</f>
        <v>5976.5351</v>
      </c>
      <c r="G9039" s="30" t="n">
        <f aca="false">Sens!F9039+Sens!G9038</f>
        <v>8703.0702</v>
      </c>
      <c r="H9039" s="30" t="n">
        <f aca="false">Sens!G9039+Sens!H9038</f>
        <v>11429.6053</v>
      </c>
      <c r="I9039" s="30" t="n">
        <f aca="false">Sens!H9039+Sens!I9038</f>
        <v>13361.5914196667</v>
      </c>
      <c r="J9039" s="30" t="n">
        <f aca="false">Sens!I9039+Sens!J9038</f>
        <v>14537.6682813933</v>
      </c>
      <c r="K9039" s="30" t="n">
        <f aca="false">Sens!J9039+Sens!K9038</f>
        <v>14973.7983298351</v>
      </c>
      <c r="L9039" s="1" t="s">
        <v>951</v>
      </c>
    </row>
    <row r="9040" customFormat="false" ht="17.15" hidden="false" customHeight="false" outlineLevel="0" collapsed="false">
      <c r="A9040" s="1" t="s">
        <v>952</v>
      </c>
      <c r="B9040" s="0" t="s">
        <v>456</v>
      </c>
      <c r="C9040" s="30" t="n">
        <f aca="false">rent_ext_24</f>
        <v>150</v>
      </c>
      <c r="D9040" s="30" t="n">
        <f aca="false">rent_ext_25</f>
        <v>400</v>
      </c>
      <c r="E9040" s="30" t="n">
        <f aca="false">rent_ext_26</f>
        <v>550</v>
      </c>
      <c r="F9040" s="30" t="n">
        <f aca="false">rent_ext_f</f>
        <v>756</v>
      </c>
      <c r="G9040" s="30" t="n">
        <f aca="false">rent_ext_f</f>
        <v>756</v>
      </c>
      <c r="H9040" s="30" t="n">
        <f aca="false">rent_ext_f</f>
        <v>756</v>
      </c>
      <c r="I9040" s="30" t="n">
        <f aca="false">rent_ext_f</f>
        <v>756</v>
      </c>
      <c r="J9040" s="30" t="n">
        <f aca="false">rent_ext_f</f>
        <v>756</v>
      </c>
      <c r="K9040" s="30" t="n">
        <f aca="false">rent_ext_f</f>
        <v>756</v>
      </c>
      <c r="L9040" s="1" t="s">
        <v>953</v>
      </c>
    </row>
    <row r="9041" customFormat="false" ht="17.15" hidden="false" customHeight="false" outlineLevel="0" collapsed="false">
      <c r="A9041" s="1" t="s">
        <v>954</v>
      </c>
      <c r="B9041" s="0" t="s">
        <v>456</v>
      </c>
      <c r="C9041" s="30" t="n">
        <f aca="false">Sens!C9039-Sens!C9040</f>
        <v>490</v>
      </c>
      <c r="D9041" s="30" t="n">
        <f aca="false">Sens!D9039-Sens!D9040</f>
        <v>1230</v>
      </c>
      <c r="E9041" s="30" t="n">
        <f aca="false">Sens!E9039-Sens!E9040</f>
        <v>2700</v>
      </c>
      <c r="F9041" s="30" t="n">
        <f aca="false">Sens!F9039-Sens!F9040</f>
        <v>5220.5351</v>
      </c>
      <c r="G9041" s="30" t="n">
        <f aca="false">Sens!G9039-Sens!G9040</f>
        <v>7947.0702</v>
      </c>
      <c r="H9041" s="30" t="n">
        <f aca="false">Sens!H9039-Sens!H9040</f>
        <v>10673.6053</v>
      </c>
      <c r="I9041" s="30" t="n">
        <f aca="false">Sens!I9039-Sens!I9040</f>
        <v>12605.5914196667</v>
      </c>
      <c r="J9041" s="30" t="n">
        <f aca="false">Sens!J9039-Sens!J9040</f>
        <v>13781.6682813933</v>
      </c>
      <c r="K9041" s="30" t="n">
        <f aca="false">Sens!K9039-Sens!K9040</f>
        <v>14217.7983298351</v>
      </c>
    </row>
    <row r="9042" customFormat="false" ht="17.15" hidden="false" customHeight="false" outlineLevel="0" collapsed="false">
      <c r="A9042" s="1" t="s">
        <v>955</v>
      </c>
      <c r="B9042" s="0" t="s">
        <v>456</v>
      </c>
      <c r="C9042" s="30" t="n">
        <f aca="false">Sens!C9041/ext_sh</f>
        <v>816.666666666667</v>
      </c>
      <c r="D9042" s="30" t="n">
        <f aca="false">Sens!D9041/ext_sh</f>
        <v>2050</v>
      </c>
      <c r="E9042" s="30" t="n">
        <f aca="false">Sens!E9041/ext_sh</f>
        <v>4500</v>
      </c>
      <c r="F9042" s="30" t="n">
        <f aca="false">Sens!F9041/ext_sh</f>
        <v>8700.89183333333</v>
      </c>
      <c r="G9042" s="30" t="n">
        <f aca="false">Sens!G9041/ext_sh</f>
        <v>13245.117</v>
      </c>
      <c r="H9042" s="30" t="n">
        <f aca="false">Sens!H9041/ext_sh</f>
        <v>17789.3421666667</v>
      </c>
      <c r="I9042" s="30" t="n">
        <f aca="false">Sens!I9041/ext_sh</f>
        <v>21009.3190327778</v>
      </c>
      <c r="J9042" s="30" t="n">
        <f aca="false">Sens!J9041/ext_sh</f>
        <v>22969.4471356556</v>
      </c>
      <c r="K9042" s="30" t="n">
        <f aca="false">Sens!K9041/ext_sh</f>
        <v>23696.3305497252</v>
      </c>
      <c r="L9042" s="1" t="s">
        <v>956</v>
      </c>
    </row>
    <row r="9043" customFormat="false" ht="17.15" hidden="false" customHeight="false" outlineLevel="0" collapsed="false">
      <c r="A9043" s="1" t="s">
        <v>957</v>
      </c>
      <c r="B9043" s="0" t="s">
        <v>456</v>
      </c>
      <c r="C9043" s="30" t="n">
        <f aca="false">Sens!C9042-Sens!C9041</f>
        <v>326.666666666667</v>
      </c>
      <c r="D9043" s="30" t="n">
        <f aca="false">Sens!D9042-Sens!D9041</f>
        <v>820</v>
      </c>
      <c r="E9043" s="30" t="n">
        <f aca="false">Sens!E9042-Sens!E9041</f>
        <v>1800</v>
      </c>
      <c r="F9043" s="30" t="n">
        <f aca="false">Sens!F9042-Sens!F9041</f>
        <v>3480.35673333333</v>
      </c>
      <c r="G9043" s="30" t="n">
        <f aca="false">Sens!G9042-Sens!G9041</f>
        <v>5298.0468</v>
      </c>
      <c r="H9043" s="30" t="n">
        <f aca="false">Sens!H9042-Sens!H9041</f>
        <v>7115.73686666667</v>
      </c>
      <c r="I9043" s="30" t="n">
        <f aca="false">Sens!I9042-Sens!I9041</f>
        <v>8403.72761311111</v>
      </c>
      <c r="J9043" s="30" t="n">
        <f aca="false">Sens!J9042-Sens!J9041</f>
        <v>9187.77885426222</v>
      </c>
      <c r="K9043" s="30" t="n">
        <f aca="false">Sens!K9042-Sens!K9041</f>
        <v>9478.53221989009</v>
      </c>
    </row>
    <row r="9044" customFormat="false" ht="17.15" hidden="false" customHeight="false" outlineLevel="0" collapsed="false">
      <c r="A9044" s="1" t="s">
        <v>958</v>
      </c>
      <c r="B9044" s="0" t="s">
        <v>456</v>
      </c>
      <c r="C9044" s="30" t="n">
        <f aca="false">Sens!C9042</f>
        <v>816.666666666667</v>
      </c>
      <c r="D9044" s="30" t="n">
        <f aca="false">Sens!D9042-Sens!C9042</f>
        <v>1233.33333333333</v>
      </c>
      <c r="E9044" s="30" t="n">
        <f aca="false">Sens!E9042-Sens!D9042</f>
        <v>2450</v>
      </c>
      <c r="F9044" s="30" t="n">
        <f aca="false">Sens!F9042-Sens!E9042</f>
        <v>4200.89183333333</v>
      </c>
      <c r="G9044" s="30" t="n">
        <f aca="false">Sens!G9042-Sens!F9042</f>
        <v>4544.22516666667</v>
      </c>
      <c r="H9044" s="30" t="n">
        <f aca="false">Sens!H9042-Sens!G9042</f>
        <v>4544.22516666667</v>
      </c>
      <c r="I9044" s="30" t="n">
        <f aca="false">Sens!I9042-Sens!H9042</f>
        <v>3219.97686611111</v>
      </c>
      <c r="J9044" s="30" t="n">
        <f aca="false">Sens!J9042-Sens!I9042</f>
        <v>1960.12810287778</v>
      </c>
      <c r="K9044" s="30" t="n">
        <f aca="false">Sens!K9042-Sens!J9042</f>
        <v>726.883414069667</v>
      </c>
    </row>
    <row r="9045" customFormat="false" ht="17.15" hidden="false" customHeight="false" outlineLevel="0" collapsed="false">
      <c r="A9045" s="1" t="s">
        <v>959</v>
      </c>
      <c r="B9045" s="0" t="s">
        <v>456</v>
      </c>
      <c r="D9045" s="30" t="n">
        <f aca="false">Sens!D9039-Sens!C9039</f>
        <v>990</v>
      </c>
      <c r="E9045" s="30" t="n">
        <f aca="false">Sens!E9039-Sens!D9039</f>
        <v>1620</v>
      </c>
      <c r="F9045" s="30" t="n">
        <f aca="false">Sens!F9039-Sens!E9039</f>
        <v>2726.5351</v>
      </c>
      <c r="G9045" s="30" t="n">
        <f aca="false">Sens!G9039-Sens!F9039</f>
        <v>2726.5351</v>
      </c>
      <c r="H9045" s="30" t="n">
        <f aca="false">Sens!H9039-Sens!G9039</f>
        <v>2726.5351</v>
      </c>
      <c r="I9045" s="30" t="n">
        <f aca="false">Sens!I9039-Sens!H9039</f>
        <v>1931.98611966667</v>
      </c>
      <c r="J9045" s="30" t="n">
        <f aca="false">Sens!J9039-Sens!I9039</f>
        <v>1176.07686172667</v>
      </c>
      <c r="K9045" s="30" t="n">
        <f aca="false">Sens!K9039-Sens!J9039</f>
        <v>436.130048441799</v>
      </c>
    </row>
    <row r="9046" customFormat="false" ht="17.15" hidden="false" customHeight="false" outlineLevel="0" collapsed="false">
      <c r="A9046" s="1" t="s">
        <v>960</v>
      </c>
      <c r="B9046" s="0" t="s">
        <v>456</v>
      </c>
      <c r="F9046" s="30" t="n">
        <f aca="false">Sens!F9065*ext_sh</f>
        <v>0</v>
      </c>
      <c r="G9046" s="30" t="n">
        <f aca="false">Sens!G9065*ext_sh</f>
        <v>0</v>
      </c>
      <c r="H9046" s="30" t="n">
        <f aca="false">Sens!H9065*ext_sh</f>
        <v>0</v>
      </c>
      <c r="I9046" s="30" t="n">
        <f aca="false">Sens!I9065*ext_sh</f>
        <v>490</v>
      </c>
      <c r="J9046" s="30" t="n">
        <f aca="false">Sens!J9065*ext_sh</f>
        <v>740</v>
      </c>
      <c r="K9046" s="30" t="n">
        <f aca="false">Sens!K9065*ext_sh</f>
        <v>1470</v>
      </c>
      <c r="L9046" s="1" t="s">
        <v>961</v>
      </c>
    </row>
    <row r="9047" customFormat="false" ht="17.15" hidden="false" customHeight="false" outlineLevel="0" collapsed="false">
      <c r="A9047" s="1" t="s">
        <v>962</v>
      </c>
      <c r="B9047" s="0" t="s">
        <v>456</v>
      </c>
      <c r="C9047" s="30" t="n">
        <f aca="false">mix_h*Sens!C9039</f>
        <v>128</v>
      </c>
      <c r="D9047" s="30" t="n">
        <f aca="false">mix_h*Sens!D9039</f>
        <v>326</v>
      </c>
      <c r="E9047" s="30" t="n">
        <f aca="false">mix_h*Sens!E9039</f>
        <v>650</v>
      </c>
      <c r="F9047" s="30" t="n">
        <f aca="false">Sens!E9047-Sens!F9046*mix_h</f>
        <v>650</v>
      </c>
      <c r="G9047" s="30" t="n">
        <f aca="false">Sens!F9047-Sens!G9046*mix_h</f>
        <v>650</v>
      </c>
      <c r="H9047" s="30" t="n">
        <f aca="false">Sens!G9047-Sens!H9046*mix_h</f>
        <v>650</v>
      </c>
      <c r="I9047" s="30" t="n">
        <f aca="false">Sens!H9047-Sens!I9046*mix_h</f>
        <v>552</v>
      </c>
      <c r="J9047" s="30" t="n">
        <f aca="false">Sens!I9047-Sens!J9046*mix_h</f>
        <v>404</v>
      </c>
      <c r="K9047" s="30" t="n">
        <f aca="false">Sens!J9047-Sens!K9046*mix_h</f>
        <v>110</v>
      </c>
    </row>
    <row r="9048" customFormat="false" ht="17.15" hidden="false" customHeight="false" outlineLevel="0" collapsed="false">
      <c r="A9048" s="1" t="s">
        <v>963</v>
      </c>
      <c r="B9048" s="0" t="s">
        <v>456</v>
      </c>
      <c r="C9048" s="30" t="n">
        <f aca="false">mix_g2*Sens!C9039</f>
        <v>288</v>
      </c>
      <c r="D9048" s="30" t="n">
        <f aca="false">mix_g2*Sens!D9039</f>
        <v>733.5</v>
      </c>
      <c r="E9048" s="30" t="n">
        <f aca="false">mix_g2*Sens!E9039</f>
        <v>1462.5</v>
      </c>
      <c r="F9048" s="30" t="n">
        <f aca="false">Sens!E9048-Sens!F9046*mix_g2</f>
        <v>1462.5</v>
      </c>
      <c r="G9048" s="30" t="n">
        <f aca="false">Sens!F9048-Sens!G9046*mix_g2</f>
        <v>1462.5</v>
      </c>
      <c r="H9048" s="30" t="n">
        <f aca="false">Sens!G9048-Sens!H9046*mix_g2</f>
        <v>1462.5</v>
      </c>
      <c r="I9048" s="30" t="n">
        <f aca="false">Sens!H9048-Sens!I9046*mix_g2</f>
        <v>1242</v>
      </c>
      <c r="J9048" s="30" t="n">
        <f aca="false">Sens!I9048-Sens!J9046*mix_g2</f>
        <v>909</v>
      </c>
      <c r="K9048" s="30" t="n">
        <f aca="false">Sens!J9048-Sens!K9046*mix_g2</f>
        <v>247.5</v>
      </c>
    </row>
    <row r="9049" customFormat="false" ht="17.15" hidden="false" customHeight="false" outlineLevel="0" collapsed="false">
      <c r="A9049" s="1" t="s">
        <v>964</v>
      </c>
      <c r="B9049" s="0" t="s">
        <v>456</v>
      </c>
      <c r="C9049" s="30" t="n">
        <f aca="false">mix_g3*Sens!C9039</f>
        <v>224</v>
      </c>
      <c r="D9049" s="30" t="n">
        <f aca="false">mix_g3*Sens!D9039</f>
        <v>570.5</v>
      </c>
      <c r="E9049" s="30" t="n">
        <f aca="false">mix_g3*Sens!E9039</f>
        <v>1137.5</v>
      </c>
      <c r="F9049" s="30" t="n">
        <f aca="false">Sens!E9049+(Sens!F9045+Sens!F9046)*(a_g3_27-nonnv*a_mai)-Sens!F9046*mix_g3</f>
        <v>2773.42106</v>
      </c>
      <c r="G9049" s="30" t="n">
        <f aca="false">Sens!F9049+(Sens!G9045+Sens!G9046)*(a_g3_28-nonnv*a_mai)-Sens!G9046*mix_g3</f>
        <v>3318.72808</v>
      </c>
      <c r="H9049" s="30" t="n">
        <f aca="false">Sens!G9049+(Sens!H9045+Sens!H9046)*(a_g3_29-nonnv*a_mai)-Sens!H9046*mix_g3</f>
        <v>3318.72808</v>
      </c>
      <c r="I9049" s="30" t="n">
        <f aca="false">Sens!H9049+(Sens!I9045+Sens!I9046)*(a_g3_29-nonnv*a_mai)-Sens!I9046*mix_g3</f>
        <v>3147.22808</v>
      </c>
      <c r="J9049" s="30" t="n">
        <f aca="false">Sens!I9049+(Sens!J9045+Sens!J9046)*(a_g3_29-nonnv*a_mai)-Sens!J9046*mix_g3</f>
        <v>2888.22808</v>
      </c>
      <c r="K9049" s="30" t="n">
        <f aca="false">Sens!J9049+(Sens!K9045+Sens!K9046)*(a_g3_29-nonnv*a_mai)-Sens!K9046*mix_g3</f>
        <v>2373.72808</v>
      </c>
    </row>
    <row r="9050" customFormat="false" ht="17.15" hidden="false" customHeight="false" outlineLevel="0" collapsed="false">
      <c r="A9050" s="1" t="s">
        <v>965</v>
      </c>
      <c r="B9050" s="0" t="s">
        <v>456</v>
      </c>
      <c r="C9050" s="30" t="n">
        <v>0</v>
      </c>
      <c r="D9050" s="30" t="n">
        <v>0</v>
      </c>
      <c r="E9050" s="30" t="n">
        <v>0</v>
      </c>
      <c r="F9050" s="30" t="n">
        <f aca="false">Sens!E9050+(Sens!F9045+Sens!F9046)*nonnv*a_mai</f>
        <v>272.65351</v>
      </c>
      <c r="G9050" s="30" t="n">
        <f aca="false">Sens!F9050+(Sens!G9045+Sens!G9046)*nonnv*a_mai</f>
        <v>545.30702</v>
      </c>
      <c r="H9050" s="30" t="n">
        <f aca="false">Sens!G9050+(Sens!H9045+Sens!H9046)*nonnv*a_mai</f>
        <v>817.96053</v>
      </c>
      <c r="I9050" s="30" t="n">
        <f aca="false">Sens!H9050+(Sens!I9045+Sens!I9046)*nonnv*a_mai</f>
        <v>1060.15914196667</v>
      </c>
      <c r="J9050" s="30" t="n">
        <f aca="false">Sens!I9050+(Sens!J9045+Sens!J9046)*nonnv*a_mai</f>
        <v>1251.76682813933</v>
      </c>
      <c r="K9050" s="30" t="n">
        <f aca="false">Sens!J9050+(Sens!K9045+Sens!K9046)*nonnv*a_mai</f>
        <v>1442.37983298351</v>
      </c>
      <c r="L9050" s="12" t="s">
        <v>966</v>
      </c>
    </row>
    <row r="9051" customFormat="false" ht="17.15" hidden="false" customHeight="false" outlineLevel="0" collapsed="false">
      <c r="A9051" s="1" t="s">
        <v>967</v>
      </c>
      <c r="B9051" s="0" t="s">
        <v>456</v>
      </c>
      <c r="C9051" s="30" t="n">
        <v>0</v>
      </c>
      <c r="D9051" s="30" t="n">
        <v>0</v>
      </c>
      <c r="E9051" s="30" t="n">
        <v>0</v>
      </c>
      <c r="F9051" s="30" t="n">
        <f aca="false">Sens!E9051+(Sens!F9045+Sens!F9046)*(1-a_g3_27)</f>
        <v>817.96053</v>
      </c>
      <c r="G9051" s="30" t="n">
        <f aca="false">Sens!F9051+(Sens!G9045+Sens!G9046)*(1-a_g3_28)</f>
        <v>2726.5351</v>
      </c>
      <c r="H9051" s="30" t="n">
        <f aca="false">Sens!G9051+(Sens!H9045+Sens!H9046)*(1-a_g3_29)</f>
        <v>5180.41669</v>
      </c>
      <c r="I9051" s="30" t="n">
        <f aca="false">Sens!H9051+(Sens!I9045+Sens!I9046)*(1-a_g3_29)</f>
        <v>7360.2041977</v>
      </c>
      <c r="J9051" s="30" t="n">
        <f aca="false">Sens!I9051+(Sens!J9045+Sens!J9046)*(1-a_g3_29)</f>
        <v>9084.673373254</v>
      </c>
      <c r="K9051" s="30" t="n">
        <f aca="false">Sens!J9051+(Sens!K9045+Sens!K9046)*(1-a_g3_29)</f>
        <v>10800.1904168516</v>
      </c>
    </row>
    <row r="9052" customFormat="false" ht="17.15" hidden="false" customHeight="false" outlineLevel="0" collapsed="false">
      <c r="A9052" s="1" t="s">
        <v>968</v>
      </c>
      <c r="B9052" s="0" t="s">
        <v>403</v>
      </c>
      <c r="C9052" s="15" t="n">
        <f aca="false">(Sens!C9047*tk_hold_h100+Sens!C9048*tk_hold_gb200+Sens!C9049*tk_hold_gb300+Sens!C9051*tk_hold_vr200+Sens!C9050*nv_hold_mai*tk_hold_vr200)/Sens!C9039</f>
        <v>9.7235358126469</v>
      </c>
      <c r="D9052" s="15" t="n">
        <f aca="false">(Sens!D9047*tk_hold_h100+Sens!D9048*tk_hold_gb200+Sens!D9049*tk_hold_gb300+Sens!D9051*tk_hold_vr200+Sens!D9050*nv_hold_mai*tk_hold_vr200)/Sens!D9039</f>
        <v>9.7235358126469</v>
      </c>
      <c r="E9052" s="15" t="n">
        <f aca="false">(Sens!E9047*tk_hold_h100+Sens!E9048*tk_hold_gb200+Sens!E9049*tk_hold_gb300+Sens!E9051*tk_hold_vr200+Sens!E9050*nv_hold_mai*tk_hold_vr200)/Sens!E9039</f>
        <v>9.7235358126469</v>
      </c>
      <c r="F9052" s="15" t="n">
        <f aca="false">(Sens!F9047*tk_hold_h100+Sens!F9048*tk_hold_gb200+Sens!F9049*tk_hold_gb300+Sens!F9051*tk_hold_vr200+Sens!F9050*nv_hold_mai*tk_hold_vr200)/Sens!F9039</f>
        <v>10.2195353876665</v>
      </c>
      <c r="G9052" s="15" t="n">
        <f aca="false">(Sens!G9047*tk_hold_h100+Sens!G9048*tk_hold_gb200+Sens!G9049*tk_hold_gb300+Sens!G9051*tk_hold_vr200+Sens!G9050*nv_hold_mai*tk_hold_vr200)/Sens!G9039</f>
        <v>10.5725598017306</v>
      </c>
      <c r="H9052" s="15" t="n">
        <f aca="false">(Sens!H9047*tk_hold_h100+Sens!H9048*tk_hold_gb200+Sens!H9049*tk_hold_gb300+Sens!H9051*tk_hold_vr200+Sens!H9050*nv_hold_mai*tk_hold_vr200)/Sens!H9039</f>
        <v>10.8210427149036</v>
      </c>
      <c r="I9052" s="15" t="n">
        <f aca="false">(Sens!I9047*tk_hold_h100+Sens!I9048*tk_hold_gb200+Sens!I9049*tk_hold_gb300+Sens!I9051*tk_hold_vr200+Sens!I9050*nv_hold_mai*tk_hold_vr200)/Sens!I9039</f>
        <v>11.0050618241982</v>
      </c>
      <c r="J9052" s="15" t="n">
        <f aca="false">(Sens!J9047*tk_hold_h100+Sens!J9048*tk_hold_gb200+Sens!J9049*tk_hold_gb300+Sens!J9051*tk_hold_vr200+Sens!J9050*nv_hold_mai*tk_hold_vr200)/Sens!J9039</f>
        <v>11.1505789658881</v>
      </c>
      <c r="K9052" s="15" t="n">
        <f aca="false">(Sens!K9047*tk_hold_h100+Sens!K9048*tk_hold_gb200+Sens!K9049*tk_hold_gb300+Sens!K9051*tk_hold_vr200+Sens!K9050*nv_hold_mai*tk_hold_vr200)/Sens!K9039</f>
        <v>11.3496914757183</v>
      </c>
      <c r="L9052" s="1" t="s">
        <v>969</v>
      </c>
    </row>
    <row r="9053" customFormat="false" ht="17.15" hidden="false" customHeight="false" outlineLevel="0" collapsed="false">
      <c r="A9053" s="1" t="s">
        <v>970</v>
      </c>
      <c r="B9053" s="0" t="s">
        <v>403</v>
      </c>
      <c r="C9053" s="15" t="n">
        <f aca="false">(Sens!C9047*tk_hold_h100+Sens!C9048*tk_hold_gb200+Sens!C9049*tk_hold_gb300+Sens!C9051*tk_hold_vr200+Sens!C9050*nv_out_mai*tk_hold_vr200)/Sens!C9039</f>
        <v>9.7235358126469</v>
      </c>
      <c r="D9053" s="15" t="n">
        <f aca="false">(Sens!D9047*tk_hold_h100+Sens!D9048*tk_hold_gb200+Sens!D9049*tk_hold_gb300+Sens!D9051*tk_hold_vr200+Sens!D9050*nv_out_mai*tk_hold_vr200)/Sens!D9039</f>
        <v>9.7235358126469</v>
      </c>
      <c r="E9053" s="15" t="n">
        <f aca="false">(Sens!E9047*tk_hold_h100+Sens!E9048*tk_hold_gb200+Sens!E9049*tk_hold_gb300+Sens!E9051*tk_hold_vr200+Sens!E9050*nv_out_mai*tk_hold_vr200)/Sens!E9039</f>
        <v>9.7235358126469</v>
      </c>
      <c r="F9053" s="15" t="n">
        <f aca="false">(Sens!F9047*tk_hold_h100+Sens!F9048*tk_hold_gb200+Sens!F9049*tk_hold_gb300+Sens!F9051*tk_hold_vr200+Sens!F9050*nv_out_mai*tk_hold_vr200)/Sens!F9039</f>
        <v>10.247422093969</v>
      </c>
      <c r="G9053" s="15" t="n">
        <f aca="false">(Sens!G9047*tk_hold_h100+Sens!G9048*tk_hold_gb200+Sens!G9049*tk_hold_gb300+Sens!G9051*tk_hold_vr200+Sens!G9050*nv_out_mai*tk_hold_vr200)/Sens!G9039</f>
        <v>10.6108602808053</v>
      </c>
      <c r="H9053" s="15" t="n">
        <f aca="false">(Sens!H9047*tk_hold_h100+Sens!H9048*tk_hold_gb200+Sens!H9049*tk_hold_gb300+Sens!H9051*tk_hold_vr200+Sens!H9050*nv_out_mai*tk_hold_vr200)/Sens!H9039</f>
        <v>10.8647885507393</v>
      </c>
      <c r="I9053" s="15" t="n">
        <f aca="false">(Sens!I9047*tk_hold_h100+Sens!I9048*tk_hold_gb200+Sens!I9049*tk_hold_gb300+Sens!I9051*tk_hold_vr200+Sens!I9050*nv_out_mai*tk_hold_vr200)/Sens!I9039</f>
        <v>11.0535625770025</v>
      </c>
      <c r="J9053" s="15" t="n">
        <f aca="false">(Sens!J9047*tk_hold_h100+Sens!J9048*tk_hold_gb200+Sens!J9049*tk_hold_gb300+Sens!J9051*tk_hold_vr200+Sens!J9050*nv_out_mai*tk_hold_vr200)/Sens!J9039</f>
        <v>11.2032127128058</v>
      </c>
      <c r="K9053" s="15" t="n">
        <f aca="false">(Sens!K9047*tk_hold_h100+Sens!K9048*tk_hold_gb200+Sens!K9049*tk_hold_gb300+Sens!K9051*tk_hold_vr200+Sens!K9050*nv_out_mai*tk_hold_vr200)/Sens!K9039</f>
        <v>11.4085735724225</v>
      </c>
      <c r="L9053" s="12" t="s">
        <v>971</v>
      </c>
    </row>
    <row r="9054" customFormat="false" ht="17.15" hidden="false" customHeight="false" outlineLevel="0" collapsed="false">
      <c r="A9054" s="0" t="s">
        <v>972</v>
      </c>
      <c r="B9054" s="0" t="s">
        <v>229</v>
      </c>
      <c r="C9054" s="15" t="n">
        <f aca="false">k_B</f>
        <v>1.17213932619116</v>
      </c>
      <c r="D9054" s="15" t="n">
        <f aca="false">k_B</f>
        <v>1.17213932619116</v>
      </c>
      <c r="E9054" s="15" t="n">
        <f aca="false">k_B</f>
        <v>1.17213932619116</v>
      </c>
      <c r="F9054" s="15" t="n">
        <f aca="false">(k_B+((ls_A*k_long+(1-ls_A)*k_spot)-k_B)*MIN(1,(Sens!F9037-base_fy)/k_ramp))</f>
        <v>1.25022828131298</v>
      </c>
      <c r="G9054" s="15" t="n">
        <f aca="false">(k_B+((ls_A*k_long+(1-ls_A)*k_spot)-k_B)*MIN(1,(Sens!G9037-base_fy)/k_ramp))</f>
        <v>1.3283172364348</v>
      </c>
      <c r="H9054" s="15" t="n">
        <f aca="false">(k_B+((ls_A*k_long+(1-ls_A)*k_spot)-k_B)*MIN(1,(Sens!H9037-base_fy)/k_ramp))</f>
        <v>1.40640619155662</v>
      </c>
      <c r="I9054" s="15" t="n">
        <f aca="false">(k_B+((ls_A*k_long+(1-ls_A)*k_spot)-k_B)*MIN(1,(Sens!I9037-base_fy)/k_ramp))</f>
        <v>1.40640619155662</v>
      </c>
      <c r="J9054" s="15" t="n">
        <f aca="false">(k_B+((ls_A*k_long+(1-ls_A)*k_spot)-k_B)*MIN(1,(Sens!J9037-base_fy)/k_ramp))</f>
        <v>1.40640619155662</v>
      </c>
      <c r="K9054" s="15" t="n">
        <f aca="false">(k_B+((ls_A*k_long+(1-ls_A)*k_spot)-k_B)*MIN(1,(Sens!K9037-base_fy)/k_ramp))</f>
        <v>1.40640619155662</v>
      </c>
      <c r="L9054" s="1" t="s">
        <v>973</v>
      </c>
    </row>
    <row r="9055" customFormat="false" ht="17.15" hidden="false" customHeight="false" outlineLevel="0" collapsed="false">
      <c r="A9055" s="1" t="s">
        <v>974</v>
      </c>
      <c r="B9055" s="0" t="s">
        <v>403</v>
      </c>
      <c r="C9055" s="15" t="n">
        <f aca="false">Sens!C9053*Sens!C9054*chip_f</f>
        <v>11.3973387156315</v>
      </c>
      <c r="D9055" s="15" t="n">
        <f aca="false">Sens!D9053*Sens!D9054*chip_f</f>
        <v>11.3973387156315</v>
      </c>
      <c r="E9055" s="15" t="n">
        <f aca="false">Sens!E9053*Sens!E9054*chip_f</f>
        <v>11.3973387156315</v>
      </c>
      <c r="F9055" s="15" t="n">
        <f aca="false">Sens!F9053*Sens!F9054*chip_f</f>
        <v>12.8116169124314</v>
      </c>
      <c r="G9055" s="15" t="n">
        <f aca="false">Sens!G9053*Sens!G9054*chip_f</f>
        <v>14.094588604395</v>
      </c>
      <c r="H9055" s="15" t="n">
        <f aca="false">Sens!H9053*Sens!H9054*chip_f</f>
        <v>15.2803058877132</v>
      </c>
      <c r="I9055" s="15" t="n">
        <f aca="false">Sens!I9053*Sens!I9054*chip_f</f>
        <v>15.5457988470549</v>
      </c>
      <c r="J9055" s="15" t="n">
        <f aca="false">Sens!J9053*Sens!J9054*chip_f</f>
        <v>15.7562677246158</v>
      </c>
      <c r="K9055" s="15" t="n">
        <f aca="false">Sens!K9053*Sens!K9054*chip_f</f>
        <v>16.0450885090842</v>
      </c>
      <c r="L9055" s="1" t="s">
        <v>975</v>
      </c>
    </row>
    <row r="9056" customFormat="false" ht="17.15" hidden="false" customHeight="false" outlineLevel="0" collapsed="false">
      <c r="A9056" s="0" t="s">
        <v>976</v>
      </c>
      <c r="B9056" s="0" t="s">
        <v>98</v>
      </c>
      <c r="D9056" s="6" t="n">
        <f aca="false">(Sens!C9039+Sens!D9039)/2*Sens!D9055/1000</f>
        <v>12.9359794422418</v>
      </c>
      <c r="E9056" s="6" t="n">
        <f aca="false">(Sens!D9039+Sens!E9039)/2*Sens!E9055/1000</f>
        <v>27.8095064661409</v>
      </c>
      <c r="F9056" s="6" t="n">
        <f aca="false">(Sens!E9039+Sens!F9039)/2*Sens!F9055/1000</f>
        <v>59.1034165651511</v>
      </c>
      <c r="G9056" s="6" t="n">
        <f aca="false">(Sens!F9039+Sens!G9039)/2*Sens!G9055/1000</f>
        <v>103.451498789198</v>
      </c>
      <c r="H9056" s="6" t="n">
        <f aca="false">(Sens!G9039+Sens!H9039)/2*Sens!H9055/1000</f>
        <v>153.816719989035</v>
      </c>
      <c r="I9056" s="6" t="n">
        <f aca="false">(Sens!H9039+Sens!I9039)/2*Sens!I9055/1000</f>
        <v>192.699478690852</v>
      </c>
      <c r="J9056" s="6" t="n">
        <f aca="false">(Sens!I9039+Sens!J9039)/2*Sens!J9055/1000</f>
        <v>219.794102584244</v>
      </c>
      <c r="K9056" s="6" t="n">
        <f aca="false">(Sens!J9039+Sens!K9039)/2*Sens!K9055/1000</f>
        <v>236.757046905022</v>
      </c>
      <c r="L9056" s="12" t="s">
        <v>977</v>
      </c>
    </row>
    <row r="9057" customFormat="false" ht="17.15" hidden="false" customHeight="false" outlineLevel="0" collapsed="false">
      <c r="A9057" s="1" t="s">
        <v>978</v>
      </c>
      <c r="B9057" s="0" t="s">
        <v>403</v>
      </c>
      <c r="C9057" s="15" t="n">
        <f aca="false">(Sens!C9047*tk_opex_h100+Sens!C9048*tk_opex_gb200+Sens!C9049*tk_opex_gb300+(Sens!C9051+Sens!C9050)*tk_opex_vr200)/Sens!C9039</f>
        <v>1.88636041306092</v>
      </c>
      <c r="D9057" s="15" t="n">
        <f aca="false">(Sens!D9047*tk_opex_h100+Sens!D9048*tk_opex_gb200+Sens!D9049*tk_opex_gb300+(Sens!D9051+Sens!D9050)*tk_opex_vr200)/Sens!D9039</f>
        <v>1.88636041306092</v>
      </c>
      <c r="E9057" s="15" t="n">
        <f aca="false">(Sens!E9047*tk_opex_h100+Sens!E9048*tk_opex_gb200+Sens!E9049*tk_opex_gb300+(Sens!E9051+Sens!E9050)*tk_opex_vr200)/Sens!E9039</f>
        <v>1.88636041306092</v>
      </c>
      <c r="F9057" s="15" t="n">
        <f aca="false">(Sens!F9047*tk_opex_h100+Sens!F9048*tk_opex_gb200+Sens!F9049*tk_opex_gb300+(Sens!F9051+Sens!F9050)*tk_opex_vr200)/Sens!F9039</f>
        <v>1.95051159746876</v>
      </c>
      <c r="G9057" s="15" t="n">
        <f aca="false">(Sens!G9047*tk_opex_h100+Sens!G9048*tk_opex_gb200+Sens!G9049*tk_opex_gb300+(Sens!G9051+Sens!G9050)*tk_opex_vr200)/Sens!G9039</f>
        <v>1.98836003669956</v>
      </c>
      <c r="H9057" s="15" t="n">
        <f aca="false">(Sens!H9047*tk_opex_h100+Sens!H9048*tk_opex_gb200+Sens!H9049*tk_opex_gb300+(Sens!H9051+Sens!H9050)*tk_opex_vr200)/Sens!H9039</f>
        <v>2.01344013834343</v>
      </c>
      <c r="I9057" s="15" t="n">
        <f aca="false">(Sens!I9047*tk_opex_h100+Sens!I9048*tk_opex_gb200+Sens!I9049*tk_opex_gb300+(Sens!I9051+Sens!I9050)*tk_opex_vr200)/Sens!I9039</f>
        <v>2.03261166882178</v>
      </c>
      <c r="J9057" s="15" t="n">
        <f aca="false">(Sens!J9047*tk_opex_h100+Sens!J9048*tk_opex_gb200+Sens!J9049*tk_opex_gb300+(Sens!J9051+Sens!J9050)*tk_opex_vr200)/Sens!J9039</f>
        <v>2.04808073288745</v>
      </c>
      <c r="K9057" s="15" t="n">
        <f aca="false">(Sens!K9047*tk_opex_h100+Sens!K9048*tk_opex_gb200+Sens!K9049*tk_opex_gb300+(Sens!K9051+Sens!K9050)*tk_opex_vr200)/Sens!K9039</f>
        <v>2.06973825807449</v>
      </c>
      <c r="L9057" s="12" t="s">
        <v>979</v>
      </c>
    </row>
    <row r="9058" customFormat="false" ht="17.15" hidden="false" customHeight="false" outlineLevel="0" collapsed="false">
      <c r="A9058" s="0" t="s">
        <v>980</v>
      </c>
      <c r="B9058" s="0" t="s">
        <v>98</v>
      </c>
      <c r="D9058" s="6" t="n">
        <f aca="false">(Sens!C9042+Sens!D9042)/2*Sens!D9057/1000</f>
        <v>2.70378325872065</v>
      </c>
      <c r="E9058" s="6" t="n">
        <f aca="false">(Sens!D9042+Sens!E9042)/2*Sens!E9057/1000</f>
        <v>6.17783035277451</v>
      </c>
      <c r="F9058" s="6" t="n">
        <f aca="false">(Sens!E9042+Sens!F9042)/2*Sens!F9057/1000</f>
        <v>12.8742463089237</v>
      </c>
      <c r="G9058" s="6" t="n">
        <f aca="false">(Sens!F9042+Sens!G9042)/2*Sens!G9057/1000</f>
        <v>21.8182834646277</v>
      </c>
      <c r="H9058" s="6" t="n">
        <f aca="false">(Sens!G9042+Sens!H9042)/2*Sens!H9057/1000</f>
        <v>31.2430128789734</v>
      </c>
      <c r="I9058" s="6" t="n">
        <f aca="false">(Sens!H9042+Sens!I9042)/2*Sens!I9057/1000</f>
        <v>39.4313057443268</v>
      </c>
      <c r="J9058" s="6" t="n">
        <f aca="false">(Sens!I9042+Sens!J9042)/2*Sens!J9057/1000</f>
        <v>45.0360318228653</v>
      </c>
      <c r="K9058" s="6" t="n">
        <f aca="false">(Sens!J9042+Sens!K9042)/2*Sens!K9057/1000</f>
        <v>48.2929727091156</v>
      </c>
    </row>
    <row r="9059" customFormat="false" ht="17.15" hidden="false" customHeight="false" outlineLevel="0" collapsed="false">
      <c r="A9059" s="0" t="s">
        <v>981</v>
      </c>
      <c r="B9059" s="0" t="s">
        <v>98</v>
      </c>
      <c r="D9059" s="6" t="n">
        <f aca="false">(Sens!C9040+Sens!D9040)/2*rent_mw/1000</f>
        <v>2.44475</v>
      </c>
      <c r="E9059" s="6" t="n">
        <f aca="false">(Sens!D9040+Sens!E9040)/2*rent_mw/1000</f>
        <v>4.22275</v>
      </c>
      <c r="F9059" s="6" t="n">
        <f aca="false">(Sens!E9040+Sens!F9040)/2*rent_mw/1000</f>
        <v>5.80517</v>
      </c>
      <c r="G9059" s="6" t="n">
        <f aca="false">(Sens!F9040+Sens!G9040)/2*rent_mw/1000</f>
        <v>6.72084</v>
      </c>
      <c r="H9059" s="6" t="n">
        <f aca="false">(Sens!G9040+Sens!H9040)/2*rent_mw/1000</f>
        <v>6.72084</v>
      </c>
      <c r="I9059" s="6" t="n">
        <f aca="false">(Sens!H9040+Sens!I9040)/2*rent_mw/1000</f>
        <v>6.72084</v>
      </c>
      <c r="J9059" s="6" t="n">
        <f aca="false">(Sens!I9040+Sens!J9040)/2*rent_mw/1000</f>
        <v>6.72084</v>
      </c>
      <c r="K9059" s="6" t="n">
        <f aca="false">(Sens!J9040+Sens!K9040)/2*rent_mw/1000</f>
        <v>6.72084</v>
      </c>
    </row>
    <row r="9060" customFormat="false" ht="17.15" hidden="false" customHeight="false" outlineLevel="0" collapsed="false">
      <c r="A9060" s="0" t="s">
        <v>982</v>
      </c>
      <c r="B9060" s="0" t="s">
        <v>98</v>
      </c>
      <c r="D9060" s="6" t="n">
        <f aca="false">(Sens!C9042+Sens!D9042)/2*(1-self_build)*fac_rent/1000</f>
        <v>0.853242375631075</v>
      </c>
      <c r="E9060" s="6" t="n">
        <f aca="false">(Sens!D9042+Sens!E9042)/2*(1-self_build)*fac_rent/1000</f>
        <v>1.94955961408728</v>
      </c>
      <c r="F9060" s="6" t="n">
        <f aca="false">(Sens!E9042+Sens!F9042)/2*(1-self_build)*fac_rent/1000</f>
        <v>3.92914894476356</v>
      </c>
      <c r="G9060" s="6" t="n">
        <f aca="false">(Sens!F9042+Sens!G9042)/2*(1-self_build)*fac_rent/1000</f>
        <v>6.53206908578159</v>
      </c>
      <c r="H9060" s="6" t="n">
        <f aca="false">(Sens!G9042+Sens!H9042)/2*(1-self_build)*fac_rent/1000</f>
        <v>9.23717988341591</v>
      </c>
      <c r="I9060" s="6" t="n">
        <f aca="false">(Sens!H9042+Sens!I9042)/2*(1-self_build)*fac_rent/1000</f>
        <v>11.5481378557393</v>
      </c>
      <c r="J9060" s="6" t="n">
        <f aca="false">(Sens!I9042+Sens!J9042)/2*(1-self_build)*fac_rent/1000</f>
        <v>13.0899582289108</v>
      </c>
      <c r="K9060" s="6" t="n">
        <f aca="false">(Sens!J9042+Sens!K9042)/2*(1-self_build)*fac_rent/1000</f>
        <v>13.8897275626556</v>
      </c>
      <c r="L9060" s="12" t="s">
        <v>983</v>
      </c>
    </row>
    <row r="9061" customFormat="false" ht="17.15" hidden="false" customHeight="false" outlineLevel="0" collapsed="false">
      <c r="A9061" s="1" t="s">
        <v>984</v>
      </c>
      <c r="B9061" s="0" t="s">
        <v>168</v>
      </c>
      <c r="D9061" s="7" t="n">
        <f aca="false">(Sens!C9041+Sens!D9041)/(Sens!C9042+Sens!D9042)</f>
        <v>0.6</v>
      </c>
      <c r="E9061" s="7" t="n">
        <f aca="false">(Sens!D9041+Sens!E9041)/(Sens!D9042+Sens!E9042)</f>
        <v>0.6</v>
      </c>
      <c r="F9061" s="7" t="n">
        <f aca="false">(Sens!E9041+Sens!F9041)/(Sens!E9042+Sens!F9042)</f>
        <v>0.6</v>
      </c>
      <c r="G9061" s="7" t="n">
        <f aca="false">(Sens!F9041+Sens!G9041)/(Sens!F9042+Sens!G9042)</f>
        <v>0.6</v>
      </c>
      <c r="H9061" s="7" t="n">
        <f aca="false">(Sens!G9041+Sens!H9041)/(Sens!G9042+Sens!H9042)</f>
        <v>0.6</v>
      </c>
      <c r="I9061" s="7" t="n">
        <f aca="false">(Sens!H9041+Sens!I9041)/(Sens!H9042+Sens!I9042)</f>
        <v>0.6</v>
      </c>
      <c r="J9061" s="7" t="n">
        <f aca="false">(Sens!I9041+Sens!J9041)/(Sens!I9042+Sens!J9042)</f>
        <v>0.6</v>
      </c>
      <c r="K9061" s="7" t="n">
        <f aca="false">(Sens!J9041+Sens!K9041)/(Sens!J9042+Sens!K9042)</f>
        <v>0.6</v>
      </c>
    </row>
    <row r="9062" customFormat="false" ht="17.15" hidden="false" customHeight="false" outlineLevel="0" collapsed="false">
      <c r="A9062" s="0" t="s">
        <v>985</v>
      </c>
      <c r="B9062" s="0" t="s">
        <v>98</v>
      </c>
      <c r="D9062" s="6" t="n">
        <f aca="false">Sens!D9056-Sens!D9061*(Sens!D9058+Sens!D9060)-Sens!D9059</f>
        <v>8.35701406163072</v>
      </c>
      <c r="E9062" s="6" t="n">
        <f aca="false">Sens!E9056-Sens!E9061*(Sens!E9058+Sens!E9060)-Sens!E9059</f>
        <v>18.7103224860238</v>
      </c>
      <c r="F9062" s="6" t="n">
        <f aca="false">Sens!F9056-Sens!F9061*(Sens!F9058+Sens!F9060)-Sens!F9059</f>
        <v>43.2162094129388</v>
      </c>
      <c r="G9062" s="6" t="n">
        <f aca="false">Sens!G9056-Sens!G9061*(Sens!G9058+Sens!G9060)-Sens!G9059</f>
        <v>79.7204472589529</v>
      </c>
      <c r="H9062" s="6" t="n">
        <f aca="false">Sens!H9056-Sens!H9061*(Sens!H9058+Sens!H9060)-Sens!H9059</f>
        <v>122.807764331602</v>
      </c>
      <c r="I9062" s="6" t="n">
        <f aca="false">Sens!I9056-Sens!I9061*(Sens!I9058+Sens!I9060)-Sens!I9059</f>
        <v>155.390972530813</v>
      </c>
      <c r="J9062" s="6" t="n">
        <f aca="false">Sens!J9056-Sens!J9061*(Sens!J9058+Sens!J9060)-Sens!J9059</f>
        <v>178.197668553178</v>
      </c>
      <c r="K9062" s="6" t="n">
        <f aca="false">Sens!K9056-Sens!K9061*(Sens!K9058+Sens!K9060)-Sens!K9059</f>
        <v>192.726586741959</v>
      </c>
    </row>
    <row r="9063" customFormat="false" ht="17.15" hidden="false" customHeight="false" outlineLevel="0" collapsed="false">
      <c r="A9063" s="1" t="s">
        <v>986</v>
      </c>
      <c r="B9063" s="0" t="s">
        <v>98</v>
      </c>
      <c r="D9063" s="6" t="n">
        <f aca="false">(1-Sens!D9061)*(Sens!D9058+Sens!D9060)</f>
        <v>1.42281025374069</v>
      </c>
      <c r="E9063" s="6" t="n">
        <f aca="false">(1-Sens!E9061)*(Sens!E9058+Sens!E9060)</f>
        <v>3.25095598674472</v>
      </c>
      <c r="F9063" s="6" t="n">
        <f aca="false">(1-Sens!F9061)*(Sens!F9058+Sens!F9060)</f>
        <v>6.72135810147489</v>
      </c>
      <c r="G9063" s="6" t="n">
        <f aca="false">(1-Sens!G9061)*(Sens!G9058+Sens!G9060)</f>
        <v>11.3401410201637</v>
      </c>
      <c r="H9063" s="6" t="n">
        <f aca="false">(1-Sens!H9061)*(Sens!H9058+Sens!H9060)</f>
        <v>16.1920771049557</v>
      </c>
      <c r="I9063" s="6" t="n">
        <f aca="false">(1-Sens!I9061)*(Sens!I9058+Sens!I9060)</f>
        <v>20.3917774400264</v>
      </c>
      <c r="J9063" s="6" t="n">
        <f aca="false">(1-Sens!J9061)*(Sens!J9058+Sens!J9060)</f>
        <v>23.2503960207104</v>
      </c>
      <c r="K9063" s="6" t="n">
        <f aca="false">(1-Sens!K9061)*(Sens!K9058+Sens!K9060)</f>
        <v>24.8730801087085</v>
      </c>
    </row>
    <row r="9064" customFormat="false" ht="17.15" hidden="false" customHeight="false" outlineLevel="0" collapsed="false">
      <c r="A9064" s="1" t="s">
        <v>987</v>
      </c>
      <c r="B9064" s="0" t="s">
        <v>414</v>
      </c>
      <c r="C9064" s="8" t="n">
        <f aca="false">cxit_open</f>
        <v>27.5918995</v>
      </c>
      <c r="D9064" s="8" t="n">
        <f aca="false">cxit_open</f>
        <v>27.5918995</v>
      </c>
      <c r="E9064" s="8" t="n">
        <f aca="false">cxit_open</f>
        <v>27.5918995</v>
      </c>
      <c r="F9064" s="8" t="n">
        <f aca="false">((a_g3_27-nonnv*a_mai)*tk_cxit_gb300+nonnv*a_mai*nv_hold_mai*tk_cxit_vr200+(1-a_g3_27)*tk_cxit_vr200)</f>
        <v>32.4975576</v>
      </c>
      <c r="G9064" s="8" t="n">
        <f aca="false">((a_g3_28-nonnv*a_mai)*tk_cxit_gb300+nonnv*a_mai*nv_hold_mai*tk_cxit_vr200+(1-a_g3_28)*tk_cxit_vr200)</f>
        <v>34.6372088</v>
      </c>
      <c r="H9064" s="8" t="n">
        <f aca="false">((a_g3_29-nonnv*a_mai)*tk_cxit_gb300+nonnv*a_mai*nv_hold_mai*tk_cxit_vr200+(1-a_g3_29)*tk_cxit_vr200)</f>
        <v>35.7070344</v>
      </c>
      <c r="I9064" s="8" t="n">
        <f aca="false">((a_g3_29-nonnv*a_mai)*tk_cxit_gb300+nonnv*a_mai*nv_hold_mai*tk_cxit_vr200+(1-a_g3_29)*tk_cxit_vr200)</f>
        <v>35.7070344</v>
      </c>
      <c r="J9064" s="8" t="n">
        <f aca="false">((a_g3_29-nonnv*a_mai)*tk_cxit_gb300+nonnv*a_mai*nv_hold_mai*tk_cxit_vr200+(1-a_g3_29)*tk_cxit_vr200)</f>
        <v>35.7070344</v>
      </c>
      <c r="K9064" s="8" t="n">
        <f aca="false">((a_g3_29-nonnv*a_mai)*tk_cxit_gb300+nonnv*a_mai*nv_hold_mai*tk_cxit_vr200+(1-a_g3_29)*tk_cxit_vr200)</f>
        <v>35.7070344</v>
      </c>
      <c r="L9064" s="12" t="s">
        <v>988</v>
      </c>
    </row>
    <row r="9065" customFormat="false" ht="17.15" hidden="false" customHeight="false" outlineLevel="0" collapsed="false">
      <c r="A9065" s="0" t="s">
        <v>989</v>
      </c>
      <c r="B9065" s="0" t="s">
        <v>456</v>
      </c>
      <c r="F9065" s="30" t="n">
        <f aca="false">Sens!C9044*IF(Sens!F9037-Sens!C9037=life_it,1,0)+Sens!D9044*IF(Sens!F9037-Sens!D9037=life_it,1,0)+Sens!E9044*IF(Sens!F9037-Sens!E9037=life_it,1,0)</f>
        <v>0</v>
      </c>
      <c r="G9065" s="30" t="n">
        <f aca="false">Sens!C9044*IF(Sens!G9037-Sens!C9037=life_it,1,0)+Sens!D9044*IF(Sens!G9037-Sens!D9037=life_it,1,0)+Sens!E9044*IF(Sens!G9037-Sens!E9037=life_it,1,0)+Sens!F9044*IF(Sens!G9037-Sens!F9037=life_it,1,0)</f>
        <v>0</v>
      </c>
      <c r="H9065" s="30" t="n">
        <f aca="false">Sens!C9044*IF(Sens!H9037-Sens!C9037=life_it,1,0)+Sens!D9044*IF(Sens!H9037-Sens!D9037=life_it,1,0)+Sens!E9044*IF(Sens!H9037-Sens!E9037=life_it,1,0)+Sens!F9044*IF(Sens!H9037-Sens!F9037=life_it,1,0)+Sens!G9044*IF(Sens!H9037-Sens!G9037=life_it,1,0)</f>
        <v>0</v>
      </c>
      <c r="I9065" s="30" t="n">
        <f aca="false">Sens!C9044*IF(Sens!I9037-Sens!C9037=life_it,1,0)+Sens!D9044*IF(Sens!I9037-Sens!D9037=life_it,1,0)+Sens!E9044*IF(Sens!I9037-Sens!E9037=life_it,1,0)+Sens!F9044*IF(Sens!I9037-Sens!F9037=life_it,1,0)+Sens!G9044*IF(Sens!I9037-Sens!G9037=life_it,1,0)+Sens!H9044*IF(Sens!I9037-Sens!H9037=life_it,1,0)</f>
        <v>816.666666666667</v>
      </c>
      <c r="J9065" s="30" t="n">
        <f aca="false">Sens!C9044*IF(Sens!J9037-Sens!C9037=life_it,1,0)+Sens!D9044*IF(Sens!J9037-Sens!D9037=life_it,1,0)+Sens!E9044*IF(Sens!J9037-Sens!E9037=life_it,1,0)+Sens!F9044*IF(Sens!J9037-Sens!F9037=life_it,1,0)+Sens!G9044*IF(Sens!J9037-Sens!G9037=life_it,1,0)+Sens!H9044*IF(Sens!J9037-Sens!H9037=life_it,1,0)+Sens!I9044*IF(Sens!J9037-Sens!I9037=life_it,1,0)</f>
        <v>1233.33333333333</v>
      </c>
      <c r="K9065" s="30" t="n">
        <f aca="false">Sens!C9044*IF(Sens!K9037-Sens!C9037=life_it,1,0)+Sens!D9044*IF(Sens!K9037-Sens!D9037=life_it,1,0)+Sens!E9044*IF(Sens!K9037-Sens!E9037=life_it,1,0)+Sens!F9044*IF(Sens!K9037-Sens!F9037=life_it,1,0)+Sens!G9044*IF(Sens!K9037-Sens!G9037=life_it,1,0)+Sens!H9044*IF(Sens!K9037-Sens!H9037=life_it,1,0)+Sens!I9044*IF(Sens!K9037-Sens!I9037=life_it,1,0)+Sens!J9044*IF(Sens!K9037-Sens!J9037=life_it,1,0)</f>
        <v>2450</v>
      </c>
      <c r="L9065" s="1" t="s">
        <v>990</v>
      </c>
    </row>
    <row r="9066" customFormat="false" ht="17.15" hidden="false" customHeight="false" outlineLevel="0" collapsed="false">
      <c r="A9066" s="0" t="s">
        <v>991</v>
      </c>
      <c r="B9066" s="0" t="s">
        <v>98</v>
      </c>
      <c r="C9066" s="6" t="n">
        <f aca="false">Sens!C9044*Sens!C9064/1000</f>
        <v>22.5333845916667</v>
      </c>
      <c r="D9066" s="6" t="n">
        <f aca="false">Sens!D9044*Sens!D9064/1000</f>
        <v>34.0300093833333</v>
      </c>
      <c r="E9066" s="6" t="n">
        <f aca="false">Sens!E9044*Sens!E9064/1000</f>
        <v>67.600153775</v>
      </c>
      <c r="F9066" s="6" t="n">
        <f aca="false">(Sens!F9044+Sens!F9065)*Sens!F9064/1000</f>
        <v>136.51872432512</v>
      </c>
      <c r="G9066" s="6" t="n">
        <f aca="false">(Sens!G9044+Sens!G9065)*Sens!G9064/1000</f>
        <v>157.399275932048</v>
      </c>
      <c r="H9066" s="6" t="n">
        <f aca="false">(Sens!H9044+Sens!H9065)*Sens!H9064/1000</f>
        <v>162.260804347512</v>
      </c>
      <c r="I9066" s="6" t="n">
        <f aca="false">(Sens!I9044+Sens!I9065)*Sens!I9064/1000</f>
        <v>144.136569485434</v>
      </c>
      <c r="J9066" s="6" t="n">
        <f aca="false">(Sens!J9044+Sens!J9065)*Sens!J9064/1000</f>
        <v>114.029037357864</v>
      </c>
      <c r="K9066" s="6" t="n">
        <f aca="false">(Sens!K9044+Sens!K9065)*Sens!K9064/1000</f>
        <v>113.437085350975</v>
      </c>
    </row>
    <row r="9067" customFormat="false" ht="17.15" hidden="false" customHeight="false" outlineLevel="0" collapsed="false">
      <c r="A9067" s="0" t="s">
        <v>992</v>
      </c>
      <c r="B9067" s="0" t="s">
        <v>98</v>
      </c>
      <c r="C9067" s="6" t="n">
        <f aca="false">Sens!C9044*self_build*tk_cxfac/1000</f>
        <v>6.2083</v>
      </c>
      <c r="D9067" s="6" t="n">
        <f aca="false">Sens!D9044*self_build*tk_cxfac/1000</f>
        <v>9.3758</v>
      </c>
      <c r="E9067" s="6" t="n">
        <f aca="false">Sens!E9044*self_build*tk_cxfac/1000</f>
        <v>18.6249</v>
      </c>
      <c r="F9067" s="6" t="n">
        <f aca="false">Sens!F9044*self_build*tk_cxfac/1000</f>
        <v>31.935179717</v>
      </c>
      <c r="G9067" s="6" t="n">
        <f aca="false">Sens!G9044*self_build*tk_cxfac/1000</f>
        <v>34.545199717</v>
      </c>
      <c r="H9067" s="6" t="n">
        <f aca="false">Sens!H9044*self_build*tk_cxfac/1000</f>
        <v>34.545199717</v>
      </c>
      <c r="I9067" s="6" t="n">
        <f aca="false">Sens!I9044*self_build*tk_cxfac/1000</f>
        <v>24.4782641361767</v>
      </c>
      <c r="J9067" s="6" t="n">
        <f aca="false">Sens!J9044*self_build*tk_cxfac/1000</f>
        <v>14.9008938380769</v>
      </c>
      <c r="K9067" s="6" t="n">
        <f aca="false">Sens!K9044*self_build*tk_cxfac/1000</f>
        <v>5.52576771375761</v>
      </c>
    </row>
    <row r="9068" customFormat="false" ht="17.15" hidden="false" customHeight="false" outlineLevel="0" collapsed="false">
      <c r="A9068" s="0" t="s">
        <v>993</v>
      </c>
      <c r="B9068" s="0" t="s">
        <v>98</v>
      </c>
      <c r="F9068" s="15" t="n">
        <f aca="false">capex_floor27-Sens!F9066-Sens!F9067-Sens!F9164</f>
        <v>0.105428474065192</v>
      </c>
      <c r="L9068" s="12" t="s">
        <v>994</v>
      </c>
    </row>
    <row r="9069" customFormat="false" ht="17.15" hidden="false" customHeight="false" outlineLevel="0" collapsed="false">
      <c r="A9069" s="0" t="s">
        <v>995</v>
      </c>
      <c r="B9069" s="0" t="s">
        <v>98</v>
      </c>
      <c r="F9069" s="6" t="n">
        <f aca="false">MAX(0,Sens!F9068)</f>
        <v>0.105428474065192</v>
      </c>
    </row>
    <row r="9070" customFormat="false" ht="17.15" hidden="false" customHeight="false" outlineLevel="0" collapsed="false">
      <c r="A9070" s="0" t="s">
        <v>996</v>
      </c>
      <c r="B9070" s="0" t="s">
        <v>98</v>
      </c>
      <c r="C9070" s="6" t="n">
        <f aca="false">Sens!C9066</f>
        <v>22.5333845916667</v>
      </c>
      <c r="D9070" s="6" t="n">
        <f aca="false">Sens!D9066</f>
        <v>34.0300093833333</v>
      </c>
      <c r="E9070" s="6" t="n">
        <f aca="false">Sens!E9066</f>
        <v>67.600153775</v>
      </c>
      <c r="F9070" s="6" t="n">
        <f aca="false">Sens!F9066</f>
        <v>136.51872432512</v>
      </c>
      <c r="G9070" s="6" t="n">
        <f aca="false">Sens!G9066</f>
        <v>157.399275932048</v>
      </c>
      <c r="H9070" s="6" t="n">
        <f aca="false">Sens!H9066</f>
        <v>162.260804347512</v>
      </c>
      <c r="I9070" s="6" t="n">
        <f aca="false">Sens!I9066</f>
        <v>144.136569485434</v>
      </c>
      <c r="J9070" s="6" t="n">
        <f aca="false">Sens!J9066</f>
        <v>114.029037357864</v>
      </c>
      <c r="K9070" s="6" t="n">
        <f aca="false">Sens!K9066</f>
        <v>113.437085350975</v>
      </c>
    </row>
    <row r="9071" customFormat="false" ht="17.15" hidden="false" customHeight="false" outlineLevel="0" collapsed="false">
      <c r="A9071" s="0" t="s">
        <v>997</v>
      </c>
      <c r="B9071" s="0" t="s">
        <v>98</v>
      </c>
      <c r="C9071" s="6" t="n">
        <f aca="false">Sens!C9070+Sens!C9067</f>
        <v>28.7416845916667</v>
      </c>
      <c r="D9071" s="6" t="n">
        <f aca="false">Sens!D9070+Sens!D9067</f>
        <v>43.4058093833333</v>
      </c>
      <c r="E9071" s="6" t="n">
        <f aca="false">Sens!E9070+Sens!E9067</f>
        <v>86.225053775</v>
      </c>
      <c r="F9071" s="6" t="n">
        <f aca="false">Sens!F9070+Sens!F9067</f>
        <v>168.45390404212</v>
      </c>
      <c r="G9071" s="6" t="n">
        <f aca="false">Sens!G9070+Sens!G9067</f>
        <v>191.944475649048</v>
      </c>
      <c r="H9071" s="6" t="n">
        <f aca="false">Sens!H9070+Sens!H9067</f>
        <v>196.806004064512</v>
      </c>
      <c r="I9071" s="6" t="n">
        <f aca="false">Sens!I9070+Sens!I9067</f>
        <v>168.61483362161</v>
      </c>
      <c r="J9071" s="6" t="n">
        <f aca="false">Sens!J9070+Sens!J9067</f>
        <v>128.92993119594</v>
      </c>
      <c r="K9071" s="6" t="n">
        <f aca="false">Sens!K9070+Sens!K9067</f>
        <v>118.962853064733</v>
      </c>
      <c r="L9071" s="12" t="s">
        <v>998</v>
      </c>
    </row>
    <row r="9072" customFormat="false" ht="17.15" hidden="false" customHeight="false" outlineLevel="0" collapsed="false">
      <c r="A9072" s="0" t="s">
        <v>999</v>
      </c>
      <c r="B9072" s="0" t="s">
        <v>98</v>
      </c>
      <c r="E9072" s="6" t="n">
        <f aca="false">(Sens!C9070*IF(2&lt;life_it,1,IF(2=life_it,0.5,0))+Sens!D9070*IF(1&lt;life_it,1,IF(1=life_it,0.5,0))+Sens!E9070*0.5)/life_it</f>
        <v>15.0605784770833</v>
      </c>
      <c r="F9072" s="6" t="n">
        <f aca="false">(Sens!C9070*IF(3&lt;life_it,1,IF(3=life_it,0.5,0))+Sens!D9070*IF(2&lt;life_it,1,IF(2=life_it,0.5,0))+Sens!E9070*IF(1&lt;life_it,1,IF(1=life_it,0.5,0))+Sens!F9070*0.5)/life_it</f>
        <v>32.0704849854266</v>
      </c>
      <c r="G9072" s="6" t="n">
        <f aca="false">(Sens!C9070*IF(4&lt;life_it,1,IF(4=life_it,0.5,0))+Sens!D9070*IF(3&lt;life_it,1,IF(3=life_it,0.5,0))+Sens!E9070*IF(2&lt;life_it,1,IF(2=life_it,0.5,0))+Sens!F9070*IF(1&lt;life_it,1,IF(1=life_it,0.5,0))+Sens!G9070*0.5)/life_it</f>
        <v>56.5636516735239</v>
      </c>
      <c r="H9072" s="6" t="n">
        <f aca="false">(Sens!C9070*IF(5&lt;life_it,1,IF(5=life_it,0.5,0))+Sens!D9070*IF(4&lt;life_it,1,IF(4=life_it,0.5,0))+Sens!E9070*IF(3&lt;life_it,1,IF(3=life_it,0.5,0))+Sens!F9070*IF(2&lt;life_it,1,IF(2=life_it,0.5,0))+Sens!G9070*IF(1&lt;life_it,1,IF(1=life_it,0.5,0))+Sens!H9070*0.5)/life_it</f>
        <v>83.2019916968207</v>
      </c>
      <c r="I9072" s="6" t="n">
        <f aca="false">(Sens!C9070*IF(6&lt;life_it,1,IF(6=life_it,0.5,0))+Sens!D9070*IF(5&lt;life_it,1,IF(5=life_it,0.5,0))+Sens!E9070*IF(4&lt;life_it,1,IF(4=life_it,0.5,0))+Sens!F9070*IF(3&lt;life_it,1,IF(3=life_it,0.5,0))+Sens!G9070*IF(2&lt;life_it,1,IF(2=life_it,0.5,0))+Sens!H9070*IF(1&lt;life_it,1,IF(1=life_it,0.5,0))+Sens!I9070*0.5)/life_it</f>
        <v>106.857324133594</v>
      </c>
      <c r="J9072" s="6" t="n">
        <f aca="false">(Sens!C9070*IF(7&lt;life_it,1,IF(7=life_it,0.5,0))+Sens!D9070*IF(6&lt;life_it,1,IF(6=life_it,0.5,0))+Sens!E9070*IF(5&lt;life_it,1,IF(5=life_it,0.5,0))+Sens!F9070*IF(4&lt;life_it,1,IF(4=life_it,0.5,0))+Sens!G9070*IF(3&lt;life_it,1,IF(3=life_it,0.5,0))+Sens!H9070*IF(2&lt;life_it,1,IF(2=life_it,0.5,0))+Sens!I9070*IF(1&lt;life_it,1,IF(1=life_it,0.5,0))+Sens!J9070*0.5)/life_it</f>
        <v>123.657508539285</v>
      </c>
      <c r="K9072" s="6" t="n">
        <f aca="false">(Sens!C9070*IF(8&lt;life_it,1,IF(8=life_it,0.5,0))+Sens!D9070*IF(7&lt;life_it,1,IF(7=life_it,0.5,0))+Sens!E9070*IF(6&lt;life_it,1,IF(6=life_it,0.5,0))+Sens!F9070*IF(5&lt;life_it,1,IF(5=life_it,0.5,0))+Sens!G9070*IF(4&lt;life_it,1,IF(4=life_it,0.5,0))+Sens!H9070*IF(3&lt;life_it,1,IF(3=life_it,0.5,0))+Sens!I9070*IF(2&lt;life_it,1,IF(2=life_it,0.5,0))+Sens!J9070*IF(1&lt;life_it,1,IF(1=life_it,0.5,0))+Sens!K9070*0.5)/life_it</f>
        <v>134.143838501827</v>
      </c>
    </row>
    <row r="9073" customFormat="false" ht="17.15" hidden="false" customHeight="false" outlineLevel="0" collapsed="false">
      <c r="A9073" s="0" t="s">
        <v>1000</v>
      </c>
      <c r="B9073" s="0" t="s">
        <v>98</v>
      </c>
      <c r="E9073" s="6" t="n">
        <f aca="false">(Sens!C9067*IF(2&lt;life_fac,1,IF(2=life_fac,0.5,0))+Sens!D9067*IF(1&lt;life_fac,1,IF(1=life_fac,0.5,0))+Sens!E9067*0.5)/life_fac</f>
        <v>1.2448275</v>
      </c>
      <c r="F9073" s="6" t="n">
        <f aca="false">(Sens!C9067*IF(3&lt;life_fac,1,IF(3=life_fac,0.5,0))+Sens!D9067*IF(2&lt;life_fac,1,IF(2=life_fac,0.5,0))+Sens!E9067*IF(1&lt;life_fac,1,IF(1=life_fac,0.5,0))+Sens!F9067*0.5)/life_fac</f>
        <v>2.508829492925</v>
      </c>
      <c r="G9073" s="6" t="n">
        <f aca="false">(Sens!C9067*IF(4&lt;life_fac,1,IF(4=life_fac,0.5,0))+Sens!D9067*IF(3&lt;life_fac,1,IF(3=life_fac,0.5,0))+Sens!E9067*IF(2&lt;life_fac,1,IF(2=life_fac,0.5,0))+Sens!F9067*IF(1&lt;life_fac,1,IF(1=life_fac,0.5,0))+Sens!G9067*0.5)/life_fac</f>
        <v>4.170838978775</v>
      </c>
      <c r="H9073" s="6" t="n">
        <f aca="false">(Sens!C9067*IF(5&lt;life_fac,1,IF(5=life_fac,0.5,0))+Sens!D9067*IF(4&lt;life_fac,1,IF(4=life_fac,0.5,0))+Sens!E9067*IF(3&lt;life_fac,1,IF(3=life_fac,0.5,0))+Sens!F9067*IF(2&lt;life_fac,1,IF(2=life_fac,0.5,0))+Sens!G9067*IF(1&lt;life_fac,1,IF(1=life_fac,0.5,0))+Sens!H9067*0.5)/life_fac</f>
        <v>5.898098964625</v>
      </c>
      <c r="I9073" s="6" t="n">
        <f aca="false">(Sens!C9067*IF(6&lt;life_fac,1,IF(6=life_fac,0.5,0))+Sens!D9067*IF(5&lt;life_fac,1,IF(5=life_fac,0.5,0))+Sens!E9067*IF(4&lt;life_fac,1,IF(4=life_fac,0.5,0))+Sens!F9067*IF(3&lt;life_fac,1,IF(3=life_fac,0.5,0))+Sens!G9067*IF(2&lt;life_fac,1,IF(2=life_fac,0.5,0))+Sens!H9067*IF(1&lt;life_fac,1,IF(1=life_fac,0.5,0))+Sens!I9067*0.5)/life_fac</f>
        <v>7.37368556095442</v>
      </c>
      <c r="J9073" s="6" t="n">
        <f aca="false">(Sens!C9067*IF(7&lt;life_fac,1,IF(7=life_fac,0.5,0))+Sens!D9067*IF(6&lt;life_fac,1,IF(6=life_fac,0.5,0))+Sens!E9067*IF(5&lt;life_fac,1,IF(5=life_fac,0.5,0))+Sens!F9067*IF(4&lt;life_fac,1,IF(4=life_fac,0.5,0))+Sens!G9067*IF(3&lt;life_fac,1,IF(3=life_fac,0.5,0))+Sens!H9067*IF(2&lt;life_fac,1,IF(2=life_fac,0.5,0))+Sens!I9067*IF(1&lt;life_fac,1,IF(1=life_fac,0.5,0))+Sens!J9067*0.5)/life_fac</f>
        <v>8.35816451031075</v>
      </c>
      <c r="K9073" s="6" t="n">
        <f aca="false">(Sens!C9067*IF(8&lt;life_fac,1,IF(8=life_fac,0.5,0))+Sens!D9067*IF(7&lt;life_fac,1,IF(7=life_fac,0.5,0))+Sens!E9067*IF(6&lt;life_fac,1,IF(6=life_fac,0.5,0))+Sens!F9067*IF(5&lt;life_fac,1,IF(5=life_fac,0.5,0))+Sens!G9067*IF(4&lt;life_fac,1,IF(4=life_fac,0.5,0))+Sens!H9067*IF(3&lt;life_fac,1,IF(3=life_fac,0.5,0))+Sens!I9067*IF(2&lt;life_fac,1,IF(2=life_fac,0.5,0))+Sens!J9067*IF(1&lt;life_fac,1,IF(1=life_fac,0.5,0))+Sens!K9067*0.5)/life_fac</f>
        <v>8.86883104910662</v>
      </c>
    </row>
    <row r="9074" customFormat="false" ht="17.15" hidden="false" customHeight="false" outlineLevel="0" collapsed="false">
      <c r="A9074" s="0" t="s">
        <v>1001</v>
      </c>
      <c r="B9074" s="0" t="s">
        <v>98</v>
      </c>
      <c r="E9074" s="6" t="n">
        <f aca="false">Sens!E9072+Sens!E9073</f>
        <v>16.3054059770833</v>
      </c>
      <c r="F9074" s="6" t="n">
        <f aca="false">Sens!F9072+Sens!F9073</f>
        <v>34.5793144783516</v>
      </c>
      <c r="G9074" s="6" t="n">
        <f aca="false">Sens!G9072+Sens!G9073</f>
        <v>60.7344906522989</v>
      </c>
      <c r="H9074" s="6" t="n">
        <f aca="false">Sens!H9072+Sens!H9073</f>
        <v>89.1000906614457</v>
      </c>
      <c r="I9074" s="6" t="n">
        <f aca="false">Sens!I9072+Sens!I9073</f>
        <v>114.231009694548</v>
      </c>
      <c r="J9074" s="6" t="n">
        <f aca="false">Sens!J9072+Sens!J9073</f>
        <v>132.015673049596</v>
      </c>
      <c r="K9074" s="6" t="n">
        <f aca="false">Sens!K9072+Sens!K9073</f>
        <v>143.012669550934</v>
      </c>
    </row>
    <row r="9075" customFormat="false" ht="17.15" hidden="false" customHeight="false" outlineLevel="0" collapsed="false">
      <c r="A9075" s="0" t="s">
        <v>1002</v>
      </c>
      <c r="B9075" s="0" t="s">
        <v>98</v>
      </c>
      <c r="E9075" s="6" t="n">
        <f aca="false">Sens!E9062-Sens!E9061*Sens!E9074</f>
        <v>8.92707889977379</v>
      </c>
      <c r="F9075" s="6" t="n">
        <f aca="false">Sens!F9062-Sens!F9061*Sens!F9074</f>
        <v>22.4686207259278</v>
      </c>
      <c r="G9075" s="6" t="n">
        <f aca="false">Sens!G9062-Sens!G9061*Sens!G9074</f>
        <v>43.2797528675735</v>
      </c>
      <c r="H9075" s="6" t="n">
        <f aca="false">Sens!H9062-Sens!H9061*Sens!H9074</f>
        <v>69.3477099347341</v>
      </c>
      <c r="I9075" s="6" t="n">
        <f aca="false">Sens!I9062-Sens!I9061*Sens!I9074</f>
        <v>86.8523667140836</v>
      </c>
      <c r="J9075" s="6" t="n">
        <f aca="false">Sens!J9062-Sens!J9061*Sens!J9074</f>
        <v>98.9882647234202</v>
      </c>
      <c r="K9075" s="6" t="n">
        <f aca="false">Sens!K9062-Sens!K9061*Sens!K9074</f>
        <v>106.918985011399</v>
      </c>
    </row>
    <row r="9076" customFormat="false" ht="17.15" hidden="false" customHeight="false" outlineLevel="0" collapsed="false">
      <c r="A9076" s="3" t="s">
        <v>1706</v>
      </c>
    </row>
    <row r="9077" customFormat="false" ht="15" hidden="false" customHeight="false" outlineLevel="0" collapsed="false">
      <c r="A9077" s="4" t="s">
        <v>43</v>
      </c>
      <c r="B9077" s="4" t="s">
        <v>65</v>
      </c>
      <c r="C9077" s="23" t="s">
        <v>938</v>
      </c>
      <c r="D9077" s="23" t="s">
        <v>939</v>
      </c>
      <c r="E9077" s="23" t="s">
        <v>940</v>
      </c>
      <c r="F9077" s="23" t="s">
        <v>941</v>
      </c>
      <c r="G9077" s="23" t="s">
        <v>942</v>
      </c>
      <c r="H9077" s="23" t="s">
        <v>943</v>
      </c>
      <c r="I9077" s="23" t="s">
        <v>944</v>
      </c>
      <c r="J9077" s="23" t="s">
        <v>945</v>
      </c>
      <c r="K9077" s="23" t="s">
        <v>946</v>
      </c>
      <c r="L9077" s="4" t="s">
        <v>47</v>
      </c>
    </row>
    <row r="9078" customFormat="false" ht="17.15" hidden="false" customHeight="false" outlineLevel="0" collapsed="false">
      <c r="A9078" s="0" t="s">
        <v>1021</v>
      </c>
      <c r="B9078" s="0" t="s">
        <v>98</v>
      </c>
      <c r="D9078" s="6" t="n">
        <f aca="false">Sens!D9056</f>
        <v>12.9359794422418</v>
      </c>
      <c r="E9078" s="6" t="n">
        <f aca="false">Sens!E9056</f>
        <v>27.8095064661409</v>
      </c>
      <c r="F9078" s="6" t="n">
        <f aca="false">Sens!F9056</f>
        <v>59.1034165651511</v>
      </c>
      <c r="G9078" s="6" t="n">
        <f aca="false">Sens!G9056</f>
        <v>103.451498789198</v>
      </c>
      <c r="H9078" s="6" t="n">
        <f aca="false">Sens!H9056</f>
        <v>153.816719989035</v>
      </c>
      <c r="I9078" s="6" t="n">
        <f aca="false">Sens!I9056</f>
        <v>192.699478690852</v>
      </c>
      <c r="J9078" s="6" t="n">
        <f aca="false">Sens!J9056</f>
        <v>219.794102584244</v>
      </c>
      <c r="K9078" s="6" t="n">
        <f aca="false">Sens!K9056</f>
        <v>236.757046905022</v>
      </c>
    </row>
    <row r="9079" customFormat="false" ht="17.15" hidden="false" customHeight="false" outlineLevel="0" collapsed="false">
      <c r="A9079" s="0" t="s">
        <v>1022</v>
      </c>
      <c r="B9079" s="0" t="s">
        <v>98</v>
      </c>
      <c r="D9079" s="6" t="n">
        <f aca="false">Q!L6-Sens!D9078</f>
        <v>59.6740205577583</v>
      </c>
      <c r="E9079" s="6" t="n">
        <f aca="false">Q!M6-Sens!E9078</f>
        <v>74.1284935338591</v>
      </c>
      <c r="F9079" s="6" t="n">
        <f aca="false">Q!$I$6+(Sens!F9078+Sens!E9079*(1+Sens!F9080))*(1-Q!$E$6/Q!M6)-Sens!F9078</f>
        <v>90.1973466630612</v>
      </c>
      <c r="G9079" s="6" t="n">
        <f aca="false">Sens!F9079*(1+Sens!G9080)</f>
        <v>106.265936806525</v>
      </c>
      <c r="H9079" s="6" t="n">
        <f aca="false">Sens!G9079*(1+Sens!H9080)</f>
        <v>121.792659150761</v>
      </c>
      <c r="I9079" s="6" t="n">
        <f aca="false">Sens!H9079*(1+Sens!I9080)</f>
        <v>135.686111397536</v>
      </c>
      <c r="J9079" s="6" t="n">
        <f aca="false">Sens!I9079*(1+Sens!J9080)</f>
        <v>146.817435501981</v>
      </c>
      <c r="K9079" s="6" t="n">
        <f aca="false">Sens!J9079*(1+Sens!K9080)</f>
        <v>154.158307277081</v>
      </c>
      <c r="L9079" s="12" t="s">
        <v>1023</v>
      </c>
    </row>
    <row r="9080" customFormat="false" ht="15" hidden="false" customHeight="false" outlineLevel="0" collapsed="false">
      <c r="A9080" s="1" t="s">
        <v>1024</v>
      </c>
      <c r="B9080" s="0" t="s">
        <v>168</v>
      </c>
      <c r="E9080" s="7" t="n">
        <f aca="false">Sens!E9079/Sens!D9079-1</f>
        <v>0.242223883039864</v>
      </c>
      <c r="F9080" s="7" t="n">
        <f aca="false">Sens!$E$9080+(glt_azo_lo-Sens!$E$9080)*MIN(1,(Sens!F9037-base_fy)/n_conv)</f>
        <v>0.210186569199887</v>
      </c>
      <c r="G9080" s="7" t="n">
        <f aca="false">Sens!$E$9080+(glt_azo_lo-Sens!$E$9080)*MIN(1,(Sens!G9037-base_fy)/n_conv)</f>
        <v>0.17814925535991</v>
      </c>
      <c r="H9080" s="7" t="n">
        <f aca="false">Sens!$E$9080+(glt_azo_lo-Sens!$E$9080)*MIN(1,(Sens!H9037-base_fy)/n_conv)</f>
        <v>0.146111941519932</v>
      </c>
      <c r="I9080" s="7" t="n">
        <f aca="false">Sens!$E$9080+(glt_azo_lo-Sens!$E$9080)*MIN(1,(Sens!I9037-base_fy)/n_conv)</f>
        <v>0.114074627679955</v>
      </c>
      <c r="J9080" s="7" t="n">
        <f aca="false">Sens!$E$9080+(glt_azo_lo-Sens!$E$9080)*MIN(1,(Sens!J9037-base_fy)/n_conv)</f>
        <v>0.0820373138399774</v>
      </c>
      <c r="K9080" s="7" t="n">
        <f aca="false">Sens!$E$9080+(glt_azo_lo-Sens!$E$9080)*MIN(1,(Sens!K9037-base_fy)/n_conv)</f>
        <v>0.05</v>
      </c>
    </row>
    <row r="9081" customFormat="false" ht="15" hidden="false" customHeight="false" outlineLevel="0" collapsed="false">
      <c r="A9081" s="0" t="s">
        <v>1025</v>
      </c>
      <c r="B9081" s="0" t="s">
        <v>98</v>
      </c>
      <c r="D9081" s="6" t="n">
        <f aca="false">Sens!D9078+Sens!D9079</f>
        <v>72.61</v>
      </c>
      <c r="E9081" s="6" t="n">
        <f aca="false">Sens!E9078+Sens!E9079</f>
        <v>101.938</v>
      </c>
      <c r="F9081" s="6" t="n">
        <f aca="false">Sens!F9078+Sens!F9079</f>
        <v>149.300763228212</v>
      </c>
      <c r="G9081" s="6" t="n">
        <f aca="false">Sens!G9078+Sens!G9079</f>
        <v>209.717435595724</v>
      </c>
      <c r="H9081" s="6" t="n">
        <f aca="false">Sens!H9078+Sens!H9079</f>
        <v>275.609379139796</v>
      </c>
      <c r="I9081" s="6" t="n">
        <f aca="false">Sens!I9078+Sens!I9079</f>
        <v>328.385590088388</v>
      </c>
      <c r="J9081" s="6" t="n">
        <f aca="false">Sens!J9078+Sens!J9079</f>
        <v>366.611538086225</v>
      </c>
      <c r="K9081" s="6" t="n">
        <f aca="false">Sens!K9078+Sens!K9079</f>
        <v>390.915354182102</v>
      </c>
    </row>
    <row r="9082" customFormat="false" ht="17.15" hidden="false" customHeight="false" outlineLevel="0" collapsed="false">
      <c r="A9082" s="0" t="s">
        <v>1026</v>
      </c>
      <c r="B9082" s="1" t="s">
        <v>610</v>
      </c>
      <c r="C9082" s="30" t="n">
        <f aca="false">cop_s24</f>
        <v>1</v>
      </c>
      <c r="D9082" s="30" t="n">
        <f aca="false">cop_s25</f>
        <v>5</v>
      </c>
      <c r="E9082" s="30" t="n">
        <f aca="false">cop_s26</f>
        <v>30</v>
      </c>
      <c r="F9082" s="30" t="n">
        <f aca="false">Sens!E9082+cop_add_A</f>
        <v>60</v>
      </c>
      <c r="G9082" s="30" t="n">
        <f aca="false">Sens!F9082+cop_add_A</f>
        <v>90</v>
      </c>
      <c r="H9082" s="30" t="n">
        <f aca="false">Sens!G9082+cop_add_A</f>
        <v>120</v>
      </c>
      <c r="I9082" s="30" t="n">
        <f aca="false">Sens!H9082+cop_add_A*cop_tail</f>
        <v>135</v>
      </c>
      <c r="J9082" s="30" t="n">
        <f aca="false">Sens!I9082+cop_add_A*cop_tail</f>
        <v>150</v>
      </c>
      <c r="K9082" s="30" t="n">
        <f aca="false">Sens!J9082+cop_add_A*cop_tail</f>
        <v>165</v>
      </c>
      <c r="L9082" s="12" t="s">
        <v>1027</v>
      </c>
    </row>
    <row r="9083" customFormat="false" ht="17.15" hidden="false" customHeight="false" outlineLevel="0" collapsed="false">
      <c r="A9083" s="0" t="s">
        <v>1028</v>
      </c>
      <c r="B9083" s="0" t="s">
        <v>98</v>
      </c>
      <c r="D9083" s="6" t="n">
        <f aca="false">(Sens!C9082+Sens!D9082)/2*cop_px*12/1000</f>
        <v>0.9</v>
      </c>
      <c r="E9083" s="6" t="n">
        <f aca="false">(Sens!D9082+Sens!E9082)/2*cop_px*12/1000</f>
        <v>5.25</v>
      </c>
      <c r="F9083" s="6" t="n">
        <f aca="false">(Sens!E9082+Sens!F9082)/2*cop_px*12/1000</f>
        <v>13.5</v>
      </c>
      <c r="G9083" s="6" t="n">
        <f aca="false">(Sens!F9082+Sens!G9082)/2*cop_px*12/1000</f>
        <v>22.5</v>
      </c>
      <c r="H9083" s="6" t="n">
        <f aca="false">(Sens!G9082+Sens!H9082)/2*cop_px*12/1000</f>
        <v>31.5</v>
      </c>
      <c r="I9083" s="6" t="n">
        <f aca="false">(Sens!H9082+Sens!I9082)/2*cop_px*12/1000</f>
        <v>38.25</v>
      </c>
      <c r="J9083" s="6" t="n">
        <f aca="false">(Sens!I9082+Sens!J9082)/2*cop_px*12/1000</f>
        <v>42.75</v>
      </c>
      <c r="K9083" s="6" t="n">
        <f aca="false">(Sens!J9082+Sens!K9082)/2*cop_px*12/1000</f>
        <v>47.25</v>
      </c>
      <c r="L9083" s="1" t="s">
        <v>1029</v>
      </c>
    </row>
    <row r="9084" customFormat="false" ht="17.15" hidden="false" customHeight="false" outlineLevel="0" collapsed="false">
      <c r="A9084" s="0" t="s">
        <v>1030</v>
      </c>
      <c r="B9084" s="0" t="s">
        <v>98</v>
      </c>
      <c r="D9084" s="6" t="n">
        <f aca="false">Q!L7-Sens!D9083</f>
        <v>83.705</v>
      </c>
      <c r="E9084" s="6" t="n">
        <f aca="false">Q!M7-Sens!E9083</f>
        <v>95.049</v>
      </c>
      <c r="F9084" s="6" t="n">
        <f aca="false">Q!$I$7+(Sens!E9084*(1+Sens!F9085)+Sens!F9083)*(1-Q!$E$7/Q!M7)-Sens!F9083</f>
        <v>106.229653205718</v>
      </c>
      <c r="G9084" s="6" t="n">
        <f aca="false">Sens!F9084*(1+Sens!G9085)</f>
        <v>118.306092647576</v>
      </c>
      <c r="H9084" s="6" t="n">
        <f aca="false">Sens!G9084*(1+Sens!H9085)</f>
        <v>130.463437602768</v>
      </c>
      <c r="I9084" s="6" t="n">
        <f aca="false">Sens!H9084*(1+Sens!I9085)</f>
        <v>142.445354741933</v>
      </c>
      <c r="J9084" s="6" t="n">
        <f aca="false">Sens!I9084*(1+Sens!J9085)</f>
        <v>153.972117481571</v>
      </c>
      <c r="K9084" s="6" t="n">
        <f aca="false">Sens!J9084*(1+Sens!K9085)</f>
        <v>164.75016570528</v>
      </c>
      <c r="L9084" s="12" t="s">
        <v>1031</v>
      </c>
    </row>
    <row r="9085" customFormat="false" ht="15" hidden="false" customHeight="false" outlineLevel="0" collapsed="false">
      <c r="A9085" s="1" t="s">
        <v>1024</v>
      </c>
      <c r="B9085" s="0" t="s">
        <v>168</v>
      </c>
      <c r="E9085" s="7" t="n">
        <f aca="false">Sens!E9084/Sens!D9084-1</f>
        <v>0.135523564900544</v>
      </c>
      <c r="F9085" s="7" t="n">
        <f aca="false">Sens!$E$9085+(glt_m365b-Sens!$E$9085)*MIN(1,(Sens!F9037-base_fy)/n_conv)</f>
        <v>0.124602970750453</v>
      </c>
      <c r="G9085" s="7" t="n">
        <f aca="false">Sens!$E$9085+(glt_m365b-Sens!$E$9085)*MIN(1,(Sens!G9037-base_fy)/n_conv)</f>
        <v>0.113682376600363</v>
      </c>
      <c r="H9085" s="7" t="n">
        <f aca="false">Sens!$E$9085+(glt_m365b-Sens!$E$9085)*MIN(1,(Sens!H9037-base_fy)/n_conv)</f>
        <v>0.102761782450272</v>
      </c>
      <c r="I9085" s="7" t="n">
        <f aca="false">Sens!$E$9085+(glt_m365b-Sens!$E$9085)*MIN(1,(Sens!I9037-base_fy)/n_conv)</f>
        <v>0.0918411883001813</v>
      </c>
      <c r="J9085" s="7" t="n">
        <f aca="false">Sens!$E$9085+(glt_m365b-Sens!$E$9085)*MIN(1,(Sens!J9037-base_fy)/n_conv)</f>
        <v>0.0809205941500906</v>
      </c>
      <c r="K9085" s="7" t="n">
        <f aca="false">Sens!$E$9085+(glt_m365b-Sens!$E$9085)*MIN(1,(Sens!K9037-base_fy)/n_conv)</f>
        <v>0.07</v>
      </c>
    </row>
    <row r="9086" customFormat="false" ht="15" hidden="false" customHeight="false" outlineLevel="0" collapsed="false">
      <c r="A9086" s="0" t="s">
        <v>1032</v>
      </c>
      <c r="B9086" s="0" t="s">
        <v>98</v>
      </c>
      <c r="D9086" s="6" t="n">
        <f aca="false">Sens!D9084+Sens!D9083</f>
        <v>84.605</v>
      </c>
      <c r="E9086" s="6" t="n">
        <f aca="false">Sens!E9084+Sens!E9083</f>
        <v>100.299</v>
      </c>
      <c r="F9086" s="6" t="n">
        <f aca="false">Sens!F9084+Sens!F9083</f>
        <v>119.729653205718</v>
      </c>
      <c r="G9086" s="6" t="n">
        <f aca="false">Sens!G9084+Sens!G9083</f>
        <v>140.806092647576</v>
      </c>
      <c r="H9086" s="6" t="n">
        <f aca="false">Sens!H9084+Sens!H9083</f>
        <v>161.963437602768</v>
      </c>
      <c r="I9086" s="6" t="n">
        <f aca="false">Sens!I9084+Sens!I9083</f>
        <v>180.695354741933</v>
      </c>
      <c r="J9086" s="6" t="n">
        <f aca="false">Sens!J9084+Sens!J9083</f>
        <v>196.722117481571</v>
      </c>
      <c r="K9086" s="6" t="n">
        <f aca="false">Sens!K9084+Sens!K9083</f>
        <v>212.00016570528</v>
      </c>
    </row>
    <row r="9087" customFormat="false" ht="17.15" hidden="false" customHeight="false" outlineLevel="0" collapsed="false">
      <c r="A9087" s="0" t="s">
        <v>1033</v>
      </c>
      <c r="B9087" s="0" t="s">
        <v>98</v>
      </c>
      <c r="D9087" s="6" t="n">
        <f aca="false">Q!L8</f>
        <v>35.391</v>
      </c>
      <c r="E9087" s="6" t="n">
        <f aca="false">Q!M8</f>
        <v>37.285</v>
      </c>
      <c r="F9087" s="6" t="n">
        <f aca="false">Q!$I$8+(Q!M8-Q!$E$8)*(1+Sens!F9088)</f>
        <v>38.3851437782675</v>
      </c>
      <c r="G9087" s="6" t="n">
        <f aca="false">Sens!F9087*(1+Sens!G9088)</f>
        <v>40.0105353288615</v>
      </c>
      <c r="H9087" s="6" t="n">
        <f aca="false">Sens!G9087*(1+Sens!H9088)</f>
        <v>41.4812512033683</v>
      </c>
      <c r="I9087" s="6" t="n">
        <f aca="false">Sens!H9087*(1+Sens!I9088)</f>
        <v>42.7743107216329</v>
      </c>
      <c r="J9087" s="6" t="n">
        <f aca="false">Sens!I9087*(1+Sens!J9088)</f>
        <v>43.8687373064601</v>
      </c>
      <c r="K9087" s="6" t="n">
        <f aca="false">Sens!J9087*(1+Sens!K9088)</f>
        <v>44.7461120525893</v>
      </c>
      <c r="L9087" s="12" t="s">
        <v>1034</v>
      </c>
    </row>
    <row r="9088" customFormat="false" ht="15" hidden="false" customHeight="false" outlineLevel="0" collapsed="false">
      <c r="A9088" s="1" t="s">
        <v>1024</v>
      </c>
      <c r="B9088" s="0" t="s">
        <v>168</v>
      </c>
      <c r="E9088" s="7" t="n">
        <f aca="false">Sens!E9087/Sens!D9087-1</f>
        <v>0.0535164307309768</v>
      </c>
      <c r="F9088" s="7" t="n">
        <f aca="false">Sens!$E$9088+(glt_lic-Sens!$E$9088)*MIN(1,(Sens!F9037-base_fy)/n_conv)</f>
        <v>0.0479303589424807</v>
      </c>
      <c r="G9088" s="7" t="n">
        <f aca="false">Sens!$E$9088+(glt_lic-Sens!$E$9088)*MIN(1,(Sens!G9037-base_fy)/n_conv)</f>
        <v>0.0423442871539845</v>
      </c>
      <c r="H9088" s="7" t="n">
        <f aca="false">Sens!$E$9088+(glt_lic-Sens!$E$9088)*MIN(1,(Sens!H9037-base_fy)/n_conv)</f>
        <v>0.0367582153654884</v>
      </c>
      <c r="I9088" s="7" t="n">
        <f aca="false">Sens!$E$9088+(glt_lic-Sens!$E$9088)*MIN(1,(Sens!I9037-base_fy)/n_conv)</f>
        <v>0.0311721435769923</v>
      </c>
      <c r="J9088" s="7" t="n">
        <f aca="false">Sens!$E$9088+(glt_lic-Sens!$E$9088)*MIN(1,(Sens!J9037-base_fy)/n_conv)</f>
        <v>0.0255860717884961</v>
      </c>
      <c r="K9088" s="7" t="n">
        <f aca="false">Sens!$E$9088+(glt_lic-Sens!$E$9088)*MIN(1,(Sens!K9037-base_fy)/n_conv)</f>
        <v>0.02</v>
      </c>
    </row>
    <row r="9089" customFormat="false" ht="17.15" hidden="false" customHeight="false" outlineLevel="0" collapsed="false">
      <c r="A9089" s="0" t="s">
        <v>1035</v>
      </c>
      <c r="B9089" s="0" t="s">
        <v>98</v>
      </c>
      <c r="D9089" s="6" t="n">
        <f aca="false">Q!L9</f>
        <v>18.417</v>
      </c>
      <c r="E9089" s="6" t="n">
        <f aca="false">Q!M9</f>
        <v>20.345</v>
      </c>
      <c r="F9089" s="6" t="n">
        <f aca="false">Q!$I$9+(Q!M9-Q!$E$9)*(1+Sens!F9090)</f>
        <v>22.3161797133988</v>
      </c>
      <c r="G9089" s="6" t="n">
        <f aca="false">Sens!F9089*(1+Sens!G9090)</f>
        <v>24.3943499673233</v>
      </c>
      <c r="H9089" s="6" t="n">
        <f aca="false">Sens!G9089*(1+Sens!H9090)</f>
        <v>26.5250243109019</v>
      </c>
      <c r="I9089" s="6" t="n">
        <f aca="false">Sens!H9089*(1+Sens!I9090)</f>
        <v>28.6884573538181</v>
      </c>
      <c r="J9089" s="6" t="n">
        <f aca="false">Sens!I9089*(1+Sens!J9090)</f>
        <v>30.8624968052127</v>
      </c>
      <c r="K9089" s="6" t="n">
        <f aca="false">Sens!J9089*(1+Sens!K9090)</f>
        <v>33.0228715815776</v>
      </c>
      <c r="L9089" s="12" t="s">
        <v>1034</v>
      </c>
    </row>
    <row r="9090" customFormat="false" ht="15" hidden="false" customHeight="false" outlineLevel="0" collapsed="false">
      <c r="A9090" s="1" t="s">
        <v>1024</v>
      </c>
      <c r="B9090" s="0" t="s">
        <v>168</v>
      </c>
      <c r="E9090" s="7" t="n">
        <f aca="false">Sens!E9089/Sens!D9089-1</f>
        <v>0.104685888038225</v>
      </c>
      <c r="F9090" s="7" t="n">
        <f aca="false">Sens!$E$9090+(glt_ind-Sens!$E$9090)*MIN(1,(Sens!F9037-base_fy)/n_conv)</f>
        <v>0.0989049066985211</v>
      </c>
      <c r="G9090" s="7" t="n">
        <f aca="false">Sens!$E$9090+(glt_ind-Sens!$E$9090)*MIN(1,(Sens!G9037-base_fy)/n_conv)</f>
        <v>0.0931239253588169</v>
      </c>
      <c r="H9090" s="7" t="n">
        <f aca="false">Sens!$E$9090+(glt_ind-Sens!$E$9090)*MIN(1,(Sens!H9037-base_fy)/n_conv)</f>
        <v>0.0873429440191127</v>
      </c>
      <c r="I9090" s="7" t="n">
        <f aca="false">Sens!$E$9090+(glt_ind-Sens!$E$9090)*MIN(1,(Sens!I9037-base_fy)/n_conv)</f>
        <v>0.0815619626794085</v>
      </c>
      <c r="J9090" s="7" t="n">
        <f aca="false">Sens!$E$9090+(glt_ind-Sens!$E$9090)*MIN(1,(Sens!J9037-base_fy)/n_conv)</f>
        <v>0.0757809813397042</v>
      </c>
      <c r="K9090" s="7" t="n">
        <f aca="false">Sens!$E$9090+(glt_ind-Sens!$E$9090)*MIN(1,(Sens!K9037-base_fy)/n_conv)</f>
        <v>0.07</v>
      </c>
    </row>
    <row r="9091" customFormat="false" ht="17.15" hidden="false" customHeight="false" outlineLevel="0" collapsed="false">
      <c r="A9091" s="0" t="s">
        <v>1036</v>
      </c>
      <c r="B9091" s="0" t="s">
        <v>98</v>
      </c>
      <c r="D9091" s="6" t="n">
        <f aca="false">Q!L10</f>
        <v>7.76</v>
      </c>
      <c r="E9091" s="6" t="n">
        <f aca="false">Q!M10</f>
        <v>8.26</v>
      </c>
      <c r="F9091" s="6" t="n">
        <f aca="false">Q!$I$10+(Q!M10-Q!$E$10)*(1+Sens!F9092)</f>
        <v>8.75372082474227</v>
      </c>
      <c r="G9091" s="6" t="n">
        <f aca="false">Sens!F9091*(1+Sens!G9092)</f>
        <v>9.33399324642364</v>
      </c>
      <c r="H9091" s="6" t="n">
        <f aca="false">Sens!G9091*(1+Sens!H9092)</f>
        <v>9.96139155535851</v>
      </c>
      <c r="I9091" s="6" t="n">
        <f aca="false">Sens!H9091*(1+Sens!I9092)</f>
        <v>10.6402039077391</v>
      </c>
      <c r="J9091" s="6" t="n">
        <f aca="false">Sens!I9091*(1+Sens!J9092)</f>
        <v>11.3751458271397</v>
      </c>
      <c r="K9091" s="6" t="n">
        <f aca="false">Sens!J9091*(1+Sens!K9092)</f>
        <v>12.1714060350394</v>
      </c>
      <c r="L9091" s="12" t="s">
        <v>1034</v>
      </c>
    </row>
    <row r="9092" customFormat="false" ht="15" hidden="false" customHeight="false" outlineLevel="0" collapsed="false">
      <c r="A9092" s="1" t="s">
        <v>1024</v>
      </c>
      <c r="B9092" s="0" t="s">
        <v>168</v>
      </c>
      <c r="E9092" s="7" t="n">
        <f aca="false">Sens!E9091/Sens!D9091-1</f>
        <v>0.0644329896907216</v>
      </c>
      <c r="F9092" s="7" t="n">
        <f aca="false">Sens!$E$9092+(glt_fro-Sens!$E$9092)*MIN(1,(Sens!F9037-base_fy)/n_conv)</f>
        <v>0.065360824742268</v>
      </c>
      <c r="G9092" s="7" t="n">
        <f aca="false">Sens!$E$9092+(glt_fro-Sens!$E$9092)*MIN(1,(Sens!G9037-base_fy)/n_conv)</f>
        <v>0.0662886597938144</v>
      </c>
      <c r="H9092" s="7" t="n">
        <f aca="false">Sens!$E$9092+(glt_fro-Sens!$E$9092)*MIN(1,(Sens!H9037-base_fy)/n_conv)</f>
        <v>0.0672164948453608</v>
      </c>
      <c r="I9092" s="7" t="n">
        <f aca="false">Sens!$E$9092+(glt_fro-Sens!$E$9092)*MIN(1,(Sens!I9037-base_fy)/n_conv)</f>
        <v>0.0681443298969072</v>
      </c>
      <c r="J9092" s="7" t="n">
        <f aca="false">Sens!$E$9092+(glt_fro-Sens!$E$9092)*MIN(1,(Sens!J9037-base_fy)/n_conv)</f>
        <v>0.0690721649484536</v>
      </c>
      <c r="K9092" s="7" t="n">
        <f aca="false">Sens!$E$9092+(glt_fro-Sens!$E$9092)*MIN(1,(Sens!K9037-base_fy)/n_conv)</f>
        <v>0.07</v>
      </c>
    </row>
    <row r="9093" customFormat="false" ht="15" hidden="false" customHeight="false" outlineLevel="0" collapsed="false">
      <c r="A9093" s="0" t="s">
        <v>852</v>
      </c>
      <c r="B9093" s="0" t="s">
        <v>98</v>
      </c>
      <c r="D9093" s="6" t="n">
        <f aca="false">Sens!D9081+Sens!D9086+Sens!D9087+Sens!D9089+Sens!D9091</f>
        <v>218.783</v>
      </c>
      <c r="E9093" s="6" t="n">
        <f aca="false">Sens!E9081+Sens!E9086+Sens!E9087+Sens!E9089+Sens!E9091</f>
        <v>268.127</v>
      </c>
      <c r="F9093" s="6" t="n">
        <f aca="false">Sens!F9081+Sens!F9086+Sens!F9087+Sens!F9089+Sens!F9091</f>
        <v>338.485460750339</v>
      </c>
      <c r="G9093" s="6" t="n">
        <f aca="false">Sens!G9081+Sens!G9086+Sens!G9087+Sens!G9089+Sens!G9091</f>
        <v>424.262406785908</v>
      </c>
      <c r="H9093" s="6" t="n">
        <f aca="false">Sens!H9081+Sens!H9086+Sens!H9087+Sens!H9089+Sens!H9091</f>
        <v>515.540483812193</v>
      </c>
      <c r="I9093" s="6" t="n">
        <f aca="false">Sens!I9081+Sens!I9086+Sens!I9087+Sens!I9089+Sens!I9091</f>
        <v>591.183916813511</v>
      </c>
      <c r="J9093" s="6" t="n">
        <f aca="false">Sens!J9081+Sens!J9086+Sens!J9087+Sens!J9089+Sens!J9091</f>
        <v>649.440035506608</v>
      </c>
      <c r="K9093" s="6" t="n">
        <f aca="false">Sens!K9081+Sens!K9086+Sens!K9087+Sens!K9089+Sens!K9091</f>
        <v>692.855909556589</v>
      </c>
    </row>
    <row r="9094" customFormat="false" ht="17.15" hidden="false" customHeight="false" outlineLevel="0" collapsed="false">
      <c r="A9094" s="0" t="s">
        <v>1037</v>
      </c>
      <c r="B9094" s="0" t="s">
        <v>98</v>
      </c>
      <c r="D9094" s="6" t="n">
        <f aca="false">Q!L13</f>
        <v>22.171</v>
      </c>
      <c r="E9094" s="6" t="n">
        <f aca="false">Q!M13</f>
        <v>24.835</v>
      </c>
      <c r="F9094" s="6" t="n">
        <f aca="false">Q!$I$13+(Q!M13-Q!$E$13)*(1+Sens!F9095)</f>
        <v>27.5591895660247</v>
      </c>
      <c r="G9094" s="6" t="n">
        <f aca="false">Sens!F9094*(1+Sens!G9095)</f>
        <v>30.4098563144583</v>
      </c>
      <c r="H9094" s="6" t="n">
        <f aca="false">Sens!G9094*(1+Sens!H9095)</f>
        <v>33.3011792571777</v>
      </c>
      <c r="I9094" s="6" t="n">
        <f aca="false">Sens!H9094*(1+Sens!I9095)</f>
        <v>36.189023797112</v>
      </c>
      <c r="J9094" s="6" t="n">
        <f aca="false">Sens!I9094*(1+Sens!J9095)</f>
        <v>39.0247773769199</v>
      </c>
      <c r="K9094" s="6" t="n">
        <f aca="false">Sens!J9094*(1+Sens!K9095)</f>
        <v>41.7565117933043</v>
      </c>
      <c r="L9094" s="12" t="s">
        <v>1034</v>
      </c>
    </row>
    <row r="9095" customFormat="false" ht="15" hidden="false" customHeight="false" outlineLevel="0" collapsed="false">
      <c r="A9095" s="1" t="s">
        <v>1024</v>
      </c>
      <c r="B9095" s="0" t="s">
        <v>168</v>
      </c>
      <c r="E9095" s="7" t="n">
        <f aca="false">Sens!E9094/Sens!D9094-1</f>
        <v>0.120156961796942</v>
      </c>
      <c r="F9095" s="7" t="n">
        <f aca="false">Sens!$E$9095+(glt_srch-Sens!$E$9095)*MIN(1,(Sens!F9037-base_fy)/n_conv)</f>
        <v>0.111797468164118</v>
      </c>
      <c r="G9095" s="7" t="n">
        <f aca="false">Sens!$E$9095+(glt_srch-Sens!$E$9095)*MIN(1,(Sens!G9037-base_fy)/n_conv)</f>
        <v>0.103437974531295</v>
      </c>
      <c r="H9095" s="7" t="n">
        <f aca="false">Sens!$E$9095+(glt_srch-Sens!$E$9095)*MIN(1,(Sens!H9037-base_fy)/n_conv)</f>
        <v>0.095078480898471</v>
      </c>
      <c r="I9095" s="7" t="n">
        <f aca="false">Sens!$E$9095+(glt_srch-Sens!$E$9095)*MIN(1,(Sens!I9037-base_fy)/n_conv)</f>
        <v>0.0867189872656474</v>
      </c>
      <c r="J9095" s="7" t="n">
        <f aca="false">Sens!$E$9095+(glt_srch-Sens!$E$9095)*MIN(1,(Sens!J9037-base_fy)/n_conv)</f>
        <v>0.0783594936328237</v>
      </c>
      <c r="K9095" s="7" t="n">
        <f aca="false">Sens!$E$9095+(glt_srch-Sens!$E$9095)*MIN(1,(Sens!K9037-base_fy)/n_conv)</f>
        <v>0.07</v>
      </c>
    </row>
    <row r="9096" customFormat="false" ht="17.15" hidden="false" customHeight="false" outlineLevel="0" collapsed="false">
      <c r="A9096" s="0" t="s">
        <v>1038</v>
      </c>
      <c r="B9096" s="0" t="s">
        <v>98</v>
      </c>
      <c r="D9096" s="6" t="n">
        <f aca="false">Q!L14</f>
        <v>23.455</v>
      </c>
      <c r="E9096" s="6" t="n">
        <f aca="false">Q!M14</f>
        <v>21.79</v>
      </c>
      <c r="F9096" s="6" t="n">
        <f aca="false">Q!$I$14+(Q!M14-Q!$E$14)*(1+Sens!F9097)</f>
        <v>20.7520981041711</v>
      </c>
      <c r="G9096" s="6" t="n">
        <f aca="false">Sens!F9096*(1+Sens!G9097)</f>
        <v>19.9083593495882</v>
      </c>
      <c r="H9096" s="6" t="n">
        <f aca="false">Sens!G9096*(1+Sens!H9097)</f>
        <v>19.4008256265831</v>
      </c>
      <c r="I9096" s="6" t="n">
        <f aca="false">Sens!H9096*(1+Sens!I9097)</f>
        <v>19.200434522122</v>
      </c>
      <c r="J9096" s="6" t="n">
        <f aca="false">Sens!I9096*(1+Sens!J9097)</f>
        <v>19.2932782348507</v>
      </c>
      <c r="K9096" s="6" t="n">
        <f aca="false">Sens!J9096*(1+Sens!K9097)</f>
        <v>19.6791437995477</v>
      </c>
      <c r="L9096" s="12" t="s">
        <v>1034</v>
      </c>
    </row>
    <row r="9097" customFormat="false" ht="15" hidden="false" customHeight="false" outlineLevel="0" collapsed="false">
      <c r="A9097" s="1" t="s">
        <v>1024</v>
      </c>
      <c r="B9097" s="0" t="s">
        <v>168</v>
      </c>
      <c r="E9097" s="7" t="n">
        <f aca="false">Sens!E9096/Sens!D9096-1</f>
        <v>-0.0709869963760392</v>
      </c>
      <c r="F9097" s="7" t="n">
        <f aca="false">Sens!$E$9097+(glt_xbox-Sens!$E$9097)*MIN(1,(Sens!F9037-base_fy)/n_conv)</f>
        <v>-0.0558224969800327</v>
      </c>
      <c r="G9097" s="7" t="n">
        <f aca="false">Sens!$E$9097+(glt_xbox-Sens!$E$9097)*MIN(1,(Sens!G9037-base_fy)/n_conv)</f>
        <v>-0.0406579975840262</v>
      </c>
      <c r="H9097" s="7" t="n">
        <f aca="false">Sens!$E$9097+(glt_xbox-Sens!$E$9097)*MIN(1,(Sens!H9037-base_fy)/n_conv)</f>
        <v>-0.0254934981880196</v>
      </c>
      <c r="I9097" s="7" t="n">
        <f aca="false">Sens!$E$9097+(glt_xbox-Sens!$E$9097)*MIN(1,(Sens!I9037-base_fy)/n_conv)</f>
        <v>-0.0103289987920131</v>
      </c>
      <c r="J9097" s="7" t="n">
        <f aca="false">Sens!$E$9097+(glt_xbox-Sens!$E$9097)*MIN(1,(Sens!J9037-base_fy)/n_conv)</f>
        <v>0.00483550060399347</v>
      </c>
      <c r="K9097" s="7" t="n">
        <f aca="false">Sens!$E$9097+(glt_xbox-Sens!$E$9097)*MIN(1,(Sens!K9037-base_fy)/n_conv)</f>
        <v>0.02</v>
      </c>
    </row>
    <row r="9098" customFormat="false" ht="17.15" hidden="false" customHeight="false" outlineLevel="0" collapsed="false">
      <c r="A9098" s="0" t="s">
        <v>1039</v>
      </c>
      <c r="B9098" s="0" t="s">
        <v>98</v>
      </c>
      <c r="D9098" s="6" t="n">
        <f aca="false">Q!L15</f>
        <v>17.315</v>
      </c>
      <c r="E9098" s="6" t="n">
        <f aca="false">Q!M15</f>
        <v>17.087</v>
      </c>
      <c r="F9098" s="6" t="n">
        <f aca="false">Q!$I$15+(Q!M15-Q!$E$15)*(1+Sens!F9099)</f>
        <v>15.9912273250553</v>
      </c>
      <c r="G9098" s="6" t="n">
        <f aca="false">Sens!F9098*(1+Sens!G9099)</f>
        <v>15.9574562664827</v>
      </c>
      <c r="H9098" s="6" t="n">
        <f aca="false">Sens!G9098*(1+Sens!H9099)</f>
        <v>16.0119687434196</v>
      </c>
      <c r="I9098" s="6" t="n">
        <f aca="false">Sens!H9098*(1+Sens!I9099)</f>
        <v>16.1551810001948</v>
      </c>
      <c r="J9098" s="6" t="n">
        <f aca="false">Sens!I9098*(1+Sens!J9099)</f>
        <v>16.3889793892005</v>
      </c>
      <c r="K9098" s="6" t="n">
        <f aca="false">Sens!J9098*(1+Sens!K9099)</f>
        <v>16.7167589769845</v>
      </c>
      <c r="L9098" s="12" t="s">
        <v>1034</v>
      </c>
    </row>
    <row r="9099" customFormat="false" ht="15" hidden="false" customHeight="false" outlineLevel="0" collapsed="false">
      <c r="A9099" s="1" t="s">
        <v>1024</v>
      </c>
      <c r="B9099" s="0" t="s">
        <v>168</v>
      </c>
      <c r="E9099" s="7" t="n">
        <f aca="false">Sens!E9098/Sens!D9098-1</f>
        <v>-0.0131677736066995</v>
      </c>
      <c r="F9099" s="7" t="n">
        <f aca="false">Sens!$E$9099+(glt_win-Sens!$E$9099)*MIN(1,(Sens!F9037-base_fy)/n_conv)</f>
        <v>-0.00763981133891627</v>
      </c>
      <c r="G9099" s="7" t="n">
        <f aca="false">Sens!$E$9099+(glt_win-Sens!$E$9099)*MIN(1,(Sens!G9037-base_fy)/n_conv)</f>
        <v>-0.00211184907113301</v>
      </c>
      <c r="H9099" s="7" t="n">
        <f aca="false">Sens!$E$9099+(glt_win-Sens!$E$9099)*MIN(1,(Sens!H9037-base_fy)/n_conv)</f>
        <v>0.00341611319665024</v>
      </c>
      <c r="I9099" s="7" t="n">
        <f aca="false">Sens!$E$9099+(glt_win-Sens!$E$9099)*MIN(1,(Sens!I9037-base_fy)/n_conv)</f>
        <v>0.00894407546443349</v>
      </c>
      <c r="J9099" s="7" t="n">
        <f aca="false">Sens!$E$9099+(glt_win-Sens!$E$9099)*MIN(1,(Sens!J9037-base_fy)/n_conv)</f>
        <v>0.0144720377322168</v>
      </c>
      <c r="K9099" s="7" t="n">
        <f aca="false">Sens!$E$9099+(glt_win-Sens!$E$9099)*MIN(1,(Sens!K9037-base_fy)/n_conv)</f>
        <v>0.02</v>
      </c>
    </row>
    <row r="9100" customFormat="false" ht="15" hidden="false" customHeight="false" outlineLevel="0" collapsed="false">
      <c r="A9100" s="0" t="s">
        <v>866</v>
      </c>
      <c r="B9100" s="0" t="s">
        <v>98</v>
      </c>
      <c r="D9100" s="6" t="n">
        <f aca="false">Sens!D9094+Sens!D9096+Sens!D9098</f>
        <v>62.941</v>
      </c>
      <c r="E9100" s="6" t="n">
        <f aca="false">Sens!E9094+Sens!E9096+Sens!E9098</f>
        <v>63.712</v>
      </c>
      <c r="F9100" s="6" t="n">
        <f aca="false">Sens!F9094+Sens!F9096+Sens!F9098</f>
        <v>64.3025149952511</v>
      </c>
      <c r="G9100" s="6" t="n">
        <f aca="false">Sens!G9094+Sens!G9096+Sens!G9098</f>
        <v>66.2756719305292</v>
      </c>
      <c r="H9100" s="6" t="n">
        <f aca="false">Sens!H9094+Sens!H9096+Sens!H9098</f>
        <v>68.7139736271804</v>
      </c>
      <c r="I9100" s="6" t="n">
        <f aca="false">Sens!I9094+Sens!I9096+Sens!I9098</f>
        <v>71.5446393194289</v>
      </c>
      <c r="J9100" s="6" t="n">
        <f aca="false">Sens!J9094+Sens!J9096+Sens!J9098</f>
        <v>74.707035000971</v>
      </c>
      <c r="K9100" s="6" t="n">
        <f aca="false">Sens!K9094+Sens!K9096+Sens!K9098</f>
        <v>78.1524145698365</v>
      </c>
    </row>
    <row r="9101" customFormat="false" ht="15" hidden="false" customHeight="false" outlineLevel="0" collapsed="false">
      <c r="A9101" s="1" t="s">
        <v>1040</v>
      </c>
      <c r="B9101" s="0" t="s">
        <v>98</v>
      </c>
      <c r="D9101" s="6" t="n">
        <f aca="false">Sens!D9093+Sens!D9100</f>
        <v>281.724</v>
      </c>
      <c r="E9101" s="6" t="n">
        <f aca="false">Sens!E9093+Sens!E9100</f>
        <v>331.839</v>
      </c>
      <c r="F9101" s="6" t="n">
        <f aca="false">Sens!F9093+Sens!F9100</f>
        <v>402.78797574559</v>
      </c>
      <c r="G9101" s="6" t="n">
        <f aca="false">Sens!G9093+Sens!G9100</f>
        <v>490.538078716437</v>
      </c>
      <c r="H9101" s="6" t="n">
        <f aca="false">Sens!H9093+Sens!H9100</f>
        <v>584.254457439373</v>
      </c>
      <c r="I9101" s="6" t="n">
        <f aca="false">Sens!I9093+Sens!I9100</f>
        <v>662.72855613294</v>
      </c>
      <c r="J9101" s="6" t="n">
        <f aca="false">Sens!J9093+Sens!J9100</f>
        <v>724.147070507579</v>
      </c>
      <c r="K9101" s="6" t="n">
        <f aca="false">Sens!K9093+Sens!K9100</f>
        <v>771.008324126426</v>
      </c>
    </row>
    <row r="9102" customFormat="false" ht="15" hidden="false" customHeight="false" outlineLevel="0" collapsed="false">
      <c r="A9102" s="26" t="s">
        <v>1041</v>
      </c>
      <c r="B9102" s="31" t="s">
        <v>98</v>
      </c>
      <c r="C9102" s="31"/>
      <c r="D9102" s="27" t="n">
        <f aca="false">(Sens!D9081+Sens!D9086+Sens!D9087+Sens!D9089+Sens!D9091-Sens!D9093)+(Sens!D9094+Sens!D9096+Sens!D9098-Sens!D9100)+(Sens!D9093-Q!L5)+(Sens!D9100-Q!L12)+(Sens!D9081-Q!L6)+(Sens!D9086-Q!L7)</f>
        <v>0</v>
      </c>
      <c r="E9102" s="27" t="n">
        <f aca="false">(Sens!E9081+Sens!E9086+Sens!E9087+Sens!E9089+Sens!E9091-Sens!E9093)+(Sens!E9094+Sens!E9096+Sens!E9098-Sens!E9100)+(Sens!E9093-Q!M5)+(Sens!E9100-Q!M12)+(Sens!E9081-Q!M6)+(Sens!E9086-Q!M7)</f>
        <v>0</v>
      </c>
      <c r="F9102" s="27" t="n">
        <f aca="false">(Sens!F9081+Sens!F9086+Sens!F9087+Sens!F9089+Sens!F9091-Sens!F9093)+(Sens!F9094+Sens!F9096+Sens!F9098-Sens!F9100)</f>
        <v>0</v>
      </c>
      <c r="G9102" s="27" t="n">
        <f aca="false">(Sens!G9081+Sens!G9086+Sens!G9087+Sens!G9089+Sens!G9091-Sens!G9093)+(Sens!G9094+Sens!G9096+Sens!G9098-Sens!G9100)</f>
        <v>0</v>
      </c>
      <c r="H9102" s="27" t="n">
        <f aca="false">(Sens!H9081+Sens!H9086+Sens!H9087+Sens!H9089+Sens!H9091-Sens!H9093)+(Sens!H9094+Sens!H9096+Sens!H9098-Sens!H9100)</f>
        <v>0</v>
      </c>
      <c r="I9102" s="27" t="n">
        <f aca="false">(Sens!I9081+Sens!I9086+Sens!I9087+Sens!I9089+Sens!I9091-Sens!I9093)+(Sens!I9094+Sens!I9096+Sens!I9098-Sens!I9100)</f>
        <v>0</v>
      </c>
      <c r="J9102" s="27" t="n">
        <f aca="false">(Sens!J9081+Sens!J9086+Sens!J9087+Sens!J9089+Sens!J9091-Sens!J9093)+(Sens!J9094+Sens!J9096+Sens!J9098-Sens!J9100)</f>
        <v>0</v>
      </c>
      <c r="K9102" s="27" t="n">
        <f aca="false">(Sens!K9081+Sens!K9086+Sens!K9087+Sens!K9089+Sens!K9091-Sens!K9093)+(Sens!K9094+Sens!K9096+Sens!K9098-Sens!K9100)</f>
        <v>0</v>
      </c>
    </row>
    <row r="9103" customFormat="false" ht="17.15" hidden="false" customHeight="false" outlineLevel="0" collapsed="false">
      <c r="A9103" s="3" t="s">
        <v>1707</v>
      </c>
    </row>
    <row r="9104" customFormat="false" ht="15" hidden="false" customHeight="false" outlineLevel="0" collapsed="false">
      <c r="A9104" s="4" t="s">
        <v>43</v>
      </c>
      <c r="B9104" s="4" t="s">
        <v>65</v>
      </c>
      <c r="C9104" s="23" t="s">
        <v>938</v>
      </c>
      <c r="D9104" s="23" t="s">
        <v>939</v>
      </c>
      <c r="E9104" s="23" t="s">
        <v>940</v>
      </c>
      <c r="F9104" s="23" t="s">
        <v>941</v>
      </c>
      <c r="G9104" s="23" t="s">
        <v>942</v>
      </c>
      <c r="H9104" s="23" t="s">
        <v>943</v>
      </c>
      <c r="I9104" s="23" t="s">
        <v>944</v>
      </c>
      <c r="J9104" s="23" t="s">
        <v>945</v>
      </c>
      <c r="K9104" s="23" t="s">
        <v>946</v>
      </c>
      <c r="L9104" s="4" t="s">
        <v>47</v>
      </c>
    </row>
    <row r="9105" customFormat="false" ht="15" hidden="false" customHeight="false" outlineLevel="0" collapsed="false">
      <c r="A9105" s="0" t="s">
        <v>1025</v>
      </c>
      <c r="B9105" s="0" t="s">
        <v>98</v>
      </c>
      <c r="D9105" s="6" t="n">
        <f aca="false">Sens!D9081</f>
        <v>72.61</v>
      </c>
      <c r="E9105" s="6" t="n">
        <f aca="false">Sens!E9081</f>
        <v>101.938</v>
      </c>
      <c r="F9105" s="6" t="n">
        <f aca="false">Sens!F9081</f>
        <v>149.300763228212</v>
      </c>
      <c r="G9105" s="6" t="n">
        <f aca="false">Sens!G9081</f>
        <v>209.717435595724</v>
      </c>
      <c r="H9105" s="6" t="n">
        <f aca="false">Sens!H9081</f>
        <v>275.609379139796</v>
      </c>
      <c r="I9105" s="6" t="n">
        <f aca="false">Sens!I9081</f>
        <v>328.385590088388</v>
      </c>
      <c r="J9105" s="6" t="n">
        <f aca="false">Sens!J9081</f>
        <v>366.611538086225</v>
      </c>
      <c r="K9105" s="6" t="n">
        <f aca="false">Sens!K9081</f>
        <v>390.915354182102</v>
      </c>
    </row>
    <row r="9106" customFormat="false" ht="17.15" hidden="false" customHeight="false" outlineLevel="0" collapsed="false">
      <c r="A9106" s="0" t="s">
        <v>1021</v>
      </c>
      <c r="B9106" s="0" t="s">
        <v>98</v>
      </c>
      <c r="D9106" s="6" t="n">
        <f aca="false">Sens!D9078</f>
        <v>12.9359794422418</v>
      </c>
      <c r="E9106" s="6" t="n">
        <f aca="false">Sens!E9078</f>
        <v>27.8095064661409</v>
      </c>
      <c r="F9106" s="6" t="n">
        <f aca="false">Sens!F9078</f>
        <v>59.1034165651511</v>
      </c>
      <c r="G9106" s="6" t="n">
        <f aca="false">Sens!G9078</f>
        <v>103.451498789198</v>
      </c>
      <c r="H9106" s="6" t="n">
        <f aca="false">Sens!H9078</f>
        <v>153.816719989035</v>
      </c>
      <c r="I9106" s="6" t="n">
        <f aca="false">Sens!I9078</f>
        <v>192.699478690852</v>
      </c>
      <c r="J9106" s="6" t="n">
        <f aca="false">Sens!J9078</f>
        <v>219.794102584244</v>
      </c>
      <c r="K9106" s="6" t="n">
        <f aca="false">Sens!K9078</f>
        <v>236.757046905022</v>
      </c>
    </row>
    <row r="9107" customFormat="false" ht="17.15" hidden="false" customHeight="false" outlineLevel="0" collapsed="false">
      <c r="A9107" s="0" t="s">
        <v>1052</v>
      </c>
      <c r="B9107" s="0" t="s">
        <v>98</v>
      </c>
      <c r="D9107" s="6" t="n">
        <f aca="false">Sens!D9079</f>
        <v>59.6740205577583</v>
      </c>
      <c r="E9107" s="6" t="n">
        <f aca="false">Sens!E9079</f>
        <v>74.1284935338591</v>
      </c>
      <c r="F9107" s="6" t="n">
        <f aca="false">Sens!F9079</f>
        <v>90.1973466630612</v>
      </c>
      <c r="G9107" s="6" t="n">
        <f aca="false">Sens!G9079</f>
        <v>106.265936806525</v>
      </c>
      <c r="H9107" s="6" t="n">
        <f aca="false">Sens!H9079</f>
        <v>121.792659150761</v>
      </c>
      <c r="I9107" s="6" t="n">
        <f aca="false">Sens!I9079</f>
        <v>135.686111397536</v>
      </c>
      <c r="J9107" s="6" t="n">
        <f aca="false">Sens!J9079</f>
        <v>146.817435501981</v>
      </c>
      <c r="K9107" s="6" t="n">
        <f aca="false">Sens!K9079</f>
        <v>154.158307277081</v>
      </c>
    </row>
    <row r="9108" customFormat="false" ht="15" hidden="false" customHeight="false" outlineLevel="0" collapsed="false">
      <c r="A9108" s="0" t="s">
        <v>1032</v>
      </c>
      <c r="B9108" s="0" t="s">
        <v>98</v>
      </c>
      <c r="D9108" s="6" t="n">
        <f aca="false">Sens!D9086</f>
        <v>84.605</v>
      </c>
      <c r="E9108" s="6" t="n">
        <f aca="false">Sens!E9086</f>
        <v>100.299</v>
      </c>
      <c r="F9108" s="6" t="n">
        <f aca="false">Sens!F9086</f>
        <v>119.729653205718</v>
      </c>
      <c r="G9108" s="6" t="n">
        <f aca="false">Sens!G9086</f>
        <v>140.806092647576</v>
      </c>
      <c r="H9108" s="6" t="n">
        <f aca="false">Sens!H9086</f>
        <v>161.963437602768</v>
      </c>
      <c r="I9108" s="6" t="n">
        <f aca="false">Sens!I9086</f>
        <v>180.695354741933</v>
      </c>
      <c r="J9108" s="6" t="n">
        <f aca="false">Sens!J9086</f>
        <v>196.722117481571</v>
      </c>
      <c r="K9108" s="6" t="n">
        <f aca="false">Sens!K9086</f>
        <v>212.00016570528</v>
      </c>
    </row>
    <row r="9109" customFormat="false" ht="17.15" hidden="false" customHeight="false" outlineLevel="0" collapsed="false">
      <c r="A9109" s="0" t="s">
        <v>1053</v>
      </c>
      <c r="B9109" s="0" t="s">
        <v>98</v>
      </c>
      <c r="D9109" s="6" t="n">
        <f aca="false">Sens!D9084</f>
        <v>83.705</v>
      </c>
      <c r="E9109" s="6" t="n">
        <f aca="false">Sens!E9084</f>
        <v>95.049</v>
      </c>
      <c r="F9109" s="6" t="n">
        <f aca="false">Sens!F9084</f>
        <v>106.229653205718</v>
      </c>
      <c r="G9109" s="6" t="n">
        <f aca="false">Sens!G9084</f>
        <v>118.306092647576</v>
      </c>
      <c r="H9109" s="6" t="n">
        <f aca="false">Sens!H9084</f>
        <v>130.463437602768</v>
      </c>
      <c r="I9109" s="6" t="n">
        <f aca="false">Sens!I9084</f>
        <v>142.445354741933</v>
      </c>
      <c r="J9109" s="6" t="n">
        <f aca="false">Sens!J9084</f>
        <v>153.972117481571</v>
      </c>
      <c r="K9109" s="6" t="n">
        <f aca="false">Sens!K9084</f>
        <v>164.75016570528</v>
      </c>
    </row>
    <row r="9110" customFormat="false" ht="17.15" hidden="false" customHeight="false" outlineLevel="0" collapsed="false">
      <c r="A9110" s="0" t="s">
        <v>1054</v>
      </c>
      <c r="B9110" s="0" t="s">
        <v>98</v>
      </c>
      <c r="D9110" s="6" t="n">
        <f aca="false">Sens!D9083</f>
        <v>0.9</v>
      </c>
      <c r="E9110" s="6" t="n">
        <f aca="false">Sens!E9083</f>
        <v>5.25</v>
      </c>
      <c r="F9110" s="6" t="n">
        <f aca="false">Sens!F9083</f>
        <v>13.5</v>
      </c>
      <c r="G9110" s="6" t="n">
        <f aca="false">Sens!G9083</f>
        <v>22.5</v>
      </c>
      <c r="H9110" s="6" t="n">
        <f aca="false">Sens!H9083</f>
        <v>31.5</v>
      </c>
      <c r="I9110" s="6" t="n">
        <f aca="false">Sens!I9083</f>
        <v>38.25</v>
      </c>
      <c r="J9110" s="6" t="n">
        <f aca="false">Sens!J9083</f>
        <v>42.75</v>
      </c>
      <c r="K9110" s="6" t="n">
        <f aca="false">Sens!K9083</f>
        <v>47.25</v>
      </c>
    </row>
    <row r="9111" customFormat="false" ht="15" hidden="false" customHeight="false" outlineLevel="0" collapsed="false">
      <c r="A9111" s="0" t="s">
        <v>1033</v>
      </c>
      <c r="B9111" s="0" t="s">
        <v>98</v>
      </c>
      <c r="D9111" s="6" t="n">
        <f aca="false">Sens!D9087</f>
        <v>35.391</v>
      </c>
      <c r="E9111" s="6" t="n">
        <f aca="false">Sens!E9087</f>
        <v>37.285</v>
      </c>
      <c r="F9111" s="6" t="n">
        <f aca="false">Sens!F9087</f>
        <v>38.3851437782675</v>
      </c>
      <c r="G9111" s="6" t="n">
        <f aca="false">Sens!G9087</f>
        <v>40.0105353288615</v>
      </c>
      <c r="H9111" s="6" t="n">
        <f aca="false">Sens!H9087</f>
        <v>41.4812512033683</v>
      </c>
      <c r="I9111" s="6" t="n">
        <f aca="false">Sens!I9087</f>
        <v>42.7743107216329</v>
      </c>
      <c r="J9111" s="6" t="n">
        <f aca="false">Sens!J9087</f>
        <v>43.8687373064601</v>
      </c>
      <c r="K9111" s="6" t="n">
        <f aca="false">Sens!K9087</f>
        <v>44.7461120525893</v>
      </c>
    </row>
    <row r="9112" customFormat="false" ht="15" hidden="false" customHeight="false" outlineLevel="0" collapsed="false">
      <c r="A9112" s="0" t="s">
        <v>1035</v>
      </c>
      <c r="B9112" s="0" t="s">
        <v>98</v>
      </c>
      <c r="D9112" s="6" t="n">
        <f aca="false">Sens!D9089</f>
        <v>18.417</v>
      </c>
      <c r="E9112" s="6" t="n">
        <f aca="false">Sens!E9089</f>
        <v>20.345</v>
      </c>
      <c r="F9112" s="6" t="n">
        <f aca="false">Sens!F9089</f>
        <v>22.3161797133988</v>
      </c>
      <c r="G9112" s="6" t="n">
        <f aca="false">Sens!G9089</f>
        <v>24.3943499673233</v>
      </c>
      <c r="H9112" s="6" t="n">
        <f aca="false">Sens!H9089</f>
        <v>26.5250243109019</v>
      </c>
      <c r="I9112" s="6" t="n">
        <f aca="false">Sens!I9089</f>
        <v>28.6884573538181</v>
      </c>
      <c r="J9112" s="6" t="n">
        <f aca="false">Sens!J9089</f>
        <v>30.8624968052127</v>
      </c>
      <c r="K9112" s="6" t="n">
        <f aca="false">Sens!K9089</f>
        <v>33.0228715815776</v>
      </c>
    </row>
    <row r="9113" customFormat="false" ht="15" hidden="false" customHeight="false" outlineLevel="0" collapsed="false">
      <c r="A9113" s="0" t="s">
        <v>1036</v>
      </c>
      <c r="B9113" s="0" t="s">
        <v>98</v>
      </c>
      <c r="D9113" s="6" t="n">
        <f aca="false">Sens!D9091</f>
        <v>7.76</v>
      </c>
      <c r="E9113" s="6" t="n">
        <f aca="false">Sens!E9091</f>
        <v>8.26</v>
      </c>
      <c r="F9113" s="6" t="n">
        <f aca="false">Sens!F9091</f>
        <v>8.75372082474227</v>
      </c>
      <c r="G9113" s="6" t="n">
        <f aca="false">Sens!G9091</f>
        <v>9.33399324642364</v>
      </c>
      <c r="H9113" s="6" t="n">
        <f aca="false">Sens!H9091</f>
        <v>9.96139155535851</v>
      </c>
      <c r="I9113" s="6" t="n">
        <f aca="false">Sens!I9091</f>
        <v>10.6402039077391</v>
      </c>
      <c r="J9113" s="6" t="n">
        <f aca="false">Sens!J9091</f>
        <v>11.3751458271397</v>
      </c>
      <c r="K9113" s="6" t="n">
        <f aca="false">Sens!K9091</f>
        <v>12.1714060350394</v>
      </c>
    </row>
    <row r="9114" customFormat="false" ht="15" hidden="false" customHeight="false" outlineLevel="0" collapsed="false">
      <c r="A9114" s="0" t="s">
        <v>852</v>
      </c>
      <c r="B9114" s="0" t="s">
        <v>98</v>
      </c>
      <c r="D9114" s="6" t="n">
        <f aca="false">Sens!D9093</f>
        <v>218.783</v>
      </c>
      <c r="E9114" s="6" t="n">
        <f aca="false">Sens!E9093</f>
        <v>268.127</v>
      </c>
      <c r="F9114" s="6" t="n">
        <f aca="false">Sens!F9093</f>
        <v>338.485460750339</v>
      </c>
      <c r="G9114" s="6" t="n">
        <f aca="false">Sens!G9093</f>
        <v>424.262406785908</v>
      </c>
      <c r="H9114" s="6" t="n">
        <f aca="false">Sens!H9093</f>
        <v>515.540483812193</v>
      </c>
      <c r="I9114" s="6" t="n">
        <f aca="false">Sens!I9093</f>
        <v>591.183916813511</v>
      </c>
      <c r="J9114" s="6" t="n">
        <f aca="false">Sens!J9093</f>
        <v>649.440035506608</v>
      </c>
      <c r="K9114" s="6" t="n">
        <f aca="false">Sens!K9093</f>
        <v>692.855909556589</v>
      </c>
    </row>
    <row r="9115" customFormat="false" ht="15" hidden="false" customHeight="false" outlineLevel="0" collapsed="false">
      <c r="A9115" s="0" t="s">
        <v>1037</v>
      </c>
      <c r="B9115" s="0" t="s">
        <v>98</v>
      </c>
      <c r="D9115" s="6" t="n">
        <f aca="false">Sens!D9094</f>
        <v>22.171</v>
      </c>
      <c r="E9115" s="6" t="n">
        <f aca="false">Sens!E9094</f>
        <v>24.835</v>
      </c>
      <c r="F9115" s="6" t="n">
        <f aca="false">Sens!F9094</f>
        <v>27.5591895660247</v>
      </c>
      <c r="G9115" s="6" t="n">
        <f aca="false">Sens!G9094</f>
        <v>30.4098563144583</v>
      </c>
      <c r="H9115" s="6" t="n">
        <f aca="false">Sens!H9094</f>
        <v>33.3011792571777</v>
      </c>
      <c r="I9115" s="6" t="n">
        <f aca="false">Sens!I9094</f>
        <v>36.189023797112</v>
      </c>
      <c r="J9115" s="6" t="n">
        <f aca="false">Sens!J9094</f>
        <v>39.0247773769199</v>
      </c>
      <c r="K9115" s="6" t="n">
        <f aca="false">Sens!K9094</f>
        <v>41.7565117933043</v>
      </c>
    </row>
    <row r="9116" customFormat="false" ht="15" hidden="false" customHeight="false" outlineLevel="0" collapsed="false">
      <c r="A9116" s="0" t="s">
        <v>1038</v>
      </c>
      <c r="B9116" s="0" t="s">
        <v>98</v>
      </c>
      <c r="D9116" s="6" t="n">
        <f aca="false">Sens!D9096</f>
        <v>23.455</v>
      </c>
      <c r="E9116" s="6" t="n">
        <f aca="false">Sens!E9096</f>
        <v>21.79</v>
      </c>
      <c r="F9116" s="6" t="n">
        <f aca="false">Sens!F9096</f>
        <v>20.7520981041711</v>
      </c>
      <c r="G9116" s="6" t="n">
        <f aca="false">Sens!G9096</f>
        <v>19.9083593495882</v>
      </c>
      <c r="H9116" s="6" t="n">
        <f aca="false">Sens!H9096</f>
        <v>19.4008256265831</v>
      </c>
      <c r="I9116" s="6" t="n">
        <f aca="false">Sens!I9096</f>
        <v>19.200434522122</v>
      </c>
      <c r="J9116" s="6" t="n">
        <f aca="false">Sens!J9096</f>
        <v>19.2932782348507</v>
      </c>
      <c r="K9116" s="6" t="n">
        <f aca="false">Sens!K9096</f>
        <v>19.6791437995477</v>
      </c>
    </row>
    <row r="9117" customFormat="false" ht="15" hidden="false" customHeight="false" outlineLevel="0" collapsed="false">
      <c r="A9117" s="0" t="s">
        <v>1039</v>
      </c>
      <c r="B9117" s="0" t="s">
        <v>98</v>
      </c>
      <c r="D9117" s="6" t="n">
        <f aca="false">Sens!D9098</f>
        <v>17.315</v>
      </c>
      <c r="E9117" s="6" t="n">
        <f aca="false">Sens!E9098</f>
        <v>17.087</v>
      </c>
      <c r="F9117" s="6" t="n">
        <f aca="false">Sens!F9098</f>
        <v>15.9912273250553</v>
      </c>
      <c r="G9117" s="6" t="n">
        <f aca="false">Sens!G9098</f>
        <v>15.9574562664827</v>
      </c>
      <c r="H9117" s="6" t="n">
        <f aca="false">Sens!H9098</f>
        <v>16.0119687434196</v>
      </c>
      <c r="I9117" s="6" t="n">
        <f aca="false">Sens!I9098</f>
        <v>16.1551810001948</v>
      </c>
      <c r="J9117" s="6" t="n">
        <f aca="false">Sens!J9098</f>
        <v>16.3889793892005</v>
      </c>
      <c r="K9117" s="6" t="n">
        <f aca="false">Sens!K9098</f>
        <v>16.7167589769845</v>
      </c>
    </row>
    <row r="9118" customFormat="false" ht="15" hidden="false" customHeight="false" outlineLevel="0" collapsed="false">
      <c r="A9118" s="0" t="s">
        <v>866</v>
      </c>
      <c r="B9118" s="0" t="s">
        <v>98</v>
      </c>
      <c r="D9118" s="6" t="n">
        <f aca="false">Sens!D9100</f>
        <v>62.941</v>
      </c>
      <c r="E9118" s="6" t="n">
        <f aca="false">Sens!E9100</f>
        <v>63.712</v>
      </c>
      <c r="F9118" s="6" t="n">
        <f aca="false">Sens!F9100</f>
        <v>64.3025149952511</v>
      </c>
      <c r="G9118" s="6" t="n">
        <f aca="false">Sens!G9100</f>
        <v>66.2756719305292</v>
      </c>
      <c r="H9118" s="6" t="n">
        <f aca="false">Sens!H9100</f>
        <v>68.7139736271804</v>
      </c>
      <c r="I9118" s="6" t="n">
        <f aca="false">Sens!I9100</f>
        <v>71.5446393194289</v>
      </c>
      <c r="J9118" s="6" t="n">
        <f aca="false">Sens!J9100</f>
        <v>74.707035000971</v>
      </c>
      <c r="K9118" s="6" t="n">
        <f aca="false">Sens!K9100</f>
        <v>78.1524145698365</v>
      </c>
    </row>
    <row r="9119" customFormat="false" ht="15" hidden="false" customHeight="false" outlineLevel="0" collapsed="false">
      <c r="A9119" s="1" t="s">
        <v>1055</v>
      </c>
      <c r="B9119" s="0" t="s">
        <v>98</v>
      </c>
      <c r="D9119" s="6" t="n">
        <f aca="false">Sens!D9101</f>
        <v>281.724</v>
      </c>
      <c r="E9119" s="6" t="n">
        <f aca="false">Sens!E9101</f>
        <v>331.839</v>
      </c>
      <c r="F9119" s="6" t="n">
        <f aca="false">Sens!F9101</f>
        <v>402.78797574559</v>
      </c>
      <c r="G9119" s="6" t="n">
        <f aca="false">Sens!G9101</f>
        <v>490.538078716437</v>
      </c>
      <c r="H9119" s="6" t="n">
        <f aca="false">Sens!H9101</f>
        <v>584.254457439373</v>
      </c>
      <c r="I9119" s="6" t="n">
        <f aca="false">Sens!I9101</f>
        <v>662.72855613294</v>
      </c>
      <c r="J9119" s="6" t="n">
        <f aca="false">Sens!J9101</f>
        <v>724.147070507579</v>
      </c>
      <c r="K9119" s="6" t="n">
        <f aca="false">Sens!K9101</f>
        <v>771.008324126426</v>
      </c>
    </row>
    <row r="9120" customFormat="false" ht="15" hidden="false" customHeight="false" outlineLevel="0" collapsed="false">
      <c r="A9120" s="1" t="s">
        <v>1056</v>
      </c>
      <c r="B9120" s="0" t="s">
        <v>168</v>
      </c>
      <c r="E9120" s="7" t="n">
        <f aca="false">Sens!E9119/Sens!D9119-1</f>
        <v>0.177886867998467</v>
      </c>
      <c r="F9120" s="7" t="n">
        <f aca="false">Sens!F9119/Sens!E9119-1</f>
        <v>0.213805416920826</v>
      </c>
      <c r="G9120" s="7" t="n">
        <f aca="false">Sens!G9119/Sens!F9119-1</f>
        <v>0.217856808680586</v>
      </c>
      <c r="H9120" s="7" t="n">
        <f aca="false">Sens!H9119/Sens!G9119-1</f>
        <v>0.191048122029911</v>
      </c>
      <c r="I9120" s="7" t="n">
        <f aca="false">Sens!I9119/Sens!H9119-1</f>
        <v>0.134314933663488</v>
      </c>
      <c r="J9120" s="7" t="n">
        <f aca="false">Sens!J9119/Sens!I9119-1</f>
        <v>0.0926752194488496</v>
      </c>
      <c r="K9120" s="7" t="n">
        <f aca="false">Sens!K9119/Sens!J9119-1</f>
        <v>0.0647123430134153</v>
      </c>
    </row>
    <row r="9121" customFormat="false" ht="17.15" hidden="false" customHeight="false" outlineLevel="0" collapsed="false">
      <c r="A9121" s="26" t="s">
        <v>1057</v>
      </c>
      <c r="B9121" s="31" t="s">
        <v>98</v>
      </c>
      <c r="C9121" s="31"/>
      <c r="D9121" s="27" t="n">
        <f aca="false">(Sens!D9114+Sens!D9118-Sens!D9119)+(Sens!D9106+Sens!D9107-Sens!D9105)+(Sens!D9109+Sens!D9110-Sens!D9108)+(Sens!D9119-Q!L18)</f>
        <v>0</v>
      </c>
      <c r="E9121" s="27" t="n">
        <f aca="false">(Sens!E9114+Sens!E9118-Sens!E9119)+(Sens!E9106+Sens!E9107-Sens!E9105)+(Sens!E9109+Sens!E9110-Sens!E9108)+(Sens!E9119-Q!M18)</f>
        <v>0</v>
      </c>
      <c r="F9121" s="27" t="n">
        <f aca="false">(Sens!F9114+Sens!F9118-Sens!F9119)+(Sens!F9106+Sens!F9107-Sens!F9105)+(Sens!F9109+Sens!F9110-Sens!F9108)</f>
        <v>0</v>
      </c>
      <c r="G9121" s="27" t="n">
        <f aca="false">(Sens!G9114+Sens!G9118-Sens!G9119)+(Sens!G9106+Sens!G9107-Sens!G9105)+(Sens!G9109+Sens!G9110-Sens!G9108)</f>
        <v>0</v>
      </c>
      <c r="H9121" s="27" t="n">
        <f aca="false">(Sens!H9114+Sens!H9118-Sens!H9119)+(Sens!H9106+Sens!H9107-Sens!H9105)+(Sens!H9109+Sens!H9110-Sens!H9108)</f>
        <v>0</v>
      </c>
      <c r="I9121" s="27" t="n">
        <f aca="false">(Sens!I9114+Sens!I9118-Sens!I9119)+(Sens!I9106+Sens!I9107-Sens!I9105)+(Sens!I9109+Sens!I9110-Sens!I9108)</f>
        <v>0</v>
      </c>
      <c r="J9121" s="27" t="n">
        <f aca="false">(Sens!J9114+Sens!J9118-Sens!J9119)+(Sens!J9106+Sens!J9107-Sens!J9105)+(Sens!J9109+Sens!J9110-Sens!J9108)</f>
        <v>0</v>
      </c>
      <c r="K9121" s="27" t="n">
        <f aca="false">(Sens!K9114+Sens!K9118-Sens!K9119)+(Sens!K9106+Sens!K9107-Sens!K9105)+(Sens!K9109+Sens!K9110-Sens!K9108)</f>
        <v>0</v>
      </c>
    </row>
    <row r="9122" customFormat="false" ht="17.15" hidden="false" customHeight="false" outlineLevel="0" collapsed="false">
      <c r="A9122" s="0" t="s">
        <v>1058</v>
      </c>
      <c r="B9122" s="0" t="s">
        <v>168</v>
      </c>
      <c r="E9122" s="7" t="n">
        <f aca="false">(Q!M21+Sens!E9058+Sens!E9059+Sens!E9060+Sens!E9074-Sens!E9056)/(Q!M5-Sens!E9056)</f>
        <v>0.570957350878296</v>
      </c>
      <c r="F9122" s="7" t="n">
        <f aca="false">Sens!$E$9122+dm_seg</f>
        <v>0.570957350878296</v>
      </c>
      <c r="G9122" s="7" t="n">
        <f aca="false">Sens!$E$9122+dm_seg</f>
        <v>0.570957350878296</v>
      </c>
      <c r="H9122" s="7" t="n">
        <f aca="false">Sens!$E$9122+dm_seg</f>
        <v>0.570957350878296</v>
      </c>
      <c r="I9122" s="7" t="n">
        <f aca="false">Sens!$E$9122+dm_seg</f>
        <v>0.570957350878296</v>
      </c>
      <c r="J9122" s="7" t="n">
        <f aca="false">Sens!$E$9122+dm_seg</f>
        <v>0.570957350878296</v>
      </c>
      <c r="K9122" s="7" t="n">
        <f aca="false">Sens!$E$9122+dm_seg</f>
        <v>0.570957350878296</v>
      </c>
      <c r="L9122" s="12" t="s">
        <v>1059</v>
      </c>
    </row>
    <row r="9123" customFormat="false" ht="17.15" hidden="false" customHeight="false" outlineLevel="0" collapsed="false">
      <c r="A9123" s="0" t="s">
        <v>880</v>
      </c>
      <c r="B9123" s="0" t="s">
        <v>98</v>
      </c>
      <c r="D9123" s="6" t="n">
        <f aca="false">Q!L21</f>
        <v>110.814</v>
      </c>
      <c r="E9123" s="6" t="n">
        <f aca="false">Q!M21</f>
        <v>136.365</v>
      </c>
      <c r="F9123" s="6" t="n">
        <f aca="false">Q!$I$21+(Sens!F9122*(Sens!F9093-Sens!F9056)+Sens!F9056-(Sens!F9058+Sens!F9059+Sens!F9060)-Sens!F9074-Sens!F9157)*(Sens!F9093-Q!$I$5)/Sens!F9093</f>
        <v>165.355482216048</v>
      </c>
      <c r="G9123" s="6" t="n">
        <f aca="false">(Sens!G9122*(Sens!G9093-Sens!G9056)+Sens!G9056-(Sens!G9058+Sens!G9059+Sens!G9060)-Sens!G9074-Sens!G9157)</f>
        <v>190.805673186487</v>
      </c>
      <c r="H9123" s="6" t="n">
        <f aca="false">(Sens!H9122*(Sens!H9093-Sens!H9056)+Sens!H9056-(Sens!H9058+Sens!H9059+Sens!H9060)-Sens!H9074-Sens!H9157)</f>
        <v>224.035898800998</v>
      </c>
      <c r="I9123" s="6" t="n">
        <f aca="false">(Sens!I9122*(Sens!I9093-Sens!I9056)+Sens!I9056-(Sens!I9058+Sens!I9059+Sens!I9060)-Sens!I9074-Sens!I9157)</f>
        <v>248.278118817218</v>
      </c>
      <c r="J9123" s="6" t="n">
        <f aca="false">(Sens!J9122*(Sens!J9093-Sens!J9056)+Sens!J9056-(Sens!J9058+Sens!J9059+Sens!J9060)-Sens!J9074-Sens!J9157)</f>
        <v>268.234185997675</v>
      </c>
      <c r="K9123" s="6" t="n">
        <f aca="false">(Sens!K9122*(Sens!K9093-Sens!K9056)+Sens!K9056-(Sens!K9058+Sens!K9059+Sens!K9060)-Sens!K9074-Sens!K9157)</f>
        <v>285.247609994494</v>
      </c>
      <c r="L9123" s="1" t="s">
        <v>1060</v>
      </c>
    </row>
    <row r="9124" customFormat="false" ht="17.15" hidden="false" customHeight="false" outlineLevel="0" collapsed="false">
      <c r="A9124" s="0" t="s">
        <v>1061</v>
      </c>
      <c r="B9124" s="0" t="s">
        <v>168</v>
      </c>
      <c r="E9124" s="7" t="n">
        <f aca="false">Q!M22/Q!M12</f>
        <v>0.296207935710698</v>
      </c>
      <c r="F9124" s="7" t="n">
        <f aca="false">Sens!$E$9124+dm_seg</f>
        <v>0.296207935710698</v>
      </c>
      <c r="G9124" s="7" t="n">
        <f aca="false">Sens!$E$9124+dm_seg</f>
        <v>0.296207935710698</v>
      </c>
      <c r="H9124" s="7" t="n">
        <f aca="false">Sens!$E$9124+dm_seg</f>
        <v>0.296207935710698</v>
      </c>
      <c r="I9124" s="7" t="n">
        <f aca="false">Sens!$E$9124+dm_seg</f>
        <v>0.296207935710698</v>
      </c>
      <c r="J9124" s="7" t="n">
        <f aca="false">Sens!$E$9124+dm_seg</f>
        <v>0.296207935710698</v>
      </c>
      <c r="K9124" s="7" t="n">
        <f aca="false">Sens!$E$9124+dm_seg</f>
        <v>0.296207935710698</v>
      </c>
      <c r="L9124" s="12" t="s">
        <v>1062</v>
      </c>
    </row>
    <row r="9125" customFormat="false" ht="17.15" hidden="false" customHeight="false" outlineLevel="0" collapsed="false">
      <c r="A9125" s="0" t="s">
        <v>882</v>
      </c>
      <c r="B9125" s="0" t="s">
        <v>98</v>
      </c>
      <c r="D9125" s="6" t="n">
        <f aca="false">Q!L22</f>
        <v>17.714</v>
      </c>
      <c r="E9125" s="6" t="n">
        <f aca="false">Q!M22</f>
        <v>18.872</v>
      </c>
      <c r="F9125" s="6" t="n">
        <f aca="false">Q!$I$22+(Sens!F9100-Q!$I$12)*Sens!F9124</f>
        <v>19.8174315512051</v>
      </c>
      <c r="G9125" s="6" t="n">
        <f aca="false">Sens!G9100*Sens!G9124</f>
        <v>19.6313799703815</v>
      </c>
      <c r="H9125" s="6" t="n">
        <f aca="false">Sens!H9100*Sens!H9124</f>
        <v>20.3536242825865</v>
      </c>
      <c r="I9125" s="6" t="n">
        <f aca="false">Sens!I9100*Sens!I9124</f>
        <v>21.1920899239745</v>
      </c>
      <c r="J9125" s="6" t="n">
        <f aca="false">Sens!J9100*Sens!J9124</f>
        <v>22.1288166207045</v>
      </c>
      <c r="K9125" s="6" t="n">
        <f aca="false">Sens!K9100*Sens!K9124</f>
        <v>23.1493653905379</v>
      </c>
      <c r="L9125" s="12" t="s">
        <v>1063</v>
      </c>
    </row>
    <row r="9126" customFormat="false" ht="15" hidden="false" customHeight="false" outlineLevel="0" collapsed="false">
      <c r="A9126" s="1" t="s">
        <v>1064</v>
      </c>
      <c r="B9126" s="0" t="s">
        <v>98</v>
      </c>
      <c r="D9126" s="6" t="n">
        <f aca="false">Sens!D9123+Sens!D9125</f>
        <v>128.528</v>
      </c>
      <c r="E9126" s="6" t="n">
        <f aca="false">Sens!E9123+Sens!E9125</f>
        <v>155.237</v>
      </c>
      <c r="F9126" s="6" t="n">
        <f aca="false">Sens!F9123+Sens!F9125</f>
        <v>185.172913767253</v>
      </c>
      <c r="G9126" s="6" t="n">
        <f aca="false">Sens!G9123+Sens!G9125</f>
        <v>210.437053156868</v>
      </c>
      <c r="H9126" s="6" t="n">
        <f aca="false">Sens!H9123+Sens!H9125</f>
        <v>244.389523083584</v>
      </c>
      <c r="I9126" s="6" t="n">
        <f aca="false">Sens!I9123+Sens!I9125</f>
        <v>269.470208741192</v>
      </c>
      <c r="J9126" s="6" t="n">
        <f aca="false">Sens!J9123+Sens!J9125</f>
        <v>290.36300261838</v>
      </c>
      <c r="K9126" s="6" t="n">
        <f aca="false">Sens!K9123+Sens!K9125</f>
        <v>308.396975385032</v>
      </c>
    </row>
    <row r="9127" customFormat="false" ht="15" hidden="false" customHeight="false" outlineLevel="0" collapsed="false">
      <c r="A9127" s="26" t="s">
        <v>1065</v>
      </c>
      <c r="B9127" s="31" t="s">
        <v>98</v>
      </c>
      <c r="C9127" s="31"/>
      <c r="D9127" s="27" t="n">
        <f aca="false">Sens!D9126-Q!L23</f>
        <v>0</v>
      </c>
      <c r="E9127" s="27" t="n">
        <f aca="false">Sens!E9126-Q!M23</f>
        <v>0</v>
      </c>
      <c r="F9127" s="31"/>
      <c r="G9127" s="31"/>
      <c r="H9127" s="31"/>
      <c r="I9127" s="31"/>
      <c r="J9127" s="31"/>
      <c r="K9127" s="31"/>
    </row>
    <row r="9128" customFormat="false" ht="15" hidden="false" customHeight="false" outlineLevel="0" collapsed="false">
      <c r="A9128" s="1" t="s">
        <v>1066</v>
      </c>
      <c r="B9128" s="0" t="s">
        <v>168</v>
      </c>
      <c r="D9128" s="7" t="n">
        <f aca="false">Sens!D9126/Sens!D9119</f>
        <v>0.456219562408598</v>
      </c>
      <c r="E9128" s="7" t="n">
        <f aca="false">Sens!E9126/Sens!E9119</f>
        <v>0.467808184089272</v>
      </c>
      <c r="F9128" s="7" t="n">
        <f aca="false">Sens!F9126/Sens!F9119</f>
        <v>0.459728008077908</v>
      </c>
      <c r="G9128" s="7" t="n">
        <f aca="false">Sens!G9126/Sens!G9119</f>
        <v>0.428992288850453</v>
      </c>
      <c r="H9128" s="7" t="n">
        <f aca="false">Sens!H9126/Sens!H9119</f>
        <v>0.418292954331365</v>
      </c>
      <c r="I9128" s="7" t="n">
        <f aca="false">Sens!I9126/Sens!I9119</f>
        <v>0.406607209312915</v>
      </c>
      <c r="J9128" s="7" t="n">
        <f aca="false">Sens!J9126/Sens!J9119</f>
        <v>0.400972419062408</v>
      </c>
      <c r="K9128" s="7" t="n">
        <f aca="false">Sens!K9126/Sens!K9119</f>
        <v>0.399991758499436</v>
      </c>
    </row>
    <row r="9129" customFormat="false" ht="17.15" hidden="false" customHeight="false" outlineLevel="0" collapsed="false">
      <c r="A9129" s="1" t="s">
        <v>1067</v>
      </c>
      <c r="B9129" s="0" t="s">
        <v>98</v>
      </c>
      <c r="F9129" s="6" t="n">
        <f aca="false">Sens!F9144</f>
        <v>8.88340674531245</v>
      </c>
      <c r="G9129" s="6" t="n">
        <f aca="false">Sens!G9144</f>
        <v>22.7060305170273</v>
      </c>
      <c r="H9129" s="6" t="n">
        <f aca="false">Sens!H9144</f>
        <v>38.0018452382075</v>
      </c>
      <c r="I9129" s="6" t="n">
        <f aca="false">Sens!I9144</f>
        <v>52.1381094705177</v>
      </c>
      <c r="J9129" s="6" t="n">
        <f aca="false">Sens!J9144</f>
        <v>62.0595818934393</v>
      </c>
      <c r="K9129" s="6" t="n">
        <f aca="false">Sens!K9144</f>
        <v>67.0801312706266</v>
      </c>
      <c r="L9129" s="1" t="s">
        <v>1068</v>
      </c>
    </row>
    <row r="9130" customFormat="false" ht="17.15" hidden="false" customHeight="false" outlineLevel="0" collapsed="false">
      <c r="A9130" s="1" t="s">
        <v>1069</v>
      </c>
      <c r="B9130" s="0" t="s">
        <v>98</v>
      </c>
      <c r="D9130" s="6" t="n">
        <f aca="false">Sens!D9126</f>
        <v>128.528</v>
      </c>
      <c r="E9130" s="6" t="n">
        <f aca="false">Sens!E9126</f>
        <v>155.237</v>
      </c>
      <c r="F9130" s="6" t="n">
        <f aca="false">Sens!F9126+Sens!F9129</f>
        <v>194.056320512565</v>
      </c>
      <c r="G9130" s="6" t="n">
        <f aca="false">Sens!G9126+Sens!G9129</f>
        <v>233.143083673895</v>
      </c>
      <c r="H9130" s="6" t="n">
        <f aca="false">Sens!H9126+Sens!H9129</f>
        <v>282.391368321792</v>
      </c>
      <c r="I9130" s="6" t="n">
        <f aca="false">Sens!I9126+Sens!I9129</f>
        <v>321.60831821171</v>
      </c>
      <c r="J9130" s="6" t="n">
        <f aca="false">Sens!J9126+Sens!J9129</f>
        <v>352.422584511819</v>
      </c>
      <c r="K9130" s="6" t="n">
        <f aca="false">Sens!K9126+Sens!K9129</f>
        <v>375.477106655659</v>
      </c>
    </row>
    <row r="9131" customFormat="false" ht="17.15" hidden="false" customHeight="false" outlineLevel="0" collapsed="false">
      <c r="A9131" s="1" t="s">
        <v>1070</v>
      </c>
      <c r="B9131" s="0" t="s">
        <v>98</v>
      </c>
      <c r="E9131" s="6" t="n">
        <f aca="false">Sens!E9074</f>
        <v>16.3054059770833</v>
      </c>
      <c r="F9131" s="6" t="n">
        <f aca="false">Sens!F9074</f>
        <v>34.5793144783516</v>
      </c>
      <c r="G9131" s="6" t="n">
        <f aca="false">Sens!G9074</f>
        <v>60.7344906522989</v>
      </c>
      <c r="H9131" s="6" t="n">
        <f aca="false">Sens!H9074</f>
        <v>89.1000906614457</v>
      </c>
      <c r="I9131" s="6" t="n">
        <f aca="false">Sens!I9074</f>
        <v>114.231009694548</v>
      </c>
      <c r="J9131" s="6" t="n">
        <f aca="false">Sens!J9074</f>
        <v>132.015673049596</v>
      </c>
      <c r="K9131" s="6" t="n">
        <f aca="false">Sens!K9074</f>
        <v>143.012669550934</v>
      </c>
    </row>
    <row r="9132" customFormat="false" ht="17.15" hidden="false" customHeight="false" outlineLevel="0" collapsed="false">
      <c r="A9132" s="1" t="s">
        <v>1071</v>
      </c>
      <c r="B9132" s="0" t="s">
        <v>98</v>
      </c>
      <c r="E9132" s="6" t="n">
        <f aca="false">Sens!E9156</f>
        <v>22.2285940229167</v>
      </c>
      <c r="F9132" s="6" t="n">
        <f aca="false">Sens!F9156</f>
        <v>23.580344216413</v>
      </c>
      <c r="G9132" s="6" t="n">
        <f aca="false">Sens!G9156</f>
        <v>25.3552285414683</v>
      </c>
      <c r="H9132" s="6" t="n">
        <f aca="false">Sens!H9156</f>
        <v>27.5132356452699</v>
      </c>
      <c r="I9132" s="6" t="n">
        <f aca="false">Sens!I9156</f>
        <v>29.9603588208078</v>
      </c>
      <c r="J9132" s="6" t="n">
        <f aca="false">Sens!J9156</f>
        <v>32.5860635032446</v>
      </c>
      <c r="K9132" s="6" t="n">
        <f aca="false">Sens!K9156</f>
        <v>35.2893283703788</v>
      </c>
    </row>
    <row r="9133" customFormat="false" ht="17.15" hidden="false" customHeight="false" outlineLevel="0" collapsed="false">
      <c r="A9133" s="1" t="s">
        <v>1072</v>
      </c>
      <c r="B9133" s="0" t="s">
        <v>98</v>
      </c>
      <c r="D9133" s="6" t="n">
        <f aca="false">Q!L27</f>
        <v>-4.901</v>
      </c>
      <c r="E9133" s="6" t="n">
        <f aca="false">Q!M27</f>
        <v>10.697</v>
      </c>
      <c r="F9133" s="6" t="n">
        <f aca="false">Q!$I$27+oie_f*(q_per_yr-1)/q_per_yr</f>
        <v>-0.862</v>
      </c>
      <c r="G9133" s="6" t="n">
        <f aca="false">oie_f</f>
        <v>-1.2</v>
      </c>
      <c r="H9133" s="6" t="n">
        <f aca="false">oie_f</f>
        <v>-1.2</v>
      </c>
      <c r="I9133" s="6" t="n">
        <f aca="false">oie_f</f>
        <v>-1.2</v>
      </c>
      <c r="J9133" s="6" t="n">
        <f aca="false">oie_f</f>
        <v>-1.2</v>
      </c>
      <c r="K9133" s="6" t="n">
        <f aca="false">oie_f</f>
        <v>-1.2</v>
      </c>
      <c r="L9133" s="12" t="s">
        <v>1073</v>
      </c>
    </row>
    <row r="9134" customFormat="false" ht="15" hidden="false" customHeight="false" outlineLevel="0" collapsed="false">
      <c r="A9134" s="1" t="s">
        <v>1074</v>
      </c>
      <c r="B9134" s="0" t="s">
        <v>98</v>
      </c>
      <c r="D9134" s="6" t="n">
        <f aca="false">Sens!D9126+Sens!D9133</f>
        <v>123.627</v>
      </c>
      <c r="E9134" s="6" t="n">
        <f aca="false">Sens!E9126+Sens!E9133</f>
        <v>165.934</v>
      </c>
      <c r="F9134" s="6" t="n">
        <f aca="false">Sens!F9126+Sens!F9133</f>
        <v>184.310913767253</v>
      </c>
      <c r="G9134" s="6" t="n">
        <f aca="false">Sens!G9126+Sens!G9133</f>
        <v>209.237053156868</v>
      </c>
      <c r="H9134" s="6" t="n">
        <f aca="false">Sens!H9126+Sens!H9133</f>
        <v>243.189523083584</v>
      </c>
      <c r="I9134" s="6" t="n">
        <f aca="false">Sens!I9126+Sens!I9133</f>
        <v>268.270208741192</v>
      </c>
      <c r="J9134" s="6" t="n">
        <f aca="false">Sens!J9126+Sens!J9133</f>
        <v>289.16300261838</v>
      </c>
      <c r="K9134" s="6" t="n">
        <f aca="false">Sens!K9126+Sens!K9133</f>
        <v>307.196975385032</v>
      </c>
    </row>
    <row r="9135" customFormat="false" ht="15" hidden="false" customHeight="false" outlineLevel="0" collapsed="false">
      <c r="A9135" s="1" t="s">
        <v>1075</v>
      </c>
      <c r="B9135" s="0" t="s">
        <v>98</v>
      </c>
      <c r="D9135" s="6" t="n">
        <f aca="false">Q!L29</f>
        <v>21.795</v>
      </c>
      <c r="E9135" s="6" t="n">
        <f aca="false">Q!M29</f>
        <v>32.185</v>
      </c>
      <c r="F9135" s="6" t="n">
        <f aca="false">Q!$I$29+(Sens!F9134-Q!$I$28)*tax_f</f>
        <v>36.9955827534506</v>
      </c>
      <c r="G9135" s="6" t="n">
        <f aca="false">Sens!G9134*tax_f</f>
        <v>41.8474106313736</v>
      </c>
      <c r="H9135" s="6" t="n">
        <f aca="false">Sens!H9134*tax_f</f>
        <v>48.6379046167168</v>
      </c>
      <c r="I9135" s="6" t="n">
        <f aca="false">Sens!I9134*tax_f</f>
        <v>53.6540417482385</v>
      </c>
      <c r="J9135" s="6" t="n">
        <f aca="false">Sens!J9134*tax_f</f>
        <v>57.832600523676</v>
      </c>
      <c r="K9135" s="6" t="n">
        <f aca="false">Sens!K9134*tax_f</f>
        <v>61.4393950770064</v>
      </c>
    </row>
    <row r="9136" customFormat="false" ht="15" hidden="false" customHeight="false" outlineLevel="0" collapsed="false">
      <c r="A9136" s="1" t="s">
        <v>1076</v>
      </c>
      <c r="B9136" s="0" t="s">
        <v>98</v>
      </c>
      <c r="D9136" s="6" t="n">
        <f aca="false">Sens!D9134-Sens!D9135</f>
        <v>101.832</v>
      </c>
      <c r="E9136" s="6" t="n">
        <f aca="false">Sens!E9134-Sens!E9135</f>
        <v>133.749</v>
      </c>
      <c r="F9136" s="6" t="n">
        <f aca="false">Sens!F9134-Sens!F9135</f>
        <v>147.315331013802</v>
      </c>
      <c r="G9136" s="6" t="n">
        <f aca="false">Sens!G9134-Sens!G9135</f>
        <v>167.389642525494</v>
      </c>
      <c r="H9136" s="6" t="n">
        <f aca="false">Sens!H9134-Sens!H9135</f>
        <v>194.551618466867</v>
      </c>
      <c r="I9136" s="6" t="n">
        <f aca="false">Sens!I9134-Sens!I9135</f>
        <v>214.616166992954</v>
      </c>
      <c r="J9136" s="6" t="n">
        <f aca="false">Sens!J9134-Sens!J9135</f>
        <v>231.330402094704</v>
      </c>
      <c r="K9136" s="6" t="n">
        <f aca="false">Sens!K9134-Sens!K9135</f>
        <v>245.757580308026</v>
      </c>
    </row>
    <row r="9137" customFormat="false" ht="17.15" hidden="false" customHeight="false" outlineLevel="0" collapsed="false">
      <c r="A9137" s="1" t="s">
        <v>1077</v>
      </c>
      <c r="B9137" s="1" t="s">
        <v>81</v>
      </c>
      <c r="D9137" s="15" t="n">
        <f aca="false">Q!L31</f>
        <v>7.465</v>
      </c>
      <c r="E9137" s="15" t="n">
        <f aca="false">Q!M31</f>
        <v>7.453</v>
      </c>
      <c r="F9137" s="15" t="n">
        <f aca="false">Sens!F9181</f>
        <v>7.47076096680494</v>
      </c>
      <c r="G9137" s="15" t="n">
        <f aca="false">Sens!G9181</f>
        <v>7.51049284363018</v>
      </c>
      <c r="H9137" s="15" t="n">
        <f aca="false">Sens!H9181</f>
        <v>7.53566369267927</v>
      </c>
      <c r="I9137" s="15" t="n">
        <f aca="false">Sens!I9181</f>
        <v>7.54734505673474</v>
      </c>
      <c r="J9137" s="15" t="n">
        <f aca="false">Sens!J9181</f>
        <v>7.56149446789722</v>
      </c>
      <c r="K9137" s="15" t="n">
        <f aca="false">Sens!K9181</f>
        <v>7.57792910786247</v>
      </c>
    </row>
    <row r="9138" customFormat="false" ht="17.15" hidden="false" customHeight="false" outlineLevel="0" collapsed="false">
      <c r="A9138" s="0" t="s">
        <v>1078</v>
      </c>
      <c r="B9138" s="0" t="s">
        <v>75</v>
      </c>
      <c r="D9138" s="8" t="n">
        <f aca="false">Sens!D9136/Sens!D9137</f>
        <v>13.641259209645</v>
      </c>
      <c r="E9138" s="8" t="n">
        <f aca="false">Sens!E9136/Sens!E9137</f>
        <v>17.9456594659869</v>
      </c>
      <c r="F9138" s="8" t="n">
        <f aca="false">Sens!F9136/Sens!F9137</f>
        <v>19.7189190858031</v>
      </c>
      <c r="G9138" s="8" t="n">
        <f aca="false">Sens!G9136/Sens!G9137</f>
        <v>22.2874378566863</v>
      </c>
      <c r="H9138" s="8" t="n">
        <f aca="false">Sens!H9136/Sens!H9137</f>
        <v>25.8174497165883</v>
      </c>
      <c r="I9138" s="8" t="n">
        <f aca="false">Sens!I9136/Sens!I9137</f>
        <v>28.4359818425746</v>
      </c>
      <c r="J9138" s="8" t="n">
        <f aca="false">Sens!J9136/Sens!J9137</f>
        <v>30.5932118414992</v>
      </c>
      <c r="K9138" s="8" t="n">
        <f aca="false">Sens!K9136/Sens!K9137</f>
        <v>32.4307045909205</v>
      </c>
      <c r="L9138" s="1" t="s">
        <v>1079</v>
      </c>
    </row>
    <row r="9139" customFormat="false" ht="17.15" hidden="false" customHeight="false" outlineLevel="0" collapsed="false">
      <c r="A9139" s="1" t="s">
        <v>1080</v>
      </c>
      <c r="B9139" s="0" t="s">
        <v>98</v>
      </c>
      <c r="D9139" s="6" t="n">
        <f aca="false">Sens!D9136</f>
        <v>101.832</v>
      </c>
      <c r="E9139" s="6" t="n">
        <f aca="false">Sens!E9136</f>
        <v>133.749</v>
      </c>
      <c r="F9139" s="6" t="n">
        <f aca="false">Sens!F9136+Sens!F9129*(1-tax_f)</f>
        <v>154.422056410052</v>
      </c>
      <c r="G9139" s="6" t="n">
        <f aca="false">Sens!G9136+Sens!G9129*(1-tax_f)</f>
        <v>185.554466939116</v>
      </c>
      <c r="H9139" s="6" t="n">
        <f aca="false">Sens!H9136+Sens!H9129*(1-tax_f)</f>
        <v>224.953094657433</v>
      </c>
      <c r="I9139" s="6" t="n">
        <f aca="false">Sens!I9136+Sens!I9129*(1-tax_f)</f>
        <v>256.326654569368</v>
      </c>
      <c r="J9139" s="6" t="n">
        <f aca="false">Sens!J9136+Sens!J9129*(1-tax_f)</f>
        <v>280.978067609455</v>
      </c>
      <c r="K9139" s="6" t="n">
        <f aca="false">Sens!K9136+Sens!K9129*(1-tax_f)</f>
        <v>299.421685324527</v>
      </c>
    </row>
    <row r="9140" customFormat="false" ht="17.15" hidden="false" customHeight="false" outlineLevel="0" collapsed="false">
      <c r="A9140" s="0" t="s">
        <v>1081</v>
      </c>
      <c r="B9140" s="0" t="s">
        <v>75</v>
      </c>
      <c r="D9140" s="8" t="n">
        <f aca="false">Sens!D9139/Sens!D9137</f>
        <v>13.641259209645</v>
      </c>
      <c r="E9140" s="8" t="n">
        <f aca="false">Sens!E9139/Sens!E9137</f>
        <v>17.9456594659869</v>
      </c>
      <c r="F9140" s="8" t="n">
        <f aca="false">Sens!F9139/Sens!F9137</f>
        <v>20.6701910416088</v>
      </c>
      <c r="G9140" s="8" t="n">
        <f aca="false">Sens!G9139/Sens!G9137</f>
        <v>24.7060307229358</v>
      </c>
      <c r="H9140" s="8" t="n">
        <f aca="false">Sens!H9139/Sens!H9137</f>
        <v>29.8517959175872</v>
      </c>
      <c r="I9140" s="8" t="n">
        <f aca="false">Sens!I9139/Sens!I9137</f>
        <v>33.9624931207616</v>
      </c>
      <c r="J9140" s="8" t="n">
        <f aca="false">Sens!J9139/Sens!J9137</f>
        <v>37.1590654205151</v>
      </c>
      <c r="K9140" s="8" t="n">
        <f aca="false">Sens!K9139/Sens!K9137</f>
        <v>39.512336558264</v>
      </c>
      <c r="L9140" s="1" t="s">
        <v>1082</v>
      </c>
    </row>
    <row r="9141" customFormat="false" ht="17.15" hidden="false" customHeight="false" outlineLevel="0" collapsed="false">
      <c r="A9141" s="0" t="s">
        <v>1083</v>
      </c>
      <c r="B9141" s="0" t="s">
        <v>168</v>
      </c>
      <c r="E9141" s="7" t="n">
        <f aca="false">Sens!E9140/Sens!D9140-1</f>
        <v>0.315542736208578</v>
      </c>
      <c r="F9141" s="7" t="n">
        <f aca="false">Sens!F9140/Sens!E9140-1</f>
        <v>0.151821201153733</v>
      </c>
      <c r="G9141" s="7" t="n">
        <f aca="false">Sens!G9140/Sens!F9140-1</f>
        <v>0.195249268533747</v>
      </c>
      <c r="H9141" s="7" t="n">
        <f aca="false">Sens!H9140/Sens!G9140-1</f>
        <v>0.20827972135056</v>
      </c>
      <c r="I9141" s="7" t="n">
        <f aca="false">Sens!I9140/Sens!H9140-1</f>
        <v>0.137703514204739</v>
      </c>
      <c r="J9141" s="7" t="n">
        <f aca="false">Sens!J9140/Sens!I9140-1</f>
        <v>0.0941206609416818</v>
      </c>
      <c r="K9141" s="7" t="n">
        <f aca="false">Sens!K9140/Sens!J9140-1</f>
        <v>0.0633296642721732</v>
      </c>
    </row>
    <row r="9142" customFormat="false" ht="17.15" hidden="false" customHeight="false" outlineLevel="0" collapsed="false">
      <c r="A9142" s="0" t="s">
        <v>1003</v>
      </c>
      <c r="B9142" s="0" t="s">
        <v>98</v>
      </c>
      <c r="E9142" s="6" t="n">
        <f aca="false">Sens!E9083</f>
        <v>5.25</v>
      </c>
      <c r="F9142" s="6" t="n">
        <f aca="false">Sens!F9083</f>
        <v>13.5</v>
      </c>
      <c r="G9142" s="6" t="n">
        <f aca="false">Sens!G9083</f>
        <v>22.5</v>
      </c>
      <c r="H9142" s="6" t="n">
        <f aca="false">Sens!H9083</f>
        <v>31.5</v>
      </c>
      <c r="I9142" s="6" t="n">
        <f aca="false">Sens!I9083</f>
        <v>38.25</v>
      </c>
      <c r="J9142" s="6" t="n">
        <f aca="false">Sens!J9083</f>
        <v>42.75</v>
      </c>
      <c r="K9142" s="6" t="n">
        <f aca="false">Sens!K9083</f>
        <v>47.25</v>
      </c>
    </row>
    <row r="9143" customFormat="false" ht="17.15" hidden="false" customHeight="false" outlineLevel="0" collapsed="false">
      <c r="A9143" s="1" t="s">
        <v>1004</v>
      </c>
      <c r="B9143" s="0" t="s">
        <v>98</v>
      </c>
      <c r="F9143" s="6" t="n">
        <f aca="false">MAX(0,((Sens!E9043+Sens!F9043)/2-(shadow_base*(Sens!$D$9043+Sens!$E$9043)/2+(1-shadow_base)*Sens!$E$9043))*Sens!F9052/1000-(Sens!F9142-Sens!$E$9142)*Sens!F9122)</f>
        <v>8.88340674531245</v>
      </c>
      <c r="G9143" s="6" t="n">
        <f aca="false">MAX(0,((Sens!F9043+Sens!G9043)/2-(shadow_base*(Sens!$D$9043+Sens!$E$9043)/2+(1-shadow_base)*Sens!$E$9043))*Sens!G9052/1000-(Sens!G9142-Sens!$E$9142)*Sens!G9122)</f>
        <v>22.7060305170273</v>
      </c>
      <c r="H9143" s="6" t="n">
        <f aca="false">MAX(0,((Sens!G9043+Sens!H9043)/2-(shadow_base*(Sens!$D$9043+Sens!$E$9043)/2+(1-shadow_base)*Sens!$E$9043))*Sens!H9052/1000-(Sens!H9142-Sens!$E$9142)*Sens!H9122)</f>
        <v>38.0018452382075</v>
      </c>
      <c r="I9143" s="6" t="n">
        <f aca="false">MAX(0,((Sens!H9043+Sens!I9043)/2-(shadow_base*(Sens!$D$9043+Sens!$E$9043)/2+(1-shadow_base)*Sens!$E$9043))*Sens!I9052/1000-(Sens!I9142-Sens!$E$9142)*Sens!I9122)</f>
        <v>52.1381094705177</v>
      </c>
      <c r="J9143" s="6" t="n">
        <f aca="false">MAX(0,((Sens!I9043+Sens!J9043)/2-(shadow_base*(Sens!$D$9043+Sens!$E$9043)/2+(1-shadow_base)*Sens!$E$9043))*Sens!J9052/1000-(Sens!J9142-Sens!$E$9142)*Sens!J9122)</f>
        <v>62.0595818934393</v>
      </c>
      <c r="K9143" s="6" t="n">
        <f aca="false">MAX(0,((Sens!J9043+Sens!K9043)/2-(shadow_base*(Sens!$D$9043+Sens!$E$9043)/2+(1-shadow_base)*Sens!$E$9043))*Sens!K9052/1000-(Sens!K9142-Sens!$E$9142)*Sens!K9122)</f>
        <v>67.0801312706266</v>
      </c>
      <c r="L9143" s="1" t="s">
        <v>1005</v>
      </c>
    </row>
    <row r="9144" customFormat="false" ht="17.15" hidden="false" customHeight="false" outlineLevel="0" collapsed="false">
      <c r="A9144" s="1" t="s">
        <v>1006</v>
      </c>
      <c r="B9144" s="0" t="s">
        <v>98</v>
      </c>
      <c r="F9144" s="6" t="n">
        <f aca="false">IF(internal_ai_reading=2,1,0)*Sens!F9143</f>
        <v>8.88340674531245</v>
      </c>
      <c r="G9144" s="6" t="n">
        <f aca="false">IF(internal_ai_reading=2,1,0)*Sens!G9143</f>
        <v>22.7060305170273</v>
      </c>
      <c r="H9144" s="6" t="n">
        <f aca="false">IF(internal_ai_reading=2,1,0)*Sens!H9143</f>
        <v>38.0018452382075</v>
      </c>
      <c r="I9144" s="6" t="n">
        <f aca="false">IF(internal_ai_reading=2,1,0)*Sens!I9143</f>
        <v>52.1381094705177</v>
      </c>
      <c r="J9144" s="6" t="n">
        <f aca="false">IF(internal_ai_reading=2,1,0)*Sens!J9143</f>
        <v>62.0595818934393</v>
      </c>
      <c r="K9144" s="6" t="n">
        <f aca="false">IF(internal_ai_reading=2,1,0)*Sens!K9143</f>
        <v>67.0801312706266</v>
      </c>
    </row>
    <row r="9145" customFormat="false" ht="17.15" hidden="false" customHeight="false" outlineLevel="0" collapsed="false">
      <c r="A9145" s="0" t="s">
        <v>1007</v>
      </c>
      <c r="B9145" s="0" t="s">
        <v>98</v>
      </c>
      <c r="F9145" s="6" t="n">
        <f aca="false">Sens!F9062+Sens!F9142*Sens!F9122+Sens!F9144-Sens!F9063-Sens!F9074</f>
        <v>18.5068678152817</v>
      </c>
      <c r="G9145" s="6" t="n">
        <f aca="false">Sens!G9062+Sens!G9142*Sens!G9122+Sens!G9144-Sens!G9063-Sens!G9074</f>
        <v>43.1983864982792</v>
      </c>
      <c r="H9145" s="6" t="n">
        <f aca="false">Sens!H9062+Sens!H9142*Sens!H9122+Sens!H9144-Sens!H9063-Sens!H9074</f>
        <v>73.502598356074</v>
      </c>
      <c r="I9145" s="6" t="n">
        <f aca="false">Sens!I9062+Sens!I9142*Sens!I9122+Sens!I9144-Sens!I9063-Sens!I9074</f>
        <v>94.7454135378504</v>
      </c>
      <c r="J9145" s="6" t="n">
        <f aca="false">Sens!J9062+Sens!J9142*Sens!J9122+Sens!J9144-Sens!J9063-Sens!J9074</f>
        <v>109.399608126358</v>
      </c>
      <c r="K9145" s="6" t="n">
        <f aca="false">Sens!K9062+Sens!K9142*Sens!K9122+Sens!K9144-Sens!K9063-Sens!K9074</f>
        <v>118.898703181943</v>
      </c>
    </row>
    <row r="9146" customFormat="false" ht="17.15" hidden="false" customHeight="false" outlineLevel="0" collapsed="false">
      <c r="A9146" s="0" t="s">
        <v>1008</v>
      </c>
      <c r="B9146" s="0" t="s">
        <v>98</v>
      </c>
      <c r="E9146" s="6" t="n">
        <f aca="false">Sens!E9042*(cxit_open+self_build*tk_cxfac)/1000*ai_net_open</f>
        <v>126.6980382</v>
      </c>
      <c r="F9146" s="6" t="n">
        <f aca="false">Sens!E9146+Sens!F9071-Sens!F9074</f>
        <v>260.572627763768</v>
      </c>
      <c r="G9146" s="6" t="n">
        <f aca="false">Sens!F9146+Sens!G9071-Sens!G9074</f>
        <v>391.782612760517</v>
      </c>
      <c r="H9146" s="6" t="n">
        <f aca="false">Sens!G9146+Sens!H9071-Sens!H9074</f>
        <v>499.488526163584</v>
      </c>
      <c r="I9146" s="6" t="n">
        <f aca="false">Sens!H9146+Sens!I9071-Sens!I9074</f>
        <v>553.872350090646</v>
      </c>
      <c r="J9146" s="6" t="n">
        <f aca="false">Sens!I9146+Sens!J9071-Sens!J9074</f>
        <v>550.78660823699</v>
      </c>
      <c r="K9146" s="6" t="n">
        <f aca="false">Sens!J9146+Sens!K9071-Sens!K9074</f>
        <v>526.736791750789</v>
      </c>
      <c r="L9146" s="1" t="s">
        <v>1009</v>
      </c>
    </row>
    <row r="9147" customFormat="false" ht="17.15" hidden="false" customHeight="false" outlineLevel="0" collapsed="false">
      <c r="A9147" s="0" t="s">
        <v>1010</v>
      </c>
      <c r="B9147" s="0" t="s">
        <v>168</v>
      </c>
      <c r="F9147" s="7" t="n">
        <f aca="false">Sens!F9145*(1-tax_f)/((Sens!E9146+Sens!F9146)/2)</f>
        <v>0.0764607059271074</v>
      </c>
      <c r="G9147" s="7" t="n">
        <f aca="false">Sens!G9145*(1-tax_f)/((Sens!F9146+Sens!G9146)/2)</f>
        <v>0.105950583522098</v>
      </c>
      <c r="H9147" s="7" t="n">
        <f aca="false">Sens!H9145*(1-tax_f)/((Sens!G9146+Sens!H9146)/2)</f>
        <v>0.131951044114011</v>
      </c>
      <c r="I9147" s="7" t="n">
        <f aca="false">Sens!I9145*(1-tax_f)/((Sens!H9146+Sens!I9146)/2)</f>
        <v>0.143913320760143</v>
      </c>
      <c r="J9147" s="7" t="n">
        <f aca="false">Sens!J9145*(1-tax_f)/((Sens!I9146+Sens!J9146)/2)</f>
        <v>0.158455577336889</v>
      </c>
      <c r="K9147" s="7" t="n">
        <f aca="false">Sens!K9145*(1-tax_f)/((Sens!J9146+Sens!K9146)/2)</f>
        <v>0.176551084731214</v>
      </c>
    </row>
    <row r="9148" customFormat="false" ht="17.15" hidden="false" customHeight="false" outlineLevel="0" collapsed="false">
      <c r="A9148" s="1" t="s">
        <v>1011</v>
      </c>
      <c r="B9148" s="0" t="s">
        <v>168</v>
      </c>
      <c r="F9148" s="7" t="n">
        <f aca="false">(Sens!F9145-Sens!F9144)*(1-tax_f)/((Sens!E9146+Sens!F9146)/2)</f>
        <v>0.0397591118181705</v>
      </c>
      <c r="G9148" s="7" t="n">
        <f aca="false">(Sens!G9145-Sens!G9144)*(1-tax_f)/((Sens!F9146+Sens!G9146)/2)</f>
        <v>0.0502606057761598</v>
      </c>
      <c r="H9148" s="7" t="n">
        <f aca="false">(Sens!H9145-Sens!H9144)*(1-tax_f)/((Sens!G9146+Sens!H9146)/2)</f>
        <v>0.0637305557287023</v>
      </c>
      <c r="I9148" s="7" t="n">
        <f aca="false">(Sens!I9145-Sens!I9144)*(1-tax_f)/((Sens!H9146+Sens!I9146)/2)</f>
        <v>0.0647182632699936</v>
      </c>
      <c r="J9148" s="7" t="n">
        <f aca="false">(Sens!J9145-Sens!J9144)*(1-tax_f)/((Sens!I9146+Sens!J9146)/2)</f>
        <v>0.0685678067440289</v>
      </c>
      <c r="K9148" s="7" t="n">
        <f aca="false">(Sens!K9145-Sens!K9144)*(1-tax_f)/((Sens!J9146+Sens!K9146)/2)</f>
        <v>0.0769447002812616</v>
      </c>
    </row>
    <row r="9149" customFormat="false" ht="17.15" hidden="false" customHeight="false" outlineLevel="0" collapsed="false">
      <c r="A9149" s="1" t="s">
        <v>1012</v>
      </c>
      <c r="B9149" s="0" t="s">
        <v>168</v>
      </c>
      <c r="F9149" s="7" t="n">
        <f aca="false">(Sens!F9145-Sens!F9144+Sens!F9143)*(1-tax_f)/((Sens!E9146+Sens!F9146)/2)</f>
        <v>0.0764607059271074</v>
      </c>
      <c r="G9149" s="7" t="n">
        <f aca="false">(Sens!G9145-Sens!G9144+Sens!G9143)*(1-tax_f)/((Sens!F9146+Sens!G9146)/2)</f>
        <v>0.105950583522098</v>
      </c>
      <c r="H9149" s="7" t="n">
        <f aca="false">(Sens!H9145-Sens!H9144+Sens!H9143)*(1-tax_f)/((Sens!G9146+Sens!H9146)/2)</f>
        <v>0.131951044114011</v>
      </c>
      <c r="I9149" s="7" t="n">
        <f aca="false">(Sens!I9145-Sens!I9144+Sens!I9143)*(1-tax_f)/((Sens!H9146+Sens!I9146)/2)</f>
        <v>0.143913320760143</v>
      </c>
      <c r="J9149" s="7" t="n">
        <f aca="false">(Sens!J9145-Sens!J9144+Sens!J9143)*(1-tax_f)/((Sens!I9146+Sens!J9146)/2)</f>
        <v>0.158455577336889</v>
      </c>
      <c r="K9149" s="7" t="n">
        <f aca="false">(Sens!K9145-Sens!K9144+Sens!K9143)*(1-tax_f)/((Sens!J9146+Sens!K9146)/2)</f>
        <v>0.176551084731214</v>
      </c>
    </row>
    <row r="9150" customFormat="false" ht="17.15" hidden="false" customHeight="false" outlineLevel="0" collapsed="false">
      <c r="A9150" s="1" t="s">
        <v>1013</v>
      </c>
      <c r="B9150" s="0" t="s">
        <v>168</v>
      </c>
      <c r="F9150" s="7" t="n">
        <f aca="false">Sens!F9075*(1-tax_f)/(Sens!F9061*(Sens!E9146+Sens!F9146)/2)</f>
        <v>0.15471433083293</v>
      </c>
      <c r="G9150" s="7" t="n">
        <f aca="false">Sens!G9075*(1-tax_f)/(Sens!G9061*(Sens!F9146+Sens!G9146)/2)</f>
        <v>0.176916911437355</v>
      </c>
      <c r="H9150" s="7" t="n">
        <f aca="false">Sens!H9075*(1-tax_f)/(Sens!H9061*(Sens!G9146+Sens!H9146)/2)</f>
        <v>0.207487057996582</v>
      </c>
      <c r="I9150" s="7" t="n">
        <f aca="false">Sens!I9075*(1-tax_f)/(Sens!I9061*(Sens!H9146+Sens!I9146)/2)</f>
        <v>0.219873660070946</v>
      </c>
      <c r="J9150" s="7" t="n">
        <f aca="false">Sens!J9075*(1-tax_f)/(Sens!J9061*(Sens!I9146+Sens!J9146)/2)</f>
        <v>0.238959457974928</v>
      </c>
      <c r="K9150" s="7" t="n">
        <f aca="false">Sens!K9075*(1-tax_f)/(Sens!K9061*(Sens!J9146+Sens!K9146)/2)</f>
        <v>0.264604270651536</v>
      </c>
    </row>
    <row r="9151" customFormat="false" ht="17.15" hidden="false" customHeight="false" outlineLevel="0" collapsed="false">
      <c r="A9151" s="0" t="s">
        <v>1014</v>
      </c>
      <c r="B9151" s="0" t="s">
        <v>253</v>
      </c>
      <c r="F9151" s="7" t="n">
        <f aca="false">Sens!F9147-wacc</f>
        <v>-0.0264758850184899</v>
      </c>
      <c r="G9151" s="7" t="n">
        <f aca="false">Sens!G9147-wacc</f>
        <v>0.00301399257650095</v>
      </c>
      <c r="H9151" s="7" t="n">
        <f aca="false">Sens!H9147-wacc</f>
        <v>0.0290144531684132</v>
      </c>
      <c r="I9151" s="7" t="n">
        <f aca="false">Sens!I9147-wacc</f>
        <v>0.0409767298145461</v>
      </c>
      <c r="J9151" s="7" t="n">
        <f aca="false">Sens!J9147-wacc</f>
        <v>0.0555189863912922</v>
      </c>
      <c r="K9151" s="7" t="n">
        <f aca="false">Sens!K9147-wacc</f>
        <v>0.0736144937856168</v>
      </c>
    </row>
    <row r="9152" customFormat="false" ht="17.15" hidden="false" customHeight="false" outlineLevel="0" collapsed="false">
      <c r="A9152" s="0" t="s">
        <v>1015</v>
      </c>
      <c r="B9152" s="0" t="s">
        <v>98</v>
      </c>
      <c r="F9152" s="6" t="n">
        <f aca="false">Sens!F9145*(1-tax_f)-wacc*(Sens!E9146+Sens!F9146)/2</f>
        <v>-5.12666681154535</v>
      </c>
      <c r="G9152" s="6" t="n">
        <f aca="false">Sens!G9145*(1-tax_f)-wacc*(Sens!F9146+Sens!G9146)/2</f>
        <v>0.983096926090845</v>
      </c>
      <c r="H9152" s="6" t="n">
        <f aca="false">Sens!H9145*(1-tax_f)-wacc*(Sens!G9146+Sens!H9146)/2</f>
        <v>12.9298723603358</v>
      </c>
      <c r="I9152" s="6" t="n">
        <f aca="false">Sens!I9145*(1-tax_f)-wacc*(Sens!H9146+Sens!I9146)/2</f>
        <v>21.5816420117415</v>
      </c>
      <c r="J9152" s="6" t="n">
        <f aca="false">Sens!J9145*(1-tax_f)-wacc*(Sens!I9146+Sens!J9146)/2</f>
        <v>30.6647728372055</v>
      </c>
      <c r="K9152" s="6" t="n">
        <f aca="false">Sens!K9145*(1-tax_f)-wacc*(Sens!J9146+Sens!K9146)/2</f>
        <v>39.6606698161285</v>
      </c>
    </row>
    <row r="9153" customFormat="false" ht="17.15" hidden="false" customHeight="false" outlineLevel="0" collapsed="false">
      <c r="A9153" s="3" t="s">
        <v>1708</v>
      </c>
    </row>
    <row r="9154" customFormat="false" ht="15" hidden="false" customHeight="false" outlineLevel="0" collapsed="false">
      <c r="A9154" s="4" t="s">
        <v>43</v>
      </c>
      <c r="B9154" s="4" t="s">
        <v>65</v>
      </c>
      <c r="C9154" s="23" t="s">
        <v>938</v>
      </c>
      <c r="D9154" s="23" t="s">
        <v>939</v>
      </c>
      <c r="E9154" s="23" t="s">
        <v>940</v>
      </c>
      <c r="F9154" s="23" t="s">
        <v>941</v>
      </c>
      <c r="G9154" s="23" t="s">
        <v>942</v>
      </c>
      <c r="H9154" s="23" t="s">
        <v>943</v>
      </c>
      <c r="I9154" s="23" t="s">
        <v>944</v>
      </c>
      <c r="J9154" s="23" t="s">
        <v>945</v>
      </c>
      <c r="K9154" s="23" t="s">
        <v>946</v>
      </c>
      <c r="L9154" s="4" t="s">
        <v>47</v>
      </c>
    </row>
    <row r="9155" customFormat="false" ht="15" hidden="false" customHeight="false" outlineLevel="0" collapsed="false">
      <c r="A9155" s="1" t="s">
        <v>1076</v>
      </c>
      <c r="B9155" s="0" t="s">
        <v>98</v>
      </c>
      <c r="F9155" s="6" t="n">
        <f aca="false">Sens!F9136</f>
        <v>147.315331013802</v>
      </c>
      <c r="G9155" s="6" t="n">
        <f aca="false">Sens!G9136</f>
        <v>167.389642525494</v>
      </c>
      <c r="H9155" s="6" t="n">
        <f aca="false">Sens!H9136</f>
        <v>194.551618466867</v>
      </c>
      <c r="I9155" s="6" t="n">
        <f aca="false">Sens!I9136</f>
        <v>214.616166992954</v>
      </c>
      <c r="J9155" s="6" t="n">
        <f aca="false">Sens!J9136</f>
        <v>231.330402094704</v>
      </c>
      <c r="K9155" s="6" t="n">
        <f aca="false">Sens!K9136</f>
        <v>245.757580308026</v>
      </c>
    </row>
    <row r="9156" customFormat="false" ht="17.15" hidden="false" customHeight="false" outlineLevel="0" collapsed="false">
      <c r="A9156" s="1" t="s">
        <v>1098</v>
      </c>
      <c r="B9156" s="0" t="s">
        <v>98</v>
      </c>
      <c r="E9156" s="6" t="n">
        <f aca="false">Q!M38-Sens!E9074</f>
        <v>22.2285940229167</v>
      </c>
      <c r="F9156" s="6" t="n">
        <f aca="false">Sens!E9156*(1-1/life_nonai)+(Sens!F9164+Sens!F9165)/life_nonai</f>
        <v>23.580344216413</v>
      </c>
      <c r="G9156" s="6" t="n">
        <f aca="false">Sens!F9156*(1-1/life_nonai)+(Sens!G9164)/life_nonai</f>
        <v>25.3552285414683</v>
      </c>
      <c r="H9156" s="6" t="n">
        <f aca="false">Sens!G9156*(1-1/life_nonai)+(Sens!H9164)/life_nonai</f>
        <v>27.5132356452699</v>
      </c>
      <c r="I9156" s="6" t="n">
        <f aca="false">Sens!H9156*(1-1/life_nonai)+(Sens!I9164)/life_nonai</f>
        <v>29.9603588208078</v>
      </c>
      <c r="J9156" s="6" t="n">
        <f aca="false">Sens!I9156*(1-1/life_nonai)+(Sens!J9164)/life_nonai</f>
        <v>32.5860635032446</v>
      </c>
      <c r="K9156" s="6" t="n">
        <f aca="false">Sens!J9156*(1-1/life_nonai)+(Sens!K9164)/life_nonai</f>
        <v>35.2893283703788</v>
      </c>
      <c r="L9156" s="12" t="s">
        <v>1099</v>
      </c>
    </row>
    <row r="9157" customFormat="false" ht="17.15" hidden="false" customHeight="false" outlineLevel="0" collapsed="false">
      <c r="A9157" s="1" t="s">
        <v>1100</v>
      </c>
      <c r="B9157" s="0" t="s">
        <v>98</v>
      </c>
      <c r="F9157" s="6" t="n">
        <f aca="false">Sens!$F$9165/life_nonai*(1-1/life_nonai)^(Sens!F9037-2027)</f>
        <v>0.0105428474065192</v>
      </c>
      <c r="G9157" s="6" t="n">
        <f aca="false">Sens!$F$9165/life_nonai*(1-1/life_nonai)^(Sens!G9037-2027)</f>
        <v>0.00948856266586731</v>
      </c>
      <c r="H9157" s="6" t="n">
        <f aca="false">Sens!$F$9165/life_nonai*(1-1/life_nonai)^(Sens!H9037-2027)</f>
        <v>0.00853970639928058</v>
      </c>
      <c r="I9157" s="6" t="n">
        <f aca="false">Sens!$F$9165/life_nonai*(1-1/life_nonai)^(Sens!I9037-2027)</f>
        <v>0.00768573575935252</v>
      </c>
      <c r="J9157" s="6" t="n">
        <f aca="false">Sens!$F$9165/life_nonai*(1-1/life_nonai)^(Sens!J9037-2027)</f>
        <v>0.00691716218341727</v>
      </c>
      <c r="K9157" s="6" t="n">
        <f aca="false">Sens!$F$9165/life_nonai*(1-1/life_nonai)^(Sens!K9037-2027)</f>
        <v>0.00622544596507554</v>
      </c>
      <c r="L9157" s="1" t="s">
        <v>1101</v>
      </c>
    </row>
    <row r="9158" customFormat="false" ht="17.15" hidden="false" customHeight="false" outlineLevel="0" collapsed="false">
      <c r="A9158" s="1" t="s">
        <v>1102</v>
      </c>
      <c r="B9158" s="0" t="s">
        <v>98</v>
      </c>
      <c r="E9158" s="6" t="n">
        <f aca="false">Sens!E9074+Sens!E9156</f>
        <v>38.534</v>
      </c>
      <c r="F9158" s="6" t="n">
        <f aca="false">Sens!F9074+Sens!F9156</f>
        <v>58.1596586947647</v>
      </c>
      <c r="G9158" s="6" t="n">
        <f aca="false">Sens!G9074+Sens!G9156</f>
        <v>86.0897191937673</v>
      </c>
      <c r="H9158" s="6" t="n">
        <f aca="false">Sens!H9074+Sens!H9156</f>
        <v>116.613326306716</v>
      </c>
      <c r="I9158" s="6" t="n">
        <f aca="false">Sens!I9074+Sens!I9156</f>
        <v>144.191368515356</v>
      </c>
      <c r="J9158" s="6" t="n">
        <f aca="false">Sens!J9074+Sens!J9156</f>
        <v>164.601736552841</v>
      </c>
      <c r="K9158" s="6" t="n">
        <f aca="false">Sens!K9074+Sens!K9156</f>
        <v>178.301997921313</v>
      </c>
    </row>
    <row r="9159" customFormat="false" ht="17.15" hidden="false" customHeight="false" outlineLevel="0" collapsed="false">
      <c r="A9159" s="1" t="s">
        <v>1103</v>
      </c>
      <c r="B9159" s="0" t="s">
        <v>98</v>
      </c>
      <c r="F9159" s="6" t="n">
        <f aca="false">Sens!F9101*sbc_r</f>
        <v>15.0572561969028</v>
      </c>
      <c r="G9159" s="6" t="n">
        <f aca="false">Sens!G9101*sbc_r</f>
        <v>18.3375819794461</v>
      </c>
      <c r="H9159" s="6" t="n">
        <f aca="false">Sens!H9101*sbc_r</f>
        <v>21.8409425791888</v>
      </c>
      <c r="I9159" s="6" t="n">
        <f aca="false">Sens!I9101*sbc_r</f>
        <v>24.7745073328606</v>
      </c>
      <c r="J9159" s="6" t="n">
        <f aca="false">Sens!J9101*sbc_r</f>
        <v>27.0704902366705</v>
      </c>
      <c r="K9159" s="6" t="n">
        <f aca="false">Sens!K9101*sbc_r</f>
        <v>28.8222850864073</v>
      </c>
    </row>
    <row r="9160" customFormat="false" ht="17.15" hidden="false" customHeight="false" outlineLevel="0" collapsed="false">
      <c r="A9160" s="1" t="s">
        <v>1104</v>
      </c>
      <c r="B9160" s="0" t="s">
        <v>98</v>
      </c>
      <c r="F9160" s="6" t="n">
        <f aca="false">wc27-wc26q1</f>
        <v>-4.677</v>
      </c>
      <c r="G9160" s="6" t="n">
        <f aca="false">wc_f</f>
        <v>0</v>
      </c>
      <c r="H9160" s="6" t="n">
        <f aca="false">wc_f</f>
        <v>0</v>
      </c>
      <c r="I9160" s="6" t="n">
        <f aca="false">wc_f</f>
        <v>0</v>
      </c>
      <c r="J9160" s="6" t="n">
        <f aca="false">wc_f</f>
        <v>0</v>
      </c>
      <c r="K9160" s="6" t="n">
        <f aca="false">wc_f</f>
        <v>0</v>
      </c>
      <c r="L9160" s="12" t="s">
        <v>1105</v>
      </c>
    </row>
    <row r="9161" customFormat="false" ht="17.15" hidden="false" customHeight="false" outlineLevel="0" collapsed="false">
      <c r="A9161" s="0" t="s">
        <v>1106</v>
      </c>
      <c r="B9161" s="0" t="s">
        <v>98</v>
      </c>
      <c r="F9161" s="6" t="n">
        <f aca="false">Q!$I$35-Q!$I$26-Q!$I$38-Q!$I$39</f>
        <v>6.493</v>
      </c>
      <c r="L9161" s="1" t="s">
        <v>1107</v>
      </c>
    </row>
    <row r="9162" customFormat="false" ht="15" hidden="false" customHeight="false" outlineLevel="0" collapsed="false">
      <c r="A9162" s="1" t="s">
        <v>904</v>
      </c>
      <c r="B9162" s="0" t="s">
        <v>98</v>
      </c>
      <c r="E9162" s="6" t="n">
        <f aca="false">Q!M35</f>
        <v>182.935</v>
      </c>
      <c r="F9162" s="6" t="n">
        <f aca="false">Sens!F9155+Sens!F9158+Sens!F9159+Sens!F9160+Sens!F9161</f>
        <v>222.34824590547</v>
      </c>
      <c r="G9162" s="6" t="n">
        <f aca="false">Sens!G9155+Sens!G9158+Sens!G9159+Sens!G9160</f>
        <v>271.816943698708</v>
      </c>
      <c r="H9162" s="6" t="n">
        <f aca="false">Sens!H9155+Sens!H9158+Sens!H9159+Sens!H9160</f>
        <v>333.005887352772</v>
      </c>
      <c r="I9162" s="6" t="n">
        <f aca="false">Sens!I9155+Sens!I9158+Sens!I9159+Sens!I9160</f>
        <v>383.582042841171</v>
      </c>
      <c r="J9162" s="6" t="n">
        <f aca="false">Sens!J9155+Sens!J9158+Sens!J9159+Sens!J9160</f>
        <v>423.002628884215</v>
      </c>
      <c r="K9162" s="6" t="n">
        <f aca="false">Sens!K9155+Sens!K9158+Sens!K9159+Sens!K9160</f>
        <v>452.881863315746</v>
      </c>
    </row>
    <row r="9163" customFormat="false" ht="17.15" hidden="false" customHeight="false" outlineLevel="0" collapsed="false">
      <c r="A9163" s="0" t="s">
        <v>1108</v>
      </c>
      <c r="B9163" s="0" t="s">
        <v>98</v>
      </c>
      <c r="F9163" s="6" t="n">
        <f aca="false">Sens!F9071</f>
        <v>168.45390404212</v>
      </c>
      <c r="G9163" s="6" t="n">
        <f aca="false">Sens!G9071</f>
        <v>191.944475649048</v>
      </c>
      <c r="H9163" s="6" t="n">
        <f aca="false">Sens!H9071</f>
        <v>196.806004064512</v>
      </c>
      <c r="I9163" s="6" t="n">
        <f aca="false">Sens!I9071</f>
        <v>168.61483362161</v>
      </c>
      <c r="J9163" s="6" t="n">
        <f aca="false">Sens!J9071</f>
        <v>128.92993119594</v>
      </c>
      <c r="K9163" s="6" t="n">
        <f aca="false">Sens!K9071</f>
        <v>118.962853064733</v>
      </c>
    </row>
    <row r="9164" customFormat="false" ht="17.15" hidden="false" customHeight="false" outlineLevel="0" collapsed="false">
      <c r="A9164" s="1" t="s">
        <v>1109</v>
      </c>
      <c r="B9164" s="0" t="s">
        <v>98</v>
      </c>
      <c r="E9164" s="6" t="n">
        <f aca="false">Sens!E9079*cx_azo+Sens!E9086*cx_m365+Sens!E9087*cx_lic+(Sens!E9089+Sens!E9091)*cx_ind+Sens!E9094*cx_srch+(Sens!E9096+Sens!E9098)*cx_dev</f>
        <v>30.1846587067718</v>
      </c>
      <c r="F9164" s="6" t="n">
        <f aca="false">Sens!F9079*cx_azo+Sens!F9086*cx_m365+Sens!F9087*cx_lic+(Sens!F9089+Sens!F9091)*cx_ind+Sens!F9094*cx_srch+(Sens!F9096+Sens!F9098)*cx_dev</f>
        <v>35.6406674838152</v>
      </c>
      <c r="G9164" s="6" t="n">
        <f aca="false">Sens!G9079*cx_azo+Sens!G9086*cx_m365+Sens!G9087*cx_lic+(Sens!G9089+Sens!G9091)*cx_ind+Sens!G9094*cx_srch+(Sens!G9096+Sens!G9098)*cx_dev</f>
        <v>41.329187466966</v>
      </c>
      <c r="H9164" s="6" t="n">
        <f aca="false">Sens!H9079*cx_azo+Sens!H9086*cx_m365+Sens!H9087*cx_lic+(Sens!H9089+Sens!H9091)*cx_ind+Sens!H9094*cx_srch+(Sens!H9096+Sens!H9098)*cx_dev</f>
        <v>46.9352995794837</v>
      </c>
      <c r="I9164" s="6" t="n">
        <f aca="false">Sens!I9079*cx_azo+Sens!I9086*cx_m365+Sens!I9087*cx_lic+(Sens!I9089+Sens!I9091)*cx_ind+Sens!I9094*cx_srch+(Sens!I9096+Sens!I9098)*cx_dev</f>
        <v>51.9844674006494</v>
      </c>
      <c r="J9164" s="6" t="n">
        <f aca="false">Sens!J9079*cx_azo+Sens!J9086*cx_m365+Sens!J9087*cx_lic+(Sens!J9089+Sens!J9091)*cx_ind+Sens!J9094*cx_srch+(Sens!J9096+Sens!J9098)*cx_dev</f>
        <v>56.2174056451753</v>
      </c>
      <c r="K9164" s="6" t="n">
        <f aca="false">Sens!K9079*cx_azo+Sens!K9086*cx_m365+Sens!K9087*cx_lic+(Sens!K9089+Sens!K9091)*cx_ind+Sens!K9094*cx_srch+(Sens!K9096+Sens!K9098)*cx_dev</f>
        <v>59.6187121745871</v>
      </c>
    </row>
    <row r="9165" customFormat="false" ht="17.15" hidden="false" customHeight="false" outlineLevel="0" collapsed="false">
      <c r="A9165" s="0" t="s">
        <v>1110</v>
      </c>
      <c r="B9165" s="0" t="s">
        <v>98</v>
      </c>
      <c r="F9165" s="6" t="n">
        <f aca="false">Sens!F9069</f>
        <v>0.105428474065192</v>
      </c>
      <c r="L9165" s="1" t="s">
        <v>1111</v>
      </c>
    </row>
    <row r="9166" customFormat="false" ht="17.15" hidden="false" customHeight="false" outlineLevel="0" collapsed="false">
      <c r="A9166" s="1" t="s">
        <v>1112</v>
      </c>
      <c r="B9166" s="0" t="s">
        <v>98</v>
      </c>
      <c r="E9166" s="6" t="n">
        <f aca="false">Q!M43</f>
        <v>145.3</v>
      </c>
      <c r="F9166" s="6" t="n">
        <f aca="false">Sens!F9163+Sens!F9164+Sens!F9165</f>
        <v>204.2</v>
      </c>
      <c r="G9166" s="6" t="n">
        <f aca="false">Sens!G9163+Sens!G9164</f>
        <v>233.273663116014</v>
      </c>
      <c r="H9166" s="6" t="n">
        <f aca="false">Sens!H9163+Sens!H9164</f>
        <v>243.741303643996</v>
      </c>
      <c r="I9166" s="6" t="n">
        <f aca="false">Sens!I9163+Sens!I9164</f>
        <v>220.59930102226</v>
      </c>
      <c r="J9166" s="6" t="n">
        <f aca="false">Sens!J9163+Sens!J9164</f>
        <v>185.147336841116</v>
      </c>
      <c r="K9166" s="6" t="n">
        <f aca="false">Sens!K9163+Sens!K9164</f>
        <v>178.58156523932</v>
      </c>
      <c r="L9166" s="1" t="s">
        <v>1113</v>
      </c>
    </row>
    <row r="9167" customFormat="false" ht="15" hidden="false" customHeight="false" outlineLevel="0" collapsed="false">
      <c r="A9167" s="1" t="s">
        <v>1114</v>
      </c>
      <c r="B9167" s="0" t="s">
        <v>98</v>
      </c>
      <c r="E9167" s="6" t="n">
        <f aca="false">fl_liab</f>
        <v>66.594</v>
      </c>
      <c r="F9167" s="6" t="n">
        <f aca="false">Sens!E9167-Sens!F9168</f>
        <v>62.46973</v>
      </c>
      <c r="G9167" s="6" t="n">
        <f aca="false">Sens!F9167-Sens!G9168</f>
        <v>57.98686785</v>
      </c>
      <c r="H9167" s="6" t="n">
        <f aca="false">Sens!G9167-Sens!H9168</f>
        <v>53.92827690325</v>
      </c>
      <c r="I9167" s="6" t="n">
        <f aca="false">Sens!H9167-Sens!I9168</f>
        <v>49.7850493638962</v>
      </c>
      <c r="J9167" s="6" t="n">
        <f aca="false">Sens!I9167-Sens!J9168</f>
        <v>45.4823765852716</v>
      </c>
      <c r="K9167" s="6" t="n">
        <f aca="false">Sens!J9167-Sens!K9168</f>
        <v>40.9860835316088</v>
      </c>
    </row>
    <row r="9168" customFormat="false" ht="15" hidden="false" customHeight="false" outlineLevel="0" collapsed="false">
      <c r="A9168" s="1" t="s">
        <v>1115</v>
      </c>
      <c r="B9168" s="0" t="s">
        <v>98</v>
      </c>
      <c r="F9168" s="6" t="n">
        <f aca="false">fl_pay_27-Sens!E9167*fl_rate</f>
        <v>4.12427</v>
      </c>
      <c r="G9168" s="6" t="n">
        <f aca="false">fl_pay_28-Sens!F9167*fl_rate</f>
        <v>4.48286215</v>
      </c>
      <c r="H9168" s="6" t="n">
        <f aca="false">fl_pay_29-Sens!G9167*fl_rate</f>
        <v>4.05859094675</v>
      </c>
      <c r="I9168" s="6" t="n">
        <f aca="false">fl_pay_30-Sens!H9167*fl_rate</f>
        <v>4.14322753935375</v>
      </c>
      <c r="J9168" s="6" t="n">
        <f aca="false">fl_pay_31-Sens!I9167*fl_rate</f>
        <v>4.30267277862467</v>
      </c>
      <c r="K9168" s="6" t="n">
        <f aca="false">fl_pay_32-Sens!J9167*fl_rate</f>
        <v>4.49629305366278</v>
      </c>
    </row>
    <row r="9169" customFormat="false" ht="17.15" hidden="false" customHeight="false" outlineLevel="0" collapsed="false">
      <c r="A9169" s="1" t="s">
        <v>1116</v>
      </c>
      <c r="B9169" s="0" t="s">
        <v>98</v>
      </c>
      <c r="E9169" s="6" t="n">
        <f aca="false">Q!M35-Q!M36-Q!M44</f>
        <v>63.886</v>
      </c>
      <c r="F9169" s="6" t="n">
        <f aca="false">Sens!F9162-Sens!F9166-Sens!F9168</f>
        <v>14.0239759054699</v>
      </c>
      <c r="G9169" s="6" t="n">
        <f aca="false">Sens!G9162-Sens!G9166-Sens!G9168</f>
        <v>34.0604184326936</v>
      </c>
      <c r="H9169" s="6" t="n">
        <f aca="false">Sens!H9162-Sens!H9166-Sens!H9168</f>
        <v>85.2059927620255</v>
      </c>
      <c r="I9169" s="6" t="n">
        <f aca="false">Sens!I9162-Sens!I9166-Sens!I9168</f>
        <v>158.839514279557</v>
      </c>
      <c r="J9169" s="6" t="n">
        <f aca="false">Sens!J9162-Sens!J9166-Sens!J9168</f>
        <v>233.552619264475</v>
      </c>
      <c r="K9169" s="6" t="n">
        <f aca="false">Sens!K9162-Sens!K9166-Sens!K9168</f>
        <v>269.804005022763</v>
      </c>
      <c r="L9169" s="12" t="s">
        <v>1117</v>
      </c>
    </row>
    <row r="9170" customFormat="false" ht="15" hidden="false" customHeight="false" outlineLevel="0" collapsed="false">
      <c r="A9170" s="1" t="s">
        <v>1118</v>
      </c>
      <c r="B9170" s="0" t="s">
        <v>75</v>
      </c>
      <c r="F9170" s="8" t="n">
        <f aca="false">dps_27</f>
        <v>3.85</v>
      </c>
      <c r="G9170" s="8" t="n">
        <f aca="false">Sens!F9170*(1+dps_g)</f>
        <v>4.158</v>
      </c>
      <c r="H9170" s="8" t="n">
        <f aca="false">Sens!G9170*(1+dps_g)</f>
        <v>4.49064</v>
      </c>
      <c r="I9170" s="8" t="n">
        <f aca="false">Sens!H9170*(1+dps_g)</f>
        <v>4.8498912</v>
      </c>
      <c r="J9170" s="8" t="n">
        <f aca="false">Sens!I9170*(1+dps_g)</f>
        <v>5.237882496</v>
      </c>
      <c r="K9170" s="8" t="n">
        <f aca="false">Sens!J9170*(1+dps_g)</f>
        <v>5.65691309568</v>
      </c>
    </row>
    <row r="9171" customFormat="false" ht="17.15" hidden="false" customHeight="false" outlineLevel="0" collapsed="false">
      <c r="A9171" s="1" t="s">
        <v>1119</v>
      </c>
      <c r="B9171" s="0" t="s">
        <v>98</v>
      </c>
      <c r="E9171" s="6" t="n">
        <f aca="false">Q!M41</f>
        <v>26.445</v>
      </c>
      <c r="F9171" s="6" t="n">
        <f aca="false">Sens!F9170*Sens!E9180</f>
        <v>28.59395</v>
      </c>
      <c r="G9171" s="6" t="n">
        <f aca="false">Sens!G9170*Sens!F9180</f>
        <v>31.0457981999499</v>
      </c>
      <c r="H9171" s="6" t="n">
        <f aca="false">Sens!H9170*Sens!G9180</f>
        <v>33.708826390693</v>
      </c>
      <c r="I9171" s="6" t="n">
        <f aca="false">Sens!I9170*Sens!H9180</f>
        <v>36.455970779021</v>
      </c>
      <c r="J9171" s="6" t="n">
        <f aca="false">Sens!J9170*Sens!I9180</f>
        <v>39.4403463267354</v>
      </c>
      <c r="K9171" s="6" t="n">
        <f aca="false">Sens!K9170*Sens!J9180</f>
        <v>42.6823282952524</v>
      </c>
      <c r="L9171" s="1" t="s">
        <v>1120</v>
      </c>
    </row>
    <row r="9172" customFormat="false" ht="15" hidden="false" customHeight="false" outlineLevel="0" collapsed="false">
      <c r="A9172" s="1" t="s">
        <v>1121</v>
      </c>
      <c r="B9172" s="0" t="s">
        <v>98</v>
      </c>
      <c r="E9172" s="6" t="n">
        <f aca="false">Sens!E9169-Sens!E9171</f>
        <v>37.441</v>
      </c>
      <c r="F9172" s="6" t="n">
        <f aca="false">Sens!F9169-Sens!F9171</f>
        <v>-14.5699740945301</v>
      </c>
      <c r="G9172" s="6" t="n">
        <f aca="false">Sens!G9169-Sens!G9171</f>
        <v>3.01462023274374</v>
      </c>
      <c r="H9172" s="6" t="n">
        <f aca="false">Sens!H9169-Sens!H9171</f>
        <v>51.4971663713325</v>
      </c>
      <c r="I9172" s="6" t="n">
        <f aca="false">Sens!I9169-Sens!I9171</f>
        <v>122.383543500536</v>
      </c>
      <c r="J9172" s="6" t="n">
        <f aca="false">Sens!J9169-Sens!J9171</f>
        <v>194.112272937739</v>
      </c>
      <c r="K9172" s="6" t="n">
        <f aca="false">Sens!K9169-Sens!K9171</f>
        <v>227.121676727511</v>
      </c>
    </row>
    <row r="9173" customFormat="false" ht="15" hidden="false" customHeight="false" outlineLevel="0" collapsed="false">
      <c r="A9173" s="1" t="s">
        <v>1122</v>
      </c>
      <c r="B9173" s="0" t="s">
        <v>98</v>
      </c>
      <c r="F9173" s="6" t="n">
        <f aca="false">debt_mat_27</f>
        <v>9.25</v>
      </c>
      <c r="G9173" s="6" t="n">
        <f aca="false">debt_mat_28</f>
        <v>0</v>
      </c>
      <c r="H9173" s="6" t="n">
        <f aca="false">debt_mat_29</f>
        <v>2.001</v>
      </c>
      <c r="I9173" s="6" t="n">
        <f aca="false">debt_mat_30</f>
        <v>0</v>
      </c>
      <c r="J9173" s="6" t="n">
        <f aca="false">debt_mat_31</f>
        <v>0.5</v>
      </c>
      <c r="K9173" s="6" t="n">
        <f aca="false">debt_mat_32</f>
        <v>0</v>
      </c>
    </row>
    <row r="9174" customFormat="false" ht="15" hidden="false" customHeight="false" outlineLevel="0" collapsed="false">
      <c r="A9174" s="1" t="s">
        <v>1123</v>
      </c>
      <c r="B9174" s="0" t="s">
        <v>98</v>
      </c>
      <c r="E9174" s="6" t="n">
        <f aca="false">Q!M40</f>
        <v>22.271</v>
      </c>
      <c r="F9174" s="6" t="n">
        <f aca="false">MAX(0,MIN(bb_target,Sens!E9176+Sens!F9172-Sens!F9173-min_cash))</f>
        <v>3.02302590546994</v>
      </c>
      <c r="G9174" s="6" t="n">
        <f aca="false">MAX(0,MIN(bb_target,Sens!F9176+Sens!G9172-Sens!G9173-min_cash))</f>
        <v>3.01462023274374</v>
      </c>
      <c r="H9174" s="6" t="n">
        <f aca="false">MAX(0,MIN(bb_target,Sens!G9176+Sens!H9172-Sens!H9173-min_cash))</f>
        <v>22.271</v>
      </c>
      <c r="I9174" s="6" t="n">
        <f aca="false">MAX(0,MIN(bb_target,Sens!H9176+Sens!I9172-Sens!I9173-min_cash))</f>
        <v>22.271</v>
      </c>
      <c r="J9174" s="6" t="n">
        <f aca="false">MAX(0,MIN(bb_target,Sens!I9176+Sens!J9172-Sens!J9173-min_cash))</f>
        <v>22.271</v>
      </c>
      <c r="K9174" s="6" t="n">
        <f aca="false">MAX(0,MIN(bb_target,Sens!J9176+Sens!K9172-Sens!K9173-min_cash))</f>
        <v>22.271</v>
      </c>
    </row>
    <row r="9175" customFormat="false" ht="15" hidden="false" customHeight="false" outlineLevel="0" collapsed="false">
      <c r="A9175" s="1" t="s">
        <v>1124</v>
      </c>
      <c r="B9175" s="0" t="s">
        <v>98</v>
      </c>
      <c r="F9175" s="6" t="n">
        <f aca="false">MAX(0,min_cash-(Sens!E9176+Sens!F9172-Sens!F9173-Sens!F9174))</f>
        <v>0</v>
      </c>
      <c r="G9175" s="6" t="n">
        <f aca="false">MAX(0,min_cash-(Sens!F9176+Sens!G9172-Sens!G9173-Sens!G9174))</f>
        <v>0</v>
      </c>
      <c r="H9175" s="6" t="n">
        <f aca="false">MAX(0,min_cash-(Sens!G9176+Sens!H9172-Sens!H9173-Sens!H9174))</f>
        <v>0</v>
      </c>
      <c r="I9175" s="6" t="n">
        <f aca="false">MAX(0,min_cash-(Sens!H9176+Sens!I9172-Sens!I9173-Sens!I9174))</f>
        <v>0</v>
      </c>
      <c r="J9175" s="6" t="n">
        <f aca="false">MAX(0,min_cash-(Sens!I9176+Sens!J9172-Sens!J9173-Sens!J9174))</f>
        <v>0</v>
      </c>
      <c r="K9175" s="6" t="n">
        <f aca="false">MAX(0,min_cash-(Sens!J9176+Sens!K9172-Sens!K9173-Sens!K9174))</f>
        <v>0</v>
      </c>
    </row>
    <row r="9176" customFormat="false" ht="15" hidden="false" customHeight="false" outlineLevel="0" collapsed="false">
      <c r="A9176" s="1" t="s">
        <v>1125</v>
      </c>
      <c r="B9176" s="0" t="s">
        <v>98</v>
      </c>
      <c r="E9176" s="6" t="n">
        <f aca="false">cash_open</f>
        <v>76.843</v>
      </c>
      <c r="F9176" s="6" t="n">
        <f aca="false">Sens!E9176+Sens!F9172-Sens!F9173-Sens!F9174+Sens!F9175</f>
        <v>50</v>
      </c>
      <c r="G9176" s="6" t="n">
        <f aca="false">Sens!F9176+Sens!G9172-Sens!G9173-Sens!G9174+Sens!G9175</f>
        <v>50</v>
      </c>
      <c r="H9176" s="6" t="n">
        <f aca="false">Sens!G9176+Sens!H9172-Sens!H9173-Sens!H9174+Sens!H9175</f>
        <v>77.2251663713325</v>
      </c>
      <c r="I9176" s="6" t="n">
        <f aca="false">Sens!H9176+Sens!I9172-Sens!I9173-Sens!I9174+Sens!I9175</f>
        <v>177.337709871869</v>
      </c>
      <c r="J9176" s="6" t="n">
        <f aca="false">Sens!I9176+Sens!J9172-Sens!J9173-Sens!J9174+Sens!J9175</f>
        <v>348.678982809608</v>
      </c>
      <c r="K9176" s="6" t="n">
        <f aca="false">Sens!J9176+Sens!K9172-Sens!K9173-Sens!K9174+Sens!K9175</f>
        <v>553.529659537119</v>
      </c>
    </row>
    <row r="9177" customFormat="false" ht="15" hidden="false" customHeight="false" outlineLevel="0" collapsed="false">
      <c r="A9177" s="1" t="s">
        <v>1126</v>
      </c>
      <c r="B9177" s="0" t="s">
        <v>98</v>
      </c>
      <c r="E9177" s="6" t="n">
        <f aca="false">debt_face</f>
        <v>46.136</v>
      </c>
      <c r="F9177" s="6" t="n">
        <f aca="false">Sens!E9177-Sens!F9173+Sens!F9175</f>
        <v>36.886</v>
      </c>
      <c r="G9177" s="6" t="n">
        <f aca="false">Sens!F9177-Sens!G9173+Sens!G9175</f>
        <v>36.886</v>
      </c>
      <c r="H9177" s="6" t="n">
        <f aca="false">Sens!G9177-Sens!H9173+Sens!H9175</f>
        <v>34.885</v>
      </c>
      <c r="I9177" s="6" t="n">
        <f aca="false">Sens!H9177-Sens!I9173+Sens!I9175</f>
        <v>34.885</v>
      </c>
      <c r="J9177" s="6" t="n">
        <f aca="false">Sens!I9177-Sens!J9173+Sens!J9175</f>
        <v>34.385</v>
      </c>
      <c r="K9177" s="6" t="n">
        <f aca="false">Sens!J9177-Sens!K9173+Sens!K9175</f>
        <v>34.385</v>
      </c>
    </row>
    <row r="9178" customFormat="false" ht="15" hidden="false" customHeight="false" outlineLevel="0" collapsed="false">
      <c r="A9178" s="1" t="s">
        <v>1127</v>
      </c>
      <c r="B9178" s="0" t="s">
        <v>98</v>
      </c>
      <c r="E9178" s="6" t="n">
        <f aca="false">Sens!E9176-Sens!E9177</f>
        <v>30.707</v>
      </c>
      <c r="F9178" s="6" t="n">
        <f aca="false">Sens!F9176-Sens!F9177</f>
        <v>13.114</v>
      </c>
      <c r="G9178" s="6" t="n">
        <f aca="false">Sens!G9176-Sens!G9177</f>
        <v>13.114</v>
      </c>
      <c r="H9178" s="6" t="n">
        <f aca="false">Sens!H9176-Sens!H9177</f>
        <v>42.3401663713325</v>
      </c>
      <c r="I9178" s="6" t="n">
        <f aca="false">Sens!I9176-Sens!I9177</f>
        <v>142.452709871869</v>
      </c>
      <c r="J9178" s="6" t="n">
        <f aca="false">Sens!J9176-Sens!J9177</f>
        <v>314.293982809608</v>
      </c>
      <c r="K9178" s="6" t="n">
        <f aca="false">Sens!K9176-Sens!K9177</f>
        <v>519.144659537119</v>
      </c>
    </row>
    <row r="9179" customFormat="false" ht="15" hidden="false" customHeight="false" outlineLevel="0" collapsed="false">
      <c r="A9179" s="1" t="s">
        <v>1128</v>
      </c>
      <c r="B9179" s="0" t="s">
        <v>75</v>
      </c>
      <c r="F9179" s="30" t="n">
        <f aca="false">px*(1+bb_g)^(Sens!F9037-base_fy-mid_yr)</f>
        <v>551.84177959629</v>
      </c>
      <c r="G9179" s="30" t="n">
        <f aca="false">px*(1+bb_g)^(Sens!G9037-base_fy-mid_yr)</f>
        <v>595.989121963993</v>
      </c>
      <c r="H9179" s="30" t="n">
        <f aca="false">px*(1+bb_g)^(Sens!H9037-base_fy-mid_yr)</f>
        <v>643.668251721112</v>
      </c>
      <c r="I9179" s="30" t="n">
        <f aca="false">px*(1+bb_g)^(Sens!I9037-base_fy-mid_yr)</f>
        <v>695.161711858801</v>
      </c>
      <c r="J9179" s="30" t="n">
        <f aca="false">px*(1+bb_g)^(Sens!J9037-base_fy-mid_yr)</f>
        <v>750.774648807506</v>
      </c>
      <c r="K9179" s="30" t="n">
        <f aca="false">px*(1+bb_g)^(Sens!K9037-base_fy-mid_yr)</f>
        <v>810.836620712106</v>
      </c>
    </row>
    <row r="9180" customFormat="false" ht="15" hidden="false" customHeight="false" outlineLevel="0" collapsed="false">
      <c r="A9180" s="1" t="s">
        <v>1129</v>
      </c>
      <c r="B9180" s="1" t="s">
        <v>81</v>
      </c>
      <c r="E9180" s="15" t="n">
        <f aca="false">sh_out26</f>
        <v>7.427</v>
      </c>
      <c r="F9180" s="15" t="n">
        <f aca="false">Sens!E9180+sh_iss-Sens!F9174/Sens!F9179</f>
        <v>7.46652193360988</v>
      </c>
      <c r="G9180" s="15" t="n">
        <f aca="false">Sens!F9180+sh_iss-Sens!G9174/Sens!G9179</f>
        <v>7.50646375365047</v>
      </c>
      <c r="H9180" s="15" t="n">
        <f aca="false">Sens!G9180+sh_iss-Sens!H9174/Sens!H9179</f>
        <v>7.51686363170808</v>
      </c>
      <c r="I9180" s="15" t="n">
        <f aca="false">Sens!H9180+sh_iss-Sens!I9174/Sens!I9179</f>
        <v>7.52982648176141</v>
      </c>
      <c r="J9180" s="15" t="n">
        <f aca="false">Sens!I9180+sh_iss-Sens!J9174/Sens!J9179</f>
        <v>7.54516245403302</v>
      </c>
      <c r="K9180" s="15" t="n">
        <f aca="false">Sens!J9180+sh_iss-Sens!K9174/Sens!K9179</f>
        <v>7.56269576169192</v>
      </c>
    </row>
    <row r="9181" customFormat="false" ht="15" hidden="false" customHeight="false" outlineLevel="0" collapsed="false">
      <c r="A9181" s="1" t="s">
        <v>1130</v>
      </c>
      <c r="B9181" s="1" t="s">
        <v>81</v>
      </c>
      <c r="E9181" s="15" t="n">
        <f aca="false">sh_dil26</f>
        <v>7.453</v>
      </c>
      <c r="F9181" s="15" t="n">
        <f aca="false">(Sens!E9180+Sens!F9180)/2+dil_gap</f>
        <v>7.47076096680494</v>
      </c>
      <c r="G9181" s="15" t="n">
        <f aca="false">(Sens!F9180+Sens!G9180)/2+dil_gap</f>
        <v>7.51049284363018</v>
      </c>
      <c r="H9181" s="15" t="n">
        <f aca="false">(Sens!G9180+Sens!H9180)/2+dil_gap</f>
        <v>7.53566369267927</v>
      </c>
      <c r="I9181" s="15" t="n">
        <f aca="false">(Sens!H9180+Sens!I9180)/2+dil_gap</f>
        <v>7.54734505673474</v>
      </c>
      <c r="J9181" s="15" t="n">
        <f aca="false">(Sens!I9180+Sens!J9180)/2+dil_gap</f>
        <v>7.56149446789722</v>
      </c>
      <c r="K9181" s="15" t="n">
        <f aca="false">(Sens!J9180+Sens!K9180)/2+dil_gap</f>
        <v>7.57792910786247</v>
      </c>
    </row>
    <row r="9182" customFormat="false" ht="17.15" hidden="false" customHeight="false" outlineLevel="0" collapsed="false">
      <c r="A9182" s="1" t="s">
        <v>1131</v>
      </c>
      <c r="B9182" s="0" t="s">
        <v>98</v>
      </c>
      <c r="C9182" s="6" t="n">
        <f aca="false">SUM(Sens!F9172:J9172)</f>
        <v>356.437628947822</v>
      </c>
    </row>
    <row r="9183" customFormat="false" ht="15" hidden="false" customHeight="false" outlineLevel="0" collapsed="false">
      <c r="A9183" s="26" t="s">
        <v>1096</v>
      </c>
      <c r="B9183" s="31" t="s">
        <v>98</v>
      </c>
      <c r="C9183" s="27" t="n">
        <f aca="false">Sens!$C$9182-(Sens!F9172+Sens!G9172+Sens!H9172+Sens!I9172+Sens!J9172)</f>
        <v>0</v>
      </c>
      <c r="D9183" s="31"/>
      <c r="E9183" s="31"/>
      <c r="F9183" s="31"/>
      <c r="G9183" s="31"/>
      <c r="H9183" s="31"/>
      <c r="I9183" s="31"/>
      <c r="J9183" s="31"/>
      <c r="K9183" s="31"/>
    </row>
    <row r="9184" customFormat="false" ht="17.15" hidden="false" customHeight="false" outlineLevel="0" collapsed="false">
      <c r="A9184" s="1" t="s">
        <v>1090</v>
      </c>
      <c r="B9184" s="1" t="s">
        <v>1132</v>
      </c>
      <c r="C9184" s="33" t="str">
        <f aca="false">IF(SUM(Sens!F9175:J9175)&gt;0.05,"需要舉債 "&amp;TEXT(SUM(Sens!F9175:J9175),"0.0")&amp;" 十億美元","不需舉債")&amp;"；"&amp;IF(SUM(Sens!F9174:J9174)&lt;COUNT(Sens!F9174:J9174)*bb_target-0.05,"回購較每年 "&amp;TEXT(bb_target,"0.0")&amp;" 的目標少 "&amp;TEXT(COUNT(Sens!F9174:J9174)*bb_target-SUM(Sens!F9174:J9174),"0.0")&amp;" 十億美元（"&amp;TEXT(COUNTIF(Sens!F9174:J9174,"&lt;"&amp;(bb_target-0.05)),"0")&amp;" 年減少）","回購不減")</f>
        <v>不需舉債；回購較每年 22.3 的目標少 38.5 十億美元（2 年減少）</v>
      </c>
    </row>
    <row r="9185" customFormat="false" ht="17.15" hidden="false" customHeight="false" outlineLevel="0" collapsed="false">
      <c r="A9185" s="3" t="s">
        <v>1709</v>
      </c>
    </row>
    <row r="9186" customFormat="false" ht="15" hidden="false" customHeight="false" outlineLevel="0" collapsed="false">
      <c r="A9186" s="4" t="s">
        <v>43</v>
      </c>
      <c r="B9186" s="4" t="s">
        <v>65</v>
      </c>
      <c r="C9186" s="23" t="s">
        <v>938</v>
      </c>
      <c r="D9186" s="23" t="s">
        <v>939</v>
      </c>
      <c r="E9186" s="23" t="s">
        <v>940</v>
      </c>
      <c r="F9186" s="23" t="s">
        <v>941</v>
      </c>
      <c r="G9186" s="23" t="s">
        <v>942</v>
      </c>
      <c r="H9186" s="23" t="s">
        <v>943</v>
      </c>
      <c r="I9186" s="23" t="s">
        <v>944</v>
      </c>
      <c r="J9186" s="23" t="s">
        <v>945</v>
      </c>
      <c r="K9186" s="23" t="s">
        <v>946</v>
      </c>
      <c r="L9186" s="4" t="s">
        <v>47</v>
      </c>
    </row>
    <row r="9187" customFormat="false" ht="17.15" hidden="false" customHeight="false" outlineLevel="0" collapsed="false">
      <c r="A9187" s="1" t="s">
        <v>1212</v>
      </c>
      <c r="B9187" s="1" t="s">
        <v>279</v>
      </c>
      <c r="F9187" s="8" t="n">
        <f aca="false">(1-v_off)*mid_yr</f>
        <v>0.373972602739726</v>
      </c>
      <c r="G9187" s="8" t="n">
        <f aca="false">Sens!G9037-base_fy-mid_yr-v_off</f>
        <v>1.24794520547945</v>
      </c>
      <c r="H9187" s="8" t="n">
        <f aca="false">Sens!H9037-base_fy-mid_yr-v_off</f>
        <v>2.24794520547945</v>
      </c>
      <c r="I9187" s="8" t="n">
        <f aca="false">Sens!I9037-base_fy-mid_yr-v_off</f>
        <v>3.24794520547945</v>
      </c>
      <c r="J9187" s="8" t="n">
        <f aca="false">Sens!J9037-base_fy-mid_yr-v_off</f>
        <v>4.24794520547945</v>
      </c>
      <c r="K9187" s="8" t="n">
        <f aca="false">Sens!K9037-base_fy-mid_yr-v_off</f>
        <v>5.24794520547945</v>
      </c>
      <c r="L9187" s="12" t="s">
        <v>1213</v>
      </c>
    </row>
    <row r="9188" customFormat="false" ht="15" hidden="false" customHeight="false" outlineLevel="0" collapsed="false">
      <c r="A9188" s="1" t="s">
        <v>1214</v>
      </c>
      <c r="B9188" s="1" t="s">
        <v>279</v>
      </c>
      <c r="F9188" s="8" t="n">
        <f aca="false">Sens!F9037-base_fy-v_off</f>
        <v>0.747945205479452</v>
      </c>
      <c r="G9188" s="8" t="n">
        <f aca="false">Sens!G9037-base_fy-v_off</f>
        <v>1.74794520547945</v>
      </c>
      <c r="H9188" s="8" t="n">
        <f aca="false">Sens!H9037-base_fy-v_off</f>
        <v>2.74794520547945</v>
      </c>
      <c r="I9188" s="8" t="n">
        <f aca="false">Sens!I9037-base_fy-v_off</f>
        <v>3.74794520547945</v>
      </c>
      <c r="J9188" s="8" t="n">
        <f aca="false">Sens!J9037-base_fy-v_off</f>
        <v>4.74794520547945</v>
      </c>
      <c r="K9188" s="8" t="n">
        <f aca="false">Sens!K9037-base_fy-v_off</f>
        <v>5.74794520547945</v>
      </c>
    </row>
    <row r="9189" customFormat="false" ht="15" hidden="false" customHeight="false" outlineLevel="0" collapsed="false">
      <c r="A9189" s="1" t="s">
        <v>1215</v>
      </c>
      <c r="B9189" s="0" t="s">
        <v>229</v>
      </c>
      <c r="F9189" s="15" t="n">
        <f aca="false">1/(1+wacc)^Sens!F9187</f>
        <v>0.964022703286649</v>
      </c>
      <c r="G9189" s="15" t="n">
        <f aca="false">1/(1+wacc)^Sens!G9187</f>
        <v>0.884910302296739</v>
      </c>
      <c r="H9189" s="15" t="n">
        <f aca="false">1/(1+wacc)^Sens!H9187</f>
        <v>0.802322009770358</v>
      </c>
      <c r="I9189" s="15" t="n">
        <f aca="false">1/(1+wacc)^Sens!I9187</f>
        <v>0.727441646561469</v>
      </c>
      <c r="J9189" s="15" t="n">
        <f aca="false">1/(1+wacc)^Sens!J9187</f>
        <v>0.659549834988973</v>
      </c>
      <c r="K9189" s="15" t="n">
        <f aca="false">1/(1+wacc)^Sens!K9187</f>
        <v>0.597994336576966</v>
      </c>
    </row>
    <row r="9190" customFormat="false" ht="17.15" hidden="false" customHeight="false" outlineLevel="0" collapsed="false">
      <c r="A9190" s="1" t="s">
        <v>1216</v>
      </c>
      <c r="B9190" s="0" t="s">
        <v>98</v>
      </c>
      <c r="F9190" s="6" t="n">
        <f aca="false">Q!$I$35-Q!$I$39-Q!$I$43</f>
        <v>9.666</v>
      </c>
      <c r="L9190" s="12" t="s">
        <v>1217</v>
      </c>
    </row>
    <row r="9191" customFormat="false" ht="17.15" hidden="false" customHeight="false" outlineLevel="0" collapsed="false">
      <c r="A9191" s="1" t="s">
        <v>1218</v>
      </c>
      <c r="B9191" s="0" t="s">
        <v>98</v>
      </c>
      <c r="F9191" s="6" t="n">
        <f aca="false">Sens!F9162-Sens!F9159-Sens!F9166+Sens!F9144*(1-tax_f)*(1-v_off)-Sens!F9190</f>
        <v>-1.25956910464869</v>
      </c>
      <c r="G9191" s="6" t="n">
        <f aca="false">Sens!G9162-Sens!G9159-Sens!G9166+Sens!G9144*(1-tax_f)</f>
        <v>38.3705230168694</v>
      </c>
      <c r="H9191" s="6" t="n">
        <f aca="false">Sens!H9162-Sens!H9159-Sens!H9166+Sens!H9144*(1-tax_f)</f>
        <v>97.8251173201527</v>
      </c>
      <c r="I9191" s="6" t="n">
        <f aca="false">Sens!I9162-Sens!I9159-Sens!I9166+Sens!I9144*(1-tax_f)</f>
        <v>179.918722062465</v>
      </c>
      <c r="J9191" s="6" t="n">
        <f aca="false">Sens!J9162-Sens!J9159-Sens!J9166+Sens!J9144*(1-tax_f)</f>
        <v>260.43246732118</v>
      </c>
      <c r="K9191" s="6" t="n">
        <f aca="false">Sens!K9162-Sens!K9159-Sens!K9166+Sens!K9144*(1-tax_f)</f>
        <v>299.14211800652</v>
      </c>
      <c r="L9191" s="1" t="s">
        <v>1219</v>
      </c>
    </row>
    <row r="9192" customFormat="false" ht="15" hidden="false" customHeight="false" outlineLevel="0" collapsed="false">
      <c r="A9192" s="1" t="s">
        <v>1220</v>
      </c>
      <c r="B9192" s="0" t="s">
        <v>98</v>
      </c>
      <c r="F9192" s="6" t="n">
        <f aca="false">Sens!F9191*Sens!F9189</f>
        <v>-1.21425321323977</v>
      </c>
      <c r="G9192" s="6" t="n">
        <f aca="false">Sens!G9191*Sens!G9189</f>
        <v>33.9544711221419</v>
      </c>
      <c r="H9192" s="6" t="n">
        <f aca="false">Sens!H9191*Sens!H9189</f>
        <v>78.487244734326</v>
      </c>
      <c r="I9192" s="6" t="n">
        <f aca="false">Sens!I9191*Sens!I9189</f>
        <v>130.880371424354</v>
      </c>
      <c r="J9192" s="6" t="n">
        <f aca="false">Sens!J9191*Sens!J9189</f>
        <v>171.768190847455</v>
      </c>
      <c r="K9192" s="6" t="n">
        <f aca="false">Sens!K9191*Sens!K9189</f>
        <v>178.885292399537</v>
      </c>
    </row>
    <row r="9193" customFormat="false" ht="17.15" hidden="false" customHeight="false" outlineLevel="0" collapsed="false">
      <c r="A9193" s="1" t="s">
        <v>1221</v>
      </c>
      <c r="B9193" s="0" t="s">
        <v>98</v>
      </c>
      <c r="C9193" s="6" t="n">
        <f aca="false">SUM(Sens!F9192:K9192)</f>
        <v>592.761317314575</v>
      </c>
    </row>
    <row r="9194" customFormat="false" ht="17.15" hidden="false" customHeight="false" outlineLevel="0" collapsed="false">
      <c r="A9194" s="1" t="s">
        <v>1222</v>
      </c>
      <c r="B9194" s="0" t="s">
        <v>98</v>
      </c>
      <c r="C9194" s="6" t="n">
        <f aca="false">Sens!K9130*(1+g_tv)*(1-tax_f)</f>
        <v>309.393135884263</v>
      </c>
    </row>
    <row r="9195" customFormat="false" ht="17.15" hidden="false" customHeight="false" outlineLevel="0" collapsed="false">
      <c r="A9195" s="1" t="s">
        <v>1223</v>
      </c>
      <c r="B9195" s="0" t="s">
        <v>98</v>
      </c>
      <c r="C9195" s="6" t="n">
        <f aca="false">Sens!$C$9194*(1-g_tv/(wacc+ronic_prem))</f>
        <v>219.223119651324</v>
      </c>
    </row>
    <row r="9196" customFormat="false" ht="17.15" hidden="false" customHeight="false" outlineLevel="0" collapsed="false">
      <c r="A9196" s="1" t="s">
        <v>1224</v>
      </c>
      <c r="B9196" s="0" t="s">
        <v>98</v>
      </c>
      <c r="C9196" s="6" t="n">
        <f aca="false">Sens!$C$9195/(wacc-g_tv)</f>
        <v>3005.66720776462</v>
      </c>
    </row>
    <row r="9197" customFormat="false" ht="15" hidden="false" customHeight="false" outlineLevel="0" collapsed="false">
      <c r="A9197" s="1" t="s">
        <v>1225</v>
      </c>
      <c r="B9197" s="0" t="s">
        <v>98</v>
      </c>
      <c r="C9197" s="6" t="n">
        <f aca="false">Sens!$C$9196/(1+wacc)^Sens!K9188</f>
        <v>1711.44399344739</v>
      </c>
    </row>
    <row r="9198" customFormat="false" ht="17.15" hidden="false" customHeight="false" outlineLevel="0" collapsed="false">
      <c r="A9198" s="0" t="s">
        <v>1226</v>
      </c>
      <c r="B9198" s="0" t="s">
        <v>98</v>
      </c>
      <c r="C9198" s="6" t="n">
        <f aca="false">Sens!$C$9193+Sens!$C$9197</f>
        <v>2304.20531076197</v>
      </c>
    </row>
    <row r="9199" customFormat="false" ht="15" hidden="false" customHeight="false" outlineLevel="0" collapsed="false">
      <c r="A9199" s="1" t="s">
        <v>1141</v>
      </c>
      <c r="B9199" s="0" t="s">
        <v>168</v>
      </c>
      <c r="C9199" s="7" t="n">
        <f aca="false">Sens!$C$9197/Sens!$C$9198</f>
        <v>0.742748046562501</v>
      </c>
    </row>
    <row r="9200" customFormat="false" ht="17.15" hidden="false" customHeight="false" outlineLevel="0" collapsed="false">
      <c r="A9200" s="1" t="s">
        <v>1227</v>
      </c>
      <c r="B9200" s="0" t="s">
        <v>98</v>
      </c>
      <c r="C9200" s="6" t="n">
        <f aca="false">Sens!$C$9198+cash_val-debt_val-fl_val+oai_v</f>
        <v>2420.05631076197</v>
      </c>
    </row>
    <row r="9201" customFormat="false" ht="17.15" hidden="false" customHeight="false" outlineLevel="0" collapsed="false">
      <c r="A9201" s="0" t="s">
        <v>1149</v>
      </c>
      <c r="B9201" s="0" t="s">
        <v>75</v>
      </c>
      <c r="C9201" s="5" t="n">
        <f aca="false">Sens!$C$9200/shd_val</f>
        <v>325.014277566743</v>
      </c>
    </row>
    <row r="9202" customFormat="false" ht="15" hidden="false" customHeight="false" outlineLevel="0" collapsed="false">
      <c r="A9202" s="1" t="s">
        <v>1228</v>
      </c>
      <c r="B9202" s="0" t="s">
        <v>75</v>
      </c>
      <c r="C9202" s="8" t="n">
        <f aca="false">div_rem27+Sens!G9170*roll_div_q/q_per_yr</f>
        <v>3.9795</v>
      </c>
    </row>
    <row r="9203" customFormat="false" ht="17.15" hidden="false" customHeight="false" outlineLevel="0" collapsed="false">
      <c r="A9203" s="0" t="s">
        <v>1229</v>
      </c>
      <c r="B9203" s="0" t="s">
        <v>75</v>
      </c>
      <c r="C9203" s="5" t="n">
        <f aca="false">Sens!$C$9201*(1+wacc)^t_roll-Sens!$C$9202</f>
        <v>357.292008804018</v>
      </c>
    </row>
    <row r="9204" customFormat="false" ht="17.15" hidden="false" customHeight="false" outlineLevel="0" collapsed="false">
      <c r="A9204" s="1" t="s">
        <v>1230</v>
      </c>
      <c r="B9204" s="0" t="s">
        <v>168</v>
      </c>
      <c r="F9204" s="7" t="n">
        <f aca="false">Sens!F9156/(Sens!F9101-Sens!F9056)</f>
        <v>0.0686104265860633</v>
      </c>
      <c r="G9204" s="7" t="n">
        <f aca="false">Sens!G9156/(Sens!G9101-Sens!G9056)</f>
        <v>0.0655027320922218</v>
      </c>
      <c r="H9204" s="7" t="n">
        <f aca="false">Sens!H9156/(Sens!H9101-Sens!H9056)</f>
        <v>0.0639191995763248</v>
      </c>
      <c r="I9204" s="7" t="n">
        <f aca="false">Sens!I9156/(Sens!I9101-Sens!I9056)</f>
        <v>0.0637415008106584</v>
      </c>
      <c r="J9204" s="7" t="n">
        <f aca="false">Sens!J9156/(Sens!J9101-Sens!J9056)</f>
        <v>0.0646096396288043</v>
      </c>
      <c r="K9204" s="7" t="n">
        <f aca="false">Sens!K9156/(Sens!K9101-Sens!K9056)</f>
        <v>0.0660538025363565</v>
      </c>
    </row>
    <row r="9205" customFormat="false" ht="17.15" hidden="false" customHeight="false" outlineLevel="0" collapsed="false">
      <c r="A9205" s="0" t="s">
        <v>1231</v>
      </c>
      <c r="B9205" s="0" t="s">
        <v>98</v>
      </c>
      <c r="F9205" s="6" t="n">
        <f aca="false">Sens!F9086*(al_m365+Sens!F9204+sbc_r)</f>
        <v>84.5282985785897</v>
      </c>
      <c r="G9205" s="6" t="n">
        <f aca="false">Sens!G9086*(al_m365+Sens!G9204+sbc_r)</f>
        <v>98.9705352387313</v>
      </c>
      <c r="H9205" s="6" t="n">
        <f aca="false">Sens!H9086*(al_m365+Sens!H9204+sbc_r)</f>
        <v>113.585248010545</v>
      </c>
      <c r="I9205" s="6" t="n">
        <f aca="false">Sens!I9086*(al_m365+Sens!I9204+sbc_r)</f>
        <v>126.689865608513</v>
      </c>
      <c r="J9205" s="6" t="n">
        <f aca="false">Sens!J9086*(al_m365+Sens!J9204+sbc_r)</f>
        <v>138.097397107588</v>
      </c>
      <c r="K9205" s="6" t="n">
        <f aca="false">Sens!K9086*(al_m365+Sens!K9204+sbc_r)</f>
        <v>149.128630961163</v>
      </c>
      <c r="L9205" s="12" t="s">
        <v>1232</v>
      </c>
    </row>
    <row r="9206" customFormat="false" ht="17.15" hidden="false" customHeight="false" outlineLevel="0" collapsed="false">
      <c r="A9206" s="0" t="s">
        <v>1233</v>
      </c>
      <c r="B9206" s="0" t="s">
        <v>98</v>
      </c>
      <c r="F9206" s="6" t="n">
        <f aca="false">Sens!F9087*(al_lic+Sens!F9204+sbc_r)</f>
        <v>32.8574148664381</v>
      </c>
      <c r="G9206" s="6" t="n">
        <f aca="false">Sens!G9087*(al_lic+Sens!G9204+sbc_r)</f>
        <v>34.124398156343</v>
      </c>
      <c r="H9206" s="6" t="n">
        <f aca="false">Sens!H9087*(al_lic+Sens!H9204+sbc_r)</f>
        <v>35.3130632229109</v>
      </c>
      <c r="I9206" s="6" t="n">
        <f aca="false">Sens!I9087*(al_lic+Sens!I9204+sbc_r)</f>
        <v>36.4062461576214</v>
      </c>
      <c r="J9206" s="6" t="n">
        <f aca="false">Sens!J9087*(al_lic+Sens!J9204+sbc_r)</f>
        <v>37.3758231391188</v>
      </c>
      <c r="K9206" s="6" t="n">
        <f aca="false">Sens!K9087*(al_lic+Sens!K9204+sbc_r)</f>
        <v>38.1879602771847</v>
      </c>
    </row>
    <row r="9207" customFormat="false" ht="17.15" hidden="false" customHeight="false" outlineLevel="0" collapsed="false">
      <c r="A9207" s="0" t="s">
        <v>1234</v>
      </c>
      <c r="B9207" s="0" t="s">
        <v>98</v>
      </c>
      <c r="F9207" s="6" t="n">
        <f aca="false">Sens!F9089*(al_ind+Sens!F9204+sbc_r)</f>
        <v>9.06021303423706</v>
      </c>
      <c r="G9207" s="6" t="n">
        <f aca="false">Sens!G9089*(al_ind+Sens!G9204+sbc_r)</f>
        <v>9.82812544949804</v>
      </c>
      <c r="H9207" s="6" t="n">
        <f aca="false">Sens!H9089*(al_ind+Sens!H9204+sbc_r)</f>
        <v>10.6445396219651</v>
      </c>
      <c r="I9207" s="6" t="n">
        <f aca="false">Sens!I9089*(al_ind+Sens!I9204+sbc_r)</f>
        <v>11.5076312618906</v>
      </c>
      <c r="J9207" s="6" t="n">
        <f aca="false">Sens!J9089*(al_ind+Sens!J9204+sbc_r)</f>
        <v>12.4064837833137</v>
      </c>
      <c r="K9207" s="6" t="n">
        <f aca="false">Sens!K9089*(al_ind+Sens!K9204+sbc_r)</f>
        <v>13.3226280543846</v>
      </c>
    </row>
    <row r="9208" customFormat="false" ht="17.15" hidden="false" customHeight="false" outlineLevel="0" collapsed="false">
      <c r="A9208" s="0" t="s">
        <v>1235</v>
      </c>
      <c r="B9208" s="0" t="s">
        <v>98</v>
      </c>
      <c r="F9208" s="6" t="n">
        <f aca="false">Sens!F9091*(al_fro+Sens!F9204+sbc_r)</f>
        <v>3.55394949014429</v>
      </c>
      <c r="G9208" s="6" t="n">
        <f aca="false">Sens!G9091*(al_fro+Sens!G9204+sbc_r)</f>
        <v>3.76052883940341</v>
      </c>
      <c r="H9208" s="6" t="n">
        <f aca="false">Sens!H9091*(al_fro+Sens!H9204+sbc_r)</f>
        <v>3.9975242193215</v>
      </c>
      <c r="I9208" s="6" t="n">
        <f aca="false">Sens!I9091*(al_fro+Sens!I9204+sbc_r)</f>
        <v>4.26804207739298</v>
      </c>
      <c r="J9208" s="6" t="n">
        <f aca="false">Sens!J9091*(al_fro+Sens!J9204+sbc_r)</f>
        <v>4.57272018942422</v>
      </c>
      <c r="K9208" s="6" t="n">
        <f aca="false">Sens!K9091*(al_fro+Sens!K9204+sbc_r)</f>
        <v>4.91038809581248</v>
      </c>
    </row>
    <row r="9209" customFormat="false" ht="17.15" hidden="false" customHeight="false" outlineLevel="0" collapsed="false">
      <c r="A9209" s="0" t="s">
        <v>1236</v>
      </c>
      <c r="B9209" s="0" t="s">
        <v>98</v>
      </c>
      <c r="F9209" s="6" t="n">
        <f aca="false">Sens!F9094*(al_srch+Sens!F9204+sbc_r)</f>
        <v>11.1888384000237</v>
      </c>
      <c r="G9209" s="6" t="n">
        <f aca="false">Sens!G9094*(al_srch+Sens!G9204+sbc_r)</f>
        <v>12.2516846384532</v>
      </c>
      <c r="H9209" s="6" t="n">
        <f aca="false">Sens!H9094*(al_srch+Sens!H9204+sbc_r)</f>
        <v>13.363822702153</v>
      </c>
      <c r="I9209" s="6" t="n">
        <f aca="false">Sens!I9094*(al_srch+Sens!I9204+sbc_r)</f>
        <v>14.5162891280219</v>
      </c>
      <c r="J9209" s="6" t="n">
        <f aca="false">Sens!J9094*(al_srch+Sens!J9204+sbc_r)</f>
        <v>15.6876571176318</v>
      </c>
      <c r="K9209" s="6" t="n">
        <f aca="false">Sens!K9094*(al_srch+Sens!K9204+sbc_r)</f>
        <v>16.8460963213467</v>
      </c>
    </row>
    <row r="9210" customFormat="false" ht="17.15" hidden="false" customHeight="false" outlineLevel="0" collapsed="false">
      <c r="A9210" s="0" t="s">
        <v>1237</v>
      </c>
      <c r="B9210" s="0" t="s">
        <v>98</v>
      </c>
      <c r="F9210" s="6" t="n">
        <f aca="false">Sens!F9062-Sens!F9063+Sens!F9144</f>
        <v>45.3782580567763</v>
      </c>
      <c r="G9210" s="6" t="n">
        <f aca="false">Sens!G9062-Sens!G9063+Sens!G9144</f>
        <v>91.0863367558165</v>
      </c>
      <c r="H9210" s="6" t="n">
        <f aca="false">Sens!H9062-Sens!H9063+Sens!H9144</f>
        <v>144.617532464853</v>
      </c>
      <c r="I9210" s="6" t="n">
        <f aca="false">Sens!I9062-Sens!I9063+Sens!I9144</f>
        <v>187.137304561304</v>
      </c>
      <c r="J9210" s="6" t="n">
        <f aca="false">Sens!J9062-Sens!J9063+Sens!J9144</f>
        <v>217.006854425907</v>
      </c>
      <c r="K9210" s="6" t="n">
        <f aca="false">Sens!K9062-Sens!K9063+Sens!K9144</f>
        <v>234.933637903877</v>
      </c>
    </row>
    <row r="9211" customFormat="false" ht="17.15" hidden="false" customHeight="false" outlineLevel="0" collapsed="false">
      <c r="A9211" s="0" t="s">
        <v>1238</v>
      </c>
      <c r="B9211" s="0" t="s">
        <v>98</v>
      </c>
      <c r="F9211" s="6" t="n">
        <f aca="false">Sens!F9123+Sens!F9144+Sens!F9074+Sens!F9204*(Sens!F9093-Sens!F9056)+sbc_r*Sens!F9093</f>
        <v>240.640186563227</v>
      </c>
      <c r="G9211" s="6" t="n">
        <f aca="false">Sens!G9123+Sens!G9144+Sens!G9074+Sens!G9204*(Sens!G9093-Sens!G9056)+sbc_r*Sens!G9093</f>
        <v>311.120211279522</v>
      </c>
      <c r="H9211" s="6" t="n">
        <f aca="false">Sens!H9123+Sens!H9144+Sens!H9074+Sens!H9204*(Sens!H9093-Sens!H9056)+sbc_r*Sens!H9093</f>
        <v>393.531164693449</v>
      </c>
      <c r="I9211" s="6" t="n">
        <f aca="false">Sens!I9123+Sens!I9144+Sens!I9074+Sens!I9204*(Sens!I9093-Sens!I9056)+sbc_r*Sens!I9093</f>
        <v>462.147217809016</v>
      </c>
      <c r="J9211" s="6" t="n">
        <f aca="false">Sens!J9123+Sens!J9144+Sens!J9074+Sens!J9204*(Sens!J9093-Sens!J9056)+sbc_r*Sens!J9093</f>
        <v>514.346457900764</v>
      </c>
      <c r="K9211" s="6" t="n">
        <f aca="false">Sens!K9123+Sens!K9144+Sens!K9074+Sens!K9204*(Sens!K9093-Sens!K9056)+sbc_r*Sens!K9093</f>
        <v>551.368220743897</v>
      </c>
    </row>
    <row r="9212" customFormat="false" ht="17.15" hidden="false" customHeight="false" outlineLevel="0" collapsed="false">
      <c r="A9212" s="0" t="s">
        <v>1239</v>
      </c>
      <c r="B9212" s="0" t="s">
        <v>98</v>
      </c>
      <c r="F9212" s="6" t="n">
        <f aca="false">Sens!F9211-Sens!F9205-Sens!F9206-Sens!F9207-Sens!F9208-Sens!F9210</f>
        <v>65.262052537042</v>
      </c>
      <c r="G9212" s="6" t="n">
        <f aca="false">Sens!G9211-Sens!G9205-Sens!G9206-Sens!G9207-Sens!G9208-Sens!G9210</f>
        <v>73.3502868397299</v>
      </c>
      <c r="H9212" s="6" t="n">
        <f aca="false">Sens!H9211-Sens!H9205-Sens!H9206-Sens!H9207-Sens!H9208-Sens!H9210</f>
        <v>85.3732571538527</v>
      </c>
      <c r="I9212" s="6" t="n">
        <f aca="false">Sens!I9211-Sens!I9205-Sens!I9206-Sens!I9207-Sens!I9208-Sens!I9210</f>
        <v>96.138128142294</v>
      </c>
      <c r="J9212" s="6" t="n">
        <f aca="false">Sens!J9211-Sens!J9205-Sens!J9206-Sens!J9207-Sens!J9208-Sens!J9210</f>
        <v>104.887179255413</v>
      </c>
      <c r="K9212" s="6" t="n">
        <f aca="false">Sens!K9211-Sens!K9205-Sens!K9206-Sens!K9207-Sens!K9208-Sens!K9210</f>
        <v>110.884975451475</v>
      </c>
    </row>
    <row r="9213" customFormat="false" ht="17.15" hidden="false" customHeight="false" outlineLevel="0" collapsed="false">
      <c r="A9213" s="0" t="s">
        <v>1240</v>
      </c>
      <c r="B9213" s="0" t="s">
        <v>98</v>
      </c>
      <c r="F9213" s="6" t="n">
        <f aca="false">Sens!F9125+Sens!F9204*Sens!F9100+sbc_r*Sens!F9100</f>
        <v>26.6330488410055</v>
      </c>
      <c r="G9213" s="6" t="n">
        <f aca="false">Sens!G9125+Sens!G9204*Sens!G9100+sbc_r*Sens!G9100</f>
        <v>26.4501735675866</v>
      </c>
      <c r="H9213" s="6" t="n">
        <f aca="false">Sens!H9125+Sens!H9204*Sens!H9100+sbc_r*Sens!H9100</f>
        <v>27.314472514247</v>
      </c>
      <c r="I9213" s="6" t="n">
        <f aca="false">Sens!I9125+Sens!I9204*Sens!I9100+sbc_r*Sens!I9100</f>
        <v>28.4269762509107</v>
      </c>
      <c r="J9213" s="6" t="n">
        <f aca="false">Sens!J9125+Sens!J9204*Sens!J9100+sbc_r*Sens!J9100</f>
        <v>29.7483534005662</v>
      </c>
      <c r="K9213" s="6" t="n">
        <f aca="false">Sens!K9125+Sens!K9204*Sens!K9100+sbc_r*Sens!K9100</f>
        <v>31.233168919482</v>
      </c>
    </row>
    <row r="9214" customFormat="false" ht="17.15" hidden="false" customHeight="false" outlineLevel="0" collapsed="false">
      <c r="A9214" s="0" t="s">
        <v>1241</v>
      </c>
      <c r="B9214" s="0" t="s">
        <v>98</v>
      </c>
      <c r="F9214" s="6" t="n">
        <f aca="false">(Sens!F9213-Sens!F9209)*Sens!F9096/(Sens!F9096+Sens!F9098)</f>
        <v>8.72266640182179</v>
      </c>
      <c r="G9214" s="6" t="n">
        <f aca="false">(Sens!G9213-Sens!G9209)*Sens!G9096/(Sens!G9096+Sens!G9098)</f>
        <v>7.88128235666499</v>
      </c>
      <c r="H9214" s="6" t="n">
        <f aca="false">(Sens!H9213-Sens!H9209)*Sens!H9096/(Sens!H9096+Sens!H9098)</f>
        <v>7.64283443870857</v>
      </c>
      <c r="I9214" s="6" t="n">
        <f aca="false">(Sens!I9213-Sens!I9209)*Sens!I9096/(Sens!I9096+Sens!I9098)</f>
        <v>7.55442193029167</v>
      </c>
      <c r="J9214" s="6" t="n">
        <f aca="false">(Sens!J9213-Sens!J9209)*Sens!J9096/(Sens!J9096+Sens!J9098)</f>
        <v>7.60257179970398</v>
      </c>
      <c r="K9214" s="6" t="n">
        <f aca="false">(Sens!K9213-Sens!K9209)*Sens!K9096/(Sens!K9096+Sens!K9098)</f>
        <v>7.77904238978776</v>
      </c>
    </row>
    <row r="9215" customFormat="false" ht="17.15" hidden="false" customHeight="false" outlineLevel="0" collapsed="false">
      <c r="A9215" s="0" t="s">
        <v>1242</v>
      </c>
      <c r="B9215" s="0" t="s">
        <v>98</v>
      </c>
      <c r="F9215" s="6" t="n">
        <f aca="false">Sens!F9213-Sens!F9209-Sens!F9214</f>
        <v>6.72154403916</v>
      </c>
      <c r="G9215" s="6" t="n">
        <f aca="false">Sens!G9213-Sens!G9209-Sens!G9214</f>
        <v>6.31720657246847</v>
      </c>
      <c r="H9215" s="6" t="n">
        <f aca="false">Sens!H9213-Sens!H9209-Sens!H9214</f>
        <v>6.30781537338551</v>
      </c>
      <c r="I9215" s="6" t="n">
        <f aca="false">Sens!I9213-Sens!I9209-Sens!I9214</f>
        <v>6.35626519259706</v>
      </c>
      <c r="J9215" s="6" t="n">
        <f aca="false">Sens!J9213-Sens!J9209-Sens!J9214</f>
        <v>6.45812448323038</v>
      </c>
      <c r="K9215" s="6" t="n">
        <f aca="false">Sens!K9213-Sens!K9209-Sens!K9214</f>
        <v>6.60803020834758</v>
      </c>
    </row>
    <row r="9216" customFormat="false" ht="17.15" hidden="false" customHeight="false" outlineLevel="0" collapsed="false">
      <c r="A9216" s="0" t="s">
        <v>1243</v>
      </c>
      <c r="B9216" s="0" t="s">
        <v>98</v>
      </c>
      <c r="F9216" s="6" t="n">
        <f aca="false">Sens!F9210-tax_f*(Sens!F9210-Sens!F9074)-Sens!F9071</f>
        <v>-125.235434701028</v>
      </c>
      <c r="G9216" s="6" t="n">
        <f aca="false">Sens!G9210-tax_f*(Sens!G9210-Sens!G9074)-Sens!G9071</f>
        <v>-106.928508113935</v>
      </c>
      <c r="H9216" s="6" t="n">
        <f aca="false">Sens!H9210-tax_f*(Sens!H9210-Sens!H9074)-Sens!H9071</f>
        <v>-63.2919599603405</v>
      </c>
      <c r="I9216" s="6" t="n">
        <f aca="false">Sens!I9210-tax_f*(Sens!I9210-Sens!I9074)-Sens!I9071</f>
        <v>3.94121196634245</v>
      </c>
      <c r="J9216" s="6" t="n">
        <f aca="false">Sens!J9210-tax_f*(Sens!J9210-Sens!J9074)-Sens!J9071</f>
        <v>71.0786869547042</v>
      </c>
      <c r="K9216" s="6" t="n">
        <f aca="false">Sens!K9210-tax_f*(Sens!K9210-Sens!K9074)-Sens!K9071</f>
        <v>97.5865911685559</v>
      </c>
    </row>
    <row r="9217" customFormat="false" ht="17.15" hidden="false" customHeight="false" outlineLevel="0" collapsed="false">
      <c r="A9217" s="0" t="s">
        <v>1244</v>
      </c>
      <c r="B9217" s="0" t="s">
        <v>98</v>
      </c>
      <c r="G9217" s="6" t="n">
        <f aca="false">Sens!G9216/(1+wacc)^(Sens!G9187-Sens!F9188)</f>
        <v>-101.81651667568</v>
      </c>
      <c r="H9217" s="6" t="n">
        <f aca="false">Sens!H9216/(1+wacc)^(Sens!H9187-Sens!F9188)</f>
        <v>-54.6415143556151</v>
      </c>
      <c r="I9217" s="6" t="n">
        <f aca="false">Sens!I9216/(1+wacc)^(Sens!I9187-Sens!F9188)</f>
        <v>3.08498765169516</v>
      </c>
      <c r="J9217" s="6" t="n">
        <f aca="false">Sens!J9216/(1+wacc)^(Sens!J9187-Sens!F9188)</f>
        <v>50.4443451596971</v>
      </c>
      <c r="K9217" s="6" t="n">
        <f aca="false">Sens!K9216/(1+wacc)^(Sens!K9187-Sens!F9188)</f>
        <v>62.7932114544856</v>
      </c>
      <c r="L9217" s="1" t="s">
        <v>1245</v>
      </c>
    </row>
    <row r="9218" customFormat="false" ht="17.15" hidden="false" customHeight="false" outlineLevel="0" collapsed="false">
      <c r="A9218" s="0" t="s">
        <v>1246</v>
      </c>
      <c r="B9218" s="0" t="s">
        <v>98</v>
      </c>
      <c r="C9218" s="6" t="n">
        <f aca="false">(Sens!K9210-Sens!K9074)*(1-tax_f)*(1+g_tv)*(1-g_tv/(wacc+ronic_prem))/(wacc-g_tv)/(1+wacc)^(Sens!K9188-Sens!F9188)</f>
        <v>450.836735002813</v>
      </c>
    </row>
    <row r="9219" customFormat="false" ht="17.15" hidden="false" customHeight="false" outlineLevel="0" collapsed="false">
      <c r="A9219" s="1" t="s">
        <v>1247</v>
      </c>
      <c r="B9219" s="0" t="s">
        <v>98</v>
      </c>
      <c r="C9219" s="6" t="n">
        <f aca="false">(SUM(Sens!G9217:K9217)+Sens!$C$9218)*(1+wacc)^(t_roll-Sens!F9188)</f>
        <v>424.259738494477</v>
      </c>
      <c r="L9219" s="12" t="s">
        <v>1248</v>
      </c>
    </row>
    <row r="9220" customFormat="false" ht="17.15" hidden="false" customHeight="false" outlineLevel="0" collapsed="false">
      <c r="A9220" s="1" t="s">
        <v>1249</v>
      </c>
      <c r="B9220" s="0" t="s">
        <v>98</v>
      </c>
      <c r="C9220" s="6" t="n">
        <f aca="false">(w_ntm28*Sens!G9062+(1-w_ntm28)*Sens!H9062)*m_ai</f>
        <v>563.316843258668</v>
      </c>
    </row>
    <row r="9221" customFormat="false" ht="17.15" hidden="false" customHeight="false" outlineLevel="0" collapsed="false">
      <c r="A9221" s="1" t="s">
        <v>1250</v>
      </c>
      <c r="B9221" s="0" t="s">
        <v>98</v>
      </c>
      <c r="C9221" s="6" t="n">
        <f aca="false">(w_ntm28*Sens!G9212+(1-w_ntm28)*Sens!H9212)*m_cloud</f>
        <v>1068.32807088929</v>
      </c>
    </row>
    <row r="9222" customFormat="false" ht="17.15" hidden="false" customHeight="false" outlineLevel="0" collapsed="false">
      <c r="A9222" s="1" t="s">
        <v>1251</v>
      </c>
      <c r="B9222" s="0" t="s">
        <v>98</v>
      </c>
      <c r="C9222" s="6" t="n">
        <f aca="false">(w_ntm28*Sens!G9205+(1-w_ntm28)*Sens!H9205)*m_sw</f>
        <v>1120.77402099548</v>
      </c>
    </row>
    <row r="9223" customFormat="false" ht="17.15" hidden="false" customHeight="false" outlineLevel="0" collapsed="false">
      <c r="A9223" s="1" t="s">
        <v>1252</v>
      </c>
      <c r="B9223" s="0" t="s">
        <v>98</v>
      </c>
      <c r="C9223" s="6" t="n">
        <f aca="false">(w_ntm28*Sens!G9206+(1-w_ntm28)*Sens!H9206)*m_sw</f>
        <v>372.764075228976</v>
      </c>
    </row>
    <row r="9224" customFormat="false" ht="17.15" hidden="false" customHeight="false" outlineLevel="0" collapsed="false">
      <c r="A9224" s="1" t="s">
        <v>1253</v>
      </c>
      <c r="B9224" s="0" t="s">
        <v>98</v>
      </c>
      <c r="C9224" s="6" t="n">
        <f aca="false">(w_ntm28*Sens!G9207+(1-w_ntm28)*Sens!H9207)*m_sw</f>
        <v>109.042584354626</v>
      </c>
    </row>
    <row r="9225" customFormat="false" ht="17.15" hidden="false" customHeight="false" outlineLevel="0" collapsed="false">
      <c r="A9225" s="1" t="s">
        <v>1254</v>
      </c>
      <c r="B9225" s="0" t="s">
        <v>98</v>
      </c>
      <c r="C9225" s="6" t="n">
        <f aca="false">(w_ntm28*Sens!G9208+(1-w_ntm28)*Sens!H9208)*m_sw</f>
        <v>41.4552073898687</v>
      </c>
    </row>
    <row r="9226" customFormat="false" ht="17.15" hidden="false" customHeight="false" outlineLevel="0" collapsed="false">
      <c r="A9226" s="1" t="s">
        <v>1255</v>
      </c>
      <c r="B9226" s="0" t="s">
        <v>98</v>
      </c>
      <c r="C9226" s="6" t="n">
        <f aca="false">(w_ntm28*Sens!G9209+(1-w_ntm28)*Sens!H9209)*m_ads</f>
        <v>114.943776730929</v>
      </c>
    </row>
    <row r="9227" customFormat="false" ht="17.15" hidden="false" customHeight="false" outlineLevel="0" collapsed="false">
      <c r="A9227" s="1" t="s">
        <v>1256</v>
      </c>
      <c r="B9227" s="0" t="s">
        <v>98</v>
      </c>
      <c r="C9227" s="6" t="n">
        <f aca="false">(w_ntm28*Sens!G9214+(1-w_ntm28)*Sens!H9214)*m_game</f>
        <v>98.5504820154878</v>
      </c>
    </row>
    <row r="9228" customFormat="false" ht="17.15" hidden="false" customHeight="false" outlineLevel="0" collapsed="false">
      <c r="A9228" s="1" t="s">
        <v>1257</v>
      </c>
      <c r="B9228" s="0" t="s">
        <v>98</v>
      </c>
      <c r="C9228" s="6" t="n">
        <f aca="false">(w_ntm28*Sens!G9215+(1-w_ntm28)*Sens!H9215)*m_pc</f>
        <v>91.3653027252964</v>
      </c>
    </row>
    <row r="9229" customFormat="false" ht="17.15" hidden="false" customHeight="false" outlineLevel="0" collapsed="false">
      <c r="A9229" s="1" t="s">
        <v>1258</v>
      </c>
      <c r="B9229" s="0" t="s">
        <v>98</v>
      </c>
      <c r="C9229" s="6" t="n">
        <f aca="false">Sens!$C$9219+Sens!$C$9221+Sens!$C$9222+Sens!$C$9223+Sens!$C$9224+Sens!$C$9225+Sens!$C$9226+Sens!$C$9227+Sens!$C$9228</f>
        <v>3441.48325882443</v>
      </c>
    </row>
    <row r="9230" customFormat="false" ht="17.15" hidden="false" customHeight="false" outlineLevel="0" collapsed="false">
      <c r="A9230" s="1" t="s">
        <v>1259</v>
      </c>
      <c r="B9230" s="0" t="s">
        <v>98</v>
      </c>
      <c r="C9230" s="6" t="n">
        <f aca="false">(Sens!G9191-Sens!G9216)*t_stub</f>
        <v>48.1676240187051</v>
      </c>
      <c r="L9230" s="1" t="s">
        <v>1260</v>
      </c>
    </row>
    <row r="9231" customFormat="false" ht="17.15" hidden="false" customHeight="false" outlineLevel="0" collapsed="false">
      <c r="A9231" s="1" t="s">
        <v>1169</v>
      </c>
      <c r="B9231" s="0" t="s">
        <v>98</v>
      </c>
      <c r="C9231" s="6" t="n">
        <f aca="false">Sens!F9178+oai_v-Sens!F9167+Sens!$C$9230</f>
        <v>162.395894018705</v>
      </c>
      <c r="L9231" s="1" t="s">
        <v>1261</v>
      </c>
    </row>
    <row r="9232" customFormat="false" ht="17.15" hidden="false" customHeight="false" outlineLevel="0" collapsed="false">
      <c r="A9232" s="1" t="s">
        <v>1262</v>
      </c>
      <c r="B9232" s="0" t="s">
        <v>75</v>
      </c>
      <c r="C9232" s="5" t="n">
        <f aca="false">(Sens!$C$9229+Sens!$C$9231)/(Sens!F9180+dil_gap)-Sens!G9170*roll_div_q/q_per_yr</f>
        <v>480.08573863959</v>
      </c>
      <c r="L9232" s="1" t="s">
        <v>1263</v>
      </c>
    </row>
    <row r="9233" customFormat="false" ht="17.15" hidden="false" customHeight="false" outlineLevel="0" collapsed="false">
      <c r="A9233" s="1" t="s">
        <v>1264</v>
      </c>
      <c r="B9233" s="0" t="s">
        <v>75</v>
      </c>
      <c r="C9233" s="5" t="n">
        <f aca="false">w_dcf*Sens!$C$9203+(1-w_dcf)*Sens!$C$9232</f>
        <v>418.688873721804</v>
      </c>
    </row>
    <row r="9234" customFormat="false" ht="17.15" hidden="false" customHeight="false" outlineLevel="0" collapsed="false">
      <c r="A9234" s="3" t="s">
        <v>1710</v>
      </c>
    </row>
    <row r="9235" customFormat="false" ht="15" hidden="false" customHeight="false" outlineLevel="0" collapsed="false">
      <c r="A9235" s="4" t="s">
        <v>43</v>
      </c>
      <c r="B9235" s="4" t="s">
        <v>65</v>
      </c>
      <c r="C9235" s="23" t="s">
        <v>938</v>
      </c>
      <c r="D9235" s="23" t="s">
        <v>939</v>
      </c>
      <c r="E9235" s="23" t="s">
        <v>940</v>
      </c>
      <c r="F9235" s="23" t="s">
        <v>941</v>
      </c>
      <c r="G9235" s="23" t="s">
        <v>942</v>
      </c>
      <c r="H9235" s="23" t="s">
        <v>943</v>
      </c>
      <c r="I9235" s="23" t="s">
        <v>944</v>
      </c>
      <c r="J9235" s="23" t="s">
        <v>945</v>
      </c>
      <c r="K9235" s="23" t="s">
        <v>946</v>
      </c>
      <c r="L9235" s="4" t="s">
        <v>47</v>
      </c>
    </row>
    <row r="9236" customFormat="false" ht="17.15" hidden="false" customHeight="false" outlineLevel="0" collapsed="false">
      <c r="A9236" s="1" t="s">
        <v>947</v>
      </c>
      <c r="B9236" s="1" t="s">
        <v>279</v>
      </c>
      <c r="C9236" s="21" t="n">
        <v>2024</v>
      </c>
      <c r="D9236" s="21" t="n">
        <v>2025</v>
      </c>
      <c r="E9236" s="21" t="n">
        <v>2026</v>
      </c>
      <c r="F9236" s="21" t="n">
        <v>2027</v>
      </c>
      <c r="G9236" s="21" t="n">
        <v>2028</v>
      </c>
      <c r="H9236" s="21" t="n">
        <v>2029</v>
      </c>
      <c r="I9236" s="21" t="n">
        <v>2030</v>
      </c>
      <c r="J9236" s="21" t="n">
        <v>2031</v>
      </c>
      <c r="K9236" s="21" t="n">
        <v>2032</v>
      </c>
    </row>
    <row r="9237" customFormat="false" ht="17.15" hidden="false" customHeight="false" outlineLevel="0" collapsed="false">
      <c r="A9237" s="1" t="s">
        <v>948</v>
      </c>
      <c r="B9237" s="0" t="s">
        <v>456</v>
      </c>
      <c r="F9237" s="30" t="n">
        <f aca="false">pace</f>
        <v>2726.5351</v>
      </c>
      <c r="G9237" s="30" t="n">
        <f aca="false">pace</f>
        <v>2726.5351</v>
      </c>
      <c r="H9237" s="30" t="n">
        <f aca="false">pace</f>
        <v>2726.5351</v>
      </c>
      <c r="I9237" s="30" t="n">
        <f aca="false">pace+(g_tv*Sens!H9238-pace)*MIN(1,(Sens!I9236-pace_y0)/(pace_y1-pace_y0))</f>
        <v>1931.98611966667</v>
      </c>
      <c r="J9237" s="30" t="n">
        <f aca="false">pace+(g_tv*Sens!I9238-pace)*MIN(1,(Sens!J9236-pace_y0)/(pace_y1-pace_y0))</f>
        <v>1176.07686172667</v>
      </c>
      <c r="K9237" s="30" t="n">
        <f aca="false">pace+(g_tv*Sens!J9238-pace)*MIN(1,(Sens!K9236-pace_y0)/(pace_y1-pace_y0))</f>
        <v>436.1300484418</v>
      </c>
      <c r="L9237" s="12" t="s">
        <v>949</v>
      </c>
    </row>
    <row r="9238" customFormat="false" ht="17.15" hidden="false" customHeight="false" outlineLevel="0" collapsed="false">
      <c r="A9238" s="1" t="s">
        <v>950</v>
      </c>
      <c r="B9238" s="0" t="s">
        <v>456</v>
      </c>
      <c r="C9238" s="30" t="n">
        <f aca="false">mw_ext_24</f>
        <v>640</v>
      </c>
      <c r="D9238" s="30" t="n">
        <f aca="false">mw_ext_25</f>
        <v>1630</v>
      </c>
      <c r="E9238" s="30" t="n">
        <f aca="false">mw_ext_26</f>
        <v>3250</v>
      </c>
      <c r="F9238" s="30" t="n">
        <f aca="false">Sens!E9238+Sens!F9237</f>
        <v>5976.5351</v>
      </c>
      <c r="G9238" s="30" t="n">
        <f aca="false">Sens!F9238+Sens!G9237</f>
        <v>8703.0702</v>
      </c>
      <c r="H9238" s="30" t="n">
        <f aca="false">Sens!G9238+Sens!H9237</f>
        <v>11429.6053</v>
      </c>
      <c r="I9238" s="30" t="n">
        <f aca="false">Sens!H9238+Sens!I9237</f>
        <v>13361.5914196667</v>
      </c>
      <c r="J9238" s="30" t="n">
        <f aca="false">Sens!I9238+Sens!J9237</f>
        <v>14537.6682813933</v>
      </c>
      <c r="K9238" s="30" t="n">
        <f aca="false">Sens!J9238+Sens!K9237</f>
        <v>14973.7983298351</v>
      </c>
      <c r="L9238" s="1" t="s">
        <v>951</v>
      </c>
    </row>
    <row r="9239" customFormat="false" ht="17.15" hidden="false" customHeight="false" outlineLevel="0" collapsed="false">
      <c r="A9239" s="1" t="s">
        <v>952</v>
      </c>
      <c r="B9239" s="0" t="s">
        <v>456</v>
      </c>
      <c r="C9239" s="30" t="n">
        <f aca="false">rent_ext_24</f>
        <v>150</v>
      </c>
      <c r="D9239" s="30" t="n">
        <f aca="false">rent_ext_25</f>
        <v>400</v>
      </c>
      <c r="E9239" s="30" t="n">
        <f aca="false">rent_ext_26</f>
        <v>550</v>
      </c>
      <c r="F9239" s="30" t="n">
        <f aca="false">rent_ext_f</f>
        <v>756</v>
      </c>
      <c r="G9239" s="30" t="n">
        <f aca="false">rent_ext_f</f>
        <v>756</v>
      </c>
      <c r="H9239" s="30" t="n">
        <f aca="false">rent_ext_f</f>
        <v>756</v>
      </c>
      <c r="I9239" s="30" t="n">
        <f aca="false">rent_ext_f</f>
        <v>756</v>
      </c>
      <c r="J9239" s="30" t="n">
        <f aca="false">rent_ext_f</f>
        <v>756</v>
      </c>
      <c r="K9239" s="30" t="n">
        <f aca="false">rent_ext_f</f>
        <v>756</v>
      </c>
      <c r="L9239" s="1" t="s">
        <v>953</v>
      </c>
    </row>
    <row r="9240" customFormat="false" ht="17.15" hidden="false" customHeight="false" outlineLevel="0" collapsed="false">
      <c r="A9240" s="1" t="s">
        <v>954</v>
      </c>
      <c r="B9240" s="0" t="s">
        <v>456</v>
      </c>
      <c r="C9240" s="30" t="n">
        <f aca="false">Sens!C9238-Sens!C9239</f>
        <v>490</v>
      </c>
      <c r="D9240" s="30" t="n">
        <f aca="false">Sens!D9238-Sens!D9239</f>
        <v>1230</v>
      </c>
      <c r="E9240" s="30" t="n">
        <f aca="false">Sens!E9238-Sens!E9239</f>
        <v>2700</v>
      </c>
      <c r="F9240" s="30" t="n">
        <f aca="false">Sens!F9238-Sens!F9239</f>
        <v>5220.5351</v>
      </c>
      <c r="G9240" s="30" t="n">
        <f aca="false">Sens!G9238-Sens!G9239</f>
        <v>7947.0702</v>
      </c>
      <c r="H9240" s="30" t="n">
        <f aca="false">Sens!H9238-Sens!H9239</f>
        <v>10673.6053</v>
      </c>
      <c r="I9240" s="30" t="n">
        <f aca="false">Sens!I9238-Sens!I9239</f>
        <v>12605.5914196667</v>
      </c>
      <c r="J9240" s="30" t="n">
        <f aca="false">Sens!J9238-Sens!J9239</f>
        <v>13781.6682813933</v>
      </c>
      <c r="K9240" s="30" t="n">
        <f aca="false">Sens!K9238-Sens!K9239</f>
        <v>14217.7983298351</v>
      </c>
    </row>
    <row r="9241" customFormat="false" ht="17.15" hidden="false" customHeight="false" outlineLevel="0" collapsed="false">
      <c r="A9241" s="1" t="s">
        <v>955</v>
      </c>
      <c r="B9241" s="0" t="s">
        <v>456</v>
      </c>
      <c r="C9241" s="30" t="n">
        <f aca="false">Sens!C9240/ext_sh</f>
        <v>816.666666666667</v>
      </c>
      <c r="D9241" s="30" t="n">
        <f aca="false">Sens!D9240/ext_sh</f>
        <v>2050</v>
      </c>
      <c r="E9241" s="30" t="n">
        <f aca="false">Sens!E9240/ext_sh</f>
        <v>4500</v>
      </c>
      <c r="F9241" s="30" t="n">
        <f aca="false">Sens!F9240/ext_sh</f>
        <v>8700.89183333333</v>
      </c>
      <c r="G9241" s="30" t="n">
        <f aca="false">Sens!G9240/ext_sh</f>
        <v>13245.117</v>
      </c>
      <c r="H9241" s="30" t="n">
        <f aca="false">Sens!H9240/ext_sh</f>
        <v>17789.3421666667</v>
      </c>
      <c r="I9241" s="30" t="n">
        <f aca="false">Sens!I9240/ext_sh</f>
        <v>21009.3190327778</v>
      </c>
      <c r="J9241" s="30" t="n">
        <f aca="false">Sens!J9240/ext_sh</f>
        <v>22969.4471356556</v>
      </c>
      <c r="K9241" s="30" t="n">
        <f aca="false">Sens!K9240/ext_sh</f>
        <v>23696.3305497252</v>
      </c>
      <c r="L9241" s="1" t="s">
        <v>956</v>
      </c>
    </row>
    <row r="9242" customFormat="false" ht="17.15" hidden="false" customHeight="false" outlineLevel="0" collapsed="false">
      <c r="A9242" s="1" t="s">
        <v>957</v>
      </c>
      <c r="B9242" s="0" t="s">
        <v>456</v>
      </c>
      <c r="C9242" s="30" t="n">
        <f aca="false">Sens!C9241-Sens!C9240</f>
        <v>326.666666666667</v>
      </c>
      <c r="D9242" s="30" t="n">
        <f aca="false">Sens!D9241-Sens!D9240</f>
        <v>820</v>
      </c>
      <c r="E9242" s="30" t="n">
        <f aca="false">Sens!E9241-Sens!E9240</f>
        <v>1800</v>
      </c>
      <c r="F9242" s="30" t="n">
        <f aca="false">Sens!F9241-Sens!F9240</f>
        <v>3480.35673333333</v>
      </c>
      <c r="G9242" s="30" t="n">
        <f aca="false">Sens!G9241-Sens!G9240</f>
        <v>5298.0468</v>
      </c>
      <c r="H9242" s="30" t="n">
        <f aca="false">Sens!H9241-Sens!H9240</f>
        <v>7115.73686666667</v>
      </c>
      <c r="I9242" s="30" t="n">
        <f aca="false">Sens!I9241-Sens!I9240</f>
        <v>8403.72761311111</v>
      </c>
      <c r="J9242" s="30" t="n">
        <f aca="false">Sens!J9241-Sens!J9240</f>
        <v>9187.77885426222</v>
      </c>
      <c r="K9242" s="30" t="n">
        <f aca="false">Sens!K9241-Sens!K9240</f>
        <v>9478.53221989009</v>
      </c>
    </row>
    <row r="9243" customFormat="false" ht="17.15" hidden="false" customHeight="false" outlineLevel="0" collapsed="false">
      <c r="A9243" s="1" t="s">
        <v>958</v>
      </c>
      <c r="B9243" s="0" t="s">
        <v>456</v>
      </c>
      <c r="C9243" s="30" t="n">
        <f aca="false">Sens!C9241</f>
        <v>816.666666666667</v>
      </c>
      <c r="D9243" s="30" t="n">
        <f aca="false">Sens!D9241-Sens!C9241</f>
        <v>1233.33333333333</v>
      </c>
      <c r="E9243" s="30" t="n">
        <f aca="false">Sens!E9241-Sens!D9241</f>
        <v>2450</v>
      </c>
      <c r="F9243" s="30" t="n">
        <f aca="false">Sens!F9241-Sens!E9241</f>
        <v>4200.89183333333</v>
      </c>
      <c r="G9243" s="30" t="n">
        <f aca="false">Sens!G9241-Sens!F9241</f>
        <v>4544.22516666667</v>
      </c>
      <c r="H9243" s="30" t="n">
        <f aca="false">Sens!H9241-Sens!G9241</f>
        <v>4544.22516666667</v>
      </c>
      <c r="I9243" s="30" t="n">
        <f aca="false">Sens!I9241-Sens!H9241</f>
        <v>3219.97686611111</v>
      </c>
      <c r="J9243" s="30" t="n">
        <f aca="false">Sens!J9241-Sens!I9241</f>
        <v>1960.12810287778</v>
      </c>
      <c r="K9243" s="30" t="n">
        <f aca="false">Sens!K9241-Sens!J9241</f>
        <v>726.883414069667</v>
      </c>
    </row>
    <row r="9244" customFormat="false" ht="17.15" hidden="false" customHeight="false" outlineLevel="0" collapsed="false">
      <c r="A9244" s="1" t="s">
        <v>959</v>
      </c>
      <c r="B9244" s="0" t="s">
        <v>456</v>
      </c>
      <c r="D9244" s="30" t="n">
        <f aca="false">Sens!D9238-Sens!C9238</f>
        <v>990</v>
      </c>
      <c r="E9244" s="30" t="n">
        <f aca="false">Sens!E9238-Sens!D9238</f>
        <v>1620</v>
      </c>
      <c r="F9244" s="30" t="n">
        <f aca="false">Sens!F9238-Sens!E9238</f>
        <v>2726.5351</v>
      </c>
      <c r="G9244" s="30" t="n">
        <f aca="false">Sens!G9238-Sens!F9238</f>
        <v>2726.5351</v>
      </c>
      <c r="H9244" s="30" t="n">
        <f aca="false">Sens!H9238-Sens!G9238</f>
        <v>2726.5351</v>
      </c>
      <c r="I9244" s="30" t="n">
        <f aca="false">Sens!I9238-Sens!H9238</f>
        <v>1931.98611966667</v>
      </c>
      <c r="J9244" s="30" t="n">
        <f aca="false">Sens!J9238-Sens!I9238</f>
        <v>1176.07686172667</v>
      </c>
      <c r="K9244" s="30" t="n">
        <f aca="false">Sens!K9238-Sens!J9238</f>
        <v>436.130048441799</v>
      </c>
    </row>
    <row r="9245" customFormat="false" ht="17.15" hidden="false" customHeight="false" outlineLevel="0" collapsed="false">
      <c r="A9245" s="1" t="s">
        <v>960</v>
      </c>
      <c r="B9245" s="0" t="s">
        <v>456</v>
      </c>
      <c r="F9245" s="30" t="n">
        <f aca="false">Sens!F9264*ext_sh</f>
        <v>0</v>
      </c>
      <c r="G9245" s="30" t="n">
        <f aca="false">Sens!G9264*ext_sh</f>
        <v>0</v>
      </c>
      <c r="H9245" s="30" t="n">
        <f aca="false">Sens!H9264*ext_sh</f>
        <v>0</v>
      </c>
      <c r="I9245" s="30" t="n">
        <f aca="false">Sens!I9264*ext_sh</f>
        <v>490</v>
      </c>
      <c r="J9245" s="30" t="n">
        <f aca="false">Sens!J9264*ext_sh</f>
        <v>740</v>
      </c>
      <c r="K9245" s="30" t="n">
        <f aca="false">Sens!K9264*ext_sh</f>
        <v>1470</v>
      </c>
      <c r="L9245" s="1" t="s">
        <v>961</v>
      </c>
    </row>
    <row r="9246" customFormat="false" ht="17.15" hidden="false" customHeight="false" outlineLevel="0" collapsed="false">
      <c r="A9246" s="1" t="s">
        <v>962</v>
      </c>
      <c r="B9246" s="0" t="s">
        <v>456</v>
      </c>
      <c r="C9246" s="30" t="n">
        <f aca="false">mix_h*Sens!C9238</f>
        <v>128</v>
      </c>
      <c r="D9246" s="30" t="n">
        <f aca="false">mix_h*Sens!D9238</f>
        <v>326</v>
      </c>
      <c r="E9246" s="30" t="n">
        <f aca="false">mix_h*Sens!E9238</f>
        <v>650</v>
      </c>
      <c r="F9246" s="30" t="n">
        <f aca="false">Sens!E9246-Sens!F9245*mix_h</f>
        <v>650</v>
      </c>
      <c r="G9246" s="30" t="n">
        <f aca="false">Sens!F9246-Sens!G9245*mix_h</f>
        <v>650</v>
      </c>
      <c r="H9246" s="30" t="n">
        <f aca="false">Sens!G9246-Sens!H9245*mix_h</f>
        <v>650</v>
      </c>
      <c r="I9246" s="30" t="n">
        <f aca="false">Sens!H9246-Sens!I9245*mix_h</f>
        <v>552</v>
      </c>
      <c r="J9246" s="30" t="n">
        <f aca="false">Sens!I9246-Sens!J9245*mix_h</f>
        <v>404</v>
      </c>
      <c r="K9246" s="30" t="n">
        <f aca="false">Sens!J9246-Sens!K9245*mix_h</f>
        <v>110</v>
      </c>
    </row>
    <row r="9247" customFormat="false" ht="17.15" hidden="false" customHeight="false" outlineLevel="0" collapsed="false">
      <c r="A9247" s="1" t="s">
        <v>963</v>
      </c>
      <c r="B9247" s="0" t="s">
        <v>456</v>
      </c>
      <c r="C9247" s="30" t="n">
        <f aca="false">mix_g2*Sens!C9238</f>
        <v>288</v>
      </c>
      <c r="D9247" s="30" t="n">
        <f aca="false">mix_g2*Sens!D9238</f>
        <v>733.5</v>
      </c>
      <c r="E9247" s="30" t="n">
        <f aca="false">mix_g2*Sens!E9238</f>
        <v>1462.5</v>
      </c>
      <c r="F9247" s="30" t="n">
        <f aca="false">Sens!E9247-Sens!F9245*mix_g2</f>
        <v>1462.5</v>
      </c>
      <c r="G9247" s="30" t="n">
        <f aca="false">Sens!F9247-Sens!G9245*mix_g2</f>
        <v>1462.5</v>
      </c>
      <c r="H9247" s="30" t="n">
        <f aca="false">Sens!G9247-Sens!H9245*mix_g2</f>
        <v>1462.5</v>
      </c>
      <c r="I9247" s="30" t="n">
        <f aca="false">Sens!H9247-Sens!I9245*mix_g2</f>
        <v>1242</v>
      </c>
      <c r="J9247" s="30" t="n">
        <f aca="false">Sens!I9247-Sens!J9245*mix_g2</f>
        <v>909</v>
      </c>
      <c r="K9247" s="30" t="n">
        <f aca="false">Sens!J9247-Sens!K9245*mix_g2</f>
        <v>247.5</v>
      </c>
    </row>
    <row r="9248" customFormat="false" ht="17.15" hidden="false" customHeight="false" outlineLevel="0" collapsed="false">
      <c r="A9248" s="1" t="s">
        <v>964</v>
      </c>
      <c r="B9248" s="0" t="s">
        <v>456</v>
      </c>
      <c r="C9248" s="30" t="n">
        <f aca="false">mix_g3*Sens!C9238</f>
        <v>224</v>
      </c>
      <c r="D9248" s="30" t="n">
        <f aca="false">mix_g3*Sens!D9238</f>
        <v>570.5</v>
      </c>
      <c r="E9248" s="30" t="n">
        <f aca="false">mix_g3*Sens!E9238</f>
        <v>1137.5</v>
      </c>
      <c r="F9248" s="30" t="n">
        <f aca="false">Sens!E9248+(Sens!F9244+Sens!F9245)*(a_g3_27-nonnv*a_mai)-Sens!F9245*mix_g3</f>
        <v>2773.42106</v>
      </c>
      <c r="G9248" s="30" t="n">
        <f aca="false">Sens!F9248+(Sens!G9244+Sens!G9245)*(a_g3_28-nonnv*a_mai)-Sens!G9245*mix_g3</f>
        <v>3318.72808</v>
      </c>
      <c r="H9248" s="30" t="n">
        <f aca="false">Sens!G9248+(Sens!H9244+Sens!H9245)*(a_g3_29-nonnv*a_mai)-Sens!H9245*mix_g3</f>
        <v>3318.72808</v>
      </c>
      <c r="I9248" s="30" t="n">
        <f aca="false">Sens!H9248+(Sens!I9244+Sens!I9245)*(a_g3_29-nonnv*a_mai)-Sens!I9245*mix_g3</f>
        <v>3147.22808</v>
      </c>
      <c r="J9248" s="30" t="n">
        <f aca="false">Sens!I9248+(Sens!J9244+Sens!J9245)*(a_g3_29-nonnv*a_mai)-Sens!J9245*mix_g3</f>
        <v>2888.22808</v>
      </c>
      <c r="K9248" s="30" t="n">
        <f aca="false">Sens!J9248+(Sens!K9244+Sens!K9245)*(a_g3_29-nonnv*a_mai)-Sens!K9245*mix_g3</f>
        <v>2373.72808</v>
      </c>
    </row>
    <row r="9249" customFormat="false" ht="17.15" hidden="false" customHeight="false" outlineLevel="0" collapsed="false">
      <c r="A9249" s="1" t="s">
        <v>965</v>
      </c>
      <c r="B9249" s="0" t="s">
        <v>456</v>
      </c>
      <c r="C9249" s="30" t="n">
        <v>0</v>
      </c>
      <c r="D9249" s="30" t="n">
        <v>0</v>
      </c>
      <c r="E9249" s="30" t="n">
        <v>0</v>
      </c>
      <c r="F9249" s="30" t="n">
        <f aca="false">Sens!E9249+(Sens!F9244+Sens!F9245)*nonnv*a_mai</f>
        <v>272.65351</v>
      </c>
      <c r="G9249" s="30" t="n">
        <f aca="false">Sens!F9249+(Sens!G9244+Sens!G9245)*nonnv*a_mai</f>
        <v>545.30702</v>
      </c>
      <c r="H9249" s="30" t="n">
        <f aca="false">Sens!G9249+(Sens!H9244+Sens!H9245)*nonnv*a_mai</f>
        <v>817.96053</v>
      </c>
      <c r="I9249" s="30" t="n">
        <f aca="false">Sens!H9249+(Sens!I9244+Sens!I9245)*nonnv*a_mai</f>
        <v>1060.15914196667</v>
      </c>
      <c r="J9249" s="30" t="n">
        <f aca="false">Sens!I9249+(Sens!J9244+Sens!J9245)*nonnv*a_mai</f>
        <v>1251.76682813933</v>
      </c>
      <c r="K9249" s="30" t="n">
        <f aca="false">Sens!J9249+(Sens!K9244+Sens!K9245)*nonnv*a_mai</f>
        <v>1442.37983298351</v>
      </c>
      <c r="L9249" s="12" t="s">
        <v>966</v>
      </c>
    </row>
    <row r="9250" customFormat="false" ht="17.15" hidden="false" customHeight="false" outlineLevel="0" collapsed="false">
      <c r="A9250" s="1" t="s">
        <v>967</v>
      </c>
      <c r="B9250" s="0" t="s">
        <v>456</v>
      </c>
      <c r="C9250" s="30" t="n">
        <v>0</v>
      </c>
      <c r="D9250" s="30" t="n">
        <v>0</v>
      </c>
      <c r="E9250" s="30" t="n">
        <v>0</v>
      </c>
      <c r="F9250" s="30" t="n">
        <f aca="false">Sens!E9250+(Sens!F9244+Sens!F9245)*(1-a_g3_27)</f>
        <v>817.96053</v>
      </c>
      <c r="G9250" s="30" t="n">
        <f aca="false">Sens!F9250+(Sens!G9244+Sens!G9245)*(1-a_g3_28)</f>
        <v>2726.5351</v>
      </c>
      <c r="H9250" s="30" t="n">
        <f aca="false">Sens!G9250+(Sens!H9244+Sens!H9245)*(1-a_g3_29)</f>
        <v>5180.41669</v>
      </c>
      <c r="I9250" s="30" t="n">
        <f aca="false">Sens!H9250+(Sens!I9244+Sens!I9245)*(1-a_g3_29)</f>
        <v>7360.2041977</v>
      </c>
      <c r="J9250" s="30" t="n">
        <f aca="false">Sens!I9250+(Sens!J9244+Sens!J9245)*(1-a_g3_29)</f>
        <v>9084.673373254</v>
      </c>
      <c r="K9250" s="30" t="n">
        <f aca="false">Sens!J9250+(Sens!K9244+Sens!K9245)*(1-a_g3_29)</f>
        <v>10800.1904168516</v>
      </c>
    </row>
    <row r="9251" customFormat="false" ht="17.15" hidden="false" customHeight="false" outlineLevel="0" collapsed="false">
      <c r="A9251" s="1" t="s">
        <v>968</v>
      </c>
      <c r="B9251" s="0" t="s">
        <v>403</v>
      </c>
      <c r="C9251" s="15" t="n">
        <f aca="false">(Sens!C9246*tk_hold_h100+Sens!C9247*tk_hold_gb200+Sens!C9248*tk_hold_gb300+Sens!C9250*tk_hold_vr200+Sens!C9249*nv_hold_mai*tk_hold_vr200)/Sens!C9238</f>
        <v>9.7235358126469</v>
      </c>
      <c r="D9251" s="15" t="n">
        <f aca="false">(Sens!D9246*tk_hold_h100+Sens!D9247*tk_hold_gb200+Sens!D9248*tk_hold_gb300+Sens!D9250*tk_hold_vr200+Sens!D9249*nv_hold_mai*tk_hold_vr200)/Sens!D9238</f>
        <v>9.7235358126469</v>
      </c>
      <c r="E9251" s="15" t="n">
        <f aca="false">(Sens!E9246*tk_hold_h100+Sens!E9247*tk_hold_gb200+Sens!E9248*tk_hold_gb300+Sens!E9250*tk_hold_vr200+Sens!E9249*nv_hold_mai*tk_hold_vr200)/Sens!E9238</f>
        <v>9.7235358126469</v>
      </c>
      <c r="F9251" s="15" t="n">
        <f aca="false">(Sens!F9246*tk_hold_h100+Sens!F9247*tk_hold_gb200+Sens!F9248*tk_hold_gb300+Sens!F9250*tk_hold_vr200+Sens!F9249*nv_hold_mai*tk_hold_vr200)/Sens!F9238</f>
        <v>10.2195353876665</v>
      </c>
      <c r="G9251" s="15" t="n">
        <f aca="false">(Sens!G9246*tk_hold_h100+Sens!G9247*tk_hold_gb200+Sens!G9248*tk_hold_gb300+Sens!G9250*tk_hold_vr200+Sens!G9249*nv_hold_mai*tk_hold_vr200)/Sens!G9238</f>
        <v>10.5725598017306</v>
      </c>
      <c r="H9251" s="15" t="n">
        <f aca="false">(Sens!H9246*tk_hold_h100+Sens!H9247*tk_hold_gb200+Sens!H9248*tk_hold_gb300+Sens!H9250*tk_hold_vr200+Sens!H9249*nv_hold_mai*tk_hold_vr200)/Sens!H9238</f>
        <v>10.8210427149036</v>
      </c>
      <c r="I9251" s="15" t="n">
        <f aca="false">(Sens!I9246*tk_hold_h100+Sens!I9247*tk_hold_gb200+Sens!I9248*tk_hold_gb300+Sens!I9250*tk_hold_vr200+Sens!I9249*nv_hold_mai*tk_hold_vr200)/Sens!I9238</f>
        <v>11.0050618241982</v>
      </c>
      <c r="J9251" s="15" t="n">
        <f aca="false">(Sens!J9246*tk_hold_h100+Sens!J9247*tk_hold_gb200+Sens!J9248*tk_hold_gb300+Sens!J9250*tk_hold_vr200+Sens!J9249*nv_hold_mai*tk_hold_vr200)/Sens!J9238</f>
        <v>11.1505789658881</v>
      </c>
      <c r="K9251" s="15" t="n">
        <f aca="false">(Sens!K9246*tk_hold_h100+Sens!K9247*tk_hold_gb200+Sens!K9248*tk_hold_gb300+Sens!K9250*tk_hold_vr200+Sens!K9249*nv_hold_mai*tk_hold_vr200)/Sens!K9238</f>
        <v>11.3496914757183</v>
      </c>
      <c r="L9251" s="1" t="s">
        <v>969</v>
      </c>
    </row>
    <row r="9252" customFormat="false" ht="17.15" hidden="false" customHeight="false" outlineLevel="0" collapsed="false">
      <c r="A9252" s="1" t="s">
        <v>970</v>
      </c>
      <c r="B9252" s="0" t="s">
        <v>403</v>
      </c>
      <c r="C9252" s="15" t="n">
        <f aca="false">(Sens!C9246*tk_hold_h100+Sens!C9247*tk_hold_gb200+Sens!C9248*tk_hold_gb300+Sens!C9250*tk_hold_vr200+Sens!C9249*nv_out_mai*tk_hold_vr200)/Sens!C9238</f>
        <v>9.7235358126469</v>
      </c>
      <c r="D9252" s="15" t="n">
        <f aca="false">(Sens!D9246*tk_hold_h100+Sens!D9247*tk_hold_gb200+Sens!D9248*tk_hold_gb300+Sens!D9250*tk_hold_vr200+Sens!D9249*nv_out_mai*tk_hold_vr200)/Sens!D9238</f>
        <v>9.7235358126469</v>
      </c>
      <c r="E9252" s="15" t="n">
        <f aca="false">(Sens!E9246*tk_hold_h100+Sens!E9247*tk_hold_gb200+Sens!E9248*tk_hold_gb300+Sens!E9250*tk_hold_vr200+Sens!E9249*nv_out_mai*tk_hold_vr200)/Sens!E9238</f>
        <v>9.7235358126469</v>
      </c>
      <c r="F9252" s="15" t="n">
        <f aca="false">(Sens!F9246*tk_hold_h100+Sens!F9247*tk_hold_gb200+Sens!F9248*tk_hold_gb300+Sens!F9250*tk_hold_vr200+Sens!F9249*nv_out_mai*tk_hold_vr200)/Sens!F9238</f>
        <v>10.247422093969</v>
      </c>
      <c r="G9252" s="15" t="n">
        <f aca="false">(Sens!G9246*tk_hold_h100+Sens!G9247*tk_hold_gb200+Sens!G9248*tk_hold_gb300+Sens!G9250*tk_hold_vr200+Sens!G9249*nv_out_mai*tk_hold_vr200)/Sens!G9238</f>
        <v>10.6108602808053</v>
      </c>
      <c r="H9252" s="15" t="n">
        <f aca="false">(Sens!H9246*tk_hold_h100+Sens!H9247*tk_hold_gb200+Sens!H9248*tk_hold_gb300+Sens!H9250*tk_hold_vr200+Sens!H9249*nv_out_mai*tk_hold_vr200)/Sens!H9238</f>
        <v>10.8647885507393</v>
      </c>
      <c r="I9252" s="15" t="n">
        <f aca="false">(Sens!I9246*tk_hold_h100+Sens!I9247*tk_hold_gb200+Sens!I9248*tk_hold_gb300+Sens!I9250*tk_hold_vr200+Sens!I9249*nv_out_mai*tk_hold_vr200)/Sens!I9238</f>
        <v>11.0535625770025</v>
      </c>
      <c r="J9252" s="15" t="n">
        <f aca="false">(Sens!J9246*tk_hold_h100+Sens!J9247*tk_hold_gb200+Sens!J9248*tk_hold_gb300+Sens!J9250*tk_hold_vr200+Sens!J9249*nv_out_mai*tk_hold_vr200)/Sens!J9238</f>
        <v>11.2032127128058</v>
      </c>
      <c r="K9252" s="15" t="n">
        <f aca="false">(Sens!K9246*tk_hold_h100+Sens!K9247*tk_hold_gb200+Sens!K9248*tk_hold_gb300+Sens!K9250*tk_hold_vr200+Sens!K9249*nv_out_mai*tk_hold_vr200)/Sens!K9238</f>
        <v>11.4085735724225</v>
      </c>
      <c r="L9252" s="12" t="s">
        <v>971</v>
      </c>
    </row>
    <row r="9253" customFormat="false" ht="17.15" hidden="false" customHeight="false" outlineLevel="0" collapsed="false">
      <c r="A9253" s="0" t="s">
        <v>972</v>
      </c>
      <c r="B9253" s="0" t="s">
        <v>229</v>
      </c>
      <c r="C9253" s="15" t="n">
        <f aca="false">k_B</f>
        <v>1.17213932619116</v>
      </c>
      <c r="D9253" s="15" t="n">
        <f aca="false">k_B</f>
        <v>1.17213932619116</v>
      </c>
      <c r="E9253" s="15" t="n">
        <f aca="false">k_B</f>
        <v>1.17213932619116</v>
      </c>
      <c r="F9253" s="15" t="n">
        <f aca="false">(k_B+((ls_B*k_long+(1-ls_B)*k_spot)-k_B)*MIN(1,(Sens!F9236-base_fy)/k_ramp))</f>
        <v>1.17213932619116</v>
      </c>
      <c r="G9253" s="15" t="n">
        <f aca="false">(k_B+((ls_B*k_long+(1-ls_B)*k_spot)-k_B)*MIN(1,(Sens!G9236-base_fy)/k_ramp))</f>
        <v>1.17213932619116</v>
      </c>
      <c r="H9253" s="15" t="n">
        <f aca="false">(k_B+((ls_B*k_long+(1-ls_B)*k_spot)-k_B)*MIN(1,(Sens!H9236-base_fy)/k_ramp))</f>
        <v>1.17213932619116</v>
      </c>
      <c r="I9253" s="15" t="n">
        <f aca="false">(k_B+((ls_B*k_long+(1-ls_B)*k_spot)-k_B)*MIN(1,(Sens!I9236-base_fy)/k_ramp))</f>
        <v>1.17213932619116</v>
      </c>
      <c r="J9253" s="15" t="n">
        <f aca="false">(k_B+((ls_B*k_long+(1-ls_B)*k_spot)-k_B)*MIN(1,(Sens!J9236-base_fy)/k_ramp))</f>
        <v>1.17213932619116</v>
      </c>
      <c r="K9253" s="15" t="n">
        <f aca="false">(k_B+((ls_B*k_long+(1-ls_B)*k_spot)-k_B)*MIN(1,(Sens!K9236-base_fy)/k_ramp))</f>
        <v>1.17213932619116</v>
      </c>
      <c r="L9253" s="1" t="s">
        <v>973</v>
      </c>
    </row>
    <row r="9254" customFormat="false" ht="17.15" hidden="false" customHeight="false" outlineLevel="0" collapsed="false">
      <c r="A9254" s="1" t="s">
        <v>974</v>
      </c>
      <c r="B9254" s="0" t="s">
        <v>403</v>
      </c>
      <c r="C9254" s="15" t="n">
        <f aca="false">Sens!C9252*Sens!C9253*chip_f</f>
        <v>11.3973387156315</v>
      </c>
      <c r="D9254" s="15" t="n">
        <f aca="false">Sens!D9252*Sens!D9253*chip_f</f>
        <v>11.3973387156315</v>
      </c>
      <c r="E9254" s="15" t="n">
        <f aca="false">Sens!E9252*Sens!E9253*chip_f</f>
        <v>11.3973387156315</v>
      </c>
      <c r="F9254" s="15" t="n">
        <f aca="false">Sens!F9252*Sens!F9253*chip_f</f>
        <v>12.0114064284211</v>
      </c>
      <c r="G9254" s="15" t="n">
        <f aca="false">Sens!G9252*Sens!G9253*chip_f</f>
        <v>12.4374066198516</v>
      </c>
      <c r="H9254" s="15" t="n">
        <f aca="false">Sens!H9252*Sens!H9253*chip_f</f>
        <v>12.735045931073</v>
      </c>
      <c r="I9254" s="15" t="n">
        <f aca="false">Sens!I9252*Sens!I9253*chip_f</f>
        <v>12.9563153910195</v>
      </c>
      <c r="J9254" s="15" t="n">
        <f aca="false">Sens!J9252*Sens!J9253*chip_f</f>
        <v>13.1317262003643</v>
      </c>
      <c r="K9254" s="15" t="n">
        <f aca="false">Sens!K9252*Sens!K9253*chip_f</f>
        <v>13.3724377399815</v>
      </c>
      <c r="L9254" s="1" t="s">
        <v>975</v>
      </c>
    </row>
    <row r="9255" customFormat="false" ht="17.15" hidden="false" customHeight="false" outlineLevel="0" collapsed="false">
      <c r="A9255" s="0" t="s">
        <v>976</v>
      </c>
      <c r="B9255" s="0" t="s">
        <v>98</v>
      </c>
      <c r="D9255" s="6" t="n">
        <f aca="false">(Sens!C9238+Sens!D9238)/2*Sens!D9254/1000</f>
        <v>12.9359794422418</v>
      </c>
      <c r="E9255" s="6" t="n">
        <f aca="false">(Sens!D9238+Sens!E9238)/2*Sens!E9254/1000</f>
        <v>27.8095064661409</v>
      </c>
      <c r="F9255" s="6" t="n">
        <f aca="false">(Sens!E9238+Sens!F9238)/2*Sens!F9254/1000</f>
        <v>55.4118315060966</v>
      </c>
      <c r="G9255" s="6" t="n">
        <f aca="false">(Sens!F9238+Sens!G9238)/2*Sens!G9254/1000</f>
        <v>91.2881100675143</v>
      </c>
      <c r="H9255" s="6" t="n">
        <f aca="false">(Sens!G9238+Sens!H9238)/2*Sens!H9254/1000</f>
        <v>128.195273603944</v>
      </c>
      <c r="I9255" s="6" t="n">
        <f aca="false">(Sens!H9238+Sens!I9238)/2*Sens!I9254/1000</f>
        <v>160.601281810405</v>
      </c>
      <c r="J9255" s="6" t="n">
        <f aca="false">(Sens!I9238+Sens!J9238)/2*Sens!J9254/1000</f>
        <v>183.182719793589</v>
      </c>
      <c r="K9255" s="6" t="n">
        <f aca="false">(Sens!J9238+Sens!K9238)/2*Sens!K9254/1000</f>
        <v>197.320124937098</v>
      </c>
      <c r="L9255" s="12" t="s">
        <v>977</v>
      </c>
    </row>
    <row r="9256" customFormat="false" ht="17.15" hidden="false" customHeight="false" outlineLevel="0" collapsed="false">
      <c r="A9256" s="1" t="s">
        <v>978</v>
      </c>
      <c r="B9256" s="0" t="s">
        <v>403</v>
      </c>
      <c r="C9256" s="15" t="n">
        <f aca="false">(Sens!C9246*tk_opex_h100+Sens!C9247*tk_opex_gb200+Sens!C9248*tk_opex_gb300+(Sens!C9250+Sens!C9249)*tk_opex_vr200)/Sens!C9238</f>
        <v>1.88636041306092</v>
      </c>
      <c r="D9256" s="15" t="n">
        <f aca="false">(Sens!D9246*tk_opex_h100+Sens!D9247*tk_opex_gb200+Sens!D9248*tk_opex_gb300+(Sens!D9250+Sens!D9249)*tk_opex_vr200)/Sens!D9238</f>
        <v>1.88636041306092</v>
      </c>
      <c r="E9256" s="15" t="n">
        <f aca="false">(Sens!E9246*tk_opex_h100+Sens!E9247*tk_opex_gb200+Sens!E9248*tk_opex_gb300+(Sens!E9250+Sens!E9249)*tk_opex_vr200)/Sens!E9238</f>
        <v>1.88636041306092</v>
      </c>
      <c r="F9256" s="15" t="n">
        <f aca="false">(Sens!F9246*tk_opex_h100+Sens!F9247*tk_opex_gb200+Sens!F9248*tk_opex_gb300+(Sens!F9250+Sens!F9249)*tk_opex_vr200)/Sens!F9238</f>
        <v>1.95051159746876</v>
      </c>
      <c r="G9256" s="15" t="n">
        <f aca="false">(Sens!G9246*tk_opex_h100+Sens!G9247*tk_opex_gb200+Sens!G9248*tk_opex_gb300+(Sens!G9250+Sens!G9249)*tk_opex_vr200)/Sens!G9238</f>
        <v>1.98836003669956</v>
      </c>
      <c r="H9256" s="15" t="n">
        <f aca="false">(Sens!H9246*tk_opex_h100+Sens!H9247*tk_opex_gb200+Sens!H9248*tk_opex_gb300+(Sens!H9250+Sens!H9249)*tk_opex_vr200)/Sens!H9238</f>
        <v>2.01344013834343</v>
      </c>
      <c r="I9256" s="15" t="n">
        <f aca="false">(Sens!I9246*tk_opex_h100+Sens!I9247*tk_opex_gb200+Sens!I9248*tk_opex_gb300+(Sens!I9250+Sens!I9249)*tk_opex_vr200)/Sens!I9238</f>
        <v>2.03261166882178</v>
      </c>
      <c r="J9256" s="15" t="n">
        <f aca="false">(Sens!J9246*tk_opex_h100+Sens!J9247*tk_opex_gb200+Sens!J9248*tk_opex_gb300+(Sens!J9250+Sens!J9249)*tk_opex_vr200)/Sens!J9238</f>
        <v>2.04808073288745</v>
      </c>
      <c r="K9256" s="15" t="n">
        <f aca="false">(Sens!K9246*tk_opex_h100+Sens!K9247*tk_opex_gb200+Sens!K9248*tk_opex_gb300+(Sens!K9250+Sens!K9249)*tk_opex_vr200)/Sens!K9238</f>
        <v>2.06973825807449</v>
      </c>
      <c r="L9256" s="12" t="s">
        <v>979</v>
      </c>
    </row>
    <row r="9257" customFormat="false" ht="17.15" hidden="false" customHeight="false" outlineLevel="0" collapsed="false">
      <c r="A9257" s="0" t="s">
        <v>980</v>
      </c>
      <c r="B9257" s="0" t="s">
        <v>98</v>
      </c>
      <c r="D9257" s="6" t="n">
        <f aca="false">(Sens!C9241+Sens!D9241)/2*Sens!D9256/1000</f>
        <v>2.70378325872065</v>
      </c>
      <c r="E9257" s="6" t="n">
        <f aca="false">(Sens!D9241+Sens!E9241)/2*Sens!E9256/1000</f>
        <v>6.17783035277451</v>
      </c>
      <c r="F9257" s="6" t="n">
        <f aca="false">(Sens!E9241+Sens!F9241)/2*Sens!F9256/1000</f>
        <v>12.8742463089237</v>
      </c>
      <c r="G9257" s="6" t="n">
        <f aca="false">(Sens!F9241+Sens!G9241)/2*Sens!G9256/1000</f>
        <v>21.8182834646277</v>
      </c>
      <c r="H9257" s="6" t="n">
        <f aca="false">(Sens!G9241+Sens!H9241)/2*Sens!H9256/1000</f>
        <v>31.2430128789734</v>
      </c>
      <c r="I9257" s="6" t="n">
        <f aca="false">(Sens!H9241+Sens!I9241)/2*Sens!I9256/1000</f>
        <v>39.4313057443268</v>
      </c>
      <c r="J9257" s="6" t="n">
        <f aca="false">(Sens!I9241+Sens!J9241)/2*Sens!J9256/1000</f>
        <v>45.0360318228653</v>
      </c>
      <c r="K9257" s="6" t="n">
        <f aca="false">(Sens!J9241+Sens!K9241)/2*Sens!K9256/1000</f>
        <v>48.2929727091156</v>
      </c>
    </row>
    <row r="9258" customFormat="false" ht="17.15" hidden="false" customHeight="false" outlineLevel="0" collapsed="false">
      <c r="A9258" s="0" t="s">
        <v>981</v>
      </c>
      <c r="B9258" s="0" t="s">
        <v>98</v>
      </c>
      <c r="D9258" s="6" t="n">
        <f aca="false">(Sens!C9239+Sens!D9239)/2*rent_mw/1000</f>
        <v>2.44475</v>
      </c>
      <c r="E9258" s="6" t="n">
        <f aca="false">(Sens!D9239+Sens!E9239)/2*rent_mw/1000</f>
        <v>4.22275</v>
      </c>
      <c r="F9258" s="6" t="n">
        <f aca="false">(Sens!E9239+Sens!F9239)/2*rent_mw/1000</f>
        <v>5.80517</v>
      </c>
      <c r="G9258" s="6" t="n">
        <f aca="false">(Sens!F9239+Sens!G9239)/2*rent_mw/1000</f>
        <v>6.72084</v>
      </c>
      <c r="H9258" s="6" t="n">
        <f aca="false">(Sens!G9239+Sens!H9239)/2*rent_mw/1000</f>
        <v>6.72084</v>
      </c>
      <c r="I9258" s="6" t="n">
        <f aca="false">(Sens!H9239+Sens!I9239)/2*rent_mw/1000</f>
        <v>6.72084</v>
      </c>
      <c r="J9258" s="6" t="n">
        <f aca="false">(Sens!I9239+Sens!J9239)/2*rent_mw/1000</f>
        <v>6.72084</v>
      </c>
      <c r="K9258" s="6" t="n">
        <f aca="false">(Sens!J9239+Sens!K9239)/2*rent_mw/1000</f>
        <v>6.72084</v>
      </c>
    </row>
    <row r="9259" customFormat="false" ht="17.15" hidden="false" customHeight="false" outlineLevel="0" collapsed="false">
      <c r="A9259" s="0" t="s">
        <v>982</v>
      </c>
      <c r="B9259" s="0" t="s">
        <v>98</v>
      </c>
      <c r="D9259" s="6" t="n">
        <f aca="false">(Sens!C9241+Sens!D9241)/2*(1-self_build)*fac_rent/1000</f>
        <v>0.853242375631075</v>
      </c>
      <c r="E9259" s="6" t="n">
        <f aca="false">(Sens!D9241+Sens!E9241)/2*(1-self_build)*fac_rent/1000</f>
        <v>1.94955961408728</v>
      </c>
      <c r="F9259" s="6" t="n">
        <f aca="false">(Sens!E9241+Sens!F9241)/2*(1-self_build)*fac_rent/1000</f>
        <v>3.92914894476356</v>
      </c>
      <c r="G9259" s="6" t="n">
        <f aca="false">(Sens!F9241+Sens!G9241)/2*(1-self_build)*fac_rent/1000</f>
        <v>6.53206908578159</v>
      </c>
      <c r="H9259" s="6" t="n">
        <f aca="false">(Sens!G9241+Sens!H9241)/2*(1-self_build)*fac_rent/1000</f>
        <v>9.23717988341591</v>
      </c>
      <c r="I9259" s="6" t="n">
        <f aca="false">(Sens!H9241+Sens!I9241)/2*(1-self_build)*fac_rent/1000</f>
        <v>11.5481378557393</v>
      </c>
      <c r="J9259" s="6" t="n">
        <f aca="false">(Sens!I9241+Sens!J9241)/2*(1-self_build)*fac_rent/1000</f>
        <v>13.0899582289108</v>
      </c>
      <c r="K9259" s="6" t="n">
        <f aca="false">(Sens!J9241+Sens!K9241)/2*(1-self_build)*fac_rent/1000</f>
        <v>13.8897275626556</v>
      </c>
      <c r="L9259" s="12" t="s">
        <v>983</v>
      </c>
    </row>
    <row r="9260" customFormat="false" ht="17.15" hidden="false" customHeight="false" outlineLevel="0" collapsed="false">
      <c r="A9260" s="1" t="s">
        <v>984</v>
      </c>
      <c r="B9260" s="0" t="s">
        <v>168</v>
      </c>
      <c r="D9260" s="7" t="n">
        <f aca="false">(Sens!C9240+Sens!D9240)/(Sens!C9241+Sens!D9241)</f>
        <v>0.6</v>
      </c>
      <c r="E9260" s="7" t="n">
        <f aca="false">(Sens!D9240+Sens!E9240)/(Sens!D9241+Sens!E9241)</f>
        <v>0.6</v>
      </c>
      <c r="F9260" s="7" t="n">
        <f aca="false">(Sens!E9240+Sens!F9240)/(Sens!E9241+Sens!F9241)</f>
        <v>0.6</v>
      </c>
      <c r="G9260" s="7" t="n">
        <f aca="false">(Sens!F9240+Sens!G9240)/(Sens!F9241+Sens!G9241)</f>
        <v>0.6</v>
      </c>
      <c r="H9260" s="7" t="n">
        <f aca="false">(Sens!G9240+Sens!H9240)/(Sens!G9241+Sens!H9241)</f>
        <v>0.6</v>
      </c>
      <c r="I9260" s="7" t="n">
        <f aca="false">(Sens!H9240+Sens!I9240)/(Sens!H9241+Sens!I9241)</f>
        <v>0.6</v>
      </c>
      <c r="J9260" s="7" t="n">
        <f aca="false">(Sens!I9240+Sens!J9240)/(Sens!I9241+Sens!J9241)</f>
        <v>0.6</v>
      </c>
      <c r="K9260" s="7" t="n">
        <f aca="false">(Sens!J9240+Sens!K9240)/(Sens!J9241+Sens!K9241)</f>
        <v>0.6</v>
      </c>
    </row>
    <row r="9261" customFormat="false" ht="17.15" hidden="false" customHeight="false" outlineLevel="0" collapsed="false">
      <c r="A9261" s="0" t="s">
        <v>985</v>
      </c>
      <c r="B9261" s="0" t="s">
        <v>98</v>
      </c>
      <c r="D9261" s="6" t="n">
        <f aca="false">Sens!D9255-Sens!D9260*(Sens!D9257+Sens!D9259)-Sens!D9258</f>
        <v>8.35701406163072</v>
      </c>
      <c r="E9261" s="6" t="n">
        <f aca="false">Sens!E9255-Sens!E9260*(Sens!E9257+Sens!E9259)-Sens!E9258</f>
        <v>18.7103224860238</v>
      </c>
      <c r="F9261" s="6" t="n">
        <f aca="false">Sens!F9255-Sens!F9260*(Sens!F9257+Sens!F9259)-Sens!F9258</f>
        <v>39.5246243538843</v>
      </c>
      <c r="G9261" s="6" t="n">
        <f aca="false">Sens!G9255-Sens!G9260*(Sens!G9257+Sens!G9259)-Sens!G9258</f>
        <v>67.5570585372687</v>
      </c>
      <c r="H9261" s="6" t="n">
        <f aca="false">Sens!H9255-Sens!H9260*(Sens!H9257+Sens!H9259)-Sens!H9258</f>
        <v>97.1863179465102</v>
      </c>
      <c r="I9261" s="6" t="n">
        <f aca="false">Sens!I9255-Sens!I9260*(Sens!I9257+Sens!I9259)-Sens!I9258</f>
        <v>123.292775650365</v>
      </c>
      <c r="J9261" s="6" t="n">
        <f aca="false">Sens!J9255-Sens!J9260*(Sens!J9257+Sens!J9259)-Sens!J9258</f>
        <v>141.586285762524</v>
      </c>
      <c r="K9261" s="6" t="n">
        <f aca="false">Sens!K9255-Sens!K9260*(Sens!K9257+Sens!K9259)-Sens!K9258</f>
        <v>153.289664774035</v>
      </c>
    </row>
    <row r="9262" customFormat="false" ht="17.15" hidden="false" customHeight="false" outlineLevel="0" collapsed="false">
      <c r="A9262" s="1" t="s">
        <v>986</v>
      </c>
      <c r="B9262" s="0" t="s">
        <v>98</v>
      </c>
      <c r="D9262" s="6" t="n">
        <f aca="false">(1-Sens!D9260)*(Sens!D9257+Sens!D9259)</f>
        <v>1.42281025374069</v>
      </c>
      <c r="E9262" s="6" t="n">
        <f aca="false">(1-Sens!E9260)*(Sens!E9257+Sens!E9259)</f>
        <v>3.25095598674472</v>
      </c>
      <c r="F9262" s="6" t="n">
        <f aca="false">(1-Sens!F9260)*(Sens!F9257+Sens!F9259)</f>
        <v>6.72135810147489</v>
      </c>
      <c r="G9262" s="6" t="n">
        <f aca="false">(1-Sens!G9260)*(Sens!G9257+Sens!G9259)</f>
        <v>11.3401410201637</v>
      </c>
      <c r="H9262" s="6" t="n">
        <f aca="false">(1-Sens!H9260)*(Sens!H9257+Sens!H9259)</f>
        <v>16.1920771049557</v>
      </c>
      <c r="I9262" s="6" t="n">
        <f aca="false">(1-Sens!I9260)*(Sens!I9257+Sens!I9259)</f>
        <v>20.3917774400264</v>
      </c>
      <c r="J9262" s="6" t="n">
        <f aca="false">(1-Sens!J9260)*(Sens!J9257+Sens!J9259)</f>
        <v>23.2503960207104</v>
      </c>
      <c r="K9262" s="6" t="n">
        <f aca="false">(1-Sens!K9260)*(Sens!K9257+Sens!K9259)</f>
        <v>24.8730801087085</v>
      </c>
    </row>
    <row r="9263" customFormat="false" ht="17.15" hidden="false" customHeight="false" outlineLevel="0" collapsed="false">
      <c r="A9263" s="1" t="s">
        <v>987</v>
      </c>
      <c r="B9263" s="0" t="s">
        <v>414</v>
      </c>
      <c r="C9263" s="8" t="n">
        <f aca="false">cxit_open</f>
        <v>27.5918995</v>
      </c>
      <c r="D9263" s="8" t="n">
        <f aca="false">cxit_open</f>
        <v>27.5918995</v>
      </c>
      <c r="E9263" s="8" t="n">
        <f aca="false">cxit_open</f>
        <v>27.5918995</v>
      </c>
      <c r="F9263" s="8" t="n">
        <f aca="false">((a_g3_27-nonnv*a_mai)*tk_cxit_gb300+nonnv*a_mai*nv_hold_mai*tk_cxit_vr200+(1-a_g3_27)*tk_cxit_vr200)</f>
        <v>32.4975576</v>
      </c>
      <c r="G9263" s="8" t="n">
        <f aca="false">((a_g3_28-nonnv*a_mai)*tk_cxit_gb300+nonnv*a_mai*nv_hold_mai*tk_cxit_vr200+(1-a_g3_28)*tk_cxit_vr200)</f>
        <v>34.6372088</v>
      </c>
      <c r="H9263" s="8" t="n">
        <f aca="false">((a_g3_29-nonnv*a_mai)*tk_cxit_gb300+nonnv*a_mai*nv_hold_mai*tk_cxit_vr200+(1-a_g3_29)*tk_cxit_vr200)</f>
        <v>35.7070344</v>
      </c>
      <c r="I9263" s="8" t="n">
        <f aca="false">((a_g3_29-nonnv*a_mai)*tk_cxit_gb300+nonnv*a_mai*nv_hold_mai*tk_cxit_vr200+(1-a_g3_29)*tk_cxit_vr200)</f>
        <v>35.7070344</v>
      </c>
      <c r="J9263" s="8" t="n">
        <f aca="false">((a_g3_29-nonnv*a_mai)*tk_cxit_gb300+nonnv*a_mai*nv_hold_mai*tk_cxit_vr200+(1-a_g3_29)*tk_cxit_vr200)</f>
        <v>35.7070344</v>
      </c>
      <c r="K9263" s="8" t="n">
        <f aca="false">((a_g3_29-nonnv*a_mai)*tk_cxit_gb300+nonnv*a_mai*nv_hold_mai*tk_cxit_vr200+(1-a_g3_29)*tk_cxit_vr200)</f>
        <v>35.7070344</v>
      </c>
      <c r="L9263" s="12" t="s">
        <v>988</v>
      </c>
    </row>
    <row r="9264" customFormat="false" ht="17.15" hidden="false" customHeight="false" outlineLevel="0" collapsed="false">
      <c r="A9264" s="0" t="s">
        <v>989</v>
      </c>
      <c r="B9264" s="0" t="s">
        <v>456</v>
      </c>
      <c r="F9264" s="30" t="n">
        <f aca="false">Sens!C9243*IF(Sens!F9236-Sens!C9236=life_it,1,0)+Sens!D9243*IF(Sens!F9236-Sens!D9236=life_it,1,0)+Sens!E9243*IF(Sens!F9236-Sens!E9236=life_it,1,0)</f>
        <v>0</v>
      </c>
      <c r="G9264" s="30" t="n">
        <f aca="false">Sens!C9243*IF(Sens!G9236-Sens!C9236=life_it,1,0)+Sens!D9243*IF(Sens!G9236-Sens!D9236=life_it,1,0)+Sens!E9243*IF(Sens!G9236-Sens!E9236=life_it,1,0)+Sens!F9243*IF(Sens!G9236-Sens!F9236=life_it,1,0)</f>
        <v>0</v>
      </c>
      <c r="H9264" s="30" t="n">
        <f aca="false">Sens!C9243*IF(Sens!H9236-Sens!C9236=life_it,1,0)+Sens!D9243*IF(Sens!H9236-Sens!D9236=life_it,1,0)+Sens!E9243*IF(Sens!H9236-Sens!E9236=life_it,1,0)+Sens!F9243*IF(Sens!H9236-Sens!F9236=life_it,1,0)+Sens!G9243*IF(Sens!H9236-Sens!G9236=life_it,1,0)</f>
        <v>0</v>
      </c>
      <c r="I9264" s="30" t="n">
        <f aca="false">Sens!C9243*IF(Sens!I9236-Sens!C9236=life_it,1,0)+Sens!D9243*IF(Sens!I9236-Sens!D9236=life_it,1,0)+Sens!E9243*IF(Sens!I9236-Sens!E9236=life_it,1,0)+Sens!F9243*IF(Sens!I9236-Sens!F9236=life_it,1,0)+Sens!G9243*IF(Sens!I9236-Sens!G9236=life_it,1,0)+Sens!H9243*IF(Sens!I9236-Sens!H9236=life_it,1,0)</f>
        <v>816.666666666667</v>
      </c>
      <c r="J9264" s="30" t="n">
        <f aca="false">Sens!C9243*IF(Sens!J9236-Sens!C9236=life_it,1,0)+Sens!D9243*IF(Sens!J9236-Sens!D9236=life_it,1,0)+Sens!E9243*IF(Sens!J9236-Sens!E9236=life_it,1,0)+Sens!F9243*IF(Sens!J9236-Sens!F9236=life_it,1,0)+Sens!G9243*IF(Sens!J9236-Sens!G9236=life_it,1,0)+Sens!H9243*IF(Sens!J9236-Sens!H9236=life_it,1,0)+Sens!I9243*IF(Sens!J9236-Sens!I9236=life_it,1,0)</f>
        <v>1233.33333333333</v>
      </c>
      <c r="K9264" s="30" t="n">
        <f aca="false">Sens!C9243*IF(Sens!K9236-Sens!C9236=life_it,1,0)+Sens!D9243*IF(Sens!K9236-Sens!D9236=life_it,1,0)+Sens!E9243*IF(Sens!K9236-Sens!E9236=life_it,1,0)+Sens!F9243*IF(Sens!K9236-Sens!F9236=life_it,1,0)+Sens!G9243*IF(Sens!K9236-Sens!G9236=life_it,1,0)+Sens!H9243*IF(Sens!K9236-Sens!H9236=life_it,1,0)+Sens!I9243*IF(Sens!K9236-Sens!I9236=life_it,1,0)+Sens!J9243*IF(Sens!K9236-Sens!J9236=life_it,1,0)</f>
        <v>2450</v>
      </c>
      <c r="L9264" s="1" t="s">
        <v>990</v>
      </c>
    </row>
    <row r="9265" customFormat="false" ht="17.15" hidden="false" customHeight="false" outlineLevel="0" collapsed="false">
      <c r="A9265" s="0" t="s">
        <v>991</v>
      </c>
      <c r="B9265" s="0" t="s">
        <v>98</v>
      </c>
      <c r="C9265" s="6" t="n">
        <f aca="false">Sens!C9243*Sens!C9263/1000</f>
        <v>22.5333845916667</v>
      </c>
      <c r="D9265" s="6" t="n">
        <f aca="false">Sens!D9243*Sens!D9263/1000</f>
        <v>34.0300093833333</v>
      </c>
      <c r="E9265" s="6" t="n">
        <f aca="false">Sens!E9243*Sens!E9263/1000</f>
        <v>67.600153775</v>
      </c>
      <c r="F9265" s="6" t="n">
        <f aca="false">(Sens!F9243+Sens!F9264)*Sens!F9263/1000</f>
        <v>136.51872432512</v>
      </c>
      <c r="G9265" s="6" t="n">
        <f aca="false">(Sens!G9243+Sens!G9264)*Sens!G9263/1000</f>
        <v>157.399275932048</v>
      </c>
      <c r="H9265" s="6" t="n">
        <f aca="false">(Sens!H9243+Sens!H9264)*Sens!H9263/1000</f>
        <v>162.260804347512</v>
      </c>
      <c r="I9265" s="6" t="n">
        <f aca="false">(Sens!I9243+Sens!I9264)*Sens!I9263/1000</f>
        <v>144.136569485434</v>
      </c>
      <c r="J9265" s="6" t="n">
        <f aca="false">(Sens!J9243+Sens!J9264)*Sens!J9263/1000</f>
        <v>114.029037357864</v>
      </c>
      <c r="K9265" s="6" t="n">
        <f aca="false">(Sens!K9243+Sens!K9264)*Sens!K9263/1000</f>
        <v>113.437085350975</v>
      </c>
    </row>
    <row r="9266" customFormat="false" ht="17.15" hidden="false" customHeight="false" outlineLevel="0" collapsed="false">
      <c r="A9266" s="0" t="s">
        <v>992</v>
      </c>
      <c r="B9266" s="0" t="s">
        <v>98</v>
      </c>
      <c r="C9266" s="6" t="n">
        <f aca="false">Sens!C9243*self_build*tk_cxfac/1000</f>
        <v>6.2083</v>
      </c>
      <c r="D9266" s="6" t="n">
        <f aca="false">Sens!D9243*self_build*tk_cxfac/1000</f>
        <v>9.3758</v>
      </c>
      <c r="E9266" s="6" t="n">
        <f aca="false">Sens!E9243*self_build*tk_cxfac/1000</f>
        <v>18.6249</v>
      </c>
      <c r="F9266" s="6" t="n">
        <f aca="false">Sens!F9243*self_build*tk_cxfac/1000</f>
        <v>31.935179717</v>
      </c>
      <c r="G9266" s="6" t="n">
        <f aca="false">Sens!G9243*self_build*tk_cxfac/1000</f>
        <v>34.545199717</v>
      </c>
      <c r="H9266" s="6" t="n">
        <f aca="false">Sens!H9243*self_build*tk_cxfac/1000</f>
        <v>34.545199717</v>
      </c>
      <c r="I9266" s="6" t="n">
        <f aca="false">Sens!I9243*self_build*tk_cxfac/1000</f>
        <v>24.4782641361767</v>
      </c>
      <c r="J9266" s="6" t="n">
        <f aca="false">Sens!J9243*self_build*tk_cxfac/1000</f>
        <v>14.9008938380769</v>
      </c>
      <c r="K9266" s="6" t="n">
        <f aca="false">Sens!K9243*self_build*tk_cxfac/1000</f>
        <v>5.52576771375761</v>
      </c>
    </row>
    <row r="9267" customFormat="false" ht="17.15" hidden="false" customHeight="false" outlineLevel="0" collapsed="false">
      <c r="A9267" s="0" t="s">
        <v>993</v>
      </c>
      <c r="B9267" s="0" t="s">
        <v>98</v>
      </c>
      <c r="F9267" s="15" t="n">
        <f aca="false">capex_floor27-Sens!F9265-Sens!F9266-Sens!F9363</f>
        <v>0.0578704874653084</v>
      </c>
      <c r="L9267" s="12" t="s">
        <v>994</v>
      </c>
    </row>
    <row r="9268" customFormat="false" ht="17.15" hidden="false" customHeight="false" outlineLevel="0" collapsed="false">
      <c r="A9268" s="0" t="s">
        <v>995</v>
      </c>
      <c r="B9268" s="0" t="s">
        <v>98</v>
      </c>
      <c r="F9268" s="6" t="n">
        <f aca="false">MAX(0,Sens!F9267)</f>
        <v>0.0578704874653084</v>
      </c>
    </row>
    <row r="9269" customFormat="false" ht="17.15" hidden="false" customHeight="false" outlineLevel="0" collapsed="false">
      <c r="A9269" s="0" t="s">
        <v>996</v>
      </c>
      <c r="B9269" s="0" t="s">
        <v>98</v>
      </c>
      <c r="C9269" s="6" t="n">
        <f aca="false">Sens!C9265</f>
        <v>22.5333845916667</v>
      </c>
      <c r="D9269" s="6" t="n">
        <f aca="false">Sens!D9265</f>
        <v>34.0300093833333</v>
      </c>
      <c r="E9269" s="6" t="n">
        <f aca="false">Sens!E9265</f>
        <v>67.600153775</v>
      </c>
      <c r="F9269" s="6" t="n">
        <f aca="false">Sens!F9265</f>
        <v>136.51872432512</v>
      </c>
      <c r="G9269" s="6" t="n">
        <f aca="false">Sens!G9265</f>
        <v>157.399275932048</v>
      </c>
      <c r="H9269" s="6" t="n">
        <f aca="false">Sens!H9265</f>
        <v>162.260804347512</v>
      </c>
      <c r="I9269" s="6" t="n">
        <f aca="false">Sens!I9265</f>
        <v>144.136569485434</v>
      </c>
      <c r="J9269" s="6" t="n">
        <f aca="false">Sens!J9265</f>
        <v>114.029037357864</v>
      </c>
      <c r="K9269" s="6" t="n">
        <f aca="false">Sens!K9265</f>
        <v>113.437085350975</v>
      </c>
    </row>
    <row r="9270" customFormat="false" ht="17.15" hidden="false" customHeight="false" outlineLevel="0" collapsed="false">
      <c r="A9270" s="0" t="s">
        <v>997</v>
      </c>
      <c r="B9270" s="0" t="s">
        <v>98</v>
      </c>
      <c r="C9270" s="6" t="n">
        <f aca="false">Sens!C9269+Sens!C9266</f>
        <v>28.7416845916667</v>
      </c>
      <c r="D9270" s="6" t="n">
        <f aca="false">Sens!D9269+Sens!D9266</f>
        <v>43.4058093833333</v>
      </c>
      <c r="E9270" s="6" t="n">
        <f aca="false">Sens!E9269+Sens!E9266</f>
        <v>86.225053775</v>
      </c>
      <c r="F9270" s="6" t="n">
        <f aca="false">Sens!F9269+Sens!F9266</f>
        <v>168.45390404212</v>
      </c>
      <c r="G9270" s="6" t="n">
        <f aca="false">Sens!G9269+Sens!G9266</f>
        <v>191.944475649048</v>
      </c>
      <c r="H9270" s="6" t="n">
        <f aca="false">Sens!H9269+Sens!H9266</f>
        <v>196.806004064512</v>
      </c>
      <c r="I9270" s="6" t="n">
        <f aca="false">Sens!I9269+Sens!I9266</f>
        <v>168.61483362161</v>
      </c>
      <c r="J9270" s="6" t="n">
        <f aca="false">Sens!J9269+Sens!J9266</f>
        <v>128.92993119594</v>
      </c>
      <c r="K9270" s="6" t="n">
        <f aca="false">Sens!K9269+Sens!K9266</f>
        <v>118.962853064733</v>
      </c>
      <c r="L9270" s="12" t="s">
        <v>998</v>
      </c>
    </row>
    <row r="9271" customFormat="false" ht="17.15" hidden="false" customHeight="false" outlineLevel="0" collapsed="false">
      <c r="A9271" s="0" t="s">
        <v>999</v>
      </c>
      <c r="B9271" s="0" t="s">
        <v>98</v>
      </c>
      <c r="E9271" s="6" t="n">
        <f aca="false">(Sens!C9269*IF(2&lt;life_it,1,IF(2=life_it,0.5,0))+Sens!D9269*IF(1&lt;life_it,1,IF(1=life_it,0.5,0))+Sens!E9269*0.5)/life_it</f>
        <v>15.0605784770833</v>
      </c>
      <c r="F9271" s="6" t="n">
        <f aca="false">(Sens!C9269*IF(3&lt;life_it,1,IF(3=life_it,0.5,0))+Sens!D9269*IF(2&lt;life_it,1,IF(2=life_it,0.5,0))+Sens!E9269*IF(1&lt;life_it,1,IF(1=life_it,0.5,0))+Sens!F9269*0.5)/life_it</f>
        <v>32.0704849854266</v>
      </c>
      <c r="G9271" s="6" t="n">
        <f aca="false">(Sens!C9269*IF(4&lt;life_it,1,IF(4=life_it,0.5,0))+Sens!D9269*IF(3&lt;life_it,1,IF(3=life_it,0.5,0))+Sens!E9269*IF(2&lt;life_it,1,IF(2=life_it,0.5,0))+Sens!F9269*IF(1&lt;life_it,1,IF(1=life_it,0.5,0))+Sens!G9269*0.5)/life_it</f>
        <v>56.5636516735239</v>
      </c>
      <c r="H9271" s="6" t="n">
        <f aca="false">(Sens!C9269*IF(5&lt;life_it,1,IF(5=life_it,0.5,0))+Sens!D9269*IF(4&lt;life_it,1,IF(4=life_it,0.5,0))+Sens!E9269*IF(3&lt;life_it,1,IF(3=life_it,0.5,0))+Sens!F9269*IF(2&lt;life_it,1,IF(2=life_it,0.5,0))+Sens!G9269*IF(1&lt;life_it,1,IF(1=life_it,0.5,0))+Sens!H9269*0.5)/life_it</f>
        <v>83.2019916968207</v>
      </c>
      <c r="I9271" s="6" t="n">
        <f aca="false">(Sens!C9269*IF(6&lt;life_it,1,IF(6=life_it,0.5,0))+Sens!D9269*IF(5&lt;life_it,1,IF(5=life_it,0.5,0))+Sens!E9269*IF(4&lt;life_it,1,IF(4=life_it,0.5,0))+Sens!F9269*IF(3&lt;life_it,1,IF(3=life_it,0.5,0))+Sens!G9269*IF(2&lt;life_it,1,IF(2=life_it,0.5,0))+Sens!H9269*IF(1&lt;life_it,1,IF(1=life_it,0.5,0))+Sens!I9269*0.5)/life_it</f>
        <v>106.857324133594</v>
      </c>
      <c r="J9271" s="6" t="n">
        <f aca="false">(Sens!C9269*IF(7&lt;life_it,1,IF(7=life_it,0.5,0))+Sens!D9269*IF(6&lt;life_it,1,IF(6=life_it,0.5,0))+Sens!E9269*IF(5&lt;life_it,1,IF(5=life_it,0.5,0))+Sens!F9269*IF(4&lt;life_it,1,IF(4=life_it,0.5,0))+Sens!G9269*IF(3&lt;life_it,1,IF(3=life_it,0.5,0))+Sens!H9269*IF(2&lt;life_it,1,IF(2=life_it,0.5,0))+Sens!I9269*IF(1&lt;life_it,1,IF(1=life_it,0.5,0))+Sens!J9269*0.5)/life_it</f>
        <v>123.657508539285</v>
      </c>
      <c r="K9271" s="6" t="n">
        <f aca="false">(Sens!C9269*IF(8&lt;life_it,1,IF(8=life_it,0.5,0))+Sens!D9269*IF(7&lt;life_it,1,IF(7=life_it,0.5,0))+Sens!E9269*IF(6&lt;life_it,1,IF(6=life_it,0.5,0))+Sens!F9269*IF(5&lt;life_it,1,IF(5=life_it,0.5,0))+Sens!G9269*IF(4&lt;life_it,1,IF(4=life_it,0.5,0))+Sens!H9269*IF(3&lt;life_it,1,IF(3=life_it,0.5,0))+Sens!I9269*IF(2&lt;life_it,1,IF(2=life_it,0.5,0))+Sens!J9269*IF(1&lt;life_it,1,IF(1=life_it,0.5,0))+Sens!K9269*0.5)/life_it</f>
        <v>134.143838501827</v>
      </c>
    </row>
    <row r="9272" customFormat="false" ht="17.15" hidden="false" customHeight="false" outlineLevel="0" collapsed="false">
      <c r="A9272" s="0" t="s">
        <v>1000</v>
      </c>
      <c r="B9272" s="0" t="s">
        <v>98</v>
      </c>
      <c r="E9272" s="6" t="n">
        <f aca="false">(Sens!C9266*IF(2&lt;life_fac,1,IF(2=life_fac,0.5,0))+Sens!D9266*IF(1&lt;life_fac,1,IF(1=life_fac,0.5,0))+Sens!E9266*0.5)/life_fac</f>
        <v>1.2448275</v>
      </c>
      <c r="F9272" s="6" t="n">
        <f aca="false">(Sens!C9266*IF(3&lt;life_fac,1,IF(3=life_fac,0.5,0))+Sens!D9266*IF(2&lt;life_fac,1,IF(2=life_fac,0.5,0))+Sens!E9266*IF(1&lt;life_fac,1,IF(1=life_fac,0.5,0))+Sens!F9266*0.5)/life_fac</f>
        <v>2.508829492925</v>
      </c>
      <c r="G9272" s="6" t="n">
        <f aca="false">(Sens!C9266*IF(4&lt;life_fac,1,IF(4=life_fac,0.5,0))+Sens!D9266*IF(3&lt;life_fac,1,IF(3=life_fac,0.5,0))+Sens!E9266*IF(2&lt;life_fac,1,IF(2=life_fac,0.5,0))+Sens!F9266*IF(1&lt;life_fac,1,IF(1=life_fac,0.5,0))+Sens!G9266*0.5)/life_fac</f>
        <v>4.170838978775</v>
      </c>
      <c r="H9272" s="6" t="n">
        <f aca="false">(Sens!C9266*IF(5&lt;life_fac,1,IF(5=life_fac,0.5,0))+Sens!D9266*IF(4&lt;life_fac,1,IF(4=life_fac,0.5,0))+Sens!E9266*IF(3&lt;life_fac,1,IF(3=life_fac,0.5,0))+Sens!F9266*IF(2&lt;life_fac,1,IF(2=life_fac,0.5,0))+Sens!G9266*IF(1&lt;life_fac,1,IF(1=life_fac,0.5,0))+Sens!H9266*0.5)/life_fac</f>
        <v>5.898098964625</v>
      </c>
      <c r="I9272" s="6" t="n">
        <f aca="false">(Sens!C9266*IF(6&lt;life_fac,1,IF(6=life_fac,0.5,0))+Sens!D9266*IF(5&lt;life_fac,1,IF(5=life_fac,0.5,0))+Sens!E9266*IF(4&lt;life_fac,1,IF(4=life_fac,0.5,0))+Sens!F9266*IF(3&lt;life_fac,1,IF(3=life_fac,0.5,0))+Sens!G9266*IF(2&lt;life_fac,1,IF(2=life_fac,0.5,0))+Sens!H9266*IF(1&lt;life_fac,1,IF(1=life_fac,0.5,0))+Sens!I9266*0.5)/life_fac</f>
        <v>7.37368556095442</v>
      </c>
      <c r="J9272" s="6" t="n">
        <f aca="false">(Sens!C9266*IF(7&lt;life_fac,1,IF(7=life_fac,0.5,0))+Sens!D9266*IF(6&lt;life_fac,1,IF(6=life_fac,0.5,0))+Sens!E9266*IF(5&lt;life_fac,1,IF(5=life_fac,0.5,0))+Sens!F9266*IF(4&lt;life_fac,1,IF(4=life_fac,0.5,0))+Sens!G9266*IF(3&lt;life_fac,1,IF(3=life_fac,0.5,0))+Sens!H9266*IF(2&lt;life_fac,1,IF(2=life_fac,0.5,0))+Sens!I9266*IF(1&lt;life_fac,1,IF(1=life_fac,0.5,0))+Sens!J9266*0.5)/life_fac</f>
        <v>8.35816451031075</v>
      </c>
      <c r="K9272" s="6" t="n">
        <f aca="false">(Sens!C9266*IF(8&lt;life_fac,1,IF(8=life_fac,0.5,0))+Sens!D9266*IF(7&lt;life_fac,1,IF(7=life_fac,0.5,0))+Sens!E9266*IF(6&lt;life_fac,1,IF(6=life_fac,0.5,0))+Sens!F9266*IF(5&lt;life_fac,1,IF(5=life_fac,0.5,0))+Sens!G9266*IF(4&lt;life_fac,1,IF(4=life_fac,0.5,0))+Sens!H9266*IF(3&lt;life_fac,1,IF(3=life_fac,0.5,0))+Sens!I9266*IF(2&lt;life_fac,1,IF(2=life_fac,0.5,0))+Sens!J9266*IF(1&lt;life_fac,1,IF(1=life_fac,0.5,0))+Sens!K9266*0.5)/life_fac</f>
        <v>8.86883104910662</v>
      </c>
    </row>
    <row r="9273" customFormat="false" ht="17.15" hidden="false" customHeight="false" outlineLevel="0" collapsed="false">
      <c r="A9273" s="0" t="s">
        <v>1001</v>
      </c>
      <c r="B9273" s="0" t="s">
        <v>98</v>
      </c>
      <c r="E9273" s="6" t="n">
        <f aca="false">Sens!E9271+Sens!E9272</f>
        <v>16.3054059770833</v>
      </c>
      <c r="F9273" s="6" t="n">
        <f aca="false">Sens!F9271+Sens!F9272</f>
        <v>34.5793144783516</v>
      </c>
      <c r="G9273" s="6" t="n">
        <f aca="false">Sens!G9271+Sens!G9272</f>
        <v>60.7344906522989</v>
      </c>
      <c r="H9273" s="6" t="n">
        <f aca="false">Sens!H9271+Sens!H9272</f>
        <v>89.1000906614457</v>
      </c>
      <c r="I9273" s="6" t="n">
        <f aca="false">Sens!I9271+Sens!I9272</f>
        <v>114.231009694548</v>
      </c>
      <c r="J9273" s="6" t="n">
        <f aca="false">Sens!J9271+Sens!J9272</f>
        <v>132.015673049596</v>
      </c>
      <c r="K9273" s="6" t="n">
        <f aca="false">Sens!K9271+Sens!K9272</f>
        <v>143.012669550934</v>
      </c>
    </row>
    <row r="9274" customFormat="false" ht="17.15" hidden="false" customHeight="false" outlineLevel="0" collapsed="false">
      <c r="A9274" s="0" t="s">
        <v>1002</v>
      </c>
      <c r="B9274" s="0" t="s">
        <v>98</v>
      </c>
      <c r="E9274" s="6" t="n">
        <f aca="false">Sens!E9261-Sens!E9260*Sens!E9273</f>
        <v>8.92707889977379</v>
      </c>
      <c r="F9274" s="6" t="n">
        <f aca="false">Sens!F9261-Sens!F9260*Sens!F9273</f>
        <v>18.7770356668733</v>
      </c>
      <c r="G9274" s="6" t="n">
        <f aca="false">Sens!G9261-Sens!G9260*Sens!G9273</f>
        <v>31.1163641458894</v>
      </c>
      <c r="H9274" s="6" t="n">
        <f aca="false">Sens!H9261-Sens!H9260*Sens!H9273</f>
        <v>43.7262635496428</v>
      </c>
      <c r="I9274" s="6" t="n">
        <f aca="false">Sens!I9261-Sens!I9260*Sens!I9273</f>
        <v>54.7541698336361</v>
      </c>
      <c r="J9274" s="6" t="n">
        <f aca="false">Sens!J9261-Sens!J9260*Sens!J9273</f>
        <v>62.3768819327658</v>
      </c>
      <c r="K9274" s="6" t="n">
        <f aca="false">Sens!K9261-Sens!K9260*Sens!K9273</f>
        <v>67.4820630434748</v>
      </c>
    </row>
    <row r="9275" customFormat="false" ht="17.15" hidden="false" customHeight="false" outlineLevel="0" collapsed="false">
      <c r="A9275" s="3" t="s">
        <v>1711</v>
      </c>
    </row>
    <row r="9276" customFormat="false" ht="15" hidden="false" customHeight="false" outlineLevel="0" collapsed="false">
      <c r="A9276" s="4" t="s">
        <v>43</v>
      </c>
      <c r="B9276" s="4" t="s">
        <v>65</v>
      </c>
      <c r="C9276" s="23" t="s">
        <v>938</v>
      </c>
      <c r="D9276" s="23" t="s">
        <v>939</v>
      </c>
      <c r="E9276" s="23" t="s">
        <v>940</v>
      </c>
      <c r="F9276" s="23" t="s">
        <v>941</v>
      </c>
      <c r="G9276" s="23" t="s">
        <v>942</v>
      </c>
      <c r="H9276" s="23" t="s">
        <v>943</v>
      </c>
      <c r="I9276" s="23" t="s">
        <v>944</v>
      </c>
      <c r="J9276" s="23" t="s">
        <v>945</v>
      </c>
      <c r="K9276" s="23" t="s">
        <v>946</v>
      </c>
      <c r="L9276" s="4" t="s">
        <v>47</v>
      </c>
    </row>
    <row r="9277" customFormat="false" ht="17.15" hidden="false" customHeight="false" outlineLevel="0" collapsed="false">
      <c r="A9277" s="0" t="s">
        <v>1021</v>
      </c>
      <c r="B9277" s="0" t="s">
        <v>98</v>
      </c>
      <c r="D9277" s="6" t="n">
        <f aca="false">Sens!D9255</f>
        <v>12.9359794422418</v>
      </c>
      <c r="E9277" s="6" t="n">
        <f aca="false">Sens!E9255</f>
        <v>27.8095064661409</v>
      </c>
      <c r="F9277" s="6" t="n">
        <f aca="false">Sens!F9255</f>
        <v>55.4118315060966</v>
      </c>
      <c r="G9277" s="6" t="n">
        <f aca="false">Sens!G9255</f>
        <v>91.2881100675143</v>
      </c>
      <c r="H9277" s="6" t="n">
        <f aca="false">Sens!H9255</f>
        <v>128.195273603944</v>
      </c>
      <c r="I9277" s="6" t="n">
        <f aca="false">Sens!I9255</f>
        <v>160.601281810405</v>
      </c>
      <c r="J9277" s="6" t="n">
        <f aca="false">Sens!J9255</f>
        <v>183.182719793589</v>
      </c>
      <c r="K9277" s="6" t="n">
        <f aca="false">Sens!K9255</f>
        <v>197.320124937098</v>
      </c>
    </row>
    <row r="9278" customFormat="false" ht="17.15" hidden="false" customHeight="false" outlineLevel="0" collapsed="false">
      <c r="A9278" s="0" t="s">
        <v>1022</v>
      </c>
      <c r="B9278" s="0" t="s">
        <v>98</v>
      </c>
      <c r="D9278" s="6" t="n">
        <f aca="false">Q!L6-Sens!D9277</f>
        <v>59.6740205577583</v>
      </c>
      <c r="E9278" s="6" t="n">
        <f aca="false">Q!M6-Sens!E9277</f>
        <v>74.1284935338591</v>
      </c>
      <c r="F9278" s="6" t="n">
        <f aca="false">Q!$I$6+(Sens!F9277+Sens!E9278*(1+Sens!F9279))*(1-Q!$E$6/Q!M6)-Sens!F9277</f>
        <v>91.0079613500462</v>
      </c>
      <c r="G9278" s="6" t="n">
        <f aca="false">Sens!F9278*(1+Sens!G9279)</f>
        <v>107.22096189638</v>
      </c>
      <c r="H9278" s="6" t="n">
        <f aca="false">Sens!G9278*(1+Sens!H9279)</f>
        <v>122.887224810695</v>
      </c>
      <c r="I9278" s="6" t="n">
        <f aca="false">Sens!H9278*(1+Sens!I9279)</f>
        <v>136.905539227598</v>
      </c>
      <c r="J9278" s="6" t="n">
        <f aca="false">Sens!I9278*(1+Sens!J9279)</f>
        <v>148.136901915644</v>
      </c>
      <c r="K9278" s="6" t="n">
        <f aca="false">Sens!J9278*(1+Sens!K9279)</f>
        <v>155.543747011426</v>
      </c>
      <c r="L9278" s="12" t="s">
        <v>1023</v>
      </c>
    </row>
    <row r="9279" customFormat="false" ht="15" hidden="false" customHeight="false" outlineLevel="0" collapsed="false">
      <c r="A9279" s="1" t="s">
        <v>1024</v>
      </c>
      <c r="B9279" s="0" t="s">
        <v>168</v>
      </c>
      <c r="E9279" s="7" t="n">
        <f aca="false">Sens!E9278/Sens!D9278-1</f>
        <v>0.242223883039864</v>
      </c>
      <c r="F9279" s="7" t="n">
        <f aca="false">Sens!$E$9279+(glt_azo_lo-Sens!$E$9279)*MIN(1,(Sens!F9236-base_fy)/n_conv)</f>
        <v>0.210186569199887</v>
      </c>
      <c r="G9279" s="7" t="n">
        <f aca="false">Sens!$E$9279+(glt_azo_lo-Sens!$E$9279)*MIN(1,(Sens!G9236-base_fy)/n_conv)</f>
        <v>0.17814925535991</v>
      </c>
      <c r="H9279" s="7" t="n">
        <f aca="false">Sens!$E$9279+(glt_azo_lo-Sens!$E$9279)*MIN(1,(Sens!H9236-base_fy)/n_conv)</f>
        <v>0.146111941519932</v>
      </c>
      <c r="I9279" s="7" t="n">
        <f aca="false">Sens!$E$9279+(glt_azo_lo-Sens!$E$9279)*MIN(1,(Sens!I9236-base_fy)/n_conv)</f>
        <v>0.114074627679955</v>
      </c>
      <c r="J9279" s="7" t="n">
        <f aca="false">Sens!$E$9279+(glt_azo_lo-Sens!$E$9279)*MIN(1,(Sens!J9236-base_fy)/n_conv)</f>
        <v>0.0820373138399774</v>
      </c>
      <c r="K9279" s="7" t="n">
        <f aca="false">Sens!$E$9279+(glt_azo_lo-Sens!$E$9279)*MIN(1,(Sens!K9236-base_fy)/n_conv)</f>
        <v>0.05</v>
      </c>
    </row>
    <row r="9280" customFormat="false" ht="15" hidden="false" customHeight="false" outlineLevel="0" collapsed="false">
      <c r="A9280" s="0" t="s">
        <v>1025</v>
      </c>
      <c r="B9280" s="0" t="s">
        <v>98</v>
      </c>
      <c r="D9280" s="6" t="n">
        <f aca="false">Sens!D9277+Sens!D9278</f>
        <v>72.61</v>
      </c>
      <c r="E9280" s="6" t="n">
        <f aca="false">Sens!E9277+Sens!E9278</f>
        <v>101.938</v>
      </c>
      <c r="F9280" s="6" t="n">
        <f aca="false">Sens!F9277+Sens!F9278</f>
        <v>146.419792856143</v>
      </c>
      <c r="G9280" s="6" t="n">
        <f aca="false">Sens!G9277+Sens!G9278</f>
        <v>198.509071963895</v>
      </c>
      <c r="H9280" s="6" t="n">
        <f aca="false">Sens!H9277+Sens!H9278</f>
        <v>251.082498414639</v>
      </c>
      <c r="I9280" s="6" t="n">
        <f aca="false">Sens!I9277+Sens!I9278</f>
        <v>297.506821038003</v>
      </c>
      <c r="J9280" s="6" t="n">
        <f aca="false">Sens!J9277+Sens!J9278</f>
        <v>331.319621709233</v>
      </c>
      <c r="K9280" s="6" t="n">
        <f aca="false">Sens!K9277+Sens!K9278</f>
        <v>352.863871948524</v>
      </c>
    </row>
    <row r="9281" customFormat="false" ht="17.15" hidden="false" customHeight="false" outlineLevel="0" collapsed="false">
      <c r="A9281" s="0" t="s">
        <v>1026</v>
      </c>
      <c r="B9281" s="1" t="s">
        <v>610</v>
      </c>
      <c r="C9281" s="30" t="n">
        <f aca="false">cop_s24</f>
        <v>1</v>
      </c>
      <c r="D9281" s="30" t="n">
        <f aca="false">cop_s25</f>
        <v>5</v>
      </c>
      <c r="E9281" s="30" t="n">
        <f aca="false">cop_s26</f>
        <v>30</v>
      </c>
      <c r="F9281" s="30" t="n">
        <f aca="false">Sens!E9281+cop_add_B</f>
        <v>50</v>
      </c>
      <c r="G9281" s="30" t="n">
        <f aca="false">Sens!F9281+cop_add_B</f>
        <v>70</v>
      </c>
      <c r="H9281" s="30" t="n">
        <f aca="false">Sens!G9281+cop_add_B</f>
        <v>90</v>
      </c>
      <c r="I9281" s="30" t="n">
        <f aca="false">Sens!H9281+cop_add_B*cop_tail</f>
        <v>100</v>
      </c>
      <c r="J9281" s="30" t="n">
        <f aca="false">Sens!I9281+cop_add_B*cop_tail</f>
        <v>110</v>
      </c>
      <c r="K9281" s="30" t="n">
        <f aca="false">Sens!J9281+cop_add_B*cop_tail</f>
        <v>120</v>
      </c>
      <c r="L9281" s="12" t="s">
        <v>1027</v>
      </c>
    </row>
    <row r="9282" customFormat="false" ht="17.15" hidden="false" customHeight="false" outlineLevel="0" collapsed="false">
      <c r="A9282" s="0" t="s">
        <v>1028</v>
      </c>
      <c r="B9282" s="0" t="s">
        <v>98</v>
      </c>
      <c r="D9282" s="6" t="n">
        <f aca="false">(Sens!C9281+Sens!D9281)/2*cop_px*12/1000</f>
        <v>0.9</v>
      </c>
      <c r="E9282" s="6" t="n">
        <f aca="false">(Sens!D9281+Sens!E9281)/2*cop_px*12/1000</f>
        <v>5.25</v>
      </c>
      <c r="F9282" s="6" t="n">
        <f aca="false">(Sens!E9281+Sens!F9281)/2*cop_px*12/1000</f>
        <v>12</v>
      </c>
      <c r="G9282" s="6" t="n">
        <f aca="false">(Sens!F9281+Sens!G9281)/2*cop_px*12/1000</f>
        <v>18</v>
      </c>
      <c r="H9282" s="6" t="n">
        <f aca="false">(Sens!G9281+Sens!H9281)/2*cop_px*12/1000</f>
        <v>24</v>
      </c>
      <c r="I9282" s="6" t="n">
        <f aca="false">(Sens!H9281+Sens!I9281)/2*cop_px*12/1000</f>
        <v>28.5</v>
      </c>
      <c r="J9282" s="6" t="n">
        <f aca="false">(Sens!I9281+Sens!J9281)/2*cop_px*12/1000</f>
        <v>31.5</v>
      </c>
      <c r="K9282" s="6" t="n">
        <f aca="false">(Sens!J9281+Sens!K9281)/2*cop_px*12/1000</f>
        <v>34.5</v>
      </c>
      <c r="L9282" s="1" t="s">
        <v>1029</v>
      </c>
    </row>
    <row r="9283" customFormat="false" ht="17.15" hidden="false" customHeight="false" outlineLevel="0" collapsed="false">
      <c r="A9283" s="0" t="s">
        <v>1030</v>
      </c>
      <c r="B9283" s="0" t="s">
        <v>98</v>
      </c>
      <c r="D9283" s="6" t="n">
        <f aca="false">Q!L7-Sens!D9282</f>
        <v>83.705</v>
      </c>
      <c r="E9283" s="6" t="n">
        <f aca="false">Q!M7-Sens!E9282</f>
        <v>95.049</v>
      </c>
      <c r="F9283" s="6" t="n">
        <f aca="false">Q!$I$7+(Sens!E9283*(1+Sens!F9284)+Sens!F9282)*(1-Q!$E$7/Q!M7)-Sens!F9282</f>
        <v>106.584003697747</v>
      </c>
      <c r="G9283" s="6" t="n">
        <f aca="false">Sens!F9283*(1+Sens!G9284)</f>
        <v>118.700726545688</v>
      </c>
      <c r="H9283" s="6" t="n">
        <f aca="false">Sens!G9283*(1+Sens!H9284)</f>
        <v>130.898624783666</v>
      </c>
      <c r="I9283" s="6" t="n">
        <f aca="false">Sens!H9283*(1+Sens!I9284)</f>
        <v>142.920510030657</v>
      </c>
      <c r="J9283" s="6" t="n">
        <f aca="false">Sens!I9283*(1+Sens!J9284)</f>
        <v>154.485722618572</v>
      </c>
      <c r="K9283" s="6" t="n">
        <f aca="false">Sens!J9283*(1+Sens!K9284)</f>
        <v>165.299723201872</v>
      </c>
      <c r="L9283" s="12" t="s">
        <v>1031</v>
      </c>
    </row>
    <row r="9284" customFormat="false" ht="15" hidden="false" customHeight="false" outlineLevel="0" collapsed="false">
      <c r="A9284" s="1" t="s">
        <v>1024</v>
      </c>
      <c r="B9284" s="0" t="s">
        <v>168</v>
      </c>
      <c r="E9284" s="7" t="n">
        <f aca="false">Sens!E9283/Sens!D9283-1</f>
        <v>0.135523564900544</v>
      </c>
      <c r="F9284" s="7" t="n">
        <f aca="false">Sens!$E$9284+(glt_m365b-Sens!$E$9284)*MIN(1,(Sens!F9236-base_fy)/n_conv)</f>
        <v>0.124602970750453</v>
      </c>
      <c r="G9284" s="7" t="n">
        <f aca="false">Sens!$E$9284+(glt_m365b-Sens!$E$9284)*MIN(1,(Sens!G9236-base_fy)/n_conv)</f>
        <v>0.113682376600363</v>
      </c>
      <c r="H9284" s="7" t="n">
        <f aca="false">Sens!$E$9284+(glt_m365b-Sens!$E$9284)*MIN(1,(Sens!H9236-base_fy)/n_conv)</f>
        <v>0.102761782450272</v>
      </c>
      <c r="I9284" s="7" t="n">
        <f aca="false">Sens!$E$9284+(glt_m365b-Sens!$E$9284)*MIN(1,(Sens!I9236-base_fy)/n_conv)</f>
        <v>0.0918411883001813</v>
      </c>
      <c r="J9284" s="7" t="n">
        <f aca="false">Sens!$E$9284+(glt_m365b-Sens!$E$9284)*MIN(1,(Sens!J9236-base_fy)/n_conv)</f>
        <v>0.0809205941500906</v>
      </c>
      <c r="K9284" s="7" t="n">
        <f aca="false">Sens!$E$9284+(glt_m365b-Sens!$E$9284)*MIN(1,(Sens!K9236-base_fy)/n_conv)</f>
        <v>0.07</v>
      </c>
    </row>
    <row r="9285" customFormat="false" ht="15" hidden="false" customHeight="false" outlineLevel="0" collapsed="false">
      <c r="A9285" s="0" t="s">
        <v>1032</v>
      </c>
      <c r="B9285" s="0" t="s">
        <v>98</v>
      </c>
      <c r="D9285" s="6" t="n">
        <f aca="false">Sens!D9283+Sens!D9282</f>
        <v>84.605</v>
      </c>
      <c r="E9285" s="6" t="n">
        <f aca="false">Sens!E9283+Sens!E9282</f>
        <v>100.299</v>
      </c>
      <c r="F9285" s="6" t="n">
        <f aca="false">Sens!F9283+Sens!F9282</f>
        <v>118.584003697747</v>
      </c>
      <c r="G9285" s="6" t="n">
        <f aca="false">Sens!G9283+Sens!G9282</f>
        <v>136.700726545688</v>
      </c>
      <c r="H9285" s="6" t="n">
        <f aca="false">Sens!H9283+Sens!H9282</f>
        <v>154.898624783666</v>
      </c>
      <c r="I9285" s="6" t="n">
        <f aca="false">Sens!I9283+Sens!I9282</f>
        <v>171.420510030657</v>
      </c>
      <c r="J9285" s="6" t="n">
        <f aca="false">Sens!J9283+Sens!J9282</f>
        <v>185.985722618572</v>
      </c>
      <c r="K9285" s="6" t="n">
        <f aca="false">Sens!K9283+Sens!K9282</f>
        <v>199.799723201872</v>
      </c>
    </row>
    <row r="9286" customFormat="false" ht="17.15" hidden="false" customHeight="false" outlineLevel="0" collapsed="false">
      <c r="A9286" s="0" t="s">
        <v>1033</v>
      </c>
      <c r="B9286" s="0" t="s">
        <v>98</v>
      </c>
      <c r="D9286" s="6" t="n">
        <f aca="false">Q!L8</f>
        <v>35.391</v>
      </c>
      <c r="E9286" s="6" t="n">
        <f aca="false">Q!M8</f>
        <v>37.285</v>
      </c>
      <c r="F9286" s="6" t="n">
        <f aca="false">Q!$I$8+(Q!M8-Q!$E$8)*(1+Sens!F9287)</f>
        <v>38.3851437782675</v>
      </c>
      <c r="G9286" s="6" t="n">
        <f aca="false">Sens!F9286*(1+Sens!G9287)</f>
        <v>40.0105353288615</v>
      </c>
      <c r="H9286" s="6" t="n">
        <f aca="false">Sens!G9286*(1+Sens!H9287)</f>
        <v>41.4812512033683</v>
      </c>
      <c r="I9286" s="6" t="n">
        <f aca="false">Sens!H9286*(1+Sens!I9287)</f>
        <v>42.7743107216329</v>
      </c>
      <c r="J9286" s="6" t="n">
        <f aca="false">Sens!I9286*(1+Sens!J9287)</f>
        <v>43.8687373064601</v>
      </c>
      <c r="K9286" s="6" t="n">
        <f aca="false">Sens!J9286*(1+Sens!K9287)</f>
        <v>44.7461120525893</v>
      </c>
      <c r="L9286" s="12" t="s">
        <v>1034</v>
      </c>
    </row>
    <row r="9287" customFormat="false" ht="15" hidden="false" customHeight="false" outlineLevel="0" collapsed="false">
      <c r="A9287" s="1" t="s">
        <v>1024</v>
      </c>
      <c r="B9287" s="0" t="s">
        <v>168</v>
      </c>
      <c r="E9287" s="7" t="n">
        <f aca="false">Sens!E9286/Sens!D9286-1</f>
        <v>0.0535164307309768</v>
      </c>
      <c r="F9287" s="7" t="n">
        <f aca="false">Sens!$E$9287+(glt_lic-Sens!$E$9287)*MIN(1,(Sens!F9236-base_fy)/n_conv)</f>
        <v>0.0479303589424807</v>
      </c>
      <c r="G9287" s="7" t="n">
        <f aca="false">Sens!$E$9287+(glt_lic-Sens!$E$9287)*MIN(1,(Sens!G9236-base_fy)/n_conv)</f>
        <v>0.0423442871539845</v>
      </c>
      <c r="H9287" s="7" t="n">
        <f aca="false">Sens!$E$9287+(glt_lic-Sens!$E$9287)*MIN(1,(Sens!H9236-base_fy)/n_conv)</f>
        <v>0.0367582153654884</v>
      </c>
      <c r="I9287" s="7" t="n">
        <f aca="false">Sens!$E$9287+(glt_lic-Sens!$E$9287)*MIN(1,(Sens!I9236-base_fy)/n_conv)</f>
        <v>0.0311721435769923</v>
      </c>
      <c r="J9287" s="7" t="n">
        <f aca="false">Sens!$E$9287+(glt_lic-Sens!$E$9287)*MIN(1,(Sens!J9236-base_fy)/n_conv)</f>
        <v>0.0255860717884961</v>
      </c>
      <c r="K9287" s="7" t="n">
        <f aca="false">Sens!$E$9287+(glt_lic-Sens!$E$9287)*MIN(1,(Sens!K9236-base_fy)/n_conv)</f>
        <v>0.02</v>
      </c>
    </row>
    <row r="9288" customFormat="false" ht="17.15" hidden="false" customHeight="false" outlineLevel="0" collapsed="false">
      <c r="A9288" s="0" t="s">
        <v>1035</v>
      </c>
      <c r="B9288" s="0" t="s">
        <v>98</v>
      </c>
      <c r="D9288" s="6" t="n">
        <f aca="false">Q!L9</f>
        <v>18.417</v>
      </c>
      <c r="E9288" s="6" t="n">
        <f aca="false">Q!M9</f>
        <v>20.345</v>
      </c>
      <c r="F9288" s="6" t="n">
        <f aca="false">Q!$I$9+(Q!M9-Q!$E$9)*(1+Sens!F9289)</f>
        <v>22.3161797133988</v>
      </c>
      <c r="G9288" s="6" t="n">
        <f aca="false">Sens!F9288*(1+Sens!G9289)</f>
        <v>24.3943499673233</v>
      </c>
      <c r="H9288" s="6" t="n">
        <f aca="false">Sens!G9288*(1+Sens!H9289)</f>
        <v>26.5250243109019</v>
      </c>
      <c r="I9288" s="6" t="n">
        <f aca="false">Sens!H9288*(1+Sens!I9289)</f>
        <v>28.6884573538181</v>
      </c>
      <c r="J9288" s="6" t="n">
        <f aca="false">Sens!I9288*(1+Sens!J9289)</f>
        <v>30.8624968052127</v>
      </c>
      <c r="K9288" s="6" t="n">
        <f aca="false">Sens!J9288*(1+Sens!K9289)</f>
        <v>33.0228715815776</v>
      </c>
      <c r="L9288" s="12" t="s">
        <v>1034</v>
      </c>
    </row>
    <row r="9289" customFormat="false" ht="15" hidden="false" customHeight="false" outlineLevel="0" collapsed="false">
      <c r="A9289" s="1" t="s">
        <v>1024</v>
      </c>
      <c r="B9289" s="0" t="s">
        <v>168</v>
      </c>
      <c r="E9289" s="7" t="n">
        <f aca="false">Sens!E9288/Sens!D9288-1</f>
        <v>0.104685888038225</v>
      </c>
      <c r="F9289" s="7" t="n">
        <f aca="false">Sens!$E$9289+(glt_ind-Sens!$E$9289)*MIN(1,(Sens!F9236-base_fy)/n_conv)</f>
        <v>0.0989049066985211</v>
      </c>
      <c r="G9289" s="7" t="n">
        <f aca="false">Sens!$E$9289+(glt_ind-Sens!$E$9289)*MIN(1,(Sens!G9236-base_fy)/n_conv)</f>
        <v>0.0931239253588169</v>
      </c>
      <c r="H9289" s="7" t="n">
        <f aca="false">Sens!$E$9289+(glt_ind-Sens!$E$9289)*MIN(1,(Sens!H9236-base_fy)/n_conv)</f>
        <v>0.0873429440191127</v>
      </c>
      <c r="I9289" s="7" t="n">
        <f aca="false">Sens!$E$9289+(glt_ind-Sens!$E$9289)*MIN(1,(Sens!I9236-base_fy)/n_conv)</f>
        <v>0.0815619626794085</v>
      </c>
      <c r="J9289" s="7" t="n">
        <f aca="false">Sens!$E$9289+(glt_ind-Sens!$E$9289)*MIN(1,(Sens!J9236-base_fy)/n_conv)</f>
        <v>0.0757809813397042</v>
      </c>
      <c r="K9289" s="7" t="n">
        <f aca="false">Sens!$E$9289+(glt_ind-Sens!$E$9289)*MIN(1,(Sens!K9236-base_fy)/n_conv)</f>
        <v>0.07</v>
      </c>
    </row>
    <row r="9290" customFormat="false" ht="17.15" hidden="false" customHeight="false" outlineLevel="0" collapsed="false">
      <c r="A9290" s="0" t="s">
        <v>1036</v>
      </c>
      <c r="B9290" s="0" t="s">
        <v>98</v>
      </c>
      <c r="D9290" s="6" t="n">
        <f aca="false">Q!L10</f>
        <v>7.76</v>
      </c>
      <c r="E9290" s="6" t="n">
        <f aca="false">Q!M10</f>
        <v>8.26</v>
      </c>
      <c r="F9290" s="6" t="n">
        <f aca="false">Q!$I$10+(Q!M10-Q!$E$10)*(1+Sens!F9291)</f>
        <v>8.75372082474227</v>
      </c>
      <c r="G9290" s="6" t="n">
        <f aca="false">Sens!F9290*(1+Sens!G9291)</f>
        <v>9.33399324642364</v>
      </c>
      <c r="H9290" s="6" t="n">
        <f aca="false">Sens!G9290*(1+Sens!H9291)</f>
        <v>9.96139155535851</v>
      </c>
      <c r="I9290" s="6" t="n">
        <f aca="false">Sens!H9290*(1+Sens!I9291)</f>
        <v>10.6402039077391</v>
      </c>
      <c r="J9290" s="6" t="n">
        <f aca="false">Sens!I9290*(1+Sens!J9291)</f>
        <v>11.3751458271397</v>
      </c>
      <c r="K9290" s="6" t="n">
        <f aca="false">Sens!J9290*(1+Sens!K9291)</f>
        <v>12.1714060350394</v>
      </c>
      <c r="L9290" s="12" t="s">
        <v>1034</v>
      </c>
    </row>
    <row r="9291" customFormat="false" ht="15" hidden="false" customHeight="false" outlineLevel="0" collapsed="false">
      <c r="A9291" s="1" t="s">
        <v>1024</v>
      </c>
      <c r="B9291" s="0" t="s">
        <v>168</v>
      </c>
      <c r="E9291" s="7" t="n">
        <f aca="false">Sens!E9290/Sens!D9290-1</f>
        <v>0.0644329896907216</v>
      </c>
      <c r="F9291" s="7" t="n">
        <f aca="false">Sens!$E$9291+(glt_fro-Sens!$E$9291)*MIN(1,(Sens!F9236-base_fy)/n_conv)</f>
        <v>0.065360824742268</v>
      </c>
      <c r="G9291" s="7" t="n">
        <f aca="false">Sens!$E$9291+(glt_fro-Sens!$E$9291)*MIN(1,(Sens!G9236-base_fy)/n_conv)</f>
        <v>0.0662886597938144</v>
      </c>
      <c r="H9291" s="7" t="n">
        <f aca="false">Sens!$E$9291+(glt_fro-Sens!$E$9291)*MIN(1,(Sens!H9236-base_fy)/n_conv)</f>
        <v>0.0672164948453608</v>
      </c>
      <c r="I9291" s="7" t="n">
        <f aca="false">Sens!$E$9291+(glt_fro-Sens!$E$9291)*MIN(1,(Sens!I9236-base_fy)/n_conv)</f>
        <v>0.0681443298969072</v>
      </c>
      <c r="J9291" s="7" t="n">
        <f aca="false">Sens!$E$9291+(glt_fro-Sens!$E$9291)*MIN(1,(Sens!J9236-base_fy)/n_conv)</f>
        <v>0.0690721649484536</v>
      </c>
      <c r="K9291" s="7" t="n">
        <f aca="false">Sens!$E$9291+(glt_fro-Sens!$E$9291)*MIN(1,(Sens!K9236-base_fy)/n_conv)</f>
        <v>0.07</v>
      </c>
    </row>
    <row r="9292" customFormat="false" ht="15" hidden="false" customHeight="false" outlineLevel="0" collapsed="false">
      <c r="A9292" s="0" t="s">
        <v>852</v>
      </c>
      <c r="B9292" s="0" t="s">
        <v>98</v>
      </c>
      <c r="D9292" s="6" t="n">
        <f aca="false">Sens!D9280+Sens!D9285+Sens!D9286+Sens!D9288+Sens!D9290</f>
        <v>218.783</v>
      </c>
      <c r="E9292" s="6" t="n">
        <f aca="false">Sens!E9280+Sens!E9285+Sens!E9286+Sens!E9288+Sens!E9290</f>
        <v>268.127</v>
      </c>
      <c r="F9292" s="6" t="n">
        <f aca="false">Sens!F9280+Sens!F9285+Sens!F9286+Sens!F9288+Sens!F9290</f>
        <v>334.458840870298</v>
      </c>
      <c r="G9292" s="6" t="n">
        <f aca="false">Sens!G9280+Sens!G9285+Sens!G9286+Sens!G9288+Sens!G9290</f>
        <v>408.948677052192</v>
      </c>
      <c r="H9292" s="6" t="n">
        <f aca="false">Sens!H9280+Sens!H9285+Sens!H9286+Sens!H9288+Sens!H9290</f>
        <v>483.948790267933</v>
      </c>
      <c r="I9292" s="6" t="n">
        <f aca="false">Sens!I9280+Sens!I9285+Sens!I9286+Sens!I9288+Sens!I9290</f>
        <v>551.03030305185</v>
      </c>
      <c r="J9292" s="6" t="n">
        <f aca="false">Sens!J9280+Sens!J9285+Sens!J9286+Sens!J9288+Sens!J9290</f>
        <v>603.411724266617</v>
      </c>
      <c r="K9292" s="6" t="n">
        <f aca="false">Sens!K9280+Sens!K9285+Sens!K9286+Sens!K9288+Sens!K9290</f>
        <v>642.603984819602</v>
      </c>
    </row>
    <row r="9293" customFormat="false" ht="17.15" hidden="false" customHeight="false" outlineLevel="0" collapsed="false">
      <c r="A9293" s="0" t="s">
        <v>1037</v>
      </c>
      <c r="B9293" s="0" t="s">
        <v>98</v>
      </c>
      <c r="D9293" s="6" t="n">
        <f aca="false">Q!L13</f>
        <v>22.171</v>
      </c>
      <c r="E9293" s="6" t="n">
        <f aca="false">Q!M13</f>
        <v>24.835</v>
      </c>
      <c r="F9293" s="6" t="n">
        <f aca="false">Q!$I$13+(Q!M13-Q!$E$13)*(1+Sens!F9294)</f>
        <v>27.5591895660247</v>
      </c>
      <c r="G9293" s="6" t="n">
        <f aca="false">Sens!F9293*(1+Sens!G9294)</f>
        <v>30.4098563144583</v>
      </c>
      <c r="H9293" s="6" t="n">
        <f aca="false">Sens!G9293*(1+Sens!H9294)</f>
        <v>33.3011792571777</v>
      </c>
      <c r="I9293" s="6" t="n">
        <f aca="false">Sens!H9293*(1+Sens!I9294)</f>
        <v>36.189023797112</v>
      </c>
      <c r="J9293" s="6" t="n">
        <f aca="false">Sens!I9293*(1+Sens!J9294)</f>
        <v>39.0247773769199</v>
      </c>
      <c r="K9293" s="6" t="n">
        <f aca="false">Sens!J9293*(1+Sens!K9294)</f>
        <v>41.7565117933043</v>
      </c>
      <c r="L9293" s="12" t="s">
        <v>1034</v>
      </c>
    </row>
    <row r="9294" customFormat="false" ht="15" hidden="false" customHeight="false" outlineLevel="0" collapsed="false">
      <c r="A9294" s="1" t="s">
        <v>1024</v>
      </c>
      <c r="B9294" s="0" t="s">
        <v>168</v>
      </c>
      <c r="E9294" s="7" t="n">
        <f aca="false">Sens!E9293/Sens!D9293-1</f>
        <v>0.120156961796942</v>
      </c>
      <c r="F9294" s="7" t="n">
        <f aca="false">Sens!$E$9294+(glt_srch-Sens!$E$9294)*MIN(1,(Sens!F9236-base_fy)/n_conv)</f>
        <v>0.111797468164118</v>
      </c>
      <c r="G9294" s="7" t="n">
        <f aca="false">Sens!$E$9294+(glt_srch-Sens!$E$9294)*MIN(1,(Sens!G9236-base_fy)/n_conv)</f>
        <v>0.103437974531295</v>
      </c>
      <c r="H9294" s="7" t="n">
        <f aca="false">Sens!$E$9294+(glt_srch-Sens!$E$9294)*MIN(1,(Sens!H9236-base_fy)/n_conv)</f>
        <v>0.095078480898471</v>
      </c>
      <c r="I9294" s="7" t="n">
        <f aca="false">Sens!$E$9294+(glt_srch-Sens!$E$9294)*MIN(1,(Sens!I9236-base_fy)/n_conv)</f>
        <v>0.0867189872656474</v>
      </c>
      <c r="J9294" s="7" t="n">
        <f aca="false">Sens!$E$9294+(glt_srch-Sens!$E$9294)*MIN(1,(Sens!J9236-base_fy)/n_conv)</f>
        <v>0.0783594936328237</v>
      </c>
      <c r="K9294" s="7" t="n">
        <f aca="false">Sens!$E$9294+(glt_srch-Sens!$E$9294)*MIN(1,(Sens!K9236-base_fy)/n_conv)</f>
        <v>0.07</v>
      </c>
    </row>
    <row r="9295" customFormat="false" ht="17.15" hidden="false" customHeight="false" outlineLevel="0" collapsed="false">
      <c r="A9295" s="0" t="s">
        <v>1038</v>
      </c>
      <c r="B9295" s="0" t="s">
        <v>98</v>
      </c>
      <c r="D9295" s="6" t="n">
        <f aca="false">Q!L14</f>
        <v>23.455</v>
      </c>
      <c r="E9295" s="6" t="n">
        <f aca="false">Q!M14</f>
        <v>21.79</v>
      </c>
      <c r="F9295" s="6" t="n">
        <f aca="false">Q!$I$14+(Q!M14-Q!$E$14)*(1+Sens!F9296)</f>
        <v>20.7520981041711</v>
      </c>
      <c r="G9295" s="6" t="n">
        <f aca="false">Sens!F9295*(1+Sens!G9296)</f>
        <v>19.9083593495882</v>
      </c>
      <c r="H9295" s="6" t="n">
        <f aca="false">Sens!G9295*(1+Sens!H9296)</f>
        <v>19.4008256265831</v>
      </c>
      <c r="I9295" s="6" t="n">
        <f aca="false">Sens!H9295*(1+Sens!I9296)</f>
        <v>19.200434522122</v>
      </c>
      <c r="J9295" s="6" t="n">
        <f aca="false">Sens!I9295*(1+Sens!J9296)</f>
        <v>19.2932782348507</v>
      </c>
      <c r="K9295" s="6" t="n">
        <f aca="false">Sens!J9295*(1+Sens!K9296)</f>
        <v>19.6791437995477</v>
      </c>
      <c r="L9295" s="12" t="s">
        <v>1034</v>
      </c>
    </row>
    <row r="9296" customFormat="false" ht="15" hidden="false" customHeight="false" outlineLevel="0" collapsed="false">
      <c r="A9296" s="1" t="s">
        <v>1024</v>
      </c>
      <c r="B9296" s="0" t="s">
        <v>168</v>
      </c>
      <c r="E9296" s="7" t="n">
        <f aca="false">Sens!E9295/Sens!D9295-1</f>
        <v>-0.0709869963760392</v>
      </c>
      <c r="F9296" s="7" t="n">
        <f aca="false">Sens!$E$9296+(glt_xbox-Sens!$E$9296)*MIN(1,(Sens!F9236-base_fy)/n_conv)</f>
        <v>-0.0558224969800327</v>
      </c>
      <c r="G9296" s="7" t="n">
        <f aca="false">Sens!$E$9296+(glt_xbox-Sens!$E$9296)*MIN(1,(Sens!G9236-base_fy)/n_conv)</f>
        <v>-0.0406579975840262</v>
      </c>
      <c r="H9296" s="7" t="n">
        <f aca="false">Sens!$E$9296+(glt_xbox-Sens!$E$9296)*MIN(1,(Sens!H9236-base_fy)/n_conv)</f>
        <v>-0.0254934981880196</v>
      </c>
      <c r="I9296" s="7" t="n">
        <f aca="false">Sens!$E$9296+(glt_xbox-Sens!$E$9296)*MIN(1,(Sens!I9236-base_fy)/n_conv)</f>
        <v>-0.0103289987920131</v>
      </c>
      <c r="J9296" s="7" t="n">
        <f aca="false">Sens!$E$9296+(glt_xbox-Sens!$E$9296)*MIN(1,(Sens!J9236-base_fy)/n_conv)</f>
        <v>0.00483550060399347</v>
      </c>
      <c r="K9296" s="7" t="n">
        <f aca="false">Sens!$E$9296+(glt_xbox-Sens!$E$9296)*MIN(1,(Sens!K9236-base_fy)/n_conv)</f>
        <v>0.02</v>
      </c>
    </row>
    <row r="9297" customFormat="false" ht="17.15" hidden="false" customHeight="false" outlineLevel="0" collapsed="false">
      <c r="A9297" s="0" t="s">
        <v>1039</v>
      </c>
      <c r="B9297" s="0" t="s">
        <v>98</v>
      </c>
      <c r="D9297" s="6" t="n">
        <f aca="false">Q!L15</f>
        <v>17.315</v>
      </c>
      <c r="E9297" s="6" t="n">
        <f aca="false">Q!M15</f>
        <v>17.087</v>
      </c>
      <c r="F9297" s="6" t="n">
        <f aca="false">Q!$I$15+(Q!M15-Q!$E$15)*(1+Sens!F9298)</f>
        <v>15.9912273250553</v>
      </c>
      <c r="G9297" s="6" t="n">
        <f aca="false">Sens!F9297*(1+Sens!G9298)</f>
        <v>15.9574562664827</v>
      </c>
      <c r="H9297" s="6" t="n">
        <f aca="false">Sens!G9297*(1+Sens!H9298)</f>
        <v>16.0119687434196</v>
      </c>
      <c r="I9297" s="6" t="n">
        <f aca="false">Sens!H9297*(1+Sens!I9298)</f>
        <v>16.1551810001948</v>
      </c>
      <c r="J9297" s="6" t="n">
        <f aca="false">Sens!I9297*(1+Sens!J9298)</f>
        <v>16.3889793892005</v>
      </c>
      <c r="K9297" s="6" t="n">
        <f aca="false">Sens!J9297*(1+Sens!K9298)</f>
        <v>16.7167589769845</v>
      </c>
      <c r="L9297" s="12" t="s">
        <v>1034</v>
      </c>
    </row>
    <row r="9298" customFormat="false" ht="15" hidden="false" customHeight="false" outlineLevel="0" collapsed="false">
      <c r="A9298" s="1" t="s">
        <v>1024</v>
      </c>
      <c r="B9298" s="0" t="s">
        <v>168</v>
      </c>
      <c r="E9298" s="7" t="n">
        <f aca="false">Sens!E9297/Sens!D9297-1</f>
        <v>-0.0131677736066995</v>
      </c>
      <c r="F9298" s="7" t="n">
        <f aca="false">Sens!$E$9298+(glt_win-Sens!$E$9298)*MIN(1,(Sens!F9236-base_fy)/n_conv)</f>
        <v>-0.00763981133891627</v>
      </c>
      <c r="G9298" s="7" t="n">
        <f aca="false">Sens!$E$9298+(glt_win-Sens!$E$9298)*MIN(1,(Sens!G9236-base_fy)/n_conv)</f>
        <v>-0.00211184907113301</v>
      </c>
      <c r="H9298" s="7" t="n">
        <f aca="false">Sens!$E$9298+(glt_win-Sens!$E$9298)*MIN(1,(Sens!H9236-base_fy)/n_conv)</f>
        <v>0.00341611319665024</v>
      </c>
      <c r="I9298" s="7" t="n">
        <f aca="false">Sens!$E$9298+(glt_win-Sens!$E$9298)*MIN(1,(Sens!I9236-base_fy)/n_conv)</f>
        <v>0.00894407546443349</v>
      </c>
      <c r="J9298" s="7" t="n">
        <f aca="false">Sens!$E$9298+(glt_win-Sens!$E$9298)*MIN(1,(Sens!J9236-base_fy)/n_conv)</f>
        <v>0.0144720377322168</v>
      </c>
      <c r="K9298" s="7" t="n">
        <f aca="false">Sens!$E$9298+(glt_win-Sens!$E$9298)*MIN(1,(Sens!K9236-base_fy)/n_conv)</f>
        <v>0.02</v>
      </c>
    </row>
    <row r="9299" customFormat="false" ht="15" hidden="false" customHeight="false" outlineLevel="0" collapsed="false">
      <c r="A9299" s="0" t="s">
        <v>866</v>
      </c>
      <c r="B9299" s="0" t="s">
        <v>98</v>
      </c>
      <c r="D9299" s="6" t="n">
        <f aca="false">Sens!D9293+Sens!D9295+Sens!D9297</f>
        <v>62.941</v>
      </c>
      <c r="E9299" s="6" t="n">
        <f aca="false">Sens!E9293+Sens!E9295+Sens!E9297</f>
        <v>63.712</v>
      </c>
      <c r="F9299" s="6" t="n">
        <f aca="false">Sens!F9293+Sens!F9295+Sens!F9297</f>
        <v>64.3025149952511</v>
      </c>
      <c r="G9299" s="6" t="n">
        <f aca="false">Sens!G9293+Sens!G9295+Sens!G9297</f>
        <v>66.2756719305292</v>
      </c>
      <c r="H9299" s="6" t="n">
        <f aca="false">Sens!H9293+Sens!H9295+Sens!H9297</f>
        <v>68.7139736271804</v>
      </c>
      <c r="I9299" s="6" t="n">
        <f aca="false">Sens!I9293+Sens!I9295+Sens!I9297</f>
        <v>71.5446393194289</v>
      </c>
      <c r="J9299" s="6" t="n">
        <f aca="false">Sens!J9293+Sens!J9295+Sens!J9297</f>
        <v>74.707035000971</v>
      </c>
      <c r="K9299" s="6" t="n">
        <f aca="false">Sens!K9293+Sens!K9295+Sens!K9297</f>
        <v>78.1524145698365</v>
      </c>
    </row>
    <row r="9300" customFormat="false" ht="15" hidden="false" customHeight="false" outlineLevel="0" collapsed="false">
      <c r="A9300" s="1" t="s">
        <v>1040</v>
      </c>
      <c r="B9300" s="0" t="s">
        <v>98</v>
      </c>
      <c r="D9300" s="6" t="n">
        <f aca="false">Sens!D9292+Sens!D9299</f>
        <v>281.724</v>
      </c>
      <c r="E9300" s="6" t="n">
        <f aca="false">Sens!E9292+Sens!E9299</f>
        <v>331.839</v>
      </c>
      <c r="F9300" s="6" t="n">
        <f aca="false">Sens!F9292+Sens!F9299</f>
        <v>398.761355865549</v>
      </c>
      <c r="G9300" s="6" t="n">
        <f aca="false">Sens!G9292+Sens!G9299</f>
        <v>475.224348982721</v>
      </c>
      <c r="H9300" s="6" t="n">
        <f aca="false">Sens!H9292+Sens!H9299</f>
        <v>552.662763895114</v>
      </c>
      <c r="I9300" s="6" t="n">
        <f aca="false">Sens!I9292+Sens!I9299</f>
        <v>622.574942371279</v>
      </c>
      <c r="J9300" s="6" t="n">
        <f aca="false">Sens!J9292+Sens!J9299</f>
        <v>678.118759267588</v>
      </c>
      <c r="K9300" s="6" t="n">
        <f aca="false">Sens!K9292+Sens!K9299</f>
        <v>720.756399389439</v>
      </c>
    </row>
    <row r="9301" customFormat="false" ht="15" hidden="false" customHeight="false" outlineLevel="0" collapsed="false">
      <c r="A9301" s="26" t="s">
        <v>1041</v>
      </c>
      <c r="B9301" s="31" t="s">
        <v>98</v>
      </c>
      <c r="C9301" s="31"/>
      <c r="D9301" s="27" t="n">
        <f aca="false">(Sens!D9280+Sens!D9285+Sens!D9286+Sens!D9288+Sens!D9290-Sens!D9292)+(Sens!D9293+Sens!D9295+Sens!D9297-Sens!D9299)+(Sens!D9292-Q!L5)+(Sens!D9299-Q!L12)+(Sens!D9280-Q!L6)+(Sens!D9285-Q!L7)</f>
        <v>0</v>
      </c>
      <c r="E9301" s="27" t="n">
        <f aca="false">(Sens!E9280+Sens!E9285+Sens!E9286+Sens!E9288+Sens!E9290-Sens!E9292)+(Sens!E9293+Sens!E9295+Sens!E9297-Sens!E9299)+(Sens!E9292-Q!M5)+(Sens!E9299-Q!M12)+(Sens!E9280-Q!M6)+(Sens!E9285-Q!M7)</f>
        <v>0</v>
      </c>
      <c r="F9301" s="27" t="n">
        <f aca="false">(Sens!F9280+Sens!F9285+Sens!F9286+Sens!F9288+Sens!F9290-Sens!F9292)+(Sens!F9293+Sens!F9295+Sens!F9297-Sens!F9299)</f>
        <v>0</v>
      </c>
      <c r="G9301" s="27" t="n">
        <f aca="false">(Sens!G9280+Sens!G9285+Sens!G9286+Sens!G9288+Sens!G9290-Sens!G9292)+(Sens!G9293+Sens!G9295+Sens!G9297-Sens!G9299)</f>
        <v>0</v>
      </c>
      <c r="H9301" s="27" t="n">
        <f aca="false">(Sens!H9280+Sens!H9285+Sens!H9286+Sens!H9288+Sens!H9290-Sens!H9292)+(Sens!H9293+Sens!H9295+Sens!H9297-Sens!H9299)</f>
        <v>0</v>
      </c>
      <c r="I9301" s="27" t="n">
        <f aca="false">(Sens!I9280+Sens!I9285+Sens!I9286+Sens!I9288+Sens!I9290-Sens!I9292)+(Sens!I9293+Sens!I9295+Sens!I9297-Sens!I9299)</f>
        <v>0</v>
      </c>
      <c r="J9301" s="27" t="n">
        <f aca="false">(Sens!J9280+Sens!J9285+Sens!J9286+Sens!J9288+Sens!J9290-Sens!J9292)+(Sens!J9293+Sens!J9295+Sens!J9297-Sens!J9299)</f>
        <v>0</v>
      </c>
      <c r="K9301" s="27" t="n">
        <f aca="false">(Sens!K9280+Sens!K9285+Sens!K9286+Sens!K9288+Sens!K9290-Sens!K9292)+(Sens!K9293+Sens!K9295+Sens!K9297-Sens!K9299)</f>
        <v>0</v>
      </c>
    </row>
    <row r="9302" customFormat="false" ht="17.15" hidden="false" customHeight="false" outlineLevel="0" collapsed="false">
      <c r="A9302" s="3" t="s">
        <v>1712</v>
      </c>
    </row>
    <row r="9303" customFormat="false" ht="15" hidden="false" customHeight="false" outlineLevel="0" collapsed="false">
      <c r="A9303" s="4" t="s">
        <v>43</v>
      </c>
      <c r="B9303" s="4" t="s">
        <v>65</v>
      </c>
      <c r="C9303" s="23" t="s">
        <v>938</v>
      </c>
      <c r="D9303" s="23" t="s">
        <v>939</v>
      </c>
      <c r="E9303" s="23" t="s">
        <v>940</v>
      </c>
      <c r="F9303" s="23" t="s">
        <v>941</v>
      </c>
      <c r="G9303" s="23" t="s">
        <v>942</v>
      </c>
      <c r="H9303" s="23" t="s">
        <v>943</v>
      </c>
      <c r="I9303" s="23" t="s">
        <v>944</v>
      </c>
      <c r="J9303" s="23" t="s">
        <v>945</v>
      </c>
      <c r="K9303" s="23" t="s">
        <v>946</v>
      </c>
      <c r="L9303" s="4" t="s">
        <v>47</v>
      </c>
    </row>
    <row r="9304" customFormat="false" ht="15" hidden="false" customHeight="false" outlineLevel="0" collapsed="false">
      <c r="A9304" s="0" t="s">
        <v>1025</v>
      </c>
      <c r="B9304" s="0" t="s">
        <v>98</v>
      </c>
      <c r="D9304" s="6" t="n">
        <f aca="false">Sens!D9280</f>
        <v>72.61</v>
      </c>
      <c r="E9304" s="6" t="n">
        <f aca="false">Sens!E9280</f>
        <v>101.938</v>
      </c>
      <c r="F9304" s="6" t="n">
        <f aca="false">Sens!F9280</f>
        <v>146.419792856143</v>
      </c>
      <c r="G9304" s="6" t="n">
        <f aca="false">Sens!G9280</f>
        <v>198.509071963895</v>
      </c>
      <c r="H9304" s="6" t="n">
        <f aca="false">Sens!H9280</f>
        <v>251.082498414639</v>
      </c>
      <c r="I9304" s="6" t="n">
        <f aca="false">Sens!I9280</f>
        <v>297.506821038003</v>
      </c>
      <c r="J9304" s="6" t="n">
        <f aca="false">Sens!J9280</f>
        <v>331.319621709233</v>
      </c>
      <c r="K9304" s="6" t="n">
        <f aca="false">Sens!K9280</f>
        <v>352.863871948524</v>
      </c>
    </row>
    <row r="9305" customFormat="false" ht="17.15" hidden="false" customHeight="false" outlineLevel="0" collapsed="false">
      <c r="A9305" s="0" t="s">
        <v>1021</v>
      </c>
      <c r="B9305" s="0" t="s">
        <v>98</v>
      </c>
      <c r="D9305" s="6" t="n">
        <f aca="false">Sens!D9277</f>
        <v>12.9359794422418</v>
      </c>
      <c r="E9305" s="6" t="n">
        <f aca="false">Sens!E9277</f>
        <v>27.8095064661409</v>
      </c>
      <c r="F9305" s="6" t="n">
        <f aca="false">Sens!F9277</f>
        <v>55.4118315060966</v>
      </c>
      <c r="G9305" s="6" t="n">
        <f aca="false">Sens!G9277</f>
        <v>91.2881100675143</v>
      </c>
      <c r="H9305" s="6" t="n">
        <f aca="false">Sens!H9277</f>
        <v>128.195273603944</v>
      </c>
      <c r="I9305" s="6" t="n">
        <f aca="false">Sens!I9277</f>
        <v>160.601281810405</v>
      </c>
      <c r="J9305" s="6" t="n">
        <f aca="false">Sens!J9277</f>
        <v>183.182719793589</v>
      </c>
      <c r="K9305" s="6" t="n">
        <f aca="false">Sens!K9277</f>
        <v>197.320124937098</v>
      </c>
    </row>
    <row r="9306" customFormat="false" ht="17.15" hidden="false" customHeight="false" outlineLevel="0" collapsed="false">
      <c r="A9306" s="0" t="s">
        <v>1052</v>
      </c>
      <c r="B9306" s="0" t="s">
        <v>98</v>
      </c>
      <c r="D9306" s="6" t="n">
        <f aca="false">Sens!D9278</f>
        <v>59.6740205577583</v>
      </c>
      <c r="E9306" s="6" t="n">
        <f aca="false">Sens!E9278</f>
        <v>74.1284935338591</v>
      </c>
      <c r="F9306" s="6" t="n">
        <f aca="false">Sens!F9278</f>
        <v>91.0079613500462</v>
      </c>
      <c r="G9306" s="6" t="n">
        <f aca="false">Sens!G9278</f>
        <v>107.22096189638</v>
      </c>
      <c r="H9306" s="6" t="n">
        <f aca="false">Sens!H9278</f>
        <v>122.887224810695</v>
      </c>
      <c r="I9306" s="6" t="n">
        <f aca="false">Sens!I9278</f>
        <v>136.905539227598</v>
      </c>
      <c r="J9306" s="6" t="n">
        <f aca="false">Sens!J9278</f>
        <v>148.136901915644</v>
      </c>
      <c r="K9306" s="6" t="n">
        <f aca="false">Sens!K9278</f>
        <v>155.543747011426</v>
      </c>
    </row>
    <row r="9307" customFormat="false" ht="15" hidden="false" customHeight="false" outlineLevel="0" collapsed="false">
      <c r="A9307" s="0" t="s">
        <v>1032</v>
      </c>
      <c r="B9307" s="0" t="s">
        <v>98</v>
      </c>
      <c r="D9307" s="6" t="n">
        <f aca="false">Sens!D9285</f>
        <v>84.605</v>
      </c>
      <c r="E9307" s="6" t="n">
        <f aca="false">Sens!E9285</f>
        <v>100.299</v>
      </c>
      <c r="F9307" s="6" t="n">
        <f aca="false">Sens!F9285</f>
        <v>118.584003697747</v>
      </c>
      <c r="G9307" s="6" t="n">
        <f aca="false">Sens!G9285</f>
        <v>136.700726545688</v>
      </c>
      <c r="H9307" s="6" t="n">
        <f aca="false">Sens!H9285</f>
        <v>154.898624783666</v>
      </c>
      <c r="I9307" s="6" t="n">
        <f aca="false">Sens!I9285</f>
        <v>171.420510030657</v>
      </c>
      <c r="J9307" s="6" t="n">
        <f aca="false">Sens!J9285</f>
        <v>185.985722618572</v>
      </c>
      <c r="K9307" s="6" t="n">
        <f aca="false">Sens!K9285</f>
        <v>199.799723201872</v>
      </c>
    </row>
    <row r="9308" customFormat="false" ht="17.15" hidden="false" customHeight="false" outlineLevel="0" collapsed="false">
      <c r="A9308" s="0" t="s">
        <v>1053</v>
      </c>
      <c r="B9308" s="0" t="s">
        <v>98</v>
      </c>
      <c r="D9308" s="6" t="n">
        <f aca="false">Sens!D9283</f>
        <v>83.705</v>
      </c>
      <c r="E9308" s="6" t="n">
        <f aca="false">Sens!E9283</f>
        <v>95.049</v>
      </c>
      <c r="F9308" s="6" t="n">
        <f aca="false">Sens!F9283</f>
        <v>106.584003697747</v>
      </c>
      <c r="G9308" s="6" t="n">
        <f aca="false">Sens!G9283</f>
        <v>118.700726545688</v>
      </c>
      <c r="H9308" s="6" t="n">
        <f aca="false">Sens!H9283</f>
        <v>130.898624783666</v>
      </c>
      <c r="I9308" s="6" t="n">
        <f aca="false">Sens!I9283</f>
        <v>142.920510030657</v>
      </c>
      <c r="J9308" s="6" t="n">
        <f aca="false">Sens!J9283</f>
        <v>154.485722618572</v>
      </c>
      <c r="K9308" s="6" t="n">
        <f aca="false">Sens!K9283</f>
        <v>165.299723201872</v>
      </c>
    </row>
    <row r="9309" customFormat="false" ht="17.15" hidden="false" customHeight="false" outlineLevel="0" collapsed="false">
      <c r="A9309" s="0" t="s">
        <v>1054</v>
      </c>
      <c r="B9309" s="0" t="s">
        <v>98</v>
      </c>
      <c r="D9309" s="6" t="n">
        <f aca="false">Sens!D9282</f>
        <v>0.9</v>
      </c>
      <c r="E9309" s="6" t="n">
        <f aca="false">Sens!E9282</f>
        <v>5.25</v>
      </c>
      <c r="F9309" s="6" t="n">
        <f aca="false">Sens!F9282</f>
        <v>12</v>
      </c>
      <c r="G9309" s="6" t="n">
        <f aca="false">Sens!G9282</f>
        <v>18</v>
      </c>
      <c r="H9309" s="6" t="n">
        <f aca="false">Sens!H9282</f>
        <v>24</v>
      </c>
      <c r="I9309" s="6" t="n">
        <f aca="false">Sens!I9282</f>
        <v>28.5</v>
      </c>
      <c r="J9309" s="6" t="n">
        <f aca="false">Sens!J9282</f>
        <v>31.5</v>
      </c>
      <c r="K9309" s="6" t="n">
        <f aca="false">Sens!K9282</f>
        <v>34.5</v>
      </c>
    </row>
    <row r="9310" customFormat="false" ht="15" hidden="false" customHeight="false" outlineLevel="0" collapsed="false">
      <c r="A9310" s="0" t="s">
        <v>1033</v>
      </c>
      <c r="B9310" s="0" t="s">
        <v>98</v>
      </c>
      <c r="D9310" s="6" t="n">
        <f aca="false">Sens!D9286</f>
        <v>35.391</v>
      </c>
      <c r="E9310" s="6" t="n">
        <f aca="false">Sens!E9286</f>
        <v>37.285</v>
      </c>
      <c r="F9310" s="6" t="n">
        <f aca="false">Sens!F9286</f>
        <v>38.3851437782675</v>
      </c>
      <c r="G9310" s="6" t="n">
        <f aca="false">Sens!G9286</f>
        <v>40.0105353288615</v>
      </c>
      <c r="H9310" s="6" t="n">
        <f aca="false">Sens!H9286</f>
        <v>41.4812512033683</v>
      </c>
      <c r="I9310" s="6" t="n">
        <f aca="false">Sens!I9286</f>
        <v>42.7743107216329</v>
      </c>
      <c r="J9310" s="6" t="n">
        <f aca="false">Sens!J9286</f>
        <v>43.8687373064601</v>
      </c>
      <c r="K9310" s="6" t="n">
        <f aca="false">Sens!K9286</f>
        <v>44.7461120525893</v>
      </c>
    </row>
    <row r="9311" customFormat="false" ht="15" hidden="false" customHeight="false" outlineLevel="0" collapsed="false">
      <c r="A9311" s="0" t="s">
        <v>1035</v>
      </c>
      <c r="B9311" s="0" t="s">
        <v>98</v>
      </c>
      <c r="D9311" s="6" t="n">
        <f aca="false">Sens!D9288</f>
        <v>18.417</v>
      </c>
      <c r="E9311" s="6" t="n">
        <f aca="false">Sens!E9288</f>
        <v>20.345</v>
      </c>
      <c r="F9311" s="6" t="n">
        <f aca="false">Sens!F9288</f>
        <v>22.3161797133988</v>
      </c>
      <c r="G9311" s="6" t="n">
        <f aca="false">Sens!G9288</f>
        <v>24.3943499673233</v>
      </c>
      <c r="H9311" s="6" t="n">
        <f aca="false">Sens!H9288</f>
        <v>26.5250243109019</v>
      </c>
      <c r="I9311" s="6" t="n">
        <f aca="false">Sens!I9288</f>
        <v>28.6884573538181</v>
      </c>
      <c r="J9311" s="6" t="n">
        <f aca="false">Sens!J9288</f>
        <v>30.8624968052127</v>
      </c>
      <c r="K9311" s="6" t="n">
        <f aca="false">Sens!K9288</f>
        <v>33.0228715815776</v>
      </c>
    </row>
    <row r="9312" customFormat="false" ht="15" hidden="false" customHeight="false" outlineLevel="0" collapsed="false">
      <c r="A9312" s="0" t="s">
        <v>1036</v>
      </c>
      <c r="B9312" s="0" t="s">
        <v>98</v>
      </c>
      <c r="D9312" s="6" t="n">
        <f aca="false">Sens!D9290</f>
        <v>7.76</v>
      </c>
      <c r="E9312" s="6" t="n">
        <f aca="false">Sens!E9290</f>
        <v>8.26</v>
      </c>
      <c r="F9312" s="6" t="n">
        <f aca="false">Sens!F9290</f>
        <v>8.75372082474227</v>
      </c>
      <c r="G9312" s="6" t="n">
        <f aca="false">Sens!G9290</f>
        <v>9.33399324642364</v>
      </c>
      <c r="H9312" s="6" t="n">
        <f aca="false">Sens!H9290</f>
        <v>9.96139155535851</v>
      </c>
      <c r="I9312" s="6" t="n">
        <f aca="false">Sens!I9290</f>
        <v>10.6402039077391</v>
      </c>
      <c r="J9312" s="6" t="n">
        <f aca="false">Sens!J9290</f>
        <v>11.3751458271397</v>
      </c>
      <c r="K9312" s="6" t="n">
        <f aca="false">Sens!K9290</f>
        <v>12.1714060350394</v>
      </c>
    </row>
    <row r="9313" customFormat="false" ht="15" hidden="false" customHeight="false" outlineLevel="0" collapsed="false">
      <c r="A9313" s="0" t="s">
        <v>852</v>
      </c>
      <c r="B9313" s="0" t="s">
        <v>98</v>
      </c>
      <c r="D9313" s="6" t="n">
        <f aca="false">Sens!D9292</f>
        <v>218.783</v>
      </c>
      <c r="E9313" s="6" t="n">
        <f aca="false">Sens!E9292</f>
        <v>268.127</v>
      </c>
      <c r="F9313" s="6" t="n">
        <f aca="false">Sens!F9292</f>
        <v>334.458840870298</v>
      </c>
      <c r="G9313" s="6" t="n">
        <f aca="false">Sens!G9292</f>
        <v>408.948677052192</v>
      </c>
      <c r="H9313" s="6" t="n">
        <f aca="false">Sens!H9292</f>
        <v>483.948790267933</v>
      </c>
      <c r="I9313" s="6" t="n">
        <f aca="false">Sens!I9292</f>
        <v>551.03030305185</v>
      </c>
      <c r="J9313" s="6" t="n">
        <f aca="false">Sens!J9292</f>
        <v>603.411724266617</v>
      </c>
      <c r="K9313" s="6" t="n">
        <f aca="false">Sens!K9292</f>
        <v>642.603984819602</v>
      </c>
    </row>
    <row r="9314" customFormat="false" ht="15" hidden="false" customHeight="false" outlineLevel="0" collapsed="false">
      <c r="A9314" s="0" t="s">
        <v>1037</v>
      </c>
      <c r="B9314" s="0" t="s">
        <v>98</v>
      </c>
      <c r="D9314" s="6" t="n">
        <f aca="false">Sens!D9293</f>
        <v>22.171</v>
      </c>
      <c r="E9314" s="6" t="n">
        <f aca="false">Sens!E9293</f>
        <v>24.835</v>
      </c>
      <c r="F9314" s="6" t="n">
        <f aca="false">Sens!F9293</f>
        <v>27.5591895660247</v>
      </c>
      <c r="G9314" s="6" t="n">
        <f aca="false">Sens!G9293</f>
        <v>30.4098563144583</v>
      </c>
      <c r="H9314" s="6" t="n">
        <f aca="false">Sens!H9293</f>
        <v>33.3011792571777</v>
      </c>
      <c r="I9314" s="6" t="n">
        <f aca="false">Sens!I9293</f>
        <v>36.189023797112</v>
      </c>
      <c r="J9314" s="6" t="n">
        <f aca="false">Sens!J9293</f>
        <v>39.0247773769199</v>
      </c>
      <c r="K9314" s="6" t="n">
        <f aca="false">Sens!K9293</f>
        <v>41.7565117933043</v>
      </c>
    </row>
    <row r="9315" customFormat="false" ht="15" hidden="false" customHeight="false" outlineLevel="0" collapsed="false">
      <c r="A9315" s="0" t="s">
        <v>1038</v>
      </c>
      <c r="B9315" s="0" t="s">
        <v>98</v>
      </c>
      <c r="D9315" s="6" t="n">
        <f aca="false">Sens!D9295</f>
        <v>23.455</v>
      </c>
      <c r="E9315" s="6" t="n">
        <f aca="false">Sens!E9295</f>
        <v>21.79</v>
      </c>
      <c r="F9315" s="6" t="n">
        <f aca="false">Sens!F9295</f>
        <v>20.7520981041711</v>
      </c>
      <c r="G9315" s="6" t="n">
        <f aca="false">Sens!G9295</f>
        <v>19.9083593495882</v>
      </c>
      <c r="H9315" s="6" t="n">
        <f aca="false">Sens!H9295</f>
        <v>19.4008256265831</v>
      </c>
      <c r="I9315" s="6" t="n">
        <f aca="false">Sens!I9295</f>
        <v>19.200434522122</v>
      </c>
      <c r="J9315" s="6" t="n">
        <f aca="false">Sens!J9295</f>
        <v>19.2932782348507</v>
      </c>
      <c r="K9315" s="6" t="n">
        <f aca="false">Sens!K9295</f>
        <v>19.6791437995477</v>
      </c>
    </row>
    <row r="9316" customFormat="false" ht="15" hidden="false" customHeight="false" outlineLevel="0" collapsed="false">
      <c r="A9316" s="0" t="s">
        <v>1039</v>
      </c>
      <c r="B9316" s="0" t="s">
        <v>98</v>
      </c>
      <c r="D9316" s="6" t="n">
        <f aca="false">Sens!D9297</f>
        <v>17.315</v>
      </c>
      <c r="E9316" s="6" t="n">
        <f aca="false">Sens!E9297</f>
        <v>17.087</v>
      </c>
      <c r="F9316" s="6" t="n">
        <f aca="false">Sens!F9297</f>
        <v>15.9912273250553</v>
      </c>
      <c r="G9316" s="6" t="n">
        <f aca="false">Sens!G9297</f>
        <v>15.9574562664827</v>
      </c>
      <c r="H9316" s="6" t="n">
        <f aca="false">Sens!H9297</f>
        <v>16.0119687434196</v>
      </c>
      <c r="I9316" s="6" t="n">
        <f aca="false">Sens!I9297</f>
        <v>16.1551810001948</v>
      </c>
      <c r="J9316" s="6" t="n">
        <f aca="false">Sens!J9297</f>
        <v>16.3889793892005</v>
      </c>
      <c r="K9316" s="6" t="n">
        <f aca="false">Sens!K9297</f>
        <v>16.7167589769845</v>
      </c>
    </row>
    <row r="9317" customFormat="false" ht="15" hidden="false" customHeight="false" outlineLevel="0" collapsed="false">
      <c r="A9317" s="0" t="s">
        <v>866</v>
      </c>
      <c r="B9317" s="0" t="s">
        <v>98</v>
      </c>
      <c r="D9317" s="6" t="n">
        <f aca="false">Sens!D9299</f>
        <v>62.941</v>
      </c>
      <c r="E9317" s="6" t="n">
        <f aca="false">Sens!E9299</f>
        <v>63.712</v>
      </c>
      <c r="F9317" s="6" t="n">
        <f aca="false">Sens!F9299</f>
        <v>64.3025149952511</v>
      </c>
      <c r="G9317" s="6" t="n">
        <f aca="false">Sens!G9299</f>
        <v>66.2756719305292</v>
      </c>
      <c r="H9317" s="6" t="n">
        <f aca="false">Sens!H9299</f>
        <v>68.7139736271804</v>
      </c>
      <c r="I9317" s="6" t="n">
        <f aca="false">Sens!I9299</f>
        <v>71.5446393194289</v>
      </c>
      <c r="J9317" s="6" t="n">
        <f aca="false">Sens!J9299</f>
        <v>74.707035000971</v>
      </c>
      <c r="K9317" s="6" t="n">
        <f aca="false">Sens!K9299</f>
        <v>78.1524145698365</v>
      </c>
    </row>
    <row r="9318" customFormat="false" ht="15" hidden="false" customHeight="false" outlineLevel="0" collapsed="false">
      <c r="A9318" s="1" t="s">
        <v>1055</v>
      </c>
      <c r="B9318" s="0" t="s">
        <v>98</v>
      </c>
      <c r="D9318" s="6" t="n">
        <f aca="false">Sens!D9300</f>
        <v>281.724</v>
      </c>
      <c r="E9318" s="6" t="n">
        <f aca="false">Sens!E9300</f>
        <v>331.839</v>
      </c>
      <c r="F9318" s="6" t="n">
        <f aca="false">Sens!F9300</f>
        <v>398.761355865549</v>
      </c>
      <c r="G9318" s="6" t="n">
        <f aca="false">Sens!G9300</f>
        <v>475.224348982721</v>
      </c>
      <c r="H9318" s="6" t="n">
        <f aca="false">Sens!H9300</f>
        <v>552.662763895114</v>
      </c>
      <c r="I9318" s="6" t="n">
        <f aca="false">Sens!I9300</f>
        <v>622.574942371279</v>
      </c>
      <c r="J9318" s="6" t="n">
        <f aca="false">Sens!J9300</f>
        <v>678.118759267588</v>
      </c>
      <c r="K9318" s="6" t="n">
        <f aca="false">Sens!K9300</f>
        <v>720.756399389439</v>
      </c>
    </row>
    <row r="9319" customFormat="false" ht="15" hidden="false" customHeight="false" outlineLevel="0" collapsed="false">
      <c r="A9319" s="1" t="s">
        <v>1056</v>
      </c>
      <c r="B9319" s="0" t="s">
        <v>168</v>
      </c>
      <c r="E9319" s="7" t="n">
        <f aca="false">Sens!E9318/Sens!D9318-1</f>
        <v>0.177886867998467</v>
      </c>
      <c r="F9319" s="7" t="n">
        <f aca="false">Sens!F9318/Sens!E9318-1</f>
        <v>0.201671159404258</v>
      </c>
      <c r="G9319" s="7" t="n">
        <f aca="false">Sens!G9318/Sens!F9318-1</f>
        <v>0.191751261731973</v>
      </c>
      <c r="H9319" s="7" t="n">
        <f aca="false">Sens!H9318/Sens!G9318-1</f>
        <v>0.162951277808386</v>
      </c>
      <c r="I9319" s="7" t="n">
        <f aca="false">Sens!I9318/Sens!H9318-1</f>
        <v>0.126500613110663</v>
      </c>
      <c r="J9319" s="7" t="n">
        <f aca="false">Sens!J9318/Sens!I9318-1</f>
        <v>0.0892162744050584</v>
      </c>
      <c r="K9319" s="7" t="n">
        <f aca="false">Sens!K9318/Sens!J9318-1</f>
        <v>0.0628763613145014</v>
      </c>
    </row>
    <row r="9320" customFormat="false" ht="17.15" hidden="false" customHeight="false" outlineLevel="0" collapsed="false">
      <c r="A9320" s="26" t="s">
        <v>1057</v>
      </c>
      <c r="B9320" s="31" t="s">
        <v>98</v>
      </c>
      <c r="C9320" s="31"/>
      <c r="D9320" s="27" t="n">
        <f aca="false">(Sens!D9313+Sens!D9317-Sens!D9318)+(Sens!D9305+Sens!D9306-Sens!D9304)+(Sens!D9308+Sens!D9309-Sens!D9307)+(Sens!D9318-Q!L18)</f>
        <v>0</v>
      </c>
      <c r="E9320" s="27" t="n">
        <f aca="false">(Sens!E9313+Sens!E9317-Sens!E9318)+(Sens!E9305+Sens!E9306-Sens!E9304)+(Sens!E9308+Sens!E9309-Sens!E9307)+(Sens!E9318-Q!M18)</f>
        <v>0</v>
      </c>
      <c r="F9320" s="27" t="n">
        <f aca="false">(Sens!F9313+Sens!F9317-Sens!F9318)+(Sens!F9305+Sens!F9306-Sens!F9304)+(Sens!F9308+Sens!F9309-Sens!F9307)</f>
        <v>0</v>
      </c>
      <c r="G9320" s="27" t="n">
        <f aca="false">(Sens!G9313+Sens!G9317-Sens!G9318)+(Sens!G9305+Sens!G9306-Sens!G9304)+(Sens!G9308+Sens!G9309-Sens!G9307)</f>
        <v>0</v>
      </c>
      <c r="H9320" s="27" t="n">
        <f aca="false">(Sens!H9313+Sens!H9317-Sens!H9318)+(Sens!H9305+Sens!H9306-Sens!H9304)+(Sens!H9308+Sens!H9309-Sens!H9307)</f>
        <v>0</v>
      </c>
      <c r="I9320" s="27" t="n">
        <f aca="false">(Sens!I9313+Sens!I9317-Sens!I9318)+(Sens!I9305+Sens!I9306-Sens!I9304)+(Sens!I9308+Sens!I9309-Sens!I9307)</f>
        <v>0</v>
      </c>
      <c r="J9320" s="27" t="n">
        <f aca="false">(Sens!J9313+Sens!J9317-Sens!J9318)+(Sens!J9305+Sens!J9306-Sens!J9304)+(Sens!J9308+Sens!J9309-Sens!J9307)</f>
        <v>0</v>
      </c>
      <c r="K9320" s="27" t="n">
        <f aca="false">(Sens!K9313+Sens!K9317-Sens!K9318)+(Sens!K9305+Sens!K9306-Sens!K9304)+(Sens!K9308+Sens!K9309-Sens!K9307)</f>
        <v>0</v>
      </c>
    </row>
    <row r="9321" customFormat="false" ht="17.15" hidden="false" customHeight="false" outlineLevel="0" collapsed="false">
      <c r="A9321" s="0" t="s">
        <v>1058</v>
      </c>
      <c r="B9321" s="0" t="s">
        <v>168</v>
      </c>
      <c r="E9321" s="7" t="n">
        <f aca="false">(Q!M21+Sens!E9257+Sens!E9258+Sens!E9259+Sens!E9273-Sens!E9255)/(Q!M5-Sens!E9255)</f>
        <v>0.570957350878296</v>
      </c>
      <c r="F9321" s="7" t="n">
        <f aca="false">Sens!$E$9321+dm_seg</f>
        <v>0.570957350878296</v>
      </c>
      <c r="G9321" s="7" t="n">
        <f aca="false">Sens!$E$9321+dm_seg</f>
        <v>0.570957350878296</v>
      </c>
      <c r="H9321" s="7" t="n">
        <f aca="false">Sens!$E$9321+dm_seg</f>
        <v>0.570957350878296</v>
      </c>
      <c r="I9321" s="7" t="n">
        <f aca="false">Sens!$E$9321+dm_seg</f>
        <v>0.570957350878296</v>
      </c>
      <c r="J9321" s="7" t="n">
        <f aca="false">Sens!$E$9321+dm_seg</f>
        <v>0.570957350878296</v>
      </c>
      <c r="K9321" s="7" t="n">
        <f aca="false">Sens!$E$9321+dm_seg</f>
        <v>0.570957350878296</v>
      </c>
      <c r="L9321" s="12" t="s">
        <v>1059</v>
      </c>
    </row>
    <row r="9322" customFormat="false" ht="17.15" hidden="false" customHeight="false" outlineLevel="0" collapsed="false">
      <c r="A9322" s="0" t="s">
        <v>880</v>
      </c>
      <c r="B9322" s="0" t="s">
        <v>98</v>
      </c>
      <c r="D9322" s="6" t="n">
        <f aca="false">Q!L21</f>
        <v>110.814</v>
      </c>
      <c r="E9322" s="6" t="n">
        <f aca="false">Q!M21</f>
        <v>136.365</v>
      </c>
      <c r="F9322" s="6" t="n">
        <f aca="false">Q!$I$21+(Sens!F9321*(Sens!F9292-Sens!F9255)+Sens!F9255-(Sens!F9257+Sens!F9258+Sens!F9259)-Sens!F9273-Sens!F9356)*(Sens!F9292-Q!$I$5)/Sens!F9292</f>
        <v>161.926907502765</v>
      </c>
      <c r="G9322" s="6" t="n">
        <f aca="false">(Sens!G9321*(Sens!G9292-Sens!G9255)+Sens!G9255-(Sens!G9257+Sens!G9258+Sens!G9259)-Sens!G9273-Sens!G9356)</f>
        <v>176.847854325003</v>
      </c>
      <c r="H9322" s="6" t="n">
        <f aca="false">(Sens!H9321*(Sens!H9292-Sens!H9255)+Sens!H9255-(Sens!H9257+Sens!H9258+Sens!H9259)-Sens!H9273-Sens!H9356)</f>
        <v>195.009548110733</v>
      </c>
      <c r="I9322" s="6" t="n">
        <f aca="false">(Sens!I9321*(Sens!I9292-Sens!I9255)+Sens!I9255-(Sens!I9257+Sens!I9258+Sens!I9259)-Sens!I9273-Sens!I9356)</f>
        <v>211.584089431276</v>
      </c>
      <c r="J9322" s="6" t="n">
        <f aca="false">(Sens!J9321*(Sens!J9292-Sens!J9255)+Sens!J9255-(Sens!J9257+Sens!J9258+Sens!J9259)-Sens!J9273-Sens!J9356)</f>
        <v>226.249258965678</v>
      </c>
      <c r="K9322" s="6" t="n">
        <f aca="false">(Sens!K9321*(Sens!K9292-Sens!K9255)+Sens!K9255-(Sens!K9257+Sens!K9258+Sens!K9259)-Sens!K9273-Sens!K9356)</f>
        <v>239.638590947355</v>
      </c>
      <c r="L9322" s="1" t="s">
        <v>1060</v>
      </c>
    </row>
    <row r="9323" customFormat="false" ht="17.15" hidden="false" customHeight="false" outlineLevel="0" collapsed="false">
      <c r="A9323" s="0" t="s">
        <v>1061</v>
      </c>
      <c r="B9323" s="0" t="s">
        <v>168</v>
      </c>
      <c r="E9323" s="7" t="n">
        <f aca="false">Q!M22/Q!M12</f>
        <v>0.296207935710698</v>
      </c>
      <c r="F9323" s="7" t="n">
        <f aca="false">Sens!$E$9323+dm_seg</f>
        <v>0.296207935710698</v>
      </c>
      <c r="G9323" s="7" t="n">
        <f aca="false">Sens!$E$9323+dm_seg</f>
        <v>0.296207935710698</v>
      </c>
      <c r="H9323" s="7" t="n">
        <f aca="false">Sens!$E$9323+dm_seg</f>
        <v>0.296207935710698</v>
      </c>
      <c r="I9323" s="7" t="n">
        <f aca="false">Sens!$E$9323+dm_seg</f>
        <v>0.296207935710698</v>
      </c>
      <c r="J9323" s="7" t="n">
        <f aca="false">Sens!$E$9323+dm_seg</f>
        <v>0.296207935710698</v>
      </c>
      <c r="K9323" s="7" t="n">
        <f aca="false">Sens!$E$9323+dm_seg</f>
        <v>0.296207935710698</v>
      </c>
      <c r="L9323" s="12" t="s">
        <v>1062</v>
      </c>
    </row>
    <row r="9324" customFormat="false" ht="17.15" hidden="false" customHeight="false" outlineLevel="0" collapsed="false">
      <c r="A9324" s="0" t="s">
        <v>882</v>
      </c>
      <c r="B9324" s="0" t="s">
        <v>98</v>
      </c>
      <c r="D9324" s="6" t="n">
        <f aca="false">Q!L22</f>
        <v>17.714</v>
      </c>
      <c r="E9324" s="6" t="n">
        <f aca="false">Q!M22</f>
        <v>18.872</v>
      </c>
      <c r="F9324" s="6" t="n">
        <f aca="false">Q!$I$22+(Sens!F9299-Q!$I$12)*Sens!F9323</f>
        <v>19.8174315512051</v>
      </c>
      <c r="G9324" s="6" t="n">
        <f aca="false">Sens!G9299*Sens!G9323</f>
        <v>19.6313799703815</v>
      </c>
      <c r="H9324" s="6" t="n">
        <f aca="false">Sens!H9299*Sens!H9323</f>
        <v>20.3536242825865</v>
      </c>
      <c r="I9324" s="6" t="n">
        <f aca="false">Sens!I9299*Sens!I9323</f>
        <v>21.1920899239745</v>
      </c>
      <c r="J9324" s="6" t="n">
        <f aca="false">Sens!J9299*Sens!J9323</f>
        <v>22.1288166207045</v>
      </c>
      <c r="K9324" s="6" t="n">
        <f aca="false">Sens!K9299*Sens!K9323</f>
        <v>23.1493653905379</v>
      </c>
      <c r="L9324" s="12" t="s">
        <v>1063</v>
      </c>
    </row>
    <row r="9325" customFormat="false" ht="15" hidden="false" customHeight="false" outlineLevel="0" collapsed="false">
      <c r="A9325" s="1" t="s">
        <v>1064</v>
      </c>
      <c r="B9325" s="0" t="s">
        <v>98</v>
      </c>
      <c r="D9325" s="6" t="n">
        <f aca="false">Sens!D9322+Sens!D9324</f>
        <v>128.528</v>
      </c>
      <c r="E9325" s="6" t="n">
        <f aca="false">Sens!E9322+Sens!E9324</f>
        <v>155.237</v>
      </c>
      <c r="F9325" s="6" t="n">
        <f aca="false">Sens!F9322+Sens!F9324</f>
        <v>181.74433905397</v>
      </c>
      <c r="G9325" s="6" t="n">
        <f aca="false">Sens!G9322+Sens!G9324</f>
        <v>196.479234295385</v>
      </c>
      <c r="H9325" s="6" t="n">
        <f aca="false">Sens!H9322+Sens!H9324</f>
        <v>215.36317239332</v>
      </c>
      <c r="I9325" s="6" t="n">
        <f aca="false">Sens!I9322+Sens!I9324</f>
        <v>232.77617935525</v>
      </c>
      <c r="J9325" s="6" t="n">
        <f aca="false">Sens!J9322+Sens!J9324</f>
        <v>248.378075586383</v>
      </c>
      <c r="K9325" s="6" t="n">
        <f aca="false">Sens!K9322+Sens!K9324</f>
        <v>262.787956337893</v>
      </c>
    </row>
    <row r="9326" customFormat="false" ht="15" hidden="false" customHeight="false" outlineLevel="0" collapsed="false">
      <c r="A9326" s="26" t="s">
        <v>1065</v>
      </c>
      <c r="B9326" s="31" t="s">
        <v>98</v>
      </c>
      <c r="C9326" s="31"/>
      <c r="D9326" s="27" t="n">
        <f aca="false">Sens!D9325-Q!L23</f>
        <v>0</v>
      </c>
      <c r="E9326" s="27" t="n">
        <f aca="false">Sens!E9325-Q!M23</f>
        <v>0</v>
      </c>
      <c r="F9326" s="31"/>
      <c r="G9326" s="31"/>
      <c r="H9326" s="31"/>
      <c r="I9326" s="31"/>
      <c r="J9326" s="31"/>
      <c r="K9326" s="31"/>
    </row>
    <row r="9327" customFormat="false" ht="15" hidden="false" customHeight="false" outlineLevel="0" collapsed="false">
      <c r="A9327" s="1" t="s">
        <v>1066</v>
      </c>
      <c r="B9327" s="0" t="s">
        <v>168</v>
      </c>
      <c r="D9327" s="7" t="n">
        <f aca="false">Sens!D9325/Sens!D9318</f>
        <v>0.456219562408598</v>
      </c>
      <c r="E9327" s="7" t="n">
        <f aca="false">Sens!E9325/Sens!E9318</f>
        <v>0.467808184089272</v>
      </c>
      <c r="F9327" s="7" t="n">
        <f aca="false">Sens!F9325/Sens!F9318</f>
        <v>0.455772196529618</v>
      </c>
      <c r="G9327" s="7" t="n">
        <f aca="false">Sens!G9325/Sens!G9318</f>
        <v>0.413445217434615</v>
      </c>
      <c r="H9327" s="7" t="n">
        <f aca="false">Sens!H9325/Sens!H9318</f>
        <v>0.389682798376828</v>
      </c>
      <c r="I9327" s="7" t="n">
        <f aca="false">Sens!I9325/Sens!I9318</f>
        <v>0.373892624827858</v>
      </c>
      <c r="J9327" s="7" t="n">
        <f aca="false">Sens!J9325/Sens!J9318</f>
        <v>0.366275187335397</v>
      </c>
      <c r="K9327" s="7" t="n">
        <f aca="false">Sens!K9325/Sens!K9318</f>
        <v>0.364600240192809</v>
      </c>
    </row>
    <row r="9328" customFormat="false" ht="17.15" hidden="false" customHeight="false" outlineLevel="0" collapsed="false">
      <c r="A9328" s="1" t="s">
        <v>1067</v>
      </c>
      <c r="B9328" s="0" t="s">
        <v>98</v>
      </c>
      <c r="F9328" s="6" t="n">
        <f aca="false">Sens!F9343</f>
        <v>9.7398427716299</v>
      </c>
      <c r="G9328" s="6" t="n">
        <f aca="false">Sens!G9343</f>
        <v>25.2753385959797</v>
      </c>
      <c r="H9328" s="6" t="n">
        <f aca="false">Sens!H9343</f>
        <v>42.2840253697948</v>
      </c>
      <c r="I9328" s="6" t="n">
        <f aca="false">Sens!I9343</f>
        <v>57.704943641581</v>
      </c>
      <c r="J9328" s="6" t="n">
        <f aca="false">Sens!J9343</f>
        <v>68.4828520908201</v>
      </c>
      <c r="K9328" s="6" t="n">
        <f aca="false">Sens!K9343</f>
        <v>74.3598374943249</v>
      </c>
      <c r="L9328" s="1" t="s">
        <v>1068</v>
      </c>
    </row>
    <row r="9329" customFormat="false" ht="17.15" hidden="false" customHeight="false" outlineLevel="0" collapsed="false">
      <c r="A9329" s="1" t="s">
        <v>1069</v>
      </c>
      <c r="B9329" s="0" t="s">
        <v>98</v>
      </c>
      <c r="D9329" s="6" t="n">
        <f aca="false">Sens!D9325</f>
        <v>128.528</v>
      </c>
      <c r="E9329" s="6" t="n">
        <f aca="false">Sens!E9325</f>
        <v>155.237</v>
      </c>
      <c r="F9329" s="6" t="n">
        <f aca="false">Sens!F9325+Sens!F9328</f>
        <v>191.4841818256</v>
      </c>
      <c r="G9329" s="6" t="n">
        <f aca="false">Sens!G9325+Sens!G9328</f>
        <v>221.754572891364</v>
      </c>
      <c r="H9329" s="6" t="n">
        <f aca="false">Sens!H9325+Sens!H9328</f>
        <v>257.647197763115</v>
      </c>
      <c r="I9329" s="6" t="n">
        <f aca="false">Sens!I9325+Sens!I9328</f>
        <v>290.481122996831</v>
      </c>
      <c r="J9329" s="6" t="n">
        <f aca="false">Sens!J9325+Sens!J9328</f>
        <v>316.860927677203</v>
      </c>
      <c r="K9329" s="6" t="n">
        <f aca="false">Sens!K9325+Sens!K9328</f>
        <v>337.147793832218</v>
      </c>
    </row>
    <row r="9330" customFormat="false" ht="17.15" hidden="false" customHeight="false" outlineLevel="0" collapsed="false">
      <c r="A9330" s="1" t="s">
        <v>1070</v>
      </c>
      <c r="B9330" s="0" t="s">
        <v>98</v>
      </c>
      <c r="E9330" s="6" t="n">
        <f aca="false">Sens!E9273</f>
        <v>16.3054059770833</v>
      </c>
      <c r="F9330" s="6" t="n">
        <f aca="false">Sens!F9273</f>
        <v>34.5793144783516</v>
      </c>
      <c r="G9330" s="6" t="n">
        <f aca="false">Sens!G9273</f>
        <v>60.7344906522989</v>
      </c>
      <c r="H9330" s="6" t="n">
        <f aca="false">Sens!H9273</f>
        <v>89.1000906614457</v>
      </c>
      <c r="I9330" s="6" t="n">
        <f aca="false">Sens!I9273</f>
        <v>114.231009694548</v>
      </c>
      <c r="J9330" s="6" t="n">
        <f aca="false">Sens!J9273</f>
        <v>132.015673049596</v>
      </c>
      <c r="K9330" s="6" t="n">
        <f aca="false">Sens!K9273</f>
        <v>143.012669550934</v>
      </c>
    </row>
    <row r="9331" customFormat="false" ht="17.15" hidden="false" customHeight="false" outlineLevel="0" collapsed="false">
      <c r="A9331" s="1" t="s">
        <v>1071</v>
      </c>
      <c r="B9331" s="0" t="s">
        <v>98</v>
      </c>
      <c r="E9331" s="6" t="n">
        <f aca="false">Sens!E9355</f>
        <v>22.2285940229167</v>
      </c>
      <c r="F9331" s="6" t="n">
        <f aca="false">Sens!F9355</f>
        <v>23.580344216413</v>
      </c>
      <c r="G9331" s="6" t="n">
        <f aca="false">Sens!G9355</f>
        <v>25.3332753822466</v>
      </c>
      <c r="H9331" s="6" t="n">
        <f aca="false">Sens!H9355</f>
        <v>27.4447209869779</v>
      </c>
      <c r="I9331" s="6" t="n">
        <f aca="false">Sens!I9355</f>
        <v>29.8303357378336</v>
      </c>
      <c r="J9331" s="6" t="n">
        <f aca="false">Sens!J9355</f>
        <v>32.388068108211</v>
      </c>
      <c r="K9331" s="6" t="n">
        <f aca="false">Sens!K9355</f>
        <v>35.0168368845015</v>
      </c>
    </row>
    <row r="9332" customFormat="false" ht="17.15" hidden="false" customHeight="false" outlineLevel="0" collapsed="false">
      <c r="A9332" s="1" t="s">
        <v>1072</v>
      </c>
      <c r="B9332" s="0" t="s">
        <v>98</v>
      </c>
      <c r="D9332" s="6" t="n">
        <f aca="false">Q!L27</f>
        <v>-4.901</v>
      </c>
      <c r="E9332" s="6" t="n">
        <f aca="false">Q!M27</f>
        <v>10.697</v>
      </c>
      <c r="F9332" s="6" t="n">
        <f aca="false">Q!$I$27+oie_f*(q_per_yr-1)/q_per_yr</f>
        <v>-0.862</v>
      </c>
      <c r="G9332" s="6" t="n">
        <f aca="false">oie_f</f>
        <v>-1.2</v>
      </c>
      <c r="H9332" s="6" t="n">
        <f aca="false">oie_f</f>
        <v>-1.2</v>
      </c>
      <c r="I9332" s="6" t="n">
        <f aca="false">oie_f</f>
        <v>-1.2</v>
      </c>
      <c r="J9332" s="6" t="n">
        <f aca="false">oie_f</f>
        <v>-1.2</v>
      </c>
      <c r="K9332" s="6" t="n">
        <f aca="false">oie_f</f>
        <v>-1.2</v>
      </c>
      <c r="L9332" s="12" t="s">
        <v>1073</v>
      </c>
    </row>
    <row r="9333" customFormat="false" ht="15" hidden="false" customHeight="false" outlineLevel="0" collapsed="false">
      <c r="A9333" s="1" t="s">
        <v>1074</v>
      </c>
      <c r="B9333" s="0" t="s">
        <v>98</v>
      </c>
      <c r="D9333" s="6" t="n">
        <f aca="false">Sens!D9325+Sens!D9332</f>
        <v>123.627</v>
      </c>
      <c r="E9333" s="6" t="n">
        <f aca="false">Sens!E9325+Sens!E9332</f>
        <v>165.934</v>
      </c>
      <c r="F9333" s="6" t="n">
        <f aca="false">Sens!F9325+Sens!F9332</f>
        <v>180.88233905397</v>
      </c>
      <c r="G9333" s="6" t="n">
        <f aca="false">Sens!G9325+Sens!G9332</f>
        <v>195.279234295385</v>
      </c>
      <c r="H9333" s="6" t="n">
        <f aca="false">Sens!H9325+Sens!H9332</f>
        <v>214.16317239332</v>
      </c>
      <c r="I9333" s="6" t="n">
        <f aca="false">Sens!I9325+Sens!I9332</f>
        <v>231.57617935525</v>
      </c>
      <c r="J9333" s="6" t="n">
        <f aca="false">Sens!J9325+Sens!J9332</f>
        <v>247.178075586383</v>
      </c>
      <c r="K9333" s="6" t="n">
        <f aca="false">Sens!K9325+Sens!K9332</f>
        <v>261.587956337893</v>
      </c>
    </row>
    <row r="9334" customFormat="false" ht="15" hidden="false" customHeight="false" outlineLevel="0" collapsed="false">
      <c r="A9334" s="1" t="s">
        <v>1075</v>
      </c>
      <c r="B9334" s="0" t="s">
        <v>98</v>
      </c>
      <c r="D9334" s="6" t="n">
        <f aca="false">Q!L29</f>
        <v>21.795</v>
      </c>
      <c r="E9334" s="6" t="n">
        <f aca="false">Q!M29</f>
        <v>32.185</v>
      </c>
      <c r="F9334" s="6" t="n">
        <f aca="false">Q!$I$29+(Sens!F9333-Q!$I$28)*tax_f</f>
        <v>36.309867810794</v>
      </c>
      <c r="G9334" s="6" t="n">
        <f aca="false">Sens!G9333*tax_f</f>
        <v>39.0558468590769</v>
      </c>
      <c r="H9334" s="6" t="n">
        <f aca="false">Sens!H9333*tax_f</f>
        <v>42.832634478664</v>
      </c>
      <c r="I9334" s="6" t="n">
        <f aca="false">Sens!I9333*tax_f</f>
        <v>46.31523587105</v>
      </c>
      <c r="J9334" s="6" t="n">
        <f aca="false">Sens!J9333*tax_f</f>
        <v>49.4356151172765</v>
      </c>
      <c r="K9334" s="6" t="n">
        <f aca="false">Sens!K9333*tax_f</f>
        <v>52.3175912675787</v>
      </c>
    </row>
    <row r="9335" customFormat="false" ht="15" hidden="false" customHeight="false" outlineLevel="0" collapsed="false">
      <c r="A9335" s="1" t="s">
        <v>1076</v>
      </c>
      <c r="B9335" s="0" t="s">
        <v>98</v>
      </c>
      <c r="D9335" s="6" t="n">
        <f aca="false">Sens!D9333-Sens!D9334</f>
        <v>101.832</v>
      </c>
      <c r="E9335" s="6" t="n">
        <f aca="false">Sens!E9333-Sens!E9334</f>
        <v>133.749</v>
      </c>
      <c r="F9335" s="6" t="n">
        <f aca="false">Sens!F9333-Sens!F9334</f>
        <v>144.572471243176</v>
      </c>
      <c r="G9335" s="6" t="n">
        <f aca="false">Sens!G9333-Sens!G9334</f>
        <v>156.223387436308</v>
      </c>
      <c r="H9335" s="6" t="n">
        <f aca="false">Sens!H9333-Sens!H9334</f>
        <v>171.330537914656</v>
      </c>
      <c r="I9335" s="6" t="n">
        <f aca="false">Sens!I9333-Sens!I9334</f>
        <v>185.2609434842</v>
      </c>
      <c r="J9335" s="6" t="n">
        <f aca="false">Sens!J9333-Sens!J9334</f>
        <v>197.742460469106</v>
      </c>
      <c r="K9335" s="6" t="n">
        <f aca="false">Sens!K9333-Sens!K9334</f>
        <v>209.270365070315</v>
      </c>
    </row>
    <row r="9336" customFormat="false" ht="17.15" hidden="false" customHeight="false" outlineLevel="0" collapsed="false">
      <c r="A9336" s="1" t="s">
        <v>1077</v>
      </c>
      <c r="B9336" s="1" t="s">
        <v>81</v>
      </c>
      <c r="D9336" s="15" t="n">
        <f aca="false">Q!L31</f>
        <v>7.465</v>
      </c>
      <c r="E9336" s="15" t="n">
        <f aca="false">Q!M31</f>
        <v>7.453</v>
      </c>
      <c r="F9336" s="15" t="n">
        <f aca="false">Sens!F9380</f>
        <v>7.47338253818835</v>
      </c>
      <c r="G9336" s="15" t="n">
        <f aca="false">Sens!G9380</f>
        <v>7.5182650763767</v>
      </c>
      <c r="H9336" s="15" t="n">
        <f aca="false">Sens!H9380</f>
        <v>7.5459650154055</v>
      </c>
      <c r="I9336" s="15" t="n">
        <f aca="false">Sens!I9380</f>
        <v>7.55764637946097</v>
      </c>
      <c r="J9336" s="15" t="n">
        <f aca="false">Sens!J9380</f>
        <v>7.57179579062344</v>
      </c>
      <c r="K9336" s="15" t="n">
        <f aca="false">Sens!K9380</f>
        <v>7.5882304305887</v>
      </c>
    </row>
    <row r="9337" customFormat="false" ht="17.15" hidden="false" customHeight="false" outlineLevel="0" collapsed="false">
      <c r="A9337" s="0" t="s">
        <v>1078</v>
      </c>
      <c r="B9337" s="0" t="s">
        <v>75</v>
      </c>
      <c r="D9337" s="8" t="n">
        <f aca="false">Sens!D9335/Sens!D9336</f>
        <v>13.641259209645</v>
      </c>
      <c r="E9337" s="8" t="n">
        <f aca="false">Sens!E9335/Sens!E9336</f>
        <v>17.9456594659869</v>
      </c>
      <c r="F9337" s="8" t="n">
        <f aca="false">Sens!F9335/Sens!F9336</f>
        <v>19.3449847514727</v>
      </c>
      <c r="G9337" s="8" t="n">
        <f aca="false">Sens!G9335/Sens!G9336</f>
        <v>20.7791805488716</v>
      </c>
      <c r="H9337" s="8" t="n">
        <f aca="false">Sens!H9335/Sens!H9336</f>
        <v>22.7049207841376</v>
      </c>
      <c r="I9337" s="8" t="n">
        <f aca="false">Sens!I9335/Sens!I9336</f>
        <v>24.5130473407269</v>
      </c>
      <c r="J9337" s="8" t="n">
        <f aca="false">Sens!J9335/Sens!J9336</f>
        <v>26.1156621146573</v>
      </c>
      <c r="K9337" s="8" t="n">
        <f aca="false">Sens!K9335/Sens!K9336</f>
        <v>27.5782828400586</v>
      </c>
      <c r="L9337" s="1" t="s">
        <v>1079</v>
      </c>
    </row>
    <row r="9338" customFormat="false" ht="17.15" hidden="false" customHeight="false" outlineLevel="0" collapsed="false">
      <c r="A9338" s="1" t="s">
        <v>1080</v>
      </c>
      <c r="B9338" s="0" t="s">
        <v>98</v>
      </c>
      <c r="D9338" s="6" t="n">
        <f aca="false">Sens!D9335</f>
        <v>101.832</v>
      </c>
      <c r="E9338" s="6" t="n">
        <f aca="false">Sens!E9335</f>
        <v>133.749</v>
      </c>
      <c r="F9338" s="6" t="n">
        <f aca="false">Sens!F9335+Sens!F9328*(1-tax_f)</f>
        <v>152.36434546048</v>
      </c>
      <c r="G9338" s="6" t="n">
        <f aca="false">Sens!G9335+Sens!G9328*(1-tax_f)</f>
        <v>176.443658313091</v>
      </c>
      <c r="H9338" s="6" t="n">
        <f aca="false">Sens!H9335+Sens!H9328*(1-tax_f)</f>
        <v>205.157758210492</v>
      </c>
      <c r="I9338" s="6" t="n">
        <f aca="false">Sens!I9335+Sens!I9328*(1-tax_f)</f>
        <v>231.424898397465</v>
      </c>
      <c r="J9338" s="6" t="n">
        <f aca="false">Sens!J9335+Sens!J9328*(1-tax_f)</f>
        <v>252.528742141762</v>
      </c>
      <c r="K9338" s="6" t="n">
        <f aca="false">Sens!K9335+Sens!K9328*(1-tax_f)</f>
        <v>268.758235065775</v>
      </c>
    </row>
    <row r="9339" customFormat="false" ht="17.15" hidden="false" customHeight="false" outlineLevel="0" collapsed="false">
      <c r="A9339" s="0" t="s">
        <v>1081</v>
      </c>
      <c r="B9339" s="0" t="s">
        <v>75</v>
      </c>
      <c r="D9339" s="8" t="n">
        <f aca="false">Sens!D9338/Sens!D9336</f>
        <v>13.641259209645</v>
      </c>
      <c r="E9339" s="8" t="n">
        <f aca="false">Sens!E9338/Sens!E9336</f>
        <v>17.9456594659869</v>
      </c>
      <c r="F9339" s="8" t="n">
        <f aca="false">Sens!F9338/Sens!F9336</f>
        <v>20.3876015555087</v>
      </c>
      <c r="G9339" s="8" t="n">
        <f aca="false">Sens!G9338/Sens!G9336</f>
        <v>23.4686668427665</v>
      </c>
      <c r="H9339" s="8" t="n">
        <f aca="false">Sens!H9338/Sens!H9336</f>
        <v>27.1877430907314</v>
      </c>
      <c r="I9339" s="8" t="n">
        <f aca="false">Sens!I9338/Sens!I9336</f>
        <v>30.6212922354235</v>
      </c>
      <c r="J9339" s="8" t="n">
        <f aca="false">Sens!J9338/Sens!J9336</f>
        <v>33.351235179174</v>
      </c>
      <c r="K9339" s="8" t="n">
        <f aca="false">Sens!K9338/Sens!K9336</f>
        <v>35.4177746082131</v>
      </c>
      <c r="L9339" s="1" t="s">
        <v>1082</v>
      </c>
    </row>
    <row r="9340" customFormat="false" ht="17.15" hidden="false" customHeight="false" outlineLevel="0" collapsed="false">
      <c r="A9340" s="0" t="s">
        <v>1083</v>
      </c>
      <c r="B9340" s="0" t="s">
        <v>168</v>
      </c>
      <c r="E9340" s="7" t="n">
        <f aca="false">Sens!E9339/Sens!D9339-1</f>
        <v>0.315542736208578</v>
      </c>
      <c r="F9340" s="7" t="n">
        <f aca="false">Sens!F9339/Sens!E9339-1</f>
        <v>0.136074246485626</v>
      </c>
      <c r="G9340" s="7" t="n">
        <f aca="false">Sens!G9339/Sens!F9339-1</f>
        <v>0.151124460563404</v>
      </c>
      <c r="H9340" s="7" t="n">
        <f aca="false">Sens!H9339/Sens!G9339-1</f>
        <v>0.158469855696603</v>
      </c>
      <c r="I9340" s="7" t="n">
        <f aca="false">Sens!I9339/Sens!H9339-1</f>
        <v>0.12629033359752</v>
      </c>
      <c r="J9340" s="7" t="n">
        <f aca="false">Sens!J9339/Sens!I9339-1</f>
        <v>0.089151787676433</v>
      </c>
      <c r="K9340" s="7" t="n">
        <f aca="false">Sens!K9339/Sens!J9339-1</f>
        <v>0.0619629053597863</v>
      </c>
    </row>
    <row r="9341" customFormat="false" ht="17.15" hidden="false" customHeight="false" outlineLevel="0" collapsed="false">
      <c r="A9341" s="0" t="s">
        <v>1003</v>
      </c>
      <c r="B9341" s="0" t="s">
        <v>98</v>
      </c>
      <c r="E9341" s="6" t="n">
        <f aca="false">Sens!E9282</f>
        <v>5.25</v>
      </c>
      <c r="F9341" s="6" t="n">
        <f aca="false">Sens!F9282</f>
        <v>12</v>
      </c>
      <c r="G9341" s="6" t="n">
        <f aca="false">Sens!G9282</f>
        <v>18</v>
      </c>
      <c r="H9341" s="6" t="n">
        <f aca="false">Sens!H9282</f>
        <v>24</v>
      </c>
      <c r="I9341" s="6" t="n">
        <f aca="false">Sens!I9282</f>
        <v>28.5</v>
      </c>
      <c r="J9341" s="6" t="n">
        <f aca="false">Sens!J9282</f>
        <v>31.5</v>
      </c>
      <c r="K9341" s="6" t="n">
        <f aca="false">Sens!K9282</f>
        <v>34.5</v>
      </c>
    </row>
    <row r="9342" customFormat="false" ht="17.15" hidden="false" customHeight="false" outlineLevel="0" collapsed="false">
      <c r="A9342" s="1" t="s">
        <v>1004</v>
      </c>
      <c r="B9342" s="0" t="s">
        <v>98</v>
      </c>
      <c r="F9342" s="6" t="n">
        <f aca="false">MAX(0,((Sens!E9242+Sens!F9242)/2-(shadow_base*(Sens!$D$9242+Sens!$E$9242)/2+(1-shadow_base)*Sens!$E$9242))*Sens!F9251/1000-(Sens!F9341-Sens!$E$9341)*Sens!F9321)</f>
        <v>9.7398427716299</v>
      </c>
      <c r="G9342" s="6" t="n">
        <f aca="false">MAX(0,((Sens!F9242+Sens!G9242)/2-(shadow_base*(Sens!$D$9242+Sens!$E$9242)/2+(1-shadow_base)*Sens!$E$9242))*Sens!G9251/1000-(Sens!G9341-Sens!$E$9341)*Sens!G9321)</f>
        <v>25.2753385959797</v>
      </c>
      <c r="H9342" s="6" t="n">
        <f aca="false">MAX(0,((Sens!G9242+Sens!H9242)/2-(shadow_base*(Sens!$D$9242+Sens!$E$9242)/2+(1-shadow_base)*Sens!$E$9242))*Sens!H9251/1000-(Sens!H9341-Sens!$E$9341)*Sens!H9321)</f>
        <v>42.2840253697948</v>
      </c>
      <c r="I9342" s="6" t="n">
        <f aca="false">MAX(0,((Sens!H9242+Sens!I9242)/2-(shadow_base*(Sens!$D$9242+Sens!$E$9242)/2+(1-shadow_base)*Sens!$E$9242))*Sens!I9251/1000-(Sens!I9341-Sens!$E$9341)*Sens!I9321)</f>
        <v>57.704943641581</v>
      </c>
      <c r="J9342" s="6" t="n">
        <f aca="false">MAX(0,((Sens!I9242+Sens!J9242)/2-(shadow_base*(Sens!$D$9242+Sens!$E$9242)/2+(1-shadow_base)*Sens!$E$9242))*Sens!J9251/1000-(Sens!J9341-Sens!$E$9341)*Sens!J9321)</f>
        <v>68.4828520908201</v>
      </c>
      <c r="K9342" s="6" t="n">
        <f aca="false">MAX(0,((Sens!J9242+Sens!K9242)/2-(shadow_base*(Sens!$D$9242+Sens!$E$9242)/2+(1-shadow_base)*Sens!$E$9242))*Sens!K9251/1000-(Sens!K9341-Sens!$E$9341)*Sens!K9321)</f>
        <v>74.3598374943249</v>
      </c>
      <c r="L9342" s="1" t="s">
        <v>1005</v>
      </c>
    </row>
    <row r="9343" customFormat="false" ht="17.15" hidden="false" customHeight="false" outlineLevel="0" collapsed="false">
      <c r="A9343" s="1" t="s">
        <v>1006</v>
      </c>
      <c r="B9343" s="0" t="s">
        <v>98</v>
      </c>
      <c r="F9343" s="6" t="n">
        <f aca="false">IF(internal_ai_reading=2,1,0)*Sens!F9342</f>
        <v>9.7398427716299</v>
      </c>
      <c r="G9343" s="6" t="n">
        <f aca="false">IF(internal_ai_reading=2,1,0)*Sens!G9342</f>
        <v>25.2753385959797</v>
      </c>
      <c r="H9343" s="6" t="n">
        <f aca="false">IF(internal_ai_reading=2,1,0)*Sens!H9342</f>
        <v>42.2840253697948</v>
      </c>
      <c r="I9343" s="6" t="n">
        <f aca="false">IF(internal_ai_reading=2,1,0)*Sens!I9342</f>
        <v>57.704943641581</v>
      </c>
      <c r="J9343" s="6" t="n">
        <f aca="false">IF(internal_ai_reading=2,1,0)*Sens!J9342</f>
        <v>68.4828520908201</v>
      </c>
      <c r="K9343" s="6" t="n">
        <f aca="false">IF(internal_ai_reading=2,1,0)*Sens!K9342</f>
        <v>74.3598374943249</v>
      </c>
    </row>
    <row r="9344" customFormat="false" ht="17.15" hidden="false" customHeight="false" outlineLevel="0" collapsed="false">
      <c r="A9344" s="0" t="s">
        <v>1007</v>
      </c>
      <c r="B9344" s="0" t="s">
        <v>98</v>
      </c>
      <c r="F9344" s="6" t="n">
        <f aca="false">Sens!F9261+Sens!F9341*Sens!F9321+Sens!F9343-Sens!F9262-Sens!F9273</f>
        <v>14.8152827562272</v>
      </c>
      <c r="G9344" s="6" t="n">
        <f aca="false">Sens!G9261+Sens!G9341*Sens!G9321+Sens!G9343-Sens!G9262-Sens!G9273</f>
        <v>31.0349977765951</v>
      </c>
      <c r="H9344" s="6" t="n">
        <f aca="false">Sens!H9261+Sens!H9341*Sens!H9321+Sens!H9343-Sens!H9262-Sens!H9273</f>
        <v>47.8811519709826</v>
      </c>
      <c r="I9344" s="6" t="n">
        <f aca="false">Sens!I9261+Sens!I9341*Sens!I9321+Sens!I9343-Sens!I9262-Sens!I9273</f>
        <v>62.6472166574028</v>
      </c>
      <c r="J9344" s="6" t="n">
        <f aca="false">Sens!J9261+Sens!J9341*Sens!J9321+Sens!J9343-Sens!J9262-Sens!J9273</f>
        <v>72.7882253357034</v>
      </c>
      <c r="K9344" s="6" t="n">
        <f aca="false">Sens!K9261+Sens!K9341*Sens!K9321+Sens!K9343-Sens!K9262-Sens!K9273</f>
        <v>79.4617812140187</v>
      </c>
    </row>
    <row r="9345" customFormat="false" ht="17.15" hidden="false" customHeight="false" outlineLevel="0" collapsed="false">
      <c r="A9345" s="0" t="s">
        <v>1008</v>
      </c>
      <c r="B9345" s="0" t="s">
        <v>98</v>
      </c>
      <c r="E9345" s="6" t="n">
        <f aca="false">Sens!E9241*(cxit_open+self_build*tk_cxfac)/1000*ai_net_open</f>
        <v>126.6980382</v>
      </c>
      <c r="F9345" s="6" t="n">
        <f aca="false">Sens!E9345+Sens!F9270-Sens!F9273</f>
        <v>260.572627763768</v>
      </c>
      <c r="G9345" s="6" t="n">
        <f aca="false">Sens!F9345+Sens!G9270-Sens!G9273</f>
        <v>391.782612760517</v>
      </c>
      <c r="H9345" s="6" t="n">
        <f aca="false">Sens!G9345+Sens!H9270-Sens!H9273</f>
        <v>499.488526163584</v>
      </c>
      <c r="I9345" s="6" t="n">
        <f aca="false">Sens!H9345+Sens!I9270-Sens!I9273</f>
        <v>553.872350090646</v>
      </c>
      <c r="J9345" s="6" t="n">
        <f aca="false">Sens!I9345+Sens!J9270-Sens!J9273</f>
        <v>550.78660823699</v>
      </c>
      <c r="K9345" s="6" t="n">
        <f aca="false">Sens!J9345+Sens!K9270-Sens!K9273</f>
        <v>526.736791750789</v>
      </c>
      <c r="L9345" s="1" t="s">
        <v>1009</v>
      </c>
    </row>
    <row r="9346" customFormat="false" ht="17.15" hidden="false" customHeight="false" outlineLevel="0" collapsed="false">
      <c r="A9346" s="0" t="s">
        <v>1010</v>
      </c>
      <c r="B9346" s="0" t="s">
        <v>168</v>
      </c>
      <c r="F9346" s="7" t="n">
        <f aca="false">Sens!F9344*(1-tax_f)/((Sens!E9345+Sens!F9345)/2)</f>
        <v>0.0612090057246454</v>
      </c>
      <c r="G9346" s="7" t="n">
        <f aca="false">Sens!G9344*(1-tax_f)/((Sens!F9345+Sens!G9345)/2)</f>
        <v>0.0761180310326695</v>
      </c>
      <c r="H9346" s="7" t="n">
        <f aca="false">Sens!H9344*(1-tax_f)/((Sens!G9345+Sens!H9345)/2)</f>
        <v>0.0859557095566361</v>
      </c>
      <c r="I9346" s="7" t="n">
        <f aca="false">Sens!I9344*(1-tax_f)/((Sens!H9345+Sens!I9345)/2)</f>
        <v>0.0951578408800258</v>
      </c>
      <c r="J9346" s="7" t="n">
        <f aca="false">Sens!J9344*(1-tax_f)/((Sens!I9345+Sens!J9345)/2)</f>
        <v>0.105427253958487</v>
      </c>
      <c r="K9346" s="7" t="n">
        <f aca="false">Sens!K9344*(1-tax_f)/((Sens!J9345+Sens!K9345)/2)</f>
        <v>0.117991729872291</v>
      </c>
    </row>
    <row r="9347" customFormat="false" ht="17.15" hidden="false" customHeight="false" outlineLevel="0" collapsed="false">
      <c r="A9347" s="1" t="s">
        <v>1011</v>
      </c>
      <c r="B9347" s="0" t="s">
        <v>168</v>
      </c>
      <c r="F9347" s="7" t="n">
        <f aca="false">(Sens!F9344-Sens!F9343)*(1-tax_f)/((Sens!E9345+Sens!F9345)/2)</f>
        <v>0.0209690655375262</v>
      </c>
      <c r="G9347" s="7" t="n">
        <f aca="false">(Sens!G9344-Sens!G9343)*(1-tax_f)/((Sens!F9345+Sens!G9345)/2)</f>
        <v>0.014126436206105</v>
      </c>
      <c r="H9347" s="7" t="n">
        <f aca="false">(Sens!H9344-Sens!H9343)*(1-tax_f)/((Sens!G9345+Sens!H9345)/2)</f>
        <v>0.010047899197893</v>
      </c>
      <c r="I9347" s="7" t="n">
        <f aca="false">(Sens!I9344-Sens!I9343)*(1-tax_f)/((Sens!H9345+Sens!I9345)/2)</f>
        <v>0.00750705385359908</v>
      </c>
      <c r="J9347" s="7" t="n">
        <f aca="false">(Sens!J9344-Sens!J9343)*(1-tax_f)/((Sens!I9345+Sens!J9345)/2)</f>
        <v>0.00623594924015468</v>
      </c>
      <c r="K9347" s="7" t="n">
        <f aca="false">(Sens!K9344-Sens!K9343)*(1-tax_f)/((Sens!J9345+Sens!K9345)/2)</f>
        <v>0.00757580758951754</v>
      </c>
    </row>
    <row r="9348" customFormat="false" ht="17.15" hidden="false" customHeight="false" outlineLevel="0" collapsed="false">
      <c r="A9348" s="1" t="s">
        <v>1012</v>
      </c>
      <c r="B9348" s="0" t="s">
        <v>168</v>
      </c>
      <c r="F9348" s="7" t="n">
        <f aca="false">(Sens!F9344-Sens!F9343+Sens!F9342)*(1-tax_f)/((Sens!E9345+Sens!F9345)/2)</f>
        <v>0.0612090057246454</v>
      </c>
      <c r="G9348" s="7" t="n">
        <f aca="false">(Sens!G9344-Sens!G9343+Sens!G9342)*(1-tax_f)/((Sens!F9345+Sens!G9345)/2)</f>
        <v>0.0761180310326695</v>
      </c>
      <c r="H9348" s="7" t="n">
        <f aca="false">(Sens!H9344-Sens!H9343+Sens!H9342)*(1-tax_f)/((Sens!G9345+Sens!H9345)/2)</f>
        <v>0.0859557095566361</v>
      </c>
      <c r="I9348" s="7" t="n">
        <f aca="false">(Sens!I9344-Sens!I9343+Sens!I9342)*(1-tax_f)/((Sens!H9345+Sens!I9345)/2)</f>
        <v>0.0951578408800258</v>
      </c>
      <c r="J9348" s="7" t="n">
        <f aca="false">(Sens!J9344-Sens!J9343+Sens!J9342)*(1-tax_f)/((Sens!I9345+Sens!J9345)/2)</f>
        <v>0.105427253958487</v>
      </c>
      <c r="K9348" s="7" t="n">
        <f aca="false">(Sens!K9344-Sens!K9343+Sens!K9342)*(1-tax_f)/((Sens!J9345+Sens!K9345)/2)</f>
        <v>0.117991729872291</v>
      </c>
    </row>
    <row r="9349" customFormat="false" ht="17.15" hidden="false" customHeight="false" outlineLevel="0" collapsed="false">
      <c r="A9349" s="1" t="s">
        <v>1013</v>
      </c>
      <c r="B9349" s="0" t="s">
        <v>168</v>
      </c>
      <c r="F9349" s="7" t="n">
        <f aca="false">Sens!F9274*(1-tax_f)/(Sens!F9260*(Sens!E9345+Sens!F9345)/2)</f>
        <v>0.129294830495493</v>
      </c>
      <c r="G9349" s="7" t="n">
        <f aca="false">Sens!G9274*(1-tax_f)/(Sens!G9260*(Sens!F9345+Sens!G9345)/2)</f>
        <v>0.12719599062164</v>
      </c>
      <c r="H9349" s="7" t="n">
        <f aca="false">Sens!H9274*(1-tax_f)/(Sens!H9260*(Sens!G9345+Sens!H9345)/2)</f>
        <v>0.130828167067624</v>
      </c>
      <c r="I9349" s="7" t="n">
        <f aca="false">Sens!I9274*(1-tax_f)/(Sens!I9260*(Sens!H9345+Sens!I9345)/2)</f>
        <v>0.138614526937417</v>
      </c>
      <c r="J9349" s="7" t="n">
        <f aca="false">Sens!J9274*(1-tax_f)/(Sens!J9260*(Sens!I9345+Sens!J9345)/2)</f>
        <v>0.150578919010924</v>
      </c>
      <c r="K9349" s="7" t="n">
        <f aca="false">Sens!K9274*(1-tax_f)/(Sens!K9260*(Sens!J9345+Sens!K9345)/2)</f>
        <v>0.167005345886664</v>
      </c>
    </row>
    <row r="9350" customFormat="false" ht="17.15" hidden="false" customHeight="false" outlineLevel="0" collapsed="false">
      <c r="A9350" s="0" t="s">
        <v>1014</v>
      </c>
      <c r="B9350" s="0" t="s">
        <v>253</v>
      </c>
      <c r="F9350" s="7" t="n">
        <f aca="false">Sens!F9346-wacc</f>
        <v>-0.0417275852209519</v>
      </c>
      <c r="G9350" s="7" t="n">
        <f aca="false">Sens!G9346-wacc</f>
        <v>-0.0268185599129278</v>
      </c>
      <c r="H9350" s="7" t="n">
        <f aca="false">Sens!H9346-wacc</f>
        <v>-0.0169808813889612</v>
      </c>
      <c r="I9350" s="7" t="n">
        <f aca="false">Sens!I9346-wacc</f>
        <v>-0.00777875006557149</v>
      </c>
      <c r="J9350" s="7" t="n">
        <f aca="false">Sens!J9346-wacc</f>
        <v>0.0024906630128898</v>
      </c>
      <c r="K9350" s="7" t="n">
        <f aca="false">Sens!K9346-wacc</f>
        <v>0.0150551389266932</v>
      </c>
    </row>
    <row r="9351" customFormat="false" ht="17.15" hidden="false" customHeight="false" outlineLevel="0" collapsed="false">
      <c r="A9351" s="0" t="s">
        <v>1015</v>
      </c>
      <c r="B9351" s="0" t="s">
        <v>98</v>
      </c>
      <c r="F9351" s="6" t="n">
        <f aca="false">Sens!F9344*(1-tax_f)-wacc*(Sens!E9345+Sens!F9345)/2</f>
        <v>-8.07993485878896</v>
      </c>
      <c r="G9351" s="6" t="n">
        <f aca="false">Sens!G9344*(1-tax_f)-wacc*(Sens!F9345+Sens!G9345)/2</f>
        <v>-8.74761405125648</v>
      </c>
      <c r="H9351" s="6" t="n">
        <f aca="false">Sens!H9344*(1-tax_f)-wacc*(Sens!G9345+Sens!H9345)/2</f>
        <v>-7.56728474773728</v>
      </c>
      <c r="I9351" s="6" t="n">
        <f aca="false">Sens!I9344*(1-tax_f)-wacc*(Sens!H9345+Sens!I9345)/2</f>
        <v>-4.09691549261652</v>
      </c>
      <c r="J9351" s="6" t="n">
        <f aca="false">Sens!J9344*(1-tax_f)-wacc*(Sens!I9345+Sens!J9345)/2</f>
        <v>1.37566660468201</v>
      </c>
      <c r="K9351" s="6" t="n">
        <f aca="false">Sens!K9344*(1-tax_f)-wacc*(Sens!J9345+Sens!K9345)/2</f>
        <v>8.11113224178941</v>
      </c>
    </row>
    <row r="9352" customFormat="false" ht="17.15" hidden="false" customHeight="false" outlineLevel="0" collapsed="false">
      <c r="A9352" s="3" t="s">
        <v>1713</v>
      </c>
    </row>
    <row r="9353" customFormat="false" ht="15" hidden="false" customHeight="false" outlineLevel="0" collapsed="false">
      <c r="A9353" s="4" t="s">
        <v>43</v>
      </c>
      <c r="B9353" s="4" t="s">
        <v>65</v>
      </c>
      <c r="C9353" s="23" t="s">
        <v>938</v>
      </c>
      <c r="D9353" s="23" t="s">
        <v>939</v>
      </c>
      <c r="E9353" s="23" t="s">
        <v>940</v>
      </c>
      <c r="F9353" s="23" t="s">
        <v>941</v>
      </c>
      <c r="G9353" s="23" t="s">
        <v>942</v>
      </c>
      <c r="H9353" s="23" t="s">
        <v>943</v>
      </c>
      <c r="I9353" s="23" t="s">
        <v>944</v>
      </c>
      <c r="J9353" s="23" t="s">
        <v>945</v>
      </c>
      <c r="K9353" s="23" t="s">
        <v>946</v>
      </c>
      <c r="L9353" s="4" t="s">
        <v>47</v>
      </c>
    </row>
    <row r="9354" customFormat="false" ht="15" hidden="false" customHeight="false" outlineLevel="0" collapsed="false">
      <c r="A9354" s="1" t="s">
        <v>1076</v>
      </c>
      <c r="B9354" s="0" t="s">
        <v>98</v>
      </c>
      <c r="F9354" s="6" t="n">
        <f aca="false">Sens!F9335</f>
        <v>144.572471243176</v>
      </c>
      <c r="G9354" s="6" t="n">
        <f aca="false">Sens!G9335</f>
        <v>156.223387436308</v>
      </c>
      <c r="H9354" s="6" t="n">
        <f aca="false">Sens!H9335</f>
        <v>171.330537914656</v>
      </c>
      <c r="I9354" s="6" t="n">
        <f aca="false">Sens!I9335</f>
        <v>185.2609434842</v>
      </c>
      <c r="J9354" s="6" t="n">
        <f aca="false">Sens!J9335</f>
        <v>197.742460469106</v>
      </c>
      <c r="K9354" s="6" t="n">
        <f aca="false">Sens!K9335</f>
        <v>209.270365070315</v>
      </c>
    </row>
    <row r="9355" customFormat="false" ht="17.15" hidden="false" customHeight="false" outlineLevel="0" collapsed="false">
      <c r="A9355" s="1" t="s">
        <v>1098</v>
      </c>
      <c r="B9355" s="0" t="s">
        <v>98</v>
      </c>
      <c r="E9355" s="6" t="n">
        <f aca="false">Q!M38-Sens!E9273</f>
        <v>22.2285940229167</v>
      </c>
      <c r="F9355" s="6" t="n">
        <f aca="false">Sens!E9355*(1-1/life_nonai)+(Sens!F9363+Sens!F9364)/life_nonai</f>
        <v>23.580344216413</v>
      </c>
      <c r="G9355" s="6" t="n">
        <f aca="false">Sens!F9355*(1-1/life_nonai)+(Sens!G9363)/life_nonai</f>
        <v>25.3332753822466</v>
      </c>
      <c r="H9355" s="6" t="n">
        <f aca="false">Sens!G9355*(1-1/life_nonai)+(Sens!H9363)/life_nonai</f>
        <v>27.4447209869779</v>
      </c>
      <c r="I9355" s="6" t="n">
        <f aca="false">Sens!H9355*(1-1/life_nonai)+(Sens!I9363)/life_nonai</f>
        <v>29.8303357378336</v>
      </c>
      <c r="J9355" s="6" t="n">
        <f aca="false">Sens!I9355*(1-1/life_nonai)+(Sens!J9363)/life_nonai</f>
        <v>32.388068108211</v>
      </c>
      <c r="K9355" s="6" t="n">
        <f aca="false">Sens!J9355*(1-1/life_nonai)+(Sens!K9363)/life_nonai</f>
        <v>35.0168368845015</v>
      </c>
      <c r="L9355" s="12" t="s">
        <v>1099</v>
      </c>
    </row>
    <row r="9356" customFormat="false" ht="17.15" hidden="false" customHeight="false" outlineLevel="0" collapsed="false">
      <c r="A9356" s="1" t="s">
        <v>1100</v>
      </c>
      <c r="B9356" s="0" t="s">
        <v>98</v>
      </c>
      <c r="F9356" s="6" t="n">
        <f aca="false">Sens!$F$9364/life_nonai*(1-1/life_nonai)^(Sens!F9236-2027)</f>
        <v>0.00578704874653084</v>
      </c>
      <c r="G9356" s="6" t="n">
        <f aca="false">Sens!$F$9364/life_nonai*(1-1/life_nonai)^(Sens!G9236-2027)</f>
        <v>0.00520834387187776</v>
      </c>
      <c r="H9356" s="6" t="n">
        <f aca="false">Sens!$F$9364/life_nonai*(1-1/life_nonai)^(Sens!H9236-2027)</f>
        <v>0.00468750948468998</v>
      </c>
      <c r="I9356" s="6" t="n">
        <f aca="false">Sens!$F$9364/life_nonai*(1-1/life_nonai)^(Sens!I9236-2027)</f>
        <v>0.00421875853622099</v>
      </c>
      <c r="J9356" s="6" t="n">
        <f aca="false">Sens!$F$9364/life_nonai*(1-1/life_nonai)^(Sens!J9236-2027)</f>
        <v>0.00379688268259889</v>
      </c>
      <c r="K9356" s="6" t="n">
        <f aca="false">Sens!$F$9364/life_nonai*(1-1/life_nonai)^(Sens!K9236-2027)</f>
        <v>0.003417194414339</v>
      </c>
      <c r="L9356" s="1" t="s">
        <v>1101</v>
      </c>
    </row>
    <row r="9357" customFormat="false" ht="17.15" hidden="false" customHeight="false" outlineLevel="0" collapsed="false">
      <c r="A9357" s="1" t="s">
        <v>1102</v>
      </c>
      <c r="B9357" s="0" t="s">
        <v>98</v>
      </c>
      <c r="E9357" s="6" t="n">
        <f aca="false">Sens!E9273+Sens!E9355</f>
        <v>38.534</v>
      </c>
      <c r="F9357" s="6" t="n">
        <f aca="false">Sens!F9273+Sens!F9355</f>
        <v>58.1596586947647</v>
      </c>
      <c r="G9357" s="6" t="n">
        <f aca="false">Sens!G9273+Sens!G9355</f>
        <v>86.0677660345455</v>
      </c>
      <c r="H9357" s="6" t="n">
        <f aca="false">Sens!H9273+Sens!H9355</f>
        <v>116.544811648424</v>
      </c>
      <c r="I9357" s="6" t="n">
        <f aca="false">Sens!I9273+Sens!I9355</f>
        <v>144.061345432382</v>
      </c>
      <c r="J9357" s="6" t="n">
        <f aca="false">Sens!J9273+Sens!J9355</f>
        <v>164.403741157807</v>
      </c>
      <c r="K9357" s="6" t="n">
        <f aca="false">Sens!K9273+Sens!K9355</f>
        <v>178.029506435436</v>
      </c>
    </row>
    <row r="9358" customFormat="false" ht="17.15" hidden="false" customHeight="false" outlineLevel="0" collapsed="false">
      <c r="A9358" s="1" t="s">
        <v>1103</v>
      </c>
      <c r="B9358" s="0" t="s">
        <v>98</v>
      </c>
      <c r="F9358" s="6" t="n">
        <f aca="false">Sens!F9300*sbc_r</f>
        <v>14.9067307324098</v>
      </c>
      <c r="G9358" s="6" t="n">
        <f aca="false">Sens!G9300*sbc_r</f>
        <v>17.7651151586482</v>
      </c>
      <c r="H9358" s="6" t="n">
        <f aca="false">Sens!H9300*sbc_r</f>
        <v>20.659963374163</v>
      </c>
      <c r="I9358" s="6" t="n">
        <f aca="false">Sens!I9300*sbc_r</f>
        <v>23.2734614078385</v>
      </c>
      <c r="J9358" s="6" t="n">
        <f aca="false">Sens!J9300*sbc_r</f>
        <v>25.3498329271557</v>
      </c>
      <c r="K9358" s="6" t="n">
        <f aca="false">Sens!K9300*sbc_r</f>
        <v>26.9437381815458</v>
      </c>
    </row>
    <row r="9359" customFormat="false" ht="17.15" hidden="false" customHeight="false" outlineLevel="0" collapsed="false">
      <c r="A9359" s="1" t="s">
        <v>1104</v>
      </c>
      <c r="B9359" s="0" t="s">
        <v>98</v>
      </c>
      <c r="F9359" s="6" t="n">
        <f aca="false">wc27-wc26q1</f>
        <v>-4.677</v>
      </c>
      <c r="G9359" s="6" t="n">
        <f aca="false">wc_f</f>
        <v>0</v>
      </c>
      <c r="H9359" s="6" t="n">
        <f aca="false">wc_f</f>
        <v>0</v>
      </c>
      <c r="I9359" s="6" t="n">
        <f aca="false">wc_f</f>
        <v>0</v>
      </c>
      <c r="J9359" s="6" t="n">
        <f aca="false">wc_f</f>
        <v>0</v>
      </c>
      <c r="K9359" s="6" t="n">
        <f aca="false">wc_f</f>
        <v>0</v>
      </c>
      <c r="L9359" s="12" t="s">
        <v>1105</v>
      </c>
    </row>
    <row r="9360" customFormat="false" ht="17.15" hidden="false" customHeight="false" outlineLevel="0" collapsed="false">
      <c r="A9360" s="0" t="s">
        <v>1106</v>
      </c>
      <c r="B9360" s="0" t="s">
        <v>98</v>
      </c>
      <c r="F9360" s="6" t="n">
        <f aca="false">Q!$I$35-Q!$I$26-Q!$I$38-Q!$I$39</f>
        <v>6.493</v>
      </c>
      <c r="L9360" s="1" t="s">
        <v>1107</v>
      </c>
    </row>
    <row r="9361" customFormat="false" ht="15" hidden="false" customHeight="false" outlineLevel="0" collapsed="false">
      <c r="A9361" s="1" t="s">
        <v>904</v>
      </c>
      <c r="B9361" s="0" t="s">
        <v>98</v>
      </c>
      <c r="E9361" s="6" t="n">
        <f aca="false">Q!M35</f>
        <v>182.935</v>
      </c>
      <c r="F9361" s="6" t="n">
        <f aca="false">Sens!F9354+Sens!F9357+Sens!F9358+Sens!F9359+Sens!F9360</f>
        <v>219.454860670351</v>
      </c>
      <c r="G9361" s="6" t="n">
        <f aca="false">Sens!G9354+Sens!G9357+Sens!G9358+Sens!G9359</f>
        <v>260.056268629501</v>
      </c>
      <c r="H9361" s="6" t="n">
        <f aca="false">Sens!H9354+Sens!H9357+Sens!H9358+Sens!H9359</f>
        <v>308.535312937242</v>
      </c>
      <c r="I9361" s="6" t="n">
        <f aca="false">Sens!I9354+Sens!I9357+Sens!I9358+Sens!I9359</f>
        <v>352.59575032442</v>
      </c>
      <c r="J9361" s="6" t="n">
        <f aca="false">Sens!J9354+Sens!J9357+Sens!J9358+Sens!J9359</f>
        <v>387.496034554069</v>
      </c>
      <c r="K9361" s="6" t="n">
        <f aca="false">Sens!K9354+Sens!K9357+Sens!K9358+Sens!K9359</f>
        <v>414.243609687296</v>
      </c>
    </row>
    <row r="9362" customFormat="false" ht="17.15" hidden="false" customHeight="false" outlineLevel="0" collapsed="false">
      <c r="A9362" s="0" t="s">
        <v>1108</v>
      </c>
      <c r="B9362" s="0" t="s">
        <v>98</v>
      </c>
      <c r="F9362" s="6" t="n">
        <f aca="false">Sens!F9270</f>
        <v>168.45390404212</v>
      </c>
      <c r="G9362" s="6" t="n">
        <f aca="false">Sens!G9270</f>
        <v>191.944475649048</v>
      </c>
      <c r="H9362" s="6" t="n">
        <f aca="false">Sens!H9270</f>
        <v>196.806004064512</v>
      </c>
      <c r="I9362" s="6" t="n">
        <f aca="false">Sens!I9270</f>
        <v>168.61483362161</v>
      </c>
      <c r="J9362" s="6" t="n">
        <f aca="false">Sens!J9270</f>
        <v>128.92993119594</v>
      </c>
      <c r="K9362" s="6" t="n">
        <f aca="false">Sens!K9270</f>
        <v>118.962853064733</v>
      </c>
    </row>
    <row r="9363" customFormat="false" ht="17.15" hidden="false" customHeight="false" outlineLevel="0" collapsed="false">
      <c r="A9363" s="1" t="s">
        <v>1109</v>
      </c>
      <c r="B9363" s="0" t="s">
        <v>98</v>
      </c>
      <c r="E9363" s="6" t="n">
        <f aca="false">Sens!E9278*cx_azo+Sens!E9285*cx_m365+Sens!E9286*cx_lic+(Sens!E9288+Sens!E9290)*cx_ind+Sens!E9293*cx_srch+(Sens!E9295+Sens!E9297)*cx_dev</f>
        <v>30.1846587067718</v>
      </c>
      <c r="F9363" s="6" t="n">
        <f aca="false">Sens!F9278*cx_azo+Sens!F9285*cx_m365+Sens!F9286*cx_lic+(Sens!F9288+Sens!F9290)*cx_ind+Sens!F9293*cx_srch+(Sens!F9295+Sens!F9297)*cx_dev</f>
        <v>35.6882254704151</v>
      </c>
      <c r="G9363" s="6" t="n">
        <f aca="false">Sens!G9278*cx_azo+Sens!G9285*cx_m365+Sens!G9286*cx_lic+(Sens!G9288+Sens!G9290)*cx_ind+Sens!G9293*cx_srch+(Sens!G9295+Sens!G9297)*cx_dev</f>
        <v>41.1096558747483</v>
      </c>
      <c r="H9363" s="6" t="n">
        <f aca="false">Sens!H9278*cx_azo+Sens!H9285*cx_m365+Sens!H9286*cx_lic+(Sens!H9288+Sens!H9290)*cx_ind+Sens!H9293*cx_srch+(Sens!H9295+Sens!H9297)*cx_dev</f>
        <v>46.4477314295603</v>
      </c>
      <c r="I9363" s="6" t="n">
        <f aca="false">Sens!I9278*cx_azo+Sens!I9285*cx_m365+Sens!I9286*cx_lic+(Sens!I9288+Sens!I9290)*cx_ind+Sens!I9293*cx_srch+(Sens!I9295+Sens!I9297)*cx_dev</f>
        <v>51.3008684955343</v>
      </c>
      <c r="J9363" s="6" t="n">
        <f aca="false">Sens!J9278*cx_azo+Sens!J9285*cx_m365+Sens!J9286*cx_lic+(Sens!J9288+Sens!J9290)*cx_ind+Sens!J9293*cx_srch+(Sens!J9295+Sens!J9297)*cx_dev</f>
        <v>55.4076594416079</v>
      </c>
      <c r="K9363" s="6" t="n">
        <f aca="false">Sens!K9278*cx_azo+Sens!K9285*cx_m365+Sens!K9286*cx_lic+(Sens!K9288+Sens!K9290)*cx_ind+Sens!K9293*cx_srch+(Sens!K9295+Sens!K9297)*cx_dev</f>
        <v>58.6757558711153</v>
      </c>
    </row>
    <row r="9364" customFormat="false" ht="17.15" hidden="false" customHeight="false" outlineLevel="0" collapsed="false">
      <c r="A9364" s="0" t="s">
        <v>1110</v>
      </c>
      <c r="B9364" s="0" t="s">
        <v>98</v>
      </c>
      <c r="F9364" s="6" t="n">
        <f aca="false">Sens!F9268</f>
        <v>0.0578704874653084</v>
      </c>
      <c r="L9364" s="1" t="s">
        <v>1111</v>
      </c>
    </row>
    <row r="9365" customFormat="false" ht="17.15" hidden="false" customHeight="false" outlineLevel="0" collapsed="false">
      <c r="A9365" s="1" t="s">
        <v>1112</v>
      </c>
      <c r="B9365" s="0" t="s">
        <v>98</v>
      </c>
      <c r="E9365" s="6" t="n">
        <f aca="false">Q!M43</f>
        <v>145.3</v>
      </c>
      <c r="F9365" s="6" t="n">
        <f aca="false">Sens!F9362+Sens!F9363+Sens!F9364</f>
        <v>204.2</v>
      </c>
      <c r="G9365" s="6" t="n">
        <f aca="false">Sens!G9362+Sens!G9363</f>
        <v>233.054131523796</v>
      </c>
      <c r="H9365" s="6" t="n">
        <f aca="false">Sens!H9362+Sens!H9363</f>
        <v>243.253735494073</v>
      </c>
      <c r="I9365" s="6" t="n">
        <f aca="false">Sens!I9362+Sens!I9363</f>
        <v>219.915702117145</v>
      </c>
      <c r="J9365" s="6" t="n">
        <f aca="false">Sens!J9362+Sens!J9363</f>
        <v>184.337590637548</v>
      </c>
      <c r="K9365" s="6" t="n">
        <f aca="false">Sens!K9362+Sens!K9363</f>
        <v>177.638608935848</v>
      </c>
      <c r="L9365" s="1" t="s">
        <v>1113</v>
      </c>
    </row>
    <row r="9366" customFormat="false" ht="15" hidden="false" customHeight="false" outlineLevel="0" collapsed="false">
      <c r="A9366" s="1" t="s">
        <v>1114</v>
      </c>
      <c r="B9366" s="0" t="s">
        <v>98</v>
      </c>
      <c r="E9366" s="6" t="n">
        <f aca="false">fl_liab</f>
        <v>66.594</v>
      </c>
      <c r="F9366" s="6" t="n">
        <f aca="false">Sens!E9366-Sens!F9367</f>
        <v>62.46973</v>
      </c>
      <c r="G9366" s="6" t="n">
        <f aca="false">Sens!F9366-Sens!G9367</f>
        <v>57.98686785</v>
      </c>
      <c r="H9366" s="6" t="n">
        <f aca="false">Sens!G9366-Sens!H9367</f>
        <v>53.92827690325</v>
      </c>
      <c r="I9366" s="6" t="n">
        <f aca="false">Sens!H9366-Sens!I9367</f>
        <v>49.7850493638962</v>
      </c>
      <c r="J9366" s="6" t="n">
        <f aca="false">Sens!I9366-Sens!J9367</f>
        <v>45.4823765852716</v>
      </c>
      <c r="K9366" s="6" t="n">
        <f aca="false">Sens!J9366-Sens!K9367</f>
        <v>40.9860835316088</v>
      </c>
    </row>
    <row r="9367" customFormat="false" ht="15" hidden="false" customHeight="false" outlineLevel="0" collapsed="false">
      <c r="A9367" s="1" t="s">
        <v>1115</v>
      </c>
      <c r="B9367" s="0" t="s">
        <v>98</v>
      </c>
      <c r="F9367" s="6" t="n">
        <f aca="false">fl_pay_27-Sens!E9366*fl_rate</f>
        <v>4.12427</v>
      </c>
      <c r="G9367" s="6" t="n">
        <f aca="false">fl_pay_28-Sens!F9366*fl_rate</f>
        <v>4.48286215</v>
      </c>
      <c r="H9367" s="6" t="n">
        <f aca="false">fl_pay_29-Sens!G9366*fl_rate</f>
        <v>4.05859094675</v>
      </c>
      <c r="I9367" s="6" t="n">
        <f aca="false">fl_pay_30-Sens!H9366*fl_rate</f>
        <v>4.14322753935375</v>
      </c>
      <c r="J9367" s="6" t="n">
        <f aca="false">fl_pay_31-Sens!I9366*fl_rate</f>
        <v>4.30267277862467</v>
      </c>
      <c r="K9367" s="6" t="n">
        <f aca="false">fl_pay_32-Sens!J9366*fl_rate</f>
        <v>4.49629305366278</v>
      </c>
    </row>
    <row r="9368" customFormat="false" ht="17.15" hidden="false" customHeight="false" outlineLevel="0" collapsed="false">
      <c r="A9368" s="1" t="s">
        <v>1116</v>
      </c>
      <c r="B9368" s="0" t="s">
        <v>98</v>
      </c>
      <c r="E9368" s="6" t="n">
        <f aca="false">Q!M35-Q!M36-Q!M44</f>
        <v>63.886</v>
      </c>
      <c r="F9368" s="6" t="n">
        <f aca="false">Sens!F9361-Sens!F9365-Sens!F9367</f>
        <v>11.1305906703507</v>
      </c>
      <c r="G9368" s="6" t="n">
        <f aca="false">Sens!G9361-Sens!G9365-Sens!G9367</f>
        <v>22.5192749557049</v>
      </c>
      <c r="H9368" s="6" t="n">
        <f aca="false">Sens!H9361-Sens!H9365-Sens!H9367</f>
        <v>61.2229864964198</v>
      </c>
      <c r="I9368" s="6" t="n">
        <f aca="false">Sens!I9361-Sens!I9365-Sens!I9367</f>
        <v>128.536820667922</v>
      </c>
      <c r="J9368" s="6" t="n">
        <f aca="false">Sens!J9361-Sens!J9365-Sens!J9367</f>
        <v>198.855771137896</v>
      </c>
      <c r="K9368" s="6" t="n">
        <f aca="false">Sens!K9361-Sens!K9365-Sens!K9367</f>
        <v>232.108707697785</v>
      </c>
      <c r="L9368" s="12" t="s">
        <v>1117</v>
      </c>
    </row>
    <row r="9369" customFormat="false" ht="15" hidden="false" customHeight="false" outlineLevel="0" collapsed="false">
      <c r="A9369" s="1" t="s">
        <v>1118</v>
      </c>
      <c r="B9369" s="0" t="s">
        <v>75</v>
      </c>
      <c r="F9369" s="8" t="n">
        <f aca="false">dps_27</f>
        <v>3.85</v>
      </c>
      <c r="G9369" s="8" t="n">
        <f aca="false">Sens!F9369*(1+dps_g)</f>
        <v>4.158</v>
      </c>
      <c r="H9369" s="8" t="n">
        <f aca="false">Sens!G9369*(1+dps_g)</f>
        <v>4.49064</v>
      </c>
      <c r="I9369" s="8" t="n">
        <f aca="false">Sens!H9369*(1+dps_g)</f>
        <v>4.8498912</v>
      </c>
      <c r="J9369" s="8" t="n">
        <f aca="false">Sens!I9369*(1+dps_g)</f>
        <v>5.237882496</v>
      </c>
      <c r="K9369" s="8" t="n">
        <f aca="false">Sens!J9369*(1+dps_g)</f>
        <v>5.65691309568</v>
      </c>
    </row>
    <row r="9370" customFormat="false" ht="17.15" hidden="false" customHeight="false" outlineLevel="0" collapsed="false">
      <c r="A9370" s="1" t="s">
        <v>1119</v>
      </c>
      <c r="B9370" s="0" t="s">
        <v>98</v>
      </c>
      <c r="E9370" s="6" t="n">
        <f aca="false">Q!M41</f>
        <v>26.445</v>
      </c>
      <c r="F9370" s="6" t="n">
        <f aca="false">Sens!F9369*Sens!E9379</f>
        <v>28.59395</v>
      </c>
      <c r="G9370" s="6" t="n">
        <f aca="false">Sens!G9369*Sens!F9379</f>
        <v>31.0675991875743</v>
      </c>
      <c r="H9370" s="6" t="n">
        <f aca="false">Sens!H9369*Sens!G9379</f>
        <v>33.7550859225803</v>
      </c>
      <c r="I9370" s="6" t="n">
        <f aca="false">Sens!I9369*Sens!H9379</f>
        <v>36.5059310734593</v>
      </c>
      <c r="J9370" s="6" t="n">
        <f aca="false">Sens!J9369*Sens!I9379</f>
        <v>39.4943034447287</v>
      </c>
      <c r="K9370" s="6" t="n">
        <f aca="false">Sens!K9369*Sens!J9379</f>
        <v>42.7406019826853</v>
      </c>
      <c r="L9370" s="1" t="s">
        <v>1120</v>
      </c>
    </row>
    <row r="9371" customFormat="false" ht="15" hidden="false" customHeight="false" outlineLevel="0" collapsed="false">
      <c r="A9371" s="1" t="s">
        <v>1121</v>
      </c>
      <c r="B9371" s="0" t="s">
        <v>98</v>
      </c>
      <c r="E9371" s="6" t="n">
        <f aca="false">Sens!E9368-Sens!E9370</f>
        <v>37.441</v>
      </c>
      <c r="F9371" s="6" t="n">
        <f aca="false">Sens!F9368-Sens!F9370</f>
        <v>-17.4633593296493</v>
      </c>
      <c r="G9371" s="6" t="n">
        <f aca="false">Sens!G9368-Sens!G9370</f>
        <v>-8.54832423186946</v>
      </c>
      <c r="H9371" s="6" t="n">
        <f aca="false">Sens!H9368-Sens!H9370</f>
        <v>27.4679005738395</v>
      </c>
      <c r="I9371" s="6" t="n">
        <f aca="false">Sens!I9368-Sens!I9370</f>
        <v>92.0308895944628</v>
      </c>
      <c r="J9371" s="6" t="n">
        <f aca="false">Sens!J9368-Sens!J9370</f>
        <v>159.361467693167</v>
      </c>
      <c r="K9371" s="6" t="n">
        <f aca="false">Sens!K9368-Sens!K9370</f>
        <v>189.3681057151</v>
      </c>
    </row>
    <row r="9372" customFormat="false" ht="15" hidden="false" customHeight="false" outlineLevel="0" collapsed="false">
      <c r="A9372" s="1" t="s">
        <v>1122</v>
      </c>
      <c r="B9372" s="0" t="s">
        <v>98</v>
      </c>
      <c r="F9372" s="6" t="n">
        <f aca="false">debt_mat_27</f>
        <v>9.25</v>
      </c>
      <c r="G9372" s="6" t="n">
        <f aca="false">debt_mat_28</f>
        <v>0</v>
      </c>
      <c r="H9372" s="6" t="n">
        <f aca="false">debt_mat_29</f>
        <v>2.001</v>
      </c>
      <c r="I9372" s="6" t="n">
        <f aca="false">debt_mat_30</f>
        <v>0</v>
      </c>
      <c r="J9372" s="6" t="n">
        <f aca="false">debt_mat_31</f>
        <v>0.5</v>
      </c>
      <c r="K9372" s="6" t="n">
        <f aca="false">debt_mat_32</f>
        <v>0</v>
      </c>
    </row>
    <row r="9373" customFormat="false" ht="15" hidden="false" customHeight="false" outlineLevel="0" collapsed="false">
      <c r="A9373" s="1" t="s">
        <v>1123</v>
      </c>
      <c r="B9373" s="0" t="s">
        <v>98</v>
      </c>
      <c r="E9373" s="6" t="n">
        <f aca="false">Q!M40</f>
        <v>22.271</v>
      </c>
      <c r="F9373" s="6" t="n">
        <f aca="false">MAX(0,MIN(bb_target,Sens!E9375+Sens!F9371-Sens!F9372-min_cash))</f>
        <v>0.129640670350668</v>
      </c>
      <c r="G9373" s="6" t="n">
        <f aca="false">MAX(0,MIN(bb_target,Sens!F9375+Sens!G9371-Sens!G9372-min_cash))</f>
        <v>0</v>
      </c>
      <c r="H9373" s="6" t="n">
        <f aca="false">MAX(0,MIN(bb_target,Sens!G9375+Sens!H9371-Sens!H9372-min_cash))</f>
        <v>22.271</v>
      </c>
      <c r="I9373" s="6" t="n">
        <f aca="false">MAX(0,MIN(bb_target,Sens!H9375+Sens!I9371-Sens!I9372-min_cash))</f>
        <v>22.271</v>
      </c>
      <c r="J9373" s="6" t="n">
        <f aca="false">MAX(0,MIN(bb_target,Sens!I9375+Sens!J9371-Sens!J9372-min_cash))</f>
        <v>22.271</v>
      </c>
      <c r="K9373" s="6" t="n">
        <f aca="false">MAX(0,MIN(bb_target,Sens!J9375+Sens!K9371-Sens!K9372-min_cash))</f>
        <v>22.271</v>
      </c>
    </row>
    <row r="9374" customFormat="false" ht="15" hidden="false" customHeight="false" outlineLevel="0" collapsed="false">
      <c r="A9374" s="1" t="s">
        <v>1124</v>
      </c>
      <c r="B9374" s="0" t="s">
        <v>98</v>
      </c>
      <c r="F9374" s="6" t="n">
        <f aca="false">MAX(0,min_cash-(Sens!E9375+Sens!F9371-Sens!F9372-Sens!F9373))</f>
        <v>0</v>
      </c>
      <c r="G9374" s="6" t="n">
        <f aca="false">MAX(0,min_cash-(Sens!F9375+Sens!G9371-Sens!G9372-Sens!G9373))</f>
        <v>8.54832423186946</v>
      </c>
      <c r="H9374" s="6" t="n">
        <f aca="false">MAX(0,min_cash-(Sens!G9375+Sens!H9371-Sens!H9372-Sens!H9373))</f>
        <v>0</v>
      </c>
      <c r="I9374" s="6" t="n">
        <f aca="false">MAX(0,min_cash-(Sens!H9375+Sens!I9371-Sens!I9372-Sens!I9373))</f>
        <v>0</v>
      </c>
      <c r="J9374" s="6" t="n">
        <f aca="false">MAX(0,min_cash-(Sens!I9375+Sens!J9371-Sens!J9372-Sens!J9373))</f>
        <v>0</v>
      </c>
      <c r="K9374" s="6" t="n">
        <f aca="false">MAX(0,min_cash-(Sens!J9375+Sens!K9371-Sens!K9372-Sens!K9373))</f>
        <v>0</v>
      </c>
    </row>
    <row r="9375" customFormat="false" ht="15" hidden="false" customHeight="false" outlineLevel="0" collapsed="false">
      <c r="A9375" s="1" t="s">
        <v>1125</v>
      </c>
      <c r="B9375" s="0" t="s">
        <v>98</v>
      </c>
      <c r="E9375" s="6" t="n">
        <f aca="false">cash_open</f>
        <v>76.843</v>
      </c>
      <c r="F9375" s="6" t="n">
        <f aca="false">Sens!E9375+Sens!F9371-Sens!F9372-Sens!F9373+Sens!F9374</f>
        <v>50</v>
      </c>
      <c r="G9375" s="6" t="n">
        <f aca="false">Sens!F9375+Sens!G9371-Sens!G9372-Sens!G9373+Sens!G9374</f>
        <v>50</v>
      </c>
      <c r="H9375" s="6" t="n">
        <f aca="false">Sens!G9375+Sens!H9371-Sens!H9372-Sens!H9373+Sens!H9374</f>
        <v>53.1959005738395</v>
      </c>
      <c r="I9375" s="6" t="n">
        <f aca="false">Sens!H9375+Sens!I9371-Sens!I9372-Sens!I9373+Sens!I9374</f>
        <v>122.955790168302</v>
      </c>
      <c r="J9375" s="6" t="n">
        <f aca="false">Sens!I9375+Sens!J9371-Sens!J9372-Sens!J9373+Sens!J9374</f>
        <v>259.54625786147</v>
      </c>
      <c r="K9375" s="6" t="n">
        <f aca="false">Sens!J9375+Sens!K9371-Sens!K9372-Sens!K9373+Sens!K9374</f>
        <v>426.643363576569</v>
      </c>
    </row>
    <row r="9376" customFormat="false" ht="15" hidden="false" customHeight="false" outlineLevel="0" collapsed="false">
      <c r="A9376" s="1" t="s">
        <v>1126</v>
      </c>
      <c r="B9376" s="0" t="s">
        <v>98</v>
      </c>
      <c r="E9376" s="6" t="n">
        <f aca="false">debt_face</f>
        <v>46.136</v>
      </c>
      <c r="F9376" s="6" t="n">
        <f aca="false">Sens!E9376-Sens!F9372+Sens!F9374</f>
        <v>36.886</v>
      </c>
      <c r="G9376" s="6" t="n">
        <f aca="false">Sens!F9376-Sens!G9372+Sens!G9374</f>
        <v>45.4343242318695</v>
      </c>
      <c r="H9376" s="6" t="n">
        <f aca="false">Sens!G9376-Sens!H9372+Sens!H9374</f>
        <v>43.4333242318695</v>
      </c>
      <c r="I9376" s="6" t="n">
        <f aca="false">Sens!H9376-Sens!I9372+Sens!I9374</f>
        <v>43.4333242318695</v>
      </c>
      <c r="J9376" s="6" t="n">
        <f aca="false">Sens!I9376-Sens!J9372+Sens!J9374</f>
        <v>42.9333242318695</v>
      </c>
      <c r="K9376" s="6" t="n">
        <f aca="false">Sens!J9376-Sens!K9372+Sens!K9374</f>
        <v>42.9333242318695</v>
      </c>
    </row>
    <row r="9377" customFormat="false" ht="15" hidden="false" customHeight="false" outlineLevel="0" collapsed="false">
      <c r="A9377" s="1" t="s">
        <v>1127</v>
      </c>
      <c r="B9377" s="0" t="s">
        <v>98</v>
      </c>
      <c r="E9377" s="6" t="n">
        <f aca="false">Sens!E9375-Sens!E9376</f>
        <v>30.707</v>
      </c>
      <c r="F9377" s="6" t="n">
        <f aca="false">Sens!F9375-Sens!F9376</f>
        <v>13.114</v>
      </c>
      <c r="G9377" s="6" t="n">
        <f aca="false">Sens!G9375-Sens!G9376</f>
        <v>4.56567576813054</v>
      </c>
      <c r="H9377" s="6" t="n">
        <f aca="false">Sens!H9375-Sens!H9376</f>
        <v>9.76257634197006</v>
      </c>
      <c r="I9377" s="6" t="n">
        <f aca="false">Sens!I9375-Sens!I9376</f>
        <v>79.5224659364328</v>
      </c>
      <c r="J9377" s="6" t="n">
        <f aca="false">Sens!J9375-Sens!J9376</f>
        <v>216.6129336296</v>
      </c>
      <c r="K9377" s="6" t="n">
        <f aca="false">Sens!K9375-Sens!K9376</f>
        <v>383.7100393447</v>
      </c>
    </row>
    <row r="9378" customFormat="false" ht="15" hidden="false" customHeight="false" outlineLevel="0" collapsed="false">
      <c r="A9378" s="1" t="s">
        <v>1128</v>
      </c>
      <c r="B9378" s="0" t="s">
        <v>75</v>
      </c>
      <c r="F9378" s="30" t="n">
        <f aca="false">px*(1+bb_g)^(Sens!F9236-base_fy-mid_yr)</f>
        <v>551.84177959629</v>
      </c>
      <c r="G9378" s="30" t="n">
        <f aca="false">px*(1+bb_g)^(Sens!G9236-base_fy-mid_yr)</f>
        <v>595.989121963993</v>
      </c>
      <c r="H9378" s="30" t="n">
        <f aca="false">px*(1+bb_g)^(Sens!H9236-base_fy-mid_yr)</f>
        <v>643.668251721112</v>
      </c>
      <c r="I9378" s="30" t="n">
        <f aca="false">px*(1+bb_g)^(Sens!I9236-base_fy-mid_yr)</f>
        <v>695.161711858801</v>
      </c>
      <c r="J9378" s="30" t="n">
        <f aca="false">px*(1+bb_g)^(Sens!J9236-base_fy-mid_yr)</f>
        <v>750.774648807506</v>
      </c>
      <c r="K9378" s="30" t="n">
        <f aca="false">px*(1+bb_g)^(Sens!K9236-base_fy-mid_yr)</f>
        <v>810.836620712106</v>
      </c>
    </row>
    <row r="9379" customFormat="false" ht="15" hidden="false" customHeight="false" outlineLevel="0" collapsed="false">
      <c r="A9379" s="1" t="s">
        <v>1129</v>
      </c>
      <c r="B9379" s="1" t="s">
        <v>81</v>
      </c>
      <c r="E9379" s="15" t="n">
        <f aca="false">sh_out26</f>
        <v>7.427</v>
      </c>
      <c r="F9379" s="15" t="n">
        <f aca="false">Sens!E9379+sh_iss-Sens!F9373/Sens!F9378</f>
        <v>7.4717650763767</v>
      </c>
      <c r="G9379" s="15" t="n">
        <f aca="false">Sens!F9379+sh_iss-Sens!G9373/Sens!G9378</f>
        <v>7.5167650763767</v>
      </c>
      <c r="H9379" s="15" t="n">
        <f aca="false">Sens!G9379+sh_iss-Sens!H9373/Sens!H9378</f>
        <v>7.5271649544343</v>
      </c>
      <c r="I9379" s="15" t="n">
        <f aca="false">Sens!H9379+sh_iss-Sens!I9373/Sens!I9378</f>
        <v>7.54012780448764</v>
      </c>
      <c r="J9379" s="15" t="n">
        <f aca="false">Sens!I9379+sh_iss-Sens!J9373/Sens!J9378</f>
        <v>7.55546377675925</v>
      </c>
      <c r="K9379" s="15" t="n">
        <f aca="false">Sens!J9379+sh_iss-Sens!K9373/Sens!K9378</f>
        <v>7.57299708441814</v>
      </c>
    </row>
    <row r="9380" customFormat="false" ht="15" hidden="false" customHeight="false" outlineLevel="0" collapsed="false">
      <c r="A9380" s="1" t="s">
        <v>1130</v>
      </c>
      <c r="B9380" s="1" t="s">
        <v>81</v>
      </c>
      <c r="E9380" s="15" t="n">
        <f aca="false">sh_dil26</f>
        <v>7.453</v>
      </c>
      <c r="F9380" s="15" t="n">
        <f aca="false">(Sens!E9379+Sens!F9379)/2+dil_gap</f>
        <v>7.47338253818835</v>
      </c>
      <c r="G9380" s="15" t="n">
        <f aca="false">(Sens!F9379+Sens!G9379)/2+dil_gap</f>
        <v>7.5182650763767</v>
      </c>
      <c r="H9380" s="15" t="n">
        <f aca="false">(Sens!G9379+Sens!H9379)/2+dil_gap</f>
        <v>7.5459650154055</v>
      </c>
      <c r="I9380" s="15" t="n">
        <f aca="false">(Sens!H9379+Sens!I9379)/2+dil_gap</f>
        <v>7.55764637946097</v>
      </c>
      <c r="J9380" s="15" t="n">
        <f aca="false">(Sens!I9379+Sens!J9379)/2+dil_gap</f>
        <v>7.57179579062344</v>
      </c>
      <c r="K9380" s="15" t="n">
        <f aca="false">(Sens!J9379+Sens!K9379)/2+dil_gap</f>
        <v>7.5882304305887</v>
      </c>
    </row>
    <row r="9381" customFormat="false" ht="17.15" hidden="false" customHeight="false" outlineLevel="0" collapsed="false">
      <c r="A9381" s="1" t="s">
        <v>1131</v>
      </c>
      <c r="B9381" s="0" t="s">
        <v>98</v>
      </c>
      <c r="C9381" s="6" t="n">
        <f aca="false">SUM(Sens!F9371:J9371)</f>
        <v>252.848574299951</v>
      </c>
    </row>
    <row r="9382" customFormat="false" ht="15" hidden="false" customHeight="false" outlineLevel="0" collapsed="false">
      <c r="A9382" s="26" t="s">
        <v>1096</v>
      </c>
      <c r="B9382" s="31" t="s">
        <v>98</v>
      </c>
      <c r="C9382" s="27" t="n">
        <f aca="false">Sens!$C$9381-(Sens!F9371+Sens!G9371+Sens!H9371+Sens!I9371+Sens!J9371)</f>
        <v>0</v>
      </c>
      <c r="D9382" s="31"/>
      <c r="E9382" s="31"/>
      <c r="F9382" s="31"/>
      <c r="G9382" s="31"/>
      <c r="H9382" s="31"/>
      <c r="I9382" s="31"/>
      <c r="J9382" s="31"/>
      <c r="K9382" s="31"/>
    </row>
    <row r="9383" customFormat="false" ht="17.15" hidden="false" customHeight="false" outlineLevel="0" collapsed="false">
      <c r="A9383" s="1" t="s">
        <v>1090</v>
      </c>
      <c r="B9383" s="1" t="s">
        <v>1132</v>
      </c>
      <c r="C9383" s="33" t="str">
        <f aca="false">IF(SUM(Sens!F9374:J9374)&gt;0.05,"需要舉債 "&amp;TEXT(SUM(Sens!F9374:J9374),"0.0")&amp;" 十億美元","不需舉債")&amp;"；"&amp;IF(SUM(Sens!F9373:J9373)&lt;COUNT(Sens!F9373:J9373)*bb_target-0.05,"回購較每年 "&amp;TEXT(bb_target,"0.0")&amp;" 的目標少 "&amp;TEXT(COUNT(Sens!F9373:J9373)*bb_target-SUM(Sens!F9373:J9373),"0.0")&amp;" 十億美元（"&amp;TEXT(COUNTIF(Sens!F9373:J9373,"&lt;"&amp;(bb_target-0.05)),"0")&amp;" 年減少）","回購不減")</f>
        <v>需要舉債 8.5 十億美元；回購較每年 22.3 的目標少 44.4 十億美元（2 年減少）</v>
      </c>
    </row>
    <row r="9384" customFormat="false" ht="17.15" hidden="false" customHeight="false" outlineLevel="0" collapsed="false">
      <c r="A9384" s="3" t="s">
        <v>1714</v>
      </c>
    </row>
    <row r="9385" customFormat="false" ht="15" hidden="false" customHeight="false" outlineLevel="0" collapsed="false">
      <c r="A9385" s="4" t="s">
        <v>43</v>
      </c>
      <c r="B9385" s="4" t="s">
        <v>65</v>
      </c>
      <c r="C9385" s="23" t="s">
        <v>938</v>
      </c>
      <c r="D9385" s="23" t="s">
        <v>939</v>
      </c>
      <c r="E9385" s="23" t="s">
        <v>940</v>
      </c>
      <c r="F9385" s="23" t="s">
        <v>941</v>
      </c>
      <c r="G9385" s="23" t="s">
        <v>942</v>
      </c>
      <c r="H9385" s="23" t="s">
        <v>943</v>
      </c>
      <c r="I9385" s="23" t="s">
        <v>944</v>
      </c>
      <c r="J9385" s="23" t="s">
        <v>945</v>
      </c>
      <c r="K9385" s="23" t="s">
        <v>946</v>
      </c>
      <c r="L9385" s="4" t="s">
        <v>47</v>
      </c>
    </row>
    <row r="9386" customFormat="false" ht="17.15" hidden="false" customHeight="false" outlineLevel="0" collapsed="false">
      <c r="A9386" s="1" t="s">
        <v>1212</v>
      </c>
      <c r="B9386" s="1" t="s">
        <v>279</v>
      </c>
      <c r="F9386" s="8" t="n">
        <f aca="false">(1-v_off)*mid_yr</f>
        <v>0.373972602739726</v>
      </c>
      <c r="G9386" s="8" t="n">
        <f aca="false">Sens!G9236-base_fy-mid_yr-v_off</f>
        <v>1.24794520547945</v>
      </c>
      <c r="H9386" s="8" t="n">
        <f aca="false">Sens!H9236-base_fy-mid_yr-v_off</f>
        <v>2.24794520547945</v>
      </c>
      <c r="I9386" s="8" t="n">
        <f aca="false">Sens!I9236-base_fy-mid_yr-v_off</f>
        <v>3.24794520547945</v>
      </c>
      <c r="J9386" s="8" t="n">
        <f aca="false">Sens!J9236-base_fy-mid_yr-v_off</f>
        <v>4.24794520547945</v>
      </c>
      <c r="K9386" s="8" t="n">
        <f aca="false">Sens!K9236-base_fy-mid_yr-v_off</f>
        <v>5.24794520547945</v>
      </c>
      <c r="L9386" s="12" t="s">
        <v>1213</v>
      </c>
    </row>
    <row r="9387" customFormat="false" ht="15" hidden="false" customHeight="false" outlineLevel="0" collapsed="false">
      <c r="A9387" s="1" t="s">
        <v>1214</v>
      </c>
      <c r="B9387" s="1" t="s">
        <v>279</v>
      </c>
      <c r="F9387" s="8" t="n">
        <f aca="false">Sens!F9236-base_fy-v_off</f>
        <v>0.747945205479452</v>
      </c>
      <c r="G9387" s="8" t="n">
        <f aca="false">Sens!G9236-base_fy-v_off</f>
        <v>1.74794520547945</v>
      </c>
      <c r="H9387" s="8" t="n">
        <f aca="false">Sens!H9236-base_fy-v_off</f>
        <v>2.74794520547945</v>
      </c>
      <c r="I9387" s="8" t="n">
        <f aca="false">Sens!I9236-base_fy-v_off</f>
        <v>3.74794520547945</v>
      </c>
      <c r="J9387" s="8" t="n">
        <f aca="false">Sens!J9236-base_fy-v_off</f>
        <v>4.74794520547945</v>
      </c>
      <c r="K9387" s="8" t="n">
        <f aca="false">Sens!K9236-base_fy-v_off</f>
        <v>5.74794520547945</v>
      </c>
    </row>
    <row r="9388" customFormat="false" ht="15" hidden="false" customHeight="false" outlineLevel="0" collapsed="false">
      <c r="A9388" s="1" t="s">
        <v>1215</v>
      </c>
      <c r="B9388" s="0" t="s">
        <v>229</v>
      </c>
      <c r="F9388" s="15" t="n">
        <f aca="false">1/(1+wacc)^Sens!F9386</f>
        <v>0.964022703286649</v>
      </c>
      <c r="G9388" s="15" t="n">
        <f aca="false">1/(1+wacc)^Sens!G9386</f>
        <v>0.884910302296739</v>
      </c>
      <c r="H9388" s="15" t="n">
        <f aca="false">1/(1+wacc)^Sens!H9386</f>
        <v>0.802322009770358</v>
      </c>
      <c r="I9388" s="15" t="n">
        <f aca="false">1/(1+wacc)^Sens!I9386</f>
        <v>0.727441646561469</v>
      </c>
      <c r="J9388" s="15" t="n">
        <f aca="false">1/(1+wacc)^Sens!J9386</f>
        <v>0.659549834988973</v>
      </c>
      <c r="K9388" s="15" t="n">
        <f aca="false">1/(1+wacc)^Sens!K9386</f>
        <v>0.597994336576966</v>
      </c>
    </row>
    <row r="9389" customFormat="false" ht="17.15" hidden="false" customHeight="false" outlineLevel="0" collapsed="false">
      <c r="A9389" s="1" t="s">
        <v>1216</v>
      </c>
      <c r="B9389" s="0" t="s">
        <v>98</v>
      </c>
      <c r="F9389" s="6" t="n">
        <f aca="false">Q!$I$35-Q!$I$39-Q!$I$43</f>
        <v>9.666</v>
      </c>
      <c r="L9389" s="12" t="s">
        <v>1217</v>
      </c>
    </row>
    <row r="9390" customFormat="false" ht="17.15" hidden="false" customHeight="false" outlineLevel="0" collapsed="false">
      <c r="A9390" s="1" t="s">
        <v>1218</v>
      </c>
      <c r="B9390" s="0" t="s">
        <v>98</v>
      </c>
      <c r="F9390" s="6" t="n">
        <f aca="false">Sens!F9361-Sens!F9358-Sens!F9365+Sens!F9343*(1-tax_f)*(1-v_off)-Sens!F9389</f>
        <v>-3.48997509952772</v>
      </c>
      <c r="G9390" s="6" t="n">
        <f aca="false">Sens!G9361-Sens!G9358-Sens!G9365+Sens!G9343*(1-tax_f)</f>
        <v>29.4572928238404</v>
      </c>
      <c r="H9390" s="6" t="n">
        <f aca="false">Sens!H9361-Sens!H9358-Sens!H9365+Sens!H9343*(1-tax_f)</f>
        <v>78.4488343648426</v>
      </c>
      <c r="I9390" s="6" t="n">
        <f aca="false">Sens!I9361-Sens!I9358-Sens!I9365+Sens!I9343*(1-tax_f)</f>
        <v>155.570541712702</v>
      </c>
      <c r="J9390" s="6" t="n">
        <f aca="false">Sens!J9361-Sens!J9358-Sens!J9365+Sens!J9343*(1-tax_f)</f>
        <v>232.594892662021</v>
      </c>
      <c r="K9390" s="6" t="n">
        <f aca="false">Sens!K9361-Sens!K9358-Sens!K9365+Sens!K9343*(1-tax_f)</f>
        <v>269.149132565362</v>
      </c>
      <c r="L9390" s="1" t="s">
        <v>1219</v>
      </c>
    </row>
    <row r="9391" customFormat="false" ht="15" hidden="false" customHeight="false" outlineLevel="0" collapsed="false">
      <c r="A9391" s="1" t="s">
        <v>1220</v>
      </c>
      <c r="B9391" s="0" t="s">
        <v>98</v>
      </c>
      <c r="F9391" s="6" t="n">
        <f aca="false">Sens!F9390*Sens!F9388</f>
        <v>-3.3644152298498</v>
      </c>
      <c r="G9391" s="6" t="n">
        <f aca="false">Sens!G9390*Sens!G9388</f>
        <v>26.0670618975882</v>
      </c>
      <c r="H9391" s="6" t="n">
        <f aca="false">Sens!H9390*Sens!H9388</f>
        <v>62.9412264517424</v>
      </c>
      <c r="I9391" s="6" t="n">
        <f aca="false">Sens!I9390*Sens!I9388</f>
        <v>113.168491019948</v>
      </c>
      <c r="J9391" s="6" t="n">
        <f aca="false">Sens!J9390*Sens!J9388</f>
        <v>153.407923074514</v>
      </c>
      <c r="K9391" s="6" t="n">
        <f aca="false">Sens!K9390*Sens!K9388</f>
        <v>160.949656968689</v>
      </c>
    </row>
    <row r="9392" customFormat="false" ht="17.15" hidden="false" customHeight="false" outlineLevel="0" collapsed="false">
      <c r="A9392" s="1" t="s">
        <v>1221</v>
      </c>
      <c r="B9392" s="0" t="s">
        <v>98</v>
      </c>
      <c r="C9392" s="6" t="n">
        <f aca="false">SUM(Sens!F9391:K9391)</f>
        <v>513.169944182632</v>
      </c>
    </row>
    <row r="9393" customFormat="false" ht="17.15" hidden="false" customHeight="false" outlineLevel="0" collapsed="false">
      <c r="A9393" s="1" t="s">
        <v>1222</v>
      </c>
      <c r="B9393" s="0" t="s">
        <v>98</v>
      </c>
      <c r="C9393" s="6" t="n">
        <f aca="false">Sens!K9329*(1+g_tv)*(1-tax_f)</f>
        <v>277.809782117748</v>
      </c>
    </row>
    <row r="9394" customFormat="false" ht="17.15" hidden="false" customHeight="false" outlineLevel="0" collapsed="false">
      <c r="A9394" s="1" t="s">
        <v>1223</v>
      </c>
      <c r="B9394" s="0" t="s">
        <v>98</v>
      </c>
      <c r="C9394" s="6" t="n">
        <f aca="false">Sens!$C$9393*(1-g_tv/(wacc+ronic_prem))</f>
        <v>196.844467578264</v>
      </c>
    </row>
    <row r="9395" customFormat="false" ht="17.15" hidden="false" customHeight="false" outlineLevel="0" collapsed="false">
      <c r="A9395" s="1" t="s">
        <v>1224</v>
      </c>
      <c r="B9395" s="0" t="s">
        <v>98</v>
      </c>
      <c r="C9395" s="6" t="n">
        <f aca="false">Sens!$C$9394/(wacc-g_tv)</f>
        <v>2698.84381798278</v>
      </c>
    </row>
    <row r="9396" customFormat="false" ht="15" hidden="false" customHeight="false" outlineLevel="0" collapsed="false">
      <c r="A9396" s="1" t="s">
        <v>1225</v>
      </c>
      <c r="B9396" s="0" t="s">
        <v>98</v>
      </c>
      <c r="C9396" s="6" t="n">
        <f aca="false">Sens!$C$9395/(1+wacc)^Sens!K9387</f>
        <v>1536.73701120572</v>
      </c>
    </row>
    <row r="9397" customFormat="false" ht="17.15" hidden="false" customHeight="false" outlineLevel="0" collapsed="false">
      <c r="A9397" s="0" t="s">
        <v>1226</v>
      </c>
      <c r="B9397" s="0" t="s">
        <v>98</v>
      </c>
      <c r="C9397" s="6" t="n">
        <f aca="false">Sens!$C$9392+Sens!$C$9396</f>
        <v>2049.90695538836</v>
      </c>
    </row>
    <row r="9398" customFormat="false" ht="15" hidden="false" customHeight="false" outlineLevel="0" collapsed="false">
      <c r="A9398" s="1" t="s">
        <v>1141</v>
      </c>
      <c r="B9398" s="0" t="s">
        <v>168</v>
      </c>
      <c r="C9398" s="7" t="n">
        <f aca="false">Sens!$C$9396/Sens!$C$9397</f>
        <v>0.749661835707362</v>
      </c>
    </row>
    <row r="9399" customFormat="false" ht="17.15" hidden="false" customHeight="false" outlineLevel="0" collapsed="false">
      <c r="A9399" s="1" t="s">
        <v>1227</v>
      </c>
      <c r="B9399" s="0" t="s">
        <v>98</v>
      </c>
      <c r="C9399" s="6" t="n">
        <f aca="false">Sens!$C$9397+cash_val-debt_val-fl_val+oai_v</f>
        <v>2165.75795538836</v>
      </c>
    </row>
    <row r="9400" customFormat="false" ht="17.15" hidden="false" customHeight="false" outlineLevel="0" collapsed="false">
      <c r="A9400" s="0" t="s">
        <v>1149</v>
      </c>
      <c r="B9400" s="0" t="s">
        <v>75</v>
      </c>
      <c r="C9400" s="5" t="n">
        <f aca="false">Sens!$C$9399/shd_val</f>
        <v>290.86193330491</v>
      </c>
    </row>
    <row r="9401" customFormat="false" ht="15" hidden="false" customHeight="false" outlineLevel="0" collapsed="false">
      <c r="A9401" s="1" t="s">
        <v>1228</v>
      </c>
      <c r="B9401" s="0" t="s">
        <v>75</v>
      </c>
      <c r="C9401" s="8" t="n">
        <f aca="false">div_rem27+Sens!G9369*roll_div_q/q_per_yr</f>
        <v>3.9795</v>
      </c>
    </row>
    <row r="9402" customFormat="false" ht="17.15" hidden="false" customHeight="false" outlineLevel="0" collapsed="false">
      <c r="A9402" s="0" t="s">
        <v>1229</v>
      </c>
      <c r="B9402" s="0" t="s">
        <v>75</v>
      </c>
      <c r="C9402" s="5" t="n">
        <f aca="false">Sens!$C$9400*(1+wacc)^t_roll-Sens!$C$9401</f>
        <v>319.329772089254</v>
      </c>
    </row>
    <row r="9403" customFormat="false" ht="17.15" hidden="false" customHeight="false" outlineLevel="0" collapsed="false">
      <c r="A9403" s="1" t="s">
        <v>1230</v>
      </c>
      <c r="B9403" s="0" t="s">
        <v>168</v>
      </c>
      <c r="F9403" s="7" t="n">
        <f aca="false">Sens!F9355/(Sens!F9300-Sens!F9255)</f>
        <v>0.0686773755123271</v>
      </c>
      <c r="G9403" s="7" t="n">
        <f aca="false">Sens!G9355/(Sens!G9300-Sens!G9255)</f>
        <v>0.0659830274261803</v>
      </c>
      <c r="H9403" s="7" t="n">
        <f aca="false">Sens!H9355/(Sens!H9300-Sens!H9255)</f>
        <v>0.0646568267646406</v>
      </c>
      <c r="I9403" s="7" t="n">
        <f aca="false">Sens!I9355/(Sens!I9300-Sens!I9255)</f>
        <v>0.0645715076085011</v>
      </c>
      <c r="J9403" s="7" t="n">
        <f aca="false">Sens!J9355/(Sens!J9300-Sens!J9255)</f>
        <v>0.0654388961907723</v>
      </c>
      <c r="K9403" s="7" t="n">
        <f aca="false">Sens!K9355/(Sens!K9300-Sens!K9255)</f>
        <v>0.0668979942613621</v>
      </c>
    </row>
    <row r="9404" customFormat="false" ht="17.15" hidden="false" customHeight="false" outlineLevel="0" collapsed="false">
      <c r="A9404" s="0" t="s">
        <v>1231</v>
      </c>
      <c r="B9404" s="0" t="s">
        <v>98</v>
      </c>
      <c r="F9404" s="6" t="n">
        <f aca="false">Sens!F9285*(al_m365+Sens!F9403+sbc_r)</f>
        <v>83.7274171026559</v>
      </c>
      <c r="G9404" s="6" t="n">
        <f aca="false">Sens!G9285*(al_m365+Sens!G9403+sbc_r)</f>
        <v>96.1505904008809</v>
      </c>
      <c r="H9404" s="6" t="n">
        <f aca="false">Sens!H9285*(al_m365+Sens!H9403+sbc_r)</f>
        <v>108.744939601875</v>
      </c>
      <c r="I9404" s="6" t="n">
        <f aca="false">Sens!I9285*(al_m365+Sens!I9403+sbc_r)</f>
        <v>120.329328767385</v>
      </c>
      <c r="J9404" s="6" t="n">
        <f aca="false">Sens!J9285*(al_m365+Sens!J9403+sbc_r)</f>
        <v>130.714761261961</v>
      </c>
      <c r="K9404" s="6" t="n">
        <f aca="false">Sens!K9285*(al_m365+Sens!K9403+sbc_r)</f>
        <v>140.715065019374</v>
      </c>
      <c r="L9404" s="12" t="s">
        <v>1232</v>
      </c>
    </row>
    <row r="9405" customFormat="false" ht="17.15" hidden="false" customHeight="false" outlineLevel="0" collapsed="false">
      <c r="A9405" s="0" t="s">
        <v>1233</v>
      </c>
      <c r="B9405" s="0" t="s">
        <v>98</v>
      </c>
      <c r="F9405" s="6" t="n">
        <f aca="false">Sens!F9286*(al_lic+Sens!F9403+sbc_r)</f>
        <v>32.8599847105985</v>
      </c>
      <c r="G9405" s="6" t="n">
        <f aca="false">Sens!G9286*(al_lic+Sens!G9403+sbc_r)</f>
        <v>34.1436150297706</v>
      </c>
      <c r="H9405" s="6" t="n">
        <f aca="false">Sens!H9286*(al_lic+Sens!H9403+sbc_r)</f>
        <v>35.3436609216039</v>
      </c>
      <c r="I9405" s="6" t="n">
        <f aca="false">Sens!I9286*(al_lic+Sens!I9403+sbc_r)</f>
        <v>36.4417491262934</v>
      </c>
      <c r="J9405" s="6" t="n">
        <f aca="false">Sens!J9286*(al_lic+Sens!J9403+sbc_r)</f>
        <v>37.4122015773954</v>
      </c>
      <c r="K9405" s="6" t="n">
        <f aca="false">Sens!K9286*(al_lic+Sens!K9403+sbc_r)</f>
        <v>38.2257345747056</v>
      </c>
    </row>
    <row r="9406" customFormat="false" ht="17.15" hidden="false" customHeight="false" outlineLevel="0" collapsed="false">
      <c r="A9406" s="0" t="s">
        <v>1234</v>
      </c>
      <c r="B9406" s="0" t="s">
        <v>98</v>
      </c>
      <c r="F9406" s="6" t="n">
        <f aca="false">Sens!F9288*(al_ind+Sens!F9403+sbc_r)</f>
        <v>9.06170707850718</v>
      </c>
      <c r="G9406" s="6" t="n">
        <f aca="false">Sens!G9288*(al_ind+Sens!G9403+sbc_r)</f>
        <v>9.83984194196229</v>
      </c>
      <c r="H9406" s="6" t="n">
        <f aca="false">Sens!H9288*(al_ind+Sens!H9403+sbc_r)</f>
        <v>10.6641052010675</v>
      </c>
      <c r="I9406" s="6" t="n">
        <f aca="false">Sens!I9288*(al_ind+Sens!I9403+sbc_r)</f>
        <v>11.5314428765139</v>
      </c>
      <c r="J9406" s="6" t="n">
        <f aca="false">Sens!J9288*(al_ind+Sens!J9403+sbc_r)</f>
        <v>12.4320767113081</v>
      </c>
      <c r="K9406" s="6" t="n">
        <f aca="false">Sens!K9288*(al_ind+Sens!K9403+sbc_r)</f>
        <v>13.3505056893097</v>
      </c>
    </row>
    <row r="9407" customFormat="false" ht="17.15" hidden="false" customHeight="false" outlineLevel="0" collapsed="false">
      <c r="A9407" s="0" t="s">
        <v>1235</v>
      </c>
      <c r="B9407" s="0" t="s">
        <v>98</v>
      </c>
      <c r="F9407" s="6" t="n">
        <f aca="false">Sens!F9290*(al_fro+Sens!F9403+sbc_r)</f>
        <v>3.55453554235432</v>
      </c>
      <c r="G9407" s="6" t="n">
        <f aca="false">Sens!G9290*(al_fro+Sens!G9403+sbc_r)</f>
        <v>3.76501191280686</v>
      </c>
      <c r="H9407" s="6" t="n">
        <f aca="false">Sens!H9290*(al_fro+Sens!H9403+sbc_r)</f>
        <v>4.0048720125662</v>
      </c>
      <c r="I9407" s="6" t="n">
        <f aca="false">Sens!I9290*(al_fro+Sens!I9403+sbc_r)</f>
        <v>4.27687351896684</v>
      </c>
      <c r="J9407" s="6" t="n">
        <f aca="false">Sens!J9290*(al_fro+Sens!J9403+sbc_r)</f>
        <v>4.58215310374472</v>
      </c>
      <c r="K9407" s="6" t="n">
        <f aca="false">Sens!K9290*(al_fro+Sens!K9403+sbc_r)</f>
        <v>4.92066309606894</v>
      </c>
    </row>
    <row r="9408" customFormat="false" ht="17.15" hidden="false" customHeight="false" outlineLevel="0" collapsed="false">
      <c r="A9408" s="0" t="s">
        <v>1236</v>
      </c>
      <c r="B9408" s="0" t="s">
        <v>98</v>
      </c>
      <c r="F9408" s="6" t="n">
        <f aca="false">Sens!F9293*(al_srch+Sens!F9403+sbc_r)</f>
        <v>11.1906834581738</v>
      </c>
      <c r="G9408" s="6" t="n">
        <f aca="false">Sens!G9293*(al_srch+Sens!G9403+sbc_r)</f>
        <v>12.2662903505473</v>
      </c>
      <c r="H9408" s="6" t="n">
        <f aca="false">Sens!H9293*(al_srch+Sens!H9403+sbc_r)</f>
        <v>13.388386557376</v>
      </c>
      <c r="I9408" s="6" t="n">
        <f aca="false">Sens!I9293*(al_srch+Sens!I9403+sbc_r)</f>
        <v>14.5463262637808</v>
      </c>
      <c r="J9408" s="6" t="n">
        <f aca="false">Sens!J9293*(al_srch+Sens!J9403+sbc_r)</f>
        <v>15.7200186703509</v>
      </c>
      <c r="K9408" s="6" t="n">
        <f aca="false">Sens!K9293*(al_srch+Sens!K9403+sbc_r)</f>
        <v>16.8813468230677</v>
      </c>
    </row>
    <row r="9409" customFormat="false" ht="17.15" hidden="false" customHeight="false" outlineLevel="0" collapsed="false">
      <c r="A9409" s="0" t="s">
        <v>1237</v>
      </c>
      <c r="B9409" s="0" t="s">
        <v>98</v>
      </c>
      <c r="F9409" s="6" t="n">
        <f aca="false">Sens!F9261-Sens!F9262+Sens!F9343</f>
        <v>42.5431090240393</v>
      </c>
      <c r="G9409" s="6" t="n">
        <f aca="false">Sens!G9261-Sens!G9262+Sens!G9343</f>
        <v>81.4922561130847</v>
      </c>
      <c r="H9409" s="6" t="n">
        <f aca="false">Sens!H9261-Sens!H9262+Sens!H9343</f>
        <v>123.278266211349</v>
      </c>
      <c r="I9409" s="6" t="n">
        <f aca="false">Sens!I9261-Sens!I9262+Sens!I9343</f>
        <v>160.60594185192</v>
      </c>
      <c r="J9409" s="6" t="n">
        <f aca="false">Sens!J9261-Sens!J9262+Sens!J9343</f>
        <v>186.818741832633</v>
      </c>
      <c r="K9409" s="6" t="n">
        <f aca="false">Sens!K9261-Sens!K9262+Sens!K9343</f>
        <v>202.776422159652</v>
      </c>
    </row>
    <row r="9410" customFormat="false" ht="17.15" hidden="false" customHeight="false" outlineLevel="0" collapsed="false">
      <c r="A9410" s="0" t="s">
        <v>1238</v>
      </c>
      <c r="B9410" s="0" t="s">
        <v>98</v>
      </c>
      <c r="F9410" s="6" t="n">
        <f aca="false">Sens!F9322+Sens!F9343+Sens!F9273+Sens!F9403*(Sens!F9292-Sens!F9255)+sbc_r*Sens!F9292</f>
        <v>237.913217427434</v>
      </c>
      <c r="G9410" s="6" t="n">
        <f aca="false">Sens!G9322+Sens!G9343+Sens!G9273+Sens!G9403*(Sens!G9292-Sens!G9255)+sbc_r*Sens!G9292</f>
        <v>299.105448620988</v>
      </c>
      <c r="H9410" s="6" t="n">
        <f aca="false">Sens!H9322+Sens!H9343+Sens!H9273+Sens!H9403*(Sens!H9292-Sens!H9255)+sbc_r*Sens!H9292</f>
        <v>367.486814976289</v>
      </c>
      <c r="I9410" s="6" t="n">
        <f aca="false">Sens!I9322+Sens!I9343+Sens!I9273+Sens!I9403*(Sens!I9292-Sens!I9255)+sbc_r*Sens!I9292</f>
        <v>429.329571049157</v>
      </c>
      <c r="J9410" s="6" t="n">
        <f aca="false">Sens!J9322+Sens!J9343+Sens!J9273+Sens!J9403*(Sens!J9292-Sens!J9255)+sbc_r*Sens!J9292</f>
        <v>476.8041970626</v>
      </c>
      <c r="K9410" s="6" t="n">
        <f aca="false">Sens!K9322+Sens!K9343+Sens!K9273+Sens!K9403*(Sens!K9292-Sens!K9255)+sbc_r*Sens!K9292</f>
        <v>510.821893908048</v>
      </c>
    </row>
    <row r="9411" customFormat="false" ht="17.15" hidden="false" customHeight="false" outlineLevel="0" collapsed="false">
      <c r="A9411" s="0" t="s">
        <v>1239</v>
      </c>
      <c r="B9411" s="0" t="s">
        <v>98</v>
      </c>
      <c r="F9411" s="6" t="n">
        <f aca="false">Sens!F9410-Sens!F9404-Sens!F9405-Sens!F9406-Sens!F9407-Sens!F9409</f>
        <v>66.1664639692789</v>
      </c>
      <c r="G9411" s="6" t="n">
        <f aca="false">Sens!G9410-Sens!G9404-Sens!G9405-Sens!G9406-Sens!G9407-Sens!G9409</f>
        <v>73.7141332224826</v>
      </c>
      <c r="H9411" s="6" t="n">
        <f aca="false">Sens!H9410-Sens!H9404-Sens!H9405-Sens!H9406-Sens!H9407-Sens!H9409</f>
        <v>85.4509710278275</v>
      </c>
      <c r="I9411" s="6" t="n">
        <f aca="false">Sens!I9410-Sens!I9404-Sens!I9405-Sens!I9406-Sens!I9407-Sens!I9409</f>
        <v>96.1442349080777</v>
      </c>
      <c r="J9411" s="6" t="n">
        <f aca="false">Sens!J9410-Sens!J9404-Sens!J9405-Sens!J9406-Sens!J9407-Sens!J9409</f>
        <v>104.844262575557</v>
      </c>
      <c r="K9411" s="6" t="n">
        <f aca="false">Sens!K9410-Sens!K9404-Sens!K9405-Sens!K9406-Sens!K9407-Sens!K9409</f>
        <v>110.833503368938</v>
      </c>
    </row>
    <row r="9412" customFormat="false" ht="17.15" hidden="false" customHeight="false" outlineLevel="0" collapsed="false">
      <c r="A9412" s="0" t="s">
        <v>1240</v>
      </c>
      <c r="B9412" s="0" t="s">
        <v>98</v>
      </c>
      <c r="F9412" s="6" t="n">
        <f aca="false">Sens!F9324+Sens!F9403*Sens!F9299+sbc_r*Sens!F9299</f>
        <v>26.6373538253405</v>
      </c>
      <c r="G9412" s="6" t="n">
        <f aca="false">Sens!G9324+Sens!G9403*Sens!G9299+sbc_r*Sens!G9299</f>
        <v>26.4820054635698</v>
      </c>
      <c r="H9412" s="6" t="n">
        <f aca="false">Sens!H9324+Sens!H9403*Sens!H9299+sbc_r*Sens!H9299</f>
        <v>27.3651578094117</v>
      </c>
      <c r="I9412" s="6" t="n">
        <f aca="false">Sens!I9324+Sens!I9403*Sens!I9299+sbc_r*Sens!I9299</f>
        <v>28.486358787895</v>
      </c>
      <c r="J9412" s="6" t="n">
        <f aca="false">Sens!J9324+Sens!J9403*Sens!J9299+sbc_r*Sens!J9299</f>
        <v>29.8103046995659</v>
      </c>
      <c r="K9412" s="6" t="n">
        <f aca="false">Sens!K9324+Sens!K9403*Sens!K9299+sbc_r*Sens!K9299</f>
        <v>31.2991445411511</v>
      </c>
    </row>
    <row r="9413" customFormat="false" ht="17.15" hidden="false" customHeight="false" outlineLevel="0" collapsed="false">
      <c r="A9413" s="0" t="s">
        <v>1241</v>
      </c>
      <c r="B9413" s="0" t="s">
        <v>98</v>
      </c>
      <c r="F9413" s="6" t="n">
        <f aca="false">(Sens!F9412-Sens!F9408)*Sens!F9295/(Sens!F9295+Sens!F9297)</f>
        <v>8.72405573250759</v>
      </c>
      <c r="G9413" s="6" t="n">
        <f aca="false">(Sens!G9412-Sens!G9408)*Sens!G9295/(Sens!G9295+Sens!G9297)</f>
        <v>7.89084424876737</v>
      </c>
      <c r="H9413" s="6" t="n">
        <f aca="false">(Sens!H9412-Sens!H9408)*Sens!H9295/(Sens!H9295+Sens!H9297)</f>
        <v>7.65714501516651</v>
      </c>
      <c r="I9413" s="6" t="n">
        <f aca="false">(Sens!I9412-Sens!I9408)*Sens!I9295/(Sens!I9295+Sens!I9297)</f>
        <v>7.57035842146657</v>
      </c>
      <c r="J9413" s="6" t="n">
        <f aca="false">(Sens!J9412-Sens!J9408)*Sens!J9295/(Sens!J9295+Sens!J9297)</f>
        <v>7.61857087728211</v>
      </c>
      <c r="K9413" s="6" t="n">
        <f aca="false">(Sens!K9412-Sens!K9408)*Sens!K9295/(Sens!K9295+Sens!K9297)</f>
        <v>7.79565536013854</v>
      </c>
    </row>
    <row r="9414" customFormat="false" ht="17.15" hidden="false" customHeight="false" outlineLevel="0" collapsed="false">
      <c r="A9414" s="0" t="s">
        <v>1242</v>
      </c>
      <c r="B9414" s="0" t="s">
        <v>98</v>
      </c>
      <c r="F9414" s="6" t="n">
        <f aca="false">Sens!F9412-Sens!F9408-Sens!F9413</f>
        <v>6.72261463465905</v>
      </c>
      <c r="G9414" s="6" t="n">
        <f aca="false">Sens!G9412-Sens!G9408-Sens!G9413</f>
        <v>6.32487086425511</v>
      </c>
      <c r="H9414" s="6" t="n">
        <f aca="false">Sens!H9412-Sens!H9408-Sens!H9413</f>
        <v>6.31962623686911</v>
      </c>
      <c r="I9414" s="6" t="n">
        <f aca="false">Sens!I9412-Sens!I9408-Sens!I9413</f>
        <v>6.3696741026476</v>
      </c>
      <c r="J9414" s="6" t="n">
        <f aca="false">Sens!J9412-Sens!J9408-Sens!J9413</f>
        <v>6.47171515193284</v>
      </c>
      <c r="K9414" s="6" t="n">
        <f aca="false">Sens!K9412-Sens!K9408-Sens!K9413</f>
        <v>6.62214235794486</v>
      </c>
    </row>
    <row r="9415" customFormat="false" ht="17.15" hidden="false" customHeight="false" outlineLevel="0" collapsed="false">
      <c r="A9415" s="0" t="s">
        <v>1243</v>
      </c>
      <c r="B9415" s="0" t="s">
        <v>98</v>
      </c>
      <c r="F9415" s="6" t="n">
        <f aca="false">Sens!F9409-tax_f*(Sens!F9409-Sens!F9273)-Sens!F9270</f>
        <v>-127.503553927218</v>
      </c>
      <c r="G9415" s="6" t="n">
        <f aca="false">Sens!G9409-tax_f*(Sens!G9409-Sens!G9273)-Sens!G9270</f>
        <v>-114.603772628121</v>
      </c>
      <c r="H9415" s="6" t="n">
        <f aca="false">Sens!H9409-tax_f*(Sens!H9409-Sens!H9273)-Sens!H9270</f>
        <v>-80.3633729631438</v>
      </c>
      <c r="I9415" s="6" t="n">
        <f aca="false">Sens!I9409-tax_f*(Sens!I9409-Sens!I9273)-Sens!I9270</f>
        <v>-17.2838782011649</v>
      </c>
      <c r="J9415" s="6" t="n">
        <f aca="false">Sens!J9409-tax_f*(Sens!J9409-Sens!J9273)-Sens!J9270</f>
        <v>46.9281968800854</v>
      </c>
      <c r="K9415" s="6" t="n">
        <f aca="false">Sens!K9409-tax_f*(Sens!K9409-Sens!K9273)-Sens!K9270</f>
        <v>71.8608185731755</v>
      </c>
    </row>
    <row r="9416" customFormat="false" ht="17.15" hidden="false" customHeight="false" outlineLevel="0" collapsed="false">
      <c r="A9416" s="0" t="s">
        <v>1244</v>
      </c>
      <c r="B9416" s="0" t="s">
        <v>98</v>
      </c>
      <c r="G9416" s="6" t="n">
        <f aca="false">Sens!G9415/(1+wacc)^(Sens!G9386-Sens!F9387)</f>
        <v>-109.124845494465</v>
      </c>
      <c r="H9416" s="6" t="n">
        <f aca="false">Sens!H9415/(1+wacc)^(Sens!H9386-Sens!F9387)</f>
        <v>-69.3796874071025</v>
      </c>
      <c r="I9416" s="6" t="n">
        <f aca="false">Sens!I9415/(1+wacc)^(Sens!I9386-Sens!F9387)</f>
        <v>-13.5289731380471</v>
      </c>
      <c r="J9416" s="6" t="n">
        <f aca="false">Sens!J9415/(1+wacc)^(Sens!J9386-Sens!F9387)</f>
        <v>33.3048099587126</v>
      </c>
      <c r="K9416" s="6" t="n">
        <f aca="false">Sens!K9415/(1+wacc)^(Sens!K9386-Sens!F9387)</f>
        <v>46.2396679904913</v>
      </c>
      <c r="L9416" s="1" t="s">
        <v>1245</v>
      </c>
    </row>
    <row r="9417" customFormat="false" ht="17.15" hidden="false" customHeight="false" outlineLevel="0" collapsed="false">
      <c r="A9417" s="0" t="s">
        <v>1246</v>
      </c>
      <c r="B9417" s="0" t="s">
        <v>98</v>
      </c>
      <c r="C9417" s="6" t="n">
        <f aca="false">(Sens!K9409-Sens!K9273)*(1-tax_f)*(1+g_tv)*(1-g_tv/(wacc+ronic_prem))/(wacc-g_tv)/(1+wacc)^(Sens!K9387-Sens!F9387)</f>
        <v>293.118051086843</v>
      </c>
    </row>
    <row r="9418" customFormat="false" ht="17.15" hidden="false" customHeight="false" outlineLevel="0" collapsed="false">
      <c r="A9418" s="1" t="s">
        <v>1247</v>
      </c>
      <c r="B9418" s="0" t="s">
        <v>98</v>
      </c>
      <c r="C9418" s="6" t="n">
        <f aca="false">(SUM(Sens!G9416:K9416)+Sens!$C$9417)*(1+wacc)^(t_roll-Sens!F9387)</f>
        <v>186.592133308255</v>
      </c>
      <c r="L9418" s="12" t="s">
        <v>1248</v>
      </c>
    </row>
    <row r="9419" customFormat="false" ht="17.15" hidden="false" customHeight="false" outlineLevel="0" collapsed="false">
      <c r="A9419" s="1" t="s">
        <v>1249</v>
      </c>
      <c r="B9419" s="0" t="s">
        <v>98</v>
      </c>
      <c r="C9419" s="6" t="n">
        <f aca="false">(w_ntm28*Sens!G9261+(1-w_ntm28)*Sens!H9261)*m_ai</f>
        <v>463.789109510335</v>
      </c>
    </row>
    <row r="9420" customFormat="false" ht="17.15" hidden="false" customHeight="false" outlineLevel="0" collapsed="false">
      <c r="A9420" s="1" t="s">
        <v>1250</v>
      </c>
      <c r="B9420" s="0" t="s">
        <v>98</v>
      </c>
      <c r="C9420" s="6" t="n">
        <f aca="false">(w_ntm28*Sens!G9411+(1-w_ntm28)*Sens!H9411)*m_cloud</f>
        <v>1072.05636720699</v>
      </c>
    </row>
    <row r="9421" customFormat="false" ht="17.15" hidden="false" customHeight="false" outlineLevel="0" collapsed="false">
      <c r="A9421" s="1" t="s">
        <v>1251</v>
      </c>
      <c r="B9421" s="0" t="s">
        <v>98</v>
      </c>
      <c r="C9421" s="6" t="n">
        <f aca="false">(w_ntm28*Sens!G9404+(1-w_ntm28)*Sens!H9404)*m_sw</f>
        <v>1083.14494225962</v>
      </c>
    </row>
    <row r="9422" customFormat="false" ht="17.15" hidden="false" customHeight="false" outlineLevel="0" collapsed="false">
      <c r="A9422" s="1" t="s">
        <v>1252</v>
      </c>
      <c r="B9422" s="0" t="s">
        <v>98</v>
      </c>
      <c r="C9422" s="6" t="n">
        <f aca="false">(w_ntm28*Sens!G9405+(1-w_ntm28)*Sens!H9405)*m_sw</f>
        <v>373.012027186772</v>
      </c>
    </row>
    <row r="9423" customFormat="false" ht="17.15" hidden="false" customHeight="false" outlineLevel="0" collapsed="false">
      <c r="A9423" s="1" t="s">
        <v>1253</v>
      </c>
      <c r="B9423" s="0" t="s">
        <v>98</v>
      </c>
      <c r="C9423" s="6" t="n">
        <f aca="false">(w_ntm28*Sens!G9406+(1-w_ntm28)*Sens!H9406)*m_sw</f>
        <v>109.196992106893</v>
      </c>
    </row>
    <row r="9424" customFormat="false" ht="17.15" hidden="false" customHeight="false" outlineLevel="0" collapsed="false">
      <c r="A9424" s="1" t="s">
        <v>1254</v>
      </c>
      <c r="B9424" s="0" t="s">
        <v>98</v>
      </c>
      <c r="C9424" s="6" t="n">
        <f aca="false">(w_ntm28*Sens!G9407+(1-w_ntm28)*Sens!H9407)*m_sw</f>
        <v>41.5137963001993</v>
      </c>
    </row>
    <row r="9425" customFormat="false" ht="17.15" hidden="false" customHeight="false" outlineLevel="0" collapsed="false">
      <c r="A9425" s="1" t="s">
        <v>1255</v>
      </c>
      <c r="B9425" s="0" t="s">
        <v>98</v>
      </c>
      <c r="C9425" s="6" t="n">
        <f aca="false">(w_ntm28*Sens!G9408+(1-w_ntm28)*Sens!H9408)*m_ads</f>
        <v>115.106660088843</v>
      </c>
    </row>
    <row r="9426" customFormat="false" ht="17.15" hidden="false" customHeight="false" outlineLevel="0" collapsed="false">
      <c r="A9426" s="1" t="s">
        <v>1256</v>
      </c>
      <c r="B9426" s="0" t="s">
        <v>98</v>
      </c>
      <c r="C9426" s="6" t="n">
        <f aca="false">(w_ntm28*Sens!G9413+(1-w_ntm28)*Sens!H9413)*m_game</f>
        <v>98.6909668113964</v>
      </c>
    </row>
    <row r="9427" customFormat="false" ht="17.15" hidden="false" customHeight="false" outlineLevel="0" collapsed="false">
      <c r="A9427" s="1" t="s">
        <v>1257</v>
      </c>
      <c r="B9427" s="0" t="s">
        <v>98</v>
      </c>
      <c r="C9427" s="6" t="n">
        <f aca="false">(w_ntm28*Sens!G9414+(1-w_ntm28)*Sens!H9414)*m_pc</f>
        <v>91.4959313482562</v>
      </c>
    </row>
    <row r="9428" customFormat="false" ht="17.15" hidden="false" customHeight="false" outlineLevel="0" collapsed="false">
      <c r="A9428" s="1" t="s">
        <v>1258</v>
      </c>
      <c r="B9428" s="0" t="s">
        <v>98</v>
      </c>
      <c r="C9428" s="6" t="n">
        <f aca="false">Sens!$C$9418+Sens!$C$9420+Sens!$C$9421+Sens!$C$9422+Sens!$C$9423+Sens!$C$9424+Sens!$C$9425+Sens!$C$9426+Sens!$C$9427</f>
        <v>3170.80981661723</v>
      </c>
    </row>
    <row r="9429" customFormat="false" ht="17.15" hidden="false" customHeight="false" outlineLevel="0" collapsed="false">
      <c r="A9429" s="1" t="s">
        <v>1259</v>
      </c>
      <c r="B9429" s="0" t="s">
        <v>98</v>
      </c>
      <c r="C9429" s="6" t="n">
        <f aca="false">(Sens!G9390-Sens!G9415)*t_stub</f>
        <v>47.7572299169515</v>
      </c>
      <c r="L9429" s="1" t="s">
        <v>1260</v>
      </c>
    </row>
    <row r="9430" customFormat="false" ht="17.15" hidden="false" customHeight="false" outlineLevel="0" collapsed="false">
      <c r="A9430" s="1" t="s">
        <v>1169</v>
      </c>
      <c r="B9430" s="0" t="s">
        <v>98</v>
      </c>
      <c r="C9430" s="6" t="n">
        <f aca="false">Sens!F9377+oai_v-Sens!F9366+Sens!$C$9429</f>
        <v>161.985499916951</v>
      </c>
      <c r="L9430" s="1" t="s">
        <v>1261</v>
      </c>
    </row>
    <row r="9431" customFormat="false" ht="17.15" hidden="false" customHeight="false" outlineLevel="0" collapsed="false">
      <c r="A9431" s="1" t="s">
        <v>1262</v>
      </c>
      <c r="B9431" s="0" t="s">
        <v>75</v>
      </c>
      <c r="C9431" s="5" t="n">
        <f aca="false">(Sens!$C$9428+Sens!$C$9430)/(Sens!F9379+dil_gap)-Sens!G9369*roll_div_q/q_per_yr</f>
        <v>443.584268564688</v>
      </c>
      <c r="L9431" s="1" t="s">
        <v>1263</v>
      </c>
    </row>
    <row r="9432" customFormat="false" ht="17.15" hidden="false" customHeight="false" outlineLevel="0" collapsed="false">
      <c r="A9432" s="1" t="s">
        <v>1264</v>
      </c>
      <c r="B9432" s="0" t="s">
        <v>75</v>
      </c>
      <c r="C9432" s="5" t="n">
        <f aca="false">w_dcf*Sens!$C$9402+(1-w_dcf)*Sens!$C$9431</f>
        <v>381.45702032697</v>
      </c>
    </row>
    <row r="9433" customFormat="false" ht="17.15" hidden="false" customHeight="false" outlineLevel="0" collapsed="false">
      <c r="A9433" s="3" t="s">
        <v>1715</v>
      </c>
    </row>
    <row r="9434" customFormat="false" ht="15" hidden="false" customHeight="false" outlineLevel="0" collapsed="false">
      <c r="A9434" s="4" t="s">
        <v>43</v>
      </c>
      <c r="B9434" s="4" t="s">
        <v>65</v>
      </c>
      <c r="C9434" s="23" t="s">
        <v>938</v>
      </c>
      <c r="D9434" s="23" t="s">
        <v>939</v>
      </c>
      <c r="E9434" s="23" t="s">
        <v>940</v>
      </c>
      <c r="F9434" s="23" t="s">
        <v>941</v>
      </c>
      <c r="G9434" s="23" t="s">
        <v>942</v>
      </c>
      <c r="H9434" s="23" t="s">
        <v>943</v>
      </c>
      <c r="I9434" s="23" t="s">
        <v>944</v>
      </c>
      <c r="J9434" s="23" t="s">
        <v>945</v>
      </c>
      <c r="K9434" s="23" t="s">
        <v>946</v>
      </c>
      <c r="L9434" s="4" t="s">
        <v>47</v>
      </c>
    </row>
    <row r="9435" customFormat="false" ht="17.15" hidden="false" customHeight="false" outlineLevel="0" collapsed="false">
      <c r="A9435" s="1" t="s">
        <v>947</v>
      </c>
      <c r="B9435" s="1" t="s">
        <v>279</v>
      </c>
      <c r="C9435" s="21" t="n">
        <v>2024</v>
      </c>
      <c r="D9435" s="21" t="n">
        <v>2025</v>
      </c>
      <c r="E9435" s="21" t="n">
        <v>2026</v>
      </c>
      <c r="F9435" s="21" t="n">
        <v>2027</v>
      </c>
      <c r="G9435" s="21" t="n">
        <v>2028</v>
      </c>
      <c r="H9435" s="21" t="n">
        <v>2029</v>
      </c>
      <c r="I9435" s="21" t="n">
        <v>2030</v>
      </c>
      <c r="J9435" s="21" t="n">
        <v>2031</v>
      </c>
      <c r="K9435" s="21" t="n">
        <v>2032</v>
      </c>
    </row>
    <row r="9436" customFormat="false" ht="17.15" hidden="false" customHeight="false" outlineLevel="0" collapsed="false">
      <c r="A9436" s="1" t="s">
        <v>948</v>
      </c>
      <c r="B9436" s="0" t="s">
        <v>456</v>
      </c>
      <c r="F9436" s="30" t="n">
        <f aca="false">pace</f>
        <v>2726.5351</v>
      </c>
      <c r="G9436" s="30" t="n">
        <f aca="false">pace</f>
        <v>2726.5351</v>
      </c>
      <c r="H9436" s="30" t="n">
        <f aca="false">pace</f>
        <v>2726.5351</v>
      </c>
      <c r="I9436" s="30" t="n">
        <f aca="false">pace+(g_tv*Sens!H9437-pace)*MIN(1,(Sens!I9435-pace_y0)/(pace_y1-pace_y0))</f>
        <v>1931.98611966667</v>
      </c>
      <c r="J9436" s="30" t="n">
        <f aca="false">pace+(g_tv*Sens!I9437-pace)*MIN(1,(Sens!J9435-pace_y0)/(pace_y1-pace_y0))</f>
        <v>1176.07686172667</v>
      </c>
      <c r="K9436" s="30" t="n">
        <f aca="false">pace+(g_tv*Sens!J9437-pace)*MIN(1,(Sens!K9435-pace_y0)/(pace_y1-pace_y0))</f>
        <v>436.1300484418</v>
      </c>
      <c r="L9436" s="12" t="s">
        <v>949</v>
      </c>
    </row>
    <row r="9437" customFormat="false" ht="17.15" hidden="false" customHeight="false" outlineLevel="0" collapsed="false">
      <c r="A9437" s="1" t="s">
        <v>950</v>
      </c>
      <c r="B9437" s="0" t="s">
        <v>456</v>
      </c>
      <c r="C9437" s="30" t="n">
        <f aca="false">mw_ext_24</f>
        <v>640</v>
      </c>
      <c r="D9437" s="30" t="n">
        <f aca="false">mw_ext_25</f>
        <v>1630</v>
      </c>
      <c r="E9437" s="30" t="n">
        <f aca="false">mw_ext_26</f>
        <v>3250</v>
      </c>
      <c r="F9437" s="30" t="n">
        <f aca="false">Sens!E9437+Sens!F9436</f>
        <v>5976.5351</v>
      </c>
      <c r="G9437" s="30" t="n">
        <f aca="false">Sens!F9437+Sens!G9436</f>
        <v>8703.0702</v>
      </c>
      <c r="H9437" s="30" t="n">
        <f aca="false">Sens!G9437+Sens!H9436</f>
        <v>11429.6053</v>
      </c>
      <c r="I9437" s="30" t="n">
        <f aca="false">Sens!H9437+Sens!I9436</f>
        <v>13361.5914196667</v>
      </c>
      <c r="J9437" s="30" t="n">
        <f aca="false">Sens!I9437+Sens!J9436</f>
        <v>14537.6682813933</v>
      </c>
      <c r="K9437" s="30" t="n">
        <f aca="false">Sens!J9437+Sens!K9436</f>
        <v>14973.7983298351</v>
      </c>
      <c r="L9437" s="1" t="s">
        <v>951</v>
      </c>
    </row>
    <row r="9438" customFormat="false" ht="17.15" hidden="false" customHeight="false" outlineLevel="0" collapsed="false">
      <c r="A9438" s="1" t="s">
        <v>952</v>
      </c>
      <c r="B9438" s="0" t="s">
        <v>456</v>
      </c>
      <c r="C9438" s="30" t="n">
        <f aca="false">rent_ext_24</f>
        <v>150</v>
      </c>
      <c r="D9438" s="30" t="n">
        <f aca="false">rent_ext_25</f>
        <v>400</v>
      </c>
      <c r="E9438" s="30" t="n">
        <f aca="false">rent_ext_26</f>
        <v>550</v>
      </c>
      <c r="F9438" s="30" t="n">
        <f aca="false">rent_ext_f</f>
        <v>756</v>
      </c>
      <c r="G9438" s="30" t="n">
        <f aca="false">rent_ext_f</f>
        <v>756</v>
      </c>
      <c r="H9438" s="30" t="n">
        <f aca="false">rent_ext_f</f>
        <v>756</v>
      </c>
      <c r="I9438" s="30" t="n">
        <f aca="false">rent_ext_f</f>
        <v>756</v>
      </c>
      <c r="J9438" s="30" t="n">
        <f aca="false">rent_ext_f</f>
        <v>756</v>
      </c>
      <c r="K9438" s="30" t="n">
        <f aca="false">rent_ext_f</f>
        <v>756</v>
      </c>
      <c r="L9438" s="1" t="s">
        <v>953</v>
      </c>
    </row>
    <row r="9439" customFormat="false" ht="17.15" hidden="false" customHeight="false" outlineLevel="0" collapsed="false">
      <c r="A9439" s="1" t="s">
        <v>954</v>
      </c>
      <c r="B9439" s="0" t="s">
        <v>456</v>
      </c>
      <c r="C9439" s="30" t="n">
        <f aca="false">Sens!C9437-Sens!C9438</f>
        <v>490</v>
      </c>
      <c r="D9439" s="30" t="n">
        <f aca="false">Sens!D9437-Sens!D9438</f>
        <v>1230</v>
      </c>
      <c r="E9439" s="30" t="n">
        <f aca="false">Sens!E9437-Sens!E9438</f>
        <v>2700</v>
      </c>
      <c r="F9439" s="30" t="n">
        <f aca="false">Sens!F9437-Sens!F9438</f>
        <v>5220.5351</v>
      </c>
      <c r="G9439" s="30" t="n">
        <f aca="false">Sens!G9437-Sens!G9438</f>
        <v>7947.0702</v>
      </c>
      <c r="H9439" s="30" t="n">
        <f aca="false">Sens!H9437-Sens!H9438</f>
        <v>10673.6053</v>
      </c>
      <c r="I9439" s="30" t="n">
        <f aca="false">Sens!I9437-Sens!I9438</f>
        <v>12605.5914196667</v>
      </c>
      <c r="J9439" s="30" t="n">
        <f aca="false">Sens!J9437-Sens!J9438</f>
        <v>13781.6682813933</v>
      </c>
      <c r="K9439" s="30" t="n">
        <f aca="false">Sens!K9437-Sens!K9438</f>
        <v>14217.7983298351</v>
      </c>
    </row>
    <row r="9440" customFormat="false" ht="17.15" hidden="false" customHeight="false" outlineLevel="0" collapsed="false">
      <c r="A9440" s="1" t="s">
        <v>955</v>
      </c>
      <c r="B9440" s="0" t="s">
        <v>456</v>
      </c>
      <c r="C9440" s="30" t="n">
        <f aca="false">Sens!C9439/ext_sh</f>
        <v>816.666666666667</v>
      </c>
      <c r="D9440" s="30" t="n">
        <f aca="false">Sens!D9439/ext_sh</f>
        <v>2050</v>
      </c>
      <c r="E9440" s="30" t="n">
        <f aca="false">Sens!E9439/ext_sh</f>
        <v>4500</v>
      </c>
      <c r="F9440" s="30" t="n">
        <f aca="false">Sens!F9439/ext_sh</f>
        <v>8700.89183333333</v>
      </c>
      <c r="G9440" s="30" t="n">
        <f aca="false">Sens!G9439/ext_sh</f>
        <v>13245.117</v>
      </c>
      <c r="H9440" s="30" t="n">
        <f aca="false">Sens!H9439/ext_sh</f>
        <v>17789.3421666667</v>
      </c>
      <c r="I9440" s="30" t="n">
        <f aca="false">Sens!I9439/ext_sh</f>
        <v>21009.3190327778</v>
      </c>
      <c r="J9440" s="30" t="n">
        <f aca="false">Sens!J9439/ext_sh</f>
        <v>22969.4471356556</v>
      </c>
      <c r="K9440" s="30" t="n">
        <f aca="false">Sens!K9439/ext_sh</f>
        <v>23696.3305497252</v>
      </c>
      <c r="L9440" s="1" t="s">
        <v>956</v>
      </c>
    </row>
    <row r="9441" customFormat="false" ht="17.15" hidden="false" customHeight="false" outlineLevel="0" collapsed="false">
      <c r="A9441" s="1" t="s">
        <v>957</v>
      </c>
      <c r="B9441" s="0" t="s">
        <v>456</v>
      </c>
      <c r="C9441" s="30" t="n">
        <f aca="false">Sens!C9440-Sens!C9439</f>
        <v>326.666666666667</v>
      </c>
      <c r="D9441" s="30" t="n">
        <f aca="false">Sens!D9440-Sens!D9439</f>
        <v>820</v>
      </c>
      <c r="E9441" s="30" t="n">
        <f aca="false">Sens!E9440-Sens!E9439</f>
        <v>1800</v>
      </c>
      <c r="F9441" s="30" t="n">
        <f aca="false">Sens!F9440-Sens!F9439</f>
        <v>3480.35673333333</v>
      </c>
      <c r="G9441" s="30" t="n">
        <f aca="false">Sens!G9440-Sens!G9439</f>
        <v>5298.0468</v>
      </c>
      <c r="H9441" s="30" t="n">
        <f aca="false">Sens!H9440-Sens!H9439</f>
        <v>7115.73686666667</v>
      </c>
      <c r="I9441" s="30" t="n">
        <f aca="false">Sens!I9440-Sens!I9439</f>
        <v>8403.72761311111</v>
      </c>
      <c r="J9441" s="30" t="n">
        <f aca="false">Sens!J9440-Sens!J9439</f>
        <v>9187.77885426222</v>
      </c>
      <c r="K9441" s="30" t="n">
        <f aca="false">Sens!K9440-Sens!K9439</f>
        <v>9478.53221989009</v>
      </c>
    </row>
    <row r="9442" customFormat="false" ht="17.15" hidden="false" customHeight="false" outlineLevel="0" collapsed="false">
      <c r="A9442" s="1" t="s">
        <v>958</v>
      </c>
      <c r="B9442" s="0" t="s">
        <v>456</v>
      </c>
      <c r="C9442" s="30" t="n">
        <f aca="false">Sens!C9440</f>
        <v>816.666666666667</v>
      </c>
      <c r="D9442" s="30" t="n">
        <f aca="false">Sens!D9440-Sens!C9440</f>
        <v>1233.33333333333</v>
      </c>
      <c r="E9442" s="30" t="n">
        <f aca="false">Sens!E9440-Sens!D9440</f>
        <v>2450</v>
      </c>
      <c r="F9442" s="30" t="n">
        <f aca="false">Sens!F9440-Sens!E9440</f>
        <v>4200.89183333333</v>
      </c>
      <c r="G9442" s="30" t="n">
        <f aca="false">Sens!G9440-Sens!F9440</f>
        <v>4544.22516666667</v>
      </c>
      <c r="H9442" s="30" t="n">
        <f aca="false">Sens!H9440-Sens!G9440</f>
        <v>4544.22516666667</v>
      </c>
      <c r="I9442" s="30" t="n">
        <f aca="false">Sens!I9440-Sens!H9440</f>
        <v>3219.97686611111</v>
      </c>
      <c r="J9442" s="30" t="n">
        <f aca="false">Sens!J9440-Sens!I9440</f>
        <v>1960.12810287778</v>
      </c>
      <c r="K9442" s="30" t="n">
        <f aca="false">Sens!K9440-Sens!J9440</f>
        <v>726.883414069667</v>
      </c>
    </row>
    <row r="9443" customFormat="false" ht="17.15" hidden="false" customHeight="false" outlineLevel="0" collapsed="false">
      <c r="A9443" s="1" t="s">
        <v>959</v>
      </c>
      <c r="B9443" s="0" t="s">
        <v>456</v>
      </c>
      <c r="D9443" s="30" t="n">
        <f aca="false">Sens!D9437-Sens!C9437</f>
        <v>990</v>
      </c>
      <c r="E9443" s="30" t="n">
        <f aca="false">Sens!E9437-Sens!D9437</f>
        <v>1620</v>
      </c>
      <c r="F9443" s="30" t="n">
        <f aca="false">Sens!F9437-Sens!E9437</f>
        <v>2726.5351</v>
      </c>
      <c r="G9443" s="30" t="n">
        <f aca="false">Sens!G9437-Sens!F9437</f>
        <v>2726.5351</v>
      </c>
      <c r="H9443" s="30" t="n">
        <f aca="false">Sens!H9437-Sens!G9437</f>
        <v>2726.5351</v>
      </c>
      <c r="I9443" s="30" t="n">
        <f aca="false">Sens!I9437-Sens!H9437</f>
        <v>1931.98611966667</v>
      </c>
      <c r="J9443" s="30" t="n">
        <f aca="false">Sens!J9437-Sens!I9437</f>
        <v>1176.07686172667</v>
      </c>
      <c r="K9443" s="30" t="n">
        <f aca="false">Sens!K9437-Sens!J9437</f>
        <v>436.130048441799</v>
      </c>
    </row>
    <row r="9444" customFormat="false" ht="17.15" hidden="false" customHeight="false" outlineLevel="0" collapsed="false">
      <c r="A9444" s="1" t="s">
        <v>960</v>
      </c>
      <c r="B9444" s="0" t="s">
        <v>456</v>
      </c>
      <c r="F9444" s="30" t="n">
        <f aca="false">Sens!F9463*ext_sh</f>
        <v>0</v>
      </c>
      <c r="G9444" s="30" t="n">
        <f aca="false">Sens!G9463*ext_sh</f>
        <v>0</v>
      </c>
      <c r="H9444" s="30" t="n">
        <f aca="false">Sens!H9463*ext_sh</f>
        <v>0</v>
      </c>
      <c r="I9444" s="30" t="n">
        <f aca="false">Sens!I9463*ext_sh</f>
        <v>490</v>
      </c>
      <c r="J9444" s="30" t="n">
        <f aca="false">Sens!J9463*ext_sh</f>
        <v>740</v>
      </c>
      <c r="K9444" s="30" t="n">
        <f aca="false">Sens!K9463*ext_sh</f>
        <v>1470</v>
      </c>
      <c r="L9444" s="1" t="s">
        <v>961</v>
      </c>
    </row>
    <row r="9445" customFormat="false" ht="17.15" hidden="false" customHeight="false" outlineLevel="0" collapsed="false">
      <c r="A9445" s="1" t="s">
        <v>962</v>
      </c>
      <c r="B9445" s="0" t="s">
        <v>456</v>
      </c>
      <c r="C9445" s="30" t="n">
        <f aca="false">mix_h*Sens!C9437</f>
        <v>128</v>
      </c>
      <c r="D9445" s="30" t="n">
        <f aca="false">mix_h*Sens!D9437</f>
        <v>326</v>
      </c>
      <c r="E9445" s="30" t="n">
        <f aca="false">mix_h*Sens!E9437</f>
        <v>650</v>
      </c>
      <c r="F9445" s="30" t="n">
        <f aca="false">Sens!E9445-Sens!F9444*mix_h</f>
        <v>650</v>
      </c>
      <c r="G9445" s="30" t="n">
        <f aca="false">Sens!F9445-Sens!G9444*mix_h</f>
        <v>650</v>
      </c>
      <c r="H9445" s="30" t="n">
        <f aca="false">Sens!G9445-Sens!H9444*mix_h</f>
        <v>650</v>
      </c>
      <c r="I9445" s="30" t="n">
        <f aca="false">Sens!H9445-Sens!I9444*mix_h</f>
        <v>552</v>
      </c>
      <c r="J9445" s="30" t="n">
        <f aca="false">Sens!I9445-Sens!J9444*mix_h</f>
        <v>404</v>
      </c>
      <c r="K9445" s="30" t="n">
        <f aca="false">Sens!J9445-Sens!K9444*mix_h</f>
        <v>110</v>
      </c>
    </row>
    <row r="9446" customFormat="false" ht="17.15" hidden="false" customHeight="false" outlineLevel="0" collapsed="false">
      <c r="A9446" s="1" t="s">
        <v>963</v>
      </c>
      <c r="B9446" s="0" t="s">
        <v>456</v>
      </c>
      <c r="C9446" s="30" t="n">
        <f aca="false">mix_g2*Sens!C9437</f>
        <v>288</v>
      </c>
      <c r="D9446" s="30" t="n">
        <f aca="false">mix_g2*Sens!D9437</f>
        <v>733.5</v>
      </c>
      <c r="E9446" s="30" t="n">
        <f aca="false">mix_g2*Sens!E9437</f>
        <v>1462.5</v>
      </c>
      <c r="F9446" s="30" t="n">
        <f aca="false">Sens!E9446-Sens!F9444*mix_g2</f>
        <v>1462.5</v>
      </c>
      <c r="G9446" s="30" t="n">
        <f aca="false">Sens!F9446-Sens!G9444*mix_g2</f>
        <v>1462.5</v>
      </c>
      <c r="H9446" s="30" t="n">
        <f aca="false">Sens!G9446-Sens!H9444*mix_g2</f>
        <v>1462.5</v>
      </c>
      <c r="I9446" s="30" t="n">
        <f aca="false">Sens!H9446-Sens!I9444*mix_g2</f>
        <v>1242</v>
      </c>
      <c r="J9446" s="30" t="n">
        <f aca="false">Sens!I9446-Sens!J9444*mix_g2</f>
        <v>909</v>
      </c>
      <c r="K9446" s="30" t="n">
        <f aca="false">Sens!J9446-Sens!K9444*mix_g2</f>
        <v>247.5</v>
      </c>
    </row>
    <row r="9447" customFormat="false" ht="17.15" hidden="false" customHeight="false" outlineLevel="0" collapsed="false">
      <c r="A9447" s="1" t="s">
        <v>964</v>
      </c>
      <c r="B9447" s="0" t="s">
        <v>456</v>
      </c>
      <c r="C9447" s="30" t="n">
        <f aca="false">mix_g3*Sens!C9437</f>
        <v>224</v>
      </c>
      <c r="D9447" s="30" t="n">
        <f aca="false">mix_g3*Sens!D9437</f>
        <v>570.5</v>
      </c>
      <c r="E9447" s="30" t="n">
        <f aca="false">mix_g3*Sens!E9437</f>
        <v>1137.5</v>
      </c>
      <c r="F9447" s="30" t="n">
        <f aca="false">Sens!E9447+(Sens!F9443+Sens!F9444)*(a_g3_27-nonnv*a_mai)-Sens!F9444*mix_g3</f>
        <v>2773.42106</v>
      </c>
      <c r="G9447" s="30" t="n">
        <f aca="false">Sens!F9447+(Sens!G9443+Sens!G9444)*(a_g3_28-nonnv*a_mai)-Sens!G9444*mix_g3</f>
        <v>3318.72808</v>
      </c>
      <c r="H9447" s="30" t="n">
        <f aca="false">Sens!G9447+(Sens!H9443+Sens!H9444)*(a_g3_29-nonnv*a_mai)-Sens!H9444*mix_g3</f>
        <v>3318.72808</v>
      </c>
      <c r="I9447" s="30" t="n">
        <f aca="false">Sens!H9447+(Sens!I9443+Sens!I9444)*(a_g3_29-nonnv*a_mai)-Sens!I9444*mix_g3</f>
        <v>3147.22808</v>
      </c>
      <c r="J9447" s="30" t="n">
        <f aca="false">Sens!I9447+(Sens!J9443+Sens!J9444)*(a_g3_29-nonnv*a_mai)-Sens!J9444*mix_g3</f>
        <v>2888.22808</v>
      </c>
      <c r="K9447" s="30" t="n">
        <f aca="false">Sens!J9447+(Sens!K9443+Sens!K9444)*(a_g3_29-nonnv*a_mai)-Sens!K9444*mix_g3</f>
        <v>2373.72808</v>
      </c>
    </row>
    <row r="9448" customFormat="false" ht="17.15" hidden="false" customHeight="false" outlineLevel="0" collapsed="false">
      <c r="A9448" s="1" t="s">
        <v>965</v>
      </c>
      <c r="B9448" s="0" t="s">
        <v>456</v>
      </c>
      <c r="C9448" s="30" t="n">
        <v>0</v>
      </c>
      <c r="D9448" s="30" t="n">
        <v>0</v>
      </c>
      <c r="E9448" s="30" t="n">
        <v>0</v>
      </c>
      <c r="F9448" s="30" t="n">
        <f aca="false">Sens!E9448+(Sens!F9443+Sens!F9444)*nonnv*a_mai</f>
        <v>272.65351</v>
      </c>
      <c r="G9448" s="30" t="n">
        <f aca="false">Sens!F9448+(Sens!G9443+Sens!G9444)*nonnv*a_mai</f>
        <v>545.30702</v>
      </c>
      <c r="H9448" s="30" t="n">
        <f aca="false">Sens!G9448+(Sens!H9443+Sens!H9444)*nonnv*a_mai</f>
        <v>817.96053</v>
      </c>
      <c r="I9448" s="30" t="n">
        <f aca="false">Sens!H9448+(Sens!I9443+Sens!I9444)*nonnv*a_mai</f>
        <v>1060.15914196667</v>
      </c>
      <c r="J9448" s="30" t="n">
        <f aca="false">Sens!I9448+(Sens!J9443+Sens!J9444)*nonnv*a_mai</f>
        <v>1251.76682813933</v>
      </c>
      <c r="K9448" s="30" t="n">
        <f aca="false">Sens!J9448+(Sens!K9443+Sens!K9444)*nonnv*a_mai</f>
        <v>1442.37983298351</v>
      </c>
      <c r="L9448" s="12" t="s">
        <v>966</v>
      </c>
    </row>
    <row r="9449" customFormat="false" ht="17.15" hidden="false" customHeight="false" outlineLevel="0" collapsed="false">
      <c r="A9449" s="1" t="s">
        <v>967</v>
      </c>
      <c r="B9449" s="0" t="s">
        <v>456</v>
      </c>
      <c r="C9449" s="30" t="n">
        <v>0</v>
      </c>
      <c r="D9449" s="30" t="n">
        <v>0</v>
      </c>
      <c r="E9449" s="30" t="n">
        <v>0</v>
      </c>
      <c r="F9449" s="30" t="n">
        <f aca="false">Sens!E9449+(Sens!F9443+Sens!F9444)*(1-a_g3_27)</f>
        <v>817.96053</v>
      </c>
      <c r="G9449" s="30" t="n">
        <f aca="false">Sens!F9449+(Sens!G9443+Sens!G9444)*(1-a_g3_28)</f>
        <v>2726.5351</v>
      </c>
      <c r="H9449" s="30" t="n">
        <f aca="false">Sens!G9449+(Sens!H9443+Sens!H9444)*(1-a_g3_29)</f>
        <v>5180.41669</v>
      </c>
      <c r="I9449" s="30" t="n">
        <f aca="false">Sens!H9449+(Sens!I9443+Sens!I9444)*(1-a_g3_29)</f>
        <v>7360.2041977</v>
      </c>
      <c r="J9449" s="30" t="n">
        <f aca="false">Sens!I9449+(Sens!J9443+Sens!J9444)*(1-a_g3_29)</f>
        <v>9084.673373254</v>
      </c>
      <c r="K9449" s="30" t="n">
        <f aca="false">Sens!J9449+(Sens!K9443+Sens!K9444)*(1-a_g3_29)</f>
        <v>10800.1904168516</v>
      </c>
    </row>
    <row r="9450" customFormat="false" ht="17.15" hidden="false" customHeight="false" outlineLevel="0" collapsed="false">
      <c r="A9450" s="1" t="s">
        <v>968</v>
      </c>
      <c r="B9450" s="0" t="s">
        <v>403</v>
      </c>
      <c r="C9450" s="15" t="n">
        <f aca="false">(Sens!C9445*tk_hold_h100+Sens!C9446*tk_hold_gb200+Sens!C9447*tk_hold_gb300+Sens!C9449*tk_hold_vr200+Sens!C9448*nv_hold_mai*tk_hold_vr200)/Sens!C9437</f>
        <v>9.7235358126469</v>
      </c>
      <c r="D9450" s="15" t="n">
        <f aca="false">(Sens!D9445*tk_hold_h100+Sens!D9446*tk_hold_gb200+Sens!D9447*tk_hold_gb300+Sens!D9449*tk_hold_vr200+Sens!D9448*nv_hold_mai*tk_hold_vr200)/Sens!D9437</f>
        <v>9.7235358126469</v>
      </c>
      <c r="E9450" s="15" t="n">
        <f aca="false">(Sens!E9445*tk_hold_h100+Sens!E9446*tk_hold_gb200+Sens!E9447*tk_hold_gb300+Sens!E9449*tk_hold_vr200+Sens!E9448*nv_hold_mai*tk_hold_vr200)/Sens!E9437</f>
        <v>9.7235358126469</v>
      </c>
      <c r="F9450" s="15" t="n">
        <f aca="false">(Sens!F9445*tk_hold_h100+Sens!F9446*tk_hold_gb200+Sens!F9447*tk_hold_gb300+Sens!F9449*tk_hold_vr200+Sens!F9448*nv_hold_mai*tk_hold_vr200)/Sens!F9437</f>
        <v>10.2195353876665</v>
      </c>
      <c r="G9450" s="15" t="n">
        <f aca="false">(Sens!G9445*tk_hold_h100+Sens!G9446*tk_hold_gb200+Sens!G9447*tk_hold_gb300+Sens!G9449*tk_hold_vr200+Sens!G9448*nv_hold_mai*tk_hold_vr200)/Sens!G9437</f>
        <v>10.5725598017306</v>
      </c>
      <c r="H9450" s="15" t="n">
        <f aca="false">(Sens!H9445*tk_hold_h100+Sens!H9446*tk_hold_gb200+Sens!H9447*tk_hold_gb300+Sens!H9449*tk_hold_vr200+Sens!H9448*nv_hold_mai*tk_hold_vr200)/Sens!H9437</f>
        <v>10.8210427149036</v>
      </c>
      <c r="I9450" s="15" t="n">
        <f aca="false">(Sens!I9445*tk_hold_h100+Sens!I9446*tk_hold_gb200+Sens!I9447*tk_hold_gb300+Sens!I9449*tk_hold_vr200+Sens!I9448*nv_hold_mai*tk_hold_vr200)/Sens!I9437</f>
        <v>11.0050618241982</v>
      </c>
      <c r="J9450" s="15" t="n">
        <f aca="false">(Sens!J9445*tk_hold_h100+Sens!J9446*tk_hold_gb200+Sens!J9447*tk_hold_gb300+Sens!J9449*tk_hold_vr200+Sens!J9448*nv_hold_mai*tk_hold_vr200)/Sens!J9437</f>
        <v>11.1505789658881</v>
      </c>
      <c r="K9450" s="15" t="n">
        <f aca="false">(Sens!K9445*tk_hold_h100+Sens!K9446*tk_hold_gb200+Sens!K9447*tk_hold_gb300+Sens!K9449*tk_hold_vr200+Sens!K9448*nv_hold_mai*tk_hold_vr200)/Sens!K9437</f>
        <v>11.3496914757183</v>
      </c>
      <c r="L9450" s="1" t="s">
        <v>969</v>
      </c>
    </row>
    <row r="9451" customFormat="false" ht="17.15" hidden="false" customHeight="false" outlineLevel="0" collapsed="false">
      <c r="A9451" s="1" t="s">
        <v>970</v>
      </c>
      <c r="B9451" s="0" t="s">
        <v>403</v>
      </c>
      <c r="C9451" s="15" t="n">
        <f aca="false">(Sens!C9445*tk_hold_h100+Sens!C9446*tk_hold_gb200+Sens!C9447*tk_hold_gb300+Sens!C9449*tk_hold_vr200+Sens!C9448*nv_out_mai*tk_hold_vr200)/Sens!C9437</f>
        <v>9.7235358126469</v>
      </c>
      <c r="D9451" s="15" t="n">
        <f aca="false">(Sens!D9445*tk_hold_h100+Sens!D9446*tk_hold_gb200+Sens!D9447*tk_hold_gb300+Sens!D9449*tk_hold_vr200+Sens!D9448*nv_out_mai*tk_hold_vr200)/Sens!D9437</f>
        <v>9.7235358126469</v>
      </c>
      <c r="E9451" s="15" t="n">
        <f aca="false">(Sens!E9445*tk_hold_h100+Sens!E9446*tk_hold_gb200+Sens!E9447*tk_hold_gb300+Sens!E9449*tk_hold_vr200+Sens!E9448*nv_out_mai*tk_hold_vr200)/Sens!E9437</f>
        <v>9.7235358126469</v>
      </c>
      <c r="F9451" s="15" t="n">
        <f aca="false">(Sens!F9445*tk_hold_h100+Sens!F9446*tk_hold_gb200+Sens!F9447*tk_hold_gb300+Sens!F9449*tk_hold_vr200+Sens!F9448*nv_out_mai*tk_hold_vr200)/Sens!F9437</f>
        <v>10.247422093969</v>
      </c>
      <c r="G9451" s="15" t="n">
        <f aca="false">(Sens!G9445*tk_hold_h100+Sens!G9446*tk_hold_gb200+Sens!G9447*tk_hold_gb300+Sens!G9449*tk_hold_vr200+Sens!G9448*nv_out_mai*tk_hold_vr200)/Sens!G9437</f>
        <v>10.6108602808053</v>
      </c>
      <c r="H9451" s="15" t="n">
        <f aca="false">(Sens!H9445*tk_hold_h100+Sens!H9446*tk_hold_gb200+Sens!H9447*tk_hold_gb300+Sens!H9449*tk_hold_vr200+Sens!H9448*nv_out_mai*tk_hold_vr200)/Sens!H9437</f>
        <v>10.8647885507393</v>
      </c>
      <c r="I9451" s="15" t="n">
        <f aca="false">(Sens!I9445*tk_hold_h100+Sens!I9446*tk_hold_gb200+Sens!I9447*tk_hold_gb300+Sens!I9449*tk_hold_vr200+Sens!I9448*nv_out_mai*tk_hold_vr200)/Sens!I9437</f>
        <v>11.0535625770025</v>
      </c>
      <c r="J9451" s="15" t="n">
        <f aca="false">(Sens!J9445*tk_hold_h100+Sens!J9446*tk_hold_gb200+Sens!J9447*tk_hold_gb300+Sens!J9449*tk_hold_vr200+Sens!J9448*nv_out_mai*tk_hold_vr200)/Sens!J9437</f>
        <v>11.2032127128058</v>
      </c>
      <c r="K9451" s="15" t="n">
        <f aca="false">(Sens!K9445*tk_hold_h100+Sens!K9446*tk_hold_gb200+Sens!K9447*tk_hold_gb300+Sens!K9449*tk_hold_vr200+Sens!K9448*nv_out_mai*tk_hold_vr200)/Sens!K9437</f>
        <v>11.4085735724225</v>
      </c>
      <c r="L9451" s="12" t="s">
        <v>971</v>
      </c>
    </row>
    <row r="9452" customFormat="false" ht="17.15" hidden="false" customHeight="false" outlineLevel="0" collapsed="false">
      <c r="A9452" s="0" t="s">
        <v>972</v>
      </c>
      <c r="B9452" s="0" t="s">
        <v>229</v>
      </c>
      <c r="C9452" s="15" t="n">
        <f aca="false">k_B</f>
        <v>1.17213932619116</v>
      </c>
      <c r="D9452" s="15" t="n">
        <f aca="false">k_B</f>
        <v>1.17213932619116</v>
      </c>
      <c r="E9452" s="15" t="n">
        <f aca="false">k_B</f>
        <v>1.17213932619116</v>
      </c>
      <c r="F9452" s="15" t="n">
        <f aca="false">(k_B+((ls_C*k_long+(1-ls_C)*k_spot)-k_B)*MIN(1,(Sens!F9435-base_fy)/k_ramp))</f>
        <v>1.07843258004497</v>
      </c>
      <c r="G9452" s="15" t="n">
        <f aca="false">(k_B+((ls_C*k_long+(1-ls_C)*k_spot)-k_B)*MIN(1,(Sens!G9435-base_fy)/k_ramp))</f>
        <v>0.984725833898784</v>
      </c>
      <c r="H9452" s="15" t="n">
        <f aca="false">(k_B+((ls_C*k_long+(1-ls_C)*k_spot)-k_B)*MIN(1,(Sens!H9435-base_fy)/k_ramp))</f>
        <v>0.891019087752599</v>
      </c>
      <c r="I9452" s="15" t="n">
        <f aca="false">(k_B+((ls_C*k_long+(1-ls_C)*k_spot)-k_B)*MIN(1,(Sens!I9435-base_fy)/k_ramp))</f>
        <v>0.891019087752599</v>
      </c>
      <c r="J9452" s="15" t="n">
        <f aca="false">(k_B+((ls_C*k_long+(1-ls_C)*k_spot)-k_B)*MIN(1,(Sens!J9435-base_fy)/k_ramp))</f>
        <v>0.891019087752599</v>
      </c>
      <c r="K9452" s="15" t="n">
        <f aca="false">(k_B+((ls_C*k_long+(1-ls_C)*k_spot)-k_B)*MIN(1,(Sens!K9435-base_fy)/k_ramp))</f>
        <v>0.891019087752599</v>
      </c>
      <c r="L9452" s="1" t="s">
        <v>973</v>
      </c>
    </row>
    <row r="9453" customFormat="false" ht="17.15" hidden="false" customHeight="false" outlineLevel="0" collapsed="false">
      <c r="A9453" s="1" t="s">
        <v>974</v>
      </c>
      <c r="B9453" s="0" t="s">
        <v>403</v>
      </c>
      <c r="C9453" s="15" t="n">
        <f aca="false">Sens!C9451*Sens!C9452*chip_f</f>
        <v>11.3973387156315</v>
      </c>
      <c r="D9453" s="15" t="n">
        <f aca="false">Sens!D9451*Sens!D9452*chip_f</f>
        <v>11.3973387156315</v>
      </c>
      <c r="E9453" s="15" t="n">
        <f aca="false">Sens!E9451*Sens!E9452*chip_f</f>
        <v>11.3973387156315</v>
      </c>
      <c r="F9453" s="15" t="n">
        <f aca="false">Sens!F9451*Sens!F9452*chip_f</f>
        <v>11.0511538476088</v>
      </c>
      <c r="G9453" s="15" t="n">
        <f aca="false">Sens!G9451*Sens!G9452*chip_f</f>
        <v>10.4487882383995</v>
      </c>
      <c r="H9453" s="15" t="n">
        <f aca="false">Sens!H9451*Sens!H9452*chip_f</f>
        <v>9.68073398310464</v>
      </c>
      <c r="I9453" s="15" t="n">
        <f aca="false">Sens!I9451*Sens!I9452*chip_f</f>
        <v>9.84893524377706</v>
      </c>
      <c r="J9453" s="15" t="n">
        <f aca="false">Sens!J9451*Sens!J9452*chip_f</f>
        <v>9.98227637126252</v>
      </c>
      <c r="K9453" s="15" t="n">
        <f aca="false">Sens!K9451*Sens!K9452*chip_f</f>
        <v>10.1652568170583</v>
      </c>
      <c r="L9453" s="1" t="s">
        <v>975</v>
      </c>
    </row>
    <row r="9454" customFormat="false" ht="17.15" hidden="false" customHeight="false" outlineLevel="0" collapsed="false">
      <c r="A9454" s="0" t="s">
        <v>976</v>
      </c>
      <c r="B9454" s="0" t="s">
        <v>98</v>
      </c>
      <c r="D9454" s="6" t="n">
        <f aca="false">(Sens!C9437+Sens!D9437)/2*Sens!D9453/1000</f>
        <v>12.9359794422418</v>
      </c>
      <c r="E9454" s="6" t="n">
        <f aca="false">(Sens!D9437+Sens!E9437)/2*Sens!E9453/1000</f>
        <v>27.8095064661409</v>
      </c>
      <c r="F9454" s="6" t="n">
        <f aca="false">(Sens!E9437+Sens!F9437)/2*Sens!F9453/1000</f>
        <v>50.9819294352312</v>
      </c>
      <c r="G9454" s="6" t="n">
        <f aca="false">(Sens!F9437+Sens!G9437)/2*Sens!G9453/1000</f>
        <v>76.6920436014933</v>
      </c>
      <c r="H9454" s="6" t="n">
        <f aca="false">(Sens!G9437+Sens!H9437)/2*Sens!H9453/1000</f>
        <v>97.4495379418341</v>
      </c>
      <c r="I9454" s="6" t="n">
        <f aca="false">(Sens!H9437+Sens!I9437)/2*Sens!I9453/1000</f>
        <v>122.083445553868</v>
      </c>
      <c r="J9454" s="6" t="n">
        <f aca="false">(Sens!I9437+Sens!J9437)/2*Sens!J9453/1000</f>
        <v>139.249060444804</v>
      </c>
      <c r="K9454" s="6" t="n">
        <f aca="false">(Sens!J9437+Sens!K9437)/2*Sens!K9453/1000</f>
        <v>149.995818575589</v>
      </c>
      <c r="L9454" s="12" t="s">
        <v>977</v>
      </c>
    </row>
    <row r="9455" customFormat="false" ht="17.15" hidden="false" customHeight="false" outlineLevel="0" collapsed="false">
      <c r="A9455" s="1" t="s">
        <v>978</v>
      </c>
      <c r="B9455" s="0" t="s">
        <v>403</v>
      </c>
      <c r="C9455" s="15" t="n">
        <f aca="false">(Sens!C9445*tk_opex_h100+Sens!C9446*tk_opex_gb200+Sens!C9447*tk_opex_gb300+(Sens!C9449+Sens!C9448)*tk_opex_vr200)/Sens!C9437</f>
        <v>1.88636041306092</v>
      </c>
      <c r="D9455" s="15" t="n">
        <f aca="false">(Sens!D9445*tk_opex_h100+Sens!D9446*tk_opex_gb200+Sens!D9447*tk_opex_gb300+(Sens!D9449+Sens!D9448)*tk_opex_vr200)/Sens!D9437</f>
        <v>1.88636041306092</v>
      </c>
      <c r="E9455" s="15" t="n">
        <f aca="false">(Sens!E9445*tk_opex_h100+Sens!E9446*tk_opex_gb200+Sens!E9447*tk_opex_gb300+(Sens!E9449+Sens!E9448)*tk_opex_vr200)/Sens!E9437</f>
        <v>1.88636041306092</v>
      </c>
      <c r="F9455" s="15" t="n">
        <f aca="false">(Sens!F9445*tk_opex_h100+Sens!F9446*tk_opex_gb200+Sens!F9447*tk_opex_gb300+(Sens!F9449+Sens!F9448)*tk_opex_vr200)/Sens!F9437</f>
        <v>1.95051159746876</v>
      </c>
      <c r="G9455" s="15" t="n">
        <f aca="false">(Sens!G9445*tk_opex_h100+Sens!G9446*tk_opex_gb200+Sens!G9447*tk_opex_gb300+(Sens!G9449+Sens!G9448)*tk_opex_vr200)/Sens!G9437</f>
        <v>1.98836003669956</v>
      </c>
      <c r="H9455" s="15" t="n">
        <f aca="false">(Sens!H9445*tk_opex_h100+Sens!H9446*tk_opex_gb200+Sens!H9447*tk_opex_gb300+(Sens!H9449+Sens!H9448)*tk_opex_vr200)/Sens!H9437</f>
        <v>2.01344013834343</v>
      </c>
      <c r="I9455" s="15" t="n">
        <f aca="false">(Sens!I9445*tk_opex_h100+Sens!I9446*tk_opex_gb200+Sens!I9447*tk_opex_gb300+(Sens!I9449+Sens!I9448)*tk_opex_vr200)/Sens!I9437</f>
        <v>2.03261166882178</v>
      </c>
      <c r="J9455" s="15" t="n">
        <f aca="false">(Sens!J9445*tk_opex_h100+Sens!J9446*tk_opex_gb200+Sens!J9447*tk_opex_gb300+(Sens!J9449+Sens!J9448)*tk_opex_vr200)/Sens!J9437</f>
        <v>2.04808073288745</v>
      </c>
      <c r="K9455" s="15" t="n">
        <f aca="false">(Sens!K9445*tk_opex_h100+Sens!K9446*tk_opex_gb200+Sens!K9447*tk_opex_gb300+(Sens!K9449+Sens!K9448)*tk_opex_vr200)/Sens!K9437</f>
        <v>2.06973825807449</v>
      </c>
      <c r="L9455" s="12" t="s">
        <v>979</v>
      </c>
    </row>
    <row r="9456" customFormat="false" ht="17.15" hidden="false" customHeight="false" outlineLevel="0" collapsed="false">
      <c r="A9456" s="0" t="s">
        <v>980</v>
      </c>
      <c r="B9456" s="0" t="s">
        <v>98</v>
      </c>
      <c r="D9456" s="6" t="n">
        <f aca="false">(Sens!C9440+Sens!D9440)/2*Sens!D9455/1000</f>
        <v>2.70378325872065</v>
      </c>
      <c r="E9456" s="6" t="n">
        <f aca="false">(Sens!D9440+Sens!E9440)/2*Sens!E9455/1000</f>
        <v>6.17783035277451</v>
      </c>
      <c r="F9456" s="6" t="n">
        <f aca="false">(Sens!E9440+Sens!F9440)/2*Sens!F9455/1000</f>
        <v>12.8742463089237</v>
      </c>
      <c r="G9456" s="6" t="n">
        <f aca="false">(Sens!F9440+Sens!G9440)/2*Sens!G9455/1000</f>
        <v>21.8182834646277</v>
      </c>
      <c r="H9456" s="6" t="n">
        <f aca="false">(Sens!G9440+Sens!H9440)/2*Sens!H9455/1000</f>
        <v>31.2430128789734</v>
      </c>
      <c r="I9456" s="6" t="n">
        <f aca="false">(Sens!H9440+Sens!I9440)/2*Sens!I9455/1000</f>
        <v>39.4313057443268</v>
      </c>
      <c r="J9456" s="6" t="n">
        <f aca="false">(Sens!I9440+Sens!J9440)/2*Sens!J9455/1000</f>
        <v>45.0360318228653</v>
      </c>
      <c r="K9456" s="6" t="n">
        <f aca="false">(Sens!J9440+Sens!K9440)/2*Sens!K9455/1000</f>
        <v>48.2929727091156</v>
      </c>
    </row>
    <row r="9457" customFormat="false" ht="17.15" hidden="false" customHeight="false" outlineLevel="0" collapsed="false">
      <c r="A9457" s="0" t="s">
        <v>981</v>
      </c>
      <c r="B9457" s="0" t="s">
        <v>98</v>
      </c>
      <c r="D9457" s="6" t="n">
        <f aca="false">(Sens!C9438+Sens!D9438)/2*rent_mw/1000</f>
        <v>2.44475</v>
      </c>
      <c r="E9457" s="6" t="n">
        <f aca="false">(Sens!D9438+Sens!E9438)/2*rent_mw/1000</f>
        <v>4.22275</v>
      </c>
      <c r="F9457" s="6" t="n">
        <f aca="false">(Sens!E9438+Sens!F9438)/2*rent_mw/1000</f>
        <v>5.80517</v>
      </c>
      <c r="G9457" s="6" t="n">
        <f aca="false">(Sens!F9438+Sens!G9438)/2*rent_mw/1000</f>
        <v>6.72084</v>
      </c>
      <c r="H9457" s="6" t="n">
        <f aca="false">(Sens!G9438+Sens!H9438)/2*rent_mw/1000</f>
        <v>6.72084</v>
      </c>
      <c r="I9457" s="6" t="n">
        <f aca="false">(Sens!H9438+Sens!I9438)/2*rent_mw/1000</f>
        <v>6.72084</v>
      </c>
      <c r="J9457" s="6" t="n">
        <f aca="false">(Sens!I9438+Sens!J9438)/2*rent_mw/1000</f>
        <v>6.72084</v>
      </c>
      <c r="K9457" s="6" t="n">
        <f aca="false">(Sens!J9438+Sens!K9438)/2*rent_mw/1000</f>
        <v>6.72084</v>
      </c>
    </row>
    <row r="9458" customFormat="false" ht="17.15" hidden="false" customHeight="false" outlineLevel="0" collapsed="false">
      <c r="A9458" s="0" t="s">
        <v>982</v>
      </c>
      <c r="B9458" s="0" t="s">
        <v>98</v>
      </c>
      <c r="D9458" s="6" t="n">
        <f aca="false">(Sens!C9440+Sens!D9440)/2*(1-self_build)*fac_rent/1000</f>
        <v>0.853242375631075</v>
      </c>
      <c r="E9458" s="6" t="n">
        <f aca="false">(Sens!D9440+Sens!E9440)/2*(1-self_build)*fac_rent/1000</f>
        <v>1.94955961408728</v>
      </c>
      <c r="F9458" s="6" t="n">
        <f aca="false">(Sens!E9440+Sens!F9440)/2*(1-self_build)*fac_rent/1000</f>
        <v>3.92914894476356</v>
      </c>
      <c r="G9458" s="6" t="n">
        <f aca="false">(Sens!F9440+Sens!G9440)/2*(1-self_build)*fac_rent/1000</f>
        <v>6.53206908578159</v>
      </c>
      <c r="H9458" s="6" t="n">
        <f aca="false">(Sens!G9440+Sens!H9440)/2*(1-self_build)*fac_rent/1000</f>
        <v>9.23717988341591</v>
      </c>
      <c r="I9458" s="6" t="n">
        <f aca="false">(Sens!H9440+Sens!I9440)/2*(1-self_build)*fac_rent/1000</f>
        <v>11.5481378557393</v>
      </c>
      <c r="J9458" s="6" t="n">
        <f aca="false">(Sens!I9440+Sens!J9440)/2*(1-self_build)*fac_rent/1000</f>
        <v>13.0899582289108</v>
      </c>
      <c r="K9458" s="6" t="n">
        <f aca="false">(Sens!J9440+Sens!K9440)/2*(1-self_build)*fac_rent/1000</f>
        <v>13.8897275626556</v>
      </c>
      <c r="L9458" s="12" t="s">
        <v>983</v>
      </c>
    </row>
    <row r="9459" customFormat="false" ht="17.15" hidden="false" customHeight="false" outlineLevel="0" collapsed="false">
      <c r="A9459" s="1" t="s">
        <v>984</v>
      </c>
      <c r="B9459" s="0" t="s">
        <v>168</v>
      </c>
      <c r="D9459" s="7" t="n">
        <f aca="false">(Sens!C9439+Sens!D9439)/(Sens!C9440+Sens!D9440)</f>
        <v>0.6</v>
      </c>
      <c r="E9459" s="7" t="n">
        <f aca="false">(Sens!D9439+Sens!E9439)/(Sens!D9440+Sens!E9440)</f>
        <v>0.6</v>
      </c>
      <c r="F9459" s="7" t="n">
        <f aca="false">(Sens!E9439+Sens!F9439)/(Sens!E9440+Sens!F9440)</f>
        <v>0.6</v>
      </c>
      <c r="G9459" s="7" t="n">
        <f aca="false">(Sens!F9439+Sens!G9439)/(Sens!F9440+Sens!G9440)</f>
        <v>0.6</v>
      </c>
      <c r="H9459" s="7" t="n">
        <f aca="false">(Sens!G9439+Sens!H9439)/(Sens!G9440+Sens!H9440)</f>
        <v>0.6</v>
      </c>
      <c r="I9459" s="7" t="n">
        <f aca="false">(Sens!H9439+Sens!I9439)/(Sens!H9440+Sens!I9440)</f>
        <v>0.6</v>
      </c>
      <c r="J9459" s="7" t="n">
        <f aca="false">(Sens!I9439+Sens!J9439)/(Sens!I9440+Sens!J9440)</f>
        <v>0.6</v>
      </c>
      <c r="K9459" s="7" t="n">
        <f aca="false">(Sens!J9439+Sens!K9439)/(Sens!J9440+Sens!K9440)</f>
        <v>0.6</v>
      </c>
    </row>
    <row r="9460" customFormat="false" ht="17.15" hidden="false" customHeight="false" outlineLevel="0" collapsed="false">
      <c r="A9460" s="0" t="s">
        <v>985</v>
      </c>
      <c r="B9460" s="0" t="s">
        <v>98</v>
      </c>
      <c r="D9460" s="6" t="n">
        <f aca="false">Sens!D9454-Sens!D9459*(Sens!D9456+Sens!D9458)-Sens!D9457</f>
        <v>8.35701406163072</v>
      </c>
      <c r="E9460" s="6" t="n">
        <f aca="false">Sens!E9454-Sens!E9459*(Sens!E9456+Sens!E9458)-Sens!E9457</f>
        <v>18.7103224860238</v>
      </c>
      <c r="F9460" s="6" t="n">
        <f aca="false">Sens!F9454-Sens!F9459*(Sens!F9456+Sens!F9458)-Sens!F9457</f>
        <v>35.0947222830189</v>
      </c>
      <c r="G9460" s="6" t="n">
        <f aca="false">Sens!G9454-Sens!G9459*(Sens!G9456+Sens!G9458)-Sens!G9457</f>
        <v>52.9609920712477</v>
      </c>
      <c r="H9460" s="6" t="n">
        <f aca="false">Sens!H9454-Sens!H9459*(Sens!H9456+Sens!H9458)-Sens!H9457</f>
        <v>66.4405822844005</v>
      </c>
      <c r="I9460" s="6" t="n">
        <f aca="false">Sens!I9454-Sens!I9459*(Sens!I9456+Sens!I9458)-Sens!I9457</f>
        <v>84.7749393938279</v>
      </c>
      <c r="J9460" s="6" t="n">
        <f aca="false">Sens!J9454-Sens!J9459*(Sens!J9456+Sens!J9458)-Sens!J9457</f>
        <v>97.6526264137382</v>
      </c>
      <c r="K9460" s="6" t="n">
        <f aca="false">Sens!K9454-Sens!K9459*(Sens!K9456+Sens!K9458)-Sens!K9457</f>
        <v>105.965358412527</v>
      </c>
    </row>
    <row r="9461" customFormat="false" ht="17.15" hidden="false" customHeight="false" outlineLevel="0" collapsed="false">
      <c r="A9461" s="1" t="s">
        <v>986</v>
      </c>
      <c r="B9461" s="0" t="s">
        <v>98</v>
      </c>
      <c r="D9461" s="6" t="n">
        <f aca="false">(1-Sens!D9459)*(Sens!D9456+Sens!D9458)</f>
        <v>1.42281025374069</v>
      </c>
      <c r="E9461" s="6" t="n">
        <f aca="false">(1-Sens!E9459)*(Sens!E9456+Sens!E9458)</f>
        <v>3.25095598674472</v>
      </c>
      <c r="F9461" s="6" t="n">
        <f aca="false">(1-Sens!F9459)*(Sens!F9456+Sens!F9458)</f>
        <v>6.72135810147489</v>
      </c>
      <c r="G9461" s="6" t="n">
        <f aca="false">(1-Sens!G9459)*(Sens!G9456+Sens!G9458)</f>
        <v>11.3401410201637</v>
      </c>
      <c r="H9461" s="6" t="n">
        <f aca="false">(1-Sens!H9459)*(Sens!H9456+Sens!H9458)</f>
        <v>16.1920771049557</v>
      </c>
      <c r="I9461" s="6" t="n">
        <f aca="false">(1-Sens!I9459)*(Sens!I9456+Sens!I9458)</f>
        <v>20.3917774400264</v>
      </c>
      <c r="J9461" s="6" t="n">
        <f aca="false">(1-Sens!J9459)*(Sens!J9456+Sens!J9458)</f>
        <v>23.2503960207104</v>
      </c>
      <c r="K9461" s="6" t="n">
        <f aca="false">(1-Sens!K9459)*(Sens!K9456+Sens!K9458)</f>
        <v>24.8730801087085</v>
      </c>
    </row>
    <row r="9462" customFormat="false" ht="17.15" hidden="false" customHeight="false" outlineLevel="0" collapsed="false">
      <c r="A9462" s="1" t="s">
        <v>987</v>
      </c>
      <c r="B9462" s="0" t="s">
        <v>414</v>
      </c>
      <c r="C9462" s="8" t="n">
        <f aca="false">cxit_open</f>
        <v>27.5918995</v>
      </c>
      <c r="D9462" s="8" t="n">
        <f aca="false">cxit_open</f>
        <v>27.5918995</v>
      </c>
      <c r="E9462" s="8" t="n">
        <f aca="false">cxit_open</f>
        <v>27.5918995</v>
      </c>
      <c r="F9462" s="8" t="n">
        <f aca="false">((a_g3_27-nonnv*a_mai)*tk_cxit_gb300+nonnv*a_mai*nv_hold_mai*tk_cxit_vr200+(1-a_g3_27)*tk_cxit_vr200)</f>
        <v>32.4975576</v>
      </c>
      <c r="G9462" s="8" t="n">
        <f aca="false">((a_g3_28-nonnv*a_mai)*tk_cxit_gb300+nonnv*a_mai*nv_hold_mai*tk_cxit_vr200+(1-a_g3_28)*tk_cxit_vr200)</f>
        <v>34.6372088</v>
      </c>
      <c r="H9462" s="8" t="n">
        <f aca="false">((a_g3_29-nonnv*a_mai)*tk_cxit_gb300+nonnv*a_mai*nv_hold_mai*tk_cxit_vr200+(1-a_g3_29)*tk_cxit_vr200)</f>
        <v>35.7070344</v>
      </c>
      <c r="I9462" s="8" t="n">
        <f aca="false">((a_g3_29-nonnv*a_mai)*tk_cxit_gb300+nonnv*a_mai*nv_hold_mai*tk_cxit_vr200+(1-a_g3_29)*tk_cxit_vr200)</f>
        <v>35.7070344</v>
      </c>
      <c r="J9462" s="8" t="n">
        <f aca="false">((a_g3_29-nonnv*a_mai)*tk_cxit_gb300+nonnv*a_mai*nv_hold_mai*tk_cxit_vr200+(1-a_g3_29)*tk_cxit_vr200)</f>
        <v>35.7070344</v>
      </c>
      <c r="K9462" s="8" t="n">
        <f aca="false">((a_g3_29-nonnv*a_mai)*tk_cxit_gb300+nonnv*a_mai*nv_hold_mai*tk_cxit_vr200+(1-a_g3_29)*tk_cxit_vr200)</f>
        <v>35.7070344</v>
      </c>
      <c r="L9462" s="12" t="s">
        <v>988</v>
      </c>
    </row>
    <row r="9463" customFormat="false" ht="17.15" hidden="false" customHeight="false" outlineLevel="0" collapsed="false">
      <c r="A9463" s="0" t="s">
        <v>989</v>
      </c>
      <c r="B9463" s="0" t="s">
        <v>456</v>
      </c>
      <c r="F9463" s="30" t="n">
        <f aca="false">Sens!C9442*IF(Sens!F9435-Sens!C9435=life_it,1,0)+Sens!D9442*IF(Sens!F9435-Sens!D9435=life_it,1,0)+Sens!E9442*IF(Sens!F9435-Sens!E9435=life_it,1,0)</f>
        <v>0</v>
      </c>
      <c r="G9463" s="30" t="n">
        <f aca="false">Sens!C9442*IF(Sens!G9435-Sens!C9435=life_it,1,0)+Sens!D9442*IF(Sens!G9435-Sens!D9435=life_it,1,0)+Sens!E9442*IF(Sens!G9435-Sens!E9435=life_it,1,0)+Sens!F9442*IF(Sens!G9435-Sens!F9435=life_it,1,0)</f>
        <v>0</v>
      </c>
      <c r="H9463" s="30" t="n">
        <f aca="false">Sens!C9442*IF(Sens!H9435-Sens!C9435=life_it,1,0)+Sens!D9442*IF(Sens!H9435-Sens!D9435=life_it,1,0)+Sens!E9442*IF(Sens!H9435-Sens!E9435=life_it,1,0)+Sens!F9442*IF(Sens!H9435-Sens!F9435=life_it,1,0)+Sens!G9442*IF(Sens!H9435-Sens!G9435=life_it,1,0)</f>
        <v>0</v>
      </c>
      <c r="I9463" s="30" t="n">
        <f aca="false">Sens!C9442*IF(Sens!I9435-Sens!C9435=life_it,1,0)+Sens!D9442*IF(Sens!I9435-Sens!D9435=life_it,1,0)+Sens!E9442*IF(Sens!I9435-Sens!E9435=life_it,1,0)+Sens!F9442*IF(Sens!I9435-Sens!F9435=life_it,1,0)+Sens!G9442*IF(Sens!I9435-Sens!G9435=life_it,1,0)+Sens!H9442*IF(Sens!I9435-Sens!H9435=life_it,1,0)</f>
        <v>816.666666666667</v>
      </c>
      <c r="J9463" s="30" t="n">
        <f aca="false">Sens!C9442*IF(Sens!J9435-Sens!C9435=life_it,1,0)+Sens!D9442*IF(Sens!J9435-Sens!D9435=life_it,1,0)+Sens!E9442*IF(Sens!J9435-Sens!E9435=life_it,1,0)+Sens!F9442*IF(Sens!J9435-Sens!F9435=life_it,1,0)+Sens!G9442*IF(Sens!J9435-Sens!G9435=life_it,1,0)+Sens!H9442*IF(Sens!J9435-Sens!H9435=life_it,1,0)+Sens!I9442*IF(Sens!J9435-Sens!I9435=life_it,1,0)</f>
        <v>1233.33333333333</v>
      </c>
      <c r="K9463" s="30" t="n">
        <f aca="false">Sens!C9442*IF(Sens!K9435-Sens!C9435=life_it,1,0)+Sens!D9442*IF(Sens!K9435-Sens!D9435=life_it,1,0)+Sens!E9442*IF(Sens!K9435-Sens!E9435=life_it,1,0)+Sens!F9442*IF(Sens!K9435-Sens!F9435=life_it,1,0)+Sens!G9442*IF(Sens!K9435-Sens!G9435=life_it,1,0)+Sens!H9442*IF(Sens!K9435-Sens!H9435=life_it,1,0)+Sens!I9442*IF(Sens!K9435-Sens!I9435=life_it,1,0)+Sens!J9442*IF(Sens!K9435-Sens!J9435=life_it,1,0)</f>
        <v>2450</v>
      </c>
      <c r="L9463" s="1" t="s">
        <v>990</v>
      </c>
    </row>
    <row r="9464" customFormat="false" ht="17.15" hidden="false" customHeight="false" outlineLevel="0" collapsed="false">
      <c r="A9464" s="0" t="s">
        <v>991</v>
      </c>
      <c r="B9464" s="0" t="s">
        <v>98</v>
      </c>
      <c r="C9464" s="6" t="n">
        <f aca="false">Sens!C9442*Sens!C9462/1000</f>
        <v>22.5333845916667</v>
      </c>
      <c r="D9464" s="6" t="n">
        <f aca="false">Sens!D9442*Sens!D9462/1000</f>
        <v>34.0300093833333</v>
      </c>
      <c r="E9464" s="6" t="n">
        <f aca="false">Sens!E9442*Sens!E9462/1000</f>
        <v>67.600153775</v>
      </c>
      <c r="F9464" s="6" t="n">
        <f aca="false">(Sens!F9442+Sens!F9463)*Sens!F9462/1000</f>
        <v>136.51872432512</v>
      </c>
      <c r="G9464" s="6" t="n">
        <f aca="false">(Sens!G9442+Sens!G9463)*Sens!G9462/1000</f>
        <v>157.399275932048</v>
      </c>
      <c r="H9464" s="6" t="n">
        <f aca="false">(Sens!H9442+Sens!H9463)*Sens!H9462/1000</f>
        <v>162.260804347512</v>
      </c>
      <c r="I9464" s="6" t="n">
        <f aca="false">(Sens!I9442+Sens!I9463)*Sens!I9462/1000</f>
        <v>144.136569485434</v>
      </c>
      <c r="J9464" s="6" t="n">
        <f aca="false">(Sens!J9442+Sens!J9463)*Sens!J9462/1000</f>
        <v>114.029037357864</v>
      </c>
      <c r="K9464" s="6" t="n">
        <f aca="false">(Sens!K9442+Sens!K9463)*Sens!K9462/1000</f>
        <v>113.437085350975</v>
      </c>
    </row>
    <row r="9465" customFormat="false" ht="17.15" hidden="false" customHeight="false" outlineLevel="0" collapsed="false">
      <c r="A9465" s="0" t="s">
        <v>992</v>
      </c>
      <c r="B9465" s="0" t="s">
        <v>98</v>
      </c>
      <c r="C9465" s="6" t="n">
        <f aca="false">Sens!C9442*self_build*tk_cxfac/1000</f>
        <v>6.2083</v>
      </c>
      <c r="D9465" s="6" t="n">
        <f aca="false">Sens!D9442*self_build*tk_cxfac/1000</f>
        <v>9.3758</v>
      </c>
      <c r="E9465" s="6" t="n">
        <f aca="false">Sens!E9442*self_build*tk_cxfac/1000</f>
        <v>18.6249</v>
      </c>
      <c r="F9465" s="6" t="n">
        <f aca="false">Sens!F9442*self_build*tk_cxfac/1000</f>
        <v>31.935179717</v>
      </c>
      <c r="G9465" s="6" t="n">
        <f aca="false">Sens!G9442*self_build*tk_cxfac/1000</f>
        <v>34.545199717</v>
      </c>
      <c r="H9465" s="6" t="n">
        <f aca="false">Sens!H9442*self_build*tk_cxfac/1000</f>
        <v>34.545199717</v>
      </c>
      <c r="I9465" s="6" t="n">
        <f aca="false">Sens!I9442*self_build*tk_cxfac/1000</f>
        <v>24.4782641361767</v>
      </c>
      <c r="J9465" s="6" t="n">
        <f aca="false">Sens!J9442*self_build*tk_cxfac/1000</f>
        <v>14.9008938380769</v>
      </c>
      <c r="K9465" s="6" t="n">
        <f aca="false">Sens!K9442*self_build*tk_cxfac/1000</f>
        <v>5.52576771375761</v>
      </c>
    </row>
    <row r="9466" customFormat="false" ht="17.15" hidden="false" customHeight="false" outlineLevel="0" collapsed="false">
      <c r="A9466" s="0" t="s">
        <v>993</v>
      </c>
      <c r="B9466" s="0" t="s">
        <v>98</v>
      </c>
      <c r="F9466" s="15" t="n">
        <f aca="false">capex_floor27-Sens!F9464-Sens!F9465-Sens!F9562</f>
        <v>-0.0221120866139728</v>
      </c>
      <c r="L9466" s="12" t="s">
        <v>994</v>
      </c>
    </row>
    <row r="9467" customFormat="false" ht="17.15" hidden="false" customHeight="false" outlineLevel="0" collapsed="false">
      <c r="A9467" s="0" t="s">
        <v>995</v>
      </c>
      <c r="B9467" s="0" t="s">
        <v>98</v>
      </c>
      <c r="F9467" s="6" t="n">
        <f aca="false">MAX(0,Sens!F9466)</f>
        <v>0</v>
      </c>
    </row>
    <row r="9468" customFormat="false" ht="17.15" hidden="false" customHeight="false" outlineLevel="0" collapsed="false">
      <c r="A9468" s="0" t="s">
        <v>996</v>
      </c>
      <c r="B9468" s="0" t="s">
        <v>98</v>
      </c>
      <c r="C9468" s="6" t="n">
        <f aca="false">Sens!C9464</f>
        <v>22.5333845916667</v>
      </c>
      <c r="D9468" s="6" t="n">
        <f aca="false">Sens!D9464</f>
        <v>34.0300093833333</v>
      </c>
      <c r="E9468" s="6" t="n">
        <f aca="false">Sens!E9464</f>
        <v>67.600153775</v>
      </c>
      <c r="F9468" s="6" t="n">
        <f aca="false">Sens!F9464</f>
        <v>136.51872432512</v>
      </c>
      <c r="G9468" s="6" t="n">
        <f aca="false">Sens!G9464</f>
        <v>157.399275932048</v>
      </c>
      <c r="H9468" s="6" t="n">
        <f aca="false">Sens!H9464</f>
        <v>162.260804347512</v>
      </c>
      <c r="I9468" s="6" t="n">
        <f aca="false">Sens!I9464</f>
        <v>144.136569485434</v>
      </c>
      <c r="J9468" s="6" t="n">
        <f aca="false">Sens!J9464</f>
        <v>114.029037357864</v>
      </c>
      <c r="K9468" s="6" t="n">
        <f aca="false">Sens!K9464</f>
        <v>113.437085350975</v>
      </c>
    </row>
    <row r="9469" customFormat="false" ht="17.15" hidden="false" customHeight="false" outlineLevel="0" collapsed="false">
      <c r="A9469" s="0" t="s">
        <v>997</v>
      </c>
      <c r="B9469" s="0" t="s">
        <v>98</v>
      </c>
      <c r="C9469" s="6" t="n">
        <f aca="false">Sens!C9468+Sens!C9465</f>
        <v>28.7416845916667</v>
      </c>
      <c r="D9469" s="6" t="n">
        <f aca="false">Sens!D9468+Sens!D9465</f>
        <v>43.4058093833333</v>
      </c>
      <c r="E9469" s="6" t="n">
        <f aca="false">Sens!E9468+Sens!E9465</f>
        <v>86.225053775</v>
      </c>
      <c r="F9469" s="6" t="n">
        <f aca="false">Sens!F9468+Sens!F9465</f>
        <v>168.45390404212</v>
      </c>
      <c r="G9469" s="6" t="n">
        <f aca="false">Sens!G9468+Sens!G9465</f>
        <v>191.944475649048</v>
      </c>
      <c r="H9469" s="6" t="n">
        <f aca="false">Sens!H9468+Sens!H9465</f>
        <v>196.806004064512</v>
      </c>
      <c r="I9469" s="6" t="n">
        <f aca="false">Sens!I9468+Sens!I9465</f>
        <v>168.61483362161</v>
      </c>
      <c r="J9469" s="6" t="n">
        <f aca="false">Sens!J9468+Sens!J9465</f>
        <v>128.92993119594</v>
      </c>
      <c r="K9469" s="6" t="n">
        <f aca="false">Sens!K9468+Sens!K9465</f>
        <v>118.962853064733</v>
      </c>
      <c r="L9469" s="12" t="s">
        <v>998</v>
      </c>
    </row>
    <row r="9470" customFormat="false" ht="17.15" hidden="false" customHeight="false" outlineLevel="0" collapsed="false">
      <c r="A9470" s="0" t="s">
        <v>999</v>
      </c>
      <c r="B9470" s="0" t="s">
        <v>98</v>
      </c>
      <c r="E9470" s="6" t="n">
        <f aca="false">(Sens!C9468*IF(2&lt;life_it,1,IF(2=life_it,0.5,0))+Sens!D9468*IF(1&lt;life_it,1,IF(1=life_it,0.5,0))+Sens!E9468*0.5)/life_it</f>
        <v>15.0605784770833</v>
      </c>
      <c r="F9470" s="6" t="n">
        <f aca="false">(Sens!C9468*IF(3&lt;life_it,1,IF(3=life_it,0.5,0))+Sens!D9468*IF(2&lt;life_it,1,IF(2=life_it,0.5,0))+Sens!E9468*IF(1&lt;life_it,1,IF(1=life_it,0.5,0))+Sens!F9468*0.5)/life_it</f>
        <v>32.0704849854266</v>
      </c>
      <c r="G9470" s="6" t="n">
        <f aca="false">(Sens!C9468*IF(4&lt;life_it,1,IF(4=life_it,0.5,0))+Sens!D9468*IF(3&lt;life_it,1,IF(3=life_it,0.5,0))+Sens!E9468*IF(2&lt;life_it,1,IF(2=life_it,0.5,0))+Sens!F9468*IF(1&lt;life_it,1,IF(1=life_it,0.5,0))+Sens!G9468*0.5)/life_it</f>
        <v>56.5636516735239</v>
      </c>
      <c r="H9470" s="6" t="n">
        <f aca="false">(Sens!C9468*IF(5&lt;life_it,1,IF(5=life_it,0.5,0))+Sens!D9468*IF(4&lt;life_it,1,IF(4=life_it,0.5,0))+Sens!E9468*IF(3&lt;life_it,1,IF(3=life_it,0.5,0))+Sens!F9468*IF(2&lt;life_it,1,IF(2=life_it,0.5,0))+Sens!G9468*IF(1&lt;life_it,1,IF(1=life_it,0.5,0))+Sens!H9468*0.5)/life_it</f>
        <v>83.2019916968207</v>
      </c>
      <c r="I9470" s="6" t="n">
        <f aca="false">(Sens!C9468*IF(6&lt;life_it,1,IF(6=life_it,0.5,0))+Sens!D9468*IF(5&lt;life_it,1,IF(5=life_it,0.5,0))+Sens!E9468*IF(4&lt;life_it,1,IF(4=life_it,0.5,0))+Sens!F9468*IF(3&lt;life_it,1,IF(3=life_it,0.5,0))+Sens!G9468*IF(2&lt;life_it,1,IF(2=life_it,0.5,0))+Sens!H9468*IF(1&lt;life_it,1,IF(1=life_it,0.5,0))+Sens!I9468*0.5)/life_it</f>
        <v>106.857324133594</v>
      </c>
      <c r="J9470" s="6" t="n">
        <f aca="false">(Sens!C9468*IF(7&lt;life_it,1,IF(7=life_it,0.5,0))+Sens!D9468*IF(6&lt;life_it,1,IF(6=life_it,0.5,0))+Sens!E9468*IF(5&lt;life_it,1,IF(5=life_it,0.5,0))+Sens!F9468*IF(4&lt;life_it,1,IF(4=life_it,0.5,0))+Sens!G9468*IF(3&lt;life_it,1,IF(3=life_it,0.5,0))+Sens!H9468*IF(2&lt;life_it,1,IF(2=life_it,0.5,0))+Sens!I9468*IF(1&lt;life_it,1,IF(1=life_it,0.5,0))+Sens!J9468*0.5)/life_it</f>
        <v>123.657508539285</v>
      </c>
      <c r="K9470" s="6" t="n">
        <f aca="false">(Sens!C9468*IF(8&lt;life_it,1,IF(8=life_it,0.5,0))+Sens!D9468*IF(7&lt;life_it,1,IF(7=life_it,0.5,0))+Sens!E9468*IF(6&lt;life_it,1,IF(6=life_it,0.5,0))+Sens!F9468*IF(5&lt;life_it,1,IF(5=life_it,0.5,0))+Sens!G9468*IF(4&lt;life_it,1,IF(4=life_it,0.5,0))+Sens!H9468*IF(3&lt;life_it,1,IF(3=life_it,0.5,0))+Sens!I9468*IF(2&lt;life_it,1,IF(2=life_it,0.5,0))+Sens!J9468*IF(1&lt;life_it,1,IF(1=life_it,0.5,0))+Sens!K9468*0.5)/life_it</f>
        <v>134.143838501827</v>
      </c>
    </row>
    <row r="9471" customFormat="false" ht="17.15" hidden="false" customHeight="false" outlineLevel="0" collapsed="false">
      <c r="A9471" s="0" t="s">
        <v>1000</v>
      </c>
      <c r="B9471" s="0" t="s">
        <v>98</v>
      </c>
      <c r="E9471" s="6" t="n">
        <f aca="false">(Sens!C9465*IF(2&lt;life_fac,1,IF(2=life_fac,0.5,0))+Sens!D9465*IF(1&lt;life_fac,1,IF(1=life_fac,0.5,0))+Sens!E9465*0.5)/life_fac</f>
        <v>1.2448275</v>
      </c>
      <c r="F9471" s="6" t="n">
        <f aca="false">(Sens!C9465*IF(3&lt;life_fac,1,IF(3=life_fac,0.5,0))+Sens!D9465*IF(2&lt;life_fac,1,IF(2=life_fac,0.5,0))+Sens!E9465*IF(1&lt;life_fac,1,IF(1=life_fac,0.5,0))+Sens!F9465*0.5)/life_fac</f>
        <v>2.508829492925</v>
      </c>
      <c r="G9471" s="6" t="n">
        <f aca="false">(Sens!C9465*IF(4&lt;life_fac,1,IF(4=life_fac,0.5,0))+Sens!D9465*IF(3&lt;life_fac,1,IF(3=life_fac,0.5,0))+Sens!E9465*IF(2&lt;life_fac,1,IF(2=life_fac,0.5,0))+Sens!F9465*IF(1&lt;life_fac,1,IF(1=life_fac,0.5,0))+Sens!G9465*0.5)/life_fac</f>
        <v>4.170838978775</v>
      </c>
      <c r="H9471" s="6" t="n">
        <f aca="false">(Sens!C9465*IF(5&lt;life_fac,1,IF(5=life_fac,0.5,0))+Sens!D9465*IF(4&lt;life_fac,1,IF(4=life_fac,0.5,0))+Sens!E9465*IF(3&lt;life_fac,1,IF(3=life_fac,0.5,0))+Sens!F9465*IF(2&lt;life_fac,1,IF(2=life_fac,0.5,0))+Sens!G9465*IF(1&lt;life_fac,1,IF(1=life_fac,0.5,0))+Sens!H9465*0.5)/life_fac</f>
        <v>5.898098964625</v>
      </c>
      <c r="I9471" s="6" t="n">
        <f aca="false">(Sens!C9465*IF(6&lt;life_fac,1,IF(6=life_fac,0.5,0))+Sens!D9465*IF(5&lt;life_fac,1,IF(5=life_fac,0.5,0))+Sens!E9465*IF(4&lt;life_fac,1,IF(4=life_fac,0.5,0))+Sens!F9465*IF(3&lt;life_fac,1,IF(3=life_fac,0.5,0))+Sens!G9465*IF(2&lt;life_fac,1,IF(2=life_fac,0.5,0))+Sens!H9465*IF(1&lt;life_fac,1,IF(1=life_fac,0.5,0))+Sens!I9465*0.5)/life_fac</f>
        <v>7.37368556095442</v>
      </c>
      <c r="J9471" s="6" t="n">
        <f aca="false">(Sens!C9465*IF(7&lt;life_fac,1,IF(7=life_fac,0.5,0))+Sens!D9465*IF(6&lt;life_fac,1,IF(6=life_fac,0.5,0))+Sens!E9465*IF(5&lt;life_fac,1,IF(5=life_fac,0.5,0))+Sens!F9465*IF(4&lt;life_fac,1,IF(4=life_fac,0.5,0))+Sens!G9465*IF(3&lt;life_fac,1,IF(3=life_fac,0.5,0))+Sens!H9465*IF(2&lt;life_fac,1,IF(2=life_fac,0.5,0))+Sens!I9465*IF(1&lt;life_fac,1,IF(1=life_fac,0.5,0))+Sens!J9465*0.5)/life_fac</f>
        <v>8.35816451031075</v>
      </c>
      <c r="K9471" s="6" t="n">
        <f aca="false">(Sens!C9465*IF(8&lt;life_fac,1,IF(8=life_fac,0.5,0))+Sens!D9465*IF(7&lt;life_fac,1,IF(7=life_fac,0.5,0))+Sens!E9465*IF(6&lt;life_fac,1,IF(6=life_fac,0.5,0))+Sens!F9465*IF(5&lt;life_fac,1,IF(5=life_fac,0.5,0))+Sens!G9465*IF(4&lt;life_fac,1,IF(4=life_fac,0.5,0))+Sens!H9465*IF(3&lt;life_fac,1,IF(3=life_fac,0.5,0))+Sens!I9465*IF(2&lt;life_fac,1,IF(2=life_fac,0.5,0))+Sens!J9465*IF(1&lt;life_fac,1,IF(1=life_fac,0.5,0))+Sens!K9465*0.5)/life_fac</f>
        <v>8.86883104910662</v>
      </c>
    </row>
    <row r="9472" customFormat="false" ht="17.15" hidden="false" customHeight="false" outlineLevel="0" collapsed="false">
      <c r="A9472" s="0" t="s">
        <v>1001</v>
      </c>
      <c r="B9472" s="0" t="s">
        <v>98</v>
      </c>
      <c r="E9472" s="6" t="n">
        <f aca="false">Sens!E9470+Sens!E9471</f>
        <v>16.3054059770833</v>
      </c>
      <c r="F9472" s="6" t="n">
        <f aca="false">Sens!F9470+Sens!F9471</f>
        <v>34.5793144783516</v>
      </c>
      <c r="G9472" s="6" t="n">
        <f aca="false">Sens!G9470+Sens!G9471</f>
        <v>60.7344906522989</v>
      </c>
      <c r="H9472" s="6" t="n">
        <f aca="false">Sens!H9470+Sens!H9471</f>
        <v>89.1000906614457</v>
      </c>
      <c r="I9472" s="6" t="n">
        <f aca="false">Sens!I9470+Sens!I9471</f>
        <v>114.231009694548</v>
      </c>
      <c r="J9472" s="6" t="n">
        <f aca="false">Sens!J9470+Sens!J9471</f>
        <v>132.015673049596</v>
      </c>
      <c r="K9472" s="6" t="n">
        <f aca="false">Sens!K9470+Sens!K9471</f>
        <v>143.012669550934</v>
      </c>
    </row>
    <row r="9473" customFormat="false" ht="17.15" hidden="false" customHeight="false" outlineLevel="0" collapsed="false">
      <c r="A9473" s="0" t="s">
        <v>1002</v>
      </c>
      <c r="B9473" s="0" t="s">
        <v>98</v>
      </c>
      <c r="E9473" s="6" t="n">
        <f aca="false">Sens!E9460-Sens!E9459*Sens!E9472</f>
        <v>8.92707889977379</v>
      </c>
      <c r="F9473" s="6" t="n">
        <f aca="false">Sens!F9460-Sens!F9459*Sens!F9472</f>
        <v>14.3471335960079</v>
      </c>
      <c r="G9473" s="6" t="n">
        <f aca="false">Sens!G9460-Sens!G9459*Sens!G9472</f>
        <v>16.5202976798683</v>
      </c>
      <c r="H9473" s="6" t="n">
        <f aca="false">Sens!H9460-Sens!H9459*Sens!H9472</f>
        <v>12.9805278875331</v>
      </c>
      <c r="I9473" s="6" t="n">
        <f aca="false">Sens!I9460-Sens!I9459*Sens!I9472</f>
        <v>16.2363335770989</v>
      </c>
      <c r="J9473" s="6" t="n">
        <f aca="false">Sens!J9460-Sens!J9459*Sens!J9472</f>
        <v>18.4432225839805</v>
      </c>
      <c r="K9473" s="6" t="n">
        <f aca="false">Sens!K9460-Sens!K9459*Sens!K9472</f>
        <v>20.1577566819661</v>
      </c>
    </row>
    <row r="9474" customFormat="false" ht="17.15" hidden="false" customHeight="false" outlineLevel="0" collapsed="false">
      <c r="A9474" s="3" t="s">
        <v>1716</v>
      </c>
    </row>
    <row r="9475" customFormat="false" ht="15" hidden="false" customHeight="false" outlineLevel="0" collapsed="false">
      <c r="A9475" s="4" t="s">
        <v>43</v>
      </c>
      <c r="B9475" s="4" t="s">
        <v>65</v>
      </c>
      <c r="C9475" s="23" t="s">
        <v>938</v>
      </c>
      <c r="D9475" s="23" t="s">
        <v>939</v>
      </c>
      <c r="E9475" s="23" t="s">
        <v>940</v>
      </c>
      <c r="F9475" s="23" t="s">
        <v>941</v>
      </c>
      <c r="G9475" s="23" t="s">
        <v>942</v>
      </c>
      <c r="H9475" s="23" t="s">
        <v>943</v>
      </c>
      <c r="I9475" s="23" t="s">
        <v>944</v>
      </c>
      <c r="J9475" s="23" t="s">
        <v>945</v>
      </c>
      <c r="K9475" s="23" t="s">
        <v>946</v>
      </c>
      <c r="L9475" s="4" t="s">
        <v>47</v>
      </c>
    </row>
    <row r="9476" customFormat="false" ht="17.15" hidden="false" customHeight="false" outlineLevel="0" collapsed="false">
      <c r="A9476" s="0" t="s">
        <v>1021</v>
      </c>
      <c r="B9476" s="0" t="s">
        <v>98</v>
      </c>
      <c r="D9476" s="6" t="n">
        <f aca="false">Sens!D9454</f>
        <v>12.9359794422418</v>
      </c>
      <c r="E9476" s="6" t="n">
        <f aca="false">Sens!E9454</f>
        <v>27.8095064661409</v>
      </c>
      <c r="F9476" s="6" t="n">
        <f aca="false">Sens!F9454</f>
        <v>50.9819294352312</v>
      </c>
      <c r="G9476" s="6" t="n">
        <f aca="false">Sens!G9454</f>
        <v>76.6920436014933</v>
      </c>
      <c r="H9476" s="6" t="n">
        <f aca="false">Sens!H9454</f>
        <v>97.4495379418341</v>
      </c>
      <c r="I9476" s="6" t="n">
        <f aca="false">Sens!I9454</f>
        <v>122.083445553868</v>
      </c>
      <c r="J9476" s="6" t="n">
        <f aca="false">Sens!J9454</f>
        <v>139.249060444804</v>
      </c>
      <c r="K9476" s="6" t="n">
        <f aca="false">Sens!K9454</f>
        <v>149.995818575589</v>
      </c>
    </row>
    <row r="9477" customFormat="false" ht="17.15" hidden="false" customHeight="false" outlineLevel="0" collapsed="false">
      <c r="A9477" s="0" t="s">
        <v>1022</v>
      </c>
      <c r="B9477" s="0" t="s">
        <v>98</v>
      </c>
      <c r="D9477" s="6" t="n">
        <f aca="false">Q!L6-Sens!D9476</f>
        <v>59.6740205577583</v>
      </c>
      <c r="E9477" s="6" t="n">
        <f aca="false">Q!M6-Sens!E9476</f>
        <v>74.1284935338591</v>
      </c>
      <c r="F9477" s="6" t="n">
        <f aca="false">Q!$I$6+(Sens!F9476+Sens!E9477*(1+Sens!F9478))*(1-Q!$E$6/Q!M6)-Sens!F9476</f>
        <v>91.9806989744282</v>
      </c>
      <c r="G9477" s="6" t="n">
        <f aca="false">Sens!F9477*(1+Sens!G9478)</f>
        <v>108.366992004207</v>
      </c>
      <c r="H9477" s="6" t="n">
        <f aca="false">Sens!G9477*(1+Sens!H9478)</f>
        <v>124.200703602616</v>
      </c>
      <c r="I9477" s="6" t="n">
        <f aca="false">Sens!H9477*(1+Sens!I9478)</f>
        <v>138.368852623673</v>
      </c>
      <c r="J9477" s="6" t="n">
        <f aca="false">Sens!I9477*(1+Sens!J9478)</f>
        <v>149.720261612039</v>
      </c>
      <c r="K9477" s="6" t="n">
        <f aca="false">Sens!J9477*(1+Sens!K9478)</f>
        <v>157.206274692641</v>
      </c>
      <c r="L9477" s="12" t="s">
        <v>1023</v>
      </c>
    </row>
    <row r="9478" customFormat="false" ht="15" hidden="false" customHeight="false" outlineLevel="0" collapsed="false">
      <c r="A9478" s="1" t="s">
        <v>1024</v>
      </c>
      <c r="B9478" s="0" t="s">
        <v>168</v>
      </c>
      <c r="E9478" s="7" t="n">
        <f aca="false">Sens!E9477/Sens!D9477-1</f>
        <v>0.242223883039864</v>
      </c>
      <c r="F9478" s="7" t="n">
        <f aca="false">Sens!$E$9478+(glt_azo_lo-Sens!$E$9478)*MIN(1,(Sens!F9435-base_fy)/n_conv)</f>
        <v>0.210186569199887</v>
      </c>
      <c r="G9478" s="7" t="n">
        <f aca="false">Sens!$E$9478+(glt_azo_lo-Sens!$E$9478)*MIN(1,(Sens!G9435-base_fy)/n_conv)</f>
        <v>0.17814925535991</v>
      </c>
      <c r="H9478" s="7" t="n">
        <f aca="false">Sens!$E$9478+(glt_azo_lo-Sens!$E$9478)*MIN(1,(Sens!H9435-base_fy)/n_conv)</f>
        <v>0.146111941519932</v>
      </c>
      <c r="I9478" s="7" t="n">
        <f aca="false">Sens!$E$9478+(glt_azo_lo-Sens!$E$9478)*MIN(1,(Sens!I9435-base_fy)/n_conv)</f>
        <v>0.114074627679955</v>
      </c>
      <c r="J9478" s="7" t="n">
        <f aca="false">Sens!$E$9478+(glt_azo_lo-Sens!$E$9478)*MIN(1,(Sens!J9435-base_fy)/n_conv)</f>
        <v>0.0820373138399774</v>
      </c>
      <c r="K9478" s="7" t="n">
        <f aca="false">Sens!$E$9478+(glt_azo_lo-Sens!$E$9478)*MIN(1,(Sens!K9435-base_fy)/n_conv)</f>
        <v>0.05</v>
      </c>
    </row>
    <row r="9479" customFormat="false" ht="15" hidden="false" customHeight="false" outlineLevel="0" collapsed="false">
      <c r="A9479" s="0" t="s">
        <v>1025</v>
      </c>
      <c r="B9479" s="0" t="s">
        <v>98</v>
      </c>
      <c r="D9479" s="6" t="n">
        <f aca="false">Sens!D9476+Sens!D9477</f>
        <v>72.61</v>
      </c>
      <c r="E9479" s="6" t="n">
        <f aca="false">Sens!E9476+Sens!E9477</f>
        <v>101.938</v>
      </c>
      <c r="F9479" s="6" t="n">
        <f aca="false">Sens!F9476+Sens!F9477</f>
        <v>142.962628409659</v>
      </c>
      <c r="G9479" s="6" t="n">
        <f aca="false">Sens!G9476+Sens!G9477</f>
        <v>185.0590356057</v>
      </c>
      <c r="H9479" s="6" t="n">
        <f aca="false">Sens!H9476+Sens!H9477</f>
        <v>221.65024154445</v>
      </c>
      <c r="I9479" s="6" t="n">
        <f aca="false">Sens!I9476+Sens!I9477</f>
        <v>260.452298177541</v>
      </c>
      <c r="J9479" s="6" t="n">
        <f aca="false">Sens!J9476+Sens!J9477</f>
        <v>288.969322056843</v>
      </c>
      <c r="K9479" s="6" t="n">
        <f aca="false">Sens!K9476+Sens!K9477</f>
        <v>307.20209326823</v>
      </c>
    </row>
    <row r="9480" customFormat="false" ht="17.15" hidden="false" customHeight="false" outlineLevel="0" collapsed="false">
      <c r="A9480" s="0" t="s">
        <v>1026</v>
      </c>
      <c r="B9480" s="1" t="s">
        <v>610</v>
      </c>
      <c r="C9480" s="30" t="n">
        <f aca="false">cop_s24</f>
        <v>1</v>
      </c>
      <c r="D9480" s="30" t="n">
        <f aca="false">cop_s25</f>
        <v>5</v>
      </c>
      <c r="E9480" s="30" t="n">
        <f aca="false">cop_s26</f>
        <v>30</v>
      </c>
      <c r="F9480" s="30" t="n">
        <f aca="false">Sens!E9480+cop_add_C</f>
        <v>40</v>
      </c>
      <c r="G9480" s="30" t="n">
        <f aca="false">Sens!F9480+cop_add_C</f>
        <v>50</v>
      </c>
      <c r="H9480" s="30" t="n">
        <f aca="false">Sens!G9480+cop_add_C</f>
        <v>60</v>
      </c>
      <c r="I9480" s="30" t="n">
        <f aca="false">Sens!H9480+cop_add_C*cop_tail</f>
        <v>65</v>
      </c>
      <c r="J9480" s="30" t="n">
        <f aca="false">Sens!I9480+cop_add_C*cop_tail</f>
        <v>70</v>
      </c>
      <c r="K9480" s="30" t="n">
        <f aca="false">Sens!J9480+cop_add_C*cop_tail</f>
        <v>75</v>
      </c>
      <c r="L9480" s="12" t="s">
        <v>1027</v>
      </c>
    </row>
    <row r="9481" customFormat="false" ht="17.15" hidden="false" customHeight="false" outlineLevel="0" collapsed="false">
      <c r="A9481" s="0" t="s">
        <v>1028</v>
      </c>
      <c r="B9481" s="0" t="s">
        <v>98</v>
      </c>
      <c r="D9481" s="6" t="n">
        <f aca="false">(Sens!C9480+Sens!D9480)/2*cop_px*12/1000</f>
        <v>0.9</v>
      </c>
      <c r="E9481" s="6" t="n">
        <f aca="false">(Sens!D9480+Sens!E9480)/2*cop_px*12/1000</f>
        <v>5.25</v>
      </c>
      <c r="F9481" s="6" t="n">
        <f aca="false">(Sens!E9480+Sens!F9480)/2*cop_px*12/1000</f>
        <v>10.5</v>
      </c>
      <c r="G9481" s="6" t="n">
        <f aca="false">(Sens!F9480+Sens!G9480)/2*cop_px*12/1000</f>
        <v>13.5</v>
      </c>
      <c r="H9481" s="6" t="n">
        <f aca="false">(Sens!G9480+Sens!H9480)/2*cop_px*12/1000</f>
        <v>16.5</v>
      </c>
      <c r="I9481" s="6" t="n">
        <f aca="false">(Sens!H9480+Sens!I9480)/2*cop_px*12/1000</f>
        <v>18.75</v>
      </c>
      <c r="J9481" s="6" t="n">
        <f aca="false">(Sens!I9480+Sens!J9480)/2*cop_px*12/1000</f>
        <v>20.25</v>
      </c>
      <c r="K9481" s="6" t="n">
        <f aca="false">(Sens!J9480+Sens!K9480)/2*cop_px*12/1000</f>
        <v>21.75</v>
      </c>
      <c r="L9481" s="1" t="s">
        <v>1029</v>
      </c>
    </row>
    <row r="9482" customFormat="false" ht="17.15" hidden="false" customHeight="false" outlineLevel="0" collapsed="false">
      <c r="A9482" s="0" t="s">
        <v>1030</v>
      </c>
      <c r="B9482" s="0" t="s">
        <v>98</v>
      </c>
      <c r="D9482" s="6" t="n">
        <f aca="false">Q!L7-Sens!D9481</f>
        <v>83.705</v>
      </c>
      <c r="E9482" s="6" t="n">
        <f aca="false">Q!M7-Sens!E9481</f>
        <v>95.049</v>
      </c>
      <c r="F9482" s="6" t="n">
        <f aca="false">Q!$I$7+(Sens!E9482*(1+Sens!F9483)+Sens!F9481)*(1-Q!$E$7/Q!M7)-Sens!F9481</f>
        <v>106.938354189776</v>
      </c>
      <c r="G9482" s="6" t="n">
        <f aca="false">Sens!F9482*(1+Sens!G9483)</f>
        <v>119.095360443801</v>
      </c>
      <c r="H9482" s="6" t="n">
        <f aca="false">Sens!G9482*(1+Sens!H9483)</f>
        <v>131.333811964563</v>
      </c>
      <c r="I9482" s="6" t="n">
        <f aca="false">Sens!H9482*(1+Sens!I9483)</f>
        <v>143.395665319381</v>
      </c>
      <c r="J9482" s="6" t="n">
        <f aca="false">Sens!I9482*(1+Sens!J9483)</f>
        <v>154.999327755573</v>
      </c>
      <c r="K9482" s="6" t="n">
        <f aca="false">Sens!J9482*(1+Sens!K9483)</f>
        <v>165.849280698463</v>
      </c>
      <c r="L9482" s="12" t="s">
        <v>1031</v>
      </c>
    </row>
    <row r="9483" customFormat="false" ht="15" hidden="false" customHeight="false" outlineLevel="0" collapsed="false">
      <c r="A9483" s="1" t="s">
        <v>1024</v>
      </c>
      <c r="B9483" s="0" t="s">
        <v>168</v>
      </c>
      <c r="E9483" s="7" t="n">
        <f aca="false">Sens!E9482/Sens!D9482-1</f>
        <v>0.135523564900544</v>
      </c>
      <c r="F9483" s="7" t="n">
        <f aca="false">Sens!$E$9483+(glt_m365b-Sens!$E$9483)*MIN(1,(Sens!F9435-base_fy)/n_conv)</f>
        <v>0.124602970750453</v>
      </c>
      <c r="G9483" s="7" t="n">
        <f aca="false">Sens!$E$9483+(glt_m365b-Sens!$E$9483)*MIN(1,(Sens!G9435-base_fy)/n_conv)</f>
        <v>0.113682376600363</v>
      </c>
      <c r="H9483" s="7" t="n">
        <f aca="false">Sens!$E$9483+(glt_m365b-Sens!$E$9483)*MIN(1,(Sens!H9435-base_fy)/n_conv)</f>
        <v>0.102761782450272</v>
      </c>
      <c r="I9483" s="7" t="n">
        <f aca="false">Sens!$E$9483+(glt_m365b-Sens!$E$9483)*MIN(1,(Sens!I9435-base_fy)/n_conv)</f>
        <v>0.0918411883001813</v>
      </c>
      <c r="J9483" s="7" t="n">
        <f aca="false">Sens!$E$9483+(glt_m365b-Sens!$E$9483)*MIN(1,(Sens!J9435-base_fy)/n_conv)</f>
        <v>0.0809205941500906</v>
      </c>
      <c r="K9483" s="7" t="n">
        <f aca="false">Sens!$E$9483+(glt_m365b-Sens!$E$9483)*MIN(1,(Sens!K9435-base_fy)/n_conv)</f>
        <v>0.07</v>
      </c>
    </row>
    <row r="9484" customFormat="false" ht="15" hidden="false" customHeight="false" outlineLevel="0" collapsed="false">
      <c r="A9484" s="0" t="s">
        <v>1032</v>
      </c>
      <c r="B9484" s="0" t="s">
        <v>98</v>
      </c>
      <c r="D9484" s="6" t="n">
        <f aca="false">Sens!D9482+Sens!D9481</f>
        <v>84.605</v>
      </c>
      <c r="E9484" s="6" t="n">
        <f aca="false">Sens!E9482+Sens!E9481</f>
        <v>100.299</v>
      </c>
      <c r="F9484" s="6" t="n">
        <f aca="false">Sens!F9482+Sens!F9481</f>
        <v>117.438354189776</v>
      </c>
      <c r="G9484" s="6" t="n">
        <f aca="false">Sens!G9482+Sens!G9481</f>
        <v>132.595360443801</v>
      </c>
      <c r="H9484" s="6" t="n">
        <f aca="false">Sens!H9482+Sens!H9481</f>
        <v>147.833811964563</v>
      </c>
      <c r="I9484" s="6" t="n">
        <f aca="false">Sens!I9482+Sens!I9481</f>
        <v>162.145665319381</v>
      </c>
      <c r="J9484" s="6" t="n">
        <f aca="false">Sens!J9482+Sens!J9481</f>
        <v>175.249327755573</v>
      </c>
      <c r="K9484" s="6" t="n">
        <f aca="false">Sens!K9482+Sens!K9481</f>
        <v>187.599280698463</v>
      </c>
    </row>
    <row r="9485" customFormat="false" ht="17.15" hidden="false" customHeight="false" outlineLevel="0" collapsed="false">
      <c r="A9485" s="0" t="s">
        <v>1033</v>
      </c>
      <c r="B9485" s="0" t="s">
        <v>98</v>
      </c>
      <c r="D9485" s="6" t="n">
        <f aca="false">Q!L8</f>
        <v>35.391</v>
      </c>
      <c r="E9485" s="6" t="n">
        <f aca="false">Q!M8</f>
        <v>37.285</v>
      </c>
      <c r="F9485" s="6" t="n">
        <f aca="false">Q!$I$8+(Q!M8-Q!$E$8)*(1+Sens!F9486)</f>
        <v>38.3851437782675</v>
      </c>
      <c r="G9485" s="6" t="n">
        <f aca="false">Sens!F9485*(1+Sens!G9486)</f>
        <v>40.0105353288615</v>
      </c>
      <c r="H9485" s="6" t="n">
        <f aca="false">Sens!G9485*(1+Sens!H9486)</f>
        <v>41.4812512033683</v>
      </c>
      <c r="I9485" s="6" t="n">
        <f aca="false">Sens!H9485*(1+Sens!I9486)</f>
        <v>42.7743107216329</v>
      </c>
      <c r="J9485" s="6" t="n">
        <f aca="false">Sens!I9485*(1+Sens!J9486)</f>
        <v>43.8687373064601</v>
      </c>
      <c r="K9485" s="6" t="n">
        <f aca="false">Sens!J9485*(1+Sens!K9486)</f>
        <v>44.7461120525893</v>
      </c>
      <c r="L9485" s="12" t="s">
        <v>1034</v>
      </c>
    </row>
    <row r="9486" customFormat="false" ht="15" hidden="false" customHeight="false" outlineLevel="0" collapsed="false">
      <c r="A9486" s="1" t="s">
        <v>1024</v>
      </c>
      <c r="B9486" s="0" t="s">
        <v>168</v>
      </c>
      <c r="E9486" s="7" t="n">
        <f aca="false">Sens!E9485/Sens!D9485-1</f>
        <v>0.0535164307309768</v>
      </c>
      <c r="F9486" s="7" t="n">
        <f aca="false">Sens!$E$9486+(glt_lic-Sens!$E$9486)*MIN(1,(Sens!F9435-base_fy)/n_conv)</f>
        <v>0.0479303589424807</v>
      </c>
      <c r="G9486" s="7" t="n">
        <f aca="false">Sens!$E$9486+(glt_lic-Sens!$E$9486)*MIN(1,(Sens!G9435-base_fy)/n_conv)</f>
        <v>0.0423442871539845</v>
      </c>
      <c r="H9486" s="7" t="n">
        <f aca="false">Sens!$E$9486+(glt_lic-Sens!$E$9486)*MIN(1,(Sens!H9435-base_fy)/n_conv)</f>
        <v>0.0367582153654884</v>
      </c>
      <c r="I9486" s="7" t="n">
        <f aca="false">Sens!$E$9486+(glt_lic-Sens!$E$9486)*MIN(1,(Sens!I9435-base_fy)/n_conv)</f>
        <v>0.0311721435769923</v>
      </c>
      <c r="J9486" s="7" t="n">
        <f aca="false">Sens!$E$9486+(glt_lic-Sens!$E$9486)*MIN(1,(Sens!J9435-base_fy)/n_conv)</f>
        <v>0.0255860717884961</v>
      </c>
      <c r="K9486" s="7" t="n">
        <f aca="false">Sens!$E$9486+(glt_lic-Sens!$E$9486)*MIN(1,(Sens!K9435-base_fy)/n_conv)</f>
        <v>0.02</v>
      </c>
    </row>
    <row r="9487" customFormat="false" ht="17.15" hidden="false" customHeight="false" outlineLevel="0" collapsed="false">
      <c r="A9487" s="0" t="s">
        <v>1035</v>
      </c>
      <c r="B9487" s="0" t="s">
        <v>98</v>
      </c>
      <c r="D9487" s="6" t="n">
        <f aca="false">Q!L9</f>
        <v>18.417</v>
      </c>
      <c r="E9487" s="6" t="n">
        <f aca="false">Q!M9</f>
        <v>20.345</v>
      </c>
      <c r="F9487" s="6" t="n">
        <f aca="false">Q!$I$9+(Q!M9-Q!$E$9)*(1+Sens!F9488)</f>
        <v>22.3161797133988</v>
      </c>
      <c r="G9487" s="6" t="n">
        <f aca="false">Sens!F9487*(1+Sens!G9488)</f>
        <v>24.3943499673233</v>
      </c>
      <c r="H9487" s="6" t="n">
        <f aca="false">Sens!G9487*(1+Sens!H9488)</f>
        <v>26.5250243109019</v>
      </c>
      <c r="I9487" s="6" t="n">
        <f aca="false">Sens!H9487*(1+Sens!I9488)</f>
        <v>28.6884573538181</v>
      </c>
      <c r="J9487" s="6" t="n">
        <f aca="false">Sens!I9487*(1+Sens!J9488)</f>
        <v>30.8624968052127</v>
      </c>
      <c r="K9487" s="6" t="n">
        <f aca="false">Sens!J9487*(1+Sens!K9488)</f>
        <v>33.0228715815776</v>
      </c>
      <c r="L9487" s="12" t="s">
        <v>1034</v>
      </c>
    </row>
    <row r="9488" customFormat="false" ht="15" hidden="false" customHeight="false" outlineLevel="0" collapsed="false">
      <c r="A9488" s="1" t="s">
        <v>1024</v>
      </c>
      <c r="B9488" s="0" t="s">
        <v>168</v>
      </c>
      <c r="E9488" s="7" t="n">
        <f aca="false">Sens!E9487/Sens!D9487-1</f>
        <v>0.104685888038225</v>
      </c>
      <c r="F9488" s="7" t="n">
        <f aca="false">Sens!$E$9488+(glt_ind-Sens!$E$9488)*MIN(1,(Sens!F9435-base_fy)/n_conv)</f>
        <v>0.0989049066985211</v>
      </c>
      <c r="G9488" s="7" t="n">
        <f aca="false">Sens!$E$9488+(glt_ind-Sens!$E$9488)*MIN(1,(Sens!G9435-base_fy)/n_conv)</f>
        <v>0.0931239253588169</v>
      </c>
      <c r="H9488" s="7" t="n">
        <f aca="false">Sens!$E$9488+(glt_ind-Sens!$E$9488)*MIN(1,(Sens!H9435-base_fy)/n_conv)</f>
        <v>0.0873429440191127</v>
      </c>
      <c r="I9488" s="7" t="n">
        <f aca="false">Sens!$E$9488+(glt_ind-Sens!$E$9488)*MIN(1,(Sens!I9435-base_fy)/n_conv)</f>
        <v>0.0815619626794085</v>
      </c>
      <c r="J9488" s="7" t="n">
        <f aca="false">Sens!$E$9488+(glt_ind-Sens!$E$9488)*MIN(1,(Sens!J9435-base_fy)/n_conv)</f>
        <v>0.0757809813397042</v>
      </c>
      <c r="K9488" s="7" t="n">
        <f aca="false">Sens!$E$9488+(glt_ind-Sens!$E$9488)*MIN(1,(Sens!K9435-base_fy)/n_conv)</f>
        <v>0.07</v>
      </c>
    </row>
    <row r="9489" customFormat="false" ht="17.15" hidden="false" customHeight="false" outlineLevel="0" collapsed="false">
      <c r="A9489" s="0" t="s">
        <v>1036</v>
      </c>
      <c r="B9489" s="0" t="s">
        <v>98</v>
      </c>
      <c r="D9489" s="6" t="n">
        <f aca="false">Q!L10</f>
        <v>7.76</v>
      </c>
      <c r="E9489" s="6" t="n">
        <f aca="false">Q!M10</f>
        <v>8.26</v>
      </c>
      <c r="F9489" s="6" t="n">
        <f aca="false">Q!$I$10+(Q!M10-Q!$E$10)*(1+Sens!F9490)</f>
        <v>8.75372082474227</v>
      </c>
      <c r="G9489" s="6" t="n">
        <f aca="false">Sens!F9489*(1+Sens!G9490)</f>
        <v>9.33399324642364</v>
      </c>
      <c r="H9489" s="6" t="n">
        <f aca="false">Sens!G9489*(1+Sens!H9490)</f>
        <v>9.96139155535851</v>
      </c>
      <c r="I9489" s="6" t="n">
        <f aca="false">Sens!H9489*(1+Sens!I9490)</f>
        <v>10.6402039077391</v>
      </c>
      <c r="J9489" s="6" t="n">
        <f aca="false">Sens!I9489*(1+Sens!J9490)</f>
        <v>11.3751458271397</v>
      </c>
      <c r="K9489" s="6" t="n">
        <f aca="false">Sens!J9489*(1+Sens!K9490)</f>
        <v>12.1714060350394</v>
      </c>
      <c r="L9489" s="12" t="s">
        <v>1034</v>
      </c>
    </row>
    <row r="9490" customFormat="false" ht="15" hidden="false" customHeight="false" outlineLevel="0" collapsed="false">
      <c r="A9490" s="1" t="s">
        <v>1024</v>
      </c>
      <c r="B9490" s="0" t="s">
        <v>168</v>
      </c>
      <c r="E9490" s="7" t="n">
        <f aca="false">Sens!E9489/Sens!D9489-1</f>
        <v>0.0644329896907216</v>
      </c>
      <c r="F9490" s="7" t="n">
        <f aca="false">Sens!$E$9490+(glt_fro-Sens!$E$9490)*MIN(1,(Sens!F9435-base_fy)/n_conv)</f>
        <v>0.065360824742268</v>
      </c>
      <c r="G9490" s="7" t="n">
        <f aca="false">Sens!$E$9490+(glt_fro-Sens!$E$9490)*MIN(1,(Sens!G9435-base_fy)/n_conv)</f>
        <v>0.0662886597938144</v>
      </c>
      <c r="H9490" s="7" t="n">
        <f aca="false">Sens!$E$9490+(glt_fro-Sens!$E$9490)*MIN(1,(Sens!H9435-base_fy)/n_conv)</f>
        <v>0.0672164948453608</v>
      </c>
      <c r="I9490" s="7" t="n">
        <f aca="false">Sens!$E$9490+(glt_fro-Sens!$E$9490)*MIN(1,(Sens!I9435-base_fy)/n_conv)</f>
        <v>0.0681443298969072</v>
      </c>
      <c r="J9490" s="7" t="n">
        <f aca="false">Sens!$E$9490+(glt_fro-Sens!$E$9490)*MIN(1,(Sens!J9435-base_fy)/n_conv)</f>
        <v>0.0690721649484536</v>
      </c>
      <c r="K9490" s="7" t="n">
        <f aca="false">Sens!$E$9490+(glt_fro-Sens!$E$9490)*MIN(1,(Sens!K9435-base_fy)/n_conv)</f>
        <v>0.07</v>
      </c>
    </row>
    <row r="9491" customFormat="false" ht="15" hidden="false" customHeight="false" outlineLevel="0" collapsed="false">
      <c r="A9491" s="0" t="s">
        <v>852</v>
      </c>
      <c r="B9491" s="0" t="s">
        <v>98</v>
      </c>
      <c r="D9491" s="6" t="n">
        <f aca="false">Sens!D9479+Sens!D9484+Sens!D9485+Sens!D9487+Sens!D9489</f>
        <v>218.783</v>
      </c>
      <c r="E9491" s="6" t="n">
        <f aca="false">Sens!E9479+Sens!E9484+Sens!E9485+Sens!E9487+Sens!E9489</f>
        <v>268.127</v>
      </c>
      <c r="F9491" s="6" t="n">
        <f aca="false">Sens!F9479+Sens!F9484+Sens!F9485+Sens!F9487+Sens!F9489</f>
        <v>329.856026915844</v>
      </c>
      <c r="G9491" s="6" t="n">
        <f aca="false">Sens!G9479+Sens!G9484+Sens!G9485+Sens!G9487+Sens!G9489</f>
        <v>391.393274592109</v>
      </c>
      <c r="H9491" s="6" t="n">
        <f aca="false">Sens!H9479+Sens!H9484+Sens!H9485+Sens!H9487+Sens!H9489</f>
        <v>447.451720578642</v>
      </c>
      <c r="I9491" s="6" t="n">
        <f aca="false">Sens!I9479+Sens!I9484+Sens!I9485+Sens!I9487+Sens!I9489</f>
        <v>504.700935480112</v>
      </c>
      <c r="J9491" s="6" t="n">
        <f aca="false">Sens!J9479+Sens!J9484+Sens!J9485+Sens!J9487+Sens!J9489</f>
        <v>550.325029751228</v>
      </c>
      <c r="K9491" s="6" t="n">
        <f aca="false">Sens!K9479+Sens!K9484+Sens!K9485+Sens!K9487+Sens!K9489</f>
        <v>584.741763635899</v>
      </c>
    </row>
    <row r="9492" customFormat="false" ht="17.15" hidden="false" customHeight="false" outlineLevel="0" collapsed="false">
      <c r="A9492" s="0" t="s">
        <v>1037</v>
      </c>
      <c r="B9492" s="0" t="s">
        <v>98</v>
      </c>
      <c r="D9492" s="6" t="n">
        <f aca="false">Q!L13</f>
        <v>22.171</v>
      </c>
      <c r="E9492" s="6" t="n">
        <f aca="false">Q!M13</f>
        <v>24.835</v>
      </c>
      <c r="F9492" s="6" t="n">
        <f aca="false">Q!$I$13+(Q!M13-Q!$E$13)*(1+Sens!F9493)</f>
        <v>27.5591895660247</v>
      </c>
      <c r="G9492" s="6" t="n">
        <f aca="false">Sens!F9492*(1+Sens!G9493)</f>
        <v>30.4098563144583</v>
      </c>
      <c r="H9492" s="6" t="n">
        <f aca="false">Sens!G9492*(1+Sens!H9493)</f>
        <v>33.3011792571777</v>
      </c>
      <c r="I9492" s="6" t="n">
        <f aca="false">Sens!H9492*(1+Sens!I9493)</f>
        <v>36.189023797112</v>
      </c>
      <c r="J9492" s="6" t="n">
        <f aca="false">Sens!I9492*(1+Sens!J9493)</f>
        <v>39.0247773769199</v>
      </c>
      <c r="K9492" s="6" t="n">
        <f aca="false">Sens!J9492*(1+Sens!K9493)</f>
        <v>41.7565117933043</v>
      </c>
      <c r="L9492" s="12" t="s">
        <v>1034</v>
      </c>
    </row>
    <row r="9493" customFormat="false" ht="15" hidden="false" customHeight="false" outlineLevel="0" collapsed="false">
      <c r="A9493" s="1" t="s">
        <v>1024</v>
      </c>
      <c r="B9493" s="0" t="s">
        <v>168</v>
      </c>
      <c r="E9493" s="7" t="n">
        <f aca="false">Sens!E9492/Sens!D9492-1</f>
        <v>0.120156961796942</v>
      </c>
      <c r="F9493" s="7" t="n">
        <f aca="false">Sens!$E$9493+(glt_srch-Sens!$E$9493)*MIN(1,(Sens!F9435-base_fy)/n_conv)</f>
        <v>0.111797468164118</v>
      </c>
      <c r="G9493" s="7" t="n">
        <f aca="false">Sens!$E$9493+(glt_srch-Sens!$E$9493)*MIN(1,(Sens!G9435-base_fy)/n_conv)</f>
        <v>0.103437974531295</v>
      </c>
      <c r="H9493" s="7" t="n">
        <f aca="false">Sens!$E$9493+(glt_srch-Sens!$E$9493)*MIN(1,(Sens!H9435-base_fy)/n_conv)</f>
        <v>0.095078480898471</v>
      </c>
      <c r="I9493" s="7" t="n">
        <f aca="false">Sens!$E$9493+(glt_srch-Sens!$E$9493)*MIN(1,(Sens!I9435-base_fy)/n_conv)</f>
        <v>0.0867189872656474</v>
      </c>
      <c r="J9493" s="7" t="n">
        <f aca="false">Sens!$E$9493+(glt_srch-Sens!$E$9493)*MIN(1,(Sens!J9435-base_fy)/n_conv)</f>
        <v>0.0783594936328237</v>
      </c>
      <c r="K9493" s="7" t="n">
        <f aca="false">Sens!$E$9493+(glt_srch-Sens!$E$9493)*MIN(1,(Sens!K9435-base_fy)/n_conv)</f>
        <v>0.07</v>
      </c>
    </row>
    <row r="9494" customFormat="false" ht="17.15" hidden="false" customHeight="false" outlineLevel="0" collapsed="false">
      <c r="A9494" s="0" t="s">
        <v>1038</v>
      </c>
      <c r="B9494" s="0" t="s">
        <v>98</v>
      </c>
      <c r="D9494" s="6" t="n">
        <f aca="false">Q!L14</f>
        <v>23.455</v>
      </c>
      <c r="E9494" s="6" t="n">
        <f aca="false">Q!M14</f>
        <v>21.79</v>
      </c>
      <c r="F9494" s="6" t="n">
        <f aca="false">Q!$I$14+(Q!M14-Q!$E$14)*(1+Sens!F9495)</f>
        <v>20.7520981041711</v>
      </c>
      <c r="G9494" s="6" t="n">
        <f aca="false">Sens!F9494*(1+Sens!G9495)</f>
        <v>19.9083593495882</v>
      </c>
      <c r="H9494" s="6" t="n">
        <f aca="false">Sens!G9494*(1+Sens!H9495)</f>
        <v>19.4008256265831</v>
      </c>
      <c r="I9494" s="6" t="n">
        <f aca="false">Sens!H9494*(1+Sens!I9495)</f>
        <v>19.200434522122</v>
      </c>
      <c r="J9494" s="6" t="n">
        <f aca="false">Sens!I9494*(1+Sens!J9495)</f>
        <v>19.2932782348507</v>
      </c>
      <c r="K9494" s="6" t="n">
        <f aca="false">Sens!J9494*(1+Sens!K9495)</f>
        <v>19.6791437995477</v>
      </c>
      <c r="L9494" s="12" t="s">
        <v>1034</v>
      </c>
    </row>
    <row r="9495" customFormat="false" ht="15" hidden="false" customHeight="false" outlineLevel="0" collapsed="false">
      <c r="A9495" s="1" t="s">
        <v>1024</v>
      </c>
      <c r="B9495" s="0" t="s">
        <v>168</v>
      </c>
      <c r="E9495" s="7" t="n">
        <f aca="false">Sens!E9494/Sens!D9494-1</f>
        <v>-0.0709869963760392</v>
      </c>
      <c r="F9495" s="7" t="n">
        <f aca="false">Sens!$E$9495+(glt_xbox-Sens!$E$9495)*MIN(1,(Sens!F9435-base_fy)/n_conv)</f>
        <v>-0.0558224969800327</v>
      </c>
      <c r="G9495" s="7" t="n">
        <f aca="false">Sens!$E$9495+(glt_xbox-Sens!$E$9495)*MIN(1,(Sens!G9435-base_fy)/n_conv)</f>
        <v>-0.0406579975840262</v>
      </c>
      <c r="H9495" s="7" t="n">
        <f aca="false">Sens!$E$9495+(glt_xbox-Sens!$E$9495)*MIN(1,(Sens!H9435-base_fy)/n_conv)</f>
        <v>-0.0254934981880196</v>
      </c>
      <c r="I9495" s="7" t="n">
        <f aca="false">Sens!$E$9495+(glt_xbox-Sens!$E$9495)*MIN(1,(Sens!I9435-base_fy)/n_conv)</f>
        <v>-0.0103289987920131</v>
      </c>
      <c r="J9495" s="7" t="n">
        <f aca="false">Sens!$E$9495+(glt_xbox-Sens!$E$9495)*MIN(1,(Sens!J9435-base_fy)/n_conv)</f>
        <v>0.00483550060399347</v>
      </c>
      <c r="K9495" s="7" t="n">
        <f aca="false">Sens!$E$9495+(glt_xbox-Sens!$E$9495)*MIN(1,(Sens!K9435-base_fy)/n_conv)</f>
        <v>0.02</v>
      </c>
    </row>
    <row r="9496" customFormat="false" ht="17.15" hidden="false" customHeight="false" outlineLevel="0" collapsed="false">
      <c r="A9496" s="0" t="s">
        <v>1039</v>
      </c>
      <c r="B9496" s="0" t="s">
        <v>98</v>
      </c>
      <c r="D9496" s="6" t="n">
        <f aca="false">Q!L15</f>
        <v>17.315</v>
      </c>
      <c r="E9496" s="6" t="n">
        <f aca="false">Q!M15</f>
        <v>17.087</v>
      </c>
      <c r="F9496" s="6" t="n">
        <f aca="false">Q!$I$15+(Q!M15-Q!$E$15)*(1+Sens!F9497)</f>
        <v>15.9912273250553</v>
      </c>
      <c r="G9496" s="6" t="n">
        <f aca="false">Sens!F9496*(1+Sens!G9497)</f>
        <v>15.9574562664827</v>
      </c>
      <c r="H9496" s="6" t="n">
        <f aca="false">Sens!G9496*(1+Sens!H9497)</f>
        <v>16.0119687434196</v>
      </c>
      <c r="I9496" s="6" t="n">
        <f aca="false">Sens!H9496*(1+Sens!I9497)</f>
        <v>16.1551810001948</v>
      </c>
      <c r="J9496" s="6" t="n">
        <f aca="false">Sens!I9496*(1+Sens!J9497)</f>
        <v>16.3889793892005</v>
      </c>
      <c r="K9496" s="6" t="n">
        <f aca="false">Sens!J9496*(1+Sens!K9497)</f>
        <v>16.7167589769845</v>
      </c>
      <c r="L9496" s="12" t="s">
        <v>1034</v>
      </c>
    </row>
    <row r="9497" customFormat="false" ht="15" hidden="false" customHeight="false" outlineLevel="0" collapsed="false">
      <c r="A9497" s="1" t="s">
        <v>1024</v>
      </c>
      <c r="B9497" s="0" t="s">
        <v>168</v>
      </c>
      <c r="E9497" s="7" t="n">
        <f aca="false">Sens!E9496/Sens!D9496-1</f>
        <v>-0.0131677736066995</v>
      </c>
      <c r="F9497" s="7" t="n">
        <f aca="false">Sens!$E$9497+(glt_win-Sens!$E$9497)*MIN(1,(Sens!F9435-base_fy)/n_conv)</f>
        <v>-0.00763981133891627</v>
      </c>
      <c r="G9497" s="7" t="n">
        <f aca="false">Sens!$E$9497+(glt_win-Sens!$E$9497)*MIN(1,(Sens!G9435-base_fy)/n_conv)</f>
        <v>-0.00211184907113301</v>
      </c>
      <c r="H9497" s="7" t="n">
        <f aca="false">Sens!$E$9497+(glt_win-Sens!$E$9497)*MIN(1,(Sens!H9435-base_fy)/n_conv)</f>
        <v>0.00341611319665024</v>
      </c>
      <c r="I9497" s="7" t="n">
        <f aca="false">Sens!$E$9497+(glt_win-Sens!$E$9497)*MIN(1,(Sens!I9435-base_fy)/n_conv)</f>
        <v>0.00894407546443349</v>
      </c>
      <c r="J9497" s="7" t="n">
        <f aca="false">Sens!$E$9497+(glt_win-Sens!$E$9497)*MIN(1,(Sens!J9435-base_fy)/n_conv)</f>
        <v>0.0144720377322168</v>
      </c>
      <c r="K9497" s="7" t="n">
        <f aca="false">Sens!$E$9497+(glt_win-Sens!$E$9497)*MIN(1,(Sens!K9435-base_fy)/n_conv)</f>
        <v>0.02</v>
      </c>
    </row>
    <row r="9498" customFormat="false" ht="15" hidden="false" customHeight="false" outlineLevel="0" collapsed="false">
      <c r="A9498" s="0" t="s">
        <v>866</v>
      </c>
      <c r="B9498" s="0" t="s">
        <v>98</v>
      </c>
      <c r="D9498" s="6" t="n">
        <f aca="false">Sens!D9492+Sens!D9494+Sens!D9496</f>
        <v>62.941</v>
      </c>
      <c r="E9498" s="6" t="n">
        <f aca="false">Sens!E9492+Sens!E9494+Sens!E9496</f>
        <v>63.712</v>
      </c>
      <c r="F9498" s="6" t="n">
        <f aca="false">Sens!F9492+Sens!F9494+Sens!F9496</f>
        <v>64.3025149952511</v>
      </c>
      <c r="G9498" s="6" t="n">
        <f aca="false">Sens!G9492+Sens!G9494+Sens!G9496</f>
        <v>66.2756719305292</v>
      </c>
      <c r="H9498" s="6" t="n">
        <f aca="false">Sens!H9492+Sens!H9494+Sens!H9496</f>
        <v>68.7139736271804</v>
      </c>
      <c r="I9498" s="6" t="n">
        <f aca="false">Sens!I9492+Sens!I9494+Sens!I9496</f>
        <v>71.5446393194289</v>
      </c>
      <c r="J9498" s="6" t="n">
        <f aca="false">Sens!J9492+Sens!J9494+Sens!J9496</f>
        <v>74.707035000971</v>
      </c>
      <c r="K9498" s="6" t="n">
        <f aca="false">Sens!K9492+Sens!K9494+Sens!K9496</f>
        <v>78.1524145698365</v>
      </c>
    </row>
    <row r="9499" customFormat="false" ht="15" hidden="false" customHeight="false" outlineLevel="0" collapsed="false">
      <c r="A9499" s="1" t="s">
        <v>1040</v>
      </c>
      <c r="B9499" s="0" t="s">
        <v>98</v>
      </c>
      <c r="D9499" s="6" t="n">
        <f aca="false">Sens!D9491+Sens!D9498</f>
        <v>281.724</v>
      </c>
      <c r="E9499" s="6" t="n">
        <f aca="false">Sens!E9491+Sens!E9498</f>
        <v>331.839</v>
      </c>
      <c r="F9499" s="6" t="n">
        <f aca="false">Sens!F9491+Sens!F9498</f>
        <v>394.158541911095</v>
      </c>
      <c r="G9499" s="6" t="n">
        <f aca="false">Sens!G9491+Sens!G9498</f>
        <v>457.668946522638</v>
      </c>
      <c r="H9499" s="6" t="n">
        <f aca="false">Sens!H9491+Sens!H9498</f>
        <v>516.165694205822</v>
      </c>
      <c r="I9499" s="6" t="n">
        <f aca="false">Sens!I9491+Sens!I9498</f>
        <v>576.245574799541</v>
      </c>
      <c r="J9499" s="6" t="n">
        <f aca="false">Sens!J9491+Sens!J9498</f>
        <v>625.032064752199</v>
      </c>
      <c r="K9499" s="6" t="n">
        <f aca="false">Sens!K9491+Sens!K9498</f>
        <v>662.894178205736</v>
      </c>
    </row>
    <row r="9500" customFormat="false" ht="15" hidden="false" customHeight="false" outlineLevel="0" collapsed="false">
      <c r="A9500" s="26" t="s">
        <v>1041</v>
      </c>
      <c r="B9500" s="31" t="s">
        <v>98</v>
      </c>
      <c r="C9500" s="31"/>
      <c r="D9500" s="27" t="n">
        <f aca="false">(Sens!D9479+Sens!D9484+Sens!D9485+Sens!D9487+Sens!D9489-Sens!D9491)+(Sens!D9492+Sens!D9494+Sens!D9496-Sens!D9498)+(Sens!D9491-Q!L5)+(Sens!D9498-Q!L12)+(Sens!D9479-Q!L6)+(Sens!D9484-Q!L7)</f>
        <v>0</v>
      </c>
      <c r="E9500" s="27" t="n">
        <f aca="false">(Sens!E9479+Sens!E9484+Sens!E9485+Sens!E9487+Sens!E9489-Sens!E9491)+(Sens!E9492+Sens!E9494+Sens!E9496-Sens!E9498)+(Sens!E9491-Q!M5)+(Sens!E9498-Q!M12)+(Sens!E9479-Q!M6)+(Sens!E9484-Q!M7)</f>
        <v>0</v>
      </c>
      <c r="F9500" s="27" t="n">
        <f aca="false">(Sens!F9479+Sens!F9484+Sens!F9485+Sens!F9487+Sens!F9489-Sens!F9491)+(Sens!F9492+Sens!F9494+Sens!F9496-Sens!F9498)</f>
        <v>0</v>
      </c>
      <c r="G9500" s="27" t="n">
        <f aca="false">(Sens!G9479+Sens!G9484+Sens!G9485+Sens!G9487+Sens!G9489-Sens!G9491)+(Sens!G9492+Sens!G9494+Sens!G9496-Sens!G9498)</f>
        <v>0</v>
      </c>
      <c r="H9500" s="27" t="n">
        <f aca="false">(Sens!H9479+Sens!H9484+Sens!H9485+Sens!H9487+Sens!H9489-Sens!H9491)+(Sens!H9492+Sens!H9494+Sens!H9496-Sens!H9498)</f>
        <v>0</v>
      </c>
      <c r="I9500" s="27" t="n">
        <f aca="false">(Sens!I9479+Sens!I9484+Sens!I9485+Sens!I9487+Sens!I9489-Sens!I9491)+(Sens!I9492+Sens!I9494+Sens!I9496-Sens!I9498)</f>
        <v>0</v>
      </c>
      <c r="J9500" s="27" t="n">
        <f aca="false">(Sens!J9479+Sens!J9484+Sens!J9485+Sens!J9487+Sens!J9489-Sens!J9491)+(Sens!J9492+Sens!J9494+Sens!J9496-Sens!J9498)</f>
        <v>0</v>
      </c>
      <c r="K9500" s="27" t="n">
        <f aca="false">(Sens!K9479+Sens!K9484+Sens!K9485+Sens!K9487+Sens!K9489-Sens!K9491)+(Sens!K9492+Sens!K9494+Sens!K9496-Sens!K9498)</f>
        <v>0</v>
      </c>
    </row>
    <row r="9501" customFormat="false" ht="17.15" hidden="false" customHeight="false" outlineLevel="0" collapsed="false">
      <c r="A9501" s="3" t="s">
        <v>1717</v>
      </c>
    </row>
    <row r="9502" customFormat="false" ht="15" hidden="false" customHeight="false" outlineLevel="0" collapsed="false">
      <c r="A9502" s="4" t="s">
        <v>43</v>
      </c>
      <c r="B9502" s="4" t="s">
        <v>65</v>
      </c>
      <c r="C9502" s="23" t="s">
        <v>938</v>
      </c>
      <c r="D9502" s="23" t="s">
        <v>939</v>
      </c>
      <c r="E9502" s="23" t="s">
        <v>940</v>
      </c>
      <c r="F9502" s="23" t="s">
        <v>941</v>
      </c>
      <c r="G9502" s="23" t="s">
        <v>942</v>
      </c>
      <c r="H9502" s="23" t="s">
        <v>943</v>
      </c>
      <c r="I9502" s="23" t="s">
        <v>944</v>
      </c>
      <c r="J9502" s="23" t="s">
        <v>945</v>
      </c>
      <c r="K9502" s="23" t="s">
        <v>946</v>
      </c>
      <c r="L9502" s="4" t="s">
        <v>47</v>
      </c>
    </row>
    <row r="9503" customFormat="false" ht="15" hidden="false" customHeight="false" outlineLevel="0" collapsed="false">
      <c r="A9503" s="0" t="s">
        <v>1025</v>
      </c>
      <c r="B9503" s="0" t="s">
        <v>98</v>
      </c>
      <c r="D9503" s="6" t="n">
        <f aca="false">Sens!D9479</f>
        <v>72.61</v>
      </c>
      <c r="E9503" s="6" t="n">
        <f aca="false">Sens!E9479</f>
        <v>101.938</v>
      </c>
      <c r="F9503" s="6" t="n">
        <f aca="false">Sens!F9479</f>
        <v>142.962628409659</v>
      </c>
      <c r="G9503" s="6" t="n">
        <f aca="false">Sens!G9479</f>
        <v>185.0590356057</v>
      </c>
      <c r="H9503" s="6" t="n">
        <f aca="false">Sens!H9479</f>
        <v>221.65024154445</v>
      </c>
      <c r="I9503" s="6" t="n">
        <f aca="false">Sens!I9479</f>
        <v>260.452298177541</v>
      </c>
      <c r="J9503" s="6" t="n">
        <f aca="false">Sens!J9479</f>
        <v>288.969322056843</v>
      </c>
      <c r="K9503" s="6" t="n">
        <f aca="false">Sens!K9479</f>
        <v>307.20209326823</v>
      </c>
    </row>
    <row r="9504" customFormat="false" ht="17.15" hidden="false" customHeight="false" outlineLevel="0" collapsed="false">
      <c r="A9504" s="0" t="s">
        <v>1021</v>
      </c>
      <c r="B9504" s="0" t="s">
        <v>98</v>
      </c>
      <c r="D9504" s="6" t="n">
        <f aca="false">Sens!D9476</f>
        <v>12.9359794422418</v>
      </c>
      <c r="E9504" s="6" t="n">
        <f aca="false">Sens!E9476</f>
        <v>27.8095064661409</v>
      </c>
      <c r="F9504" s="6" t="n">
        <f aca="false">Sens!F9476</f>
        <v>50.9819294352312</v>
      </c>
      <c r="G9504" s="6" t="n">
        <f aca="false">Sens!G9476</f>
        <v>76.6920436014933</v>
      </c>
      <c r="H9504" s="6" t="n">
        <f aca="false">Sens!H9476</f>
        <v>97.4495379418341</v>
      </c>
      <c r="I9504" s="6" t="n">
        <f aca="false">Sens!I9476</f>
        <v>122.083445553868</v>
      </c>
      <c r="J9504" s="6" t="n">
        <f aca="false">Sens!J9476</f>
        <v>139.249060444804</v>
      </c>
      <c r="K9504" s="6" t="n">
        <f aca="false">Sens!K9476</f>
        <v>149.995818575589</v>
      </c>
    </row>
    <row r="9505" customFormat="false" ht="17.15" hidden="false" customHeight="false" outlineLevel="0" collapsed="false">
      <c r="A9505" s="0" t="s">
        <v>1052</v>
      </c>
      <c r="B9505" s="0" t="s">
        <v>98</v>
      </c>
      <c r="D9505" s="6" t="n">
        <f aca="false">Sens!D9477</f>
        <v>59.6740205577583</v>
      </c>
      <c r="E9505" s="6" t="n">
        <f aca="false">Sens!E9477</f>
        <v>74.1284935338591</v>
      </c>
      <c r="F9505" s="6" t="n">
        <f aca="false">Sens!F9477</f>
        <v>91.9806989744282</v>
      </c>
      <c r="G9505" s="6" t="n">
        <f aca="false">Sens!G9477</f>
        <v>108.366992004207</v>
      </c>
      <c r="H9505" s="6" t="n">
        <f aca="false">Sens!H9477</f>
        <v>124.200703602616</v>
      </c>
      <c r="I9505" s="6" t="n">
        <f aca="false">Sens!I9477</f>
        <v>138.368852623673</v>
      </c>
      <c r="J9505" s="6" t="n">
        <f aca="false">Sens!J9477</f>
        <v>149.720261612039</v>
      </c>
      <c r="K9505" s="6" t="n">
        <f aca="false">Sens!K9477</f>
        <v>157.206274692641</v>
      </c>
    </row>
    <row r="9506" customFormat="false" ht="15" hidden="false" customHeight="false" outlineLevel="0" collapsed="false">
      <c r="A9506" s="0" t="s">
        <v>1032</v>
      </c>
      <c r="B9506" s="0" t="s">
        <v>98</v>
      </c>
      <c r="D9506" s="6" t="n">
        <f aca="false">Sens!D9484</f>
        <v>84.605</v>
      </c>
      <c r="E9506" s="6" t="n">
        <f aca="false">Sens!E9484</f>
        <v>100.299</v>
      </c>
      <c r="F9506" s="6" t="n">
        <f aca="false">Sens!F9484</f>
        <v>117.438354189776</v>
      </c>
      <c r="G9506" s="6" t="n">
        <f aca="false">Sens!G9484</f>
        <v>132.595360443801</v>
      </c>
      <c r="H9506" s="6" t="n">
        <f aca="false">Sens!H9484</f>
        <v>147.833811964563</v>
      </c>
      <c r="I9506" s="6" t="n">
        <f aca="false">Sens!I9484</f>
        <v>162.145665319381</v>
      </c>
      <c r="J9506" s="6" t="n">
        <f aca="false">Sens!J9484</f>
        <v>175.249327755573</v>
      </c>
      <c r="K9506" s="6" t="n">
        <f aca="false">Sens!K9484</f>
        <v>187.599280698463</v>
      </c>
    </row>
    <row r="9507" customFormat="false" ht="17.15" hidden="false" customHeight="false" outlineLevel="0" collapsed="false">
      <c r="A9507" s="0" t="s">
        <v>1053</v>
      </c>
      <c r="B9507" s="0" t="s">
        <v>98</v>
      </c>
      <c r="D9507" s="6" t="n">
        <f aca="false">Sens!D9482</f>
        <v>83.705</v>
      </c>
      <c r="E9507" s="6" t="n">
        <f aca="false">Sens!E9482</f>
        <v>95.049</v>
      </c>
      <c r="F9507" s="6" t="n">
        <f aca="false">Sens!F9482</f>
        <v>106.938354189776</v>
      </c>
      <c r="G9507" s="6" t="n">
        <f aca="false">Sens!G9482</f>
        <v>119.095360443801</v>
      </c>
      <c r="H9507" s="6" t="n">
        <f aca="false">Sens!H9482</f>
        <v>131.333811964563</v>
      </c>
      <c r="I9507" s="6" t="n">
        <f aca="false">Sens!I9482</f>
        <v>143.395665319381</v>
      </c>
      <c r="J9507" s="6" t="n">
        <f aca="false">Sens!J9482</f>
        <v>154.999327755573</v>
      </c>
      <c r="K9507" s="6" t="n">
        <f aca="false">Sens!K9482</f>
        <v>165.849280698463</v>
      </c>
    </row>
    <row r="9508" customFormat="false" ht="17.15" hidden="false" customHeight="false" outlineLevel="0" collapsed="false">
      <c r="A9508" s="0" t="s">
        <v>1054</v>
      </c>
      <c r="B9508" s="0" t="s">
        <v>98</v>
      </c>
      <c r="D9508" s="6" t="n">
        <f aca="false">Sens!D9481</f>
        <v>0.9</v>
      </c>
      <c r="E9508" s="6" t="n">
        <f aca="false">Sens!E9481</f>
        <v>5.25</v>
      </c>
      <c r="F9508" s="6" t="n">
        <f aca="false">Sens!F9481</f>
        <v>10.5</v>
      </c>
      <c r="G9508" s="6" t="n">
        <f aca="false">Sens!G9481</f>
        <v>13.5</v>
      </c>
      <c r="H9508" s="6" t="n">
        <f aca="false">Sens!H9481</f>
        <v>16.5</v>
      </c>
      <c r="I9508" s="6" t="n">
        <f aca="false">Sens!I9481</f>
        <v>18.75</v>
      </c>
      <c r="J9508" s="6" t="n">
        <f aca="false">Sens!J9481</f>
        <v>20.25</v>
      </c>
      <c r="K9508" s="6" t="n">
        <f aca="false">Sens!K9481</f>
        <v>21.75</v>
      </c>
    </row>
    <row r="9509" customFormat="false" ht="15" hidden="false" customHeight="false" outlineLevel="0" collapsed="false">
      <c r="A9509" s="0" t="s">
        <v>1033</v>
      </c>
      <c r="B9509" s="0" t="s">
        <v>98</v>
      </c>
      <c r="D9509" s="6" t="n">
        <f aca="false">Sens!D9485</f>
        <v>35.391</v>
      </c>
      <c r="E9509" s="6" t="n">
        <f aca="false">Sens!E9485</f>
        <v>37.285</v>
      </c>
      <c r="F9509" s="6" t="n">
        <f aca="false">Sens!F9485</f>
        <v>38.3851437782675</v>
      </c>
      <c r="G9509" s="6" t="n">
        <f aca="false">Sens!G9485</f>
        <v>40.0105353288615</v>
      </c>
      <c r="H9509" s="6" t="n">
        <f aca="false">Sens!H9485</f>
        <v>41.4812512033683</v>
      </c>
      <c r="I9509" s="6" t="n">
        <f aca="false">Sens!I9485</f>
        <v>42.7743107216329</v>
      </c>
      <c r="J9509" s="6" t="n">
        <f aca="false">Sens!J9485</f>
        <v>43.8687373064601</v>
      </c>
      <c r="K9509" s="6" t="n">
        <f aca="false">Sens!K9485</f>
        <v>44.7461120525893</v>
      </c>
    </row>
    <row r="9510" customFormat="false" ht="15" hidden="false" customHeight="false" outlineLevel="0" collapsed="false">
      <c r="A9510" s="0" t="s">
        <v>1035</v>
      </c>
      <c r="B9510" s="0" t="s">
        <v>98</v>
      </c>
      <c r="D9510" s="6" t="n">
        <f aca="false">Sens!D9487</f>
        <v>18.417</v>
      </c>
      <c r="E9510" s="6" t="n">
        <f aca="false">Sens!E9487</f>
        <v>20.345</v>
      </c>
      <c r="F9510" s="6" t="n">
        <f aca="false">Sens!F9487</f>
        <v>22.3161797133988</v>
      </c>
      <c r="G9510" s="6" t="n">
        <f aca="false">Sens!G9487</f>
        <v>24.3943499673233</v>
      </c>
      <c r="H9510" s="6" t="n">
        <f aca="false">Sens!H9487</f>
        <v>26.5250243109019</v>
      </c>
      <c r="I9510" s="6" t="n">
        <f aca="false">Sens!I9487</f>
        <v>28.6884573538181</v>
      </c>
      <c r="J9510" s="6" t="n">
        <f aca="false">Sens!J9487</f>
        <v>30.8624968052127</v>
      </c>
      <c r="K9510" s="6" t="n">
        <f aca="false">Sens!K9487</f>
        <v>33.0228715815776</v>
      </c>
    </row>
    <row r="9511" customFormat="false" ht="15" hidden="false" customHeight="false" outlineLevel="0" collapsed="false">
      <c r="A9511" s="0" t="s">
        <v>1036</v>
      </c>
      <c r="B9511" s="0" t="s">
        <v>98</v>
      </c>
      <c r="D9511" s="6" t="n">
        <f aca="false">Sens!D9489</f>
        <v>7.76</v>
      </c>
      <c r="E9511" s="6" t="n">
        <f aca="false">Sens!E9489</f>
        <v>8.26</v>
      </c>
      <c r="F9511" s="6" t="n">
        <f aca="false">Sens!F9489</f>
        <v>8.75372082474227</v>
      </c>
      <c r="G9511" s="6" t="n">
        <f aca="false">Sens!G9489</f>
        <v>9.33399324642364</v>
      </c>
      <c r="H9511" s="6" t="n">
        <f aca="false">Sens!H9489</f>
        <v>9.96139155535851</v>
      </c>
      <c r="I9511" s="6" t="n">
        <f aca="false">Sens!I9489</f>
        <v>10.6402039077391</v>
      </c>
      <c r="J9511" s="6" t="n">
        <f aca="false">Sens!J9489</f>
        <v>11.3751458271397</v>
      </c>
      <c r="K9511" s="6" t="n">
        <f aca="false">Sens!K9489</f>
        <v>12.1714060350394</v>
      </c>
    </row>
    <row r="9512" customFormat="false" ht="15" hidden="false" customHeight="false" outlineLevel="0" collapsed="false">
      <c r="A9512" s="0" t="s">
        <v>852</v>
      </c>
      <c r="B9512" s="0" t="s">
        <v>98</v>
      </c>
      <c r="D9512" s="6" t="n">
        <f aca="false">Sens!D9491</f>
        <v>218.783</v>
      </c>
      <c r="E9512" s="6" t="n">
        <f aca="false">Sens!E9491</f>
        <v>268.127</v>
      </c>
      <c r="F9512" s="6" t="n">
        <f aca="false">Sens!F9491</f>
        <v>329.856026915844</v>
      </c>
      <c r="G9512" s="6" t="n">
        <f aca="false">Sens!G9491</f>
        <v>391.393274592109</v>
      </c>
      <c r="H9512" s="6" t="n">
        <f aca="false">Sens!H9491</f>
        <v>447.451720578642</v>
      </c>
      <c r="I9512" s="6" t="n">
        <f aca="false">Sens!I9491</f>
        <v>504.700935480112</v>
      </c>
      <c r="J9512" s="6" t="n">
        <f aca="false">Sens!J9491</f>
        <v>550.325029751228</v>
      </c>
      <c r="K9512" s="6" t="n">
        <f aca="false">Sens!K9491</f>
        <v>584.741763635899</v>
      </c>
    </row>
    <row r="9513" customFormat="false" ht="15" hidden="false" customHeight="false" outlineLevel="0" collapsed="false">
      <c r="A9513" s="0" t="s">
        <v>1037</v>
      </c>
      <c r="B9513" s="0" t="s">
        <v>98</v>
      </c>
      <c r="D9513" s="6" t="n">
        <f aca="false">Sens!D9492</f>
        <v>22.171</v>
      </c>
      <c r="E9513" s="6" t="n">
        <f aca="false">Sens!E9492</f>
        <v>24.835</v>
      </c>
      <c r="F9513" s="6" t="n">
        <f aca="false">Sens!F9492</f>
        <v>27.5591895660247</v>
      </c>
      <c r="G9513" s="6" t="n">
        <f aca="false">Sens!G9492</f>
        <v>30.4098563144583</v>
      </c>
      <c r="H9513" s="6" t="n">
        <f aca="false">Sens!H9492</f>
        <v>33.3011792571777</v>
      </c>
      <c r="I9513" s="6" t="n">
        <f aca="false">Sens!I9492</f>
        <v>36.189023797112</v>
      </c>
      <c r="J9513" s="6" t="n">
        <f aca="false">Sens!J9492</f>
        <v>39.0247773769199</v>
      </c>
      <c r="K9513" s="6" t="n">
        <f aca="false">Sens!K9492</f>
        <v>41.7565117933043</v>
      </c>
    </row>
    <row r="9514" customFormat="false" ht="15" hidden="false" customHeight="false" outlineLevel="0" collapsed="false">
      <c r="A9514" s="0" t="s">
        <v>1038</v>
      </c>
      <c r="B9514" s="0" t="s">
        <v>98</v>
      </c>
      <c r="D9514" s="6" t="n">
        <f aca="false">Sens!D9494</f>
        <v>23.455</v>
      </c>
      <c r="E9514" s="6" t="n">
        <f aca="false">Sens!E9494</f>
        <v>21.79</v>
      </c>
      <c r="F9514" s="6" t="n">
        <f aca="false">Sens!F9494</f>
        <v>20.7520981041711</v>
      </c>
      <c r="G9514" s="6" t="n">
        <f aca="false">Sens!G9494</f>
        <v>19.9083593495882</v>
      </c>
      <c r="H9514" s="6" t="n">
        <f aca="false">Sens!H9494</f>
        <v>19.4008256265831</v>
      </c>
      <c r="I9514" s="6" t="n">
        <f aca="false">Sens!I9494</f>
        <v>19.200434522122</v>
      </c>
      <c r="J9514" s="6" t="n">
        <f aca="false">Sens!J9494</f>
        <v>19.2932782348507</v>
      </c>
      <c r="K9514" s="6" t="n">
        <f aca="false">Sens!K9494</f>
        <v>19.6791437995477</v>
      </c>
    </row>
    <row r="9515" customFormat="false" ht="15" hidden="false" customHeight="false" outlineLevel="0" collapsed="false">
      <c r="A9515" s="0" t="s">
        <v>1039</v>
      </c>
      <c r="B9515" s="0" t="s">
        <v>98</v>
      </c>
      <c r="D9515" s="6" t="n">
        <f aca="false">Sens!D9496</f>
        <v>17.315</v>
      </c>
      <c r="E9515" s="6" t="n">
        <f aca="false">Sens!E9496</f>
        <v>17.087</v>
      </c>
      <c r="F9515" s="6" t="n">
        <f aca="false">Sens!F9496</f>
        <v>15.9912273250553</v>
      </c>
      <c r="G9515" s="6" t="n">
        <f aca="false">Sens!G9496</f>
        <v>15.9574562664827</v>
      </c>
      <c r="H9515" s="6" t="n">
        <f aca="false">Sens!H9496</f>
        <v>16.0119687434196</v>
      </c>
      <c r="I9515" s="6" t="n">
        <f aca="false">Sens!I9496</f>
        <v>16.1551810001948</v>
      </c>
      <c r="J9515" s="6" t="n">
        <f aca="false">Sens!J9496</f>
        <v>16.3889793892005</v>
      </c>
      <c r="K9515" s="6" t="n">
        <f aca="false">Sens!K9496</f>
        <v>16.7167589769845</v>
      </c>
    </row>
    <row r="9516" customFormat="false" ht="15" hidden="false" customHeight="false" outlineLevel="0" collapsed="false">
      <c r="A9516" s="0" t="s">
        <v>866</v>
      </c>
      <c r="B9516" s="0" t="s">
        <v>98</v>
      </c>
      <c r="D9516" s="6" t="n">
        <f aca="false">Sens!D9498</f>
        <v>62.941</v>
      </c>
      <c r="E9516" s="6" t="n">
        <f aca="false">Sens!E9498</f>
        <v>63.712</v>
      </c>
      <c r="F9516" s="6" t="n">
        <f aca="false">Sens!F9498</f>
        <v>64.3025149952511</v>
      </c>
      <c r="G9516" s="6" t="n">
        <f aca="false">Sens!G9498</f>
        <v>66.2756719305292</v>
      </c>
      <c r="H9516" s="6" t="n">
        <f aca="false">Sens!H9498</f>
        <v>68.7139736271804</v>
      </c>
      <c r="I9516" s="6" t="n">
        <f aca="false">Sens!I9498</f>
        <v>71.5446393194289</v>
      </c>
      <c r="J9516" s="6" t="n">
        <f aca="false">Sens!J9498</f>
        <v>74.707035000971</v>
      </c>
      <c r="K9516" s="6" t="n">
        <f aca="false">Sens!K9498</f>
        <v>78.1524145698365</v>
      </c>
    </row>
    <row r="9517" customFormat="false" ht="15" hidden="false" customHeight="false" outlineLevel="0" collapsed="false">
      <c r="A9517" s="1" t="s">
        <v>1055</v>
      </c>
      <c r="B9517" s="0" t="s">
        <v>98</v>
      </c>
      <c r="D9517" s="6" t="n">
        <f aca="false">Sens!D9499</f>
        <v>281.724</v>
      </c>
      <c r="E9517" s="6" t="n">
        <f aca="false">Sens!E9499</f>
        <v>331.839</v>
      </c>
      <c r="F9517" s="6" t="n">
        <f aca="false">Sens!F9499</f>
        <v>394.158541911095</v>
      </c>
      <c r="G9517" s="6" t="n">
        <f aca="false">Sens!G9499</f>
        <v>457.668946522638</v>
      </c>
      <c r="H9517" s="6" t="n">
        <f aca="false">Sens!H9499</f>
        <v>516.165694205822</v>
      </c>
      <c r="I9517" s="6" t="n">
        <f aca="false">Sens!I9499</f>
        <v>576.245574799541</v>
      </c>
      <c r="J9517" s="6" t="n">
        <f aca="false">Sens!J9499</f>
        <v>625.032064752199</v>
      </c>
      <c r="K9517" s="6" t="n">
        <f aca="false">Sens!K9499</f>
        <v>662.894178205736</v>
      </c>
    </row>
    <row r="9518" customFormat="false" ht="15" hidden="false" customHeight="false" outlineLevel="0" collapsed="false">
      <c r="A9518" s="1" t="s">
        <v>1056</v>
      </c>
      <c r="B9518" s="0" t="s">
        <v>168</v>
      </c>
      <c r="E9518" s="7" t="n">
        <f aca="false">Sens!E9517/Sens!D9517-1</f>
        <v>0.177886867998467</v>
      </c>
      <c r="F9518" s="7" t="n">
        <f aca="false">Sens!F9517/Sens!E9517-1</f>
        <v>0.187800535534084</v>
      </c>
      <c r="G9518" s="7" t="n">
        <f aca="false">Sens!G9517/Sens!F9517-1</f>
        <v>0.16112908349927</v>
      </c>
      <c r="H9518" s="7" t="n">
        <f aca="false">Sens!H9517/Sens!G9517-1</f>
        <v>0.127814543957246</v>
      </c>
      <c r="I9518" s="7" t="n">
        <f aca="false">Sens!I9517/Sens!H9517-1</f>
        <v>0.116396500713124</v>
      </c>
      <c r="J9518" s="7" t="n">
        <f aca="false">Sens!J9517/Sens!I9517-1</f>
        <v>0.0846626717604382</v>
      </c>
      <c r="K9518" s="7" t="n">
        <f aca="false">Sens!K9517/Sens!J9517-1</f>
        <v>0.0605762737445277</v>
      </c>
    </row>
    <row r="9519" customFormat="false" ht="17.15" hidden="false" customHeight="false" outlineLevel="0" collapsed="false">
      <c r="A9519" s="26" t="s">
        <v>1057</v>
      </c>
      <c r="B9519" s="31" t="s">
        <v>98</v>
      </c>
      <c r="C9519" s="31"/>
      <c r="D9519" s="27" t="n">
        <f aca="false">(Sens!D9512+Sens!D9516-Sens!D9517)+(Sens!D9504+Sens!D9505-Sens!D9503)+(Sens!D9507+Sens!D9508-Sens!D9506)+(Sens!D9517-Q!L18)</f>
        <v>0</v>
      </c>
      <c r="E9519" s="27" t="n">
        <f aca="false">(Sens!E9512+Sens!E9516-Sens!E9517)+(Sens!E9504+Sens!E9505-Sens!E9503)+(Sens!E9507+Sens!E9508-Sens!E9506)+(Sens!E9517-Q!M18)</f>
        <v>0</v>
      </c>
      <c r="F9519" s="27" t="n">
        <f aca="false">(Sens!F9512+Sens!F9516-Sens!F9517)+(Sens!F9504+Sens!F9505-Sens!F9503)+(Sens!F9507+Sens!F9508-Sens!F9506)</f>
        <v>0</v>
      </c>
      <c r="G9519" s="27" t="n">
        <f aca="false">(Sens!G9512+Sens!G9516-Sens!G9517)+(Sens!G9504+Sens!G9505-Sens!G9503)+(Sens!G9507+Sens!G9508-Sens!G9506)</f>
        <v>0</v>
      </c>
      <c r="H9519" s="27" t="n">
        <f aca="false">(Sens!H9512+Sens!H9516-Sens!H9517)+(Sens!H9504+Sens!H9505-Sens!H9503)+(Sens!H9507+Sens!H9508-Sens!H9506)</f>
        <v>0</v>
      </c>
      <c r="I9519" s="27" t="n">
        <f aca="false">(Sens!I9512+Sens!I9516-Sens!I9517)+(Sens!I9504+Sens!I9505-Sens!I9503)+(Sens!I9507+Sens!I9508-Sens!I9506)</f>
        <v>0</v>
      </c>
      <c r="J9519" s="27" t="n">
        <f aca="false">(Sens!J9512+Sens!J9516-Sens!J9517)+(Sens!J9504+Sens!J9505-Sens!J9503)+(Sens!J9507+Sens!J9508-Sens!J9506)</f>
        <v>0</v>
      </c>
      <c r="K9519" s="27" t="n">
        <f aca="false">(Sens!K9512+Sens!K9516-Sens!K9517)+(Sens!K9504+Sens!K9505-Sens!K9503)+(Sens!K9507+Sens!K9508-Sens!K9506)</f>
        <v>0</v>
      </c>
    </row>
    <row r="9520" customFormat="false" ht="17.15" hidden="false" customHeight="false" outlineLevel="0" collapsed="false">
      <c r="A9520" s="0" t="s">
        <v>1058</v>
      </c>
      <c r="B9520" s="0" t="s">
        <v>168</v>
      </c>
      <c r="E9520" s="7" t="n">
        <f aca="false">(Q!M21+Sens!E9456+Sens!E9457+Sens!E9458+Sens!E9472-Sens!E9454)/(Q!M5-Sens!E9454)</f>
        <v>0.570957350878296</v>
      </c>
      <c r="F9520" s="7" t="n">
        <f aca="false">Sens!$E$9520+dm_seg</f>
        <v>0.570957350878296</v>
      </c>
      <c r="G9520" s="7" t="n">
        <f aca="false">Sens!$E$9520+dm_seg</f>
        <v>0.570957350878296</v>
      </c>
      <c r="H9520" s="7" t="n">
        <f aca="false">Sens!$E$9520+dm_seg</f>
        <v>0.570957350878296</v>
      </c>
      <c r="I9520" s="7" t="n">
        <f aca="false">Sens!$E$9520+dm_seg</f>
        <v>0.570957350878296</v>
      </c>
      <c r="J9520" s="7" t="n">
        <f aca="false">Sens!$E$9520+dm_seg</f>
        <v>0.570957350878296</v>
      </c>
      <c r="K9520" s="7" t="n">
        <f aca="false">Sens!$E$9520+dm_seg</f>
        <v>0.570957350878296</v>
      </c>
      <c r="L9520" s="12" t="s">
        <v>1059</v>
      </c>
    </row>
    <row r="9521" customFormat="false" ht="17.15" hidden="false" customHeight="false" outlineLevel="0" collapsed="false">
      <c r="A9521" s="0" t="s">
        <v>880</v>
      </c>
      <c r="B9521" s="0" t="s">
        <v>98</v>
      </c>
      <c r="D9521" s="6" t="n">
        <f aca="false">Q!L21</f>
        <v>110.814</v>
      </c>
      <c r="E9521" s="6" t="n">
        <f aca="false">Q!M21</f>
        <v>136.365</v>
      </c>
      <c r="F9521" s="6" t="n">
        <f aca="false">Q!$I$21+(Sens!F9520*(Sens!F9491-Sens!F9454)+Sens!F9454-(Sens!F9456+Sens!F9457+Sens!F9458)-Sens!F9472-Sens!F9555)*(Sens!F9491-Q!$I$5)/Sens!F9491</f>
        <v>157.952285198063</v>
      </c>
      <c r="G9521" s="6" t="n">
        <f aca="false">(Sens!G9520*(Sens!G9491-Sens!G9454)+Sens!G9454-(Sens!G9456+Sens!G9457+Sens!G9458)-Sens!G9472-Sens!G9555)</f>
        <v>160.567341563326</v>
      </c>
      <c r="H9521" s="6" t="n">
        <f aca="false">(Sens!H9520*(Sens!H9491-Sens!H9454)+Sens!H9454-(Sens!H9456+Sens!H9457+Sens!H9458)-Sens!H9472-Sens!H9555)</f>
        <v>160.984733517933</v>
      </c>
      <c r="I9521" s="6" t="n">
        <f aca="false">(Sens!I9520*(Sens!I9491-Sens!I9454)+Sens!I9454-(Sens!I9456+Sens!I9457+Sens!I9458)-Sens!I9472-Sens!I9555)</f>
        <v>168.610420707245</v>
      </c>
      <c r="J9521" s="6" t="n">
        <f aca="false">(Sens!J9520*(Sens!J9491-Sens!J9454)+Sens!J9454-(Sens!J9456+Sens!J9457+Sens!J9458)-Sens!J9472-Sens!J9555)</f>
        <v>177.093403788355</v>
      </c>
      <c r="K9521" s="6" t="n">
        <f aca="false">(Sens!K9520*(Sens!K9491-Sens!K9454)+Sens!K9454-(Sens!K9456+Sens!K9457+Sens!K9458)-Sens!K9472-Sens!K9555)</f>
        <v>186.3010018496</v>
      </c>
      <c r="L9521" s="1" t="s">
        <v>1060</v>
      </c>
    </row>
    <row r="9522" customFormat="false" ht="17.15" hidden="false" customHeight="false" outlineLevel="0" collapsed="false">
      <c r="A9522" s="0" t="s">
        <v>1061</v>
      </c>
      <c r="B9522" s="0" t="s">
        <v>168</v>
      </c>
      <c r="E9522" s="7" t="n">
        <f aca="false">Q!M22/Q!M12</f>
        <v>0.296207935710698</v>
      </c>
      <c r="F9522" s="7" t="n">
        <f aca="false">Sens!$E$9522+dm_seg</f>
        <v>0.296207935710698</v>
      </c>
      <c r="G9522" s="7" t="n">
        <f aca="false">Sens!$E$9522+dm_seg</f>
        <v>0.296207935710698</v>
      </c>
      <c r="H9522" s="7" t="n">
        <f aca="false">Sens!$E$9522+dm_seg</f>
        <v>0.296207935710698</v>
      </c>
      <c r="I9522" s="7" t="n">
        <f aca="false">Sens!$E$9522+dm_seg</f>
        <v>0.296207935710698</v>
      </c>
      <c r="J9522" s="7" t="n">
        <f aca="false">Sens!$E$9522+dm_seg</f>
        <v>0.296207935710698</v>
      </c>
      <c r="K9522" s="7" t="n">
        <f aca="false">Sens!$E$9522+dm_seg</f>
        <v>0.296207935710698</v>
      </c>
      <c r="L9522" s="12" t="s">
        <v>1062</v>
      </c>
    </row>
    <row r="9523" customFormat="false" ht="17.15" hidden="false" customHeight="false" outlineLevel="0" collapsed="false">
      <c r="A9523" s="0" t="s">
        <v>882</v>
      </c>
      <c r="B9523" s="0" t="s">
        <v>98</v>
      </c>
      <c r="D9523" s="6" t="n">
        <f aca="false">Q!L22</f>
        <v>17.714</v>
      </c>
      <c r="E9523" s="6" t="n">
        <f aca="false">Q!M22</f>
        <v>18.872</v>
      </c>
      <c r="F9523" s="6" t="n">
        <f aca="false">Q!$I$22+(Sens!F9498-Q!$I$12)*Sens!F9522</f>
        <v>19.8174315512051</v>
      </c>
      <c r="G9523" s="6" t="n">
        <f aca="false">Sens!G9498*Sens!G9522</f>
        <v>19.6313799703815</v>
      </c>
      <c r="H9523" s="6" t="n">
        <f aca="false">Sens!H9498*Sens!H9522</f>
        <v>20.3536242825865</v>
      </c>
      <c r="I9523" s="6" t="n">
        <f aca="false">Sens!I9498*Sens!I9522</f>
        <v>21.1920899239745</v>
      </c>
      <c r="J9523" s="6" t="n">
        <f aca="false">Sens!J9498*Sens!J9522</f>
        <v>22.1288166207045</v>
      </c>
      <c r="K9523" s="6" t="n">
        <f aca="false">Sens!K9498*Sens!K9522</f>
        <v>23.1493653905379</v>
      </c>
      <c r="L9523" s="12" t="s">
        <v>1063</v>
      </c>
    </row>
    <row r="9524" customFormat="false" ht="15" hidden="false" customHeight="false" outlineLevel="0" collapsed="false">
      <c r="A9524" s="1" t="s">
        <v>1064</v>
      </c>
      <c r="B9524" s="0" t="s">
        <v>98</v>
      </c>
      <c r="D9524" s="6" t="n">
        <f aca="false">Sens!D9521+Sens!D9523</f>
        <v>128.528</v>
      </c>
      <c r="E9524" s="6" t="n">
        <f aca="false">Sens!E9521+Sens!E9523</f>
        <v>155.237</v>
      </c>
      <c r="F9524" s="6" t="n">
        <f aca="false">Sens!F9521+Sens!F9523</f>
        <v>177.769716749268</v>
      </c>
      <c r="G9524" s="6" t="n">
        <f aca="false">Sens!G9521+Sens!G9523</f>
        <v>180.198721533707</v>
      </c>
      <c r="H9524" s="6" t="n">
        <f aca="false">Sens!H9521+Sens!H9523</f>
        <v>181.338357800519</v>
      </c>
      <c r="I9524" s="6" t="n">
        <f aca="false">Sens!I9521+Sens!I9523</f>
        <v>189.802510631219</v>
      </c>
      <c r="J9524" s="6" t="n">
        <f aca="false">Sens!J9521+Sens!J9523</f>
        <v>199.22222040906</v>
      </c>
      <c r="K9524" s="6" t="n">
        <f aca="false">Sens!K9521+Sens!K9523</f>
        <v>209.450367240138</v>
      </c>
    </row>
    <row r="9525" customFormat="false" ht="15" hidden="false" customHeight="false" outlineLevel="0" collapsed="false">
      <c r="A9525" s="26" t="s">
        <v>1065</v>
      </c>
      <c r="B9525" s="31" t="s">
        <v>98</v>
      </c>
      <c r="C9525" s="31"/>
      <c r="D9525" s="27" t="n">
        <f aca="false">Sens!D9524-Q!L23</f>
        <v>0</v>
      </c>
      <c r="E9525" s="27" t="n">
        <f aca="false">Sens!E9524-Q!M23</f>
        <v>0</v>
      </c>
      <c r="F9525" s="31"/>
      <c r="G9525" s="31"/>
      <c r="H9525" s="31"/>
      <c r="I9525" s="31"/>
      <c r="J9525" s="31"/>
      <c r="K9525" s="31"/>
    </row>
    <row r="9526" customFormat="false" ht="15" hidden="false" customHeight="false" outlineLevel="0" collapsed="false">
      <c r="A9526" s="1" t="s">
        <v>1066</v>
      </c>
      <c r="B9526" s="0" t="s">
        <v>168</v>
      </c>
      <c r="D9526" s="7" t="n">
        <f aca="false">Sens!D9524/Sens!D9517</f>
        <v>0.456219562408598</v>
      </c>
      <c r="E9526" s="7" t="n">
        <f aca="false">Sens!E9524/Sens!E9517</f>
        <v>0.467808184089272</v>
      </c>
      <c r="F9526" s="7" t="n">
        <f aca="false">Sens!F9524/Sens!F9517</f>
        <v>0.451010692010743</v>
      </c>
      <c r="G9526" s="7" t="n">
        <f aca="false">Sens!G9524/Sens!G9517</f>
        <v>0.393731588963714</v>
      </c>
      <c r="H9526" s="7" t="n">
        <f aca="false">Sens!H9524/Sens!H9517</f>
        <v>0.351318113226273</v>
      </c>
      <c r="I9526" s="7" t="n">
        <f aca="false">Sens!I9524/Sens!I9517</f>
        <v>0.329377818991922</v>
      </c>
      <c r="J9526" s="7" t="n">
        <f aca="false">Sens!J9524/Sens!J9517</f>
        <v>0.318739200184944</v>
      </c>
      <c r="K9526" s="7" t="n">
        <f aca="false">Sens!K9524/Sens!K9517</f>
        <v>0.315963503868837</v>
      </c>
    </row>
    <row r="9527" customFormat="false" ht="17.15" hidden="false" customHeight="false" outlineLevel="0" collapsed="false">
      <c r="A9527" s="1" t="s">
        <v>1067</v>
      </c>
      <c r="B9527" s="0" t="s">
        <v>98</v>
      </c>
      <c r="F9527" s="6" t="n">
        <f aca="false">Sens!F9542</f>
        <v>10.5962787979473</v>
      </c>
      <c r="G9527" s="6" t="n">
        <f aca="false">Sens!G9542</f>
        <v>27.844646674932</v>
      </c>
      <c r="H9527" s="6" t="n">
        <f aca="false">Sens!H9542</f>
        <v>46.566205501382</v>
      </c>
      <c r="I9527" s="6" t="n">
        <f aca="false">Sens!I9542</f>
        <v>63.2717778126444</v>
      </c>
      <c r="J9527" s="6" t="n">
        <f aca="false">Sens!J9542</f>
        <v>74.9061222882009</v>
      </c>
      <c r="K9527" s="6" t="n">
        <f aca="false">Sens!K9542</f>
        <v>81.6395437180232</v>
      </c>
      <c r="L9527" s="1" t="s">
        <v>1068</v>
      </c>
    </row>
    <row r="9528" customFormat="false" ht="17.15" hidden="false" customHeight="false" outlineLevel="0" collapsed="false">
      <c r="A9528" s="1" t="s">
        <v>1069</v>
      </c>
      <c r="B9528" s="0" t="s">
        <v>98</v>
      </c>
      <c r="D9528" s="6" t="n">
        <f aca="false">Sens!D9524</f>
        <v>128.528</v>
      </c>
      <c r="E9528" s="6" t="n">
        <f aca="false">Sens!E9524</f>
        <v>155.237</v>
      </c>
      <c r="F9528" s="6" t="n">
        <f aca="false">Sens!F9524+Sens!F9527</f>
        <v>188.365995547216</v>
      </c>
      <c r="G9528" s="6" t="n">
        <f aca="false">Sens!G9524+Sens!G9527</f>
        <v>208.043368208639</v>
      </c>
      <c r="H9528" s="6" t="n">
        <f aca="false">Sens!H9524+Sens!H9527</f>
        <v>227.904563301901</v>
      </c>
      <c r="I9528" s="6" t="n">
        <f aca="false">Sens!I9524+Sens!I9527</f>
        <v>253.074288443864</v>
      </c>
      <c r="J9528" s="6" t="n">
        <f aca="false">Sens!J9524+Sens!J9527</f>
        <v>274.128342697261</v>
      </c>
      <c r="K9528" s="6" t="n">
        <f aca="false">Sens!K9524+Sens!K9527</f>
        <v>291.089910958161</v>
      </c>
    </row>
    <row r="9529" customFormat="false" ht="17.15" hidden="false" customHeight="false" outlineLevel="0" collapsed="false">
      <c r="A9529" s="1" t="s">
        <v>1070</v>
      </c>
      <c r="B9529" s="0" t="s">
        <v>98</v>
      </c>
      <c r="E9529" s="6" t="n">
        <f aca="false">Sens!E9472</f>
        <v>16.3054059770833</v>
      </c>
      <c r="F9529" s="6" t="n">
        <f aca="false">Sens!F9472</f>
        <v>34.5793144783516</v>
      </c>
      <c r="G9529" s="6" t="n">
        <f aca="false">Sens!G9472</f>
        <v>60.7344906522989</v>
      </c>
      <c r="H9529" s="6" t="n">
        <f aca="false">Sens!H9472</f>
        <v>89.1000906614457</v>
      </c>
      <c r="I9529" s="6" t="n">
        <f aca="false">Sens!I9472</f>
        <v>114.231009694548</v>
      </c>
      <c r="J9529" s="6" t="n">
        <f aca="false">Sens!J9472</f>
        <v>132.015673049596</v>
      </c>
      <c r="K9529" s="6" t="n">
        <f aca="false">Sens!K9472</f>
        <v>143.012669550934</v>
      </c>
    </row>
    <row r="9530" customFormat="false" ht="17.15" hidden="false" customHeight="false" outlineLevel="0" collapsed="false">
      <c r="A9530" s="1" t="s">
        <v>1071</v>
      </c>
      <c r="B9530" s="0" t="s">
        <v>98</v>
      </c>
      <c r="E9530" s="6" t="n">
        <f aca="false">Sens!E9554</f>
        <v>22.2285940229167</v>
      </c>
      <c r="F9530" s="6" t="n">
        <f aca="false">Sens!F9554</f>
        <v>23.5825554250744</v>
      </c>
      <c r="G9530" s="6" t="n">
        <f aca="false">Sens!G9554</f>
        <v>25.3171324111795</v>
      </c>
      <c r="H9530" s="6" t="n">
        <f aca="false">Sens!H9554</f>
        <v>27.3858137606649</v>
      </c>
      <c r="I9530" s="6" t="n">
        <f aca="false">Sens!I9554</f>
        <v>29.7138370549606</v>
      </c>
      <c r="J9530" s="6" t="n">
        <f aca="false">Sens!J9554</f>
        <v>32.2075225389233</v>
      </c>
      <c r="K9530" s="6" t="n">
        <f aca="false">Sens!K9554</f>
        <v>34.7655920007327</v>
      </c>
    </row>
    <row r="9531" customFormat="false" ht="17.15" hidden="false" customHeight="false" outlineLevel="0" collapsed="false">
      <c r="A9531" s="1" t="s">
        <v>1072</v>
      </c>
      <c r="B9531" s="0" t="s">
        <v>98</v>
      </c>
      <c r="D9531" s="6" t="n">
        <f aca="false">Q!L27</f>
        <v>-4.901</v>
      </c>
      <c r="E9531" s="6" t="n">
        <f aca="false">Q!M27</f>
        <v>10.697</v>
      </c>
      <c r="F9531" s="6" t="n">
        <f aca="false">Q!$I$27+oie_f*(q_per_yr-1)/q_per_yr</f>
        <v>-0.862</v>
      </c>
      <c r="G9531" s="6" t="n">
        <f aca="false">oie_f</f>
        <v>-1.2</v>
      </c>
      <c r="H9531" s="6" t="n">
        <f aca="false">oie_f</f>
        <v>-1.2</v>
      </c>
      <c r="I9531" s="6" t="n">
        <f aca="false">oie_f</f>
        <v>-1.2</v>
      </c>
      <c r="J9531" s="6" t="n">
        <f aca="false">oie_f</f>
        <v>-1.2</v>
      </c>
      <c r="K9531" s="6" t="n">
        <f aca="false">oie_f</f>
        <v>-1.2</v>
      </c>
      <c r="L9531" s="12" t="s">
        <v>1073</v>
      </c>
    </row>
    <row r="9532" customFormat="false" ht="15" hidden="false" customHeight="false" outlineLevel="0" collapsed="false">
      <c r="A9532" s="1" t="s">
        <v>1074</v>
      </c>
      <c r="B9532" s="0" t="s">
        <v>98</v>
      </c>
      <c r="D9532" s="6" t="n">
        <f aca="false">Sens!D9524+Sens!D9531</f>
        <v>123.627</v>
      </c>
      <c r="E9532" s="6" t="n">
        <f aca="false">Sens!E9524+Sens!E9531</f>
        <v>165.934</v>
      </c>
      <c r="F9532" s="6" t="n">
        <f aca="false">Sens!F9524+Sens!F9531</f>
        <v>176.907716749268</v>
      </c>
      <c r="G9532" s="6" t="n">
        <f aca="false">Sens!G9524+Sens!G9531</f>
        <v>178.998721533707</v>
      </c>
      <c r="H9532" s="6" t="n">
        <f aca="false">Sens!H9524+Sens!H9531</f>
        <v>180.138357800519</v>
      </c>
      <c r="I9532" s="6" t="n">
        <f aca="false">Sens!I9524+Sens!I9531</f>
        <v>188.602510631219</v>
      </c>
      <c r="J9532" s="6" t="n">
        <f aca="false">Sens!J9524+Sens!J9531</f>
        <v>198.02222040906</v>
      </c>
      <c r="K9532" s="6" t="n">
        <f aca="false">Sens!K9524+Sens!K9531</f>
        <v>208.250367240138</v>
      </c>
    </row>
    <row r="9533" customFormat="false" ht="15" hidden="false" customHeight="false" outlineLevel="0" collapsed="false">
      <c r="A9533" s="1" t="s">
        <v>1075</v>
      </c>
      <c r="B9533" s="0" t="s">
        <v>98</v>
      </c>
      <c r="D9533" s="6" t="n">
        <f aca="false">Q!L29</f>
        <v>21.795</v>
      </c>
      <c r="E9533" s="6" t="n">
        <f aca="false">Q!M29</f>
        <v>32.185</v>
      </c>
      <c r="F9533" s="6" t="n">
        <f aca="false">Q!$I$29+(Sens!F9532-Q!$I$28)*tax_f</f>
        <v>35.5149433498537</v>
      </c>
      <c r="G9533" s="6" t="n">
        <f aca="false">Sens!G9532*tax_f</f>
        <v>35.7997443067414</v>
      </c>
      <c r="H9533" s="6" t="n">
        <f aca="false">Sens!H9532*tax_f</f>
        <v>36.0276715601038</v>
      </c>
      <c r="I9533" s="6" t="n">
        <f aca="false">Sens!I9532*tax_f</f>
        <v>37.7205021262438</v>
      </c>
      <c r="J9533" s="6" t="n">
        <f aca="false">Sens!J9532*tax_f</f>
        <v>39.604444081812</v>
      </c>
      <c r="K9533" s="6" t="n">
        <f aca="false">Sens!K9532*tax_f</f>
        <v>41.6500734480276</v>
      </c>
    </row>
    <row r="9534" customFormat="false" ht="15" hidden="false" customHeight="false" outlineLevel="0" collapsed="false">
      <c r="A9534" s="1" t="s">
        <v>1076</v>
      </c>
      <c r="B9534" s="0" t="s">
        <v>98</v>
      </c>
      <c r="D9534" s="6" t="n">
        <f aca="false">Sens!D9532-Sens!D9533</f>
        <v>101.832</v>
      </c>
      <c r="E9534" s="6" t="n">
        <f aca="false">Sens!E9532-Sens!E9533</f>
        <v>133.749</v>
      </c>
      <c r="F9534" s="6" t="n">
        <f aca="false">Sens!F9532-Sens!F9533</f>
        <v>141.392773399415</v>
      </c>
      <c r="G9534" s="6" t="n">
        <f aca="false">Sens!G9532-Sens!G9533</f>
        <v>143.198977226966</v>
      </c>
      <c r="H9534" s="6" t="n">
        <f aca="false">Sens!H9532-Sens!H9533</f>
        <v>144.110686240415</v>
      </c>
      <c r="I9534" s="6" t="n">
        <f aca="false">Sens!I9532-Sens!I9533</f>
        <v>150.882008504975</v>
      </c>
      <c r="J9534" s="6" t="n">
        <f aca="false">Sens!J9532-Sens!J9533</f>
        <v>158.417776327248</v>
      </c>
      <c r="K9534" s="6" t="n">
        <f aca="false">Sens!K9532-Sens!K9533</f>
        <v>166.60029379211</v>
      </c>
    </row>
    <row r="9535" customFormat="false" ht="17.15" hidden="false" customHeight="false" outlineLevel="0" collapsed="false">
      <c r="A9535" s="1" t="s">
        <v>1077</v>
      </c>
      <c r="B9535" s="1" t="s">
        <v>81</v>
      </c>
      <c r="D9535" s="15" t="n">
        <f aca="false">Q!L31</f>
        <v>7.465</v>
      </c>
      <c r="E9535" s="15" t="n">
        <f aca="false">Q!M31</f>
        <v>7.453</v>
      </c>
      <c r="F9535" s="15" t="n">
        <f aca="false">Sens!F9579</f>
        <v>7.4735</v>
      </c>
      <c r="G9535" s="15" t="n">
        <f aca="false">Sens!G9579</f>
        <v>7.5185</v>
      </c>
      <c r="H9535" s="15" t="n">
        <f aca="false">Sens!H9579</f>
        <v>7.5635</v>
      </c>
      <c r="I9535" s="15" t="n">
        <f aca="false">Sens!I9579</f>
        <v>7.59248142502667</v>
      </c>
      <c r="J9535" s="15" t="n">
        <f aca="false">Sens!J9579</f>
        <v>7.60663083618914</v>
      </c>
      <c r="K9535" s="15" t="n">
        <f aca="false">Sens!K9579</f>
        <v>7.62306547615439</v>
      </c>
    </row>
    <row r="9536" customFormat="false" ht="17.15" hidden="false" customHeight="false" outlineLevel="0" collapsed="false">
      <c r="A9536" s="0" t="s">
        <v>1078</v>
      </c>
      <c r="B9536" s="0" t="s">
        <v>75</v>
      </c>
      <c r="D9536" s="8" t="n">
        <f aca="false">Sens!D9534/Sens!D9535</f>
        <v>13.641259209645</v>
      </c>
      <c r="E9536" s="8" t="n">
        <f aca="false">Sens!E9534/Sens!E9535</f>
        <v>17.9456594659869</v>
      </c>
      <c r="F9536" s="8" t="n">
        <f aca="false">Sens!F9534/Sens!F9535</f>
        <v>18.9192176890901</v>
      </c>
      <c r="G9536" s="8" t="n">
        <f aca="false">Sens!G9534/Sens!G9535</f>
        <v>19.0462162967302</v>
      </c>
      <c r="H9536" s="8" t="n">
        <f aca="false">Sens!H9534/Sens!H9535</f>
        <v>19.0534390481147</v>
      </c>
      <c r="I9536" s="8" t="n">
        <f aca="false">Sens!I9534/Sens!I9535</f>
        <v>19.8725555004496</v>
      </c>
      <c r="J9536" s="8" t="n">
        <f aca="false">Sens!J9534/Sens!J9535</f>
        <v>20.8262737786042</v>
      </c>
      <c r="K9536" s="8" t="n">
        <f aca="false">Sens!K9534/Sens!K9535</f>
        <v>21.8547635873325</v>
      </c>
      <c r="L9536" s="1" t="s">
        <v>1079</v>
      </c>
    </row>
    <row r="9537" customFormat="false" ht="17.15" hidden="false" customHeight="false" outlineLevel="0" collapsed="false">
      <c r="A9537" s="1" t="s">
        <v>1080</v>
      </c>
      <c r="B9537" s="0" t="s">
        <v>98</v>
      </c>
      <c r="D9537" s="6" t="n">
        <f aca="false">Sens!D9534</f>
        <v>101.832</v>
      </c>
      <c r="E9537" s="6" t="n">
        <f aca="false">Sens!E9534</f>
        <v>133.749</v>
      </c>
      <c r="F9537" s="6" t="n">
        <f aca="false">Sens!F9534+Sens!F9527*(1-tax_f)</f>
        <v>149.869796437772</v>
      </c>
      <c r="G9537" s="6" t="n">
        <f aca="false">Sens!G9534+Sens!G9527*(1-tax_f)</f>
        <v>165.474694566911</v>
      </c>
      <c r="H9537" s="6" t="n">
        <f aca="false">Sens!H9534+Sens!H9527*(1-tax_f)</f>
        <v>181.363650641521</v>
      </c>
      <c r="I9537" s="6" t="n">
        <f aca="false">Sens!I9534+Sens!I9527*(1-tax_f)</f>
        <v>201.499430755091</v>
      </c>
      <c r="J9537" s="6" t="n">
        <f aca="false">Sens!J9534+Sens!J9527*(1-tax_f)</f>
        <v>218.342674157809</v>
      </c>
      <c r="K9537" s="6" t="n">
        <f aca="false">Sens!K9534+Sens!K9527*(1-tax_f)</f>
        <v>231.911928766529</v>
      </c>
    </row>
    <row r="9538" customFormat="false" ht="17.15" hidden="false" customHeight="false" outlineLevel="0" collapsed="false">
      <c r="A9538" s="0" t="s">
        <v>1081</v>
      </c>
      <c r="B9538" s="0" t="s">
        <v>75</v>
      </c>
      <c r="D9538" s="8" t="n">
        <f aca="false">Sens!D9537/Sens!D9535</f>
        <v>13.641259209645</v>
      </c>
      <c r="E9538" s="8" t="n">
        <f aca="false">Sens!E9537/Sens!E9535</f>
        <v>17.9456594659869</v>
      </c>
      <c r="F9538" s="8" t="n">
        <f aca="false">Sens!F9537/Sens!F9535</f>
        <v>20.053495208105</v>
      </c>
      <c r="G9538" s="8" t="n">
        <f aca="false">Sens!G9537/Sens!G9535</f>
        <v>22.0090037330467</v>
      </c>
      <c r="H9538" s="8" t="n">
        <f aca="false">Sens!H9537/Sens!H9535</f>
        <v>23.9787995824051</v>
      </c>
      <c r="I9538" s="8" t="n">
        <f aca="false">Sens!I9537/Sens!I9535</f>
        <v>26.5393379944138</v>
      </c>
      <c r="J9538" s="8" t="n">
        <f aca="false">Sens!J9537/Sens!J9535</f>
        <v>28.7042553871586</v>
      </c>
      <c r="K9538" s="8" t="n">
        <f aca="false">Sens!K9537/Sens!K9535</f>
        <v>30.4223975895221</v>
      </c>
      <c r="L9538" s="1" t="s">
        <v>1082</v>
      </c>
    </row>
    <row r="9539" customFormat="false" ht="17.15" hidden="false" customHeight="false" outlineLevel="0" collapsed="false">
      <c r="A9539" s="0" t="s">
        <v>1083</v>
      </c>
      <c r="B9539" s="0" t="s">
        <v>168</v>
      </c>
      <c r="E9539" s="7" t="n">
        <f aca="false">Sens!E9538/Sens!D9538-1</f>
        <v>0.315542736208578</v>
      </c>
      <c r="F9539" s="7" t="n">
        <f aca="false">Sens!F9538/Sens!E9538-1</f>
        <v>0.117456577514645</v>
      </c>
      <c r="G9539" s="7" t="n">
        <f aca="false">Sens!G9538/Sens!F9538-1</f>
        <v>0.0975145980612568</v>
      </c>
      <c r="H9539" s="7" t="n">
        <f aca="false">Sens!H9538/Sens!G9538-1</f>
        <v>0.0894995463334287</v>
      </c>
      <c r="I9539" s="7" t="n">
        <f aca="false">Sens!I9538/Sens!H9538-1</f>
        <v>0.106783427719523</v>
      </c>
      <c r="J9539" s="7" t="n">
        <f aca="false">Sens!J9538/Sens!I9538-1</f>
        <v>0.0815739033581218</v>
      </c>
      <c r="K9539" s="7" t="n">
        <f aca="false">Sens!K9538/Sens!J9538-1</f>
        <v>0.0598567069303668</v>
      </c>
    </row>
    <row r="9540" customFormat="false" ht="17.15" hidden="false" customHeight="false" outlineLevel="0" collapsed="false">
      <c r="A9540" s="0" t="s">
        <v>1003</v>
      </c>
      <c r="B9540" s="0" t="s">
        <v>98</v>
      </c>
      <c r="E9540" s="6" t="n">
        <f aca="false">Sens!E9481</f>
        <v>5.25</v>
      </c>
      <c r="F9540" s="6" t="n">
        <f aca="false">Sens!F9481</f>
        <v>10.5</v>
      </c>
      <c r="G9540" s="6" t="n">
        <f aca="false">Sens!G9481</f>
        <v>13.5</v>
      </c>
      <c r="H9540" s="6" t="n">
        <f aca="false">Sens!H9481</f>
        <v>16.5</v>
      </c>
      <c r="I9540" s="6" t="n">
        <f aca="false">Sens!I9481</f>
        <v>18.75</v>
      </c>
      <c r="J9540" s="6" t="n">
        <f aca="false">Sens!J9481</f>
        <v>20.25</v>
      </c>
      <c r="K9540" s="6" t="n">
        <f aca="false">Sens!K9481</f>
        <v>21.75</v>
      </c>
    </row>
    <row r="9541" customFormat="false" ht="17.15" hidden="false" customHeight="false" outlineLevel="0" collapsed="false">
      <c r="A9541" s="1" t="s">
        <v>1004</v>
      </c>
      <c r="B9541" s="0" t="s">
        <v>98</v>
      </c>
      <c r="F9541" s="6" t="n">
        <f aca="false">MAX(0,((Sens!E9441+Sens!F9441)/2-(shadow_base*(Sens!$D$9441+Sens!$E$9441)/2+(1-shadow_base)*Sens!$E$9441))*Sens!F9450/1000-(Sens!F9540-Sens!$E$9540)*Sens!F9520)</f>
        <v>10.5962787979473</v>
      </c>
      <c r="G9541" s="6" t="n">
        <f aca="false">MAX(0,((Sens!F9441+Sens!G9441)/2-(shadow_base*(Sens!$D$9441+Sens!$E$9441)/2+(1-shadow_base)*Sens!$E$9441))*Sens!G9450/1000-(Sens!G9540-Sens!$E$9540)*Sens!G9520)</f>
        <v>27.844646674932</v>
      </c>
      <c r="H9541" s="6" t="n">
        <f aca="false">MAX(0,((Sens!G9441+Sens!H9441)/2-(shadow_base*(Sens!$D$9441+Sens!$E$9441)/2+(1-shadow_base)*Sens!$E$9441))*Sens!H9450/1000-(Sens!H9540-Sens!$E$9540)*Sens!H9520)</f>
        <v>46.566205501382</v>
      </c>
      <c r="I9541" s="6" t="n">
        <f aca="false">MAX(0,((Sens!H9441+Sens!I9441)/2-(shadow_base*(Sens!$D$9441+Sens!$E$9441)/2+(1-shadow_base)*Sens!$E$9441))*Sens!I9450/1000-(Sens!I9540-Sens!$E$9540)*Sens!I9520)</f>
        <v>63.2717778126444</v>
      </c>
      <c r="J9541" s="6" t="n">
        <f aca="false">MAX(0,((Sens!I9441+Sens!J9441)/2-(shadow_base*(Sens!$D$9441+Sens!$E$9441)/2+(1-shadow_base)*Sens!$E$9441))*Sens!J9450/1000-(Sens!J9540-Sens!$E$9540)*Sens!J9520)</f>
        <v>74.9061222882009</v>
      </c>
      <c r="K9541" s="6" t="n">
        <f aca="false">MAX(0,((Sens!J9441+Sens!K9441)/2-(shadow_base*(Sens!$D$9441+Sens!$E$9441)/2+(1-shadow_base)*Sens!$E$9441))*Sens!K9450/1000-(Sens!K9540-Sens!$E$9540)*Sens!K9520)</f>
        <v>81.6395437180232</v>
      </c>
      <c r="L9541" s="1" t="s">
        <v>1005</v>
      </c>
    </row>
    <row r="9542" customFormat="false" ht="17.15" hidden="false" customHeight="false" outlineLevel="0" collapsed="false">
      <c r="A9542" s="1" t="s">
        <v>1006</v>
      </c>
      <c r="B9542" s="0" t="s">
        <v>98</v>
      </c>
      <c r="F9542" s="6" t="n">
        <f aca="false">IF(internal_ai_reading=2,1,0)*Sens!F9541</f>
        <v>10.5962787979473</v>
      </c>
      <c r="G9542" s="6" t="n">
        <f aca="false">IF(internal_ai_reading=2,1,0)*Sens!G9541</f>
        <v>27.844646674932</v>
      </c>
      <c r="H9542" s="6" t="n">
        <f aca="false">IF(internal_ai_reading=2,1,0)*Sens!H9541</f>
        <v>46.566205501382</v>
      </c>
      <c r="I9542" s="6" t="n">
        <f aca="false">IF(internal_ai_reading=2,1,0)*Sens!I9541</f>
        <v>63.2717778126444</v>
      </c>
      <c r="J9542" s="6" t="n">
        <f aca="false">IF(internal_ai_reading=2,1,0)*Sens!J9541</f>
        <v>74.9061222882009</v>
      </c>
      <c r="K9542" s="6" t="n">
        <f aca="false">IF(internal_ai_reading=2,1,0)*Sens!K9541</f>
        <v>81.6395437180232</v>
      </c>
    </row>
    <row r="9543" customFormat="false" ht="17.15" hidden="false" customHeight="false" outlineLevel="0" collapsed="false">
      <c r="A9543" s="0" t="s">
        <v>1007</v>
      </c>
      <c r="B9543" s="0" t="s">
        <v>98</v>
      </c>
      <c r="F9543" s="6" t="n">
        <f aca="false">Sens!F9460+Sens!F9540*Sens!F9520+Sens!F9542-Sens!F9461-Sens!F9472</f>
        <v>10.3853806853618</v>
      </c>
      <c r="G9543" s="6" t="n">
        <f aca="false">Sens!G9460+Sens!G9540*Sens!G9520+Sens!G9542-Sens!G9461-Sens!G9472</f>
        <v>16.4389313105741</v>
      </c>
      <c r="H9543" s="6" t="n">
        <f aca="false">Sens!H9460+Sens!H9540*Sens!H9520+Sens!H9542-Sens!H9461-Sens!H9472</f>
        <v>17.135416308873</v>
      </c>
      <c r="I9543" s="6" t="n">
        <f aca="false">Sens!I9460+Sens!I9540*Sens!I9520+Sens!I9542-Sens!I9461-Sens!I9472</f>
        <v>24.1293804008657</v>
      </c>
      <c r="J9543" s="6" t="n">
        <f aca="false">Sens!J9460+Sens!J9540*Sens!J9520+Sens!J9542-Sens!J9461-Sens!J9472</f>
        <v>28.8545659869181</v>
      </c>
      <c r="K9543" s="6" t="n">
        <f aca="false">Sens!K9460+Sens!K9540*Sens!K9520+Sens!K9542-Sens!K9461-Sens!K9472</f>
        <v>32.13747485251</v>
      </c>
    </row>
    <row r="9544" customFormat="false" ht="17.15" hidden="false" customHeight="false" outlineLevel="0" collapsed="false">
      <c r="A9544" s="0" t="s">
        <v>1008</v>
      </c>
      <c r="B9544" s="0" t="s">
        <v>98</v>
      </c>
      <c r="E9544" s="6" t="n">
        <f aca="false">Sens!E9440*(cxit_open+self_build*tk_cxfac)/1000*ai_net_open</f>
        <v>126.6980382</v>
      </c>
      <c r="F9544" s="6" t="n">
        <f aca="false">Sens!E9544+Sens!F9469-Sens!F9472</f>
        <v>260.572627763768</v>
      </c>
      <c r="G9544" s="6" t="n">
        <f aca="false">Sens!F9544+Sens!G9469-Sens!G9472</f>
        <v>391.782612760517</v>
      </c>
      <c r="H9544" s="6" t="n">
        <f aca="false">Sens!G9544+Sens!H9469-Sens!H9472</f>
        <v>499.488526163584</v>
      </c>
      <c r="I9544" s="6" t="n">
        <f aca="false">Sens!H9544+Sens!I9469-Sens!I9472</f>
        <v>553.872350090646</v>
      </c>
      <c r="J9544" s="6" t="n">
        <f aca="false">Sens!I9544+Sens!J9469-Sens!J9472</f>
        <v>550.78660823699</v>
      </c>
      <c r="K9544" s="6" t="n">
        <f aca="false">Sens!J9544+Sens!K9469-Sens!K9472</f>
        <v>526.736791750789</v>
      </c>
      <c r="L9544" s="1" t="s">
        <v>1009</v>
      </c>
    </row>
    <row r="9545" customFormat="false" ht="17.15" hidden="false" customHeight="false" outlineLevel="0" collapsed="false">
      <c r="A9545" s="0" t="s">
        <v>1010</v>
      </c>
      <c r="B9545" s="0" t="s">
        <v>168</v>
      </c>
      <c r="F9545" s="7" t="n">
        <f aca="false">Sens!F9543*(1-tax_f)/((Sens!E9544+Sens!F9544)/2)</f>
        <v>0.0429069654816909</v>
      </c>
      <c r="G9545" s="7" t="n">
        <f aca="false">Sens!G9543*(1-tax_f)/((Sens!F9544+Sens!G9544)/2)</f>
        <v>0.0403189680453549</v>
      </c>
      <c r="H9545" s="7" t="n">
        <f aca="false">Sens!H9543*(1-tax_f)/((Sens!G9544+Sens!H9544)/2)</f>
        <v>0.0307613080877867</v>
      </c>
      <c r="I9545" s="7" t="n">
        <f aca="false">Sens!I9543*(1-tax_f)/((Sens!H9544+Sens!I9544)/2)</f>
        <v>0.0366512650238846</v>
      </c>
      <c r="J9545" s="7" t="n">
        <f aca="false">Sens!J9543*(1-tax_f)/((Sens!I9544+Sens!J9544)/2)</f>
        <v>0.0417932659044041</v>
      </c>
      <c r="K9545" s="7" t="n">
        <f aca="false">Sens!K9543*(1-tax_f)/((Sens!J9544+Sens!K9544)/2)</f>
        <v>0.0477205040415821</v>
      </c>
    </row>
    <row r="9546" customFormat="false" ht="17.15" hidden="false" customHeight="false" outlineLevel="0" collapsed="false">
      <c r="A9546" s="1" t="s">
        <v>1011</v>
      </c>
      <c r="B9546" s="0" t="s">
        <v>168</v>
      </c>
      <c r="F9546" s="7" t="n">
        <f aca="false">(Sens!F9543-Sens!F9542)*(1-tax_f)/((Sens!E9544+Sens!F9544)/2)</f>
        <v>-0.000871320783610466</v>
      </c>
      <c r="G9546" s="7" t="n">
        <f aca="false">(Sens!G9543-Sens!G9542)*(1-tax_f)/((Sens!F9544+Sens!G9544)/2)</f>
        <v>-0.0279742438618356</v>
      </c>
      <c r="H9546" s="7" t="n">
        <f aca="false">(Sens!H9543-Sens!H9542)*(1-tax_f)/((Sens!G9544+Sens!H9544)/2)</f>
        <v>-0.0528338242443913</v>
      </c>
      <c r="I9546" s="7" t="n">
        <f aca="false">(Sens!I9543-Sens!I9542)*(1-tax_f)/((Sens!H9544+Sens!I9544)/2)</f>
        <v>-0.059455251538819</v>
      </c>
      <c r="J9546" s="7" t="n">
        <f aca="false">(Sens!J9543-Sens!J9542)*(1-tax_f)/((Sens!I9544+Sens!J9544)/2)</f>
        <v>-0.0667015729394002</v>
      </c>
      <c r="K9546" s="7" t="n">
        <f aca="false">(Sens!K9543-Sens!K9542)*(1-tax_f)/((Sens!J9544+Sens!K9544)/2)</f>
        <v>-0.0735049560740113</v>
      </c>
    </row>
    <row r="9547" customFormat="false" ht="17.15" hidden="false" customHeight="false" outlineLevel="0" collapsed="false">
      <c r="A9547" s="1" t="s">
        <v>1012</v>
      </c>
      <c r="B9547" s="0" t="s">
        <v>168</v>
      </c>
      <c r="F9547" s="7" t="n">
        <f aca="false">(Sens!F9543-Sens!F9542+Sens!F9541)*(1-tax_f)/((Sens!E9544+Sens!F9544)/2)</f>
        <v>0.0429069654816909</v>
      </c>
      <c r="G9547" s="7" t="n">
        <f aca="false">(Sens!G9543-Sens!G9542+Sens!G9541)*(1-tax_f)/((Sens!F9544+Sens!G9544)/2)</f>
        <v>0.0403189680453549</v>
      </c>
      <c r="H9547" s="7" t="n">
        <f aca="false">(Sens!H9543-Sens!H9542+Sens!H9541)*(1-tax_f)/((Sens!G9544+Sens!H9544)/2)</f>
        <v>0.0307613080877867</v>
      </c>
      <c r="I9547" s="7" t="n">
        <f aca="false">(Sens!I9543-Sens!I9542+Sens!I9541)*(1-tax_f)/((Sens!H9544+Sens!I9544)/2)</f>
        <v>0.0366512650238846</v>
      </c>
      <c r="J9547" s="7" t="n">
        <f aca="false">(Sens!J9543-Sens!J9542+Sens!J9541)*(1-tax_f)/((Sens!I9544+Sens!J9544)/2)</f>
        <v>0.0417932659044041</v>
      </c>
      <c r="K9547" s="7" t="n">
        <f aca="false">(Sens!K9543-Sens!K9542+Sens!K9541)*(1-tax_f)/((Sens!J9544+Sens!K9544)/2)</f>
        <v>0.0477205040415821</v>
      </c>
    </row>
    <row r="9548" customFormat="false" ht="17.15" hidden="false" customHeight="false" outlineLevel="0" collapsed="false">
      <c r="A9548" s="1" t="s">
        <v>1013</v>
      </c>
      <c r="B9548" s="0" t="s">
        <v>168</v>
      </c>
      <c r="F9548" s="7" t="n">
        <f aca="false">Sens!F9473*(1-tax_f)/(Sens!F9459*(Sens!E9544+Sens!F9544)/2)</f>
        <v>0.098791430090569</v>
      </c>
      <c r="G9548" s="7" t="n">
        <f aca="false">Sens!G9473*(1-tax_f)/(Sens!G9459*(Sens!F9544+Sens!G9544)/2)</f>
        <v>0.0675308856427828</v>
      </c>
      <c r="H9548" s="7" t="n">
        <f aca="false">Sens!H9473*(1-tax_f)/(Sens!H9459*(Sens!G9544+Sens!H9544)/2)</f>
        <v>0.0388374979528754</v>
      </c>
      <c r="I9548" s="7" t="n">
        <f aca="false">Sens!I9473*(1-tax_f)/(Sens!I9459*(Sens!H9544+Sens!I9544)/2)</f>
        <v>0.0411035671771815</v>
      </c>
      <c r="J9548" s="7" t="n">
        <f aca="false">Sens!J9473*(1-tax_f)/(Sens!J9459*(Sens!I9544+Sens!J9544)/2)</f>
        <v>0.0445222722541192</v>
      </c>
      <c r="K9548" s="7" t="n">
        <f aca="false">Sens!K9473*(1-tax_f)/(Sens!K9459*(Sens!J9544+Sens!K9544)/2)</f>
        <v>0.0498866361688162</v>
      </c>
    </row>
    <row r="9549" customFormat="false" ht="17.15" hidden="false" customHeight="false" outlineLevel="0" collapsed="false">
      <c r="A9549" s="0" t="s">
        <v>1014</v>
      </c>
      <c r="B9549" s="0" t="s">
        <v>253</v>
      </c>
      <c r="F9549" s="7" t="n">
        <f aca="false">Sens!F9545-wacc</f>
        <v>-0.0600296254639064</v>
      </c>
      <c r="G9549" s="7" t="n">
        <f aca="false">Sens!G9545-wacc</f>
        <v>-0.0626176229002424</v>
      </c>
      <c r="H9549" s="7" t="n">
        <f aca="false">Sens!H9545-wacc</f>
        <v>-0.0721752828578106</v>
      </c>
      <c r="I9549" s="7" t="n">
        <f aca="false">Sens!I9545-wacc</f>
        <v>-0.0662853259217127</v>
      </c>
      <c r="J9549" s="7" t="n">
        <f aca="false">Sens!J9545-wacc</f>
        <v>-0.0611433250411932</v>
      </c>
      <c r="K9549" s="7" t="n">
        <f aca="false">Sens!K9545-wacc</f>
        <v>-0.0552160869040152</v>
      </c>
    </row>
    <row r="9550" customFormat="false" ht="17.15" hidden="false" customHeight="false" outlineLevel="0" collapsed="false">
      <c r="A9550" s="0" t="s">
        <v>1015</v>
      </c>
      <c r="B9550" s="0" t="s">
        <v>98</v>
      </c>
      <c r="F9550" s="6" t="n">
        <f aca="false">Sens!F9543*(1-tax_f)-wacc*(Sens!E9544+Sens!F9544)/2</f>
        <v>-11.6238565154813</v>
      </c>
      <c r="G9550" s="6" t="n">
        <f aca="false">Sens!G9543*(1-tax_f)-wacc*(Sens!F9544+Sens!G9544)/2</f>
        <v>-20.4244672240733</v>
      </c>
      <c r="H9550" s="6" t="n">
        <f aca="false">Sens!H9543*(1-tax_f)-wacc*(Sens!G9544+Sens!H9544)/2</f>
        <v>-32.163873277425</v>
      </c>
      <c r="I9550" s="6" t="n">
        <f aca="false">Sens!I9543*(1-tax_f)-wacc*(Sens!H9544+Sens!I9544)/2</f>
        <v>-34.9111844978462</v>
      </c>
      <c r="J9550" s="6" t="n">
        <f aca="false">Sens!J9543*(1-tax_f)-wacc*(Sens!I9544+Sens!J9544)/2</f>
        <v>-33.7712608743463</v>
      </c>
      <c r="K9550" s="6" t="n">
        <f aca="false">Sens!K9543*(1-tax_f)-wacc*(Sens!J9544+Sens!K9544)/2</f>
        <v>-29.7483128474176</v>
      </c>
    </row>
    <row r="9551" customFormat="false" ht="17.15" hidden="false" customHeight="false" outlineLevel="0" collapsed="false">
      <c r="A9551" s="3" t="s">
        <v>1718</v>
      </c>
    </row>
    <row r="9552" customFormat="false" ht="15" hidden="false" customHeight="false" outlineLevel="0" collapsed="false">
      <c r="A9552" s="4" t="s">
        <v>43</v>
      </c>
      <c r="B9552" s="4" t="s">
        <v>65</v>
      </c>
      <c r="C9552" s="23" t="s">
        <v>938</v>
      </c>
      <c r="D9552" s="23" t="s">
        <v>939</v>
      </c>
      <c r="E9552" s="23" t="s">
        <v>940</v>
      </c>
      <c r="F9552" s="23" t="s">
        <v>941</v>
      </c>
      <c r="G9552" s="23" t="s">
        <v>942</v>
      </c>
      <c r="H9552" s="23" t="s">
        <v>943</v>
      </c>
      <c r="I9552" s="23" t="s">
        <v>944</v>
      </c>
      <c r="J9552" s="23" t="s">
        <v>945</v>
      </c>
      <c r="K9552" s="23" t="s">
        <v>946</v>
      </c>
      <c r="L9552" s="4" t="s">
        <v>47</v>
      </c>
    </row>
    <row r="9553" customFormat="false" ht="15" hidden="false" customHeight="false" outlineLevel="0" collapsed="false">
      <c r="A9553" s="1" t="s">
        <v>1076</v>
      </c>
      <c r="B9553" s="0" t="s">
        <v>98</v>
      </c>
      <c r="F9553" s="6" t="n">
        <f aca="false">Sens!F9534</f>
        <v>141.392773399415</v>
      </c>
      <c r="G9553" s="6" t="n">
        <f aca="false">Sens!G9534</f>
        <v>143.198977226966</v>
      </c>
      <c r="H9553" s="6" t="n">
        <f aca="false">Sens!H9534</f>
        <v>144.110686240415</v>
      </c>
      <c r="I9553" s="6" t="n">
        <f aca="false">Sens!I9534</f>
        <v>150.882008504975</v>
      </c>
      <c r="J9553" s="6" t="n">
        <f aca="false">Sens!J9534</f>
        <v>158.417776327248</v>
      </c>
      <c r="K9553" s="6" t="n">
        <f aca="false">Sens!K9534</f>
        <v>166.60029379211</v>
      </c>
    </row>
    <row r="9554" customFormat="false" ht="17.15" hidden="false" customHeight="false" outlineLevel="0" collapsed="false">
      <c r="A9554" s="1" t="s">
        <v>1098</v>
      </c>
      <c r="B9554" s="0" t="s">
        <v>98</v>
      </c>
      <c r="E9554" s="6" t="n">
        <f aca="false">Q!M38-Sens!E9472</f>
        <v>22.2285940229167</v>
      </c>
      <c r="F9554" s="6" t="n">
        <f aca="false">Sens!E9554*(1-1/life_nonai)+(Sens!F9562+Sens!F9563)/life_nonai</f>
        <v>23.5825554250744</v>
      </c>
      <c r="G9554" s="6" t="n">
        <f aca="false">Sens!F9554*(1-1/life_nonai)+(Sens!G9562)/life_nonai</f>
        <v>25.3171324111795</v>
      </c>
      <c r="H9554" s="6" t="n">
        <f aca="false">Sens!G9554*(1-1/life_nonai)+(Sens!H9562)/life_nonai</f>
        <v>27.3858137606649</v>
      </c>
      <c r="I9554" s="6" t="n">
        <f aca="false">Sens!H9554*(1-1/life_nonai)+(Sens!I9562)/life_nonai</f>
        <v>29.7138370549606</v>
      </c>
      <c r="J9554" s="6" t="n">
        <f aca="false">Sens!I9554*(1-1/life_nonai)+(Sens!J9562)/life_nonai</f>
        <v>32.2075225389233</v>
      </c>
      <c r="K9554" s="6" t="n">
        <f aca="false">Sens!J9554*(1-1/life_nonai)+(Sens!K9562)/life_nonai</f>
        <v>34.7655920007327</v>
      </c>
      <c r="L9554" s="12" t="s">
        <v>1099</v>
      </c>
    </row>
    <row r="9555" customFormat="false" ht="17.15" hidden="false" customHeight="false" outlineLevel="0" collapsed="false">
      <c r="A9555" s="1" t="s">
        <v>1100</v>
      </c>
      <c r="B9555" s="0" t="s">
        <v>98</v>
      </c>
      <c r="F9555" s="6" t="n">
        <f aca="false">Sens!$F$9563/life_nonai*(1-1/life_nonai)^(Sens!F9435-2027)</f>
        <v>0</v>
      </c>
      <c r="G9555" s="6" t="n">
        <f aca="false">Sens!$F$9563/life_nonai*(1-1/life_nonai)^(Sens!G9435-2027)</f>
        <v>0</v>
      </c>
      <c r="H9555" s="6" t="n">
        <f aca="false">Sens!$F$9563/life_nonai*(1-1/life_nonai)^(Sens!H9435-2027)</f>
        <v>0</v>
      </c>
      <c r="I9555" s="6" t="n">
        <f aca="false">Sens!$F$9563/life_nonai*(1-1/life_nonai)^(Sens!I9435-2027)</f>
        <v>0</v>
      </c>
      <c r="J9555" s="6" t="n">
        <f aca="false">Sens!$F$9563/life_nonai*(1-1/life_nonai)^(Sens!J9435-2027)</f>
        <v>0</v>
      </c>
      <c r="K9555" s="6" t="n">
        <f aca="false">Sens!$F$9563/life_nonai*(1-1/life_nonai)^(Sens!K9435-2027)</f>
        <v>0</v>
      </c>
      <c r="L9555" s="1" t="s">
        <v>1101</v>
      </c>
    </row>
    <row r="9556" customFormat="false" ht="17.15" hidden="false" customHeight="false" outlineLevel="0" collapsed="false">
      <c r="A9556" s="1" t="s">
        <v>1102</v>
      </c>
      <c r="B9556" s="0" t="s">
        <v>98</v>
      </c>
      <c r="E9556" s="6" t="n">
        <f aca="false">Sens!E9472+Sens!E9554</f>
        <v>38.534</v>
      </c>
      <c r="F9556" s="6" t="n">
        <f aca="false">Sens!F9472+Sens!F9554</f>
        <v>58.1618699034261</v>
      </c>
      <c r="G9556" s="6" t="n">
        <f aca="false">Sens!G9472+Sens!G9554</f>
        <v>86.0516230634784</v>
      </c>
      <c r="H9556" s="6" t="n">
        <f aca="false">Sens!H9472+Sens!H9554</f>
        <v>116.485904422111</v>
      </c>
      <c r="I9556" s="6" t="n">
        <f aca="false">Sens!I9472+Sens!I9554</f>
        <v>143.944846749509</v>
      </c>
      <c r="J9556" s="6" t="n">
        <f aca="false">Sens!J9472+Sens!J9554</f>
        <v>164.223195588519</v>
      </c>
      <c r="K9556" s="6" t="n">
        <f aca="false">Sens!K9472+Sens!K9554</f>
        <v>177.778261551667</v>
      </c>
    </row>
    <row r="9557" customFormat="false" ht="17.15" hidden="false" customHeight="false" outlineLevel="0" collapsed="false">
      <c r="A9557" s="1" t="s">
        <v>1103</v>
      </c>
      <c r="B9557" s="0" t="s">
        <v>98</v>
      </c>
      <c r="F9557" s="6" t="n">
        <f aca="false">Sens!F9499*sbc_r</f>
        <v>14.7346656433003</v>
      </c>
      <c r="G9557" s="6" t="n">
        <f aca="false">Sens!G9499*sbc_r</f>
        <v>17.1088488140735</v>
      </c>
      <c r="H9557" s="6" t="n">
        <f aca="false">Sens!H9499*sbc_r</f>
        <v>19.2956085228777</v>
      </c>
      <c r="I9557" s="6" t="n">
        <f aca="false">Sens!I9499*sbc_r</f>
        <v>21.541549834071</v>
      </c>
      <c r="J9557" s="6" t="n">
        <f aca="false">Sens!J9499*sbc_r</f>
        <v>23.3653149968841</v>
      </c>
      <c r="K9557" s="6" t="n">
        <f aca="false">Sens!K9499*sbc_r</f>
        <v>24.7806987142625</v>
      </c>
    </row>
    <row r="9558" customFormat="false" ht="17.15" hidden="false" customHeight="false" outlineLevel="0" collapsed="false">
      <c r="A9558" s="1" t="s">
        <v>1104</v>
      </c>
      <c r="B9558" s="0" t="s">
        <v>98</v>
      </c>
      <c r="F9558" s="6" t="n">
        <f aca="false">wc27-wc26q1</f>
        <v>-4.677</v>
      </c>
      <c r="G9558" s="6" t="n">
        <f aca="false">wc_f</f>
        <v>0</v>
      </c>
      <c r="H9558" s="6" t="n">
        <f aca="false">wc_f</f>
        <v>0</v>
      </c>
      <c r="I9558" s="6" t="n">
        <f aca="false">wc_f</f>
        <v>0</v>
      </c>
      <c r="J9558" s="6" t="n">
        <f aca="false">wc_f</f>
        <v>0</v>
      </c>
      <c r="K9558" s="6" t="n">
        <f aca="false">wc_f</f>
        <v>0</v>
      </c>
      <c r="L9558" s="12" t="s">
        <v>1105</v>
      </c>
    </row>
    <row r="9559" customFormat="false" ht="17.15" hidden="false" customHeight="false" outlineLevel="0" collapsed="false">
      <c r="A9559" s="0" t="s">
        <v>1106</v>
      </c>
      <c r="B9559" s="0" t="s">
        <v>98</v>
      </c>
      <c r="F9559" s="6" t="n">
        <f aca="false">Q!$I$35-Q!$I$26-Q!$I$38-Q!$I$39</f>
        <v>6.493</v>
      </c>
      <c r="L9559" s="1" t="s">
        <v>1107</v>
      </c>
    </row>
    <row r="9560" customFormat="false" ht="15" hidden="false" customHeight="false" outlineLevel="0" collapsed="false">
      <c r="A9560" s="1" t="s">
        <v>904</v>
      </c>
      <c r="B9560" s="0" t="s">
        <v>98</v>
      </c>
      <c r="E9560" s="6" t="n">
        <f aca="false">Q!M35</f>
        <v>182.935</v>
      </c>
      <c r="F9560" s="6" t="n">
        <f aca="false">Sens!F9553+Sens!F9556+Sens!F9557+Sens!F9558+Sens!F9559</f>
        <v>216.105308946141</v>
      </c>
      <c r="G9560" s="6" t="n">
        <f aca="false">Sens!G9553+Sens!G9556+Sens!G9557+Sens!G9558</f>
        <v>246.359449104518</v>
      </c>
      <c r="H9560" s="6" t="n">
        <f aca="false">Sens!H9553+Sens!H9556+Sens!H9557+Sens!H9558</f>
        <v>279.892199185404</v>
      </c>
      <c r="I9560" s="6" t="n">
        <f aca="false">Sens!I9553+Sens!I9556+Sens!I9557+Sens!I9558</f>
        <v>316.368405088555</v>
      </c>
      <c r="J9560" s="6" t="n">
        <f aca="false">Sens!J9553+Sens!J9556+Sens!J9557+Sens!J9558</f>
        <v>346.006286912651</v>
      </c>
      <c r="K9560" s="6" t="n">
        <f aca="false">Sens!K9553+Sens!K9556+Sens!K9557+Sens!K9558</f>
        <v>369.159254058039</v>
      </c>
    </row>
    <row r="9561" customFormat="false" ht="17.15" hidden="false" customHeight="false" outlineLevel="0" collapsed="false">
      <c r="A9561" s="0" t="s">
        <v>1108</v>
      </c>
      <c r="B9561" s="0" t="s">
        <v>98</v>
      </c>
      <c r="F9561" s="6" t="n">
        <f aca="false">Sens!F9469</f>
        <v>168.45390404212</v>
      </c>
      <c r="G9561" s="6" t="n">
        <f aca="false">Sens!G9469</f>
        <v>191.944475649048</v>
      </c>
      <c r="H9561" s="6" t="n">
        <f aca="false">Sens!H9469</f>
        <v>196.806004064512</v>
      </c>
      <c r="I9561" s="6" t="n">
        <f aca="false">Sens!I9469</f>
        <v>168.61483362161</v>
      </c>
      <c r="J9561" s="6" t="n">
        <f aca="false">Sens!J9469</f>
        <v>128.92993119594</v>
      </c>
      <c r="K9561" s="6" t="n">
        <f aca="false">Sens!K9469</f>
        <v>118.962853064733</v>
      </c>
    </row>
    <row r="9562" customFormat="false" ht="17.15" hidden="false" customHeight="false" outlineLevel="0" collapsed="false">
      <c r="A9562" s="1" t="s">
        <v>1109</v>
      </c>
      <c r="B9562" s="0" t="s">
        <v>98</v>
      </c>
      <c r="E9562" s="6" t="n">
        <f aca="false">Sens!E9477*cx_azo+Sens!E9484*cx_m365+Sens!E9485*cx_lic+(Sens!E9487+Sens!E9489)*cx_ind+Sens!E9492*cx_srch+(Sens!E9494+Sens!E9496)*cx_dev</f>
        <v>30.1846587067718</v>
      </c>
      <c r="F9562" s="6" t="n">
        <f aca="false">Sens!F9477*cx_azo+Sens!F9484*cx_m365+Sens!F9485*cx_lic+(Sens!F9487+Sens!F9489)*cx_ind+Sens!F9492*cx_srch+(Sens!F9494+Sens!F9496)*cx_dev</f>
        <v>35.7682080444944</v>
      </c>
      <c r="G9562" s="6" t="n">
        <f aca="false">Sens!G9477*cx_azo+Sens!G9484*cx_m365+Sens!G9485*cx_lic+(Sens!G9487+Sens!G9489)*cx_ind+Sens!G9492*cx_srch+(Sens!G9494+Sens!G9496)*cx_dev</f>
        <v>40.9283252861247</v>
      </c>
      <c r="H9562" s="6" t="n">
        <f aca="false">Sens!H9477*cx_azo+Sens!H9484*cx_m365+Sens!H9485*cx_lic+(Sens!H9487+Sens!H9489)*cx_ind+Sens!H9492*cx_srch+(Sens!H9494+Sens!H9496)*cx_dev</f>
        <v>46.0039459060342</v>
      </c>
      <c r="I9562" s="6" t="n">
        <f aca="false">Sens!I9477*cx_azo+Sens!I9484*cx_m365+Sens!I9485*cx_lic+(Sens!I9487+Sens!I9489)*cx_ind+Sens!I9492*cx_srch+(Sens!I9494+Sens!I9496)*cx_dev</f>
        <v>50.6660467036217</v>
      </c>
      <c r="J9562" s="6" t="n">
        <f aca="false">Sens!J9477*cx_azo+Sens!J9484*cx_m365+Sens!J9485*cx_lic+(Sens!J9487+Sens!J9489)*cx_ind+Sens!J9492*cx_srch+(Sens!J9494+Sens!J9496)*cx_dev</f>
        <v>54.650691894587</v>
      </c>
      <c r="K9562" s="6" t="n">
        <f aca="false">Sens!K9477*cx_azo+Sens!K9484*cx_m365+Sens!K9485*cx_lic+(Sens!K9487+Sens!K9489)*cx_ind+Sens!K9492*cx_srch+(Sens!K9494+Sens!K9496)*cx_dev</f>
        <v>57.7882171570174</v>
      </c>
    </row>
    <row r="9563" customFormat="false" ht="17.15" hidden="false" customHeight="false" outlineLevel="0" collapsed="false">
      <c r="A9563" s="0" t="s">
        <v>1110</v>
      </c>
      <c r="B9563" s="0" t="s">
        <v>98</v>
      </c>
      <c r="F9563" s="6" t="n">
        <f aca="false">Sens!F9467</f>
        <v>0</v>
      </c>
      <c r="L9563" s="1" t="s">
        <v>1111</v>
      </c>
    </row>
    <row r="9564" customFormat="false" ht="17.15" hidden="false" customHeight="false" outlineLevel="0" collapsed="false">
      <c r="A9564" s="1" t="s">
        <v>1112</v>
      </c>
      <c r="B9564" s="0" t="s">
        <v>98</v>
      </c>
      <c r="E9564" s="6" t="n">
        <f aca="false">Q!M43</f>
        <v>145.3</v>
      </c>
      <c r="F9564" s="6" t="n">
        <f aca="false">Sens!F9561+Sens!F9562+Sens!F9563</f>
        <v>204.222112086614</v>
      </c>
      <c r="G9564" s="6" t="n">
        <f aca="false">Sens!G9561+Sens!G9562</f>
        <v>232.872800935173</v>
      </c>
      <c r="H9564" s="6" t="n">
        <f aca="false">Sens!H9561+Sens!H9562</f>
        <v>242.809949970547</v>
      </c>
      <c r="I9564" s="6" t="n">
        <f aca="false">Sens!I9561+Sens!I9562</f>
        <v>219.280880325232</v>
      </c>
      <c r="J9564" s="6" t="n">
        <f aca="false">Sens!J9561+Sens!J9562</f>
        <v>183.580623090527</v>
      </c>
      <c r="K9564" s="6" t="n">
        <f aca="false">Sens!K9561+Sens!K9562</f>
        <v>176.75107022175</v>
      </c>
      <c r="L9564" s="1" t="s">
        <v>1113</v>
      </c>
    </row>
    <row r="9565" customFormat="false" ht="15" hidden="false" customHeight="false" outlineLevel="0" collapsed="false">
      <c r="A9565" s="1" t="s">
        <v>1114</v>
      </c>
      <c r="B9565" s="0" t="s">
        <v>98</v>
      </c>
      <c r="E9565" s="6" t="n">
        <f aca="false">fl_liab</f>
        <v>66.594</v>
      </c>
      <c r="F9565" s="6" t="n">
        <f aca="false">Sens!E9565-Sens!F9566</f>
        <v>62.46973</v>
      </c>
      <c r="G9565" s="6" t="n">
        <f aca="false">Sens!F9565-Sens!G9566</f>
        <v>57.98686785</v>
      </c>
      <c r="H9565" s="6" t="n">
        <f aca="false">Sens!G9565-Sens!H9566</f>
        <v>53.92827690325</v>
      </c>
      <c r="I9565" s="6" t="n">
        <f aca="false">Sens!H9565-Sens!I9566</f>
        <v>49.7850493638962</v>
      </c>
      <c r="J9565" s="6" t="n">
        <f aca="false">Sens!I9565-Sens!J9566</f>
        <v>45.4823765852716</v>
      </c>
      <c r="K9565" s="6" t="n">
        <f aca="false">Sens!J9565-Sens!K9566</f>
        <v>40.9860835316088</v>
      </c>
    </row>
    <row r="9566" customFormat="false" ht="15" hidden="false" customHeight="false" outlineLevel="0" collapsed="false">
      <c r="A9566" s="1" t="s">
        <v>1115</v>
      </c>
      <c r="B9566" s="0" t="s">
        <v>98</v>
      </c>
      <c r="F9566" s="6" t="n">
        <f aca="false">fl_pay_27-Sens!E9565*fl_rate</f>
        <v>4.12427</v>
      </c>
      <c r="G9566" s="6" t="n">
        <f aca="false">fl_pay_28-Sens!F9565*fl_rate</f>
        <v>4.48286215</v>
      </c>
      <c r="H9566" s="6" t="n">
        <f aca="false">fl_pay_29-Sens!G9565*fl_rate</f>
        <v>4.05859094675</v>
      </c>
      <c r="I9566" s="6" t="n">
        <f aca="false">fl_pay_30-Sens!H9565*fl_rate</f>
        <v>4.14322753935375</v>
      </c>
      <c r="J9566" s="6" t="n">
        <f aca="false">fl_pay_31-Sens!I9565*fl_rate</f>
        <v>4.30267277862467</v>
      </c>
      <c r="K9566" s="6" t="n">
        <f aca="false">fl_pay_32-Sens!J9565*fl_rate</f>
        <v>4.49629305366278</v>
      </c>
    </row>
    <row r="9567" customFormat="false" ht="17.15" hidden="false" customHeight="false" outlineLevel="0" collapsed="false">
      <c r="A9567" s="1" t="s">
        <v>1116</v>
      </c>
      <c r="B9567" s="0" t="s">
        <v>98</v>
      </c>
      <c r="E9567" s="6" t="n">
        <f aca="false">Q!M35-Q!M36-Q!M44</f>
        <v>63.886</v>
      </c>
      <c r="F9567" s="6" t="n">
        <f aca="false">Sens!F9560-Sens!F9564-Sens!F9566</f>
        <v>7.758926859527</v>
      </c>
      <c r="G9567" s="6" t="n">
        <f aca="false">Sens!G9560-Sens!G9564-Sens!G9566</f>
        <v>9.00378601934473</v>
      </c>
      <c r="H9567" s="6" t="n">
        <f aca="false">Sens!H9560-Sens!H9564-Sens!H9566</f>
        <v>33.023658268107</v>
      </c>
      <c r="I9567" s="6" t="n">
        <f aca="false">Sens!I9560-Sens!I9564-Sens!I9566</f>
        <v>92.9442972239696</v>
      </c>
      <c r="J9567" s="6" t="n">
        <f aca="false">Sens!J9560-Sens!J9564-Sens!J9566</f>
        <v>158.122991043499</v>
      </c>
      <c r="K9567" s="6" t="n">
        <f aca="false">Sens!K9560-Sens!K9564-Sens!K9566</f>
        <v>187.911890782627</v>
      </c>
      <c r="L9567" s="12" t="s">
        <v>1117</v>
      </c>
    </row>
    <row r="9568" customFormat="false" ht="15" hidden="false" customHeight="false" outlineLevel="0" collapsed="false">
      <c r="A9568" s="1" t="s">
        <v>1118</v>
      </c>
      <c r="B9568" s="0" t="s">
        <v>75</v>
      </c>
      <c r="F9568" s="8" t="n">
        <f aca="false">dps_27</f>
        <v>3.85</v>
      </c>
      <c r="G9568" s="8" t="n">
        <f aca="false">Sens!F9568*(1+dps_g)</f>
        <v>4.158</v>
      </c>
      <c r="H9568" s="8" t="n">
        <f aca="false">Sens!G9568*(1+dps_g)</f>
        <v>4.49064</v>
      </c>
      <c r="I9568" s="8" t="n">
        <f aca="false">Sens!H9568*(1+dps_g)</f>
        <v>4.8498912</v>
      </c>
      <c r="J9568" s="8" t="n">
        <f aca="false">Sens!I9568*(1+dps_g)</f>
        <v>5.237882496</v>
      </c>
      <c r="K9568" s="8" t="n">
        <f aca="false">Sens!J9568*(1+dps_g)</f>
        <v>5.65691309568</v>
      </c>
    </row>
    <row r="9569" customFormat="false" ht="17.15" hidden="false" customHeight="false" outlineLevel="0" collapsed="false">
      <c r="A9569" s="1" t="s">
        <v>1119</v>
      </c>
      <c r="B9569" s="0" t="s">
        <v>98</v>
      </c>
      <c r="E9569" s="6" t="n">
        <f aca="false">Q!M41</f>
        <v>26.445</v>
      </c>
      <c r="F9569" s="6" t="n">
        <f aca="false">Sens!F9568*Sens!E9578</f>
        <v>28.59395</v>
      </c>
      <c r="G9569" s="6" t="n">
        <f aca="false">Sens!G9568*Sens!F9578</f>
        <v>31.068576</v>
      </c>
      <c r="H9569" s="6" t="n">
        <f aca="false">Sens!H9568*Sens!G9578</f>
        <v>33.75614088</v>
      </c>
      <c r="I9569" s="6" t="n">
        <f aca="false">Sens!I9568*Sens!H9578</f>
        <v>36.6748772544</v>
      </c>
      <c r="J9569" s="6" t="n">
        <f aca="false">Sens!J9568*Sens!I9578</f>
        <v>39.6767653201446</v>
      </c>
      <c r="K9569" s="6" t="n">
        <f aca="false">Sens!K9568*Sens!J9578</f>
        <v>42.9376608081345</v>
      </c>
      <c r="L9569" s="1" t="s">
        <v>1120</v>
      </c>
    </row>
    <row r="9570" customFormat="false" ht="15" hidden="false" customHeight="false" outlineLevel="0" collapsed="false">
      <c r="A9570" s="1" t="s">
        <v>1121</v>
      </c>
      <c r="B9570" s="0" t="s">
        <v>98</v>
      </c>
      <c r="E9570" s="6" t="n">
        <f aca="false">Sens!E9567-Sens!E9569</f>
        <v>37.441</v>
      </c>
      <c r="F9570" s="6" t="n">
        <f aca="false">Sens!F9567-Sens!F9569</f>
        <v>-20.835023140473</v>
      </c>
      <c r="G9570" s="6" t="n">
        <f aca="false">Sens!G9567-Sens!G9569</f>
        <v>-22.0647899806553</v>
      </c>
      <c r="H9570" s="6" t="n">
        <f aca="false">Sens!H9567-Sens!H9569</f>
        <v>-0.732482611893033</v>
      </c>
      <c r="I9570" s="6" t="n">
        <f aca="false">Sens!I9567-Sens!I9569</f>
        <v>56.2694199695696</v>
      </c>
      <c r="J9570" s="6" t="n">
        <f aca="false">Sens!J9567-Sens!J9569</f>
        <v>118.446225723355</v>
      </c>
      <c r="K9570" s="6" t="n">
        <f aca="false">Sens!K9567-Sens!K9569</f>
        <v>144.974229974492</v>
      </c>
    </row>
    <row r="9571" customFormat="false" ht="15" hidden="false" customHeight="false" outlineLevel="0" collapsed="false">
      <c r="A9571" s="1" t="s">
        <v>1122</v>
      </c>
      <c r="B9571" s="0" t="s">
        <v>98</v>
      </c>
      <c r="F9571" s="6" t="n">
        <f aca="false">debt_mat_27</f>
        <v>9.25</v>
      </c>
      <c r="G9571" s="6" t="n">
        <f aca="false">debt_mat_28</f>
        <v>0</v>
      </c>
      <c r="H9571" s="6" t="n">
        <f aca="false">debt_mat_29</f>
        <v>2.001</v>
      </c>
      <c r="I9571" s="6" t="n">
        <f aca="false">debt_mat_30</f>
        <v>0</v>
      </c>
      <c r="J9571" s="6" t="n">
        <f aca="false">debt_mat_31</f>
        <v>0.5</v>
      </c>
      <c r="K9571" s="6" t="n">
        <f aca="false">debt_mat_32</f>
        <v>0</v>
      </c>
    </row>
    <row r="9572" customFormat="false" ht="15" hidden="false" customHeight="false" outlineLevel="0" collapsed="false">
      <c r="A9572" s="1" t="s">
        <v>1123</v>
      </c>
      <c r="B9572" s="0" t="s">
        <v>98</v>
      </c>
      <c r="E9572" s="6" t="n">
        <f aca="false">Q!M40</f>
        <v>22.271</v>
      </c>
      <c r="F9572" s="6" t="n">
        <f aca="false">MAX(0,MIN(bb_target,Sens!E9574+Sens!F9570-Sens!F9571-min_cash))</f>
        <v>0</v>
      </c>
      <c r="G9572" s="6" t="n">
        <f aca="false">MAX(0,MIN(bb_target,Sens!F9574+Sens!G9570-Sens!G9571-min_cash))</f>
        <v>0</v>
      </c>
      <c r="H9572" s="6" t="n">
        <f aca="false">MAX(0,MIN(bb_target,Sens!G9574+Sens!H9570-Sens!H9571-min_cash))</f>
        <v>0</v>
      </c>
      <c r="I9572" s="6" t="n">
        <f aca="false">MAX(0,MIN(bb_target,Sens!H9574+Sens!I9570-Sens!I9571-min_cash))</f>
        <v>22.271</v>
      </c>
      <c r="J9572" s="6" t="n">
        <f aca="false">MAX(0,MIN(bb_target,Sens!I9574+Sens!J9570-Sens!J9571-min_cash))</f>
        <v>22.271</v>
      </c>
      <c r="K9572" s="6" t="n">
        <f aca="false">MAX(0,MIN(bb_target,Sens!J9574+Sens!K9570-Sens!K9571-min_cash))</f>
        <v>22.271</v>
      </c>
    </row>
    <row r="9573" customFormat="false" ht="15" hidden="false" customHeight="false" outlineLevel="0" collapsed="false">
      <c r="A9573" s="1" t="s">
        <v>1124</v>
      </c>
      <c r="B9573" s="0" t="s">
        <v>98</v>
      </c>
      <c r="F9573" s="6" t="n">
        <f aca="false">MAX(0,min_cash-(Sens!E9574+Sens!F9570-Sens!F9571-Sens!F9572))</f>
        <v>3.24202314047299</v>
      </c>
      <c r="G9573" s="6" t="n">
        <f aca="false">MAX(0,min_cash-(Sens!F9574+Sens!G9570-Sens!G9571-Sens!G9572))</f>
        <v>22.0647899806553</v>
      </c>
      <c r="H9573" s="6" t="n">
        <f aca="false">MAX(0,min_cash-(Sens!G9574+Sens!H9570-Sens!H9571-Sens!H9572))</f>
        <v>2.73348261189303</v>
      </c>
      <c r="I9573" s="6" t="n">
        <f aca="false">MAX(0,min_cash-(Sens!H9574+Sens!I9570-Sens!I9571-Sens!I9572))</f>
        <v>0</v>
      </c>
      <c r="J9573" s="6" t="n">
        <f aca="false">MAX(0,min_cash-(Sens!I9574+Sens!J9570-Sens!J9571-Sens!J9572))</f>
        <v>0</v>
      </c>
      <c r="K9573" s="6" t="n">
        <f aca="false">MAX(0,min_cash-(Sens!J9574+Sens!K9570-Sens!K9571-Sens!K9572))</f>
        <v>0</v>
      </c>
    </row>
    <row r="9574" customFormat="false" ht="15" hidden="false" customHeight="false" outlineLevel="0" collapsed="false">
      <c r="A9574" s="1" t="s">
        <v>1125</v>
      </c>
      <c r="B9574" s="0" t="s">
        <v>98</v>
      </c>
      <c r="E9574" s="6" t="n">
        <f aca="false">cash_open</f>
        <v>76.843</v>
      </c>
      <c r="F9574" s="6" t="n">
        <f aca="false">Sens!E9574+Sens!F9570-Sens!F9571-Sens!F9572+Sens!F9573</f>
        <v>50</v>
      </c>
      <c r="G9574" s="6" t="n">
        <f aca="false">Sens!F9574+Sens!G9570-Sens!G9571-Sens!G9572+Sens!G9573</f>
        <v>50</v>
      </c>
      <c r="H9574" s="6" t="n">
        <f aca="false">Sens!G9574+Sens!H9570-Sens!H9571-Sens!H9572+Sens!H9573</f>
        <v>50</v>
      </c>
      <c r="I9574" s="6" t="n">
        <f aca="false">Sens!H9574+Sens!I9570-Sens!I9571-Sens!I9572+Sens!I9573</f>
        <v>83.9984199695696</v>
      </c>
      <c r="J9574" s="6" t="n">
        <f aca="false">Sens!I9574+Sens!J9570-Sens!J9571-Sens!J9572+Sens!J9573</f>
        <v>179.673645692924</v>
      </c>
      <c r="K9574" s="6" t="n">
        <f aca="false">Sens!J9574+Sens!K9570-Sens!K9571-Sens!K9572+Sens!K9573</f>
        <v>302.376875667416</v>
      </c>
    </row>
    <row r="9575" customFormat="false" ht="15" hidden="false" customHeight="false" outlineLevel="0" collapsed="false">
      <c r="A9575" s="1" t="s">
        <v>1126</v>
      </c>
      <c r="B9575" s="0" t="s">
        <v>98</v>
      </c>
      <c r="E9575" s="6" t="n">
        <f aca="false">debt_face</f>
        <v>46.136</v>
      </c>
      <c r="F9575" s="6" t="n">
        <f aca="false">Sens!E9575-Sens!F9571+Sens!F9573</f>
        <v>40.128023140473</v>
      </c>
      <c r="G9575" s="6" t="n">
        <f aca="false">Sens!F9575-Sens!G9571+Sens!G9573</f>
        <v>62.1928131211283</v>
      </c>
      <c r="H9575" s="6" t="n">
        <f aca="false">Sens!G9575-Sens!H9571+Sens!H9573</f>
        <v>62.9252957330213</v>
      </c>
      <c r="I9575" s="6" t="n">
        <f aca="false">Sens!H9575-Sens!I9571+Sens!I9573</f>
        <v>62.9252957330213</v>
      </c>
      <c r="J9575" s="6" t="n">
        <f aca="false">Sens!I9575-Sens!J9571+Sens!J9573</f>
        <v>62.4252957330213</v>
      </c>
      <c r="K9575" s="6" t="n">
        <f aca="false">Sens!J9575-Sens!K9571+Sens!K9573</f>
        <v>62.4252957330213</v>
      </c>
    </row>
    <row r="9576" customFormat="false" ht="15" hidden="false" customHeight="false" outlineLevel="0" collapsed="false">
      <c r="A9576" s="1" t="s">
        <v>1127</v>
      </c>
      <c r="B9576" s="0" t="s">
        <v>98</v>
      </c>
      <c r="E9576" s="6" t="n">
        <f aca="false">Sens!E9574-Sens!E9575</f>
        <v>30.707</v>
      </c>
      <c r="F9576" s="6" t="n">
        <f aca="false">Sens!F9574-Sens!F9575</f>
        <v>9.871976859527</v>
      </c>
      <c r="G9576" s="6" t="n">
        <f aca="false">Sens!G9574-Sens!G9575</f>
        <v>-12.1928131211283</v>
      </c>
      <c r="H9576" s="6" t="n">
        <f aca="false">Sens!H9574-Sens!H9575</f>
        <v>-12.9252957330213</v>
      </c>
      <c r="I9576" s="6" t="n">
        <f aca="false">Sens!I9574-Sens!I9575</f>
        <v>21.0731242365483</v>
      </c>
      <c r="J9576" s="6" t="n">
        <f aca="false">Sens!J9574-Sens!J9575</f>
        <v>117.248349959903</v>
      </c>
      <c r="K9576" s="6" t="n">
        <f aca="false">Sens!K9574-Sens!K9575</f>
        <v>239.951579934395</v>
      </c>
    </row>
    <row r="9577" customFormat="false" ht="15" hidden="false" customHeight="false" outlineLevel="0" collapsed="false">
      <c r="A9577" s="1" t="s">
        <v>1128</v>
      </c>
      <c r="B9577" s="0" t="s">
        <v>75</v>
      </c>
      <c r="F9577" s="30" t="n">
        <f aca="false">px*(1+bb_g)^(Sens!F9435-base_fy-mid_yr)</f>
        <v>551.84177959629</v>
      </c>
      <c r="G9577" s="30" t="n">
        <f aca="false">px*(1+bb_g)^(Sens!G9435-base_fy-mid_yr)</f>
        <v>595.989121963993</v>
      </c>
      <c r="H9577" s="30" t="n">
        <f aca="false">px*(1+bb_g)^(Sens!H9435-base_fy-mid_yr)</f>
        <v>643.668251721112</v>
      </c>
      <c r="I9577" s="30" t="n">
        <f aca="false">px*(1+bb_g)^(Sens!I9435-base_fy-mid_yr)</f>
        <v>695.161711858801</v>
      </c>
      <c r="J9577" s="30" t="n">
        <f aca="false">px*(1+bb_g)^(Sens!J9435-base_fy-mid_yr)</f>
        <v>750.774648807506</v>
      </c>
      <c r="K9577" s="30" t="n">
        <f aca="false">px*(1+bb_g)^(Sens!K9435-base_fy-mid_yr)</f>
        <v>810.836620712106</v>
      </c>
    </row>
    <row r="9578" customFormat="false" ht="15" hidden="false" customHeight="false" outlineLevel="0" collapsed="false">
      <c r="A9578" s="1" t="s">
        <v>1129</v>
      </c>
      <c r="B9578" s="1" t="s">
        <v>81</v>
      </c>
      <c r="E9578" s="15" t="n">
        <f aca="false">sh_out26</f>
        <v>7.427</v>
      </c>
      <c r="F9578" s="15" t="n">
        <f aca="false">Sens!E9578+sh_iss-Sens!F9572/Sens!F9577</f>
        <v>7.472</v>
      </c>
      <c r="G9578" s="15" t="n">
        <f aca="false">Sens!F9578+sh_iss-Sens!G9572/Sens!G9577</f>
        <v>7.517</v>
      </c>
      <c r="H9578" s="15" t="n">
        <f aca="false">Sens!G9578+sh_iss-Sens!H9572/Sens!H9577</f>
        <v>7.562</v>
      </c>
      <c r="I9578" s="15" t="n">
        <f aca="false">Sens!H9578+sh_iss-Sens!I9572/Sens!I9577</f>
        <v>7.57496285005334</v>
      </c>
      <c r="J9578" s="15" t="n">
        <f aca="false">Sens!I9578+sh_iss-Sens!J9572/Sens!J9577</f>
        <v>7.59029882232494</v>
      </c>
      <c r="K9578" s="15" t="n">
        <f aca="false">Sens!J9578+sh_iss-Sens!K9572/Sens!K9577</f>
        <v>7.60783212998384</v>
      </c>
    </row>
    <row r="9579" customFormat="false" ht="15" hidden="false" customHeight="false" outlineLevel="0" collapsed="false">
      <c r="A9579" s="1" t="s">
        <v>1130</v>
      </c>
      <c r="B9579" s="1" t="s">
        <v>81</v>
      </c>
      <c r="E9579" s="15" t="n">
        <f aca="false">sh_dil26</f>
        <v>7.453</v>
      </c>
      <c r="F9579" s="15" t="n">
        <f aca="false">(Sens!E9578+Sens!F9578)/2+dil_gap</f>
        <v>7.4735</v>
      </c>
      <c r="G9579" s="15" t="n">
        <f aca="false">(Sens!F9578+Sens!G9578)/2+dil_gap</f>
        <v>7.5185</v>
      </c>
      <c r="H9579" s="15" t="n">
        <f aca="false">(Sens!G9578+Sens!H9578)/2+dil_gap</f>
        <v>7.5635</v>
      </c>
      <c r="I9579" s="15" t="n">
        <f aca="false">(Sens!H9578+Sens!I9578)/2+dil_gap</f>
        <v>7.59248142502667</v>
      </c>
      <c r="J9579" s="15" t="n">
        <f aca="false">(Sens!I9578+Sens!J9578)/2+dil_gap</f>
        <v>7.60663083618914</v>
      </c>
      <c r="K9579" s="15" t="n">
        <f aca="false">(Sens!J9578+Sens!K9578)/2+dil_gap</f>
        <v>7.62306547615439</v>
      </c>
    </row>
    <row r="9580" customFormat="false" ht="17.15" hidden="false" customHeight="false" outlineLevel="0" collapsed="false">
      <c r="A9580" s="1" t="s">
        <v>1131</v>
      </c>
      <c r="B9580" s="0" t="s">
        <v>98</v>
      </c>
      <c r="C9580" s="6" t="n">
        <f aca="false">SUM(Sens!F9570:J9570)</f>
        <v>131.083349959903</v>
      </c>
    </row>
    <row r="9581" customFormat="false" ht="15" hidden="false" customHeight="false" outlineLevel="0" collapsed="false">
      <c r="A9581" s="26" t="s">
        <v>1096</v>
      </c>
      <c r="B9581" s="31" t="s">
        <v>98</v>
      </c>
      <c r="C9581" s="27" t="n">
        <f aca="false">Sens!$C$9580-(Sens!F9570+Sens!G9570+Sens!H9570+Sens!I9570+Sens!J9570)</f>
        <v>0</v>
      </c>
      <c r="D9581" s="31"/>
      <c r="E9581" s="31"/>
      <c r="F9581" s="31"/>
      <c r="G9581" s="31"/>
      <c r="H9581" s="31"/>
      <c r="I9581" s="31"/>
      <c r="J9581" s="31"/>
      <c r="K9581" s="31"/>
    </row>
    <row r="9582" customFormat="false" ht="17.15" hidden="false" customHeight="false" outlineLevel="0" collapsed="false">
      <c r="A9582" s="1" t="s">
        <v>1090</v>
      </c>
      <c r="B9582" s="1" t="s">
        <v>1132</v>
      </c>
      <c r="C9582" s="33" t="str">
        <f aca="false">IF(SUM(Sens!F9573:J9573)&gt;0.05,"需要舉債 "&amp;TEXT(SUM(Sens!F9573:J9573),"0.0")&amp;" 十億美元","不需舉債")&amp;"；"&amp;IF(SUM(Sens!F9572:J9572)&lt;COUNT(Sens!F9572:J9572)*bb_target-0.05,"回購較每年 "&amp;TEXT(bb_target,"0.0")&amp;" 的目標少 "&amp;TEXT(COUNT(Sens!F9572:J9572)*bb_target-SUM(Sens!F9572:J9572),"0.0")&amp;" 十億美元（"&amp;TEXT(COUNTIF(Sens!F9572:J9572,"&lt;"&amp;(bb_target-0.05)),"0")&amp;" 年減少）","回購不減")</f>
        <v>需要舉債 28.0 十億美元；回購較每年 22.3 的目標少 66.8 十億美元（3 年減少）</v>
      </c>
    </row>
    <row r="9583" customFormat="false" ht="17.15" hidden="false" customHeight="false" outlineLevel="0" collapsed="false">
      <c r="A9583" s="3" t="s">
        <v>1719</v>
      </c>
    </row>
    <row r="9584" customFormat="false" ht="15" hidden="false" customHeight="false" outlineLevel="0" collapsed="false">
      <c r="A9584" s="4" t="s">
        <v>43</v>
      </c>
      <c r="B9584" s="4" t="s">
        <v>65</v>
      </c>
      <c r="C9584" s="23" t="s">
        <v>938</v>
      </c>
      <c r="D9584" s="23" t="s">
        <v>939</v>
      </c>
      <c r="E9584" s="23" t="s">
        <v>940</v>
      </c>
      <c r="F9584" s="23" t="s">
        <v>941</v>
      </c>
      <c r="G9584" s="23" t="s">
        <v>942</v>
      </c>
      <c r="H9584" s="23" t="s">
        <v>943</v>
      </c>
      <c r="I9584" s="23" t="s">
        <v>944</v>
      </c>
      <c r="J9584" s="23" t="s">
        <v>945</v>
      </c>
      <c r="K9584" s="23" t="s">
        <v>946</v>
      </c>
      <c r="L9584" s="4" t="s">
        <v>47</v>
      </c>
    </row>
    <row r="9585" customFormat="false" ht="17.15" hidden="false" customHeight="false" outlineLevel="0" collapsed="false">
      <c r="A9585" s="1" t="s">
        <v>1212</v>
      </c>
      <c r="B9585" s="1" t="s">
        <v>279</v>
      </c>
      <c r="F9585" s="8" t="n">
        <f aca="false">(1-v_off)*mid_yr</f>
        <v>0.373972602739726</v>
      </c>
      <c r="G9585" s="8" t="n">
        <f aca="false">Sens!G9435-base_fy-mid_yr-v_off</f>
        <v>1.24794520547945</v>
      </c>
      <c r="H9585" s="8" t="n">
        <f aca="false">Sens!H9435-base_fy-mid_yr-v_off</f>
        <v>2.24794520547945</v>
      </c>
      <c r="I9585" s="8" t="n">
        <f aca="false">Sens!I9435-base_fy-mid_yr-v_off</f>
        <v>3.24794520547945</v>
      </c>
      <c r="J9585" s="8" t="n">
        <f aca="false">Sens!J9435-base_fy-mid_yr-v_off</f>
        <v>4.24794520547945</v>
      </c>
      <c r="K9585" s="8" t="n">
        <f aca="false">Sens!K9435-base_fy-mid_yr-v_off</f>
        <v>5.24794520547945</v>
      </c>
      <c r="L9585" s="12" t="s">
        <v>1213</v>
      </c>
    </row>
    <row r="9586" customFormat="false" ht="15" hidden="false" customHeight="false" outlineLevel="0" collapsed="false">
      <c r="A9586" s="1" t="s">
        <v>1214</v>
      </c>
      <c r="B9586" s="1" t="s">
        <v>279</v>
      </c>
      <c r="F9586" s="8" t="n">
        <f aca="false">Sens!F9435-base_fy-v_off</f>
        <v>0.747945205479452</v>
      </c>
      <c r="G9586" s="8" t="n">
        <f aca="false">Sens!G9435-base_fy-v_off</f>
        <v>1.74794520547945</v>
      </c>
      <c r="H9586" s="8" t="n">
        <f aca="false">Sens!H9435-base_fy-v_off</f>
        <v>2.74794520547945</v>
      </c>
      <c r="I9586" s="8" t="n">
        <f aca="false">Sens!I9435-base_fy-v_off</f>
        <v>3.74794520547945</v>
      </c>
      <c r="J9586" s="8" t="n">
        <f aca="false">Sens!J9435-base_fy-v_off</f>
        <v>4.74794520547945</v>
      </c>
      <c r="K9586" s="8" t="n">
        <f aca="false">Sens!K9435-base_fy-v_off</f>
        <v>5.74794520547945</v>
      </c>
    </row>
    <row r="9587" customFormat="false" ht="15" hidden="false" customHeight="false" outlineLevel="0" collapsed="false">
      <c r="A9587" s="1" t="s">
        <v>1215</v>
      </c>
      <c r="B9587" s="0" t="s">
        <v>229</v>
      </c>
      <c r="F9587" s="15" t="n">
        <f aca="false">1/(1+wacc)^Sens!F9585</f>
        <v>0.964022703286649</v>
      </c>
      <c r="G9587" s="15" t="n">
        <f aca="false">1/(1+wacc)^Sens!G9585</f>
        <v>0.884910302296739</v>
      </c>
      <c r="H9587" s="15" t="n">
        <f aca="false">1/(1+wacc)^Sens!H9585</f>
        <v>0.802322009770358</v>
      </c>
      <c r="I9587" s="15" t="n">
        <f aca="false">1/(1+wacc)^Sens!I9585</f>
        <v>0.727441646561469</v>
      </c>
      <c r="J9587" s="15" t="n">
        <f aca="false">1/(1+wacc)^Sens!J9585</f>
        <v>0.659549834988973</v>
      </c>
      <c r="K9587" s="15" t="n">
        <f aca="false">1/(1+wacc)^Sens!K9585</f>
        <v>0.597994336576966</v>
      </c>
    </row>
    <row r="9588" customFormat="false" ht="17.15" hidden="false" customHeight="false" outlineLevel="0" collapsed="false">
      <c r="A9588" s="1" t="s">
        <v>1216</v>
      </c>
      <c r="B9588" s="0" t="s">
        <v>98</v>
      </c>
      <c r="F9588" s="6" t="n">
        <f aca="false">Q!$I$35-Q!$I$39-Q!$I$43</f>
        <v>9.666</v>
      </c>
      <c r="L9588" s="12" t="s">
        <v>1217</v>
      </c>
    </row>
    <row r="9589" customFormat="false" ht="17.15" hidden="false" customHeight="false" outlineLevel="0" collapsed="false">
      <c r="A9589" s="1" t="s">
        <v>1218</v>
      </c>
      <c r="B9589" s="0" t="s">
        <v>98</v>
      </c>
      <c r="F9589" s="6" t="n">
        <f aca="false">Sens!F9560-Sens!F9557-Sens!F9564+Sens!F9542*(1-tax_f)*(1-v_off)-Sens!F9588</f>
        <v>-6.17712004549467</v>
      </c>
      <c r="G9589" s="6" t="n">
        <f aca="false">Sens!G9560-Sens!G9557-Sens!G9564+Sens!G9542*(1-tax_f)</f>
        <v>18.6535166952169</v>
      </c>
      <c r="H9589" s="6" t="n">
        <f aca="false">Sens!H9560-Sens!H9557-Sens!H9564+Sens!H9542*(1-tax_f)</f>
        <v>55.0396050930848</v>
      </c>
      <c r="I9589" s="6" t="n">
        <f aca="false">Sens!I9560-Sens!I9557-Sens!I9564+Sens!I9542*(1-tax_f)</f>
        <v>126.163397179368</v>
      </c>
      <c r="J9589" s="6" t="n">
        <f aca="false">Sens!J9560-Sens!J9557-Sens!J9564+Sens!J9542*(1-tax_f)</f>
        <v>198.985246655801</v>
      </c>
      <c r="K9589" s="6" t="n">
        <f aca="false">Sens!K9560-Sens!K9557-Sens!K9564+Sens!K9542*(1-tax_f)</f>
        <v>232.939120096445</v>
      </c>
      <c r="L9589" s="1" t="s">
        <v>1219</v>
      </c>
    </row>
    <row r="9590" customFormat="false" ht="15" hidden="false" customHeight="false" outlineLevel="0" collapsed="false">
      <c r="A9590" s="1" t="s">
        <v>1220</v>
      </c>
      <c r="B9590" s="0" t="s">
        <v>98</v>
      </c>
      <c r="F9590" s="6" t="n">
        <f aca="false">Sens!F9589*Sens!F9587</f>
        <v>-5.95488396478392</v>
      </c>
      <c r="G9590" s="6" t="n">
        <f aca="false">Sens!G9589*Sens!G9587</f>
        <v>16.5066890976616</v>
      </c>
      <c r="H9590" s="6" t="n">
        <f aca="false">Sens!H9589*Sens!H9587</f>
        <v>44.1594865752507</v>
      </c>
      <c r="I9590" s="6" t="n">
        <f aca="false">Sens!I9589*Sens!I9587</f>
        <v>91.7765093799479</v>
      </c>
      <c r="J9590" s="6" t="n">
        <f aca="false">Sens!J9589*Sens!J9587</f>
        <v>131.240686597073</v>
      </c>
      <c r="K9590" s="6" t="n">
        <f aca="false">Sens!K9589*Sens!K9587</f>
        <v>139.296274584896</v>
      </c>
    </row>
    <row r="9591" customFormat="false" ht="17.15" hidden="false" customHeight="false" outlineLevel="0" collapsed="false">
      <c r="A9591" s="1" t="s">
        <v>1221</v>
      </c>
      <c r="B9591" s="0" t="s">
        <v>98</v>
      </c>
      <c r="C9591" s="6" t="n">
        <f aca="false">SUM(Sens!F9590:K9590)</f>
        <v>417.024762270045</v>
      </c>
    </row>
    <row r="9592" customFormat="false" ht="17.15" hidden="false" customHeight="false" outlineLevel="0" collapsed="false">
      <c r="A9592" s="1" t="s">
        <v>1222</v>
      </c>
      <c r="B9592" s="0" t="s">
        <v>98</v>
      </c>
      <c r="C9592" s="6" t="n">
        <f aca="false">Sens!K9528*(1+g_tv)*(1-tax_f)</f>
        <v>239.858086629525</v>
      </c>
    </row>
    <row r="9593" customFormat="false" ht="17.15" hidden="false" customHeight="false" outlineLevel="0" collapsed="false">
      <c r="A9593" s="1" t="s">
        <v>1223</v>
      </c>
      <c r="B9593" s="0" t="s">
        <v>98</v>
      </c>
      <c r="C9593" s="6" t="n">
        <f aca="false">Sens!$C$9592*(1-g_tv/(wacc+ronic_prem))</f>
        <v>169.953473189502</v>
      </c>
    </row>
    <row r="9594" customFormat="false" ht="17.15" hidden="false" customHeight="false" outlineLevel="0" collapsed="false">
      <c r="A9594" s="1" t="s">
        <v>1224</v>
      </c>
      <c r="B9594" s="0" t="s">
        <v>98</v>
      </c>
      <c r="C9594" s="6" t="n">
        <f aca="false">Sens!$C$9593/(wacc-g_tv)</f>
        <v>2330.1537813341</v>
      </c>
    </row>
    <row r="9595" customFormat="false" ht="15" hidden="false" customHeight="false" outlineLevel="0" collapsed="false">
      <c r="A9595" s="1" t="s">
        <v>1225</v>
      </c>
      <c r="B9595" s="0" t="s">
        <v>98</v>
      </c>
      <c r="C9595" s="6" t="n">
        <f aca="false">Sens!$C$9594/(1+wacc)^Sens!K9586</f>
        <v>1326.80280856472</v>
      </c>
    </row>
    <row r="9596" customFormat="false" ht="17.15" hidden="false" customHeight="false" outlineLevel="0" collapsed="false">
      <c r="A9596" s="0" t="s">
        <v>1226</v>
      </c>
      <c r="B9596" s="0" t="s">
        <v>98</v>
      </c>
      <c r="C9596" s="6" t="n">
        <f aca="false">Sens!$C$9591+Sens!$C$9595</f>
        <v>1743.82757083476</v>
      </c>
    </row>
    <row r="9597" customFormat="false" ht="15" hidden="false" customHeight="false" outlineLevel="0" collapsed="false">
      <c r="A9597" s="1" t="s">
        <v>1141</v>
      </c>
      <c r="B9597" s="0" t="s">
        <v>168</v>
      </c>
      <c r="C9597" s="7" t="n">
        <f aca="false">Sens!$C$9595/Sens!$C$9596</f>
        <v>0.760856652776503</v>
      </c>
    </row>
    <row r="9598" customFormat="false" ht="17.15" hidden="false" customHeight="false" outlineLevel="0" collapsed="false">
      <c r="A9598" s="1" t="s">
        <v>1227</v>
      </c>
      <c r="B9598" s="0" t="s">
        <v>98</v>
      </c>
      <c r="C9598" s="6" t="n">
        <f aca="false">Sens!$C$9596+cash_val-debt_val-fl_val+oai_v</f>
        <v>1859.67857083476</v>
      </c>
    </row>
    <row r="9599" customFormat="false" ht="17.15" hidden="false" customHeight="false" outlineLevel="0" collapsed="false">
      <c r="A9599" s="0" t="s">
        <v>1149</v>
      </c>
      <c r="B9599" s="0" t="s">
        <v>75</v>
      </c>
      <c r="C9599" s="5" t="n">
        <f aca="false">Sens!$C$9598/shd_val</f>
        <v>249.755381524948</v>
      </c>
    </row>
    <row r="9600" customFormat="false" ht="15" hidden="false" customHeight="false" outlineLevel="0" collapsed="false">
      <c r="A9600" s="1" t="s">
        <v>1228</v>
      </c>
      <c r="B9600" s="0" t="s">
        <v>75</v>
      </c>
      <c r="C9600" s="8" t="n">
        <f aca="false">div_rem27+Sens!G9568*roll_div_q/q_per_yr</f>
        <v>3.9795</v>
      </c>
    </row>
    <row r="9601" customFormat="false" ht="17.15" hidden="false" customHeight="false" outlineLevel="0" collapsed="false">
      <c r="A9601" s="0" t="s">
        <v>1229</v>
      </c>
      <c r="B9601" s="0" t="s">
        <v>75</v>
      </c>
      <c r="C9601" s="5" t="n">
        <f aca="false">Sens!$C$9599*(1+wacc)^t_roll-Sens!$C$9600</f>
        <v>273.637545598595</v>
      </c>
    </row>
    <row r="9602" customFormat="false" ht="17.15" hidden="false" customHeight="false" outlineLevel="0" collapsed="false">
      <c r="A9602" s="1" t="s">
        <v>1230</v>
      </c>
      <c r="B9602" s="0" t="s">
        <v>168</v>
      </c>
      <c r="F9602" s="7" t="n">
        <f aca="false">Sens!F9554/(Sens!F9499-Sens!F9454)</f>
        <v>0.0687184224325108</v>
      </c>
      <c r="G9602" s="7" t="n">
        <f aca="false">Sens!G9554/(Sens!G9499-Sens!G9454)</f>
        <v>0.066453194976021</v>
      </c>
      <c r="H9602" s="7" t="n">
        <f aca="false">Sens!H9554/(Sens!H9499-Sens!H9454)</f>
        <v>0.0654042442618311</v>
      </c>
      <c r="I9602" s="7" t="n">
        <f aca="false">Sens!I9554/(Sens!I9499-Sens!I9454)</f>
        <v>0.0654256159673924</v>
      </c>
      <c r="J9602" s="7" t="n">
        <f aca="false">Sens!J9554/(Sens!J9499-Sens!J9454)</f>
        <v>0.0663002251073874</v>
      </c>
      <c r="K9602" s="7" t="n">
        <f aca="false">Sens!K9554/(Sens!K9499-Sens!K9454)</f>
        <v>0.0677826149138053</v>
      </c>
    </row>
    <row r="9603" customFormat="false" ht="17.15" hidden="false" customHeight="false" outlineLevel="0" collapsed="false">
      <c r="A9603" s="0" t="s">
        <v>1231</v>
      </c>
      <c r="B9603" s="0" t="s">
        <v>98</v>
      </c>
      <c r="F9603" s="6" t="n">
        <f aca="false">Sens!F9484*(al_m365+Sens!F9602+sbc_r)</f>
        <v>82.923340337749</v>
      </c>
      <c r="G9603" s="6" t="n">
        <f aca="false">Sens!G9484*(al_m365+Sens!G9602+sbc_r)</f>
        <v>93.325359089479</v>
      </c>
      <c r="H9603" s="6" t="n">
        <f aca="false">Sens!H9484*(al_m365+Sens!H9602+sbc_r)</f>
        <v>103.895656135855</v>
      </c>
      <c r="I9603" s="6" t="n">
        <f aca="false">Sens!I9484*(al_m365+Sens!I9602+sbc_r)</f>
        <v>113.95730352159</v>
      </c>
      <c r="J9603" s="6" t="n">
        <f aca="false">Sens!J9484*(al_m365+Sens!J9602+sbc_r)</f>
        <v>123.319939623141</v>
      </c>
      <c r="K9603" s="6" t="n">
        <f aca="false">Sens!K9484*(al_m365+Sens!K9602+sbc_r)</f>
        <v>132.288484490087</v>
      </c>
      <c r="L9603" s="12" t="s">
        <v>1232</v>
      </c>
    </row>
    <row r="9604" customFormat="false" ht="17.15" hidden="false" customHeight="false" outlineLevel="0" collapsed="false">
      <c r="A9604" s="0" t="s">
        <v>1233</v>
      </c>
      <c r="B9604" s="0" t="s">
        <v>98</v>
      </c>
      <c r="F9604" s="6" t="n">
        <f aca="false">Sens!F9485*(al_lic+Sens!F9602+sbc_r)</f>
        <v>32.8615603025314</v>
      </c>
      <c r="G9604" s="6" t="n">
        <f aca="false">Sens!G9485*(al_lic+Sens!G9602+sbc_r)</f>
        <v>34.162426685134</v>
      </c>
      <c r="H9604" s="6" t="n">
        <f aca="false">Sens!H9485*(al_lic+Sens!H9602+sbc_r)</f>
        <v>35.3746647345586</v>
      </c>
      <c r="I9604" s="6" t="n">
        <f aca="false">Sens!I9485*(al_lic+Sens!I9602+sbc_r)</f>
        <v>36.4782830226266</v>
      </c>
      <c r="J9604" s="6" t="n">
        <f aca="false">Sens!J9485*(al_lic+Sens!J9602+sbc_r)</f>
        <v>37.4499869893728</v>
      </c>
      <c r="K9604" s="6" t="n">
        <f aca="false">Sens!K9485*(al_lic+Sens!K9602+sbc_r)</f>
        <v>38.2653179095439</v>
      </c>
    </row>
    <row r="9605" customFormat="false" ht="17.15" hidden="false" customHeight="false" outlineLevel="0" collapsed="false">
      <c r="A9605" s="0" t="s">
        <v>1234</v>
      </c>
      <c r="B9605" s="0" t="s">
        <v>98</v>
      </c>
      <c r="F9605" s="6" t="n">
        <f aca="false">Sens!F9487*(al_ind+Sens!F9602+sbc_r)</f>
        <v>9.06262308895468</v>
      </c>
      <c r="G9605" s="6" t="n">
        <f aca="false">Sens!G9487*(al_ind+Sens!G9602+sbc_r)</f>
        <v>9.85131137371639</v>
      </c>
      <c r="H9605" s="6" t="n">
        <f aca="false">Sens!H9487*(al_ind+Sens!H9602+sbc_r)</f>
        <v>10.6839304683509</v>
      </c>
      <c r="I9605" s="6" t="n">
        <f aca="false">Sens!I9487*(al_ind+Sens!I9602+sbc_r)</f>
        <v>11.5559459277435</v>
      </c>
      <c r="J9605" s="6" t="n">
        <f aca="false">Sens!J9487*(al_ind+Sens!J9602+sbc_r)</f>
        <v>12.4586594722454</v>
      </c>
      <c r="K9605" s="6" t="n">
        <f aca="false">Sens!K9487*(al_ind+Sens!K9602+sbc_r)</f>
        <v>13.3797184035137</v>
      </c>
    </row>
    <row r="9606" customFormat="false" ht="17.15" hidden="false" customHeight="false" outlineLevel="0" collapsed="false">
      <c r="A9606" s="0" t="s">
        <v>1235</v>
      </c>
      <c r="B9606" s="0" t="s">
        <v>98</v>
      </c>
      <c r="F9606" s="6" t="n">
        <f aca="false">Sens!F9489*(al_fro+Sens!F9602+sbc_r)</f>
        <v>3.55489485563433</v>
      </c>
      <c r="G9606" s="6" t="n">
        <f aca="false">Sens!G9489*(al_fro+Sens!G9602+sbc_r)</f>
        <v>3.76940045354176</v>
      </c>
      <c r="H9606" s="6" t="n">
        <f aca="false">Sens!H9489*(al_fro+Sens!H9602+sbc_r)</f>
        <v>4.01231733091104</v>
      </c>
      <c r="I9606" s="6" t="n">
        <f aca="false">Sens!I9489*(al_fro+Sens!I9602+sbc_r)</f>
        <v>4.28596140606474</v>
      </c>
      <c r="J9606" s="6" t="n">
        <f aca="false">Sens!J9489*(al_fro+Sens!J9602+sbc_r)</f>
        <v>4.59195084577635</v>
      </c>
      <c r="K9606" s="6" t="n">
        <f aca="false">Sens!K9489*(al_fro+Sens!K9602+sbc_r)</f>
        <v>4.93143017321681</v>
      </c>
    </row>
    <row r="9607" customFormat="false" ht="17.15" hidden="false" customHeight="false" outlineLevel="0" collapsed="false">
      <c r="A9607" s="0" t="s">
        <v>1236</v>
      </c>
      <c r="B9607" s="0" t="s">
        <v>98</v>
      </c>
      <c r="F9607" s="6" t="n">
        <f aca="false">Sens!F9492*(al_srch+Sens!F9602+sbc_r)</f>
        <v>11.1918146780283</v>
      </c>
      <c r="G9607" s="6" t="n">
        <f aca="false">Sens!G9492*(al_srch+Sens!G9602+sbc_r)</f>
        <v>12.2805880781817</v>
      </c>
      <c r="H9607" s="6" t="n">
        <f aca="false">Sens!H9492*(al_srch+Sens!H9602+sbc_r)</f>
        <v>13.4132764414299</v>
      </c>
      <c r="I9607" s="6" t="n">
        <f aca="false">Sens!I9492*(al_srch+Sens!I9602+sbc_r)</f>
        <v>14.577235611506</v>
      </c>
      <c r="J9607" s="6" t="n">
        <f aca="false">Sens!J9492*(al_srch+Sens!J9602+sbc_r)</f>
        <v>15.7536318395702</v>
      </c>
      <c r="K9607" s="6" t="n">
        <f aca="false">Sens!K9492*(al_srch+Sens!K9602+sbc_r)</f>
        <v>16.918285495774</v>
      </c>
    </row>
    <row r="9608" customFormat="false" ht="17.15" hidden="false" customHeight="false" outlineLevel="0" collapsed="false">
      <c r="A9608" s="0" t="s">
        <v>1237</v>
      </c>
      <c r="B9608" s="0" t="s">
        <v>98</v>
      </c>
      <c r="F9608" s="6" t="n">
        <f aca="false">Sens!F9460-Sens!F9461+Sens!F9542</f>
        <v>38.9696429794913</v>
      </c>
      <c r="G9608" s="6" t="n">
        <f aca="false">Sens!G9460-Sens!G9461+Sens!G9542</f>
        <v>69.465497726016</v>
      </c>
      <c r="H9608" s="6" t="n">
        <f aca="false">Sens!H9460-Sens!H9461+Sens!H9542</f>
        <v>96.8147106808268</v>
      </c>
      <c r="I9608" s="6" t="n">
        <f aca="false">Sens!I9460-Sens!I9461+Sens!I9542</f>
        <v>127.654939766446</v>
      </c>
      <c r="J9608" s="6" t="n">
        <f aca="false">Sens!J9460-Sens!J9461+Sens!J9542</f>
        <v>149.308352681229</v>
      </c>
      <c r="K9608" s="6" t="n">
        <f aca="false">Sens!K9460-Sens!K9461+Sens!K9542</f>
        <v>162.731822021841</v>
      </c>
    </row>
    <row r="9609" customFormat="false" ht="17.15" hidden="false" customHeight="false" outlineLevel="0" collapsed="false">
      <c r="A9609" s="0" t="s">
        <v>1238</v>
      </c>
      <c r="B9609" s="0" t="s">
        <v>98</v>
      </c>
      <c r="F9609" s="6" t="n">
        <f aca="false">Sens!F9521+Sens!F9542+Sens!F9472+Sens!F9602*(Sens!F9491-Sens!F9454)+sbc_r*Sens!F9491</f>
        <v>234.622537848401</v>
      </c>
      <c r="G9609" s="6" t="n">
        <f aca="false">Sens!G9521+Sens!G9542+Sens!G9472+Sens!G9602*(Sens!G9491-Sens!G9454)+sbc_r*Sens!G9491</f>
        <v>284.690673952336</v>
      </c>
      <c r="H9609" s="6" t="n">
        <f aca="false">Sens!H9521+Sens!H9542+Sens!H9472+Sens!H9602*(Sens!H9491-Sens!H9454)+sbc_r*Sens!H9491</f>
        <v>336.269560411287</v>
      </c>
      <c r="I9609" s="6" t="n">
        <f aca="false">Sens!I9521+Sens!I9542+Sens!I9472+Sens!I9602*(Sens!I9491-Sens!I9454)+sbc_r*Sens!I9491</f>
        <v>390.013219365072</v>
      </c>
      <c r="J9609" s="6" t="n">
        <f aca="false">Sens!J9521+Sens!J9542+Sens!J9472+Sens!J9602*(Sens!J9491-Sens!J9454)+sbc_r*Sens!J9491</f>
        <v>431.842201253578</v>
      </c>
      <c r="K9609" s="6" t="n">
        <f aca="false">Sens!K9521+Sens!K9542+Sens!K9472+Sens!K9602*(Sens!K9491-Sens!K9454)+sbc_r*Sens!K9491</f>
        <v>462.280591442972</v>
      </c>
    </row>
    <row r="9610" customFormat="false" ht="17.15" hidden="false" customHeight="false" outlineLevel="0" collapsed="false">
      <c r="A9610" s="0" t="s">
        <v>1239</v>
      </c>
      <c r="B9610" s="0" t="s">
        <v>98</v>
      </c>
      <c r="F9610" s="6" t="n">
        <f aca="false">Sens!F9609-Sens!F9603-Sens!F9604-Sens!F9605-Sens!F9606-Sens!F9608</f>
        <v>67.2504762840401</v>
      </c>
      <c r="G9610" s="6" t="n">
        <f aca="false">Sens!G9609-Sens!G9603-Sens!G9604-Sens!G9605-Sens!G9606-Sens!G9608</f>
        <v>74.1166786244484</v>
      </c>
      <c r="H9610" s="6" t="n">
        <f aca="false">Sens!H9609-Sens!H9603-Sens!H9604-Sens!H9605-Sens!H9606-Sens!H9608</f>
        <v>85.4882810607849</v>
      </c>
      <c r="I9610" s="6" t="n">
        <f aca="false">Sens!I9609-Sens!I9603-Sens!I9604-Sens!I9605-Sens!I9606-Sens!I9608</f>
        <v>96.0807857206018</v>
      </c>
      <c r="J9610" s="6" t="n">
        <f aca="false">Sens!J9609-Sens!J9603-Sens!J9604-Sens!J9605-Sens!J9606-Sens!J9608</f>
        <v>104.713311641813</v>
      </c>
      <c r="K9610" s="6" t="n">
        <f aca="false">Sens!K9609-Sens!K9603-Sens!K9604-Sens!K9605-Sens!K9606-Sens!K9608</f>
        <v>110.683818444769</v>
      </c>
    </row>
    <row r="9611" customFormat="false" ht="17.15" hidden="false" customHeight="false" outlineLevel="0" collapsed="false">
      <c r="A9611" s="0" t="s">
        <v>1240</v>
      </c>
      <c r="B9611" s="0" t="s">
        <v>98</v>
      </c>
      <c r="F9611" s="6" t="n">
        <f aca="false">Sens!F9523+Sens!F9602*Sens!F9498+sbc_r*Sens!F9498</f>
        <v>26.6399932455411</v>
      </c>
      <c r="G9611" s="6" t="n">
        <f aca="false">Sens!G9523+Sens!G9602*Sens!G9498+sbc_r*Sens!G9498</f>
        <v>26.5131661338554</v>
      </c>
      <c r="H9611" s="6" t="n">
        <f aca="false">Sens!H9523+Sens!H9602*Sens!H9498+sbc_r*Sens!H9498</f>
        <v>27.4165158356021</v>
      </c>
      <c r="I9611" s="6" t="n">
        <f aca="false">Sens!I9523+Sens!I9602*Sens!I9498+sbc_r*Sens!I9498</f>
        <v>28.5474656623716</v>
      </c>
      <c r="J9611" s="6" t="n">
        <f aca="false">Sens!J9523+Sens!J9602*Sens!J9498+sbc_r*Sens!J9498</f>
        <v>29.8746520290868</v>
      </c>
      <c r="K9611" s="6" t="n">
        <f aca="false">Sens!K9523+Sens!K9602*Sens!K9498+sbc_r*Sens!K9498</f>
        <v>31.3682797811179</v>
      </c>
    </row>
    <row r="9612" customFormat="false" ht="17.15" hidden="false" customHeight="false" outlineLevel="0" collapsed="false">
      <c r="A9612" s="0" t="s">
        <v>1241</v>
      </c>
      <c r="B9612" s="0" t="s">
        <v>98</v>
      </c>
      <c r="F9612" s="6" t="n">
        <f aca="false">(Sens!F9611-Sens!F9607)*Sens!F9494/(Sens!F9494+Sens!F9496)</f>
        <v>8.72490754222211</v>
      </c>
      <c r="G9612" s="6" t="n">
        <f aca="false">(Sens!G9611-Sens!G9607)*Sens!G9494/(Sens!G9494+Sens!G9496)</f>
        <v>7.90020451330411</v>
      </c>
      <c r="H9612" s="6" t="n">
        <f aca="false">(Sens!H9611-Sens!H9607)*Sens!H9494/(Sens!H9494+Sens!H9496)</f>
        <v>7.67164553169976</v>
      </c>
      <c r="I9612" s="6" t="n">
        <f aca="false">(Sens!I9611-Sens!I9607)*Sens!I9494/(Sens!I9494+Sens!I9496)</f>
        <v>7.58675767308626</v>
      </c>
      <c r="J9612" s="6" t="n">
        <f aca="false">(Sens!J9611-Sens!J9607)*Sens!J9494/(Sens!J9494+Sens!J9496)</f>
        <v>7.63518873572208</v>
      </c>
      <c r="K9612" s="6" t="n">
        <f aca="false">(Sens!K9611-Sens!K9607)*Sens!K9494/(Sens!K9494+Sens!K9496)</f>
        <v>7.81306393716602</v>
      </c>
    </row>
    <row r="9613" customFormat="false" ht="17.15" hidden="false" customHeight="false" outlineLevel="0" collapsed="false">
      <c r="A9613" s="0" t="s">
        <v>1242</v>
      </c>
      <c r="B9613" s="0" t="s">
        <v>98</v>
      </c>
      <c r="F9613" s="6" t="n">
        <f aca="false">Sens!F9611-Sens!F9607-Sens!F9612</f>
        <v>6.7232710252907</v>
      </c>
      <c r="G9613" s="6" t="n">
        <f aca="false">Sens!G9611-Sens!G9607-Sens!G9612</f>
        <v>6.33237354236961</v>
      </c>
      <c r="H9613" s="6" t="n">
        <f aca="false">Sens!H9611-Sens!H9607-Sens!H9612</f>
        <v>6.33159386247241</v>
      </c>
      <c r="I9613" s="6" t="n">
        <f aca="false">Sens!I9611-Sens!I9607-Sens!I9612</f>
        <v>6.38347237777927</v>
      </c>
      <c r="J9613" s="6" t="n">
        <f aca="false">Sens!J9611-Sens!J9607-Sens!J9612</f>
        <v>6.48583145379456</v>
      </c>
      <c r="K9613" s="6" t="n">
        <f aca="false">Sens!K9611-Sens!K9607-Sens!K9612</f>
        <v>6.63693034817782</v>
      </c>
    </row>
    <row r="9614" customFormat="false" ht="17.15" hidden="false" customHeight="false" outlineLevel="0" collapsed="false">
      <c r="A9614" s="0" t="s">
        <v>1243</v>
      </c>
      <c r="B9614" s="0" t="s">
        <v>98</v>
      </c>
      <c r="F9614" s="6" t="n">
        <f aca="false">Sens!F9608-tax_f*(Sens!F9608-Sens!F9472)-Sens!F9469</f>
        <v>-130.362326762856</v>
      </c>
      <c r="G9614" s="6" t="n">
        <f aca="false">Sens!G9608-tax_f*(Sens!G9608-Sens!G9472)-Sens!G9469</f>
        <v>-124.225179337776</v>
      </c>
      <c r="H9614" s="6" t="n">
        <f aca="false">Sens!H9608-tax_f*(Sens!H9608-Sens!H9472)-Sens!H9469</f>
        <v>-101.534217387562</v>
      </c>
      <c r="I9614" s="6" t="n">
        <f aca="false">Sens!I9608-tax_f*(Sens!I9608-Sens!I9472)-Sens!I9469</f>
        <v>-43.6446798695439</v>
      </c>
      <c r="J9614" s="6" t="n">
        <f aca="false">Sens!J9608-tax_f*(Sens!J9608-Sens!J9472)-Sens!J9469</f>
        <v>16.9198855589618</v>
      </c>
      <c r="K9614" s="6" t="n">
        <f aca="false">Sens!K9608-tax_f*(Sens!K9608-Sens!K9472)-Sens!K9469</f>
        <v>39.8251384629271</v>
      </c>
    </row>
    <row r="9615" customFormat="false" ht="17.15" hidden="false" customHeight="false" outlineLevel="0" collapsed="false">
      <c r="A9615" s="0" t="s">
        <v>1244</v>
      </c>
      <c r="B9615" s="0" t="s">
        <v>98</v>
      </c>
      <c r="G9615" s="6" t="n">
        <f aca="false">Sens!G9614/(1+wacc)^(Sens!G9585-Sens!F9586)</f>
        <v>-118.286276192192</v>
      </c>
      <c r="H9615" s="6" t="n">
        <f aca="false">Sens!H9614/(1+wacc)^(Sens!H9585-Sens!F9586)</f>
        <v>-87.6570009910427</v>
      </c>
      <c r="I9615" s="6" t="n">
        <f aca="false">Sens!I9614/(1+wacc)^(Sens!I9585-Sens!F9586)</f>
        <v>-34.1629172979204</v>
      </c>
      <c r="J9615" s="6" t="n">
        <f aca="false">Sens!J9614/(1+wacc)^(Sens!J9585-Sens!F9586)</f>
        <v>12.0079954170053</v>
      </c>
      <c r="K9615" s="6" t="n">
        <f aca="false">Sens!K9614/(1+wacc)^(Sens!K9585-Sens!F9586)</f>
        <v>25.6259421582556</v>
      </c>
      <c r="L9615" s="1" t="s">
        <v>1245</v>
      </c>
    </row>
    <row r="9616" customFormat="false" ht="17.15" hidden="false" customHeight="false" outlineLevel="0" collapsed="false">
      <c r="A9616" s="0" t="s">
        <v>1246</v>
      </c>
      <c r="B9616" s="0" t="s">
        <v>98</v>
      </c>
      <c r="C9616" s="6" t="n">
        <f aca="false">(Sens!K9608-Sens!K9472)*(1-tax_f)*(1+g_tv)*(1-g_tv/(wacc+ronic_prem))/(wacc-g_tv)/(1+wacc)^(Sens!K9586-Sens!F9586)</f>
        <v>96.7148026864948</v>
      </c>
    </row>
    <row r="9617" customFormat="false" ht="17.15" hidden="false" customHeight="false" outlineLevel="0" collapsed="false">
      <c r="A9617" s="1" t="s">
        <v>1247</v>
      </c>
      <c r="B9617" s="0" t="s">
        <v>98</v>
      </c>
      <c r="C9617" s="6" t="n">
        <f aca="false">(SUM(Sens!G9615:K9615)+Sens!$C$9616)*(1+wacc)^(t_roll-Sens!F9586)</f>
        <v>-109.248827617462</v>
      </c>
      <c r="L9617" s="12" t="s">
        <v>1248</v>
      </c>
    </row>
    <row r="9618" customFormat="false" ht="17.15" hidden="false" customHeight="false" outlineLevel="0" collapsed="false">
      <c r="A9618" s="1" t="s">
        <v>1249</v>
      </c>
      <c r="B9618" s="0" t="s">
        <v>98</v>
      </c>
      <c r="C9618" s="6" t="n">
        <f aca="false">(w_ntm28*Sens!G9460+(1-w_ntm28)*Sens!H9460)*m_ai</f>
        <v>344.355829012336</v>
      </c>
    </row>
    <row r="9619" customFormat="false" ht="17.15" hidden="false" customHeight="false" outlineLevel="0" collapsed="false">
      <c r="A9619" s="1" t="s">
        <v>1250</v>
      </c>
      <c r="B9619" s="0" t="s">
        <v>98</v>
      </c>
      <c r="C9619" s="6" t="n">
        <f aca="false">(w_ntm28*Sens!G9610+(1-w_ntm28)*Sens!H9610)*m_cloud</f>
        <v>1075.96007524856</v>
      </c>
    </row>
    <row r="9620" customFormat="false" ht="17.15" hidden="false" customHeight="false" outlineLevel="0" collapsed="false">
      <c r="A9620" s="1" t="s">
        <v>1251</v>
      </c>
      <c r="B9620" s="0" t="s">
        <v>98</v>
      </c>
      <c r="C9620" s="6" t="n">
        <f aca="false">(w_ntm28*Sens!G9603+(1-w_ntm28)*Sens!H9603)*m_sw</f>
        <v>1045.44567261049</v>
      </c>
    </row>
    <row r="9621" customFormat="false" ht="17.15" hidden="false" customHeight="false" outlineLevel="0" collapsed="false">
      <c r="A9621" s="1" t="s">
        <v>1252</v>
      </c>
      <c r="B9621" s="0" t="s">
        <v>98</v>
      </c>
      <c r="C9621" s="6" t="n">
        <f aca="false">(w_ntm28*Sens!G9604+(1-w_ntm28)*Sens!H9604)*m_sw</f>
        <v>373.258483574939</v>
      </c>
    </row>
    <row r="9622" customFormat="false" ht="17.15" hidden="false" customHeight="false" outlineLevel="0" collapsed="false">
      <c r="A9622" s="1" t="s">
        <v>1253</v>
      </c>
      <c r="B9622" s="0" t="s">
        <v>98</v>
      </c>
      <c r="C9622" s="6" t="n">
        <f aca="false">(w_ntm28*Sens!G9605+(1-w_ntm28)*Sens!H9605)*m_sw</f>
        <v>109.350530909141</v>
      </c>
    </row>
    <row r="9623" customFormat="false" ht="17.15" hidden="false" customHeight="false" outlineLevel="0" collapsed="false">
      <c r="A9623" s="1" t="s">
        <v>1254</v>
      </c>
      <c r="B9623" s="0" t="s">
        <v>98</v>
      </c>
      <c r="C9623" s="6" t="n">
        <f aca="false">(w_ntm28*Sens!G9606+(1-w_ntm28)*Sens!H9606)*m_sw</f>
        <v>41.5720461943348</v>
      </c>
    </row>
    <row r="9624" customFormat="false" ht="17.15" hidden="false" customHeight="false" outlineLevel="0" collapsed="false">
      <c r="A9624" s="1" t="s">
        <v>1255</v>
      </c>
      <c r="B9624" s="0" t="s">
        <v>98</v>
      </c>
      <c r="C9624" s="6" t="n">
        <f aca="false">(w_ntm28*Sens!G9607+(1-w_ntm28)*Sens!H9607)*m_ads</f>
        <v>115.268636621559</v>
      </c>
    </row>
    <row r="9625" customFormat="false" ht="17.15" hidden="false" customHeight="false" outlineLevel="0" collapsed="false">
      <c r="A9625" s="1" t="s">
        <v>1256</v>
      </c>
      <c r="B9625" s="0" t="s">
        <v>98</v>
      </c>
      <c r="C9625" s="6" t="n">
        <f aca="false">(w_ntm28*Sens!G9612+(1-w_ntm28)*Sens!H9612)*m_game</f>
        <v>98.8305309687308</v>
      </c>
    </row>
    <row r="9626" customFormat="false" ht="17.15" hidden="false" customHeight="false" outlineLevel="0" collapsed="false">
      <c r="A9626" s="1" t="s">
        <v>1257</v>
      </c>
      <c r="B9626" s="0" t="s">
        <v>98</v>
      </c>
      <c r="C9626" s="6" t="n">
        <f aca="false">(w_ntm28*Sens!G9613+(1-w_ntm28)*Sens!H9613)*m_pc</f>
        <v>91.6257360178869</v>
      </c>
    </row>
    <row r="9627" customFormat="false" ht="17.15" hidden="false" customHeight="false" outlineLevel="0" collapsed="false">
      <c r="A9627" s="1" t="s">
        <v>1258</v>
      </c>
      <c r="B9627" s="0" t="s">
        <v>98</v>
      </c>
      <c r="C9627" s="6" t="n">
        <f aca="false">Sens!$C$9617+Sens!$C$9619+Sens!$C$9620+Sens!$C$9621+Sens!$C$9622+Sens!$C$9623+Sens!$C$9624+Sens!$C$9625+Sens!$C$9626</f>
        <v>2842.06288452818</v>
      </c>
    </row>
    <row r="9628" customFormat="false" ht="17.15" hidden="false" customHeight="false" outlineLevel="0" collapsed="false">
      <c r="A9628" s="1" t="s">
        <v>1259</v>
      </c>
      <c r="B9628" s="0" t="s">
        <v>98</v>
      </c>
      <c r="C9628" s="6" t="n">
        <f aca="false">(Sens!G9589-Sens!G9614)*t_stub</f>
        <v>47.3652663561427</v>
      </c>
      <c r="L9628" s="1" t="s">
        <v>1260</v>
      </c>
    </row>
    <row r="9629" customFormat="false" ht="17.15" hidden="false" customHeight="false" outlineLevel="0" collapsed="false">
      <c r="A9629" s="1" t="s">
        <v>1169</v>
      </c>
      <c r="B9629" s="0" t="s">
        <v>98</v>
      </c>
      <c r="C9629" s="6" t="n">
        <f aca="false">Sens!F9576+oai_v-Sens!F9565+Sens!$C$9628</f>
        <v>158.35151321567</v>
      </c>
      <c r="L9629" s="1" t="s">
        <v>1261</v>
      </c>
    </row>
    <row r="9630" customFormat="false" ht="17.15" hidden="false" customHeight="false" outlineLevel="0" collapsed="false">
      <c r="A9630" s="1" t="s">
        <v>1262</v>
      </c>
      <c r="B9630" s="0" t="s">
        <v>75</v>
      </c>
      <c r="C9630" s="5" t="n">
        <f aca="false">(Sens!$C$9627+Sens!$C$9629)/(Sens!F9578+dil_gap)-Sens!G9568*roll_div_q/q_per_yr</f>
        <v>399.229229688347</v>
      </c>
      <c r="L9630" s="1" t="s">
        <v>1263</v>
      </c>
    </row>
    <row r="9631" customFormat="false" ht="17.15" hidden="false" customHeight="false" outlineLevel="0" collapsed="false">
      <c r="A9631" s="1" t="s">
        <v>1264</v>
      </c>
      <c r="B9631" s="0" t="s">
        <v>75</v>
      </c>
      <c r="C9631" s="5" t="n">
        <f aca="false">w_dcf*Sens!$C$9601+(1-w_dcf)*Sens!$C$9630</f>
        <v>336.433387643471</v>
      </c>
    </row>
    <row r="9632" customFormat="false" ht="17.15" hidden="false" customHeight="false" outlineLevel="0" collapsed="false">
      <c r="A9632" s="3" t="s">
        <v>1720</v>
      </c>
    </row>
    <row r="9633" customFormat="false" ht="15" hidden="false" customHeight="false" outlineLevel="0" collapsed="false">
      <c r="A9633" s="4" t="s">
        <v>43</v>
      </c>
      <c r="B9633" s="4" t="s">
        <v>65</v>
      </c>
      <c r="C9633" s="23" t="s">
        <v>938</v>
      </c>
      <c r="D9633" s="23" t="s">
        <v>939</v>
      </c>
      <c r="E9633" s="23" t="s">
        <v>940</v>
      </c>
      <c r="F9633" s="23" t="s">
        <v>941</v>
      </c>
      <c r="G9633" s="23" t="s">
        <v>942</v>
      </c>
      <c r="H9633" s="23" t="s">
        <v>943</v>
      </c>
      <c r="I9633" s="23" t="s">
        <v>944</v>
      </c>
      <c r="J9633" s="23" t="s">
        <v>945</v>
      </c>
      <c r="K9633" s="23" t="s">
        <v>946</v>
      </c>
      <c r="L9633" s="4" t="s">
        <v>47</v>
      </c>
    </row>
    <row r="9634" customFormat="false" ht="17.15" hidden="false" customHeight="false" outlineLevel="0" collapsed="false">
      <c r="A9634" s="1" t="s">
        <v>947</v>
      </c>
      <c r="B9634" s="1" t="s">
        <v>279</v>
      </c>
      <c r="C9634" s="21" t="n">
        <v>2024</v>
      </c>
      <c r="D9634" s="21" t="n">
        <v>2025</v>
      </c>
      <c r="E9634" s="21" t="n">
        <v>2026</v>
      </c>
      <c r="F9634" s="21" t="n">
        <v>2027</v>
      </c>
      <c r="G9634" s="21" t="n">
        <v>2028</v>
      </c>
      <c r="H9634" s="21" t="n">
        <v>2029</v>
      </c>
      <c r="I9634" s="21" t="n">
        <v>2030</v>
      </c>
      <c r="J9634" s="21" t="n">
        <v>2031</v>
      </c>
      <c r="K9634" s="21" t="n">
        <v>2032</v>
      </c>
    </row>
    <row r="9635" customFormat="false" ht="17.15" hidden="false" customHeight="false" outlineLevel="0" collapsed="false">
      <c r="A9635" s="1" t="s">
        <v>948</v>
      </c>
      <c r="B9635" s="0" t="s">
        <v>456</v>
      </c>
      <c r="F9635" s="30" t="n">
        <f aca="false">pace</f>
        <v>2726.5351</v>
      </c>
      <c r="G9635" s="30" t="n">
        <f aca="false">pace</f>
        <v>2726.5351</v>
      </c>
      <c r="H9635" s="30" t="n">
        <f aca="false">pace</f>
        <v>2726.5351</v>
      </c>
      <c r="I9635" s="30" t="n">
        <f aca="false">pace+(g_tv*Sens!H9636-pace)*MIN(1,(Sens!I9634-pace_y0)/(pace_y1-pace_y0))</f>
        <v>1931.98611966667</v>
      </c>
      <c r="J9635" s="30" t="n">
        <f aca="false">pace+(g_tv*Sens!I9636-pace)*MIN(1,(Sens!J9634-pace_y0)/(pace_y1-pace_y0))</f>
        <v>1176.07686172667</v>
      </c>
      <c r="K9635" s="30" t="n">
        <f aca="false">pace+(g_tv*Sens!J9636-pace)*MIN(1,(Sens!K9634-pace_y0)/(pace_y1-pace_y0))</f>
        <v>436.1300484418</v>
      </c>
      <c r="L9635" s="12" t="s">
        <v>949</v>
      </c>
    </row>
    <row r="9636" customFormat="false" ht="17.15" hidden="false" customHeight="false" outlineLevel="0" collapsed="false">
      <c r="A9636" s="1" t="s">
        <v>950</v>
      </c>
      <c r="B9636" s="0" t="s">
        <v>456</v>
      </c>
      <c r="C9636" s="30" t="n">
        <f aca="false">mw_ext_24</f>
        <v>640</v>
      </c>
      <c r="D9636" s="30" t="n">
        <f aca="false">mw_ext_25</f>
        <v>1630</v>
      </c>
      <c r="E9636" s="30" t="n">
        <f aca="false">mw_ext_26</f>
        <v>3250</v>
      </c>
      <c r="F9636" s="30" t="n">
        <f aca="false">Sens!E9636+Sens!F9635</f>
        <v>5976.5351</v>
      </c>
      <c r="G9636" s="30" t="n">
        <f aca="false">Sens!F9636+Sens!G9635</f>
        <v>8703.0702</v>
      </c>
      <c r="H9636" s="30" t="n">
        <f aca="false">Sens!G9636+Sens!H9635</f>
        <v>11429.6053</v>
      </c>
      <c r="I9636" s="30" t="n">
        <f aca="false">Sens!H9636+Sens!I9635</f>
        <v>13361.5914196667</v>
      </c>
      <c r="J9636" s="30" t="n">
        <f aca="false">Sens!I9636+Sens!J9635</f>
        <v>14537.6682813933</v>
      </c>
      <c r="K9636" s="30" t="n">
        <f aca="false">Sens!J9636+Sens!K9635</f>
        <v>14973.7983298351</v>
      </c>
      <c r="L9636" s="1" t="s">
        <v>951</v>
      </c>
    </row>
    <row r="9637" customFormat="false" ht="17.15" hidden="false" customHeight="false" outlineLevel="0" collapsed="false">
      <c r="A9637" s="1" t="s">
        <v>952</v>
      </c>
      <c r="B9637" s="0" t="s">
        <v>456</v>
      </c>
      <c r="C9637" s="30" t="n">
        <f aca="false">rent_ext_24</f>
        <v>150</v>
      </c>
      <c r="D9637" s="30" t="n">
        <f aca="false">rent_ext_25</f>
        <v>400</v>
      </c>
      <c r="E9637" s="30" t="n">
        <f aca="false">rent_ext_26</f>
        <v>550</v>
      </c>
      <c r="F9637" s="30" t="n">
        <f aca="false">rent_ext_f</f>
        <v>756</v>
      </c>
      <c r="G9637" s="30" t="n">
        <f aca="false">rent_ext_f</f>
        <v>756</v>
      </c>
      <c r="H9637" s="30" t="n">
        <f aca="false">rent_ext_f</f>
        <v>756</v>
      </c>
      <c r="I9637" s="30" t="n">
        <f aca="false">rent_ext_f</f>
        <v>756</v>
      </c>
      <c r="J9637" s="30" t="n">
        <f aca="false">rent_ext_f</f>
        <v>756</v>
      </c>
      <c r="K9637" s="30" t="n">
        <f aca="false">rent_ext_f</f>
        <v>756</v>
      </c>
      <c r="L9637" s="1" t="s">
        <v>953</v>
      </c>
    </row>
    <row r="9638" customFormat="false" ht="17.15" hidden="false" customHeight="false" outlineLevel="0" collapsed="false">
      <c r="A9638" s="1" t="s">
        <v>954</v>
      </c>
      <c r="B9638" s="0" t="s">
        <v>456</v>
      </c>
      <c r="C9638" s="30" t="n">
        <f aca="false">Sens!C9636-Sens!C9637</f>
        <v>490</v>
      </c>
      <c r="D9638" s="30" t="n">
        <f aca="false">Sens!D9636-Sens!D9637</f>
        <v>1230</v>
      </c>
      <c r="E9638" s="30" t="n">
        <f aca="false">Sens!E9636-Sens!E9637</f>
        <v>2700</v>
      </c>
      <c r="F9638" s="30" t="n">
        <f aca="false">Sens!F9636-Sens!F9637</f>
        <v>5220.5351</v>
      </c>
      <c r="G9638" s="30" t="n">
        <f aca="false">Sens!G9636-Sens!G9637</f>
        <v>7947.0702</v>
      </c>
      <c r="H9638" s="30" t="n">
        <f aca="false">Sens!H9636-Sens!H9637</f>
        <v>10673.6053</v>
      </c>
      <c r="I9638" s="30" t="n">
        <f aca="false">Sens!I9636-Sens!I9637</f>
        <v>12605.5914196667</v>
      </c>
      <c r="J9638" s="30" t="n">
        <f aca="false">Sens!J9636-Sens!J9637</f>
        <v>13781.6682813933</v>
      </c>
      <c r="K9638" s="30" t="n">
        <f aca="false">Sens!K9636-Sens!K9637</f>
        <v>14217.7983298351</v>
      </c>
    </row>
    <row r="9639" customFormat="false" ht="17.15" hidden="false" customHeight="false" outlineLevel="0" collapsed="false">
      <c r="A9639" s="1" t="s">
        <v>955</v>
      </c>
      <c r="B9639" s="0" t="s">
        <v>456</v>
      </c>
      <c r="C9639" s="30" t="n">
        <f aca="false">Sens!C9638/ext_sh</f>
        <v>816.666666666667</v>
      </c>
      <c r="D9639" s="30" t="n">
        <f aca="false">Sens!D9638/ext_sh</f>
        <v>2050</v>
      </c>
      <c r="E9639" s="30" t="n">
        <f aca="false">Sens!E9638/ext_sh</f>
        <v>4500</v>
      </c>
      <c r="F9639" s="30" t="n">
        <f aca="false">Sens!F9638/ext_sh</f>
        <v>8700.89183333333</v>
      </c>
      <c r="G9639" s="30" t="n">
        <f aca="false">Sens!G9638/ext_sh</f>
        <v>13245.117</v>
      </c>
      <c r="H9639" s="30" t="n">
        <f aca="false">Sens!H9638/ext_sh</f>
        <v>17789.3421666667</v>
      </c>
      <c r="I9639" s="30" t="n">
        <f aca="false">Sens!I9638/ext_sh</f>
        <v>21009.3190327778</v>
      </c>
      <c r="J9639" s="30" t="n">
        <f aca="false">Sens!J9638/ext_sh</f>
        <v>22969.4471356556</v>
      </c>
      <c r="K9639" s="30" t="n">
        <f aca="false">Sens!K9638/ext_sh</f>
        <v>23696.3305497252</v>
      </c>
      <c r="L9639" s="1" t="s">
        <v>956</v>
      </c>
    </row>
    <row r="9640" customFormat="false" ht="17.15" hidden="false" customHeight="false" outlineLevel="0" collapsed="false">
      <c r="A9640" s="1" t="s">
        <v>957</v>
      </c>
      <c r="B9640" s="0" t="s">
        <v>456</v>
      </c>
      <c r="C9640" s="30" t="n">
        <f aca="false">Sens!C9639-Sens!C9638</f>
        <v>326.666666666667</v>
      </c>
      <c r="D9640" s="30" t="n">
        <f aca="false">Sens!D9639-Sens!D9638</f>
        <v>820</v>
      </c>
      <c r="E9640" s="30" t="n">
        <f aca="false">Sens!E9639-Sens!E9638</f>
        <v>1800</v>
      </c>
      <c r="F9640" s="30" t="n">
        <f aca="false">Sens!F9639-Sens!F9638</f>
        <v>3480.35673333333</v>
      </c>
      <c r="G9640" s="30" t="n">
        <f aca="false">Sens!G9639-Sens!G9638</f>
        <v>5298.0468</v>
      </c>
      <c r="H9640" s="30" t="n">
        <f aca="false">Sens!H9639-Sens!H9638</f>
        <v>7115.73686666667</v>
      </c>
      <c r="I9640" s="30" t="n">
        <f aca="false">Sens!I9639-Sens!I9638</f>
        <v>8403.72761311111</v>
      </c>
      <c r="J9640" s="30" t="n">
        <f aca="false">Sens!J9639-Sens!J9638</f>
        <v>9187.77885426222</v>
      </c>
      <c r="K9640" s="30" t="n">
        <f aca="false">Sens!K9639-Sens!K9638</f>
        <v>9478.53221989009</v>
      </c>
    </row>
    <row r="9641" customFormat="false" ht="17.15" hidden="false" customHeight="false" outlineLevel="0" collapsed="false">
      <c r="A9641" s="1" t="s">
        <v>958</v>
      </c>
      <c r="B9641" s="0" t="s">
        <v>456</v>
      </c>
      <c r="C9641" s="30" t="n">
        <f aca="false">Sens!C9639</f>
        <v>816.666666666667</v>
      </c>
      <c r="D9641" s="30" t="n">
        <f aca="false">Sens!D9639-Sens!C9639</f>
        <v>1233.33333333333</v>
      </c>
      <c r="E9641" s="30" t="n">
        <f aca="false">Sens!E9639-Sens!D9639</f>
        <v>2450</v>
      </c>
      <c r="F9641" s="30" t="n">
        <f aca="false">Sens!F9639-Sens!E9639</f>
        <v>4200.89183333333</v>
      </c>
      <c r="G9641" s="30" t="n">
        <f aca="false">Sens!G9639-Sens!F9639</f>
        <v>4544.22516666667</v>
      </c>
      <c r="H9641" s="30" t="n">
        <f aca="false">Sens!H9639-Sens!G9639</f>
        <v>4544.22516666667</v>
      </c>
      <c r="I9641" s="30" t="n">
        <f aca="false">Sens!I9639-Sens!H9639</f>
        <v>3219.97686611111</v>
      </c>
      <c r="J9641" s="30" t="n">
        <f aca="false">Sens!J9639-Sens!I9639</f>
        <v>1960.12810287778</v>
      </c>
      <c r="K9641" s="30" t="n">
        <f aca="false">Sens!K9639-Sens!J9639</f>
        <v>726.883414069667</v>
      </c>
    </row>
    <row r="9642" customFormat="false" ht="17.15" hidden="false" customHeight="false" outlineLevel="0" collapsed="false">
      <c r="A9642" s="1" t="s">
        <v>959</v>
      </c>
      <c r="B9642" s="0" t="s">
        <v>456</v>
      </c>
      <c r="D9642" s="30" t="n">
        <f aca="false">Sens!D9636-Sens!C9636</f>
        <v>990</v>
      </c>
      <c r="E9642" s="30" t="n">
        <f aca="false">Sens!E9636-Sens!D9636</f>
        <v>1620</v>
      </c>
      <c r="F9642" s="30" t="n">
        <f aca="false">Sens!F9636-Sens!E9636</f>
        <v>2726.5351</v>
      </c>
      <c r="G9642" s="30" t="n">
        <f aca="false">Sens!G9636-Sens!F9636</f>
        <v>2726.5351</v>
      </c>
      <c r="H9642" s="30" t="n">
        <f aca="false">Sens!H9636-Sens!G9636</f>
        <v>2726.5351</v>
      </c>
      <c r="I9642" s="30" t="n">
        <f aca="false">Sens!I9636-Sens!H9636</f>
        <v>1931.98611966667</v>
      </c>
      <c r="J9642" s="30" t="n">
        <f aca="false">Sens!J9636-Sens!I9636</f>
        <v>1176.07686172667</v>
      </c>
      <c r="K9642" s="30" t="n">
        <f aca="false">Sens!K9636-Sens!J9636</f>
        <v>436.130048441799</v>
      </c>
    </row>
    <row r="9643" customFormat="false" ht="17.15" hidden="false" customHeight="false" outlineLevel="0" collapsed="false">
      <c r="A9643" s="1" t="s">
        <v>960</v>
      </c>
      <c r="B9643" s="0" t="s">
        <v>456</v>
      </c>
      <c r="F9643" s="30" t="n">
        <f aca="false">Sens!F9662*ext_sh</f>
        <v>0</v>
      </c>
      <c r="G9643" s="30" t="n">
        <f aca="false">Sens!G9662*ext_sh</f>
        <v>0</v>
      </c>
      <c r="H9643" s="30" t="n">
        <f aca="false">Sens!H9662*ext_sh</f>
        <v>0</v>
      </c>
      <c r="I9643" s="30" t="n">
        <f aca="false">Sens!I9662*ext_sh</f>
        <v>490</v>
      </c>
      <c r="J9643" s="30" t="n">
        <f aca="false">Sens!J9662*ext_sh</f>
        <v>740</v>
      </c>
      <c r="K9643" s="30" t="n">
        <f aca="false">Sens!K9662*ext_sh</f>
        <v>1470</v>
      </c>
      <c r="L9643" s="1" t="s">
        <v>961</v>
      </c>
    </row>
    <row r="9644" customFormat="false" ht="17.15" hidden="false" customHeight="false" outlineLevel="0" collapsed="false">
      <c r="A9644" s="1" t="s">
        <v>962</v>
      </c>
      <c r="B9644" s="0" t="s">
        <v>456</v>
      </c>
      <c r="C9644" s="30" t="n">
        <f aca="false">mix_h*Sens!C9636</f>
        <v>128</v>
      </c>
      <c r="D9644" s="30" t="n">
        <f aca="false">mix_h*Sens!D9636</f>
        <v>326</v>
      </c>
      <c r="E9644" s="30" t="n">
        <f aca="false">mix_h*Sens!E9636</f>
        <v>650</v>
      </c>
      <c r="F9644" s="30" t="n">
        <f aca="false">Sens!E9644-Sens!F9643*mix_h</f>
        <v>650</v>
      </c>
      <c r="G9644" s="30" t="n">
        <f aca="false">Sens!F9644-Sens!G9643*mix_h</f>
        <v>650</v>
      </c>
      <c r="H9644" s="30" t="n">
        <f aca="false">Sens!G9644-Sens!H9643*mix_h</f>
        <v>650</v>
      </c>
      <c r="I9644" s="30" t="n">
        <f aca="false">Sens!H9644-Sens!I9643*mix_h</f>
        <v>552</v>
      </c>
      <c r="J9644" s="30" t="n">
        <f aca="false">Sens!I9644-Sens!J9643*mix_h</f>
        <v>404</v>
      </c>
      <c r="K9644" s="30" t="n">
        <f aca="false">Sens!J9644-Sens!K9643*mix_h</f>
        <v>110</v>
      </c>
    </row>
    <row r="9645" customFormat="false" ht="17.15" hidden="false" customHeight="false" outlineLevel="0" collapsed="false">
      <c r="A9645" s="1" t="s">
        <v>963</v>
      </c>
      <c r="B9645" s="0" t="s">
        <v>456</v>
      </c>
      <c r="C9645" s="30" t="n">
        <f aca="false">mix_g2*Sens!C9636</f>
        <v>288</v>
      </c>
      <c r="D9645" s="30" t="n">
        <f aca="false">mix_g2*Sens!D9636</f>
        <v>733.5</v>
      </c>
      <c r="E9645" s="30" t="n">
        <f aca="false">mix_g2*Sens!E9636</f>
        <v>1462.5</v>
      </c>
      <c r="F9645" s="30" t="n">
        <f aca="false">Sens!E9645-Sens!F9643*mix_g2</f>
        <v>1462.5</v>
      </c>
      <c r="G9645" s="30" t="n">
        <f aca="false">Sens!F9645-Sens!G9643*mix_g2</f>
        <v>1462.5</v>
      </c>
      <c r="H9645" s="30" t="n">
        <f aca="false">Sens!G9645-Sens!H9643*mix_g2</f>
        <v>1462.5</v>
      </c>
      <c r="I9645" s="30" t="n">
        <f aca="false">Sens!H9645-Sens!I9643*mix_g2</f>
        <v>1242</v>
      </c>
      <c r="J9645" s="30" t="n">
        <f aca="false">Sens!I9645-Sens!J9643*mix_g2</f>
        <v>909</v>
      </c>
      <c r="K9645" s="30" t="n">
        <f aca="false">Sens!J9645-Sens!K9643*mix_g2</f>
        <v>247.5</v>
      </c>
    </row>
    <row r="9646" customFormat="false" ht="17.15" hidden="false" customHeight="false" outlineLevel="0" collapsed="false">
      <c r="A9646" s="1" t="s">
        <v>964</v>
      </c>
      <c r="B9646" s="0" t="s">
        <v>456</v>
      </c>
      <c r="C9646" s="30" t="n">
        <f aca="false">mix_g3*Sens!C9636</f>
        <v>224</v>
      </c>
      <c r="D9646" s="30" t="n">
        <f aca="false">mix_g3*Sens!D9636</f>
        <v>570.5</v>
      </c>
      <c r="E9646" s="30" t="n">
        <f aca="false">mix_g3*Sens!E9636</f>
        <v>1137.5</v>
      </c>
      <c r="F9646" s="30" t="n">
        <f aca="false">Sens!E9646+(Sens!F9642+Sens!F9643)*(a_g3_27-nonnv*a_mai)-Sens!F9643*mix_g3</f>
        <v>2773.42106</v>
      </c>
      <c r="G9646" s="30" t="n">
        <f aca="false">Sens!F9646+(Sens!G9642+Sens!G9643)*(a_g3_28-nonnv*a_mai)-Sens!G9643*mix_g3</f>
        <v>3318.72808</v>
      </c>
      <c r="H9646" s="30" t="n">
        <f aca="false">Sens!G9646+(Sens!H9642+Sens!H9643)*(a_g3_29-nonnv*a_mai)-Sens!H9643*mix_g3</f>
        <v>3318.72808</v>
      </c>
      <c r="I9646" s="30" t="n">
        <f aca="false">Sens!H9646+(Sens!I9642+Sens!I9643)*(a_g3_29-nonnv*a_mai)-Sens!I9643*mix_g3</f>
        <v>3147.22808</v>
      </c>
      <c r="J9646" s="30" t="n">
        <f aca="false">Sens!I9646+(Sens!J9642+Sens!J9643)*(a_g3_29-nonnv*a_mai)-Sens!J9643*mix_g3</f>
        <v>2888.22808</v>
      </c>
      <c r="K9646" s="30" t="n">
        <f aca="false">Sens!J9646+(Sens!K9642+Sens!K9643)*(a_g3_29-nonnv*a_mai)-Sens!K9643*mix_g3</f>
        <v>2373.72808</v>
      </c>
    </row>
    <row r="9647" customFormat="false" ht="17.15" hidden="false" customHeight="false" outlineLevel="0" collapsed="false">
      <c r="A9647" s="1" t="s">
        <v>965</v>
      </c>
      <c r="B9647" s="0" t="s">
        <v>456</v>
      </c>
      <c r="C9647" s="30" t="n">
        <v>0</v>
      </c>
      <c r="D9647" s="30" t="n">
        <v>0</v>
      </c>
      <c r="E9647" s="30" t="n">
        <v>0</v>
      </c>
      <c r="F9647" s="30" t="n">
        <f aca="false">Sens!E9647+(Sens!F9642+Sens!F9643)*nonnv*a_mai</f>
        <v>272.65351</v>
      </c>
      <c r="G9647" s="30" t="n">
        <f aca="false">Sens!F9647+(Sens!G9642+Sens!G9643)*nonnv*a_mai</f>
        <v>545.30702</v>
      </c>
      <c r="H9647" s="30" t="n">
        <f aca="false">Sens!G9647+(Sens!H9642+Sens!H9643)*nonnv*a_mai</f>
        <v>817.96053</v>
      </c>
      <c r="I9647" s="30" t="n">
        <f aca="false">Sens!H9647+(Sens!I9642+Sens!I9643)*nonnv*a_mai</f>
        <v>1060.15914196667</v>
      </c>
      <c r="J9647" s="30" t="n">
        <f aca="false">Sens!I9647+(Sens!J9642+Sens!J9643)*nonnv*a_mai</f>
        <v>1251.76682813933</v>
      </c>
      <c r="K9647" s="30" t="n">
        <f aca="false">Sens!J9647+(Sens!K9642+Sens!K9643)*nonnv*a_mai</f>
        <v>1442.37983298351</v>
      </c>
      <c r="L9647" s="12" t="s">
        <v>966</v>
      </c>
    </row>
    <row r="9648" customFormat="false" ht="17.15" hidden="false" customHeight="false" outlineLevel="0" collapsed="false">
      <c r="A9648" s="1" t="s">
        <v>967</v>
      </c>
      <c r="B9648" s="0" t="s">
        <v>456</v>
      </c>
      <c r="C9648" s="30" t="n">
        <v>0</v>
      </c>
      <c r="D9648" s="30" t="n">
        <v>0</v>
      </c>
      <c r="E9648" s="30" t="n">
        <v>0</v>
      </c>
      <c r="F9648" s="30" t="n">
        <f aca="false">Sens!E9648+(Sens!F9642+Sens!F9643)*(1-a_g3_27)</f>
        <v>817.96053</v>
      </c>
      <c r="G9648" s="30" t="n">
        <f aca="false">Sens!F9648+(Sens!G9642+Sens!G9643)*(1-a_g3_28)</f>
        <v>2726.5351</v>
      </c>
      <c r="H9648" s="30" t="n">
        <f aca="false">Sens!G9648+(Sens!H9642+Sens!H9643)*(1-a_g3_29)</f>
        <v>5180.41669</v>
      </c>
      <c r="I9648" s="30" t="n">
        <f aca="false">Sens!H9648+(Sens!I9642+Sens!I9643)*(1-a_g3_29)</f>
        <v>7360.2041977</v>
      </c>
      <c r="J9648" s="30" t="n">
        <f aca="false">Sens!I9648+(Sens!J9642+Sens!J9643)*(1-a_g3_29)</f>
        <v>9084.673373254</v>
      </c>
      <c r="K9648" s="30" t="n">
        <f aca="false">Sens!J9648+(Sens!K9642+Sens!K9643)*(1-a_g3_29)</f>
        <v>10800.1904168516</v>
      </c>
    </row>
    <row r="9649" customFormat="false" ht="17.15" hidden="false" customHeight="false" outlineLevel="0" collapsed="false">
      <c r="A9649" s="1" t="s">
        <v>968</v>
      </c>
      <c r="B9649" s="0" t="s">
        <v>403</v>
      </c>
      <c r="C9649" s="15" t="n">
        <f aca="false">(Sens!C9644*tk_hold_h100+Sens!C9645*tk_hold_gb200+Sens!C9646*tk_hold_gb300+Sens!C9648*tk_hold_vr200+Sens!C9647*nv_hold_mai*tk_hold_vr200)/Sens!C9636</f>
        <v>9.7235358126469</v>
      </c>
      <c r="D9649" s="15" t="n">
        <f aca="false">(Sens!D9644*tk_hold_h100+Sens!D9645*tk_hold_gb200+Sens!D9646*tk_hold_gb300+Sens!D9648*tk_hold_vr200+Sens!D9647*nv_hold_mai*tk_hold_vr200)/Sens!D9636</f>
        <v>9.7235358126469</v>
      </c>
      <c r="E9649" s="15" t="n">
        <f aca="false">(Sens!E9644*tk_hold_h100+Sens!E9645*tk_hold_gb200+Sens!E9646*tk_hold_gb300+Sens!E9648*tk_hold_vr200+Sens!E9647*nv_hold_mai*tk_hold_vr200)/Sens!E9636</f>
        <v>9.7235358126469</v>
      </c>
      <c r="F9649" s="15" t="n">
        <f aca="false">(Sens!F9644*tk_hold_h100+Sens!F9645*tk_hold_gb200+Sens!F9646*tk_hold_gb300+Sens!F9648*tk_hold_vr200+Sens!F9647*nv_hold_mai*tk_hold_vr200)/Sens!F9636</f>
        <v>10.2195353876665</v>
      </c>
      <c r="G9649" s="15" t="n">
        <f aca="false">(Sens!G9644*tk_hold_h100+Sens!G9645*tk_hold_gb200+Sens!G9646*tk_hold_gb300+Sens!G9648*tk_hold_vr200+Sens!G9647*nv_hold_mai*tk_hold_vr200)/Sens!G9636</f>
        <v>10.5725598017306</v>
      </c>
      <c r="H9649" s="15" t="n">
        <f aca="false">(Sens!H9644*tk_hold_h100+Sens!H9645*tk_hold_gb200+Sens!H9646*tk_hold_gb300+Sens!H9648*tk_hold_vr200+Sens!H9647*nv_hold_mai*tk_hold_vr200)/Sens!H9636</f>
        <v>10.8210427149036</v>
      </c>
      <c r="I9649" s="15" t="n">
        <f aca="false">(Sens!I9644*tk_hold_h100+Sens!I9645*tk_hold_gb200+Sens!I9646*tk_hold_gb300+Sens!I9648*tk_hold_vr200+Sens!I9647*nv_hold_mai*tk_hold_vr200)/Sens!I9636</f>
        <v>11.0050618241982</v>
      </c>
      <c r="J9649" s="15" t="n">
        <f aca="false">(Sens!J9644*tk_hold_h100+Sens!J9645*tk_hold_gb200+Sens!J9646*tk_hold_gb300+Sens!J9648*tk_hold_vr200+Sens!J9647*nv_hold_mai*tk_hold_vr200)/Sens!J9636</f>
        <v>11.1505789658881</v>
      </c>
      <c r="K9649" s="15" t="n">
        <f aca="false">(Sens!K9644*tk_hold_h100+Sens!K9645*tk_hold_gb200+Sens!K9646*tk_hold_gb300+Sens!K9648*tk_hold_vr200+Sens!K9647*nv_hold_mai*tk_hold_vr200)/Sens!K9636</f>
        <v>11.3496914757183</v>
      </c>
      <c r="L9649" s="1" t="s">
        <v>969</v>
      </c>
    </row>
    <row r="9650" customFormat="false" ht="17.15" hidden="false" customHeight="false" outlineLevel="0" collapsed="false">
      <c r="A9650" s="1" t="s">
        <v>970</v>
      </c>
      <c r="B9650" s="0" t="s">
        <v>403</v>
      </c>
      <c r="C9650" s="15" t="n">
        <f aca="false">(Sens!C9644*tk_hold_h100+Sens!C9645*tk_hold_gb200+Sens!C9646*tk_hold_gb300+Sens!C9648*tk_hold_vr200+Sens!C9647*nv_out_mai*tk_hold_vr200)/Sens!C9636</f>
        <v>9.7235358126469</v>
      </c>
      <c r="D9650" s="15" t="n">
        <f aca="false">(Sens!D9644*tk_hold_h100+Sens!D9645*tk_hold_gb200+Sens!D9646*tk_hold_gb300+Sens!D9648*tk_hold_vr200+Sens!D9647*nv_out_mai*tk_hold_vr200)/Sens!D9636</f>
        <v>9.7235358126469</v>
      </c>
      <c r="E9650" s="15" t="n">
        <f aca="false">(Sens!E9644*tk_hold_h100+Sens!E9645*tk_hold_gb200+Sens!E9646*tk_hold_gb300+Sens!E9648*tk_hold_vr200+Sens!E9647*nv_out_mai*tk_hold_vr200)/Sens!E9636</f>
        <v>9.7235358126469</v>
      </c>
      <c r="F9650" s="15" t="n">
        <f aca="false">(Sens!F9644*tk_hold_h100+Sens!F9645*tk_hold_gb200+Sens!F9646*tk_hold_gb300+Sens!F9648*tk_hold_vr200+Sens!F9647*nv_out_mai*tk_hold_vr200)/Sens!F9636</f>
        <v>10.247422093969</v>
      </c>
      <c r="G9650" s="15" t="n">
        <f aca="false">(Sens!G9644*tk_hold_h100+Sens!G9645*tk_hold_gb200+Sens!G9646*tk_hold_gb300+Sens!G9648*tk_hold_vr200+Sens!G9647*nv_out_mai*tk_hold_vr200)/Sens!G9636</f>
        <v>10.6108602808053</v>
      </c>
      <c r="H9650" s="15" t="n">
        <f aca="false">(Sens!H9644*tk_hold_h100+Sens!H9645*tk_hold_gb200+Sens!H9646*tk_hold_gb300+Sens!H9648*tk_hold_vr200+Sens!H9647*nv_out_mai*tk_hold_vr200)/Sens!H9636</f>
        <v>10.8647885507393</v>
      </c>
      <c r="I9650" s="15" t="n">
        <f aca="false">(Sens!I9644*tk_hold_h100+Sens!I9645*tk_hold_gb200+Sens!I9646*tk_hold_gb300+Sens!I9648*tk_hold_vr200+Sens!I9647*nv_out_mai*tk_hold_vr200)/Sens!I9636</f>
        <v>11.0535625770025</v>
      </c>
      <c r="J9650" s="15" t="n">
        <f aca="false">(Sens!J9644*tk_hold_h100+Sens!J9645*tk_hold_gb200+Sens!J9646*tk_hold_gb300+Sens!J9648*tk_hold_vr200+Sens!J9647*nv_out_mai*tk_hold_vr200)/Sens!J9636</f>
        <v>11.2032127128058</v>
      </c>
      <c r="K9650" s="15" t="n">
        <f aca="false">(Sens!K9644*tk_hold_h100+Sens!K9645*tk_hold_gb200+Sens!K9646*tk_hold_gb300+Sens!K9648*tk_hold_vr200+Sens!K9647*nv_out_mai*tk_hold_vr200)/Sens!K9636</f>
        <v>11.4085735724225</v>
      </c>
      <c r="L9650" s="12" t="s">
        <v>971</v>
      </c>
    </row>
    <row r="9651" customFormat="false" ht="17.15" hidden="false" customHeight="false" outlineLevel="0" collapsed="false">
      <c r="A9651" s="0" t="s">
        <v>972</v>
      </c>
      <c r="B9651" s="0" t="s">
        <v>229</v>
      </c>
      <c r="C9651" s="15" t="n">
        <f aca="false">k_B</f>
        <v>1.17213932619116</v>
      </c>
      <c r="D9651" s="15" t="n">
        <f aca="false">k_B</f>
        <v>1.17213932619116</v>
      </c>
      <c r="E9651" s="15" t="n">
        <f aca="false">k_B</f>
        <v>1.17213932619116</v>
      </c>
      <c r="F9651" s="15" t="n">
        <f aca="false">(k_B+((ls_A*k_long+(1-ls_A)*k_spot)-k_B)*MIN(1,(Sens!F9634-base_fy)/k_ramp))</f>
        <v>1.25022828131298</v>
      </c>
      <c r="G9651" s="15" t="n">
        <f aca="false">(k_B+((ls_A*k_long+(1-ls_A)*k_spot)-k_B)*MIN(1,(Sens!G9634-base_fy)/k_ramp))</f>
        <v>1.3283172364348</v>
      </c>
      <c r="H9651" s="15" t="n">
        <f aca="false">(k_B+((ls_A*k_long+(1-ls_A)*k_spot)-k_B)*MIN(1,(Sens!H9634-base_fy)/k_ramp))</f>
        <v>1.40640619155662</v>
      </c>
      <c r="I9651" s="15" t="n">
        <f aca="false">(k_B+((ls_A*k_long+(1-ls_A)*k_spot)-k_B)*MIN(1,(Sens!I9634-base_fy)/k_ramp))</f>
        <v>1.40640619155662</v>
      </c>
      <c r="J9651" s="15" t="n">
        <f aca="false">(k_B+((ls_A*k_long+(1-ls_A)*k_spot)-k_B)*MIN(1,(Sens!J9634-base_fy)/k_ramp))</f>
        <v>1.40640619155662</v>
      </c>
      <c r="K9651" s="15" t="n">
        <f aca="false">(k_B+((ls_A*k_long+(1-ls_A)*k_spot)-k_B)*MIN(1,(Sens!K9634-base_fy)/k_ramp))</f>
        <v>1.40640619155662</v>
      </c>
      <c r="L9651" s="1" t="s">
        <v>973</v>
      </c>
    </row>
    <row r="9652" customFormat="false" ht="17.15" hidden="false" customHeight="false" outlineLevel="0" collapsed="false">
      <c r="A9652" s="1" t="s">
        <v>974</v>
      </c>
      <c r="B9652" s="0" t="s">
        <v>403</v>
      </c>
      <c r="C9652" s="15" t="n">
        <f aca="false">Sens!C9650*Sens!C9651*chip_f</f>
        <v>11.3973387156315</v>
      </c>
      <c r="D9652" s="15" t="n">
        <f aca="false">Sens!D9650*Sens!D9651*chip_f</f>
        <v>11.3973387156315</v>
      </c>
      <c r="E9652" s="15" t="n">
        <f aca="false">Sens!E9650*Sens!E9651*chip_f</f>
        <v>11.3973387156315</v>
      </c>
      <c r="F9652" s="15" t="n">
        <f aca="false">Sens!F9650*Sens!F9651*chip_f</f>
        <v>12.8116169124314</v>
      </c>
      <c r="G9652" s="15" t="n">
        <f aca="false">Sens!G9650*Sens!G9651*chip_f</f>
        <v>14.094588604395</v>
      </c>
      <c r="H9652" s="15" t="n">
        <f aca="false">Sens!H9650*Sens!H9651*chip_f</f>
        <v>15.2803058877132</v>
      </c>
      <c r="I9652" s="15" t="n">
        <f aca="false">Sens!I9650*Sens!I9651*chip_f</f>
        <v>15.5457988470549</v>
      </c>
      <c r="J9652" s="15" t="n">
        <f aca="false">Sens!J9650*Sens!J9651*chip_f</f>
        <v>15.7562677246158</v>
      </c>
      <c r="K9652" s="15" t="n">
        <f aca="false">Sens!K9650*Sens!K9651*chip_f</f>
        <v>16.0450885090842</v>
      </c>
      <c r="L9652" s="1" t="s">
        <v>975</v>
      </c>
    </row>
    <row r="9653" customFormat="false" ht="17.15" hidden="false" customHeight="false" outlineLevel="0" collapsed="false">
      <c r="A9653" s="0" t="s">
        <v>976</v>
      </c>
      <c r="B9653" s="0" t="s">
        <v>98</v>
      </c>
      <c r="D9653" s="6" t="n">
        <f aca="false">(Sens!C9636+Sens!D9636)/2*Sens!D9652/1000</f>
        <v>12.9359794422418</v>
      </c>
      <c r="E9653" s="6" t="n">
        <f aca="false">(Sens!D9636+Sens!E9636)/2*Sens!E9652/1000</f>
        <v>27.8095064661409</v>
      </c>
      <c r="F9653" s="6" t="n">
        <f aca="false">(Sens!E9636+Sens!F9636)/2*Sens!F9652/1000</f>
        <v>59.1034165651511</v>
      </c>
      <c r="G9653" s="6" t="n">
        <f aca="false">(Sens!F9636+Sens!G9636)/2*Sens!G9652/1000</f>
        <v>103.451498789198</v>
      </c>
      <c r="H9653" s="6" t="n">
        <f aca="false">(Sens!G9636+Sens!H9636)/2*Sens!H9652/1000</f>
        <v>153.816719989035</v>
      </c>
      <c r="I9653" s="6" t="n">
        <f aca="false">(Sens!H9636+Sens!I9636)/2*Sens!I9652/1000</f>
        <v>192.699478690852</v>
      </c>
      <c r="J9653" s="6" t="n">
        <f aca="false">(Sens!I9636+Sens!J9636)/2*Sens!J9652/1000</f>
        <v>219.794102584244</v>
      </c>
      <c r="K9653" s="6" t="n">
        <f aca="false">(Sens!J9636+Sens!K9636)/2*Sens!K9652/1000</f>
        <v>236.757046905022</v>
      </c>
      <c r="L9653" s="12" t="s">
        <v>977</v>
      </c>
    </row>
    <row r="9654" customFormat="false" ht="17.15" hidden="false" customHeight="false" outlineLevel="0" collapsed="false">
      <c r="A9654" s="1" t="s">
        <v>978</v>
      </c>
      <c r="B9654" s="0" t="s">
        <v>403</v>
      </c>
      <c r="C9654" s="15" t="n">
        <f aca="false">(Sens!C9644*tk_opex_h100+Sens!C9645*tk_opex_gb200+Sens!C9646*tk_opex_gb300+(Sens!C9648+Sens!C9647)*tk_opex_vr200)/Sens!C9636</f>
        <v>1.88636041306092</v>
      </c>
      <c r="D9654" s="15" t="n">
        <f aca="false">(Sens!D9644*tk_opex_h100+Sens!D9645*tk_opex_gb200+Sens!D9646*tk_opex_gb300+(Sens!D9648+Sens!D9647)*tk_opex_vr200)/Sens!D9636</f>
        <v>1.88636041306092</v>
      </c>
      <c r="E9654" s="15" t="n">
        <f aca="false">(Sens!E9644*tk_opex_h100+Sens!E9645*tk_opex_gb200+Sens!E9646*tk_opex_gb300+(Sens!E9648+Sens!E9647)*tk_opex_vr200)/Sens!E9636</f>
        <v>1.88636041306092</v>
      </c>
      <c r="F9654" s="15" t="n">
        <f aca="false">(Sens!F9644*tk_opex_h100+Sens!F9645*tk_opex_gb200+Sens!F9646*tk_opex_gb300+(Sens!F9648+Sens!F9647)*tk_opex_vr200)/Sens!F9636</f>
        <v>1.95051159746876</v>
      </c>
      <c r="G9654" s="15" t="n">
        <f aca="false">(Sens!G9644*tk_opex_h100+Sens!G9645*tk_opex_gb200+Sens!G9646*tk_opex_gb300+(Sens!G9648+Sens!G9647)*tk_opex_vr200)/Sens!G9636</f>
        <v>1.98836003669956</v>
      </c>
      <c r="H9654" s="15" t="n">
        <f aca="false">(Sens!H9644*tk_opex_h100+Sens!H9645*tk_opex_gb200+Sens!H9646*tk_opex_gb300+(Sens!H9648+Sens!H9647)*tk_opex_vr200)/Sens!H9636</f>
        <v>2.01344013834343</v>
      </c>
      <c r="I9654" s="15" t="n">
        <f aca="false">(Sens!I9644*tk_opex_h100+Sens!I9645*tk_opex_gb200+Sens!I9646*tk_opex_gb300+(Sens!I9648+Sens!I9647)*tk_opex_vr200)/Sens!I9636</f>
        <v>2.03261166882178</v>
      </c>
      <c r="J9654" s="15" t="n">
        <f aca="false">(Sens!J9644*tk_opex_h100+Sens!J9645*tk_opex_gb200+Sens!J9646*tk_opex_gb300+(Sens!J9648+Sens!J9647)*tk_opex_vr200)/Sens!J9636</f>
        <v>2.04808073288745</v>
      </c>
      <c r="K9654" s="15" t="n">
        <f aca="false">(Sens!K9644*tk_opex_h100+Sens!K9645*tk_opex_gb200+Sens!K9646*tk_opex_gb300+(Sens!K9648+Sens!K9647)*tk_opex_vr200)/Sens!K9636</f>
        <v>2.06973825807449</v>
      </c>
      <c r="L9654" s="12" t="s">
        <v>979</v>
      </c>
    </row>
    <row r="9655" customFormat="false" ht="17.15" hidden="false" customHeight="false" outlineLevel="0" collapsed="false">
      <c r="A9655" s="0" t="s">
        <v>980</v>
      </c>
      <c r="B9655" s="0" t="s">
        <v>98</v>
      </c>
      <c r="D9655" s="6" t="n">
        <f aca="false">(Sens!C9639+Sens!D9639)/2*Sens!D9654/1000</f>
        <v>2.70378325872065</v>
      </c>
      <c r="E9655" s="6" t="n">
        <f aca="false">(Sens!D9639+Sens!E9639)/2*Sens!E9654/1000</f>
        <v>6.17783035277451</v>
      </c>
      <c r="F9655" s="6" t="n">
        <f aca="false">(Sens!E9639+Sens!F9639)/2*Sens!F9654/1000</f>
        <v>12.8742463089237</v>
      </c>
      <c r="G9655" s="6" t="n">
        <f aca="false">(Sens!F9639+Sens!G9639)/2*Sens!G9654/1000</f>
        <v>21.8182834646277</v>
      </c>
      <c r="H9655" s="6" t="n">
        <f aca="false">(Sens!G9639+Sens!H9639)/2*Sens!H9654/1000</f>
        <v>31.2430128789734</v>
      </c>
      <c r="I9655" s="6" t="n">
        <f aca="false">(Sens!H9639+Sens!I9639)/2*Sens!I9654/1000</f>
        <v>39.4313057443268</v>
      </c>
      <c r="J9655" s="6" t="n">
        <f aca="false">(Sens!I9639+Sens!J9639)/2*Sens!J9654/1000</f>
        <v>45.0360318228653</v>
      </c>
      <c r="K9655" s="6" t="n">
        <f aca="false">(Sens!J9639+Sens!K9639)/2*Sens!K9654/1000</f>
        <v>48.2929727091156</v>
      </c>
    </row>
    <row r="9656" customFormat="false" ht="17.15" hidden="false" customHeight="false" outlineLevel="0" collapsed="false">
      <c r="A9656" s="0" t="s">
        <v>981</v>
      </c>
      <c r="B9656" s="0" t="s">
        <v>98</v>
      </c>
      <c r="D9656" s="6" t="n">
        <f aca="false">(Sens!C9637+Sens!D9637)/2*rent_mw/1000</f>
        <v>2.44475</v>
      </c>
      <c r="E9656" s="6" t="n">
        <f aca="false">(Sens!D9637+Sens!E9637)/2*rent_mw/1000</f>
        <v>4.22275</v>
      </c>
      <c r="F9656" s="6" t="n">
        <f aca="false">(Sens!E9637+Sens!F9637)/2*rent_mw/1000</f>
        <v>5.80517</v>
      </c>
      <c r="G9656" s="6" t="n">
        <f aca="false">(Sens!F9637+Sens!G9637)/2*rent_mw/1000</f>
        <v>6.72084</v>
      </c>
      <c r="H9656" s="6" t="n">
        <f aca="false">(Sens!G9637+Sens!H9637)/2*rent_mw/1000</f>
        <v>6.72084</v>
      </c>
      <c r="I9656" s="6" t="n">
        <f aca="false">(Sens!H9637+Sens!I9637)/2*rent_mw/1000</f>
        <v>6.72084</v>
      </c>
      <c r="J9656" s="6" t="n">
        <f aca="false">(Sens!I9637+Sens!J9637)/2*rent_mw/1000</f>
        <v>6.72084</v>
      </c>
      <c r="K9656" s="6" t="n">
        <f aca="false">(Sens!J9637+Sens!K9637)/2*rent_mw/1000</f>
        <v>6.72084</v>
      </c>
    </row>
    <row r="9657" customFormat="false" ht="17.15" hidden="false" customHeight="false" outlineLevel="0" collapsed="false">
      <c r="A9657" s="0" t="s">
        <v>982</v>
      </c>
      <c r="B9657" s="0" t="s">
        <v>98</v>
      </c>
      <c r="D9657" s="6" t="n">
        <f aca="false">(Sens!C9639+Sens!D9639)/2*(1-self_build)*fac_rent/1000</f>
        <v>0.853242375631075</v>
      </c>
      <c r="E9657" s="6" t="n">
        <f aca="false">(Sens!D9639+Sens!E9639)/2*(1-self_build)*fac_rent/1000</f>
        <v>1.94955961408728</v>
      </c>
      <c r="F9657" s="6" t="n">
        <f aca="false">(Sens!E9639+Sens!F9639)/2*(1-self_build)*fac_rent/1000</f>
        <v>3.92914894476356</v>
      </c>
      <c r="G9657" s="6" t="n">
        <f aca="false">(Sens!F9639+Sens!G9639)/2*(1-self_build)*fac_rent/1000</f>
        <v>6.53206908578159</v>
      </c>
      <c r="H9657" s="6" t="n">
        <f aca="false">(Sens!G9639+Sens!H9639)/2*(1-self_build)*fac_rent/1000</f>
        <v>9.23717988341591</v>
      </c>
      <c r="I9657" s="6" t="n">
        <f aca="false">(Sens!H9639+Sens!I9639)/2*(1-self_build)*fac_rent/1000</f>
        <v>11.5481378557393</v>
      </c>
      <c r="J9657" s="6" t="n">
        <f aca="false">(Sens!I9639+Sens!J9639)/2*(1-self_build)*fac_rent/1000</f>
        <v>13.0899582289108</v>
      </c>
      <c r="K9657" s="6" t="n">
        <f aca="false">(Sens!J9639+Sens!K9639)/2*(1-self_build)*fac_rent/1000</f>
        <v>13.8897275626556</v>
      </c>
      <c r="L9657" s="12" t="s">
        <v>983</v>
      </c>
    </row>
    <row r="9658" customFormat="false" ht="17.15" hidden="false" customHeight="false" outlineLevel="0" collapsed="false">
      <c r="A9658" s="1" t="s">
        <v>984</v>
      </c>
      <c r="B9658" s="0" t="s">
        <v>168</v>
      </c>
      <c r="D9658" s="7" t="n">
        <f aca="false">(Sens!C9638+Sens!D9638)/(Sens!C9639+Sens!D9639)</f>
        <v>0.6</v>
      </c>
      <c r="E9658" s="7" t="n">
        <f aca="false">(Sens!D9638+Sens!E9638)/(Sens!D9639+Sens!E9639)</f>
        <v>0.6</v>
      </c>
      <c r="F9658" s="7" t="n">
        <f aca="false">(Sens!E9638+Sens!F9638)/(Sens!E9639+Sens!F9639)</f>
        <v>0.6</v>
      </c>
      <c r="G9658" s="7" t="n">
        <f aca="false">(Sens!F9638+Sens!G9638)/(Sens!F9639+Sens!G9639)</f>
        <v>0.6</v>
      </c>
      <c r="H9658" s="7" t="n">
        <f aca="false">(Sens!G9638+Sens!H9638)/(Sens!G9639+Sens!H9639)</f>
        <v>0.6</v>
      </c>
      <c r="I9658" s="7" t="n">
        <f aca="false">(Sens!H9638+Sens!I9638)/(Sens!H9639+Sens!I9639)</f>
        <v>0.6</v>
      </c>
      <c r="J9658" s="7" t="n">
        <f aca="false">(Sens!I9638+Sens!J9638)/(Sens!I9639+Sens!J9639)</f>
        <v>0.6</v>
      </c>
      <c r="K9658" s="7" t="n">
        <f aca="false">(Sens!J9638+Sens!K9638)/(Sens!J9639+Sens!K9639)</f>
        <v>0.6</v>
      </c>
    </row>
    <row r="9659" customFormat="false" ht="17.15" hidden="false" customHeight="false" outlineLevel="0" collapsed="false">
      <c r="A9659" s="0" t="s">
        <v>985</v>
      </c>
      <c r="B9659" s="0" t="s">
        <v>98</v>
      </c>
      <c r="D9659" s="6" t="n">
        <f aca="false">Sens!D9653-Sens!D9658*(Sens!D9655+Sens!D9657)-Sens!D9656</f>
        <v>8.35701406163072</v>
      </c>
      <c r="E9659" s="6" t="n">
        <f aca="false">Sens!E9653-Sens!E9658*(Sens!E9655+Sens!E9657)-Sens!E9656</f>
        <v>18.7103224860238</v>
      </c>
      <c r="F9659" s="6" t="n">
        <f aca="false">Sens!F9653-Sens!F9658*(Sens!F9655+Sens!F9657)-Sens!F9656</f>
        <v>43.2162094129388</v>
      </c>
      <c r="G9659" s="6" t="n">
        <f aca="false">Sens!G9653-Sens!G9658*(Sens!G9655+Sens!G9657)-Sens!G9656</f>
        <v>79.7204472589529</v>
      </c>
      <c r="H9659" s="6" t="n">
        <f aca="false">Sens!H9653-Sens!H9658*(Sens!H9655+Sens!H9657)-Sens!H9656</f>
        <v>122.807764331602</v>
      </c>
      <c r="I9659" s="6" t="n">
        <f aca="false">Sens!I9653-Sens!I9658*(Sens!I9655+Sens!I9657)-Sens!I9656</f>
        <v>155.390972530813</v>
      </c>
      <c r="J9659" s="6" t="n">
        <f aca="false">Sens!J9653-Sens!J9658*(Sens!J9655+Sens!J9657)-Sens!J9656</f>
        <v>178.197668553178</v>
      </c>
      <c r="K9659" s="6" t="n">
        <f aca="false">Sens!K9653-Sens!K9658*(Sens!K9655+Sens!K9657)-Sens!K9656</f>
        <v>192.726586741959</v>
      </c>
    </row>
    <row r="9660" customFormat="false" ht="17.15" hidden="false" customHeight="false" outlineLevel="0" collapsed="false">
      <c r="A9660" s="1" t="s">
        <v>986</v>
      </c>
      <c r="B9660" s="0" t="s">
        <v>98</v>
      </c>
      <c r="D9660" s="6" t="n">
        <f aca="false">(1-Sens!D9658)*(Sens!D9655+Sens!D9657)</f>
        <v>1.42281025374069</v>
      </c>
      <c r="E9660" s="6" t="n">
        <f aca="false">(1-Sens!E9658)*(Sens!E9655+Sens!E9657)</f>
        <v>3.25095598674472</v>
      </c>
      <c r="F9660" s="6" t="n">
        <f aca="false">(1-Sens!F9658)*(Sens!F9655+Sens!F9657)</f>
        <v>6.72135810147489</v>
      </c>
      <c r="G9660" s="6" t="n">
        <f aca="false">(1-Sens!G9658)*(Sens!G9655+Sens!G9657)</f>
        <v>11.3401410201637</v>
      </c>
      <c r="H9660" s="6" t="n">
        <f aca="false">(1-Sens!H9658)*(Sens!H9655+Sens!H9657)</f>
        <v>16.1920771049557</v>
      </c>
      <c r="I9660" s="6" t="n">
        <f aca="false">(1-Sens!I9658)*(Sens!I9655+Sens!I9657)</f>
        <v>20.3917774400264</v>
      </c>
      <c r="J9660" s="6" t="n">
        <f aca="false">(1-Sens!J9658)*(Sens!J9655+Sens!J9657)</f>
        <v>23.2503960207104</v>
      </c>
      <c r="K9660" s="6" t="n">
        <f aca="false">(1-Sens!K9658)*(Sens!K9655+Sens!K9657)</f>
        <v>24.8730801087085</v>
      </c>
    </row>
    <row r="9661" customFormat="false" ht="17.15" hidden="false" customHeight="false" outlineLevel="0" collapsed="false">
      <c r="A9661" s="1" t="s">
        <v>987</v>
      </c>
      <c r="B9661" s="0" t="s">
        <v>414</v>
      </c>
      <c r="C9661" s="8" t="n">
        <f aca="false">cxit_open</f>
        <v>27.5918995</v>
      </c>
      <c r="D9661" s="8" t="n">
        <f aca="false">cxit_open</f>
        <v>27.5918995</v>
      </c>
      <c r="E9661" s="8" t="n">
        <f aca="false">cxit_open</f>
        <v>27.5918995</v>
      </c>
      <c r="F9661" s="8" t="n">
        <f aca="false">((a_g3_27-nonnv*a_mai)*tk_cxit_gb300+nonnv*a_mai*nv_hold_mai*tk_cxit_vr200+(1-a_g3_27)*tk_cxit_vr200)</f>
        <v>32.4975576</v>
      </c>
      <c r="G9661" s="8" t="n">
        <f aca="false">((a_g3_28-nonnv*a_mai)*tk_cxit_gb300+nonnv*a_mai*nv_hold_mai*tk_cxit_vr200+(1-a_g3_28)*tk_cxit_vr200)</f>
        <v>34.6372088</v>
      </c>
      <c r="H9661" s="8" t="n">
        <f aca="false">((a_g3_29-nonnv*a_mai)*tk_cxit_gb300+nonnv*a_mai*nv_hold_mai*tk_cxit_vr200+(1-a_g3_29)*tk_cxit_vr200)</f>
        <v>35.7070344</v>
      </c>
      <c r="I9661" s="8" t="n">
        <f aca="false">((a_g3_29-nonnv*a_mai)*tk_cxit_gb300+nonnv*a_mai*nv_hold_mai*tk_cxit_vr200+(1-a_g3_29)*tk_cxit_vr200)</f>
        <v>35.7070344</v>
      </c>
      <c r="J9661" s="8" t="n">
        <f aca="false">((a_g3_29-nonnv*a_mai)*tk_cxit_gb300+nonnv*a_mai*nv_hold_mai*tk_cxit_vr200+(1-a_g3_29)*tk_cxit_vr200)</f>
        <v>35.7070344</v>
      </c>
      <c r="K9661" s="8" t="n">
        <f aca="false">((a_g3_29-nonnv*a_mai)*tk_cxit_gb300+nonnv*a_mai*nv_hold_mai*tk_cxit_vr200+(1-a_g3_29)*tk_cxit_vr200)</f>
        <v>35.7070344</v>
      </c>
      <c r="L9661" s="12" t="s">
        <v>988</v>
      </c>
    </row>
    <row r="9662" customFormat="false" ht="17.15" hidden="false" customHeight="false" outlineLevel="0" collapsed="false">
      <c r="A9662" s="0" t="s">
        <v>989</v>
      </c>
      <c r="B9662" s="0" t="s">
        <v>456</v>
      </c>
      <c r="F9662" s="30" t="n">
        <f aca="false">Sens!C9641*IF(Sens!F9634-Sens!C9634=life_it,1,0)+Sens!D9641*IF(Sens!F9634-Sens!D9634=life_it,1,0)+Sens!E9641*IF(Sens!F9634-Sens!E9634=life_it,1,0)</f>
        <v>0</v>
      </c>
      <c r="G9662" s="30" t="n">
        <f aca="false">Sens!C9641*IF(Sens!G9634-Sens!C9634=life_it,1,0)+Sens!D9641*IF(Sens!G9634-Sens!D9634=life_it,1,0)+Sens!E9641*IF(Sens!G9634-Sens!E9634=life_it,1,0)+Sens!F9641*IF(Sens!G9634-Sens!F9634=life_it,1,0)</f>
        <v>0</v>
      </c>
      <c r="H9662" s="30" t="n">
        <f aca="false">Sens!C9641*IF(Sens!H9634-Sens!C9634=life_it,1,0)+Sens!D9641*IF(Sens!H9634-Sens!D9634=life_it,1,0)+Sens!E9641*IF(Sens!H9634-Sens!E9634=life_it,1,0)+Sens!F9641*IF(Sens!H9634-Sens!F9634=life_it,1,0)+Sens!G9641*IF(Sens!H9634-Sens!G9634=life_it,1,0)</f>
        <v>0</v>
      </c>
      <c r="I9662" s="30" t="n">
        <f aca="false">Sens!C9641*IF(Sens!I9634-Sens!C9634=life_it,1,0)+Sens!D9641*IF(Sens!I9634-Sens!D9634=life_it,1,0)+Sens!E9641*IF(Sens!I9634-Sens!E9634=life_it,1,0)+Sens!F9641*IF(Sens!I9634-Sens!F9634=life_it,1,0)+Sens!G9641*IF(Sens!I9634-Sens!G9634=life_it,1,0)+Sens!H9641*IF(Sens!I9634-Sens!H9634=life_it,1,0)</f>
        <v>816.666666666667</v>
      </c>
      <c r="J9662" s="30" t="n">
        <f aca="false">Sens!C9641*IF(Sens!J9634-Sens!C9634=life_it,1,0)+Sens!D9641*IF(Sens!J9634-Sens!D9634=life_it,1,0)+Sens!E9641*IF(Sens!J9634-Sens!E9634=life_it,1,0)+Sens!F9641*IF(Sens!J9634-Sens!F9634=life_it,1,0)+Sens!G9641*IF(Sens!J9634-Sens!G9634=life_it,1,0)+Sens!H9641*IF(Sens!J9634-Sens!H9634=life_it,1,0)+Sens!I9641*IF(Sens!J9634-Sens!I9634=life_it,1,0)</f>
        <v>1233.33333333333</v>
      </c>
      <c r="K9662" s="30" t="n">
        <f aca="false">Sens!C9641*IF(Sens!K9634-Sens!C9634=life_it,1,0)+Sens!D9641*IF(Sens!K9634-Sens!D9634=life_it,1,0)+Sens!E9641*IF(Sens!K9634-Sens!E9634=life_it,1,0)+Sens!F9641*IF(Sens!K9634-Sens!F9634=life_it,1,0)+Sens!G9641*IF(Sens!K9634-Sens!G9634=life_it,1,0)+Sens!H9641*IF(Sens!K9634-Sens!H9634=life_it,1,0)+Sens!I9641*IF(Sens!K9634-Sens!I9634=life_it,1,0)+Sens!J9641*IF(Sens!K9634-Sens!J9634=life_it,1,0)</f>
        <v>2450</v>
      </c>
      <c r="L9662" s="1" t="s">
        <v>990</v>
      </c>
    </row>
    <row r="9663" customFormat="false" ht="17.15" hidden="false" customHeight="false" outlineLevel="0" collapsed="false">
      <c r="A9663" s="0" t="s">
        <v>991</v>
      </c>
      <c r="B9663" s="0" t="s">
        <v>98</v>
      </c>
      <c r="C9663" s="6" t="n">
        <f aca="false">Sens!C9641*Sens!C9661/1000</f>
        <v>22.5333845916667</v>
      </c>
      <c r="D9663" s="6" t="n">
        <f aca="false">Sens!D9641*Sens!D9661/1000</f>
        <v>34.0300093833333</v>
      </c>
      <c r="E9663" s="6" t="n">
        <f aca="false">Sens!E9641*Sens!E9661/1000</f>
        <v>67.600153775</v>
      </c>
      <c r="F9663" s="6" t="n">
        <f aca="false">(Sens!F9641+Sens!F9662)*Sens!F9661/1000</f>
        <v>136.51872432512</v>
      </c>
      <c r="G9663" s="6" t="n">
        <f aca="false">(Sens!G9641+Sens!G9662)*Sens!G9661/1000</f>
        <v>157.399275932048</v>
      </c>
      <c r="H9663" s="6" t="n">
        <f aca="false">(Sens!H9641+Sens!H9662)*Sens!H9661/1000</f>
        <v>162.260804347512</v>
      </c>
      <c r="I9663" s="6" t="n">
        <f aca="false">(Sens!I9641+Sens!I9662)*Sens!I9661/1000</f>
        <v>144.136569485434</v>
      </c>
      <c r="J9663" s="6" t="n">
        <f aca="false">(Sens!J9641+Sens!J9662)*Sens!J9661/1000</f>
        <v>114.029037357864</v>
      </c>
      <c r="K9663" s="6" t="n">
        <f aca="false">(Sens!K9641+Sens!K9662)*Sens!K9661/1000</f>
        <v>113.437085350975</v>
      </c>
    </row>
    <row r="9664" customFormat="false" ht="17.15" hidden="false" customHeight="false" outlineLevel="0" collapsed="false">
      <c r="A9664" s="0" t="s">
        <v>992</v>
      </c>
      <c r="B9664" s="0" t="s">
        <v>98</v>
      </c>
      <c r="C9664" s="6" t="n">
        <f aca="false">Sens!C9641*self_build*tk_cxfac/1000</f>
        <v>6.2083</v>
      </c>
      <c r="D9664" s="6" t="n">
        <f aca="false">Sens!D9641*self_build*tk_cxfac/1000</f>
        <v>9.3758</v>
      </c>
      <c r="E9664" s="6" t="n">
        <f aca="false">Sens!E9641*self_build*tk_cxfac/1000</f>
        <v>18.6249</v>
      </c>
      <c r="F9664" s="6" t="n">
        <f aca="false">Sens!F9641*self_build*tk_cxfac/1000</f>
        <v>31.935179717</v>
      </c>
      <c r="G9664" s="6" t="n">
        <f aca="false">Sens!G9641*self_build*tk_cxfac/1000</f>
        <v>34.545199717</v>
      </c>
      <c r="H9664" s="6" t="n">
        <f aca="false">Sens!H9641*self_build*tk_cxfac/1000</f>
        <v>34.545199717</v>
      </c>
      <c r="I9664" s="6" t="n">
        <f aca="false">Sens!I9641*self_build*tk_cxfac/1000</f>
        <v>24.4782641361767</v>
      </c>
      <c r="J9664" s="6" t="n">
        <f aca="false">Sens!J9641*self_build*tk_cxfac/1000</f>
        <v>14.9008938380769</v>
      </c>
      <c r="K9664" s="6" t="n">
        <f aca="false">Sens!K9641*self_build*tk_cxfac/1000</f>
        <v>5.52576771375761</v>
      </c>
    </row>
    <row r="9665" customFormat="false" ht="17.15" hidden="false" customHeight="false" outlineLevel="0" collapsed="false">
      <c r="A9665" s="0" t="s">
        <v>993</v>
      </c>
      <c r="B9665" s="0" t="s">
        <v>98</v>
      </c>
      <c r="F9665" s="15" t="n">
        <f aca="false">capex_floor27-Sens!F9663-Sens!F9664-Sens!F9761</f>
        <v>-0.0295572598192848</v>
      </c>
      <c r="L9665" s="12" t="s">
        <v>994</v>
      </c>
    </row>
    <row r="9666" customFormat="false" ht="17.15" hidden="false" customHeight="false" outlineLevel="0" collapsed="false">
      <c r="A9666" s="0" t="s">
        <v>995</v>
      </c>
      <c r="B9666" s="0" t="s">
        <v>98</v>
      </c>
      <c r="F9666" s="6" t="n">
        <f aca="false">MAX(0,Sens!F9665)</f>
        <v>0</v>
      </c>
    </row>
    <row r="9667" customFormat="false" ht="17.15" hidden="false" customHeight="false" outlineLevel="0" collapsed="false">
      <c r="A9667" s="0" t="s">
        <v>996</v>
      </c>
      <c r="B9667" s="0" t="s">
        <v>98</v>
      </c>
      <c r="C9667" s="6" t="n">
        <f aca="false">Sens!C9663</f>
        <v>22.5333845916667</v>
      </c>
      <c r="D9667" s="6" t="n">
        <f aca="false">Sens!D9663</f>
        <v>34.0300093833333</v>
      </c>
      <c r="E9667" s="6" t="n">
        <f aca="false">Sens!E9663</f>
        <v>67.600153775</v>
      </c>
      <c r="F9667" s="6" t="n">
        <f aca="false">Sens!F9663</f>
        <v>136.51872432512</v>
      </c>
      <c r="G9667" s="6" t="n">
        <f aca="false">Sens!G9663</f>
        <v>157.399275932048</v>
      </c>
      <c r="H9667" s="6" t="n">
        <f aca="false">Sens!H9663</f>
        <v>162.260804347512</v>
      </c>
      <c r="I9667" s="6" t="n">
        <f aca="false">Sens!I9663</f>
        <v>144.136569485434</v>
      </c>
      <c r="J9667" s="6" t="n">
        <f aca="false">Sens!J9663</f>
        <v>114.029037357864</v>
      </c>
      <c r="K9667" s="6" t="n">
        <f aca="false">Sens!K9663</f>
        <v>113.437085350975</v>
      </c>
    </row>
    <row r="9668" customFormat="false" ht="17.15" hidden="false" customHeight="false" outlineLevel="0" collapsed="false">
      <c r="A9668" s="0" t="s">
        <v>997</v>
      </c>
      <c r="B9668" s="0" t="s">
        <v>98</v>
      </c>
      <c r="C9668" s="6" t="n">
        <f aca="false">Sens!C9667+Sens!C9664</f>
        <v>28.7416845916667</v>
      </c>
      <c r="D9668" s="6" t="n">
        <f aca="false">Sens!D9667+Sens!D9664</f>
        <v>43.4058093833333</v>
      </c>
      <c r="E9668" s="6" t="n">
        <f aca="false">Sens!E9667+Sens!E9664</f>
        <v>86.225053775</v>
      </c>
      <c r="F9668" s="6" t="n">
        <f aca="false">Sens!F9667+Sens!F9664</f>
        <v>168.45390404212</v>
      </c>
      <c r="G9668" s="6" t="n">
        <f aca="false">Sens!G9667+Sens!G9664</f>
        <v>191.944475649048</v>
      </c>
      <c r="H9668" s="6" t="n">
        <f aca="false">Sens!H9667+Sens!H9664</f>
        <v>196.806004064512</v>
      </c>
      <c r="I9668" s="6" t="n">
        <f aca="false">Sens!I9667+Sens!I9664</f>
        <v>168.61483362161</v>
      </c>
      <c r="J9668" s="6" t="n">
        <f aca="false">Sens!J9667+Sens!J9664</f>
        <v>128.92993119594</v>
      </c>
      <c r="K9668" s="6" t="n">
        <f aca="false">Sens!K9667+Sens!K9664</f>
        <v>118.962853064733</v>
      </c>
      <c r="L9668" s="12" t="s">
        <v>998</v>
      </c>
    </row>
    <row r="9669" customFormat="false" ht="17.15" hidden="false" customHeight="false" outlineLevel="0" collapsed="false">
      <c r="A9669" s="0" t="s">
        <v>999</v>
      </c>
      <c r="B9669" s="0" t="s">
        <v>98</v>
      </c>
      <c r="E9669" s="6" t="n">
        <f aca="false">(Sens!C9667*IF(2&lt;life_it,1,IF(2=life_it,0.5,0))+Sens!D9667*IF(1&lt;life_it,1,IF(1=life_it,0.5,0))+Sens!E9667*0.5)/life_it</f>
        <v>15.0605784770833</v>
      </c>
      <c r="F9669" s="6" t="n">
        <f aca="false">(Sens!C9667*IF(3&lt;life_it,1,IF(3=life_it,0.5,0))+Sens!D9667*IF(2&lt;life_it,1,IF(2=life_it,0.5,0))+Sens!E9667*IF(1&lt;life_it,1,IF(1=life_it,0.5,0))+Sens!F9667*0.5)/life_it</f>
        <v>32.0704849854266</v>
      </c>
      <c r="G9669" s="6" t="n">
        <f aca="false">(Sens!C9667*IF(4&lt;life_it,1,IF(4=life_it,0.5,0))+Sens!D9667*IF(3&lt;life_it,1,IF(3=life_it,0.5,0))+Sens!E9667*IF(2&lt;life_it,1,IF(2=life_it,0.5,0))+Sens!F9667*IF(1&lt;life_it,1,IF(1=life_it,0.5,0))+Sens!G9667*0.5)/life_it</f>
        <v>56.5636516735239</v>
      </c>
      <c r="H9669" s="6" t="n">
        <f aca="false">(Sens!C9667*IF(5&lt;life_it,1,IF(5=life_it,0.5,0))+Sens!D9667*IF(4&lt;life_it,1,IF(4=life_it,0.5,0))+Sens!E9667*IF(3&lt;life_it,1,IF(3=life_it,0.5,0))+Sens!F9667*IF(2&lt;life_it,1,IF(2=life_it,0.5,0))+Sens!G9667*IF(1&lt;life_it,1,IF(1=life_it,0.5,0))+Sens!H9667*0.5)/life_it</f>
        <v>83.2019916968207</v>
      </c>
      <c r="I9669" s="6" t="n">
        <f aca="false">(Sens!C9667*IF(6&lt;life_it,1,IF(6=life_it,0.5,0))+Sens!D9667*IF(5&lt;life_it,1,IF(5=life_it,0.5,0))+Sens!E9667*IF(4&lt;life_it,1,IF(4=life_it,0.5,0))+Sens!F9667*IF(3&lt;life_it,1,IF(3=life_it,0.5,0))+Sens!G9667*IF(2&lt;life_it,1,IF(2=life_it,0.5,0))+Sens!H9667*IF(1&lt;life_it,1,IF(1=life_it,0.5,0))+Sens!I9667*0.5)/life_it</f>
        <v>106.857324133594</v>
      </c>
      <c r="J9669" s="6" t="n">
        <f aca="false">(Sens!C9667*IF(7&lt;life_it,1,IF(7=life_it,0.5,0))+Sens!D9667*IF(6&lt;life_it,1,IF(6=life_it,0.5,0))+Sens!E9667*IF(5&lt;life_it,1,IF(5=life_it,0.5,0))+Sens!F9667*IF(4&lt;life_it,1,IF(4=life_it,0.5,0))+Sens!G9667*IF(3&lt;life_it,1,IF(3=life_it,0.5,0))+Sens!H9667*IF(2&lt;life_it,1,IF(2=life_it,0.5,0))+Sens!I9667*IF(1&lt;life_it,1,IF(1=life_it,0.5,0))+Sens!J9667*0.5)/life_it</f>
        <v>123.657508539285</v>
      </c>
      <c r="K9669" s="6" t="n">
        <f aca="false">(Sens!C9667*IF(8&lt;life_it,1,IF(8=life_it,0.5,0))+Sens!D9667*IF(7&lt;life_it,1,IF(7=life_it,0.5,0))+Sens!E9667*IF(6&lt;life_it,1,IF(6=life_it,0.5,0))+Sens!F9667*IF(5&lt;life_it,1,IF(5=life_it,0.5,0))+Sens!G9667*IF(4&lt;life_it,1,IF(4=life_it,0.5,0))+Sens!H9667*IF(3&lt;life_it,1,IF(3=life_it,0.5,0))+Sens!I9667*IF(2&lt;life_it,1,IF(2=life_it,0.5,0))+Sens!J9667*IF(1&lt;life_it,1,IF(1=life_it,0.5,0))+Sens!K9667*0.5)/life_it</f>
        <v>134.143838501827</v>
      </c>
    </row>
    <row r="9670" customFormat="false" ht="17.15" hidden="false" customHeight="false" outlineLevel="0" collapsed="false">
      <c r="A9670" s="0" t="s">
        <v>1000</v>
      </c>
      <c r="B9670" s="0" t="s">
        <v>98</v>
      </c>
      <c r="E9670" s="6" t="n">
        <f aca="false">(Sens!C9664*IF(2&lt;life_fac,1,IF(2=life_fac,0.5,0))+Sens!D9664*IF(1&lt;life_fac,1,IF(1=life_fac,0.5,0))+Sens!E9664*0.5)/life_fac</f>
        <v>1.2448275</v>
      </c>
      <c r="F9670" s="6" t="n">
        <f aca="false">(Sens!C9664*IF(3&lt;life_fac,1,IF(3=life_fac,0.5,0))+Sens!D9664*IF(2&lt;life_fac,1,IF(2=life_fac,0.5,0))+Sens!E9664*IF(1&lt;life_fac,1,IF(1=life_fac,0.5,0))+Sens!F9664*0.5)/life_fac</f>
        <v>2.508829492925</v>
      </c>
      <c r="G9670" s="6" t="n">
        <f aca="false">(Sens!C9664*IF(4&lt;life_fac,1,IF(4=life_fac,0.5,0))+Sens!D9664*IF(3&lt;life_fac,1,IF(3=life_fac,0.5,0))+Sens!E9664*IF(2&lt;life_fac,1,IF(2=life_fac,0.5,0))+Sens!F9664*IF(1&lt;life_fac,1,IF(1=life_fac,0.5,0))+Sens!G9664*0.5)/life_fac</f>
        <v>4.170838978775</v>
      </c>
      <c r="H9670" s="6" t="n">
        <f aca="false">(Sens!C9664*IF(5&lt;life_fac,1,IF(5=life_fac,0.5,0))+Sens!D9664*IF(4&lt;life_fac,1,IF(4=life_fac,0.5,0))+Sens!E9664*IF(3&lt;life_fac,1,IF(3=life_fac,0.5,0))+Sens!F9664*IF(2&lt;life_fac,1,IF(2=life_fac,0.5,0))+Sens!G9664*IF(1&lt;life_fac,1,IF(1=life_fac,0.5,0))+Sens!H9664*0.5)/life_fac</f>
        <v>5.898098964625</v>
      </c>
      <c r="I9670" s="6" t="n">
        <f aca="false">(Sens!C9664*IF(6&lt;life_fac,1,IF(6=life_fac,0.5,0))+Sens!D9664*IF(5&lt;life_fac,1,IF(5=life_fac,0.5,0))+Sens!E9664*IF(4&lt;life_fac,1,IF(4=life_fac,0.5,0))+Sens!F9664*IF(3&lt;life_fac,1,IF(3=life_fac,0.5,0))+Sens!G9664*IF(2&lt;life_fac,1,IF(2=life_fac,0.5,0))+Sens!H9664*IF(1&lt;life_fac,1,IF(1=life_fac,0.5,0))+Sens!I9664*0.5)/life_fac</f>
        <v>7.37368556095442</v>
      </c>
      <c r="J9670" s="6" t="n">
        <f aca="false">(Sens!C9664*IF(7&lt;life_fac,1,IF(7=life_fac,0.5,0))+Sens!D9664*IF(6&lt;life_fac,1,IF(6=life_fac,0.5,0))+Sens!E9664*IF(5&lt;life_fac,1,IF(5=life_fac,0.5,0))+Sens!F9664*IF(4&lt;life_fac,1,IF(4=life_fac,0.5,0))+Sens!G9664*IF(3&lt;life_fac,1,IF(3=life_fac,0.5,0))+Sens!H9664*IF(2&lt;life_fac,1,IF(2=life_fac,0.5,0))+Sens!I9664*IF(1&lt;life_fac,1,IF(1=life_fac,0.5,0))+Sens!J9664*0.5)/life_fac</f>
        <v>8.35816451031075</v>
      </c>
      <c r="K9670" s="6" t="n">
        <f aca="false">(Sens!C9664*IF(8&lt;life_fac,1,IF(8=life_fac,0.5,0))+Sens!D9664*IF(7&lt;life_fac,1,IF(7=life_fac,0.5,0))+Sens!E9664*IF(6&lt;life_fac,1,IF(6=life_fac,0.5,0))+Sens!F9664*IF(5&lt;life_fac,1,IF(5=life_fac,0.5,0))+Sens!G9664*IF(4&lt;life_fac,1,IF(4=life_fac,0.5,0))+Sens!H9664*IF(3&lt;life_fac,1,IF(3=life_fac,0.5,0))+Sens!I9664*IF(2&lt;life_fac,1,IF(2=life_fac,0.5,0))+Sens!J9664*IF(1&lt;life_fac,1,IF(1=life_fac,0.5,0))+Sens!K9664*0.5)/life_fac</f>
        <v>8.86883104910662</v>
      </c>
    </row>
    <row r="9671" customFormat="false" ht="17.15" hidden="false" customHeight="false" outlineLevel="0" collapsed="false">
      <c r="A9671" s="0" t="s">
        <v>1001</v>
      </c>
      <c r="B9671" s="0" t="s">
        <v>98</v>
      </c>
      <c r="E9671" s="6" t="n">
        <f aca="false">Sens!E9669+Sens!E9670</f>
        <v>16.3054059770833</v>
      </c>
      <c r="F9671" s="6" t="n">
        <f aca="false">Sens!F9669+Sens!F9670</f>
        <v>34.5793144783516</v>
      </c>
      <c r="G9671" s="6" t="n">
        <f aca="false">Sens!G9669+Sens!G9670</f>
        <v>60.7344906522989</v>
      </c>
      <c r="H9671" s="6" t="n">
        <f aca="false">Sens!H9669+Sens!H9670</f>
        <v>89.1000906614457</v>
      </c>
      <c r="I9671" s="6" t="n">
        <f aca="false">Sens!I9669+Sens!I9670</f>
        <v>114.231009694548</v>
      </c>
      <c r="J9671" s="6" t="n">
        <f aca="false">Sens!J9669+Sens!J9670</f>
        <v>132.015673049596</v>
      </c>
      <c r="K9671" s="6" t="n">
        <f aca="false">Sens!K9669+Sens!K9670</f>
        <v>143.012669550934</v>
      </c>
    </row>
    <row r="9672" customFormat="false" ht="17.15" hidden="false" customHeight="false" outlineLevel="0" collapsed="false">
      <c r="A9672" s="0" t="s">
        <v>1002</v>
      </c>
      <c r="B9672" s="0" t="s">
        <v>98</v>
      </c>
      <c r="E9672" s="6" t="n">
        <f aca="false">Sens!E9659-Sens!E9658*Sens!E9671</f>
        <v>8.92707889977379</v>
      </c>
      <c r="F9672" s="6" t="n">
        <f aca="false">Sens!F9659-Sens!F9658*Sens!F9671</f>
        <v>22.4686207259278</v>
      </c>
      <c r="G9672" s="6" t="n">
        <f aca="false">Sens!G9659-Sens!G9658*Sens!G9671</f>
        <v>43.2797528675735</v>
      </c>
      <c r="H9672" s="6" t="n">
        <f aca="false">Sens!H9659-Sens!H9658*Sens!H9671</f>
        <v>69.3477099347341</v>
      </c>
      <c r="I9672" s="6" t="n">
        <f aca="false">Sens!I9659-Sens!I9658*Sens!I9671</f>
        <v>86.8523667140836</v>
      </c>
      <c r="J9672" s="6" t="n">
        <f aca="false">Sens!J9659-Sens!J9658*Sens!J9671</f>
        <v>98.9882647234202</v>
      </c>
      <c r="K9672" s="6" t="n">
        <f aca="false">Sens!K9659-Sens!K9658*Sens!K9671</f>
        <v>106.918985011399</v>
      </c>
    </row>
    <row r="9673" customFormat="false" ht="17.15" hidden="false" customHeight="false" outlineLevel="0" collapsed="false">
      <c r="A9673" s="3" t="s">
        <v>1721</v>
      </c>
    </row>
    <row r="9674" customFormat="false" ht="15" hidden="false" customHeight="false" outlineLevel="0" collapsed="false">
      <c r="A9674" s="4" t="s">
        <v>43</v>
      </c>
      <c r="B9674" s="4" t="s">
        <v>65</v>
      </c>
      <c r="C9674" s="23" t="s">
        <v>938</v>
      </c>
      <c r="D9674" s="23" t="s">
        <v>939</v>
      </c>
      <c r="E9674" s="23" t="s">
        <v>940</v>
      </c>
      <c r="F9674" s="23" t="s">
        <v>941</v>
      </c>
      <c r="G9674" s="23" t="s">
        <v>942</v>
      </c>
      <c r="H9674" s="23" t="s">
        <v>943</v>
      </c>
      <c r="I9674" s="23" t="s">
        <v>944</v>
      </c>
      <c r="J9674" s="23" t="s">
        <v>945</v>
      </c>
      <c r="K9674" s="23" t="s">
        <v>946</v>
      </c>
      <c r="L9674" s="4" t="s">
        <v>47</v>
      </c>
    </row>
    <row r="9675" customFormat="false" ht="17.15" hidden="false" customHeight="false" outlineLevel="0" collapsed="false">
      <c r="A9675" s="0" t="s">
        <v>1021</v>
      </c>
      <c r="B9675" s="0" t="s">
        <v>98</v>
      </c>
      <c r="D9675" s="6" t="n">
        <f aca="false">Sens!D9653</f>
        <v>12.9359794422418</v>
      </c>
      <c r="E9675" s="6" t="n">
        <f aca="false">Sens!E9653</f>
        <v>27.8095064661409</v>
      </c>
      <c r="F9675" s="6" t="n">
        <f aca="false">Sens!F9653</f>
        <v>59.1034165651511</v>
      </c>
      <c r="G9675" s="6" t="n">
        <f aca="false">Sens!G9653</f>
        <v>103.451498789198</v>
      </c>
      <c r="H9675" s="6" t="n">
        <f aca="false">Sens!H9653</f>
        <v>153.816719989035</v>
      </c>
      <c r="I9675" s="6" t="n">
        <f aca="false">Sens!I9653</f>
        <v>192.699478690852</v>
      </c>
      <c r="J9675" s="6" t="n">
        <f aca="false">Sens!J9653</f>
        <v>219.794102584244</v>
      </c>
      <c r="K9675" s="6" t="n">
        <f aca="false">Sens!K9653</f>
        <v>236.757046905022</v>
      </c>
    </row>
    <row r="9676" customFormat="false" ht="17.15" hidden="false" customHeight="false" outlineLevel="0" collapsed="false">
      <c r="A9676" s="0" t="s">
        <v>1022</v>
      </c>
      <c r="B9676" s="0" t="s">
        <v>98</v>
      </c>
      <c r="D9676" s="6" t="n">
        <f aca="false">Q!L6-Sens!D9675</f>
        <v>59.6740205577583</v>
      </c>
      <c r="E9676" s="6" t="n">
        <f aca="false">Q!M6-Sens!E9675</f>
        <v>74.1284935338591</v>
      </c>
      <c r="F9676" s="6" t="n">
        <f aca="false">Q!$I$6+(Sens!F9675+Sens!E9676*(1+Sens!F9677))*(1-Q!$E$6/Q!M6)-Sens!F9675</f>
        <v>90.8722753324836</v>
      </c>
      <c r="G9676" s="6" t="n">
        <f aca="false">Sens!F9676*(1+Sens!G9677)</f>
        <v>109.181456606918</v>
      </c>
      <c r="H9676" s="6" t="n">
        <f aca="false">Sens!G9676*(1+Sens!H9677)</f>
        <v>128.955522190971</v>
      </c>
      <c r="I9676" s="6" t="n">
        <f aca="false">Sens!H9676*(1+Sens!I9677)</f>
        <v>149.683999741092</v>
      </c>
      <c r="J9676" s="6" t="n">
        <f aca="false">Sens!I9676*(1+Sens!J9677)</f>
        <v>170.695239656238</v>
      </c>
      <c r="K9676" s="6" t="n">
        <f aca="false">Sens!J9676*(1+Sens!K9677)</f>
        <v>191.178668414987</v>
      </c>
      <c r="L9676" s="12" t="s">
        <v>1023</v>
      </c>
    </row>
    <row r="9677" customFormat="false" ht="15" hidden="false" customHeight="false" outlineLevel="0" collapsed="false">
      <c r="A9677" s="1" t="s">
        <v>1024</v>
      </c>
      <c r="B9677" s="0" t="s">
        <v>168</v>
      </c>
      <c r="E9677" s="7" t="n">
        <f aca="false">Sens!E9676/Sens!D9676-1</f>
        <v>0.242223883039864</v>
      </c>
      <c r="F9677" s="7" t="n">
        <f aca="false">Sens!$E$9677+(glt_azo_hi-Sens!$E$9677)*MIN(1,(Sens!F9634-base_fy)/n_conv)</f>
        <v>0.221853235866554</v>
      </c>
      <c r="G9677" s="7" t="n">
        <f aca="false">Sens!$E$9677+(glt_azo_hi-Sens!$E$9677)*MIN(1,(Sens!G9634-base_fy)/n_conv)</f>
        <v>0.201482588693243</v>
      </c>
      <c r="H9677" s="7" t="n">
        <f aca="false">Sens!$E$9677+(glt_azo_hi-Sens!$E$9677)*MIN(1,(Sens!H9634-base_fy)/n_conv)</f>
        <v>0.181111941519932</v>
      </c>
      <c r="I9677" s="7" t="n">
        <f aca="false">Sens!$E$9677+(glt_azo_hi-Sens!$E$9677)*MIN(1,(Sens!I9634-base_fy)/n_conv)</f>
        <v>0.160741294346622</v>
      </c>
      <c r="J9677" s="7" t="n">
        <f aca="false">Sens!$E$9677+(glt_azo_hi-Sens!$E$9677)*MIN(1,(Sens!J9634-base_fy)/n_conv)</f>
        <v>0.140370647173311</v>
      </c>
      <c r="K9677" s="7" t="n">
        <f aca="false">Sens!$E$9677+(glt_azo_hi-Sens!$E$9677)*MIN(1,(Sens!K9634-base_fy)/n_conv)</f>
        <v>0.12</v>
      </c>
    </row>
    <row r="9678" customFormat="false" ht="15" hidden="false" customHeight="false" outlineLevel="0" collapsed="false">
      <c r="A9678" s="0" t="s">
        <v>1025</v>
      </c>
      <c r="B9678" s="0" t="s">
        <v>98</v>
      </c>
      <c r="D9678" s="6" t="n">
        <f aca="false">Sens!D9675+Sens!D9676</f>
        <v>72.61</v>
      </c>
      <c r="E9678" s="6" t="n">
        <f aca="false">Sens!E9675+Sens!E9676</f>
        <v>101.938</v>
      </c>
      <c r="F9678" s="6" t="n">
        <f aca="false">Sens!F9675+Sens!F9676</f>
        <v>149.975691897635</v>
      </c>
      <c r="G9678" s="6" t="n">
        <f aca="false">Sens!G9675+Sens!G9676</f>
        <v>212.632955396116</v>
      </c>
      <c r="H9678" s="6" t="n">
        <f aca="false">Sens!H9675+Sens!H9676</f>
        <v>282.772242180006</v>
      </c>
      <c r="I9678" s="6" t="n">
        <f aca="false">Sens!I9675+Sens!I9676</f>
        <v>342.383478431944</v>
      </c>
      <c r="J9678" s="6" t="n">
        <f aca="false">Sens!J9675+Sens!J9676</f>
        <v>390.489342240482</v>
      </c>
      <c r="K9678" s="6" t="n">
        <f aca="false">Sens!K9675+Sens!K9676</f>
        <v>427.935715320009</v>
      </c>
    </row>
    <row r="9679" customFormat="false" ht="17.15" hidden="false" customHeight="false" outlineLevel="0" collapsed="false">
      <c r="A9679" s="0" t="s">
        <v>1026</v>
      </c>
      <c r="B9679" s="1" t="s">
        <v>610</v>
      </c>
      <c r="C9679" s="30" t="n">
        <f aca="false">cop_s24</f>
        <v>1</v>
      </c>
      <c r="D9679" s="30" t="n">
        <f aca="false">cop_s25</f>
        <v>5</v>
      </c>
      <c r="E9679" s="30" t="n">
        <f aca="false">cop_s26</f>
        <v>30</v>
      </c>
      <c r="F9679" s="30" t="n">
        <f aca="false">Sens!E9679+cop_add_A</f>
        <v>60</v>
      </c>
      <c r="G9679" s="30" t="n">
        <f aca="false">Sens!F9679+cop_add_A</f>
        <v>90</v>
      </c>
      <c r="H9679" s="30" t="n">
        <f aca="false">Sens!G9679+cop_add_A</f>
        <v>120</v>
      </c>
      <c r="I9679" s="30" t="n">
        <f aca="false">Sens!H9679+cop_add_A*cop_tail</f>
        <v>135</v>
      </c>
      <c r="J9679" s="30" t="n">
        <f aca="false">Sens!I9679+cop_add_A*cop_tail</f>
        <v>150</v>
      </c>
      <c r="K9679" s="30" t="n">
        <f aca="false">Sens!J9679+cop_add_A*cop_tail</f>
        <v>165</v>
      </c>
      <c r="L9679" s="12" t="s">
        <v>1027</v>
      </c>
    </row>
    <row r="9680" customFormat="false" ht="17.15" hidden="false" customHeight="false" outlineLevel="0" collapsed="false">
      <c r="A9680" s="0" t="s">
        <v>1028</v>
      </c>
      <c r="B9680" s="0" t="s">
        <v>98</v>
      </c>
      <c r="D9680" s="6" t="n">
        <f aca="false">(Sens!C9679+Sens!D9679)/2*cop_px*12/1000</f>
        <v>0.9</v>
      </c>
      <c r="E9680" s="6" t="n">
        <f aca="false">(Sens!D9679+Sens!E9679)/2*cop_px*12/1000</f>
        <v>5.25</v>
      </c>
      <c r="F9680" s="6" t="n">
        <f aca="false">(Sens!E9679+Sens!F9679)/2*cop_px*12/1000</f>
        <v>13.5</v>
      </c>
      <c r="G9680" s="6" t="n">
        <f aca="false">(Sens!F9679+Sens!G9679)/2*cop_px*12/1000</f>
        <v>22.5</v>
      </c>
      <c r="H9680" s="6" t="n">
        <f aca="false">(Sens!G9679+Sens!H9679)/2*cop_px*12/1000</f>
        <v>31.5</v>
      </c>
      <c r="I9680" s="6" t="n">
        <f aca="false">(Sens!H9679+Sens!I9679)/2*cop_px*12/1000</f>
        <v>38.25</v>
      </c>
      <c r="J9680" s="6" t="n">
        <f aca="false">(Sens!I9679+Sens!J9679)/2*cop_px*12/1000</f>
        <v>42.75</v>
      </c>
      <c r="K9680" s="6" t="n">
        <f aca="false">(Sens!J9679+Sens!K9679)/2*cop_px*12/1000</f>
        <v>47.25</v>
      </c>
      <c r="L9680" s="1" t="s">
        <v>1029</v>
      </c>
    </row>
    <row r="9681" customFormat="false" ht="17.15" hidden="false" customHeight="false" outlineLevel="0" collapsed="false">
      <c r="A9681" s="0" t="s">
        <v>1030</v>
      </c>
      <c r="B9681" s="0" t="s">
        <v>98</v>
      </c>
      <c r="D9681" s="6" t="n">
        <f aca="false">Q!L7-Sens!D9680</f>
        <v>83.705</v>
      </c>
      <c r="E9681" s="6" t="n">
        <f aca="false">Q!M7-Sens!E9680</f>
        <v>95.049</v>
      </c>
      <c r="F9681" s="6" t="n">
        <f aca="false">Q!$I$7+(Sens!E9681*(1+Sens!F9682)+Sens!F9680)*(1-Q!$E$7/Q!M7)-Sens!F9680</f>
        <v>106.229653205718</v>
      </c>
      <c r="G9681" s="6" t="n">
        <f aca="false">Sens!F9681*(1+Sens!G9682)</f>
        <v>118.306092647576</v>
      </c>
      <c r="H9681" s="6" t="n">
        <f aca="false">Sens!G9681*(1+Sens!H9682)</f>
        <v>130.463437602768</v>
      </c>
      <c r="I9681" s="6" t="n">
        <f aca="false">Sens!H9681*(1+Sens!I9682)</f>
        <v>142.445354741933</v>
      </c>
      <c r="J9681" s="6" t="n">
        <f aca="false">Sens!I9681*(1+Sens!J9682)</f>
        <v>153.972117481571</v>
      </c>
      <c r="K9681" s="6" t="n">
        <f aca="false">Sens!J9681*(1+Sens!K9682)</f>
        <v>164.75016570528</v>
      </c>
      <c r="L9681" s="12" t="s">
        <v>1031</v>
      </c>
    </row>
    <row r="9682" customFormat="false" ht="15" hidden="false" customHeight="false" outlineLevel="0" collapsed="false">
      <c r="A9682" s="1" t="s">
        <v>1024</v>
      </c>
      <c r="B9682" s="0" t="s">
        <v>168</v>
      </c>
      <c r="E9682" s="7" t="n">
        <f aca="false">Sens!E9681/Sens!D9681-1</f>
        <v>0.135523564900544</v>
      </c>
      <c r="F9682" s="7" t="n">
        <f aca="false">Sens!$E$9682+(glt_m365b-Sens!$E$9682)*MIN(1,(Sens!F9634-base_fy)/n_conv)</f>
        <v>0.124602970750453</v>
      </c>
      <c r="G9682" s="7" t="n">
        <f aca="false">Sens!$E$9682+(glt_m365b-Sens!$E$9682)*MIN(1,(Sens!G9634-base_fy)/n_conv)</f>
        <v>0.113682376600363</v>
      </c>
      <c r="H9682" s="7" t="n">
        <f aca="false">Sens!$E$9682+(glt_m365b-Sens!$E$9682)*MIN(1,(Sens!H9634-base_fy)/n_conv)</f>
        <v>0.102761782450272</v>
      </c>
      <c r="I9682" s="7" t="n">
        <f aca="false">Sens!$E$9682+(glt_m365b-Sens!$E$9682)*MIN(1,(Sens!I9634-base_fy)/n_conv)</f>
        <v>0.0918411883001813</v>
      </c>
      <c r="J9682" s="7" t="n">
        <f aca="false">Sens!$E$9682+(glt_m365b-Sens!$E$9682)*MIN(1,(Sens!J9634-base_fy)/n_conv)</f>
        <v>0.0809205941500906</v>
      </c>
      <c r="K9682" s="7" t="n">
        <f aca="false">Sens!$E$9682+(glt_m365b-Sens!$E$9682)*MIN(1,(Sens!K9634-base_fy)/n_conv)</f>
        <v>0.07</v>
      </c>
    </row>
    <row r="9683" customFormat="false" ht="15" hidden="false" customHeight="false" outlineLevel="0" collapsed="false">
      <c r="A9683" s="0" t="s">
        <v>1032</v>
      </c>
      <c r="B9683" s="0" t="s">
        <v>98</v>
      </c>
      <c r="D9683" s="6" t="n">
        <f aca="false">Sens!D9681+Sens!D9680</f>
        <v>84.605</v>
      </c>
      <c r="E9683" s="6" t="n">
        <f aca="false">Sens!E9681+Sens!E9680</f>
        <v>100.299</v>
      </c>
      <c r="F9683" s="6" t="n">
        <f aca="false">Sens!F9681+Sens!F9680</f>
        <v>119.729653205718</v>
      </c>
      <c r="G9683" s="6" t="n">
        <f aca="false">Sens!G9681+Sens!G9680</f>
        <v>140.806092647576</v>
      </c>
      <c r="H9683" s="6" t="n">
        <f aca="false">Sens!H9681+Sens!H9680</f>
        <v>161.963437602768</v>
      </c>
      <c r="I9683" s="6" t="n">
        <f aca="false">Sens!I9681+Sens!I9680</f>
        <v>180.695354741933</v>
      </c>
      <c r="J9683" s="6" t="n">
        <f aca="false">Sens!J9681+Sens!J9680</f>
        <v>196.722117481571</v>
      </c>
      <c r="K9683" s="6" t="n">
        <f aca="false">Sens!K9681+Sens!K9680</f>
        <v>212.00016570528</v>
      </c>
    </row>
    <row r="9684" customFormat="false" ht="17.15" hidden="false" customHeight="false" outlineLevel="0" collapsed="false">
      <c r="A9684" s="0" t="s">
        <v>1033</v>
      </c>
      <c r="B9684" s="0" t="s">
        <v>98</v>
      </c>
      <c r="D9684" s="6" t="n">
        <f aca="false">Q!L8</f>
        <v>35.391</v>
      </c>
      <c r="E9684" s="6" t="n">
        <f aca="false">Q!M8</f>
        <v>37.285</v>
      </c>
      <c r="F9684" s="6" t="n">
        <f aca="false">Q!$I$8+(Q!M8-Q!$E$8)*(1+Sens!F9685)</f>
        <v>38.3851437782675</v>
      </c>
      <c r="G9684" s="6" t="n">
        <f aca="false">Sens!F9684*(1+Sens!G9685)</f>
        <v>40.0105353288615</v>
      </c>
      <c r="H9684" s="6" t="n">
        <f aca="false">Sens!G9684*(1+Sens!H9685)</f>
        <v>41.4812512033683</v>
      </c>
      <c r="I9684" s="6" t="n">
        <f aca="false">Sens!H9684*(1+Sens!I9685)</f>
        <v>42.7743107216329</v>
      </c>
      <c r="J9684" s="6" t="n">
        <f aca="false">Sens!I9684*(1+Sens!J9685)</f>
        <v>43.8687373064601</v>
      </c>
      <c r="K9684" s="6" t="n">
        <f aca="false">Sens!J9684*(1+Sens!K9685)</f>
        <v>44.7461120525893</v>
      </c>
      <c r="L9684" s="12" t="s">
        <v>1034</v>
      </c>
    </row>
    <row r="9685" customFormat="false" ht="15" hidden="false" customHeight="false" outlineLevel="0" collapsed="false">
      <c r="A9685" s="1" t="s">
        <v>1024</v>
      </c>
      <c r="B9685" s="0" t="s">
        <v>168</v>
      </c>
      <c r="E9685" s="7" t="n">
        <f aca="false">Sens!E9684/Sens!D9684-1</f>
        <v>0.0535164307309768</v>
      </c>
      <c r="F9685" s="7" t="n">
        <f aca="false">Sens!$E$9685+(glt_lic-Sens!$E$9685)*MIN(1,(Sens!F9634-base_fy)/n_conv)</f>
        <v>0.0479303589424807</v>
      </c>
      <c r="G9685" s="7" t="n">
        <f aca="false">Sens!$E$9685+(glt_lic-Sens!$E$9685)*MIN(1,(Sens!G9634-base_fy)/n_conv)</f>
        <v>0.0423442871539845</v>
      </c>
      <c r="H9685" s="7" t="n">
        <f aca="false">Sens!$E$9685+(glt_lic-Sens!$E$9685)*MIN(1,(Sens!H9634-base_fy)/n_conv)</f>
        <v>0.0367582153654884</v>
      </c>
      <c r="I9685" s="7" t="n">
        <f aca="false">Sens!$E$9685+(glt_lic-Sens!$E$9685)*MIN(1,(Sens!I9634-base_fy)/n_conv)</f>
        <v>0.0311721435769923</v>
      </c>
      <c r="J9685" s="7" t="n">
        <f aca="false">Sens!$E$9685+(glt_lic-Sens!$E$9685)*MIN(1,(Sens!J9634-base_fy)/n_conv)</f>
        <v>0.0255860717884961</v>
      </c>
      <c r="K9685" s="7" t="n">
        <f aca="false">Sens!$E$9685+(glt_lic-Sens!$E$9685)*MIN(1,(Sens!K9634-base_fy)/n_conv)</f>
        <v>0.02</v>
      </c>
    </row>
    <row r="9686" customFormat="false" ht="17.15" hidden="false" customHeight="false" outlineLevel="0" collapsed="false">
      <c r="A9686" s="0" t="s">
        <v>1035</v>
      </c>
      <c r="B9686" s="0" t="s">
        <v>98</v>
      </c>
      <c r="D9686" s="6" t="n">
        <f aca="false">Q!L9</f>
        <v>18.417</v>
      </c>
      <c r="E9686" s="6" t="n">
        <f aca="false">Q!M9</f>
        <v>20.345</v>
      </c>
      <c r="F9686" s="6" t="n">
        <f aca="false">Q!$I$9+(Q!M9-Q!$E$9)*(1+Sens!F9687)</f>
        <v>22.3161797133988</v>
      </c>
      <c r="G9686" s="6" t="n">
        <f aca="false">Sens!F9686*(1+Sens!G9687)</f>
        <v>24.3943499673233</v>
      </c>
      <c r="H9686" s="6" t="n">
        <f aca="false">Sens!G9686*(1+Sens!H9687)</f>
        <v>26.5250243109019</v>
      </c>
      <c r="I9686" s="6" t="n">
        <f aca="false">Sens!H9686*(1+Sens!I9687)</f>
        <v>28.6884573538181</v>
      </c>
      <c r="J9686" s="6" t="n">
        <f aca="false">Sens!I9686*(1+Sens!J9687)</f>
        <v>30.8624968052127</v>
      </c>
      <c r="K9686" s="6" t="n">
        <f aca="false">Sens!J9686*(1+Sens!K9687)</f>
        <v>33.0228715815776</v>
      </c>
      <c r="L9686" s="12" t="s">
        <v>1034</v>
      </c>
    </row>
    <row r="9687" customFormat="false" ht="15" hidden="false" customHeight="false" outlineLevel="0" collapsed="false">
      <c r="A9687" s="1" t="s">
        <v>1024</v>
      </c>
      <c r="B9687" s="0" t="s">
        <v>168</v>
      </c>
      <c r="E9687" s="7" t="n">
        <f aca="false">Sens!E9686/Sens!D9686-1</f>
        <v>0.104685888038225</v>
      </c>
      <c r="F9687" s="7" t="n">
        <f aca="false">Sens!$E$9687+(glt_ind-Sens!$E$9687)*MIN(1,(Sens!F9634-base_fy)/n_conv)</f>
        <v>0.0989049066985211</v>
      </c>
      <c r="G9687" s="7" t="n">
        <f aca="false">Sens!$E$9687+(glt_ind-Sens!$E$9687)*MIN(1,(Sens!G9634-base_fy)/n_conv)</f>
        <v>0.0931239253588169</v>
      </c>
      <c r="H9687" s="7" t="n">
        <f aca="false">Sens!$E$9687+(glt_ind-Sens!$E$9687)*MIN(1,(Sens!H9634-base_fy)/n_conv)</f>
        <v>0.0873429440191127</v>
      </c>
      <c r="I9687" s="7" t="n">
        <f aca="false">Sens!$E$9687+(glt_ind-Sens!$E$9687)*MIN(1,(Sens!I9634-base_fy)/n_conv)</f>
        <v>0.0815619626794085</v>
      </c>
      <c r="J9687" s="7" t="n">
        <f aca="false">Sens!$E$9687+(glt_ind-Sens!$E$9687)*MIN(1,(Sens!J9634-base_fy)/n_conv)</f>
        <v>0.0757809813397042</v>
      </c>
      <c r="K9687" s="7" t="n">
        <f aca="false">Sens!$E$9687+(glt_ind-Sens!$E$9687)*MIN(1,(Sens!K9634-base_fy)/n_conv)</f>
        <v>0.07</v>
      </c>
    </row>
    <row r="9688" customFormat="false" ht="17.15" hidden="false" customHeight="false" outlineLevel="0" collapsed="false">
      <c r="A9688" s="0" t="s">
        <v>1036</v>
      </c>
      <c r="B9688" s="0" t="s">
        <v>98</v>
      </c>
      <c r="D9688" s="6" t="n">
        <f aca="false">Q!L10</f>
        <v>7.76</v>
      </c>
      <c r="E9688" s="6" t="n">
        <f aca="false">Q!M10</f>
        <v>8.26</v>
      </c>
      <c r="F9688" s="6" t="n">
        <f aca="false">Q!$I$10+(Q!M10-Q!$E$10)*(1+Sens!F9689)</f>
        <v>8.75372082474227</v>
      </c>
      <c r="G9688" s="6" t="n">
        <f aca="false">Sens!F9688*(1+Sens!G9689)</f>
        <v>9.33399324642364</v>
      </c>
      <c r="H9688" s="6" t="n">
        <f aca="false">Sens!G9688*(1+Sens!H9689)</f>
        <v>9.96139155535851</v>
      </c>
      <c r="I9688" s="6" t="n">
        <f aca="false">Sens!H9688*(1+Sens!I9689)</f>
        <v>10.6402039077391</v>
      </c>
      <c r="J9688" s="6" t="n">
        <f aca="false">Sens!I9688*(1+Sens!J9689)</f>
        <v>11.3751458271397</v>
      </c>
      <c r="K9688" s="6" t="n">
        <f aca="false">Sens!J9688*(1+Sens!K9689)</f>
        <v>12.1714060350394</v>
      </c>
      <c r="L9688" s="12" t="s">
        <v>1034</v>
      </c>
    </row>
    <row r="9689" customFormat="false" ht="15" hidden="false" customHeight="false" outlineLevel="0" collapsed="false">
      <c r="A9689" s="1" t="s">
        <v>1024</v>
      </c>
      <c r="B9689" s="0" t="s">
        <v>168</v>
      </c>
      <c r="E9689" s="7" t="n">
        <f aca="false">Sens!E9688/Sens!D9688-1</f>
        <v>0.0644329896907216</v>
      </c>
      <c r="F9689" s="7" t="n">
        <f aca="false">Sens!$E$9689+(glt_fro-Sens!$E$9689)*MIN(1,(Sens!F9634-base_fy)/n_conv)</f>
        <v>0.065360824742268</v>
      </c>
      <c r="G9689" s="7" t="n">
        <f aca="false">Sens!$E$9689+(glt_fro-Sens!$E$9689)*MIN(1,(Sens!G9634-base_fy)/n_conv)</f>
        <v>0.0662886597938144</v>
      </c>
      <c r="H9689" s="7" t="n">
        <f aca="false">Sens!$E$9689+(glt_fro-Sens!$E$9689)*MIN(1,(Sens!H9634-base_fy)/n_conv)</f>
        <v>0.0672164948453608</v>
      </c>
      <c r="I9689" s="7" t="n">
        <f aca="false">Sens!$E$9689+(glt_fro-Sens!$E$9689)*MIN(1,(Sens!I9634-base_fy)/n_conv)</f>
        <v>0.0681443298969072</v>
      </c>
      <c r="J9689" s="7" t="n">
        <f aca="false">Sens!$E$9689+(glt_fro-Sens!$E$9689)*MIN(1,(Sens!J9634-base_fy)/n_conv)</f>
        <v>0.0690721649484536</v>
      </c>
      <c r="K9689" s="7" t="n">
        <f aca="false">Sens!$E$9689+(glt_fro-Sens!$E$9689)*MIN(1,(Sens!K9634-base_fy)/n_conv)</f>
        <v>0.07</v>
      </c>
    </row>
    <row r="9690" customFormat="false" ht="15" hidden="false" customHeight="false" outlineLevel="0" collapsed="false">
      <c r="A9690" s="0" t="s">
        <v>852</v>
      </c>
      <c r="B9690" s="0" t="s">
        <v>98</v>
      </c>
      <c r="D9690" s="6" t="n">
        <f aca="false">Sens!D9678+Sens!D9683+Sens!D9684+Sens!D9686+Sens!D9688</f>
        <v>218.783</v>
      </c>
      <c r="E9690" s="6" t="n">
        <f aca="false">Sens!E9678+Sens!E9683+Sens!E9684+Sens!E9686+Sens!E9688</f>
        <v>268.127</v>
      </c>
      <c r="F9690" s="6" t="n">
        <f aca="false">Sens!F9678+Sens!F9683+Sens!F9684+Sens!F9686+Sens!F9688</f>
        <v>339.160389419761</v>
      </c>
      <c r="G9690" s="6" t="n">
        <f aca="false">Sens!G9678+Sens!G9683+Sens!G9684+Sens!G9686+Sens!G9688</f>
        <v>427.177926586301</v>
      </c>
      <c r="H9690" s="6" t="n">
        <f aca="false">Sens!H9678+Sens!H9683+Sens!H9684+Sens!H9686+Sens!H9688</f>
        <v>522.703346852403</v>
      </c>
      <c r="I9690" s="6" t="n">
        <f aca="false">Sens!I9678+Sens!I9683+Sens!I9684+Sens!I9686+Sens!I9688</f>
        <v>605.181805157067</v>
      </c>
      <c r="J9690" s="6" t="n">
        <f aca="false">Sens!J9678+Sens!J9683+Sens!J9684+Sens!J9686+Sens!J9688</f>
        <v>673.317839660865</v>
      </c>
      <c r="K9690" s="6" t="n">
        <f aca="false">Sens!K9678+Sens!K9683+Sens!K9684+Sens!K9686+Sens!K9688</f>
        <v>729.876270694496</v>
      </c>
    </row>
    <row r="9691" customFormat="false" ht="17.15" hidden="false" customHeight="false" outlineLevel="0" collapsed="false">
      <c r="A9691" s="0" t="s">
        <v>1037</v>
      </c>
      <c r="B9691" s="0" t="s">
        <v>98</v>
      </c>
      <c r="D9691" s="6" t="n">
        <f aca="false">Q!L13</f>
        <v>22.171</v>
      </c>
      <c r="E9691" s="6" t="n">
        <f aca="false">Q!M13</f>
        <v>24.835</v>
      </c>
      <c r="F9691" s="6" t="n">
        <f aca="false">Q!$I$13+(Q!M13-Q!$E$13)*(1+Sens!F9692)</f>
        <v>27.5591895660247</v>
      </c>
      <c r="G9691" s="6" t="n">
        <f aca="false">Sens!F9691*(1+Sens!G9692)</f>
        <v>30.4098563144583</v>
      </c>
      <c r="H9691" s="6" t="n">
        <f aca="false">Sens!G9691*(1+Sens!H9692)</f>
        <v>33.3011792571777</v>
      </c>
      <c r="I9691" s="6" t="n">
        <f aca="false">Sens!H9691*(1+Sens!I9692)</f>
        <v>36.189023797112</v>
      </c>
      <c r="J9691" s="6" t="n">
        <f aca="false">Sens!I9691*(1+Sens!J9692)</f>
        <v>39.0247773769199</v>
      </c>
      <c r="K9691" s="6" t="n">
        <f aca="false">Sens!J9691*(1+Sens!K9692)</f>
        <v>41.7565117933043</v>
      </c>
      <c r="L9691" s="12" t="s">
        <v>1034</v>
      </c>
    </row>
    <row r="9692" customFormat="false" ht="15" hidden="false" customHeight="false" outlineLevel="0" collapsed="false">
      <c r="A9692" s="1" t="s">
        <v>1024</v>
      </c>
      <c r="B9692" s="0" t="s">
        <v>168</v>
      </c>
      <c r="E9692" s="7" t="n">
        <f aca="false">Sens!E9691/Sens!D9691-1</f>
        <v>0.120156961796942</v>
      </c>
      <c r="F9692" s="7" t="n">
        <f aca="false">Sens!$E$9692+(glt_srch-Sens!$E$9692)*MIN(1,(Sens!F9634-base_fy)/n_conv)</f>
        <v>0.111797468164118</v>
      </c>
      <c r="G9692" s="7" t="n">
        <f aca="false">Sens!$E$9692+(glt_srch-Sens!$E$9692)*MIN(1,(Sens!G9634-base_fy)/n_conv)</f>
        <v>0.103437974531295</v>
      </c>
      <c r="H9692" s="7" t="n">
        <f aca="false">Sens!$E$9692+(glt_srch-Sens!$E$9692)*MIN(1,(Sens!H9634-base_fy)/n_conv)</f>
        <v>0.095078480898471</v>
      </c>
      <c r="I9692" s="7" t="n">
        <f aca="false">Sens!$E$9692+(glt_srch-Sens!$E$9692)*MIN(1,(Sens!I9634-base_fy)/n_conv)</f>
        <v>0.0867189872656474</v>
      </c>
      <c r="J9692" s="7" t="n">
        <f aca="false">Sens!$E$9692+(glt_srch-Sens!$E$9692)*MIN(1,(Sens!J9634-base_fy)/n_conv)</f>
        <v>0.0783594936328237</v>
      </c>
      <c r="K9692" s="7" t="n">
        <f aca="false">Sens!$E$9692+(glt_srch-Sens!$E$9692)*MIN(1,(Sens!K9634-base_fy)/n_conv)</f>
        <v>0.07</v>
      </c>
    </row>
    <row r="9693" customFormat="false" ht="17.15" hidden="false" customHeight="false" outlineLevel="0" collapsed="false">
      <c r="A9693" s="0" t="s">
        <v>1038</v>
      </c>
      <c r="B9693" s="0" t="s">
        <v>98</v>
      </c>
      <c r="D9693" s="6" t="n">
        <f aca="false">Q!L14</f>
        <v>23.455</v>
      </c>
      <c r="E9693" s="6" t="n">
        <f aca="false">Q!M14</f>
        <v>21.79</v>
      </c>
      <c r="F9693" s="6" t="n">
        <f aca="false">Q!$I$14+(Q!M14-Q!$E$14)*(1+Sens!F9694)</f>
        <v>20.7520981041711</v>
      </c>
      <c r="G9693" s="6" t="n">
        <f aca="false">Sens!F9693*(1+Sens!G9694)</f>
        <v>19.9083593495882</v>
      </c>
      <c r="H9693" s="6" t="n">
        <f aca="false">Sens!G9693*(1+Sens!H9694)</f>
        <v>19.4008256265831</v>
      </c>
      <c r="I9693" s="6" t="n">
        <f aca="false">Sens!H9693*(1+Sens!I9694)</f>
        <v>19.200434522122</v>
      </c>
      <c r="J9693" s="6" t="n">
        <f aca="false">Sens!I9693*(1+Sens!J9694)</f>
        <v>19.2932782348507</v>
      </c>
      <c r="K9693" s="6" t="n">
        <f aca="false">Sens!J9693*(1+Sens!K9694)</f>
        <v>19.6791437995477</v>
      </c>
      <c r="L9693" s="12" t="s">
        <v>1034</v>
      </c>
    </row>
    <row r="9694" customFormat="false" ht="15" hidden="false" customHeight="false" outlineLevel="0" collapsed="false">
      <c r="A9694" s="1" t="s">
        <v>1024</v>
      </c>
      <c r="B9694" s="0" t="s">
        <v>168</v>
      </c>
      <c r="E9694" s="7" t="n">
        <f aca="false">Sens!E9693/Sens!D9693-1</f>
        <v>-0.0709869963760392</v>
      </c>
      <c r="F9694" s="7" t="n">
        <f aca="false">Sens!$E$9694+(glt_xbox-Sens!$E$9694)*MIN(1,(Sens!F9634-base_fy)/n_conv)</f>
        <v>-0.0558224969800327</v>
      </c>
      <c r="G9694" s="7" t="n">
        <f aca="false">Sens!$E$9694+(glt_xbox-Sens!$E$9694)*MIN(1,(Sens!G9634-base_fy)/n_conv)</f>
        <v>-0.0406579975840262</v>
      </c>
      <c r="H9694" s="7" t="n">
        <f aca="false">Sens!$E$9694+(glt_xbox-Sens!$E$9694)*MIN(1,(Sens!H9634-base_fy)/n_conv)</f>
        <v>-0.0254934981880196</v>
      </c>
      <c r="I9694" s="7" t="n">
        <f aca="false">Sens!$E$9694+(glt_xbox-Sens!$E$9694)*MIN(1,(Sens!I9634-base_fy)/n_conv)</f>
        <v>-0.0103289987920131</v>
      </c>
      <c r="J9694" s="7" t="n">
        <f aca="false">Sens!$E$9694+(glt_xbox-Sens!$E$9694)*MIN(1,(Sens!J9634-base_fy)/n_conv)</f>
        <v>0.00483550060399347</v>
      </c>
      <c r="K9694" s="7" t="n">
        <f aca="false">Sens!$E$9694+(glt_xbox-Sens!$E$9694)*MIN(1,(Sens!K9634-base_fy)/n_conv)</f>
        <v>0.02</v>
      </c>
    </row>
    <row r="9695" customFormat="false" ht="17.15" hidden="false" customHeight="false" outlineLevel="0" collapsed="false">
      <c r="A9695" s="0" t="s">
        <v>1039</v>
      </c>
      <c r="B9695" s="0" t="s">
        <v>98</v>
      </c>
      <c r="D9695" s="6" t="n">
        <f aca="false">Q!L15</f>
        <v>17.315</v>
      </c>
      <c r="E9695" s="6" t="n">
        <f aca="false">Q!M15</f>
        <v>17.087</v>
      </c>
      <c r="F9695" s="6" t="n">
        <f aca="false">Q!$I$15+(Q!M15-Q!$E$15)*(1+Sens!F9696)</f>
        <v>15.9912273250553</v>
      </c>
      <c r="G9695" s="6" t="n">
        <f aca="false">Sens!F9695*(1+Sens!G9696)</f>
        <v>15.9574562664827</v>
      </c>
      <c r="H9695" s="6" t="n">
        <f aca="false">Sens!G9695*(1+Sens!H9696)</f>
        <v>16.0119687434196</v>
      </c>
      <c r="I9695" s="6" t="n">
        <f aca="false">Sens!H9695*(1+Sens!I9696)</f>
        <v>16.1551810001948</v>
      </c>
      <c r="J9695" s="6" t="n">
        <f aca="false">Sens!I9695*(1+Sens!J9696)</f>
        <v>16.3889793892005</v>
      </c>
      <c r="K9695" s="6" t="n">
        <f aca="false">Sens!J9695*(1+Sens!K9696)</f>
        <v>16.7167589769845</v>
      </c>
      <c r="L9695" s="12" t="s">
        <v>1034</v>
      </c>
    </row>
    <row r="9696" customFormat="false" ht="15" hidden="false" customHeight="false" outlineLevel="0" collapsed="false">
      <c r="A9696" s="1" t="s">
        <v>1024</v>
      </c>
      <c r="B9696" s="0" t="s">
        <v>168</v>
      </c>
      <c r="E9696" s="7" t="n">
        <f aca="false">Sens!E9695/Sens!D9695-1</f>
        <v>-0.0131677736066995</v>
      </c>
      <c r="F9696" s="7" t="n">
        <f aca="false">Sens!$E$9696+(glt_win-Sens!$E$9696)*MIN(1,(Sens!F9634-base_fy)/n_conv)</f>
        <v>-0.00763981133891627</v>
      </c>
      <c r="G9696" s="7" t="n">
        <f aca="false">Sens!$E$9696+(glt_win-Sens!$E$9696)*MIN(1,(Sens!G9634-base_fy)/n_conv)</f>
        <v>-0.00211184907113301</v>
      </c>
      <c r="H9696" s="7" t="n">
        <f aca="false">Sens!$E$9696+(glt_win-Sens!$E$9696)*MIN(1,(Sens!H9634-base_fy)/n_conv)</f>
        <v>0.00341611319665024</v>
      </c>
      <c r="I9696" s="7" t="n">
        <f aca="false">Sens!$E$9696+(glt_win-Sens!$E$9696)*MIN(1,(Sens!I9634-base_fy)/n_conv)</f>
        <v>0.00894407546443349</v>
      </c>
      <c r="J9696" s="7" t="n">
        <f aca="false">Sens!$E$9696+(glt_win-Sens!$E$9696)*MIN(1,(Sens!J9634-base_fy)/n_conv)</f>
        <v>0.0144720377322168</v>
      </c>
      <c r="K9696" s="7" t="n">
        <f aca="false">Sens!$E$9696+(glt_win-Sens!$E$9696)*MIN(1,(Sens!K9634-base_fy)/n_conv)</f>
        <v>0.02</v>
      </c>
    </row>
    <row r="9697" customFormat="false" ht="15" hidden="false" customHeight="false" outlineLevel="0" collapsed="false">
      <c r="A9697" s="0" t="s">
        <v>866</v>
      </c>
      <c r="B9697" s="0" t="s">
        <v>98</v>
      </c>
      <c r="D9697" s="6" t="n">
        <f aca="false">Sens!D9691+Sens!D9693+Sens!D9695</f>
        <v>62.941</v>
      </c>
      <c r="E9697" s="6" t="n">
        <f aca="false">Sens!E9691+Sens!E9693+Sens!E9695</f>
        <v>63.712</v>
      </c>
      <c r="F9697" s="6" t="n">
        <f aca="false">Sens!F9691+Sens!F9693+Sens!F9695</f>
        <v>64.3025149952511</v>
      </c>
      <c r="G9697" s="6" t="n">
        <f aca="false">Sens!G9691+Sens!G9693+Sens!G9695</f>
        <v>66.2756719305292</v>
      </c>
      <c r="H9697" s="6" t="n">
        <f aca="false">Sens!H9691+Sens!H9693+Sens!H9695</f>
        <v>68.7139736271804</v>
      </c>
      <c r="I9697" s="6" t="n">
        <f aca="false">Sens!I9691+Sens!I9693+Sens!I9695</f>
        <v>71.5446393194289</v>
      </c>
      <c r="J9697" s="6" t="n">
        <f aca="false">Sens!J9691+Sens!J9693+Sens!J9695</f>
        <v>74.707035000971</v>
      </c>
      <c r="K9697" s="6" t="n">
        <f aca="false">Sens!K9691+Sens!K9693+Sens!K9695</f>
        <v>78.1524145698365</v>
      </c>
    </row>
    <row r="9698" customFormat="false" ht="15" hidden="false" customHeight="false" outlineLevel="0" collapsed="false">
      <c r="A9698" s="1" t="s">
        <v>1040</v>
      </c>
      <c r="B9698" s="0" t="s">
        <v>98</v>
      </c>
      <c r="D9698" s="6" t="n">
        <f aca="false">Sens!D9690+Sens!D9697</f>
        <v>281.724</v>
      </c>
      <c r="E9698" s="6" t="n">
        <f aca="false">Sens!E9690+Sens!E9697</f>
        <v>331.839</v>
      </c>
      <c r="F9698" s="6" t="n">
        <f aca="false">Sens!F9690+Sens!F9697</f>
        <v>403.462904415012</v>
      </c>
      <c r="G9698" s="6" t="n">
        <f aca="false">Sens!G9690+Sens!G9697</f>
        <v>493.45359851683</v>
      </c>
      <c r="H9698" s="6" t="n">
        <f aca="false">Sens!H9690+Sens!H9697</f>
        <v>591.417320479583</v>
      </c>
      <c r="I9698" s="6" t="n">
        <f aca="false">Sens!I9690+Sens!I9697</f>
        <v>676.726444476496</v>
      </c>
      <c r="J9698" s="6" t="n">
        <f aca="false">Sens!J9690+Sens!J9697</f>
        <v>748.024874661836</v>
      </c>
      <c r="K9698" s="6" t="n">
        <f aca="false">Sens!K9690+Sens!K9697</f>
        <v>808.028685264332</v>
      </c>
    </row>
    <row r="9699" customFormat="false" ht="15" hidden="false" customHeight="false" outlineLevel="0" collapsed="false">
      <c r="A9699" s="26" t="s">
        <v>1041</v>
      </c>
      <c r="B9699" s="31" t="s">
        <v>98</v>
      </c>
      <c r="C9699" s="31"/>
      <c r="D9699" s="27" t="n">
        <f aca="false">(Sens!D9678+Sens!D9683+Sens!D9684+Sens!D9686+Sens!D9688-Sens!D9690)+(Sens!D9691+Sens!D9693+Sens!D9695-Sens!D9697)+(Sens!D9690-Q!L5)+(Sens!D9697-Q!L12)+(Sens!D9678-Q!L6)+(Sens!D9683-Q!L7)</f>
        <v>0</v>
      </c>
      <c r="E9699" s="27" t="n">
        <f aca="false">(Sens!E9678+Sens!E9683+Sens!E9684+Sens!E9686+Sens!E9688-Sens!E9690)+(Sens!E9691+Sens!E9693+Sens!E9695-Sens!E9697)+(Sens!E9690-Q!M5)+(Sens!E9697-Q!M12)+(Sens!E9678-Q!M6)+(Sens!E9683-Q!M7)</f>
        <v>0</v>
      </c>
      <c r="F9699" s="27" t="n">
        <f aca="false">(Sens!F9678+Sens!F9683+Sens!F9684+Sens!F9686+Sens!F9688-Sens!F9690)+(Sens!F9691+Sens!F9693+Sens!F9695-Sens!F9697)</f>
        <v>0</v>
      </c>
      <c r="G9699" s="27" t="n">
        <f aca="false">(Sens!G9678+Sens!G9683+Sens!G9684+Sens!G9686+Sens!G9688-Sens!G9690)+(Sens!G9691+Sens!G9693+Sens!G9695-Sens!G9697)</f>
        <v>0</v>
      </c>
      <c r="H9699" s="27" t="n">
        <f aca="false">(Sens!H9678+Sens!H9683+Sens!H9684+Sens!H9686+Sens!H9688-Sens!H9690)+(Sens!H9691+Sens!H9693+Sens!H9695-Sens!H9697)</f>
        <v>0</v>
      </c>
      <c r="I9699" s="27" t="n">
        <f aca="false">(Sens!I9678+Sens!I9683+Sens!I9684+Sens!I9686+Sens!I9688-Sens!I9690)+(Sens!I9691+Sens!I9693+Sens!I9695-Sens!I9697)</f>
        <v>0</v>
      </c>
      <c r="J9699" s="27" t="n">
        <f aca="false">(Sens!J9678+Sens!J9683+Sens!J9684+Sens!J9686+Sens!J9688-Sens!J9690)+(Sens!J9691+Sens!J9693+Sens!J9695-Sens!J9697)</f>
        <v>0</v>
      </c>
      <c r="K9699" s="27" t="n">
        <f aca="false">(Sens!K9678+Sens!K9683+Sens!K9684+Sens!K9686+Sens!K9688-Sens!K9690)+(Sens!K9691+Sens!K9693+Sens!K9695-Sens!K9697)</f>
        <v>0</v>
      </c>
    </row>
    <row r="9700" customFormat="false" ht="17.15" hidden="false" customHeight="false" outlineLevel="0" collapsed="false">
      <c r="A9700" s="3" t="s">
        <v>1722</v>
      </c>
    </row>
    <row r="9701" customFormat="false" ht="15" hidden="false" customHeight="false" outlineLevel="0" collapsed="false">
      <c r="A9701" s="4" t="s">
        <v>43</v>
      </c>
      <c r="B9701" s="4" t="s">
        <v>65</v>
      </c>
      <c r="C9701" s="23" t="s">
        <v>938</v>
      </c>
      <c r="D9701" s="23" t="s">
        <v>939</v>
      </c>
      <c r="E9701" s="23" t="s">
        <v>940</v>
      </c>
      <c r="F9701" s="23" t="s">
        <v>941</v>
      </c>
      <c r="G9701" s="23" t="s">
        <v>942</v>
      </c>
      <c r="H9701" s="23" t="s">
        <v>943</v>
      </c>
      <c r="I9701" s="23" t="s">
        <v>944</v>
      </c>
      <c r="J9701" s="23" t="s">
        <v>945</v>
      </c>
      <c r="K9701" s="23" t="s">
        <v>946</v>
      </c>
      <c r="L9701" s="4" t="s">
        <v>47</v>
      </c>
    </row>
    <row r="9702" customFormat="false" ht="15" hidden="false" customHeight="false" outlineLevel="0" collapsed="false">
      <c r="A9702" s="0" t="s">
        <v>1025</v>
      </c>
      <c r="B9702" s="0" t="s">
        <v>98</v>
      </c>
      <c r="D9702" s="6" t="n">
        <f aca="false">Sens!D9678</f>
        <v>72.61</v>
      </c>
      <c r="E9702" s="6" t="n">
        <f aca="false">Sens!E9678</f>
        <v>101.938</v>
      </c>
      <c r="F9702" s="6" t="n">
        <f aca="false">Sens!F9678</f>
        <v>149.975691897635</v>
      </c>
      <c r="G9702" s="6" t="n">
        <f aca="false">Sens!G9678</f>
        <v>212.632955396116</v>
      </c>
      <c r="H9702" s="6" t="n">
        <f aca="false">Sens!H9678</f>
        <v>282.772242180006</v>
      </c>
      <c r="I9702" s="6" t="n">
        <f aca="false">Sens!I9678</f>
        <v>342.383478431944</v>
      </c>
      <c r="J9702" s="6" t="n">
        <f aca="false">Sens!J9678</f>
        <v>390.489342240482</v>
      </c>
      <c r="K9702" s="6" t="n">
        <f aca="false">Sens!K9678</f>
        <v>427.935715320009</v>
      </c>
    </row>
    <row r="9703" customFormat="false" ht="17.15" hidden="false" customHeight="false" outlineLevel="0" collapsed="false">
      <c r="A9703" s="0" t="s">
        <v>1021</v>
      </c>
      <c r="B9703" s="0" t="s">
        <v>98</v>
      </c>
      <c r="D9703" s="6" t="n">
        <f aca="false">Sens!D9675</f>
        <v>12.9359794422418</v>
      </c>
      <c r="E9703" s="6" t="n">
        <f aca="false">Sens!E9675</f>
        <v>27.8095064661409</v>
      </c>
      <c r="F9703" s="6" t="n">
        <f aca="false">Sens!F9675</f>
        <v>59.1034165651511</v>
      </c>
      <c r="G9703" s="6" t="n">
        <f aca="false">Sens!G9675</f>
        <v>103.451498789198</v>
      </c>
      <c r="H9703" s="6" t="n">
        <f aca="false">Sens!H9675</f>
        <v>153.816719989035</v>
      </c>
      <c r="I9703" s="6" t="n">
        <f aca="false">Sens!I9675</f>
        <v>192.699478690852</v>
      </c>
      <c r="J9703" s="6" t="n">
        <f aca="false">Sens!J9675</f>
        <v>219.794102584244</v>
      </c>
      <c r="K9703" s="6" t="n">
        <f aca="false">Sens!K9675</f>
        <v>236.757046905022</v>
      </c>
    </row>
    <row r="9704" customFormat="false" ht="17.15" hidden="false" customHeight="false" outlineLevel="0" collapsed="false">
      <c r="A9704" s="0" t="s">
        <v>1052</v>
      </c>
      <c r="B9704" s="0" t="s">
        <v>98</v>
      </c>
      <c r="D9704" s="6" t="n">
        <f aca="false">Sens!D9676</f>
        <v>59.6740205577583</v>
      </c>
      <c r="E9704" s="6" t="n">
        <f aca="false">Sens!E9676</f>
        <v>74.1284935338591</v>
      </c>
      <c r="F9704" s="6" t="n">
        <f aca="false">Sens!F9676</f>
        <v>90.8722753324836</v>
      </c>
      <c r="G9704" s="6" t="n">
        <f aca="false">Sens!G9676</f>
        <v>109.181456606918</v>
      </c>
      <c r="H9704" s="6" t="n">
        <f aca="false">Sens!H9676</f>
        <v>128.955522190971</v>
      </c>
      <c r="I9704" s="6" t="n">
        <f aca="false">Sens!I9676</f>
        <v>149.683999741092</v>
      </c>
      <c r="J9704" s="6" t="n">
        <f aca="false">Sens!J9676</f>
        <v>170.695239656238</v>
      </c>
      <c r="K9704" s="6" t="n">
        <f aca="false">Sens!K9676</f>
        <v>191.178668414987</v>
      </c>
    </row>
    <row r="9705" customFormat="false" ht="15" hidden="false" customHeight="false" outlineLevel="0" collapsed="false">
      <c r="A9705" s="0" t="s">
        <v>1032</v>
      </c>
      <c r="B9705" s="0" t="s">
        <v>98</v>
      </c>
      <c r="D9705" s="6" t="n">
        <f aca="false">Sens!D9683</f>
        <v>84.605</v>
      </c>
      <c r="E9705" s="6" t="n">
        <f aca="false">Sens!E9683</f>
        <v>100.299</v>
      </c>
      <c r="F9705" s="6" t="n">
        <f aca="false">Sens!F9683</f>
        <v>119.729653205718</v>
      </c>
      <c r="G9705" s="6" t="n">
        <f aca="false">Sens!G9683</f>
        <v>140.806092647576</v>
      </c>
      <c r="H9705" s="6" t="n">
        <f aca="false">Sens!H9683</f>
        <v>161.963437602768</v>
      </c>
      <c r="I9705" s="6" t="n">
        <f aca="false">Sens!I9683</f>
        <v>180.695354741933</v>
      </c>
      <c r="J9705" s="6" t="n">
        <f aca="false">Sens!J9683</f>
        <v>196.722117481571</v>
      </c>
      <c r="K9705" s="6" t="n">
        <f aca="false">Sens!K9683</f>
        <v>212.00016570528</v>
      </c>
    </row>
    <row r="9706" customFormat="false" ht="17.15" hidden="false" customHeight="false" outlineLevel="0" collapsed="false">
      <c r="A9706" s="0" t="s">
        <v>1053</v>
      </c>
      <c r="B9706" s="0" t="s">
        <v>98</v>
      </c>
      <c r="D9706" s="6" t="n">
        <f aca="false">Sens!D9681</f>
        <v>83.705</v>
      </c>
      <c r="E9706" s="6" t="n">
        <f aca="false">Sens!E9681</f>
        <v>95.049</v>
      </c>
      <c r="F9706" s="6" t="n">
        <f aca="false">Sens!F9681</f>
        <v>106.229653205718</v>
      </c>
      <c r="G9706" s="6" t="n">
        <f aca="false">Sens!G9681</f>
        <v>118.306092647576</v>
      </c>
      <c r="H9706" s="6" t="n">
        <f aca="false">Sens!H9681</f>
        <v>130.463437602768</v>
      </c>
      <c r="I9706" s="6" t="n">
        <f aca="false">Sens!I9681</f>
        <v>142.445354741933</v>
      </c>
      <c r="J9706" s="6" t="n">
        <f aca="false">Sens!J9681</f>
        <v>153.972117481571</v>
      </c>
      <c r="K9706" s="6" t="n">
        <f aca="false">Sens!K9681</f>
        <v>164.75016570528</v>
      </c>
    </row>
    <row r="9707" customFormat="false" ht="17.15" hidden="false" customHeight="false" outlineLevel="0" collapsed="false">
      <c r="A9707" s="0" t="s">
        <v>1054</v>
      </c>
      <c r="B9707" s="0" t="s">
        <v>98</v>
      </c>
      <c r="D9707" s="6" t="n">
        <f aca="false">Sens!D9680</f>
        <v>0.9</v>
      </c>
      <c r="E9707" s="6" t="n">
        <f aca="false">Sens!E9680</f>
        <v>5.25</v>
      </c>
      <c r="F9707" s="6" t="n">
        <f aca="false">Sens!F9680</f>
        <v>13.5</v>
      </c>
      <c r="G9707" s="6" t="n">
        <f aca="false">Sens!G9680</f>
        <v>22.5</v>
      </c>
      <c r="H9707" s="6" t="n">
        <f aca="false">Sens!H9680</f>
        <v>31.5</v>
      </c>
      <c r="I9707" s="6" t="n">
        <f aca="false">Sens!I9680</f>
        <v>38.25</v>
      </c>
      <c r="J9707" s="6" t="n">
        <f aca="false">Sens!J9680</f>
        <v>42.75</v>
      </c>
      <c r="K9707" s="6" t="n">
        <f aca="false">Sens!K9680</f>
        <v>47.25</v>
      </c>
    </row>
    <row r="9708" customFormat="false" ht="15" hidden="false" customHeight="false" outlineLevel="0" collapsed="false">
      <c r="A9708" s="0" t="s">
        <v>1033</v>
      </c>
      <c r="B9708" s="0" t="s">
        <v>98</v>
      </c>
      <c r="D9708" s="6" t="n">
        <f aca="false">Sens!D9684</f>
        <v>35.391</v>
      </c>
      <c r="E9708" s="6" t="n">
        <f aca="false">Sens!E9684</f>
        <v>37.285</v>
      </c>
      <c r="F9708" s="6" t="n">
        <f aca="false">Sens!F9684</f>
        <v>38.3851437782675</v>
      </c>
      <c r="G9708" s="6" t="n">
        <f aca="false">Sens!G9684</f>
        <v>40.0105353288615</v>
      </c>
      <c r="H9708" s="6" t="n">
        <f aca="false">Sens!H9684</f>
        <v>41.4812512033683</v>
      </c>
      <c r="I9708" s="6" t="n">
        <f aca="false">Sens!I9684</f>
        <v>42.7743107216329</v>
      </c>
      <c r="J9708" s="6" t="n">
        <f aca="false">Sens!J9684</f>
        <v>43.8687373064601</v>
      </c>
      <c r="K9708" s="6" t="n">
        <f aca="false">Sens!K9684</f>
        <v>44.7461120525893</v>
      </c>
    </row>
    <row r="9709" customFormat="false" ht="15" hidden="false" customHeight="false" outlineLevel="0" collapsed="false">
      <c r="A9709" s="0" t="s">
        <v>1035</v>
      </c>
      <c r="B9709" s="0" t="s">
        <v>98</v>
      </c>
      <c r="D9709" s="6" t="n">
        <f aca="false">Sens!D9686</f>
        <v>18.417</v>
      </c>
      <c r="E9709" s="6" t="n">
        <f aca="false">Sens!E9686</f>
        <v>20.345</v>
      </c>
      <c r="F9709" s="6" t="n">
        <f aca="false">Sens!F9686</f>
        <v>22.3161797133988</v>
      </c>
      <c r="G9709" s="6" t="n">
        <f aca="false">Sens!G9686</f>
        <v>24.3943499673233</v>
      </c>
      <c r="H9709" s="6" t="n">
        <f aca="false">Sens!H9686</f>
        <v>26.5250243109019</v>
      </c>
      <c r="I9709" s="6" t="n">
        <f aca="false">Sens!I9686</f>
        <v>28.6884573538181</v>
      </c>
      <c r="J9709" s="6" t="n">
        <f aca="false">Sens!J9686</f>
        <v>30.8624968052127</v>
      </c>
      <c r="K9709" s="6" t="n">
        <f aca="false">Sens!K9686</f>
        <v>33.0228715815776</v>
      </c>
    </row>
    <row r="9710" customFormat="false" ht="15" hidden="false" customHeight="false" outlineLevel="0" collapsed="false">
      <c r="A9710" s="0" t="s">
        <v>1036</v>
      </c>
      <c r="B9710" s="0" t="s">
        <v>98</v>
      </c>
      <c r="D9710" s="6" t="n">
        <f aca="false">Sens!D9688</f>
        <v>7.76</v>
      </c>
      <c r="E9710" s="6" t="n">
        <f aca="false">Sens!E9688</f>
        <v>8.26</v>
      </c>
      <c r="F9710" s="6" t="n">
        <f aca="false">Sens!F9688</f>
        <v>8.75372082474227</v>
      </c>
      <c r="G9710" s="6" t="n">
        <f aca="false">Sens!G9688</f>
        <v>9.33399324642364</v>
      </c>
      <c r="H9710" s="6" t="n">
        <f aca="false">Sens!H9688</f>
        <v>9.96139155535851</v>
      </c>
      <c r="I9710" s="6" t="n">
        <f aca="false">Sens!I9688</f>
        <v>10.6402039077391</v>
      </c>
      <c r="J9710" s="6" t="n">
        <f aca="false">Sens!J9688</f>
        <v>11.3751458271397</v>
      </c>
      <c r="K9710" s="6" t="n">
        <f aca="false">Sens!K9688</f>
        <v>12.1714060350394</v>
      </c>
    </row>
    <row r="9711" customFormat="false" ht="15" hidden="false" customHeight="false" outlineLevel="0" collapsed="false">
      <c r="A9711" s="0" t="s">
        <v>852</v>
      </c>
      <c r="B9711" s="0" t="s">
        <v>98</v>
      </c>
      <c r="D9711" s="6" t="n">
        <f aca="false">Sens!D9690</f>
        <v>218.783</v>
      </c>
      <c r="E9711" s="6" t="n">
        <f aca="false">Sens!E9690</f>
        <v>268.127</v>
      </c>
      <c r="F9711" s="6" t="n">
        <f aca="false">Sens!F9690</f>
        <v>339.160389419761</v>
      </c>
      <c r="G9711" s="6" t="n">
        <f aca="false">Sens!G9690</f>
        <v>427.177926586301</v>
      </c>
      <c r="H9711" s="6" t="n">
        <f aca="false">Sens!H9690</f>
        <v>522.703346852403</v>
      </c>
      <c r="I9711" s="6" t="n">
        <f aca="false">Sens!I9690</f>
        <v>605.181805157067</v>
      </c>
      <c r="J9711" s="6" t="n">
        <f aca="false">Sens!J9690</f>
        <v>673.317839660865</v>
      </c>
      <c r="K9711" s="6" t="n">
        <f aca="false">Sens!K9690</f>
        <v>729.876270694496</v>
      </c>
    </row>
    <row r="9712" customFormat="false" ht="15" hidden="false" customHeight="false" outlineLevel="0" collapsed="false">
      <c r="A9712" s="0" t="s">
        <v>1037</v>
      </c>
      <c r="B9712" s="0" t="s">
        <v>98</v>
      </c>
      <c r="D9712" s="6" t="n">
        <f aca="false">Sens!D9691</f>
        <v>22.171</v>
      </c>
      <c r="E9712" s="6" t="n">
        <f aca="false">Sens!E9691</f>
        <v>24.835</v>
      </c>
      <c r="F9712" s="6" t="n">
        <f aca="false">Sens!F9691</f>
        <v>27.5591895660247</v>
      </c>
      <c r="G9712" s="6" t="n">
        <f aca="false">Sens!G9691</f>
        <v>30.4098563144583</v>
      </c>
      <c r="H9712" s="6" t="n">
        <f aca="false">Sens!H9691</f>
        <v>33.3011792571777</v>
      </c>
      <c r="I9712" s="6" t="n">
        <f aca="false">Sens!I9691</f>
        <v>36.189023797112</v>
      </c>
      <c r="J9712" s="6" t="n">
        <f aca="false">Sens!J9691</f>
        <v>39.0247773769199</v>
      </c>
      <c r="K9712" s="6" t="n">
        <f aca="false">Sens!K9691</f>
        <v>41.7565117933043</v>
      </c>
    </row>
    <row r="9713" customFormat="false" ht="15" hidden="false" customHeight="false" outlineLevel="0" collapsed="false">
      <c r="A9713" s="0" t="s">
        <v>1038</v>
      </c>
      <c r="B9713" s="0" t="s">
        <v>98</v>
      </c>
      <c r="D9713" s="6" t="n">
        <f aca="false">Sens!D9693</f>
        <v>23.455</v>
      </c>
      <c r="E9713" s="6" t="n">
        <f aca="false">Sens!E9693</f>
        <v>21.79</v>
      </c>
      <c r="F9713" s="6" t="n">
        <f aca="false">Sens!F9693</f>
        <v>20.7520981041711</v>
      </c>
      <c r="G9713" s="6" t="n">
        <f aca="false">Sens!G9693</f>
        <v>19.9083593495882</v>
      </c>
      <c r="H9713" s="6" t="n">
        <f aca="false">Sens!H9693</f>
        <v>19.4008256265831</v>
      </c>
      <c r="I9713" s="6" t="n">
        <f aca="false">Sens!I9693</f>
        <v>19.200434522122</v>
      </c>
      <c r="J9713" s="6" t="n">
        <f aca="false">Sens!J9693</f>
        <v>19.2932782348507</v>
      </c>
      <c r="K9713" s="6" t="n">
        <f aca="false">Sens!K9693</f>
        <v>19.6791437995477</v>
      </c>
    </row>
    <row r="9714" customFormat="false" ht="15" hidden="false" customHeight="false" outlineLevel="0" collapsed="false">
      <c r="A9714" s="0" t="s">
        <v>1039</v>
      </c>
      <c r="B9714" s="0" t="s">
        <v>98</v>
      </c>
      <c r="D9714" s="6" t="n">
        <f aca="false">Sens!D9695</f>
        <v>17.315</v>
      </c>
      <c r="E9714" s="6" t="n">
        <f aca="false">Sens!E9695</f>
        <v>17.087</v>
      </c>
      <c r="F9714" s="6" t="n">
        <f aca="false">Sens!F9695</f>
        <v>15.9912273250553</v>
      </c>
      <c r="G9714" s="6" t="n">
        <f aca="false">Sens!G9695</f>
        <v>15.9574562664827</v>
      </c>
      <c r="H9714" s="6" t="n">
        <f aca="false">Sens!H9695</f>
        <v>16.0119687434196</v>
      </c>
      <c r="I9714" s="6" t="n">
        <f aca="false">Sens!I9695</f>
        <v>16.1551810001948</v>
      </c>
      <c r="J9714" s="6" t="n">
        <f aca="false">Sens!J9695</f>
        <v>16.3889793892005</v>
      </c>
      <c r="K9714" s="6" t="n">
        <f aca="false">Sens!K9695</f>
        <v>16.7167589769845</v>
      </c>
    </row>
    <row r="9715" customFormat="false" ht="15" hidden="false" customHeight="false" outlineLevel="0" collapsed="false">
      <c r="A9715" s="0" t="s">
        <v>866</v>
      </c>
      <c r="B9715" s="0" t="s">
        <v>98</v>
      </c>
      <c r="D9715" s="6" t="n">
        <f aca="false">Sens!D9697</f>
        <v>62.941</v>
      </c>
      <c r="E9715" s="6" t="n">
        <f aca="false">Sens!E9697</f>
        <v>63.712</v>
      </c>
      <c r="F9715" s="6" t="n">
        <f aca="false">Sens!F9697</f>
        <v>64.3025149952511</v>
      </c>
      <c r="G9715" s="6" t="n">
        <f aca="false">Sens!G9697</f>
        <v>66.2756719305292</v>
      </c>
      <c r="H9715" s="6" t="n">
        <f aca="false">Sens!H9697</f>
        <v>68.7139736271804</v>
      </c>
      <c r="I9715" s="6" t="n">
        <f aca="false">Sens!I9697</f>
        <v>71.5446393194289</v>
      </c>
      <c r="J9715" s="6" t="n">
        <f aca="false">Sens!J9697</f>
        <v>74.707035000971</v>
      </c>
      <c r="K9715" s="6" t="n">
        <f aca="false">Sens!K9697</f>
        <v>78.1524145698365</v>
      </c>
    </row>
    <row r="9716" customFormat="false" ht="15" hidden="false" customHeight="false" outlineLevel="0" collapsed="false">
      <c r="A9716" s="1" t="s">
        <v>1055</v>
      </c>
      <c r="B9716" s="0" t="s">
        <v>98</v>
      </c>
      <c r="D9716" s="6" t="n">
        <f aca="false">Sens!D9698</f>
        <v>281.724</v>
      </c>
      <c r="E9716" s="6" t="n">
        <f aca="false">Sens!E9698</f>
        <v>331.839</v>
      </c>
      <c r="F9716" s="6" t="n">
        <f aca="false">Sens!F9698</f>
        <v>403.462904415012</v>
      </c>
      <c r="G9716" s="6" t="n">
        <f aca="false">Sens!G9698</f>
        <v>493.45359851683</v>
      </c>
      <c r="H9716" s="6" t="n">
        <f aca="false">Sens!H9698</f>
        <v>591.417320479583</v>
      </c>
      <c r="I9716" s="6" t="n">
        <f aca="false">Sens!I9698</f>
        <v>676.726444476496</v>
      </c>
      <c r="J9716" s="6" t="n">
        <f aca="false">Sens!J9698</f>
        <v>748.024874661836</v>
      </c>
      <c r="K9716" s="6" t="n">
        <f aca="false">Sens!K9698</f>
        <v>808.028685264332</v>
      </c>
    </row>
    <row r="9717" customFormat="false" ht="15" hidden="false" customHeight="false" outlineLevel="0" collapsed="false">
      <c r="A9717" s="1" t="s">
        <v>1056</v>
      </c>
      <c r="B9717" s="0" t="s">
        <v>168</v>
      </c>
      <c r="E9717" s="7" t="n">
        <f aca="false">Sens!E9716/Sens!D9716-1</f>
        <v>0.177886867998467</v>
      </c>
      <c r="F9717" s="7" t="n">
        <f aca="false">Sens!F9716/Sens!E9716-1</f>
        <v>0.215839320920725</v>
      </c>
      <c r="G9717" s="7" t="n">
        <f aca="false">Sens!G9716/Sens!F9716-1</f>
        <v>0.22304576980205</v>
      </c>
      <c r="H9717" s="7" t="n">
        <f aca="false">Sens!H9716/Sens!G9716-1</f>
        <v>0.198526715089731</v>
      </c>
      <c r="I9717" s="7" t="n">
        <f aca="false">Sens!I9716/Sens!H9716-1</f>
        <v>0.144245224214494</v>
      </c>
      <c r="J9717" s="7" t="n">
        <f aca="false">Sens!J9716/Sens!I9716-1</f>
        <v>0.105357830726558</v>
      </c>
      <c r="K9717" s="7" t="n">
        <f aca="false">Sens!K9716/Sens!J9716-1</f>
        <v>0.0802163305459893</v>
      </c>
    </row>
    <row r="9718" customFormat="false" ht="17.15" hidden="false" customHeight="false" outlineLevel="0" collapsed="false">
      <c r="A9718" s="26" t="s">
        <v>1057</v>
      </c>
      <c r="B9718" s="31" t="s">
        <v>98</v>
      </c>
      <c r="C9718" s="31"/>
      <c r="D9718" s="27" t="n">
        <f aca="false">(Sens!D9711+Sens!D9715-Sens!D9716)+(Sens!D9703+Sens!D9704-Sens!D9702)+(Sens!D9706+Sens!D9707-Sens!D9705)+(Sens!D9716-Q!L18)</f>
        <v>0</v>
      </c>
      <c r="E9718" s="27" t="n">
        <f aca="false">(Sens!E9711+Sens!E9715-Sens!E9716)+(Sens!E9703+Sens!E9704-Sens!E9702)+(Sens!E9706+Sens!E9707-Sens!E9705)+(Sens!E9716-Q!M18)</f>
        <v>0</v>
      </c>
      <c r="F9718" s="27" t="n">
        <f aca="false">(Sens!F9711+Sens!F9715-Sens!F9716)+(Sens!F9703+Sens!F9704-Sens!F9702)+(Sens!F9706+Sens!F9707-Sens!F9705)</f>
        <v>0</v>
      </c>
      <c r="G9718" s="27" t="n">
        <f aca="false">(Sens!G9711+Sens!G9715-Sens!G9716)+(Sens!G9703+Sens!G9704-Sens!G9702)+(Sens!G9706+Sens!G9707-Sens!G9705)</f>
        <v>0</v>
      </c>
      <c r="H9718" s="27" t="n">
        <f aca="false">(Sens!H9711+Sens!H9715-Sens!H9716)+(Sens!H9703+Sens!H9704-Sens!H9702)+(Sens!H9706+Sens!H9707-Sens!H9705)</f>
        <v>0</v>
      </c>
      <c r="I9718" s="27" t="n">
        <f aca="false">(Sens!I9711+Sens!I9715-Sens!I9716)+(Sens!I9703+Sens!I9704-Sens!I9702)+(Sens!I9706+Sens!I9707-Sens!I9705)</f>
        <v>0</v>
      </c>
      <c r="J9718" s="27" t="n">
        <f aca="false">(Sens!J9711+Sens!J9715-Sens!J9716)+(Sens!J9703+Sens!J9704-Sens!J9702)+(Sens!J9706+Sens!J9707-Sens!J9705)</f>
        <v>0</v>
      </c>
      <c r="K9718" s="27" t="n">
        <f aca="false">(Sens!K9711+Sens!K9715-Sens!K9716)+(Sens!K9703+Sens!K9704-Sens!K9702)+(Sens!K9706+Sens!K9707-Sens!K9705)</f>
        <v>0</v>
      </c>
    </row>
    <row r="9719" customFormat="false" ht="17.15" hidden="false" customHeight="false" outlineLevel="0" collapsed="false">
      <c r="A9719" s="0" t="s">
        <v>1058</v>
      </c>
      <c r="B9719" s="0" t="s">
        <v>168</v>
      </c>
      <c r="E9719" s="7" t="n">
        <f aca="false">(Q!M21+Sens!E9655+Sens!E9656+Sens!E9657+Sens!E9671-Sens!E9653)/(Q!M5-Sens!E9653)</f>
        <v>0.570957350878296</v>
      </c>
      <c r="F9719" s="7" t="n">
        <f aca="false">Sens!$E$9719+dm_seg</f>
        <v>0.570957350878296</v>
      </c>
      <c r="G9719" s="7" t="n">
        <f aca="false">Sens!$E$9719+dm_seg</f>
        <v>0.570957350878296</v>
      </c>
      <c r="H9719" s="7" t="n">
        <f aca="false">Sens!$E$9719+dm_seg</f>
        <v>0.570957350878296</v>
      </c>
      <c r="I9719" s="7" t="n">
        <f aca="false">Sens!$E$9719+dm_seg</f>
        <v>0.570957350878296</v>
      </c>
      <c r="J9719" s="7" t="n">
        <f aca="false">Sens!$E$9719+dm_seg</f>
        <v>0.570957350878296</v>
      </c>
      <c r="K9719" s="7" t="n">
        <f aca="false">Sens!$E$9719+dm_seg</f>
        <v>0.570957350878296</v>
      </c>
      <c r="L9719" s="12" t="s">
        <v>1059</v>
      </c>
    </row>
    <row r="9720" customFormat="false" ht="17.15" hidden="false" customHeight="false" outlineLevel="0" collapsed="false">
      <c r="A9720" s="0" t="s">
        <v>880</v>
      </c>
      <c r="B9720" s="0" t="s">
        <v>98</v>
      </c>
      <c r="D9720" s="6" t="n">
        <f aca="false">Q!L21</f>
        <v>110.814</v>
      </c>
      <c r="E9720" s="6" t="n">
        <f aca="false">Q!M21</f>
        <v>136.365</v>
      </c>
      <c r="F9720" s="6" t="n">
        <f aca="false">Q!$I$21+(Sens!F9719*(Sens!F9690-Sens!F9653)+Sens!F9653-(Sens!F9655+Sens!F9656+Sens!F9657)-Sens!F9671-Sens!F9754)*(Sens!F9690-Q!$I$5)/Sens!F9690</f>
        <v>165.734617763139</v>
      </c>
      <c r="G9720" s="6" t="n">
        <f aca="false">(Sens!G9719*(Sens!G9690-Sens!G9653)+Sens!G9653-(Sens!G9655+Sens!G9656+Sens!G9657)-Sens!G9671-Sens!G9754)</f>
        <v>192.479799210818</v>
      </c>
      <c r="H9720" s="6" t="n">
        <f aca="false">(Sens!H9719*(Sens!H9690-Sens!H9653)+Sens!H9653-(Sens!H9655+Sens!H9656+Sens!H9657)-Sens!H9671-Sens!H9754)</f>
        <v>228.134127813539</v>
      </c>
      <c r="I9720" s="6" t="n">
        <f aca="false">(Sens!I9719*(Sens!I9690-Sens!I9653)+Sens!I9653-(Sens!I9655+Sens!I9656+Sens!I9657)-Sens!I9671-Sens!I9754)</f>
        <v>256.278001799504</v>
      </c>
      <c r="J9720" s="6" t="n">
        <f aca="false">(Sens!J9719*(Sens!J9690-Sens!J9653)+Sens!J9653-(Sens!J9655+Sens!J9656+Sens!J9657)-Sens!J9671-Sens!J9754)</f>
        <v>281.874310964564</v>
      </c>
      <c r="K9720" s="6" t="n">
        <f aca="false">(Sens!K9719*(Sens!K9690-Sens!K9653)+Sens!K9653-(Sens!K9655+Sens!K9656+Sens!K9657)-Sens!K9671-Sens!K9754)</f>
        <v>306.390882764316</v>
      </c>
      <c r="L9720" s="1" t="s">
        <v>1060</v>
      </c>
    </row>
    <row r="9721" customFormat="false" ht="17.15" hidden="false" customHeight="false" outlineLevel="0" collapsed="false">
      <c r="A9721" s="0" t="s">
        <v>1061</v>
      </c>
      <c r="B9721" s="0" t="s">
        <v>168</v>
      </c>
      <c r="E9721" s="7" t="n">
        <f aca="false">Q!M22/Q!M12</f>
        <v>0.296207935710698</v>
      </c>
      <c r="F9721" s="7" t="n">
        <f aca="false">Sens!$E$9721+dm_seg</f>
        <v>0.296207935710698</v>
      </c>
      <c r="G9721" s="7" t="n">
        <f aca="false">Sens!$E$9721+dm_seg</f>
        <v>0.296207935710698</v>
      </c>
      <c r="H9721" s="7" t="n">
        <f aca="false">Sens!$E$9721+dm_seg</f>
        <v>0.296207935710698</v>
      </c>
      <c r="I9721" s="7" t="n">
        <f aca="false">Sens!$E$9721+dm_seg</f>
        <v>0.296207935710698</v>
      </c>
      <c r="J9721" s="7" t="n">
        <f aca="false">Sens!$E$9721+dm_seg</f>
        <v>0.296207935710698</v>
      </c>
      <c r="K9721" s="7" t="n">
        <f aca="false">Sens!$E$9721+dm_seg</f>
        <v>0.296207935710698</v>
      </c>
      <c r="L9721" s="12" t="s">
        <v>1062</v>
      </c>
    </row>
    <row r="9722" customFormat="false" ht="17.15" hidden="false" customHeight="false" outlineLevel="0" collapsed="false">
      <c r="A9722" s="0" t="s">
        <v>882</v>
      </c>
      <c r="B9722" s="0" t="s">
        <v>98</v>
      </c>
      <c r="D9722" s="6" t="n">
        <f aca="false">Q!L22</f>
        <v>17.714</v>
      </c>
      <c r="E9722" s="6" t="n">
        <f aca="false">Q!M22</f>
        <v>18.872</v>
      </c>
      <c r="F9722" s="6" t="n">
        <f aca="false">Q!$I$22+(Sens!F9697-Q!$I$12)*Sens!F9721</f>
        <v>19.8174315512051</v>
      </c>
      <c r="G9722" s="6" t="n">
        <f aca="false">Sens!G9697*Sens!G9721</f>
        <v>19.6313799703815</v>
      </c>
      <c r="H9722" s="6" t="n">
        <f aca="false">Sens!H9697*Sens!H9721</f>
        <v>20.3536242825865</v>
      </c>
      <c r="I9722" s="6" t="n">
        <f aca="false">Sens!I9697*Sens!I9721</f>
        <v>21.1920899239745</v>
      </c>
      <c r="J9722" s="6" t="n">
        <f aca="false">Sens!J9697*Sens!J9721</f>
        <v>22.1288166207045</v>
      </c>
      <c r="K9722" s="6" t="n">
        <f aca="false">Sens!K9697*Sens!K9721</f>
        <v>23.1493653905379</v>
      </c>
      <c r="L9722" s="12" t="s">
        <v>1063</v>
      </c>
    </row>
    <row r="9723" customFormat="false" ht="15" hidden="false" customHeight="false" outlineLevel="0" collapsed="false">
      <c r="A9723" s="1" t="s">
        <v>1064</v>
      </c>
      <c r="B9723" s="0" t="s">
        <v>98</v>
      </c>
      <c r="D9723" s="6" t="n">
        <f aca="false">Sens!D9720+Sens!D9722</f>
        <v>128.528</v>
      </c>
      <c r="E9723" s="6" t="n">
        <f aca="false">Sens!E9720+Sens!E9722</f>
        <v>155.237</v>
      </c>
      <c r="F9723" s="6" t="n">
        <f aca="false">Sens!F9720+Sens!F9722</f>
        <v>185.552049314344</v>
      </c>
      <c r="G9723" s="6" t="n">
        <f aca="false">Sens!G9720+Sens!G9722</f>
        <v>212.111179181199</v>
      </c>
      <c r="H9723" s="6" t="n">
        <f aca="false">Sens!H9720+Sens!H9722</f>
        <v>248.487752096125</v>
      </c>
      <c r="I9723" s="6" t="n">
        <f aca="false">Sens!I9720+Sens!I9722</f>
        <v>277.470091723479</v>
      </c>
      <c r="J9723" s="6" t="n">
        <f aca="false">Sens!J9720+Sens!J9722</f>
        <v>304.003127585269</v>
      </c>
      <c r="K9723" s="6" t="n">
        <f aca="false">Sens!K9720+Sens!K9722</f>
        <v>329.540248154854</v>
      </c>
    </row>
    <row r="9724" customFormat="false" ht="15" hidden="false" customHeight="false" outlineLevel="0" collapsed="false">
      <c r="A9724" s="26" t="s">
        <v>1065</v>
      </c>
      <c r="B9724" s="31" t="s">
        <v>98</v>
      </c>
      <c r="C9724" s="31"/>
      <c r="D9724" s="27" t="n">
        <f aca="false">Sens!D9723-Q!L23</f>
        <v>0</v>
      </c>
      <c r="E9724" s="27" t="n">
        <f aca="false">Sens!E9723-Q!M23</f>
        <v>0</v>
      </c>
      <c r="F9724" s="31"/>
      <c r="G9724" s="31"/>
      <c r="H9724" s="31"/>
      <c r="I9724" s="31"/>
      <c r="J9724" s="31"/>
      <c r="K9724" s="31"/>
    </row>
    <row r="9725" customFormat="false" ht="15" hidden="false" customHeight="false" outlineLevel="0" collapsed="false">
      <c r="A9725" s="1" t="s">
        <v>1066</v>
      </c>
      <c r="B9725" s="0" t="s">
        <v>168</v>
      </c>
      <c r="D9725" s="7" t="n">
        <f aca="false">Sens!D9723/Sens!D9716</f>
        <v>0.456219562408598</v>
      </c>
      <c r="E9725" s="7" t="n">
        <f aca="false">Sens!E9723/Sens!E9716</f>
        <v>0.467808184089272</v>
      </c>
      <c r="F9725" s="7" t="n">
        <f aca="false">Sens!F9723/Sens!F9716</f>
        <v>0.459898660530834</v>
      </c>
      <c r="G9725" s="7" t="n">
        <f aca="false">Sens!G9723/Sens!G9716</f>
        <v>0.429850303693681</v>
      </c>
      <c r="H9725" s="7" t="n">
        <f aca="false">Sens!H9723/Sens!H9716</f>
        <v>0.420156365888347</v>
      </c>
      <c r="I9725" s="7" t="n">
        <f aca="false">Sens!I9723/Sens!I9716</f>
        <v>0.410018101092717</v>
      </c>
      <c r="J9725" s="7" t="n">
        <f aca="false">Sens!J9723/Sens!J9716</f>
        <v>0.406407778514987</v>
      </c>
      <c r="K9725" s="7" t="n">
        <f aca="false">Sens!K9723/Sens!K9716</f>
        <v>0.407832363088757</v>
      </c>
    </row>
    <row r="9726" customFormat="false" ht="17.15" hidden="false" customHeight="false" outlineLevel="0" collapsed="false">
      <c r="A9726" s="1" t="s">
        <v>1067</v>
      </c>
      <c r="B9726" s="0" t="s">
        <v>98</v>
      </c>
      <c r="F9726" s="6" t="n">
        <f aca="false">Sens!F9741</f>
        <v>8.88340674531245</v>
      </c>
      <c r="G9726" s="6" t="n">
        <f aca="false">Sens!G9741</f>
        <v>22.7060305170273</v>
      </c>
      <c r="H9726" s="6" t="n">
        <f aca="false">Sens!H9741</f>
        <v>38.0018452382075</v>
      </c>
      <c r="I9726" s="6" t="n">
        <f aca="false">Sens!I9741</f>
        <v>52.1381094705177</v>
      </c>
      <c r="J9726" s="6" t="n">
        <f aca="false">Sens!J9741</f>
        <v>62.0595818934393</v>
      </c>
      <c r="K9726" s="6" t="n">
        <f aca="false">Sens!K9741</f>
        <v>67.0801312706266</v>
      </c>
      <c r="L9726" s="1" t="s">
        <v>1068</v>
      </c>
    </row>
    <row r="9727" customFormat="false" ht="17.15" hidden="false" customHeight="false" outlineLevel="0" collapsed="false">
      <c r="A9727" s="1" t="s">
        <v>1069</v>
      </c>
      <c r="B9727" s="0" t="s">
        <v>98</v>
      </c>
      <c r="D9727" s="6" t="n">
        <f aca="false">Sens!D9723</f>
        <v>128.528</v>
      </c>
      <c r="E9727" s="6" t="n">
        <f aca="false">Sens!E9723</f>
        <v>155.237</v>
      </c>
      <c r="F9727" s="6" t="n">
        <f aca="false">Sens!F9723+Sens!F9726</f>
        <v>194.435456059656</v>
      </c>
      <c r="G9727" s="6" t="n">
        <f aca="false">Sens!G9723+Sens!G9726</f>
        <v>234.817209698226</v>
      </c>
      <c r="H9727" s="6" t="n">
        <f aca="false">Sens!H9723+Sens!H9726</f>
        <v>286.489597334333</v>
      </c>
      <c r="I9727" s="6" t="n">
        <f aca="false">Sens!I9723+Sens!I9726</f>
        <v>329.608201193997</v>
      </c>
      <c r="J9727" s="6" t="n">
        <f aca="false">Sens!J9723+Sens!J9726</f>
        <v>366.062709478708</v>
      </c>
      <c r="K9727" s="6" t="n">
        <f aca="false">Sens!K9723+Sens!K9726</f>
        <v>396.620379425481</v>
      </c>
    </row>
    <row r="9728" customFormat="false" ht="17.15" hidden="false" customHeight="false" outlineLevel="0" collapsed="false">
      <c r="A9728" s="1" t="s">
        <v>1070</v>
      </c>
      <c r="B9728" s="0" t="s">
        <v>98</v>
      </c>
      <c r="E9728" s="6" t="n">
        <f aca="false">Sens!E9671</f>
        <v>16.3054059770833</v>
      </c>
      <c r="F9728" s="6" t="n">
        <f aca="false">Sens!F9671</f>
        <v>34.5793144783516</v>
      </c>
      <c r="G9728" s="6" t="n">
        <f aca="false">Sens!G9671</f>
        <v>60.7344906522989</v>
      </c>
      <c r="H9728" s="6" t="n">
        <f aca="false">Sens!H9671</f>
        <v>89.1000906614457</v>
      </c>
      <c r="I9728" s="6" t="n">
        <f aca="false">Sens!I9671</f>
        <v>114.231009694548</v>
      </c>
      <c r="J9728" s="6" t="n">
        <f aca="false">Sens!J9671</f>
        <v>132.015673049596</v>
      </c>
      <c r="K9728" s="6" t="n">
        <f aca="false">Sens!K9671</f>
        <v>143.012669550934</v>
      </c>
    </row>
    <row r="9729" customFormat="false" ht="17.15" hidden="false" customHeight="false" outlineLevel="0" collapsed="false">
      <c r="A9729" s="1" t="s">
        <v>1071</v>
      </c>
      <c r="B9729" s="0" t="s">
        <v>98</v>
      </c>
      <c r="E9729" s="6" t="n">
        <f aca="false">Sens!E9753</f>
        <v>22.2285940229167</v>
      </c>
      <c r="F9729" s="6" t="n">
        <f aca="false">Sens!F9753</f>
        <v>23.583299942395</v>
      </c>
      <c r="G9729" s="6" t="n">
        <f aca="false">Sens!G9753</f>
        <v>25.4161990908599</v>
      </c>
      <c r="H9729" s="6" t="n">
        <f aca="false">Sens!H9753</f>
        <v>27.7113664005265</v>
      </c>
      <c r="I9729" s="6" t="n">
        <f aca="false">Sens!I9753</f>
        <v>30.4186342674099</v>
      </c>
      <c r="J9729" s="6" t="n">
        <f aca="false">Sens!J9753</f>
        <v>33.4760674882716</v>
      </c>
      <c r="K9729" s="6" t="n">
        <f aca="false">Sens!K9753</f>
        <v>36.8307391796613</v>
      </c>
    </row>
    <row r="9730" customFormat="false" ht="17.15" hidden="false" customHeight="false" outlineLevel="0" collapsed="false">
      <c r="A9730" s="1" t="s">
        <v>1072</v>
      </c>
      <c r="B9730" s="0" t="s">
        <v>98</v>
      </c>
      <c r="D9730" s="6" t="n">
        <f aca="false">Q!L27</f>
        <v>-4.901</v>
      </c>
      <c r="E9730" s="6" t="n">
        <f aca="false">Q!M27</f>
        <v>10.697</v>
      </c>
      <c r="F9730" s="6" t="n">
        <f aca="false">Q!$I$27+oie_f*(q_per_yr-1)/q_per_yr</f>
        <v>-0.862</v>
      </c>
      <c r="G9730" s="6" t="n">
        <f aca="false">oie_f</f>
        <v>-1.2</v>
      </c>
      <c r="H9730" s="6" t="n">
        <f aca="false">oie_f</f>
        <v>-1.2</v>
      </c>
      <c r="I9730" s="6" t="n">
        <f aca="false">oie_f</f>
        <v>-1.2</v>
      </c>
      <c r="J9730" s="6" t="n">
        <f aca="false">oie_f</f>
        <v>-1.2</v>
      </c>
      <c r="K9730" s="6" t="n">
        <f aca="false">oie_f</f>
        <v>-1.2</v>
      </c>
      <c r="L9730" s="12" t="s">
        <v>1073</v>
      </c>
    </row>
    <row r="9731" customFormat="false" ht="15" hidden="false" customHeight="false" outlineLevel="0" collapsed="false">
      <c r="A9731" s="1" t="s">
        <v>1074</v>
      </c>
      <c r="B9731" s="0" t="s">
        <v>98</v>
      </c>
      <c r="D9731" s="6" t="n">
        <f aca="false">Sens!D9723+Sens!D9730</f>
        <v>123.627</v>
      </c>
      <c r="E9731" s="6" t="n">
        <f aca="false">Sens!E9723+Sens!E9730</f>
        <v>165.934</v>
      </c>
      <c r="F9731" s="6" t="n">
        <f aca="false">Sens!F9723+Sens!F9730</f>
        <v>184.690049314344</v>
      </c>
      <c r="G9731" s="6" t="n">
        <f aca="false">Sens!G9723+Sens!G9730</f>
        <v>210.911179181199</v>
      </c>
      <c r="H9731" s="6" t="n">
        <f aca="false">Sens!H9723+Sens!H9730</f>
        <v>247.287752096125</v>
      </c>
      <c r="I9731" s="6" t="n">
        <f aca="false">Sens!I9723+Sens!I9730</f>
        <v>276.270091723479</v>
      </c>
      <c r="J9731" s="6" t="n">
        <f aca="false">Sens!J9723+Sens!J9730</f>
        <v>302.803127585269</v>
      </c>
      <c r="K9731" s="6" t="n">
        <f aca="false">Sens!K9723+Sens!K9730</f>
        <v>328.340248154854</v>
      </c>
    </row>
    <row r="9732" customFormat="false" ht="15" hidden="false" customHeight="false" outlineLevel="0" collapsed="false">
      <c r="A9732" s="1" t="s">
        <v>1075</v>
      </c>
      <c r="B9732" s="0" t="s">
        <v>98</v>
      </c>
      <c r="D9732" s="6" t="n">
        <f aca="false">Q!L29</f>
        <v>21.795</v>
      </c>
      <c r="E9732" s="6" t="n">
        <f aca="false">Q!M29</f>
        <v>32.185</v>
      </c>
      <c r="F9732" s="6" t="n">
        <f aca="false">Q!$I$29+(Sens!F9731-Q!$I$28)*tax_f</f>
        <v>37.0714098628688</v>
      </c>
      <c r="G9732" s="6" t="n">
        <f aca="false">Sens!G9731*tax_f</f>
        <v>42.1822358362398</v>
      </c>
      <c r="H9732" s="6" t="n">
        <f aca="false">Sens!H9731*tax_f</f>
        <v>49.4575504192251</v>
      </c>
      <c r="I9732" s="6" t="n">
        <f aca="false">Sens!I9731*tax_f</f>
        <v>55.2540183446958</v>
      </c>
      <c r="J9732" s="6" t="n">
        <f aca="false">Sens!J9731*tax_f</f>
        <v>60.5606255170537</v>
      </c>
      <c r="K9732" s="6" t="n">
        <f aca="false">Sens!K9731*tax_f</f>
        <v>65.6680496309708</v>
      </c>
    </row>
    <row r="9733" customFormat="false" ht="15" hidden="false" customHeight="false" outlineLevel="0" collapsed="false">
      <c r="A9733" s="1" t="s">
        <v>1076</v>
      </c>
      <c r="B9733" s="0" t="s">
        <v>98</v>
      </c>
      <c r="D9733" s="6" t="n">
        <f aca="false">Sens!D9731-Sens!D9732</f>
        <v>101.832</v>
      </c>
      <c r="E9733" s="6" t="n">
        <f aca="false">Sens!E9731-Sens!E9732</f>
        <v>133.749</v>
      </c>
      <c r="F9733" s="6" t="n">
        <f aca="false">Sens!F9731-Sens!F9732</f>
        <v>147.618639451475</v>
      </c>
      <c r="G9733" s="6" t="n">
        <f aca="false">Sens!G9731-Sens!G9732</f>
        <v>168.728943344959</v>
      </c>
      <c r="H9733" s="6" t="n">
        <f aca="false">Sens!H9731-Sens!H9732</f>
        <v>197.8302016769</v>
      </c>
      <c r="I9733" s="6" t="n">
        <f aca="false">Sens!I9731-Sens!I9732</f>
        <v>221.016073378783</v>
      </c>
      <c r="J9733" s="6" t="n">
        <f aca="false">Sens!J9731-Sens!J9732</f>
        <v>242.242502068215</v>
      </c>
      <c r="K9733" s="6" t="n">
        <f aca="false">Sens!K9731-Sens!K9732</f>
        <v>262.672198523883</v>
      </c>
    </row>
    <row r="9734" customFormat="false" ht="17.15" hidden="false" customHeight="false" outlineLevel="0" collapsed="false">
      <c r="A9734" s="1" t="s">
        <v>1077</v>
      </c>
      <c r="B9734" s="1" t="s">
        <v>81</v>
      </c>
      <c r="D9734" s="15" t="n">
        <f aca="false">Q!L31</f>
        <v>7.465</v>
      </c>
      <c r="E9734" s="15" t="n">
        <f aca="false">Q!M31</f>
        <v>7.453</v>
      </c>
      <c r="F9734" s="15" t="n">
        <f aca="false">Sens!F9778</f>
        <v>7.47048739429365</v>
      </c>
      <c r="G9734" s="15" t="n">
        <f aca="false">Sens!G9778</f>
        <v>7.50916679839481</v>
      </c>
      <c r="H9734" s="15" t="n">
        <f aca="false">Sens!H9778</f>
        <v>7.53355874723111</v>
      </c>
      <c r="I9734" s="15" t="n">
        <f aca="false">Sens!I9778</f>
        <v>7.54524011128658</v>
      </c>
      <c r="J9734" s="15" t="n">
        <f aca="false">Sens!J9778</f>
        <v>7.55938952244905</v>
      </c>
      <c r="K9734" s="15" t="n">
        <f aca="false">Sens!K9778</f>
        <v>7.5758241624143</v>
      </c>
    </row>
    <row r="9735" customFormat="false" ht="17.15" hidden="false" customHeight="false" outlineLevel="0" collapsed="false">
      <c r="A9735" s="0" t="s">
        <v>1078</v>
      </c>
      <c r="B9735" s="0" t="s">
        <v>75</v>
      </c>
      <c r="D9735" s="8" t="n">
        <f aca="false">Sens!D9733/Sens!D9734</f>
        <v>13.641259209645</v>
      </c>
      <c r="E9735" s="8" t="n">
        <f aca="false">Sens!E9733/Sens!E9734</f>
        <v>17.9456594659869</v>
      </c>
      <c r="F9735" s="8" t="n">
        <f aca="false">Sens!F9733/Sens!F9734</f>
        <v>19.7602420913305</v>
      </c>
      <c r="G9735" s="8" t="n">
        <f aca="false">Sens!G9733/Sens!G9734</f>
        <v>22.4697290491706</v>
      </c>
      <c r="H9735" s="8" t="n">
        <f aca="false">Sens!H9733/Sens!H9734</f>
        <v>26.25986048753</v>
      </c>
      <c r="I9735" s="8" t="n">
        <f aca="false">Sens!I9733/Sens!I9734</f>
        <v>29.292119285664</v>
      </c>
      <c r="J9735" s="8" t="n">
        <f aca="false">Sens!J9733/Sens!J9734</f>
        <v>32.0452466894092</v>
      </c>
      <c r="K9735" s="8" t="n">
        <f aca="false">Sens!K9733/Sens!K9734</f>
        <v>34.6724254539949</v>
      </c>
      <c r="L9735" s="1" t="s">
        <v>1079</v>
      </c>
    </row>
    <row r="9736" customFormat="false" ht="17.15" hidden="false" customHeight="false" outlineLevel="0" collapsed="false">
      <c r="A9736" s="1" t="s">
        <v>1080</v>
      </c>
      <c r="B9736" s="0" t="s">
        <v>98</v>
      </c>
      <c r="D9736" s="6" t="n">
        <f aca="false">Sens!D9733</f>
        <v>101.832</v>
      </c>
      <c r="E9736" s="6" t="n">
        <f aca="false">Sens!E9733</f>
        <v>133.749</v>
      </c>
      <c r="F9736" s="6" t="n">
        <f aca="false">Sens!F9733+Sens!F9726*(1-tax_f)</f>
        <v>154.725364847725</v>
      </c>
      <c r="G9736" s="6" t="n">
        <f aca="false">Sens!G9733+Sens!G9726*(1-tax_f)</f>
        <v>186.893767758581</v>
      </c>
      <c r="H9736" s="6" t="n">
        <f aca="false">Sens!H9733+Sens!H9726*(1-tax_f)</f>
        <v>228.231677867466</v>
      </c>
      <c r="I9736" s="6" t="n">
        <f aca="false">Sens!I9733+Sens!I9726*(1-tax_f)</f>
        <v>262.726560955197</v>
      </c>
      <c r="J9736" s="6" t="n">
        <f aca="false">Sens!J9733+Sens!J9726*(1-tax_f)</f>
        <v>291.890167582966</v>
      </c>
      <c r="K9736" s="6" t="n">
        <f aca="false">Sens!K9733+Sens!K9726*(1-tax_f)</f>
        <v>316.336303540385</v>
      </c>
    </row>
    <row r="9737" customFormat="false" ht="17.15" hidden="false" customHeight="false" outlineLevel="0" collapsed="false">
      <c r="A9737" s="0" t="s">
        <v>1081</v>
      </c>
      <c r="B9737" s="0" t="s">
        <v>75</v>
      </c>
      <c r="D9737" s="8" t="n">
        <f aca="false">Sens!D9736/Sens!D9734</f>
        <v>13.641259209645</v>
      </c>
      <c r="E9737" s="8" t="n">
        <f aca="false">Sens!E9736/Sens!E9734</f>
        <v>17.9456594659869</v>
      </c>
      <c r="F9737" s="8" t="n">
        <f aca="false">Sens!F9736/Sens!F9734</f>
        <v>20.7115488831308</v>
      </c>
      <c r="G9737" s="8" t="n">
        <f aca="false">Sens!G9736/Sens!G9734</f>
        <v>24.888749015208</v>
      </c>
      <c r="H9737" s="8" t="n">
        <f aca="false">Sens!H9736/Sens!H9734</f>
        <v>30.29533392188</v>
      </c>
      <c r="I9737" s="8" t="n">
        <f aca="false">Sens!I9736/Sens!I9734</f>
        <v>34.8201723311889</v>
      </c>
      <c r="J9737" s="8" t="n">
        <f aca="false">Sens!J9736/Sens!J9734</f>
        <v>38.6129285593953</v>
      </c>
      <c r="K9737" s="8" t="n">
        <f aca="false">Sens!K9736/Sens!K9734</f>
        <v>41.7560250553087</v>
      </c>
      <c r="L9737" s="1" t="s">
        <v>1082</v>
      </c>
    </row>
    <row r="9738" customFormat="false" ht="17.15" hidden="false" customHeight="false" outlineLevel="0" collapsed="false">
      <c r="A9738" s="0" t="s">
        <v>1083</v>
      </c>
      <c r="B9738" s="0" t="s">
        <v>168</v>
      </c>
      <c r="E9738" s="7" t="n">
        <f aca="false">Sens!E9737/Sens!D9737-1</f>
        <v>0.315542736208578</v>
      </c>
      <c r="F9738" s="7" t="n">
        <f aca="false">Sens!F9737/Sens!E9737-1</f>
        <v>0.154125816461981</v>
      </c>
      <c r="G9738" s="7" t="n">
        <f aca="false">Sens!G9737/Sens!F9737-1</f>
        <v>0.201684584559462</v>
      </c>
      <c r="H9738" s="7" t="n">
        <f aca="false">Sens!H9737/Sens!G9737-1</f>
        <v>0.217230078674038</v>
      </c>
      <c r="I9738" s="7" t="n">
        <f aca="false">Sens!I9737/Sens!H9737-1</f>
        <v>0.149357601437128</v>
      </c>
      <c r="J9738" s="7" t="n">
        <f aca="false">Sens!J9737/Sens!I9737-1</f>
        <v>0.108924108477464</v>
      </c>
      <c r="K9738" s="7" t="n">
        <f aca="false">Sens!K9737/Sens!J9737-1</f>
        <v>0.0814001064715577</v>
      </c>
    </row>
    <row r="9739" customFormat="false" ht="17.15" hidden="false" customHeight="false" outlineLevel="0" collapsed="false">
      <c r="A9739" s="0" t="s">
        <v>1003</v>
      </c>
      <c r="B9739" s="0" t="s">
        <v>98</v>
      </c>
      <c r="E9739" s="6" t="n">
        <f aca="false">Sens!E9680</f>
        <v>5.25</v>
      </c>
      <c r="F9739" s="6" t="n">
        <f aca="false">Sens!F9680</f>
        <v>13.5</v>
      </c>
      <c r="G9739" s="6" t="n">
        <f aca="false">Sens!G9680</f>
        <v>22.5</v>
      </c>
      <c r="H9739" s="6" t="n">
        <f aca="false">Sens!H9680</f>
        <v>31.5</v>
      </c>
      <c r="I9739" s="6" t="n">
        <f aca="false">Sens!I9680</f>
        <v>38.25</v>
      </c>
      <c r="J9739" s="6" t="n">
        <f aca="false">Sens!J9680</f>
        <v>42.75</v>
      </c>
      <c r="K9739" s="6" t="n">
        <f aca="false">Sens!K9680</f>
        <v>47.25</v>
      </c>
    </row>
    <row r="9740" customFormat="false" ht="17.15" hidden="false" customHeight="false" outlineLevel="0" collapsed="false">
      <c r="A9740" s="1" t="s">
        <v>1004</v>
      </c>
      <c r="B9740" s="0" t="s">
        <v>98</v>
      </c>
      <c r="F9740" s="6" t="n">
        <f aca="false">MAX(0,((Sens!E9640+Sens!F9640)/2-(shadow_base*(Sens!$D$9640+Sens!$E$9640)/2+(1-shadow_base)*Sens!$E$9640))*Sens!F9649/1000-(Sens!F9739-Sens!$E$9739)*Sens!F9719)</f>
        <v>8.88340674531245</v>
      </c>
      <c r="G9740" s="6" t="n">
        <f aca="false">MAX(0,((Sens!F9640+Sens!G9640)/2-(shadow_base*(Sens!$D$9640+Sens!$E$9640)/2+(1-shadow_base)*Sens!$E$9640))*Sens!G9649/1000-(Sens!G9739-Sens!$E$9739)*Sens!G9719)</f>
        <v>22.7060305170273</v>
      </c>
      <c r="H9740" s="6" t="n">
        <f aca="false">MAX(0,((Sens!G9640+Sens!H9640)/2-(shadow_base*(Sens!$D$9640+Sens!$E$9640)/2+(1-shadow_base)*Sens!$E$9640))*Sens!H9649/1000-(Sens!H9739-Sens!$E$9739)*Sens!H9719)</f>
        <v>38.0018452382075</v>
      </c>
      <c r="I9740" s="6" t="n">
        <f aca="false">MAX(0,((Sens!H9640+Sens!I9640)/2-(shadow_base*(Sens!$D$9640+Sens!$E$9640)/2+(1-shadow_base)*Sens!$E$9640))*Sens!I9649/1000-(Sens!I9739-Sens!$E$9739)*Sens!I9719)</f>
        <v>52.1381094705177</v>
      </c>
      <c r="J9740" s="6" t="n">
        <f aca="false">MAX(0,((Sens!I9640+Sens!J9640)/2-(shadow_base*(Sens!$D$9640+Sens!$E$9640)/2+(1-shadow_base)*Sens!$E$9640))*Sens!J9649/1000-(Sens!J9739-Sens!$E$9739)*Sens!J9719)</f>
        <v>62.0595818934393</v>
      </c>
      <c r="K9740" s="6" t="n">
        <f aca="false">MAX(0,((Sens!J9640+Sens!K9640)/2-(shadow_base*(Sens!$D$9640+Sens!$E$9640)/2+(1-shadow_base)*Sens!$E$9640))*Sens!K9649/1000-(Sens!K9739-Sens!$E$9739)*Sens!K9719)</f>
        <v>67.0801312706266</v>
      </c>
      <c r="L9740" s="1" t="s">
        <v>1005</v>
      </c>
    </row>
    <row r="9741" customFormat="false" ht="17.15" hidden="false" customHeight="false" outlineLevel="0" collapsed="false">
      <c r="A9741" s="1" t="s">
        <v>1006</v>
      </c>
      <c r="B9741" s="0" t="s">
        <v>98</v>
      </c>
      <c r="F9741" s="6" t="n">
        <f aca="false">IF(internal_ai_reading=2,1,0)*Sens!F9740</f>
        <v>8.88340674531245</v>
      </c>
      <c r="G9741" s="6" t="n">
        <f aca="false">IF(internal_ai_reading=2,1,0)*Sens!G9740</f>
        <v>22.7060305170273</v>
      </c>
      <c r="H9741" s="6" t="n">
        <f aca="false">IF(internal_ai_reading=2,1,0)*Sens!H9740</f>
        <v>38.0018452382075</v>
      </c>
      <c r="I9741" s="6" t="n">
        <f aca="false">IF(internal_ai_reading=2,1,0)*Sens!I9740</f>
        <v>52.1381094705177</v>
      </c>
      <c r="J9741" s="6" t="n">
        <f aca="false">IF(internal_ai_reading=2,1,0)*Sens!J9740</f>
        <v>62.0595818934393</v>
      </c>
      <c r="K9741" s="6" t="n">
        <f aca="false">IF(internal_ai_reading=2,1,0)*Sens!K9740</f>
        <v>67.0801312706266</v>
      </c>
    </row>
    <row r="9742" customFormat="false" ht="17.15" hidden="false" customHeight="false" outlineLevel="0" collapsed="false">
      <c r="A9742" s="0" t="s">
        <v>1007</v>
      </c>
      <c r="B9742" s="0" t="s">
        <v>98</v>
      </c>
      <c r="F9742" s="6" t="n">
        <f aca="false">Sens!F9659+Sens!F9739*Sens!F9719+Sens!F9741-Sens!F9660-Sens!F9671</f>
        <v>18.5068678152817</v>
      </c>
      <c r="G9742" s="6" t="n">
        <f aca="false">Sens!G9659+Sens!G9739*Sens!G9719+Sens!G9741-Sens!G9660-Sens!G9671</f>
        <v>43.1983864982792</v>
      </c>
      <c r="H9742" s="6" t="n">
        <f aca="false">Sens!H9659+Sens!H9739*Sens!H9719+Sens!H9741-Sens!H9660-Sens!H9671</f>
        <v>73.502598356074</v>
      </c>
      <c r="I9742" s="6" t="n">
        <f aca="false">Sens!I9659+Sens!I9739*Sens!I9719+Sens!I9741-Sens!I9660-Sens!I9671</f>
        <v>94.7454135378504</v>
      </c>
      <c r="J9742" s="6" t="n">
        <f aca="false">Sens!J9659+Sens!J9739*Sens!J9719+Sens!J9741-Sens!J9660-Sens!J9671</f>
        <v>109.399608126358</v>
      </c>
      <c r="K9742" s="6" t="n">
        <f aca="false">Sens!K9659+Sens!K9739*Sens!K9719+Sens!K9741-Sens!K9660-Sens!K9671</f>
        <v>118.898703181943</v>
      </c>
    </row>
    <row r="9743" customFormat="false" ht="17.15" hidden="false" customHeight="false" outlineLevel="0" collapsed="false">
      <c r="A9743" s="0" t="s">
        <v>1008</v>
      </c>
      <c r="B9743" s="0" t="s">
        <v>98</v>
      </c>
      <c r="E9743" s="6" t="n">
        <f aca="false">Sens!E9639*(cxit_open+self_build*tk_cxfac)/1000*ai_net_open</f>
        <v>126.6980382</v>
      </c>
      <c r="F9743" s="6" t="n">
        <f aca="false">Sens!E9743+Sens!F9668-Sens!F9671</f>
        <v>260.572627763768</v>
      </c>
      <c r="G9743" s="6" t="n">
        <f aca="false">Sens!F9743+Sens!G9668-Sens!G9671</f>
        <v>391.782612760517</v>
      </c>
      <c r="H9743" s="6" t="n">
        <f aca="false">Sens!G9743+Sens!H9668-Sens!H9671</f>
        <v>499.488526163584</v>
      </c>
      <c r="I9743" s="6" t="n">
        <f aca="false">Sens!H9743+Sens!I9668-Sens!I9671</f>
        <v>553.872350090646</v>
      </c>
      <c r="J9743" s="6" t="n">
        <f aca="false">Sens!I9743+Sens!J9668-Sens!J9671</f>
        <v>550.78660823699</v>
      </c>
      <c r="K9743" s="6" t="n">
        <f aca="false">Sens!J9743+Sens!K9668-Sens!K9671</f>
        <v>526.736791750789</v>
      </c>
      <c r="L9743" s="1" t="s">
        <v>1009</v>
      </c>
    </row>
    <row r="9744" customFormat="false" ht="17.15" hidden="false" customHeight="false" outlineLevel="0" collapsed="false">
      <c r="A9744" s="0" t="s">
        <v>1010</v>
      </c>
      <c r="B9744" s="0" t="s">
        <v>168</v>
      </c>
      <c r="F9744" s="7" t="n">
        <f aca="false">Sens!F9742*(1-tax_f)/((Sens!E9743+Sens!F9743)/2)</f>
        <v>0.0764607059271074</v>
      </c>
      <c r="G9744" s="7" t="n">
        <f aca="false">Sens!G9742*(1-tax_f)/((Sens!F9743+Sens!G9743)/2)</f>
        <v>0.105950583522098</v>
      </c>
      <c r="H9744" s="7" t="n">
        <f aca="false">Sens!H9742*(1-tax_f)/((Sens!G9743+Sens!H9743)/2)</f>
        <v>0.131951044114011</v>
      </c>
      <c r="I9744" s="7" t="n">
        <f aca="false">Sens!I9742*(1-tax_f)/((Sens!H9743+Sens!I9743)/2)</f>
        <v>0.143913320760143</v>
      </c>
      <c r="J9744" s="7" t="n">
        <f aca="false">Sens!J9742*(1-tax_f)/((Sens!I9743+Sens!J9743)/2)</f>
        <v>0.158455577336889</v>
      </c>
      <c r="K9744" s="7" t="n">
        <f aca="false">Sens!K9742*(1-tax_f)/((Sens!J9743+Sens!K9743)/2)</f>
        <v>0.176551084731214</v>
      </c>
    </row>
    <row r="9745" customFormat="false" ht="17.15" hidden="false" customHeight="false" outlineLevel="0" collapsed="false">
      <c r="A9745" s="1" t="s">
        <v>1011</v>
      </c>
      <c r="B9745" s="0" t="s">
        <v>168</v>
      </c>
      <c r="F9745" s="7" t="n">
        <f aca="false">(Sens!F9742-Sens!F9741)*(1-tax_f)/((Sens!E9743+Sens!F9743)/2)</f>
        <v>0.0397591118181705</v>
      </c>
      <c r="G9745" s="7" t="n">
        <f aca="false">(Sens!G9742-Sens!G9741)*(1-tax_f)/((Sens!F9743+Sens!G9743)/2)</f>
        <v>0.0502606057761598</v>
      </c>
      <c r="H9745" s="7" t="n">
        <f aca="false">(Sens!H9742-Sens!H9741)*(1-tax_f)/((Sens!G9743+Sens!H9743)/2)</f>
        <v>0.0637305557287023</v>
      </c>
      <c r="I9745" s="7" t="n">
        <f aca="false">(Sens!I9742-Sens!I9741)*(1-tax_f)/((Sens!H9743+Sens!I9743)/2)</f>
        <v>0.0647182632699936</v>
      </c>
      <c r="J9745" s="7" t="n">
        <f aca="false">(Sens!J9742-Sens!J9741)*(1-tax_f)/((Sens!I9743+Sens!J9743)/2)</f>
        <v>0.0685678067440289</v>
      </c>
      <c r="K9745" s="7" t="n">
        <f aca="false">(Sens!K9742-Sens!K9741)*(1-tax_f)/((Sens!J9743+Sens!K9743)/2)</f>
        <v>0.0769447002812616</v>
      </c>
    </row>
    <row r="9746" customFormat="false" ht="17.15" hidden="false" customHeight="false" outlineLevel="0" collapsed="false">
      <c r="A9746" s="1" t="s">
        <v>1012</v>
      </c>
      <c r="B9746" s="0" t="s">
        <v>168</v>
      </c>
      <c r="F9746" s="7" t="n">
        <f aca="false">(Sens!F9742-Sens!F9741+Sens!F9740)*(1-tax_f)/((Sens!E9743+Sens!F9743)/2)</f>
        <v>0.0764607059271074</v>
      </c>
      <c r="G9746" s="7" t="n">
        <f aca="false">(Sens!G9742-Sens!G9741+Sens!G9740)*(1-tax_f)/((Sens!F9743+Sens!G9743)/2)</f>
        <v>0.105950583522098</v>
      </c>
      <c r="H9746" s="7" t="n">
        <f aca="false">(Sens!H9742-Sens!H9741+Sens!H9740)*(1-tax_f)/((Sens!G9743+Sens!H9743)/2)</f>
        <v>0.131951044114011</v>
      </c>
      <c r="I9746" s="7" t="n">
        <f aca="false">(Sens!I9742-Sens!I9741+Sens!I9740)*(1-tax_f)/((Sens!H9743+Sens!I9743)/2)</f>
        <v>0.143913320760143</v>
      </c>
      <c r="J9746" s="7" t="n">
        <f aca="false">(Sens!J9742-Sens!J9741+Sens!J9740)*(1-tax_f)/((Sens!I9743+Sens!J9743)/2)</f>
        <v>0.158455577336889</v>
      </c>
      <c r="K9746" s="7" t="n">
        <f aca="false">(Sens!K9742-Sens!K9741+Sens!K9740)*(1-tax_f)/((Sens!J9743+Sens!K9743)/2)</f>
        <v>0.176551084731214</v>
      </c>
    </row>
    <row r="9747" customFormat="false" ht="17.15" hidden="false" customHeight="false" outlineLevel="0" collapsed="false">
      <c r="A9747" s="1" t="s">
        <v>1013</v>
      </c>
      <c r="B9747" s="0" t="s">
        <v>168</v>
      </c>
      <c r="F9747" s="7" t="n">
        <f aca="false">Sens!F9672*(1-tax_f)/(Sens!F9658*(Sens!E9743+Sens!F9743)/2)</f>
        <v>0.15471433083293</v>
      </c>
      <c r="G9747" s="7" t="n">
        <f aca="false">Sens!G9672*(1-tax_f)/(Sens!G9658*(Sens!F9743+Sens!G9743)/2)</f>
        <v>0.176916911437355</v>
      </c>
      <c r="H9747" s="7" t="n">
        <f aca="false">Sens!H9672*(1-tax_f)/(Sens!H9658*(Sens!G9743+Sens!H9743)/2)</f>
        <v>0.207487057996582</v>
      </c>
      <c r="I9747" s="7" t="n">
        <f aca="false">Sens!I9672*(1-tax_f)/(Sens!I9658*(Sens!H9743+Sens!I9743)/2)</f>
        <v>0.219873660070946</v>
      </c>
      <c r="J9747" s="7" t="n">
        <f aca="false">Sens!J9672*(1-tax_f)/(Sens!J9658*(Sens!I9743+Sens!J9743)/2)</f>
        <v>0.238959457974928</v>
      </c>
      <c r="K9747" s="7" t="n">
        <f aca="false">Sens!K9672*(1-tax_f)/(Sens!K9658*(Sens!J9743+Sens!K9743)/2)</f>
        <v>0.264604270651536</v>
      </c>
    </row>
    <row r="9748" customFormat="false" ht="17.15" hidden="false" customHeight="false" outlineLevel="0" collapsed="false">
      <c r="A9748" s="0" t="s">
        <v>1014</v>
      </c>
      <c r="B9748" s="0" t="s">
        <v>253</v>
      </c>
      <c r="F9748" s="7" t="n">
        <f aca="false">Sens!F9744-wacc</f>
        <v>-0.0264758850184899</v>
      </c>
      <c r="G9748" s="7" t="n">
        <f aca="false">Sens!G9744-wacc</f>
        <v>0.00301399257650095</v>
      </c>
      <c r="H9748" s="7" t="n">
        <f aca="false">Sens!H9744-wacc</f>
        <v>0.0290144531684132</v>
      </c>
      <c r="I9748" s="7" t="n">
        <f aca="false">Sens!I9744-wacc</f>
        <v>0.0409767298145461</v>
      </c>
      <c r="J9748" s="7" t="n">
        <f aca="false">Sens!J9744-wacc</f>
        <v>0.0555189863912922</v>
      </c>
      <c r="K9748" s="7" t="n">
        <f aca="false">Sens!K9744-wacc</f>
        <v>0.0736144937856168</v>
      </c>
    </row>
    <row r="9749" customFormat="false" ht="17.15" hidden="false" customHeight="false" outlineLevel="0" collapsed="false">
      <c r="A9749" s="0" t="s">
        <v>1015</v>
      </c>
      <c r="B9749" s="0" t="s">
        <v>98</v>
      </c>
      <c r="F9749" s="6" t="n">
        <f aca="false">Sens!F9742*(1-tax_f)-wacc*(Sens!E9743+Sens!F9743)/2</f>
        <v>-5.12666681154535</v>
      </c>
      <c r="G9749" s="6" t="n">
        <f aca="false">Sens!G9742*(1-tax_f)-wacc*(Sens!F9743+Sens!G9743)/2</f>
        <v>0.983096926090845</v>
      </c>
      <c r="H9749" s="6" t="n">
        <f aca="false">Sens!H9742*(1-tax_f)-wacc*(Sens!G9743+Sens!H9743)/2</f>
        <v>12.9298723603358</v>
      </c>
      <c r="I9749" s="6" t="n">
        <f aca="false">Sens!I9742*(1-tax_f)-wacc*(Sens!H9743+Sens!I9743)/2</f>
        <v>21.5816420117415</v>
      </c>
      <c r="J9749" s="6" t="n">
        <f aca="false">Sens!J9742*(1-tax_f)-wacc*(Sens!I9743+Sens!J9743)/2</f>
        <v>30.6647728372055</v>
      </c>
      <c r="K9749" s="6" t="n">
        <f aca="false">Sens!K9742*(1-tax_f)-wacc*(Sens!J9743+Sens!K9743)/2</f>
        <v>39.6606698161285</v>
      </c>
    </row>
    <row r="9750" customFormat="false" ht="17.15" hidden="false" customHeight="false" outlineLevel="0" collapsed="false">
      <c r="A9750" s="3" t="s">
        <v>1723</v>
      </c>
    </row>
    <row r="9751" customFormat="false" ht="15" hidden="false" customHeight="false" outlineLevel="0" collapsed="false">
      <c r="A9751" s="4" t="s">
        <v>43</v>
      </c>
      <c r="B9751" s="4" t="s">
        <v>65</v>
      </c>
      <c r="C9751" s="23" t="s">
        <v>938</v>
      </c>
      <c r="D9751" s="23" t="s">
        <v>939</v>
      </c>
      <c r="E9751" s="23" t="s">
        <v>940</v>
      </c>
      <c r="F9751" s="23" t="s">
        <v>941</v>
      </c>
      <c r="G9751" s="23" t="s">
        <v>942</v>
      </c>
      <c r="H9751" s="23" t="s">
        <v>943</v>
      </c>
      <c r="I9751" s="23" t="s">
        <v>944</v>
      </c>
      <c r="J9751" s="23" t="s">
        <v>945</v>
      </c>
      <c r="K9751" s="23" t="s">
        <v>946</v>
      </c>
      <c r="L9751" s="4" t="s">
        <v>47</v>
      </c>
    </row>
    <row r="9752" customFormat="false" ht="15" hidden="false" customHeight="false" outlineLevel="0" collapsed="false">
      <c r="A9752" s="1" t="s">
        <v>1076</v>
      </c>
      <c r="B9752" s="0" t="s">
        <v>98</v>
      </c>
      <c r="F9752" s="6" t="n">
        <f aca="false">Sens!F9733</f>
        <v>147.618639451475</v>
      </c>
      <c r="G9752" s="6" t="n">
        <f aca="false">Sens!G9733</f>
        <v>168.728943344959</v>
      </c>
      <c r="H9752" s="6" t="n">
        <f aca="false">Sens!H9733</f>
        <v>197.8302016769</v>
      </c>
      <c r="I9752" s="6" t="n">
        <f aca="false">Sens!I9733</f>
        <v>221.016073378783</v>
      </c>
      <c r="J9752" s="6" t="n">
        <f aca="false">Sens!J9733</f>
        <v>242.242502068215</v>
      </c>
      <c r="K9752" s="6" t="n">
        <f aca="false">Sens!K9733</f>
        <v>262.672198523883</v>
      </c>
    </row>
    <row r="9753" customFormat="false" ht="17.15" hidden="false" customHeight="false" outlineLevel="0" collapsed="false">
      <c r="A9753" s="1" t="s">
        <v>1098</v>
      </c>
      <c r="B9753" s="0" t="s">
        <v>98</v>
      </c>
      <c r="E9753" s="6" t="n">
        <f aca="false">Q!M38-Sens!E9671</f>
        <v>22.2285940229167</v>
      </c>
      <c r="F9753" s="6" t="n">
        <f aca="false">Sens!E9753*(1-1/life_nonai)+(Sens!F9761+Sens!F9762)/life_nonai</f>
        <v>23.583299942395</v>
      </c>
      <c r="G9753" s="6" t="n">
        <f aca="false">Sens!F9753*(1-1/life_nonai)+(Sens!G9761)/life_nonai</f>
        <v>25.4161990908599</v>
      </c>
      <c r="H9753" s="6" t="n">
        <f aca="false">Sens!G9753*(1-1/life_nonai)+(Sens!H9761)/life_nonai</f>
        <v>27.7113664005265</v>
      </c>
      <c r="I9753" s="6" t="n">
        <f aca="false">Sens!H9753*(1-1/life_nonai)+(Sens!I9761)/life_nonai</f>
        <v>30.4186342674099</v>
      </c>
      <c r="J9753" s="6" t="n">
        <f aca="false">Sens!I9753*(1-1/life_nonai)+(Sens!J9761)/life_nonai</f>
        <v>33.4760674882716</v>
      </c>
      <c r="K9753" s="6" t="n">
        <f aca="false">Sens!J9753*(1-1/life_nonai)+(Sens!K9761)/life_nonai</f>
        <v>36.8307391796613</v>
      </c>
      <c r="L9753" s="12" t="s">
        <v>1099</v>
      </c>
    </row>
    <row r="9754" customFormat="false" ht="17.15" hidden="false" customHeight="false" outlineLevel="0" collapsed="false">
      <c r="A9754" s="1" t="s">
        <v>1100</v>
      </c>
      <c r="B9754" s="0" t="s">
        <v>98</v>
      </c>
      <c r="F9754" s="6" t="n">
        <f aca="false">Sens!$F$9762/life_nonai*(1-1/life_nonai)^(Sens!F9634-2027)</f>
        <v>0</v>
      </c>
      <c r="G9754" s="6" t="n">
        <f aca="false">Sens!$F$9762/life_nonai*(1-1/life_nonai)^(Sens!G9634-2027)</f>
        <v>0</v>
      </c>
      <c r="H9754" s="6" t="n">
        <f aca="false">Sens!$F$9762/life_nonai*(1-1/life_nonai)^(Sens!H9634-2027)</f>
        <v>0</v>
      </c>
      <c r="I9754" s="6" t="n">
        <f aca="false">Sens!$F$9762/life_nonai*(1-1/life_nonai)^(Sens!I9634-2027)</f>
        <v>0</v>
      </c>
      <c r="J9754" s="6" t="n">
        <f aca="false">Sens!$F$9762/life_nonai*(1-1/life_nonai)^(Sens!J9634-2027)</f>
        <v>0</v>
      </c>
      <c r="K9754" s="6" t="n">
        <f aca="false">Sens!$F$9762/life_nonai*(1-1/life_nonai)^(Sens!K9634-2027)</f>
        <v>0</v>
      </c>
      <c r="L9754" s="1" t="s">
        <v>1101</v>
      </c>
    </row>
    <row r="9755" customFormat="false" ht="17.15" hidden="false" customHeight="false" outlineLevel="0" collapsed="false">
      <c r="A9755" s="1" t="s">
        <v>1102</v>
      </c>
      <c r="B9755" s="0" t="s">
        <v>98</v>
      </c>
      <c r="E9755" s="6" t="n">
        <f aca="false">Sens!E9671+Sens!E9753</f>
        <v>38.534</v>
      </c>
      <c r="F9755" s="6" t="n">
        <f aca="false">Sens!F9671+Sens!F9753</f>
        <v>58.1626144207466</v>
      </c>
      <c r="G9755" s="6" t="n">
        <f aca="false">Sens!G9671+Sens!G9753</f>
        <v>86.1506897431589</v>
      </c>
      <c r="H9755" s="6" t="n">
        <f aca="false">Sens!H9671+Sens!H9753</f>
        <v>116.811457061972</v>
      </c>
      <c r="I9755" s="6" t="n">
        <f aca="false">Sens!I9671+Sens!I9753</f>
        <v>144.649643961958</v>
      </c>
      <c r="J9755" s="6" t="n">
        <f aca="false">Sens!J9671+Sens!J9753</f>
        <v>165.491740537868</v>
      </c>
      <c r="K9755" s="6" t="n">
        <f aca="false">Sens!K9671+Sens!K9753</f>
        <v>179.843408730595</v>
      </c>
    </row>
    <row r="9756" customFormat="false" ht="17.15" hidden="false" customHeight="false" outlineLevel="0" collapsed="false">
      <c r="A9756" s="1" t="s">
        <v>1103</v>
      </c>
      <c r="B9756" s="0" t="s">
        <v>98</v>
      </c>
      <c r="F9756" s="6" t="n">
        <f aca="false">Sens!F9698*sbc_r</f>
        <v>15.0824867760216</v>
      </c>
      <c r="G9756" s="6" t="n">
        <f aca="false">Sens!G9698*sbc_r</f>
        <v>18.4465716495086</v>
      </c>
      <c r="H9756" s="6" t="n">
        <f aca="false">Sens!H9698*sbc_r</f>
        <v>22.1087089237529</v>
      </c>
      <c r="I9756" s="6" t="n">
        <f aca="false">Sens!I9698*sbc_r</f>
        <v>25.2977845995526</v>
      </c>
      <c r="J9756" s="6" t="n">
        <f aca="false">Sens!J9698*sbc_r</f>
        <v>27.9631043071492</v>
      </c>
      <c r="K9756" s="6" t="n">
        <f aca="false">Sens!K9698*sbc_r</f>
        <v>30.2062019253434</v>
      </c>
    </row>
    <row r="9757" customFormat="false" ht="17.15" hidden="false" customHeight="false" outlineLevel="0" collapsed="false">
      <c r="A9757" s="1" t="s">
        <v>1104</v>
      </c>
      <c r="B9757" s="0" t="s">
        <v>98</v>
      </c>
      <c r="F9757" s="6" t="n">
        <f aca="false">wc27-wc26q1</f>
        <v>-4.677</v>
      </c>
      <c r="G9757" s="6" t="n">
        <f aca="false">wc_f</f>
        <v>0</v>
      </c>
      <c r="H9757" s="6" t="n">
        <f aca="false">wc_f</f>
        <v>0</v>
      </c>
      <c r="I9757" s="6" t="n">
        <f aca="false">wc_f</f>
        <v>0</v>
      </c>
      <c r="J9757" s="6" t="n">
        <f aca="false">wc_f</f>
        <v>0</v>
      </c>
      <c r="K9757" s="6" t="n">
        <f aca="false">wc_f</f>
        <v>0</v>
      </c>
      <c r="L9757" s="12" t="s">
        <v>1105</v>
      </c>
    </row>
    <row r="9758" customFormat="false" ht="17.15" hidden="false" customHeight="false" outlineLevel="0" collapsed="false">
      <c r="A9758" s="0" t="s">
        <v>1106</v>
      </c>
      <c r="B9758" s="0" t="s">
        <v>98</v>
      </c>
      <c r="F9758" s="6" t="n">
        <f aca="false">Q!$I$35-Q!$I$26-Q!$I$38-Q!$I$39</f>
        <v>6.493</v>
      </c>
      <c r="L9758" s="1" t="s">
        <v>1107</v>
      </c>
    </row>
    <row r="9759" customFormat="false" ht="15" hidden="false" customHeight="false" outlineLevel="0" collapsed="false">
      <c r="A9759" s="1" t="s">
        <v>904</v>
      </c>
      <c r="B9759" s="0" t="s">
        <v>98</v>
      </c>
      <c r="E9759" s="6" t="n">
        <f aca="false">Q!M35</f>
        <v>182.935</v>
      </c>
      <c r="F9759" s="6" t="n">
        <f aca="false">Sens!F9752+Sens!F9755+Sens!F9756+Sens!F9757+Sens!F9758</f>
        <v>222.679740648243</v>
      </c>
      <c r="G9759" s="6" t="n">
        <f aca="false">Sens!G9752+Sens!G9755+Sens!G9756+Sens!G9757</f>
        <v>273.326204737627</v>
      </c>
      <c r="H9759" s="6" t="n">
        <f aca="false">Sens!H9752+Sens!H9755+Sens!H9756+Sens!H9757</f>
        <v>336.750367662625</v>
      </c>
      <c r="I9759" s="6" t="n">
        <f aca="false">Sens!I9752+Sens!I9755+Sens!I9756+Sens!I9757</f>
        <v>390.963501940294</v>
      </c>
      <c r="J9759" s="6" t="n">
        <f aca="false">Sens!J9752+Sens!J9755+Sens!J9756+Sens!J9757</f>
        <v>435.697346913232</v>
      </c>
      <c r="K9759" s="6" t="n">
        <f aca="false">Sens!K9752+Sens!K9755+Sens!K9756+Sens!K9757</f>
        <v>472.721809179822</v>
      </c>
    </row>
    <row r="9760" customFormat="false" ht="17.15" hidden="false" customHeight="false" outlineLevel="0" collapsed="false">
      <c r="A9760" s="0" t="s">
        <v>1108</v>
      </c>
      <c r="B9760" s="0" t="s">
        <v>98</v>
      </c>
      <c r="F9760" s="6" t="n">
        <f aca="false">Sens!F9668</f>
        <v>168.45390404212</v>
      </c>
      <c r="G9760" s="6" t="n">
        <f aca="false">Sens!G9668</f>
        <v>191.944475649048</v>
      </c>
      <c r="H9760" s="6" t="n">
        <f aca="false">Sens!H9668</f>
        <v>196.806004064512</v>
      </c>
      <c r="I9760" s="6" t="n">
        <f aca="false">Sens!I9668</f>
        <v>168.61483362161</v>
      </c>
      <c r="J9760" s="6" t="n">
        <f aca="false">Sens!J9668</f>
        <v>128.92993119594</v>
      </c>
      <c r="K9760" s="6" t="n">
        <f aca="false">Sens!K9668</f>
        <v>118.962853064733</v>
      </c>
    </row>
    <row r="9761" customFormat="false" ht="17.15" hidden="false" customHeight="false" outlineLevel="0" collapsed="false">
      <c r="A9761" s="1" t="s">
        <v>1109</v>
      </c>
      <c r="B9761" s="0" t="s">
        <v>98</v>
      </c>
      <c r="E9761" s="6" t="n">
        <f aca="false">Sens!E9676*cx_azo+Sens!E9683*cx_m365+Sens!E9684*cx_lic+(Sens!E9686+Sens!E9688)*cx_ind+Sens!E9691*cx_srch+(Sens!E9693+Sens!E9695)*cx_dev</f>
        <v>30.1846587067718</v>
      </c>
      <c r="F9761" s="6" t="n">
        <f aca="false">Sens!F9676*cx_azo+Sens!F9683*cx_m365+Sens!F9684*cx_lic+(Sens!F9686+Sens!F9688)*cx_ind+Sens!F9691*cx_srch+(Sens!F9693+Sens!F9695)*cx_dev</f>
        <v>35.7756532176997</v>
      </c>
      <c r="G9761" s="6" t="n">
        <f aca="false">Sens!G9676*cx_azo+Sens!G9683*cx_m365+Sens!G9684*cx_lic+(Sens!G9686+Sens!G9688)*cx_ind+Sens!G9691*cx_srch+(Sens!G9693+Sens!G9695)*cx_dev</f>
        <v>41.9122914270445</v>
      </c>
      <c r="H9761" s="6" t="n">
        <f aca="false">Sens!H9676*cx_azo+Sens!H9683*cx_m365+Sens!H9684*cx_lic+(Sens!H9686+Sens!H9688)*cx_ind+Sens!H9691*cx_srch+(Sens!H9693+Sens!H9695)*cx_dev</f>
        <v>48.3678721875256</v>
      </c>
      <c r="I9761" s="6" t="n">
        <f aca="false">Sens!I9676*cx_azo+Sens!I9683*cx_m365+Sens!I9684*cx_lic+(Sens!I9686+Sens!I9688)*cx_ind+Sens!I9691*cx_srch+(Sens!I9693+Sens!I9695)*cx_dev</f>
        <v>54.7840450693606</v>
      </c>
      <c r="J9761" s="6" t="n">
        <f aca="false">Sens!J9676*cx_azo+Sens!J9683*cx_m365+Sens!J9684*cx_lic+(Sens!J9686+Sens!J9688)*cx_ind+Sens!J9691*cx_srch+(Sens!J9693+Sens!J9695)*cx_dev</f>
        <v>60.9929664760267</v>
      </c>
      <c r="K9761" s="6" t="n">
        <f aca="false">Sens!K9676*cx_azo+Sens!K9683*cx_m365+Sens!K9684*cx_lic+(Sens!K9686+Sens!K9688)*cx_ind+Sens!K9691*cx_srch+(Sens!K9693+Sens!K9695)*cx_dev</f>
        <v>67.0227844021684</v>
      </c>
    </row>
    <row r="9762" customFormat="false" ht="17.15" hidden="false" customHeight="false" outlineLevel="0" collapsed="false">
      <c r="A9762" s="0" t="s">
        <v>1110</v>
      </c>
      <c r="B9762" s="0" t="s">
        <v>98</v>
      </c>
      <c r="F9762" s="6" t="n">
        <f aca="false">Sens!F9666</f>
        <v>0</v>
      </c>
      <c r="L9762" s="1" t="s">
        <v>1111</v>
      </c>
    </row>
    <row r="9763" customFormat="false" ht="17.15" hidden="false" customHeight="false" outlineLevel="0" collapsed="false">
      <c r="A9763" s="1" t="s">
        <v>1112</v>
      </c>
      <c r="B9763" s="0" t="s">
        <v>98</v>
      </c>
      <c r="E9763" s="6" t="n">
        <f aca="false">Q!M43</f>
        <v>145.3</v>
      </c>
      <c r="F9763" s="6" t="n">
        <f aca="false">Sens!F9760+Sens!F9761+Sens!F9762</f>
        <v>204.229557259819</v>
      </c>
      <c r="G9763" s="6" t="n">
        <f aca="false">Sens!G9760+Sens!G9761</f>
        <v>233.856767076093</v>
      </c>
      <c r="H9763" s="6" t="n">
        <f aca="false">Sens!H9760+Sens!H9761</f>
        <v>245.173876252038</v>
      </c>
      <c r="I9763" s="6" t="n">
        <f aca="false">Sens!I9760+Sens!I9761</f>
        <v>223.398878690971</v>
      </c>
      <c r="J9763" s="6" t="n">
        <f aca="false">Sens!J9760+Sens!J9761</f>
        <v>189.922897671967</v>
      </c>
      <c r="K9763" s="6" t="n">
        <f aca="false">Sens!K9760+Sens!K9761</f>
        <v>185.985637466901</v>
      </c>
      <c r="L9763" s="1" t="s">
        <v>1113</v>
      </c>
    </row>
    <row r="9764" customFormat="false" ht="15" hidden="false" customHeight="false" outlineLevel="0" collapsed="false">
      <c r="A9764" s="1" t="s">
        <v>1114</v>
      </c>
      <c r="B9764" s="0" t="s">
        <v>98</v>
      </c>
      <c r="E9764" s="6" t="n">
        <f aca="false">fl_liab</f>
        <v>66.594</v>
      </c>
      <c r="F9764" s="6" t="n">
        <f aca="false">Sens!E9764-Sens!F9765</f>
        <v>62.46973</v>
      </c>
      <c r="G9764" s="6" t="n">
        <f aca="false">Sens!F9764-Sens!G9765</f>
        <v>57.98686785</v>
      </c>
      <c r="H9764" s="6" t="n">
        <f aca="false">Sens!G9764-Sens!H9765</f>
        <v>53.92827690325</v>
      </c>
      <c r="I9764" s="6" t="n">
        <f aca="false">Sens!H9764-Sens!I9765</f>
        <v>49.7850493638962</v>
      </c>
      <c r="J9764" s="6" t="n">
        <f aca="false">Sens!I9764-Sens!J9765</f>
        <v>45.4823765852716</v>
      </c>
      <c r="K9764" s="6" t="n">
        <f aca="false">Sens!J9764-Sens!K9765</f>
        <v>40.9860835316088</v>
      </c>
    </row>
    <row r="9765" customFormat="false" ht="15" hidden="false" customHeight="false" outlineLevel="0" collapsed="false">
      <c r="A9765" s="1" t="s">
        <v>1115</v>
      </c>
      <c r="B9765" s="0" t="s">
        <v>98</v>
      </c>
      <c r="F9765" s="6" t="n">
        <f aca="false">fl_pay_27-Sens!E9764*fl_rate</f>
        <v>4.12427</v>
      </c>
      <c r="G9765" s="6" t="n">
        <f aca="false">fl_pay_28-Sens!F9764*fl_rate</f>
        <v>4.48286215</v>
      </c>
      <c r="H9765" s="6" t="n">
        <f aca="false">fl_pay_29-Sens!G9764*fl_rate</f>
        <v>4.05859094675</v>
      </c>
      <c r="I9765" s="6" t="n">
        <f aca="false">fl_pay_30-Sens!H9764*fl_rate</f>
        <v>4.14322753935375</v>
      </c>
      <c r="J9765" s="6" t="n">
        <f aca="false">fl_pay_31-Sens!I9764*fl_rate</f>
        <v>4.30267277862467</v>
      </c>
      <c r="K9765" s="6" t="n">
        <f aca="false">fl_pay_32-Sens!J9764*fl_rate</f>
        <v>4.49629305366278</v>
      </c>
    </row>
    <row r="9766" customFormat="false" ht="17.15" hidden="false" customHeight="false" outlineLevel="0" collapsed="false">
      <c r="A9766" s="1" t="s">
        <v>1116</v>
      </c>
      <c r="B9766" s="0" t="s">
        <v>98</v>
      </c>
      <c r="E9766" s="6" t="n">
        <f aca="false">Q!M35-Q!M36-Q!M44</f>
        <v>63.886</v>
      </c>
      <c r="F9766" s="6" t="n">
        <f aca="false">Sens!F9759-Sens!F9763-Sens!F9765</f>
        <v>14.3259133884241</v>
      </c>
      <c r="G9766" s="6" t="n">
        <f aca="false">Sens!G9759-Sens!G9763-Sens!G9765</f>
        <v>34.9865755115341</v>
      </c>
      <c r="H9766" s="6" t="n">
        <f aca="false">Sens!H9759-Sens!H9763-Sens!H9765</f>
        <v>87.5179004638374</v>
      </c>
      <c r="I9766" s="6" t="n">
        <f aca="false">Sens!I9759-Sens!I9763-Sens!I9765</f>
        <v>163.421395709969</v>
      </c>
      <c r="J9766" s="6" t="n">
        <f aca="false">Sens!J9759-Sens!J9763-Sens!J9765</f>
        <v>241.47177646264</v>
      </c>
      <c r="K9766" s="6" t="n">
        <f aca="false">Sens!K9759-Sens!K9763-Sens!K9765</f>
        <v>282.239878659258</v>
      </c>
      <c r="L9766" s="12" t="s">
        <v>1117</v>
      </c>
    </row>
    <row r="9767" customFormat="false" ht="15" hidden="false" customHeight="false" outlineLevel="0" collapsed="false">
      <c r="A9767" s="1" t="s">
        <v>1118</v>
      </c>
      <c r="B9767" s="0" t="s">
        <v>75</v>
      </c>
      <c r="F9767" s="8" t="n">
        <f aca="false">dps_27</f>
        <v>3.85</v>
      </c>
      <c r="G9767" s="8" t="n">
        <f aca="false">Sens!F9767*(1+dps_g)</f>
        <v>4.158</v>
      </c>
      <c r="H9767" s="8" t="n">
        <f aca="false">Sens!G9767*(1+dps_g)</f>
        <v>4.49064</v>
      </c>
      <c r="I9767" s="8" t="n">
        <f aca="false">Sens!H9767*(1+dps_g)</f>
        <v>4.8498912</v>
      </c>
      <c r="J9767" s="8" t="n">
        <f aca="false">Sens!I9767*(1+dps_g)</f>
        <v>5.237882496</v>
      </c>
      <c r="K9767" s="8" t="n">
        <f aca="false">Sens!J9767*(1+dps_g)</f>
        <v>5.65691309568</v>
      </c>
    </row>
    <row r="9768" customFormat="false" ht="17.15" hidden="false" customHeight="false" outlineLevel="0" collapsed="false">
      <c r="A9768" s="1" t="s">
        <v>1119</v>
      </c>
      <c r="B9768" s="0" t="s">
        <v>98</v>
      </c>
      <c r="E9768" s="6" t="n">
        <f aca="false">Q!M41</f>
        <v>26.445</v>
      </c>
      <c r="F9768" s="6" t="n">
        <f aca="false">Sens!F9767*Sens!E9777</f>
        <v>28.59395</v>
      </c>
      <c r="G9768" s="6" t="n">
        <f aca="false">Sens!G9767*Sens!F9777</f>
        <v>31.043523170946</v>
      </c>
      <c r="H9768" s="6" t="n">
        <f aca="false">Sens!H9767*Sens!G9777</f>
        <v>33.6993738384656</v>
      </c>
      <c r="I9768" s="6" t="n">
        <f aca="false">Sens!I9767*Sens!H9777</f>
        <v>36.4457620226155</v>
      </c>
      <c r="J9768" s="6" t="n">
        <f aca="false">Sens!J9767*Sens!I9777</f>
        <v>39.4293208698174</v>
      </c>
      <c r="K9768" s="6" t="n">
        <f aca="false">Sens!K9767*Sens!J9777</f>
        <v>42.670420801781</v>
      </c>
      <c r="L9768" s="1" t="s">
        <v>1120</v>
      </c>
    </row>
    <row r="9769" customFormat="false" ht="15" hidden="false" customHeight="false" outlineLevel="0" collapsed="false">
      <c r="A9769" s="1" t="s">
        <v>1121</v>
      </c>
      <c r="B9769" s="0" t="s">
        <v>98</v>
      </c>
      <c r="E9769" s="6" t="n">
        <f aca="false">Sens!E9766-Sens!E9768</f>
        <v>37.441</v>
      </c>
      <c r="F9769" s="6" t="n">
        <f aca="false">Sens!F9766-Sens!F9768</f>
        <v>-14.2680366115759</v>
      </c>
      <c r="G9769" s="6" t="n">
        <f aca="false">Sens!G9766-Sens!G9768</f>
        <v>3.94305234058805</v>
      </c>
      <c r="H9769" s="6" t="n">
        <f aca="false">Sens!H9766-Sens!H9768</f>
        <v>53.8185266253718</v>
      </c>
      <c r="I9769" s="6" t="n">
        <f aca="false">Sens!I9766-Sens!I9768</f>
        <v>126.975633687354</v>
      </c>
      <c r="J9769" s="6" t="n">
        <f aca="false">Sens!J9766-Sens!J9768</f>
        <v>202.042455592823</v>
      </c>
      <c r="K9769" s="6" t="n">
        <f aca="false">Sens!K9766-Sens!K9768</f>
        <v>239.569457857477</v>
      </c>
    </row>
    <row r="9770" customFormat="false" ht="15" hidden="false" customHeight="false" outlineLevel="0" collapsed="false">
      <c r="A9770" s="1" t="s">
        <v>1122</v>
      </c>
      <c r="B9770" s="0" t="s">
        <v>98</v>
      </c>
      <c r="F9770" s="6" t="n">
        <f aca="false">debt_mat_27</f>
        <v>9.25</v>
      </c>
      <c r="G9770" s="6" t="n">
        <f aca="false">debt_mat_28</f>
        <v>0</v>
      </c>
      <c r="H9770" s="6" t="n">
        <f aca="false">debt_mat_29</f>
        <v>2.001</v>
      </c>
      <c r="I9770" s="6" t="n">
        <f aca="false">debt_mat_30</f>
        <v>0</v>
      </c>
      <c r="J9770" s="6" t="n">
        <f aca="false">debt_mat_31</f>
        <v>0.5</v>
      </c>
      <c r="K9770" s="6" t="n">
        <f aca="false">debt_mat_32</f>
        <v>0</v>
      </c>
    </row>
    <row r="9771" customFormat="false" ht="15" hidden="false" customHeight="false" outlineLevel="0" collapsed="false">
      <c r="A9771" s="1" t="s">
        <v>1123</v>
      </c>
      <c r="B9771" s="0" t="s">
        <v>98</v>
      </c>
      <c r="E9771" s="6" t="n">
        <f aca="false">Q!M40</f>
        <v>22.271</v>
      </c>
      <c r="F9771" s="6" t="n">
        <f aca="false">MAX(0,MIN(bb_target,Sens!E9773+Sens!F9769-Sens!F9770-min_cash))</f>
        <v>3.32496338842411</v>
      </c>
      <c r="G9771" s="6" t="n">
        <f aca="false">MAX(0,MIN(bb_target,Sens!F9773+Sens!G9769-Sens!G9770-min_cash))</f>
        <v>3.94305234058805</v>
      </c>
      <c r="H9771" s="6" t="n">
        <f aca="false">MAX(0,MIN(bb_target,Sens!G9773+Sens!H9769-Sens!H9770-min_cash))</f>
        <v>22.271</v>
      </c>
      <c r="I9771" s="6" t="n">
        <f aca="false">MAX(0,MIN(bb_target,Sens!H9773+Sens!I9769-Sens!I9770-min_cash))</f>
        <v>22.271</v>
      </c>
      <c r="J9771" s="6" t="n">
        <f aca="false">MAX(0,MIN(bb_target,Sens!I9773+Sens!J9769-Sens!J9770-min_cash))</f>
        <v>22.271</v>
      </c>
      <c r="K9771" s="6" t="n">
        <f aca="false">MAX(0,MIN(bb_target,Sens!J9773+Sens!K9769-Sens!K9770-min_cash))</f>
        <v>22.271</v>
      </c>
    </row>
    <row r="9772" customFormat="false" ht="15" hidden="false" customHeight="false" outlineLevel="0" collapsed="false">
      <c r="A9772" s="1" t="s">
        <v>1124</v>
      </c>
      <c r="B9772" s="0" t="s">
        <v>98</v>
      </c>
      <c r="F9772" s="6" t="n">
        <f aca="false">MAX(0,min_cash-(Sens!E9773+Sens!F9769-Sens!F9770-Sens!F9771))</f>
        <v>0</v>
      </c>
      <c r="G9772" s="6" t="n">
        <f aca="false">MAX(0,min_cash-(Sens!F9773+Sens!G9769-Sens!G9770-Sens!G9771))</f>
        <v>0</v>
      </c>
      <c r="H9772" s="6" t="n">
        <f aca="false">MAX(0,min_cash-(Sens!G9773+Sens!H9769-Sens!H9770-Sens!H9771))</f>
        <v>0</v>
      </c>
      <c r="I9772" s="6" t="n">
        <f aca="false">MAX(0,min_cash-(Sens!H9773+Sens!I9769-Sens!I9770-Sens!I9771))</f>
        <v>0</v>
      </c>
      <c r="J9772" s="6" t="n">
        <f aca="false">MAX(0,min_cash-(Sens!I9773+Sens!J9769-Sens!J9770-Sens!J9771))</f>
        <v>0</v>
      </c>
      <c r="K9772" s="6" t="n">
        <f aca="false">MAX(0,min_cash-(Sens!J9773+Sens!K9769-Sens!K9770-Sens!K9771))</f>
        <v>0</v>
      </c>
    </row>
    <row r="9773" customFormat="false" ht="15" hidden="false" customHeight="false" outlineLevel="0" collapsed="false">
      <c r="A9773" s="1" t="s">
        <v>1125</v>
      </c>
      <c r="B9773" s="0" t="s">
        <v>98</v>
      </c>
      <c r="E9773" s="6" t="n">
        <f aca="false">cash_open</f>
        <v>76.843</v>
      </c>
      <c r="F9773" s="6" t="n">
        <f aca="false">Sens!E9773+Sens!F9769-Sens!F9770-Sens!F9771+Sens!F9772</f>
        <v>50</v>
      </c>
      <c r="G9773" s="6" t="n">
        <f aca="false">Sens!F9773+Sens!G9769-Sens!G9770-Sens!G9771+Sens!G9772</f>
        <v>50</v>
      </c>
      <c r="H9773" s="6" t="n">
        <f aca="false">Sens!G9773+Sens!H9769-Sens!H9770-Sens!H9771+Sens!H9772</f>
        <v>79.5465266253718</v>
      </c>
      <c r="I9773" s="6" t="n">
        <f aca="false">Sens!H9773+Sens!I9769-Sens!I9770-Sens!I9771+Sens!I9772</f>
        <v>184.251160312725</v>
      </c>
      <c r="J9773" s="6" t="n">
        <f aca="false">Sens!I9773+Sens!J9769-Sens!J9770-Sens!J9771+Sens!J9772</f>
        <v>363.522615905548</v>
      </c>
      <c r="K9773" s="6" t="n">
        <f aca="false">Sens!J9773+Sens!K9769-Sens!K9770-Sens!K9771+Sens!K9772</f>
        <v>580.821073763025</v>
      </c>
    </row>
    <row r="9774" customFormat="false" ht="15" hidden="false" customHeight="false" outlineLevel="0" collapsed="false">
      <c r="A9774" s="1" t="s">
        <v>1126</v>
      </c>
      <c r="B9774" s="0" t="s">
        <v>98</v>
      </c>
      <c r="E9774" s="6" t="n">
        <f aca="false">debt_face</f>
        <v>46.136</v>
      </c>
      <c r="F9774" s="6" t="n">
        <f aca="false">Sens!E9774-Sens!F9770+Sens!F9772</f>
        <v>36.886</v>
      </c>
      <c r="G9774" s="6" t="n">
        <f aca="false">Sens!F9774-Sens!G9770+Sens!G9772</f>
        <v>36.886</v>
      </c>
      <c r="H9774" s="6" t="n">
        <f aca="false">Sens!G9774-Sens!H9770+Sens!H9772</f>
        <v>34.885</v>
      </c>
      <c r="I9774" s="6" t="n">
        <f aca="false">Sens!H9774-Sens!I9770+Sens!I9772</f>
        <v>34.885</v>
      </c>
      <c r="J9774" s="6" t="n">
        <f aca="false">Sens!I9774-Sens!J9770+Sens!J9772</f>
        <v>34.385</v>
      </c>
      <c r="K9774" s="6" t="n">
        <f aca="false">Sens!J9774-Sens!K9770+Sens!K9772</f>
        <v>34.385</v>
      </c>
    </row>
    <row r="9775" customFormat="false" ht="15" hidden="false" customHeight="false" outlineLevel="0" collapsed="false">
      <c r="A9775" s="1" t="s">
        <v>1127</v>
      </c>
      <c r="B9775" s="0" t="s">
        <v>98</v>
      </c>
      <c r="E9775" s="6" t="n">
        <f aca="false">Sens!E9773-Sens!E9774</f>
        <v>30.707</v>
      </c>
      <c r="F9775" s="6" t="n">
        <f aca="false">Sens!F9773-Sens!F9774</f>
        <v>13.114</v>
      </c>
      <c r="G9775" s="6" t="n">
        <f aca="false">Sens!G9773-Sens!G9774</f>
        <v>13.114</v>
      </c>
      <c r="H9775" s="6" t="n">
        <f aca="false">Sens!H9773-Sens!H9774</f>
        <v>44.6615266253718</v>
      </c>
      <c r="I9775" s="6" t="n">
        <f aca="false">Sens!I9773-Sens!I9774</f>
        <v>149.366160312725</v>
      </c>
      <c r="J9775" s="6" t="n">
        <f aca="false">Sens!J9773-Sens!J9774</f>
        <v>329.137615905548</v>
      </c>
      <c r="K9775" s="6" t="n">
        <f aca="false">Sens!K9773-Sens!K9774</f>
        <v>546.436073763025</v>
      </c>
    </row>
    <row r="9776" customFormat="false" ht="15" hidden="false" customHeight="false" outlineLevel="0" collapsed="false">
      <c r="A9776" s="1" t="s">
        <v>1128</v>
      </c>
      <c r="B9776" s="0" t="s">
        <v>75</v>
      </c>
      <c r="F9776" s="30" t="n">
        <f aca="false">px*(1+bb_g)^(Sens!F9634-base_fy-mid_yr)</f>
        <v>551.84177959629</v>
      </c>
      <c r="G9776" s="30" t="n">
        <f aca="false">px*(1+bb_g)^(Sens!G9634-base_fy-mid_yr)</f>
        <v>595.989121963993</v>
      </c>
      <c r="H9776" s="30" t="n">
        <f aca="false">px*(1+bb_g)^(Sens!H9634-base_fy-mid_yr)</f>
        <v>643.668251721112</v>
      </c>
      <c r="I9776" s="30" t="n">
        <f aca="false">px*(1+bb_g)^(Sens!I9634-base_fy-mid_yr)</f>
        <v>695.161711858801</v>
      </c>
      <c r="J9776" s="30" t="n">
        <f aca="false">px*(1+bb_g)^(Sens!J9634-base_fy-mid_yr)</f>
        <v>750.774648807506</v>
      </c>
      <c r="K9776" s="30" t="n">
        <f aca="false">px*(1+bb_g)^(Sens!K9634-base_fy-mid_yr)</f>
        <v>810.836620712106</v>
      </c>
    </row>
    <row r="9777" customFormat="false" ht="15" hidden="false" customHeight="false" outlineLevel="0" collapsed="false">
      <c r="A9777" s="1" t="s">
        <v>1129</v>
      </c>
      <c r="B9777" s="1" t="s">
        <v>81</v>
      </c>
      <c r="E9777" s="15" t="n">
        <f aca="false">sh_out26</f>
        <v>7.427</v>
      </c>
      <c r="F9777" s="15" t="n">
        <f aca="false">Sens!E9777+sh_iss-Sens!F9771/Sens!F9776</f>
        <v>7.46597478858731</v>
      </c>
      <c r="G9777" s="15" t="n">
        <f aca="false">Sens!F9777+sh_iss-Sens!G9771/Sens!G9776</f>
        <v>7.50435880820231</v>
      </c>
      <c r="H9777" s="15" t="n">
        <f aca="false">Sens!G9777+sh_iss-Sens!H9771/Sens!H9776</f>
        <v>7.51475868625991</v>
      </c>
      <c r="I9777" s="15" t="n">
        <f aca="false">Sens!H9777+sh_iss-Sens!I9771/Sens!I9776</f>
        <v>7.52772153631324</v>
      </c>
      <c r="J9777" s="15" t="n">
        <f aca="false">Sens!I9777+sh_iss-Sens!J9771/Sens!J9776</f>
        <v>7.54305750858485</v>
      </c>
      <c r="K9777" s="15" t="n">
        <f aca="false">Sens!J9777+sh_iss-Sens!K9771/Sens!K9776</f>
        <v>7.56059081624375</v>
      </c>
    </row>
    <row r="9778" customFormat="false" ht="15" hidden="false" customHeight="false" outlineLevel="0" collapsed="false">
      <c r="A9778" s="1" t="s">
        <v>1130</v>
      </c>
      <c r="B9778" s="1" t="s">
        <v>81</v>
      </c>
      <c r="E9778" s="15" t="n">
        <f aca="false">sh_dil26</f>
        <v>7.453</v>
      </c>
      <c r="F9778" s="15" t="n">
        <f aca="false">(Sens!E9777+Sens!F9777)/2+dil_gap</f>
        <v>7.47048739429365</v>
      </c>
      <c r="G9778" s="15" t="n">
        <f aca="false">(Sens!F9777+Sens!G9777)/2+dil_gap</f>
        <v>7.50916679839481</v>
      </c>
      <c r="H9778" s="15" t="n">
        <f aca="false">(Sens!G9777+Sens!H9777)/2+dil_gap</f>
        <v>7.53355874723111</v>
      </c>
      <c r="I9778" s="15" t="n">
        <f aca="false">(Sens!H9777+Sens!I9777)/2+dil_gap</f>
        <v>7.54524011128658</v>
      </c>
      <c r="J9778" s="15" t="n">
        <f aca="false">(Sens!I9777+Sens!J9777)/2+dil_gap</f>
        <v>7.55938952244905</v>
      </c>
      <c r="K9778" s="15" t="n">
        <f aca="false">(Sens!J9777+Sens!K9777)/2+dil_gap</f>
        <v>7.5758241624143</v>
      </c>
    </row>
    <row r="9779" customFormat="false" ht="17.15" hidden="false" customHeight="false" outlineLevel="0" collapsed="false">
      <c r="A9779" s="1" t="s">
        <v>1131</v>
      </c>
      <c r="B9779" s="0" t="s">
        <v>98</v>
      </c>
      <c r="C9779" s="6" t="n">
        <f aca="false">SUM(Sens!F9769:J9769)</f>
        <v>372.51163163456</v>
      </c>
    </row>
    <row r="9780" customFormat="false" ht="15" hidden="false" customHeight="false" outlineLevel="0" collapsed="false">
      <c r="A9780" s="26" t="s">
        <v>1096</v>
      </c>
      <c r="B9780" s="31" t="s">
        <v>98</v>
      </c>
      <c r="C9780" s="27" t="n">
        <f aca="false">Sens!$C$9779-(Sens!F9769+Sens!G9769+Sens!H9769+Sens!I9769+Sens!J9769)</f>
        <v>0</v>
      </c>
      <c r="D9780" s="31"/>
      <c r="E9780" s="31"/>
      <c r="F9780" s="31"/>
      <c r="G9780" s="31"/>
      <c r="H9780" s="31"/>
      <c r="I9780" s="31"/>
      <c r="J9780" s="31"/>
      <c r="K9780" s="31"/>
    </row>
    <row r="9781" customFormat="false" ht="17.15" hidden="false" customHeight="false" outlineLevel="0" collapsed="false">
      <c r="A9781" s="1" t="s">
        <v>1090</v>
      </c>
      <c r="B9781" s="1" t="s">
        <v>1132</v>
      </c>
      <c r="C9781" s="33" t="str">
        <f aca="false">IF(SUM(Sens!F9772:J9772)&gt;0.05,"需要舉債 "&amp;TEXT(SUM(Sens!F9772:J9772),"0.0")&amp;" 十億美元","不需舉債")&amp;"；"&amp;IF(SUM(Sens!F9771:J9771)&lt;COUNT(Sens!F9771:J9771)*bb_target-0.05,"回購較每年 "&amp;TEXT(bb_target,"0.0")&amp;" 的目標少 "&amp;TEXT(COUNT(Sens!F9771:J9771)*bb_target-SUM(Sens!F9771:J9771),"0.0")&amp;" 十億美元（"&amp;TEXT(COUNTIF(Sens!F9771:J9771,"&lt;"&amp;(bb_target-0.05)),"0")&amp;" 年減少）","回購不減")</f>
        <v>不需舉債；回購較每年 22.3 的目標少 37.3 十億美元（2 年減少）</v>
      </c>
    </row>
    <row r="9782" customFormat="false" ht="17.15" hidden="false" customHeight="false" outlineLevel="0" collapsed="false">
      <c r="A9782" s="3" t="s">
        <v>1724</v>
      </c>
    </row>
    <row r="9783" customFormat="false" ht="15" hidden="false" customHeight="false" outlineLevel="0" collapsed="false">
      <c r="A9783" s="4" t="s">
        <v>43</v>
      </c>
      <c r="B9783" s="4" t="s">
        <v>65</v>
      </c>
      <c r="C9783" s="23" t="s">
        <v>938</v>
      </c>
      <c r="D9783" s="23" t="s">
        <v>939</v>
      </c>
      <c r="E9783" s="23" t="s">
        <v>940</v>
      </c>
      <c r="F9783" s="23" t="s">
        <v>941</v>
      </c>
      <c r="G9783" s="23" t="s">
        <v>942</v>
      </c>
      <c r="H9783" s="23" t="s">
        <v>943</v>
      </c>
      <c r="I9783" s="23" t="s">
        <v>944</v>
      </c>
      <c r="J9783" s="23" t="s">
        <v>945</v>
      </c>
      <c r="K9783" s="23" t="s">
        <v>946</v>
      </c>
      <c r="L9783" s="4" t="s">
        <v>47</v>
      </c>
    </row>
    <row r="9784" customFormat="false" ht="17.15" hidden="false" customHeight="false" outlineLevel="0" collapsed="false">
      <c r="A9784" s="1" t="s">
        <v>1212</v>
      </c>
      <c r="B9784" s="1" t="s">
        <v>279</v>
      </c>
      <c r="F9784" s="8" t="n">
        <f aca="false">(1-v_off)*mid_yr</f>
        <v>0.373972602739726</v>
      </c>
      <c r="G9784" s="8" t="n">
        <f aca="false">Sens!G9634-base_fy-mid_yr-v_off</f>
        <v>1.24794520547945</v>
      </c>
      <c r="H9784" s="8" t="n">
        <f aca="false">Sens!H9634-base_fy-mid_yr-v_off</f>
        <v>2.24794520547945</v>
      </c>
      <c r="I9784" s="8" t="n">
        <f aca="false">Sens!I9634-base_fy-mid_yr-v_off</f>
        <v>3.24794520547945</v>
      </c>
      <c r="J9784" s="8" t="n">
        <f aca="false">Sens!J9634-base_fy-mid_yr-v_off</f>
        <v>4.24794520547945</v>
      </c>
      <c r="K9784" s="8" t="n">
        <f aca="false">Sens!K9634-base_fy-mid_yr-v_off</f>
        <v>5.24794520547945</v>
      </c>
      <c r="L9784" s="12" t="s">
        <v>1213</v>
      </c>
    </row>
    <row r="9785" customFormat="false" ht="15" hidden="false" customHeight="false" outlineLevel="0" collapsed="false">
      <c r="A9785" s="1" t="s">
        <v>1214</v>
      </c>
      <c r="B9785" s="1" t="s">
        <v>279</v>
      </c>
      <c r="F9785" s="8" t="n">
        <f aca="false">Sens!F9634-base_fy-v_off</f>
        <v>0.747945205479452</v>
      </c>
      <c r="G9785" s="8" t="n">
        <f aca="false">Sens!G9634-base_fy-v_off</f>
        <v>1.74794520547945</v>
      </c>
      <c r="H9785" s="8" t="n">
        <f aca="false">Sens!H9634-base_fy-v_off</f>
        <v>2.74794520547945</v>
      </c>
      <c r="I9785" s="8" t="n">
        <f aca="false">Sens!I9634-base_fy-v_off</f>
        <v>3.74794520547945</v>
      </c>
      <c r="J9785" s="8" t="n">
        <f aca="false">Sens!J9634-base_fy-v_off</f>
        <v>4.74794520547945</v>
      </c>
      <c r="K9785" s="8" t="n">
        <f aca="false">Sens!K9634-base_fy-v_off</f>
        <v>5.74794520547945</v>
      </c>
    </row>
    <row r="9786" customFormat="false" ht="15" hidden="false" customHeight="false" outlineLevel="0" collapsed="false">
      <c r="A9786" s="1" t="s">
        <v>1215</v>
      </c>
      <c r="B9786" s="0" t="s">
        <v>229</v>
      </c>
      <c r="F9786" s="15" t="n">
        <f aca="false">1/(1+wacc)^Sens!F9784</f>
        <v>0.964022703286649</v>
      </c>
      <c r="G9786" s="15" t="n">
        <f aca="false">1/(1+wacc)^Sens!G9784</f>
        <v>0.884910302296739</v>
      </c>
      <c r="H9786" s="15" t="n">
        <f aca="false">1/(1+wacc)^Sens!H9784</f>
        <v>0.802322009770358</v>
      </c>
      <c r="I9786" s="15" t="n">
        <f aca="false">1/(1+wacc)^Sens!I9784</f>
        <v>0.727441646561469</v>
      </c>
      <c r="J9786" s="15" t="n">
        <f aca="false">1/(1+wacc)^Sens!J9784</f>
        <v>0.659549834988973</v>
      </c>
      <c r="K9786" s="15" t="n">
        <f aca="false">1/(1+wacc)^Sens!K9784</f>
        <v>0.597994336576966</v>
      </c>
    </row>
    <row r="9787" customFormat="false" ht="17.15" hidden="false" customHeight="false" outlineLevel="0" collapsed="false">
      <c r="A9787" s="1" t="s">
        <v>1216</v>
      </c>
      <c r="B9787" s="0" t="s">
        <v>98</v>
      </c>
      <c r="F9787" s="6" t="n">
        <f aca="false">Q!$I$35-Q!$I$39-Q!$I$43</f>
        <v>9.666</v>
      </c>
      <c r="L9787" s="12" t="s">
        <v>1217</v>
      </c>
    </row>
    <row r="9788" customFormat="false" ht="17.15" hidden="false" customHeight="false" outlineLevel="0" collapsed="false">
      <c r="A9788" s="1" t="s">
        <v>1218</v>
      </c>
      <c r="B9788" s="0" t="s">
        <v>98</v>
      </c>
      <c r="F9788" s="6" t="n">
        <f aca="false">Sens!F9759-Sens!F9756-Sens!F9763+Sens!F9741*(1-tax_f)*(1-v_off)-Sens!F9787</f>
        <v>-0.982862200813267</v>
      </c>
      <c r="G9788" s="6" t="n">
        <f aca="false">Sens!G9759-Sens!G9756-Sens!G9763+Sens!G9741*(1-tax_f)</f>
        <v>39.1876904256474</v>
      </c>
      <c r="H9788" s="6" t="n">
        <f aca="false">Sens!H9759-Sens!H9756-Sens!H9763+Sens!H9741*(1-tax_f)</f>
        <v>99.8692586774006</v>
      </c>
      <c r="I9788" s="6" t="n">
        <f aca="false">Sens!I9759-Sens!I9756-Sens!I9763+Sens!I9741*(1-tax_f)</f>
        <v>183.977326226184</v>
      </c>
      <c r="J9788" s="6" t="n">
        <f aca="false">Sens!J9759-Sens!J9756-Sens!J9763+Sens!J9741*(1-tax_f)</f>
        <v>267.459010448867</v>
      </c>
      <c r="K9788" s="6" t="n">
        <f aca="false">Sens!K9759-Sens!K9756-Sens!K9763+Sens!K9741*(1-tax_f)</f>
        <v>310.194074804079</v>
      </c>
      <c r="L9788" s="1" t="s">
        <v>1219</v>
      </c>
    </row>
    <row r="9789" customFormat="false" ht="15" hidden="false" customHeight="false" outlineLevel="0" collapsed="false">
      <c r="A9789" s="1" t="s">
        <v>1220</v>
      </c>
      <c r="B9789" s="0" t="s">
        <v>98</v>
      </c>
      <c r="F9789" s="6" t="n">
        <f aca="false">Sens!F9788*Sens!F9786</f>
        <v>-0.947501475786271</v>
      </c>
      <c r="G9789" s="6" t="n">
        <f aca="false">Sens!G9788*Sens!G9786</f>
        <v>34.6775909808706</v>
      </c>
      <c r="H9789" s="6" t="n">
        <f aca="false">Sens!H9788*Sens!H9786</f>
        <v>80.1273043363278</v>
      </c>
      <c r="I9789" s="6" t="n">
        <f aca="false">Sens!I9788*Sens!I9786</f>
        <v>133.832769119952</v>
      </c>
      <c r="J9789" s="6" t="n">
        <f aca="false">Sens!J9788*Sens!J9786</f>
        <v>176.402546207864</v>
      </c>
      <c r="K9789" s="6" t="n">
        <f aca="false">Sens!K9788*Sens!K9786</f>
        <v>185.494299972571</v>
      </c>
    </row>
    <row r="9790" customFormat="false" ht="17.15" hidden="false" customHeight="false" outlineLevel="0" collapsed="false">
      <c r="A9790" s="1" t="s">
        <v>1221</v>
      </c>
      <c r="B9790" s="0" t="s">
        <v>98</v>
      </c>
      <c r="C9790" s="6" t="n">
        <f aca="false">SUM(Sens!F9789:K9789)</f>
        <v>609.587009141799</v>
      </c>
    </row>
    <row r="9791" customFormat="false" ht="17.15" hidden="false" customHeight="false" outlineLevel="0" collapsed="false">
      <c r="A9791" s="1" t="s">
        <v>1222</v>
      </c>
      <c r="B9791" s="0" t="s">
        <v>98</v>
      </c>
      <c r="C9791" s="6" t="n">
        <f aca="false">Sens!K9727*(1+g_tv)*(1-tax_f)</f>
        <v>326.815192646596</v>
      </c>
    </row>
    <row r="9792" customFormat="false" ht="17.15" hidden="false" customHeight="false" outlineLevel="0" collapsed="false">
      <c r="A9792" s="1" t="s">
        <v>1223</v>
      </c>
      <c r="B9792" s="0" t="s">
        <v>98</v>
      </c>
      <c r="C9792" s="6" t="n">
        <f aca="false">Sens!$C$9791*(1-g_tv/(wacc+ronic_prem))</f>
        <v>231.567665121815</v>
      </c>
    </row>
    <row r="9793" customFormat="false" ht="17.15" hidden="false" customHeight="false" outlineLevel="0" collapsed="false">
      <c r="A9793" s="1" t="s">
        <v>1224</v>
      </c>
      <c r="B9793" s="0" t="s">
        <v>98</v>
      </c>
      <c r="C9793" s="6" t="n">
        <f aca="false">Sens!$C$9792/(wacc-g_tv)</f>
        <v>3174.91758415936</v>
      </c>
    </row>
    <row r="9794" customFormat="false" ht="15" hidden="false" customHeight="false" outlineLevel="0" collapsed="false">
      <c r="A9794" s="1" t="s">
        <v>1225</v>
      </c>
      <c r="B9794" s="0" t="s">
        <v>98</v>
      </c>
      <c r="C9794" s="6" t="n">
        <f aca="false">Sens!$C$9793/(1+wacc)^Sens!K9785</f>
        <v>1807.81611984954</v>
      </c>
    </row>
    <row r="9795" customFormat="false" ht="17.15" hidden="false" customHeight="false" outlineLevel="0" collapsed="false">
      <c r="A9795" s="0" t="s">
        <v>1226</v>
      </c>
      <c r="B9795" s="0" t="s">
        <v>98</v>
      </c>
      <c r="C9795" s="6" t="n">
        <f aca="false">Sens!$C$9790+Sens!$C$9794</f>
        <v>2417.40312899134</v>
      </c>
    </row>
    <row r="9796" customFormat="false" ht="15" hidden="false" customHeight="false" outlineLevel="0" collapsed="false">
      <c r="A9796" s="1" t="s">
        <v>1141</v>
      </c>
      <c r="B9796" s="0" t="s">
        <v>168</v>
      </c>
      <c r="C9796" s="7" t="n">
        <f aca="false">Sens!$C$9794/Sens!$C$9795</f>
        <v>0.747833945513197</v>
      </c>
    </row>
    <row r="9797" customFormat="false" ht="17.15" hidden="false" customHeight="false" outlineLevel="0" collapsed="false">
      <c r="A9797" s="1" t="s">
        <v>1227</v>
      </c>
      <c r="B9797" s="0" t="s">
        <v>98</v>
      </c>
      <c r="C9797" s="6" t="n">
        <f aca="false">Sens!$C$9795+cash_val-debt_val-fl_val+oai_v</f>
        <v>2533.25412899134</v>
      </c>
    </row>
    <row r="9798" customFormat="false" ht="17.15" hidden="false" customHeight="false" outlineLevel="0" collapsed="false">
      <c r="A9798" s="0" t="s">
        <v>1149</v>
      </c>
      <c r="B9798" s="0" t="s">
        <v>75</v>
      </c>
      <c r="C9798" s="5" t="n">
        <f aca="false">Sens!$C$9797/shd_val</f>
        <v>340.216778000449</v>
      </c>
    </row>
    <row r="9799" customFormat="false" ht="15" hidden="false" customHeight="false" outlineLevel="0" collapsed="false">
      <c r="A9799" s="1" t="s">
        <v>1228</v>
      </c>
      <c r="B9799" s="0" t="s">
        <v>75</v>
      </c>
      <c r="C9799" s="8" t="n">
        <f aca="false">div_rem27+Sens!G9767*roll_div_q/q_per_yr</f>
        <v>3.9795</v>
      </c>
    </row>
    <row r="9800" customFormat="false" ht="17.15" hidden="false" customHeight="false" outlineLevel="0" collapsed="false">
      <c r="A9800" s="0" t="s">
        <v>1229</v>
      </c>
      <c r="B9800" s="0" t="s">
        <v>75</v>
      </c>
      <c r="C9800" s="5" t="n">
        <f aca="false">Sens!$C$9798*(1+wacc)^t_roll-Sens!$C$9799</f>
        <v>374.190436498939</v>
      </c>
    </row>
    <row r="9801" customFormat="false" ht="17.15" hidden="false" customHeight="false" outlineLevel="0" collapsed="false">
      <c r="A9801" s="1" t="s">
        <v>1230</v>
      </c>
      <c r="B9801" s="0" t="s">
        <v>168</v>
      </c>
      <c r="F9801" s="7" t="n">
        <f aca="false">Sens!F9753/(Sens!F9698-Sens!F9653)</f>
        <v>0.0684845365802064</v>
      </c>
      <c r="G9801" s="7" t="n">
        <f aca="false">Sens!G9753/(Sens!G9698-Sens!G9653)</f>
        <v>0.0651693903920261</v>
      </c>
      <c r="H9801" s="7" t="n">
        <f aca="false">Sens!H9753/(Sens!H9698-Sens!H9653)</f>
        <v>0.0633257046938743</v>
      </c>
      <c r="I9801" s="7" t="n">
        <f aca="false">Sens!I9753/(Sens!I9698-Sens!I9653)</f>
        <v>0.0628449165389705</v>
      </c>
      <c r="J9801" s="7" t="n">
        <f aca="false">Sens!J9753/(Sens!J9698-Sens!J9653)</f>
        <v>0.0633739442263206</v>
      </c>
      <c r="K9801" s="7" t="n">
        <f aca="false">Sens!K9753/(Sens!K9698-Sens!K9653)</f>
        <v>0.0644714995574417</v>
      </c>
    </row>
    <row r="9802" customFormat="false" ht="17.15" hidden="false" customHeight="false" outlineLevel="0" collapsed="false">
      <c r="A9802" s="0" t="s">
        <v>1231</v>
      </c>
      <c r="B9802" s="0" t="s">
        <v>98</v>
      </c>
      <c r="F9802" s="6" t="n">
        <f aca="false">Sens!F9683*(al_m365+Sens!F9801+sbc_r)</f>
        <v>84.5132258118464</v>
      </c>
      <c r="G9802" s="6" t="n">
        <f aca="false">Sens!G9683*(al_m365+Sens!G9801+sbc_r)</f>
        <v>98.9235986964103</v>
      </c>
      <c r="H9802" s="6" t="n">
        <f aca="false">Sens!H9683*(al_m365+Sens!H9801+sbc_r)</f>
        <v>113.489123539184</v>
      </c>
      <c r="I9802" s="6" t="n">
        <f aca="false">Sens!I9683*(al_m365+Sens!I9801+sbc_r)</f>
        <v>126.527856995485</v>
      </c>
      <c r="J9802" s="6" t="n">
        <f aca="false">Sens!J9683*(al_m365+Sens!J9801+sbc_r)</f>
        <v>137.854308491449</v>
      </c>
      <c r="K9802" s="6" t="n">
        <f aca="false">Sens!K9683*(al_m365+Sens!K9801+sbc_r)</f>
        <v>148.793182467437</v>
      </c>
      <c r="L9802" s="12" t="s">
        <v>1232</v>
      </c>
    </row>
    <row r="9803" customFormat="false" ht="17.15" hidden="false" customHeight="false" outlineLevel="0" collapsed="false">
      <c r="A9803" s="0" t="s">
        <v>1233</v>
      </c>
      <c r="B9803" s="0" t="s">
        <v>98</v>
      </c>
      <c r="F9803" s="6" t="n">
        <f aca="false">Sens!F9684*(al_lic+Sens!F9801+sbc_r)</f>
        <v>32.852582560463</v>
      </c>
      <c r="G9803" s="6" t="n">
        <f aca="false">Sens!G9684*(al_lic+Sens!G9801+sbc_r)</f>
        <v>34.1110609764707</v>
      </c>
      <c r="H9803" s="6" t="n">
        <f aca="false">Sens!H9684*(al_lic+Sens!H9801+sbc_r)</f>
        <v>35.2884443126041</v>
      </c>
      <c r="I9803" s="6" t="n">
        <f aca="false">Sens!I9684*(al_lic+Sens!I9801+sbc_r)</f>
        <v>36.3678953833961</v>
      </c>
      <c r="J9803" s="6" t="n">
        <f aca="false">Sens!J9684*(al_lic+Sens!J9801+sbc_r)</f>
        <v>37.3216147421164</v>
      </c>
      <c r="K9803" s="6" t="n">
        <f aca="false">Sens!K9684*(al_lic+Sens!K9801+sbc_r)</f>
        <v>38.117158370789</v>
      </c>
    </row>
    <row r="9804" customFormat="false" ht="17.15" hidden="false" customHeight="false" outlineLevel="0" collapsed="false">
      <c r="A9804" s="0" t="s">
        <v>1234</v>
      </c>
      <c r="B9804" s="0" t="s">
        <v>98</v>
      </c>
      <c r="F9804" s="6" t="n">
        <f aca="false">Sens!F9686*(al_ind+Sens!F9801+sbc_r)</f>
        <v>9.05740365024223</v>
      </c>
      <c r="G9804" s="6" t="n">
        <f aca="false">Sens!G9686*(al_ind+Sens!G9801+sbc_r)</f>
        <v>9.81999379540476</v>
      </c>
      <c r="H9804" s="6" t="n">
        <f aca="false">Sens!H9686*(al_ind+Sens!H9801+sbc_r)</f>
        <v>10.6287971557797</v>
      </c>
      <c r="I9804" s="6" t="n">
        <f aca="false">Sens!I9686*(al_ind+Sens!I9801+sbc_r)</f>
        <v>11.4819096422482</v>
      </c>
      <c r="J9804" s="6" t="n">
        <f aca="false">Sens!J9686*(al_ind+Sens!J9801+sbc_r)</f>
        <v>12.3683471379023</v>
      </c>
      <c r="K9804" s="6" t="n">
        <f aca="false">Sens!K9686*(al_ind+Sens!K9801+sbc_r)</f>
        <v>13.2703758663088</v>
      </c>
    </row>
    <row r="9805" customFormat="false" ht="17.15" hidden="false" customHeight="false" outlineLevel="0" collapsed="false">
      <c r="A9805" s="0" t="s">
        <v>1235</v>
      </c>
      <c r="B9805" s="0" t="s">
        <v>98</v>
      </c>
      <c r="F9805" s="6" t="n">
        <f aca="false">Sens!F9688*(al_fro+Sens!F9801+sbc_r)</f>
        <v>3.5528474841784</v>
      </c>
      <c r="G9805" s="6" t="n">
        <f aca="false">Sens!G9688*(al_fro+Sens!G9801+sbc_r)</f>
        <v>3.75741743022503</v>
      </c>
      <c r="H9805" s="6" t="n">
        <f aca="false">Sens!H9688*(al_fro+Sens!H9801+sbc_r)</f>
        <v>3.99161218441131</v>
      </c>
      <c r="I9805" s="6" t="n">
        <f aca="false">Sens!I9688*(al_fro+Sens!I9801+sbc_r)</f>
        <v>4.25850223792175</v>
      </c>
      <c r="J9805" s="6" t="n">
        <f aca="false">Sens!J9688*(al_fro+Sens!J9801+sbc_r)</f>
        <v>4.55866397402304</v>
      </c>
      <c r="K9805" s="6" t="n">
        <f aca="false">Sens!K9688*(al_fro+Sens!K9801+sbc_r)</f>
        <v>4.89112924378565</v>
      </c>
    </row>
    <row r="9806" customFormat="false" ht="17.15" hidden="false" customHeight="false" outlineLevel="0" collapsed="false">
      <c r="A9806" s="0" t="s">
        <v>1236</v>
      </c>
      <c r="B9806" s="0" t="s">
        <v>98</v>
      </c>
      <c r="F9806" s="6" t="n">
        <f aca="false">Sens!F9691*(al_srch+Sens!F9801+sbc_r)</f>
        <v>11.1853689734878</v>
      </c>
      <c r="G9806" s="6" t="n">
        <f aca="false">Sens!G9691*(al_srch+Sens!G9801+sbc_r)</f>
        <v>12.2415477652466</v>
      </c>
      <c r="H9806" s="6" t="n">
        <f aca="false">Sens!H9691*(al_srch+Sens!H9801+sbc_r)</f>
        <v>13.3440586226843</v>
      </c>
      <c r="I9806" s="6" t="n">
        <f aca="false">Sens!I9691*(al_srch+Sens!I9801+sbc_r)</f>
        <v>14.4838426184777</v>
      </c>
      <c r="J9806" s="6" t="n">
        <f aca="false">Sens!J9691*(al_srch+Sens!J9801+sbc_r)</f>
        <v>15.6394343796442</v>
      </c>
      <c r="K9806" s="6" t="n">
        <f aca="false">Sens!K9691*(al_srch+Sens!K9801+sbc_r)</f>
        <v>16.780024868347</v>
      </c>
    </row>
    <row r="9807" customFormat="false" ht="17.15" hidden="false" customHeight="false" outlineLevel="0" collapsed="false">
      <c r="A9807" s="0" t="s">
        <v>1237</v>
      </c>
      <c r="B9807" s="0" t="s">
        <v>98</v>
      </c>
      <c r="F9807" s="6" t="n">
        <f aca="false">Sens!F9659-Sens!F9660+Sens!F9741</f>
        <v>45.3782580567763</v>
      </c>
      <c r="G9807" s="6" t="n">
        <f aca="false">Sens!G9659-Sens!G9660+Sens!G9741</f>
        <v>91.0863367558165</v>
      </c>
      <c r="H9807" s="6" t="n">
        <f aca="false">Sens!H9659-Sens!H9660+Sens!H9741</f>
        <v>144.617532464853</v>
      </c>
      <c r="I9807" s="6" t="n">
        <f aca="false">Sens!I9659-Sens!I9660+Sens!I9741</f>
        <v>187.137304561304</v>
      </c>
      <c r="J9807" s="6" t="n">
        <f aca="false">Sens!J9659-Sens!J9660+Sens!J9741</f>
        <v>217.006854425907</v>
      </c>
      <c r="K9807" s="6" t="n">
        <f aca="false">Sens!K9659-Sens!K9660+Sens!K9741</f>
        <v>234.933637903877</v>
      </c>
    </row>
    <row r="9808" customFormat="false" ht="17.15" hidden="false" customHeight="false" outlineLevel="0" collapsed="false">
      <c r="A9808" s="0" t="s">
        <v>1238</v>
      </c>
      <c r="B9808" s="0" t="s">
        <v>98</v>
      </c>
      <c r="F9808" s="6" t="n">
        <f aca="false">Sens!F9720+Sens!F9741+Sens!F9671+Sens!F9801*(Sens!F9690-Sens!F9653)+sbc_r*Sens!F9690</f>
        <v>241.055603459409</v>
      </c>
      <c r="G9808" s="6" t="n">
        <f aca="false">Sens!G9720+Sens!G9741+Sens!G9671+Sens!G9801*(Sens!G9690-Sens!G9653)+sbc_r*Sens!G9690</f>
        <v>312.98638996847</v>
      </c>
      <c r="H9808" s="6" t="n">
        <f aca="false">Sens!H9720+Sens!H9741+Sens!H9671+Sens!H9801*(Sens!H9690-Sens!H9653)+sbc_r*Sens!H9690</f>
        <v>398.136072197512</v>
      </c>
      <c r="I9808" s="6" t="n">
        <f aca="false">Sens!I9720+Sens!I9741+Sens!I9671+Sens!I9801*(Sens!I9690-Sens!I9653)+sbc_r*Sens!I9690</f>
        <v>471.192799302934</v>
      </c>
      <c r="J9808" s="6" t="n">
        <f aca="false">Sens!J9720+Sens!J9741+Sens!J9671+Sens!J9801*(Sens!J9690-Sens!J9653)+sbc_r*Sens!J9690</f>
        <v>529.861516062842</v>
      </c>
      <c r="K9808" s="6" t="n">
        <f aca="false">Sens!K9720+Sens!K9741+Sens!K9671+Sens!K9801*(Sens!K9690-Sens!K9653)+sbc_r*Sens!K9690</f>
        <v>575.560481960321</v>
      </c>
    </row>
    <row r="9809" customFormat="false" ht="17.15" hidden="false" customHeight="false" outlineLevel="0" collapsed="false">
      <c r="A9809" s="0" t="s">
        <v>1239</v>
      </c>
      <c r="B9809" s="0" t="s">
        <v>98</v>
      </c>
      <c r="F9809" s="6" t="n">
        <f aca="false">Sens!F9808-Sens!F9802-Sens!F9803-Sens!F9804-Sens!F9805-Sens!F9807</f>
        <v>65.7012858959022</v>
      </c>
      <c r="G9809" s="6" t="n">
        <f aca="false">Sens!G9808-Sens!G9802-Sens!G9803-Sens!G9804-Sens!G9805-Sens!G9807</f>
        <v>75.2879823141429</v>
      </c>
      <c r="H9809" s="6" t="n">
        <f aca="false">Sens!H9808-Sens!H9802-Sens!H9803-Sens!H9804-Sens!H9805-Sens!H9807</f>
        <v>90.1205625406792</v>
      </c>
      <c r="I9809" s="6" t="n">
        <f aca="false">Sens!I9808-Sens!I9802-Sens!I9803-Sens!I9804-Sens!I9805-Sens!I9807</f>
        <v>105.419330482579</v>
      </c>
      <c r="J9809" s="6" t="n">
        <f aca="false">Sens!J9808-Sens!J9802-Sens!J9803-Sens!J9804-Sens!J9805-Sens!J9807</f>
        <v>120.751727291445</v>
      </c>
      <c r="K9809" s="6" t="n">
        <f aca="false">Sens!K9808-Sens!K9802-Sens!K9803-Sens!K9804-Sens!K9805-Sens!K9807</f>
        <v>135.554998108123</v>
      </c>
    </row>
    <row r="9810" customFormat="false" ht="17.15" hidden="false" customHeight="false" outlineLevel="0" collapsed="false">
      <c r="A9810" s="0" t="s">
        <v>1240</v>
      </c>
      <c r="B9810" s="0" t="s">
        <v>98</v>
      </c>
      <c r="F9810" s="6" t="n">
        <f aca="false">Sens!F9722+Sens!F9801*Sens!F9697+sbc_r*Sens!F9697</f>
        <v>26.6249537970161</v>
      </c>
      <c r="G9810" s="6" t="n">
        <f aca="false">Sens!G9722+Sens!G9801*Sens!G9697+sbc_r*Sens!G9697</f>
        <v>26.4280811224237</v>
      </c>
      <c r="H9810" s="6" t="n">
        <f aca="false">Sens!H9722+Sens!H9801*Sens!H9697+sbc_r*Sens!H9697</f>
        <v>27.2736911225465</v>
      </c>
      <c r="I9810" s="6" t="n">
        <f aca="false">Sens!I9722+Sens!I9801*Sens!I9697+sbc_r*Sens!I9697</f>
        <v>28.3628304525733</v>
      </c>
      <c r="J9810" s="6" t="n">
        <f aca="false">Sens!J9722+Sens!J9801*Sens!J9697+sbc_r*Sens!J9697</f>
        <v>29.6560382608823</v>
      </c>
      <c r="K9810" s="6" t="n">
        <f aca="false">Sens!K9722+Sens!K9801*Sens!K9697+sbc_r*Sens!K9697</f>
        <v>31.1095081210988</v>
      </c>
    </row>
    <row r="9811" customFormat="false" ht="17.15" hidden="false" customHeight="false" outlineLevel="0" collapsed="false">
      <c r="A9811" s="0" t="s">
        <v>1241</v>
      </c>
      <c r="B9811" s="0" t="s">
        <v>98</v>
      </c>
      <c r="F9811" s="6" t="n">
        <f aca="false">(Sens!F9810-Sens!F9806)*Sens!F9693/(Sens!F9693+Sens!F9695)</f>
        <v>8.72005392006991</v>
      </c>
      <c r="G9811" s="6" t="n">
        <f aca="false">(Sens!G9810-Sens!G9806)*Sens!G9693/(Sens!G9693+Sens!G9695)</f>
        <v>7.87464607031129</v>
      </c>
      <c r="H9811" s="6" t="n">
        <f aca="false">(Sens!H9810-Sens!H9806)*Sens!H9693/(Sens!H9693+Sens!H9695)</f>
        <v>7.63132014798388</v>
      </c>
      <c r="I9811" s="6" t="n">
        <f aca="false">(Sens!I9810-Sens!I9806)*Sens!I9693/(Sens!I9693+Sens!I9695)</f>
        <v>7.53720712268957</v>
      </c>
      <c r="J9811" s="6" t="n">
        <f aca="false">(Sens!J9810-Sens!J9806)*Sens!J9693/(Sens!J9693+Sens!J9695)</f>
        <v>7.57873118449034</v>
      </c>
      <c r="K9811" s="6" t="n">
        <f aca="false">(Sens!K9810-Sens!K9806)*Sens!K9693/(Sens!K9693+Sens!K9695)</f>
        <v>7.74790402193125</v>
      </c>
    </row>
    <row r="9812" customFormat="false" ht="17.15" hidden="false" customHeight="false" outlineLevel="0" collapsed="false">
      <c r="A9812" s="0" t="s">
        <v>1242</v>
      </c>
      <c r="B9812" s="0" t="s">
        <v>98</v>
      </c>
      <c r="F9812" s="6" t="n">
        <f aca="false">Sens!F9810-Sens!F9806-Sens!F9811</f>
        <v>6.71953090345839</v>
      </c>
      <c r="G9812" s="6" t="n">
        <f aca="false">Sens!G9810-Sens!G9806-Sens!G9811</f>
        <v>6.3118872868658</v>
      </c>
      <c r="H9812" s="6" t="n">
        <f aca="false">Sens!H9810-Sens!H9806-Sens!H9811</f>
        <v>6.29831235187833</v>
      </c>
      <c r="I9812" s="6" t="n">
        <f aca="false">Sens!I9810-Sens!I9806-Sens!I9811</f>
        <v>6.34178071140601</v>
      </c>
      <c r="J9812" s="6" t="n">
        <f aca="false">Sens!J9810-Sens!J9806-Sens!J9811</f>
        <v>6.43787269674775</v>
      </c>
      <c r="K9812" s="6" t="n">
        <f aca="false">Sens!K9810-Sens!K9806-Sens!K9811</f>
        <v>6.5815792308205</v>
      </c>
    </row>
    <row r="9813" customFormat="false" ht="17.15" hidden="false" customHeight="false" outlineLevel="0" collapsed="false">
      <c r="A9813" s="0" t="s">
        <v>1243</v>
      </c>
      <c r="B9813" s="0" t="s">
        <v>98</v>
      </c>
      <c r="F9813" s="6" t="n">
        <f aca="false">Sens!F9807-tax_f*(Sens!F9807-Sens!F9671)-Sens!F9668</f>
        <v>-125.235434701028</v>
      </c>
      <c r="G9813" s="6" t="n">
        <f aca="false">Sens!G9807-tax_f*(Sens!G9807-Sens!G9671)-Sens!G9668</f>
        <v>-106.928508113935</v>
      </c>
      <c r="H9813" s="6" t="n">
        <f aca="false">Sens!H9807-tax_f*(Sens!H9807-Sens!H9671)-Sens!H9668</f>
        <v>-63.2919599603405</v>
      </c>
      <c r="I9813" s="6" t="n">
        <f aca="false">Sens!I9807-tax_f*(Sens!I9807-Sens!I9671)-Sens!I9668</f>
        <v>3.94121196634245</v>
      </c>
      <c r="J9813" s="6" t="n">
        <f aca="false">Sens!J9807-tax_f*(Sens!J9807-Sens!J9671)-Sens!J9668</f>
        <v>71.0786869547042</v>
      </c>
      <c r="K9813" s="6" t="n">
        <f aca="false">Sens!K9807-tax_f*(Sens!K9807-Sens!K9671)-Sens!K9668</f>
        <v>97.5865911685559</v>
      </c>
    </row>
    <row r="9814" customFormat="false" ht="17.15" hidden="false" customHeight="false" outlineLevel="0" collapsed="false">
      <c r="A9814" s="0" t="s">
        <v>1244</v>
      </c>
      <c r="B9814" s="0" t="s">
        <v>98</v>
      </c>
      <c r="G9814" s="6" t="n">
        <f aca="false">Sens!G9813/(1+wacc)^(Sens!G9784-Sens!F9785)</f>
        <v>-101.81651667568</v>
      </c>
      <c r="H9814" s="6" t="n">
        <f aca="false">Sens!H9813/(1+wacc)^(Sens!H9784-Sens!F9785)</f>
        <v>-54.6415143556151</v>
      </c>
      <c r="I9814" s="6" t="n">
        <f aca="false">Sens!I9813/(1+wacc)^(Sens!I9784-Sens!F9785)</f>
        <v>3.08498765169516</v>
      </c>
      <c r="J9814" s="6" t="n">
        <f aca="false">Sens!J9813/(1+wacc)^(Sens!J9784-Sens!F9785)</f>
        <v>50.4443451596971</v>
      </c>
      <c r="K9814" s="6" t="n">
        <f aca="false">Sens!K9813/(1+wacc)^(Sens!K9784-Sens!F9785)</f>
        <v>62.7932114544856</v>
      </c>
      <c r="L9814" s="1" t="s">
        <v>1245</v>
      </c>
    </row>
    <row r="9815" customFormat="false" ht="17.15" hidden="false" customHeight="false" outlineLevel="0" collapsed="false">
      <c r="A9815" s="0" t="s">
        <v>1246</v>
      </c>
      <c r="B9815" s="0" t="s">
        <v>98</v>
      </c>
      <c r="C9815" s="6" t="n">
        <f aca="false">(Sens!K9807-Sens!K9671)*(1-tax_f)*(1+g_tv)*(1-g_tv/(wacc+ronic_prem))/(wacc-g_tv)/(1+wacc)^(Sens!K9785-Sens!F9785)</f>
        <v>450.836735002813</v>
      </c>
    </row>
    <row r="9816" customFormat="false" ht="17.15" hidden="false" customHeight="false" outlineLevel="0" collapsed="false">
      <c r="A9816" s="1" t="s">
        <v>1247</v>
      </c>
      <c r="B9816" s="0" t="s">
        <v>98</v>
      </c>
      <c r="C9816" s="6" t="n">
        <f aca="false">(SUM(Sens!G9814:K9814)+Sens!$C$9815)*(1+wacc)^(t_roll-Sens!F9785)</f>
        <v>424.259738494477</v>
      </c>
      <c r="L9816" s="12" t="s">
        <v>1248</v>
      </c>
    </row>
    <row r="9817" customFormat="false" ht="17.15" hidden="false" customHeight="false" outlineLevel="0" collapsed="false">
      <c r="A9817" s="1" t="s">
        <v>1249</v>
      </c>
      <c r="B9817" s="0" t="s">
        <v>98</v>
      </c>
      <c r="C9817" s="6" t="n">
        <f aca="false">(w_ntm28*Sens!G9659+(1-w_ntm28)*Sens!H9659)*m_ai</f>
        <v>563.316843258668</v>
      </c>
    </row>
    <row r="9818" customFormat="false" ht="17.15" hidden="false" customHeight="false" outlineLevel="0" collapsed="false">
      <c r="A9818" s="1" t="s">
        <v>1250</v>
      </c>
      <c r="B9818" s="0" t="s">
        <v>98</v>
      </c>
      <c r="C9818" s="6" t="n">
        <f aca="false">(w_ntm28*Sens!G9809+(1-w_ntm28)*Sens!H9809)*m_cloud</f>
        <v>1107.87265817786</v>
      </c>
    </row>
    <row r="9819" customFormat="false" ht="17.15" hidden="false" customHeight="false" outlineLevel="0" collapsed="false">
      <c r="A9819" s="1" t="s">
        <v>1251</v>
      </c>
      <c r="B9819" s="0" t="s">
        <v>98</v>
      </c>
      <c r="C9819" s="6" t="n">
        <f aca="false">(w_ntm28*Sens!G9802+(1-w_ntm28)*Sens!H9802)*m_sw</f>
        <v>1120.09245549996</v>
      </c>
    </row>
    <row r="9820" customFormat="false" ht="17.15" hidden="false" customHeight="false" outlineLevel="0" collapsed="false">
      <c r="A9820" s="1" t="s">
        <v>1252</v>
      </c>
      <c r="B9820" s="0" t="s">
        <v>98</v>
      </c>
      <c r="C9820" s="6" t="n">
        <f aca="false">(w_ntm28*Sens!G9803+(1-w_ntm28)*Sens!H9803)*m_sw</f>
        <v>372.5799758161</v>
      </c>
    </row>
    <row r="9821" customFormat="false" ht="17.15" hidden="false" customHeight="false" outlineLevel="0" collapsed="false">
      <c r="A9821" s="1" t="s">
        <v>1253</v>
      </c>
      <c r="B9821" s="0" t="s">
        <v>98</v>
      </c>
      <c r="C9821" s="6" t="n">
        <f aca="false">(w_ntm28*Sens!G9804+(1-w_ntm28)*Sens!H9804)*m_sw</f>
        <v>108.927738894607</v>
      </c>
    </row>
    <row r="9822" customFormat="false" ht="17.15" hidden="false" customHeight="false" outlineLevel="0" collapsed="false">
      <c r="A9822" s="1" t="s">
        <v>1254</v>
      </c>
      <c r="B9822" s="0" t="s">
        <v>98</v>
      </c>
      <c r="C9822" s="6" t="n">
        <f aca="false">(w_ntm28*Sens!G9805+(1-w_ntm28)*Sens!H9805)*m_sw</f>
        <v>41.4116600311575</v>
      </c>
    </row>
    <row r="9823" customFormat="false" ht="17.15" hidden="false" customHeight="false" outlineLevel="0" collapsed="false">
      <c r="A9823" s="1" t="s">
        <v>1255</v>
      </c>
      <c r="B9823" s="0" t="s">
        <v>98</v>
      </c>
      <c r="C9823" s="6" t="n">
        <f aca="false">(w_ntm28*Sens!G9806+(1-w_ntm28)*Sens!H9806)*m_ads</f>
        <v>114.822595673865</v>
      </c>
    </row>
    <row r="9824" customFormat="false" ht="17.15" hidden="false" customHeight="false" outlineLevel="0" collapsed="false">
      <c r="A9824" s="1" t="s">
        <v>1256</v>
      </c>
      <c r="B9824" s="0" t="s">
        <v>98</v>
      </c>
      <c r="C9824" s="6" t="n">
        <f aca="false">(w_ntm28*Sens!G9811+(1-w_ntm28)*Sens!H9811)*m_game</f>
        <v>98.4464106409647</v>
      </c>
    </row>
    <row r="9825" customFormat="false" ht="17.15" hidden="false" customHeight="false" outlineLevel="0" collapsed="false">
      <c r="A9825" s="1" t="s">
        <v>1257</v>
      </c>
      <c r="B9825" s="0" t="s">
        <v>98</v>
      </c>
      <c r="C9825" s="6" t="n">
        <f aca="false">(w_ntm28*Sens!G9812+(1-w_ntm28)*Sens!H9812)*m_pc</f>
        <v>91.2684295420105</v>
      </c>
    </row>
    <row r="9826" customFormat="false" ht="17.15" hidden="false" customHeight="false" outlineLevel="0" collapsed="false">
      <c r="A9826" s="1" t="s">
        <v>1258</v>
      </c>
      <c r="B9826" s="0" t="s">
        <v>98</v>
      </c>
      <c r="C9826" s="6" t="n">
        <f aca="false">Sens!$C$9816+Sens!$C$9818+Sens!$C$9819+Sens!$C$9820+Sens!$C$9821+Sens!$C$9822+Sens!$C$9823+Sens!$C$9824+Sens!$C$9825</f>
        <v>3479.681662771</v>
      </c>
    </row>
    <row r="9827" customFormat="false" ht="17.15" hidden="false" customHeight="false" outlineLevel="0" collapsed="false">
      <c r="A9827" s="1" t="s">
        <v>1259</v>
      </c>
      <c r="B9827" s="0" t="s">
        <v>98</v>
      </c>
      <c r="C9827" s="6" t="n">
        <f aca="false">(Sens!G9788-Sens!G9813)*t_stub</f>
        <v>48.438520611752</v>
      </c>
      <c r="L9827" s="1" t="s">
        <v>1260</v>
      </c>
    </row>
    <row r="9828" customFormat="false" ht="17.15" hidden="false" customHeight="false" outlineLevel="0" collapsed="false">
      <c r="A9828" s="1" t="s">
        <v>1169</v>
      </c>
      <c r="B9828" s="0" t="s">
        <v>98</v>
      </c>
      <c r="C9828" s="6" t="n">
        <f aca="false">Sens!F9775+oai_v-Sens!F9764+Sens!$C$9827</f>
        <v>162.666790611752</v>
      </c>
      <c r="L9828" s="1" t="s">
        <v>1261</v>
      </c>
    </row>
    <row r="9829" customFormat="false" ht="17.15" hidden="false" customHeight="false" outlineLevel="0" collapsed="false">
      <c r="A9829" s="1" t="s">
        <v>1262</v>
      </c>
      <c r="B9829" s="0" t="s">
        <v>75</v>
      </c>
      <c r="C9829" s="5" t="n">
        <f aca="false">(Sens!$C$9826+Sens!$C$9828)/(Sens!F9777+dil_gap)-Sens!G9767*roll_div_q/q_per_yr</f>
        <v>485.256990467859</v>
      </c>
      <c r="L9829" s="1" t="s">
        <v>1263</v>
      </c>
    </row>
    <row r="9830" customFormat="false" ht="17.15" hidden="false" customHeight="false" outlineLevel="0" collapsed="false">
      <c r="A9830" s="1" t="s">
        <v>1264</v>
      </c>
      <c r="B9830" s="0" t="s">
        <v>75</v>
      </c>
      <c r="C9830" s="5" t="n">
        <f aca="false">w_dcf*Sens!$C$9800+(1-w_dcf)*Sens!$C$9829</f>
        <v>429.723713483399</v>
      </c>
    </row>
    <row r="9831" customFormat="false" ht="17.15" hidden="false" customHeight="false" outlineLevel="0" collapsed="false">
      <c r="A9831" s="3" t="s">
        <v>1725</v>
      </c>
    </row>
    <row r="9832" customFormat="false" ht="15" hidden="false" customHeight="false" outlineLevel="0" collapsed="false">
      <c r="A9832" s="4" t="s">
        <v>43</v>
      </c>
      <c r="B9832" s="4" t="s">
        <v>65</v>
      </c>
      <c r="C9832" s="23" t="s">
        <v>938</v>
      </c>
      <c r="D9832" s="23" t="s">
        <v>939</v>
      </c>
      <c r="E9832" s="23" t="s">
        <v>940</v>
      </c>
      <c r="F9832" s="23" t="s">
        <v>941</v>
      </c>
      <c r="G9832" s="23" t="s">
        <v>942</v>
      </c>
      <c r="H9832" s="23" t="s">
        <v>943</v>
      </c>
      <c r="I9832" s="23" t="s">
        <v>944</v>
      </c>
      <c r="J9832" s="23" t="s">
        <v>945</v>
      </c>
      <c r="K9832" s="23" t="s">
        <v>946</v>
      </c>
      <c r="L9832" s="4" t="s">
        <v>47</v>
      </c>
    </row>
    <row r="9833" customFormat="false" ht="17.15" hidden="false" customHeight="false" outlineLevel="0" collapsed="false">
      <c r="A9833" s="1" t="s">
        <v>947</v>
      </c>
      <c r="B9833" s="1" t="s">
        <v>279</v>
      </c>
      <c r="C9833" s="21" t="n">
        <v>2024</v>
      </c>
      <c r="D9833" s="21" t="n">
        <v>2025</v>
      </c>
      <c r="E9833" s="21" t="n">
        <v>2026</v>
      </c>
      <c r="F9833" s="21" t="n">
        <v>2027</v>
      </c>
      <c r="G9833" s="21" t="n">
        <v>2028</v>
      </c>
      <c r="H9833" s="21" t="n">
        <v>2029</v>
      </c>
      <c r="I9833" s="21" t="n">
        <v>2030</v>
      </c>
      <c r="J9833" s="21" t="n">
        <v>2031</v>
      </c>
      <c r="K9833" s="21" t="n">
        <v>2032</v>
      </c>
    </row>
    <row r="9834" customFormat="false" ht="17.15" hidden="false" customHeight="false" outlineLevel="0" collapsed="false">
      <c r="A9834" s="1" t="s">
        <v>948</v>
      </c>
      <c r="B9834" s="0" t="s">
        <v>456</v>
      </c>
      <c r="F9834" s="30" t="n">
        <f aca="false">pace</f>
        <v>2726.5351</v>
      </c>
      <c r="G9834" s="30" t="n">
        <f aca="false">pace</f>
        <v>2726.5351</v>
      </c>
      <c r="H9834" s="30" t="n">
        <f aca="false">pace</f>
        <v>2726.5351</v>
      </c>
      <c r="I9834" s="30" t="n">
        <f aca="false">pace+(g_tv*Sens!H9835-pace)*MIN(1,(Sens!I9833-pace_y0)/(pace_y1-pace_y0))</f>
        <v>1931.98611966667</v>
      </c>
      <c r="J9834" s="30" t="n">
        <f aca="false">pace+(g_tv*Sens!I9835-pace)*MIN(1,(Sens!J9833-pace_y0)/(pace_y1-pace_y0))</f>
        <v>1176.07686172667</v>
      </c>
      <c r="K9834" s="30" t="n">
        <f aca="false">pace+(g_tv*Sens!J9835-pace)*MIN(1,(Sens!K9833-pace_y0)/(pace_y1-pace_y0))</f>
        <v>436.1300484418</v>
      </c>
      <c r="L9834" s="12" t="s">
        <v>949</v>
      </c>
    </row>
    <row r="9835" customFormat="false" ht="17.15" hidden="false" customHeight="false" outlineLevel="0" collapsed="false">
      <c r="A9835" s="1" t="s">
        <v>950</v>
      </c>
      <c r="B9835" s="0" t="s">
        <v>456</v>
      </c>
      <c r="C9835" s="30" t="n">
        <f aca="false">mw_ext_24</f>
        <v>640</v>
      </c>
      <c r="D9835" s="30" t="n">
        <f aca="false">mw_ext_25</f>
        <v>1630</v>
      </c>
      <c r="E9835" s="30" t="n">
        <f aca="false">mw_ext_26</f>
        <v>3250</v>
      </c>
      <c r="F9835" s="30" t="n">
        <f aca="false">Sens!E9835+Sens!F9834</f>
        <v>5976.5351</v>
      </c>
      <c r="G9835" s="30" t="n">
        <f aca="false">Sens!F9835+Sens!G9834</f>
        <v>8703.0702</v>
      </c>
      <c r="H9835" s="30" t="n">
        <f aca="false">Sens!G9835+Sens!H9834</f>
        <v>11429.6053</v>
      </c>
      <c r="I9835" s="30" t="n">
        <f aca="false">Sens!H9835+Sens!I9834</f>
        <v>13361.5914196667</v>
      </c>
      <c r="J9835" s="30" t="n">
        <f aca="false">Sens!I9835+Sens!J9834</f>
        <v>14537.6682813933</v>
      </c>
      <c r="K9835" s="30" t="n">
        <f aca="false">Sens!J9835+Sens!K9834</f>
        <v>14973.7983298351</v>
      </c>
      <c r="L9835" s="1" t="s">
        <v>951</v>
      </c>
    </row>
    <row r="9836" customFormat="false" ht="17.15" hidden="false" customHeight="false" outlineLevel="0" collapsed="false">
      <c r="A9836" s="1" t="s">
        <v>952</v>
      </c>
      <c r="B9836" s="0" t="s">
        <v>456</v>
      </c>
      <c r="C9836" s="30" t="n">
        <f aca="false">rent_ext_24</f>
        <v>150</v>
      </c>
      <c r="D9836" s="30" t="n">
        <f aca="false">rent_ext_25</f>
        <v>400</v>
      </c>
      <c r="E9836" s="30" t="n">
        <f aca="false">rent_ext_26</f>
        <v>550</v>
      </c>
      <c r="F9836" s="30" t="n">
        <f aca="false">rent_ext_f</f>
        <v>756</v>
      </c>
      <c r="G9836" s="30" t="n">
        <f aca="false">rent_ext_f</f>
        <v>756</v>
      </c>
      <c r="H9836" s="30" t="n">
        <f aca="false">rent_ext_f</f>
        <v>756</v>
      </c>
      <c r="I9836" s="30" t="n">
        <f aca="false">rent_ext_f</f>
        <v>756</v>
      </c>
      <c r="J9836" s="30" t="n">
        <f aca="false">rent_ext_f</f>
        <v>756</v>
      </c>
      <c r="K9836" s="30" t="n">
        <f aca="false">rent_ext_f</f>
        <v>756</v>
      </c>
      <c r="L9836" s="1" t="s">
        <v>953</v>
      </c>
    </row>
    <row r="9837" customFormat="false" ht="17.15" hidden="false" customHeight="false" outlineLevel="0" collapsed="false">
      <c r="A9837" s="1" t="s">
        <v>954</v>
      </c>
      <c r="B9837" s="0" t="s">
        <v>456</v>
      </c>
      <c r="C9837" s="30" t="n">
        <f aca="false">Sens!C9835-Sens!C9836</f>
        <v>490</v>
      </c>
      <c r="D9837" s="30" t="n">
        <f aca="false">Sens!D9835-Sens!D9836</f>
        <v>1230</v>
      </c>
      <c r="E9837" s="30" t="n">
        <f aca="false">Sens!E9835-Sens!E9836</f>
        <v>2700</v>
      </c>
      <c r="F9837" s="30" t="n">
        <f aca="false">Sens!F9835-Sens!F9836</f>
        <v>5220.5351</v>
      </c>
      <c r="G9837" s="30" t="n">
        <f aca="false">Sens!G9835-Sens!G9836</f>
        <v>7947.0702</v>
      </c>
      <c r="H9837" s="30" t="n">
        <f aca="false">Sens!H9835-Sens!H9836</f>
        <v>10673.6053</v>
      </c>
      <c r="I9837" s="30" t="n">
        <f aca="false">Sens!I9835-Sens!I9836</f>
        <v>12605.5914196667</v>
      </c>
      <c r="J9837" s="30" t="n">
        <f aca="false">Sens!J9835-Sens!J9836</f>
        <v>13781.6682813933</v>
      </c>
      <c r="K9837" s="30" t="n">
        <f aca="false">Sens!K9835-Sens!K9836</f>
        <v>14217.7983298351</v>
      </c>
    </row>
    <row r="9838" customFormat="false" ht="17.15" hidden="false" customHeight="false" outlineLevel="0" collapsed="false">
      <c r="A9838" s="1" t="s">
        <v>955</v>
      </c>
      <c r="B9838" s="0" t="s">
        <v>456</v>
      </c>
      <c r="C9838" s="30" t="n">
        <f aca="false">Sens!C9837/ext_sh</f>
        <v>816.666666666667</v>
      </c>
      <c r="D9838" s="30" t="n">
        <f aca="false">Sens!D9837/ext_sh</f>
        <v>2050</v>
      </c>
      <c r="E9838" s="30" t="n">
        <f aca="false">Sens!E9837/ext_sh</f>
        <v>4500</v>
      </c>
      <c r="F9838" s="30" t="n">
        <f aca="false">Sens!F9837/ext_sh</f>
        <v>8700.89183333333</v>
      </c>
      <c r="G9838" s="30" t="n">
        <f aca="false">Sens!G9837/ext_sh</f>
        <v>13245.117</v>
      </c>
      <c r="H9838" s="30" t="n">
        <f aca="false">Sens!H9837/ext_sh</f>
        <v>17789.3421666667</v>
      </c>
      <c r="I9838" s="30" t="n">
        <f aca="false">Sens!I9837/ext_sh</f>
        <v>21009.3190327778</v>
      </c>
      <c r="J9838" s="30" t="n">
        <f aca="false">Sens!J9837/ext_sh</f>
        <v>22969.4471356556</v>
      </c>
      <c r="K9838" s="30" t="n">
        <f aca="false">Sens!K9837/ext_sh</f>
        <v>23696.3305497252</v>
      </c>
      <c r="L9838" s="1" t="s">
        <v>956</v>
      </c>
    </row>
    <row r="9839" customFormat="false" ht="17.15" hidden="false" customHeight="false" outlineLevel="0" collapsed="false">
      <c r="A9839" s="1" t="s">
        <v>957</v>
      </c>
      <c r="B9839" s="0" t="s">
        <v>456</v>
      </c>
      <c r="C9839" s="30" t="n">
        <f aca="false">Sens!C9838-Sens!C9837</f>
        <v>326.666666666667</v>
      </c>
      <c r="D9839" s="30" t="n">
        <f aca="false">Sens!D9838-Sens!D9837</f>
        <v>820</v>
      </c>
      <c r="E9839" s="30" t="n">
        <f aca="false">Sens!E9838-Sens!E9837</f>
        <v>1800</v>
      </c>
      <c r="F9839" s="30" t="n">
        <f aca="false">Sens!F9838-Sens!F9837</f>
        <v>3480.35673333333</v>
      </c>
      <c r="G9839" s="30" t="n">
        <f aca="false">Sens!G9838-Sens!G9837</f>
        <v>5298.0468</v>
      </c>
      <c r="H9839" s="30" t="n">
        <f aca="false">Sens!H9838-Sens!H9837</f>
        <v>7115.73686666667</v>
      </c>
      <c r="I9839" s="30" t="n">
        <f aca="false">Sens!I9838-Sens!I9837</f>
        <v>8403.72761311111</v>
      </c>
      <c r="J9839" s="30" t="n">
        <f aca="false">Sens!J9838-Sens!J9837</f>
        <v>9187.77885426222</v>
      </c>
      <c r="K9839" s="30" t="n">
        <f aca="false">Sens!K9838-Sens!K9837</f>
        <v>9478.53221989009</v>
      </c>
    </row>
    <row r="9840" customFormat="false" ht="17.15" hidden="false" customHeight="false" outlineLevel="0" collapsed="false">
      <c r="A9840" s="1" t="s">
        <v>958</v>
      </c>
      <c r="B9840" s="0" t="s">
        <v>456</v>
      </c>
      <c r="C9840" s="30" t="n">
        <f aca="false">Sens!C9838</f>
        <v>816.666666666667</v>
      </c>
      <c r="D9840" s="30" t="n">
        <f aca="false">Sens!D9838-Sens!C9838</f>
        <v>1233.33333333333</v>
      </c>
      <c r="E9840" s="30" t="n">
        <f aca="false">Sens!E9838-Sens!D9838</f>
        <v>2450</v>
      </c>
      <c r="F9840" s="30" t="n">
        <f aca="false">Sens!F9838-Sens!E9838</f>
        <v>4200.89183333333</v>
      </c>
      <c r="G9840" s="30" t="n">
        <f aca="false">Sens!G9838-Sens!F9838</f>
        <v>4544.22516666667</v>
      </c>
      <c r="H9840" s="30" t="n">
        <f aca="false">Sens!H9838-Sens!G9838</f>
        <v>4544.22516666667</v>
      </c>
      <c r="I9840" s="30" t="n">
        <f aca="false">Sens!I9838-Sens!H9838</f>
        <v>3219.97686611111</v>
      </c>
      <c r="J9840" s="30" t="n">
        <f aca="false">Sens!J9838-Sens!I9838</f>
        <v>1960.12810287778</v>
      </c>
      <c r="K9840" s="30" t="n">
        <f aca="false">Sens!K9838-Sens!J9838</f>
        <v>726.883414069667</v>
      </c>
    </row>
    <row r="9841" customFormat="false" ht="17.15" hidden="false" customHeight="false" outlineLevel="0" collapsed="false">
      <c r="A9841" s="1" t="s">
        <v>959</v>
      </c>
      <c r="B9841" s="0" t="s">
        <v>456</v>
      </c>
      <c r="D9841" s="30" t="n">
        <f aca="false">Sens!D9835-Sens!C9835</f>
        <v>990</v>
      </c>
      <c r="E9841" s="30" t="n">
        <f aca="false">Sens!E9835-Sens!D9835</f>
        <v>1620</v>
      </c>
      <c r="F9841" s="30" t="n">
        <f aca="false">Sens!F9835-Sens!E9835</f>
        <v>2726.5351</v>
      </c>
      <c r="G9841" s="30" t="n">
        <f aca="false">Sens!G9835-Sens!F9835</f>
        <v>2726.5351</v>
      </c>
      <c r="H9841" s="30" t="n">
        <f aca="false">Sens!H9835-Sens!G9835</f>
        <v>2726.5351</v>
      </c>
      <c r="I9841" s="30" t="n">
        <f aca="false">Sens!I9835-Sens!H9835</f>
        <v>1931.98611966667</v>
      </c>
      <c r="J9841" s="30" t="n">
        <f aca="false">Sens!J9835-Sens!I9835</f>
        <v>1176.07686172667</v>
      </c>
      <c r="K9841" s="30" t="n">
        <f aca="false">Sens!K9835-Sens!J9835</f>
        <v>436.130048441799</v>
      </c>
    </row>
    <row r="9842" customFormat="false" ht="17.15" hidden="false" customHeight="false" outlineLevel="0" collapsed="false">
      <c r="A9842" s="1" t="s">
        <v>960</v>
      </c>
      <c r="B9842" s="0" t="s">
        <v>456</v>
      </c>
      <c r="F9842" s="30" t="n">
        <f aca="false">Sens!F9861*ext_sh</f>
        <v>0</v>
      </c>
      <c r="G9842" s="30" t="n">
        <f aca="false">Sens!G9861*ext_sh</f>
        <v>0</v>
      </c>
      <c r="H9842" s="30" t="n">
        <f aca="false">Sens!H9861*ext_sh</f>
        <v>0</v>
      </c>
      <c r="I9842" s="30" t="n">
        <f aca="false">Sens!I9861*ext_sh</f>
        <v>490</v>
      </c>
      <c r="J9842" s="30" t="n">
        <f aca="false">Sens!J9861*ext_sh</f>
        <v>740</v>
      </c>
      <c r="K9842" s="30" t="n">
        <f aca="false">Sens!K9861*ext_sh</f>
        <v>1470</v>
      </c>
      <c r="L9842" s="1" t="s">
        <v>961</v>
      </c>
    </row>
    <row r="9843" customFormat="false" ht="17.15" hidden="false" customHeight="false" outlineLevel="0" collapsed="false">
      <c r="A9843" s="1" t="s">
        <v>962</v>
      </c>
      <c r="B9843" s="0" t="s">
        <v>456</v>
      </c>
      <c r="C9843" s="30" t="n">
        <f aca="false">mix_h*Sens!C9835</f>
        <v>128</v>
      </c>
      <c r="D9843" s="30" t="n">
        <f aca="false">mix_h*Sens!D9835</f>
        <v>326</v>
      </c>
      <c r="E9843" s="30" t="n">
        <f aca="false">mix_h*Sens!E9835</f>
        <v>650</v>
      </c>
      <c r="F9843" s="30" t="n">
        <f aca="false">Sens!E9843-Sens!F9842*mix_h</f>
        <v>650</v>
      </c>
      <c r="G9843" s="30" t="n">
        <f aca="false">Sens!F9843-Sens!G9842*mix_h</f>
        <v>650</v>
      </c>
      <c r="H9843" s="30" t="n">
        <f aca="false">Sens!G9843-Sens!H9842*mix_h</f>
        <v>650</v>
      </c>
      <c r="I9843" s="30" t="n">
        <f aca="false">Sens!H9843-Sens!I9842*mix_h</f>
        <v>552</v>
      </c>
      <c r="J9843" s="30" t="n">
        <f aca="false">Sens!I9843-Sens!J9842*mix_h</f>
        <v>404</v>
      </c>
      <c r="K9843" s="30" t="n">
        <f aca="false">Sens!J9843-Sens!K9842*mix_h</f>
        <v>110</v>
      </c>
    </row>
    <row r="9844" customFormat="false" ht="17.15" hidden="false" customHeight="false" outlineLevel="0" collapsed="false">
      <c r="A9844" s="1" t="s">
        <v>963</v>
      </c>
      <c r="B9844" s="0" t="s">
        <v>456</v>
      </c>
      <c r="C9844" s="30" t="n">
        <f aca="false">mix_g2*Sens!C9835</f>
        <v>288</v>
      </c>
      <c r="D9844" s="30" t="n">
        <f aca="false">mix_g2*Sens!D9835</f>
        <v>733.5</v>
      </c>
      <c r="E9844" s="30" t="n">
        <f aca="false">mix_g2*Sens!E9835</f>
        <v>1462.5</v>
      </c>
      <c r="F9844" s="30" t="n">
        <f aca="false">Sens!E9844-Sens!F9842*mix_g2</f>
        <v>1462.5</v>
      </c>
      <c r="G9844" s="30" t="n">
        <f aca="false">Sens!F9844-Sens!G9842*mix_g2</f>
        <v>1462.5</v>
      </c>
      <c r="H9844" s="30" t="n">
        <f aca="false">Sens!G9844-Sens!H9842*mix_g2</f>
        <v>1462.5</v>
      </c>
      <c r="I9844" s="30" t="n">
        <f aca="false">Sens!H9844-Sens!I9842*mix_g2</f>
        <v>1242</v>
      </c>
      <c r="J9844" s="30" t="n">
        <f aca="false">Sens!I9844-Sens!J9842*mix_g2</f>
        <v>909</v>
      </c>
      <c r="K9844" s="30" t="n">
        <f aca="false">Sens!J9844-Sens!K9842*mix_g2</f>
        <v>247.5</v>
      </c>
    </row>
    <row r="9845" customFormat="false" ht="17.15" hidden="false" customHeight="false" outlineLevel="0" collapsed="false">
      <c r="A9845" s="1" t="s">
        <v>964</v>
      </c>
      <c r="B9845" s="0" t="s">
        <v>456</v>
      </c>
      <c r="C9845" s="30" t="n">
        <f aca="false">mix_g3*Sens!C9835</f>
        <v>224</v>
      </c>
      <c r="D9845" s="30" t="n">
        <f aca="false">mix_g3*Sens!D9835</f>
        <v>570.5</v>
      </c>
      <c r="E9845" s="30" t="n">
        <f aca="false">mix_g3*Sens!E9835</f>
        <v>1137.5</v>
      </c>
      <c r="F9845" s="30" t="n">
        <f aca="false">Sens!E9845+(Sens!F9841+Sens!F9842)*(a_g3_27-nonnv*a_mai)-Sens!F9842*mix_g3</f>
        <v>2773.42106</v>
      </c>
      <c r="G9845" s="30" t="n">
        <f aca="false">Sens!F9845+(Sens!G9841+Sens!G9842)*(a_g3_28-nonnv*a_mai)-Sens!G9842*mix_g3</f>
        <v>3318.72808</v>
      </c>
      <c r="H9845" s="30" t="n">
        <f aca="false">Sens!G9845+(Sens!H9841+Sens!H9842)*(a_g3_29-nonnv*a_mai)-Sens!H9842*mix_g3</f>
        <v>3318.72808</v>
      </c>
      <c r="I9845" s="30" t="n">
        <f aca="false">Sens!H9845+(Sens!I9841+Sens!I9842)*(a_g3_29-nonnv*a_mai)-Sens!I9842*mix_g3</f>
        <v>3147.22808</v>
      </c>
      <c r="J9845" s="30" t="n">
        <f aca="false">Sens!I9845+(Sens!J9841+Sens!J9842)*(a_g3_29-nonnv*a_mai)-Sens!J9842*mix_g3</f>
        <v>2888.22808</v>
      </c>
      <c r="K9845" s="30" t="n">
        <f aca="false">Sens!J9845+(Sens!K9841+Sens!K9842)*(a_g3_29-nonnv*a_mai)-Sens!K9842*mix_g3</f>
        <v>2373.72808</v>
      </c>
    </row>
    <row r="9846" customFormat="false" ht="17.15" hidden="false" customHeight="false" outlineLevel="0" collapsed="false">
      <c r="A9846" s="1" t="s">
        <v>965</v>
      </c>
      <c r="B9846" s="0" t="s">
        <v>456</v>
      </c>
      <c r="C9846" s="30" t="n">
        <v>0</v>
      </c>
      <c r="D9846" s="30" t="n">
        <v>0</v>
      </c>
      <c r="E9846" s="30" t="n">
        <v>0</v>
      </c>
      <c r="F9846" s="30" t="n">
        <f aca="false">Sens!E9846+(Sens!F9841+Sens!F9842)*nonnv*a_mai</f>
        <v>272.65351</v>
      </c>
      <c r="G9846" s="30" t="n">
        <f aca="false">Sens!F9846+(Sens!G9841+Sens!G9842)*nonnv*a_mai</f>
        <v>545.30702</v>
      </c>
      <c r="H9846" s="30" t="n">
        <f aca="false">Sens!G9846+(Sens!H9841+Sens!H9842)*nonnv*a_mai</f>
        <v>817.96053</v>
      </c>
      <c r="I9846" s="30" t="n">
        <f aca="false">Sens!H9846+(Sens!I9841+Sens!I9842)*nonnv*a_mai</f>
        <v>1060.15914196667</v>
      </c>
      <c r="J9846" s="30" t="n">
        <f aca="false">Sens!I9846+(Sens!J9841+Sens!J9842)*nonnv*a_mai</f>
        <v>1251.76682813933</v>
      </c>
      <c r="K9846" s="30" t="n">
        <f aca="false">Sens!J9846+(Sens!K9841+Sens!K9842)*nonnv*a_mai</f>
        <v>1442.37983298351</v>
      </c>
      <c r="L9846" s="12" t="s">
        <v>966</v>
      </c>
    </row>
    <row r="9847" customFormat="false" ht="17.15" hidden="false" customHeight="false" outlineLevel="0" collapsed="false">
      <c r="A9847" s="1" t="s">
        <v>967</v>
      </c>
      <c r="B9847" s="0" t="s">
        <v>456</v>
      </c>
      <c r="C9847" s="30" t="n">
        <v>0</v>
      </c>
      <c r="D9847" s="30" t="n">
        <v>0</v>
      </c>
      <c r="E9847" s="30" t="n">
        <v>0</v>
      </c>
      <c r="F9847" s="30" t="n">
        <f aca="false">Sens!E9847+(Sens!F9841+Sens!F9842)*(1-a_g3_27)</f>
        <v>817.96053</v>
      </c>
      <c r="G9847" s="30" t="n">
        <f aca="false">Sens!F9847+(Sens!G9841+Sens!G9842)*(1-a_g3_28)</f>
        <v>2726.5351</v>
      </c>
      <c r="H9847" s="30" t="n">
        <f aca="false">Sens!G9847+(Sens!H9841+Sens!H9842)*(1-a_g3_29)</f>
        <v>5180.41669</v>
      </c>
      <c r="I9847" s="30" t="n">
        <f aca="false">Sens!H9847+(Sens!I9841+Sens!I9842)*(1-a_g3_29)</f>
        <v>7360.2041977</v>
      </c>
      <c r="J9847" s="30" t="n">
        <f aca="false">Sens!I9847+(Sens!J9841+Sens!J9842)*(1-a_g3_29)</f>
        <v>9084.673373254</v>
      </c>
      <c r="K9847" s="30" t="n">
        <f aca="false">Sens!J9847+(Sens!K9841+Sens!K9842)*(1-a_g3_29)</f>
        <v>10800.1904168516</v>
      </c>
    </row>
    <row r="9848" customFormat="false" ht="17.15" hidden="false" customHeight="false" outlineLevel="0" collapsed="false">
      <c r="A9848" s="1" t="s">
        <v>968</v>
      </c>
      <c r="B9848" s="0" t="s">
        <v>403</v>
      </c>
      <c r="C9848" s="15" t="n">
        <f aca="false">(Sens!C9843*tk_hold_h100+Sens!C9844*tk_hold_gb200+Sens!C9845*tk_hold_gb300+Sens!C9847*tk_hold_vr200+Sens!C9846*nv_hold_mai*tk_hold_vr200)/Sens!C9835</f>
        <v>9.7235358126469</v>
      </c>
      <c r="D9848" s="15" t="n">
        <f aca="false">(Sens!D9843*tk_hold_h100+Sens!D9844*tk_hold_gb200+Sens!D9845*tk_hold_gb300+Sens!D9847*tk_hold_vr200+Sens!D9846*nv_hold_mai*tk_hold_vr200)/Sens!D9835</f>
        <v>9.7235358126469</v>
      </c>
      <c r="E9848" s="15" t="n">
        <f aca="false">(Sens!E9843*tk_hold_h100+Sens!E9844*tk_hold_gb200+Sens!E9845*tk_hold_gb300+Sens!E9847*tk_hold_vr200+Sens!E9846*nv_hold_mai*tk_hold_vr200)/Sens!E9835</f>
        <v>9.7235358126469</v>
      </c>
      <c r="F9848" s="15" t="n">
        <f aca="false">(Sens!F9843*tk_hold_h100+Sens!F9844*tk_hold_gb200+Sens!F9845*tk_hold_gb300+Sens!F9847*tk_hold_vr200+Sens!F9846*nv_hold_mai*tk_hold_vr200)/Sens!F9835</f>
        <v>10.2195353876665</v>
      </c>
      <c r="G9848" s="15" t="n">
        <f aca="false">(Sens!G9843*tk_hold_h100+Sens!G9844*tk_hold_gb200+Sens!G9845*tk_hold_gb300+Sens!G9847*tk_hold_vr200+Sens!G9846*nv_hold_mai*tk_hold_vr200)/Sens!G9835</f>
        <v>10.5725598017306</v>
      </c>
      <c r="H9848" s="15" t="n">
        <f aca="false">(Sens!H9843*tk_hold_h100+Sens!H9844*tk_hold_gb200+Sens!H9845*tk_hold_gb300+Sens!H9847*tk_hold_vr200+Sens!H9846*nv_hold_mai*tk_hold_vr200)/Sens!H9835</f>
        <v>10.8210427149036</v>
      </c>
      <c r="I9848" s="15" t="n">
        <f aca="false">(Sens!I9843*tk_hold_h100+Sens!I9844*tk_hold_gb200+Sens!I9845*tk_hold_gb300+Sens!I9847*tk_hold_vr200+Sens!I9846*nv_hold_mai*tk_hold_vr200)/Sens!I9835</f>
        <v>11.0050618241982</v>
      </c>
      <c r="J9848" s="15" t="n">
        <f aca="false">(Sens!J9843*tk_hold_h100+Sens!J9844*tk_hold_gb200+Sens!J9845*tk_hold_gb300+Sens!J9847*tk_hold_vr200+Sens!J9846*nv_hold_mai*tk_hold_vr200)/Sens!J9835</f>
        <v>11.1505789658881</v>
      </c>
      <c r="K9848" s="15" t="n">
        <f aca="false">(Sens!K9843*tk_hold_h100+Sens!K9844*tk_hold_gb200+Sens!K9845*tk_hold_gb300+Sens!K9847*tk_hold_vr200+Sens!K9846*nv_hold_mai*tk_hold_vr200)/Sens!K9835</f>
        <v>11.3496914757183</v>
      </c>
      <c r="L9848" s="1" t="s">
        <v>969</v>
      </c>
    </row>
    <row r="9849" customFormat="false" ht="17.15" hidden="false" customHeight="false" outlineLevel="0" collapsed="false">
      <c r="A9849" s="1" t="s">
        <v>970</v>
      </c>
      <c r="B9849" s="0" t="s">
        <v>403</v>
      </c>
      <c r="C9849" s="15" t="n">
        <f aca="false">(Sens!C9843*tk_hold_h100+Sens!C9844*tk_hold_gb200+Sens!C9845*tk_hold_gb300+Sens!C9847*tk_hold_vr200+Sens!C9846*nv_out_mai*tk_hold_vr200)/Sens!C9835</f>
        <v>9.7235358126469</v>
      </c>
      <c r="D9849" s="15" t="n">
        <f aca="false">(Sens!D9843*tk_hold_h100+Sens!D9844*tk_hold_gb200+Sens!D9845*tk_hold_gb300+Sens!D9847*tk_hold_vr200+Sens!D9846*nv_out_mai*tk_hold_vr200)/Sens!D9835</f>
        <v>9.7235358126469</v>
      </c>
      <c r="E9849" s="15" t="n">
        <f aca="false">(Sens!E9843*tk_hold_h100+Sens!E9844*tk_hold_gb200+Sens!E9845*tk_hold_gb300+Sens!E9847*tk_hold_vr200+Sens!E9846*nv_out_mai*tk_hold_vr200)/Sens!E9835</f>
        <v>9.7235358126469</v>
      </c>
      <c r="F9849" s="15" t="n">
        <f aca="false">(Sens!F9843*tk_hold_h100+Sens!F9844*tk_hold_gb200+Sens!F9845*tk_hold_gb300+Sens!F9847*tk_hold_vr200+Sens!F9846*nv_out_mai*tk_hold_vr200)/Sens!F9835</f>
        <v>10.247422093969</v>
      </c>
      <c r="G9849" s="15" t="n">
        <f aca="false">(Sens!G9843*tk_hold_h100+Sens!G9844*tk_hold_gb200+Sens!G9845*tk_hold_gb300+Sens!G9847*tk_hold_vr200+Sens!G9846*nv_out_mai*tk_hold_vr200)/Sens!G9835</f>
        <v>10.6108602808053</v>
      </c>
      <c r="H9849" s="15" t="n">
        <f aca="false">(Sens!H9843*tk_hold_h100+Sens!H9844*tk_hold_gb200+Sens!H9845*tk_hold_gb300+Sens!H9847*tk_hold_vr200+Sens!H9846*nv_out_mai*tk_hold_vr200)/Sens!H9835</f>
        <v>10.8647885507393</v>
      </c>
      <c r="I9849" s="15" t="n">
        <f aca="false">(Sens!I9843*tk_hold_h100+Sens!I9844*tk_hold_gb200+Sens!I9845*tk_hold_gb300+Sens!I9847*tk_hold_vr200+Sens!I9846*nv_out_mai*tk_hold_vr200)/Sens!I9835</f>
        <v>11.0535625770025</v>
      </c>
      <c r="J9849" s="15" t="n">
        <f aca="false">(Sens!J9843*tk_hold_h100+Sens!J9844*tk_hold_gb200+Sens!J9845*tk_hold_gb300+Sens!J9847*tk_hold_vr200+Sens!J9846*nv_out_mai*tk_hold_vr200)/Sens!J9835</f>
        <v>11.2032127128058</v>
      </c>
      <c r="K9849" s="15" t="n">
        <f aca="false">(Sens!K9843*tk_hold_h100+Sens!K9844*tk_hold_gb200+Sens!K9845*tk_hold_gb300+Sens!K9847*tk_hold_vr200+Sens!K9846*nv_out_mai*tk_hold_vr200)/Sens!K9835</f>
        <v>11.4085735724225</v>
      </c>
      <c r="L9849" s="12" t="s">
        <v>971</v>
      </c>
    </row>
    <row r="9850" customFormat="false" ht="17.15" hidden="false" customHeight="false" outlineLevel="0" collapsed="false">
      <c r="A9850" s="0" t="s">
        <v>972</v>
      </c>
      <c r="B9850" s="0" t="s">
        <v>229</v>
      </c>
      <c r="C9850" s="15" t="n">
        <f aca="false">k_B</f>
        <v>1.17213932619116</v>
      </c>
      <c r="D9850" s="15" t="n">
        <f aca="false">k_B</f>
        <v>1.17213932619116</v>
      </c>
      <c r="E9850" s="15" t="n">
        <f aca="false">k_B</f>
        <v>1.17213932619116</v>
      </c>
      <c r="F9850" s="15" t="n">
        <f aca="false">(k_B+((ls_B*k_long+(1-ls_B)*k_spot)-k_B)*MIN(1,(Sens!F9833-base_fy)/k_ramp))</f>
        <v>1.17213932619116</v>
      </c>
      <c r="G9850" s="15" t="n">
        <f aca="false">(k_B+((ls_B*k_long+(1-ls_B)*k_spot)-k_B)*MIN(1,(Sens!G9833-base_fy)/k_ramp))</f>
        <v>1.17213932619116</v>
      </c>
      <c r="H9850" s="15" t="n">
        <f aca="false">(k_B+((ls_B*k_long+(1-ls_B)*k_spot)-k_B)*MIN(1,(Sens!H9833-base_fy)/k_ramp))</f>
        <v>1.17213932619116</v>
      </c>
      <c r="I9850" s="15" t="n">
        <f aca="false">(k_B+((ls_B*k_long+(1-ls_B)*k_spot)-k_B)*MIN(1,(Sens!I9833-base_fy)/k_ramp))</f>
        <v>1.17213932619116</v>
      </c>
      <c r="J9850" s="15" t="n">
        <f aca="false">(k_B+((ls_B*k_long+(1-ls_B)*k_spot)-k_B)*MIN(1,(Sens!J9833-base_fy)/k_ramp))</f>
        <v>1.17213932619116</v>
      </c>
      <c r="K9850" s="15" t="n">
        <f aca="false">(k_B+((ls_B*k_long+(1-ls_B)*k_spot)-k_B)*MIN(1,(Sens!K9833-base_fy)/k_ramp))</f>
        <v>1.17213932619116</v>
      </c>
      <c r="L9850" s="1" t="s">
        <v>973</v>
      </c>
    </row>
    <row r="9851" customFormat="false" ht="17.15" hidden="false" customHeight="false" outlineLevel="0" collapsed="false">
      <c r="A9851" s="1" t="s">
        <v>974</v>
      </c>
      <c r="B9851" s="0" t="s">
        <v>403</v>
      </c>
      <c r="C9851" s="15" t="n">
        <f aca="false">Sens!C9849*Sens!C9850*chip_f</f>
        <v>11.3973387156315</v>
      </c>
      <c r="D9851" s="15" t="n">
        <f aca="false">Sens!D9849*Sens!D9850*chip_f</f>
        <v>11.3973387156315</v>
      </c>
      <c r="E9851" s="15" t="n">
        <f aca="false">Sens!E9849*Sens!E9850*chip_f</f>
        <v>11.3973387156315</v>
      </c>
      <c r="F9851" s="15" t="n">
        <f aca="false">Sens!F9849*Sens!F9850*chip_f</f>
        <v>12.0114064284211</v>
      </c>
      <c r="G9851" s="15" t="n">
        <f aca="false">Sens!G9849*Sens!G9850*chip_f</f>
        <v>12.4374066198516</v>
      </c>
      <c r="H9851" s="15" t="n">
        <f aca="false">Sens!H9849*Sens!H9850*chip_f</f>
        <v>12.735045931073</v>
      </c>
      <c r="I9851" s="15" t="n">
        <f aca="false">Sens!I9849*Sens!I9850*chip_f</f>
        <v>12.9563153910195</v>
      </c>
      <c r="J9851" s="15" t="n">
        <f aca="false">Sens!J9849*Sens!J9850*chip_f</f>
        <v>13.1317262003643</v>
      </c>
      <c r="K9851" s="15" t="n">
        <f aca="false">Sens!K9849*Sens!K9850*chip_f</f>
        <v>13.3724377399815</v>
      </c>
      <c r="L9851" s="1" t="s">
        <v>975</v>
      </c>
    </row>
    <row r="9852" customFormat="false" ht="17.15" hidden="false" customHeight="false" outlineLevel="0" collapsed="false">
      <c r="A9852" s="0" t="s">
        <v>976</v>
      </c>
      <c r="B9852" s="0" t="s">
        <v>98</v>
      </c>
      <c r="D9852" s="6" t="n">
        <f aca="false">(Sens!C9835+Sens!D9835)/2*Sens!D9851/1000</f>
        <v>12.9359794422418</v>
      </c>
      <c r="E9852" s="6" t="n">
        <f aca="false">(Sens!D9835+Sens!E9835)/2*Sens!E9851/1000</f>
        <v>27.8095064661409</v>
      </c>
      <c r="F9852" s="6" t="n">
        <f aca="false">(Sens!E9835+Sens!F9835)/2*Sens!F9851/1000</f>
        <v>55.4118315060966</v>
      </c>
      <c r="G9852" s="6" t="n">
        <f aca="false">(Sens!F9835+Sens!G9835)/2*Sens!G9851/1000</f>
        <v>91.2881100675143</v>
      </c>
      <c r="H9852" s="6" t="n">
        <f aca="false">(Sens!G9835+Sens!H9835)/2*Sens!H9851/1000</f>
        <v>128.195273603944</v>
      </c>
      <c r="I9852" s="6" t="n">
        <f aca="false">(Sens!H9835+Sens!I9835)/2*Sens!I9851/1000</f>
        <v>160.601281810405</v>
      </c>
      <c r="J9852" s="6" t="n">
        <f aca="false">(Sens!I9835+Sens!J9835)/2*Sens!J9851/1000</f>
        <v>183.182719793589</v>
      </c>
      <c r="K9852" s="6" t="n">
        <f aca="false">(Sens!J9835+Sens!K9835)/2*Sens!K9851/1000</f>
        <v>197.320124937098</v>
      </c>
      <c r="L9852" s="12" t="s">
        <v>977</v>
      </c>
    </row>
    <row r="9853" customFormat="false" ht="17.15" hidden="false" customHeight="false" outlineLevel="0" collapsed="false">
      <c r="A9853" s="1" t="s">
        <v>978</v>
      </c>
      <c r="B9853" s="0" t="s">
        <v>403</v>
      </c>
      <c r="C9853" s="15" t="n">
        <f aca="false">(Sens!C9843*tk_opex_h100+Sens!C9844*tk_opex_gb200+Sens!C9845*tk_opex_gb300+(Sens!C9847+Sens!C9846)*tk_opex_vr200)/Sens!C9835</f>
        <v>1.88636041306092</v>
      </c>
      <c r="D9853" s="15" t="n">
        <f aca="false">(Sens!D9843*tk_opex_h100+Sens!D9844*tk_opex_gb200+Sens!D9845*tk_opex_gb300+(Sens!D9847+Sens!D9846)*tk_opex_vr200)/Sens!D9835</f>
        <v>1.88636041306092</v>
      </c>
      <c r="E9853" s="15" t="n">
        <f aca="false">(Sens!E9843*tk_opex_h100+Sens!E9844*tk_opex_gb200+Sens!E9845*tk_opex_gb300+(Sens!E9847+Sens!E9846)*tk_opex_vr200)/Sens!E9835</f>
        <v>1.88636041306092</v>
      </c>
      <c r="F9853" s="15" t="n">
        <f aca="false">(Sens!F9843*tk_opex_h100+Sens!F9844*tk_opex_gb200+Sens!F9845*tk_opex_gb300+(Sens!F9847+Sens!F9846)*tk_opex_vr200)/Sens!F9835</f>
        <v>1.95051159746876</v>
      </c>
      <c r="G9853" s="15" t="n">
        <f aca="false">(Sens!G9843*tk_opex_h100+Sens!G9844*tk_opex_gb200+Sens!G9845*tk_opex_gb300+(Sens!G9847+Sens!G9846)*tk_opex_vr200)/Sens!G9835</f>
        <v>1.98836003669956</v>
      </c>
      <c r="H9853" s="15" t="n">
        <f aca="false">(Sens!H9843*tk_opex_h100+Sens!H9844*tk_opex_gb200+Sens!H9845*tk_opex_gb300+(Sens!H9847+Sens!H9846)*tk_opex_vr200)/Sens!H9835</f>
        <v>2.01344013834343</v>
      </c>
      <c r="I9853" s="15" t="n">
        <f aca="false">(Sens!I9843*tk_opex_h100+Sens!I9844*tk_opex_gb200+Sens!I9845*tk_opex_gb300+(Sens!I9847+Sens!I9846)*tk_opex_vr200)/Sens!I9835</f>
        <v>2.03261166882178</v>
      </c>
      <c r="J9853" s="15" t="n">
        <f aca="false">(Sens!J9843*tk_opex_h100+Sens!J9844*tk_opex_gb200+Sens!J9845*tk_opex_gb300+(Sens!J9847+Sens!J9846)*tk_opex_vr200)/Sens!J9835</f>
        <v>2.04808073288745</v>
      </c>
      <c r="K9853" s="15" t="n">
        <f aca="false">(Sens!K9843*tk_opex_h100+Sens!K9844*tk_opex_gb200+Sens!K9845*tk_opex_gb300+(Sens!K9847+Sens!K9846)*tk_opex_vr200)/Sens!K9835</f>
        <v>2.06973825807449</v>
      </c>
      <c r="L9853" s="12" t="s">
        <v>979</v>
      </c>
    </row>
    <row r="9854" customFormat="false" ht="17.15" hidden="false" customHeight="false" outlineLevel="0" collapsed="false">
      <c r="A9854" s="0" t="s">
        <v>980</v>
      </c>
      <c r="B9854" s="0" t="s">
        <v>98</v>
      </c>
      <c r="D9854" s="6" t="n">
        <f aca="false">(Sens!C9838+Sens!D9838)/2*Sens!D9853/1000</f>
        <v>2.70378325872065</v>
      </c>
      <c r="E9854" s="6" t="n">
        <f aca="false">(Sens!D9838+Sens!E9838)/2*Sens!E9853/1000</f>
        <v>6.17783035277451</v>
      </c>
      <c r="F9854" s="6" t="n">
        <f aca="false">(Sens!E9838+Sens!F9838)/2*Sens!F9853/1000</f>
        <v>12.8742463089237</v>
      </c>
      <c r="G9854" s="6" t="n">
        <f aca="false">(Sens!F9838+Sens!G9838)/2*Sens!G9853/1000</f>
        <v>21.8182834646277</v>
      </c>
      <c r="H9854" s="6" t="n">
        <f aca="false">(Sens!G9838+Sens!H9838)/2*Sens!H9853/1000</f>
        <v>31.2430128789734</v>
      </c>
      <c r="I9854" s="6" t="n">
        <f aca="false">(Sens!H9838+Sens!I9838)/2*Sens!I9853/1000</f>
        <v>39.4313057443268</v>
      </c>
      <c r="J9854" s="6" t="n">
        <f aca="false">(Sens!I9838+Sens!J9838)/2*Sens!J9853/1000</f>
        <v>45.0360318228653</v>
      </c>
      <c r="K9854" s="6" t="n">
        <f aca="false">(Sens!J9838+Sens!K9838)/2*Sens!K9853/1000</f>
        <v>48.2929727091156</v>
      </c>
    </row>
    <row r="9855" customFormat="false" ht="17.15" hidden="false" customHeight="false" outlineLevel="0" collapsed="false">
      <c r="A9855" s="0" t="s">
        <v>981</v>
      </c>
      <c r="B9855" s="0" t="s">
        <v>98</v>
      </c>
      <c r="D9855" s="6" t="n">
        <f aca="false">(Sens!C9836+Sens!D9836)/2*rent_mw/1000</f>
        <v>2.44475</v>
      </c>
      <c r="E9855" s="6" t="n">
        <f aca="false">(Sens!D9836+Sens!E9836)/2*rent_mw/1000</f>
        <v>4.22275</v>
      </c>
      <c r="F9855" s="6" t="n">
        <f aca="false">(Sens!E9836+Sens!F9836)/2*rent_mw/1000</f>
        <v>5.80517</v>
      </c>
      <c r="G9855" s="6" t="n">
        <f aca="false">(Sens!F9836+Sens!G9836)/2*rent_mw/1000</f>
        <v>6.72084</v>
      </c>
      <c r="H9855" s="6" t="n">
        <f aca="false">(Sens!G9836+Sens!H9836)/2*rent_mw/1000</f>
        <v>6.72084</v>
      </c>
      <c r="I9855" s="6" t="n">
        <f aca="false">(Sens!H9836+Sens!I9836)/2*rent_mw/1000</f>
        <v>6.72084</v>
      </c>
      <c r="J9855" s="6" t="n">
        <f aca="false">(Sens!I9836+Sens!J9836)/2*rent_mw/1000</f>
        <v>6.72084</v>
      </c>
      <c r="K9855" s="6" t="n">
        <f aca="false">(Sens!J9836+Sens!K9836)/2*rent_mw/1000</f>
        <v>6.72084</v>
      </c>
    </row>
    <row r="9856" customFormat="false" ht="17.15" hidden="false" customHeight="false" outlineLevel="0" collapsed="false">
      <c r="A9856" s="0" t="s">
        <v>982</v>
      </c>
      <c r="B9856" s="0" t="s">
        <v>98</v>
      </c>
      <c r="D9856" s="6" t="n">
        <f aca="false">(Sens!C9838+Sens!D9838)/2*(1-self_build)*fac_rent/1000</f>
        <v>0.853242375631075</v>
      </c>
      <c r="E9856" s="6" t="n">
        <f aca="false">(Sens!D9838+Sens!E9838)/2*(1-self_build)*fac_rent/1000</f>
        <v>1.94955961408728</v>
      </c>
      <c r="F9856" s="6" t="n">
        <f aca="false">(Sens!E9838+Sens!F9838)/2*(1-self_build)*fac_rent/1000</f>
        <v>3.92914894476356</v>
      </c>
      <c r="G9856" s="6" t="n">
        <f aca="false">(Sens!F9838+Sens!G9838)/2*(1-self_build)*fac_rent/1000</f>
        <v>6.53206908578159</v>
      </c>
      <c r="H9856" s="6" t="n">
        <f aca="false">(Sens!G9838+Sens!H9838)/2*(1-self_build)*fac_rent/1000</f>
        <v>9.23717988341591</v>
      </c>
      <c r="I9856" s="6" t="n">
        <f aca="false">(Sens!H9838+Sens!I9838)/2*(1-self_build)*fac_rent/1000</f>
        <v>11.5481378557393</v>
      </c>
      <c r="J9856" s="6" t="n">
        <f aca="false">(Sens!I9838+Sens!J9838)/2*(1-self_build)*fac_rent/1000</f>
        <v>13.0899582289108</v>
      </c>
      <c r="K9856" s="6" t="n">
        <f aca="false">(Sens!J9838+Sens!K9838)/2*(1-self_build)*fac_rent/1000</f>
        <v>13.8897275626556</v>
      </c>
      <c r="L9856" s="12" t="s">
        <v>983</v>
      </c>
    </row>
    <row r="9857" customFormat="false" ht="17.15" hidden="false" customHeight="false" outlineLevel="0" collapsed="false">
      <c r="A9857" s="1" t="s">
        <v>984</v>
      </c>
      <c r="B9857" s="0" t="s">
        <v>168</v>
      </c>
      <c r="D9857" s="7" t="n">
        <f aca="false">(Sens!C9837+Sens!D9837)/(Sens!C9838+Sens!D9838)</f>
        <v>0.6</v>
      </c>
      <c r="E9857" s="7" t="n">
        <f aca="false">(Sens!D9837+Sens!E9837)/(Sens!D9838+Sens!E9838)</f>
        <v>0.6</v>
      </c>
      <c r="F9857" s="7" t="n">
        <f aca="false">(Sens!E9837+Sens!F9837)/(Sens!E9838+Sens!F9838)</f>
        <v>0.6</v>
      </c>
      <c r="G9857" s="7" t="n">
        <f aca="false">(Sens!F9837+Sens!G9837)/(Sens!F9838+Sens!G9838)</f>
        <v>0.6</v>
      </c>
      <c r="H9857" s="7" t="n">
        <f aca="false">(Sens!G9837+Sens!H9837)/(Sens!G9838+Sens!H9838)</f>
        <v>0.6</v>
      </c>
      <c r="I9857" s="7" t="n">
        <f aca="false">(Sens!H9837+Sens!I9837)/(Sens!H9838+Sens!I9838)</f>
        <v>0.6</v>
      </c>
      <c r="J9857" s="7" t="n">
        <f aca="false">(Sens!I9837+Sens!J9837)/(Sens!I9838+Sens!J9838)</f>
        <v>0.6</v>
      </c>
      <c r="K9857" s="7" t="n">
        <f aca="false">(Sens!J9837+Sens!K9837)/(Sens!J9838+Sens!K9838)</f>
        <v>0.6</v>
      </c>
    </row>
    <row r="9858" customFormat="false" ht="17.15" hidden="false" customHeight="false" outlineLevel="0" collapsed="false">
      <c r="A9858" s="0" t="s">
        <v>985</v>
      </c>
      <c r="B9858" s="0" t="s">
        <v>98</v>
      </c>
      <c r="D9858" s="6" t="n">
        <f aca="false">Sens!D9852-Sens!D9857*(Sens!D9854+Sens!D9856)-Sens!D9855</f>
        <v>8.35701406163072</v>
      </c>
      <c r="E9858" s="6" t="n">
        <f aca="false">Sens!E9852-Sens!E9857*(Sens!E9854+Sens!E9856)-Sens!E9855</f>
        <v>18.7103224860238</v>
      </c>
      <c r="F9858" s="6" t="n">
        <f aca="false">Sens!F9852-Sens!F9857*(Sens!F9854+Sens!F9856)-Sens!F9855</f>
        <v>39.5246243538843</v>
      </c>
      <c r="G9858" s="6" t="n">
        <f aca="false">Sens!G9852-Sens!G9857*(Sens!G9854+Sens!G9856)-Sens!G9855</f>
        <v>67.5570585372687</v>
      </c>
      <c r="H9858" s="6" t="n">
        <f aca="false">Sens!H9852-Sens!H9857*(Sens!H9854+Sens!H9856)-Sens!H9855</f>
        <v>97.1863179465102</v>
      </c>
      <c r="I9858" s="6" t="n">
        <f aca="false">Sens!I9852-Sens!I9857*(Sens!I9854+Sens!I9856)-Sens!I9855</f>
        <v>123.292775650365</v>
      </c>
      <c r="J9858" s="6" t="n">
        <f aca="false">Sens!J9852-Sens!J9857*(Sens!J9854+Sens!J9856)-Sens!J9855</f>
        <v>141.586285762524</v>
      </c>
      <c r="K9858" s="6" t="n">
        <f aca="false">Sens!K9852-Sens!K9857*(Sens!K9854+Sens!K9856)-Sens!K9855</f>
        <v>153.289664774035</v>
      </c>
    </row>
    <row r="9859" customFormat="false" ht="17.15" hidden="false" customHeight="false" outlineLevel="0" collapsed="false">
      <c r="A9859" s="1" t="s">
        <v>986</v>
      </c>
      <c r="B9859" s="0" t="s">
        <v>98</v>
      </c>
      <c r="D9859" s="6" t="n">
        <f aca="false">(1-Sens!D9857)*(Sens!D9854+Sens!D9856)</f>
        <v>1.42281025374069</v>
      </c>
      <c r="E9859" s="6" t="n">
        <f aca="false">(1-Sens!E9857)*(Sens!E9854+Sens!E9856)</f>
        <v>3.25095598674472</v>
      </c>
      <c r="F9859" s="6" t="n">
        <f aca="false">(1-Sens!F9857)*(Sens!F9854+Sens!F9856)</f>
        <v>6.72135810147489</v>
      </c>
      <c r="G9859" s="6" t="n">
        <f aca="false">(1-Sens!G9857)*(Sens!G9854+Sens!G9856)</f>
        <v>11.3401410201637</v>
      </c>
      <c r="H9859" s="6" t="n">
        <f aca="false">(1-Sens!H9857)*(Sens!H9854+Sens!H9856)</f>
        <v>16.1920771049557</v>
      </c>
      <c r="I9859" s="6" t="n">
        <f aca="false">(1-Sens!I9857)*(Sens!I9854+Sens!I9856)</f>
        <v>20.3917774400264</v>
      </c>
      <c r="J9859" s="6" t="n">
        <f aca="false">(1-Sens!J9857)*(Sens!J9854+Sens!J9856)</f>
        <v>23.2503960207104</v>
      </c>
      <c r="K9859" s="6" t="n">
        <f aca="false">(1-Sens!K9857)*(Sens!K9854+Sens!K9856)</f>
        <v>24.8730801087085</v>
      </c>
    </row>
    <row r="9860" customFormat="false" ht="17.15" hidden="false" customHeight="false" outlineLevel="0" collapsed="false">
      <c r="A9860" s="1" t="s">
        <v>987</v>
      </c>
      <c r="B9860" s="0" t="s">
        <v>414</v>
      </c>
      <c r="C9860" s="8" t="n">
        <f aca="false">cxit_open</f>
        <v>27.5918995</v>
      </c>
      <c r="D9860" s="8" t="n">
        <f aca="false">cxit_open</f>
        <v>27.5918995</v>
      </c>
      <c r="E9860" s="8" t="n">
        <f aca="false">cxit_open</f>
        <v>27.5918995</v>
      </c>
      <c r="F9860" s="8" t="n">
        <f aca="false">((a_g3_27-nonnv*a_mai)*tk_cxit_gb300+nonnv*a_mai*nv_hold_mai*tk_cxit_vr200+(1-a_g3_27)*tk_cxit_vr200)</f>
        <v>32.4975576</v>
      </c>
      <c r="G9860" s="8" t="n">
        <f aca="false">((a_g3_28-nonnv*a_mai)*tk_cxit_gb300+nonnv*a_mai*nv_hold_mai*tk_cxit_vr200+(1-a_g3_28)*tk_cxit_vr200)</f>
        <v>34.6372088</v>
      </c>
      <c r="H9860" s="8" t="n">
        <f aca="false">((a_g3_29-nonnv*a_mai)*tk_cxit_gb300+nonnv*a_mai*nv_hold_mai*tk_cxit_vr200+(1-a_g3_29)*tk_cxit_vr200)</f>
        <v>35.7070344</v>
      </c>
      <c r="I9860" s="8" t="n">
        <f aca="false">((a_g3_29-nonnv*a_mai)*tk_cxit_gb300+nonnv*a_mai*nv_hold_mai*tk_cxit_vr200+(1-a_g3_29)*tk_cxit_vr200)</f>
        <v>35.7070344</v>
      </c>
      <c r="J9860" s="8" t="n">
        <f aca="false">((a_g3_29-nonnv*a_mai)*tk_cxit_gb300+nonnv*a_mai*nv_hold_mai*tk_cxit_vr200+(1-a_g3_29)*tk_cxit_vr200)</f>
        <v>35.7070344</v>
      </c>
      <c r="K9860" s="8" t="n">
        <f aca="false">((a_g3_29-nonnv*a_mai)*tk_cxit_gb300+nonnv*a_mai*nv_hold_mai*tk_cxit_vr200+(1-a_g3_29)*tk_cxit_vr200)</f>
        <v>35.7070344</v>
      </c>
      <c r="L9860" s="12" t="s">
        <v>988</v>
      </c>
    </row>
    <row r="9861" customFormat="false" ht="17.15" hidden="false" customHeight="false" outlineLevel="0" collapsed="false">
      <c r="A9861" s="0" t="s">
        <v>989</v>
      </c>
      <c r="B9861" s="0" t="s">
        <v>456</v>
      </c>
      <c r="F9861" s="30" t="n">
        <f aca="false">Sens!C9840*IF(Sens!F9833-Sens!C9833=life_it,1,0)+Sens!D9840*IF(Sens!F9833-Sens!D9833=life_it,1,0)+Sens!E9840*IF(Sens!F9833-Sens!E9833=life_it,1,0)</f>
        <v>0</v>
      </c>
      <c r="G9861" s="30" t="n">
        <f aca="false">Sens!C9840*IF(Sens!G9833-Sens!C9833=life_it,1,0)+Sens!D9840*IF(Sens!G9833-Sens!D9833=life_it,1,0)+Sens!E9840*IF(Sens!G9833-Sens!E9833=life_it,1,0)+Sens!F9840*IF(Sens!G9833-Sens!F9833=life_it,1,0)</f>
        <v>0</v>
      </c>
      <c r="H9861" s="30" t="n">
        <f aca="false">Sens!C9840*IF(Sens!H9833-Sens!C9833=life_it,1,0)+Sens!D9840*IF(Sens!H9833-Sens!D9833=life_it,1,0)+Sens!E9840*IF(Sens!H9833-Sens!E9833=life_it,1,0)+Sens!F9840*IF(Sens!H9833-Sens!F9833=life_it,1,0)+Sens!G9840*IF(Sens!H9833-Sens!G9833=life_it,1,0)</f>
        <v>0</v>
      </c>
      <c r="I9861" s="30" t="n">
        <f aca="false">Sens!C9840*IF(Sens!I9833-Sens!C9833=life_it,1,0)+Sens!D9840*IF(Sens!I9833-Sens!D9833=life_it,1,0)+Sens!E9840*IF(Sens!I9833-Sens!E9833=life_it,1,0)+Sens!F9840*IF(Sens!I9833-Sens!F9833=life_it,1,0)+Sens!G9840*IF(Sens!I9833-Sens!G9833=life_it,1,0)+Sens!H9840*IF(Sens!I9833-Sens!H9833=life_it,1,0)</f>
        <v>816.666666666667</v>
      </c>
      <c r="J9861" s="30" t="n">
        <f aca="false">Sens!C9840*IF(Sens!J9833-Sens!C9833=life_it,1,0)+Sens!D9840*IF(Sens!J9833-Sens!D9833=life_it,1,0)+Sens!E9840*IF(Sens!J9833-Sens!E9833=life_it,1,0)+Sens!F9840*IF(Sens!J9833-Sens!F9833=life_it,1,0)+Sens!G9840*IF(Sens!J9833-Sens!G9833=life_it,1,0)+Sens!H9840*IF(Sens!J9833-Sens!H9833=life_it,1,0)+Sens!I9840*IF(Sens!J9833-Sens!I9833=life_it,1,0)</f>
        <v>1233.33333333333</v>
      </c>
      <c r="K9861" s="30" t="n">
        <f aca="false">Sens!C9840*IF(Sens!K9833-Sens!C9833=life_it,1,0)+Sens!D9840*IF(Sens!K9833-Sens!D9833=life_it,1,0)+Sens!E9840*IF(Sens!K9833-Sens!E9833=life_it,1,0)+Sens!F9840*IF(Sens!K9833-Sens!F9833=life_it,1,0)+Sens!G9840*IF(Sens!K9833-Sens!G9833=life_it,1,0)+Sens!H9840*IF(Sens!K9833-Sens!H9833=life_it,1,0)+Sens!I9840*IF(Sens!K9833-Sens!I9833=life_it,1,0)+Sens!J9840*IF(Sens!K9833-Sens!J9833=life_it,1,0)</f>
        <v>2450</v>
      </c>
      <c r="L9861" s="1" t="s">
        <v>990</v>
      </c>
    </row>
    <row r="9862" customFormat="false" ht="17.15" hidden="false" customHeight="false" outlineLevel="0" collapsed="false">
      <c r="A9862" s="0" t="s">
        <v>991</v>
      </c>
      <c r="B9862" s="0" t="s">
        <v>98</v>
      </c>
      <c r="C9862" s="6" t="n">
        <f aca="false">Sens!C9840*Sens!C9860/1000</f>
        <v>22.5333845916667</v>
      </c>
      <c r="D9862" s="6" t="n">
        <f aca="false">Sens!D9840*Sens!D9860/1000</f>
        <v>34.0300093833333</v>
      </c>
      <c r="E9862" s="6" t="n">
        <f aca="false">Sens!E9840*Sens!E9860/1000</f>
        <v>67.600153775</v>
      </c>
      <c r="F9862" s="6" t="n">
        <f aca="false">(Sens!F9840+Sens!F9861)*Sens!F9860/1000</f>
        <v>136.51872432512</v>
      </c>
      <c r="G9862" s="6" t="n">
        <f aca="false">(Sens!G9840+Sens!G9861)*Sens!G9860/1000</f>
        <v>157.399275932048</v>
      </c>
      <c r="H9862" s="6" t="n">
        <f aca="false">(Sens!H9840+Sens!H9861)*Sens!H9860/1000</f>
        <v>162.260804347512</v>
      </c>
      <c r="I9862" s="6" t="n">
        <f aca="false">(Sens!I9840+Sens!I9861)*Sens!I9860/1000</f>
        <v>144.136569485434</v>
      </c>
      <c r="J9862" s="6" t="n">
        <f aca="false">(Sens!J9840+Sens!J9861)*Sens!J9860/1000</f>
        <v>114.029037357864</v>
      </c>
      <c r="K9862" s="6" t="n">
        <f aca="false">(Sens!K9840+Sens!K9861)*Sens!K9860/1000</f>
        <v>113.437085350975</v>
      </c>
    </row>
    <row r="9863" customFormat="false" ht="17.15" hidden="false" customHeight="false" outlineLevel="0" collapsed="false">
      <c r="A9863" s="0" t="s">
        <v>992</v>
      </c>
      <c r="B9863" s="0" t="s">
        <v>98</v>
      </c>
      <c r="C9863" s="6" t="n">
        <f aca="false">Sens!C9840*self_build*tk_cxfac/1000</f>
        <v>6.2083</v>
      </c>
      <c r="D9863" s="6" t="n">
        <f aca="false">Sens!D9840*self_build*tk_cxfac/1000</f>
        <v>9.3758</v>
      </c>
      <c r="E9863" s="6" t="n">
        <f aca="false">Sens!E9840*self_build*tk_cxfac/1000</f>
        <v>18.6249</v>
      </c>
      <c r="F9863" s="6" t="n">
        <f aca="false">Sens!F9840*self_build*tk_cxfac/1000</f>
        <v>31.935179717</v>
      </c>
      <c r="G9863" s="6" t="n">
        <f aca="false">Sens!G9840*self_build*tk_cxfac/1000</f>
        <v>34.545199717</v>
      </c>
      <c r="H9863" s="6" t="n">
        <f aca="false">Sens!H9840*self_build*tk_cxfac/1000</f>
        <v>34.545199717</v>
      </c>
      <c r="I9863" s="6" t="n">
        <f aca="false">Sens!I9840*self_build*tk_cxfac/1000</f>
        <v>24.4782641361767</v>
      </c>
      <c r="J9863" s="6" t="n">
        <f aca="false">Sens!J9840*self_build*tk_cxfac/1000</f>
        <v>14.9008938380769</v>
      </c>
      <c r="K9863" s="6" t="n">
        <f aca="false">Sens!K9840*self_build*tk_cxfac/1000</f>
        <v>5.52576771375761</v>
      </c>
    </row>
    <row r="9864" customFormat="false" ht="17.15" hidden="false" customHeight="false" outlineLevel="0" collapsed="false">
      <c r="A9864" s="0" t="s">
        <v>993</v>
      </c>
      <c r="B9864" s="0" t="s">
        <v>98</v>
      </c>
      <c r="F9864" s="15" t="n">
        <f aca="false">capex_floor27-Sens!F9862-Sens!F9863-Sens!F9960</f>
        <v>-0.0771152464191687</v>
      </c>
      <c r="L9864" s="12" t="s">
        <v>994</v>
      </c>
    </row>
    <row r="9865" customFormat="false" ht="17.15" hidden="false" customHeight="false" outlineLevel="0" collapsed="false">
      <c r="A9865" s="0" t="s">
        <v>995</v>
      </c>
      <c r="B9865" s="0" t="s">
        <v>98</v>
      </c>
      <c r="F9865" s="6" t="n">
        <f aca="false">MAX(0,Sens!F9864)</f>
        <v>0</v>
      </c>
    </row>
    <row r="9866" customFormat="false" ht="17.15" hidden="false" customHeight="false" outlineLevel="0" collapsed="false">
      <c r="A9866" s="0" t="s">
        <v>996</v>
      </c>
      <c r="B9866" s="0" t="s">
        <v>98</v>
      </c>
      <c r="C9866" s="6" t="n">
        <f aca="false">Sens!C9862</f>
        <v>22.5333845916667</v>
      </c>
      <c r="D9866" s="6" t="n">
        <f aca="false">Sens!D9862</f>
        <v>34.0300093833333</v>
      </c>
      <c r="E9866" s="6" t="n">
        <f aca="false">Sens!E9862</f>
        <v>67.600153775</v>
      </c>
      <c r="F9866" s="6" t="n">
        <f aca="false">Sens!F9862</f>
        <v>136.51872432512</v>
      </c>
      <c r="G9866" s="6" t="n">
        <f aca="false">Sens!G9862</f>
        <v>157.399275932048</v>
      </c>
      <c r="H9866" s="6" t="n">
        <f aca="false">Sens!H9862</f>
        <v>162.260804347512</v>
      </c>
      <c r="I9866" s="6" t="n">
        <f aca="false">Sens!I9862</f>
        <v>144.136569485434</v>
      </c>
      <c r="J9866" s="6" t="n">
        <f aca="false">Sens!J9862</f>
        <v>114.029037357864</v>
      </c>
      <c r="K9866" s="6" t="n">
        <f aca="false">Sens!K9862</f>
        <v>113.437085350975</v>
      </c>
    </row>
    <row r="9867" customFormat="false" ht="17.15" hidden="false" customHeight="false" outlineLevel="0" collapsed="false">
      <c r="A9867" s="0" t="s">
        <v>997</v>
      </c>
      <c r="B9867" s="0" t="s">
        <v>98</v>
      </c>
      <c r="C9867" s="6" t="n">
        <f aca="false">Sens!C9866+Sens!C9863</f>
        <v>28.7416845916667</v>
      </c>
      <c r="D9867" s="6" t="n">
        <f aca="false">Sens!D9866+Sens!D9863</f>
        <v>43.4058093833333</v>
      </c>
      <c r="E9867" s="6" t="n">
        <f aca="false">Sens!E9866+Sens!E9863</f>
        <v>86.225053775</v>
      </c>
      <c r="F9867" s="6" t="n">
        <f aca="false">Sens!F9866+Sens!F9863</f>
        <v>168.45390404212</v>
      </c>
      <c r="G9867" s="6" t="n">
        <f aca="false">Sens!G9866+Sens!G9863</f>
        <v>191.944475649048</v>
      </c>
      <c r="H9867" s="6" t="n">
        <f aca="false">Sens!H9866+Sens!H9863</f>
        <v>196.806004064512</v>
      </c>
      <c r="I9867" s="6" t="n">
        <f aca="false">Sens!I9866+Sens!I9863</f>
        <v>168.61483362161</v>
      </c>
      <c r="J9867" s="6" t="n">
        <f aca="false">Sens!J9866+Sens!J9863</f>
        <v>128.92993119594</v>
      </c>
      <c r="K9867" s="6" t="n">
        <f aca="false">Sens!K9866+Sens!K9863</f>
        <v>118.962853064733</v>
      </c>
      <c r="L9867" s="12" t="s">
        <v>998</v>
      </c>
    </row>
    <row r="9868" customFormat="false" ht="17.15" hidden="false" customHeight="false" outlineLevel="0" collapsed="false">
      <c r="A9868" s="0" t="s">
        <v>999</v>
      </c>
      <c r="B9868" s="0" t="s">
        <v>98</v>
      </c>
      <c r="E9868" s="6" t="n">
        <f aca="false">(Sens!C9866*IF(2&lt;life_it,1,IF(2=life_it,0.5,0))+Sens!D9866*IF(1&lt;life_it,1,IF(1=life_it,0.5,0))+Sens!E9866*0.5)/life_it</f>
        <v>15.0605784770833</v>
      </c>
      <c r="F9868" s="6" t="n">
        <f aca="false">(Sens!C9866*IF(3&lt;life_it,1,IF(3=life_it,0.5,0))+Sens!D9866*IF(2&lt;life_it,1,IF(2=life_it,0.5,0))+Sens!E9866*IF(1&lt;life_it,1,IF(1=life_it,0.5,0))+Sens!F9866*0.5)/life_it</f>
        <v>32.0704849854266</v>
      </c>
      <c r="G9868" s="6" t="n">
        <f aca="false">(Sens!C9866*IF(4&lt;life_it,1,IF(4=life_it,0.5,0))+Sens!D9866*IF(3&lt;life_it,1,IF(3=life_it,0.5,0))+Sens!E9866*IF(2&lt;life_it,1,IF(2=life_it,0.5,0))+Sens!F9866*IF(1&lt;life_it,1,IF(1=life_it,0.5,0))+Sens!G9866*0.5)/life_it</f>
        <v>56.5636516735239</v>
      </c>
      <c r="H9868" s="6" t="n">
        <f aca="false">(Sens!C9866*IF(5&lt;life_it,1,IF(5=life_it,0.5,0))+Sens!D9866*IF(4&lt;life_it,1,IF(4=life_it,0.5,0))+Sens!E9866*IF(3&lt;life_it,1,IF(3=life_it,0.5,0))+Sens!F9866*IF(2&lt;life_it,1,IF(2=life_it,0.5,0))+Sens!G9866*IF(1&lt;life_it,1,IF(1=life_it,0.5,0))+Sens!H9866*0.5)/life_it</f>
        <v>83.2019916968207</v>
      </c>
      <c r="I9868" s="6" t="n">
        <f aca="false">(Sens!C9866*IF(6&lt;life_it,1,IF(6=life_it,0.5,0))+Sens!D9866*IF(5&lt;life_it,1,IF(5=life_it,0.5,0))+Sens!E9866*IF(4&lt;life_it,1,IF(4=life_it,0.5,0))+Sens!F9866*IF(3&lt;life_it,1,IF(3=life_it,0.5,0))+Sens!G9866*IF(2&lt;life_it,1,IF(2=life_it,0.5,0))+Sens!H9866*IF(1&lt;life_it,1,IF(1=life_it,0.5,0))+Sens!I9866*0.5)/life_it</f>
        <v>106.857324133594</v>
      </c>
      <c r="J9868" s="6" t="n">
        <f aca="false">(Sens!C9866*IF(7&lt;life_it,1,IF(7=life_it,0.5,0))+Sens!D9866*IF(6&lt;life_it,1,IF(6=life_it,0.5,0))+Sens!E9866*IF(5&lt;life_it,1,IF(5=life_it,0.5,0))+Sens!F9866*IF(4&lt;life_it,1,IF(4=life_it,0.5,0))+Sens!G9866*IF(3&lt;life_it,1,IF(3=life_it,0.5,0))+Sens!H9866*IF(2&lt;life_it,1,IF(2=life_it,0.5,0))+Sens!I9866*IF(1&lt;life_it,1,IF(1=life_it,0.5,0))+Sens!J9866*0.5)/life_it</f>
        <v>123.657508539285</v>
      </c>
      <c r="K9868" s="6" t="n">
        <f aca="false">(Sens!C9866*IF(8&lt;life_it,1,IF(8=life_it,0.5,0))+Sens!D9866*IF(7&lt;life_it,1,IF(7=life_it,0.5,0))+Sens!E9866*IF(6&lt;life_it,1,IF(6=life_it,0.5,0))+Sens!F9866*IF(5&lt;life_it,1,IF(5=life_it,0.5,0))+Sens!G9866*IF(4&lt;life_it,1,IF(4=life_it,0.5,0))+Sens!H9866*IF(3&lt;life_it,1,IF(3=life_it,0.5,0))+Sens!I9866*IF(2&lt;life_it,1,IF(2=life_it,0.5,0))+Sens!J9866*IF(1&lt;life_it,1,IF(1=life_it,0.5,0))+Sens!K9866*0.5)/life_it</f>
        <v>134.143838501827</v>
      </c>
    </row>
    <row r="9869" customFormat="false" ht="17.15" hidden="false" customHeight="false" outlineLevel="0" collapsed="false">
      <c r="A9869" s="0" t="s">
        <v>1000</v>
      </c>
      <c r="B9869" s="0" t="s">
        <v>98</v>
      </c>
      <c r="E9869" s="6" t="n">
        <f aca="false">(Sens!C9863*IF(2&lt;life_fac,1,IF(2=life_fac,0.5,0))+Sens!D9863*IF(1&lt;life_fac,1,IF(1=life_fac,0.5,0))+Sens!E9863*0.5)/life_fac</f>
        <v>1.2448275</v>
      </c>
      <c r="F9869" s="6" t="n">
        <f aca="false">(Sens!C9863*IF(3&lt;life_fac,1,IF(3=life_fac,0.5,0))+Sens!D9863*IF(2&lt;life_fac,1,IF(2=life_fac,0.5,0))+Sens!E9863*IF(1&lt;life_fac,1,IF(1=life_fac,0.5,0))+Sens!F9863*0.5)/life_fac</f>
        <v>2.508829492925</v>
      </c>
      <c r="G9869" s="6" t="n">
        <f aca="false">(Sens!C9863*IF(4&lt;life_fac,1,IF(4=life_fac,0.5,0))+Sens!D9863*IF(3&lt;life_fac,1,IF(3=life_fac,0.5,0))+Sens!E9863*IF(2&lt;life_fac,1,IF(2=life_fac,0.5,0))+Sens!F9863*IF(1&lt;life_fac,1,IF(1=life_fac,0.5,0))+Sens!G9863*0.5)/life_fac</f>
        <v>4.170838978775</v>
      </c>
      <c r="H9869" s="6" t="n">
        <f aca="false">(Sens!C9863*IF(5&lt;life_fac,1,IF(5=life_fac,0.5,0))+Sens!D9863*IF(4&lt;life_fac,1,IF(4=life_fac,0.5,0))+Sens!E9863*IF(3&lt;life_fac,1,IF(3=life_fac,0.5,0))+Sens!F9863*IF(2&lt;life_fac,1,IF(2=life_fac,0.5,0))+Sens!G9863*IF(1&lt;life_fac,1,IF(1=life_fac,0.5,0))+Sens!H9863*0.5)/life_fac</f>
        <v>5.898098964625</v>
      </c>
      <c r="I9869" s="6" t="n">
        <f aca="false">(Sens!C9863*IF(6&lt;life_fac,1,IF(6=life_fac,0.5,0))+Sens!D9863*IF(5&lt;life_fac,1,IF(5=life_fac,0.5,0))+Sens!E9863*IF(4&lt;life_fac,1,IF(4=life_fac,0.5,0))+Sens!F9863*IF(3&lt;life_fac,1,IF(3=life_fac,0.5,0))+Sens!G9863*IF(2&lt;life_fac,1,IF(2=life_fac,0.5,0))+Sens!H9863*IF(1&lt;life_fac,1,IF(1=life_fac,0.5,0))+Sens!I9863*0.5)/life_fac</f>
        <v>7.37368556095442</v>
      </c>
      <c r="J9869" s="6" t="n">
        <f aca="false">(Sens!C9863*IF(7&lt;life_fac,1,IF(7=life_fac,0.5,0))+Sens!D9863*IF(6&lt;life_fac,1,IF(6=life_fac,0.5,0))+Sens!E9863*IF(5&lt;life_fac,1,IF(5=life_fac,0.5,0))+Sens!F9863*IF(4&lt;life_fac,1,IF(4=life_fac,0.5,0))+Sens!G9863*IF(3&lt;life_fac,1,IF(3=life_fac,0.5,0))+Sens!H9863*IF(2&lt;life_fac,1,IF(2=life_fac,0.5,0))+Sens!I9863*IF(1&lt;life_fac,1,IF(1=life_fac,0.5,0))+Sens!J9863*0.5)/life_fac</f>
        <v>8.35816451031075</v>
      </c>
      <c r="K9869" s="6" t="n">
        <f aca="false">(Sens!C9863*IF(8&lt;life_fac,1,IF(8=life_fac,0.5,0))+Sens!D9863*IF(7&lt;life_fac,1,IF(7=life_fac,0.5,0))+Sens!E9863*IF(6&lt;life_fac,1,IF(6=life_fac,0.5,0))+Sens!F9863*IF(5&lt;life_fac,1,IF(5=life_fac,0.5,0))+Sens!G9863*IF(4&lt;life_fac,1,IF(4=life_fac,0.5,0))+Sens!H9863*IF(3&lt;life_fac,1,IF(3=life_fac,0.5,0))+Sens!I9863*IF(2&lt;life_fac,1,IF(2=life_fac,0.5,0))+Sens!J9863*IF(1&lt;life_fac,1,IF(1=life_fac,0.5,0))+Sens!K9863*0.5)/life_fac</f>
        <v>8.86883104910662</v>
      </c>
    </row>
    <row r="9870" customFormat="false" ht="17.15" hidden="false" customHeight="false" outlineLevel="0" collapsed="false">
      <c r="A9870" s="0" t="s">
        <v>1001</v>
      </c>
      <c r="B9870" s="0" t="s">
        <v>98</v>
      </c>
      <c r="E9870" s="6" t="n">
        <f aca="false">Sens!E9868+Sens!E9869</f>
        <v>16.3054059770833</v>
      </c>
      <c r="F9870" s="6" t="n">
        <f aca="false">Sens!F9868+Sens!F9869</f>
        <v>34.5793144783516</v>
      </c>
      <c r="G9870" s="6" t="n">
        <f aca="false">Sens!G9868+Sens!G9869</f>
        <v>60.7344906522989</v>
      </c>
      <c r="H9870" s="6" t="n">
        <f aca="false">Sens!H9868+Sens!H9869</f>
        <v>89.1000906614457</v>
      </c>
      <c r="I9870" s="6" t="n">
        <f aca="false">Sens!I9868+Sens!I9869</f>
        <v>114.231009694548</v>
      </c>
      <c r="J9870" s="6" t="n">
        <f aca="false">Sens!J9868+Sens!J9869</f>
        <v>132.015673049596</v>
      </c>
      <c r="K9870" s="6" t="n">
        <f aca="false">Sens!K9868+Sens!K9869</f>
        <v>143.012669550934</v>
      </c>
    </row>
    <row r="9871" customFormat="false" ht="17.15" hidden="false" customHeight="false" outlineLevel="0" collapsed="false">
      <c r="A9871" s="0" t="s">
        <v>1002</v>
      </c>
      <c r="B9871" s="0" t="s">
        <v>98</v>
      </c>
      <c r="E9871" s="6" t="n">
        <f aca="false">Sens!E9858-Sens!E9857*Sens!E9870</f>
        <v>8.92707889977379</v>
      </c>
      <c r="F9871" s="6" t="n">
        <f aca="false">Sens!F9858-Sens!F9857*Sens!F9870</f>
        <v>18.7770356668733</v>
      </c>
      <c r="G9871" s="6" t="n">
        <f aca="false">Sens!G9858-Sens!G9857*Sens!G9870</f>
        <v>31.1163641458894</v>
      </c>
      <c r="H9871" s="6" t="n">
        <f aca="false">Sens!H9858-Sens!H9857*Sens!H9870</f>
        <v>43.7262635496428</v>
      </c>
      <c r="I9871" s="6" t="n">
        <f aca="false">Sens!I9858-Sens!I9857*Sens!I9870</f>
        <v>54.7541698336361</v>
      </c>
      <c r="J9871" s="6" t="n">
        <f aca="false">Sens!J9858-Sens!J9857*Sens!J9870</f>
        <v>62.3768819327658</v>
      </c>
      <c r="K9871" s="6" t="n">
        <f aca="false">Sens!K9858-Sens!K9857*Sens!K9870</f>
        <v>67.4820630434748</v>
      </c>
    </row>
    <row r="9872" customFormat="false" ht="17.15" hidden="false" customHeight="false" outlineLevel="0" collapsed="false">
      <c r="A9872" s="3" t="s">
        <v>1726</v>
      </c>
    </row>
    <row r="9873" customFormat="false" ht="15" hidden="false" customHeight="false" outlineLevel="0" collapsed="false">
      <c r="A9873" s="4" t="s">
        <v>43</v>
      </c>
      <c r="B9873" s="4" t="s">
        <v>65</v>
      </c>
      <c r="C9873" s="23" t="s">
        <v>938</v>
      </c>
      <c r="D9873" s="23" t="s">
        <v>939</v>
      </c>
      <c r="E9873" s="23" t="s">
        <v>940</v>
      </c>
      <c r="F9873" s="23" t="s">
        <v>941</v>
      </c>
      <c r="G9873" s="23" t="s">
        <v>942</v>
      </c>
      <c r="H9873" s="23" t="s">
        <v>943</v>
      </c>
      <c r="I9873" s="23" t="s">
        <v>944</v>
      </c>
      <c r="J9873" s="23" t="s">
        <v>945</v>
      </c>
      <c r="K9873" s="23" t="s">
        <v>946</v>
      </c>
      <c r="L9873" s="4" t="s">
        <v>47</v>
      </c>
    </row>
    <row r="9874" customFormat="false" ht="17.15" hidden="false" customHeight="false" outlineLevel="0" collapsed="false">
      <c r="A9874" s="0" t="s">
        <v>1021</v>
      </c>
      <c r="B9874" s="0" t="s">
        <v>98</v>
      </c>
      <c r="D9874" s="6" t="n">
        <f aca="false">Sens!D9852</f>
        <v>12.9359794422418</v>
      </c>
      <c r="E9874" s="6" t="n">
        <f aca="false">Sens!E9852</f>
        <v>27.8095064661409</v>
      </c>
      <c r="F9874" s="6" t="n">
        <f aca="false">Sens!F9852</f>
        <v>55.4118315060966</v>
      </c>
      <c r="G9874" s="6" t="n">
        <f aca="false">Sens!G9852</f>
        <v>91.2881100675143</v>
      </c>
      <c r="H9874" s="6" t="n">
        <f aca="false">Sens!H9852</f>
        <v>128.195273603944</v>
      </c>
      <c r="I9874" s="6" t="n">
        <f aca="false">Sens!I9852</f>
        <v>160.601281810405</v>
      </c>
      <c r="J9874" s="6" t="n">
        <f aca="false">Sens!J9852</f>
        <v>183.182719793589</v>
      </c>
      <c r="K9874" s="6" t="n">
        <f aca="false">Sens!K9852</f>
        <v>197.320124937098</v>
      </c>
    </row>
    <row r="9875" customFormat="false" ht="17.15" hidden="false" customHeight="false" outlineLevel="0" collapsed="false">
      <c r="A9875" s="0" t="s">
        <v>1022</v>
      </c>
      <c r="B9875" s="0" t="s">
        <v>98</v>
      </c>
      <c r="D9875" s="6" t="n">
        <f aca="false">Q!L6-Sens!D9874</f>
        <v>59.6740205577583</v>
      </c>
      <c r="E9875" s="6" t="n">
        <f aca="false">Q!M6-Sens!E9874</f>
        <v>74.1284935338591</v>
      </c>
      <c r="F9875" s="6" t="n">
        <f aca="false">Q!$I$6+(Sens!F9874+Sens!E9875*(1+Sens!F9876))*(1-Q!$E$6/Q!M6)-Sens!F9874</f>
        <v>91.6828900194686</v>
      </c>
      <c r="G9875" s="6" t="n">
        <f aca="false">Sens!F9875*(1+Sens!G9876)</f>
        <v>110.155396039469</v>
      </c>
      <c r="H9875" s="6" t="n">
        <f aca="false">Sens!G9875*(1+Sens!H9876)</f>
        <v>130.105853685074</v>
      </c>
      <c r="I9875" s="6" t="n">
        <f aca="false">Sens!H9875*(1+Sens!I9876)</f>
        <v>151.019237008485</v>
      </c>
      <c r="J9875" s="6" t="n">
        <f aca="false">Sens!I9875*(1+Sens!J9876)</f>
        <v>172.217905042986</v>
      </c>
      <c r="K9875" s="6" t="n">
        <f aca="false">Sens!J9875*(1+Sens!K9876)</f>
        <v>192.884053648144</v>
      </c>
      <c r="L9875" s="12" t="s">
        <v>1023</v>
      </c>
    </row>
    <row r="9876" customFormat="false" ht="15" hidden="false" customHeight="false" outlineLevel="0" collapsed="false">
      <c r="A9876" s="1" t="s">
        <v>1024</v>
      </c>
      <c r="B9876" s="0" t="s">
        <v>168</v>
      </c>
      <c r="E9876" s="7" t="n">
        <f aca="false">Sens!E9875/Sens!D9875-1</f>
        <v>0.242223883039864</v>
      </c>
      <c r="F9876" s="7" t="n">
        <f aca="false">Sens!$E$9876+(glt_azo_hi-Sens!$E$9876)*MIN(1,(Sens!F9833-base_fy)/n_conv)</f>
        <v>0.221853235866554</v>
      </c>
      <c r="G9876" s="7" t="n">
        <f aca="false">Sens!$E$9876+(glt_azo_hi-Sens!$E$9876)*MIN(1,(Sens!G9833-base_fy)/n_conv)</f>
        <v>0.201482588693243</v>
      </c>
      <c r="H9876" s="7" t="n">
        <f aca="false">Sens!$E$9876+(glt_azo_hi-Sens!$E$9876)*MIN(1,(Sens!H9833-base_fy)/n_conv)</f>
        <v>0.181111941519932</v>
      </c>
      <c r="I9876" s="7" t="n">
        <f aca="false">Sens!$E$9876+(glt_azo_hi-Sens!$E$9876)*MIN(1,(Sens!I9833-base_fy)/n_conv)</f>
        <v>0.160741294346622</v>
      </c>
      <c r="J9876" s="7" t="n">
        <f aca="false">Sens!$E$9876+(glt_azo_hi-Sens!$E$9876)*MIN(1,(Sens!J9833-base_fy)/n_conv)</f>
        <v>0.140370647173311</v>
      </c>
      <c r="K9876" s="7" t="n">
        <f aca="false">Sens!$E$9876+(glt_azo_hi-Sens!$E$9876)*MIN(1,(Sens!K9833-base_fy)/n_conv)</f>
        <v>0.12</v>
      </c>
    </row>
    <row r="9877" customFormat="false" ht="15" hidden="false" customHeight="false" outlineLevel="0" collapsed="false">
      <c r="A9877" s="0" t="s">
        <v>1025</v>
      </c>
      <c r="B9877" s="0" t="s">
        <v>98</v>
      </c>
      <c r="D9877" s="6" t="n">
        <f aca="false">Sens!D9874+Sens!D9875</f>
        <v>72.61</v>
      </c>
      <c r="E9877" s="6" t="n">
        <f aca="false">Sens!E9874+Sens!E9875</f>
        <v>101.938</v>
      </c>
      <c r="F9877" s="6" t="n">
        <f aca="false">Sens!F9874+Sens!F9875</f>
        <v>147.094721525565</v>
      </c>
      <c r="G9877" s="6" t="n">
        <f aca="false">Sens!G9874+Sens!G9875</f>
        <v>201.443506106983</v>
      </c>
      <c r="H9877" s="6" t="n">
        <f aca="false">Sens!H9874+Sens!H9875</f>
        <v>258.301127289018</v>
      </c>
      <c r="I9877" s="6" t="n">
        <f aca="false">Sens!I9874+Sens!I9875</f>
        <v>311.62051881889</v>
      </c>
      <c r="J9877" s="6" t="n">
        <f aca="false">Sens!J9874+Sens!J9875</f>
        <v>355.400624836575</v>
      </c>
      <c r="K9877" s="6" t="n">
        <f aca="false">Sens!K9874+Sens!K9875</f>
        <v>390.204178585242</v>
      </c>
    </row>
    <row r="9878" customFormat="false" ht="17.15" hidden="false" customHeight="false" outlineLevel="0" collapsed="false">
      <c r="A9878" s="0" t="s">
        <v>1026</v>
      </c>
      <c r="B9878" s="1" t="s">
        <v>610</v>
      </c>
      <c r="C9878" s="30" t="n">
        <f aca="false">cop_s24</f>
        <v>1</v>
      </c>
      <c r="D9878" s="30" t="n">
        <f aca="false">cop_s25</f>
        <v>5</v>
      </c>
      <c r="E9878" s="30" t="n">
        <f aca="false">cop_s26</f>
        <v>30</v>
      </c>
      <c r="F9878" s="30" t="n">
        <f aca="false">Sens!E9878+cop_add_B</f>
        <v>50</v>
      </c>
      <c r="G9878" s="30" t="n">
        <f aca="false">Sens!F9878+cop_add_B</f>
        <v>70</v>
      </c>
      <c r="H9878" s="30" t="n">
        <f aca="false">Sens!G9878+cop_add_B</f>
        <v>90</v>
      </c>
      <c r="I9878" s="30" t="n">
        <f aca="false">Sens!H9878+cop_add_B*cop_tail</f>
        <v>100</v>
      </c>
      <c r="J9878" s="30" t="n">
        <f aca="false">Sens!I9878+cop_add_B*cop_tail</f>
        <v>110</v>
      </c>
      <c r="K9878" s="30" t="n">
        <f aca="false">Sens!J9878+cop_add_B*cop_tail</f>
        <v>120</v>
      </c>
      <c r="L9878" s="12" t="s">
        <v>1027</v>
      </c>
    </row>
    <row r="9879" customFormat="false" ht="17.15" hidden="false" customHeight="false" outlineLevel="0" collapsed="false">
      <c r="A9879" s="0" t="s">
        <v>1028</v>
      </c>
      <c r="B9879" s="0" t="s">
        <v>98</v>
      </c>
      <c r="D9879" s="6" t="n">
        <f aca="false">(Sens!C9878+Sens!D9878)/2*cop_px*12/1000</f>
        <v>0.9</v>
      </c>
      <c r="E9879" s="6" t="n">
        <f aca="false">(Sens!D9878+Sens!E9878)/2*cop_px*12/1000</f>
        <v>5.25</v>
      </c>
      <c r="F9879" s="6" t="n">
        <f aca="false">(Sens!E9878+Sens!F9878)/2*cop_px*12/1000</f>
        <v>12</v>
      </c>
      <c r="G9879" s="6" t="n">
        <f aca="false">(Sens!F9878+Sens!G9878)/2*cop_px*12/1000</f>
        <v>18</v>
      </c>
      <c r="H9879" s="6" t="n">
        <f aca="false">(Sens!G9878+Sens!H9878)/2*cop_px*12/1000</f>
        <v>24</v>
      </c>
      <c r="I9879" s="6" t="n">
        <f aca="false">(Sens!H9878+Sens!I9878)/2*cop_px*12/1000</f>
        <v>28.5</v>
      </c>
      <c r="J9879" s="6" t="n">
        <f aca="false">(Sens!I9878+Sens!J9878)/2*cop_px*12/1000</f>
        <v>31.5</v>
      </c>
      <c r="K9879" s="6" t="n">
        <f aca="false">(Sens!J9878+Sens!K9878)/2*cop_px*12/1000</f>
        <v>34.5</v>
      </c>
      <c r="L9879" s="1" t="s">
        <v>1029</v>
      </c>
    </row>
    <row r="9880" customFormat="false" ht="17.15" hidden="false" customHeight="false" outlineLevel="0" collapsed="false">
      <c r="A9880" s="0" t="s">
        <v>1030</v>
      </c>
      <c r="B9880" s="0" t="s">
        <v>98</v>
      </c>
      <c r="D9880" s="6" t="n">
        <f aca="false">Q!L7-Sens!D9879</f>
        <v>83.705</v>
      </c>
      <c r="E9880" s="6" t="n">
        <f aca="false">Q!M7-Sens!E9879</f>
        <v>95.049</v>
      </c>
      <c r="F9880" s="6" t="n">
        <f aca="false">Q!$I$7+(Sens!E9880*(1+Sens!F9881)+Sens!F9879)*(1-Q!$E$7/Q!M7)-Sens!F9879</f>
        <v>106.584003697747</v>
      </c>
      <c r="G9880" s="6" t="n">
        <f aca="false">Sens!F9880*(1+Sens!G9881)</f>
        <v>118.700726545688</v>
      </c>
      <c r="H9880" s="6" t="n">
        <f aca="false">Sens!G9880*(1+Sens!H9881)</f>
        <v>130.898624783666</v>
      </c>
      <c r="I9880" s="6" t="n">
        <f aca="false">Sens!H9880*(1+Sens!I9881)</f>
        <v>142.920510030657</v>
      </c>
      <c r="J9880" s="6" t="n">
        <f aca="false">Sens!I9880*(1+Sens!J9881)</f>
        <v>154.485722618572</v>
      </c>
      <c r="K9880" s="6" t="n">
        <f aca="false">Sens!J9880*(1+Sens!K9881)</f>
        <v>165.299723201872</v>
      </c>
      <c r="L9880" s="12" t="s">
        <v>1031</v>
      </c>
    </row>
    <row r="9881" customFormat="false" ht="15" hidden="false" customHeight="false" outlineLevel="0" collapsed="false">
      <c r="A9881" s="1" t="s">
        <v>1024</v>
      </c>
      <c r="B9881" s="0" t="s">
        <v>168</v>
      </c>
      <c r="E9881" s="7" t="n">
        <f aca="false">Sens!E9880/Sens!D9880-1</f>
        <v>0.135523564900544</v>
      </c>
      <c r="F9881" s="7" t="n">
        <f aca="false">Sens!$E$9881+(glt_m365b-Sens!$E$9881)*MIN(1,(Sens!F9833-base_fy)/n_conv)</f>
        <v>0.124602970750453</v>
      </c>
      <c r="G9881" s="7" t="n">
        <f aca="false">Sens!$E$9881+(glt_m365b-Sens!$E$9881)*MIN(1,(Sens!G9833-base_fy)/n_conv)</f>
        <v>0.113682376600363</v>
      </c>
      <c r="H9881" s="7" t="n">
        <f aca="false">Sens!$E$9881+(glt_m365b-Sens!$E$9881)*MIN(1,(Sens!H9833-base_fy)/n_conv)</f>
        <v>0.102761782450272</v>
      </c>
      <c r="I9881" s="7" t="n">
        <f aca="false">Sens!$E$9881+(glt_m365b-Sens!$E$9881)*MIN(1,(Sens!I9833-base_fy)/n_conv)</f>
        <v>0.0918411883001813</v>
      </c>
      <c r="J9881" s="7" t="n">
        <f aca="false">Sens!$E$9881+(glt_m365b-Sens!$E$9881)*MIN(1,(Sens!J9833-base_fy)/n_conv)</f>
        <v>0.0809205941500906</v>
      </c>
      <c r="K9881" s="7" t="n">
        <f aca="false">Sens!$E$9881+(glt_m365b-Sens!$E$9881)*MIN(1,(Sens!K9833-base_fy)/n_conv)</f>
        <v>0.07</v>
      </c>
    </row>
    <row r="9882" customFormat="false" ht="15" hidden="false" customHeight="false" outlineLevel="0" collapsed="false">
      <c r="A9882" s="0" t="s">
        <v>1032</v>
      </c>
      <c r="B9882" s="0" t="s">
        <v>98</v>
      </c>
      <c r="D9882" s="6" t="n">
        <f aca="false">Sens!D9880+Sens!D9879</f>
        <v>84.605</v>
      </c>
      <c r="E9882" s="6" t="n">
        <f aca="false">Sens!E9880+Sens!E9879</f>
        <v>100.299</v>
      </c>
      <c r="F9882" s="6" t="n">
        <f aca="false">Sens!F9880+Sens!F9879</f>
        <v>118.584003697747</v>
      </c>
      <c r="G9882" s="6" t="n">
        <f aca="false">Sens!G9880+Sens!G9879</f>
        <v>136.700726545688</v>
      </c>
      <c r="H9882" s="6" t="n">
        <f aca="false">Sens!H9880+Sens!H9879</f>
        <v>154.898624783666</v>
      </c>
      <c r="I9882" s="6" t="n">
        <f aca="false">Sens!I9880+Sens!I9879</f>
        <v>171.420510030657</v>
      </c>
      <c r="J9882" s="6" t="n">
        <f aca="false">Sens!J9880+Sens!J9879</f>
        <v>185.985722618572</v>
      </c>
      <c r="K9882" s="6" t="n">
        <f aca="false">Sens!K9880+Sens!K9879</f>
        <v>199.799723201872</v>
      </c>
    </row>
    <row r="9883" customFormat="false" ht="17.15" hidden="false" customHeight="false" outlineLevel="0" collapsed="false">
      <c r="A9883" s="0" t="s">
        <v>1033</v>
      </c>
      <c r="B9883" s="0" t="s">
        <v>98</v>
      </c>
      <c r="D9883" s="6" t="n">
        <f aca="false">Q!L8</f>
        <v>35.391</v>
      </c>
      <c r="E9883" s="6" t="n">
        <f aca="false">Q!M8</f>
        <v>37.285</v>
      </c>
      <c r="F9883" s="6" t="n">
        <f aca="false">Q!$I$8+(Q!M8-Q!$E$8)*(1+Sens!F9884)</f>
        <v>38.3851437782675</v>
      </c>
      <c r="G9883" s="6" t="n">
        <f aca="false">Sens!F9883*(1+Sens!G9884)</f>
        <v>40.0105353288615</v>
      </c>
      <c r="H9883" s="6" t="n">
        <f aca="false">Sens!G9883*(1+Sens!H9884)</f>
        <v>41.4812512033683</v>
      </c>
      <c r="I9883" s="6" t="n">
        <f aca="false">Sens!H9883*(1+Sens!I9884)</f>
        <v>42.7743107216329</v>
      </c>
      <c r="J9883" s="6" t="n">
        <f aca="false">Sens!I9883*(1+Sens!J9884)</f>
        <v>43.8687373064601</v>
      </c>
      <c r="K9883" s="6" t="n">
        <f aca="false">Sens!J9883*(1+Sens!K9884)</f>
        <v>44.7461120525893</v>
      </c>
      <c r="L9883" s="12" t="s">
        <v>1034</v>
      </c>
    </row>
    <row r="9884" customFormat="false" ht="15" hidden="false" customHeight="false" outlineLevel="0" collapsed="false">
      <c r="A9884" s="1" t="s">
        <v>1024</v>
      </c>
      <c r="B9884" s="0" t="s">
        <v>168</v>
      </c>
      <c r="E9884" s="7" t="n">
        <f aca="false">Sens!E9883/Sens!D9883-1</f>
        <v>0.0535164307309768</v>
      </c>
      <c r="F9884" s="7" t="n">
        <f aca="false">Sens!$E$9884+(glt_lic-Sens!$E$9884)*MIN(1,(Sens!F9833-base_fy)/n_conv)</f>
        <v>0.0479303589424807</v>
      </c>
      <c r="G9884" s="7" t="n">
        <f aca="false">Sens!$E$9884+(glt_lic-Sens!$E$9884)*MIN(1,(Sens!G9833-base_fy)/n_conv)</f>
        <v>0.0423442871539845</v>
      </c>
      <c r="H9884" s="7" t="n">
        <f aca="false">Sens!$E$9884+(glt_lic-Sens!$E$9884)*MIN(1,(Sens!H9833-base_fy)/n_conv)</f>
        <v>0.0367582153654884</v>
      </c>
      <c r="I9884" s="7" t="n">
        <f aca="false">Sens!$E$9884+(glt_lic-Sens!$E$9884)*MIN(1,(Sens!I9833-base_fy)/n_conv)</f>
        <v>0.0311721435769923</v>
      </c>
      <c r="J9884" s="7" t="n">
        <f aca="false">Sens!$E$9884+(glt_lic-Sens!$E$9884)*MIN(1,(Sens!J9833-base_fy)/n_conv)</f>
        <v>0.0255860717884961</v>
      </c>
      <c r="K9884" s="7" t="n">
        <f aca="false">Sens!$E$9884+(glt_lic-Sens!$E$9884)*MIN(1,(Sens!K9833-base_fy)/n_conv)</f>
        <v>0.02</v>
      </c>
    </row>
    <row r="9885" customFormat="false" ht="17.15" hidden="false" customHeight="false" outlineLevel="0" collapsed="false">
      <c r="A9885" s="0" t="s">
        <v>1035</v>
      </c>
      <c r="B9885" s="0" t="s">
        <v>98</v>
      </c>
      <c r="D9885" s="6" t="n">
        <f aca="false">Q!L9</f>
        <v>18.417</v>
      </c>
      <c r="E9885" s="6" t="n">
        <f aca="false">Q!M9</f>
        <v>20.345</v>
      </c>
      <c r="F9885" s="6" t="n">
        <f aca="false">Q!$I$9+(Q!M9-Q!$E$9)*(1+Sens!F9886)</f>
        <v>22.3161797133988</v>
      </c>
      <c r="G9885" s="6" t="n">
        <f aca="false">Sens!F9885*(1+Sens!G9886)</f>
        <v>24.3943499673233</v>
      </c>
      <c r="H9885" s="6" t="n">
        <f aca="false">Sens!G9885*(1+Sens!H9886)</f>
        <v>26.5250243109019</v>
      </c>
      <c r="I9885" s="6" t="n">
        <f aca="false">Sens!H9885*(1+Sens!I9886)</f>
        <v>28.6884573538181</v>
      </c>
      <c r="J9885" s="6" t="n">
        <f aca="false">Sens!I9885*(1+Sens!J9886)</f>
        <v>30.8624968052127</v>
      </c>
      <c r="K9885" s="6" t="n">
        <f aca="false">Sens!J9885*(1+Sens!K9886)</f>
        <v>33.0228715815776</v>
      </c>
      <c r="L9885" s="12" t="s">
        <v>1034</v>
      </c>
    </row>
    <row r="9886" customFormat="false" ht="15" hidden="false" customHeight="false" outlineLevel="0" collapsed="false">
      <c r="A9886" s="1" t="s">
        <v>1024</v>
      </c>
      <c r="B9886" s="0" t="s">
        <v>168</v>
      </c>
      <c r="E9886" s="7" t="n">
        <f aca="false">Sens!E9885/Sens!D9885-1</f>
        <v>0.104685888038225</v>
      </c>
      <c r="F9886" s="7" t="n">
        <f aca="false">Sens!$E$9886+(glt_ind-Sens!$E$9886)*MIN(1,(Sens!F9833-base_fy)/n_conv)</f>
        <v>0.0989049066985211</v>
      </c>
      <c r="G9886" s="7" t="n">
        <f aca="false">Sens!$E$9886+(glt_ind-Sens!$E$9886)*MIN(1,(Sens!G9833-base_fy)/n_conv)</f>
        <v>0.0931239253588169</v>
      </c>
      <c r="H9886" s="7" t="n">
        <f aca="false">Sens!$E$9886+(glt_ind-Sens!$E$9886)*MIN(1,(Sens!H9833-base_fy)/n_conv)</f>
        <v>0.0873429440191127</v>
      </c>
      <c r="I9886" s="7" t="n">
        <f aca="false">Sens!$E$9886+(glt_ind-Sens!$E$9886)*MIN(1,(Sens!I9833-base_fy)/n_conv)</f>
        <v>0.0815619626794085</v>
      </c>
      <c r="J9886" s="7" t="n">
        <f aca="false">Sens!$E$9886+(glt_ind-Sens!$E$9886)*MIN(1,(Sens!J9833-base_fy)/n_conv)</f>
        <v>0.0757809813397042</v>
      </c>
      <c r="K9886" s="7" t="n">
        <f aca="false">Sens!$E$9886+(glt_ind-Sens!$E$9886)*MIN(1,(Sens!K9833-base_fy)/n_conv)</f>
        <v>0.07</v>
      </c>
    </row>
    <row r="9887" customFormat="false" ht="17.15" hidden="false" customHeight="false" outlineLevel="0" collapsed="false">
      <c r="A9887" s="0" t="s">
        <v>1036</v>
      </c>
      <c r="B9887" s="0" t="s">
        <v>98</v>
      </c>
      <c r="D9887" s="6" t="n">
        <f aca="false">Q!L10</f>
        <v>7.76</v>
      </c>
      <c r="E9887" s="6" t="n">
        <f aca="false">Q!M10</f>
        <v>8.26</v>
      </c>
      <c r="F9887" s="6" t="n">
        <f aca="false">Q!$I$10+(Q!M10-Q!$E$10)*(1+Sens!F9888)</f>
        <v>8.75372082474227</v>
      </c>
      <c r="G9887" s="6" t="n">
        <f aca="false">Sens!F9887*(1+Sens!G9888)</f>
        <v>9.33399324642364</v>
      </c>
      <c r="H9887" s="6" t="n">
        <f aca="false">Sens!G9887*(1+Sens!H9888)</f>
        <v>9.96139155535851</v>
      </c>
      <c r="I9887" s="6" t="n">
        <f aca="false">Sens!H9887*(1+Sens!I9888)</f>
        <v>10.6402039077391</v>
      </c>
      <c r="J9887" s="6" t="n">
        <f aca="false">Sens!I9887*(1+Sens!J9888)</f>
        <v>11.3751458271397</v>
      </c>
      <c r="K9887" s="6" t="n">
        <f aca="false">Sens!J9887*(1+Sens!K9888)</f>
        <v>12.1714060350394</v>
      </c>
      <c r="L9887" s="12" t="s">
        <v>1034</v>
      </c>
    </row>
    <row r="9888" customFormat="false" ht="15" hidden="false" customHeight="false" outlineLevel="0" collapsed="false">
      <c r="A9888" s="1" t="s">
        <v>1024</v>
      </c>
      <c r="B9888" s="0" t="s">
        <v>168</v>
      </c>
      <c r="E9888" s="7" t="n">
        <f aca="false">Sens!E9887/Sens!D9887-1</f>
        <v>0.0644329896907216</v>
      </c>
      <c r="F9888" s="7" t="n">
        <f aca="false">Sens!$E$9888+(glt_fro-Sens!$E$9888)*MIN(1,(Sens!F9833-base_fy)/n_conv)</f>
        <v>0.065360824742268</v>
      </c>
      <c r="G9888" s="7" t="n">
        <f aca="false">Sens!$E$9888+(glt_fro-Sens!$E$9888)*MIN(1,(Sens!G9833-base_fy)/n_conv)</f>
        <v>0.0662886597938144</v>
      </c>
      <c r="H9888" s="7" t="n">
        <f aca="false">Sens!$E$9888+(glt_fro-Sens!$E$9888)*MIN(1,(Sens!H9833-base_fy)/n_conv)</f>
        <v>0.0672164948453608</v>
      </c>
      <c r="I9888" s="7" t="n">
        <f aca="false">Sens!$E$9888+(glt_fro-Sens!$E$9888)*MIN(1,(Sens!I9833-base_fy)/n_conv)</f>
        <v>0.0681443298969072</v>
      </c>
      <c r="J9888" s="7" t="n">
        <f aca="false">Sens!$E$9888+(glt_fro-Sens!$E$9888)*MIN(1,(Sens!J9833-base_fy)/n_conv)</f>
        <v>0.0690721649484536</v>
      </c>
      <c r="K9888" s="7" t="n">
        <f aca="false">Sens!$E$9888+(glt_fro-Sens!$E$9888)*MIN(1,(Sens!K9833-base_fy)/n_conv)</f>
        <v>0.07</v>
      </c>
    </row>
    <row r="9889" customFormat="false" ht="15" hidden="false" customHeight="false" outlineLevel="0" collapsed="false">
      <c r="A9889" s="0" t="s">
        <v>852</v>
      </c>
      <c r="B9889" s="0" t="s">
        <v>98</v>
      </c>
      <c r="D9889" s="6" t="n">
        <f aca="false">Sens!D9877+Sens!D9882+Sens!D9883+Sens!D9885+Sens!D9887</f>
        <v>218.783</v>
      </c>
      <c r="E9889" s="6" t="n">
        <f aca="false">Sens!E9877+Sens!E9882+Sens!E9883+Sens!E9885+Sens!E9887</f>
        <v>268.127</v>
      </c>
      <c r="F9889" s="6" t="n">
        <f aca="false">Sens!F9877+Sens!F9882+Sens!F9883+Sens!F9885+Sens!F9887</f>
        <v>335.133769539721</v>
      </c>
      <c r="G9889" s="6" t="n">
        <f aca="false">Sens!G9877+Sens!G9882+Sens!G9883+Sens!G9885+Sens!G9887</f>
        <v>411.88311119528</v>
      </c>
      <c r="H9889" s="6" t="n">
        <f aca="false">Sens!H9877+Sens!H9882+Sens!H9883+Sens!H9885+Sens!H9887</f>
        <v>491.167419142312</v>
      </c>
      <c r="I9889" s="6" t="n">
        <f aca="false">Sens!I9877+Sens!I9882+Sens!I9883+Sens!I9885+Sens!I9887</f>
        <v>565.144000832737</v>
      </c>
      <c r="J9889" s="6" t="n">
        <f aca="false">Sens!J9877+Sens!J9882+Sens!J9883+Sens!J9885+Sens!J9887</f>
        <v>627.49272739396</v>
      </c>
      <c r="K9889" s="6" t="n">
        <f aca="false">Sens!K9877+Sens!K9882+Sens!K9883+Sens!K9885+Sens!K9887</f>
        <v>679.94429145632</v>
      </c>
    </row>
    <row r="9890" customFormat="false" ht="17.15" hidden="false" customHeight="false" outlineLevel="0" collapsed="false">
      <c r="A9890" s="0" t="s">
        <v>1037</v>
      </c>
      <c r="B9890" s="0" t="s">
        <v>98</v>
      </c>
      <c r="D9890" s="6" t="n">
        <f aca="false">Q!L13</f>
        <v>22.171</v>
      </c>
      <c r="E9890" s="6" t="n">
        <f aca="false">Q!M13</f>
        <v>24.835</v>
      </c>
      <c r="F9890" s="6" t="n">
        <f aca="false">Q!$I$13+(Q!M13-Q!$E$13)*(1+Sens!F9891)</f>
        <v>27.5591895660247</v>
      </c>
      <c r="G9890" s="6" t="n">
        <f aca="false">Sens!F9890*(1+Sens!G9891)</f>
        <v>30.4098563144583</v>
      </c>
      <c r="H9890" s="6" t="n">
        <f aca="false">Sens!G9890*(1+Sens!H9891)</f>
        <v>33.3011792571777</v>
      </c>
      <c r="I9890" s="6" t="n">
        <f aca="false">Sens!H9890*(1+Sens!I9891)</f>
        <v>36.189023797112</v>
      </c>
      <c r="J9890" s="6" t="n">
        <f aca="false">Sens!I9890*(1+Sens!J9891)</f>
        <v>39.0247773769199</v>
      </c>
      <c r="K9890" s="6" t="n">
        <f aca="false">Sens!J9890*(1+Sens!K9891)</f>
        <v>41.7565117933043</v>
      </c>
      <c r="L9890" s="12" t="s">
        <v>1034</v>
      </c>
    </row>
    <row r="9891" customFormat="false" ht="15" hidden="false" customHeight="false" outlineLevel="0" collapsed="false">
      <c r="A9891" s="1" t="s">
        <v>1024</v>
      </c>
      <c r="B9891" s="0" t="s">
        <v>168</v>
      </c>
      <c r="E9891" s="7" t="n">
        <f aca="false">Sens!E9890/Sens!D9890-1</f>
        <v>0.120156961796942</v>
      </c>
      <c r="F9891" s="7" t="n">
        <f aca="false">Sens!$E$9891+(glt_srch-Sens!$E$9891)*MIN(1,(Sens!F9833-base_fy)/n_conv)</f>
        <v>0.111797468164118</v>
      </c>
      <c r="G9891" s="7" t="n">
        <f aca="false">Sens!$E$9891+(glt_srch-Sens!$E$9891)*MIN(1,(Sens!G9833-base_fy)/n_conv)</f>
        <v>0.103437974531295</v>
      </c>
      <c r="H9891" s="7" t="n">
        <f aca="false">Sens!$E$9891+(glt_srch-Sens!$E$9891)*MIN(1,(Sens!H9833-base_fy)/n_conv)</f>
        <v>0.095078480898471</v>
      </c>
      <c r="I9891" s="7" t="n">
        <f aca="false">Sens!$E$9891+(glt_srch-Sens!$E$9891)*MIN(1,(Sens!I9833-base_fy)/n_conv)</f>
        <v>0.0867189872656474</v>
      </c>
      <c r="J9891" s="7" t="n">
        <f aca="false">Sens!$E$9891+(glt_srch-Sens!$E$9891)*MIN(1,(Sens!J9833-base_fy)/n_conv)</f>
        <v>0.0783594936328237</v>
      </c>
      <c r="K9891" s="7" t="n">
        <f aca="false">Sens!$E$9891+(glt_srch-Sens!$E$9891)*MIN(1,(Sens!K9833-base_fy)/n_conv)</f>
        <v>0.07</v>
      </c>
    </row>
    <row r="9892" customFormat="false" ht="17.15" hidden="false" customHeight="false" outlineLevel="0" collapsed="false">
      <c r="A9892" s="0" t="s">
        <v>1038</v>
      </c>
      <c r="B9892" s="0" t="s">
        <v>98</v>
      </c>
      <c r="D9892" s="6" t="n">
        <f aca="false">Q!L14</f>
        <v>23.455</v>
      </c>
      <c r="E9892" s="6" t="n">
        <f aca="false">Q!M14</f>
        <v>21.79</v>
      </c>
      <c r="F9892" s="6" t="n">
        <f aca="false">Q!$I$14+(Q!M14-Q!$E$14)*(1+Sens!F9893)</f>
        <v>20.7520981041711</v>
      </c>
      <c r="G9892" s="6" t="n">
        <f aca="false">Sens!F9892*(1+Sens!G9893)</f>
        <v>19.9083593495882</v>
      </c>
      <c r="H9892" s="6" t="n">
        <f aca="false">Sens!G9892*(1+Sens!H9893)</f>
        <v>19.4008256265831</v>
      </c>
      <c r="I9892" s="6" t="n">
        <f aca="false">Sens!H9892*(1+Sens!I9893)</f>
        <v>19.200434522122</v>
      </c>
      <c r="J9892" s="6" t="n">
        <f aca="false">Sens!I9892*(1+Sens!J9893)</f>
        <v>19.2932782348507</v>
      </c>
      <c r="K9892" s="6" t="n">
        <f aca="false">Sens!J9892*(1+Sens!K9893)</f>
        <v>19.6791437995477</v>
      </c>
      <c r="L9892" s="12" t="s">
        <v>1034</v>
      </c>
    </row>
    <row r="9893" customFormat="false" ht="15" hidden="false" customHeight="false" outlineLevel="0" collapsed="false">
      <c r="A9893" s="1" t="s">
        <v>1024</v>
      </c>
      <c r="B9893" s="0" t="s">
        <v>168</v>
      </c>
      <c r="E9893" s="7" t="n">
        <f aca="false">Sens!E9892/Sens!D9892-1</f>
        <v>-0.0709869963760392</v>
      </c>
      <c r="F9893" s="7" t="n">
        <f aca="false">Sens!$E$9893+(glt_xbox-Sens!$E$9893)*MIN(1,(Sens!F9833-base_fy)/n_conv)</f>
        <v>-0.0558224969800327</v>
      </c>
      <c r="G9893" s="7" t="n">
        <f aca="false">Sens!$E$9893+(glt_xbox-Sens!$E$9893)*MIN(1,(Sens!G9833-base_fy)/n_conv)</f>
        <v>-0.0406579975840262</v>
      </c>
      <c r="H9893" s="7" t="n">
        <f aca="false">Sens!$E$9893+(glt_xbox-Sens!$E$9893)*MIN(1,(Sens!H9833-base_fy)/n_conv)</f>
        <v>-0.0254934981880196</v>
      </c>
      <c r="I9893" s="7" t="n">
        <f aca="false">Sens!$E$9893+(glt_xbox-Sens!$E$9893)*MIN(1,(Sens!I9833-base_fy)/n_conv)</f>
        <v>-0.0103289987920131</v>
      </c>
      <c r="J9893" s="7" t="n">
        <f aca="false">Sens!$E$9893+(glt_xbox-Sens!$E$9893)*MIN(1,(Sens!J9833-base_fy)/n_conv)</f>
        <v>0.00483550060399347</v>
      </c>
      <c r="K9893" s="7" t="n">
        <f aca="false">Sens!$E$9893+(glt_xbox-Sens!$E$9893)*MIN(1,(Sens!K9833-base_fy)/n_conv)</f>
        <v>0.02</v>
      </c>
    </row>
    <row r="9894" customFormat="false" ht="17.15" hidden="false" customHeight="false" outlineLevel="0" collapsed="false">
      <c r="A9894" s="0" t="s">
        <v>1039</v>
      </c>
      <c r="B9894" s="0" t="s">
        <v>98</v>
      </c>
      <c r="D9894" s="6" t="n">
        <f aca="false">Q!L15</f>
        <v>17.315</v>
      </c>
      <c r="E9894" s="6" t="n">
        <f aca="false">Q!M15</f>
        <v>17.087</v>
      </c>
      <c r="F9894" s="6" t="n">
        <f aca="false">Q!$I$15+(Q!M15-Q!$E$15)*(1+Sens!F9895)</f>
        <v>15.9912273250553</v>
      </c>
      <c r="G9894" s="6" t="n">
        <f aca="false">Sens!F9894*(1+Sens!G9895)</f>
        <v>15.9574562664827</v>
      </c>
      <c r="H9894" s="6" t="n">
        <f aca="false">Sens!G9894*(1+Sens!H9895)</f>
        <v>16.0119687434196</v>
      </c>
      <c r="I9894" s="6" t="n">
        <f aca="false">Sens!H9894*(1+Sens!I9895)</f>
        <v>16.1551810001948</v>
      </c>
      <c r="J9894" s="6" t="n">
        <f aca="false">Sens!I9894*(1+Sens!J9895)</f>
        <v>16.3889793892005</v>
      </c>
      <c r="K9894" s="6" t="n">
        <f aca="false">Sens!J9894*(1+Sens!K9895)</f>
        <v>16.7167589769845</v>
      </c>
      <c r="L9894" s="12" t="s">
        <v>1034</v>
      </c>
    </row>
    <row r="9895" customFormat="false" ht="15" hidden="false" customHeight="false" outlineLevel="0" collapsed="false">
      <c r="A9895" s="1" t="s">
        <v>1024</v>
      </c>
      <c r="B9895" s="0" t="s">
        <v>168</v>
      </c>
      <c r="E9895" s="7" t="n">
        <f aca="false">Sens!E9894/Sens!D9894-1</f>
        <v>-0.0131677736066995</v>
      </c>
      <c r="F9895" s="7" t="n">
        <f aca="false">Sens!$E$9895+(glt_win-Sens!$E$9895)*MIN(1,(Sens!F9833-base_fy)/n_conv)</f>
        <v>-0.00763981133891627</v>
      </c>
      <c r="G9895" s="7" t="n">
        <f aca="false">Sens!$E$9895+(glt_win-Sens!$E$9895)*MIN(1,(Sens!G9833-base_fy)/n_conv)</f>
        <v>-0.00211184907113301</v>
      </c>
      <c r="H9895" s="7" t="n">
        <f aca="false">Sens!$E$9895+(glt_win-Sens!$E$9895)*MIN(1,(Sens!H9833-base_fy)/n_conv)</f>
        <v>0.00341611319665024</v>
      </c>
      <c r="I9895" s="7" t="n">
        <f aca="false">Sens!$E$9895+(glt_win-Sens!$E$9895)*MIN(1,(Sens!I9833-base_fy)/n_conv)</f>
        <v>0.00894407546443349</v>
      </c>
      <c r="J9895" s="7" t="n">
        <f aca="false">Sens!$E$9895+(glt_win-Sens!$E$9895)*MIN(1,(Sens!J9833-base_fy)/n_conv)</f>
        <v>0.0144720377322168</v>
      </c>
      <c r="K9895" s="7" t="n">
        <f aca="false">Sens!$E$9895+(glt_win-Sens!$E$9895)*MIN(1,(Sens!K9833-base_fy)/n_conv)</f>
        <v>0.02</v>
      </c>
    </row>
    <row r="9896" customFormat="false" ht="15" hidden="false" customHeight="false" outlineLevel="0" collapsed="false">
      <c r="A9896" s="0" t="s">
        <v>866</v>
      </c>
      <c r="B9896" s="0" t="s">
        <v>98</v>
      </c>
      <c r="D9896" s="6" t="n">
        <f aca="false">Sens!D9890+Sens!D9892+Sens!D9894</f>
        <v>62.941</v>
      </c>
      <c r="E9896" s="6" t="n">
        <f aca="false">Sens!E9890+Sens!E9892+Sens!E9894</f>
        <v>63.712</v>
      </c>
      <c r="F9896" s="6" t="n">
        <f aca="false">Sens!F9890+Sens!F9892+Sens!F9894</f>
        <v>64.3025149952511</v>
      </c>
      <c r="G9896" s="6" t="n">
        <f aca="false">Sens!G9890+Sens!G9892+Sens!G9894</f>
        <v>66.2756719305292</v>
      </c>
      <c r="H9896" s="6" t="n">
        <f aca="false">Sens!H9890+Sens!H9892+Sens!H9894</f>
        <v>68.7139736271804</v>
      </c>
      <c r="I9896" s="6" t="n">
        <f aca="false">Sens!I9890+Sens!I9892+Sens!I9894</f>
        <v>71.5446393194289</v>
      </c>
      <c r="J9896" s="6" t="n">
        <f aca="false">Sens!J9890+Sens!J9892+Sens!J9894</f>
        <v>74.707035000971</v>
      </c>
      <c r="K9896" s="6" t="n">
        <f aca="false">Sens!K9890+Sens!K9892+Sens!K9894</f>
        <v>78.1524145698365</v>
      </c>
    </row>
    <row r="9897" customFormat="false" ht="15" hidden="false" customHeight="false" outlineLevel="0" collapsed="false">
      <c r="A9897" s="1" t="s">
        <v>1040</v>
      </c>
      <c r="B9897" s="0" t="s">
        <v>98</v>
      </c>
      <c r="D9897" s="6" t="n">
        <f aca="false">Sens!D9889+Sens!D9896</f>
        <v>281.724</v>
      </c>
      <c r="E9897" s="6" t="n">
        <f aca="false">Sens!E9889+Sens!E9896</f>
        <v>331.839</v>
      </c>
      <c r="F9897" s="6" t="n">
        <f aca="false">Sens!F9889+Sens!F9896</f>
        <v>399.436284534972</v>
      </c>
      <c r="G9897" s="6" t="n">
        <f aca="false">Sens!G9889+Sens!G9896</f>
        <v>478.158783125809</v>
      </c>
      <c r="H9897" s="6" t="n">
        <f aca="false">Sens!H9889+Sens!H9896</f>
        <v>559.881392769493</v>
      </c>
      <c r="I9897" s="6" t="n">
        <f aca="false">Sens!I9889+Sens!I9896</f>
        <v>636.688640152166</v>
      </c>
      <c r="J9897" s="6" t="n">
        <f aca="false">Sens!J9889+Sens!J9896</f>
        <v>702.199762394931</v>
      </c>
      <c r="K9897" s="6" t="n">
        <f aca="false">Sens!K9889+Sens!K9896</f>
        <v>758.096706026157</v>
      </c>
    </row>
    <row r="9898" customFormat="false" ht="15" hidden="false" customHeight="false" outlineLevel="0" collapsed="false">
      <c r="A9898" s="26" t="s">
        <v>1041</v>
      </c>
      <c r="B9898" s="31" t="s">
        <v>98</v>
      </c>
      <c r="C9898" s="31"/>
      <c r="D9898" s="27" t="n">
        <f aca="false">(Sens!D9877+Sens!D9882+Sens!D9883+Sens!D9885+Sens!D9887-Sens!D9889)+(Sens!D9890+Sens!D9892+Sens!D9894-Sens!D9896)+(Sens!D9889-Q!L5)+(Sens!D9896-Q!L12)+(Sens!D9877-Q!L6)+(Sens!D9882-Q!L7)</f>
        <v>0</v>
      </c>
      <c r="E9898" s="27" t="n">
        <f aca="false">(Sens!E9877+Sens!E9882+Sens!E9883+Sens!E9885+Sens!E9887-Sens!E9889)+(Sens!E9890+Sens!E9892+Sens!E9894-Sens!E9896)+(Sens!E9889-Q!M5)+(Sens!E9896-Q!M12)+(Sens!E9877-Q!M6)+(Sens!E9882-Q!M7)</f>
        <v>0</v>
      </c>
      <c r="F9898" s="27" t="n">
        <f aca="false">(Sens!F9877+Sens!F9882+Sens!F9883+Sens!F9885+Sens!F9887-Sens!F9889)+(Sens!F9890+Sens!F9892+Sens!F9894-Sens!F9896)</f>
        <v>0</v>
      </c>
      <c r="G9898" s="27" t="n">
        <f aca="false">(Sens!G9877+Sens!G9882+Sens!G9883+Sens!G9885+Sens!G9887-Sens!G9889)+(Sens!G9890+Sens!G9892+Sens!G9894-Sens!G9896)</f>
        <v>0</v>
      </c>
      <c r="H9898" s="27" t="n">
        <f aca="false">(Sens!H9877+Sens!H9882+Sens!H9883+Sens!H9885+Sens!H9887-Sens!H9889)+(Sens!H9890+Sens!H9892+Sens!H9894-Sens!H9896)</f>
        <v>0</v>
      </c>
      <c r="I9898" s="27" t="n">
        <f aca="false">(Sens!I9877+Sens!I9882+Sens!I9883+Sens!I9885+Sens!I9887-Sens!I9889)+(Sens!I9890+Sens!I9892+Sens!I9894-Sens!I9896)</f>
        <v>0</v>
      </c>
      <c r="J9898" s="27" t="n">
        <f aca="false">(Sens!J9877+Sens!J9882+Sens!J9883+Sens!J9885+Sens!J9887-Sens!J9889)+(Sens!J9890+Sens!J9892+Sens!J9894-Sens!J9896)</f>
        <v>0</v>
      </c>
      <c r="K9898" s="27" t="n">
        <f aca="false">(Sens!K9877+Sens!K9882+Sens!K9883+Sens!K9885+Sens!K9887-Sens!K9889)+(Sens!K9890+Sens!K9892+Sens!K9894-Sens!K9896)</f>
        <v>0</v>
      </c>
    </row>
    <row r="9899" customFormat="false" ht="17.15" hidden="false" customHeight="false" outlineLevel="0" collapsed="false">
      <c r="A9899" s="3" t="s">
        <v>1727</v>
      </c>
    </row>
    <row r="9900" customFormat="false" ht="15" hidden="false" customHeight="false" outlineLevel="0" collapsed="false">
      <c r="A9900" s="4" t="s">
        <v>43</v>
      </c>
      <c r="B9900" s="4" t="s">
        <v>65</v>
      </c>
      <c r="C9900" s="23" t="s">
        <v>938</v>
      </c>
      <c r="D9900" s="23" t="s">
        <v>939</v>
      </c>
      <c r="E9900" s="23" t="s">
        <v>940</v>
      </c>
      <c r="F9900" s="23" t="s">
        <v>941</v>
      </c>
      <c r="G9900" s="23" t="s">
        <v>942</v>
      </c>
      <c r="H9900" s="23" t="s">
        <v>943</v>
      </c>
      <c r="I9900" s="23" t="s">
        <v>944</v>
      </c>
      <c r="J9900" s="23" t="s">
        <v>945</v>
      </c>
      <c r="K9900" s="23" t="s">
        <v>946</v>
      </c>
      <c r="L9900" s="4" t="s">
        <v>47</v>
      </c>
    </row>
    <row r="9901" customFormat="false" ht="15" hidden="false" customHeight="false" outlineLevel="0" collapsed="false">
      <c r="A9901" s="0" t="s">
        <v>1025</v>
      </c>
      <c r="B9901" s="0" t="s">
        <v>98</v>
      </c>
      <c r="D9901" s="6" t="n">
        <f aca="false">Sens!D9877</f>
        <v>72.61</v>
      </c>
      <c r="E9901" s="6" t="n">
        <f aca="false">Sens!E9877</f>
        <v>101.938</v>
      </c>
      <c r="F9901" s="6" t="n">
        <f aca="false">Sens!F9877</f>
        <v>147.094721525565</v>
      </c>
      <c r="G9901" s="6" t="n">
        <f aca="false">Sens!G9877</f>
        <v>201.443506106983</v>
      </c>
      <c r="H9901" s="6" t="n">
        <f aca="false">Sens!H9877</f>
        <v>258.301127289018</v>
      </c>
      <c r="I9901" s="6" t="n">
        <f aca="false">Sens!I9877</f>
        <v>311.62051881889</v>
      </c>
      <c r="J9901" s="6" t="n">
        <f aca="false">Sens!J9877</f>
        <v>355.400624836575</v>
      </c>
      <c r="K9901" s="6" t="n">
        <f aca="false">Sens!K9877</f>
        <v>390.204178585242</v>
      </c>
    </row>
    <row r="9902" customFormat="false" ht="17.15" hidden="false" customHeight="false" outlineLevel="0" collapsed="false">
      <c r="A9902" s="0" t="s">
        <v>1021</v>
      </c>
      <c r="B9902" s="0" t="s">
        <v>98</v>
      </c>
      <c r="D9902" s="6" t="n">
        <f aca="false">Sens!D9874</f>
        <v>12.9359794422418</v>
      </c>
      <c r="E9902" s="6" t="n">
        <f aca="false">Sens!E9874</f>
        <v>27.8095064661409</v>
      </c>
      <c r="F9902" s="6" t="n">
        <f aca="false">Sens!F9874</f>
        <v>55.4118315060966</v>
      </c>
      <c r="G9902" s="6" t="n">
        <f aca="false">Sens!G9874</f>
        <v>91.2881100675143</v>
      </c>
      <c r="H9902" s="6" t="n">
        <f aca="false">Sens!H9874</f>
        <v>128.195273603944</v>
      </c>
      <c r="I9902" s="6" t="n">
        <f aca="false">Sens!I9874</f>
        <v>160.601281810405</v>
      </c>
      <c r="J9902" s="6" t="n">
        <f aca="false">Sens!J9874</f>
        <v>183.182719793589</v>
      </c>
      <c r="K9902" s="6" t="n">
        <f aca="false">Sens!K9874</f>
        <v>197.320124937098</v>
      </c>
    </row>
    <row r="9903" customFormat="false" ht="17.15" hidden="false" customHeight="false" outlineLevel="0" collapsed="false">
      <c r="A9903" s="0" t="s">
        <v>1052</v>
      </c>
      <c r="B9903" s="0" t="s">
        <v>98</v>
      </c>
      <c r="D9903" s="6" t="n">
        <f aca="false">Sens!D9875</f>
        <v>59.6740205577583</v>
      </c>
      <c r="E9903" s="6" t="n">
        <f aca="false">Sens!E9875</f>
        <v>74.1284935338591</v>
      </c>
      <c r="F9903" s="6" t="n">
        <f aca="false">Sens!F9875</f>
        <v>91.6828900194686</v>
      </c>
      <c r="G9903" s="6" t="n">
        <f aca="false">Sens!G9875</f>
        <v>110.155396039469</v>
      </c>
      <c r="H9903" s="6" t="n">
        <f aca="false">Sens!H9875</f>
        <v>130.105853685074</v>
      </c>
      <c r="I9903" s="6" t="n">
        <f aca="false">Sens!I9875</f>
        <v>151.019237008485</v>
      </c>
      <c r="J9903" s="6" t="n">
        <f aca="false">Sens!J9875</f>
        <v>172.217905042986</v>
      </c>
      <c r="K9903" s="6" t="n">
        <f aca="false">Sens!K9875</f>
        <v>192.884053648144</v>
      </c>
    </row>
    <row r="9904" customFormat="false" ht="15" hidden="false" customHeight="false" outlineLevel="0" collapsed="false">
      <c r="A9904" s="0" t="s">
        <v>1032</v>
      </c>
      <c r="B9904" s="0" t="s">
        <v>98</v>
      </c>
      <c r="D9904" s="6" t="n">
        <f aca="false">Sens!D9882</f>
        <v>84.605</v>
      </c>
      <c r="E9904" s="6" t="n">
        <f aca="false">Sens!E9882</f>
        <v>100.299</v>
      </c>
      <c r="F9904" s="6" t="n">
        <f aca="false">Sens!F9882</f>
        <v>118.584003697747</v>
      </c>
      <c r="G9904" s="6" t="n">
        <f aca="false">Sens!G9882</f>
        <v>136.700726545688</v>
      </c>
      <c r="H9904" s="6" t="n">
        <f aca="false">Sens!H9882</f>
        <v>154.898624783666</v>
      </c>
      <c r="I9904" s="6" t="n">
        <f aca="false">Sens!I9882</f>
        <v>171.420510030657</v>
      </c>
      <c r="J9904" s="6" t="n">
        <f aca="false">Sens!J9882</f>
        <v>185.985722618572</v>
      </c>
      <c r="K9904" s="6" t="n">
        <f aca="false">Sens!K9882</f>
        <v>199.799723201872</v>
      </c>
    </row>
    <row r="9905" customFormat="false" ht="17.15" hidden="false" customHeight="false" outlineLevel="0" collapsed="false">
      <c r="A9905" s="0" t="s">
        <v>1053</v>
      </c>
      <c r="B9905" s="0" t="s">
        <v>98</v>
      </c>
      <c r="D9905" s="6" t="n">
        <f aca="false">Sens!D9880</f>
        <v>83.705</v>
      </c>
      <c r="E9905" s="6" t="n">
        <f aca="false">Sens!E9880</f>
        <v>95.049</v>
      </c>
      <c r="F9905" s="6" t="n">
        <f aca="false">Sens!F9880</f>
        <v>106.584003697747</v>
      </c>
      <c r="G9905" s="6" t="n">
        <f aca="false">Sens!G9880</f>
        <v>118.700726545688</v>
      </c>
      <c r="H9905" s="6" t="n">
        <f aca="false">Sens!H9880</f>
        <v>130.898624783666</v>
      </c>
      <c r="I9905" s="6" t="n">
        <f aca="false">Sens!I9880</f>
        <v>142.920510030657</v>
      </c>
      <c r="J9905" s="6" t="n">
        <f aca="false">Sens!J9880</f>
        <v>154.485722618572</v>
      </c>
      <c r="K9905" s="6" t="n">
        <f aca="false">Sens!K9880</f>
        <v>165.299723201872</v>
      </c>
    </row>
    <row r="9906" customFormat="false" ht="17.15" hidden="false" customHeight="false" outlineLevel="0" collapsed="false">
      <c r="A9906" s="0" t="s">
        <v>1054</v>
      </c>
      <c r="B9906" s="0" t="s">
        <v>98</v>
      </c>
      <c r="D9906" s="6" t="n">
        <f aca="false">Sens!D9879</f>
        <v>0.9</v>
      </c>
      <c r="E9906" s="6" t="n">
        <f aca="false">Sens!E9879</f>
        <v>5.25</v>
      </c>
      <c r="F9906" s="6" t="n">
        <f aca="false">Sens!F9879</f>
        <v>12</v>
      </c>
      <c r="G9906" s="6" t="n">
        <f aca="false">Sens!G9879</f>
        <v>18</v>
      </c>
      <c r="H9906" s="6" t="n">
        <f aca="false">Sens!H9879</f>
        <v>24</v>
      </c>
      <c r="I9906" s="6" t="n">
        <f aca="false">Sens!I9879</f>
        <v>28.5</v>
      </c>
      <c r="J9906" s="6" t="n">
        <f aca="false">Sens!J9879</f>
        <v>31.5</v>
      </c>
      <c r="K9906" s="6" t="n">
        <f aca="false">Sens!K9879</f>
        <v>34.5</v>
      </c>
    </row>
    <row r="9907" customFormat="false" ht="15" hidden="false" customHeight="false" outlineLevel="0" collapsed="false">
      <c r="A9907" s="0" t="s">
        <v>1033</v>
      </c>
      <c r="B9907" s="0" t="s">
        <v>98</v>
      </c>
      <c r="D9907" s="6" t="n">
        <f aca="false">Sens!D9883</f>
        <v>35.391</v>
      </c>
      <c r="E9907" s="6" t="n">
        <f aca="false">Sens!E9883</f>
        <v>37.285</v>
      </c>
      <c r="F9907" s="6" t="n">
        <f aca="false">Sens!F9883</f>
        <v>38.3851437782675</v>
      </c>
      <c r="G9907" s="6" t="n">
        <f aca="false">Sens!G9883</f>
        <v>40.0105353288615</v>
      </c>
      <c r="H9907" s="6" t="n">
        <f aca="false">Sens!H9883</f>
        <v>41.4812512033683</v>
      </c>
      <c r="I9907" s="6" t="n">
        <f aca="false">Sens!I9883</f>
        <v>42.7743107216329</v>
      </c>
      <c r="J9907" s="6" t="n">
        <f aca="false">Sens!J9883</f>
        <v>43.8687373064601</v>
      </c>
      <c r="K9907" s="6" t="n">
        <f aca="false">Sens!K9883</f>
        <v>44.7461120525893</v>
      </c>
    </row>
    <row r="9908" customFormat="false" ht="15" hidden="false" customHeight="false" outlineLevel="0" collapsed="false">
      <c r="A9908" s="0" t="s">
        <v>1035</v>
      </c>
      <c r="B9908" s="0" t="s">
        <v>98</v>
      </c>
      <c r="D9908" s="6" t="n">
        <f aca="false">Sens!D9885</f>
        <v>18.417</v>
      </c>
      <c r="E9908" s="6" t="n">
        <f aca="false">Sens!E9885</f>
        <v>20.345</v>
      </c>
      <c r="F9908" s="6" t="n">
        <f aca="false">Sens!F9885</f>
        <v>22.3161797133988</v>
      </c>
      <c r="G9908" s="6" t="n">
        <f aca="false">Sens!G9885</f>
        <v>24.3943499673233</v>
      </c>
      <c r="H9908" s="6" t="n">
        <f aca="false">Sens!H9885</f>
        <v>26.5250243109019</v>
      </c>
      <c r="I9908" s="6" t="n">
        <f aca="false">Sens!I9885</f>
        <v>28.6884573538181</v>
      </c>
      <c r="J9908" s="6" t="n">
        <f aca="false">Sens!J9885</f>
        <v>30.8624968052127</v>
      </c>
      <c r="K9908" s="6" t="n">
        <f aca="false">Sens!K9885</f>
        <v>33.0228715815776</v>
      </c>
    </row>
    <row r="9909" customFormat="false" ht="15" hidden="false" customHeight="false" outlineLevel="0" collapsed="false">
      <c r="A9909" s="0" t="s">
        <v>1036</v>
      </c>
      <c r="B9909" s="0" t="s">
        <v>98</v>
      </c>
      <c r="D9909" s="6" t="n">
        <f aca="false">Sens!D9887</f>
        <v>7.76</v>
      </c>
      <c r="E9909" s="6" t="n">
        <f aca="false">Sens!E9887</f>
        <v>8.26</v>
      </c>
      <c r="F9909" s="6" t="n">
        <f aca="false">Sens!F9887</f>
        <v>8.75372082474227</v>
      </c>
      <c r="G9909" s="6" t="n">
        <f aca="false">Sens!G9887</f>
        <v>9.33399324642364</v>
      </c>
      <c r="H9909" s="6" t="n">
        <f aca="false">Sens!H9887</f>
        <v>9.96139155535851</v>
      </c>
      <c r="I9909" s="6" t="n">
        <f aca="false">Sens!I9887</f>
        <v>10.6402039077391</v>
      </c>
      <c r="J9909" s="6" t="n">
        <f aca="false">Sens!J9887</f>
        <v>11.3751458271397</v>
      </c>
      <c r="K9909" s="6" t="n">
        <f aca="false">Sens!K9887</f>
        <v>12.1714060350394</v>
      </c>
    </row>
    <row r="9910" customFormat="false" ht="15" hidden="false" customHeight="false" outlineLevel="0" collapsed="false">
      <c r="A9910" s="0" t="s">
        <v>852</v>
      </c>
      <c r="B9910" s="0" t="s">
        <v>98</v>
      </c>
      <c r="D9910" s="6" t="n">
        <f aca="false">Sens!D9889</f>
        <v>218.783</v>
      </c>
      <c r="E9910" s="6" t="n">
        <f aca="false">Sens!E9889</f>
        <v>268.127</v>
      </c>
      <c r="F9910" s="6" t="n">
        <f aca="false">Sens!F9889</f>
        <v>335.133769539721</v>
      </c>
      <c r="G9910" s="6" t="n">
        <f aca="false">Sens!G9889</f>
        <v>411.88311119528</v>
      </c>
      <c r="H9910" s="6" t="n">
        <f aca="false">Sens!H9889</f>
        <v>491.167419142312</v>
      </c>
      <c r="I9910" s="6" t="n">
        <f aca="false">Sens!I9889</f>
        <v>565.144000832737</v>
      </c>
      <c r="J9910" s="6" t="n">
        <f aca="false">Sens!J9889</f>
        <v>627.49272739396</v>
      </c>
      <c r="K9910" s="6" t="n">
        <f aca="false">Sens!K9889</f>
        <v>679.94429145632</v>
      </c>
    </row>
    <row r="9911" customFormat="false" ht="15" hidden="false" customHeight="false" outlineLevel="0" collapsed="false">
      <c r="A9911" s="0" t="s">
        <v>1037</v>
      </c>
      <c r="B9911" s="0" t="s">
        <v>98</v>
      </c>
      <c r="D9911" s="6" t="n">
        <f aca="false">Sens!D9890</f>
        <v>22.171</v>
      </c>
      <c r="E9911" s="6" t="n">
        <f aca="false">Sens!E9890</f>
        <v>24.835</v>
      </c>
      <c r="F9911" s="6" t="n">
        <f aca="false">Sens!F9890</f>
        <v>27.5591895660247</v>
      </c>
      <c r="G9911" s="6" t="n">
        <f aca="false">Sens!G9890</f>
        <v>30.4098563144583</v>
      </c>
      <c r="H9911" s="6" t="n">
        <f aca="false">Sens!H9890</f>
        <v>33.3011792571777</v>
      </c>
      <c r="I9911" s="6" t="n">
        <f aca="false">Sens!I9890</f>
        <v>36.189023797112</v>
      </c>
      <c r="J9911" s="6" t="n">
        <f aca="false">Sens!J9890</f>
        <v>39.0247773769199</v>
      </c>
      <c r="K9911" s="6" t="n">
        <f aca="false">Sens!K9890</f>
        <v>41.7565117933043</v>
      </c>
    </row>
    <row r="9912" customFormat="false" ht="15" hidden="false" customHeight="false" outlineLevel="0" collapsed="false">
      <c r="A9912" s="0" t="s">
        <v>1038</v>
      </c>
      <c r="B9912" s="0" t="s">
        <v>98</v>
      </c>
      <c r="D9912" s="6" t="n">
        <f aca="false">Sens!D9892</f>
        <v>23.455</v>
      </c>
      <c r="E9912" s="6" t="n">
        <f aca="false">Sens!E9892</f>
        <v>21.79</v>
      </c>
      <c r="F9912" s="6" t="n">
        <f aca="false">Sens!F9892</f>
        <v>20.7520981041711</v>
      </c>
      <c r="G9912" s="6" t="n">
        <f aca="false">Sens!G9892</f>
        <v>19.9083593495882</v>
      </c>
      <c r="H9912" s="6" t="n">
        <f aca="false">Sens!H9892</f>
        <v>19.4008256265831</v>
      </c>
      <c r="I9912" s="6" t="n">
        <f aca="false">Sens!I9892</f>
        <v>19.200434522122</v>
      </c>
      <c r="J9912" s="6" t="n">
        <f aca="false">Sens!J9892</f>
        <v>19.2932782348507</v>
      </c>
      <c r="K9912" s="6" t="n">
        <f aca="false">Sens!K9892</f>
        <v>19.6791437995477</v>
      </c>
    </row>
    <row r="9913" customFormat="false" ht="15" hidden="false" customHeight="false" outlineLevel="0" collapsed="false">
      <c r="A9913" s="0" t="s">
        <v>1039</v>
      </c>
      <c r="B9913" s="0" t="s">
        <v>98</v>
      </c>
      <c r="D9913" s="6" t="n">
        <f aca="false">Sens!D9894</f>
        <v>17.315</v>
      </c>
      <c r="E9913" s="6" t="n">
        <f aca="false">Sens!E9894</f>
        <v>17.087</v>
      </c>
      <c r="F9913" s="6" t="n">
        <f aca="false">Sens!F9894</f>
        <v>15.9912273250553</v>
      </c>
      <c r="G9913" s="6" t="n">
        <f aca="false">Sens!G9894</f>
        <v>15.9574562664827</v>
      </c>
      <c r="H9913" s="6" t="n">
        <f aca="false">Sens!H9894</f>
        <v>16.0119687434196</v>
      </c>
      <c r="I9913" s="6" t="n">
        <f aca="false">Sens!I9894</f>
        <v>16.1551810001948</v>
      </c>
      <c r="J9913" s="6" t="n">
        <f aca="false">Sens!J9894</f>
        <v>16.3889793892005</v>
      </c>
      <c r="K9913" s="6" t="n">
        <f aca="false">Sens!K9894</f>
        <v>16.7167589769845</v>
      </c>
    </row>
    <row r="9914" customFormat="false" ht="15" hidden="false" customHeight="false" outlineLevel="0" collapsed="false">
      <c r="A9914" s="0" t="s">
        <v>866</v>
      </c>
      <c r="B9914" s="0" t="s">
        <v>98</v>
      </c>
      <c r="D9914" s="6" t="n">
        <f aca="false">Sens!D9896</f>
        <v>62.941</v>
      </c>
      <c r="E9914" s="6" t="n">
        <f aca="false">Sens!E9896</f>
        <v>63.712</v>
      </c>
      <c r="F9914" s="6" t="n">
        <f aca="false">Sens!F9896</f>
        <v>64.3025149952511</v>
      </c>
      <c r="G9914" s="6" t="n">
        <f aca="false">Sens!G9896</f>
        <v>66.2756719305292</v>
      </c>
      <c r="H9914" s="6" t="n">
        <f aca="false">Sens!H9896</f>
        <v>68.7139736271804</v>
      </c>
      <c r="I9914" s="6" t="n">
        <f aca="false">Sens!I9896</f>
        <v>71.5446393194289</v>
      </c>
      <c r="J9914" s="6" t="n">
        <f aca="false">Sens!J9896</f>
        <v>74.707035000971</v>
      </c>
      <c r="K9914" s="6" t="n">
        <f aca="false">Sens!K9896</f>
        <v>78.1524145698365</v>
      </c>
    </row>
    <row r="9915" customFormat="false" ht="15" hidden="false" customHeight="false" outlineLevel="0" collapsed="false">
      <c r="A9915" s="1" t="s">
        <v>1055</v>
      </c>
      <c r="B9915" s="0" t="s">
        <v>98</v>
      </c>
      <c r="D9915" s="6" t="n">
        <f aca="false">Sens!D9897</f>
        <v>281.724</v>
      </c>
      <c r="E9915" s="6" t="n">
        <f aca="false">Sens!E9897</f>
        <v>331.839</v>
      </c>
      <c r="F9915" s="6" t="n">
        <f aca="false">Sens!F9897</f>
        <v>399.436284534972</v>
      </c>
      <c r="G9915" s="6" t="n">
        <f aca="false">Sens!G9897</f>
        <v>478.158783125809</v>
      </c>
      <c r="H9915" s="6" t="n">
        <f aca="false">Sens!H9897</f>
        <v>559.881392769493</v>
      </c>
      <c r="I9915" s="6" t="n">
        <f aca="false">Sens!I9897</f>
        <v>636.688640152166</v>
      </c>
      <c r="J9915" s="6" t="n">
        <f aca="false">Sens!J9897</f>
        <v>702.199762394931</v>
      </c>
      <c r="K9915" s="6" t="n">
        <f aca="false">Sens!K9897</f>
        <v>758.096706026157</v>
      </c>
    </row>
    <row r="9916" customFormat="false" ht="15" hidden="false" customHeight="false" outlineLevel="0" collapsed="false">
      <c r="A9916" s="1" t="s">
        <v>1056</v>
      </c>
      <c r="B9916" s="0" t="s">
        <v>168</v>
      </c>
      <c r="E9916" s="7" t="n">
        <f aca="false">Sens!E9915/Sens!D9915-1</f>
        <v>0.177886867998467</v>
      </c>
      <c r="F9916" s="7" t="n">
        <f aca="false">Sens!F9915/Sens!E9915-1</f>
        <v>0.203705063404156</v>
      </c>
      <c r="G9916" s="7" t="n">
        <f aca="false">Sens!G9915/Sens!F9915-1</f>
        <v>0.197083994716422</v>
      </c>
      <c r="H9916" s="7" t="n">
        <f aca="false">Sens!H9915/Sens!G9915-1</f>
        <v>0.170911028988003</v>
      </c>
      <c r="I9916" s="7" t="n">
        <f aca="false">Sens!I9915/Sens!H9915-1</f>
        <v>0.137184854461301</v>
      </c>
      <c r="J9916" s="7" t="n">
        <f aca="false">Sens!J9915/Sens!I9915-1</f>
        <v>0.102893499445989</v>
      </c>
      <c r="K9916" s="7" t="n">
        <f aca="false">Sens!K9915/Sens!J9915-1</f>
        <v>0.0796026239607137</v>
      </c>
    </row>
    <row r="9917" customFormat="false" ht="17.15" hidden="false" customHeight="false" outlineLevel="0" collapsed="false">
      <c r="A9917" s="26" t="s">
        <v>1057</v>
      </c>
      <c r="B9917" s="31" t="s">
        <v>98</v>
      </c>
      <c r="C9917" s="31"/>
      <c r="D9917" s="27" t="n">
        <f aca="false">(Sens!D9910+Sens!D9914-Sens!D9915)+(Sens!D9902+Sens!D9903-Sens!D9901)+(Sens!D9905+Sens!D9906-Sens!D9904)+(Sens!D9915-Q!L18)</f>
        <v>0</v>
      </c>
      <c r="E9917" s="27" t="n">
        <f aca="false">(Sens!E9910+Sens!E9914-Sens!E9915)+(Sens!E9902+Sens!E9903-Sens!E9901)+(Sens!E9905+Sens!E9906-Sens!E9904)+(Sens!E9915-Q!M18)</f>
        <v>0</v>
      </c>
      <c r="F9917" s="27" t="n">
        <f aca="false">(Sens!F9910+Sens!F9914-Sens!F9915)+(Sens!F9902+Sens!F9903-Sens!F9901)+(Sens!F9905+Sens!F9906-Sens!F9904)</f>
        <v>0</v>
      </c>
      <c r="G9917" s="27" t="n">
        <f aca="false">(Sens!G9910+Sens!G9914-Sens!G9915)+(Sens!G9902+Sens!G9903-Sens!G9901)+(Sens!G9905+Sens!G9906-Sens!G9904)</f>
        <v>0</v>
      </c>
      <c r="H9917" s="27" t="n">
        <f aca="false">(Sens!H9910+Sens!H9914-Sens!H9915)+(Sens!H9902+Sens!H9903-Sens!H9901)+(Sens!H9905+Sens!H9906-Sens!H9904)</f>
        <v>0</v>
      </c>
      <c r="I9917" s="27" t="n">
        <f aca="false">(Sens!I9910+Sens!I9914-Sens!I9915)+(Sens!I9902+Sens!I9903-Sens!I9901)+(Sens!I9905+Sens!I9906-Sens!I9904)</f>
        <v>0</v>
      </c>
      <c r="J9917" s="27" t="n">
        <f aca="false">(Sens!J9910+Sens!J9914-Sens!J9915)+(Sens!J9902+Sens!J9903-Sens!J9901)+(Sens!J9905+Sens!J9906-Sens!J9904)</f>
        <v>0</v>
      </c>
      <c r="K9917" s="27" t="n">
        <f aca="false">(Sens!K9910+Sens!K9914-Sens!K9915)+(Sens!K9902+Sens!K9903-Sens!K9901)+(Sens!K9905+Sens!K9906-Sens!K9904)</f>
        <v>0</v>
      </c>
    </row>
    <row r="9918" customFormat="false" ht="17.15" hidden="false" customHeight="false" outlineLevel="0" collapsed="false">
      <c r="A9918" s="0" t="s">
        <v>1058</v>
      </c>
      <c r="B9918" s="0" t="s">
        <v>168</v>
      </c>
      <c r="E9918" s="7" t="n">
        <f aca="false">(Q!M21+Sens!E9854+Sens!E9855+Sens!E9856+Sens!E9870-Sens!E9852)/(Q!M5-Sens!E9852)</f>
        <v>0.570957350878296</v>
      </c>
      <c r="F9918" s="7" t="n">
        <f aca="false">Sens!$E$9918+dm_seg</f>
        <v>0.570957350878296</v>
      </c>
      <c r="G9918" s="7" t="n">
        <f aca="false">Sens!$E$9918+dm_seg</f>
        <v>0.570957350878296</v>
      </c>
      <c r="H9918" s="7" t="n">
        <f aca="false">Sens!$E$9918+dm_seg</f>
        <v>0.570957350878296</v>
      </c>
      <c r="I9918" s="7" t="n">
        <f aca="false">Sens!$E$9918+dm_seg</f>
        <v>0.570957350878296</v>
      </c>
      <c r="J9918" s="7" t="n">
        <f aca="false">Sens!$E$9918+dm_seg</f>
        <v>0.570957350878296</v>
      </c>
      <c r="K9918" s="7" t="n">
        <f aca="false">Sens!$E$9918+dm_seg</f>
        <v>0.570957350878296</v>
      </c>
      <c r="L9918" s="12" t="s">
        <v>1059</v>
      </c>
    </row>
    <row r="9919" customFormat="false" ht="17.15" hidden="false" customHeight="false" outlineLevel="0" collapsed="false">
      <c r="A9919" s="0" t="s">
        <v>880</v>
      </c>
      <c r="B9919" s="0" t="s">
        <v>98</v>
      </c>
      <c r="D9919" s="6" t="n">
        <f aca="false">Q!L21</f>
        <v>110.814</v>
      </c>
      <c r="E9919" s="6" t="n">
        <f aca="false">Q!M21</f>
        <v>136.365</v>
      </c>
      <c r="F9919" s="6" t="n">
        <f aca="false">Q!$I$21+(Sens!F9918*(Sens!F9889-Sens!F9852)+Sens!F9852-(Sens!F9854+Sens!F9855+Sens!F9856)-Sens!F9870-Sens!F9953)*(Sens!F9889-Q!$I$5)/Sens!F9889</f>
        <v>162.301270282716</v>
      </c>
      <c r="G9919" s="6" t="n">
        <f aca="false">(Sens!G9918*(Sens!G9889-Sens!G9852)+Sens!G9852-(Sens!G9854+Sens!G9855+Sens!G9856)-Sens!G9870-Sens!G9953)</f>
        <v>178.52849941354</v>
      </c>
      <c r="H9919" s="6" t="n">
        <f aca="false">(Sens!H9918*(Sens!H9889-Sens!H9852)+Sens!H9852-(Sens!H9854+Sens!H9855+Sens!H9856)-Sens!H9870-Sens!H9953)</f>
        <v>199.135764839307</v>
      </c>
      <c r="I9919" s="6" t="n">
        <f aca="false">(Sens!I9918*(Sens!I9889-Sens!I9852)+Sens!I9852-(Sens!I9854+Sens!I9855+Sens!I9856)-Sens!I9870-Sens!I9953)</f>
        <v>219.646627685884</v>
      </c>
      <c r="J9919" s="6" t="n">
        <f aca="false">(Sens!J9918*(Sens!J9889-Sens!J9852)+Sens!J9852-(Sens!J9854+Sens!J9855+Sens!J9856)-Sens!J9870-Sens!J9953)</f>
        <v>240.00228160044</v>
      </c>
      <c r="K9919" s="6" t="n">
        <f aca="false">(Sens!K9918*(Sens!K9889-Sens!K9852)+Sens!K9852-(Sens!K9854+Sens!K9855+Sens!K9856)-Sens!K9870-Sens!K9953)</f>
        <v>260.961730700054</v>
      </c>
      <c r="L9919" s="1" t="s">
        <v>1060</v>
      </c>
    </row>
    <row r="9920" customFormat="false" ht="17.15" hidden="false" customHeight="false" outlineLevel="0" collapsed="false">
      <c r="A9920" s="0" t="s">
        <v>1061</v>
      </c>
      <c r="B9920" s="0" t="s">
        <v>168</v>
      </c>
      <c r="E9920" s="7" t="n">
        <f aca="false">Q!M22/Q!M12</f>
        <v>0.296207935710698</v>
      </c>
      <c r="F9920" s="7" t="n">
        <f aca="false">Sens!$E$9920+dm_seg</f>
        <v>0.296207935710698</v>
      </c>
      <c r="G9920" s="7" t="n">
        <f aca="false">Sens!$E$9920+dm_seg</f>
        <v>0.296207935710698</v>
      </c>
      <c r="H9920" s="7" t="n">
        <f aca="false">Sens!$E$9920+dm_seg</f>
        <v>0.296207935710698</v>
      </c>
      <c r="I9920" s="7" t="n">
        <f aca="false">Sens!$E$9920+dm_seg</f>
        <v>0.296207935710698</v>
      </c>
      <c r="J9920" s="7" t="n">
        <f aca="false">Sens!$E$9920+dm_seg</f>
        <v>0.296207935710698</v>
      </c>
      <c r="K9920" s="7" t="n">
        <f aca="false">Sens!$E$9920+dm_seg</f>
        <v>0.296207935710698</v>
      </c>
      <c r="L9920" s="12" t="s">
        <v>1062</v>
      </c>
    </row>
    <row r="9921" customFormat="false" ht="17.15" hidden="false" customHeight="false" outlineLevel="0" collapsed="false">
      <c r="A9921" s="0" t="s">
        <v>882</v>
      </c>
      <c r="B9921" s="0" t="s">
        <v>98</v>
      </c>
      <c r="D9921" s="6" t="n">
        <f aca="false">Q!L22</f>
        <v>17.714</v>
      </c>
      <c r="E9921" s="6" t="n">
        <f aca="false">Q!M22</f>
        <v>18.872</v>
      </c>
      <c r="F9921" s="6" t="n">
        <f aca="false">Q!$I$22+(Sens!F9896-Q!$I$12)*Sens!F9920</f>
        <v>19.8174315512051</v>
      </c>
      <c r="G9921" s="6" t="n">
        <f aca="false">Sens!G9896*Sens!G9920</f>
        <v>19.6313799703815</v>
      </c>
      <c r="H9921" s="6" t="n">
        <f aca="false">Sens!H9896*Sens!H9920</f>
        <v>20.3536242825865</v>
      </c>
      <c r="I9921" s="6" t="n">
        <f aca="false">Sens!I9896*Sens!I9920</f>
        <v>21.1920899239745</v>
      </c>
      <c r="J9921" s="6" t="n">
        <f aca="false">Sens!J9896*Sens!J9920</f>
        <v>22.1288166207045</v>
      </c>
      <c r="K9921" s="6" t="n">
        <f aca="false">Sens!K9896*Sens!K9920</f>
        <v>23.1493653905379</v>
      </c>
      <c r="L9921" s="12" t="s">
        <v>1063</v>
      </c>
    </row>
    <row r="9922" customFormat="false" ht="15" hidden="false" customHeight="false" outlineLevel="0" collapsed="false">
      <c r="A9922" s="1" t="s">
        <v>1064</v>
      </c>
      <c r="B9922" s="0" t="s">
        <v>98</v>
      </c>
      <c r="D9922" s="6" t="n">
        <f aca="false">Sens!D9919+Sens!D9921</f>
        <v>128.528</v>
      </c>
      <c r="E9922" s="6" t="n">
        <f aca="false">Sens!E9919+Sens!E9921</f>
        <v>155.237</v>
      </c>
      <c r="F9922" s="6" t="n">
        <f aca="false">Sens!F9919+Sens!F9921</f>
        <v>182.118701833921</v>
      </c>
      <c r="G9922" s="6" t="n">
        <f aca="false">Sens!G9919+Sens!G9921</f>
        <v>198.159879383921</v>
      </c>
      <c r="H9922" s="6" t="n">
        <f aca="false">Sens!H9919+Sens!H9921</f>
        <v>219.489389121894</v>
      </c>
      <c r="I9922" s="6" t="n">
        <f aca="false">Sens!I9919+Sens!I9921</f>
        <v>240.838717609859</v>
      </c>
      <c r="J9922" s="6" t="n">
        <f aca="false">Sens!J9919+Sens!J9921</f>
        <v>262.131098221145</v>
      </c>
      <c r="K9922" s="6" t="n">
        <f aca="false">Sens!K9919+Sens!K9921</f>
        <v>284.111096090591</v>
      </c>
    </row>
    <row r="9923" customFormat="false" ht="15" hidden="false" customHeight="false" outlineLevel="0" collapsed="false">
      <c r="A9923" s="26" t="s">
        <v>1065</v>
      </c>
      <c r="B9923" s="31" t="s">
        <v>98</v>
      </c>
      <c r="C9923" s="31"/>
      <c r="D9923" s="27" t="n">
        <f aca="false">Sens!D9922-Q!L23</f>
        <v>0</v>
      </c>
      <c r="E9923" s="27" t="n">
        <f aca="false">Sens!E9922-Q!M23</f>
        <v>0</v>
      </c>
      <c r="F9923" s="31"/>
      <c r="G9923" s="31"/>
      <c r="H9923" s="31"/>
      <c r="I9923" s="31"/>
      <c r="J9923" s="31"/>
      <c r="K9923" s="31"/>
    </row>
    <row r="9924" customFormat="false" ht="15" hidden="false" customHeight="false" outlineLevel="0" collapsed="false">
      <c r="A9924" s="1" t="s">
        <v>1066</v>
      </c>
      <c r="B9924" s="0" t="s">
        <v>168</v>
      </c>
      <c r="D9924" s="7" t="n">
        <f aca="false">Sens!D9922/Sens!D9915</f>
        <v>0.456219562408598</v>
      </c>
      <c r="E9924" s="7" t="n">
        <f aca="false">Sens!E9922/Sens!E9915</f>
        <v>0.467808184089272</v>
      </c>
      <c r="F9924" s="7" t="n">
        <f aca="false">Sens!F9922/Sens!F9915</f>
        <v>0.455939304677704</v>
      </c>
      <c r="G9924" s="7" t="n">
        <f aca="false">Sens!G9922/Sens!G9915</f>
        <v>0.414422753229617</v>
      </c>
      <c r="H9924" s="7" t="n">
        <f aca="false">Sens!H9922/Sens!H9915</f>
        <v>0.392028368787492</v>
      </c>
      <c r="I9924" s="7" t="n">
        <f aca="false">Sens!I9922/Sens!I9915</f>
        <v>0.378267653012152</v>
      </c>
      <c r="J9924" s="7" t="n">
        <f aca="false">Sens!J9922/Sens!J9915</f>
        <v>0.373299895925794</v>
      </c>
      <c r="K9924" s="7" t="n">
        <f aca="false">Sens!K9922/Sens!K9915</f>
        <v>0.374768936248074</v>
      </c>
    </row>
    <row r="9925" customFormat="false" ht="17.15" hidden="false" customHeight="false" outlineLevel="0" collapsed="false">
      <c r="A9925" s="1" t="s">
        <v>1067</v>
      </c>
      <c r="B9925" s="0" t="s">
        <v>98</v>
      </c>
      <c r="F9925" s="6" t="n">
        <f aca="false">Sens!F9940</f>
        <v>9.7398427716299</v>
      </c>
      <c r="G9925" s="6" t="n">
        <f aca="false">Sens!G9940</f>
        <v>25.2753385959797</v>
      </c>
      <c r="H9925" s="6" t="n">
        <f aca="false">Sens!H9940</f>
        <v>42.2840253697948</v>
      </c>
      <c r="I9925" s="6" t="n">
        <f aca="false">Sens!I9940</f>
        <v>57.704943641581</v>
      </c>
      <c r="J9925" s="6" t="n">
        <f aca="false">Sens!J9940</f>
        <v>68.4828520908201</v>
      </c>
      <c r="K9925" s="6" t="n">
        <f aca="false">Sens!K9940</f>
        <v>74.3598374943249</v>
      </c>
      <c r="L9925" s="1" t="s">
        <v>1068</v>
      </c>
    </row>
    <row r="9926" customFormat="false" ht="17.15" hidden="false" customHeight="false" outlineLevel="0" collapsed="false">
      <c r="A9926" s="1" t="s">
        <v>1069</v>
      </c>
      <c r="B9926" s="0" t="s">
        <v>98</v>
      </c>
      <c r="D9926" s="6" t="n">
        <f aca="false">Sens!D9922</f>
        <v>128.528</v>
      </c>
      <c r="E9926" s="6" t="n">
        <f aca="false">Sens!E9922</f>
        <v>155.237</v>
      </c>
      <c r="F9926" s="6" t="n">
        <f aca="false">Sens!F9922+Sens!F9925</f>
        <v>191.858544605551</v>
      </c>
      <c r="G9926" s="6" t="n">
        <f aca="false">Sens!G9922+Sens!G9925</f>
        <v>223.435217979901</v>
      </c>
      <c r="H9926" s="6" t="n">
        <f aca="false">Sens!H9922+Sens!H9925</f>
        <v>261.773414491688</v>
      </c>
      <c r="I9926" s="6" t="n">
        <f aca="false">Sens!I9922+Sens!I9925</f>
        <v>298.54366125144</v>
      </c>
      <c r="J9926" s="6" t="n">
        <f aca="false">Sens!J9922+Sens!J9925</f>
        <v>330.613950311965</v>
      </c>
      <c r="K9926" s="6" t="n">
        <f aca="false">Sens!K9922+Sens!K9925</f>
        <v>358.470933584916</v>
      </c>
    </row>
    <row r="9927" customFormat="false" ht="17.15" hidden="false" customHeight="false" outlineLevel="0" collapsed="false">
      <c r="A9927" s="1" t="s">
        <v>1070</v>
      </c>
      <c r="B9927" s="0" t="s">
        <v>98</v>
      </c>
      <c r="E9927" s="6" t="n">
        <f aca="false">Sens!E9870</f>
        <v>16.3054059770833</v>
      </c>
      <c r="F9927" s="6" t="n">
        <f aca="false">Sens!F9870</f>
        <v>34.5793144783516</v>
      </c>
      <c r="G9927" s="6" t="n">
        <f aca="false">Sens!G9870</f>
        <v>60.7344906522989</v>
      </c>
      <c r="H9927" s="6" t="n">
        <f aca="false">Sens!H9870</f>
        <v>89.1000906614457</v>
      </c>
      <c r="I9927" s="6" t="n">
        <f aca="false">Sens!I9870</f>
        <v>114.231009694548</v>
      </c>
      <c r="J9927" s="6" t="n">
        <f aca="false">Sens!J9870</f>
        <v>132.015673049596</v>
      </c>
      <c r="K9927" s="6" t="n">
        <f aca="false">Sens!K9870</f>
        <v>143.012669550934</v>
      </c>
    </row>
    <row r="9928" customFormat="false" ht="17.15" hidden="false" customHeight="false" outlineLevel="0" collapsed="false">
      <c r="A9928" s="1" t="s">
        <v>1071</v>
      </c>
      <c r="B9928" s="0" t="s">
        <v>98</v>
      </c>
      <c r="E9928" s="6" t="n">
        <f aca="false">Sens!E9952</f>
        <v>22.2285940229167</v>
      </c>
      <c r="F9928" s="6" t="n">
        <f aca="false">Sens!F9952</f>
        <v>23.588055741055</v>
      </c>
      <c r="G9928" s="6" t="n">
        <f aca="false">Sens!G9952</f>
        <v>25.3989044372861</v>
      </c>
      <c r="H9928" s="6" t="n">
        <f aca="false">Sens!H9952</f>
        <v>27.6481597140011</v>
      </c>
      <c r="I9928" s="6" t="n">
        <f aca="false">Sens!I9952</f>
        <v>30.2957045477721</v>
      </c>
      <c r="J9928" s="6" t="n">
        <f aca="false">Sens!J9952</f>
        <v>33.2885200997026</v>
      </c>
      <c r="K9928" s="6" t="n">
        <f aca="false">Sens!K9952</f>
        <v>36.5740498095782</v>
      </c>
    </row>
    <row r="9929" customFormat="false" ht="17.15" hidden="false" customHeight="false" outlineLevel="0" collapsed="false">
      <c r="A9929" s="1" t="s">
        <v>1072</v>
      </c>
      <c r="B9929" s="0" t="s">
        <v>98</v>
      </c>
      <c r="D9929" s="6" t="n">
        <f aca="false">Q!L27</f>
        <v>-4.901</v>
      </c>
      <c r="E9929" s="6" t="n">
        <f aca="false">Q!M27</f>
        <v>10.697</v>
      </c>
      <c r="F9929" s="6" t="n">
        <f aca="false">Q!$I$27+oie_f*(q_per_yr-1)/q_per_yr</f>
        <v>-0.862</v>
      </c>
      <c r="G9929" s="6" t="n">
        <f aca="false">oie_f</f>
        <v>-1.2</v>
      </c>
      <c r="H9929" s="6" t="n">
        <f aca="false">oie_f</f>
        <v>-1.2</v>
      </c>
      <c r="I9929" s="6" t="n">
        <f aca="false">oie_f</f>
        <v>-1.2</v>
      </c>
      <c r="J9929" s="6" t="n">
        <f aca="false">oie_f</f>
        <v>-1.2</v>
      </c>
      <c r="K9929" s="6" t="n">
        <f aca="false">oie_f</f>
        <v>-1.2</v>
      </c>
      <c r="L9929" s="12" t="s">
        <v>1073</v>
      </c>
    </row>
    <row r="9930" customFormat="false" ht="15" hidden="false" customHeight="false" outlineLevel="0" collapsed="false">
      <c r="A9930" s="1" t="s">
        <v>1074</v>
      </c>
      <c r="B9930" s="0" t="s">
        <v>98</v>
      </c>
      <c r="D9930" s="6" t="n">
        <f aca="false">Sens!D9922+Sens!D9929</f>
        <v>123.627</v>
      </c>
      <c r="E9930" s="6" t="n">
        <f aca="false">Sens!E9922+Sens!E9929</f>
        <v>165.934</v>
      </c>
      <c r="F9930" s="6" t="n">
        <f aca="false">Sens!F9922+Sens!F9929</f>
        <v>181.256701833921</v>
      </c>
      <c r="G9930" s="6" t="n">
        <f aca="false">Sens!G9922+Sens!G9929</f>
        <v>196.959879383921</v>
      </c>
      <c r="H9930" s="6" t="n">
        <f aca="false">Sens!H9922+Sens!H9929</f>
        <v>218.289389121894</v>
      </c>
      <c r="I9930" s="6" t="n">
        <f aca="false">Sens!I9922+Sens!I9929</f>
        <v>239.638717609859</v>
      </c>
      <c r="J9930" s="6" t="n">
        <f aca="false">Sens!J9922+Sens!J9929</f>
        <v>260.931098221145</v>
      </c>
      <c r="K9930" s="6" t="n">
        <f aca="false">Sens!K9922+Sens!K9929</f>
        <v>282.911096090591</v>
      </c>
    </row>
    <row r="9931" customFormat="false" ht="15" hidden="false" customHeight="false" outlineLevel="0" collapsed="false">
      <c r="A9931" s="1" t="s">
        <v>1075</v>
      </c>
      <c r="B9931" s="0" t="s">
        <v>98</v>
      </c>
      <c r="D9931" s="6" t="n">
        <f aca="false">Q!L29</f>
        <v>21.795</v>
      </c>
      <c r="E9931" s="6" t="n">
        <f aca="false">Q!M29</f>
        <v>32.185</v>
      </c>
      <c r="F9931" s="6" t="n">
        <f aca="false">Q!$I$29+(Sens!F9930-Q!$I$28)*tax_f</f>
        <v>36.3847403667842</v>
      </c>
      <c r="G9931" s="6" t="n">
        <f aca="false">Sens!G9930*tax_f</f>
        <v>39.3919758767842</v>
      </c>
      <c r="H9931" s="6" t="n">
        <f aca="false">Sens!H9930*tax_f</f>
        <v>43.6578778243787</v>
      </c>
      <c r="I9931" s="6" t="n">
        <f aca="false">Sens!I9930*tax_f</f>
        <v>47.9277435219717</v>
      </c>
      <c r="J9931" s="6" t="n">
        <f aca="false">Sens!J9930*tax_f</f>
        <v>52.1862196442289</v>
      </c>
      <c r="K9931" s="6" t="n">
        <f aca="false">Sens!K9930*tax_f</f>
        <v>56.5822192181183</v>
      </c>
    </row>
    <row r="9932" customFormat="false" ht="15" hidden="false" customHeight="false" outlineLevel="0" collapsed="false">
      <c r="A9932" s="1" t="s">
        <v>1076</v>
      </c>
      <c r="B9932" s="0" t="s">
        <v>98</v>
      </c>
      <c r="D9932" s="6" t="n">
        <f aca="false">Sens!D9930-Sens!D9931</f>
        <v>101.832</v>
      </c>
      <c r="E9932" s="6" t="n">
        <f aca="false">Sens!E9930-Sens!E9931</f>
        <v>133.749</v>
      </c>
      <c r="F9932" s="6" t="n">
        <f aca="false">Sens!F9930-Sens!F9931</f>
        <v>144.871961467137</v>
      </c>
      <c r="G9932" s="6" t="n">
        <f aca="false">Sens!G9930-Sens!G9931</f>
        <v>157.567903507137</v>
      </c>
      <c r="H9932" s="6" t="n">
        <f aca="false">Sens!H9930-Sens!H9931</f>
        <v>174.631511297515</v>
      </c>
      <c r="I9932" s="6" t="n">
        <f aca="false">Sens!I9930-Sens!I9931</f>
        <v>191.710974087887</v>
      </c>
      <c r="J9932" s="6" t="n">
        <f aca="false">Sens!J9930-Sens!J9931</f>
        <v>208.744878576916</v>
      </c>
      <c r="K9932" s="6" t="n">
        <f aca="false">Sens!K9930-Sens!K9931</f>
        <v>226.328876872473</v>
      </c>
    </row>
    <row r="9933" customFormat="false" ht="17.15" hidden="false" customHeight="false" outlineLevel="0" collapsed="false">
      <c r="A9933" s="1" t="s">
        <v>1077</v>
      </c>
      <c r="B9933" s="1" t="s">
        <v>81</v>
      </c>
      <c r="D9933" s="15" t="n">
        <f aca="false">Q!L31</f>
        <v>7.465</v>
      </c>
      <c r="E9933" s="15" t="n">
        <f aca="false">Q!M31</f>
        <v>7.453</v>
      </c>
      <c r="F9933" s="15" t="n">
        <f aca="false">Sens!F9977</f>
        <v>7.47315120640926</v>
      </c>
      <c r="G9933" s="15" t="n">
        <f aca="false">Sens!G9977</f>
        <v>7.51780241281852</v>
      </c>
      <c r="H9933" s="15" t="n">
        <f aca="false">Sens!H9977</f>
        <v>7.54550235184732</v>
      </c>
      <c r="I9933" s="15" t="n">
        <f aca="false">Sens!I9977</f>
        <v>7.55718371590279</v>
      </c>
      <c r="J9933" s="15" t="n">
        <f aca="false">Sens!J9977</f>
        <v>7.57133312706526</v>
      </c>
      <c r="K9933" s="15" t="n">
        <f aca="false">Sens!K9977</f>
        <v>7.58776776703051</v>
      </c>
    </row>
    <row r="9934" customFormat="false" ht="17.15" hidden="false" customHeight="false" outlineLevel="0" collapsed="false">
      <c r="A9934" s="0" t="s">
        <v>1078</v>
      </c>
      <c r="B9934" s="0" t="s">
        <v>75</v>
      </c>
      <c r="D9934" s="8" t="n">
        <f aca="false">Sens!D9932/Sens!D9933</f>
        <v>13.641259209645</v>
      </c>
      <c r="E9934" s="8" t="n">
        <f aca="false">Sens!E9932/Sens!E9933</f>
        <v>17.9456594659869</v>
      </c>
      <c r="F9934" s="8" t="n">
        <f aca="false">Sens!F9932/Sens!F9933</f>
        <v>19.3856590701509</v>
      </c>
      <c r="G9934" s="8" t="n">
        <f aca="false">Sens!G9932/Sens!G9933</f>
        <v>20.95930364417</v>
      </c>
      <c r="H9934" s="8" t="n">
        <f aca="false">Sens!H9932/Sens!H9933</f>
        <v>23.143788598086</v>
      </c>
      <c r="I9934" s="8" t="n">
        <f aca="false">Sens!I9932/Sens!I9933</f>
        <v>25.3680446704589</v>
      </c>
      <c r="J9934" s="8" t="n">
        <f aca="false">Sens!J9932/Sens!J9933</f>
        <v>27.5704258515208</v>
      </c>
      <c r="K9934" s="8" t="n">
        <f aca="false">Sens!K9932/Sens!K9933</f>
        <v>29.8281238727273</v>
      </c>
      <c r="L9934" s="1" t="s">
        <v>1079</v>
      </c>
    </row>
    <row r="9935" customFormat="false" ht="17.15" hidden="false" customHeight="false" outlineLevel="0" collapsed="false">
      <c r="A9935" s="1" t="s">
        <v>1080</v>
      </c>
      <c r="B9935" s="0" t="s">
        <v>98</v>
      </c>
      <c r="D9935" s="6" t="n">
        <f aca="false">Sens!D9932</f>
        <v>101.832</v>
      </c>
      <c r="E9935" s="6" t="n">
        <f aca="false">Sens!E9932</f>
        <v>133.749</v>
      </c>
      <c r="F9935" s="6" t="n">
        <f aca="false">Sens!F9932+Sens!F9925*(1-tax_f)</f>
        <v>152.663835684441</v>
      </c>
      <c r="G9935" s="6" t="n">
        <f aca="false">Sens!G9932+Sens!G9925*(1-tax_f)</f>
        <v>177.788174383921</v>
      </c>
      <c r="H9935" s="6" t="n">
        <f aca="false">Sens!H9932+Sens!H9925*(1-tax_f)</f>
        <v>208.458731593351</v>
      </c>
      <c r="I9935" s="6" t="n">
        <f aca="false">Sens!I9932+Sens!I9925*(1-tax_f)</f>
        <v>237.874929001152</v>
      </c>
      <c r="J9935" s="6" t="n">
        <f aca="false">Sens!J9932+Sens!J9925*(1-tax_f)</f>
        <v>263.531160249572</v>
      </c>
      <c r="K9935" s="6" t="n">
        <f aca="false">Sens!K9932+Sens!K9925*(1-tax_f)</f>
        <v>285.816746867933</v>
      </c>
    </row>
    <row r="9936" customFormat="false" ht="17.15" hidden="false" customHeight="false" outlineLevel="0" collapsed="false">
      <c r="A9936" s="0" t="s">
        <v>1081</v>
      </c>
      <c r="B9936" s="0" t="s">
        <v>75</v>
      </c>
      <c r="D9936" s="8" t="n">
        <f aca="false">Sens!D9935/Sens!D9933</f>
        <v>13.641259209645</v>
      </c>
      <c r="E9936" s="8" t="n">
        <f aca="false">Sens!E9935/Sens!E9933</f>
        <v>17.9456594659869</v>
      </c>
      <c r="F9936" s="8" t="n">
        <f aca="false">Sens!F9935/Sens!F9933</f>
        <v>20.4283081484435</v>
      </c>
      <c r="G9936" s="8" t="n">
        <f aca="false">Sens!G9935/Sens!G9933</f>
        <v>23.64895545549</v>
      </c>
      <c r="H9936" s="8" t="n">
        <f aca="false">Sens!H9935/Sens!H9933</f>
        <v>27.626885775513</v>
      </c>
      <c r="I9936" s="8" t="n">
        <f aca="false">Sens!I9935/Sens!I9933</f>
        <v>31.4766635222305</v>
      </c>
      <c r="J9936" s="8" t="n">
        <f aca="false">Sens!J9935/Sens!J9933</f>
        <v>34.8064410622122</v>
      </c>
      <c r="K9936" s="8" t="n">
        <f aca="false">Sens!K9935/Sens!K9933</f>
        <v>37.6680936532917</v>
      </c>
      <c r="L9936" s="1" t="s">
        <v>1082</v>
      </c>
    </row>
    <row r="9937" customFormat="false" ht="17.15" hidden="false" customHeight="false" outlineLevel="0" collapsed="false">
      <c r="A9937" s="0" t="s">
        <v>1083</v>
      </c>
      <c r="B9937" s="0" t="s">
        <v>168</v>
      </c>
      <c r="E9937" s="7" t="n">
        <f aca="false">Sens!E9936/Sens!D9936-1</f>
        <v>0.315542736208578</v>
      </c>
      <c r="F9937" s="7" t="n">
        <f aca="false">Sens!F9936/Sens!E9936-1</f>
        <v>0.138342571760157</v>
      </c>
      <c r="G9937" s="7" t="n">
        <f aca="false">Sens!G9936/Sens!F9936-1</f>
        <v>0.15765609582759</v>
      </c>
      <c r="H9937" s="7" t="n">
        <f aca="false">Sens!H9936/Sens!G9936-1</f>
        <v>0.168207442713903</v>
      </c>
      <c r="I9937" s="7" t="n">
        <f aca="false">Sens!I9936/Sens!H9936-1</f>
        <v>0.13934895804035</v>
      </c>
      <c r="J9937" s="7" t="n">
        <f aca="false">Sens!J9936/Sens!I9936-1</f>
        <v>0.105785593750431</v>
      </c>
      <c r="K9937" s="7" t="n">
        <f aca="false">Sens!K9936/Sens!J9936-1</f>
        <v>0.0822161790676796</v>
      </c>
    </row>
    <row r="9938" customFormat="false" ht="17.15" hidden="false" customHeight="false" outlineLevel="0" collapsed="false">
      <c r="A9938" s="0" t="s">
        <v>1003</v>
      </c>
      <c r="B9938" s="0" t="s">
        <v>98</v>
      </c>
      <c r="E9938" s="6" t="n">
        <f aca="false">Sens!E9879</f>
        <v>5.25</v>
      </c>
      <c r="F9938" s="6" t="n">
        <f aca="false">Sens!F9879</f>
        <v>12</v>
      </c>
      <c r="G9938" s="6" t="n">
        <f aca="false">Sens!G9879</f>
        <v>18</v>
      </c>
      <c r="H9938" s="6" t="n">
        <f aca="false">Sens!H9879</f>
        <v>24</v>
      </c>
      <c r="I9938" s="6" t="n">
        <f aca="false">Sens!I9879</f>
        <v>28.5</v>
      </c>
      <c r="J9938" s="6" t="n">
        <f aca="false">Sens!J9879</f>
        <v>31.5</v>
      </c>
      <c r="K9938" s="6" t="n">
        <f aca="false">Sens!K9879</f>
        <v>34.5</v>
      </c>
    </row>
    <row r="9939" customFormat="false" ht="17.15" hidden="false" customHeight="false" outlineLevel="0" collapsed="false">
      <c r="A9939" s="1" t="s">
        <v>1004</v>
      </c>
      <c r="B9939" s="0" t="s">
        <v>98</v>
      </c>
      <c r="F9939" s="6" t="n">
        <f aca="false">MAX(0,((Sens!E9839+Sens!F9839)/2-(shadow_base*(Sens!$D$9839+Sens!$E$9839)/2+(1-shadow_base)*Sens!$E$9839))*Sens!F9848/1000-(Sens!F9938-Sens!$E$9938)*Sens!F9918)</f>
        <v>9.7398427716299</v>
      </c>
      <c r="G9939" s="6" t="n">
        <f aca="false">MAX(0,((Sens!F9839+Sens!G9839)/2-(shadow_base*(Sens!$D$9839+Sens!$E$9839)/2+(1-shadow_base)*Sens!$E$9839))*Sens!G9848/1000-(Sens!G9938-Sens!$E$9938)*Sens!G9918)</f>
        <v>25.2753385959797</v>
      </c>
      <c r="H9939" s="6" t="n">
        <f aca="false">MAX(0,((Sens!G9839+Sens!H9839)/2-(shadow_base*(Sens!$D$9839+Sens!$E$9839)/2+(1-shadow_base)*Sens!$E$9839))*Sens!H9848/1000-(Sens!H9938-Sens!$E$9938)*Sens!H9918)</f>
        <v>42.2840253697948</v>
      </c>
      <c r="I9939" s="6" t="n">
        <f aca="false">MAX(0,((Sens!H9839+Sens!I9839)/2-(shadow_base*(Sens!$D$9839+Sens!$E$9839)/2+(1-shadow_base)*Sens!$E$9839))*Sens!I9848/1000-(Sens!I9938-Sens!$E$9938)*Sens!I9918)</f>
        <v>57.704943641581</v>
      </c>
      <c r="J9939" s="6" t="n">
        <f aca="false">MAX(0,((Sens!I9839+Sens!J9839)/2-(shadow_base*(Sens!$D$9839+Sens!$E$9839)/2+(1-shadow_base)*Sens!$E$9839))*Sens!J9848/1000-(Sens!J9938-Sens!$E$9938)*Sens!J9918)</f>
        <v>68.4828520908201</v>
      </c>
      <c r="K9939" s="6" t="n">
        <f aca="false">MAX(0,((Sens!J9839+Sens!K9839)/2-(shadow_base*(Sens!$D$9839+Sens!$E$9839)/2+(1-shadow_base)*Sens!$E$9839))*Sens!K9848/1000-(Sens!K9938-Sens!$E$9938)*Sens!K9918)</f>
        <v>74.3598374943249</v>
      </c>
      <c r="L9939" s="1" t="s">
        <v>1005</v>
      </c>
    </row>
    <row r="9940" customFormat="false" ht="17.15" hidden="false" customHeight="false" outlineLevel="0" collapsed="false">
      <c r="A9940" s="1" t="s">
        <v>1006</v>
      </c>
      <c r="B9940" s="0" t="s">
        <v>98</v>
      </c>
      <c r="F9940" s="6" t="n">
        <f aca="false">IF(internal_ai_reading=2,1,0)*Sens!F9939</f>
        <v>9.7398427716299</v>
      </c>
      <c r="G9940" s="6" t="n">
        <f aca="false">IF(internal_ai_reading=2,1,0)*Sens!G9939</f>
        <v>25.2753385959797</v>
      </c>
      <c r="H9940" s="6" t="n">
        <f aca="false">IF(internal_ai_reading=2,1,0)*Sens!H9939</f>
        <v>42.2840253697948</v>
      </c>
      <c r="I9940" s="6" t="n">
        <f aca="false">IF(internal_ai_reading=2,1,0)*Sens!I9939</f>
        <v>57.704943641581</v>
      </c>
      <c r="J9940" s="6" t="n">
        <f aca="false">IF(internal_ai_reading=2,1,0)*Sens!J9939</f>
        <v>68.4828520908201</v>
      </c>
      <c r="K9940" s="6" t="n">
        <f aca="false">IF(internal_ai_reading=2,1,0)*Sens!K9939</f>
        <v>74.3598374943249</v>
      </c>
    </row>
    <row r="9941" customFormat="false" ht="17.15" hidden="false" customHeight="false" outlineLevel="0" collapsed="false">
      <c r="A9941" s="0" t="s">
        <v>1007</v>
      </c>
      <c r="B9941" s="0" t="s">
        <v>98</v>
      </c>
      <c r="F9941" s="6" t="n">
        <f aca="false">Sens!F9858+Sens!F9938*Sens!F9918+Sens!F9940-Sens!F9859-Sens!F9870</f>
        <v>14.8152827562272</v>
      </c>
      <c r="G9941" s="6" t="n">
        <f aca="false">Sens!G9858+Sens!G9938*Sens!G9918+Sens!G9940-Sens!G9859-Sens!G9870</f>
        <v>31.0349977765951</v>
      </c>
      <c r="H9941" s="6" t="n">
        <f aca="false">Sens!H9858+Sens!H9938*Sens!H9918+Sens!H9940-Sens!H9859-Sens!H9870</f>
        <v>47.8811519709826</v>
      </c>
      <c r="I9941" s="6" t="n">
        <f aca="false">Sens!I9858+Sens!I9938*Sens!I9918+Sens!I9940-Sens!I9859-Sens!I9870</f>
        <v>62.6472166574028</v>
      </c>
      <c r="J9941" s="6" t="n">
        <f aca="false">Sens!J9858+Sens!J9938*Sens!J9918+Sens!J9940-Sens!J9859-Sens!J9870</f>
        <v>72.7882253357034</v>
      </c>
      <c r="K9941" s="6" t="n">
        <f aca="false">Sens!K9858+Sens!K9938*Sens!K9918+Sens!K9940-Sens!K9859-Sens!K9870</f>
        <v>79.4617812140187</v>
      </c>
    </row>
    <row r="9942" customFormat="false" ht="17.15" hidden="false" customHeight="false" outlineLevel="0" collapsed="false">
      <c r="A9942" s="0" t="s">
        <v>1008</v>
      </c>
      <c r="B9942" s="0" t="s">
        <v>98</v>
      </c>
      <c r="E9942" s="6" t="n">
        <f aca="false">Sens!E9838*(cxit_open+self_build*tk_cxfac)/1000*ai_net_open</f>
        <v>126.6980382</v>
      </c>
      <c r="F9942" s="6" t="n">
        <f aca="false">Sens!E9942+Sens!F9867-Sens!F9870</f>
        <v>260.572627763768</v>
      </c>
      <c r="G9942" s="6" t="n">
        <f aca="false">Sens!F9942+Sens!G9867-Sens!G9870</f>
        <v>391.782612760517</v>
      </c>
      <c r="H9942" s="6" t="n">
        <f aca="false">Sens!G9942+Sens!H9867-Sens!H9870</f>
        <v>499.488526163584</v>
      </c>
      <c r="I9942" s="6" t="n">
        <f aca="false">Sens!H9942+Sens!I9867-Sens!I9870</f>
        <v>553.872350090646</v>
      </c>
      <c r="J9942" s="6" t="n">
        <f aca="false">Sens!I9942+Sens!J9867-Sens!J9870</f>
        <v>550.78660823699</v>
      </c>
      <c r="K9942" s="6" t="n">
        <f aca="false">Sens!J9942+Sens!K9867-Sens!K9870</f>
        <v>526.736791750789</v>
      </c>
      <c r="L9942" s="1" t="s">
        <v>1009</v>
      </c>
    </row>
    <row r="9943" customFormat="false" ht="17.15" hidden="false" customHeight="false" outlineLevel="0" collapsed="false">
      <c r="A9943" s="0" t="s">
        <v>1010</v>
      </c>
      <c r="B9943" s="0" t="s">
        <v>168</v>
      </c>
      <c r="F9943" s="7" t="n">
        <f aca="false">Sens!F9941*(1-tax_f)/((Sens!E9942+Sens!F9942)/2)</f>
        <v>0.0612090057246454</v>
      </c>
      <c r="G9943" s="7" t="n">
        <f aca="false">Sens!G9941*(1-tax_f)/((Sens!F9942+Sens!G9942)/2)</f>
        <v>0.0761180310326695</v>
      </c>
      <c r="H9943" s="7" t="n">
        <f aca="false">Sens!H9941*(1-tax_f)/((Sens!G9942+Sens!H9942)/2)</f>
        <v>0.0859557095566361</v>
      </c>
      <c r="I9943" s="7" t="n">
        <f aca="false">Sens!I9941*(1-tax_f)/((Sens!H9942+Sens!I9942)/2)</f>
        <v>0.0951578408800258</v>
      </c>
      <c r="J9943" s="7" t="n">
        <f aca="false">Sens!J9941*(1-tax_f)/((Sens!I9942+Sens!J9942)/2)</f>
        <v>0.105427253958487</v>
      </c>
      <c r="K9943" s="7" t="n">
        <f aca="false">Sens!K9941*(1-tax_f)/((Sens!J9942+Sens!K9942)/2)</f>
        <v>0.117991729872291</v>
      </c>
    </row>
    <row r="9944" customFormat="false" ht="17.15" hidden="false" customHeight="false" outlineLevel="0" collapsed="false">
      <c r="A9944" s="1" t="s">
        <v>1011</v>
      </c>
      <c r="B9944" s="0" t="s">
        <v>168</v>
      </c>
      <c r="F9944" s="7" t="n">
        <f aca="false">(Sens!F9941-Sens!F9940)*(1-tax_f)/((Sens!E9942+Sens!F9942)/2)</f>
        <v>0.0209690655375262</v>
      </c>
      <c r="G9944" s="7" t="n">
        <f aca="false">(Sens!G9941-Sens!G9940)*(1-tax_f)/((Sens!F9942+Sens!G9942)/2)</f>
        <v>0.014126436206105</v>
      </c>
      <c r="H9944" s="7" t="n">
        <f aca="false">(Sens!H9941-Sens!H9940)*(1-tax_f)/((Sens!G9942+Sens!H9942)/2)</f>
        <v>0.010047899197893</v>
      </c>
      <c r="I9944" s="7" t="n">
        <f aca="false">(Sens!I9941-Sens!I9940)*(1-tax_f)/((Sens!H9942+Sens!I9942)/2)</f>
        <v>0.00750705385359908</v>
      </c>
      <c r="J9944" s="7" t="n">
        <f aca="false">(Sens!J9941-Sens!J9940)*(1-tax_f)/((Sens!I9942+Sens!J9942)/2)</f>
        <v>0.00623594924015468</v>
      </c>
      <c r="K9944" s="7" t="n">
        <f aca="false">(Sens!K9941-Sens!K9940)*(1-tax_f)/((Sens!J9942+Sens!K9942)/2)</f>
        <v>0.00757580758951754</v>
      </c>
    </row>
    <row r="9945" customFormat="false" ht="17.15" hidden="false" customHeight="false" outlineLevel="0" collapsed="false">
      <c r="A9945" s="1" t="s">
        <v>1012</v>
      </c>
      <c r="B9945" s="0" t="s">
        <v>168</v>
      </c>
      <c r="F9945" s="7" t="n">
        <f aca="false">(Sens!F9941-Sens!F9940+Sens!F9939)*(1-tax_f)/((Sens!E9942+Sens!F9942)/2)</f>
        <v>0.0612090057246454</v>
      </c>
      <c r="G9945" s="7" t="n">
        <f aca="false">(Sens!G9941-Sens!G9940+Sens!G9939)*(1-tax_f)/((Sens!F9942+Sens!G9942)/2)</f>
        <v>0.0761180310326695</v>
      </c>
      <c r="H9945" s="7" t="n">
        <f aca="false">(Sens!H9941-Sens!H9940+Sens!H9939)*(1-tax_f)/((Sens!G9942+Sens!H9942)/2)</f>
        <v>0.0859557095566361</v>
      </c>
      <c r="I9945" s="7" t="n">
        <f aca="false">(Sens!I9941-Sens!I9940+Sens!I9939)*(1-tax_f)/((Sens!H9942+Sens!I9942)/2)</f>
        <v>0.0951578408800258</v>
      </c>
      <c r="J9945" s="7" t="n">
        <f aca="false">(Sens!J9941-Sens!J9940+Sens!J9939)*(1-tax_f)/((Sens!I9942+Sens!J9942)/2)</f>
        <v>0.105427253958487</v>
      </c>
      <c r="K9945" s="7" t="n">
        <f aca="false">(Sens!K9941-Sens!K9940+Sens!K9939)*(1-tax_f)/((Sens!J9942+Sens!K9942)/2)</f>
        <v>0.117991729872291</v>
      </c>
    </row>
    <row r="9946" customFormat="false" ht="17.15" hidden="false" customHeight="false" outlineLevel="0" collapsed="false">
      <c r="A9946" s="1" t="s">
        <v>1013</v>
      </c>
      <c r="B9946" s="0" t="s">
        <v>168</v>
      </c>
      <c r="F9946" s="7" t="n">
        <f aca="false">Sens!F9871*(1-tax_f)/(Sens!F9857*(Sens!E9942+Sens!F9942)/2)</f>
        <v>0.129294830495493</v>
      </c>
      <c r="G9946" s="7" t="n">
        <f aca="false">Sens!G9871*(1-tax_f)/(Sens!G9857*(Sens!F9942+Sens!G9942)/2)</f>
        <v>0.12719599062164</v>
      </c>
      <c r="H9946" s="7" t="n">
        <f aca="false">Sens!H9871*(1-tax_f)/(Sens!H9857*(Sens!G9942+Sens!H9942)/2)</f>
        <v>0.130828167067624</v>
      </c>
      <c r="I9946" s="7" t="n">
        <f aca="false">Sens!I9871*(1-tax_f)/(Sens!I9857*(Sens!H9942+Sens!I9942)/2)</f>
        <v>0.138614526937417</v>
      </c>
      <c r="J9946" s="7" t="n">
        <f aca="false">Sens!J9871*(1-tax_f)/(Sens!J9857*(Sens!I9942+Sens!J9942)/2)</f>
        <v>0.150578919010924</v>
      </c>
      <c r="K9946" s="7" t="n">
        <f aca="false">Sens!K9871*(1-tax_f)/(Sens!K9857*(Sens!J9942+Sens!K9942)/2)</f>
        <v>0.167005345886664</v>
      </c>
    </row>
    <row r="9947" customFormat="false" ht="17.15" hidden="false" customHeight="false" outlineLevel="0" collapsed="false">
      <c r="A9947" s="0" t="s">
        <v>1014</v>
      </c>
      <c r="B9947" s="0" t="s">
        <v>253</v>
      </c>
      <c r="F9947" s="7" t="n">
        <f aca="false">Sens!F9943-wacc</f>
        <v>-0.0417275852209519</v>
      </c>
      <c r="G9947" s="7" t="n">
        <f aca="false">Sens!G9943-wacc</f>
        <v>-0.0268185599129278</v>
      </c>
      <c r="H9947" s="7" t="n">
        <f aca="false">Sens!H9943-wacc</f>
        <v>-0.0169808813889612</v>
      </c>
      <c r="I9947" s="7" t="n">
        <f aca="false">Sens!I9943-wacc</f>
        <v>-0.00777875006557149</v>
      </c>
      <c r="J9947" s="7" t="n">
        <f aca="false">Sens!J9943-wacc</f>
        <v>0.0024906630128898</v>
      </c>
      <c r="K9947" s="7" t="n">
        <f aca="false">Sens!K9943-wacc</f>
        <v>0.0150551389266932</v>
      </c>
    </row>
    <row r="9948" customFormat="false" ht="17.15" hidden="false" customHeight="false" outlineLevel="0" collapsed="false">
      <c r="A9948" s="0" t="s">
        <v>1015</v>
      </c>
      <c r="B9948" s="0" t="s">
        <v>98</v>
      </c>
      <c r="F9948" s="6" t="n">
        <f aca="false">Sens!F9941*(1-tax_f)-wacc*(Sens!E9942+Sens!F9942)/2</f>
        <v>-8.07993485878896</v>
      </c>
      <c r="G9948" s="6" t="n">
        <f aca="false">Sens!G9941*(1-tax_f)-wacc*(Sens!F9942+Sens!G9942)/2</f>
        <v>-8.74761405125648</v>
      </c>
      <c r="H9948" s="6" t="n">
        <f aca="false">Sens!H9941*(1-tax_f)-wacc*(Sens!G9942+Sens!H9942)/2</f>
        <v>-7.56728474773728</v>
      </c>
      <c r="I9948" s="6" t="n">
        <f aca="false">Sens!I9941*(1-tax_f)-wacc*(Sens!H9942+Sens!I9942)/2</f>
        <v>-4.09691549261652</v>
      </c>
      <c r="J9948" s="6" t="n">
        <f aca="false">Sens!J9941*(1-tax_f)-wacc*(Sens!I9942+Sens!J9942)/2</f>
        <v>1.37566660468201</v>
      </c>
      <c r="K9948" s="6" t="n">
        <f aca="false">Sens!K9941*(1-tax_f)-wacc*(Sens!J9942+Sens!K9942)/2</f>
        <v>8.11113224178941</v>
      </c>
    </row>
    <row r="9949" customFormat="false" ht="17.15" hidden="false" customHeight="false" outlineLevel="0" collapsed="false">
      <c r="A9949" s="3" t="s">
        <v>1728</v>
      </c>
    </row>
    <row r="9950" customFormat="false" ht="15" hidden="false" customHeight="false" outlineLevel="0" collapsed="false">
      <c r="A9950" s="4" t="s">
        <v>43</v>
      </c>
      <c r="B9950" s="4" t="s">
        <v>65</v>
      </c>
      <c r="C9950" s="23" t="s">
        <v>938</v>
      </c>
      <c r="D9950" s="23" t="s">
        <v>939</v>
      </c>
      <c r="E9950" s="23" t="s">
        <v>940</v>
      </c>
      <c r="F9950" s="23" t="s">
        <v>941</v>
      </c>
      <c r="G9950" s="23" t="s">
        <v>942</v>
      </c>
      <c r="H9950" s="23" t="s">
        <v>943</v>
      </c>
      <c r="I9950" s="23" t="s">
        <v>944</v>
      </c>
      <c r="J9950" s="23" t="s">
        <v>945</v>
      </c>
      <c r="K9950" s="23" t="s">
        <v>946</v>
      </c>
      <c r="L9950" s="4" t="s">
        <v>47</v>
      </c>
    </row>
    <row r="9951" customFormat="false" ht="15" hidden="false" customHeight="false" outlineLevel="0" collapsed="false">
      <c r="A9951" s="1" t="s">
        <v>1076</v>
      </c>
      <c r="B9951" s="0" t="s">
        <v>98</v>
      </c>
      <c r="F9951" s="6" t="n">
        <f aca="false">Sens!F9932</f>
        <v>144.871961467137</v>
      </c>
      <c r="G9951" s="6" t="n">
        <f aca="false">Sens!G9932</f>
        <v>157.567903507137</v>
      </c>
      <c r="H9951" s="6" t="n">
        <f aca="false">Sens!H9932</f>
        <v>174.631511297515</v>
      </c>
      <c r="I9951" s="6" t="n">
        <f aca="false">Sens!I9932</f>
        <v>191.710974087887</v>
      </c>
      <c r="J9951" s="6" t="n">
        <f aca="false">Sens!J9932</f>
        <v>208.744878576916</v>
      </c>
      <c r="K9951" s="6" t="n">
        <f aca="false">Sens!K9932</f>
        <v>226.328876872473</v>
      </c>
    </row>
    <row r="9952" customFormat="false" ht="17.15" hidden="false" customHeight="false" outlineLevel="0" collapsed="false">
      <c r="A9952" s="1" t="s">
        <v>1098</v>
      </c>
      <c r="B9952" s="0" t="s">
        <v>98</v>
      </c>
      <c r="E9952" s="6" t="n">
        <f aca="false">Q!M38-Sens!E9870</f>
        <v>22.2285940229167</v>
      </c>
      <c r="F9952" s="6" t="n">
        <f aca="false">Sens!E9952*(1-1/life_nonai)+(Sens!F9960+Sens!F9961)/life_nonai</f>
        <v>23.588055741055</v>
      </c>
      <c r="G9952" s="6" t="n">
        <f aca="false">Sens!F9952*(1-1/life_nonai)+(Sens!G9960)/life_nonai</f>
        <v>25.3989044372861</v>
      </c>
      <c r="H9952" s="6" t="n">
        <f aca="false">Sens!G9952*(1-1/life_nonai)+(Sens!H9960)/life_nonai</f>
        <v>27.6481597140011</v>
      </c>
      <c r="I9952" s="6" t="n">
        <f aca="false">Sens!H9952*(1-1/life_nonai)+(Sens!I9960)/life_nonai</f>
        <v>30.2957045477721</v>
      </c>
      <c r="J9952" s="6" t="n">
        <f aca="false">Sens!I9952*(1-1/life_nonai)+(Sens!J9960)/life_nonai</f>
        <v>33.2885200997026</v>
      </c>
      <c r="K9952" s="6" t="n">
        <f aca="false">Sens!J9952*(1-1/life_nonai)+(Sens!K9960)/life_nonai</f>
        <v>36.5740498095782</v>
      </c>
      <c r="L9952" s="12" t="s">
        <v>1099</v>
      </c>
    </row>
    <row r="9953" customFormat="false" ht="17.15" hidden="false" customHeight="false" outlineLevel="0" collapsed="false">
      <c r="A9953" s="1" t="s">
        <v>1100</v>
      </c>
      <c r="B9953" s="0" t="s">
        <v>98</v>
      </c>
      <c r="F9953" s="6" t="n">
        <f aca="false">Sens!$F$9961/life_nonai*(1-1/life_nonai)^(Sens!F9833-2027)</f>
        <v>0</v>
      </c>
      <c r="G9953" s="6" t="n">
        <f aca="false">Sens!$F$9961/life_nonai*(1-1/life_nonai)^(Sens!G9833-2027)</f>
        <v>0</v>
      </c>
      <c r="H9953" s="6" t="n">
        <f aca="false">Sens!$F$9961/life_nonai*(1-1/life_nonai)^(Sens!H9833-2027)</f>
        <v>0</v>
      </c>
      <c r="I9953" s="6" t="n">
        <f aca="false">Sens!$F$9961/life_nonai*(1-1/life_nonai)^(Sens!I9833-2027)</f>
        <v>0</v>
      </c>
      <c r="J9953" s="6" t="n">
        <f aca="false">Sens!$F$9961/life_nonai*(1-1/life_nonai)^(Sens!J9833-2027)</f>
        <v>0</v>
      </c>
      <c r="K9953" s="6" t="n">
        <f aca="false">Sens!$F$9961/life_nonai*(1-1/life_nonai)^(Sens!K9833-2027)</f>
        <v>0</v>
      </c>
      <c r="L9953" s="1" t="s">
        <v>1101</v>
      </c>
    </row>
    <row r="9954" customFormat="false" ht="17.15" hidden="false" customHeight="false" outlineLevel="0" collapsed="false">
      <c r="A9954" s="1" t="s">
        <v>1102</v>
      </c>
      <c r="B9954" s="0" t="s">
        <v>98</v>
      </c>
      <c r="E9954" s="6" t="n">
        <f aca="false">Sens!E9870+Sens!E9952</f>
        <v>38.534</v>
      </c>
      <c r="F9954" s="6" t="n">
        <f aca="false">Sens!F9870+Sens!F9952</f>
        <v>58.1673702194066</v>
      </c>
      <c r="G9954" s="6" t="n">
        <f aca="false">Sens!G9870+Sens!G9952</f>
        <v>86.133395089585</v>
      </c>
      <c r="H9954" s="6" t="n">
        <f aca="false">Sens!H9870+Sens!H9952</f>
        <v>116.748250375447</v>
      </c>
      <c r="I9954" s="6" t="n">
        <f aca="false">Sens!I9870+Sens!I9952</f>
        <v>144.52671424232</v>
      </c>
      <c r="J9954" s="6" t="n">
        <f aca="false">Sens!J9870+Sens!J9952</f>
        <v>165.304193149299</v>
      </c>
      <c r="K9954" s="6" t="n">
        <f aca="false">Sens!K9870+Sens!K9952</f>
        <v>179.586719360512</v>
      </c>
    </row>
    <row r="9955" customFormat="false" ht="17.15" hidden="false" customHeight="false" outlineLevel="0" collapsed="false">
      <c r="A9955" s="1" t="s">
        <v>1103</v>
      </c>
      <c r="B9955" s="0" t="s">
        <v>98</v>
      </c>
      <c r="F9955" s="6" t="n">
        <f aca="false">Sens!F9897*sbc_r</f>
        <v>14.9319613115286</v>
      </c>
      <c r="G9955" s="6" t="n">
        <f aca="false">Sens!G9897*sbc_r</f>
        <v>17.8748118957557</v>
      </c>
      <c r="H9955" s="6" t="n">
        <f aca="false">Sens!H9897*sbc_r</f>
        <v>20.9298143898263</v>
      </c>
      <c r="I9955" s="6" t="n">
        <f aca="false">Sens!I9897*sbc_r</f>
        <v>23.8010679307966</v>
      </c>
      <c r="J9955" s="6" t="n">
        <f aca="false">Sens!J9897*sbc_r</f>
        <v>26.250043100748</v>
      </c>
      <c r="K9955" s="6" t="n">
        <f aca="false">Sens!K9897*sbc_r</f>
        <v>28.3396154106494</v>
      </c>
    </row>
    <row r="9956" customFormat="false" ht="17.15" hidden="false" customHeight="false" outlineLevel="0" collapsed="false">
      <c r="A9956" s="1" t="s">
        <v>1104</v>
      </c>
      <c r="B9956" s="0" t="s">
        <v>98</v>
      </c>
      <c r="F9956" s="6" t="n">
        <f aca="false">wc27-wc26q1</f>
        <v>-4.677</v>
      </c>
      <c r="G9956" s="6" t="n">
        <f aca="false">wc_f</f>
        <v>0</v>
      </c>
      <c r="H9956" s="6" t="n">
        <f aca="false">wc_f</f>
        <v>0</v>
      </c>
      <c r="I9956" s="6" t="n">
        <f aca="false">wc_f</f>
        <v>0</v>
      </c>
      <c r="J9956" s="6" t="n">
        <f aca="false">wc_f</f>
        <v>0</v>
      </c>
      <c r="K9956" s="6" t="n">
        <f aca="false">wc_f</f>
        <v>0</v>
      </c>
      <c r="L9956" s="12" t="s">
        <v>1105</v>
      </c>
    </row>
    <row r="9957" customFormat="false" ht="17.15" hidden="false" customHeight="false" outlineLevel="0" collapsed="false">
      <c r="A9957" s="0" t="s">
        <v>1106</v>
      </c>
      <c r="B9957" s="0" t="s">
        <v>98</v>
      </c>
      <c r="F9957" s="6" t="n">
        <f aca="false">Q!$I$35-Q!$I$26-Q!$I$38-Q!$I$39</f>
        <v>6.493</v>
      </c>
      <c r="L9957" s="1" t="s">
        <v>1107</v>
      </c>
    </row>
    <row r="9958" customFormat="false" ht="15" hidden="false" customHeight="false" outlineLevel="0" collapsed="false">
      <c r="A9958" s="1" t="s">
        <v>904</v>
      </c>
      <c r="B9958" s="0" t="s">
        <v>98</v>
      </c>
      <c r="E9958" s="6" t="n">
        <f aca="false">Q!M35</f>
        <v>182.935</v>
      </c>
      <c r="F9958" s="6" t="n">
        <f aca="false">Sens!F9951+Sens!F9954+Sens!F9955+Sens!F9956+Sens!F9957</f>
        <v>219.787292998072</v>
      </c>
      <c r="G9958" s="6" t="n">
        <f aca="false">Sens!G9951+Sens!G9954+Sens!G9955+Sens!G9956</f>
        <v>261.576110492478</v>
      </c>
      <c r="H9958" s="6" t="n">
        <f aca="false">Sens!H9951+Sens!H9954+Sens!H9955+Sens!H9956</f>
        <v>312.309576062788</v>
      </c>
      <c r="I9958" s="6" t="n">
        <f aca="false">Sens!I9951+Sens!I9954+Sens!I9955+Sens!I9956</f>
        <v>360.038756261004</v>
      </c>
      <c r="J9958" s="6" t="n">
        <f aca="false">Sens!J9951+Sens!J9954+Sens!J9955+Sens!J9956</f>
        <v>400.299114826962</v>
      </c>
      <c r="K9958" s="6" t="n">
        <f aca="false">Sens!K9951+Sens!K9954+Sens!K9955+Sens!K9956</f>
        <v>434.255211643635</v>
      </c>
    </row>
    <row r="9959" customFormat="false" ht="17.15" hidden="false" customHeight="false" outlineLevel="0" collapsed="false">
      <c r="A9959" s="0" t="s">
        <v>1108</v>
      </c>
      <c r="B9959" s="0" t="s">
        <v>98</v>
      </c>
      <c r="F9959" s="6" t="n">
        <f aca="false">Sens!F9867</f>
        <v>168.45390404212</v>
      </c>
      <c r="G9959" s="6" t="n">
        <f aca="false">Sens!G9867</f>
        <v>191.944475649048</v>
      </c>
      <c r="H9959" s="6" t="n">
        <f aca="false">Sens!H9867</f>
        <v>196.806004064512</v>
      </c>
      <c r="I9959" s="6" t="n">
        <f aca="false">Sens!I9867</f>
        <v>168.61483362161</v>
      </c>
      <c r="J9959" s="6" t="n">
        <f aca="false">Sens!J9867</f>
        <v>128.92993119594</v>
      </c>
      <c r="K9959" s="6" t="n">
        <f aca="false">Sens!K9867</f>
        <v>118.962853064733</v>
      </c>
    </row>
    <row r="9960" customFormat="false" ht="17.15" hidden="false" customHeight="false" outlineLevel="0" collapsed="false">
      <c r="A9960" s="1" t="s">
        <v>1109</v>
      </c>
      <c r="B9960" s="0" t="s">
        <v>98</v>
      </c>
      <c r="E9960" s="6" t="n">
        <f aca="false">Sens!E9875*cx_azo+Sens!E9882*cx_m365+Sens!E9883*cx_lic+(Sens!E9885+Sens!E9887)*cx_ind+Sens!E9890*cx_srch+(Sens!E9892+Sens!E9894)*cx_dev</f>
        <v>30.1846587067718</v>
      </c>
      <c r="F9960" s="6" t="n">
        <f aca="false">Sens!F9875*cx_azo+Sens!F9882*cx_m365+Sens!F9883*cx_lic+(Sens!F9885+Sens!F9887)*cx_ind+Sens!F9890*cx_srch+(Sens!F9892+Sens!F9894)*cx_dev</f>
        <v>35.8232112042996</v>
      </c>
      <c r="G9960" s="6" t="n">
        <f aca="false">Sens!G9875*cx_azo+Sens!G9882*cx_m365+Sens!G9883*cx_lic+(Sens!G9885+Sens!G9887)*cx_ind+Sens!G9890*cx_srch+(Sens!G9892+Sens!G9894)*cx_dev</f>
        <v>41.696542703366</v>
      </c>
      <c r="H9960" s="6" t="n">
        <f aca="false">Sens!H9875*cx_azo+Sens!H9882*cx_m365+Sens!H9883*cx_lic+(Sens!H9885+Sens!H9887)*cx_ind+Sens!H9890*cx_srch+(Sens!H9892+Sens!H9894)*cx_dev</f>
        <v>47.8914572044361</v>
      </c>
      <c r="I9960" s="6" t="n">
        <f aca="false">Sens!I9875*cx_azo+Sens!I9882*cx_m365+Sens!I9883*cx_lic+(Sens!I9885+Sens!I9887)*cx_ind+Sens!I9890*cx_srch+(Sens!I9892+Sens!I9894)*cx_dev</f>
        <v>54.1236080517118</v>
      </c>
      <c r="J9960" s="6" t="n">
        <f aca="false">Sens!J9875*cx_azo+Sens!J9882*cx_m365+Sens!J9883*cx_lic+(Sens!J9885+Sens!J9887)*cx_ind+Sens!J9890*cx_srch+(Sens!J9892+Sens!J9894)*cx_dev</f>
        <v>60.2238600670763</v>
      </c>
      <c r="K9960" s="6" t="n">
        <f aca="false">Sens!K9875*cx_azo+Sens!K9882*cx_m365+Sens!K9883*cx_lic+(Sens!K9885+Sens!K9887)*cx_ind+Sens!K9890*cx_srch+(Sens!K9892+Sens!K9894)*cx_dev</f>
        <v>66.143817198459</v>
      </c>
    </row>
    <row r="9961" customFormat="false" ht="17.15" hidden="false" customHeight="false" outlineLevel="0" collapsed="false">
      <c r="A9961" s="0" t="s">
        <v>1110</v>
      </c>
      <c r="B9961" s="0" t="s">
        <v>98</v>
      </c>
      <c r="F9961" s="6" t="n">
        <f aca="false">Sens!F9865</f>
        <v>0</v>
      </c>
      <c r="L9961" s="1" t="s">
        <v>1111</v>
      </c>
    </row>
    <row r="9962" customFormat="false" ht="17.15" hidden="false" customHeight="false" outlineLevel="0" collapsed="false">
      <c r="A9962" s="1" t="s">
        <v>1112</v>
      </c>
      <c r="B9962" s="0" t="s">
        <v>98</v>
      </c>
      <c r="E9962" s="6" t="n">
        <f aca="false">Q!M43</f>
        <v>145.3</v>
      </c>
      <c r="F9962" s="6" t="n">
        <f aca="false">Sens!F9959+Sens!F9960+Sens!F9961</f>
        <v>204.277115246419</v>
      </c>
      <c r="G9962" s="6" t="n">
        <f aca="false">Sens!G9959+Sens!G9960</f>
        <v>233.641018352414</v>
      </c>
      <c r="H9962" s="6" t="n">
        <f aca="false">Sens!H9959+Sens!H9960</f>
        <v>244.697461268948</v>
      </c>
      <c r="I9962" s="6" t="n">
        <f aca="false">Sens!I9959+Sens!I9960</f>
        <v>222.738441673322</v>
      </c>
      <c r="J9962" s="6" t="n">
        <f aca="false">Sens!J9959+Sens!J9960</f>
        <v>189.153791263017</v>
      </c>
      <c r="K9962" s="6" t="n">
        <f aca="false">Sens!K9959+Sens!K9960</f>
        <v>185.106670263192</v>
      </c>
      <c r="L9962" s="1" t="s">
        <v>1113</v>
      </c>
    </row>
    <row r="9963" customFormat="false" ht="15" hidden="false" customHeight="false" outlineLevel="0" collapsed="false">
      <c r="A9963" s="1" t="s">
        <v>1114</v>
      </c>
      <c r="B9963" s="0" t="s">
        <v>98</v>
      </c>
      <c r="E9963" s="6" t="n">
        <f aca="false">fl_liab</f>
        <v>66.594</v>
      </c>
      <c r="F9963" s="6" t="n">
        <f aca="false">Sens!E9963-Sens!F9964</f>
        <v>62.46973</v>
      </c>
      <c r="G9963" s="6" t="n">
        <f aca="false">Sens!F9963-Sens!G9964</f>
        <v>57.98686785</v>
      </c>
      <c r="H9963" s="6" t="n">
        <f aca="false">Sens!G9963-Sens!H9964</f>
        <v>53.92827690325</v>
      </c>
      <c r="I9963" s="6" t="n">
        <f aca="false">Sens!H9963-Sens!I9964</f>
        <v>49.7850493638962</v>
      </c>
      <c r="J9963" s="6" t="n">
        <f aca="false">Sens!I9963-Sens!J9964</f>
        <v>45.4823765852716</v>
      </c>
      <c r="K9963" s="6" t="n">
        <f aca="false">Sens!J9963-Sens!K9964</f>
        <v>40.9860835316088</v>
      </c>
    </row>
    <row r="9964" customFormat="false" ht="15" hidden="false" customHeight="false" outlineLevel="0" collapsed="false">
      <c r="A9964" s="1" t="s">
        <v>1115</v>
      </c>
      <c r="B9964" s="0" t="s">
        <v>98</v>
      </c>
      <c r="F9964" s="6" t="n">
        <f aca="false">fl_pay_27-Sens!E9963*fl_rate</f>
        <v>4.12427</v>
      </c>
      <c r="G9964" s="6" t="n">
        <f aca="false">fl_pay_28-Sens!F9963*fl_rate</f>
        <v>4.48286215</v>
      </c>
      <c r="H9964" s="6" t="n">
        <f aca="false">fl_pay_29-Sens!G9963*fl_rate</f>
        <v>4.05859094675</v>
      </c>
      <c r="I9964" s="6" t="n">
        <f aca="false">fl_pay_30-Sens!H9963*fl_rate</f>
        <v>4.14322753935375</v>
      </c>
      <c r="J9964" s="6" t="n">
        <f aca="false">fl_pay_31-Sens!I9963*fl_rate</f>
        <v>4.30267277862467</v>
      </c>
      <c r="K9964" s="6" t="n">
        <f aca="false">fl_pay_32-Sens!J9963*fl_rate</f>
        <v>4.49629305366278</v>
      </c>
    </row>
    <row r="9965" customFormat="false" ht="17.15" hidden="false" customHeight="false" outlineLevel="0" collapsed="false">
      <c r="A9965" s="1" t="s">
        <v>1116</v>
      </c>
      <c r="B9965" s="0" t="s">
        <v>98</v>
      </c>
      <c r="E9965" s="6" t="n">
        <f aca="false">Q!M35-Q!M36-Q!M44</f>
        <v>63.886</v>
      </c>
      <c r="F9965" s="6" t="n">
        <f aca="false">Sens!F9958-Sens!F9962-Sens!F9964</f>
        <v>11.3859077516526</v>
      </c>
      <c r="G9965" s="6" t="n">
        <f aca="false">Sens!G9958-Sens!G9962-Sens!G9964</f>
        <v>23.4522299900634</v>
      </c>
      <c r="H9965" s="6" t="n">
        <f aca="false">Sens!H9958-Sens!H9962-Sens!H9964</f>
        <v>63.5535238470894</v>
      </c>
      <c r="I9965" s="6" t="n">
        <f aca="false">Sens!I9958-Sens!I9962-Sens!I9964</f>
        <v>133.157087048328</v>
      </c>
      <c r="J9965" s="6" t="n">
        <f aca="false">Sens!J9958-Sens!J9962-Sens!J9964</f>
        <v>206.842650785321</v>
      </c>
      <c r="K9965" s="6" t="n">
        <f aca="false">Sens!K9958-Sens!K9962-Sens!K9964</f>
        <v>244.65224832678</v>
      </c>
      <c r="L9965" s="12" t="s">
        <v>1117</v>
      </c>
    </row>
    <row r="9966" customFormat="false" ht="15" hidden="false" customHeight="false" outlineLevel="0" collapsed="false">
      <c r="A9966" s="1" t="s">
        <v>1118</v>
      </c>
      <c r="B9966" s="0" t="s">
        <v>75</v>
      </c>
      <c r="F9966" s="8" t="n">
        <f aca="false">dps_27</f>
        <v>3.85</v>
      </c>
      <c r="G9966" s="8" t="n">
        <f aca="false">Sens!F9966*(1+dps_g)</f>
        <v>4.158</v>
      </c>
      <c r="H9966" s="8" t="n">
        <f aca="false">Sens!G9966*(1+dps_g)</f>
        <v>4.49064</v>
      </c>
      <c r="I9966" s="8" t="n">
        <f aca="false">Sens!H9966*(1+dps_g)</f>
        <v>4.8498912</v>
      </c>
      <c r="J9966" s="8" t="n">
        <f aca="false">Sens!I9966*(1+dps_g)</f>
        <v>5.237882496</v>
      </c>
      <c r="K9966" s="8" t="n">
        <f aca="false">Sens!J9966*(1+dps_g)</f>
        <v>5.65691309568</v>
      </c>
    </row>
    <row r="9967" customFormat="false" ht="17.15" hidden="false" customHeight="false" outlineLevel="0" collapsed="false">
      <c r="A9967" s="1" t="s">
        <v>1119</v>
      </c>
      <c r="B9967" s="0" t="s">
        <v>98</v>
      </c>
      <c r="E9967" s="6" t="n">
        <f aca="false">Q!M41</f>
        <v>26.445</v>
      </c>
      <c r="F9967" s="6" t="n">
        <f aca="false">Sens!F9966*Sens!E9976</f>
        <v>28.59395</v>
      </c>
      <c r="G9967" s="6" t="n">
        <f aca="false">Sens!G9966*Sens!F9976</f>
        <v>31.0656754324994</v>
      </c>
      <c r="H9967" s="6" t="n">
        <f aca="false">Sens!H9966*Sens!G9976</f>
        <v>33.7530082670994</v>
      </c>
      <c r="I9967" s="6" t="n">
        <f aca="false">Sens!I9966*Sens!H9976</f>
        <v>36.50368720554</v>
      </c>
      <c r="J9967" s="6" t="n">
        <f aca="false">Sens!J9966*Sens!I9976</f>
        <v>39.4918800673758</v>
      </c>
      <c r="K9967" s="6" t="n">
        <f aca="false">Sens!K9966*Sens!J9976</f>
        <v>42.7379847351441</v>
      </c>
      <c r="L9967" s="1" t="s">
        <v>1120</v>
      </c>
    </row>
    <row r="9968" customFormat="false" ht="15" hidden="false" customHeight="false" outlineLevel="0" collapsed="false">
      <c r="A9968" s="1" t="s">
        <v>1121</v>
      </c>
      <c r="B9968" s="0" t="s">
        <v>98</v>
      </c>
      <c r="E9968" s="6" t="n">
        <f aca="false">Sens!E9965-Sens!E9967</f>
        <v>37.441</v>
      </c>
      <c r="F9968" s="6" t="n">
        <f aca="false">Sens!F9965-Sens!F9967</f>
        <v>-17.2080422483474</v>
      </c>
      <c r="G9968" s="6" t="n">
        <f aca="false">Sens!G9965-Sens!G9967</f>
        <v>-7.61344544243602</v>
      </c>
      <c r="H9968" s="6" t="n">
        <f aca="false">Sens!H9965-Sens!H9967</f>
        <v>29.80051557999</v>
      </c>
      <c r="I9968" s="6" t="n">
        <f aca="false">Sens!I9965-Sens!I9967</f>
        <v>96.6533998427882</v>
      </c>
      <c r="J9968" s="6" t="n">
        <f aca="false">Sens!J9965-Sens!J9967</f>
        <v>167.350770717945</v>
      </c>
      <c r="K9968" s="6" t="n">
        <f aca="false">Sens!K9965-Sens!K9967</f>
        <v>201.914263591636</v>
      </c>
    </row>
    <row r="9969" customFormat="false" ht="15" hidden="false" customHeight="false" outlineLevel="0" collapsed="false">
      <c r="A9969" s="1" t="s">
        <v>1122</v>
      </c>
      <c r="B9969" s="0" t="s">
        <v>98</v>
      </c>
      <c r="F9969" s="6" t="n">
        <f aca="false">debt_mat_27</f>
        <v>9.25</v>
      </c>
      <c r="G9969" s="6" t="n">
        <f aca="false">debt_mat_28</f>
        <v>0</v>
      </c>
      <c r="H9969" s="6" t="n">
        <f aca="false">debt_mat_29</f>
        <v>2.001</v>
      </c>
      <c r="I9969" s="6" t="n">
        <f aca="false">debt_mat_30</f>
        <v>0</v>
      </c>
      <c r="J9969" s="6" t="n">
        <f aca="false">debt_mat_31</f>
        <v>0.5</v>
      </c>
      <c r="K9969" s="6" t="n">
        <f aca="false">debt_mat_32</f>
        <v>0</v>
      </c>
    </row>
    <row r="9970" customFormat="false" ht="15" hidden="false" customHeight="false" outlineLevel="0" collapsed="false">
      <c r="A9970" s="1" t="s">
        <v>1123</v>
      </c>
      <c r="B9970" s="0" t="s">
        <v>98</v>
      </c>
      <c r="E9970" s="6" t="n">
        <f aca="false">Q!M40</f>
        <v>22.271</v>
      </c>
      <c r="F9970" s="6" t="n">
        <f aca="false">MAX(0,MIN(bb_target,Sens!E9972+Sens!F9968-Sens!F9969-min_cash))</f>
        <v>0.384957751652607</v>
      </c>
      <c r="G9970" s="6" t="n">
        <f aca="false">MAX(0,MIN(bb_target,Sens!F9972+Sens!G9968-Sens!G9969-min_cash))</f>
        <v>0</v>
      </c>
      <c r="H9970" s="6" t="n">
        <f aca="false">MAX(0,MIN(bb_target,Sens!G9972+Sens!H9968-Sens!H9969-min_cash))</f>
        <v>22.271</v>
      </c>
      <c r="I9970" s="6" t="n">
        <f aca="false">MAX(0,MIN(bb_target,Sens!H9972+Sens!I9968-Sens!I9969-min_cash))</f>
        <v>22.271</v>
      </c>
      <c r="J9970" s="6" t="n">
        <f aca="false">MAX(0,MIN(bb_target,Sens!I9972+Sens!J9968-Sens!J9969-min_cash))</f>
        <v>22.271</v>
      </c>
      <c r="K9970" s="6" t="n">
        <f aca="false">MAX(0,MIN(bb_target,Sens!J9972+Sens!K9968-Sens!K9969-min_cash))</f>
        <v>22.271</v>
      </c>
    </row>
    <row r="9971" customFormat="false" ht="15" hidden="false" customHeight="false" outlineLevel="0" collapsed="false">
      <c r="A9971" s="1" t="s">
        <v>1124</v>
      </c>
      <c r="B9971" s="0" t="s">
        <v>98</v>
      </c>
      <c r="F9971" s="6" t="n">
        <f aca="false">MAX(0,min_cash-(Sens!E9972+Sens!F9968-Sens!F9969-Sens!F9970))</f>
        <v>0</v>
      </c>
      <c r="G9971" s="6" t="n">
        <f aca="false">MAX(0,min_cash-(Sens!F9972+Sens!G9968-Sens!G9969-Sens!G9970))</f>
        <v>7.61344544243602</v>
      </c>
      <c r="H9971" s="6" t="n">
        <f aca="false">MAX(0,min_cash-(Sens!G9972+Sens!H9968-Sens!H9969-Sens!H9970))</f>
        <v>0</v>
      </c>
      <c r="I9971" s="6" t="n">
        <f aca="false">MAX(0,min_cash-(Sens!H9972+Sens!I9968-Sens!I9969-Sens!I9970))</f>
        <v>0</v>
      </c>
      <c r="J9971" s="6" t="n">
        <f aca="false">MAX(0,min_cash-(Sens!I9972+Sens!J9968-Sens!J9969-Sens!J9970))</f>
        <v>0</v>
      </c>
      <c r="K9971" s="6" t="n">
        <f aca="false">MAX(0,min_cash-(Sens!J9972+Sens!K9968-Sens!K9969-Sens!K9970))</f>
        <v>0</v>
      </c>
    </row>
    <row r="9972" customFormat="false" ht="15" hidden="false" customHeight="false" outlineLevel="0" collapsed="false">
      <c r="A9972" s="1" t="s">
        <v>1125</v>
      </c>
      <c r="B9972" s="0" t="s">
        <v>98</v>
      </c>
      <c r="E9972" s="6" t="n">
        <f aca="false">cash_open</f>
        <v>76.843</v>
      </c>
      <c r="F9972" s="6" t="n">
        <f aca="false">Sens!E9972+Sens!F9968-Sens!F9969-Sens!F9970+Sens!F9971</f>
        <v>50</v>
      </c>
      <c r="G9972" s="6" t="n">
        <f aca="false">Sens!F9972+Sens!G9968-Sens!G9969-Sens!G9970+Sens!G9971</f>
        <v>50</v>
      </c>
      <c r="H9972" s="6" t="n">
        <f aca="false">Sens!G9972+Sens!H9968-Sens!H9969-Sens!H9970+Sens!H9971</f>
        <v>55.52851557999</v>
      </c>
      <c r="I9972" s="6" t="n">
        <f aca="false">Sens!H9972+Sens!I9968-Sens!I9969-Sens!I9970+Sens!I9971</f>
        <v>129.910915422778</v>
      </c>
      <c r="J9972" s="6" t="n">
        <f aca="false">Sens!I9972+Sens!J9968-Sens!J9969-Sens!J9970+Sens!J9971</f>
        <v>274.490686140723</v>
      </c>
      <c r="K9972" s="6" t="n">
        <f aca="false">Sens!J9972+Sens!K9968-Sens!K9969-Sens!K9970+Sens!K9971</f>
        <v>454.13394973236</v>
      </c>
    </row>
    <row r="9973" customFormat="false" ht="15" hidden="false" customHeight="false" outlineLevel="0" collapsed="false">
      <c r="A9973" s="1" t="s">
        <v>1126</v>
      </c>
      <c r="B9973" s="0" t="s">
        <v>98</v>
      </c>
      <c r="E9973" s="6" t="n">
        <f aca="false">debt_face</f>
        <v>46.136</v>
      </c>
      <c r="F9973" s="6" t="n">
        <f aca="false">Sens!E9973-Sens!F9969+Sens!F9971</f>
        <v>36.886</v>
      </c>
      <c r="G9973" s="6" t="n">
        <f aca="false">Sens!F9973-Sens!G9969+Sens!G9971</f>
        <v>44.499445442436</v>
      </c>
      <c r="H9973" s="6" t="n">
        <f aca="false">Sens!G9973-Sens!H9969+Sens!H9971</f>
        <v>42.498445442436</v>
      </c>
      <c r="I9973" s="6" t="n">
        <f aca="false">Sens!H9973-Sens!I9969+Sens!I9971</f>
        <v>42.498445442436</v>
      </c>
      <c r="J9973" s="6" t="n">
        <f aca="false">Sens!I9973-Sens!J9969+Sens!J9971</f>
        <v>41.998445442436</v>
      </c>
      <c r="K9973" s="6" t="n">
        <f aca="false">Sens!J9973-Sens!K9969+Sens!K9971</f>
        <v>41.998445442436</v>
      </c>
    </row>
    <row r="9974" customFormat="false" ht="15" hidden="false" customHeight="false" outlineLevel="0" collapsed="false">
      <c r="A9974" s="1" t="s">
        <v>1127</v>
      </c>
      <c r="B9974" s="0" t="s">
        <v>98</v>
      </c>
      <c r="E9974" s="6" t="n">
        <f aca="false">Sens!E9972-Sens!E9973</f>
        <v>30.707</v>
      </c>
      <c r="F9974" s="6" t="n">
        <f aca="false">Sens!F9972-Sens!F9973</f>
        <v>13.114</v>
      </c>
      <c r="G9974" s="6" t="n">
        <f aca="false">Sens!G9972-Sens!G9973</f>
        <v>5.50055455756397</v>
      </c>
      <c r="H9974" s="6" t="n">
        <f aca="false">Sens!H9972-Sens!H9973</f>
        <v>13.030070137554</v>
      </c>
      <c r="I9974" s="6" t="n">
        <f aca="false">Sens!I9972-Sens!I9973</f>
        <v>87.4124699803422</v>
      </c>
      <c r="J9974" s="6" t="n">
        <f aca="false">Sens!J9972-Sens!J9973</f>
        <v>232.492240698287</v>
      </c>
      <c r="K9974" s="6" t="n">
        <f aca="false">Sens!K9972-Sens!K9973</f>
        <v>412.135504289923</v>
      </c>
    </row>
    <row r="9975" customFormat="false" ht="15" hidden="false" customHeight="false" outlineLevel="0" collapsed="false">
      <c r="A9975" s="1" t="s">
        <v>1128</v>
      </c>
      <c r="B9975" s="0" t="s">
        <v>75</v>
      </c>
      <c r="F9975" s="30" t="n">
        <f aca="false">px*(1+bb_g)^(Sens!F9833-base_fy-mid_yr)</f>
        <v>551.84177959629</v>
      </c>
      <c r="G9975" s="30" t="n">
        <f aca="false">px*(1+bb_g)^(Sens!G9833-base_fy-mid_yr)</f>
        <v>595.989121963993</v>
      </c>
      <c r="H9975" s="30" t="n">
        <f aca="false">px*(1+bb_g)^(Sens!H9833-base_fy-mid_yr)</f>
        <v>643.668251721112</v>
      </c>
      <c r="I9975" s="30" t="n">
        <f aca="false">px*(1+bb_g)^(Sens!I9833-base_fy-mid_yr)</f>
        <v>695.161711858801</v>
      </c>
      <c r="J9975" s="30" t="n">
        <f aca="false">px*(1+bb_g)^(Sens!J9833-base_fy-mid_yr)</f>
        <v>750.774648807506</v>
      </c>
      <c r="K9975" s="30" t="n">
        <f aca="false">px*(1+bb_g)^(Sens!K9833-base_fy-mid_yr)</f>
        <v>810.836620712106</v>
      </c>
    </row>
    <row r="9976" customFormat="false" ht="15" hidden="false" customHeight="false" outlineLevel="0" collapsed="false">
      <c r="A9976" s="1" t="s">
        <v>1129</v>
      </c>
      <c r="B9976" s="1" t="s">
        <v>81</v>
      </c>
      <c r="E9976" s="15" t="n">
        <f aca="false">sh_out26</f>
        <v>7.427</v>
      </c>
      <c r="F9976" s="15" t="n">
        <f aca="false">Sens!E9976+sh_iss-Sens!F9970/Sens!F9975</f>
        <v>7.47130241281852</v>
      </c>
      <c r="G9976" s="15" t="n">
        <f aca="false">Sens!F9976+sh_iss-Sens!G9970/Sens!G9975</f>
        <v>7.51630241281852</v>
      </c>
      <c r="H9976" s="15" t="n">
        <f aca="false">Sens!G9976+sh_iss-Sens!H9970/Sens!H9975</f>
        <v>7.52670229087612</v>
      </c>
      <c r="I9976" s="15" t="n">
        <f aca="false">Sens!H9976+sh_iss-Sens!I9970/Sens!I9975</f>
        <v>7.53966514092946</v>
      </c>
      <c r="J9976" s="15" t="n">
        <f aca="false">Sens!I9976+sh_iss-Sens!J9970/Sens!J9975</f>
        <v>7.55500111320106</v>
      </c>
      <c r="K9976" s="15" t="n">
        <f aca="false">Sens!J9976+sh_iss-Sens!K9970/Sens!K9975</f>
        <v>7.57253442085996</v>
      </c>
    </row>
    <row r="9977" customFormat="false" ht="15" hidden="false" customHeight="false" outlineLevel="0" collapsed="false">
      <c r="A9977" s="1" t="s">
        <v>1130</v>
      </c>
      <c r="B9977" s="1" t="s">
        <v>81</v>
      </c>
      <c r="E9977" s="15" t="n">
        <f aca="false">sh_dil26</f>
        <v>7.453</v>
      </c>
      <c r="F9977" s="15" t="n">
        <f aca="false">(Sens!E9976+Sens!F9976)/2+dil_gap</f>
        <v>7.47315120640926</v>
      </c>
      <c r="G9977" s="15" t="n">
        <f aca="false">(Sens!F9976+Sens!G9976)/2+dil_gap</f>
        <v>7.51780241281852</v>
      </c>
      <c r="H9977" s="15" t="n">
        <f aca="false">(Sens!G9976+Sens!H9976)/2+dil_gap</f>
        <v>7.54550235184732</v>
      </c>
      <c r="I9977" s="15" t="n">
        <f aca="false">(Sens!H9976+Sens!I9976)/2+dil_gap</f>
        <v>7.55718371590279</v>
      </c>
      <c r="J9977" s="15" t="n">
        <f aca="false">(Sens!I9976+Sens!J9976)/2+dil_gap</f>
        <v>7.57133312706526</v>
      </c>
      <c r="K9977" s="15" t="n">
        <f aca="false">(Sens!J9976+Sens!K9976)/2+dil_gap</f>
        <v>7.58776776703051</v>
      </c>
    </row>
    <row r="9978" customFormat="false" ht="17.15" hidden="false" customHeight="false" outlineLevel="0" collapsed="false">
      <c r="A9978" s="1" t="s">
        <v>1131</v>
      </c>
      <c r="B9978" s="0" t="s">
        <v>98</v>
      </c>
      <c r="C9978" s="6" t="n">
        <f aca="false">SUM(Sens!F9968:J9968)</f>
        <v>268.98319844994</v>
      </c>
    </row>
    <row r="9979" customFormat="false" ht="15" hidden="false" customHeight="false" outlineLevel="0" collapsed="false">
      <c r="A9979" s="26" t="s">
        <v>1096</v>
      </c>
      <c r="B9979" s="31" t="s">
        <v>98</v>
      </c>
      <c r="C9979" s="27" t="n">
        <f aca="false">Sens!$C$9978-(Sens!F9968+Sens!G9968+Sens!H9968+Sens!I9968+Sens!J9968)</f>
        <v>0</v>
      </c>
      <c r="D9979" s="31"/>
      <c r="E9979" s="31"/>
      <c r="F9979" s="31"/>
      <c r="G9979" s="31"/>
      <c r="H9979" s="31"/>
      <c r="I9979" s="31"/>
      <c r="J9979" s="31"/>
      <c r="K9979" s="31"/>
    </row>
    <row r="9980" customFormat="false" ht="17.15" hidden="false" customHeight="false" outlineLevel="0" collapsed="false">
      <c r="A9980" s="1" t="s">
        <v>1090</v>
      </c>
      <c r="B9980" s="1" t="s">
        <v>1132</v>
      </c>
      <c r="C9980" s="33" t="str">
        <f aca="false">IF(SUM(Sens!F9971:J9971)&gt;0.05,"需要舉債 "&amp;TEXT(SUM(Sens!F9971:J9971),"0.0")&amp;" 十億美元","不需舉債")&amp;"；"&amp;IF(SUM(Sens!F9970:J9970)&lt;COUNT(Sens!F9970:J9970)*bb_target-0.05,"回購較每年 "&amp;TEXT(bb_target,"0.0")&amp;" 的目標少 "&amp;TEXT(COUNT(Sens!F9970:J9970)*bb_target-SUM(Sens!F9970:J9970),"0.0")&amp;" 十億美元（"&amp;TEXT(COUNTIF(Sens!F9970:J9970,"&lt;"&amp;(bb_target-0.05)),"0")&amp;" 年減少）","回購不減")</f>
        <v>需要舉債 7.6 十億美元；回購較每年 22.3 的目標少 44.2 十億美元（2 年減少）</v>
      </c>
    </row>
    <row r="9981" customFormat="false" ht="17.15" hidden="false" customHeight="false" outlineLevel="0" collapsed="false">
      <c r="A9981" s="3" t="s">
        <v>1729</v>
      </c>
    </row>
    <row r="9982" customFormat="false" ht="15" hidden="false" customHeight="false" outlineLevel="0" collapsed="false">
      <c r="A9982" s="4" t="s">
        <v>43</v>
      </c>
      <c r="B9982" s="4" t="s">
        <v>65</v>
      </c>
      <c r="C9982" s="23" t="s">
        <v>938</v>
      </c>
      <c r="D9982" s="23" t="s">
        <v>939</v>
      </c>
      <c r="E9982" s="23" t="s">
        <v>940</v>
      </c>
      <c r="F9982" s="23" t="s">
        <v>941</v>
      </c>
      <c r="G9982" s="23" t="s">
        <v>942</v>
      </c>
      <c r="H9982" s="23" t="s">
        <v>943</v>
      </c>
      <c r="I9982" s="23" t="s">
        <v>944</v>
      </c>
      <c r="J9982" s="23" t="s">
        <v>945</v>
      </c>
      <c r="K9982" s="23" t="s">
        <v>946</v>
      </c>
      <c r="L9982" s="4" t="s">
        <v>47</v>
      </c>
    </row>
    <row r="9983" customFormat="false" ht="17.15" hidden="false" customHeight="false" outlineLevel="0" collapsed="false">
      <c r="A9983" s="1" t="s">
        <v>1212</v>
      </c>
      <c r="B9983" s="1" t="s">
        <v>279</v>
      </c>
      <c r="F9983" s="8" t="n">
        <f aca="false">(1-v_off)*mid_yr</f>
        <v>0.373972602739726</v>
      </c>
      <c r="G9983" s="8" t="n">
        <f aca="false">Sens!G9833-base_fy-mid_yr-v_off</f>
        <v>1.24794520547945</v>
      </c>
      <c r="H9983" s="8" t="n">
        <f aca="false">Sens!H9833-base_fy-mid_yr-v_off</f>
        <v>2.24794520547945</v>
      </c>
      <c r="I9983" s="8" t="n">
        <f aca="false">Sens!I9833-base_fy-mid_yr-v_off</f>
        <v>3.24794520547945</v>
      </c>
      <c r="J9983" s="8" t="n">
        <f aca="false">Sens!J9833-base_fy-mid_yr-v_off</f>
        <v>4.24794520547945</v>
      </c>
      <c r="K9983" s="8" t="n">
        <f aca="false">Sens!K9833-base_fy-mid_yr-v_off</f>
        <v>5.24794520547945</v>
      </c>
      <c r="L9983" s="12" t="s">
        <v>1213</v>
      </c>
    </row>
    <row r="9984" customFormat="false" ht="15" hidden="false" customHeight="false" outlineLevel="0" collapsed="false">
      <c r="A9984" s="1" t="s">
        <v>1214</v>
      </c>
      <c r="B9984" s="1" t="s">
        <v>279</v>
      </c>
      <c r="F9984" s="8" t="n">
        <f aca="false">Sens!F9833-base_fy-v_off</f>
        <v>0.747945205479452</v>
      </c>
      <c r="G9984" s="8" t="n">
        <f aca="false">Sens!G9833-base_fy-v_off</f>
        <v>1.74794520547945</v>
      </c>
      <c r="H9984" s="8" t="n">
        <f aca="false">Sens!H9833-base_fy-v_off</f>
        <v>2.74794520547945</v>
      </c>
      <c r="I9984" s="8" t="n">
        <f aca="false">Sens!I9833-base_fy-v_off</f>
        <v>3.74794520547945</v>
      </c>
      <c r="J9984" s="8" t="n">
        <f aca="false">Sens!J9833-base_fy-v_off</f>
        <v>4.74794520547945</v>
      </c>
      <c r="K9984" s="8" t="n">
        <f aca="false">Sens!K9833-base_fy-v_off</f>
        <v>5.74794520547945</v>
      </c>
    </row>
    <row r="9985" customFormat="false" ht="15" hidden="false" customHeight="false" outlineLevel="0" collapsed="false">
      <c r="A9985" s="1" t="s">
        <v>1215</v>
      </c>
      <c r="B9985" s="0" t="s">
        <v>229</v>
      </c>
      <c r="F9985" s="15" t="n">
        <f aca="false">1/(1+wacc)^Sens!F9983</f>
        <v>0.964022703286649</v>
      </c>
      <c r="G9985" s="15" t="n">
        <f aca="false">1/(1+wacc)^Sens!G9983</f>
        <v>0.884910302296739</v>
      </c>
      <c r="H9985" s="15" t="n">
        <f aca="false">1/(1+wacc)^Sens!H9983</f>
        <v>0.802322009770358</v>
      </c>
      <c r="I9985" s="15" t="n">
        <f aca="false">1/(1+wacc)^Sens!I9983</f>
        <v>0.727441646561469</v>
      </c>
      <c r="J9985" s="15" t="n">
        <f aca="false">1/(1+wacc)^Sens!J9983</f>
        <v>0.659549834988973</v>
      </c>
      <c r="K9985" s="15" t="n">
        <f aca="false">1/(1+wacc)^Sens!K9983</f>
        <v>0.597994336576966</v>
      </c>
    </row>
    <row r="9986" customFormat="false" ht="17.15" hidden="false" customHeight="false" outlineLevel="0" collapsed="false">
      <c r="A9986" s="1" t="s">
        <v>1216</v>
      </c>
      <c r="B9986" s="0" t="s">
        <v>98</v>
      </c>
      <c r="F9986" s="6" t="n">
        <f aca="false">Q!$I$35-Q!$I$39-Q!$I$43</f>
        <v>9.666</v>
      </c>
      <c r="L9986" s="12" t="s">
        <v>1217</v>
      </c>
    </row>
    <row r="9987" customFormat="false" ht="17.15" hidden="false" customHeight="false" outlineLevel="0" collapsed="false">
      <c r="A9987" s="1" t="s">
        <v>1218</v>
      </c>
      <c r="B9987" s="0" t="s">
        <v>98</v>
      </c>
      <c r="F9987" s="6" t="n">
        <f aca="false">Sens!F9958-Sens!F9955-Sens!F9962+Sens!F9940*(1-tax_f)*(1-v_off)-Sens!F9986</f>
        <v>-3.25988859734454</v>
      </c>
      <c r="G9987" s="6" t="n">
        <f aca="false">Sens!G9958-Sens!G9955-Sens!G9962+Sens!G9940*(1-tax_f)</f>
        <v>30.2805511210915</v>
      </c>
      <c r="H9987" s="6" t="n">
        <f aca="false">Sens!H9958-Sens!H9955-Sens!H9962+Sens!H9940*(1-tax_f)</f>
        <v>80.5095206998489</v>
      </c>
      <c r="I9987" s="6" t="n">
        <f aca="false">Sens!I9958-Sens!I9955-Sens!I9962+Sens!I9940*(1-tax_f)</f>
        <v>159.66320157015</v>
      </c>
      <c r="J9987" s="6" t="n">
        <f aca="false">Sens!J9958-Sens!J9955-Sens!J9962+Sens!J9940*(1-tax_f)</f>
        <v>239.681562135854</v>
      </c>
      <c r="K9987" s="6" t="n">
        <f aca="false">Sens!K9958-Sens!K9955-Sens!K9962+Sens!K9940*(1-tax_f)</f>
        <v>280.296795965254</v>
      </c>
      <c r="L9987" s="1" t="s">
        <v>1219</v>
      </c>
    </row>
    <row r="9988" customFormat="false" ht="15" hidden="false" customHeight="false" outlineLevel="0" collapsed="false">
      <c r="A9988" s="1" t="s">
        <v>1220</v>
      </c>
      <c r="B9988" s="0" t="s">
        <v>98</v>
      </c>
      <c r="F9988" s="6" t="n">
        <f aca="false">Sens!F9987*Sens!F9985</f>
        <v>-3.1426066180254</v>
      </c>
      <c r="G9988" s="6" t="n">
        <f aca="false">Sens!G9987*Sens!G9985</f>
        <v>26.7955716462769</v>
      </c>
      <c r="H9988" s="6" t="n">
        <f aca="false">Sens!H9987*Sens!H9985</f>
        <v>64.594560453551</v>
      </c>
      <c r="I9988" s="6" t="n">
        <f aca="false">Sens!I9987*Sens!I9985</f>
        <v>116.145662245466</v>
      </c>
      <c r="J9988" s="6" t="n">
        <f aca="false">Sens!J9987*Sens!J9985</f>
        <v>158.081934756601</v>
      </c>
      <c r="K9988" s="6" t="n">
        <f aca="false">Sens!K9987*Sens!K9985</f>
        <v>167.615896547891</v>
      </c>
    </row>
    <row r="9989" customFormat="false" ht="17.15" hidden="false" customHeight="false" outlineLevel="0" collapsed="false">
      <c r="A9989" s="1" t="s">
        <v>1221</v>
      </c>
      <c r="B9989" s="0" t="s">
        <v>98</v>
      </c>
      <c r="C9989" s="6" t="n">
        <f aca="false">SUM(Sens!F9988:K9988)</f>
        <v>530.091019031761</v>
      </c>
    </row>
    <row r="9990" customFormat="false" ht="17.15" hidden="false" customHeight="false" outlineLevel="0" collapsed="false">
      <c r="A9990" s="1" t="s">
        <v>1222</v>
      </c>
      <c r="B9990" s="0" t="s">
        <v>98</v>
      </c>
      <c r="C9990" s="6" t="n">
        <f aca="false">Sens!K9926*(1+g_tv)*(1-tax_f)</f>
        <v>295.380049273971</v>
      </c>
    </row>
    <row r="9991" customFormat="false" ht="17.15" hidden="false" customHeight="false" outlineLevel="0" collapsed="false">
      <c r="A9991" s="1" t="s">
        <v>1223</v>
      </c>
      <c r="B9991" s="0" t="s">
        <v>98</v>
      </c>
      <c r="C9991" s="6" t="n">
        <f aca="false">Sens!$C$9990*(1-g_tv/(wacc+ronic_prem))</f>
        <v>209.294028775172</v>
      </c>
    </row>
    <row r="9992" customFormat="false" ht="17.15" hidden="false" customHeight="false" outlineLevel="0" collapsed="false">
      <c r="A9992" s="1" t="s">
        <v>1224</v>
      </c>
      <c r="B9992" s="0" t="s">
        <v>98</v>
      </c>
      <c r="C9992" s="6" t="n">
        <f aca="false">Sens!$C$9991/(wacc-g_tv)</f>
        <v>2869.53401662662</v>
      </c>
    </row>
    <row r="9993" customFormat="false" ht="15" hidden="false" customHeight="false" outlineLevel="0" collapsed="false">
      <c r="A9993" s="1" t="s">
        <v>1225</v>
      </c>
      <c r="B9993" s="0" t="s">
        <v>98</v>
      </c>
      <c r="C9993" s="6" t="n">
        <f aca="false">Sens!$C$9992/(1+wacc)^Sens!K9984</f>
        <v>1633.928980581</v>
      </c>
    </row>
    <row r="9994" customFormat="false" ht="17.15" hidden="false" customHeight="false" outlineLevel="0" collapsed="false">
      <c r="A9994" s="0" t="s">
        <v>1226</v>
      </c>
      <c r="B9994" s="0" t="s">
        <v>98</v>
      </c>
      <c r="C9994" s="6" t="n">
        <f aca="false">Sens!$C$9989+Sens!$C$9993</f>
        <v>2164.01999961276</v>
      </c>
    </row>
    <row r="9995" customFormat="false" ht="15" hidden="false" customHeight="false" outlineLevel="0" collapsed="false">
      <c r="A9995" s="1" t="s">
        <v>1141</v>
      </c>
      <c r="B9995" s="0" t="s">
        <v>168</v>
      </c>
      <c r="C9995" s="7" t="n">
        <f aca="false">Sens!$C$9993/Sens!$C$9994</f>
        <v>0.755043382627417</v>
      </c>
    </row>
    <row r="9996" customFormat="false" ht="17.15" hidden="false" customHeight="false" outlineLevel="0" collapsed="false">
      <c r="A9996" s="1" t="s">
        <v>1227</v>
      </c>
      <c r="B9996" s="0" t="s">
        <v>98</v>
      </c>
      <c r="C9996" s="6" t="n">
        <f aca="false">Sens!$C$9994+cash_val-debt_val-fl_val+oai_v</f>
        <v>2279.87099961276</v>
      </c>
    </row>
    <row r="9997" customFormat="false" ht="17.15" hidden="false" customHeight="false" outlineLevel="0" collapsed="false">
      <c r="A9997" s="0" t="s">
        <v>1149</v>
      </c>
      <c r="B9997" s="0" t="s">
        <v>75</v>
      </c>
      <c r="C9997" s="5" t="n">
        <f aca="false">Sens!$C$9996/shd_val</f>
        <v>306.187348860162</v>
      </c>
    </row>
    <row r="9998" customFormat="false" ht="15" hidden="false" customHeight="false" outlineLevel="0" collapsed="false">
      <c r="A9998" s="1" t="s">
        <v>1228</v>
      </c>
      <c r="B9998" s="0" t="s">
        <v>75</v>
      </c>
      <c r="C9998" s="8" t="n">
        <f aca="false">div_rem27+Sens!G9966*roll_div_q/q_per_yr</f>
        <v>3.9795</v>
      </c>
    </row>
    <row r="9999" customFormat="false" ht="17.15" hidden="false" customHeight="false" outlineLevel="0" collapsed="false">
      <c r="A9999" s="0" t="s">
        <v>1229</v>
      </c>
      <c r="B9999" s="0" t="s">
        <v>75</v>
      </c>
      <c r="C9999" s="5" t="n">
        <f aca="false">Sens!$C$9997*(1+wacc)^t_roll-Sens!$C$9998</f>
        <v>336.364826801758</v>
      </c>
    </row>
    <row r="10000" customFormat="false" ht="17.15" hidden="false" customHeight="false" outlineLevel="0" collapsed="false">
      <c r="A10000" s="1" t="s">
        <v>1230</v>
      </c>
      <c r="B10000" s="0" t="s">
        <v>168</v>
      </c>
      <c r="F10000" s="7" t="n">
        <f aca="false">Sens!F9952/(Sens!F9897-Sens!F9852)</f>
        <v>0.0685650555749162</v>
      </c>
      <c r="G10000" s="7" t="n">
        <f aca="false">Sens!G9952/(Sens!G9897-Sens!G9852)</f>
        <v>0.065652183548839</v>
      </c>
      <c r="H10000" s="7" t="n">
        <f aca="false">Sens!H9952/(Sens!H9897-Sens!H9852)</f>
        <v>0.064046904652494</v>
      </c>
      <c r="I10000" s="7" t="n">
        <f aca="false">Sens!I9952/(Sens!I9897-Sens!I9852)</f>
        <v>0.0636347594972775</v>
      </c>
      <c r="J10000" s="7" t="n">
        <f aca="false">Sens!J9952/(Sens!J9897-Sens!J9852)</f>
        <v>0.0641376243309058</v>
      </c>
      <c r="K10000" s="7" t="n">
        <f aca="false">Sens!K9952/(Sens!K9897-Sens!K9852)</f>
        <v>0.0652203587720254</v>
      </c>
    </row>
    <row r="10001" customFormat="false" ht="17.15" hidden="false" customHeight="false" outlineLevel="0" collapsed="false">
      <c r="A10001" s="0" t="s">
        <v>1231</v>
      </c>
      <c r="B10001" s="0" t="s">
        <v>98</v>
      </c>
      <c r="F10001" s="6" t="n">
        <f aca="false">Sens!F9882*(al_m365+Sens!F10000+sbc_r)</f>
        <v>83.7140977547826</v>
      </c>
      <c r="G10001" s="6" t="n">
        <f aca="false">Sens!G9882*(al_m365+Sens!G10000+sbc_r)</f>
        <v>96.1053638024752</v>
      </c>
      <c r="H10001" s="6" t="n">
        <f aca="false">Sens!H9882*(al_m365+Sens!H10000+sbc_r)</f>
        <v>108.650463505479</v>
      </c>
      <c r="I10001" s="6" t="n">
        <f aca="false">Sens!I9882*(al_m365+Sens!I10000+sbc_r)</f>
        <v>120.168750928389</v>
      </c>
      <c r="J10001" s="6" t="n">
        <f aca="false">Sens!J9882*(al_m365+Sens!J10000+sbc_r)</f>
        <v>130.472743274781</v>
      </c>
      <c r="K10001" s="6" t="n">
        <f aca="false">Sens!K9882*(al_m365+Sens!K10000+sbc_r)</f>
        <v>140.379873912971</v>
      </c>
      <c r="L10001" s="12" t="s">
        <v>1232</v>
      </c>
    </row>
    <row r="10002" customFormat="false" ht="17.15" hidden="false" customHeight="false" outlineLevel="0" collapsed="false">
      <c r="A10002" s="0" t="s">
        <v>1233</v>
      </c>
      <c r="B10002" s="0" t="s">
        <v>98</v>
      </c>
      <c r="F10002" s="6" t="n">
        <f aca="false">Sens!F9883*(al_lic+Sens!F10000+sbc_r)</f>
        <v>32.8556732936519</v>
      </c>
      <c r="G10002" s="6" t="n">
        <f aca="false">Sens!G9883*(al_lic+Sens!G10000+sbc_r)</f>
        <v>34.1303777891279</v>
      </c>
      <c r="H10002" s="6" t="n">
        <f aca="false">Sens!H9883*(al_lic+Sens!H10000+sbc_r)</f>
        <v>35.3183605892554</v>
      </c>
      <c r="I10002" s="6" t="n">
        <f aca="false">Sens!I9883*(al_lic+Sens!I10000+sbc_r)</f>
        <v>36.401680371516</v>
      </c>
      <c r="J10002" s="6" t="n">
        <f aca="false">Sens!J9883*(al_lic+Sens!J10000+sbc_r)</f>
        <v>37.3551164240106</v>
      </c>
      <c r="K10002" s="6" t="n">
        <f aca="false">Sens!K9883*(al_lic+Sens!K10000+sbc_r)</f>
        <v>38.1506669091164</v>
      </c>
    </row>
    <row r="10003" customFormat="false" ht="17.15" hidden="false" customHeight="false" outlineLevel="0" collapsed="false">
      <c r="A10003" s="0" t="s">
        <v>1234</v>
      </c>
      <c r="B10003" s="0" t="s">
        <v>98</v>
      </c>
      <c r="F10003" s="6" t="n">
        <f aca="false">Sens!F9885*(al_ind+Sens!F10000+sbc_r)</f>
        <v>9.05920052659852</v>
      </c>
      <c r="G10003" s="6" t="n">
        <f aca="false">Sens!G9885*(al_ind+Sens!G10000+sbc_r)</f>
        <v>9.83177122063388</v>
      </c>
      <c r="H10003" s="6" t="n">
        <f aca="false">Sens!H9885*(al_ind+Sens!H10000+sbc_r)</f>
        <v>10.6479270022151</v>
      </c>
      <c r="I10003" s="6" t="n">
        <f aca="false">Sens!I9885*(al_ind+Sens!I10000+sbc_r)</f>
        <v>11.5045690182738</v>
      </c>
      <c r="J10003" s="6" t="n">
        <f aca="false">Sens!J9885*(al_ind+Sens!J10000+sbc_r)</f>
        <v>12.3919162126903</v>
      </c>
      <c r="K10003" s="6" t="n">
        <f aca="false">Sens!K9885*(al_ind+Sens!K10000+sbc_r)</f>
        <v>13.2951053479846</v>
      </c>
    </row>
    <row r="10004" customFormat="false" ht="17.15" hidden="false" customHeight="false" outlineLevel="0" collapsed="false">
      <c r="A10004" s="0" t="s">
        <v>1235</v>
      </c>
      <c r="B10004" s="0" t="s">
        <v>98</v>
      </c>
      <c r="F10004" s="6" t="n">
        <f aca="false">Sens!F9887*(al_fro+Sens!F10000+sbc_r)</f>
        <v>3.55355232497918</v>
      </c>
      <c r="G10004" s="6" t="n">
        <f aca="false">Sens!G9887*(al_fro+Sens!G10000+sbc_r)</f>
        <v>3.76192381829014</v>
      </c>
      <c r="H10004" s="6" t="n">
        <f aca="false">Sens!H9887*(al_fro+Sens!H10000+sbc_r)</f>
        <v>3.99879633958883</v>
      </c>
      <c r="I10004" s="6" t="n">
        <f aca="false">Sens!I9887*(al_fro+Sens!I10000+sbc_r)</f>
        <v>4.26690632805323</v>
      </c>
      <c r="J10004" s="6" t="n">
        <f aca="false">Sens!J9887*(al_fro+Sens!J10000+sbc_r)</f>
        <v>4.56735094657798</v>
      </c>
      <c r="K10004" s="6" t="n">
        <f aca="false">Sens!K9887*(al_fro+Sens!K10000+sbc_r)</f>
        <v>4.90024391334943</v>
      </c>
    </row>
    <row r="10005" customFormat="false" ht="17.15" hidden="false" customHeight="false" outlineLevel="0" collapsed="false">
      <c r="A10005" s="0" t="s">
        <v>1236</v>
      </c>
      <c r="B10005" s="0" t="s">
        <v>98</v>
      </c>
      <c r="F10005" s="6" t="n">
        <f aca="false">Sens!F9890*(al_srch+Sens!F10000+sbc_r)</f>
        <v>11.1875880117267</v>
      </c>
      <c r="G10005" s="6" t="n">
        <f aca="false">Sens!G9890*(al_srch+Sens!G10000+sbc_r)</f>
        <v>12.2562294357749</v>
      </c>
      <c r="H10005" s="6" t="n">
        <f aca="false">Sens!H9890*(al_srch+Sens!H10000+sbc_r)</f>
        <v>13.3680754317865</v>
      </c>
      <c r="I10005" s="6" t="n">
        <f aca="false">Sens!I9890*(al_srch+Sens!I10000+sbc_r)</f>
        <v>14.5124262640918</v>
      </c>
      <c r="J10005" s="6" t="n">
        <f aca="false">Sens!J9890*(al_srch+Sens!J10000+sbc_r)</f>
        <v>15.6692368257128</v>
      </c>
      <c r="K10005" s="6" t="n">
        <f aca="false">Sens!K9890*(al_srch+Sens!K10000+sbc_r)</f>
        <v>16.8112946169723</v>
      </c>
    </row>
    <row r="10006" customFormat="false" ht="17.15" hidden="false" customHeight="false" outlineLevel="0" collapsed="false">
      <c r="A10006" s="0" t="s">
        <v>1237</v>
      </c>
      <c r="B10006" s="0" t="s">
        <v>98</v>
      </c>
      <c r="F10006" s="6" t="n">
        <f aca="false">Sens!F9858-Sens!F9859+Sens!F9940</f>
        <v>42.5431090240393</v>
      </c>
      <c r="G10006" s="6" t="n">
        <f aca="false">Sens!G9858-Sens!G9859+Sens!G9940</f>
        <v>81.4922561130847</v>
      </c>
      <c r="H10006" s="6" t="n">
        <f aca="false">Sens!H9858-Sens!H9859+Sens!H9940</f>
        <v>123.278266211349</v>
      </c>
      <c r="I10006" s="6" t="n">
        <f aca="false">Sens!I9858-Sens!I9859+Sens!I9940</f>
        <v>160.60594185192</v>
      </c>
      <c r="J10006" s="6" t="n">
        <f aca="false">Sens!J9858-Sens!J9859+Sens!J9940</f>
        <v>186.818741832633</v>
      </c>
      <c r="K10006" s="6" t="n">
        <f aca="false">Sens!K9858-Sens!K9859+Sens!K9940</f>
        <v>202.776422159652</v>
      </c>
    </row>
    <row r="10007" customFormat="false" ht="17.15" hidden="false" customHeight="false" outlineLevel="0" collapsed="false">
      <c r="A10007" s="0" t="s">
        <v>1238</v>
      </c>
      <c r="B10007" s="0" t="s">
        <v>98</v>
      </c>
      <c r="F10007" s="6" t="n">
        <f aca="false">Sens!F9919+Sens!F9940+Sens!F9870+Sens!F10000*(Sens!F9889-Sens!F9852)+sbc_r*Sens!F9889</f>
        <v>238.327744765605</v>
      </c>
      <c r="G10007" s="6" t="n">
        <f aca="false">Sens!G9919+Sens!G9940+Sens!G9870+Sens!G10000*(Sens!G9889-Sens!G9852)+sbc_r*Sens!G9889</f>
        <v>300.983346401947</v>
      </c>
      <c r="H10007" s="6" t="n">
        <f aca="false">Sens!H9919+Sens!H9940+Sens!H9870+Sens!H10000*(Sens!H9889-Sens!H9852)+sbc_r*Sens!H9889</f>
        <v>372.128231619478</v>
      </c>
      <c r="I10007" s="6" t="n">
        <f aca="false">Sens!I9919+Sens!I9940+Sens!I9870+Sens!I10000*(Sens!I9889-Sens!I9852)+sbc_r*Sens!I9889</f>
        <v>438.452103942412</v>
      </c>
      <c r="J10007" s="6" t="n">
        <f aca="false">Sens!J9919+Sens!J9940+Sens!J9870+Sens!J10000*(Sens!J9889-Sens!J9852)+sbc_r*Sens!J9889</f>
        <v>492.455096024826</v>
      </c>
      <c r="K10007" s="6" t="n">
        <f aca="false">Sens!K9919+Sens!K9940+Sens!K9870+Sens!K10000*(Sens!K9889-Sens!K9852)+sbc_r*Sens!K9889</f>
        <v>535.229235079187</v>
      </c>
    </row>
    <row r="10008" customFormat="false" ht="17.15" hidden="false" customHeight="false" outlineLevel="0" collapsed="false">
      <c r="A10008" s="0" t="s">
        <v>1239</v>
      </c>
      <c r="B10008" s="0" t="s">
        <v>98</v>
      </c>
      <c r="F10008" s="6" t="n">
        <f aca="false">Sens!F10007-Sens!F10001-Sens!F10002-Sens!F10003-Sens!F10004-Sens!F10006</f>
        <v>66.6021118415535</v>
      </c>
      <c r="G10008" s="6" t="n">
        <f aca="false">Sens!G10007-Sens!G10001-Sens!G10002-Sens!G10003-Sens!G10004-Sens!G10006</f>
        <v>75.6616536583348</v>
      </c>
      <c r="H10008" s="6" t="n">
        <f aca="false">Sens!H10007-Sens!H10001-Sens!H10002-Sens!H10003-Sens!H10004-Sens!H10006</f>
        <v>90.2344179715911</v>
      </c>
      <c r="I10008" s="6" t="n">
        <f aca="false">Sens!I10007-Sens!I10001-Sens!I10002-Sens!I10003-Sens!I10004-Sens!I10006</f>
        <v>105.504255444261</v>
      </c>
      <c r="J10008" s="6" t="n">
        <f aca="false">Sens!J10007-Sens!J10001-Sens!J10002-Sens!J10003-Sens!J10004-Sens!J10006</f>
        <v>120.849227334134</v>
      </c>
      <c r="K10008" s="6" t="n">
        <f aca="false">Sens!K10007-Sens!K10001-Sens!K10002-Sens!K10003-Sens!K10004-Sens!K10006</f>
        <v>135.726922836113</v>
      </c>
    </row>
    <row r="10009" customFormat="false" ht="17.15" hidden="false" customHeight="false" outlineLevel="0" collapsed="false">
      <c r="A10009" s="0" t="s">
        <v>1240</v>
      </c>
      <c r="B10009" s="0" t="s">
        <v>98</v>
      </c>
      <c r="F10009" s="6" t="n">
        <f aca="false">Sens!F9921+Sens!F10000*Sens!F9896+sbc_r*Sens!F9896</f>
        <v>26.6301313708808</v>
      </c>
      <c r="G10009" s="6" t="n">
        <f aca="false">Sens!G9921+Sens!G10000*Sens!G9896+sbc_r*Sens!G9896</f>
        <v>26.4600785632949</v>
      </c>
      <c r="H10009" s="6" t="n">
        <f aca="false">Sens!H9921+Sens!H10000*Sens!H9896+sbc_r*Sens!H9896</f>
        <v>27.323247637483</v>
      </c>
      <c r="I10009" s="6" t="n">
        <f aca="false">Sens!I9921+Sens!I10000*Sens!I9896+sbc_r*Sens!I9896</f>
        <v>28.4193394821443</v>
      </c>
      <c r="J10009" s="6" t="n">
        <f aca="false">Sens!J9921+Sens!J10000*Sens!J9896+sbc_r*Sens!J9896</f>
        <v>29.7130905371851</v>
      </c>
      <c r="K10009" s="6" t="n">
        <f aca="false">Sens!K9921+Sens!K10000*Sens!K9896+sbc_r*Sens!K9896</f>
        <v>31.1680332768914</v>
      </c>
    </row>
    <row r="10010" customFormat="false" ht="17.15" hidden="false" customHeight="false" outlineLevel="0" collapsed="false">
      <c r="A10010" s="0" t="s">
        <v>1241</v>
      </c>
      <c r="B10010" s="0" t="s">
        <v>98</v>
      </c>
      <c r="F10010" s="6" t="n">
        <f aca="false">(Sens!F10009-Sens!F10005)*Sens!F9892/(Sens!F9892+Sens!F9894)</f>
        <v>8.72172485814738</v>
      </c>
      <c r="G10010" s="6" t="n">
        <f aca="false">(Sens!G10009-Sens!G10005)*Sens!G9892/(Sens!G9892+Sens!G9894)</f>
        <v>7.88425768996865</v>
      </c>
      <c r="H10010" s="6" t="n">
        <f aca="false">(Sens!H10009-Sens!H10005)*Sens!H9892/(Sens!H9892+Sens!H9894)</f>
        <v>7.64531202262296</v>
      </c>
      <c r="I10010" s="6" t="n">
        <f aca="false">(Sens!I10009-Sens!I10005)*Sens!I9892/(Sens!I9892+Sens!I9894)</f>
        <v>7.5523724506933</v>
      </c>
      <c r="J10010" s="6" t="n">
        <f aca="false">(Sens!J10009-Sens!J10005)*Sens!J9892/(Sens!J9892+Sens!J9894)</f>
        <v>7.59346507723052</v>
      </c>
      <c r="K10010" s="6" t="n">
        <f aca="false">(Sens!K10009-Sens!K10005)*Sens!K9892/(Sens!K9892+Sens!K9894)</f>
        <v>7.76264093010066</v>
      </c>
    </row>
    <row r="10011" customFormat="false" ht="17.15" hidden="false" customHeight="false" outlineLevel="0" collapsed="false">
      <c r="A10011" s="0" t="s">
        <v>1242</v>
      </c>
      <c r="B10011" s="0" t="s">
        <v>98</v>
      </c>
      <c r="F10011" s="6" t="n">
        <f aca="false">Sens!F10009-Sens!F10005-Sens!F10010</f>
        <v>6.72081850100678</v>
      </c>
      <c r="G10011" s="6" t="n">
        <f aca="false">Sens!G10009-Sens!G10005-Sens!G10010</f>
        <v>6.3195914375514</v>
      </c>
      <c r="H10011" s="6" t="n">
        <f aca="false">Sens!H10009-Sens!H10005-Sens!H10010</f>
        <v>6.3098601830735</v>
      </c>
      <c r="I10011" s="6" t="n">
        <f aca="false">Sens!I10009-Sens!I10005-Sens!I10010</f>
        <v>6.35454076735919</v>
      </c>
      <c r="J10011" s="6" t="n">
        <f aca="false">Sens!J10009-Sens!J10005-Sens!J10010</f>
        <v>6.45038863424174</v>
      </c>
      <c r="K10011" s="6" t="n">
        <f aca="false">Sens!K10009-Sens!K10005-Sens!K10010</f>
        <v>6.59409772981839</v>
      </c>
    </row>
    <row r="10012" customFormat="false" ht="17.15" hidden="false" customHeight="false" outlineLevel="0" collapsed="false">
      <c r="A10012" s="0" t="s">
        <v>1243</v>
      </c>
      <c r="B10012" s="0" t="s">
        <v>98</v>
      </c>
      <c r="F10012" s="6" t="n">
        <f aca="false">Sens!F10006-tax_f*(Sens!F10006-Sens!F9870)-Sens!F9867</f>
        <v>-127.503553927218</v>
      </c>
      <c r="G10012" s="6" t="n">
        <f aca="false">Sens!G10006-tax_f*(Sens!G10006-Sens!G9870)-Sens!G9867</f>
        <v>-114.603772628121</v>
      </c>
      <c r="H10012" s="6" t="n">
        <f aca="false">Sens!H10006-tax_f*(Sens!H10006-Sens!H9870)-Sens!H9867</f>
        <v>-80.3633729631438</v>
      </c>
      <c r="I10012" s="6" t="n">
        <f aca="false">Sens!I10006-tax_f*(Sens!I10006-Sens!I9870)-Sens!I9867</f>
        <v>-17.2838782011649</v>
      </c>
      <c r="J10012" s="6" t="n">
        <f aca="false">Sens!J10006-tax_f*(Sens!J10006-Sens!J9870)-Sens!J9867</f>
        <v>46.9281968800854</v>
      </c>
      <c r="K10012" s="6" t="n">
        <f aca="false">Sens!K10006-tax_f*(Sens!K10006-Sens!K9870)-Sens!K9867</f>
        <v>71.8608185731755</v>
      </c>
    </row>
    <row r="10013" customFormat="false" ht="17.15" hidden="false" customHeight="false" outlineLevel="0" collapsed="false">
      <c r="A10013" s="0" t="s">
        <v>1244</v>
      </c>
      <c r="B10013" s="0" t="s">
        <v>98</v>
      </c>
      <c r="G10013" s="6" t="n">
        <f aca="false">Sens!G10012/(1+wacc)^(Sens!G9983-Sens!F9984)</f>
        <v>-109.124845494465</v>
      </c>
      <c r="H10013" s="6" t="n">
        <f aca="false">Sens!H10012/(1+wacc)^(Sens!H9983-Sens!F9984)</f>
        <v>-69.3796874071025</v>
      </c>
      <c r="I10013" s="6" t="n">
        <f aca="false">Sens!I10012/(1+wacc)^(Sens!I9983-Sens!F9984)</f>
        <v>-13.5289731380471</v>
      </c>
      <c r="J10013" s="6" t="n">
        <f aca="false">Sens!J10012/(1+wacc)^(Sens!J9983-Sens!F9984)</f>
        <v>33.3048099587126</v>
      </c>
      <c r="K10013" s="6" t="n">
        <f aca="false">Sens!K10012/(1+wacc)^(Sens!K9983-Sens!F9984)</f>
        <v>46.2396679904913</v>
      </c>
      <c r="L10013" s="1" t="s">
        <v>1245</v>
      </c>
    </row>
    <row r="10014" customFormat="false" ht="17.15" hidden="false" customHeight="false" outlineLevel="0" collapsed="false">
      <c r="A10014" s="0" t="s">
        <v>1246</v>
      </c>
      <c r="B10014" s="0" t="s">
        <v>98</v>
      </c>
      <c r="C10014" s="6" t="n">
        <f aca="false">(Sens!K10006-Sens!K9870)*(1-tax_f)*(1+g_tv)*(1-g_tv/(wacc+ronic_prem))/(wacc-g_tv)/(1+wacc)^(Sens!K9984-Sens!F9984)</f>
        <v>293.118051086843</v>
      </c>
    </row>
    <row r="10015" customFormat="false" ht="17.15" hidden="false" customHeight="false" outlineLevel="0" collapsed="false">
      <c r="A10015" s="1" t="s">
        <v>1247</v>
      </c>
      <c r="B10015" s="0" t="s">
        <v>98</v>
      </c>
      <c r="C10015" s="6" t="n">
        <f aca="false">(SUM(Sens!G10013:K10013)+Sens!$C$10014)*(1+wacc)^(t_roll-Sens!F9984)</f>
        <v>186.592133308255</v>
      </c>
      <c r="L10015" s="12" t="s">
        <v>1248</v>
      </c>
    </row>
    <row r="10016" customFormat="false" ht="17.15" hidden="false" customHeight="false" outlineLevel="0" collapsed="false">
      <c r="A10016" s="1" t="s">
        <v>1249</v>
      </c>
      <c r="B10016" s="0" t="s">
        <v>98</v>
      </c>
      <c r="C10016" s="6" t="n">
        <f aca="false">(w_ntm28*Sens!G9858+(1-w_ntm28)*Sens!H9858)*m_ai</f>
        <v>463.789109510335</v>
      </c>
    </row>
    <row r="10017" customFormat="false" ht="17.15" hidden="false" customHeight="false" outlineLevel="0" collapsed="false">
      <c r="A10017" s="1" t="s">
        <v>1250</v>
      </c>
      <c r="B10017" s="0" t="s">
        <v>98</v>
      </c>
      <c r="C10017" s="6" t="n">
        <f aca="false">(w_ntm28*Sens!G10008+(1-w_ntm28)*Sens!H10008)*m_cloud</f>
        <v>1111.85630653655</v>
      </c>
    </row>
    <row r="10018" customFormat="false" ht="17.15" hidden="false" customHeight="false" outlineLevel="0" collapsed="false">
      <c r="A10018" s="1" t="s">
        <v>1251</v>
      </c>
      <c r="B10018" s="0" t="s">
        <v>98</v>
      </c>
      <c r="C10018" s="6" t="n">
        <f aca="false">(w_ntm28*Sens!G10001+(1-w_ntm28)*Sens!H10001)*m_sw</f>
        <v>1082.48162554644</v>
      </c>
    </row>
    <row r="10019" customFormat="false" ht="17.15" hidden="false" customHeight="false" outlineLevel="0" collapsed="false">
      <c r="A10019" s="1" t="s">
        <v>1252</v>
      </c>
      <c r="B10019" s="0" t="s">
        <v>98</v>
      </c>
      <c r="C10019" s="6" t="n">
        <f aca="false">(w_ntm28*Sens!G10002+(1-w_ntm28)*Sens!H10002)*m_sw</f>
        <v>372.826232749884</v>
      </c>
    </row>
    <row r="10020" customFormat="false" ht="17.15" hidden="false" customHeight="false" outlineLevel="0" collapsed="false">
      <c r="A10020" s="1" t="s">
        <v>1253</v>
      </c>
      <c r="B10020" s="0" t="s">
        <v>98</v>
      </c>
      <c r="C10020" s="6" t="n">
        <f aca="false">(w_ntm28*Sens!G10003+(1-w_ntm28)*Sens!H10003)*m_sw</f>
        <v>109.081041218269</v>
      </c>
    </row>
    <row r="10021" customFormat="false" ht="17.15" hidden="false" customHeight="false" outlineLevel="0" collapsed="false">
      <c r="A10021" s="1" t="s">
        <v>1254</v>
      </c>
      <c r="B10021" s="0" t="s">
        <v>98</v>
      </c>
      <c r="C10021" s="6" t="n">
        <f aca="false">(w_ntm28*Sens!G10004+(1-w_ntm28)*Sens!H10004)*m_sw</f>
        <v>41.4698369295968</v>
      </c>
    </row>
    <row r="10022" customFormat="false" ht="17.15" hidden="false" customHeight="false" outlineLevel="0" collapsed="false">
      <c r="A10022" s="1" t="s">
        <v>1255</v>
      </c>
      <c r="B10022" s="0" t="s">
        <v>98</v>
      </c>
      <c r="C10022" s="6" t="n">
        <f aca="false">(w_ntm28*Sens!G10005+(1-w_ntm28)*Sens!H10005)*m_ads</f>
        <v>114.984305071799</v>
      </c>
    </row>
    <row r="10023" customFormat="false" ht="17.15" hidden="false" customHeight="false" outlineLevel="0" collapsed="false">
      <c r="A10023" s="1" t="s">
        <v>1256</v>
      </c>
      <c r="B10023" s="0" t="s">
        <v>98</v>
      </c>
      <c r="C10023" s="6" t="n">
        <f aca="false">(w_ntm28*Sens!G10010+(1-w_ntm28)*Sens!H10010)*m_game</f>
        <v>98.585993656005</v>
      </c>
    </row>
    <row r="10024" customFormat="false" ht="17.15" hidden="false" customHeight="false" outlineLevel="0" collapsed="false">
      <c r="A10024" s="1" t="s">
        <v>1257</v>
      </c>
      <c r="B10024" s="0" t="s">
        <v>98</v>
      </c>
      <c r="C10024" s="6" t="n">
        <f aca="false">(w_ntm28*Sens!G10011+(1-w_ntm28)*Sens!H10011)*m_pc</f>
        <v>91.3981939910251</v>
      </c>
    </row>
    <row r="10025" customFormat="false" ht="17.15" hidden="false" customHeight="false" outlineLevel="0" collapsed="false">
      <c r="A10025" s="1" t="s">
        <v>1258</v>
      </c>
      <c r="B10025" s="0" t="s">
        <v>98</v>
      </c>
      <c r="C10025" s="6" t="n">
        <f aca="false">Sens!$C$10015+Sens!$C$10017+Sens!$C$10018+Sens!$C$10019+Sens!$C$10020+Sens!$C$10021+Sens!$C$10022+Sens!$C$10023+Sens!$C$10024</f>
        <v>3209.27566900783</v>
      </c>
    </row>
    <row r="10026" customFormat="false" ht="17.15" hidden="false" customHeight="false" outlineLevel="0" collapsed="false">
      <c r="A10026" s="1" t="s">
        <v>1259</v>
      </c>
      <c r="B10026" s="0" t="s">
        <v>98</v>
      </c>
      <c r="C10026" s="6" t="n">
        <f aca="false">(Sens!G9987-Sens!G10012)*t_stub</f>
        <v>48.0301456812456</v>
      </c>
      <c r="L10026" s="1" t="s">
        <v>1260</v>
      </c>
    </row>
    <row r="10027" customFormat="false" ht="17.15" hidden="false" customHeight="false" outlineLevel="0" collapsed="false">
      <c r="A10027" s="1" t="s">
        <v>1169</v>
      </c>
      <c r="B10027" s="0" t="s">
        <v>98</v>
      </c>
      <c r="C10027" s="6" t="n">
        <f aca="false">Sens!F9974+oai_v-Sens!F9963+Sens!$C$10026</f>
        <v>162.258415681246</v>
      </c>
      <c r="L10027" s="1" t="s">
        <v>1261</v>
      </c>
    </row>
    <row r="10028" customFormat="false" ht="17.15" hidden="false" customHeight="false" outlineLevel="0" collapsed="false">
      <c r="A10028" s="1" t="s">
        <v>1262</v>
      </c>
      <c r="B10028" s="0" t="s">
        <v>75</v>
      </c>
      <c r="C10028" s="5" t="n">
        <f aca="false">(Sens!$C$10025+Sens!$C$10027)/(Sens!F9976+dil_gap)-Sens!G9966*roll_div_q/q_per_yr</f>
        <v>448.78012020946</v>
      </c>
      <c r="L10028" s="1" t="s">
        <v>1263</v>
      </c>
    </row>
    <row r="10029" customFormat="false" ht="17.15" hidden="false" customHeight="false" outlineLevel="0" collapsed="false">
      <c r="A10029" s="1" t="s">
        <v>1264</v>
      </c>
      <c r="B10029" s="0" t="s">
        <v>75</v>
      </c>
      <c r="C10029" s="5" t="n">
        <f aca="false">w_dcf*Sens!$C$9999+(1-w_dcf)*Sens!$C$10028</f>
        <v>392.572473505609</v>
      </c>
    </row>
    <row r="10030" customFormat="false" ht="17.15" hidden="false" customHeight="false" outlineLevel="0" collapsed="false">
      <c r="A10030" s="3" t="s">
        <v>1730</v>
      </c>
    </row>
    <row r="10031" customFormat="false" ht="15" hidden="false" customHeight="false" outlineLevel="0" collapsed="false">
      <c r="A10031" s="4" t="s">
        <v>43</v>
      </c>
      <c r="B10031" s="4" t="s">
        <v>65</v>
      </c>
      <c r="C10031" s="23" t="s">
        <v>938</v>
      </c>
      <c r="D10031" s="23" t="s">
        <v>939</v>
      </c>
      <c r="E10031" s="23" t="s">
        <v>940</v>
      </c>
      <c r="F10031" s="23" t="s">
        <v>941</v>
      </c>
      <c r="G10031" s="23" t="s">
        <v>942</v>
      </c>
      <c r="H10031" s="23" t="s">
        <v>943</v>
      </c>
      <c r="I10031" s="23" t="s">
        <v>944</v>
      </c>
      <c r="J10031" s="23" t="s">
        <v>945</v>
      </c>
      <c r="K10031" s="23" t="s">
        <v>946</v>
      </c>
      <c r="L10031" s="4" t="s">
        <v>47</v>
      </c>
    </row>
    <row r="10032" customFormat="false" ht="17.15" hidden="false" customHeight="false" outlineLevel="0" collapsed="false">
      <c r="A10032" s="1" t="s">
        <v>947</v>
      </c>
      <c r="B10032" s="1" t="s">
        <v>279</v>
      </c>
      <c r="C10032" s="21" t="n">
        <v>2024</v>
      </c>
      <c r="D10032" s="21" t="n">
        <v>2025</v>
      </c>
      <c r="E10032" s="21" t="n">
        <v>2026</v>
      </c>
      <c r="F10032" s="21" t="n">
        <v>2027</v>
      </c>
      <c r="G10032" s="21" t="n">
        <v>2028</v>
      </c>
      <c r="H10032" s="21" t="n">
        <v>2029</v>
      </c>
      <c r="I10032" s="21" t="n">
        <v>2030</v>
      </c>
      <c r="J10032" s="21" t="n">
        <v>2031</v>
      </c>
      <c r="K10032" s="21" t="n">
        <v>2032</v>
      </c>
    </row>
    <row r="10033" customFormat="false" ht="17.15" hidden="false" customHeight="false" outlineLevel="0" collapsed="false">
      <c r="A10033" s="1" t="s">
        <v>948</v>
      </c>
      <c r="B10033" s="0" t="s">
        <v>456</v>
      </c>
      <c r="F10033" s="30" t="n">
        <f aca="false">pace</f>
        <v>2726.5351</v>
      </c>
      <c r="G10033" s="30" t="n">
        <f aca="false">pace</f>
        <v>2726.5351</v>
      </c>
      <c r="H10033" s="30" t="n">
        <f aca="false">pace</f>
        <v>2726.5351</v>
      </c>
      <c r="I10033" s="30" t="n">
        <f aca="false">pace+(g_tv*Sens!H10034-pace)*MIN(1,(Sens!I10032-pace_y0)/(pace_y1-pace_y0))</f>
        <v>1931.98611966667</v>
      </c>
      <c r="J10033" s="30" t="n">
        <f aca="false">pace+(g_tv*Sens!I10034-pace)*MIN(1,(Sens!J10032-pace_y0)/(pace_y1-pace_y0))</f>
        <v>1176.07686172667</v>
      </c>
      <c r="K10033" s="30" t="n">
        <f aca="false">pace+(g_tv*Sens!J10034-pace)*MIN(1,(Sens!K10032-pace_y0)/(pace_y1-pace_y0))</f>
        <v>436.1300484418</v>
      </c>
      <c r="L10033" s="12" t="s">
        <v>949</v>
      </c>
    </row>
    <row r="10034" customFormat="false" ht="17.15" hidden="false" customHeight="false" outlineLevel="0" collapsed="false">
      <c r="A10034" s="1" t="s">
        <v>950</v>
      </c>
      <c r="B10034" s="0" t="s">
        <v>456</v>
      </c>
      <c r="C10034" s="30" t="n">
        <f aca="false">mw_ext_24</f>
        <v>640</v>
      </c>
      <c r="D10034" s="30" t="n">
        <f aca="false">mw_ext_25</f>
        <v>1630</v>
      </c>
      <c r="E10034" s="30" t="n">
        <f aca="false">mw_ext_26</f>
        <v>3250</v>
      </c>
      <c r="F10034" s="30" t="n">
        <f aca="false">Sens!E10034+Sens!F10033</f>
        <v>5976.5351</v>
      </c>
      <c r="G10034" s="30" t="n">
        <f aca="false">Sens!F10034+Sens!G10033</f>
        <v>8703.0702</v>
      </c>
      <c r="H10034" s="30" t="n">
        <f aca="false">Sens!G10034+Sens!H10033</f>
        <v>11429.6053</v>
      </c>
      <c r="I10034" s="30" t="n">
        <f aca="false">Sens!H10034+Sens!I10033</f>
        <v>13361.5914196667</v>
      </c>
      <c r="J10034" s="30" t="n">
        <f aca="false">Sens!I10034+Sens!J10033</f>
        <v>14537.6682813933</v>
      </c>
      <c r="K10034" s="30" t="n">
        <f aca="false">Sens!J10034+Sens!K10033</f>
        <v>14973.7983298351</v>
      </c>
      <c r="L10034" s="1" t="s">
        <v>951</v>
      </c>
    </row>
    <row r="10035" customFormat="false" ht="17.15" hidden="false" customHeight="false" outlineLevel="0" collapsed="false">
      <c r="A10035" s="1" t="s">
        <v>952</v>
      </c>
      <c r="B10035" s="0" t="s">
        <v>456</v>
      </c>
      <c r="C10035" s="30" t="n">
        <f aca="false">rent_ext_24</f>
        <v>150</v>
      </c>
      <c r="D10035" s="30" t="n">
        <f aca="false">rent_ext_25</f>
        <v>400</v>
      </c>
      <c r="E10035" s="30" t="n">
        <f aca="false">rent_ext_26</f>
        <v>550</v>
      </c>
      <c r="F10035" s="30" t="n">
        <f aca="false">rent_ext_f</f>
        <v>756</v>
      </c>
      <c r="G10035" s="30" t="n">
        <f aca="false">rent_ext_f</f>
        <v>756</v>
      </c>
      <c r="H10035" s="30" t="n">
        <f aca="false">rent_ext_f</f>
        <v>756</v>
      </c>
      <c r="I10035" s="30" t="n">
        <f aca="false">rent_ext_f</f>
        <v>756</v>
      </c>
      <c r="J10035" s="30" t="n">
        <f aca="false">rent_ext_f</f>
        <v>756</v>
      </c>
      <c r="K10035" s="30" t="n">
        <f aca="false">rent_ext_f</f>
        <v>756</v>
      </c>
      <c r="L10035" s="1" t="s">
        <v>953</v>
      </c>
    </row>
    <row r="10036" customFormat="false" ht="17.15" hidden="false" customHeight="false" outlineLevel="0" collapsed="false">
      <c r="A10036" s="1" t="s">
        <v>954</v>
      </c>
      <c r="B10036" s="0" t="s">
        <v>456</v>
      </c>
      <c r="C10036" s="30" t="n">
        <f aca="false">Sens!C10034-Sens!C10035</f>
        <v>490</v>
      </c>
      <c r="D10036" s="30" t="n">
        <f aca="false">Sens!D10034-Sens!D10035</f>
        <v>1230</v>
      </c>
      <c r="E10036" s="30" t="n">
        <f aca="false">Sens!E10034-Sens!E10035</f>
        <v>2700</v>
      </c>
      <c r="F10036" s="30" t="n">
        <f aca="false">Sens!F10034-Sens!F10035</f>
        <v>5220.5351</v>
      </c>
      <c r="G10036" s="30" t="n">
        <f aca="false">Sens!G10034-Sens!G10035</f>
        <v>7947.0702</v>
      </c>
      <c r="H10036" s="30" t="n">
        <f aca="false">Sens!H10034-Sens!H10035</f>
        <v>10673.6053</v>
      </c>
      <c r="I10036" s="30" t="n">
        <f aca="false">Sens!I10034-Sens!I10035</f>
        <v>12605.5914196667</v>
      </c>
      <c r="J10036" s="30" t="n">
        <f aca="false">Sens!J10034-Sens!J10035</f>
        <v>13781.6682813933</v>
      </c>
      <c r="K10036" s="30" t="n">
        <f aca="false">Sens!K10034-Sens!K10035</f>
        <v>14217.7983298351</v>
      </c>
    </row>
    <row r="10037" customFormat="false" ht="17.15" hidden="false" customHeight="false" outlineLevel="0" collapsed="false">
      <c r="A10037" s="1" t="s">
        <v>955</v>
      </c>
      <c r="B10037" s="0" t="s">
        <v>456</v>
      </c>
      <c r="C10037" s="30" t="n">
        <f aca="false">Sens!C10036/ext_sh</f>
        <v>816.666666666667</v>
      </c>
      <c r="D10037" s="30" t="n">
        <f aca="false">Sens!D10036/ext_sh</f>
        <v>2050</v>
      </c>
      <c r="E10037" s="30" t="n">
        <f aca="false">Sens!E10036/ext_sh</f>
        <v>4500</v>
      </c>
      <c r="F10037" s="30" t="n">
        <f aca="false">Sens!F10036/ext_sh</f>
        <v>8700.89183333333</v>
      </c>
      <c r="G10037" s="30" t="n">
        <f aca="false">Sens!G10036/ext_sh</f>
        <v>13245.117</v>
      </c>
      <c r="H10037" s="30" t="n">
        <f aca="false">Sens!H10036/ext_sh</f>
        <v>17789.3421666667</v>
      </c>
      <c r="I10037" s="30" t="n">
        <f aca="false">Sens!I10036/ext_sh</f>
        <v>21009.3190327778</v>
      </c>
      <c r="J10037" s="30" t="n">
        <f aca="false">Sens!J10036/ext_sh</f>
        <v>22969.4471356556</v>
      </c>
      <c r="K10037" s="30" t="n">
        <f aca="false">Sens!K10036/ext_sh</f>
        <v>23696.3305497252</v>
      </c>
      <c r="L10037" s="1" t="s">
        <v>956</v>
      </c>
    </row>
    <row r="10038" customFormat="false" ht="17.15" hidden="false" customHeight="false" outlineLevel="0" collapsed="false">
      <c r="A10038" s="1" t="s">
        <v>957</v>
      </c>
      <c r="B10038" s="0" t="s">
        <v>456</v>
      </c>
      <c r="C10038" s="30" t="n">
        <f aca="false">Sens!C10037-Sens!C10036</f>
        <v>326.666666666667</v>
      </c>
      <c r="D10038" s="30" t="n">
        <f aca="false">Sens!D10037-Sens!D10036</f>
        <v>820</v>
      </c>
      <c r="E10038" s="30" t="n">
        <f aca="false">Sens!E10037-Sens!E10036</f>
        <v>1800</v>
      </c>
      <c r="F10038" s="30" t="n">
        <f aca="false">Sens!F10037-Sens!F10036</f>
        <v>3480.35673333333</v>
      </c>
      <c r="G10038" s="30" t="n">
        <f aca="false">Sens!G10037-Sens!G10036</f>
        <v>5298.0468</v>
      </c>
      <c r="H10038" s="30" t="n">
        <f aca="false">Sens!H10037-Sens!H10036</f>
        <v>7115.73686666667</v>
      </c>
      <c r="I10038" s="30" t="n">
        <f aca="false">Sens!I10037-Sens!I10036</f>
        <v>8403.72761311111</v>
      </c>
      <c r="J10038" s="30" t="n">
        <f aca="false">Sens!J10037-Sens!J10036</f>
        <v>9187.77885426222</v>
      </c>
      <c r="K10038" s="30" t="n">
        <f aca="false">Sens!K10037-Sens!K10036</f>
        <v>9478.53221989009</v>
      </c>
    </row>
    <row r="10039" customFormat="false" ht="17.15" hidden="false" customHeight="false" outlineLevel="0" collapsed="false">
      <c r="A10039" s="1" t="s">
        <v>958</v>
      </c>
      <c r="B10039" s="0" t="s">
        <v>456</v>
      </c>
      <c r="C10039" s="30" t="n">
        <f aca="false">Sens!C10037</f>
        <v>816.666666666667</v>
      </c>
      <c r="D10039" s="30" t="n">
        <f aca="false">Sens!D10037-Sens!C10037</f>
        <v>1233.33333333333</v>
      </c>
      <c r="E10039" s="30" t="n">
        <f aca="false">Sens!E10037-Sens!D10037</f>
        <v>2450</v>
      </c>
      <c r="F10039" s="30" t="n">
        <f aca="false">Sens!F10037-Sens!E10037</f>
        <v>4200.89183333333</v>
      </c>
      <c r="G10039" s="30" t="n">
        <f aca="false">Sens!G10037-Sens!F10037</f>
        <v>4544.22516666667</v>
      </c>
      <c r="H10039" s="30" t="n">
        <f aca="false">Sens!H10037-Sens!G10037</f>
        <v>4544.22516666667</v>
      </c>
      <c r="I10039" s="30" t="n">
        <f aca="false">Sens!I10037-Sens!H10037</f>
        <v>3219.97686611111</v>
      </c>
      <c r="J10039" s="30" t="n">
        <f aca="false">Sens!J10037-Sens!I10037</f>
        <v>1960.12810287778</v>
      </c>
      <c r="K10039" s="30" t="n">
        <f aca="false">Sens!K10037-Sens!J10037</f>
        <v>726.883414069667</v>
      </c>
    </row>
    <row r="10040" customFormat="false" ht="17.15" hidden="false" customHeight="false" outlineLevel="0" collapsed="false">
      <c r="A10040" s="1" t="s">
        <v>959</v>
      </c>
      <c r="B10040" s="0" t="s">
        <v>456</v>
      </c>
      <c r="D10040" s="30" t="n">
        <f aca="false">Sens!D10034-Sens!C10034</f>
        <v>990</v>
      </c>
      <c r="E10040" s="30" t="n">
        <f aca="false">Sens!E10034-Sens!D10034</f>
        <v>1620</v>
      </c>
      <c r="F10040" s="30" t="n">
        <f aca="false">Sens!F10034-Sens!E10034</f>
        <v>2726.5351</v>
      </c>
      <c r="G10040" s="30" t="n">
        <f aca="false">Sens!G10034-Sens!F10034</f>
        <v>2726.5351</v>
      </c>
      <c r="H10040" s="30" t="n">
        <f aca="false">Sens!H10034-Sens!G10034</f>
        <v>2726.5351</v>
      </c>
      <c r="I10040" s="30" t="n">
        <f aca="false">Sens!I10034-Sens!H10034</f>
        <v>1931.98611966667</v>
      </c>
      <c r="J10040" s="30" t="n">
        <f aca="false">Sens!J10034-Sens!I10034</f>
        <v>1176.07686172667</v>
      </c>
      <c r="K10040" s="30" t="n">
        <f aca="false">Sens!K10034-Sens!J10034</f>
        <v>436.130048441799</v>
      </c>
    </row>
    <row r="10041" customFormat="false" ht="17.15" hidden="false" customHeight="false" outlineLevel="0" collapsed="false">
      <c r="A10041" s="1" t="s">
        <v>960</v>
      </c>
      <c r="B10041" s="0" t="s">
        <v>456</v>
      </c>
      <c r="F10041" s="30" t="n">
        <f aca="false">Sens!F10060*ext_sh</f>
        <v>0</v>
      </c>
      <c r="G10041" s="30" t="n">
        <f aca="false">Sens!G10060*ext_sh</f>
        <v>0</v>
      </c>
      <c r="H10041" s="30" t="n">
        <f aca="false">Sens!H10060*ext_sh</f>
        <v>0</v>
      </c>
      <c r="I10041" s="30" t="n">
        <f aca="false">Sens!I10060*ext_sh</f>
        <v>490</v>
      </c>
      <c r="J10041" s="30" t="n">
        <f aca="false">Sens!J10060*ext_sh</f>
        <v>740</v>
      </c>
      <c r="K10041" s="30" t="n">
        <f aca="false">Sens!K10060*ext_sh</f>
        <v>1470</v>
      </c>
      <c r="L10041" s="1" t="s">
        <v>961</v>
      </c>
    </row>
    <row r="10042" customFormat="false" ht="17.15" hidden="false" customHeight="false" outlineLevel="0" collapsed="false">
      <c r="A10042" s="1" t="s">
        <v>962</v>
      </c>
      <c r="B10042" s="0" t="s">
        <v>456</v>
      </c>
      <c r="C10042" s="30" t="n">
        <f aca="false">mix_h*Sens!C10034</f>
        <v>128</v>
      </c>
      <c r="D10042" s="30" t="n">
        <f aca="false">mix_h*Sens!D10034</f>
        <v>326</v>
      </c>
      <c r="E10042" s="30" t="n">
        <f aca="false">mix_h*Sens!E10034</f>
        <v>650</v>
      </c>
      <c r="F10042" s="30" t="n">
        <f aca="false">Sens!E10042-Sens!F10041*mix_h</f>
        <v>650</v>
      </c>
      <c r="G10042" s="30" t="n">
        <f aca="false">Sens!F10042-Sens!G10041*mix_h</f>
        <v>650</v>
      </c>
      <c r="H10042" s="30" t="n">
        <f aca="false">Sens!G10042-Sens!H10041*mix_h</f>
        <v>650</v>
      </c>
      <c r="I10042" s="30" t="n">
        <f aca="false">Sens!H10042-Sens!I10041*mix_h</f>
        <v>552</v>
      </c>
      <c r="J10042" s="30" t="n">
        <f aca="false">Sens!I10042-Sens!J10041*mix_h</f>
        <v>404</v>
      </c>
      <c r="K10042" s="30" t="n">
        <f aca="false">Sens!J10042-Sens!K10041*mix_h</f>
        <v>110</v>
      </c>
    </row>
    <row r="10043" customFormat="false" ht="17.15" hidden="false" customHeight="false" outlineLevel="0" collapsed="false">
      <c r="A10043" s="1" t="s">
        <v>963</v>
      </c>
      <c r="B10043" s="0" t="s">
        <v>456</v>
      </c>
      <c r="C10043" s="30" t="n">
        <f aca="false">mix_g2*Sens!C10034</f>
        <v>288</v>
      </c>
      <c r="D10043" s="30" t="n">
        <f aca="false">mix_g2*Sens!D10034</f>
        <v>733.5</v>
      </c>
      <c r="E10043" s="30" t="n">
        <f aca="false">mix_g2*Sens!E10034</f>
        <v>1462.5</v>
      </c>
      <c r="F10043" s="30" t="n">
        <f aca="false">Sens!E10043-Sens!F10041*mix_g2</f>
        <v>1462.5</v>
      </c>
      <c r="G10043" s="30" t="n">
        <f aca="false">Sens!F10043-Sens!G10041*mix_g2</f>
        <v>1462.5</v>
      </c>
      <c r="H10043" s="30" t="n">
        <f aca="false">Sens!G10043-Sens!H10041*mix_g2</f>
        <v>1462.5</v>
      </c>
      <c r="I10043" s="30" t="n">
        <f aca="false">Sens!H10043-Sens!I10041*mix_g2</f>
        <v>1242</v>
      </c>
      <c r="J10043" s="30" t="n">
        <f aca="false">Sens!I10043-Sens!J10041*mix_g2</f>
        <v>909</v>
      </c>
      <c r="K10043" s="30" t="n">
        <f aca="false">Sens!J10043-Sens!K10041*mix_g2</f>
        <v>247.5</v>
      </c>
    </row>
    <row r="10044" customFormat="false" ht="17.15" hidden="false" customHeight="false" outlineLevel="0" collapsed="false">
      <c r="A10044" s="1" t="s">
        <v>964</v>
      </c>
      <c r="B10044" s="0" t="s">
        <v>456</v>
      </c>
      <c r="C10044" s="30" t="n">
        <f aca="false">mix_g3*Sens!C10034</f>
        <v>224</v>
      </c>
      <c r="D10044" s="30" t="n">
        <f aca="false">mix_g3*Sens!D10034</f>
        <v>570.5</v>
      </c>
      <c r="E10044" s="30" t="n">
        <f aca="false">mix_g3*Sens!E10034</f>
        <v>1137.5</v>
      </c>
      <c r="F10044" s="30" t="n">
        <f aca="false">Sens!E10044+(Sens!F10040+Sens!F10041)*(a_g3_27-nonnv*a_mai)-Sens!F10041*mix_g3</f>
        <v>2773.42106</v>
      </c>
      <c r="G10044" s="30" t="n">
        <f aca="false">Sens!F10044+(Sens!G10040+Sens!G10041)*(a_g3_28-nonnv*a_mai)-Sens!G10041*mix_g3</f>
        <v>3318.72808</v>
      </c>
      <c r="H10044" s="30" t="n">
        <f aca="false">Sens!G10044+(Sens!H10040+Sens!H10041)*(a_g3_29-nonnv*a_mai)-Sens!H10041*mix_g3</f>
        <v>3318.72808</v>
      </c>
      <c r="I10044" s="30" t="n">
        <f aca="false">Sens!H10044+(Sens!I10040+Sens!I10041)*(a_g3_29-nonnv*a_mai)-Sens!I10041*mix_g3</f>
        <v>3147.22808</v>
      </c>
      <c r="J10044" s="30" t="n">
        <f aca="false">Sens!I10044+(Sens!J10040+Sens!J10041)*(a_g3_29-nonnv*a_mai)-Sens!J10041*mix_g3</f>
        <v>2888.22808</v>
      </c>
      <c r="K10044" s="30" t="n">
        <f aca="false">Sens!J10044+(Sens!K10040+Sens!K10041)*(a_g3_29-nonnv*a_mai)-Sens!K10041*mix_g3</f>
        <v>2373.72808</v>
      </c>
    </row>
    <row r="10045" customFormat="false" ht="17.15" hidden="false" customHeight="false" outlineLevel="0" collapsed="false">
      <c r="A10045" s="1" t="s">
        <v>965</v>
      </c>
      <c r="B10045" s="0" t="s">
        <v>456</v>
      </c>
      <c r="C10045" s="30" t="n">
        <v>0</v>
      </c>
      <c r="D10045" s="30" t="n">
        <v>0</v>
      </c>
      <c r="E10045" s="30" t="n">
        <v>0</v>
      </c>
      <c r="F10045" s="30" t="n">
        <f aca="false">Sens!E10045+(Sens!F10040+Sens!F10041)*nonnv*a_mai</f>
        <v>272.65351</v>
      </c>
      <c r="G10045" s="30" t="n">
        <f aca="false">Sens!F10045+(Sens!G10040+Sens!G10041)*nonnv*a_mai</f>
        <v>545.30702</v>
      </c>
      <c r="H10045" s="30" t="n">
        <f aca="false">Sens!G10045+(Sens!H10040+Sens!H10041)*nonnv*a_mai</f>
        <v>817.96053</v>
      </c>
      <c r="I10045" s="30" t="n">
        <f aca="false">Sens!H10045+(Sens!I10040+Sens!I10041)*nonnv*a_mai</f>
        <v>1060.15914196667</v>
      </c>
      <c r="J10045" s="30" t="n">
        <f aca="false">Sens!I10045+(Sens!J10040+Sens!J10041)*nonnv*a_mai</f>
        <v>1251.76682813933</v>
      </c>
      <c r="K10045" s="30" t="n">
        <f aca="false">Sens!J10045+(Sens!K10040+Sens!K10041)*nonnv*a_mai</f>
        <v>1442.37983298351</v>
      </c>
      <c r="L10045" s="12" t="s">
        <v>966</v>
      </c>
    </row>
    <row r="10046" customFormat="false" ht="17.15" hidden="false" customHeight="false" outlineLevel="0" collapsed="false">
      <c r="A10046" s="1" t="s">
        <v>967</v>
      </c>
      <c r="B10046" s="0" t="s">
        <v>456</v>
      </c>
      <c r="C10046" s="30" t="n">
        <v>0</v>
      </c>
      <c r="D10046" s="30" t="n">
        <v>0</v>
      </c>
      <c r="E10046" s="30" t="n">
        <v>0</v>
      </c>
      <c r="F10046" s="30" t="n">
        <f aca="false">Sens!E10046+(Sens!F10040+Sens!F10041)*(1-a_g3_27)</f>
        <v>817.96053</v>
      </c>
      <c r="G10046" s="30" t="n">
        <f aca="false">Sens!F10046+(Sens!G10040+Sens!G10041)*(1-a_g3_28)</f>
        <v>2726.5351</v>
      </c>
      <c r="H10046" s="30" t="n">
        <f aca="false">Sens!G10046+(Sens!H10040+Sens!H10041)*(1-a_g3_29)</f>
        <v>5180.41669</v>
      </c>
      <c r="I10046" s="30" t="n">
        <f aca="false">Sens!H10046+(Sens!I10040+Sens!I10041)*(1-a_g3_29)</f>
        <v>7360.2041977</v>
      </c>
      <c r="J10046" s="30" t="n">
        <f aca="false">Sens!I10046+(Sens!J10040+Sens!J10041)*(1-a_g3_29)</f>
        <v>9084.673373254</v>
      </c>
      <c r="K10046" s="30" t="n">
        <f aca="false">Sens!J10046+(Sens!K10040+Sens!K10041)*(1-a_g3_29)</f>
        <v>10800.1904168516</v>
      </c>
    </row>
    <row r="10047" customFormat="false" ht="17.15" hidden="false" customHeight="false" outlineLevel="0" collapsed="false">
      <c r="A10047" s="1" t="s">
        <v>968</v>
      </c>
      <c r="B10047" s="0" t="s">
        <v>403</v>
      </c>
      <c r="C10047" s="15" t="n">
        <f aca="false">(Sens!C10042*tk_hold_h100+Sens!C10043*tk_hold_gb200+Sens!C10044*tk_hold_gb300+Sens!C10046*tk_hold_vr200+Sens!C10045*nv_hold_mai*tk_hold_vr200)/Sens!C10034</f>
        <v>9.7235358126469</v>
      </c>
      <c r="D10047" s="15" t="n">
        <f aca="false">(Sens!D10042*tk_hold_h100+Sens!D10043*tk_hold_gb200+Sens!D10044*tk_hold_gb300+Sens!D10046*tk_hold_vr200+Sens!D10045*nv_hold_mai*tk_hold_vr200)/Sens!D10034</f>
        <v>9.7235358126469</v>
      </c>
      <c r="E10047" s="15" t="n">
        <f aca="false">(Sens!E10042*tk_hold_h100+Sens!E10043*tk_hold_gb200+Sens!E10044*tk_hold_gb300+Sens!E10046*tk_hold_vr200+Sens!E10045*nv_hold_mai*tk_hold_vr200)/Sens!E10034</f>
        <v>9.7235358126469</v>
      </c>
      <c r="F10047" s="15" t="n">
        <f aca="false">(Sens!F10042*tk_hold_h100+Sens!F10043*tk_hold_gb200+Sens!F10044*tk_hold_gb300+Sens!F10046*tk_hold_vr200+Sens!F10045*nv_hold_mai*tk_hold_vr200)/Sens!F10034</f>
        <v>10.2195353876665</v>
      </c>
      <c r="G10047" s="15" t="n">
        <f aca="false">(Sens!G10042*tk_hold_h100+Sens!G10043*tk_hold_gb200+Sens!G10044*tk_hold_gb300+Sens!G10046*tk_hold_vr200+Sens!G10045*nv_hold_mai*tk_hold_vr200)/Sens!G10034</f>
        <v>10.5725598017306</v>
      </c>
      <c r="H10047" s="15" t="n">
        <f aca="false">(Sens!H10042*tk_hold_h100+Sens!H10043*tk_hold_gb200+Sens!H10044*tk_hold_gb300+Sens!H10046*tk_hold_vr200+Sens!H10045*nv_hold_mai*tk_hold_vr200)/Sens!H10034</f>
        <v>10.8210427149036</v>
      </c>
      <c r="I10047" s="15" t="n">
        <f aca="false">(Sens!I10042*tk_hold_h100+Sens!I10043*tk_hold_gb200+Sens!I10044*tk_hold_gb300+Sens!I10046*tk_hold_vr200+Sens!I10045*nv_hold_mai*tk_hold_vr200)/Sens!I10034</f>
        <v>11.0050618241982</v>
      </c>
      <c r="J10047" s="15" t="n">
        <f aca="false">(Sens!J10042*tk_hold_h100+Sens!J10043*tk_hold_gb200+Sens!J10044*tk_hold_gb300+Sens!J10046*tk_hold_vr200+Sens!J10045*nv_hold_mai*tk_hold_vr200)/Sens!J10034</f>
        <v>11.1505789658881</v>
      </c>
      <c r="K10047" s="15" t="n">
        <f aca="false">(Sens!K10042*tk_hold_h100+Sens!K10043*tk_hold_gb200+Sens!K10044*tk_hold_gb300+Sens!K10046*tk_hold_vr200+Sens!K10045*nv_hold_mai*tk_hold_vr200)/Sens!K10034</f>
        <v>11.3496914757183</v>
      </c>
      <c r="L10047" s="1" t="s">
        <v>969</v>
      </c>
    </row>
    <row r="10048" customFormat="false" ht="17.15" hidden="false" customHeight="false" outlineLevel="0" collapsed="false">
      <c r="A10048" s="1" t="s">
        <v>970</v>
      </c>
      <c r="B10048" s="0" t="s">
        <v>403</v>
      </c>
      <c r="C10048" s="15" t="n">
        <f aca="false">(Sens!C10042*tk_hold_h100+Sens!C10043*tk_hold_gb200+Sens!C10044*tk_hold_gb300+Sens!C10046*tk_hold_vr200+Sens!C10045*nv_out_mai*tk_hold_vr200)/Sens!C10034</f>
        <v>9.7235358126469</v>
      </c>
      <c r="D10048" s="15" t="n">
        <f aca="false">(Sens!D10042*tk_hold_h100+Sens!D10043*tk_hold_gb200+Sens!D10044*tk_hold_gb300+Sens!D10046*tk_hold_vr200+Sens!D10045*nv_out_mai*tk_hold_vr200)/Sens!D10034</f>
        <v>9.7235358126469</v>
      </c>
      <c r="E10048" s="15" t="n">
        <f aca="false">(Sens!E10042*tk_hold_h100+Sens!E10043*tk_hold_gb200+Sens!E10044*tk_hold_gb300+Sens!E10046*tk_hold_vr200+Sens!E10045*nv_out_mai*tk_hold_vr200)/Sens!E10034</f>
        <v>9.7235358126469</v>
      </c>
      <c r="F10048" s="15" t="n">
        <f aca="false">(Sens!F10042*tk_hold_h100+Sens!F10043*tk_hold_gb200+Sens!F10044*tk_hold_gb300+Sens!F10046*tk_hold_vr200+Sens!F10045*nv_out_mai*tk_hold_vr200)/Sens!F10034</f>
        <v>10.247422093969</v>
      </c>
      <c r="G10048" s="15" t="n">
        <f aca="false">(Sens!G10042*tk_hold_h100+Sens!G10043*tk_hold_gb200+Sens!G10044*tk_hold_gb300+Sens!G10046*tk_hold_vr200+Sens!G10045*nv_out_mai*tk_hold_vr200)/Sens!G10034</f>
        <v>10.6108602808053</v>
      </c>
      <c r="H10048" s="15" t="n">
        <f aca="false">(Sens!H10042*tk_hold_h100+Sens!H10043*tk_hold_gb200+Sens!H10044*tk_hold_gb300+Sens!H10046*tk_hold_vr200+Sens!H10045*nv_out_mai*tk_hold_vr200)/Sens!H10034</f>
        <v>10.8647885507393</v>
      </c>
      <c r="I10048" s="15" t="n">
        <f aca="false">(Sens!I10042*tk_hold_h100+Sens!I10043*tk_hold_gb200+Sens!I10044*tk_hold_gb300+Sens!I10046*tk_hold_vr200+Sens!I10045*nv_out_mai*tk_hold_vr200)/Sens!I10034</f>
        <v>11.0535625770025</v>
      </c>
      <c r="J10048" s="15" t="n">
        <f aca="false">(Sens!J10042*tk_hold_h100+Sens!J10043*tk_hold_gb200+Sens!J10044*tk_hold_gb300+Sens!J10046*tk_hold_vr200+Sens!J10045*nv_out_mai*tk_hold_vr200)/Sens!J10034</f>
        <v>11.2032127128058</v>
      </c>
      <c r="K10048" s="15" t="n">
        <f aca="false">(Sens!K10042*tk_hold_h100+Sens!K10043*tk_hold_gb200+Sens!K10044*tk_hold_gb300+Sens!K10046*tk_hold_vr200+Sens!K10045*nv_out_mai*tk_hold_vr200)/Sens!K10034</f>
        <v>11.4085735724225</v>
      </c>
      <c r="L10048" s="12" t="s">
        <v>971</v>
      </c>
    </row>
    <row r="10049" customFormat="false" ht="17.15" hidden="false" customHeight="false" outlineLevel="0" collapsed="false">
      <c r="A10049" s="0" t="s">
        <v>972</v>
      </c>
      <c r="B10049" s="0" t="s">
        <v>229</v>
      </c>
      <c r="C10049" s="15" t="n">
        <f aca="false">k_B</f>
        <v>1.17213932619116</v>
      </c>
      <c r="D10049" s="15" t="n">
        <f aca="false">k_B</f>
        <v>1.17213932619116</v>
      </c>
      <c r="E10049" s="15" t="n">
        <f aca="false">k_B</f>
        <v>1.17213932619116</v>
      </c>
      <c r="F10049" s="15" t="n">
        <f aca="false">(k_B+((ls_C*k_long+(1-ls_C)*k_spot)-k_B)*MIN(1,(Sens!F10032-base_fy)/k_ramp))</f>
        <v>1.07843258004497</v>
      </c>
      <c r="G10049" s="15" t="n">
        <f aca="false">(k_B+((ls_C*k_long+(1-ls_C)*k_spot)-k_B)*MIN(1,(Sens!G10032-base_fy)/k_ramp))</f>
        <v>0.984725833898784</v>
      </c>
      <c r="H10049" s="15" t="n">
        <f aca="false">(k_B+((ls_C*k_long+(1-ls_C)*k_spot)-k_B)*MIN(1,(Sens!H10032-base_fy)/k_ramp))</f>
        <v>0.891019087752599</v>
      </c>
      <c r="I10049" s="15" t="n">
        <f aca="false">(k_B+((ls_C*k_long+(1-ls_C)*k_spot)-k_B)*MIN(1,(Sens!I10032-base_fy)/k_ramp))</f>
        <v>0.891019087752599</v>
      </c>
      <c r="J10049" s="15" t="n">
        <f aca="false">(k_B+((ls_C*k_long+(1-ls_C)*k_spot)-k_B)*MIN(1,(Sens!J10032-base_fy)/k_ramp))</f>
        <v>0.891019087752599</v>
      </c>
      <c r="K10049" s="15" t="n">
        <f aca="false">(k_B+((ls_C*k_long+(1-ls_C)*k_spot)-k_B)*MIN(1,(Sens!K10032-base_fy)/k_ramp))</f>
        <v>0.891019087752599</v>
      </c>
      <c r="L10049" s="1" t="s">
        <v>973</v>
      </c>
    </row>
    <row r="10050" customFormat="false" ht="17.15" hidden="false" customHeight="false" outlineLevel="0" collapsed="false">
      <c r="A10050" s="1" t="s">
        <v>974</v>
      </c>
      <c r="B10050" s="0" t="s">
        <v>403</v>
      </c>
      <c r="C10050" s="15" t="n">
        <f aca="false">Sens!C10048*Sens!C10049*chip_f</f>
        <v>11.3973387156315</v>
      </c>
      <c r="D10050" s="15" t="n">
        <f aca="false">Sens!D10048*Sens!D10049*chip_f</f>
        <v>11.3973387156315</v>
      </c>
      <c r="E10050" s="15" t="n">
        <f aca="false">Sens!E10048*Sens!E10049*chip_f</f>
        <v>11.3973387156315</v>
      </c>
      <c r="F10050" s="15" t="n">
        <f aca="false">Sens!F10048*Sens!F10049*chip_f</f>
        <v>11.0511538476088</v>
      </c>
      <c r="G10050" s="15" t="n">
        <f aca="false">Sens!G10048*Sens!G10049*chip_f</f>
        <v>10.4487882383995</v>
      </c>
      <c r="H10050" s="15" t="n">
        <f aca="false">Sens!H10048*Sens!H10049*chip_f</f>
        <v>9.68073398310464</v>
      </c>
      <c r="I10050" s="15" t="n">
        <f aca="false">Sens!I10048*Sens!I10049*chip_f</f>
        <v>9.84893524377706</v>
      </c>
      <c r="J10050" s="15" t="n">
        <f aca="false">Sens!J10048*Sens!J10049*chip_f</f>
        <v>9.98227637126252</v>
      </c>
      <c r="K10050" s="15" t="n">
        <f aca="false">Sens!K10048*Sens!K10049*chip_f</f>
        <v>10.1652568170583</v>
      </c>
      <c r="L10050" s="1" t="s">
        <v>975</v>
      </c>
    </row>
    <row r="10051" customFormat="false" ht="17.15" hidden="false" customHeight="false" outlineLevel="0" collapsed="false">
      <c r="A10051" s="0" t="s">
        <v>976</v>
      </c>
      <c r="B10051" s="0" t="s">
        <v>98</v>
      </c>
      <c r="D10051" s="6" t="n">
        <f aca="false">(Sens!C10034+Sens!D10034)/2*Sens!D10050/1000</f>
        <v>12.9359794422418</v>
      </c>
      <c r="E10051" s="6" t="n">
        <f aca="false">(Sens!D10034+Sens!E10034)/2*Sens!E10050/1000</f>
        <v>27.8095064661409</v>
      </c>
      <c r="F10051" s="6" t="n">
        <f aca="false">(Sens!E10034+Sens!F10034)/2*Sens!F10050/1000</f>
        <v>50.9819294352312</v>
      </c>
      <c r="G10051" s="6" t="n">
        <f aca="false">(Sens!F10034+Sens!G10034)/2*Sens!G10050/1000</f>
        <v>76.6920436014933</v>
      </c>
      <c r="H10051" s="6" t="n">
        <f aca="false">(Sens!G10034+Sens!H10034)/2*Sens!H10050/1000</f>
        <v>97.4495379418341</v>
      </c>
      <c r="I10051" s="6" t="n">
        <f aca="false">(Sens!H10034+Sens!I10034)/2*Sens!I10050/1000</f>
        <v>122.083445553868</v>
      </c>
      <c r="J10051" s="6" t="n">
        <f aca="false">(Sens!I10034+Sens!J10034)/2*Sens!J10050/1000</f>
        <v>139.249060444804</v>
      </c>
      <c r="K10051" s="6" t="n">
        <f aca="false">(Sens!J10034+Sens!K10034)/2*Sens!K10050/1000</f>
        <v>149.995818575589</v>
      </c>
      <c r="L10051" s="12" t="s">
        <v>977</v>
      </c>
    </row>
    <row r="10052" customFormat="false" ht="17.15" hidden="false" customHeight="false" outlineLevel="0" collapsed="false">
      <c r="A10052" s="1" t="s">
        <v>978</v>
      </c>
      <c r="B10052" s="0" t="s">
        <v>403</v>
      </c>
      <c r="C10052" s="15" t="n">
        <f aca="false">(Sens!C10042*tk_opex_h100+Sens!C10043*tk_opex_gb200+Sens!C10044*tk_opex_gb300+(Sens!C10046+Sens!C10045)*tk_opex_vr200)/Sens!C10034</f>
        <v>1.88636041306092</v>
      </c>
      <c r="D10052" s="15" t="n">
        <f aca="false">(Sens!D10042*tk_opex_h100+Sens!D10043*tk_opex_gb200+Sens!D10044*tk_opex_gb300+(Sens!D10046+Sens!D10045)*tk_opex_vr200)/Sens!D10034</f>
        <v>1.88636041306092</v>
      </c>
      <c r="E10052" s="15" t="n">
        <f aca="false">(Sens!E10042*tk_opex_h100+Sens!E10043*tk_opex_gb200+Sens!E10044*tk_opex_gb300+(Sens!E10046+Sens!E10045)*tk_opex_vr200)/Sens!E10034</f>
        <v>1.88636041306092</v>
      </c>
      <c r="F10052" s="15" t="n">
        <f aca="false">(Sens!F10042*tk_opex_h100+Sens!F10043*tk_opex_gb200+Sens!F10044*tk_opex_gb300+(Sens!F10046+Sens!F10045)*tk_opex_vr200)/Sens!F10034</f>
        <v>1.95051159746876</v>
      </c>
      <c r="G10052" s="15" t="n">
        <f aca="false">(Sens!G10042*tk_opex_h100+Sens!G10043*tk_opex_gb200+Sens!G10044*tk_opex_gb300+(Sens!G10046+Sens!G10045)*tk_opex_vr200)/Sens!G10034</f>
        <v>1.98836003669956</v>
      </c>
      <c r="H10052" s="15" t="n">
        <f aca="false">(Sens!H10042*tk_opex_h100+Sens!H10043*tk_opex_gb200+Sens!H10044*tk_opex_gb300+(Sens!H10046+Sens!H10045)*tk_opex_vr200)/Sens!H10034</f>
        <v>2.01344013834343</v>
      </c>
      <c r="I10052" s="15" t="n">
        <f aca="false">(Sens!I10042*tk_opex_h100+Sens!I10043*tk_opex_gb200+Sens!I10044*tk_opex_gb300+(Sens!I10046+Sens!I10045)*tk_opex_vr200)/Sens!I10034</f>
        <v>2.03261166882178</v>
      </c>
      <c r="J10052" s="15" t="n">
        <f aca="false">(Sens!J10042*tk_opex_h100+Sens!J10043*tk_opex_gb200+Sens!J10044*tk_opex_gb300+(Sens!J10046+Sens!J10045)*tk_opex_vr200)/Sens!J10034</f>
        <v>2.04808073288745</v>
      </c>
      <c r="K10052" s="15" t="n">
        <f aca="false">(Sens!K10042*tk_opex_h100+Sens!K10043*tk_opex_gb200+Sens!K10044*tk_opex_gb300+(Sens!K10046+Sens!K10045)*tk_opex_vr200)/Sens!K10034</f>
        <v>2.06973825807449</v>
      </c>
      <c r="L10052" s="12" t="s">
        <v>979</v>
      </c>
    </row>
    <row r="10053" customFormat="false" ht="17.15" hidden="false" customHeight="false" outlineLevel="0" collapsed="false">
      <c r="A10053" s="0" t="s">
        <v>980</v>
      </c>
      <c r="B10053" s="0" t="s">
        <v>98</v>
      </c>
      <c r="D10053" s="6" t="n">
        <f aca="false">(Sens!C10037+Sens!D10037)/2*Sens!D10052/1000</f>
        <v>2.70378325872065</v>
      </c>
      <c r="E10053" s="6" t="n">
        <f aca="false">(Sens!D10037+Sens!E10037)/2*Sens!E10052/1000</f>
        <v>6.17783035277451</v>
      </c>
      <c r="F10053" s="6" t="n">
        <f aca="false">(Sens!E10037+Sens!F10037)/2*Sens!F10052/1000</f>
        <v>12.8742463089237</v>
      </c>
      <c r="G10053" s="6" t="n">
        <f aca="false">(Sens!F10037+Sens!G10037)/2*Sens!G10052/1000</f>
        <v>21.8182834646277</v>
      </c>
      <c r="H10053" s="6" t="n">
        <f aca="false">(Sens!G10037+Sens!H10037)/2*Sens!H10052/1000</f>
        <v>31.2430128789734</v>
      </c>
      <c r="I10053" s="6" t="n">
        <f aca="false">(Sens!H10037+Sens!I10037)/2*Sens!I10052/1000</f>
        <v>39.4313057443268</v>
      </c>
      <c r="J10053" s="6" t="n">
        <f aca="false">(Sens!I10037+Sens!J10037)/2*Sens!J10052/1000</f>
        <v>45.0360318228653</v>
      </c>
      <c r="K10053" s="6" t="n">
        <f aca="false">(Sens!J10037+Sens!K10037)/2*Sens!K10052/1000</f>
        <v>48.2929727091156</v>
      </c>
    </row>
    <row r="10054" customFormat="false" ht="17.15" hidden="false" customHeight="false" outlineLevel="0" collapsed="false">
      <c r="A10054" s="0" t="s">
        <v>981</v>
      </c>
      <c r="B10054" s="0" t="s">
        <v>98</v>
      </c>
      <c r="D10054" s="6" t="n">
        <f aca="false">(Sens!C10035+Sens!D10035)/2*rent_mw/1000</f>
        <v>2.44475</v>
      </c>
      <c r="E10054" s="6" t="n">
        <f aca="false">(Sens!D10035+Sens!E10035)/2*rent_mw/1000</f>
        <v>4.22275</v>
      </c>
      <c r="F10054" s="6" t="n">
        <f aca="false">(Sens!E10035+Sens!F10035)/2*rent_mw/1000</f>
        <v>5.80517</v>
      </c>
      <c r="G10054" s="6" t="n">
        <f aca="false">(Sens!F10035+Sens!G10035)/2*rent_mw/1000</f>
        <v>6.72084</v>
      </c>
      <c r="H10054" s="6" t="n">
        <f aca="false">(Sens!G10035+Sens!H10035)/2*rent_mw/1000</f>
        <v>6.72084</v>
      </c>
      <c r="I10054" s="6" t="n">
        <f aca="false">(Sens!H10035+Sens!I10035)/2*rent_mw/1000</f>
        <v>6.72084</v>
      </c>
      <c r="J10054" s="6" t="n">
        <f aca="false">(Sens!I10035+Sens!J10035)/2*rent_mw/1000</f>
        <v>6.72084</v>
      </c>
      <c r="K10054" s="6" t="n">
        <f aca="false">(Sens!J10035+Sens!K10035)/2*rent_mw/1000</f>
        <v>6.72084</v>
      </c>
    </row>
    <row r="10055" customFormat="false" ht="17.15" hidden="false" customHeight="false" outlineLevel="0" collapsed="false">
      <c r="A10055" s="0" t="s">
        <v>982</v>
      </c>
      <c r="B10055" s="0" t="s">
        <v>98</v>
      </c>
      <c r="D10055" s="6" t="n">
        <f aca="false">(Sens!C10037+Sens!D10037)/2*(1-self_build)*fac_rent/1000</f>
        <v>0.853242375631075</v>
      </c>
      <c r="E10055" s="6" t="n">
        <f aca="false">(Sens!D10037+Sens!E10037)/2*(1-self_build)*fac_rent/1000</f>
        <v>1.94955961408728</v>
      </c>
      <c r="F10055" s="6" t="n">
        <f aca="false">(Sens!E10037+Sens!F10037)/2*(1-self_build)*fac_rent/1000</f>
        <v>3.92914894476356</v>
      </c>
      <c r="G10055" s="6" t="n">
        <f aca="false">(Sens!F10037+Sens!G10037)/2*(1-self_build)*fac_rent/1000</f>
        <v>6.53206908578159</v>
      </c>
      <c r="H10055" s="6" t="n">
        <f aca="false">(Sens!G10037+Sens!H10037)/2*(1-self_build)*fac_rent/1000</f>
        <v>9.23717988341591</v>
      </c>
      <c r="I10055" s="6" t="n">
        <f aca="false">(Sens!H10037+Sens!I10037)/2*(1-self_build)*fac_rent/1000</f>
        <v>11.5481378557393</v>
      </c>
      <c r="J10055" s="6" t="n">
        <f aca="false">(Sens!I10037+Sens!J10037)/2*(1-self_build)*fac_rent/1000</f>
        <v>13.0899582289108</v>
      </c>
      <c r="K10055" s="6" t="n">
        <f aca="false">(Sens!J10037+Sens!K10037)/2*(1-self_build)*fac_rent/1000</f>
        <v>13.8897275626556</v>
      </c>
      <c r="L10055" s="12" t="s">
        <v>983</v>
      </c>
    </row>
    <row r="10056" customFormat="false" ht="17.15" hidden="false" customHeight="false" outlineLevel="0" collapsed="false">
      <c r="A10056" s="1" t="s">
        <v>984</v>
      </c>
      <c r="B10056" s="0" t="s">
        <v>168</v>
      </c>
      <c r="D10056" s="7" t="n">
        <f aca="false">(Sens!C10036+Sens!D10036)/(Sens!C10037+Sens!D10037)</f>
        <v>0.6</v>
      </c>
      <c r="E10056" s="7" t="n">
        <f aca="false">(Sens!D10036+Sens!E10036)/(Sens!D10037+Sens!E10037)</f>
        <v>0.6</v>
      </c>
      <c r="F10056" s="7" t="n">
        <f aca="false">(Sens!E10036+Sens!F10036)/(Sens!E10037+Sens!F10037)</f>
        <v>0.6</v>
      </c>
      <c r="G10056" s="7" t="n">
        <f aca="false">(Sens!F10036+Sens!G10036)/(Sens!F10037+Sens!G10037)</f>
        <v>0.6</v>
      </c>
      <c r="H10056" s="7" t="n">
        <f aca="false">(Sens!G10036+Sens!H10036)/(Sens!G10037+Sens!H10037)</f>
        <v>0.6</v>
      </c>
      <c r="I10056" s="7" t="n">
        <f aca="false">(Sens!H10036+Sens!I10036)/(Sens!H10037+Sens!I10037)</f>
        <v>0.6</v>
      </c>
      <c r="J10056" s="7" t="n">
        <f aca="false">(Sens!I10036+Sens!J10036)/(Sens!I10037+Sens!J10037)</f>
        <v>0.6</v>
      </c>
      <c r="K10056" s="7" t="n">
        <f aca="false">(Sens!J10036+Sens!K10036)/(Sens!J10037+Sens!K10037)</f>
        <v>0.6</v>
      </c>
    </row>
    <row r="10057" customFormat="false" ht="17.15" hidden="false" customHeight="false" outlineLevel="0" collapsed="false">
      <c r="A10057" s="0" t="s">
        <v>985</v>
      </c>
      <c r="B10057" s="0" t="s">
        <v>98</v>
      </c>
      <c r="D10057" s="6" t="n">
        <f aca="false">Sens!D10051-Sens!D10056*(Sens!D10053+Sens!D10055)-Sens!D10054</f>
        <v>8.35701406163072</v>
      </c>
      <c r="E10057" s="6" t="n">
        <f aca="false">Sens!E10051-Sens!E10056*(Sens!E10053+Sens!E10055)-Sens!E10054</f>
        <v>18.7103224860238</v>
      </c>
      <c r="F10057" s="6" t="n">
        <f aca="false">Sens!F10051-Sens!F10056*(Sens!F10053+Sens!F10055)-Sens!F10054</f>
        <v>35.0947222830189</v>
      </c>
      <c r="G10057" s="6" t="n">
        <f aca="false">Sens!G10051-Sens!G10056*(Sens!G10053+Sens!G10055)-Sens!G10054</f>
        <v>52.9609920712477</v>
      </c>
      <c r="H10057" s="6" t="n">
        <f aca="false">Sens!H10051-Sens!H10056*(Sens!H10053+Sens!H10055)-Sens!H10054</f>
        <v>66.4405822844005</v>
      </c>
      <c r="I10057" s="6" t="n">
        <f aca="false">Sens!I10051-Sens!I10056*(Sens!I10053+Sens!I10055)-Sens!I10054</f>
        <v>84.7749393938279</v>
      </c>
      <c r="J10057" s="6" t="n">
        <f aca="false">Sens!J10051-Sens!J10056*(Sens!J10053+Sens!J10055)-Sens!J10054</f>
        <v>97.6526264137382</v>
      </c>
      <c r="K10057" s="6" t="n">
        <f aca="false">Sens!K10051-Sens!K10056*(Sens!K10053+Sens!K10055)-Sens!K10054</f>
        <v>105.965358412527</v>
      </c>
    </row>
    <row r="10058" customFormat="false" ht="17.15" hidden="false" customHeight="false" outlineLevel="0" collapsed="false">
      <c r="A10058" s="1" t="s">
        <v>986</v>
      </c>
      <c r="B10058" s="0" t="s">
        <v>98</v>
      </c>
      <c r="D10058" s="6" t="n">
        <f aca="false">(1-Sens!D10056)*(Sens!D10053+Sens!D10055)</f>
        <v>1.42281025374069</v>
      </c>
      <c r="E10058" s="6" t="n">
        <f aca="false">(1-Sens!E10056)*(Sens!E10053+Sens!E10055)</f>
        <v>3.25095598674472</v>
      </c>
      <c r="F10058" s="6" t="n">
        <f aca="false">(1-Sens!F10056)*(Sens!F10053+Sens!F10055)</f>
        <v>6.72135810147489</v>
      </c>
      <c r="G10058" s="6" t="n">
        <f aca="false">(1-Sens!G10056)*(Sens!G10053+Sens!G10055)</f>
        <v>11.3401410201637</v>
      </c>
      <c r="H10058" s="6" t="n">
        <f aca="false">(1-Sens!H10056)*(Sens!H10053+Sens!H10055)</f>
        <v>16.1920771049557</v>
      </c>
      <c r="I10058" s="6" t="n">
        <f aca="false">(1-Sens!I10056)*(Sens!I10053+Sens!I10055)</f>
        <v>20.3917774400264</v>
      </c>
      <c r="J10058" s="6" t="n">
        <f aca="false">(1-Sens!J10056)*(Sens!J10053+Sens!J10055)</f>
        <v>23.2503960207104</v>
      </c>
      <c r="K10058" s="6" t="n">
        <f aca="false">(1-Sens!K10056)*(Sens!K10053+Sens!K10055)</f>
        <v>24.8730801087085</v>
      </c>
    </row>
    <row r="10059" customFormat="false" ht="17.15" hidden="false" customHeight="false" outlineLevel="0" collapsed="false">
      <c r="A10059" s="1" t="s">
        <v>987</v>
      </c>
      <c r="B10059" s="0" t="s">
        <v>414</v>
      </c>
      <c r="C10059" s="8" t="n">
        <f aca="false">cxit_open</f>
        <v>27.5918995</v>
      </c>
      <c r="D10059" s="8" t="n">
        <f aca="false">cxit_open</f>
        <v>27.5918995</v>
      </c>
      <c r="E10059" s="8" t="n">
        <f aca="false">cxit_open</f>
        <v>27.5918995</v>
      </c>
      <c r="F10059" s="8" t="n">
        <f aca="false">((a_g3_27-nonnv*a_mai)*tk_cxit_gb300+nonnv*a_mai*nv_hold_mai*tk_cxit_vr200+(1-a_g3_27)*tk_cxit_vr200)</f>
        <v>32.4975576</v>
      </c>
      <c r="G10059" s="8" t="n">
        <f aca="false">((a_g3_28-nonnv*a_mai)*tk_cxit_gb300+nonnv*a_mai*nv_hold_mai*tk_cxit_vr200+(1-a_g3_28)*tk_cxit_vr200)</f>
        <v>34.6372088</v>
      </c>
      <c r="H10059" s="8" t="n">
        <f aca="false">((a_g3_29-nonnv*a_mai)*tk_cxit_gb300+nonnv*a_mai*nv_hold_mai*tk_cxit_vr200+(1-a_g3_29)*tk_cxit_vr200)</f>
        <v>35.7070344</v>
      </c>
      <c r="I10059" s="8" t="n">
        <f aca="false">((a_g3_29-nonnv*a_mai)*tk_cxit_gb300+nonnv*a_mai*nv_hold_mai*tk_cxit_vr200+(1-a_g3_29)*tk_cxit_vr200)</f>
        <v>35.7070344</v>
      </c>
      <c r="J10059" s="8" t="n">
        <f aca="false">((a_g3_29-nonnv*a_mai)*tk_cxit_gb300+nonnv*a_mai*nv_hold_mai*tk_cxit_vr200+(1-a_g3_29)*tk_cxit_vr200)</f>
        <v>35.7070344</v>
      </c>
      <c r="K10059" s="8" t="n">
        <f aca="false">((a_g3_29-nonnv*a_mai)*tk_cxit_gb300+nonnv*a_mai*nv_hold_mai*tk_cxit_vr200+(1-a_g3_29)*tk_cxit_vr200)</f>
        <v>35.7070344</v>
      </c>
      <c r="L10059" s="12" t="s">
        <v>988</v>
      </c>
    </row>
    <row r="10060" customFormat="false" ht="17.15" hidden="false" customHeight="false" outlineLevel="0" collapsed="false">
      <c r="A10060" s="0" t="s">
        <v>989</v>
      </c>
      <c r="B10060" s="0" t="s">
        <v>456</v>
      </c>
      <c r="F10060" s="30" t="n">
        <f aca="false">Sens!C10039*IF(Sens!F10032-Sens!C10032=life_it,1,0)+Sens!D10039*IF(Sens!F10032-Sens!D10032=life_it,1,0)+Sens!E10039*IF(Sens!F10032-Sens!E10032=life_it,1,0)</f>
        <v>0</v>
      </c>
      <c r="G10060" s="30" t="n">
        <f aca="false">Sens!C10039*IF(Sens!G10032-Sens!C10032=life_it,1,0)+Sens!D10039*IF(Sens!G10032-Sens!D10032=life_it,1,0)+Sens!E10039*IF(Sens!G10032-Sens!E10032=life_it,1,0)+Sens!F10039*IF(Sens!G10032-Sens!F10032=life_it,1,0)</f>
        <v>0</v>
      </c>
      <c r="H10060" s="30" t="n">
        <f aca="false">Sens!C10039*IF(Sens!H10032-Sens!C10032=life_it,1,0)+Sens!D10039*IF(Sens!H10032-Sens!D10032=life_it,1,0)+Sens!E10039*IF(Sens!H10032-Sens!E10032=life_it,1,0)+Sens!F10039*IF(Sens!H10032-Sens!F10032=life_it,1,0)+Sens!G10039*IF(Sens!H10032-Sens!G10032=life_it,1,0)</f>
        <v>0</v>
      </c>
      <c r="I10060" s="30" t="n">
        <f aca="false">Sens!C10039*IF(Sens!I10032-Sens!C10032=life_it,1,0)+Sens!D10039*IF(Sens!I10032-Sens!D10032=life_it,1,0)+Sens!E10039*IF(Sens!I10032-Sens!E10032=life_it,1,0)+Sens!F10039*IF(Sens!I10032-Sens!F10032=life_it,1,0)+Sens!G10039*IF(Sens!I10032-Sens!G10032=life_it,1,0)+Sens!H10039*IF(Sens!I10032-Sens!H10032=life_it,1,0)</f>
        <v>816.666666666667</v>
      </c>
      <c r="J10060" s="30" t="n">
        <f aca="false">Sens!C10039*IF(Sens!J10032-Sens!C10032=life_it,1,0)+Sens!D10039*IF(Sens!J10032-Sens!D10032=life_it,1,0)+Sens!E10039*IF(Sens!J10032-Sens!E10032=life_it,1,0)+Sens!F10039*IF(Sens!J10032-Sens!F10032=life_it,1,0)+Sens!G10039*IF(Sens!J10032-Sens!G10032=life_it,1,0)+Sens!H10039*IF(Sens!J10032-Sens!H10032=life_it,1,0)+Sens!I10039*IF(Sens!J10032-Sens!I10032=life_it,1,0)</f>
        <v>1233.33333333333</v>
      </c>
      <c r="K10060" s="30" t="n">
        <f aca="false">Sens!C10039*IF(Sens!K10032-Sens!C10032=life_it,1,0)+Sens!D10039*IF(Sens!K10032-Sens!D10032=life_it,1,0)+Sens!E10039*IF(Sens!K10032-Sens!E10032=life_it,1,0)+Sens!F10039*IF(Sens!K10032-Sens!F10032=life_it,1,0)+Sens!G10039*IF(Sens!K10032-Sens!G10032=life_it,1,0)+Sens!H10039*IF(Sens!K10032-Sens!H10032=life_it,1,0)+Sens!I10039*IF(Sens!K10032-Sens!I10032=life_it,1,0)+Sens!J10039*IF(Sens!K10032-Sens!J10032=life_it,1,0)</f>
        <v>2450</v>
      </c>
      <c r="L10060" s="1" t="s">
        <v>990</v>
      </c>
    </row>
    <row r="10061" customFormat="false" ht="17.15" hidden="false" customHeight="false" outlineLevel="0" collapsed="false">
      <c r="A10061" s="0" t="s">
        <v>991</v>
      </c>
      <c r="B10061" s="0" t="s">
        <v>98</v>
      </c>
      <c r="C10061" s="6" t="n">
        <f aca="false">Sens!C10039*Sens!C10059/1000</f>
        <v>22.5333845916667</v>
      </c>
      <c r="D10061" s="6" t="n">
        <f aca="false">Sens!D10039*Sens!D10059/1000</f>
        <v>34.0300093833333</v>
      </c>
      <c r="E10061" s="6" t="n">
        <f aca="false">Sens!E10039*Sens!E10059/1000</f>
        <v>67.600153775</v>
      </c>
      <c r="F10061" s="6" t="n">
        <f aca="false">(Sens!F10039+Sens!F10060)*Sens!F10059/1000</f>
        <v>136.51872432512</v>
      </c>
      <c r="G10061" s="6" t="n">
        <f aca="false">(Sens!G10039+Sens!G10060)*Sens!G10059/1000</f>
        <v>157.399275932048</v>
      </c>
      <c r="H10061" s="6" t="n">
        <f aca="false">(Sens!H10039+Sens!H10060)*Sens!H10059/1000</f>
        <v>162.260804347512</v>
      </c>
      <c r="I10061" s="6" t="n">
        <f aca="false">(Sens!I10039+Sens!I10060)*Sens!I10059/1000</f>
        <v>144.136569485434</v>
      </c>
      <c r="J10061" s="6" t="n">
        <f aca="false">(Sens!J10039+Sens!J10060)*Sens!J10059/1000</f>
        <v>114.029037357864</v>
      </c>
      <c r="K10061" s="6" t="n">
        <f aca="false">(Sens!K10039+Sens!K10060)*Sens!K10059/1000</f>
        <v>113.437085350975</v>
      </c>
    </row>
    <row r="10062" customFormat="false" ht="17.15" hidden="false" customHeight="false" outlineLevel="0" collapsed="false">
      <c r="A10062" s="0" t="s">
        <v>992</v>
      </c>
      <c r="B10062" s="0" t="s">
        <v>98</v>
      </c>
      <c r="C10062" s="6" t="n">
        <f aca="false">Sens!C10039*self_build*tk_cxfac/1000</f>
        <v>6.2083</v>
      </c>
      <c r="D10062" s="6" t="n">
        <f aca="false">Sens!D10039*self_build*tk_cxfac/1000</f>
        <v>9.3758</v>
      </c>
      <c r="E10062" s="6" t="n">
        <f aca="false">Sens!E10039*self_build*tk_cxfac/1000</f>
        <v>18.6249</v>
      </c>
      <c r="F10062" s="6" t="n">
        <f aca="false">Sens!F10039*self_build*tk_cxfac/1000</f>
        <v>31.935179717</v>
      </c>
      <c r="G10062" s="6" t="n">
        <f aca="false">Sens!G10039*self_build*tk_cxfac/1000</f>
        <v>34.545199717</v>
      </c>
      <c r="H10062" s="6" t="n">
        <f aca="false">Sens!H10039*self_build*tk_cxfac/1000</f>
        <v>34.545199717</v>
      </c>
      <c r="I10062" s="6" t="n">
        <f aca="false">Sens!I10039*self_build*tk_cxfac/1000</f>
        <v>24.4782641361767</v>
      </c>
      <c r="J10062" s="6" t="n">
        <f aca="false">Sens!J10039*self_build*tk_cxfac/1000</f>
        <v>14.9008938380769</v>
      </c>
      <c r="K10062" s="6" t="n">
        <f aca="false">Sens!K10039*self_build*tk_cxfac/1000</f>
        <v>5.52576771375761</v>
      </c>
    </row>
    <row r="10063" customFormat="false" ht="17.15" hidden="false" customHeight="false" outlineLevel="0" collapsed="false">
      <c r="A10063" s="0" t="s">
        <v>993</v>
      </c>
      <c r="B10063" s="0" t="s">
        <v>98</v>
      </c>
      <c r="F10063" s="15" t="n">
        <f aca="false">capex_floor27-Sens!F10061-Sens!F10062-Sens!F10159</f>
        <v>-0.15709782049845</v>
      </c>
      <c r="L10063" s="12" t="s">
        <v>994</v>
      </c>
    </row>
    <row r="10064" customFormat="false" ht="17.15" hidden="false" customHeight="false" outlineLevel="0" collapsed="false">
      <c r="A10064" s="0" t="s">
        <v>995</v>
      </c>
      <c r="B10064" s="0" t="s">
        <v>98</v>
      </c>
      <c r="F10064" s="6" t="n">
        <f aca="false">MAX(0,Sens!F10063)</f>
        <v>0</v>
      </c>
    </row>
    <row r="10065" customFormat="false" ht="17.15" hidden="false" customHeight="false" outlineLevel="0" collapsed="false">
      <c r="A10065" s="0" t="s">
        <v>996</v>
      </c>
      <c r="B10065" s="0" t="s">
        <v>98</v>
      </c>
      <c r="C10065" s="6" t="n">
        <f aca="false">Sens!C10061</f>
        <v>22.5333845916667</v>
      </c>
      <c r="D10065" s="6" t="n">
        <f aca="false">Sens!D10061</f>
        <v>34.0300093833333</v>
      </c>
      <c r="E10065" s="6" t="n">
        <f aca="false">Sens!E10061</f>
        <v>67.600153775</v>
      </c>
      <c r="F10065" s="6" t="n">
        <f aca="false">Sens!F10061</f>
        <v>136.51872432512</v>
      </c>
      <c r="G10065" s="6" t="n">
        <f aca="false">Sens!G10061</f>
        <v>157.399275932048</v>
      </c>
      <c r="H10065" s="6" t="n">
        <f aca="false">Sens!H10061</f>
        <v>162.260804347512</v>
      </c>
      <c r="I10065" s="6" t="n">
        <f aca="false">Sens!I10061</f>
        <v>144.136569485434</v>
      </c>
      <c r="J10065" s="6" t="n">
        <f aca="false">Sens!J10061</f>
        <v>114.029037357864</v>
      </c>
      <c r="K10065" s="6" t="n">
        <f aca="false">Sens!K10061</f>
        <v>113.437085350975</v>
      </c>
    </row>
    <row r="10066" customFormat="false" ht="17.15" hidden="false" customHeight="false" outlineLevel="0" collapsed="false">
      <c r="A10066" s="0" t="s">
        <v>997</v>
      </c>
      <c r="B10066" s="0" t="s">
        <v>98</v>
      </c>
      <c r="C10066" s="6" t="n">
        <f aca="false">Sens!C10065+Sens!C10062</f>
        <v>28.7416845916667</v>
      </c>
      <c r="D10066" s="6" t="n">
        <f aca="false">Sens!D10065+Sens!D10062</f>
        <v>43.4058093833333</v>
      </c>
      <c r="E10066" s="6" t="n">
        <f aca="false">Sens!E10065+Sens!E10062</f>
        <v>86.225053775</v>
      </c>
      <c r="F10066" s="6" t="n">
        <f aca="false">Sens!F10065+Sens!F10062</f>
        <v>168.45390404212</v>
      </c>
      <c r="G10066" s="6" t="n">
        <f aca="false">Sens!G10065+Sens!G10062</f>
        <v>191.944475649048</v>
      </c>
      <c r="H10066" s="6" t="n">
        <f aca="false">Sens!H10065+Sens!H10062</f>
        <v>196.806004064512</v>
      </c>
      <c r="I10066" s="6" t="n">
        <f aca="false">Sens!I10065+Sens!I10062</f>
        <v>168.61483362161</v>
      </c>
      <c r="J10066" s="6" t="n">
        <f aca="false">Sens!J10065+Sens!J10062</f>
        <v>128.92993119594</v>
      </c>
      <c r="K10066" s="6" t="n">
        <f aca="false">Sens!K10065+Sens!K10062</f>
        <v>118.962853064733</v>
      </c>
      <c r="L10066" s="12" t="s">
        <v>998</v>
      </c>
    </row>
    <row r="10067" customFormat="false" ht="17.15" hidden="false" customHeight="false" outlineLevel="0" collapsed="false">
      <c r="A10067" s="0" t="s">
        <v>999</v>
      </c>
      <c r="B10067" s="0" t="s">
        <v>98</v>
      </c>
      <c r="E10067" s="6" t="n">
        <f aca="false">(Sens!C10065*IF(2&lt;life_it,1,IF(2=life_it,0.5,0))+Sens!D10065*IF(1&lt;life_it,1,IF(1=life_it,0.5,0))+Sens!E10065*0.5)/life_it</f>
        <v>15.0605784770833</v>
      </c>
      <c r="F10067" s="6" t="n">
        <f aca="false">(Sens!C10065*IF(3&lt;life_it,1,IF(3=life_it,0.5,0))+Sens!D10065*IF(2&lt;life_it,1,IF(2=life_it,0.5,0))+Sens!E10065*IF(1&lt;life_it,1,IF(1=life_it,0.5,0))+Sens!F10065*0.5)/life_it</f>
        <v>32.0704849854266</v>
      </c>
      <c r="G10067" s="6" t="n">
        <f aca="false">(Sens!C10065*IF(4&lt;life_it,1,IF(4=life_it,0.5,0))+Sens!D10065*IF(3&lt;life_it,1,IF(3=life_it,0.5,0))+Sens!E10065*IF(2&lt;life_it,1,IF(2=life_it,0.5,0))+Sens!F10065*IF(1&lt;life_it,1,IF(1=life_it,0.5,0))+Sens!G10065*0.5)/life_it</f>
        <v>56.5636516735239</v>
      </c>
      <c r="H10067" s="6" t="n">
        <f aca="false">(Sens!C10065*IF(5&lt;life_it,1,IF(5=life_it,0.5,0))+Sens!D10065*IF(4&lt;life_it,1,IF(4=life_it,0.5,0))+Sens!E10065*IF(3&lt;life_it,1,IF(3=life_it,0.5,0))+Sens!F10065*IF(2&lt;life_it,1,IF(2=life_it,0.5,0))+Sens!G10065*IF(1&lt;life_it,1,IF(1=life_it,0.5,0))+Sens!H10065*0.5)/life_it</f>
        <v>83.2019916968207</v>
      </c>
      <c r="I10067" s="6" t="n">
        <f aca="false">(Sens!C10065*IF(6&lt;life_it,1,IF(6=life_it,0.5,0))+Sens!D10065*IF(5&lt;life_it,1,IF(5=life_it,0.5,0))+Sens!E10065*IF(4&lt;life_it,1,IF(4=life_it,0.5,0))+Sens!F10065*IF(3&lt;life_it,1,IF(3=life_it,0.5,0))+Sens!G10065*IF(2&lt;life_it,1,IF(2=life_it,0.5,0))+Sens!H10065*IF(1&lt;life_it,1,IF(1=life_it,0.5,0))+Sens!I10065*0.5)/life_it</f>
        <v>106.857324133594</v>
      </c>
      <c r="J10067" s="6" t="n">
        <f aca="false">(Sens!C10065*IF(7&lt;life_it,1,IF(7=life_it,0.5,0))+Sens!D10065*IF(6&lt;life_it,1,IF(6=life_it,0.5,0))+Sens!E10065*IF(5&lt;life_it,1,IF(5=life_it,0.5,0))+Sens!F10065*IF(4&lt;life_it,1,IF(4=life_it,0.5,0))+Sens!G10065*IF(3&lt;life_it,1,IF(3=life_it,0.5,0))+Sens!H10065*IF(2&lt;life_it,1,IF(2=life_it,0.5,0))+Sens!I10065*IF(1&lt;life_it,1,IF(1=life_it,0.5,0))+Sens!J10065*0.5)/life_it</f>
        <v>123.657508539285</v>
      </c>
      <c r="K10067" s="6" t="n">
        <f aca="false">(Sens!C10065*IF(8&lt;life_it,1,IF(8=life_it,0.5,0))+Sens!D10065*IF(7&lt;life_it,1,IF(7=life_it,0.5,0))+Sens!E10065*IF(6&lt;life_it,1,IF(6=life_it,0.5,0))+Sens!F10065*IF(5&lt;life_it,1,IF(5=life_it,0.5,0))+Sens!G10065*IF(4&lt;life_it,1,IF(4=life_it,0.5,0))+Sens!H10065*IF(3&lt;life_it,1,IF(3=life_it,0.5,0))+Sens!I10065*IF(2&lt;life_it,1,IF(2=life_it,0.5,0))+Sens!J10065*IF(1&lt;life_it,1,IF(1=life_it,0.5,0))+Sens!K10065*0.5)/life_it</f>
        <v>134.143838501827</v>
      </c>
    </row>
    <row r="10068" customFormat="false" ht="17.15" hidden="false" customHeight="false" outlineLevel="0" collapsed="false">
      <c r="A10068" s="0" t="s">
        <v>1000</v>
      </c>
      <c r="B10068" s="0" t="s">
        <v>98</v>
      </c>
      <c r="E10068" s="6" t="n">
        <f aca="false">(Sens!C10062*IF(2&lt;life_fac,1,IF(2=life_fac,0.5,0))+Sens!D10062*IF(1&lt;life_fac,1,IF(1=life_fac,0.5,0))+Sens!E10062*0.5)/life_fac</f>
        <v>1.2448275</v>
      </c>
      <c r="F10068" s="6" t="n">
        <f aca="false">(Sens!C10062*IF(3&lt;life_fac,1,IF(3=life_fac,0.5,0))+Sens!D10062*IF(2&lt;life_fac,1,IF(2=life_fac,0.5,0))+Sens!E10062*IF(1&lt;life_fac,1,IF(1=life_fac,0.5,0))+Sens!F10062*0.5)/life_fac</f>
        <v>2.508829492925</v>
      </c>
      <c r="G10068" s="6" t="n">
        <f aca="false">(Sens!C10062*IF(4&lt;life_fac,1,IF(4=life_fac,0.5,0))+Sens!D10062*IF(3&lt;life_fac,1,IF(3=life_fac,0.5,0))+Sens!E10062*IF(2&lt;life_fac,1,IF(2=life_fac,0.5,0))+Sens!F10062*IF(1&lt;life_fac,1,IF(1=life_fac,0.5,0))+Sens!G10062*0.5)/life_fac</f>
        <v>4.170838978775</v>
      </c>
      <c r="H10068" s="6" t="n">
        <f aca="false">(Sens!C10062*IF(5&lt;life_fac,1,IF(5=life_fac,0.5,0))+Sens!D10062*IF(4&lt;life_fac,1,IF(4=life_fac,0.5,0))+Sens!E10062*IF(3&lt;life_fac,1,IF(3=life_fac,0.5,0))+Sens!F10062*IF(2&lt;life_fac,1,IF(2=life_fac,0.5,0))+Sens!G10062*IF(1&lt;life_fac,1,IF(1=life_fac,0.5,0))+Sens!H10062*0.5)/life_fac</f>
        <v>5.898098964625</v>
      </c>
      <c r="I10068" s="6" t="n">
        <f aca="false">(Sens!C10062*IF(6&lt;life_fac,1,IF(6=life_fac,0.5,0))+Sens!D10062*IF(5&lt;life_fac,1,IF(5=life_fac,0.5,0))+Sens!E10062*IF(4&lt;life_fac,1,IF(4=life_fac,0.5,0))+Sens!F10062*IF(3&lt;life_fac,1,IF(3=life_fac,0.5,0))+Sens!G10062*IF(2&lt;life_fac,1,IF(2=life_fac,0.5,0))+Sens!H10062*IF(1&lt;life_fac,1,IF(1=life_fac,0.5,0))+Sens!I10062*0.5)/life_fac</f>
        <v>7.37368556095442</v>
      </c>
      <c r="J10068" s="6" t="n">
        <f aca="false">(Sens!C10062*IF(7&lt;life_fac,1,IF(7=life_fac,0.5,0))+Sens!D10062*IF(6&lt;life_fac,1,IF(6=life_fac,0.5,0))+Sens!E10062*IF(5&lt;life_fac,1,IF(5=life_fac,0.5,0))+Sens!F10062*IF(4&lt;life_fac,1,IF(4=life_fac,0.5,0))+Sens!G10062*IF(3&lt;life_fac,1,IF(3=life_fac,0.5,0))+Sens!H10062*IF(2&lt;life_fac,1,IF(2=life_fac,0.5,0))+Sens!I10062*IF(1&lt;life_fac,1,IF(1=life_fac,0.5,0))+Sens!J10062*0.5)/life_fac</f>
        <v>8.35816451031075</v>
      </c>
      <c r="K10068" s="6" t="n">
        <f aca="false">(Sens!C10062*IF(8&lt;life_fac,1,IF(8=life_fac,0.5,0))+Sens!D10062*IF(7&lt;life_fac,1,IF(7=life_fac,0.5,0))+Sens!E10062*IF(6&lt;life_fac,1,IF(6=life_fac,0.5,0))+Sens!F10062*IF(5&lt;life_fac,1,IF(5=life_fac,0.5,0))+Sens!G10062*IF(4&lt;life_fac,1,IF(4=life_fac,0.5,0))+Sens!H10062*IF(3&lt;life_fac,1,IF(3=life_fac,0.5,0))+Sens!I10062*IF(2&lt;life_fac,1,IF(2=life_fac,0.5,0))+Sens!J10062*IF(1&lt;life_fac,1,IF(1=life_fac,0.5,0))+Sens!K10062*0.5)/life_fac</f>
        <v>8.86883104910662</v>
      </c>
    </row>
    <row r="10069" customFormat="false" ht="17.15" hidden="false" customHeight="false" outlineLevel="0" collapsed="false">
      <c r="A10069" s="0" t="s">
        <v>1001</v>
      </c>
      <c r="B10069" s="0" t="s">
        <v>98</v>
      </c>
      <c r="E10069" s="6" t="n">
        <f aca="false">Sens!E10067+Sens!E10068</f>
        <v>16.3054059770833</v>
      </c>
      <c r="F10069" s="6" t="n">
        <f aca="false">Sens!F10067+Sens!F10068</f>
        <v>34.5793144783516</v>
      </c>
      <c r="G10069" s="6" t="n">
        <f aca="false">Sens!G10067+Sens!G10068</f>
        <v>60.7344906522989</v>
      </c>
      <c r="H10069" s="6" t="n">
        <f aca="false">Sens!H10067+Sens!H10068</f>
        <v>89.1000906614457</v>
      </c>
      <c r="I10069" s="6" t="n">
        <f aca="false">Sens!I10067+Sens!I10068</f>
        <v>114.231009694548</v>
      </c>
      <c r="J10069" s="6" t="n">
        <f aca="false">Sens!J10067+Sens!J10068</f>
        <v>132.015673049596</v>
      </c>
      <c r="K10069" s="6" t="n">
        <f aca="false">Sens!K10067+Sens!K10068</f>
        <v>143.012669550934</v>
      </c>
    </row>
    <row r="10070" customFormat="false" ht="17.15" hidden="false" customHeight="false" outlineLevel="0" collapsed="false">
      <c r="A10070" s="0" t="s">
        <v>1002</v>
      </c>
      <c r="B10070" s="0" t="s">
        <v>98</v>
      </c>
      <c r="E10070" s="6" t="n">
        <f aca="false">Sens!E10057-Sens!E10056*Sens!E10069</f>
        <v>8.92707889977379</v>
      </c>
      <c r="F10070" s="6" t="n">
        <f aca="false">Sens!F10057-Sens!F10056*Sens!F10069</f>
        <v>14.3471335960079</v>
      </c>
      <c r="G10070" s="6" t="n">
        <f aca="false">Sens!G10057-Sens!G10056*Sens!G10069</f>
        <v>16.5202976798683</v>
      </c>
      <c r="H10070" s="6" t="n">
        <f aca="false">Sens!H10057-Sens!H10056*Sens!H10069</f>
        <v>12.9805278875331</v>
      </c>
      <c r="I10070" s="6" t="n">
        <f aca="false">Sens!I10057-Sens!I10056*Sens!I10069</f>
        <v>16.2363335770989</v>
      </c>
      <c r="J10070" s="6" t="n">
        <f aca="false">Sens!J10057-Sens!J10056*Sens!J10069</f>
        <v>18.4432225839805</v>
      </c>
      <c r="K10070" s="6" t="n">
        <f aca="false">Sens!K10057-Sens!K10056*Sens!K10069</f>
        <v>20.1577566819661</v>
      </c>
    </row>
    <row r="10071" customFormat="false" ht="17.15" hidden="false" customHeight="false" outlineLevel="0" collapsed="false">
      <c r="A10071" s="3" t="s">
        <v>1731</v>
      </c>
    </row>
    <row r="10072" customFormat="false" ht="15" hidden="false" customHeight="false" outlineLevel="0" collapsed="false">
      <c r="A10072" s="4" t="s">
        <v>43</v>
      </c>
      <c r="B10072" s="4" t="s">
        <v>65</v>
      </c>
      <c r="C10072" s="23" t="s">
        <v>938</v>
      </c>
      <c r="D10072" s="23" t="s">
        <v>939</v>
      </c>
      <c r="E10072" s="23" t="s">
        <v>940</v>
      </c>
      <c r="F10072" s="23" t="s">
        <v>941</v>
      </c>
      <c r="G10072" s="23" t="s">
        <v>942</v>
      </c>
      <c r="H10072" s="23" t="s">
        <v>943</v>
      </c>
      <c r="I10072" s="23" t="s">
        <v>944</v>
      </c>
      <c r="J10072" s="23" t="s">
        <v>945</v>
      </c>
      <c r="K10072" s="23" t="s">
        <v>946</v>
      </c>
      <c r="L10072" s="4" t="s">
        <v>47</v>
      </c>
    </row>
    <row r="10073" customFormat="false" ht="17.15" hidden="false" customHeight="false" outlineLevel="0" collapsed="false">
      <c r="A10073" s="0" t="s">
        <v>1021</v>
      </c>
      <c r="B10073" s="0" t="s">
        <v>98</v>
      </c>
      <c r="D10073" s="6" t="n">
        <f aca="false">Sens!D10051</f>
        <v>12.9359794422418</v>
      </c>
      <c r="E10073" s="6" t="n">
        <f aca="false">Sens!E10051</f>
        <v>27.8095064661409</v>
      </c>
      <c r="F10073" s="6" t="n">
        <f aca="false">Sens!F10051</f>
        <v>50.9819294352312</v>
      </c>
      <c r="G10073" s="6" t="n">
        <f aca="false">Sens!G10051</f>
        <v>76.6920436014933</v>
      </c>
      <c r="H10073" s="6" t="n">
        <f aca="false">Sens!H10051</f>
        <v>97.4495379418341</v>
      </c>
      <c r="I10073" s="6" t="n">
        <f aca="false">Sens!I10051</f>
        <v>122.083445553868</v>
      </c>
      <c r="J10073" s="6" t="n">
        <f aca="false">Sens!J10051</f>
        <v>139.249060444804</v>
      </c>
      <c r="K10073" s="6" t="n">
        <f aca="false">Sens!K10051</f>
        <v>149.995818575589</v>
      </c>
    </row>
    <row r="10074" customFormat="false" ht="17.15" hidden="false" customHeight="false" outlineLevel="0" collapsed="false">
      <c r="A10074" s="0" t="s">
        <v>1022</v>
      </c>
      <c r="B10074" s="0" t="s">
        <v>98</v>
      </c>
      <c r="D10074" s="6" t="n">
        <f aca="false">Q!L6-Sens!D10073</f>
        <v>59.6740205577583</v>
      </c>
      <c r="E10074" s="6" t="n">
        <f aca="false">Q!M6-Sens!E10073</f>
        <v>74.1284935338591</v>
      </c>
      <c r="F10074" s="6" t="n">
        <f aca="false">Q!$I$6+(Sens!F10073+Sens!E10074*(1+Sens!F10075))*(1-Q!$E$6/Q!M6)-Sens!F10073</f>
        <v>92.6556276438506</v>
      </c>
      <c r="G10074" s="6" t="n">
        <f aca="false">Sens!F10074*(1+Sens!G10075)</f>
        <v>111.324123358531</v>
      </c>
      <c r="H10074" s="6" t="n">
        <f aca="false">Sens!G10074*(1+Sens!H10075)</f>
        <v>131.486251477999</v>
      </c>
      <c r="I10074" s="6" t="n">
        <f aca="false">Sens!H10074*(1+Sens!I10075)</f>
        <v>152.621521729358</v>
      </c>
      <c r="J10074" s="6" t="n">
        <f aca="false">Sens!I10074*(1+Sens!J10075)</f>
        <v>174.045103507083</v>
      </c>
      <c r="K10074" s="6" t="n">
        <f aca="false">Sens!J10074*(1+Sens!K10075)</f>
        <v>194.930515927933</v>
      </c>
      <c r="L10074" s="12" t="s">
        <v>1023</v>
      </c>
    </row>
    <row r="10075" customFormat="false" ht="15" hidden="false" customHeight="false" outlineLevel="0" collapsed="false">
      <c r="A10075" s="1" t="s">
        <v>1024</v>
      </c>
      <c r="B10075" s="0" t="s">
        <v>168</v>
      </c>
      <c r="E10075" s="7" t="n">
        <f aca="false">Sens!E10074/Sens!D10074-1</f>
        <v>0.242223883039864</v>
      </c>
      <c r="F10075" s="7" t="n">
        <f aca="false">Sens!$E$10075+(glt_azo_hi-Sens!$E$10075)*MIN(1,(Sens!F10032-base_fy)/n_conv)</f>
        <v>0.221853235866554</v>
      </c>
      <c r="G10075" s="7" t="n">
        <f aca="false">Sens!$E$10075+(glt_azo_hi-Sens!$E$10075)*MIN(1,(Sens!G10032-base_fy)/n_conv)</f>
        <v>0.201482588693243</v>
      </c>
      <c r="H10075" s="7" t="n">
        <f aca="false">Sens!$E$10075+(glt_azo_hi-Sens!$E$10075)*MIN(1,(Sens!H10032-base_fy)/n_conv)</f>
        <v>0.181111941519932</v>
      </c>
      <c r="I10075" s="7" t="n">
        <f aca="false">Sens!$E$10075+(glt_azo_hi-Sens!$E$10075)*MIN(1,(Sens!I10032-base_fy)/n_conv)</f>
        <v>0.160741294346622</v>
      </c>
      <c r="J10075" s="7" t="n">
        <f aca="false">Sens!$E$10075+(glt_azo_hi-Sens!$E$10075)*MIN(1,(Sens!J10032-base_fy)/n_conv)</f>
        <v>0.140370647173311</v>
      </c>
      <c r="K10075" s="7" t="n">
        <f aca="false">Sens!$E$10075+(glt_azo_hi-Sens!$E$10075)*MIN(1,(Sens!K10032-base_fy)/n_conv)</f>
        <v>0.12</v>
      </c>
    </row>
    <row r="10076" customFormat="false" ht="15" hidden="false" customHeight="false" outlineLevel="0" collapsed="false">
      <c r="A10076" s="0" t="s">
        <v>1025</v>
      </c>
      <c r="B10076" s="0" t="s">
        <v>98</v>
      </c>
      <c r="D10076" s="6" t="n">
        <f aca="false">Sens!D10073+Sens!D10074</f>
        <v>72.61</v>
      </c>
      <c r="E10076" s="6" t="n">
        <f aca="false">Sens!E10073+Sens!E10074</f>
        <v>101.938</v>
      </c>
      <c r="F10076" s="6" t="n">
        <f aca="false">Sens!F10073+Sens!F10074</f>
        <v>143.637557079082</v>
      </c>
      <c r="G10076" s="6" t="n">
        <f aca="false">Sens!G10073+Sens!G10074</f>
        <v>188.016166960024</v>
      </c>
      <c r="H10076" s="6" t="n">
        <f aca="false">Sens!H10073+Sens!H10074</f>
        <v>228.935789419833</v>
      </c>
      <c r="I10076" s="6" t="n">
        <f aca="false">Sens!I10073+Sens!I10074</f>
        <v>274.704967283225</v>
      </c>
      <c r="J10076" s="6" t="n">
        <f aca="false">Sens!J10073+Sens!J10074</f>
        <v>313.294163951887</v>
      </c>
      <c r="K10076" s="6" t="n">
        <f aca="false">Sens!K10073+Sens!K10074</f>
        <v>344.926334503522</v>
      </c>
    </row>
    <row r="10077" customFormat="false" ht="17.15" hidden="false" customHeight="false" outlineLevel="0" collapsed="false">
      <c r="A10077" s="0" t="s">
        <v>1026</v>
      </c>
      <c r="B10077" s="1" t="s">
        <v>610</v>
      </c>
      <c r="C10077" s="30" t="n">
        <f aca="false">cop_s24</f>
        <v>1</v>
      </c>
      <c r="D10077" s="30" t="n">
        <f aca="false">cop_s25</f>
        <v>5</v>
      </c>
      <c r="E10077" s="30" t="n">
        <f aca="false">cop_s26</f>
        <v>30</v>
      </c>
      <c r="F10077" s="30" t="n">
        <f aca="false">Sens!E10077+cop_add_C</f>
        <v>40</v>
      </c>
      <c r="G10077" s="30" t="n">
        <f aca="false">Sens!F10077+cop_add_C</f>
        <v>50</v>
      </c>
      <c r="H10077" s="30" t="n">
        <f aca="false">Sens!G10077+cop_add_C</f>
        <v>60</v>
      </c>
      <c r="I10077" s="30" t="n">
        <f aca="false">Sens!H10077+cop_add_C*cop_tail</f>
        <v>65</v>
      </c>
      <c r="J10077" s="30" t="n">
        <f aca="false">Sens!I10077+cop_add_C*cop_tail</f>
        <v>70</v>
      </c>
      <c r="K10077" s="30" t="n">
        <f aca="false">Sens!J10077+cop_add_C*cop_tail</f>
        <v>75</v>
      </c>
      <c r="L10077" s="12" t="s">
        <v>1027</v>
      </c>
    </row>
    <row r="10078" customFormat="false" ht="17.15" hidden="false" customHeight="false" outlineLevel="0" collapsed="false">
      <c r="A10078" s="0" t="s">
        <v>1028</v>
      </c>
      <c r="B10078" s="0" t="s">
        <v>98</v>
      </c>
      <c r="D10078" s="6" t="n">
        <f aca="false">(Sens!C10077+Sens!D10077)/2*cop_px*12/1000</f>
        <v>0.9</v>
      </c>
      <c r="E10078" s="6" t="n">
        <f aca="false">(Sens!D10077+Sens!E10077)/2*cop_px*12/1000</f>
        <v>5.25</v>
      </c>
      <c r="F10078" s="6" t="n">
        <f aca="false">(Sens!E10077+Sens!F10077)/2*cop_px*12/1000</f>
        <v>10.5</v>
      </c>
      <c r="G10078" s="6" t="n">
        <f aca="false">(Sens!F10077+Sens!G10077)/2*cop_px*12/1000</f>
        <v>13.5</v>
      </c>
      <c r="H10078" s="6" t="n">
        <f aca="false">(Sens!G10077+Sens!H10077)/2*cop_px*12/1000</f>
        <v>16.5</v>
      </c>
      <c r="I10078" s="6" t="n">
        <f aca="false">(Sens!H10077+Sens!I10077)/2*cop_px*12/1000</f>
        <v>18.75</v>
      </c>
      <c r="J10078" s="6" t="n">
        <f aca="false">(Sens!I10077+Sens!J10077)/2*cop_px*12/1000</f>
        <v>20.25</v>
      </c>
      <c r="K10078" s="6" t="n">
        <f aca="false">(Sens!J10077+Sens!K10077)/2*cop_px*12/1000</f>
        <v>21.75</v>
      </c>
      <c r="L10078" s="1" t="s">
        <v>1029</v>
      </c>
    </row>
    <row r="10079" customFormat="false" ht="17.15" hidden="false" customHeight="false" outlineLevel="0" collapsed="false">
      <c r="A10079" s="0" t="s">
        <v>1030</v>
      </c>
      <c r="B10079" s="0" t="s">
        <v>98</v>
      </c>
      <c r="D10079" s="6" t="n">
        <f aca="false">Q!L7-Sens!D10078</f>
        <v>83.705</v>
      </c>
      <c r="E10079" s="6" t="n">
        <f aca="false">Q!M7-Sens!E10078</f>
        <v>95.049</v>
      </c>
      <c r="F10079" s="6" t="n">
        <f aca="false">Q!$I$7+(Sens!E10079*(1+Sens!F10080)+Sens!F10078)*(1-Q!$E$7/Q!M7)-Sens!F10078</f>
        <v>106.938354189776</v>
      </c>
      <c r="G10079" s="6" t="n">
        <f aca="false">Sens!F10079*(1+Sens!G10080)</f>
        <v>119.095360443801</v>
      </c>
      <c r="H10079" s="6" t="n">
        <f aca="false">Sens!G10079*(1+Sens!H10080)</f>
        <v>131.333811964563</v>
      </c>
      <c r="I10079" s="6" t="n">
        <f aca="false">Sens!H10079*(1+Sens!I10080)</f>
        <v>143.395665319381</v>
      </c>
      <c r="J10079" s="6" t="n">
        <f aca="false">Sens!I10079*(1+Sens!J10080)</f>
        <v>154.999327755573</v>
      </c>
      <c r="K10079" s="6" t="n">
        <f aca="false">Sens!J10079*(1+Sens!K10080)</f>
        <v>165.849280698463</v>
      </c>
      <c r="L10079" s="12" t="s">
        <v>1031</v>
      </c>
    </row>
    <row r="10080" customFormat="false" ht="15" hidden="false" customHeight="false" outlineLevel="0" collapsed="false">
      <c r="A10080" s="1" t="s">
        <v>1024</v>
      </c>
      <c r="B10080" s="0" t="s">
        <v>168</v>
      </c>
      <c r="E10080" s="7" t="n">
        <f aca="false">Sens!E10079/Sens!D10079-1</f>
        <v>0.135523564900544</v>
      </c>
      <c r="F10080" s="7" t="n">
        <f aca="false">Sens!$E$10080+(glt_m365b-Sens!$E$10080)*MIN(1,(Sens!F10032-base_fy)/n_conv)</f>
        <v>0.124602970750453</v>
      </c>
      <c r="G10080" s="7" t="n">
        <f aca="false">Sens!$E$10080+(glt_m365b-Sens!$E$10080)*MIN(1,(Sens!G10032-base_fy)/n_conv)</f>
        <v>0.113682376600363</v>
      </c>
      <c r="H10080" s="7" t="n">
        <f aca="false">Sens!$E$10080+(glt_m365b-Sens!$E$10080)*MIN(1,(Sens!H10032-base_fy)/n_conv)</f>
        <v>0.102761782450272</v>
      </c>
      <c r="I10080" s="7" t="n">
        <f aca="false">Sens!$E$10080+(glt_m365b-Sens!$E$10080)*MIN(1,(Sens!I10032-base_fy)/n_conv)</f>
        <v>0.0918411883001813</v>
      </c>
      <c r="J10080" s="7" t="n">
        <f aca="false">Sens!$E$10080+(glt_m365b-Sens!$E$10080)*MIN(1,(Sens!J10032-base_fy)/n_conv)</f>
        <v>0.0809205941500906</v>
      </c>
      <c r="K10080" s="7" t="n">
        <f aca="false">Sens!$E$10080+(glt_m365b-Sens!$E$10080)*MIN(1,(Sens!K10032-base_fy)/n_conv)</f>
        <v>0.07</v>
      </c>
    </row>
    <row r="10081" customFormat="false" ht="15" hidden="false" customHeight="false" outlineLevel="0" collapsed="false">
      <c r="A10081" s="0" t="s">
        <v>1032</v>
      </c>
      <c r="B10081" s="0" t="s">
        <v>98</v>
      </c>
      <c r="D10081" s="6" t="n">
        <f aca="false">Sens!D10079+Sens!D10078</f>
        <v>84.605</v>
      </c>
      <c r="E10081" s="6" t="n">
        <f aca="false">Sens!E10079+Sens!E10078</f>
        <v>100.299</v>
      </c>
      <c r="F10081" s="6" t="n">
        <f aca="false">Sens!F10079+Sens!F10078</f>
        <v>117.438354189776</v>
      </c>
      <c r="G10081" s="6" t="n">
        <f aca="false">Sens!G10079+Sens!G10078</f>
        <v>132.595360443801</v>
      </c>
      <c r="H10081" s="6" t="n">
        <f aca="false">Sens!H10079+Sens!H10078</f>
        <v>147.833811964563</v>
      </c>
      <c r="I10081" s="6" t="n">
        <f aca="false">Sens!I10079+Sens!I10078</f>
        <v>162.145665319381</v>
      </c>
      <c r="J10081" s="6" t="n">
        <f aca="false">Sens!J10079+Sens!J10078</f>
        <v>175.249327755573</v>
      </c>
      <c r="K10081" s="6" t="n">
        <f aca="false">Sens!K10079+Sens!K10078</f>
        <v>187.599280698463</v>
      </c>
    </row>
    <row r="10082" customFormat="false" ht="17.15" hidden="false" customHeight="false" outlineLevel="0" collapsed="false">
      <c r="A10082" s="0" t="s">
        <v>1033</v>
      </c>
      <c r="B10082" s="0" t="s">
        <v>98</v>
      </c>
      <c r="D10082" s="6" t="n">
        <f aca="false">Q!L8</f>
        <v>35.391</v>
      </c>
      <c r="E10082" s="6" t="n">
        <f aca="false">Q!M8</f>
        <v>37.285</v>
      </c>
      <c r="F10082" s="6" t="n">
        <f aca="false">Q!$I$8+(Q!M8-Q!$E$8)*(1+Sens!F10083)</f>
        <v>38.3851437782675</v>
      </c>
      <c r="G10082" s="6" t="n">
        <f aca="false">Sens!F10082*(1+Sens!G10083)</f>
        <v>40.0105353288615</v>
      </c>
      <c r="H10082" s="6" t="n">
        <f aca="false">Sens!G10082*(1+Sens!H10083)</f>
        <v>41.4812512033683</v>
      </c>
      <c r="I10082" s="6" t="n">
        <f aca="false">Sens!H10082*(1+Sens!I10083)</f>
        <v>42.7743107216329</v>
      </c>
      <c r="J10082" s="6" t="n">
        <f aca="false">Sens!I10082*(1+Sens!J10083)</f>
        <v>43.8687373064601</v>
      </c>
      <c r="K10082" s="6" t="n">
        <f aca="false">Sens!J10082*(1+Sens!K10083)</f>
        <v>44.7461120525893</v>
      </c>
      <c r="L10082" s="12" t="s">
        <v>1034</v>
      </c>
    </row>
    <row r="10083" customFormat="false" ht="15" hidden="false" customHeight="false" outlineLevel="0" collapsed="false">
      <c r="A10083" s="1" t="s">
        <v>1024</v>
      </c>
      <c r="B10083" s="0" t="s">
        <v>168</v>
      </c>
      <c r="E10083" s="7" t="n">
        <f aca="false">Sens!E10082/Sens!D10082-1</f>
        <v>0.0535164307309768</v>
      </c>
      <c r="F10083" s="7" t="n">
        <f aca="false">Sens!$E$10083+(glt_lic-Sens!$E$10083)*MIN(1,(Sens!F10032-base_fy)/n_conv)</f>
        <v>0.0479303589424807</v>
      </c>
      <c r="G10083" s="7" t="n">
        <f aca="false">Sens!$E$10083+(glt_lic-Sens!$E$10083)*MIN(1,(Sens!G10032-base_fy)/n_conv)</f>
        <v>0.0423442871539845</v>
      </c>
      <c r="H10083" s="7" t="n">
        <f aca="false">Sens!$E$10083+(glt_lic-Sens!$E$10083)*MIN(1,(Sens!H10032-base_fy)/n_conv)</f>
        <v>0.0367582153654884</v>
      </c>
      <c r="I10083" s="7" t="n">
        <f aca="false">Sens!$E$10083+(glt_lic-Sens!$E$10083)*MIN(1,(Sens!I10032-base_fy)/n_conv)</f>
        <v>0.0311721435769923</v>
      </c>
      <c r="J10083" s="7" t="n">
        <f aca="false">Sens!$E$10083+(glt_lic-Sens!$E$10083)*MIN(1,(Sens!J10032-base_fy)/n_conv)</f>
        <v>0.0255860717884961</v>
      </c>
      <c r="K10083" s="7" t="n">
        <f aca="false">Sens!$E$10083+(glt_lic-Sens!$E$10083)*MIN(1,(Sens!K10032-base_fy)/n_conv)</f>
        <v>0.02</v>
      </c>
    </row>
    <row r="10084" customFormat="false" ht="17.15" hidden="false" customHeight="false" outlineLevel="0" collapsed="false">
      <c r="A10084" s="0" t="s">
        <v>1035</v>
      </c>
      <c r="B10084" s="0" t="s">
        <v>98</v>
      </c>
      <c r="D10084" s="6" t="n">
        <f aca="false">Q!L9</f>
        <v>18.417</v>
      </c>
      <c r="E10084" s="6" t="n">
        <f aca="false">Q!M9</f>
        <v>20.345</v>
      </c>
      <c r="F10084" s="6" t="n">
        <f aca="false">Q!$I$9+(Q!M9-Q!$E$9)*(1+Sens!F10085)</f>
        <v>22.3161797133988</v>
      </c>
      <c r="G10084" s="6" t="n">
        <f aca="false">Sens!F10084*(1+Sens!G10085)</f>
        <v>24.3943499673233</v>
      </c>
      <c r="H10084" s="6" t="n">
        <f aca="false">Sens!G10084*(1+Sens!H10085)</f>
        <v>26.5250243109019</v>
      </c>
      <c r="I10084" s="6" t="n">
        <f aca="false">Sens!H10084*(1+Sens!I10085)</f>
        <v>28.6884573538181</v>
      </c>
      <c r="J10084" s="6" t="n">
        <f aca="false">Sens!I10084*(1+Sens!J10085)</f>
        <v>30.8624968052127</v>
      </c>
      <c r="K10084" s="6" t="n">
        <f aca="false">Sens!J10084*(1+Sens!K10085)</f>
        <v>33.0228715815776</v>
      </c>
      <c r="L10084" s="12" t="s">
        <v>1034</v>
      </c>
    </row>
    <row r="10085" customFormat="false" ht="15" hidden="false" customHeight="false" outlineLevel="0" collapsed="false">
      <c r="A10085" s="1" t="s">
        <v>1024</v>
      </c>
      <c r="B10085" s="0" t="s">
        <v>168</v>
      </c>
      <c r="E10085" s="7" t="n">
        <f aca="false">Sens!E10084/Sens!D10084-1</f>
        <v>0.104685888038225</v>
      </c>
      <c r="F10085" s="7" t="n">
        <f aca="false">Sens!$E$10085+(glt_ind-Sens!$E$10085)*MIN(1,(Sens!F10032-base_fy)/n_conv)</f>
        <v>0.0989049066985211</v>
      </c>
      <c r="G10085" s="7" t="n">
        <f aca="false">Sens!$E$10085+(glt_ind-Sens!$E$10085)*MIN(1,(Sens!G10032-base_fy)/n_conv)</f>
        <v>0.0931239253588169</v>
      </c>
      <c r="H10085" s="7" t="n">
        <f aca="false">Sens!$E$10085+(glt_ind-Sens!$E$10085)*MIN(1,(Sens!H10032-base_fy)/n_conv)</f>
        <v>0.0873429440191127</v>
      </c>
      <c r="I10085" s="7" t="n">
        <f aca="false">Sens!$E$10085+(glt_ind-Sens!$E$10085)*MIN(1,(Sens!I10032-base_fy)/n_conv)</f>
        <v>0.0815619626794085</v>
      </c>
      <c r="J10085" s="7" t="n">
        <f aca="false">Sens!$E$10085+(glt_ind-Sens!$E$10085)*MIN(1,(Sens!J10032-base_fy)/n_conv)</f>
        <v>0.0757809813397042</v>
      </c>
      <c r="K10085" s="7" t="n">
        <f aca="false">Sens!$E$10085+(glt_ind-Sens!$E$10085)*MIN(1,(Sens!K10032-base_fy)/n_conv)</f>
        <v>0.07</v>
      </c>
    </row>
    <row r="10086" customFormat="false" ht="17.15" hidden="false" customHeight="false" outlineLevel="0" collapsed="false">
      <c r="A10086" s="0" t="s">
        <v>1036</v>
      </c>
      <c r="B10086" s="0" t="s">
        <v>98</v>
      </c>
      <c r="D10086" s="6" t="n">
        <f aca="false">Q!L10</f>
        <v>7.76</v>
      </c>
      <c r="E10086" s="6" t="n">
        <f aca="false">Q!M10</f>
        <v>8.26</v>
      </c>
      <c r="F10086" s="6" t="n">
        <f aca="false">Q!$I$10+(Q!M10-Q!$E$10)*(1+Sens!F10087)</f>
        <v>8.75372082474227</v>
      </c>
      <c r="G10086" s="6" t="n">
        <f aca="false">Sens!F10086*(1+Sens!G10087)</f>
        <v>9.33399324642364</v>
      </c>
      <c r="H10086" s="6" t="n">
        <f aca="false">Sens!G10086*(1+Sens!H10087)</f>
        <v>9.96139155535851</v>
      </c>
      <c r="I10086" s="6" t="n">
        <f aca="false">Sens!H10086*(1+Sens!I10087)</f>
        <v>10.6402039077391</v>
      </c>
      <c r="J10086" s="6" t="n">
        <f aca="false">Sens!I10086*(1+Sens!J10087)</f>
        <v>11.3751458271397</v>
      </c>
      <c r="K10086" s="6" t="n">
        <f aca="false">Sens!J10086*(1+Sens!K10087)</f>
        <v>12.1714060350394</v>
      </c>
      <c r="L10086" s="12" t="s">
        <v>1034</v>
      </c>
    </row>
    <row r="10087" customFormat="false" ht="15" hidden="false" customHeight="false" outlineLevel="0" collapsed="false">
      <c r="A10087" s="1" t="s">
        <v>1024</v>
      </c>
      <c r="B10087" s="0" t="s">
        <v>168</v>
      </c>
      <c r="E10087" s="7" t="n">
        <f aca="false">Sens!E10086/Sens!D10086-1</f>
        <v>0.0644329896907216</v>
      </c>
      <c r="F10087" s="7" t="n">
        <f aca="false">Sens!$E$10087+(glt_fro-Sens!$E$10087)*MIN(1,(Sens!F10032-base_fy)/n_conv)</f>
        <v>0.065360824742268</v>
      </c>
      <c r="G10087" s="7" t="n">
        <f aca="false">Sens!$E$10087+(glt_fro-Sens!$E$10087)*MIN(1,(Sens!G10032-base_fy)/n_conv)</f>
        <v>0.0662886597938144</v>
      </c>
      <c r="H10087" s="7" t="n">
        <f aca="false">Sens!$E$10087+(glt_fro-Sens!$E$10087)*MIN(1,(Sens!H10032-base_fy)/n_conv)</f>
        <v>0.0672164948453608</v>
      </c>
      <c r="I10087" s="7" t="n">
        <f aca="false">Sens!$E$10087+(glt_fro-Sens!$E$10087)*MIN(1,(Sens!I10032-base_fy)/n_conv)</f>
        <v>0.0681443298969072</v>
      </c>
      <c r="J10087" s="7" t="n">
        <f aca="false">Sens!$E$10087+(glt_fro-Sens!$E$10087)*MIN(1,(Sens!J10032-base_fy)/n_conv)</f>
        <v>0.0690721649484536</v>
      </c>
      <c r="K10087" s="7" t="n">
        <f aca="false">Sens!$E$10087+(glt_fro-Sens!$E$10087)*MIN(1,(Sens!K10032-base_fy)/n_conv)</f>
        <v>0.07</v>
      </c>
    </row>
    <row r="10088" customFormat="false" ht="15" hidden="false" customHeight="false" outlineLevel="0" collapsed="false">
      <c r="A10088" s="0" t="s">
        <v>852</v>
      </c>
      <c r="B10088" s="0" t="s">
        <v>98</v>
      </c>
      <c r="D10088" s="6" t="n">
        <f aca="false">Sens!D10076+Sens!D10081+Sens!D10082+Sens!D10084+Sens!D10086</f>
        <v>218.783</v>
      </c>
      <c r="E10088" s="6" t="n">
        <f aca="false">Sens!E10076+Sens!E10081+Sens!E10082+Sens!E10084+Sens!E10086</f>
        <v>268.127</v>
      </c>
      <c r="F10088" s="6" t="n">
        <f aca="false">Sens!F10076+Sens!F10081+Sens!F10082+Sens!F10084+Sens!F10086</f>
        <v>330.530955585266</v>
      </c>
      <c r="G10088" s="6" t="n">
        <f aca="false">Sens!G10076+Sens!G10081+Sens!G10082+Sens!G10084+Sens!G10086</f>
        <v>394.350405946433</v>
      </c>
      <c r="H10088" s="6" t="n">
        <f aca="false">Sens!H10076+Sens!H10081+Sens!H10082+Sens!H10084+Sens!H10086</f>
        <v>454.737268454025</v>
      </c>
      <c r="I10088" s="6" t="n">
        <f aca="false">Sens!I10076+Sens!I10081+Sens!I10082+Sens!I10084+Sens!I10086</f>
        <v>518.953604585797</v>
      </c>
      <c r="J10088" s="6" t="n">
        <f aca="false">Sens!J10076+Sens!J10081+Sens!J10082+Sens!J10084+Sens!J10086</f>
        <v>574.649871646273</v>
      </c>
      <c r="K10088" s="6" t="n">
        <f aca="false">Sens!K10076+Sens!K10081+Sens!K10082+Sens!K10084+Sens!K10086</f>
        <v>622.466004871192</v>
      </c>
    </row>
    <row r="10089" customFormat="false" ht="17.15" hidden="false" customHeight="false" outlineLevel="0" collapsed="false">
      <c r="A10089" s="0" t="s">
        <v>1037</v>
      </c>
      <c r="B10089" s="0" t="s">
        <v>98</v>
      </c>
      <c r="D10089" s="6" t="n">
        <f aca="false">Q!L13</f>
        <v>22.171</v>
      </c>
      <c r="E10089" s="6" t="n">
        <f aca="false">Q!M13</f>
        <v>24.835</v>
      </c>
      <c r="F10089" s="6" t="n">
        <f aca="false">Q!$I$13+(Q!M13-Q!$E$13)*(1+Sens!F10090)</f>
        <v>27.5591895660247</v>
      </c>
      <c r="G10089" s="6" t="n">
        <f aca="false">Sens!F10089*(1+Sens!G10090)</f>
        <v>30.4098563144583</v>
      </c>
      <c r="H10089" s="6" t="n">
        <f aca="false">Sens!G10089*(1+Sens!H10090)</f>
        <v>33.3011792571777</v>
      </c>
      <c r="I10089" s="6" t="n">
        <f aca="false">Sens!H10089*(1+Sens!I10090)</f>
        <v>36.189023797112</v>
      </c>
      <c r="J10089" s="6" t="n">
        <f aca="false">Sens!I10089*(1+Sens!J10090)</f>
        <v>39.0247773769199</v>
      </c>
      <c r="K10089" s="6" t="n">
        <f aca="false">Sens!J10089*(1+Sens!K10090)</f>
        <v>41.7565117933043</v>
      </c>
      <c r="L10089" s="12" t="s">
        <v>1034</v>
      </c>
    </row>
    <row r="10090" customFormat="false" ht="15" hidden="false" customHeight="false" outlineLevel="0" collapsed="false">
      <c r="A10090" s="1" t="s">
        <v>1024</v>
      </c>
      <c r="B10090" s="0" t="s">
        <v>168</v>
      </c>
      <c r="E10090" s="7" t="n">
        <f aca="false">Sens!E10089/Sens!D10089-1</f>
        <v>0.120156961796942</v>
      </c>
      <c r="F10090" s="7" t="n">
        <f aca="false">Sens!$E$10090+(glt_srch-Sens!$E$10090)*MIN(1,(Sens!F10032-base_fy)/n_conv)</f>
        <v>0.111797468164118</v>
      </c>
      <c r="G10090" s="7" t="n">
        <f aca="false">Sens!$E$10090+(glt_srch-Sens!$E$10090)*MIN(1,(Sens!G10032-base_fy)/n_conv)</f>
        <v>0.103437974531295</v>
      </c>
      <c r="H10090" s="7" t="n">
        <f aca="false">Sens!$E$10090+(glt_srch-Sens!$E$10090)*MIN(1,(Sens!H10032-base_fy)/n_conv)</f>
        <v>0.095078480898471</v>
      </c>
      <c r="I10090" s="7" t="n">
        <f aca="false">Sens!$E$10090+(glt_srch-Sens!$E$10090)*MIN(1,(Sens!I10032-base_fy)/n_conv)</f>
        <v>0.0867189872656474</v>
      </c>
      <c r="J10090" s="7" t="n">
        <f aca="false">Sens!$E$10090+(glt_srch-Sens!$E$10090)*MIN(1,(Sens!J10032-base_fy)/n_conv)</f>
        <v>0.0783594936328237</v>
      </c>
      <c r="K10090" s="7" t="n">
        <f aca="false">Sens!$E$10090+(glt_srch-Sens!$E$10090)*MIN(1,(Sens!K10032-base_fy)/n_conv)</f>
        <v>0.07</v>
      </c>
    </row>
    <row r="10091" customFormat="false" ht="17.15" hidden="false" customHeight="false" outlineLevel="0" collapsed="false">
      <c r="A10091" s="0" t="s">
        <v>1038</v>
      </c>
      <c r="B10091" s="0" t="s">
        <v>98</v>
      </c>
      <c r="D10091" s="6" t="n">
        <f aca="false">Q!L14</f>
        <v>23.455</v>
      </c>
      <c r="E10091" s="6" t="n">
        <f aca="false">Q!M14</f>
        <v>21.79</v>
      </c>
      <c r="F10091" s="6" t="n">
        <f aca="false">Q!$I$14+(Q!M14-Q!$E$14)*(1+Sens!F10092)</f>
        <v>20.7520981041711</v>
      </c>
      <c r="G10091" s="6" t="n">
        <f aca="false">Sens!F10091*(1+Sens!G10092)</f>
        <v>19.9083593495882</v>
      </c>
      <c r="H10091" s="6" t="n">
        <f aca="false">Sens!G10091*(1+Sens!H10092)</f>
        <v>19.4008256265831</v>
      </c>
      <c r="I10091" s="6" t="n">
        <f aca="false">Sens!H10091*(1+Sens!I10092)</f>
        <v>19.200434522122</v>
      </c>
      <c r="J10091" s="6" t="n">
        <f aca="false">Sens!I10091*(1+Sens!J10092)</f>
        <v>19.2932782348507</v>
      </c>
      <c r="K10091" s="6" t="n">
        <f aca="false">Sens!J10091*(1+Sens!K10092)</f>
        <v>19.6791437995477</v>
      </c>
      <c r="L10091" s="12" t="s">
        <v>1034</v>
      </c>
    </row>
    <row r="10092" customFormat="false" ht="15" hidden="false" customHeight="false" outlineLevel="0" collapsed="false">
      <c r="A10092" s="1" t="s">
        <v>1024</v>
      </c>
      <c r="B10092" s="0" t="s">
        <v>168</v>
      </c>
      <c r="E10092" s="7" t="n">
        <f aca="false">Sens!E10091/Sens!D10091-1</f>
        <v>-0.0709869963760392</v>
      </c>
      <c r="F10092" s="7" t="n">
        <f aca="false">Sens!$E$10092+(glt_xbox-Sens!$E$10092)*MIN(1,(Sens!F10032-base_fy)/n_conv)</f>
        <v>-0.0558224969800327</v>
      </c>
      <c r="G10092" s="7" t="n">
        <f aca="false">Sens!$E$10092+(glt_xbox-Sens!$E$10092)*MIN(1,(Sens!G10032-base_fy)/n_conv)</f>
        <v>-0.0406579975840262</v>
      </c>
      <c r="H10092" s="7" t="n">
        <f aca="false">Sens!$E$10092+(glt_xbox-Sens!$E$10092)*MIN(1,(Sens!H10032-base_fy)/n_conv)</f>
        <v>-0.0254934981880196</v>
      </c>
      <c r="I10092" s="7" t="n">
        <f aca="false">Sens!$E$10092+(glt_xbox-Sens!$E$10092)*MIN(1,(Sens!I10032-base_fy)/n_conv)</f>
        <v>-0.0103289987920131</v>
      </c>
      <c r="J10092" s="7" t="n">
        <f aca="false">Sens!$E$10092+(glt_xbox-Sens!$E$10092)*MIN(1,(Sens!J10032-base_fy)/n_conv)</f>
        <v>0.00483550060399347</v>
      </c>
      <c r="K10092" s="7" t="n">
        <f aca="false">Sens!$E$10092+(glt_xbox-Sens!$E$10092)*MIN(1,(Sens!K10032-base_fy)/n_conv)</f>
        <v>0.02</v>
      </c>
    </row>
    <row r="10093" customFormat="false" ht="17.15" hidden="false" customHeight="false" outlineLevel="0" collapsed="false">
      <c r="A10093" s="0" t="s">
        <v>1039</v>
      </c>
      <c r="B10093" s="0" t="s">
        <v>98</v>
      </c>
      <c r="D10093" s="6" t="n">
        <f aca="false">Q!L15</f>
        <v>17.315</v>
      </c>
      <c r="E10093" s="6" t="n">
        <f aca="false">Q!M15</f>
        <v>17.087</v>
      </c>
      <c r="F10093" s="6" t="n">
        <f aca="false">Q!$I$15+(Q!M15-Q!$E$15)*(1+Sens!F10094)</f>
        <v>15.9912273250553</v>
      </c>
      <c r="G10093" s="6" t="n">
        <f aca="false">Sens!F10093*(1+Sens!G10094)</f>
        <v>15.9574562664827</v>
      </c>
      <c r="H10093" s="6" t="n">
        <f aca="false">Sens!G10093*(1+Sens!H10094)</f>
        <v>16.0119687434196</v>
      </c>
      <c r="I10093" s="6" t="n">
        <f aca="false">Sens!H10093*(1+Sens!I10094)</f>
        <v>16.1551810001948</v>
      </c>
      <c r="J10093" s="6" t="n">
        <f aca="false">Sens!I10093*(1+Sens!J10094)</f>
        <v>16.3889793892005</v>
      </c>
      <c r="K10093" s="6" t="n">
        <f aca="false">Sens!J10093*(1+Sens!K10094)</f>
        <v>16.7167589769845</v>
      </c>
      <c r="L10093" s="12" t="s">
        <v>1034</v>
      </c>
    </row>
    <row r="10094" customFormat="false" ht="15" hidden="false" customHeight="false" outlineLevel="0" collapsed="false">
      <c r="A10094" s="1" t="s">
        <v>1024</v>
      </c>
      <c r="B10094" s="0" t="s">
        <v>168</v>
      </c>
      <c r="E10094" s="7" t="n">
        <f aca="false">Sens!E10093/Sens!D10093-1</f>
        <v>-0.0131677736066995</v>
      </c>
      <c r="F10094" s="7" t="n">
        <f aca="false">Sens!$E$10094+(glt_win-Sens!$E$10094)*MIN(1,(Sens!F10032-base_fy)/n_conv)</f>
        <v>-0.00763981133891627</v>
      </c>
      <c r="G10094" s="7" t="n">
        <f aca="false">Sens!$E$10094+(glt_win-Sens!$E$10094)*MIN(1,(Sens!G10032-base_fy)/n_conv)</f>
        <v>-0.00211184907113301</v>
      </c>
      <c r="H10094" s="7" t="n">
        <f aca="false">Sens!$E$10094+(glt_win-Sens!$E$10094)*MIN(1,(Sens!H10032-base_fy)/n_conv)</f>
        <v>0.00341611319665024</v>
      </c>
      <c r="I10094" s="7" t="n">
        <f aca="false">Sens!$E$10094+(glt_win-Sens!$E$10094)*MIN(1,(Sens!I10032-base_fy)/n_conv)</f>
        <v>0.00894407546443349</v>
      </c>
      <c r="J10094" s="7" t="n">
        <f aca="false">Sens!$E$10094+(glt_win-Sens!$E$10094)*MIN(1,(Sens!J10032-base_fy)/n_conv)</f>
        <v>0.0144720377322168</v>
      </c>
      <c r="K10094" s="7" t="n">
        <f aca="false">Sens!$E$10094+(glt_win-Sens!$E$10094)*MIN(1,(Sens!K10032-base_fy)/n_conv)</f>
        <v>0.02</v>
      </c>
    </row>
    <row r="10095" customFormat="false" ht="15" hidden="false" customHeight="false" outlineLevel="0" collapsed="false">
      <c r="A10095" s="0" t="s">
        <v>866</v>
      </c>
      <c r="B10095" s="0" t="s">
        <v>98</v>
      </c>
      <c r="D10095" s="6" t="n">
        <f aca="false">Sens!D10089+Sens!D10091+Sens!D10093</f>
        <v>62.941</v>
      </c>
      <c r="E10095" s="6" t="n">
        <f aca="false">Sens!E10089+Sens!E10091+Sens!E10093</f>
        <v>63.712</v>
      </c>
      <c r="F10095" s="6" t="n">
        <f aca="false">Sens!F10089+Sens!F10091+Sens!F10093</f>
        <v>64.3025149952511</v>
      </c>
      <c r="G10095" s="6" t="n">
        <f aca="false">Sens!G10089+Sens!G10091+Sens!G10093</f>
        <v>66.2756719305292</v>
      </c>
      <c r="H10095" s="6" t="n">
        <f aca="false">Sens!H10089+Sens!H10091+Sens!H10093</f>
        <v>68.7139736271804</v>
      </c>
      <c r="I10095" s="6" t="n">
        <f aca="false">Sens!I10089+Sens!I10091+Sens!I10093</f>
        <v>71.5446393194289</v>
      </c>
      <c r="J10095" s="6" t="n">
        <f aca="false">Sens!J10089+Sens!J10091+Sens!J10093</f>
        <v>74.707035000971</v>
      </c>
      <c r="K10095" s="6" t="n">
        <f aca="false">Sens!K10089+Sens!K10091+Sens!K10093</f>
        <v>78.1524145698365</v>
      </c>
    </row>
    <row r="10096" customFormat="false" ht="15" hidden="false" customHeight="false" outlineLevel="0" collapsed="false">
      <c r="A10096" s="1" t="s">
        <v>1040</v>
      </c>
      <c r="B10096" s="0" t="s">
        <v>98</v>
      </c>
      <c r="D10096" s="6" t="n">
        <f aca="false">Sens!D10088+Sens!D10095</f>
        <v>281.724</v>
      </c>
      <c r="E10096" s="6" t="n">
        <f aca="false">Sens!E10088+Sens!E10095</f>
        <v>331.839</v>
      </c>
      <c r="F10096" s="6" t="n">
        <f aca="false">Sens!F10088+Sens!F10095</f>
        <v>394.833470580517</v>
      </c>
      <c r="G10096" s="6" t="n">
        <f aca="false">Sens!G10088+Sens!G10095</f>
        <v>460.626077876962</v>
      </c>
      <c r="H10096" s="6" t="n">
        <f aca="false">Sens!H10088+Sens!H10095</f>
        <v>523.451242081205</v>
      </c>
      <c r="I10096" s="6" t="n">
        <f aca="false">Sens!I10088+Sens!I10095</f>
        <v>590.498243905225</v>
      </c>
      <c r="J10096" s="6" t="n">
        <f aca="false">Sens!J10088+Sens!J10095</f>
        <v>649.356906647244</v>
      </c>
      <c r="K10096" s="6" t="n">
        <f aca="false">Sens!K10088+Sens!K10095</f>
        <v>700.618419441028</v>
      </c>
    </row>
    <row r="10097" customFormat="false" ht="15" hidden="false" customHeight="false" outlineLevel="0" collapsed="false">
      <c r="A10097" s="26" t="s">
        <v>1041</v>
      </c>
      <c r="B10097" s="31" t="s">
        <v>98</v>
      </c>
      <c r="C10097" s="31"/>
      <c r="D10097" s="27" t="n">
        <f aca="false">(Sens!D10076+Sens!D10081+Sens!D10082+Sens!D10084+Sens!D10086-Sens!D10088)+(Sens!D10089+Sens!D10091+Sens!D10093-Sens!D10095)+(Sens!D10088-Q!L5)+(Sens!D10095-Q!L12)+(Sens!D10076-Q!L6)+(Sens!D10081-Q!L7)</f>
        <v>0</v>
      </c>
      <c r="E10097" s="27" t="n">
        <f aca="false">(Sens!E10076+Sens!E10081+Sens!E10082+Sens!E10084+Sens!E10086-Sens!E10088)+(Sens!E10089+Sens!E10091+Sens!E10093-Sens!E10095)+(Sens!E10088-Q!M5)+(Sens!E10095-Q!M12)+(Sens!E10076-Q!M6)+(Sens!E10081-Q!M7)</f>
        <v>0</v>
      </c>
      <c r="F10097" s="27" t="n">
        <f aca="false">(Sens!F10076+Sens!F10081+Sens!F10082+Sens!F10084+Sens!F10086-Sens!F10088)+(Sens!F10089+Sens!F10091+Sens!F10093-Sens!F10095)</f>
        <v>0</v>
      </c>
      <c r="G10097" s="27" t="n">
        <f aca="false">(Sens!G10076+Sens!G10081+Sens!G10082+Sens!G10084+Sens!G10086-Sens!G10088)+(Sens!G10089+Sens!G10091+Sens!G10093-Sens!G10095)</f>
        <v>0</v>
      </c>
      <c r="H10097" s="27" t="n">
        <f aca="false">(Sens!H10076+Sens!H10081+Sens!H10082+Sens!H10084+Sens!H10086-Sens!H10088)+(Sens!H10089+Sens!H10091+Sens!H10093-Sens!H10095)</f>
        <v>0</v>
      </c>
      <c r="I10097" s="27" t="n">
        <f aca="false">(Sens!I10076+Sens!I10081+Sens!I10082+Sens!I10084+Sens!I10086-Sens!I10088)+(Sens!I10089+Sens!I10091+Sens!I10093-Sens!I10095)</f>
        <v>0</v>
      </c>
      <c r="J10097" s="27" t="n">
        <f aca="false">(Sens!J10076+Sens!J10081+Sens!J10082+Sens!J10084+Sens!J10086-Sens!J10088)+(Sens!J10089+Sens!J10091+Sens!J10093-Sens!J10095)</f>
        <v>0</v>
      </c>
      <c r="K10097" s="27" t="n">
        <f aca="false">(Sens!K10076+Sens!K10081+Sens!K10082+Sens!K10084+Sens!K10086-Sens!K10088)+(Sens!K10089+Sens!K10091+Sens!K10093-Sens!K10095)</f>
        <v>0</v>
      </c>
    </row>
    <row r="10098" customFormat="false" ht="17.15" hidden="false" customHeight="false" outlineLevel="0" collapsed="false">
      <c r="A10098" s="3" t="s">
        <v>1732</v>
      </c>
    </row>
    <row r="10099" customFormat="false" ht="15" hidden="false" customHeight="false" outlineLevel="0" collapsed="false">
      <c r="A10099" s="4" t="s">
        <v>43</v>
      </c>
      <c r="B10099" s="4" t="s">
        <v>65</v>
      </c>
      <c r="C10099" s="23" t="s">
        <v>938</v>
      </c>
      <c r="D10099" s="23" t="s">
        <v>939</v>
      </c>
      <c r="E10099" s="23" t="s">
        <v>940</v>
      </c>
      <c r="F10099" s="23" t="s">
        <v>941</v>
      </c>
      <c r="G10099" s="23" t="s">
        <v>942</v>
      </c>
      <c r="H10099" s="23" t="s">
        <v>943</v>
      </c>
      <c r="I10099" s="23" t="s">
        <v>944</v>
      </c>
      <c r="J10099" s="23" t="s">
        <v>945</v>
      </c>
      <c r="K10099" s="23" t="s">
        <v>946</v>
      </c>
      <c r="L10099" s="4" t="s">
        <v>47</v>
      </c>
    </row>
    <row r="10100" customFormat="false" ht="15" hidden="false" customHeight="false" outlineLevel="0" collapsed="false">
      <c r="A10100" s="0" t="s">
        <v>1025</v>
      </c>
      <c r="B10100" s="0" t="s">
        <v>98</v>
      </c>
      <c r="D10100" s="6" t="n">
        <f aca="false">Sens!D10076</f>
        <v>72.61</v>
      </c>
      <c r="E10100" s="6" t="n">
        <f aca="false">Sens!E10076</f>
        <v>101.938</v>
      </c>
      <c r="F10100" s="6" t="n">
        <f aca="false">Sens!F10076</f>
        <v>143.637557079082</v>
      </c>
      <c r="G10100" s="6" t="n">
        <f aca="false">Sens!G10076</f>
        <v>188.016166960024</v>
      </c>
      <c r="H10100" s="6" t="n">
        <f aca="false">Sens!H10076</f>
        <v>228.935789419833</v>
      </c>
      <c r="I10100" s="6" t="n">
        <f aca="false">Sens!I10076</f>
        <v>274.704967283225</v>
      </c>
      <c r="J10100" s="6" t="n">
        <f aca="false">Sens!J10076</f>
        <v>313.294163951887</v>
      </c>
      <c r="K10100" s="6" t="n">
        <f aca="false">Sens!K10076</f>
        <v>344.926334503522</v>
      </c>
    </row>
    <row r="10101" customFormat="false" ht="17.15" hidden="false" customHeight="false" outlineLevel="0" collapsed="false">
      <c r="A10101" s="0" t="s">
        <v>1021</v>
      </c>
      <c r="B10101" s="0" t="s">
        <v>98</v>
      </c>
      <c r="D10101" s="6" t="n">
        <f aca="false">Sens!D10073</f>
        <v>12.9359794422418</v>
      </c>
      <c r="E10101" s="6" t="n">
        <f aca="false">Sens!E10073</f>
        <v>27.8095064661409</v>
      </c>
      <c r="F10101" s="6" t="n">
        <f aca="false">Sens!F10073</f>
        <v>50.9819294352312</v>
      </c>
      <c r="G10101" s="6" t="n">
        <f aca="false">Sens!G10073</f>
        <v>76.6920436014933</v>
      </c>
      <c r="H10101" s="6" t="n">
        <f aca="false">Sens!H10073</f>
        <v>97.4495379418341</v>
      </c>
      <c r="I10101" s="6" t="n">
        <f aca="false">Sens!I10073</f>
        <v>122.083445553868</v>
      </c>
      <c r="J10101" s="6" t="n">
        <f aca="false">Sens!J10073</f>
        <v>139.249060444804</v>
      </c>
      <c r="K10101" s="6" t="n">
        <f aca="false">Sens!K10073</f>
        <v>149.995818575589</v>
      </c>
    </row>
    <row r="10102" customFormat="false" ht="17.15" hidden="false" customHeight="false" outlineLevel="0" collapsed="false">
      <c r="A10102" s="0" t="s">
        <v>1052</v>
      </c>
      <c r="B10102" s="0" t="s">
        <v>98</v>
      </c>
      <c r="D10102" s="6" t="n">
        <f aca="false">Sens!D10074</f>
        <v>59.6740205577583</v>
      </c>
      <c r="E10102" s="6" t="n">
        <f aca="false">Sens!E10074</f>
        <v>74.1284935338591</v>
      </c>
      <c r="F10102" s="6" t="n">
        <f aca="false">Sens!F10074</f>
        <v>92.6556276438506</v>
      </c>
      <c r="G10102" s="6" t="n">
        <f aca="false">Sens!G10074</f>
        <v>111.324123358531</v>
      </c>
      <c r="H10102" s="6" t="n">
        <f aca="false">Sens!H10074</f>
        <v>131.486251477999</v>
      </c>
      <c r="I10102" s="6" t="n">
        <f aca="false">Sens!I10074</f>
        <v>152.621521729358</v>
      </c>
      <c r="J10102" s="6" t="n">
        <f aca="false">Sens!J10074</f>
        <v>174.045103507083</v>
      </c>
      <c r="K10102" s="6" t="n">
        <f aca="false">Sens!K10074</f>
        <v>194.930515927933</v>
      </c>
    </row>
    <row r="10103" customFormat="false" ht="15" hidden="false" customHeight="false" outlineLevel="0" collapsed="false">
      <c r="A10103" s="0" t="s">
        <v>1032</v>
      </c>
      <c r="B10103" s="0" t="s">
        <v>98</v>
      </c>
      <c r="D10103" s="6" t="n">
        <f aca="false">Sens!D10081</f>
        <v>84.605</v>
      </c>
      <c r="E10103" s="6" t="n">
        <f aca="false">Sens!E10081</f>
        <v>100.299</v>
      </c>
      <c r="F10103" s="6" t="n">
        <f aca="false">Sens!F10081</f>
        <v>117.438354189776</v>
      </c>
      <c r="G10103" s="6" t="n">
        <f aca="false">Sens!G10081</f>
        <v>132.595360443801</v>
      </c>
      <c r="H10103" s="6" t="n">
        <f aca="false">Sens!H10081</f>
        <v>147.833811964563</v>
      </c>
      <c r="I10103" s="6" t="n">
        <f aca="false">Sens!I10081</f>
        <v>162.145665319381</v>
      </c>
      <c r="J10103" s="6" t="n">
        <f aca="false">Sens!J10081</f>
        <v>175.249327755573</v>
      </c>
      <c r="K10103" s="6" t="n">
        <f aca="false">Sens!K10081</f>
        <v>187.599280698463</v>
      </c>
    </row>
    <row r="10104" customFormat="false" ht="17.15" hidden="false" customHeight="false" outlineLevel="0" collapsed="false">
      <c r="A10104" s="0" t="s">
        <v>1053</v>
      </c>
      <c r="B10104" s="0" t="s">
        <v>98</v>
      </c>
      <c r="D10104" s="6" t="n">
        <f aca="false">Sens!D10079</f>
        <v>83.705</v>
      </c>
      <c r="E10104" s="6" t="n">
        <f aca="false">Sens!E10079</f>
        <v>95.049</v>
      </c>
      <c r="F10104" s="6" t="n">
        <f aca="false">Sens!F10079</f>
        <v>106.938354189776</v>
      </c>
      <c r="G10104" s="6" t="n">
        <f aca="false">Sens!G10079</f>
        <v>119.095360443801</v>
      </c>
      <c r="H10104" s="6" t="n">
        <f aca="false">Sens!H10079</f>
        <v>131.333811964563</v>
      </c>
      <c r="I10104" s="6" t="n">
        <f aca="false">Sens!I10079</f>
        <v>143.395665319381</v>
      </c>
      <c r="J10104" s="6" t="n">
        <f aca="false">Sens!J10079</f>
        <v>154.999327755573</v>
      </c>
      <c r="K10104" s="6" t="n">
        <f aca="false">Sens!K10079</f>
        <v>165.849280698463</v>
      </c>
    </row>
    <row r="10105" customFormat="false" ht="17.15" hidden="false" customHeight="false" outlineLevel="0" collapsed="false">
      <c r="A10105" s="0" t="s">
        <v>1054</v>
      </c>
      <c r="B10105" s="0" t="s">
        <v>98</v>
      </c>
      <c r="D10105" s="6" t="n">
        <f aca="false">Sens!D10078</f>
        <v>0.9</v>
      </c>
      <c r="E10105" s="6" t="n">
        <f aca="false">Sens!E10078</f>
        <v>5.25</v>
      </c>
      <c r="F10105" s="6" t="n">
        <f aca="false">Sens!F10078</f>
        <v>10.5</v>
      </c>
      <c r="G10105" s="6" t="n">
        <f aca="false">Sens!G10078</f>
        <v>13.5</v>
      </c>
      <c r="H10105" s="6" t="n">
        <f aca="false">Sens!H10078</f>
        <v>16.5</v>
      </c>
      <c r="I10105" s="6" t="n">
        <f aca="false">Sens!I10078</f>
        <v>18.75</v>
      </c>
      <c r="J10105" s="6" t="n">
        <f aca="false">Sens!J10078</f>
        <v>20.25</v>
      </c>
      <c r="K10105" s="6" t="n">
        <f aca="false">Sens!K10078</f>
        <v>21.75</v>
      </c>
    </row>
    <row r="10106" customFormat="false" ht="15" hidden="false" customHeight="false" outlineLevel="0" collapsed="false">
      <c r="A10106" s="0" t="s">
        <v>1033</v>
      </c>
      <c r="B10106" s="0" t="s">
        <v>98</v>
      </c>
      <c r="D10106" s="6" t="n">
        <f aca="false">Sens!D10082</f>
        <v>35.391</v>
      </c>
      <c r="E10106" s="6" t="n">
        <f aca="false">Sens!E10082</f>
        <v>37.285</v>
      </c>
      <c r="F10106" s="6" t="n">
        <f aca="false">Sens!F10082</f>
        <v>38.3851437782675</v>
      </c>
      <c r="G10106" s="6" t="n">
        <f aca="false">Sens!G10082</f>
        <v>40.0105353288615</v>
      </c>
      <c r="H10106" s="6" t="n">
        <f aca="false">Sens!H10082</f>
        <v>41.4812512033683</v>
      </c>
      <c r="I10106" s="6" t="n">
        <f aca="false">Sens!I10082</f>
        <v>42.7743107216329</v>
      </c>
      <c r="J10106" s="6" t="n">
        <f aca="false">Sens!J10082</f>
        <v>43.8687373064601</v>
      </c>
      <c r="K10106" s="6" t="n">
        <f aca="false">Sens!K10082</f>
        <v>44.7461120525893</v>
      </c>
    </row>
    <row r="10107" customFormat="false" ht="15" hidden="false" customHeight="false" outlineLevel="0" collapsed="false">
      <c r="A10107" s="0" t="s">
        <v>1035</v>
      </c>
      <c r="B10107" s="0" t="s">
        <v>98</v>
      </c>
      <c r="D10107" s="6" t="n">
        <f aca="false">Sens!D10084</f>
        <v>18.417</v>
      </c>
      <c r="E10107" s="6" t="n">
        <f aca="false">Sens!E10084</f>
        <v>20.345</v>
      </c>
      <c r="F10107" s="6" t="n">
        <f aca="false">Sens!F10084</f>
        <v>22.3161797133988</v>
      </c>
      <c r="G10107" s="6" t="n">
        <f aca="false">Sens!G10084</f>
        <v>24.3943499673233</v>
      </c>
      <c r="H10107" s="6" t="n">
        <f aca="false">Sens!H10084</f>
        <v>26.5250243109019</v>
      </c>
      <c r="I10107" s="6" t="n">
        <f aca="false">Sens!I10084</f>
        <v>28.6884573538181</v>
      </c>
      <c r="J10107" s="6" t="n">
        <f aca="false">Sens!J10084</f>
        <v>30.8624968052127</v>
      </c>
      <c r="K10107" s="6" t="n">
        <f aca="false">Sens!K10084</f>
        <v>33.0228715815776</v>
      </c>
    </row>
    <row r="10108" customFormat="false" ht="15" hidden="false" customHeight="false" outlineLevel="0" collapsed="false">
      <c r="A10108" s="0" t="s">
        <v>1036</v>
      </c>
      <c r="B10108" s="0" t="s">
        <v>98</v>
      </c>
      <c r="D10108" s="6" t="n">
        <f aca="false">Sens!D10086</f>
        <v>7.76</v>
      </c>
      <c r="E10108" s="6" t="n">
        <f aca="false">Sens!E10086</f>
        <v>8.26</v>
      </c>
      <c r="F10108" s="6" t="n">
        <f aca="false">Sens!F10086</f>
        <v>8.75372082474227</v>
      </c>
      <c r="G10108" s="6" t="n">
        <f aca="false">Sens!G10086</f>
        <v>9.33399324642364</v>
      </c>
      <c r="H10108" s="6" t="n">
        <f aca="false">Sens!H10086</f>
        <v>9.96139155535851</v>
      </c>
      <c r="I10108" s="6" t="n">
        <f aca="false">Sens!I10086</f>
        <v>10.6402039077391</v>
      </c>
      <c r="J10108" s="6" t="n">
        <f aca="false">Sens!J10086</f>
        <v>11.3751458271397</v>
      </c>
      <c r="K10108" s="6" t="n">
        <f aca="false">Sens!K10086</f>
        <v>12.1714060350394</v>
      </c>
    </row>
    <row r="10109" customFormat="false" ht="15" hidden="false" customHeight="false" outlineLevel="0" collapsed="false">
      <c r="A10109" s="0" t="s">
        <v>852</v>
      </c>
      <c r="B10109" s="0" t="s">
        <v>98</v>
      </c>
      <c r="D10109" s="6" t="n">
        <f aca="false">Sens!D10088</f>
        <v>218.783</v>
      </c>
      <c r="E10109" s="6" t="n">
        <f aca="false">Sens!E10088</f>
        <v>268.127</v>
      </c>
      <c r="F10109" s="6" t="n">
        <f aca="false">Sens!F10088</f>
        <v>330.530955585266</v>
      </c>
      <c r="G10109" s="6" t="n">
        <f aca="false">Sens!G10088</f>
        <v>394.350405946433</v>
      </c>
      <c r="H10109" s="6" t="n">
        <f aca="false">Sens!H10088</f>
        <v>454.737268454025</v>
      </c>
      <c r="I10109" s="6" t="n">
        <f aca="false">Sens!I10088</f>
        <v>518.953604585797</v>
      </c>
      <c r="J10109" s="6" t="n">
        <f aca="false">Sens!J10088</f>
        <v>574.649871646273</v>
      </c>
      <c r="K10109" s="6" t="n">
        <f aca="false">Sens!K10088</f>
        <v>622.466004871192</v>
      </c>
    </row>
    <row r="10110" customFormat="false" ht="15" hidden="false" customHeight="false" outlineLevel="0" collapsed="false">
      <c r="A10110" s="0" t="s">
        <v>1037</v>
      </c>
      <c r="B10110" s="0" t="s">
        <v>98</v>
      </c>
      <c r="D10110" s="6" t="n">
        <f aca="false">Sens!D10089</f>
        <v>22.171</v>
      </c>
      <c r="E10110" s="6" t="n">
        <f aca="false">Sens!E10089</f>
        <v>24.835</v>
      </c>
      <c r="F10110" s="6" t="n">
        <f aca="false">Sens!F10089</f>
        <v>27.5591895660247</v>
      </c>
      <c r="G10110" s="6" t="n">
        <f aca="false">Sens!G10089</f>
        <v>30.4098563144583</v>
      </c>
      <c r="H10110" s="6" t="n">
        <f aca="false">Sens!H10089</f>
        <v>33.3011792571777</v>
      </c>
      <c r="I10110" s="6" t="n">
        <f aca="false">Sens!I10089</f>
        <v>36.189023797112</v>
      </c>
      <c r="J10110" s="6" t="n">
        <f aca="false">Sens!J10089</f>
        <v>39.0247773769199</v>
      </c>
      <c r="K10110" s="6" t="n">
        <f aca="false">Sens!K10089</f>
        <v>41.7565117933043</v>
      </c>
    </row>
    <row r="10111" customFormat="false" ht="15" hidden="false" customHeight="false" outlineLevel="0" collapsed="false">
      <c r="A10111" s="0" t="s">
        <v>1038</v>
      </c>
      <c r="B10111" s="0" t="s">
        <v>98</v>
      </c>
      <c r="D10111" s="6" t="n">
        <f aca="false">Sens!D10091</f>
        <v>23.455</v>
      </c>
      <c r="E10111" s="6" t="n">
        <f aca="false">Sens!E10091</f>
        <v>21.79</v>
      </c>
      <c r="F10111" s="6" t="n">
        <f aca="false">Sens!F10091</f>
        <v>20.7520981041711</v>
      </c>
      <c r="G10111" s="6" t="n">
        <f aca="false">Sens!G10091</f>
        <v>19.9083593495882</v>
      </c>
      <c r="H10111" s="6" t="n">
        <f aca="false">Sens!H10091</f>
        <v>19.4008256265831</v>
      </c>
      <c r="I10111" s="6" t="n">
        <f aca="false">Sens!I10091</f>
        <v>19.200434522122</v>
      </c>
      <c r="J10111" s="6" t="n">
        <f aca="false">Sens!J10091</f>
        <v>19.2932782348507</v>
      </c>
      <c r="K10111" s="6" t="n">
        <f aca="false">Sens!K10091</f>
        <v>19.6791437995477</v>
      </c>
    </row>
    <row r="10112" customFormat="false" ht="15" hidden="false" customHeight="false" outlineLevel="0" collapsed="false">
      <c r="A10112" s="0" t="s">
        <v>1039</v>
      </c>
      <c r="B10112" s="0" t="s">
        <v>98</v>
      </c>
      <c r="D10112" s="6" t="n">
        <f aca="false">Sens!D10093</f>
        <v>17.315</v>
      </c>
      <c r="E10112" s="6" t="n">
        <f aca="false">Sens!E10093</f>
        <v>17.087</v>
      </c>
      <c r="F10112" s="6" t="n">
        <f aca="false">Sens!F10093</f>
        <v>15.9912273250553</v>
      </c>
      <c r="G10112" s="6" t="n">
        <f aca="false">Sens!G10093</f>
        <v>15.9574562664827</v>
      </c>
      <c r="H10112" s="6" t="n">
        <f aca="false">Sens!H10093</f>
        <v>16.0119687434196</v>
      </c>
      <c r="I10112" s="6" t="n">
        <f aca="false">Sens!I10093</f>
        <v>16.1551810001948</v>
      </c>
      <c r="J10112" s="6" t="n">
        <f aca="false">Sens!J10093</f>
        <v>16.3889793892005</v>
      </c>
      <c r="K10112" s="6" t="n">
        <f aca="false">Sens!K10093</f>
        <v>16.7167589769845</v>
      </c>
    </row>
    <row r="10113" customFormat="false" ht="15" hidden="false" customHeight="false" outlineLevel="0" collapsed="false">
      <c r="A10113" s="0" t="s">
        <v>866</v>
      </c>
      <c r="B10113" s="0" t="s">
        <v>98</v>
      </c>
      <c r="D10113" s="6" t="n">
        <f aca="false">Sens!D10095</f>
        <v>62.941</v>
      </c>
      <c r="E10113" s="6" t="n">
        <f aca="false">Sens!E10095</f>
        <v>63.712</v>
      </c>
      <c r="F10113" s="6" t="n">
        <f aca="false">Sens!F10095</f>
        <v>64.3025149952511</v>
      </c>
      <c r="G10113" s="6" t="n">
        <f aca="false">Sens!G10095</f>
        <v>66.2756719305292</v>
      </c>
      <c r="H10113" s="6" t="n">
        <f aca="false">Sens!H10095</f>
        <v>68.7139736271804</v>
      </c>
      <c r="I10113" s="6" t="n">
        <f aca="false">Sens!I10095</f>
        <v>71.5446393194289</v>
      </c>
      <c r="J10113" s="6" t="n">
        <f aca="false">Sens!J10095</f>
        <v>74.707035000971</v>
      </c>
      <c r="K10113" s="6" t="n">
        <f aca="false">Sens!K10095</f>
        <v>78.1524145698365</v>
      </c>
    </row>
    <row r="10114" customFormat="false" ht="15" hidden="false" customHeight="false" outlineLevel="0" collapsed="false">
      <c r="A10114" s="1" t="s">
        <v>1055</v>
      </c>
      <c r="B10114" s="0" t="s">
        <v>98</v>
      </c>
      <c r="D10114" s="6" t="n">
        <f aca="false">Sens!D10096</f>
        <v>281.724</v>
      </c>
      <c r="E10114" s="6" t="n">
        <f aca="false">Sens!E10096</f>
        <v>331.839</v>
      </c>
      <c r="F10114" s="6" t="n">
        <f aca="false">Sens!F10096</f>
        <v>394.833470580517</v>
      </c>
      <c r="G10114" s="6" t="n">
        <f aca="false">Sens!G10096</f>
        <v>460.626077876962</v>
      </c>
      <c r="H10114" s="6" t="n">
        <f aca="false">Sens!H10096</f>
        <v>523.451242081205</v>
      </c>
      <c r="I10114" s="6" t="n">
        <f aca="false">Sens!I10096</f>
        <v>590.498243905225</v>
      </c>
      <c r="J10114" s="6" t="n">
        <f aca="false">Sens!J10096</f>
        <v>649.356906647244</v>
      </c>
      <c r="K10114" s="6" t="n">
        <f aca="false">Sens!K10096</f>
        <v>700.618419441028</v>
      </c>
    </row>
    <row r="10115" customFormat="false" ht="15" hidden="false" customHeight="false" outlineLevel="0" collapsed="false">
      <c r="A10115" s="1" t="s">
        <v>1056</v>
      </c>
      <c r="B10115" s="0" t="s">
        <v>168</v>
      </c>
      <c r="E10115" s="7" t="n">
        <f aca="false">Sens!E10114/Sens!D10114-1</f>
        <v>0.177886867998467</v>
      </c>
      <c r="F10115" s="7" t="n">
        <f aca="false">Sens!F10114/Sens!E10114-1</f>
        <v>0.189834439533982</v>
      </c>
      <c r="G10115" s="7" t="n">
        <f aca="false">Sens!G10114/Sens!F10114-1</f>
        <v>0.166633814503394</v>
      </c>
      <c r="H10115" s="7" t="n">
        <f aca="false">Sens!H10114/Sens!G10114-1</f>
        <v>0.136390810728315</v>
      </c>
      <c r="I10115" s="7" t="n">
        <f aca="false">Sens!I10114/Sens!H10114-1</f>
        <v>0.128086431808713</v>
      </c>
      <c r="J10115" s="7" t="n">
        <f aca="false">Sens!J10114/Sens!I10114-1</f>
        <v>0.0996762705893244</v>
      </c>
      <c r="K10115" s="7" t="n">
        <f aca="false">Sens!K10114/Sens!J10114-1</f>
        <v>0.078941968998925</v>
      </c>
    </row>
    <row r="10116" customFormat="false" ht="17.15" hidden="false" customHeight="false" outlineLevel="0" collapsed="false">
      <c r="A10116" s="26" t="s">
        <v>1057</v>
      </c>
      <c r="B10116" s="31" t="s">
        <v>98</v>
      </c>
      <c r="C10116" s="31"/>
      <c r="D10116" s="27" t="n">
        <f aca="false">(Sens!D10109+Sens!D10113-Sens!D10114)+(Sens!D10101+Sens!D10102-Sens!D10100)+(Sens!D10104+Sens!D10105-Sens!D10103)+(Sens!D10114-Q!L18)</f>
        <v>0</v>
      </c>
      <c r="E10116" s="27" t="n">
        <f aca="false">(Sens!E10109+Sens!E10113-Sens!E10114)+(Sens!E10101+Sens!E10102-Sens!E10100)+(Sens!E10104+Sens!E10105-Sens!E10103)+(Sens!E10114-Q!M18)</f>
        <v>0</v>
      </c>
      <c r="F10116" s="27" t="n">
        <f aca="false">(Sens!F10109+Sens!F10113-Sens!F10114)+(Sens!F10101+Sens!F10102-Sens!F10100)+(Sens!F10104+Sens!F10105-Sens!F10103)</f>
        <v>0</v>
      </c>
      <c r="G10116" s="27" t="n">
        <f aca="false">(Sens!G10109+Sens!G10113-Sens!G10114)+(Sens!G10101+Sens!G10102-Sens!G10100)+(Sens!G10104+Sens!G10105-Sens!G10103)</f>
        <v>0</v>
      </c>
      <c r="H10116" s="27" t="n">
        <f aca="false">(Sens!H10109+Sens!H10113-Sens!H10114)+(Sens!H10101+Sens!H10102-Sens!H10100)+(Sens!H10104+Sens!H10105-Sens!H10103)</f>
        <v>0</v>
      </c>
      <c r="I10116" s="27" t="n">
        <f aca="false">(Sens!I10109+Sens!I10113-Sens!I10114)+(Sens!I10101+Sens!I10102-Sens!I10100)+(Sens!I10104+Sens!I10105-Sens!I10103)</f>
        <v>0</v>
      </c>
      <c r="J10116" s="27" t="n">
        <f aca="false">(Sens!J10109+Sens!J10113-Sens!J10114)+(Sens!J10101+Sens!J10102-Sens!J10100)+(Sens!J10104+Sens!J10105-Sens!J10103)</f>
        <v>0</v>
      </c>
      <c r="K10116" s="27" t="n">
        <f aca="false">(Sens!K10109+Sens!K10113-Sens!K10114)+(Sens!K10101+Sens!K10102-Sens!K10100)+(Sens!K10104+Sens!K10105-Sens!K10103)</f>
        <v>0</v>
      </c>
    </row>
    <row r="10117" customFormat="false" ht="17.15" hidden="false" customHeight="false" outlineLevel="0" collapsed="false">
      <c r="A10117" s="0" t="s">
        <v>1058</v>
      </c>
      <c r="B10117" s="0" t="s">
        <v>168</v>
      </c>
      <c r="E10117" s="7" t="n">
        <f aca="false">(Q!M21+Sens!E10053+Sens!E10054+Sens!E10055+Sens!E10069-Sens!E10051)/(Q!M5-Sens!E10051)</f>
        <v>0.570957350878296</v>
      </c>
      <c r="F10117" s="7" t="n">
        <f aca="false">Sens!$E$10117+dm_seg</f>
        <v>0.570957350878296</v>
      </c>
      <c r="G10117" s="7" t="n">
        <f aca="false">Sens!$E$10117+dm_seg</f>
        <v>0.570957350878296</v>
      </c>
      <c r="H10117" s="7" t="n">
        <f aca="false">Sens!$E$10117+dm_seg</f>
        <v>0.570957350878296</v>
      </c>
      <c r="I10117" s="7" t="n">
        <f aca="false">Sens!$E$10117+dm_seg</f>
        <v>0.570957350878296</v>
      </c>
      <c r="J10117" s="7" t="n">
        <f aca="false">Sens!$E$10117+dm_seg</f>
        <v>0.570957350878296</v>
      </c>
      <c r="K10117" s="7" t="n">
        <f aca="false">Sens!$E$10117+dm_seg</f>
        <v>0.570957350878296</v>
      </c>
      <c r="L10117" s="12" t="s">
        <v>1059</v>
      </c>
    </row>
    <row r="10118" customFormat="false" ht="17.15" hidden="false" customHeight="false" outlineLevel="0" collapsed="false">
      <c r="A10118" s="0" t="s">
        <v>880</v>
      </c>
      <c r="B10118" s="0" t="s">
        <v>98</v>
      </c>
      <c r="D10118" s="6" t="n">
        <f aca="false">Q!L21</f>
        <v>110.814</v>
      </c>
      <c r="E10118" s="6" t="n">
        <f aca="false">Q!M21</f>
        <v>136.365</v>
      </c>
      <c r="F10118" s="6" t="n">
        <f aca="false">Q!$I$21+(Sens!F10117*(Sens!F10088-Sens!F10051)+Sens!F10051-(Sens!F10053+Sens!F10054+Sens!F10055)-Sens!F10069-Sens!F10152)*(Sens!F10088-Q!$I$5)/Sens!F10088</f>
        <v>158.320852380169</v>
      </c>
      <c r="G10118" s="6" t="n">
        <f aca="false">(Sens!G10117*(Sens!G10088-Sens!G10051)+Sens!G10051-(Sens!G10053+Sens!G10054+Sens!G10055)-Sens!G10069-Sens!G10152)</f>
        <v>162.25573744759</v>
      </c>
      <c r="H10118" s="6" t="n">
        <f aca="false">(Sens!H10117*(Sens!H10088-Sens!H10051)+Sens!H10051-(Sens!H10053+Sens!H10054+Sens!H10055)-Sens!H10069-Sens!H10152)</f>
        <v>165.144470632558</v>
      </c>
      <c r="I10118" s="6" t="n">
        <f aca="false">(Sens!I10117*(Sens!I10088-Sens!I10051)+Sens!I10051-(Sens!I10053+Sens!I10054+Sens!I10055)-Sens!I10069-Sens!I10152)</f>
        <v>176.748086902771</v>
      </c>
      <c r="J10118" s="6" t="n">
        <f aca="false">(Sens!J10117*(Sens!J10088-Sens!J10051)+Sens!J10051-(Sens!J10053+Sens!J10054+Sens!J10055)-Sens!J10069-Sens!J10152)</f>
        <v>190.981851077283</v>
      </c>
      <c r="K10118" s="6" t="n">
        <f aca="false">(Sens!K10117*(Sens!K10088-Sens!K10051)+Sens!K10051-(Sens!K10053+Sens!K10054+Sens!K10055)-Sens!K10069-Sens!K10152)</f>
        <v>207.839934689196</v>
      </c>
      <c r="L10118" s="1" t="s">
        <v>1060</v>
      </c>
    </row>
    <row r="10119" customFormat="false" ht="17.15" hidden="false" customHeight="false" outlineLevel="0" collapsed="false">
      <c r="A10119" s="0" t="s">
        <v>1061</v>
      </c>
      <c r="B10119" s="0" t="s">
        <v>168</v>
      </c>
      <c r="E10119" s="7" t="n">
        <f aca="false">Q!M22/Q!M12</f>
        <v>0.296207935710698</v>
      </c>
      <c r="F10119" s="7" t="n">
        <f aca="false">Sens!$E$10119+dm_seg</f>
        <v>0.296207935710698</v>
      </c>
      <c r="G10119" s="7" t="n">
        <f aca="false">Sens!$E$10119+dm_seg</f>
        <v>0.296207935710698</v>
      </c>
      <c r="H10119" s="7" t="n">
        <f aca="false">Sens!$E$10119+dm_seg</f>
        <v>0.296207935710698</v>
      </c>
      <c r="I10119" s="7" t="n">
        <f aca="false">Sens!$E$10119+dm_seg</f>
        <v>0.296207935710698</v>
      </c>
      <c r="J10119" s="7" t="n">
        <f aca="false">Sens!$E$10119+dm_seg</f>
        <v>0.296207935710698</v>
      </c>
      <c r="K10119" s="7" t="n">
        <f aca="false">Sens!$E$10119+dm_seg</f>
        <v>0.296207935710698</v>
      </c>
      <c r="L10119" s="12" t="s">
        <v>1062</v>
      </c>
    </row>
    <row r="10120" customFormat="false" ht="17.15" hidden="false" customHeight="false" outlineLevel="0" collapsed="false">
      <c r="A10120" s="0" t="s">
        <v>882</v>
      </c>
      <c r="B10120" s="0" t="s">
        <v>98</v>
      </c>
      <c r="D10120" s="6" t="n">
        <f aca="false">Q!L22</f>
        <v>17.714</v>
      </c>
      <c r="E10120" s="6" t="n">
        <f aca="false">Q!M22</f>
        <v>18.872</v>
      </c>
      <c r="F10120" s="6" t="n">
        <f aca="false">Q!$I$22+(Sens!F10095-Q!$I$12)*Sens!F10119</f>
        <v>19.8174315512051</v>
      </c>
      <c r="G10120" s="6" t="n">
        <f aca="false">Sens!G10095*Sens!G10119</f>
        <v>19.6313799703815</v>
      </c>
      <c r="H10120" s="6" t="n">
        <f aca="false">Sens!H10095*Sens!H10119</f>
        <v>20.3536242825865</v>
      </c>
      <c r="I10120" s="6" t="n">
        <f aca="false">Sens!I10095*Sens!I10119</f>
        <v>21.1920899239745</v>
      </c>
      <c r="J10120" s="6" t="n">
        <f aca="false">Sens!J10095*Sens!J10119</f>
        <v>22.1288166207045</v>
      </c>
      <c r="K10120" s="6" t="n">
        <f aca="false">Sens!K10095*Sens!K10119</f>
        <v>23.1493653905379</v>
      </c>
      <c r="L10120" s="12" t="s">
        <v>1063</v>
      </c>
    </row>
    <row r="10121" customFormat="false" ht="15" hidden="false" customHeight="false" outlineLevel="0" collapsed="false">
      <c r="A10121" s="1" t="s">
        <v>1064</v>
      </c>
      <c r="B10121" s="0" t="s">
        <v>98</v>
      </c>
      <c r="D10121" s="6" t="n">
        <f aca="false">Sens!D10118+Sens!D10120</f>
        <v>128.528</v>
      </c>
      <c r="E10121" s="6" t="n">
        <f aca="false">Sens!E10118+Sens!E10120</f>
        <v>155.237</v>
      </c>
      <c r="F10121" s="6" t="n">
        <f aca="false">Sens!F10118+Sens!F10120</f>
        <v>178.138283931374</v>
      </c>
      <c r="G10121" s="6" t="n">
        <f aca="false">Sens!G10118+Sens!G10120</f>
        <v>181.887117417971</v>
      </c>
      <c r="H10121" s="6" t="n">
        <f aca="false">Sens!H10118+Sens!H10120</f>
        <v>185.498094915144</v>
      </c>
      <c r="I10121" s="6" t="n">
        <f aca="false">Sens!I10118+Sens!I10120</f>
        <v>197.940176826746</v>
      </c>
      <c r="J10121" s="6" t="n">
        <f aca="false">Sens!J10118+Sens!J10120</f>
        <v>213.110667697988</v>
      </c>
      <c r="K10121" s="6" t="n">
        <f aca="false">Sens!K10118+Sens!K10120</f>
        <v>230.989300079734</v>
      </c>
    </row>
    <row r="10122" customFormat="false" ht="15" hidden="false" customHeight="false" outlineLevel="0" collapsed="false">
      <c r="A10122" s="26" t="s">
        <v>1065</v>
      </c>
      <c r="B10122" s="31" t="s">
        <v>98</v>
      </c>
      <c r="C10122" s="31"/>
      <c r="D10122" s="27" t="n">
        <f aca="false">Sens!D10121-Q!L23</f>
        <v>0</v>
      </c>
      <c r="E10122" s="27" t="n">
        <f aca="false">Sens!E10121-Q!M23</f>
        <v>0</v>
      </c>
      <c r="F10122" s="31"/>
      <c r="G10122" s="31"/>
      <c r="H10122" s="31"/>
      <c r="I10122" s="31"/>
      <c r="J10122" s="31"/>
      <c r="K10122" s="31"/>
    </row>
    <row r="10123" customFormat="false" ht="15" hidden="false" customHeight="false" outlineLevel="0" collapsed="false">
      <c r="A10123" s="1" t="s">
        <v>1066</v>
      </c>
      <c r="B10123" s="0" t="s">
        <v>168</v>
      </c>
      <c r="D10123" s="7" t="n">
        <f aca="false">Sens!D10121/Sens!D10114</f>
        <v>0.456219562408598</v>
      </c>
      <c r="E10123" s="7" t="n">
        <f aca="false">Sens!E10121/Sens!E10114</f>
        <v>0.467808184089272</v>
      </c>
      <c r="F10123" s="7" t="n">
        <f aca="false">Sens!F10121/Sens!F10114</f>
        <v>0.451173208972027</v>
      </c>
      <c r="G10123" s="7" t="n">
        <f aca="false">Sens!G10121/Sens!G10114</f>
        <v>0.394869344471971</v>
      </c>
      <c r="H10123" s="7" t="n">
        <f aca="false">Sens!H10121/Sens!H10114</f>
        <v>0.354375116539254</v>
      </c>
      <c r="I10123" s="7" t="n">
        <f aca="false">Sens!I10121/Sens!I10114</f>
        <v>0.335208747646191</v>
      </c>
      <c r="J10123" s="7" t="n">
        <f aca="false">Sens!J10121/Sens!J10114</f>
        <v>0.328187265764708</v>
      </c>
      <c r="K10123" s="7" t="n">
        <f aca="false">Sens!K10121/Sens!K10114</f>
        <v>0.329693444634275</v>
      </c>
    </row>
    <row r="10124" customFormat="false" ht="17.15" hidden="false" customHeight="false" outlineLevel="0" collapsed="false">
      <c r="A10124" s="1" t="s">
        <v>1067</v>
      </c>
      <c r="B10124" s="0" t="s">
        <v>98</v>
      </c>
      <c r="F10124" s="6" t="n">
        <f aca="false">Sens!F10139</f>
        <v>10.5962787979473</v>
      </c>
      <c r="G10124" s="6" t="n">
        <f aca="false">Sens!G10139</f>
        <v>27.844646674932</v>
      </c>
      <c r="H10124" s="6" t="n">
        <f aca="false">Sens!H10139</f>
        <v>46.566205501382</v>
      </c>
      <c r="I10124" s="6" t="n">
        <f aca="false">Sens!I10139</f>
        <v>63.2717778126444</v>
      </c>
      <c r="J10124" s="6" t="n">
        <f aca="false">Sens!J10139</f>
        <v>74.9061222882009</v>
      </c>
      <c r="K10124" s="6" t="n">
        <f aca="false">Sens!K10139</f>
        <v>81.6395437180232</v>
      </c>
      <c r="L10124" s="1" t="s">
        <v>1068</v>
      </c>
    </row>
    <row r="10125" customFormat="false" ht="17.15" hidden="false" customHeight="false" outlineLevel="0" collapsed="false">
      <c r="A10125" s="1" t="s">
        <v>1069</v>
      </c>
      <c r="B10125" s="0" t="s">
        <v>98</v>
      </c>
      <c r="D10125" s="6" t="n">
        <f aca="false">Sens!D10121</f>
        <v>128.528</v>
      </c>
      <c r="E10125" s="6" t="n">
        <f aca="false">Sens!E10121</f>
        <v>155.237</v>
      </c>
      <c r="F10125" s="6" t="n">
        <f aca="false">Sens!F10121+Sens!F10124</f>
        <v>188.734562729322</v>
      </c>
      <c r="G10125" s="6" t="n">
        <f aca="false">Sens!G10121+Sens!G10124</f>
        <v>209.731764092903</v>
      </c>
      <c r="H10125" s="6" t="n">
        <f aca="false">Sens!H10121+Sens!H10124</f>
        <v>232.064300416526</v>
      </c>
      <c r="I10125" s="6" t="n">
        <f aca="false">Sens!I10121+Sens!I10124</f>
        <v>261.21195463939</v>
      </c>
      <c r="J10125" s="6" t="n">
        <f aca="false">Sens!J10121+Sens!J10124</f>
        <v>288.016789986189</v>
      </c>
      <c r="K10125" s="6" t="n">
        <f aca="false">Sens!K10121+Sens!K10124</f>
        <v>312.628843797757</v>
      </c>
    </row>
    <row r="10126" customFormat="false" ht="17.15" hidden="false" customHeight="false" outlineLevel="0" collapsed="false">
      <c r="A10126" s="1" t="s">
        <v>1070</v>
      </c>
      <c r="B10126" s="0" t="s">
        <v>98</v>
      </c>
      <c r="E10126" s="6" t="n">
        <f aca="false">Sens!E10069</f>
        <v>16.3054059770833</v>
      </c>
      <c r="F10126" s="6" t="n">
        <f aca="false">Sens!F10069</f>
        <v>34.5793144783516</v>
      </c>
      <c r="G10126" s="6" t="n">
        <f aca="false">Sens!G10069</f>
        <v>60.7344906522989</v>
      </c>
      <c r="H10126" s="6" t="n">
        <f aca="false">Sens!H10069</f>
        <v>89.1000906614457</v>
      </c>
      <c r="I10126" s="6" t="n">
        <f aca="false">Sens!I10069</f>
        <v>114.231009694548</v>
      </c>
      <c r="J10126" s="6" t="n">
        <f aca="false">Sens!J10069</f>
        <v>132.015673049596</v>
      </c>
      <c r="K10126" s="6" t="n">
        <f aca="false">Sens!K10069</f>
        <v>143.012669550934</v>
      </c>
    </row>
    <row r="10127" customFormat="false" ht="17.15" hidden="false" customHeight="false" outlineLevel="0" collapsed="false">
      <c r="A10127" s="1" t="s">
        <v>1071</v>
      </c>
      <c r="B10127" s="0" t="s">
        <v>98</v>
      </c>
      <c r="E10127" s="6" t="n">
        <f aca="false">Sens!E10151</f>
        <v>22.2285940229167</v>
      </c>
      <c r="F10127" s="6" t="n">
        <f aca="false">Sens!F10151</f>
        <v>23.5960539984629</v>
      </c>
      <c r="G10127" s="6" t="n">
        <f aca="false">Sens!G10151</f>
        <v>25.3884237543156</v>
      </c>
      <c r="H10127" s="6" t="n">
        <f aca="false">Sens!H10151</f>
        <v>27.5956869269951</v>
      </c>
      <c r="I10127" s="6" t="n">
        <f aca="false">Sens!I10151</f>
        <v>30.1877762867714</v>
      </c>
      <c r="J10127" s="6" t="n">
        <f aca="false">Sens!J10151</f>
        <v>33.1205646854539</v>
      </c>
      <c r="K10127" s="6" t="n">
        <f aca="false">Sens!K10151</f>
        <v>36.3418147573161</v>
      </c>
    </row>
    <row r="10128" customFormat="false" ht="17.15" hidden="false" customHeight="false" outlineLevel="0" collapsed="false">
      <c r="A10128" s="1" t="s">
        <v>1072</v>
      </c>
      <c r="B10128" s="0" t="s">
        <v>98</v>
      </c>
      <c r="D10128" s="6" t="n">
        <f aca="false">Q!L27</f>
        <v>-4.901</v>
      </c>
      <c r="E10128" s="6" t="n">
        <f aca="false">Q!M27</f>
        <v>10.697</v>
      </c>
      <c r="F10128" s="6" t="n">
        <f aca="false">Q!$I$27+oie_f*(q_per_yr-1)/q_per_yr</f>
        <v>-0.862</v>
      </c>
      <c r="G10128" s="6" t="n">
        <f aca="false">oie_f</f>
        <v>-1.2</v>
      </c>
      <c r="H10128" s="6" t="n">
        <f aca="false">oie_f</f>
        <v>-1.2</v>
      </c>
      <c r="I10128" s="6" t="n">
        <f aca="false">oie_f</f>
        <v>-1.2</v>
      </c>
      <c r="J10128" s="6" t="n">
        <f aca="false">oie_f</f>
        <v>-1.2</v>
      </c>
      <c r="K10128" s="6" t="n">
        <f aca="false">oie_f</f>
        <v>-1.2</v>
      </c>
      <c r="L10128" s="12" t="s">
        <v>1073</v>
      </c>
    </row>
    <row r="10129" customFormat="false" ht="15" hidden="false" customHeight="false" outlineLevel="0" collapsed="false">
      <c r="A10129" s="1" t="s">
        <v>1074</v>
      </c>
      <c r="B10129" s="0" t="s">
        <v>98</v>
      </c>
      <c r="D10129" s="6" t="n">
        <f aca="false">Sens!D10121+Sens!D10128</f>
        <v>123.627</v>
      </c>
      <c r="E10129" s="6" t="n">
        <f aca="false">Sens!E10121+Sens!E10128</f>
        <v>165.934</v>
      </c>
      <c r="F10129" s="6" t="n">
        <f aca="false">Sens!F10121+Sens!F10128</f>
        <v>177.276283931374</v>
      </c>
      <c r="G10129" s="6" t="n">
        <f aca="false">Sens!G10121+Sens!G10128</f>
        <v>180.687117417971</v>
      </c>
      <c r="H10129" s="6" t="n">
        <f aca="false">Sens!H10121+Sens!H10128</f>
        <v>184.298094915144</v>
      </c>
      <c r="I10129" s="6" t="n">
        <f aca="false">Sens!I10121+Sens!I10128</f>
        <v>196.740176826746</v>
      </c>
      <c r="J10129" s="6" t="n">
        <f aca="false">Sens!J10121+Sens!J10128</f>
        <v>211.910667697988</v>
      </c>
      <c r="K10129" s="6" t="n">
        <f aca="false">Sens!K10121+Sens!K10128</f>
        <v>229.789300079734</v>
      </c>
    </row>
    <row r="10130" customFormat="false" ht="15" hidden="false" customHeight="false" outlineLevel="0" collapsed="false">
      <c r="A10130" s="1" t="s">
        <v>1075</v>
      </c>
      <c r="B10130" s="0" t="s">
        <v>98</v>
      </c>
      <c r="D10130" s="6" t="n">
        <f aca="false">Q!L29</f>
        <v>21.795</v>
      </c>
      <c r="E10130" s="6" t="n">
        <f aca="false">Q!M29</f>
        <v>32.185</v>
      </c>
      <c r="F10130" s="6" t="n">
        <f aca="false">Q!$I$29+(Sens!F10129-Q!$I$28)*tax_f</f>
        <v>35.5886567862749</v>
      </c>
      <c r="G10130" s="6" t="n">
        <f aca="false">Sens!G10129*tax_f</f>
        <v>36.1374234835943</v>
      </c>
      <c r="H10130" s="6" t="n">
        <f aca="false">Sens!H10129*tax_f</f>
        <v>36.8596189830289</v>
      </c>
      <c r="I10130" s="6" t="n">
        <f aca="false">Sens!I10129*tax_f</f>
        <v>39.3480353653492</v>
      </c>
      <c r="J10130" s="6" t="n">
        <f aca="false">Sens!J10129*tax_f</f>
        <v>42.3821335395976</v>
      </c>
      <c r="K10130" s="6" t="n">
        <f aca="false">Sens!K10129*tax_f</f>
        <v>45.9578600159468</v>
      </c>
    </row>
    <row r="10131" customFormat="false" ht="15" hidden="false" customHeight="false" outlineLevel="0" collapsed="false">
      <c r="A10131" s="1" t="s">
        <v>1076</v>
      </c>
      <c r="B10131" s="0" t="s">
        <v>98</v>
      </c>
      <c r="D10131" s="6" t="n">
        <f aca="false">Sens!D10129-Sens!D10130</f>
        <v>101.832</v>
      </c>
      <c r="E10131" s="6" t="n">
        <f aca="false">Sens!E10129-Sens!E10130</f>
        <v>133.749</v>
      </c>
      <c r="F10131" s="6" t="n">
        <f aca="false">Sens!F10129-Sens!F10130</f>
        <v>141.6876271451</v>
      </c>
      <c r="G10131" s="6" t="n">
        <f aca="false">Sens!G10129-Sens!G10130</f>
        <v>144.549693934377</v>
      </c>
      <c r="H10131" s="6" t="n">
        <f aca="false">Sens!H10129-Sens!H10130</f>
        <v>147.438475932116</v>
      </c>
      <c r="I10131" s="6" t="n">
        <f aca="false">Sens!I10129-Sens!I10130</f>
        <v>157.392141461397</v>
      </c>
      <c r="J10131" s="6" t="n">
        <f aca="false">Sens!J10129-Sens!J10130</f>
        <v>169.52853415839</v>
      </c>
      <c r="K10131" s="6" t="n">
        <f aca="false">Sens!K10129-Sens!K10130</f>
        <v>183.831440063787</v>
      </c>
    </row>
    <row r="10132" customFormat="false" ht="17.15" hidden="false" customHeight="false" outlineLevel="0" collapsed="false">
      <c r="A10132" s="1" t="s">
        <v>1077</v>
      </c>
      <c r="B10132" s="1" t="s">
        <v>81</v>
      </c>
      <c r="D10132" s="15" t="n">
        <f aca="false">Q!L31</f>
        <v>7.465</v>
      </c>
      <c r="E10132" s="15" t="n">
        <f aca="false">Q!M31</f>
        <v>7.453</v>
      </c>
      <c r="F10132" s="15" t="n">
        <f aca="false">Sens!F10176</f>
        <v>7.4735</v>
      </c>
      <c r="G10132" s="15" t="n">
        <f aca="false">Sens!G10176</f>
        <v>7.5185</v>
      </c>
      <c r="H10132" s="15" t="n">
        <f aca="false">Sens!H10176</f>
        <v>7.5635</v>
      </c>
      <c r="I10132" s="15" t="n">
        <f aca="false">Sens!I10176</f>
        <v>7.59248142502667</v>
      </c>
      <c r="J10132" s="15" t="n">
        <f aca="false">Sens!J10176</f>
        <v>7.60663083618914</v>
      </c>
      <c r="K10132" s="15" t="n">
        <f aca="false">Sens!K10176</f>
        <v>7.62306547615439</v>
      </c>
    </row>
    <row r="10133" customFormat="false" ht="17.15" hidden="false" customHeight="false" outlineLevel="0" collapsed="false">
      <c r="A10133" s="0" t="s">
        <v>1078</v>
      </c>
      <c r="B10133" s="0" t="s">
        <v>75</v>
      </c>
      <c r="D10133" s="8" t="n">
        <f aca="false">Sens!D10131/Sens!D10132</f>
        <v>13.641259209645</v>
      </c>
      <c r="E10133" s="8" t="n">
        <f aca="false">Sens!E10131/Sens!E10132</f>
        <v>17.9456594659869</v>
      </c>
      <c r="F10133" s="8" t="n">
        <f aca="false">Sens!F10131/Sens!F10132</f>
        <v>18.9586709232755</v>
      </c>
      <c r="G10133" s="8" t="n">
        <f aca="false">Sens!G10131/Sens!G10132</f>
        <v>19.2258687150864</v>
      </c>
      <c r="H10133" s="8" t="n">
        <f aca="false">Sens!H10131/Sens!H10132</f>
        <v>19.4934191752648</v>
      </c>
      <c r="I10133" s="8" t="n">
        <f aca="false">Sens!I10131/Sens!I10132</f>
        <v>20.7300002002763</v>
      </c>
      <c r="J10133" s="8" t="n">
        <f aca="false">Sens!J10131/Sens!J10132</f>
        <v>22.2869411976515</v>
      </c>
      <c r="K10133" s="8" t="n">
        <f aca="false">Sens!K10131/Sens!K10132</f>
        <v>24.115159529828</v>
      </c>
      <c r="L10133" s="1" t="s">
        <v>1079</v>
      </c>
    </row>
    <row r="10134" customFormat="false" ht="17.15" hidden="false" customHeight="false" outlineLevel="0" collapsed="false">
      <c r="A10134" s="1" t="s">
        <v>1080</v>
      </c>
      <c r="B10134" s="0" t="s">
        <v>98</v>
      </c>
      <c r="D10134" s="6" t="n">
        <f aca="false">Sens!D10131</f>
        <v>101.832</v>
      </c>
      <c r="E10134" s="6" t="n">
        <f aca="false">Sens!E10131</f>
        <v>133.749</v>
      </c>
      <c r="F10134" s="6" t="n">
        <f aca="false">Sens!F10131+Sens!F10124*(1-tax_f)</f>
        <v>150.164650183457</v>
      </c>
      <c r="G10134" s="6" t="n">
        <f aca="false">Sens!G10131+Sens!G10124*(1-tax_f)</f>
        <v>166.825411274323</v>
      </c>
      <c r="H10134" s="6" t="n">
        <f aca="false">Sens!H10131+Sens!H10124*(1-tax_f)</f>
        <v>184.691440333221</v>
      </c>
      <c r="I10134" s="6" t="n">
        <f aca="false">Sens!I10131+Sens!I10124*(1-tax_f)</f>
        <v>208.009563711512</v>
      </c>
      <c r="J10134" s="6" t="n">
        <f aca="false">Sens!J10131+Sens!J10124*(1-tax_f)</f>
        <v>229.453431988951</v>
      </c>
      <c r="K10134" s="6" t="n">
        <f aca="false">Sens!K10131+Sens!K10124*(1-tax_f)</f>
        <v>249.143075038206</v>
      </c>
    </row>
    <row r="10135" customFormat="false" ht="17.15" hidden="false" customHeight="false" outlineLevel="0" collapsed="false">
      <c r="A10135" s="0" t="s">
        <v>1081</v>
      </c>
      <c r="B10135" s="0" t="s">
        <v>75</v>
      </c>
      <c r="D10135" s="8" t="n">
        <f aca="false">Sens!D10134/Sens!D10132</f>
        <v>13.641259209645</v>
      </c>
      <c r="E10135" s="8" t="n">
        <f aca="false">Sens!E10134/Sens!E10132</f>
        <v>17.9456594659869</v>
      </c>
      <c r="F10135" s="8" t="n">
        <f aca="false">Sens!F10134/Sens!F10132</f>
        <v>20.0929484422904</v>
      </c>
      <c r="G10135" s="8" t="n">
        <f aca="false">Sens!G10134/Sens!G10132</f>
        <v>22.1886561514029</v>
      </c>
      <c r="H10135" s="8" t="n">
        <f aca="false">Sens!H10134/Sens!H10132</f>
        <v>24.4187797095553</v>
      </c>
      <c r="I10135" s="8" t="n">
        <f aca="false">Sens!I10134/Sens!I10132</f>
        <v>27.3967826942404</v>
      </c>
      <c r="J10135" s="8" t="n">
        <f aca="false">Sens!J10134/Sens!J10132</f>
        <v>30.1649228062059</v>
      </c>
      <c r="K10135" s="8" t="n">
        <f aca="false">Sens!K10134/Sens!K10132</f>
        <v>32.6827935320177</v>
      </c>
      <c r="L10135" s="1" t="s">
        <v>1082</v>
      </c>
    </row>
    <row r="10136" customFormat="false" ht="17.15" hidden="false" customHeight="false" outlineLevel="0" collapsed="false">
      <c r="A10136" s="0" t="s">
        <v>1083</v>
      </c>
      <c r="B10136" s="0" t="s">
        <v>168</v>
      </c>
      <c r="E10136" s="7" t="n">
        <f aca="false">Sens!E10135/Sens!D10135-1</f>
        <v>0.315542736208578</v>
      </c>
      <c r="F10136" s="7" t="n">
        <f aca="false">Sens!F10135/Sens!E10135-1</f>
        <v>0.119655060900571</v>
      </c>
      <c r="G10136" s="7" t="n">
        <f aca="false">Sens!G10135/Sens!F10135-1</f>
        <v>0.104300656279073</v>
      </c>
      <c r="H10136" s="7" t="n">
        <f aca="false">Sens!H10135/Sens!G10135-1</f>
        <v>0.100507373810079</v>
      </c>
      <c r="I10136" s="7" t="n">
        <f aca="false">Sens!I10135/Sens!H10135-1</f>
        <v>0.121955438400545</v>
      </c>
      <c r="J10136" s="7" t="n">
        <f aca="false">Sens!J10135/Sens!I10135-1</f>
        <v>0.101038875362087</v>
      </c>
      <c r="K10136" s="7" t="n">
        <f aca="false">Sens!K10135/Sens!J10135-1</f>
        <v>0.0834701531307656</v>
      </c>
    </row>
    <row r="10137" customFormat="false" ht="17.15" hidden="false" customHeight="false" outlineLevel="0" collapsed="false">
      <c r="A10137" s="0" t="s">
        <v>1003</v>
      </c>
      <c r="B10137" s="0" t="s">
        <v>98</v>
      </c>
      <c r="E10137" s="6" t="n">
        <f aca="false">Sens!E10078</f>
        <v>5.25</v>
      </c>
      <c r="F10137" s="6" t="n">
        <f aca="false">Sens!F10078</f>
        <v>10.5</v>
      </c>
      <c r="G10137" s="6" t="n">
        <f aca="false">Sens!G10078</f>
        <v>13.5</v>
      </c>
      <c r="H10137" s="6" t="n">
        <f aca="false">Sens!H10078</f>
        <v>16.5</v>
      </c>
      <c r="I10137" s="6" t="n">
        <f aca="false">Sens!I10078</f>
        <v>18.75</v>
      </c>
      <c r="J10137" s="6" t="n">
        <f aca="false">Sens!J10078</f>
        <v>20.25</v>
      </c>
      <c r="K10137" s="6" t="n">
        <f aca="false">Sens!K10078</f>
        <v>21.75</v>
      </c>
    </row>
    <row r="10138" customFormat="false" ht="17.15" hidden="false" customHeight="false" outlineLevel="0" collapsed="false">
      <c r="A10138" s="1" t="s">
        <v>1004</v>
      </c>
      <c r="B10138" s="0" t="s">
        <v>98</v>
      </c>
      <c r="F10138" s="6" t="n">
        <f aca="false">MAX(0,((Sens!E10038+Sens!F10038)/2-(shadow_base*(Sens!$D$10038+Sens!$E$10038)/2+(1-shadow_base)*Sens!$E$10038))*Sens!F10047/1000-(Sens!F10137-Sens!$E$10137)*Sens!F10117)</f>
        <v>10.5962787979473</v>
      </c>
      <c r="G10138" s="6" t="n">
        <f aca="false">MAX(0,((Sens!F10038+Sens!G10038)/2-(shadow_base*(Sens!$D$10038+Sens!$E$10038)/2+(1-shadow_base)*Sens!$E$10038))*Sens!G10047/1000-(Sens!G10137-Sens!$E$10137)*Sens!G10117)</f>
        <v>27.844646674932</v>
      </c>
      <c r="H10138" s="6" t="n">
        <f aca="false">MAX(0,((Sens!G10038+Sens!H10038)/2-(shadow_base*(Sens!$D$10038+Sens!$E$10038)/2+(1-shadow_base)*Sens!$E$10038))*Sens!H10047/1000-(Sens!H10137-Sens!$E$10137)*Sens!H10117)</f>
        <v>46.566205501382</v>
      </c>
      <c r="I10138" s="6" t="n">
        <f aca="false">MAX(0,((Sens!H10038+Sens!I10038)/2-(shadow_base*(Sens!$D$10038+Sens!$E$10038)/2+(1-shadow_base)*Sens!$E$10038))*Sens!I10047/1000-(Sens!I10137-Sens!$E$10137)*Sens!I10117)</f>
        <v>63.2717778126444</v>
      </c>
      <c r="J10138" s="6" t="n">
        <f aca="false">MAX(0,((Sens!I10038+Sens!J10038)/2-(shadow_base*(Sens!$D$10038+Sens!$E$10038)/2+(1-shadow_base)*Sens!$E$10038))*Sens!J10047/1000-(Sens!J10137-Sens!$E$10137)*Sens!J10117)</f>
        <v>74.9061222882009</v>
      </c>
      <c r="K10138" s="6" t="n">
        <f aca="false">MAX(0,((Sens!J10038+Sens!K10038)/2-(shadow_base*(Sens!$D$10038+Sens!$E$10038)/2+(1-shadow_base)*Sens!$E$10038))*Sens!K10047/1000-(Sens!K10137-Sens!$E$10137)*Sens!K10117)</f>
        <v>81.6395437180232</v>
      </c>
      <c r="L10138" s="1" t="s">
        <v>1005</v>
      </c>
    </row>
    <row r="10139" customFormat="false" ht="17.15" hidden="false" customHeight="false" outlineLevel="0" collapsed="false">
      <c r="A10139" s="1" t="s">
        <v>1006</v>
      </c>
      <c r="B10139" s="0" t="s">
        <v>98</v>
      </c>
      <c r="F10139" s="6" t="n">
        <f aca="false">IF(internal_ai_reading=2,1,0)*Sens!F10138</f>
        <v>10.5962787979473</v>
      </c>
      <c r="G10139" s="6" t="n">
        <f aca="false">IF(internal_ai_reading=2,1,0)*Sens!G10138</f>
        <v>27.844646674932</v>
      </c>
      <c r="H10139" s="6" t="n">
        <f aca="false">IF(internal_ai_reading=2,1,0)*Sens!H10138</f>
        <v>46.566205501382</v>
      </c>
      <c r="I10139" s="6" t="n">
        <f aca="false">IF(internal_ai_reading=2,1,0)*Sens!I10138</f>
        <v>63.2717778126444</v>
      </c>
      <c r="J10139" s="6" t="n">
        <f aca="false">IF(internal_ai_reading=2,1,0)*Sens!J10138</f>
        <v>74.9061222882009</v>
      </c>
      <c r="K10139" s="6" t="n">
        <f aca="false">IF(internal_ai_reading=2,1,0)*Sens!K10138</f>
        <v>81.6395437180232</v>
      </c>
    </row>
    <row r="10140" customFormat="false" ht="17.15" hidden="false" customHeight="false" outlineLevel="0" collapsed="false">
      <c r="A10140" s="0" t="s">
        <v>1007</v>
      </c>
      <c r="B10140" s="0" t="s">
        <v>98</v>
      </c>
      <c r="F10140" s="6" t="n">
        <f aca="false">Sens!F10057+Sens!F10137*Sens!F10117+Sens!F10139-Sens!F10058-Sens!F10069</f>
        <v>10.3853806853618</v>
      </c>
      <c r="G10140" s="6" t="n">
        <f aca="false">Sens!G10057+Sens!G10137*Sens!G10117+Sens!G10139-Sens!G10058-Sens!G10069</f>
        <v>16.4389313105741</v>
      </c>
      <c r="H10140" s="6" t="n">
        <f aca="false">Sens!H10057+Sens!H10137*Sens!H10117+Sens!H10139-Sens!H10058-Sens!H10069</f>
        <v>17.135416308873</v>
      </c>
      <c r="I10140" s="6" t="n">
        <f aca="false">Sens!I10057+Sens!I10137*Sens!I10117+Sens!I10139-Sens!I10058-Sens!I10069</f>
        <v>24.1293804008657</v>
      </c>
      <c r="J10140" s="6" t="n">
        <f aca="false">Sens!J10057+Sens!J10137*Sens!J10117+Sens!J10139-Sens!J10058-Sens!J10069</f>
        <v>28.8545659869181</v>
      </c>
      <c r="K10140" s="6" t="n">
        <f aca="false">Sens!K10057+Sens!K10137*Sens!K10117+Sens!K10139-Sens!K10058-Sens!K10069</f>
        <v>32.13747485251</v>
      </c>
    </row>
    <row r="10141" customFormat="false" ht="17.15" hidden="false" customHeight="false" outlineLevel="0" collapsed="false">
      <c r="A10141" s="0" t="s">
        <v>1008</v>
      </c>
      <c r="B10141" s="0" t="s">
        <v>98</v>
      </c>
      <c r="E10141" s="6" t="n">
        <f aca="false">Sens!E10037*(cxit_open+self_build*tk_cxfac)/1000*ai_net_open</f>
        <v>126.6980382</v>
      </c>
      <c r="F10141" s="6" t="n">
        <f aca="false">Sens!E10141+Sens!F10066-Sens!F10069</f>
        <v>260.572627763768</v>
      </c>
      <c r="G10141" s="6" t="n">
        <f aca="false">Sens!F10141+Sens!G10066-Sens!G10069</f>
        <v>391.782612760517</v>
      </c>
      <c r="H10141" s="6" t="n">
        <f aca="false">Sens!G10141+Sens!H10066-Sens!H10069</f>
        <v>499.488526163584</v>
      </c>
      <c r="I10141" s="6" t="n">
        <f aca="false">Sens!H10141+Sens!I10066-Sens!I10069</f>
        <v>553.872350090646</v>
      </c>
      <c r="J10141" s="6" t="n">
        <f aca="false">Sens!I10141+Sens!J10066-Sens!J10069</f>
        <v>550.78660823699</v>
      </c>
      <c r="K10141" s="6" t="n">
        <f aca="false">Sens!J10141+Sens!K10066-Sens!K10069</f>
        <v>526.736791750789</v>
      </c>
      <c r="L10141" s="1" t="s">
        <v>1009</v>
      </c>
    </row>
    <row r="10142" customFormat="false" ht="17.15" hidden="false" customHeight="false" outlineLevel="0" collapsed="false">
      <c r="A10142" s="0" t="s">
        <v>1010</v>
      </c>
      <c r="B10142" s="0" t="s">
        <v>168</v>
      </c>
      <c r="F10142" s="7" t="n">
        <f aca="false">Sens!F10140*(1-tax_f)/((Sens!E10141+Sens!F10141)/2)</f>
        <v>0.0429069654816909</v>
      </c>
      <c r="G10142" s="7" t="n">
        <f aca="false">Sens!G10140*(1-tax_f)/((Sens!F10141+Sens!G10141)/2)</f>
        <v>0.0403189680453549</v>
      </c>
      <c r="H10142" s="7" t="n">
        <f aca="false">Sens!H10140*(1-tax_f)/((Sens!G10141+Sens!H10141)/2)</f>
        <v>0.0307613080877867</v>
      </c>
      <c r="I10142" s="7" t="n">
        <f aca="false">Sens!I10140*(1-tax_f)/((Sens!H10141+Sens!I10141)/2)</f>
        <v>0.0366512650238846</v>
      </c>
      <c r="J10142" s="7" t="n">
        <f aca="false">Sens!J10140*(1-tax_f)/((Sens!I10141+Sens!J10141)/2)</f>
        <v>0.0417932659044041</v>
      </c>
      <c r="K10142" s="7" t="n">
        <f aca="false">Sens!K10140*(1-tax_f)/((Sens!J10141+Sens!K10141)/2)</f>
        <v>0.0477205040415821</v>
      </c>
    </row>
    <row r="10143" customFormat="false" ht="17.15" hidden="false" customHeight="false" outlineLevel="0" collapsed="false">
      <c r="A10143" s="1" t="s">
        <v>1011</v>
      </c>
      <c r="B10143" s="0" t="s">
        <v>168</v>
      </c>
      <c r="F10143" s="7" t="n">
        <f aca="false">(Sens!F10140-Sens!F10139)*(1-tax_f)/((Sens!E10141+Sens!F10141)/2)</f>
        <v>-0.000871320783610466</v>
      </c>
      <c r="G10143" s="7" t="n">
        <f aca="false">(Sens!G10140-Sens!G10139)*(1-tax_f)/((Sens!F10141+Sens!G10141)/2)</f>
        <v>-0.0279742438618356</v>
      </c>
      <c r="H10143" s="7" t="n">
        <f aca="false">(Sens!H10140-Sens!H10139)*(1-tax_f)/((Sens!G10141+Sens!H10141)/2)</f>
        <v>-0.0528338242443913</v>
      </c>
      <c r="I10143" s="7" t="n">
        <f aca="false">(Sens!I10140-Sens!I10139)*(1-tax_f)/((Sens!H10141+Sens!I10141)/2)</f>
        <v>-0.059455251538819</v>
      </c>
      <c r="J10143" s="7" t="n">
        <f aca="false">(Sens!J10140-Sens!J10139)*(1-tax_f)/((Sens!I10141+Sens!J10141)/2)</f>
        <v>-0.0667015729394002</v>
      </c>
      <c r="K10143" s="7" t="n">
        <f aca="false">(Sens!K10140-Sens!K10139)*(1-tax_f)/((Sens!J10141+Sens!K10141)/2)</f>
        <v>-0.0735049560740113</v>
      </c>
    </row>
    <row r="10144" customFormat="false" ht="17.15" hidden="false" customHeight="false" outlineLevel="0" collapsed="false">
      <c r="A10144" s="1" t="s">
        <v>1012</v>
      </c>
      <c r="B10144" s="0" t="s">
        <v>168</v>
      </c>
      <c r="F10144" s="7" t="n">
        <f aca="false">(Sens!F10140-Sens!F10139+Sens!F10138)*(1-tax_f)/((Sens!E10141+Sens!F10141)/2)</f>
        <v>0.0429069654816909</v>
      </c>
      <c r="G10144" s="7" t="n">
        <f aca="false">(Sens!G10140-Sens!G10139+Sens!G10138)*(1-tax_f)/((Sens!F10141+Sens!G10141)/2)</f>
        <v>0.0403189680453549</v>
      </c>
      <c r="H10144" s="7" t="n">
        <f aca="false">(Sens!H10140-Sens!H10139+Sens!H10138)*(1-tax_f)/((Sens!G10141+Sens!H10141)/2)</f>
        <v>0.0307613080877867</v>
      </c>
      <c r="I10144" s="7" t="n">
        <f aca="false">(Sens!I10140-Sens!I10139+Sens!I10138)*(1-tax_f)/((Sens!H10141+Sens!I10141)/2)</f>
        <v>0.0366512650238846</v>
      </c>
      <c r="J10144" s="7" t="n">
        <f aca="false">(Sens!J10140-Sens!J10139+Sens!J10138)*(1-tax_f)/((Sens!I10141+Sens!J10141)/2)</f>
        <v>0.0417932659044041</v>
      </c>
      <c r="K10144" s="7" t="n">
        <f aca="false">(Sens!K10140-Sens!K10139+Sens!K10138)*(1-tax_f)/((Sens!J10141+Sens!K10141)/2)</f>
        <v>0.0477205040415821</v>
      </c>
    </row>
    <row r="10145" customFormat="false" ht="17.15" hidden="false" customHeight="false" outlineLevel="0" collapsed="false">
      <c r="A10145" s="1" t="s">
        <v>1013</v>
      </c>
      <c r="B10145" s="0" t="s">
        <v>168</v>
      </c>
      <c r="F10145" s="7" t="n">
        <f aca="false">Sens!F10070*(1-tax_f)/(Sens!F10056*(Sens!E10141+Sens!F10141)/2)</f>
        <v>0.098791430090569</v>
      </c>
      <c r="G10145" s="7" t="n">
        <f aca="false">Sens!G10070*(1-tax_f)/(Sens!G10056*(Sens!F10141+Sens!G10141)/2)</f>
        <v>0.0675308856427828</v>
      </c>
      <c r="H10145" s="7" t="n">
        <f aca="false">Sens!H10070*(1-tax_f)/(Sens!H10056*(Sens!G10141+Sens!H10141)/2)</f>
        <v>0.0388374979528754</v>
      </c>
      <c r="I10145" s="7" t="n">
        <f aca="false">Sens!I10070*(1-tax_f)/(Sens!I10056*(Sens!H10141+Sens!I10141)/2)</f>
        <v>0.0411035671771815</v>
      </c>
      <c r="J10145" s="7" t="n">
        <f aca="false">Sens!J10070*(1-tax_f)/(Sens!J10056*(Sens!I10141+Sens!J10141)/2)</f>
        <v>0.0445222722541192</v>
      </c>
      <c r="K10145" s="7" t="n">
        <f aca="false">Sens!K10070*(1-tax_f)/(Sens!K10056*(Sens!J10141+Sens!K10141)/2)</f>
        <v>0.0498866361688162</v>
      </c>
    </row>
    <row r="10146" customFormat="false" ht="17.15" hidden="false" customHeight="false" outlineLevel="0" collapsed="false">
      <c r="A10146" s="0" t="s">
        <v>1014</v>
      </c>
      <c r="B10146" s="0" t="s">
        <v>253</v>
      </c>
      <c r="F10146" s="7" t="n">
        <f aca="false">Sens!F10142-wacc</f>
        <v>-0.0600296254639064</v>
      </c>
      <c r="G10146" s="7" t="n">
        <f aca="false">Sens!G10142-wacc</f>
        <v>-0.0626176229002424</v>
      </c>
      <c r="H10146" s="7" t="n">
        <f aca="false">Sens!H10142-wacc</f>
        <v>-0.0721752828578106</v>
      </c>
      <c r="I10146" s="7" t="n">
        <f aca="false">Sens!I10142-wacc</f>
        <v>-0.0662853259217127</v>
      </c>
      <c r="J10146" s="7" t="n">
        <f aca="false">Sens!J10142-wacc</f>
        <v>-0.0611433250411932</v>
      </c>
      <c r="K10146" s="7" t="n">
        <f aca="false">Sens!K10142-wacc</f>
        <v>-0.0552160869040152</v>
      </c>
    </row>
    <row r="10147" customFormat="false" ht="17.15" hidden="false" customHeight="false" outlineLevel="0" collapsed="false">
      <c r="A10147" s="0" t="s">
        <v>1015</v>
      </c>
      <c r="B10147" s="0" t="s">
        <v>98</v>
      </c>
      <c r="F10147" s="6" t="n">
        <f aca="false">Sens!F10140*(1-tax_f)-wacc*(Sens!E10141+Sens!F10141)/2</f>
        <v>-11.6238565154813</v>
      </c>
      <c r="G10147" s="6" t="n">
        <f aca="false">Sens!G10140*(1-tax_f)-wacc*(Sens!F10141+Sens!G10141)/2</f>
        <v>-20.4244672240733</v>
      </c>
      <c r="H10147" s="6" t="n">
        <f aca="false">Sens!H10140*(1-tax_f)-wacc*(Sens!G10141+Sens!H10141)/2</f>
        <v>-32.163873277425</v>
      </c>
      <c r="I10147" s="6" t="n">
        <f aca="false">Sens!I10140*(1-tax_f)-wacc*(Sens!H10141+Sens!I10141)/2</f>
        <v>-34.9111844978462</v>
      </c>
      <c r="J10147" s="6" t="n">
        <f aca="false">Sens!J10140*(1-tax_f)-wacc*(Sens!I10141+Sens!J10141)/2</f>
        <v>-33.7712608743463</v>
      </c>
      <c r="K10147" s="6" t="n">
        <f aca="false">Sens!K10140*(1-tax_f)-wacc*(Sens!J10141+Sens!K10141)/2</f>
        <v>-29.7483128474176</v>
      </c>
    </row>
    <row r="10148" customFormat="false" ht="17.15" hidden="false" customHeight="false" outlineLevel="0" collapsed="false">
      <c r="A10148" s="3" t="s">
        <v>1733</v>
      </c>
    </row>
    <row r="10149" customFormat="false" ht="15" hidden="false" customHeight="false" outlineLevel="0" collapsed="false">
      <c r="A10149" s="4" t="s">
        <v>43</v>
      </c>
      <c r="B10149" s="4" t="s">
        <v>65</v>
      </c>
      <c r="C10149" s="23" t="s">
        <v>938</v>
      </c>
      <c r="D10149" s="23" t="s">
        <v>939</v>
      </c>
      <c r="E10149" s="23" t="s">
        <v>940</v>
      </c>
      <c r="F10149" s="23" t="s">
        <v>941</v>
      </c>
      <c r="G10149" s="23" t="s">
        <v>942</v>
      </c>
      <c r="H10149" s="23" t="s">
        <v>943</v>
      </c>
      <c r="I10149" s="23" t="s">
        <v>944</v>
      </c>
      <c r="J10149" s="23" t="s">
        <v>945</v>
      </c>
      <c r="K10149" s="23" t="s">
        <v>946</v>
      </c>
      <c r="L10149" s="4" t="s">
        <v>47</v>
      </c>
    </row>
    <row r="10150" customFormat="false" ht="15" hidden="false" customHeight="false" outlineLevel="0" collapsed="false">
      <c r="A10150" s="1" t="s">
        <v>1076</v>
      </c>
      <c r="B10150" s="0" t="s">
        <v>98</v>
      </c>
      <c r="F10150" s="6" t="n">
        <f aca="false">Sens!F10131</f>
        <v>141.6876271451</v>
      </c>
      <c r="G10150" s="6" t="n">
        <f aca="false">Sens!G10131</f>
        <v>144.549693934377</v>
      </c>
      <c r="H10150" s="6" t="n">
        <f aca="false">Sens!H10131</f>
        <v>147.438475932116</v>
      </c>
      <c r="I10150" s="6" t="n">
        <f aca="false">Sens!I10131</f>
        <v>157.392141461397</v>
      </c>
      <c r="J10150" s="6" t="n">
        <f aca="false">Sens!J10131</f>
        <v>169.52853415839</v>
      </c>
      <c r="K10150" s="6" t="n">
        <f aca="false">Sens!K10131</f>
        <v>183.831440063787</v>
      </c>
    </row>
    <row r="10151" customFormat="false" ht="17.15" hidden="false" customHeight="false" outlineLevel="0" collapsed="false">
      <c r="A10151" s="1" t="s">
        <v>1098</v>
      </c>
      <c r="B10151" s="0" t="s">
        <v>98</v>
      </c>
      <c r="E10151" s="6" t="n">
        <f aca="false">Q!M38-Sens!E10069</f>
        <v>22.2285940229167</v>
      </c>
      <c r="F10151" s="6" t="n">
        <f aca="false">Sens!E10151*(1-1/life_nonai)+(Sens!F10159+Sens!F10160)/life_nonai</f>
        <v>23.5960539984629</v>
      </c>
      <c r="G10151" s="6" t="n">
        <f aca="false">Sens!F10151*(1-1/life_nonai)+(Sens!G10159)/life_nonai</f>
        <v>25.3884237543156</v>
      </c>
      <c r="H10151" s="6" t="n">
        <f aca="false">Sens!G10151*(1-1/life_nonai)+(Sens!H10159)/life_nonai</f>
        <v>27.5956869269951</v>
      </c>
      <c r="I10151" s="6" t="n">
        <f aca="false">Sens!H10151*(1-1/life_nonai)+(Sens!I10159)/life_nonai</f>
        <v>30.1877762867714</v>
      </c>
      <c r="J10151" s="6" t="n">
        <f aca="false">Sens!I10151*(1-1/life_nonai)+(Sens!J10159)/life_nonai</f>
        <v>33.1205646854539</v>
      </c>
      <c r="K10151" s="6" t="n">
        <f aca="false">Sens!J10151*(1-1/life_nonai)+(Sens!K10159)/life_nonai</f>
        <v>36.3418147573161</v>
      </c>
      <c r="L10151" s="12" t="s">
        <v>1099</v>
      </c>
    </row>
    <row r="10152" customFormat="false" ht="17.15" hidden="false" customHeight="false" outlineLevel="0" collapsed="false">
      <c r="A10152" s="1" t="s">
        <v>1100</v>
      </c>
      <c r="B10152" s="0" t="s">
        <v>98</v>
      </c>
      <c r="F10152" s="6" t="n">
        <f aca="false">Sens!$F$10160/life_nonai*(1-1/life_nonai)^(Sens!F10032-2027)</f>
        <v>0</v>
      </c>
      <c r="G10152" s="6" t="n">
        <f aca="false">Sens!$F$10160/life_nonai*(1-1/life_nonai)^(Sens!G10032-2027)</f>
        <v>0</v>
      </c>
      <c r="H10152" s="6" t="n">
        <f aca="false">Sens!$F$10160/life_nonai*(1-1/life_nonai)^(Sens!H10032-2027)</f>
        <v>0</v>
      </c>
      <c r="I10152" s="6" t="n">
        <f aca="false">Sens!$F$10160/life_nonai*(1-1/life_nonai)^(Sens!I10032-2027)</f>
        <v>0</v>
      </c>
      <c r="J10152" s="6" t="n">
        <f aca="false">Sens!$F$10160/life_nonai*(1-1/life_nonai)^(Sens!J10032-2027)</f>
        <v>0</v>
      </c>
      <c r="K10152" s="6" t="n">
        <f aca="false">Sens!$F$10160/life_nonai*(1-1/life_nonai)^(Sens!K10032-2027)</f>
        <v>0</v>
      </c>
      <c r="L10152" s="1" t="s">
        <v>1101</v>
      </c>
    </row>
    <row r="10153" customFormat="false" ht="17.15" hidden="false" customHeight="false" outlineLevel="0" collapsed="false">
      <c r="A10153" s="1" t="s">
        <v>1102</v>
      </c>
      <c r="B10153" s="0" t="s">
        <v>98</v>
      </c>
      <c r="E10153" s="6" t="n">
        <f aca="false">Sens!E10069+Sens!E10151</f>
        <v>38.534</v>
      </c>
      <c r="F10153" s="6" t="n">
        <f aca="false">Sens!F10069+Sens!F10151</f>
        <v>58.1753684768145</v>
      </c>
      <c r="G10153" s="6" t="n">
        <f aca="false">Sens!G10069+Sens!G10151</f>
        <v>86.1229144066145</v>
      </c>
      <c r="H10153" s="6" t="n">
        <f aca="false">Sens!H10069+Sens!H10151</f>
        <v>116.695777588441</v>
      </c>
      <c r="I10153" s="6" t="n">
        <f aca="false">Sens!I10069+Sens!I10151</f>
        <v>144.41878598132</v>
      </c>
      <c r="J10153" s="6" t="n">
        <f aca="false">Sens!J10069+Sens!J10151</f>
        <v>165.13623773505</v>
      </c>
      <c r="K10153" s="6" t="n">
        <f aca="false">Sens!K10069+Sens!K10151</f>
        <v>179.35448430825</v>
      </c>
    </row>
    <row r="10154" customFormat="false" ht="17.15" hidden="false" customHeight="false" outlineLevel="0" collapsed="false">
      <c r="A10154" s="1" t="s">
        <v>1103</v>
      </c>
      <c r="B10154" s="0" t="s">
        <v>98</v>
      </c>
      <c r="F10154" s="6" t="n">
        <f aca="false">Sens!F10096*sbc_r</f>
        <v>14.7598962224191</v>
      </c>
      <c r="G10154" s="6" t="n">
        <f aca="false">Sens!G10096*sbc_r</f>
        <v>17.219394031635</v>
      </c>
      <c r="H10154" s="6" t="n">
        <f aca="false">Sens!H10096*sbc_r</f>
        <v>19.56796114386</v>
      </c>
      <c r="I10154" s="6" t="n">
        <f aca="false">Sens!I10096*sbc_r</f>
        <v>22.0743514645485</v>
      </c>
      <c r="J10154" s="6" t="n">
        <f aca="false">Sens!J10096*sbc_r</f>
        <v>24.2746404942127</v>
      </c>
      <c r="K10154" s="6" t="n">
        <f aca="false">Sens!K10096*sbc_r</f>
        <v>26.1909284115669</v>
      </c>
    </row>
    <row r="10155" customFormat="false" ht="17.15" hidden="false" customHeight="false" outlineLevel="0" collapsed="false">
      <c r="A10155" s="1" t="s">
        <v>1104</v>
      </c>
      <c r="B10155" s="0" t="s">
        <v>98</v>
      </c>
      <c r="F10155" s="6" t="n">
        <f aca="false">wc27-wc26q1</f>
        <v>-4.677</v>
      </c>
      <c r="G10155" s="6" t="n">
        <f aca="false">wc_f</f>
        <v>0</v>
      </c>
      <c r="H10155" s="6" t="n">
        <f aca="false">wc_f</f>
        <v>0</v>
      </c>
      <c r="I10155" s="6" t="n">
        <f aca="false">wc_f</f>
        <v>0</v>
      </c>
      <c r="J10155" s="6" t="n">
        <f aca="false">wc_f</f>
        <v>0</v>
      </c>
      <c r="K10155" s="6" t="n">
        <f aca="false">wc_f</f>
        <v>0</v>
      </c>
      <c r="L10155" s="12" t="s">
        <v>1105</v>
      </c>
    </row>
    <row r="10156" customFormat="false" ht="17.15" hidden="false" customHeight="false" outlineLevel="0" collapsed="false">
      <c r="A10156" s="0" t="s">
        <v>1106</v>
      </c>
      <c r="B10156" s="0" t="s">
        <v>98</v>
      </c>
      <c r="F10156" s="6" t="n">
        <f aca="false">Q!$I$35-Q!$I$26-Q!$I$38-Q!$I$39</f>
        <v>6.493</v>
      </c>
      <c r="L10156" s="1" t="s">
        <v>1107</v>
      </c>
    </row>
    <row r="10157" customFormat="false" ht="15" hidden="false" customHeight="false" outlineLevel="0" collapsed="false">
      <c r="A10157" s="1" t="s">
        <v>904</v>
      </c>
      <c r="B10157" s="0" t="s">
        <v>98</v>
      </c>
      <c r="E10157" s="6" t="n">
        <f aca="false">Q!M35</f>
        <v>182.935</v>
      </c>
      <c r="F10157" s="6" t="n">
        <f aca="false">Sens!F10150+Sens!F10153+Sens!F10154+Sens!F10155+Sens!F10156</f>
        <v>216.438891844333</v>
      </c>
      <c r="G10157" s="6" t="n">
        <f aca="false">Sens!G10150+Sens!G10153+Sens!G10154+Sens!G10155</f>
        <v>247.892002372626</v>
      </c>
      <c r="H10157" s="6" t="n">
        <f aca="false">Sens!H10150+Sens!H10153+Sens!H10154+Sens!H10155</f>
        <v>283.702214664416</v>
      </c>
      <c r="I10157" s="6" t="n">
        <f aca="false">Sens!I10150+Sens!I10153+Sens!I10154+Sens!I10155</f>
        <v>323.885278907265</v>
      </c>
      <c r="J10157" s="6" t="n">
        <f aca="false">Sens!J10150+Sens!J10153+Sens!J10154+Sens!J10155</f>
        <v>358.939412387653</v>
      </c>
      <c r="K10157" s="6" t="n">
        <f aca="false">Sens!K10150+Sens!K10153+Sens!K10154+Sens!K10155</f>
        <v>389.376852783604</v>
      </c>
    </row>
    <row r="10158" customFormat="false" ht="17.15" hidden="false" customHeight="false" outlineLevel="0" collapsed="false">
      <c r="A10158" s="0" t="s">
        <v>1108</v>
      </c>
      <c r="B10158" s="0" t="s">
        <v>98</v>
      </c>
      <c r="F10158" s="6" t="n">
        <f aca="false">Sens!F10066</f>
        <v>168.45390404212</v>
      </c>
      <c r="G10158" s="6" t="n">
        <f aca="false">Sens!G10066</f>
        <v>191.944475649048</v>
      </c>
      <c r="H10158" s="6" t="n">
        <f aca="false">Sens!H10066</f>
        <v>196.806004064512</v>
      </c>
      <c r="I10158" s="6" t="n">
        <f aca="false">Sens!I10066</f>
        <v>168.61483362161</v>
      </c>
      <c r="J10158" s="6" t="n">
        <f aca="false">Sens!J10066</f>
        <v>128.92993119594</v>
      </c>
      <c r="K10158" s="6" t="n">
        <f aca="false">Sens!K10066</f>
        <v>118.962853064733</v>
      </c>
    </row>
    <row r="10159" customFormat="false" ht="17.15" hidden="false" customHeight="false" outlineLevel="0" collapsed="false">
      <c r="A10159" s="1" t="s">
        <v>1109</v>
      </c>
      <c r="B10159" s="0" t="s">
        <v>98</v>
      </c>
      <c r="E10159" s="6" t="n">
        <f aca="false">Sens!E10074*cx_azo+Sens!E10081*cx_m365+Sens!E10082*cx_lic+(Sens!E10084+Sens!E10086)*cx_ind+Sens!E10089*cx_srch+(Sens!E10091+Sens!E10093)*cx_dev</f>
        <v>30.1846587067718</v>
      </c>
      <c r="F10159" s="6" t="n">
        <f aca="false">Sens!F10074*cx_azo+Sens!F10081*cx_m365+Sens!F10082*cx_lic+(Sens!F10084+Sens!F10086)*cx_ind+Sens!F10089*cx_srch+(Sens!F10091+Sens!F10093)*cx_dev</f>
        <v>35.9031937783789</v>
      </c>
      <c r="G10159" s="6" t="n">
        <f aca="false">Sens!G10074*cx_azo+Sens!G10081*cx_m365+Sens!G10082*cx_lic+(Sens!G10084+Sens!G10086)*cx_ind+Sens!G10089*cx_srch+(Sens!G10091+Sens!G10093)*cx_dev</f>
        <v>41.5197515569896</v>
      </c>
      <c r="H10159" s="6" t="n">
        <f aca="false">Sens!H10074*cx_azo+Sens!H10081*cx_m365+Sens!H10082*cx_lic+(Sens!H10084+Sens!H10086)*cx_ind+Sens!H10089*cx_srch+(Sens!H10091+Sens!H10093)*cx_dev</f>
        <v>47.4610554811108</v>
      </c>
      <c r="I10159" s="6" t="n">
        <f aca="false">Sens!I10074*cx_azo+Sens!I10081*cx_m365+Sens!I10082*cx_lic+(Sens!I10084+Sens!I10086)*cx_ind+Sens!I10089*cx_srch+(Sens!I10091+Sens!I10093)*cx_dev</f>
        <v>53.5165805247586</v>
      </c>
      <c r="J10159" s="6" t="n">
        <f aca="false">Sens!J10074*cx_azo+Sens!J10081*cx_m365+Sens!J10082*cx_lic+(Sens!J10084+Sens!J10086)*cx_ind+Sens!J10089*cx_srch+(Sens!J10091+Sens!J10093)*cx_dev</f>
        <v>59.5156602735959</v>
      </c>
      <c r="K10159" s="6" t="n">
        <f aca="false">Sens!K10074*cx_azo+Sens!K10081*cx_m365+Sens!K10082*cx_lic+(Sens!K10084+Sens!K10086)*cx_ind+Sens!K10089*cx_srch+(Sens!K10091+Sens!K10093)*cx_dev</f>
        <v>65.3330654040759</v>
      </c>
    </row>
    <row r="10160" customFormat="false" ht="17.15" hidden="false" customHeight="false" outlineLevel="0" collapsed="false">
      <c r="A10160" s="0" t="s">
        <v>1110</v>
      </c>
      <c r="B10160" s="0" t="s">
        <v>98</v>
      </c>
      <c r="F10160" s="6" t="n">
        <f aca="false">Sens!F10064</f>
        <v>0</v>
      </c>
      <c r="L10160" s="1" t="s">
        <v>1111</v>
      </c>
    </row>
    <row r="10161" customFormat="false" ht="17.15" hidden="false" customHeight="false" outlineLevel="0" collapsed="false">
      <c r="A10161" s="1" t="s">
        <v>1112</v>
      </c>
      <c r="B10161" s="0" t="s">
        <v>98</v>
      </c>
      <c r="E10161" s="6" t="n">
        <f aca="false">Q!M43</f>
        <v>145.3</v>
      </c>
      <c r="F10161" s="6" t="n">
        <f aca="false">Sens!F10158+Sens!F10159+Sens!F10160</f>
        <v>204.357097820498</v>
      </c>
      <c r="G10161" s="6" t="n">
        <f aca="false">Sens!G10158+Sens!G10159</f>
        <v>233.464227206038</v>
      </c>
      <c r="H10161" s="6" t="n">
        <f aca="false">Sens!H10158+Sens!H10159</f>
        <v>244.267059545623</v>
      </c>
      <c r="I10161" s="6" t="n">
        <f aca="false">Sens!I10158+Sens!I10159</f>
        <v>222.131414146369</v>
      </c>
      <c r="J10161" s="6" t="n">
        <f aca="false">Sens!J10158+Sens!J10159</f>
        <v>188.445591469536</v>
      </c>
      <c r="K10161" s="6" t="n">
        <f aca="false">Sens!K10158+Sens!K10159</f>
        <v>184.295918468809</v>
      </c>
      <c r="L10161" s="1" t="s">
        <v>1113</v>
      </c>
    </row>
    <row r="10162" customFormat="false" ht="15" hidden="false" customHeight="false" outlineLevel="0" collapsed="false">
      <c r="A10162" s="1" t="s">
        <v>1114</v>
      </c>
      <c r="B10162" s="0" t="s">
        <v>98</v>
      </c>
      <c r="E10162" s="6" t="n">
        <f aca="false">fl_liab</f>
        <v>66.594</v>
      </c>
      <c r="F10162" s="6" t="n">
        <f aca="false">Sens!E10162-Sens!F10163</f>
        <v>62.46973</v>
      </c>
      <c r="G10162" s="6" t="n">
        <f aca="false">Sens!F10162-Sens!G10163</f>
        <v>57.98686785</v>
      </c>
      <c r="H10162" s="6" t="n">
        <f aca="false">Sens!G10162-Sens!H10163</f>
        <v>53.92827690325</v>
      </c>
      <c r="I10162" s="6" t="n">
        <f aca="false">Sens!H10162-Sens!I10163</f>
        <v>49.7850493638962</v>
      </c>
      <c r="J10162" s="6" t="n">
        <f aca="false">Sens!I10162-Sens!J10163</f>
        <v>45.4823765852716</v>
      </c>
      <c r="K10162" s="6" t="n">
        <f aca="false">Sens!J10162-Sens!K10163</f>
        <v>40.9860835316088</v>
      </c>
    </row>
    <row r="10163" customFormat="false" ht="15" hidden="false" customHeight="false" outlineLevel="0" collapsed="false">
      <c r="A10163" s="1" t="s">
        <v>1115</v>
      </c>
      <c r="B10163" s="0" t="s">
        <v>98</v>
      </c>
      <c r="F10163" s="6" t="n">
        <f aca="false">fl_pay_27-Sens!E10162*fl_rate</f>
        <v>4.12427</v>
      </c>
      <c r="G10163" s="6" t="n">
        <f aca="false">fl_pay_28-Sens!F10162*fl_rate</f>
        <v>4.48286215</v>
      </c>
      <c r="H10163" s="6" t="n">
        <f aca="false">fl_pay_29-Sens!G10162*fl_rate</f>
        <v>4.05859094675</v>
      </c>
      <c r="I10163" s="6" t="n">
        <f aca="false">fl_pay_30-Sens!H10162*fl_rate</f>
        <v>4.14322753935375</v>
      </c>
      <c r="J10163" s="6" t="n">
        <f aca="false">fl_pay_31-Sens!I10162*fl_rate</f>
        <v>4.30267277862467</v>
      </c>
      <c r="K10163" s="6" t="n">
        <f aca="false">fl_pay_32-Sens!J10162*fl_rate</f>
        <v>4.49629305366278</v>
      </c>
    </row>
    <row r="10164" customFormat="false" ht="17.15" hidden="false" customHeight="false" outlineLevel="0" collapsed="false">
      <c r="A10164" s="1" t="s">
        <v>1116</v>
      </c>
      <c r="B10164" s="0" t="s">
        <v>98</v>
      </c>
      <c r="E10164" s="6" t="n">
        <f aca="false">Q!M35-Q!M36-Q!M44</f>
        <v>63.886</v>
      </c>
      <c r="F10164" s="6" t="n">
        <f aca="false">Sens!F10157-Sens!F10161-Sens!F10163</f>
        <v>7.9575240238347</v>
      </c>
      <c r="G10164" s="6" t="n">
        <f aca="false">Sens!G10157-Sens!G10161-Sens!G10163</f>
        <v>9.94491301658876</v>
      </c>
      <c r="H10164" s="6" t="n">
        <f aca="false">Sens!H10157-Sens!H10161-Sens!H10163</f>
        <v>35.3765641720432</v>
      </c>
      <c r="I10164" s="6" t="n">
        <f aca="false">Sens!I10157-Sens!I10161-Sens!I10163</f>
        <v>97.6106372215423</v>
      </c>
      <c r="J10164" s="6" t="n">
        <f aca="false">Sens!J10157-Sens!J10161-Sens!J10163</f>
        <v>166.191148139492</v>
      </c>
      <c r="K10164" s="6" t="n">
        <f aca="false">Sens!K10157-Sens!K10161-Sens!K10163</f>
        <v>200.584641261133</v>
      </c>
      <c r="L10164" s="12" t="s">
        <v>1117</v>
      </c>
    </row>
    <row r="10165" customFormat="false" ht="15" hidden="false" customHeight="false" outlineLevel="0" collapsed="false">
      <c r="A10165" s="1" t="s">
        <v>1118</v>
      </c>
      <c r="B10165" s="0" t="s">
        <v>75</v>
      </c>
      <c r="F10165" s="8" t="n">
        <f aca="false">dps_27</f>
        <v>3.85</v>
      </c>
      <c r="G10165" s="8" t="n">
        <f aca="false">Sens!F10165*(1+dps_g)</f>
        <v>4.158</v>
      </c>
      <c r="H10165" s="8" t="n">
        <f aca="false">Sens!G10165*(1+dps_g)</f>
        <v>4.49064</v>
      </c>
      <c r="I10165" s="8" t="n">
        <f aca="false">Sens!H10165*(1+dps_g)</f>
        <v>4.8498912</v>
      </c>
      <c r="J10165" s="8" t="n">
        <f aca="false">Sens!I10165*(1+dps_g)</f>
        <v>5.237882496</v>
      </c>
      <c r="K10165" s="8" t="n">
        <f aca="false">Sens!J10165*(1+dps_g)</f>
        <v>5.65691309568</v>
      </c>
    </row>
    <row r="10166" customFormat="false" ht="17.15" hidden="false" customHeight="false" outlineLevel="0" collapsed="false">
      <c r="A10166" s="1" t="s">
        <v>1119</v>
      </c>
      <c r="B10166" s="0" t="s">
        <v>98</v>
      </c>
      <c r="E10166" s="6" t="n">
        <f aca="false">Q!M41</f>
        <v>26.445</v>
      </c>
      <c r="F10166" s="6" t="n">
        <f aca="false">Sens!F10165*Sens!E10175</f>
        <v>28.59395</v>
      </c>
      <c r="G10166" s="6" t="n">
        <f aca="false">Sens!G10165*Sens!F10175</f>
        <v>31.068576</v>
      </c>
      <c r="H10166" s="6" t="n">
        <f aca="false">Sens!H10165*Sens!G10175</f>
        <v>33.75614088</v>
      </c>
      <c r="I10166" s="6" t="n">
        <f aca="false">Sens!I10165*Sens!H10175</f>
        <v>36.6748772544</v>
      </c>
      <c r="J10166" s="6" t="n">
        <f aca="false">Sens!J10165*Sens!I10175</f>
        <v>39.6767653201446</v>
      </c>
      <c r="K10166" s="6" t="n">
        <f aca="false">Sens!K10165*Sens!J10175</f>
        <v>42.9376608081345</v>
      </c>
      <c r="L10166" s="1" t="s">
        <v>1120</v>
      </c>
    </row>
    <row r="10167" customFormat="false" ht="15" hidden="false" customHeight="false" outlineLevel="0" collapsed="false">
      <c r="A10167" s="1" t="s">
        <v>1121</v>
      </c>
      <c r="B10167" s="0" t="s">
        <v>98</v>
      </c>
      <c r="E10167" s="6" t="n">
        <f aca="false">Sens!E10164-Sens!E10166</f>
        <v>37.441</v>
      </c>
      <c r="F10167" s="6" t="n">
        <f aca="false">Sens!F10164-Sens!F10166</f>
        <v>-20.6364259761653</v>
      </c>
      <c r="G10167" s="6" t="n">
        <f aca="false">Sens!G10164-Sens!G10166</f>
        <v>-21.1236629834112</v>
      </c>
      <c r="H10167" s="6" t="n">
        <f aca="false">Sens!H10164-Sens!H10166</f>
        <v>1.6204232920432</v>
      </c>
      <c r="I10167" s="6" t="n">
        <f aca="false">Sens!I10164-Sens!I10166</f>
        <v>60.9357599671423</v>
      </c>
      <c r="J10167" s="6" t="n">
        <f aca="false">Sens!J10164-Sens!J10166</f>
        <v>126.514382819347</v>
      </c>
      <c r="K10167" s="6" t="n">
        <f aca="false">Sens!K10164-Sens!K10166</f>
        <v>157.646980452999</v>
      </c>
    </row>
    <row r="10168" customFormat="false" ht="15" hidden="false" customHeight="false" outlineLevel="0" collapsed="false">
      <c r="A10168" s="1" t="s">
        <v>1122</v>
      </c>
      <c r="B10168" s="0" t="s">
        <v>98</v>
      </c>
      <c r="F10168" s="6" t="n">
        <f aca="false">debt_mat_27</f>
        <v>9.25</v>
      </c>
      <c r="G10168" s="6" t="n">
        <f aca="false">debt_mat_28</f>
        <v>0</v>
      </c>
      <c r="H10168" s="6" t="n">
        <f aca="false">debt_mat_29</f>
        <v>2.001</v>
      </c>
      <c r="I10168" s="6" t="n">
        <f aca="false">debt_mat_30</f>
        <v>0</v>
      </c>
      <c r="J10168" s="6" t="n">
        <f aca="false">debt_mat_31</f>
        <v>0.5</v>
      </c>
      <c r="K10168" s="6" t="n">
        <f aca="false">debt_mat_32</f>
        <v>0</v>
      </c>
    </row>
    <row r="10169" customFormat="false" ht="15" hidden="false" customHeight="false" outlineLevel="0" collapsed="false">
      <c r="A10169" s="1" t="s">
        <v>1123</v>
      </c>
      <c r="B10169" s="0" t="s">
        <v>98</v>
      </c>
      <c r="E10169" s="6" t="n">
        <f aca="false">Q!M40</f>
        <v>22.271</v>
      </c>
      <c r="F10169" s="6" t="n">
        <f aca="false">MAX(0,MIN(bb_target,Sens!E10171+Sens!F10167-Sens!F10168-min_cash))</f>
        <v>0</v>
      </c>
      <c r="G10169" s="6" t="n">
        <f aca="false">MAX(0,MIN(bb_target,Sens!F10171+Sens!G10167-Sens!G10168-min_cash))</f>
        <v>0</v>
      </c>
      <c r="H10169" s="6" t="n">
        <f aca="false">MAX(0,MIN(bb_target,Sens!G10171+Sens!H10167-Sens!H10168-min_cash))</f>
        <v>0</v>
      </c>
      <c r="I10169" s="6" t="n">
        <f aca="false">MAX(0,MIN(bb_target,Sens!H10171+Sens!I10167-Sens!I10168-min_cash))</f>
        <v>22.271</v>
      </c>
      <c r="J10169" s="6" t="n">
        <f aca="false">MAX(0,MIN(bb_target,Sens!I10171+Sens!J10167-Sens!J10168-min_cash))</f>
        <v>22.271</v>
      </c>
      <c r="K10169" s="6" t="n">
        <f aca="false">MAX(0,MIN(bb_target,Sens!J10171+Sens!K10167-Sens!K10168-min_cash))</f>
        <v>22.271</v>
      </c>
    </row>
    <row r="10170" customFormat="false" ht="15" hidden="false" customHeight="false" outlineLevel="0" collapsed="false">
      <c r="A10170" s="1" t="s">
        <v>1124</v>
      </c>
      <c r="B10170" s="0" t="s">
        <v>98</v>
      </c>
      <c r="F10170" s="6" t="n">
        <f aca="false">MAX(0,min_cash-(Sens!E10171+Sens!F10167-Sens!F10168-Sens!F10169))</f>
        <v>3.0434259761653</v>
      </c>
      <c r="G10170" s="6" t="n">
        <f aca="false">MAX(0,min_cash-(Sens!F10171+Sens!G10167-Sens!G10168-Sens!G10169))</f>
        <v>21.1236629834112</v>
      </c>
      <c r="H10170" s="6" t="n">
        <f aca="false">MAX(0,min_cash-(Sens!G10171+Sens!H10167-Sens!H10168-Sens!H10169))</f>
        <v>0.380576707956799</v>
      </c>
      <c r="I10170" s="6" t="n">
        <f aca="false">MAX(0,min_cash-(Sens!H10171+Sens!I10167-Sens!I10168-Sens!I10169))</f>
        <v>0</v>
      </c>
      <c r="J10170" s="6" t="n">
        <f aca="false">MAX(0,min_cash-(Sens!I10171+Sens!J10167-Sens!J10168-Sens!J10169))</f>
        <v>0</v>
      </c>
      <c r="K10170" s="6" t="n">
        <f aca="false">MAX(0,min_cash-(Sens!J10171+Sens!K10167-Sens!K10168-Sens!K10169))</f>
        <v>0</v>
      </c>
    </row>
    <row r="10171" customFormat="false" ht="15" hidden="false" customHeight="false" outlineLevel="0" collapsed="false">
      <c r="A10171" s="1" t="s">
        <v>1125</v>
      </c>
      <c r="B10171" s="0" t="s">
        <v>98</v>
      </c>
      <c r="E10171" s="6" t="n">
        <f aca="false">cash_open</f>
        <v>76.843</v>
      </c>
      <c r="F10171" s="6" t="n">
        <f aca="false">Sens!E10171+Sens!F10167-Sens!F10168-Sens!F10169+Sens!F10170</f>
        <v>50</v>
      </c>
      <c r="G10171" s="6" t="n">
        <f aca="false">Sens!F10171+Sens!G10167-Sens!G10168-Sens!G10169+Sens!G10170</f>
        <v>50</v>
      </c>
      <c r="H10171" s="6" t="n">
        <f aca="false">Sens!G10171+Sens!H10167-Sens!H10168-Sens!H10169+Sens!H10170</f>
        <v>50</v>
      </c>
      <c r="I10171" s="6" t="n">
        <f aca="false">Sens!H10171+Sens!I10167-Sens!I10168-Sens!I10169+Sens!I10170</f>
        <v>88.6647599671423</v>
      </c>
      <c r="J10171" s="6" t="n">
        <f aca="false">Sens!I10171+Sens!J10167-Sens!J10168-Sens!J10169+Sens!J10170</f>
        <v>192.40814278649</v>
      </c>
      <c r="K10171" s="6" t="n">
        <f aca="false">Sens!J10171+Sens!K10167-Sens!K10168-Sens!K10169+Sens!K10170</f>
        <v>327.784123239488</v>
      </c>
    </row>
    <row r="10172" customFormat="false" ht="15" hidden="false" customHeight="false" outlineLevel="0" collapsed="false">
      <c r="A10172" s="1" t="s">
        <v>1126</v>
      </c>
      <c r="B10172" s="0" t="s">
        <v>98</v>
      </c>
      <c r="E10172" s="6" t="n">
        <f aca="false">debt_face</f>
        <v>46.136</v>
      </c>
      <c r="F10172" s="6" t="n">
        <f aca="false">Sens!E10172-Sens!F10168+Sens!F10170</f>
        <v>39.9294259761653</v>
      </c>
      <c r="G10172" s="6" t="n">
        <f aca="false">Sens!F10172-Sens!G10168+Sens!G10170</f>
        <v>61.0530889595765</v>
      </c>
      <c r="H10172" s="6" t="n">
        <f aca="false">Sens!G10172-Sens!H10168+Sens!H10170</f>
        <v>59.4326656675333</v>
      </c>
      <c r="I10172" s="6" t="n">
        <f aca="false">Sens!H10172-Sens!I10168+Sens!I10170</f>
        <v>59.4326656675333</v>
      </c>
      <c r="J10172" s="6" t="n">
        <f aca="false">Sens!I10172-Sens!J10168+Sens!J10170</f>
        <v>58.9326656675333</v>
      </c>
      <c r="K10172" s="6" t="n">
        <f aca="false">Sens!J10172-Sens!K10168+Sens!K10170</f>
        <v>58.9326656675333</v>
      </c>
    </row>
    <row r="10173" customFormat="false" ht="15" hidden="false" customHeight="false" outlineLevel="0" collapsed="false">
      <c r="A10173" s="1" t="s">
        <v>1127</v>
      </c>
      <c r="B10173" s="0" t="s">
        <v>98</v>
      </c>
      <c r="E10173" s="6" t="n">
        <f aca="false">Sens!E10171-Sens!E10172</f>
        <v>30.707</v>
      </c>
      <c r="F10173" s="6" t="n">
        <f aca="false">Sens!F10171-Sens!F10172</f>
        <v>10.0705740238347</v>
      </c>
      <c r="G10173" s="6" t="n">
        <f aca="false">Sens!G10171-Sens!G10172</f>
        <v>-11.0530889595765</v>
      </c>
      <c r="H10173" s="6" t="n">
        <f aca="false">Sens!H10171-Sens!H10172</f>
        <v>-9.43266566753334</v>
      </c>
      <c r="I10173" s="6" t="n">
        <f aca="false">Sens!I10171-Sens!I10172</f>
        <v>29.2320942996089</v>
      </c>
      <c r="J10173" s="6" t="n">
        <f aca="false">Sens!J10171-Sens!J10172</f>
        <v>133.475477118956</v>
      </c>
      <c r="K10173" s="6" t="n">
        <f aca="false">Sens!K10171-Sens!K10172</f>
        <v>268.851457571955</v>
      </c>
    </row>
    <row r="10174" customFormat="false" ht="15" hidden="false" customHeight="false" outlineLevel="0" collapsed="false">
      <c r="A10174" s="1" t="s">
        <v>1128</v>
      </c>
      <c r="B10174" s="0" t="s">
        <v>75</v>
      </c>
      <c r="F10174" s="30" t="n">
        <f aca="false">px*(1+bb_g)^(Sens!F10032-base_fy-mid_yr)</f>
        <v>551.84177959629</v>
      </c>
      <c r="G10174" s="30" t="n">
        <f aca="false">px*(1+bb_g)^(Sens!G10032-base_fy-mid_yr)</f>
        <v>595.989121963993</v>
      </c>
      <c r="H10174" s="30" t="n">
        <f aca="false">px*(1+bb_g)^(Sens!H10032-base_fy-mid_yr)</f>
        <v>643.668251721112</v>
      </c>
      <c r="I10174" s="30" t="n">
        <f aca="false">px*(1+bb_g)^(Sens!I10032-base_fy-mid_yr)</f>
        <v>695.161711858801</v>
      </c>
      <c r="J10174" s="30" t="n">
        <f aca="false">px*(1+bb_g)^(Sens!J10032-base_fy-mid_yr)</f>
        <v>750.774648807506</v>
      </c>
      <c r="K10174" s="30" t="n">
        <f aca="false">px*(1+bb_g)^(Sens!K10032-base_fy-mid_yr)</f>
        <v>810.836620712106</v>
      </c>
    </row>
    <row r="10175" customFormat="false" ht="15" hidden="false" customHeight="false" outlineLevel="0" collapsed="false">
      <c r="A10175" s="1" t="s">
        <v>1129</v>
      </c>
      <c r="B10175" s="1" t="s">
        <v>81</v>
      </c>
      <c r="E10175" s="15" t="n">
        <f aca="false">sh_out26</f>
        <v>7.427</v>
      </c>
      <c r="F10175" s="15" t="n">
        <f aca="false">Sens!E10175+sh_iss-Sens!F10169/Sens!F10174</f>
        <v>7.472</v>
      </c>
      <c r="G10175" s="15" t="n">
        <f aca="false">Sens!F10175+sh_iss-Sens!G10169/Sens!G10174</f>
        <v>7.517</v>
      </c>
      <c r="H10175" s="15" t="n">
        <f aca="false">Sens!G10175+sh_iss-Sens!H10169/Sens!H10174</f>
        <v>7.562</v>
      </c>
      <c r="I10175" s="15" t="n">
        <f aca="false">Sens!H10175+sh_iss-Sens!I10169/Sens!I10174</f>
        <v>7.57496285005334</v>
      </c>
      <c r="J10175" s="15" t="n">
        <f aca="false">Sens!I10175+sh_iss-Sens!J10169/Sens!J10174</f>
        <v>7.59029882232494</v>
      </c>
      <c r="K10175" s="15" t="n">
        <f aca="false">Sens!J10175+sh_iss-Sens!K10169/Sens!K10174</f>
        <v>7.60783212998384</v>
      </c>
    </row>
    <row r="10176" customFormat="false" ht="15" hidden="false" customHeight="false" outlineLevel="0" collapsed="false">
      <c r="A10176" s="1" t="s">
        <v>1130</v>
      </c>
      <c r="B10176" s="1" t="s">
        <v>81</v>
      </c>
      <c r="E10176" s="15" t="n">
        <f aca="false">sh_dil26</f>
        <v>7.453</v>
      </c>
      <c r="F10176" s="15" t="n">
        <f aca="false">(Sens!E10175+Sens!F10175)/2+dil_gap</f>
        <v>7.4735</v>
      </c>
      <c r="G10176" s="15" t="n">
        <f aca="false">(Sens!F10175+Sens!G10175)/2+dil_gap</f>
        <v>7.5185</v>
      </c>
      <c r="H10176" s="15" t="n">
        <f aca="false">(Sens!G10175+Sens!H10175)/2+dil_gap</f>
        <v>7.5635</v>
      </c>
      <c r="I10176" s="15" t="n">
        <f aca="false">(Sens!H10175+Sens!I10175)/2+dil_gap</f>
        <v>7.59248142502667</v>
      </c>
      <c r="J10176" s="15" t="n">
        <f aca="false">(Sens!I10175+Sens!J10175)/2+dil_gap</f>
        <v>7.60663083618914</v>
      </c>
      <c r="K10176" s="15" t="n">
        <f aca="false">(Sens!J10175+Sens!K10175)/2+dil_gap</f>
        <v>7.62306547615439</v>
      </c>
    </row>
    <row r="10177" customFormat="false" ht="17.15" hidden="false" customHeight="false" outlineLevel="0" collapsed="false">
      <c r="A10177" s="1" t="s">
        <v>1131</v>
      </c>
      <c r="B10177" s="0" t="s">
        <v>98</v>
      </c>
      <c r="C10177" s="6" t="n">
        <f aca="false">SUM(Sens!F10167:J10167)</f>
        <v>147.310477118956</v>
      </c>
    </row>
    <row r="10178" customFormat="false" ht="15" hidden="false" customHeight="false" outlineLevel="0" collapsed="false">
      <c r="A10178" s="26" t="s">
        <v>1096</v>
      </c>
      <c r="B10178" s="31" t="s">
        <v>98</v>
      </c>
      <c r="C10178" s="27" t="n">
        <f aca="false">Sens!$C$10177-(Sens!F10167+Sens!G10167+Sens!H10167+Sens!I10167+Sens!J10167)</f>
        <v>0</v>
      </c>
      <c r="D10178" s="31"/>
      <c r="E10178" s="31"/>
      <c r="F10178" s="31"/>
      <c r="G10178" s="31"/>
      <c r="H10178" s="31"/>
      <c r="I10178" s="31"/>
      <c r="J10178" s="31"/>
      <c r="K10178" s="31"/>
    </row>
    <row r="10179" customFormat="false" ht="17.15" hidden="false" customHeight="false" outlineLevel="0" collapsed="false">
      <c r="A10179" s="1" t="s">
        <v>1090</v>
      </c>
      <c r="B10179" s="1" t="s">
        <v>1132</v>
      </c>
      <c r="C10179" s="33" t="str">
        <f aca="false">IF(SUM(Sens!F10170:J10170)&gt;0.05,"需要舉債 "&amp;TEXT(SUM(Sens!F10170:J10170),"0.0")&amp;" 十億美元","不需舉債")&amp;"；"&amp;IF(SUM(Sens!F10169:J10169)&lt;COUNT(Sens!F10169:J10169)*bb_target-0.05,"回購較每年 "&amp;TEXT(bb_target,"0.0")&amp;" 的目標少 "&amp;TEXT(COUNT(Sens!F10169:J10169)*bb_target-SUM(Sens!F10169:J10169),"0.0")&amp;" 十億美元（"&amp;TEXT(COUNTIF(Sens!F10169:J10169,"&lt;"&amp;(bb_target-0.05)),"0")&amp;" 年減少）","回購不減")</f>
        <v>需要舉債 24.5 十億美元；回購較每年 22.3 的目標少 66.8 十億美元（3 年減少）</v>
      </c>
    </row>
    <row r="10180" customFormat="false" ht="17.15" hidden="false" customHeight="false" outlineLevel="0" collapsed="false">
      <c r="A10180" s="3" t="s">
        <v>1734</v>
      </c>
    </row>
    <row r="10181" customFormat="false" ht="15" hidden="false" customHeight="false" outlineLevel="0" collapsed="false">
      <c r="A10181" s="4" t="s">
        <v>43</v>
      </c>
      <c r="B10181" s="4" t="s">
        <v>65</v>
      </c>
      <c r="C10181" s="23" t="s">
        <v>938</v>
      </c>
      <c r="D10181" s="23" t="s">
        <v>939</v>
      </c>
      <c r="E10181" s="23" t="s">
        <v>940</v>
      </c>
      <c r="F10181" s="23" t="s">
        <v>941</v>
      </c>
      <c r="G10181" s="23" t="s">
        <v>942</v>
      </c>
      <c r="H10181" s="23" t="s">
        <v>943</v>
      </c>
      <c r="I10181" s="23" t="s">
        <v>944</v>
      </c>
      <c r="J10181" s="23" t="s">
        <v>945</v>
      </c>
      <c r="K10181" s="23" t="s">
        <v>946</v>
      </c>
      <c r="L10181" s="4" t="s">
        <v>47</v>
      </c>
    </row>
    <row r="10182" customFormat="false" ht="17.15" hidden="false" customHeight="false" outlineLevel="0" collapsed="false">
      <c r="A10182" s="1" t="s">
        <v>1212</v>
      </c>
      <c r="B10182" s="1" t="s">
        <v>279</v>
      </c>
      <c r="F10182" s="8" t="n">
        <f aca="false">(1-v_off)*mid_yr</f>
        <v>0.373972602739726</v>
      </c>
      <c r="G10182" s="8" t="n">
        <f aca="false">Sens!G10032-base_fy-mid_yr-v_off</f>
        <v>1.24794520547945</v>
      </c>
      <c r="H10182" s="8" t="n">
        <f aca="false">Sens!H10032-base_fy-mid_yr-v_off</f>
        <v>2.24794520547945</v>
      </c>
      <c r="I10182" s="8" t="n">
        <f aca="false">Sens!I10032-base_fy-mid_yr-v_off</f>
        <v>3.24794520547945</v>
      </c>
      <c r="J10182" s="8" t="n">
        <f aca="false">Sens!J10032-base_fy-mid_yr-v_off</f>
        <v>4.24794520547945</v>
      </c>
      <c r="K10182" s="8" t="n">
        <f aca="false">Sens!K10032-base_fy-mid_yr-v_off</f>
        <v>5.24794520547945</v>
      </c>
      <c r="L10182" s="12" t="s">
        <v>1213</v>
      </c>
    </row>
    <row r="10183" customFormat="false" ht="15" hidden="false" customHeight="false" outlineLevel="0" collapsed="false">
      <c r="A10183" s="1" t="s">
        <v>1214</v>
      </c>
      <c r="B10183" s="1" t="s">
        <v>279</v>
      </c>
      <c r="F10183" s="8" t="n">
        <f aca="false">Sens!F10032-base_fy-v_off</f>
        <v>0.747945205479452</v>
      </c>
      <c r="G10183" s="8" t="n">
        <f aca="false">Sens!G10032-base_fy-v_off</f>
        <v>1.74794520547945</v>
      </c>
      <c r="H10183" s="8" t="n">
        <f aca="false">Sens!H10032-base_fy-v_off</f>
        <v>2.74794520547945</v>
      </c>
      <c r="I10183" s="8" t="n">
        <f aca="false">Sens!I10032-base_fy-v_off</f>
        <v>3.74794520547945</v>
      </c>
      <c r="J10183" s="8" t="n">
        <f aca="false">Sens!J10032-base_fy-v_off</f>
        <v>4.74794520547945</v>
      </c>
      <c r="K10183" s="8" t="n">
        <f aca="false">Sens!K10032-base_fy-v_off</f>
        <v>5.74794520547945</v>
      </c>
    </row>
    <row r="10184" customFormat="false" ht="15" hidden="false" customHeight="false" outlineLevel="0" collapsed="false">
      <c r="A10184" s="1" t="s">
        <v>1215</v>
      </c>
      <c r="B10184" s="0" t="s">
        <v>229</v>
      </c>
      <c r="F10184" s="15" t="n">
        <f aca="false">1/(1+wacc)^Sens!F10182</f>
        <v>0.964022703286649</v>
      </c>
      <c r="G10184" s="15" t="n">
        <f aca="false">1/(1+wacc)^Sens!G10182</f>
        <v>0.884910302296739</v>
      </c>
      <c r="H10184" s="15" t="n">
        <f aca="false">1/(1+wacc)^Sens!H10182</f>
        <v>0.802322009770358</v>
      </c>
      <c r="I10184" s="15" t="n">
        <f aca="false">1/(1+wacc)^Sens!I10182</f>
        <v>0.727441646561469</v>
      </c>
      <c r="J10184" s="15" t="n">
        <f aca="false">1/(1+wacc)^Sens!J10182</f>
        <v>0.659549834988973</v>
      </c>
      <c r="K10184" s="15" t="n">
        <f aca="false">1/(1+wacc)^Sens!K10182</f>
        <v>0.597994336576966</v>
      </c>
    </row>
    <row r="10185" customFormat="false" ht="17.15" hidden="false" customHeight="false" outlineLevel="0" collapsed="false">
      <c r="A10185" s="1" t="s">
        <v>1216</v>
      </c>
      <c r="B10185" s="0" t="s">
        <v>98</v>
      </c>
      <c r="F10185" s="6" t="n">
        <f aca="false">Q!$I$35-Q!$I$39-Q!$I$43</f>
        <v>9.666</v>
      </c>
      <c r="L10185" s="12" t="s">
        <v>1217</v>
      </c>
    </row>
    <row r="10186" customFormat="false" ht="17.15" hidden="false" customHeight="false" outlineLevel="0" collapsed="false">
      <c r="A10186" s="1" t="s">
        <v>1218</v>
      </c>
      <c r="B10186" s="0" t="s">
        <v>98</v>
      </c>
      <c r="F10186" s="6" t="n">
        <f aca="false">Sens!F10157-Sens!F10154-Sens!F10161+Sens!F10139*(1-tax_f)*(1-v_off)-Sens!F10185</f>
        <v>-6.00375346030572</v>
      </c>
      <c r="G10186" s="6" t="n">
        <f aca="false">Sens!G10157-Sens!G10154-Sens!G10161+Sens!G10139*(1-tax_f)</f>
        <v>19.4840984748994</v>
      </c>
      <c r="H10186" s="6" t="n">
        <f aca="false">Sens!H10157-Sens!H10154-Sens!H10161+Sens!H10139*(1-tax_f)</f>
        <v>57.1201583760388</v>
      </c>
      <c r="I10186" s="6" t="n">
        <f aca="false">Sens!I10157-Sens!I10154-Sens!I10161+Sens!I10139*(1-tax_f)</f>
        <v>130.296935546463</v>
      </c>
      <c r="J10186" s="6" t="n">
        <f aca="false">Sens!J10157-Sens!J10154-Sens!J10161+Sens!J10139*(1-tax_f)</f>
        <v>206.144078254465</v>
      </c>
      <c r="K10186" s="6" t="n">
        <f aca="false">Sens!K10157-Sens!K10154-Sens!K10161+Sens!K10139*(1-tax_f)</f>
        <v>244.201640877647</v>
      </c>
      <c r="L10186" s="1" t="s">
        <v>1219</v>
      </c>
    </row>
    <row r="10187" customFormat="false" ht="15" hidden="false" customHeight="false" outlineLevel="0" collapsed="false">
      <c r="A10187" s="1" t="s">
        <v>1220</v>
      </c>
      <c r="B10187" s="0" t="s">
        <v>98</v>
      </c>
      <c r="F10187" s="6" t="n">
        <f aca="false">Sens!F10186*Sens!F10184</f>
        <v>-5.7877546406705</v>
      </c>
      <c r="G10187" s="6" t="n">
        <f aca="false">Sens!G10186*Sens!G10184</f>
        <v>17.2416794714027</v>
      </c>
      <c r="H10187" s="6" t="n">
        <f aca="false">Sens!H10186*Sens!H10184</f>
        <v>45.8287602666646</v>
      </c>
      <c r="I10187" s="6" t="n">
        <f aca="false">Sens!I10186*Sens!I10184</f>
        <v>94.7834173358326</v>
      </c>
      <c r="J10187" s="6" t="n">
        <f aca="false">Sens!J10186*Sens!J10184</f>
        <v>135.962292796686</v>
      </c>
      <c r="K10187" s="6" t="n">
        <f aca="false">Sens!K10186*Sens!K10184</f>
        <v>146.031198227635</v>
      </c>
    </row>
    <row r="10188" customFormat="false" ht="17.15" hidden="false" customHeight="false" outlineLevel="0" collapsed="false">
      <c r="A10188" s="1" t="s">
        <v>1221</v>
      </c>
      <c r="B10188" s="0" t="s">
        <v>98</v>
      </c>
      <c r="C10188" s="6" t="n">
        <f aca="false">SUM(Sens!F10187:K10187)</f>
        <v>434.059593457551</v>
      </c>
    </row>
    <row r="10189" customFormat="false" ht="17.15" hidden="false" customHeight="false" outlineLevel="0" collapsed="false">
      <c r="A10189" s="1" t="s">
        <v>1222</v>
      </c>
      <c r="B10189" s="0" t="s">
        <v>98</v>
      </c>
      <c r="C10189" s="6" t="n">
        <f aca="false">Sens!K10125*(1+g_tv)*(1-tax_f)</f>
        <v>257.606167289352</v>
      </c>
    </row>
    <row r="10190" customFormat="false" ht="17.15" hidden="false" customHeight="false" outlineLevel="0" collapsed="false">
      <c r="A10190" s="1" t="s">
        <v>1223</v>
      </c>
      <c r="B10190" s="0" t="s">
        <v>98</v>
      </c>
      <c r="C10190" s="6" t="n">
        <f aca="false">Sens!$C$10189*(1-g_tv/(wacc+ronic_prem))</f>
        <v>182.529025646251</v>
      </c>
    </row>
    <row r="10191" customFormat="false" ht="17.15" hidden="false" customHeight="false" outlineLevel="0" collapsed="false">
      <c r="A10191" s="1" t="s">
        <v>1224</v>
      </c>
      <c r="B10191" s="0" t="s">
        <v>98</v>
      </c>
      <c r="C10191" s="6" t="n">
        <f aca="false">Sens!$C$10190/(wacc-g_tv)</f>
        <v>2502.57138810337</v>
      </c>
    </row>
    <row r="10192" customFormat="false" ht="15" hidden="false" customHeight="false" outlineLevel="0" collapsed="false">
      <c r="A10192" s="1" t="s">
        <v>1225</v>
      </c>
      <c r="B10192" s="0" t="s">
        <v>98</v>
      </c>
      <c r="C10192" s="6" t="n">
        <f aca="false">Sens!$C$10191/(1+wacc)^Sens!K10183</f>
        <v>1424.97837394586</v>
      </c>
    </row>
    <row r="10193" customFormat="false" ht="17.15" hidden="false" customHeight="false" outlineLevel="0" collapsed="false">
      <c r="A10193" s="0" t="s">
        <v>1226</v>
      </c>
      <c r="B10193" s="0" t="s">
        <v>98</v>
      </c>
      <c r="C10193" s="6" t="n">
        <f aca="false">Sens!$C$10188+Sens!$C$10192</f>
        <v>1859.03796740341</v>
      </c>
    </row>
    <row r="10194" customFormat="false" ht="15" hidden="false" customHeight="false" outlineLevel="0" collapsed="false">
      <c r="A10194" s="1" t="s">
        <v>1141</v>
      </c>
      <c r="B10194" s="0" t="s">
        <v>168</v>
      </c>
      <c r="C10194" s="7" t="n">
        <f aca="false">Sens!$C$10192/Sens!$C$10193</f>
        <v>0.76651386304723</v>
      </c>
    </row>
    <row r="10195" customFormat="false" ht="17.15" hidden="false" customHeight="false" outlineLevel="0" collapsed="false">
      <c r="A10195" s="1" t="s">
        <v>1227</v>
      </c>
      <c r="B10195" s="0" t="s">
        <v>98</v>
      </c>
      <c r="C10195" s="6" t="n">
        <f aca="false">Sens!$C$10193+cash_val-debt_val-fl_val+oai_v</f>
        <v>1974.88896740341</v>
      </c>
    </row>
    <row r="10196" customFormat="false" ht="17.15" hidden="false" customHeight="false" outlineLevel="0" collapsed="false">
      <c r="A10196" s="0" t="s">
        <v>1149</v>
      </c>
      <c r="B10196" s="0" t="s">
        <v>75</v>
      </c>
      <c r="C10196" s="5" t="n">
        <f aca="false">Sens!$C$10195/shd_val</f>
        <v>265.228171824256</v>
      </c>
    </row>
    <row r="10197" customFormat="false" ht="15" hidden="false" customHeight="false" outlineLevel="0" collapsed="false">
      <c r="A10197" s="1" t="s">
        <v>1228</v>
      </c>
      <c r="B10197" s="0" t="s">
        <v>75</v>
      </c>
      <c r="C10197" s="8" t="n">
        <f aca="false">div_rem27+Sens!G10165*roll_div_q/q_per_yr</f>
        <v>3.9795</v>
      </c>
    </row>
    <row r="10198" customFormat="false" ht="17.15" hidden="false" customHeight="false" outlineLevel="0" collapsed="false">
      <c r="A10198" s="0" t="s">
        <v>1229</v>
      </c>
      <c r="B10198" s="0" t="s">
        <v>75</v>
      </c>
      <c r="C10198" s="5" t="n">
        <f aca="false">Sens!$C$10196*(1+wacc)^t_roll-Sens!$C$10197</f>
        <v>290.836415564212</v>
      </c>
    </row>
    <row r="10199" customFormat="false" ht="17.15" hidden="false" customHeight="false" outlineLevel="0" collapsed="false">
      <c r="A10199" s="1" t="s">
        <v>1230</v>
      </c>
      <c r="B10199" s="0" t="s">
        <v>168</v>
      </c>
      <c r="F10199" s="7" t="n">
        <f aca="false">Sens!F10151/(Sens!F10096-Sens!F10051)</f>
        <v>0.0686227955235279</v>
      </c>
      <c r="G10199" s="7" t="n">
        <f aca="false">Sens!G10151/(Sens!G10096-Sens!G10051)</f>
        <v>0.0661270465438852</v>
      </c>
      <c r="H10199" s="7" t="n">
        <f aca="false">Sens!H10151/(Sens!H10096-Sens!H10051)</f>
        <v>0.0647783486752599</v>
      </c>
      <c r="I10199" s="7" t="n">
        <f aca="false">Sens!I10151/(Sens!I10096-Sens!I10051)</f>
        <v>0.0644466750261113</v>
      </c>
      <c r="J10199" s="7" t="n">
        <f aca="false">Sens!J10151/(Sens!J10096-Sens!J10051)</f>
        <v>0.0649285537009948</v>
      </c>
      <c r="K10199" s="7" t="n">
        <f aca="false">Sens!K10151/(Sens!K10096-Sens!K10051)</f>
        <v>0.0660013132410402</v>
      </c>
    </row>
    <row r="10200" customFormat="false" ht="17.15" hidden="false" customHeight="false" outlineLevel="0" collapsed="false">
      <c r="A10200" s="0" t="s">
        <v>1231</v>
      </c>
      <c r="B10200" s="0" t="s">
        <v>98</v>
      </c>
      <c r="F10200" s="6" t="n">
        <f aca="false">Sens!F10081*(al_m365+Sens!F10199+sbc_r)</f>
        <v>82.9121100709418</v>
      </c>
      <c r="G10200" s="6" t="n">
        <f aca="false">Sens!G10081*(al_m365+Sens!G10199+sbc_r)</f>
        <v>93.2821133205618</v>
      </c>
      <c r="H10200" s="6" t="n">
        <f aca="false">Sens!H10081*(al_m365+Sens!H10199+sbc_r)</f>
        <v>103.8031276054</v>
      </c>
      <c r="I10200" s="6" t="n">
        <f aca="false">Sens!I10081*(al_m365+Sens!I10199+sbc_r)</f>
        <v>113.798572491357</v>
      </c>
      <c r="J10200" s="6" t="n">
        <f aca="false">Sens!J10081*(al_m365+Sens!J10199+sbc_r)</f>
        <v>123.079555131269</v>
      </c>
      <c r="K10200" s="6" t="n">
        <f aca="false">Sens!K10081*(al_m365+Sens!K10199+sbc_r)</f>
        <v>131.95431357757</v>
      </c>
      <c r="L10200" s="12" t="s">
        <v>1232</v>
      </c>
    </row>
    <row r="10201" customFormat="false" ht="17.15" hidden="false" customHeight="false" outlineLevel="0" collapsed="false">
      <c r="A10201" s="0" t="s">
        <v>1233</v>
      </c>
      <c r="B10201" s="0" t="s">
        <v>98</v>
      </c>
      <c r="F10201" s="6" t="n">
        <f aca="false">Sens!F10082*(al_lic+Sens!F10199+sbc_r)</f>
        <v>32.8578896498811</v>
      </c>
      <c r="G10201" s="6" t="n">
        <f aca="false">Sens!G10082*(al_lic+Sens!G10199+sbc_r)</f>
        <v>34.1493773117676</v>
      </c>
      <c r="H10201" s="6" t="n">
        <f aca="false">Sens!H10082*(al_lic+Sens!H10199+sbc_r)</f>
        <v>35.348701802505</v>
      </c>
      <c r="I10201" s="6" t="n">
        <f aca="false">Sens!I10082*(al_lic+Sens!I10199+sbc_r)</f>
        <v>36.4364094986261</v>
      </c>
      <c r="J10201" s="6" t="n">
        <f aca="false">Sens!J10082*(al_lic+Sens!J10199+sbc_r)</f>
        <v>37.389813496775</v>
      </c>
      <c r="K10201" s="6" t="n">
        <f aca="false">Sens!K10082*(al_lic+Sens!K10199+sbc_r)</f>
        <v>38.1856115852949</v>
      </c>
    </row>
    <row r="10202" customFormat="false" ht="17.15" hidden="false" customHeight="false" outlineLevel="0" collapsed="false">
      <c r="A10202" s="0" t="s">
        <v>1234</v>
      </c>
      <c r="B10202" s="0" t="s">
        <v>98</v>
      </c>
      <c r="F10202" s="6" t="n">
        <f aca="false">Sens!F10084*(al_ind+Sens!F10199+sbc_r)</f>
        <v>9.06048906166838</v>
      </c>
      <c r="G10202" s="6" t="n">
        <f aca="false">Sens!G10084*(al_ind+Sens!G10199+sbc_r)</f>
        <v>9.84335519472157</v>
      </c>
      <c r="H10202" s="6" t="n">
        <f aca="false">Sens!H10084*(al_ind+Sens!H10199+sbc_r)</f>
        <v>10.667328572701</v>
      </c>
      <c r="I10202" s="6" t="n">
        <f aca="false">Sens!I10084*(al_ind+Sens!I10199+sbc_r)</f>
        <v>11.5278616222977</v>
      </c>
      <c r="J10202" s="6" t="n">
        <f aca="false">Sens!J10084*(al_ind+Sens!J10199+sbc_r)</f>
        <v>12.4163262678478</v>
      </c>
      <c r="K10202" s="6" t="n">
        <f aca="false">Sens!K10084*(al_ind+Sens!K10199+sbc_r)</f>
        <v>13.320894707126</v>
      </c>
    </row>
    <row r="10203" customFormat="false" ht="17.15" hidden="false" customHeight="false" outlineLevel="0" collapsed="false">
      <c r="A10203" s="0" t="s">
        <v>1235</v>
      </c>
      <c r="B10203" s="0" t="s">
        <v>98</v>
      </c>
      <c r="F10203" s="6" t="n">
        <f aca="false">Sens!F10086*(al_fro+Sens!F10199+sbc_r)</f>
        <v>3.55405776436976</v>
      </c>
      <c r="G10203" s="6" t="n">
        <f aca="false">Sens!G10086*(al_fro+Sens!G10199+sbc_r)</f>
        <v>3.76635618627888</v>
      </c>
      <c r="H10203" s="6" t="n">
        <f aca="false">Sens!H10086*(al_fro+Sens!H10199+sbc_r)</f>
        <v>4.00608253990043</v>
      </c>
      <c r="I10203" s="6" t="n">
        <f aca="false">Sens!I10086*(al_fro+Sens!I10199+sbc_r)</f>
        <v>4.27554527483588</v>
      </c>
      <c r="J10203" s="6" t="n">
        <f aca="false">Sens!J10086*(al_fro+Sens!J10199+sbc_r)</f>
        <v>4.57634788350171</v>
      </c>
      <c r="K10203" s="6" t="n">
        <f aca="false">Sens!K10086*(al_fro+Sens!K10199+sbc_r)</f>
        <v>4.90974922728669</v>
      </c>
    </row>
    <row r="10204" customFormat="false" ht="17.15" hidden="false" customHeight="false" outlineLevel="0" collapsed="false">
      <c r="A10204" s="0" t="s">
        <v>1236</v>
      </c>
      <c r="B10204" s="0" t="s">
        <v>98</v>
      </c>
      <c r="F10204" s="6" t="n">
        <f aca="false">Sens!F10089*(al_srch+Sens!F10199+sbc_r)</f>
        <v>11.189179277916</v>
      </c>
      <c r="G10204" s="6" t="n">
        <f aca="false">Sens!G10089*(al_srch+Sens!G10199+sbc_r)</f>
        <v>12.2706699512233</v>
      </c>
      <c r="H10204" s="6" t="n">
        <f aca="false">Sens!H10089*(al_srch+Sens!H10199+sbc_r)</f>
        <v>13.3924333803053</v>
      </c>
      <c r="I10204" s="6" t="n">
        <f aca="false">Sens!I10089*(al_srch+Sens!I10199+sbc_r)</f>
        <v>14.5418086944861</v>
      </c>
      <c r="J10204" s="6" t="n">
        <f aca="false">Sens!J10089*(al_srch+Sens!J10199+sbc_r)</f>
        <v>15.7001026683014</v>
      </c>
      <c r="K10204" s="6" t="n">
        <f aca="false">Sens!K10089*(al_srch+Sens!K10199+sbc_r)</f>
        <v>16.8439045514678</v>
      </c>
    </row>
    <row r="10205" customFormat="false" ht="17.15" hidden="false" customHeight="false" outlineLevel="0" collapsed="false">
      <c r="A10205" s="0" t="s">
        <v>1237</v>
      </c>
      <c r="B10205" s="0" t="s">
        <v>98</v>
      </c>
      <c r="F10205" s="6" t="n">
        <f aca="false">Sens!F10057-Sens!F10058+Sens!F10139</f>
        <v>38.9696429794913</v>
      </c>
      <c r="G10205" s="6" t="n">
        <f aca="false">Sens!G10057-Sens!G10058+Sens!G10139</f>
        <v>69.465497726016</v>
      </c>
      <c r="H10205" s="6" t="n">
        <f aca="false">Sens!H10057-Sens!H10058+Sens!H10139</f>
        <v>96.8147106808268</v>
      </c>
      <c r="I10205" s="6" t="n">
        <f aca="false">Sens!I10057-Sens!I10058+Sens!I10139</f>
        <v>127.654939766446</v>
      </c>
      <c r="J10205" s="6" t="n">
        <f aca="false">Sens!J10057-Sens!J10058+Sens!J10139</f>
        <v>149.308352681229</v>
      </c>
      <c r="K10205" s="6" t="n">
        <f aca="false">Sens!K10057-Sens!K10058+Sens!K10139</f>
        <v>162.731822021841</v>
      </c>
    </row>
    <row r="10206" customFormat="false" ht="17.15" hidden="false" customHeight="false" outlineLevel="0" collapsed="false">
      <c r="A10206" s="0" t="s">
        <v>1238</v>
      </c>
      <c r="B10206" s="0" t="s">
        <v>98</v>
      </c>
      <c r="F10206" s="6" t="n">
        <f aca="false">Sens!F10118+Sens!F10139+Sens!F10069+Sens!F10199*(Sens!F10088-Sens!F10051)+sbc_r*Sens!F10088</f>
        <v>235.035983233763</v>
      </c>
      <c r="G10206" s="6" t="n">
        <f aca="false">Sens!G10118+Sens!G10139+Sens!G10069+Sens!G10199*(Sens!G10088-Sens!G10051)+sbc_r*Sens!G10088</f>
        <v>286.582522103786</v>
      </c>
      <c r="H10206" s="6" t="n">
        <f aca="false">Sens!H10118+Sens!H10139+Sens!H10069+Sens!H10199*(Sens!H10088-Sens!H10051)+sbc_r*Sens!H10088</f>
        <v>340.954531086054</v>
      </c>
      <c r="I10206" s="6" t="n">
        <f aca="false">Sens!I10118+Sens!I10139+Sens!I10069+Sens!I10199*(Sens!I10088-Sens!I10051)+sbc_r*Sens!I10088</f>
        <v>399.227664399446</v>
      </c>
      <c r="J10206" s="6" t="n">
        <f aca="false">Sens!J10118+Sens!J10139+Sens!J10069+Sens!J10199*(Sens!J10088-Sens!J10051)+sbc_r*Sens!J10088</f>
        <v>447.655489690132</v>
      </c>
      <c r="K10206" s="6" t="n">
        <f aca="false">Sens!K10118+Sens!K10139+Sens!K10069+Sens!K10199*(Sens!K10088-Sens!K10051)+sbc_r*Sens!K10088</f>
        <v>486.94518976326</v>
      </c>
    </row>
    <row r="10207" customFormat="false" ht="17.15" hidden="false" customHeight="false" outlineLevel="0" collapsed="false">
      <c r="A10207" s="0" t="s">
        <v>1239</v>
      </c>
      <c r="B10207" s="0" t="s">
        <v>98</v>
      </c>
      <c r="F10207" s="6" t="n">
        <f aca="false">Sens!F10206-Sens!F10200-Sens!F10201-Sens!F10202-Sens!F10203-Sens!F10205</f>
        <v>67.6817937074108</v>
      </c>
      <c r="G10207" s="6" t="n">
        <f aca="false">Sens!G10206-Sens!G10200-Sens!G10201-Sens!G10202-Sens!G10203-Sens!G10205</f>
        <v>76.0758223644404</v>
      </c>
      <c r="H10207" s="6" t="n">
        <f aca="false">Sens!H10206-Sens!H10200-Sens!H10201-Sens!H10202-Sens!H10203-Sens!H10205</f>
        <v>90.3145798847204</v>
      </c>
      <c r="I10207" s="6" t="n">
        <f aca="false">Sens!I10206-Sens!I10200-Sens!I10201-Sens!I10202-Sens!I10203-Sens!I10205</f>
        <v>105.534335745883</v>
      </c>
      <c r="J10207" s="6" t="n">
        <f aca="false">Sens!J10206-Sens!J10200-Sens!J10201-Sens!J10202-Sens!J10203-Sens!J10205</f>
        <v>120.885094229509</v>
      </c>
      <c r="K10207" s="6" t="n">
        <f aca="false">Sens!K10206-Sens!K10200-Sens!K10201-Sens!K10202-Sens!K10203-Sens!K10205</f>
        <v>135.842798644142</v>
      </c>
    </row>
    <row r="10208" customFormat="false" ht="17.15" hidden="false" customHeight="false" outlineLevel="0" collapsed="false">
      <c r="A10208" s="0" t="s">
        <v>1240</v>
      </c>
      <c r="B10208" s="0" t="s">
        <v>98</v>
      </c>
      <c r="F10208" s="6" t="n">
        <f aca="false">Sens!F10120+Sens!F10199*Sens!F10095+sbc_r*Sens!F10095</f>
        <v>26.6338441947923</v>
      </c>
      <c r="G10208" s="6" t="n">
        <f aca="false">Sens!G10120+Sens!G10199*Sens!G10095+sbc_r*Sens!G10095</f>
        <v>26.4915504273666</v>
      </c>
      <c r="H10208" s="6" t="n">
        <f aca="false">Sens!H10120+Sens!H10199*Sens!H10095+sbc_r*Sens!H10095</f>
        <v>27.3735080627731</v>
      </c>
      <c r="I10208" s="6" t="n">
        <f aca="false">Sens!I10120+Sens!I10199*Sens!I10095+sbc_r*Sens!I10095</f>
        <v>28.4774276858126</v>
      </c>
      <c r="J10208" s="6" t="n">
        <f aca="false">Sens!J10120+Sens!J10199*Sens!J10095+sbc_r*Sens!J10095</f>
        <v>29.7721785253196</v>
      </c>
      <c r="K10208" s="6" t="n">
        <f aca="false">Sens!K10120+Sens!K10199*Sens!K10095+sbc_r*Sens!K10095</f>
        <v>31.229066754314</v>
      </c>
    </row>
    <row r="10209" customFormat="false" ht="17.15" hidden="false" customHeight="false" outlineLevel="0" collapsed="false">
      <c r="A10209" s="0" t="s">
        <v>1241</v>
      </c>
      <c r="B10209" s="0" t="s">
        <v>98</v>
      </c>
      <c r="F10209" s="6" t="n">
        <f aca="false">(Sens!F10208-Sens!F10204)*Sens!F10091/(Sens!F10091+Sens!F10093)</f>
        <v>8.7229230832255</v>
      </c>
      <c r="G10209" s="6" t="n">
        <f aca="false">(Sens!G10208-Sens!G10204)*Sens!G10091/(Sens!G10091+Sens!G10093)</f>
        <v>7.89371143311585</v>
      </c>
      <c r="H10209" s="6" t="n">
        <f aca="false">(Sens!H10208-Sens!H10204)*Sens!H10091/(Sens!H10091+Sens!H10093)</f>
        <v>7.65950264056425</v>
      </c>
      <c r="I10209" s="6" t="n">
        <f aca="false">(Sens!I10208-Sens!I10204)*Sens!I10091/(Sens!I10091+Sens!I10093)</f>
        <v>7.56796158164217</v>
      </c>
      <c r="J10209" s="6" t="n">
        <f aca="false">(Sens!J10208-Sens!J10204)*Sens!J10091/(Sens!J10091+Sens!J10093)</f>
        <v>7.60872469763176</v>
      </c>
      <c r="K10209" s="6" t="n">
        <f aca="false">(Sens!K10208-Sens!K10204)*Sens!K10091/(Sens!K10091+Sens!K10093)</f>
        <v>7.7780094453973</v>
      </c>
    </row>
    <row r="10210" customFormat="false" ht="17.15" hidden="false" customHeight="false" outlineLevel="0" collapsed="false">
      <c r="A10210" s="0" t="s">
        <v>1242</v>
      </c>
      <c r="B10210" s="0" t="s">
        <v>98</v>
      </c>
      <c r="F10210" s="6" t="n">
        <f aca="false">Sens!F10208-Sens!F10204-Sens!F10209</f>
        <v>6.72174183365076</v>
      </c>
      <c r="G10210" s="6" t="n">
        <f aca="false">Sens!G10208-Sens!G10204-Sens!G10209</f>
        <v>6.32716904302742</v>
      </c>
      <c r="H10210" s="6" t="n">
        <f aca="false">Sens!H10208-Sens!H10204-Sens!H10209</f>
        <v>6.32157204190359</v>
      </c>
      <c r="I10210" s="6" t="n">
        <f aca="false">Sens!I10208-Sens!I10204-Sens!I10209</f>
        <v>6.36765740968437</v>
      </c>
      <c r="J10210" s="6" t="n">
        <f aca="false">Sens!J10208-Sens!J10204-Sens!J10209</f>
        <v>6.46335115938644</v>
      </c>
      <c r="K10210" s="6" t="n">
        <f aca="false">Sens!K10208-Sens!K10204-Sens!K10209</f>
        <v>6.60715275744891</v>
      </c>
    </row>
    <row r="10211" customFormat="false" ht="17.15" hidden="false" customHeight="false" outlineLevel="0" collapsed="false">
      <c r="A10211" s="0" t="s">
        <v>1243</v>
      </c>
      <c r="B10211" s="0" t="s">
        <v>98</v>
      </c>
      <c r="F10211" s="6" t="n">
        <f aca="false">Sens!F10205-tax_f*(Sens!F10205-Sens!F10069)-Sens!F10066</f>
        <v>-130.362326762856</v>
      </c>
      <c r="G10211" s="6" t="n">
        <f aca="false">Sens!G10205-tax_f*(Sens!G10205-Sens!G10069)-Sens!G10066</f>
        <v>-124.225179337776</v>
      </c>
      <c r="H10211" s="6" t="n">
        <f aca="false">Sens!H10205-tax_f*(Sens!H10205-Sens!H10069)-Sens!H10066</f>
        <v>-101.534217387562</v>
      </c>
      <c r="I10211" s="6" t="n">
        <f aca="false">Sens!I10205-tax_f*(Sens!I10205-Sens!I10069)-Sens!I10066</f>
        <v>-43.6446798695439</v>
      </c>
      <c r="J10211" s="6" t="n">
        <f aca="false">Sens!J10205-tax_f*(Sens!J10205-Sens!J10069)-Sens!J10066</f>
        <v>16.9198855589618</v>
      </c>
      <c r="K10211" s="6" t="n">
        <f aca="false">Sens!K10205-tax_f*(Sens!K10205-Sens!K10069)-Sens!K10066</f>
        <v>39.8251384629271</v>
      </c>
    </row>
    <row r="10212" customFormat="false" ht="17.15" hidden="false" customHeight="false" outlineLevel="0" collapsed="false">
      <c r="A10212" s="0" t="s">
        <v>1244</v>
      </c>
      <c r="B10212" s="0" t="s">
        <v>98</v>
      </c>
      <c r="G10212" s="6" t="n">
        <f aca="false">Sens!G10211/(1+wacc)^(Sens!G10182-Sens!F10183)</f>
        <v>-118.286276192192</v>
      </c>
      <c r="H10212" s="6" t="n">
        <f aca="false">Sens!H10211/(1+wacc)^(Sens!H10182-Sens!F10183)</f>
        <v>-87.6570009910427</v>
      </c>
      <c r="I10212" s="6" t="n">
        <f aca="false">Sens!I10211/(1+wacc)^(Sens!I10182-Sens!F10183)</f>
        <v>-34.1629172979204</v>
      </c>
      <c r="J10212" s="6" t="n">
        <f aca="false">Sens!J10211/(1+wacc)^(Sens!J10182-Sens!F10183)</f>
        <v>12.0079954170053</v>
      </c>
      <c r="K10212" s="6" t="n">
        <f aca="false">Sens!K10211/(1+wacc)^(Sens!K10182-Sens!F10183)</f>
        <v>25.6259421582556</v>
      </c>
      <c r="L10212" s="1" t="s">
        <v>1245</v>
      </c>
    </row>
    <row r="10213" customFormat="false" ht="17.15" hidden="false" customHeight="false" outlineLevel="0" collapsed="false">
      <c r="A10213" s="0" t="s">
        <v>1246</v>
      </c>
      <c r="B10213" s="0" t="s">
        <v>98</v>
      </c>
      <c r="C10213" s="6" t="n">
        <f aca="false">(Sens!K10205-Sens!K10069)*(1-tax_f)*(1+g_tv)*(1-g_tv/(wacc+ronic_prem))/(wacc-g_tv)/(1+wacc)^(Sens!K10183-Sens!F10183)</f>
        <v>96.7148026864948</v>
      </c>
    </row>
    <row r="10214" customFormat="false" ht="17.15" hidden="false" customHeight="false" outlineLevel="0" collapsed="false">
      <c r="A10214" s="1" t="s">
        <v>1247</v>
      </c>
      <c r="B10214" s="0" t="s">
        <v>98</v>
      </c>
      <c r="C10214" s="6" t="n">
        <f aca="false">(SUM(Sens!G10212:K10212)+Sens!$C$10213)*(1+wacc)^(t_roll-Sens!F10183)</f>
        <v>-109.248827617462</v>
      </c>
      <c r="L10214" s="12" t="s">
        <v>1248</v>
      </c>
    </row>
    <row r="10215" customFormat="false" ht="17.15" hidden="false" customHeight="false" outlineLevel="0" collapsed="false">
      <c r="A10215" s="1" t="s">
        <v>1249</v>
      </c>
      <c r="B10215" s="0" t="s">
        <v>98</v>
      </c>
      <c r="C10215" s="6" t="n">
        <f aca="false">(w_ntm28*Sens!G10057+(1-w_ntm28)*Sens!H10057)*m_ai</f>
        <v>344.355829012336</v>
      </c>
    </row>
    <row r="10216" customFormat="false" ht="17.15" hidden="false" customHeight="false" outlineLevel="0" collapsed="false">
      <c r="A10216" s="1" t="s">
        <v>1250</v>
      </c>
      <c r="B10216" s="0" t="s">
        <v>98</v>
      </c>
      <c r="C10216" s="6" t="n">
        <f aca="false">(w_ntm28*Sens!G10207+(1-w_ntm28)*Sens!H10207)*m_cloud</f>
        <v>1116.06253760159</v>
      </c>
    </row>
    <row r="10217" customFormat="false" ht="17.15" hidden="false" customHeight="false" outlineLevel="0" collapsed="false">
      <c r="A10217" s="1" t="s">
        <v>1251</v>
      </c>
      <c r="B10217" s="0" t="s">
        <v>98</v>
      </c>
      <c r="C10217" s="6" t="n">
        <f aca="false">(w_ntm28*Sens!G10200+(1-w_ntm28)*Sens!H10200)*m_sw</f>
        <v>1044.80363074741</v>
      </c>
    </row>
    <row r="10218" customFormat="false" ht="17.15" hidden="false" customHeight="false" outlineLevel="0" collapsed="false">
      <c r="A10218" s="1" t="s">
        <v>1252</v>
      </c>
      <c r="B10218" s="0" t="s">
        <v>98</v>
      </c>
      <c r="C10218" s="6" t="n">
        <f aca="false">(w_ntm28*Sens!G10201+(1-w_ntm28)*Sens!H10201)*m_sw</f>
        <v>373.071698364338</v>
      </c>
    </row>
    <row r="10219" customFormat="false" ht="17.15" hidden="false" customHeight="false" outlineLevel="0" collapsed="false">
      <c r="A10219" s="1" t="s">
        <v>1253</v>
      </c>
      <c r="B10219" s="0" t="s">
        <v>98</v>
      </c>
      <c r="C10219" s="6" t="n">
        <f aca="false">(w_ntm28*Sens!G10202+(1-w_ntm28)*Sens!H10202)*m_sw</f>
        <v>109.233905960147</v>
      </c>
    </row>
    <row r="10220" customFormat="false" ht="17.15" hidden="false" customHeight="false" outlineLevel="0" collapsed="false">
      <c r="A10220" s="1" t="s">
        <v>1254</v>
      </c>
      <c r="B10220" s="0" t="s">
        <v>98</v>
      </c>
      <c r="C10220" s="6" t="n">
        <f aca="false">(w_ntm28*Sens!G10203+(1-w_ntm28)*Sens!H10203)*m_sw</f>
        <v>41.527839563301</v>
      </c>
    </row>
    <row r="10221" customFormat="false" ht="17.15" hidden="false" customHeight="false" outlineLevel="0" collapsed="false">
      <c r="A10221" s="1" t="s">
        <v>1255</v>
      </c>
      <c r="B10221" s="0" t="s">
        <v>98</v>
      </c>
      <c r="C10221" s="6" t="n">
        <f aca="false">(w_ntm28*Sens!G10204+(1-w_ntm28)*Sens!H10204)*m_ads</f>
        <v>115.145561558856</v>
      </c>
    </row>
    <row r="10222" customFormat="false" ht="17.15" hidden="false" customHeight="false" outlineLevel="0" collapsed="false">
      <c r="A10222" s="1" t="s">
        <v>1256</v>
      </c>
      <c r="B10222" s="0" t="s">
        <v>98</v>
      </c>
      <c r="C10222" s="6" t="n">
        <f aca="false">(w_ntm28*Sens!G10209+(1-w_ntm28)*Sens!H10209)*m_game</f>
        <v>98.7250634934279</v>
      </c>
    </row>
    <row r="10223" customFormat="false" ht="17.15" hidden="false" customHeight="false" outlineLevel="0" collapsed="false">
      <c r="A10223" s="1" t="s">
        <v>1257</v>
      </c>
      <c r="B10223" s="0" t="s">
        <v>98</v>
      </c>
      <c r="C10223" s="6" t="n">
        <f aca="false">(w_ntm28*Sens!G10210+(1-w_ntm28)*Sens!H10210)*m_pc</f>
        <v>91.527509661507</v>
      </c>
    </row>
    <row r="10224" customFormat="false" ht="17.15" hidden="false" customHeight="false" outlineLevel="0" collapsed="false">
      <c r="A10224" s="1" t="s">
        <v>1258</v>
      </c>
      <c r="B10224" s="0" t="s">
        <v>98</v>
      </c>
      <c r="C10224" s="6" t="n">
        <f aca="false">Sens!$C$10214+Sens!$C$10216+Sens!$C$10217+Sens!$C$10218+Sens!$C$10219+Sens!$C$10220+Sens!$C$10221+Sens!$C$10222+Sens!$C$10223</f>
        <v>2880.84891933311</v>
      </c>
    </row>
    <row r="10225" customFormat="false" ht="17.15" hidden="false" customHeight="false" outlineLevel="0" collapsed="false">
      <c r="A10225" s="1" t="s">
        <v>1259</v>
      </c>
      <c r="B10225" s="0" t="s">
        <v>98</v>
      </c>
      <c r="C10225" s="6" t="n">
        <f aca="false">(Sens!G10186-Sens!G10211)*t_stub</f>
        <v>47.6406099050238</v>
      </c>
      <c r="L10225" s="1" t="s">
        <v>1260</v>
      </c>
    </row>
    <row r="10226" customFormat="false" ht="17.15" hidden="false" customHeight="false" outlineLevel="0" collapsed="false">
      <c r="A10226" s="1" t="s">
        <v>1169</v>
      </c>
      <c r="B10226" s="0" t="s">
        <v>98</v>
      </c>
      <c r="C10226" s="6" t="n">
        <f aca="false">Sens!F10173+oai_v-Sens!F10162+Sens!$C$10225</f>
        <v>158.825453928858</v>
      </c>
      <c r="L10226" s="1" t="s">
        <v>1261</v>
      </c>
    </row>
    <row r="10227" customFormat="false" ht="17.15" hidden="false" customHeight="false" outlineLevel="0" collapsed="false">
      <c r="A10227" s="1" t="s">
        <v>1262</v>
      </c>
      <c r="B10227" s="0" t="s">
        <v>75</v>
      </c>
      <c r="C10227" s="5" t="n">
        <f aca="false">(Sens!$C$10224+Sens!$C$10226)/(Sens!F10175+dil_gap)-Sens!G10165*roll_div_q/q_per_yr</f>
        <v>404.46668640101</v>
      </c>
      <c r="L10227" s="1" t="s">
        <v>1263</v>
      </c>
    </row>
    <row r="10228" customFormat="false" ht="17.15" hidden="false" customHeight="false" outlineLevel="0" collapsed="false">
      <c r="A10228" s="1" t="s">
        <v>1264</v>
      </c>
      <c r="B10228" s="0" t="s">
        <v>75</v>
      </c>
      <c r="C10228" s="5" t="n">
        <f aca="false">w_dcf*Sens!$C$10198+(1-w_dcf)*Sens!$C$10227</f>
        <v>347.651550982611</v>
      </c>
    </row>
    <row r="10229" customFormat="false" ht="17.15" hidden="false" customHeight="false" outlineLevel="0" collapsed="false">
      <c r="A10229" s="3" t="s">
        <v>1735</v>
      </c>
    </row>
    <row r="10230" customFormat="false" ht="15" hidden="false" customHeight="false" outlineLevel="0" collapsed="false">
      <c r="A10230" s="4" t="s">
        <v>43</v>
      </c>
      <c r="B10230" s="4" t="s">
        <v>65</v>
      </c>
      <c r="C10230" s="23" t="s">
        <v>938</v>
      </c>
      <c r="D10230" s="23" t="s">
        <v>939</v>
      </c>
      <c r="E10230" s="23" t="s">
        <v>940</v>
      </c>
      <c r="F10230" s="23" t="s">
        <v>941</v>
      </c>
      <c r="G10230" s="23" t="s">
        <v>942</v>
      </c>
      <c r="H10230" s="23" t="s">
        <v>943</v>
      </c>
      <c r="I10230" s="23" t="s">
        <v>944</v>
      </c>
      <c r="J10230" s="23" t="s">
        <v>945</v>
      </c>
      <c r="K10230" s="23" t="s">
        <v>946</v>
      </c>
      <c r="L10230" s="4" t="s">
        <v>47</v>
      </c>
    </row>
    <row r="10231" customFormat="false" ht="17.15" hidden="false" customHeight="false" outlineLevel="0" collapsed="false">
      <c r="A10231" s="1" t="s">
        <v>947</v>
      </c>
      <c r="B10231" s="1" t="s">
        <v>279</v>
      </c>
      <c r="C10231" s="21" t="n">
        <v>2024</v>
      </c>
      <c r="D10231" s="21" t="n">
        <v>2025</v>
      </c>
      <c r="E10231" s="21" t="n">
        <v>2026</v>
      </c>
      <c r="F10231" s="21" t="n">
        <v>2027</v>
      </c>
      <c r="G10231" s="21" t="n">
        <v>2028</v>
      </c>
      <c r="H10231" s="21" t="n">
        <v>2029</v>
      </c>
      <c r="I10231" s="21" t="n">
        <v>2030</v>
      </c>
      <c r="J10231" s="21" t="n">
        <v>2031</v>
      </c>
      <c r="K10231" s="21" t="n">
        <v>2032</v>
      </c>
    </row>
    <row r="10232" customFormat="false" ht="17.15" hidden="false" customHeight="false" outlineLevel="0" collapsed="false">
      <c r="A10232" s="1" t="s">
        <v>948</v>
      </c>
      <c r="B10232" s="0" t="s">
        <v>456</v>
      </c>
      <c r="F10232" s="30" t="n">
        <f aca="false">pace</f>
        <v>2726.5351</v>
      </c>
      <c r="G10232" s="30" t="n">
        <f aca="false">pace</f>
        <v>2726.5351</v>
      </c>
      <c r="H10232" s="30" t="n">
        <f aca="false">pace</f>
        <v>2726.5351</v>
      </c>
      <c r="I10232" s="30" t="n">
        <f aca="false">pace+(g_tv*Sens!H10233-pace)*MIN(1,(Sens!I10231-pace_y0)/(pace_y1-pace_y0))</f>
        <v>1931.98611966667</v>
      </c>
      <c r="J10232" s="30" t="n">
        <f aca="false">pace+(g_tv*Sens!I10233-pace)*MIN(1,(Sens!J10231-pace_y0)/(pace_y1-pace_y0))</f>
        <v>1176.07686172667</v>
      </c>
      <c r="K10232" s="30" t="n">
        <f aca="false">pace+(g_tv*Sens!J10233-pace)*MIN(1,(Sens!K10231-pace_y0)/(pace_y1-pace_y0))</f>
        <v>436.1300484418</v>
      </c>
      <c r="L10232" s="12" t="s">
        <v>949</v>
      </c>
    </row>
    <row r="10233" customFormat="false" ht="17.15" hidden="false" customHeight="false" outlineLevel="0" collapsed="false">
      <c r="A10233" s="1" t="s">
        <v>950</v>
      </c>
      <c r="B10233" s="0" t="s">
        <v>456</v>
      </c>
      <c r="C10233" s="30" t="n">
        <f aca="false">mw_ext_24</f>
        <v>640</v>
      </c>
      <c r="D10233" s="30" t="n">
        <f aca="false">mw_ext_25</f>
        <v>1630</v>
      </c>
      <c r="E10233" s="30" t="n">
        <f aca="false">mw_ext_26</f>
        <v>3250</v>
      </c>
      <c r="F10233" s="30" t="n">
        <f aca="false">Sens!E10233+Sens!F10232</f>
        <v>5976.5351</v>
      </c>
      <c r="G10233" s="30" t="n">
        <f aca="false">Sens!F10233+Sens!G10232</f>
        <v>8703.0702</v>
      </c>
      <c r="H10233" s="30" t="n">
        <f aca="false">Sens!G10233+Sens!H10232</f>
        <v>11429.6053</v>
      </c>
      <c r="I10233" s="30" t="n">
        <f aca="false">Sens!H10233+Sens!I10232</f>
        <v>13361.5914196667</v>
      </c>
      <c r="J10233" s="30" t="n">
        <f aca="false">Sens!I10233+Sens!J10232</f>
        <v>14537.6682813933</v>
      </c>
      <c r="K10233" s="30" t="n">
        <f aca="false">Sens!J10233+Sens!K10232</f>
        <v>14973.7983298351</v>
      </c>
      <c r="L10233" s="1" t="s">
        <v>951</v>
      </c>
    </row>
    <row r="10234" customFormat="false" ht="17.15" hidden="false" customHeight="false" outlineLevel="0" collapsed="false">
      <c r="A10234" s="1" t="s">
        <v>952</v>
      </c>
      <c r="B10234" s="0" t="s">
        <v>456</v>
      </c>
      <c r="C10234" s="30" t="n">
        <f aca="false">rent_ext_24</f>
        <v>150</v>
      </c>
      <c r="D10234" s="30" t="n">
        <f aca="false">rent_ext_25</f>
        <v>400</v>
      </c>
      <c r="E10234" s="30" t="n">
        <f aca="false">rent_ext_26</f>
        <v>550</v>
      </c>
      <c r="F10234" s="30" t="n">
        <f aca="false">rent_ext_f</f>
        <v>756</v>
      </c>
      <c r="G10234" s="30" t="n">
        <f aca="false">rent_ext_f</f>
        <v>756</v>
      </c>
      <c r="H10234" s="30" t="n">
        <f aca="false">rent_ext_f</f>
        <v>756</v>
      </c>
      <c r="I10234" s="30" t="n">
        <f aca="false">rent_ext_f</f>
        <v>756</v>
      </c>
      <c r="J10234" s="30" t="n">
        <f aca="false">rent_ext_f</f>
        <v>756</v>
      </c>
      <c r="K10234" s="30" t="n">
        <f aca="false">rent_ext_f</f>
        <v>756</v>
      </c>
      <c r="L10234" s="1" t="s">
        <v>953</v>
      </c>
    </row>
    <row r="10235" customFormat="false" ht="17.15" hidden="false" customHeight="false" outlineLevel="0" collapsed="false">
      <c r="A10235" s="1" t="s">
        <v>954</v>
      </c>
      <c r="B10235" s="0" t="s">
        <v>456</v>
      </c>
      <c r="C10235" s="30" t="n">
        <f aca="false">Sens!C10233-Sens!C10234</f>
        <v>490</v>
      </c>
      <c r="D10235" s="30" t="n">
        <f aca="false">Sens!D10233-Sens!D10234</f>
        <v>1230</v>
      </c>
      <c r="E10235" s="30" t="n">
        <f aca="false">Sens!E10233-Sens!E10234</f>
        <v>2700</v>
      </c>
      <c r="F10235" s="30" t="n">
        <f aca="false">Sens!F10233-Sens!F10234</f>
        <v>5220.5351</v>
      </c>
      <c r="G10235" s="30" t="n">
        <f aca="false">Sens!G10233-Sens!G10234</f>
        <v>7947.0702</v>
      </c>
      <c r="H10235" s="30" t="n">
        <f aca="false">Sens!H10233-Sens!H10234</f>
        <v>10673.6053</v>
      </c>
      <c r="I10235" s="30" t="n">
        <f aca="false">Sens!I10233-Sens!I10234</f>
        <v>12605.5914196667</v>
      </c>
      <c r="J10235" s="30" t="n">
        <f aca="false">Sens!J10233-Sens!J10234</f>
        <v>13781.6682813933</v>
      </c>
      <c r="K10235" s="30" t="n">
        <f aca="false">Sens!K10233-Sens!K10234</f>
        <v>14217.7983298351</v>
      </c>
    </row>
    <row r="10236" customFormat="false" ht="17.15" hidden="false" customHeight="false" outlineLevel="0" collapsed="false">
      <c r="A10236" s="1" t="s">
        <v>955</v>
      </c>
      <c r="B10236" s="0" t="s">
        <v>456</v>
      </c>
      <c r="C10236" s="30" t="n">
        <f aca="false">Sens!C10235/ext_sh</f>
        <v>816.666666666667</v>
      </c>
      <c r="D10236" s="30" t="n">
        <f aca="false">Sens!D10235/ext_sh</f>
        <v>2050</v>
      </c>
      <c r="E10236" s="30" t="n">
        <f aca="false">Sens!E10235/ext_sh</f>
        <v>4500</v>
      </c>
      <c r="F10236" s="30" t="n">
        <f aca="false">Sens!F10235/ext_sh</f>
        <v>8700.89183333333</v>
      </c>
      <c r="G10236" s="30" t="n">
        <f aca="false">Sens!G10235/ext_sh</f>
        <v>13245.117</v>
      </c>
      <c r="H10236" s="30" t="n">
        <f aca="false">Sens!H10235/ext_sh</f>
        <v>17789.3421666667</v>
      </c>
      <c r="I10236" s="30" t="n">
        <f aca="false">Sens!I10235/ext_sh</f>
        <v>21009.3190327778</v>
      </c>
      <c r="J10236" s="30" t="n">
        <f aca="false">Sens!J10235/ext_sh</f>
        <v>22969.4471356556</v>
      </c>
      <c r="K10236" s="30" t="n">
        <f aca="false">Sens!K10235/ext_sh</f>
        <v>23696.3305497252</v>
      </c>
      <c r="L10236" s="1" t="s">
        <v>956</v>
      </c>
    </row>
    <row r="10237" customFormat="false" ht="17.15" hidden="false" customHeight="false" outlineLevel="0" collapsed="false">
      <c r="A10237" s="1" t="s">
        <v>957</v>
      </c>
      <c r="B10237" s="0" t="s">
        <v>456</v>
      </c>
      <c r="C10237" s="30" t="n">
        <f aca="false">Sens!C10236-Sens!C10235</f>
        <v>326.666666666667</v>
      </c>
      <c r="D10237" s="30" t="n">
        <f aca="false">Sens!D10236-Sens!D10235</f>
        <v>820</v>
      </c>
      <c r="E10237" s="30" t="n">
        <f aca="false">Sens!E10236-Sens!E10235</f>
        <v>1800</v>
      </c>
      <c r="F10237" s="30" t="n">
        <f aca="false">Sens!F10236-Sens!F10235</f>
        <v>3480.35673333333</v>
      </c>
      <c r="G10237" s="30" t="n">
        <f aca="false">Sens!G10236-Sens!G10235</f>
        <v>5298.0468</v>
      </c>
      <c r="H10237" s="30" t="n">
        <f aca="false">Sens!H10236-Sens!H10235</f>
        <v>7115.73686666667</v>
      </c>
      <c r="I10237" s="30" t="n">
        <f aca="false">Sens!I10236-Sens!I10235</f>
        <v>8403.72761311111</v>
      </c>
      <c r="J10237" s="30" t="n">
        <f aca="false">Sens!J10236-Sens!J10235</f>
        <v>9187.77885426222</v>
      </c>
      <c r="K10237" s="30" t="n">
        <f aca="false">Sens!K10236-Sens!K10235</f>
        <v>9478.53221989009</v>
      </c>
    </row>
    <row r="10238" customFormat="false" ht="17.15" hidden="false" customHeight="false" outlineLevel="0" collapsed="false">
      <c r="A10238" s="1" t="s">
        <v>958</v>
      </c>
      <c r="B10238" s="0" t="s">
        <v>456</v>
      </c>
      <c r="C10238" s="30" t="n">
        <f aca="false">Sens!C10236</f>
        <v>816.666666666667</v>
      </c>
      <c r="D10238" s="30" t="n">
        <f aca="false">Sens!D10236-Sens!C10236</f>
        <v>1233.33333333333</v>
      </c>
      <c r="E10238" s="30" t="n">
        <f aca="false">Sens!E10236-Sens!D10236</f>
        <v>2450</v>
      </c>
      <c r="F10238" s="30" t="n">
        <f aca="false">Sens!F10236-Sens!E10236</f>
        <v>4200.89183333333</v>
      </c>
      <c r="G10238" s="30" t="n">
        <f aca="false">Sens!G10236-Sens!F10236</f>
        <v>4544.22516666667</v>
      </c>
      <c r="H10238" s="30" t="n">
        <f aca="false">Sens!H10236-Sens!G10236</f>
        <v>4544.22516666667</v>
      </c>
      <c r="I10238" s="30" t="n">
        <f aca="false">Sens!I10236-Sens!H10236</f>
        <v>3219.97686611111</v>
      </c>
      <c r="J10238" s="30" t="n">
        <f aca="false">Sens!J10236-Sens!I10236</f>
        <v>1960.12810287778</v>
      </c>
      <c r="K10238" s="30" t="n">
        <f aca="false">Sens!K10236-Sens!J10236</f>
        <v>726.883414069667</v>
      </c>
    </row>
    <row r="10239" customFormat="false" ht="17.15" hidden="false" customHeight="false" outlineLevel="0" collapsed="false">
      <c r="A10239" s="1" t="s">
        <v>959</v>
      </c>
      <c r="B10239" s="0" t="s">
        <v>456</v>
      </c>
      <c r="D10239" s="30" t="n">
        <f aca="false">Sens!D10233-Sens!C10233</f>
        <v>990</v>
      </c>
      <c r="E10239" s="30" t="n">
        <f aca="false">Sens!E10233-Sens!D10233</f>
        <v>1620</v>
      </c>
      <c r="F10239" s="30" t="n">
        <f aca="false">Sens!F10233-Sens!E10233</f>
        <v>2726.5351</v>
      </c>
      <c r="G10239" s="30" t="n">
        <f aca="false">Sens!G10233-Sens!F10233</f>
        <v>2726.5351</v>
      </c>
      <c r="H10239" s="30" t="n">
        <f aca="false">Sens!H10233-Sens!G10233</f>
        <v>2726.5351</v>
      </c>
      <c r="I10239" s="30" t="n">
        <f aca="false">Sens!I10233-Sens!H10233</f>
        <v>1931.98611966667</v>
      </c>
      <c r="J10239" s="30" t="n">
        <f aca="false">Sens!J10233-Sens!I10233</f>
        <v>1176.07686172667</v>
      </c>
      <c r="K10239" s="30" t="n">
        <f aca="false">Sens!K10233-Sens!J10233</f>
        <v>436.130048441799</v>
      </c>
    </row>
    <row r="10240" customFormat="false" ht="17.15" hidden="false" customHeight="false" outlineLevel="0" collapsed="false">
      <c r="A10240" s="1" t="s">
        <v>960</v>
      </c>
      <c r="B10240" s="0" t="s">
        <v>456</v>
      </c>
      <c r="F10240" s="30" t="n">
        <f aca="false">Sens!F10259*ext_sh</f>
        <v>0</v>
      </c>
      <c r="G10240" s="30" t="n">
        <f aca="false">Sens!G10259*ext_sh</f>
        <v>0</v>
      </c>
      <c r="H10240" s="30" t="n">
        <f aca="false">Sens!H10259*ext_sh</f>
        <v>0</v>
      </c>
      <c r="I10240" s="30" t="n">
        <f aca="false">Sens!I10259*ext_sh</f>
        <v>490</v>
      </c>
      <c r="J10240" s="30" t="n">
        <f aca="false">Sens!J10259*ext_sh</f>
        <v>740</v>
      </c>
      <c r="K10240" s="30" t="n">
        <f aca="false">Sens!K10259*ext_sh</f>
        <v>1470</v>
      </c>
      <c r="L10240" s="1" t="s">
        <v>961</v>
      </c>
    </row>
    <row r="10241" customFormat="false" ht="17.15" hidden="false" customHeight="false" outlineLevel="0" collapsed="false">
      <c r="A10241" s="1" t="s">
        <v>962</v>
      </c>
      <c r="B10241" s="0" t="s">
        <v>456</v>
      </c>
      <c r="C10241" s="30" t="n">
        <f aca="false">mix_h*Sens!C10233</f>
        <v>128</v>
      </c>
      <c r="D10241" s="30" t="n">
        <f aca="false">mix_h*Sens!D10233</f>
        <v>326</v>
      </c>
      <c r="E10241" s="30" t="n">
        <f aca="false">mix_h*Sens!E10233</f>
        <v>650</v>
      </c>
      <c r="F10241" s="30" t="n">
        <f aca="false">Sens!E10241-Sens!F10240*mix_h</f>
        <v>650</v>
      </c>
      <c r="G10241" s="30" t="n">
        <f aca="false">Sens!F10241-Sens!G10240*mix_h</f>
        <v>650</v>
      </c>
      <c r="H10241" s="30" t="n">
        <f aca="false">Sens!G10241-Sens!H10240*mix_h</f>
        <v>650</v>
      </c>
      <c r="I10241" s="30" t="n">
        <f aca="false">Sens!H10241-Sens!I10240*mix_h</f>
        <v>552</v>
      </c>
      <c r="J10241" s="30" t="n">
        <f aca="false">Sens!I10241-Sens!J10240*mix_h</f>
        <v>404</v>
      </c>
      <c r="K10241" s="30" t="n">
        <f aca="false">Sens!J10241-Sens!K10240*mix_h</f>
        <v>110</v>
      </c>
    </row>
    <row r="10242" customFormat="false" ht="17.15" hidden="false" customHeight="false" outlineLevel="0" collapsed="false">
      <c r="A10242" s="1" t="s">
        <v>963</v>
      </c>
      <c r="B10242" s="0" t="s">
        <v>456</v>
      </c>
      <c r="C10242" s="30" t="n">
        <f aca="false">mix_g2*Sens!C10233</f>
        <v>288</v>
      </c>
      <c r="D10242" s="30" t="n">
        <f aca="false">mix_g2*Sens!D10233</f>
        <v>733.5</v>
      </c>
      <c r="E10242" s="30" t="n">
        <f aca="false">mix_g2*Sens!E10233</f>
        <v>1462.5</v>
      </c>
      <c r="F10242" s="30" t="n">
        <f aca="false">Sens!E10242-Sens!F10240*mix_g2</f>
        <v>1462.5</v>
      </c>
      <c r="G10242" s="30" t="n">
        <f aca="false">Sens!F10242-Sens!G10240*mix_g2</f>
        <v>1462.5</v>
      </c>
      <c r="H10242" s="30" t="n">
        <f aca="false">Sens!G10242-Sens!H10240*mix_g2</f>
        <v>1462.5</v>
      </c>
      <c r="I10242" s="30" t="n">
        <f aca="false">Sens!H10242-Sens!I10240*mix_g2</f>
        <v>1242</v>
      </c>
      <c r="J10242" s="30" t="n">
        <f aca="false">Sens!I10242-Sens!J10240*mix_g2</f>
        <v>909</v>
      </c>
      <c r="K10242" s="30" t="n">
        <f aca="false">Sens!J10242-Sens!K10240*mix_g2</f>
        <v>247.5</v>
      </c>
    </row>
    <row r="10243" customFormat="false" ht="17.15" hidden="false" customHeight="false" outlineLevel="0" collapsed="false">
      <c r="A10243" s="1" t="s">
        <v>964</v>
      </c>
      <c r="B10243" s="0" t="s">
        <v>456</v>
      </c>
      <c r="C10243" s="30" t="n">
        <f aca="false">mix_g3*Sens!C10233</f>
        <v>224</v>
      </c>
      <c r="D10243" s="30" t="n">
        <f aca="false">mix_g3*Sens!D10233</f>
        <v>570.5</v>
      </c>
      <c r="E10243" s="30" t="n">
        <f aca="false">mix_g3*Sens!E10233</f>
        <v>1137.5</v>
      </c>
      <c r="F10243" s="30" t="n">
        <f aca="false">Sens!E10243+(Sens!F10239+Sens!F10240)*(a_g3_27-nonnv*a_mai)-Sens!F10240*mix_g3</f>
        <v>2773.42106</v>
      </c>
      <c r="G10243" s="30" t="n">
        <f aca="false">Sens!F10243+(Sens!G10239+Sens!G10240)*(a_g3_28-nonnv*a_mai)-Sens!G10240*mix_g3</f>
        <v>3318.72808</v>
      </c>
      <c r="H10243" s="30" t="n">
        <f aca="false">Sens!G10243+(Sens!H10239+Sens!H10240)*(a_g3_29-nonnv*a_mai)-Sens!H10240*mix_g3</f>
        <v>3318.72808</v>
      </c>
      <c r="I10243" s="30" t="n">
        <f aca="false">Sens!H10243+(Sens!I10239+Sens!I10240)*(a_g3_29-nonnv*a_mai)-Sens!I10240*mix_g3</f>
        <v>3147.22808</v>
      </c>
      <c r="J10243" s="30" t="n">
        <f aca="false">Sens!I10243+(Sens!J10239+Sens!J10240)*(a_g3_29-nonnv*a_mai)-Sens!J10240*mix_g3</f>
        <v>2888.22808</v>
      </c>
      <c r="K10243" s="30" t="n">
        <f aca="false">Sens!J10243+(Sens!K10239+Sens!K10240)*(a_g3_29-nonnv*a_mai)-Sens!K10240*mix_g3</f>
        <v>2373.72808</v>
      </c>
    </row>
    <row r="10244" customFormat="false" ht="17.15" hidden="false" customHeight="false" outlineLevel="0" collapsed="false">
      <c r="A10244" s="1" t="s">
        <v>965</v>
      </c>
      <c r="B10244" s="0" t="s">
        <v>456</v>
      </c>
      <c r="C10244" s="30" t="n">
        <v>0</v>
      </c>
      <c r="D10244" s="30" t="n">
        <v>0</v>
      </c>
      <c r="E10244" s="30" t="n">
        <v>0</v>
      </c>
      <c r="F10244" s="30" t="n">
        <f aca="false">Sens!E10244+(Sens!F10239+Sens!F10240)*nonnv*a_mai</f>
        <v>272.65351</v>
      </c>
      <c r="G10244" s="30" t="n">
        <f aca="false">Sens!F10244+(Sens!G10239+Sens!G10240)*nonnv*a_mai</f>
        <v>545.30702</v>
      </c>
      <c r="H10244" s="30" t="n">
        <f aca="false">Sens!G10244+(Sens!H10239+Sens!H10240)*nonnv*a_mai</f>
        <v>817.96053</v>
      </c>
      <c r="I10244" s="30" t="n">
        <f aca="false">Sens!H10244+(Sens!I10239+Sens!I10240)*nonnv*a_mai</f>
        <v>1060.15914196667</v>
      </c>
      <c r="J10244" s="30" t="n">
        <f aca="false">Sens!I10244+(Sens!J10239+Sens!J10240)*nonnv*a_mai</f>
        <v>1251.76682813933</v>
      </c>
      <c r="K10244" s="30" t="n">
        <f aca="false">Sens!J10244+(Sens!K10239+Sens!K10240)*nonnv*a_mai</f>
        <v>1442.37983298351</v>
      </c>
      <c r="L10244" s="12" t="s">
        <v>966</v>
      </c>
    </row>
    <row r="10245" customFormat="false" ht="17.15" hidden="false" customHeight="false" outlineLevel="0" collapsed="false">
      <c r="A10245" s="1" t="s">
        <v>967</v>
      </c>
      <c r="B10245" s="0" t="s">
        <v>456</v>
      </c>
      <c r="C10245" s="30" t="n">
        <v>0</v>
      </c>
      <c r="D10245" s="30" t="n">
        <v>0</v>
      </c>
      <c r="E10245" s="30" t="n">
        <v>0</v>
      </c>
      <c r="F10245" s="30" t="n">
        <f aca="false">Sens!E10245+(Sens!F10239+Sens!F10240)*(1-a_g3_27)</f>
        <v>817.96053</v>
      </c>
      <c r="G10245" s="30" t="n">
        <f aca="false">Sens!F10245+(Sens!G10239+Sens!G10240)*(1-a_g3_28)</f>
        <v>2726.5351</v>
      </c>
      <c r="H10245" s="30" t="n">
        <f aca="false">Sens!G10245+(Sens!H10239+Sens!H10240)*(1-a_g3_29)</f>
        <v>5180.41669</v>
      </c>
      <c r="I10245" s="30" t="n">
        <f aca="false">Sens!H10245+(Sens!I10239+Sens!I10240)*(1-a_g3_29)</f>
        <v>7360.2041977</v>
      </c>
      <c r="J10245" s="30" t="n">
        <f aca="false">Sens!I10245+(Sens!J10239+Sens!J10240)*(1-a_g3_29)</f>
        <v>9084.673373254</v>
      </c>
      <c r="K10245" s="30" t="n">
        <f aca="false">Sens!J10245+(Sens!K10239+Sens!K10240)*(1-a_g3_29)</f>
        <v>10800.1904168516</v>
      </c>
    </row>
    <row r="10246" customFormat="false" ht="17.15" hidden="false" customHeight="false" outlineLevel="0" collapsed="false">
      <c r="A10246" s="1" t="s">
        <v>968</v>
      </c>
      <c r="B10246" s="0" t="s">
        <v>403</v>
      </c>
      <c r="C10246" s="15" t="n">
        <f aca="false">(Sens!C10241*tk_hold_h100+Sens!C10242*tk_hold_gb200+Sens!C10243*tk_hold_gb300+Sens!C10245*tk_hold_vr200+Sens!C10244*nv_hold_mai*tk_hold_vr200)/Sens!C10233</f>
        <v>9.7235358126469</v>
      </c>
      <c r="D10246" s="15" t="n">
        <f aca="false">(Sens!D10241*tk_hold_h100+Sens!D10242*tk_hold_gb200+Sens!D10243*tk_hold_gb300+Sens!D10245*tk_hold_vr200+Sens!D10244*nv_hold_mai*tk_hold_vr200)/Sens!D10233</f>
        <v>9.7235358126469</v>
      </c>
      <c r="E10246" s="15" t="n">
        <f aca="false">(Sens!E10241*tk_hold_h100+Sens!E10242*tk_hold_gb200+Sens!E10243*tk_hold_gb300+Sens!E10245*tk_hold_vr200+Sens!E10244*nv_hold_mai*tk_hold_vr200)/Sens!E10233</f>
        <v>9.7235358126469</v>
      </c>
      <c r="F10246" s="15" t="n">
        <f aca="false">(Sens!F10241*tk_hold_h100+Sens!F10242*tk_hold_gb200+Sens!F10243*tk_hold_gb300+Sens!F10245*tk_hold_vr200+Sens!F10244*nv_hold_mai*tk_hold_vr200)/Sens!F10233</f>
        <v>10.2195353876665</v>
      </c>
      <c r="G10246" s="15" t="n">
        <f aca="false">(Sens!G10241*tk_hold_h100+Sens!G10242*tk_hold_gb200+Sens!G10243*tk_hold_gb300+Sens!G10245*tk_hold_vr200+Sens!G10244*nv_hold_mai*tk_hold_vr200)/Sens!G10233</f>
        <v>10.5725598017306</v>
      </c>
      <c r="H10246" s="15" t="n">
        <f aca="false">(Sens!H10241*tk_hold_h100+Sens!H10242*tk_hold_gb200+Sens!H10243*tk_hold_gb300+Sens!H10245*tk_hold_vr200+Sens!H10244*nv_hold_mai*tk_hold_vr200)/Sens!H10233</f>
        <v>10.8210427149036</v>
      </c>
      <c r="I10246" s="15" t="n">
        <f aca="false">(Sens!I10241*tk_hold_h100+Sens!I10242*tk_hold_gb200+Sens!I10243*tk_hold_gb300+Sens!I10245*tk_hold_vr200+Sens!I10244*nv_hold_mai*tk_hold_vr200)/Sens!I10233</f>
        <v>11.0050618241982</v>
      </c>
      <c r="J10246" s="15" t="n">
        <f aca="false">(Sens!J10241*tk_hold_h100+Sens!J10242*tk_hold_gb200+Sens!J10243*tk_hold_gb300+Sens!J10245*tk_hold_vr200+Sens!J10244*nv_hold_mai*tk_hold_vr200)/Sens!J10233</f>
        <v>11.1505789658881</v>
      </c>
      <c r="K10246" s="15" t="n">
        <f aca="false">(Sens!K10241*tk_hold_h100+Sens!K10242*tk_hold_gb200+Sens!K10243*tk_hold_gb300+Sens!K10245*tk_hold_vr200+Sens!K10244*nv_hold_mai*tk_hold_vr200)/Sens!K10233</f>
        <v>11.3496914757183</v>
      </c>
      <c r="L10246" s="1" t="s">
        <v>969</v>
      </c>
    </row>
    <row r="10247" customFormat="false" ht="17.15" hidden="false" customHeight="false" outlineLevel="0" collapsed="false">
      <c r="A10247" s="1" t="s">
        <v>970</v>
      </c>
      <c r="B10247" s="0" t="s">
        <v>403</v>
      </c>
      <c r="C10247" s="15" t="n">
        <f aca="false">(Sens!C10241*tk_hold_h100+Sens!C10242*tk_hold_gb200+Sens!C10243*tk_hold_gb300+Sens!C10245*tk_hold_vr200+Sens!C10244*nv_out_mai*tk_hold_vr200)/Sens!C10233</f>
        <v>9.7235358126469</v>
      </c>
      <c r="D10247" s="15" t="n">
        <f aca="false">(Sens!D10241*tk_hold_h100+Sens!D10242*tk_hold_gb200+Sens!D10243*tk_hold_gb300+Sens!D10245*tk_hold_vr200+Sens!D10244*nv_out_mai*tk_hold_vr200)/Sens!D10233</f>
        <v>9.7235358126469</v>
      </c>
      <c r="E10247" s="15" t="n">
        <f aca="false">(Sens!E10241*tk_hold_h100+Sens!E10242*tk_hold_gb200+Sens!E10243*tk_hold_gb300+Sens!E10245*tk_hold_vr200+Sens!E10244*nv_out_mai*tk_hold_vr200)/Sens!E10233</f>
        <v>9.7235358126469</v>
      </c>
      <c r="F10247" s="15" t="n">
        <f aca="false">(Sens!F10241*tk_hold_h100+Sens!F10242*tk_hold_gb200+Sens!F10243*tk_hold_gb300+Sens!F10245*tk_hold_vr200+Sens!F10244*nv_out_mai*tk_hold_vr200)/Sens!F10233</f>
        <v>10.247422093969</v>
      </c>
      <c r="G10247" s="15" t="n">
        <f aca="false">(Sens!G10241*tk_hold_h100+Sens!G10242*tk_hold_gb200+Sens!G10243*tk_hold_gb300+Sens!G10245*tk_hold_vr200+Sens!G10244*nv_out_mai*tk_hold_vr200)/Sens!G10233</f>
        <v>10.6108602808053</v>
      </c>
      <c r="H10247" s="15" t="n">
        <f aca="false">(Sens!H10241*tk_hold_h100+Sens!H10242*tk_hold_gb200+Sens!H10243*tk_hold_gb300+Sens!H10245*tk_hold_vr200+Sens!H10244*nv_out_mai*tk_hold_vr200)/Sens!H10233</f>
        <v>10.8647885507393</v>
      </c>
      <c r="I10247" s="15" t="n">
        <f aca="false">(Sens!I10241*tk_hold_h100+Sens!I10242*tk_hold_gb200+Sens!I10243*tk_hold_gb300+Sens!I10245*tk_hold_vr200+Sens!I10244*nv_out_mai*tk_hold_vr200)/Sens!I10233</f>
        <v>11.0535625770025</v>
      </c>
      <c r="J10247" s="15" t="n">
        <f aca="false">(Sens!J10241*tk_hold_h100+Sens!J10242*tk_hold_gb200+Sens!J10243*tk_hold_gb300+Sens!J10245*tk_hold_vr200+Sens!J10244*nv_out_mai*tk_hold_vr200)/Sens!J10233</f>
        <v>11.2032127128058</v>
      </c>
      <c r="K10247" s="15" t="n">
        <f aca="false">(Sens!K10241*tk_hold_h100+Sens!K10242*tk_hold_gb200+Sens!K10243*tk_hold_gb300+Sens!K10245*tk_hold_vr200+Sens!K10244*nv_out_mai*tk_hold_vr200)/Sens!K10233</f>
        <v>11.4085735724225</v>
      </c>
      <c r="L10247" s="12" t="s">
        <v>971</v>
      </c>
    </row>
    <row r="10248" customFormat="false" ht="17.15" hidden="false" customHeight="false" outlineLevel="0" collapsed="false">
      <c r="A10248" s="0" t="s">
        <v>972</v>
      </c>
      <c r="B10248" s="0" t="s">
        <v>229</v>
      </c>
      <c r="C10248" s="15" t="n">
        <f aca="false">k_B</f>
        <v>1.17213932619116</v>
      </c>
      <c r="D10248" s="15" t="n">
        <f aca="false">k_B</f>
        <v>1.17213932619116</v>
      </c>
      <c r="E10248" s="15" t="n">
        <f aca="false">k_B</f>
        <v>1.17213932619116</v>
      </c>
      <c r="F10248" s="15" t="n">
        <f aca="false">(k_B+((ls_A*k_long+(1-ls_A)*k_spot)-k_B)*MIN(1,(Sens!F10231-base_fy)/k_ramp))</f>
        <v>1.25022828131298</v>
      </c>
      <c r="G10248" s="15" t="n">
        <f aca="false">(k_B+((ls_A*k_long+(1-ls_A)*k_spot)-k_B)*MIN(1,(Sens!G10231-base_fy)/k_ramp))</f>
        <v>1.3283172364348</v>
      </c>
      <c r="H10248" s="15" t="n">
        <f aca="false">(k_B+((ls_A*k_long+(1-ls_A)*k_spot)-k_B)*MIN(1,(Sens!H10231-base_fy)/k_ramp))</f>
        <v>1.40640619155662</v>
      </c>
      <c r="I10248" s="15" t="n">
        <f aca="false">(k_B+((ls_A*k_long+(1-ls_A)*k_spot)-k_B)*MIN(1,(Sens!I10231-base_fy)/k_ramp))</f>
        <v>1.40640619155662</v>
      </c>
      <c r="J10248" s="15" t="n">
        <f aca="false">(k_B+((ls_A*k_long+(1-ls_A)*k_spot)-k_B)*MIN(1,(Sens!J10231-base_fy)/k_ramp))</f>
        <v>1.40640619155662</v>
      </c>
      <c r="K10248" s="15" t="n">
        <f aca="false">(k_B+((ls_A*k_long+(1-ls_A)*k_spot)-k_B)*MIN(1,(Sens!K10231-base_fy)/k_ramp))</f>
        <v>1.40640619155662</v>
      </c>
      <c r="L10248" s="1" t="s">
        <v>973</v>
      </c>
    </row>
    <row r="10249" customFormat="false" ht="17.15" hidden="false" customHeight="false" outlineLevel="0" collapsed="false">
      <c r="A10249" s="1" t="s">
        <v>974</v>
      </c>
      <c r="B10249" s="0" t="s">
        <v>403</v>
      </c>
      <c r="C10249" s="15" t="n">
        <f aca="false">Sens!C10247*Sens!C10248*chip_f</f>
        <v>11.3973387156315</v>
      </c>
      <c r="D10249" s="15" t="n">
        <f aca="false">Sens!D10247*Sens!D10248*chip_f</f>
        <v>11.3973387156315</v>
      </c>
      <c r="E10249" s="15" t="n">
        <f aca="false">Sens!E10247*Sens!E10248*chip_f</f>
        <v>11.3973387156315</v>
      </c>
      <c r="F10249" s="15" t="n">
        <f aca="false">Sens!F10247*Sens!F10248*chip_f</f>
        <v>12.8116169124314</v>
      </c>
      <c r="G10249" s="15" t="n">
        <f aca="false">Sens!G10247*Sens!G10248*chip_f</f>
        <v>14.094588604395</v>
      </c>
      <c r="H10249" s="15" t="n">
        <f aca="false">Sens!H10247*Sens!H10248*chip_f</f>
        <v>15.2803058877132</v>
      </c>
      <c r="I10249" s="15" t="n">
        <f aca="false">Sens!I10247*Sens!I10248*chip_f</f>
        <v>15.5457988470549</v>
      </c>
      <c r="J10249" s="15" t="n">
        <f aca="false">Sens!J10247*Sens!J10248*chip_f</f>
        <v>15.7562677246158</v>
      </c>
      <c r="K10249" s="15" t="n">
        <f aca="false">Sens!K10247*Sens!K10248*chip_f</f>
        <v>16.0450885090842</v>
      </c>
      <c r="L10249" s="1" t="s">
        <v>975</v>
      </c>
    </row>
    <row r="10250" customFormat="false" ht="17.15" hidden="false" customHeight="false" outlineLevel="0" collapsed="false">
      <c r="A10250" s="0" t="s">
        <v>976</v>
      </c>
      <c r="B10250" s="0" t="s">
        <v>98</v>
      </c>
      <c r="D10250" s="6" t="n">
        <f aca="false">(Sens!C10233+Sens!D10233)/2*Sens!D10249/1000</f>
        <v>12.9359794422418</v>
      </c>
      <c r="E10250" s="6" t="n">
        <f aca="false">(Sens!D10233+Sens!E10233)/2*Sens!E10249/1000</f>
        <v>27.8095064661409</v>
      </c>
      <c r="F10250" s="6" t="n">
        <f aca="false">(Sens!E10233+Sens!F10233)/2*Sens!F10249/1000</f>
        <v>59.1034165651511</v>
      </c>
      <c r="G10250" s="6" t="n">
        <f aca="false">(Sens!F10233+Sens!G10233)/2*Sens!G10249/1000</f>
        <v>103.451498789198</v>
      </c>
      <c r="H10250" s="6" t="n">
        <f aca="false">(Sens!G10233+Sens!H10233)/2*Sens!H10249/1000</f>
        <v>153.816719989035</v>
      </c>
      <c r="I10250" s="6" t="n">
        <f aca="false">(Sens!H10233+Sens!I10233)/2*Sens!I10249/1000</f>
        <v>192.699478690852</v>
      </c>
      <c r="J10250" s="6" t="n">
        <f aca="false">(Sens!I10233+Sens!J10233)/2*Sens!J10249/1000</f>
        <v>219.794102584244</v>
      </c>
      <c r="K10250" s="6" t="n">
        <f aca="false">(Sens!J10233+Sens!K10233)/2*Sens!K10249/1000</f>
        <v>236.757046905022</v>
      </c>
      <c r="L10250" s="12" t="s">
        <v>977</v>
      </c>
    </row>
    <row r="10251" customFormat="false" ht="17.15" hidden="false" customHeight="false" outlineLevel="0" collapsed="false">
      <c r="A10251" s="1" t="s">
        <v>978</v>
      </c>
      <c r="B10251" s="0" t="s">
        <v>403</v>
      </c>
      <c r="C10251" s="15" t="n">
        <f aca="false">(Sens!C10241*tk_opex_h100+Sens!C10242*tk_opex_gb200+Sens!C10243*tk_opex_gb300+(Sens!C10245+Sens!C10244)*tk_opex_vr200)/Sens!C10233</f>
        <v>1.88636041306092</v>
      </c>
      <c r="D10251" s="15" t="n">
        <f aca="false">(Sens!D10241*tk_opex_h100+Sens!D10242*tk_opex_gb200+Sens!D10243*tk_opex_gb300+(Sens!D10245+Sens!D10244)*tk_opex_vr200)/Sens!D10233</f>
        <v>1.88636041306092</v>
      </c>
      <c r="E10251" s="15" t="n">
        <f aca="false">(Sens!E10241*tk_opex_h100+Sens!E10242*tk_opex_gb200+Sens!E10243*tk_opex_gb300+(Sens!E10245+Sens!E10244)*tk_opex_vr200)/Sens!E10233</f>
        <v>1.88636041306092</v>
      </c>
      <c r="F10251" s="15" t="n">
        <f aca="false">(Sens!F10241*tk_opex_h100+Sens!F10242*tk_opex_gb200+Sens!F10243*tk_opex_gb300+(Sens!F10245+Sens!F10244)*tk_opex_vr200)/Sens!F10233</f>
        <v>1.95051159746876</v>
      </c>
      <c r="G10251" s="15" t="n">
        <f aca="false">(Sens!G10241*tk_opex_h100+Sens!G10242*tk_opex_gb200+Sens!G10243*tk_opex_gb300+(Sens!G10245+Sens!G10244)*tk_opex_vr200)/Sens!G10233</f>
        <v>1.98836003669956</v>
      </c>
      <c r="H10251" s="15" t="n">
        <f aca="false">(Sens!H10241*tk_opex_h100+Sens!H10242*tk_opex_gb200+Sens!H10243*tk_opex_gb300+(Sens!H10245+Sens!H10244)*tk_opex_vr200)/Sens!H10233</f>
        <v>2.01344013834343</v>
      </c>
      <c r="I10251" s="15" t="n">
        <f aca="false">(Sens!I10241*tk_opex_h100+Sens!I10242*tk_opex_gb200+Sens!I10243*tk_opex_gb300+(Sens!I10245+Sens!I10244)*tk_opex_vr200)/Sens!I10233</f>
        <v>2.03261166882178</v>
      </c>
      <c r="J10251" s="15" t="n">
        <f aca="false">(Sens!J10241*tk_opex_h100+Sens!J10242*tk_opex_gb200+Sens!J10243*tk_opex_gb300+(Sens!J10245+Sens!J10244)*tk_opex_vr200)/Sens!J10233</f>
        <v>2.04808073288745</v>
      </c>
      <c r="K10251" s="15" t="n">
        <f aca="false">(Sens!K10241*tk_opex_h100+Sens!K10242*tk_opex_gb200+Sens!K10243*tk_opex_gb300+(Sens!K10245+Sens!K10244)*tk_opex_vr200)/Sens!K10233</f>
        <v>2.06973825807449</v>
      </c>
      <c r="L10251" s="12" t="s">
        <v>979</v>
      </c>
    </row>
    <row r="10252" customFormat="false" ht="17.15" hidden="false" customHeight="false" outlineLevel="0" collapsed="false">
      <c r="A10252" s="0" t="s">
        <v>980</v>
      </c>
      <c r="B10252" s="0" t="s">
        <v>98</v>
      </c>
      <c r="D10252" s="6" t="n">
        <f aca="false">(Sens!C10236+Sens!D10236)/2*Sens!D10251/1000</f>
        <v>2.70378325872065</v>
      </c>
      <c r="E10252" s="6" t="n">
        <f aca="false">(Sens!D10236+Sens!E10236)/2*Sens!E10251/1000</f>
        <v>6.17783035277451</v>
      </c>
      <c r="F10252" s="6" t="n">
        <f aca="false">(Sens!E10236+Sens!F10236)/2*Sens!F10251/1000</f>
        <v>12.8742463089237</v>
      </c>
      <c r="G10252" s="6" t="n">
        <f aca="false">(Sens!F10236+Sens!G10236)/2*Sens!G10251/1000</f>
        <v>21.8182834646277</v>
      </c>
      <c r="H10252" s="6" t="n">
        <f aca="false">(Sens!G10236+Sens!H10236)/2*Sens!H10251/1000</f>
        <v>31.2430128789734</v>
      </c>
      <c r="I10252" s="6" t="n">
        <f aca="false">(Sens!H10236+Sens!I10236)/2*Sens!I10251/1000</f>
        <v>39.4313057443268</v>
      </c>
      <c r="J10252" s="6" t="n">
        <f aca="false">(Sens!I10236+Sens!J10236)/2*Sens!J10251/1000</f>
        <v>45.0360318228653</v>
      </c>
      <c r="K10252" s="6" t="n">
        <f aca="false">(Sens!J10236+Sens!K10236)/2*Sens!K10251/1000</f>
        <v>48.2929727091156</v>
      </c>
    </row>
    <row r="10253" customFormat="false" ht="17.15" hidden="false" customHeight="false" outlineLevel="0" collapsed="false">
      <c r="A10253" s="0" t="s">
        <v>981</v>
      </c>
      <c r="B10253" s="0" t="s">
        <v>98</v>
      </c>
      <c r="D10253" s="6" t="n">
        <f aca="false">(Sens!C10234+Sens!D10234)/2*rent_mw/1000</f>
        <v>2.44475</v>
      </c>
      <c r="E10253" s="6" t="n">
        <f aca="false">(Sens!D10234+Sens!E10234)/2*rent_mw/1000</f>
        <v>4.22275</v>
      </c>
      <c r="F10253" s="6" t="n">
        <f aca="false">(Sens!E10234+Sens!F10234)/2*rent_mw/1000</f>
        <v>5.80517</v>
      </c>
      <c r="G10253" s="6" t="n">
        <f aca="false">(Sens!F10234+Sens!G10234)/2*rent_mw/1000</f>
        <v>6.72084</v>
      </c>
      <c r="H10253" s="6" t="n">
        <f aca="false">(Sens!G10234+Sens!H10234)/2*rent_mw/1000</f>
        <v>6.72084</v>
      </c>
      <c r="I10253" s="6" t="n">
        <f aca="false">(Sens!H10234+Sens!I10234)/2*rent_mw/1000</f>
        <v>6.72084</v>
      </c>
      <c r="J10253" s="6" t="n">
        <f aca="false">(Sens!I10234+Sens!J10234)/2*rent_mw/1000</f>
        <v>6.72084</v>
      </c>
      <c r="K10253" s="6" t="n">
        <f aca="false">(Sens!J10234+Sens!K10234)/2*rent_mw/1000</f>
        <v>6.72084</v>
      </c>
    </row>
    <row r="10254" customFormat="false" ht="17.15" hidden="false" customHeight="false" outlineLevel="0" collapsed="false">
      <c r="A10254" s="0" t="s">
        <v>982</v>
      </c>
      <c r="B10254" s="0" t="s">
        <v>98</v>
      </c>
      <c r="D10254" s="6" t="n">
        <f aca="false">(Sens!C10236+Sens!D10236)/2*(1-self_build)*fac_rent/1000</f>
        <v>0.853242375631075</v>
      </c>
      <c r="E10254" s="6" t="n">
        <f aca="false">(Sens!D10236+Sens!E10236)/2*(1-self_build)*fac_rent/1000</f>
        <v>1.94955961408728</v>
      </c>
      <c r="F10254" s="6" t="n">
        <f aca="false">(Sens!E10236+Sens!F10236)/2*(1-self_build)*fac_rent/1000</f>
        <v>3.92914894476356</v>
      </c>
      <c r="G10254" s="6" t="n">
        <f aca="false">(Sens!F10236+Sens!G10236)/2*(1-self_build)*fac_rent/1000</f>
        <v>6.53206908578159</v>
      </c>
      <c r="H10254" s="6" t="n">
        <f aca="false">(Sens!G10236+Sens!H10236)/2*(1-self_build)*fac_rent/1000</f>
        <v>9.23717988341591</v>
      </c>
      <c r="I10254" s="6" t="n">
        <f aca="false">(Sens!H10236+Sens!I10236)/2*(1-self_build)*fac_rent/1000</f>
        <v>11.5481378557393</v>
      </c>
      <c r="J10254" s="6" t="n">
        <f aca="false">(Sens!I10236+Sens!J10236)/2*(1-self_build)*fac_rent/1000</f>
        <v>13.0899582289108</v>
      </c>
      <c r="K10254" s="6" t="n">
        <f aca="false">(Sens!J10236+Sens!K10236)/2*(1-self_build)*fac_rent/1000</f>
        <v>13.8897275626556</v>
      </c>
      <c r="L10254" s="12" t="s">
        <v>983</v>
      </c>
    </row>
    <row r="10255" customFormat="false" ht="17.15" hidden="false" customHeight="false" outlineLevel="0" collapsed="false">
      <c r="A10255" s="1" t="s">
        <v>984</v>
      </c>
      <c r="B10255" s="0" t="s">
        <v>168</v>
      </c>
      <c r="D10255" s="7" t="n">
        <f aca="false">(Sens!C10235+Sens!D10235)/(Sens!C10236+Sens!D10236)</f>
        <v>0.6</v>
      </c>
      <c r="E10255" s="7" t="n">
        <f aca="false">(Sens!D10235+Sens!E10235)/(Sens!D10236+Sens!E10236)</f>
        <v>0.6</v>
      </c>
      <c r="F10255" s="7" t="n">
        <f aca="false">(Sens!E10235+Sens!F10235)/(Sens!E10236+Sens!F10236)</f>
        <v>0.6</v>
      </c>
      <c r="G10255" s="7" t="n">
        <f aca="false">(Sens!F10235+Sens!G10235)/(Sens!F10236+Sens!G10236)</f>
        <v>0.6</v>
      </c>
      <c r="H10255" s="7" t="n">
        <f aca="false">(Sens!G10235+Sens!H10235)/(Sens!G10236+Sens!H10236)</f>
        <v>0.6</v>
      </c>
      <c r="I10255" s="7" t="n">
        <f aca="false">(Sens!H10235+Sens!I10235)/(Sens!H10236+Sens!I10236)</f>
        <v>0.6</v>
      </c>
      <c r="J10255" s="7" t="n">
        <f aca="false">(Sens!I10235+Sens!J10235)/(Sens!I10236+Sens!J10236)</f>
        <v>0.6</v>
      </c>
      <c r="K10255" s="7" t="n">
        <f aca="false">(Sens!J10235+Sens!K10235)/(Sens!J10236+Sens!K10236)</f>
        <v>0.6</v>
      </c>
    </row>
    <row r="10256" customFormat="false" ht="17.15" hidden="false" customHeight="false" outlineLevel="0" collapsed="false">
      <c r="A10256" s="0" t="s">
        <v>985</v>
      </c>
      <c r="B10256" s="0" t="s">
        <v>98</v>
      </c>
      <c r="D10256" s="6" t="n">
        <f aca="false">Sens!D10250-Sens!D10255*(Sens!D10252+Sens!D10254)-Sens!D10253</f>
        <v>8.35701406163072</v>
      </c>
      <c r="E10256" s="6" t="n">
        <f aca="false">Sens!E10250-Sens!E10255*(Sens!E10252+Sens!E10254)-Sens!E10253</f>
        <v>18.7103224860238</v>
      </c>
      <c r="F10256" s="6" t="n">
        <f aca="false">Sens!F10250-Sens!F10255*(Sens!F10252+Sens!F10254)-Sens!F10253</f>
        <v>43.2162094129388</v>
      </c>
      <c r="G10256" s="6" t="n">
        <f aca="false">Sens!G10250-Sens!G10255*(Sens!G10252+Sens!G10254)-Sens!G10253</f>
        <v>79.7204472589529</v>
      </c>
      <c r="H10256" s="6" t="n">
        <f aca="false">Sens!H10250-Sens!H10255*(Sens!H10252+Sens!H10254)-Sens!H10253</f>
        <v>122.807764331602</v>
      </c>
      <c r="I10256" s="6" t="n">
        <f aca="false">Sens!I10250-Sens!I10255*(Sens!I10252+Sens!I10254)-Sens!I10253</f>
        <v>155.390972530813</v>
      </c>
      <c r="J10256" s="6" t="n">
        <f aca="false">Sens!J10250-Sens!J10255*(Sens!J10252+Sens!J10254)-Sens!J10253</f>
        <v>178.197668553178</v>
      </c>
      <c r="K10256" s="6" t="n">
        <f aca="false">Sens!K10250-Sens!K10255*(Sens!K10252+Sens!K10254)-Sens!K10253</f>
        <v>192.726586741959</v>
      </c>
    </row>
    <row r="10257" customFormat="false" ht="17.15" hidden="false" customHeight="false" outlineLevel="0" collapsed="false">
      <c r="A10257" s="1" t="s">
        <v>986</v>
      </c>
      <c r="B10257" s="0" t="s">
        <v>98</v>
      </c>
      <c r="D10257" s="6" t="n">
        <f aca="false">(1-Sens!D10255)*(Sens!D10252+Sens!D10254)</f>
        <v>1.42281025374069</v>
      </c>
      <c r="E10257" s="6" t="n">
        <f aca="false">(1-Sens!E10255)*(Sens!E10252+Sens!E10254)</f>
        <v>3.25095598674472</v>
      </c>
      <c r="F10257" s="6" t="n">
        <f aca="false">(1-Sens!F10255)*(Sens!F10252+Sens!F10254)</f>
        <v>6.72135810147489</v>
      </c>
      <c r="G10257" s="6" t="n">
        <f aca="false">(1-Sens!G10255)*(Sens!G10252+Sens!G10254)</f>
        <v>11.3401410201637</v>
      </c>
      <c r="H10257" s="6" t="n">
        <f aca="false">(1-Sens!H10255)*(Sens!H10252+Sens!H10254)</f>
        <v>16.1920771049557</v>
      </c>
      <c r="I10257" s="6" t="n">
        <f aca="false">(1-Sens!I10255)*(Sens!I10252+Sens!I10254)</f>
        <v>20.3917774400264</v>
      </c>
      <c r="J10257" s="6" t="n">
        <f aca="false">(1-Sens!J10255)*(Sens!J10252+Sens!J10254)</f>
        <v>23.2503960207104</v>
      </c>
      <c r="K10257" s="6" t="n">
        <f aca="false">(1-Sens!K10255)*(Sens!K10252+Sens!K10254)</f>
        <v>24.8730801087085</v>
      </c>
    </row>
    <row r="10258" customFormat="false" ht="17.15" hidden="false" customHeight="false" outlineLevel="0" collapsed="false">
      <c r="A10258" s="1" t="s">
        <v>987</v>
      </c>
      <c r="B10258" s="0" t="s">
        <v>414</v>
      </c>
      <c r="C10258" s="8" t="n">
        <f aca="false">cxit_open</f>
        <v>27.5918995</v>
      </c>
      <c r="D10258" s="8" t="n">
        <f aca="false">cxit_open</f>
        <v>27.5918995</v>
      </c>
      <c r="E10258" s="8" t="n">
        <f aca="false">cxit_open</f>
        <v>27.5918995</v>
      </c>
      <c r="F10258" s="8" t="n">
        <f aca="false">((a_g3_27-nonnv*a_mai)*tk_cxit_gb300+nonnv*a_mai*nv_hold_mai*tk_cxit_vr200+(1-a_g3_27)*tk_cxit_vr200)</f>
        <v>32.4975576</v>
      </c>
      <c r="G10258" s="8" t="n">
        <f aca="false">((a_g3_28-nonnv*a_mai)*tk_cxit_gb300+nonnv*a_mai*nv_hold_mai*tk_cxit_vr200+(1-a_g3_28)*tk_cxit_vr200)</f>
        <v>34.6372088</v>
      </c>
      <c r="H10258" s="8" t="n">
        <f aca="false">((a_g3_29-nonnv*a_mai)*tk_cxit_gb300+nonnv*a_mai*nv_hold_mai*tk_cxit_vr200+(1-a_g3_29)*tk_cxit_vr200)</f>
        <v>35.7070344</v>
      </c>
      <c r="I10258" s="8" t="n">
        <f aca="false">((a_g3_29-nonnv*a_mai)*tk_cxit_gb300+nonnv*a_mai*nv_hold_mai*tk_cxit_vr200+(1-a_g3_29)*tk_cxit_vr200)</f>
        <v>35.7070344</v>
      </c>
      <c r="J10258" s="8" t="n">
        <f aca="false">((a_g3_29-nonnv*a_mai)*tk_cxit_gb300+nonnv*a_mai*nv_hold_mai*tk_cxit_vr200+(1-a_g3_29)*tk_cxit_vr200)</f>
        <v>35.7070344</v>
      </c>
      <c r="K10258" s="8" t="n">
        <f aca="false">((a_g3_29-nonnv*a_mai)*tk_cxit_gb300+nonnv*a_mai*nv_hold_mai*tk_cxit_vr200+(1-a_g3_29)*tk_cxit_vr200)</f>
        <v>35.7070344</v>
      </c>
      <c r="L10258" s="12" t="s">
        <v>988</v>
      </c>
    </row>
    <row r="10259" customFormat="false" ht="17.15" hidden="false" customHeight="false" outlineLevel="0" collapsed="false">
      <c r="A10259" s="0" t="s">
        <v>989</v>
      </c>
      <c r="B10259" s="0" t="s">
        <v>456</v>
      </c>
      <c r="F10259" s="30" t="n">
        <f aca="false">Sens!C10238*IF(Sens!F10231-Sens!C10231=life_it,1,0)+Sens!D10238*IF(Sens!F10231-Sens!D10231=life_it,1,0)+Sens!E10238*IF(Sens!F10231-Sens!E10231=life_it,1,0)</f>
        <v>0</v>
      </c>
      <c r="G10259" s="30" t="n">
        <f aca="false">Sens!C10238*IF(Sens!G10231-Sens!C10231=life_it,1,0)+Sens!D10238*IF(Sens!G10231-Sens!D10231=life_it,1,0)+Sens!E10238*IF(Sens!G10231-Sens!E10231=life_it,1,0)+Sens!F10238*IF(Sens!G10231-Sens!F10231=life_it,1,0)</f>
        <v>0</v>
      </c>
      <c r="H10259" s="30" t="n">
        <f aca="false">Sens!C10238*IF(Sens!H10231-Sens!C10231=life_it,1,0)+Sens!D10238*IF(Sens!H10231-Sens!D10231=life_it,1,0)+Sens!E10238*IF(Sens!H10231-Sens!E10231=life_it,1,0)+Sens!F10238*IF(Sens!H10231-Sens!F10231=life_it,1,0)+Sens!G10238*IF(Sens!H10231-Sens!G10231=life_it,1,0)</f>
        <v>0</v>
      </c>
      <c r="I10259" s="30" t="n">
        <f aca="false">Sens!C10238*IF(Sens!I10231-Sens!C10231=life_it,1,0)+Sens!D10238*IF(Sens!I10231-Sens!D10231=life_it,1,0)+Sens!E10238*IF(Sens!I10231-Sens!E10231=life_it,1,0)+Sens!F10238*IF(Sens!I10231-Sens!F10231=life_it,1,0)+Sens!G10238*IF(Sens!I10231-Sens!G10231=life_it,1,0)+Sens!H10238*IF(Sens!I10231-Sens!H10231=life_it,1,0)</f>
        <v>816.666666666667</v>
      </c>
      <c r="J10259" s="30" t="n">
        <f aca="false">Sens!C10238*IF(Sens!J10231-Sens!C10231=life_it,1,0)+Sens!D10238*IF(Sens!J10231-Sens!D10231=life_it,1,0)+Sens!E10238*IF(Sens!J10231-Sens!E10231=life_it,1,0)+Sens!F10238*IF(Sens!J10231-Sens!F10231=life_it,1,0)+Sens!G10238*IF(Sens!J10231-Sens!G10231=life_it,1,0)+Sens!H10238*IF(Sens!J10231-Sens!H10231=life_it,1,0)+Sens!I10238*IF(Sens!J10231-Sens!I10231=life_it,1,0)</f>
        <v>1233.33333333333</v>
      </c>
      <c r="K10259" s="30" t="n">
        <f aca="false">Sens!C10238*IF(Sens!K10231-Sens!C10231=life_it,1,0)+Sens!D10238*IF(Sens!K10231-Sens!D10231=life_it,1,0)+Sens!E10238*IF(Sens!K10231-Sens!E10231=life_it,1,0)+Sens!F10238*IF(Sens!K10231-Sens!F10231=life_it,1,0)+Sens!G10238*IF(Sens!K10231-Sens!G10231=life_it,1,0)+Sens!H10238*IF(Sens!K10231-Sens!H10231=life_it,1,0)+Sens!I10238*IF(Sens!K10231-Sens!I10231=life_it,1,0)+Sens!J10238*IF(Sens!K10231-Sens!J10231=life_it,1,0)</f>
        <v>2450</v>
      </c>
      <c r="L10259" s="1" t="s">
        <v>990</v>
      </c>
    </row>
    <row r="10260" customFormat="false" ht="17.15" hidden="false" customHeight="false" outlineLevel="0" collapsed="false">
      <c r="A10260" s="0" t="s">
        <v>991</v>
      </c>
      <c r="B10260" s="0" t="s">
        <v>98</v>
      </c>
      <c r="C10260" s="6" t="n">
        <f aca="false">Sens!C10238*Sens!C10258/1000</f>
        <v>22.5333845916667</v>
      </c>
      <c r="D10260" s="6" t="n">
        <f aca="false">Sens!D10238*Sens!D10258/1000</f>
        <v>34.0300093833333</v>
      </c>
      <c r="E10260" s="6" t="n">
        <f aca="false">Sens!E10238*Sens!E10258/1000</f>
        <v>67.600153775</v>
      </c>
      <c r="F10260" s="6" t="n">
        <f aca="false">(Sens!F10238+Sens!F10259)*Sens!F10258/1000</f>
        <v>136.51872432512</v>
      </c>
      <c r="G10260" s="6" t="n">
        <f aca="false">(Sens!G10238+Sens!G10259)*Sens!G10258/1000</f>
        <v>157.399275932048</v>
      </c>
      <c r="H10260" s="6" t="n">
        <f aca="false">(Sens!H10238+Sens!H10259)*Sens!H10258/1000</f>
        <v>162.260804347512</v>
      </c>
      <c r="I10260" s="6" t="n">
        <f aca="false">(Sens!I10238+Sens!I10259)*Sens!I10258/1000</f>
        <v>144.136569485434</v>
      </c>
      <c r="J10260" s="6" t="n">
        <f aca="false">(Sens!J10238+Sens!J10259)*Sens!J10258/1000</f>
        <v>114.029037357864</v>
      </c>
      <c r="K10260" s="6" t="n">
        <f aca="false">(Sens!K10238+Sens!K10259)*Sens!K10258/1000</f>
        <v>113.437085350975</v>
      </c>
    </row>
    <row r="10261" customFormat="false" ht="17.15" hidden="false" customHeight="false" outlineLevel="0" collapsed="false">
      <c r="A10261" s="0" t="s">
        <v>992</v>
      </c>
      <c r="B10261" s="0" t="s">
        <v>98</v>
      </c>
      <c r="C10261" s="6" t="n">
        <f aca="false">Sens!C10238*self_build*tk_cxfac/1000</f>
        <v>6.2083</v>
      </c>
      <c r="D10261" s="6" t="n">
        <f aca="false">Sens!D10238*self_build*tk_cxfac/1000</f>
        <v>9.3758</v>
      </c>
      <c r="E10261" s="6" t="n">
        <f aca="false">Sens!E10238*self_build*tk_cxfac/1000</f>
        <v>18.6249</v>
      </c>
      <c r="F10261" s="6" t="n">
        <f aca="false">Sens!F10238*self_build*tk_cxfac/1000</f>
        <v>31.935179717</v>
      </c>
      <c r="G10261" s="6" t="n">
        <f aca="false">Sens!G10238*self_build*tk_cxfac/1000</f>
        <v>34.545199717</v>
      </c>
      <c r="H10261" s="6" t="n">
        <f aca="false">Sens!H10238*self_build*tk_cxfac/1000</f>
        <v>34.545199717</v>
      </c>
      <c r="I10261" s="6" t="n">
        <f aca="false">Sens!I10238*self_build*tk_cxfac/1000</f>
        <v>24.4782641361767</v>
      </c>
      <c r="J10261" s="6" t="n">
        <f aca="false">Sens!J10238*self_build*tk_cxfac/1000</f>
        <v>14.9008938380769</v>
      </c>
      <c r="K10261" s="6" t="n">
        <f aca="false">Sens!K10238*self_build*tk_cxfac/1000</f>
        <v>5.52576771375761</v>
      </c>
    </row>
    <row r="10262" customFormat="false" ht="17.15" hidden="false" customHeight="false" outlineLevel="0" collapsed="false">
      <c r="A10262" s="0" t="s">
        <v>993</v>
      </c>
      <c r="B10262" s="0" t="s">
        <v>98</v>
      </c>
      <c r="F10262" s="15" t="n">
        <f aca="false">capex_floor27-Sens!F10260-Sens!F10261-Sens!F10358</f>
        <v>0.0551346452575601</v>
      </c>
      <c r="L10262" s="12" t="s">
        <v>994</v>
      </c>
    </row>
    <row r="10263" customFormat="false" ht="17.15" hidden="false" customHeight="false" outlineLevel="0" collapsed="false">
      <c r="A10263" s="0" t="s">
        <v>995</v>
      </c>
      <c r="B10263" s="0" t="s">
        <v>98</v>
      </c>
      <c r="F10263" s="6" t="n">
        <f aca="false">MAX(0,Sens!F10262)</f>
        <v>0.0551346452575601</v>
      </c>
    </row>
    <row r="10264" customFormat="false" ht="17.15" hidden="false" customHeight="false" outlineLevel="0" collapsed="false">
      <c r="A10264" s="0" t="s">
        <v>996</v>
      </c>
      <c r="B10264" s="0" t="s">
        <v>98</v>
      </c>
      <c r="C10264" s="6" t="n">
        <f aca="false">Sens!C10260</f>
        <v>22.5333845916667</v>
      </c>
      <c r="D10264" s="6" t="n">
        <f aca="false">Sens!D10260</f>
        <v>34.0300093833333</v>
      </c>
      <c r="E10264" s="6" t="n">
        <f aca="false">Sens!E10260</f>
        <v>67.600153775</v>
      </c>
      <c r="F10264" s="6" t="n">
        <f aca="false">Sens!F10260</f>
        <v>136.51872432512</v>
      </c>
      <c r="G10264" s="6" t="n">
        <f aca="false">Sens!G10260</f>
        <v>157.399275932048</v>
      </c>
      <c r="H10264" s="6" t="n">
        <f aca="false">Sens!H10260</f>
        <v>162.260804347512</v>
      </c>
      <c r="I10264" s="6" t="n">
        <f aca="false">Sens!I10260</f>
        <v>144.136569485434</v>
      </c>
      <c r="J10264" s="6" t="n">
        <f aca="false">Sens!J10260</f>
        <v>114.029037357864</v>
      </c>
      <c r="K10264" s="6" t="n">
        <f aca="false">Sens!K10260</f>
        <v>113.437085350975</v>
      </c>
    </row>
    <row r="10265" customFormat="false" ht="17.15" hidden="false" customHeight="false" outlineLevel="0" collapsed="false">
      <c r="A10265" s="0" t="s">
        <v>997</v>
      </c>
      <c r="B10265" s="0" t="s">
        <v>98</v>
      </c>
      <c r="C10265" s="6" t="n">
        <f aca="false">Sens!C10264+Sens!C10261</f>
        <v>28.7416845916667</v>
      </c>
      <c r="D10265" s="6" t="n">
        <f aca="false">Sens!D10264+Sens!D10261</f>
        <v>43.4058093833333</v>
      </c>
      <c r="E10265" s="6" t="n">
        <f aca="false">Sens!E10264+Sens!E10261</f>
        <v>86.225053775</v>
      </c>
      <c r="F10265" s="6" t="n">
        <f aca="false">Sens!F10264+Sens!F10261</f>
        <v>168.45390404212</v>
      </c>
      <c r="G10265" s="6" t="n">
        <f aca="false">Sens!G10264+Sens!G10261</f>
        <v>191.944475649048</v>
      </c>
      <c r="H10265" s="6" t="n">
        <f aca="false">Sens!H10264+Sens!H10261</f>
        <v>196.806004064512</v>
      </c>
      <c r="I10265" s="6" t="n">
        <f aca="false">Sens!I10264+Sens!I10261</f>
        <v>168.61483362161</v>
      </c>
      <c r="J10265" s="6" t="n">
        <f aca="false">Sens!J10264+Sens!J10261</f>
        <v>128.92993119594</v>
      </c>
      <c r="K10265" s="6" t="n">
        <f aca="false">Sens!K10264+Sens!K10261</f>
        <v>118.962853064733</v>
      </c>
      <c r="L10265" s="12" t="s">
        <v>998</v>
      </c>
    </row>
    <row r="10266" customFormat="false" ht="17.15" hidden="false" customHeight="false" outlineLevel="0" collapsed="false">
      <c r="A10266" s="0" t="s">
        <v>999</v>
      </c>
      <c r="B10266" s="0" t="s">
        <v>98</v>
      </c>
      <c r="E10266" s="6" t="n">
        <f aca="false">(Sens!C10264*IF(2&lt;life_it,1,IF(2=life_it,0.5,0))+Sens!D10264*IF(1&lt;life_it,1,IF(1=life_it,0.5,0))+Sens!E10264*0.5)/life_it</f>
        <v>15.0605784770833</v>
      </c>
      <c r="F10266" s="6" t="n">
        <f aca="false">(Sens!C10264*IF(3&lt;life_it,1,IF(3=life_it,0.5,0))+Sens!D10264*IF(2&lt;life_it,1,IF(2=life_it,0.5,0))+Sens!E10264*IF(1&lt;life_it,1,IF(1=life_it,0.5,0))+Sens!F10264*0.5)/life_it</f>
        <v>32.0704849854266</v>
      </c>
      <c r="G10266" s="6" t="n">
        <f aca="false">(Sens!C10264*IF(4&lt;life_it,1,IF(4=life_it,0.5,0))+Sens!D10264*IF(3&lt;life_it,1,IF(3=life_it,0.5,0))+Sens!E10264*IF(2&lt;life_it,1,IF(2=life_it,0.5,0))+Sens!F10264*IF(1&lt;life_it,1,IF(1=life_it,0.5,0))+Sens!G10264*0.5)/life_it</f>
        <v>56.5636516735239</v>
      </c>
      <c r="H10266" s="6" t="n">
        <f aca="false">(Sens!C10264*IF(5&lt;life_it,1,IF(5=life_it,0.5,0))+Sens!D10264*IF(4&lt;life_it,1,IF(4=life_it,0.5,0))+Sens!E10264*IF(3&lt;life_it,1,IF(3=life_it,0.5,0))+Sens!F10264*IF(2&lt;life_it,1,IF(2=life_it,0.5,0))+Sens!G10264*IF(1&lt;life_it,1,IF(1=life_it,0.5,0))+Sens!H10264*0.5)/life_it</f>
        <v>83.2019916968207</v>
      </c>
      <c r="I10266" s="6" t="n">
        <f aca="false">(Sens!C10264*IF(6&lt;life_it,1,IF(6=life_it,0.5,0))+Sens!D10264*IF(5&lt;life_it,1,IF(5=life_it,0.5,0))+Sens!E10264*IF(4&lt;life_it,1,IF(4=life_it,0.5,0))+Sens!F10264*IF(3&lt;life_it,1,IF(3=life_it,0.5,0))+Sens!G10264*IF(2&lt;life_it,1,IF(2=life_it,0.5,0))+Sens!H10264*IF(1&lt;life_it,1,IF(1=life_it,0.5,0))+Sens!I10264*0.5)/life_it</f>
        <v>106.857324133594</v>
      </c>
      <c r="J10266" s="6" t="n">
        <f aca="false">(Sens!C10264*IF(7&lt;life_it,1,IF(7=life_it,0.5,0))+Sens!D10264*IF(6&lt;life_it,1,IF(6=life_it,0.5,0))+Sens!E10264*IF(5&lt;life_it,1,IF(5=life_it,0.5,0))+Sens!F10264*IF(4&lt;life_it,1,IF(4=life_it,0.5,0))+Sens!G10264*IF(3&lt;life_it,1,IF(3=life_it,0.5,0))+Sens!H10264*IF(2&lt;life_it,1,IF(2=life_it,0.5,0))+Sens!I10264*IF(1&lt;life_it,1,IF(1=life_it,0.5,0))+Sens!J10264*0.5)/life_it</f>
        <v>123.657508539285</v>
      </c>
      <c r="K10266" s="6" t="n">
        <f aca="false">(Sens!C10264*IF(8&lt;life_it,1,IF(8=life_it,0.5,0))+Sens!D10264*IF(7&lt;life_it,1,IF(7=life_it,0.5,0))+Sens!E10264*IF(6&lt;life_it,1,IF(6=life_it,0.5,0))+Sens!F10264*IF(5&lt;life_it,1,IF(5=life_it,0.5,0))+Sens!G10264*IF(4&lt;life_it,1,IF(4=life_it,0.5,0))+Sens!H10264*IF(3&lt;life_it,1,IF(3=life_it,0.5,0))+Sens!I10264*IF(2&lt;life_it,1,IF(2=life_it,0.5,0))+Sens!J10264*IF(1&lt;life_it,1,IF(1=life_it,0.5,0))+Sens!K10264*0.5)/life_it</f>
        <v>134.143838501827</v>
      </c>
    </row>
    <row r="10267" customFormat="false" ht="17.15" hidden="false" customHeight="false" outlineLevel="0" collapsed="false">
      <c r="A10267" s="0" t="s">
        <v>1000</v>
      </c>
      <c r="B10267" s="0" t="s">
        <v>98</v>
      </c>
      <c r="E10267" s="6" t="n">
        <f aca="false">(Sens!C10261*IF(2&lt;life_fac,1,IF(2=life_fac,0.5,0))+Sens!D10261*IF(1&lt;life_fac,1,IF(1=life_fac,0.5,0))+Sens!E10261*0.5)/life_fac</f>
        <v>1.2448275</v>
      </c>
      <c r="F10267" s="6" t="n">
        <f aca="false">(Sens!C10261*IF(3&lt;life_fac,1,IF(3=life_fac,0.5,0))+Sens!D10261*IF(2&lt;life_fac,1,IF(2=life_fac,0.5,0))+Sens!E10261*IF(1&lt;life_fac,1,IF(1=life_fac,0.5,0))+Sens!F10261*0.5)/life_fac</f>
        <v>2.508829492925</v>
      </c>
      <c r="G10267" s="6" t="n">
        <f aca="false">(Sens!C10261*IF(4&lt;life_fac,1,IF(4=life_fac,0.5,0))+Sens!D10261*IF(3&lt;life_fac,1,IF(3=life_fac,0.5,0))+Sens!E10261*IF(2&lt;life_fac,1,IF(2=life_fac,0.5,0))+Sens!F10261*IF(1&lt;life_fac,1,IF(1=life_fac,0.5,0))+Sens!G10261*0.5)/life_fac</f>
        <v>4.170838978775</v>
      </c>
      <c r="H10267" s="6" t="n">
        <f aca="false">(Sens!C10261*IF(5&lt;life_fac,1,IF(5=life_fac,0.5,0))+Sens!D10261*IF(4&lt;life_fac,1,IF(4=life_fac,0.5,0))+Sens!E10261*IF(3&lt;life_fac,1,IF(3=life_fac,0.5,0))+Sens!F10261*IF(2&lt;life_fac,1,IF(2=life_fac,0.5,0))+Sens!G10261*IF(1&lt;life_fac,1,IF(1=life_fac,0.5,0))+Sens!H10261*0.5)/life_fac</f>
        <v>5.898098964625</v>
      </c>
      <c r="I10267" s="6" t="n">
        <f aca="false">(Sens!C10261*IF(6&lt;life_fac,1,IF(6=life_fac,0.5,0))+Sens!D10261*IF(5&lt;life_fac,1,IF(5=life_fac,0.5,0))+Sens!E10261*IF(4&lt;life_fac,1,IF(4=life_fac,0.5,0))+Sens!F10261*IF(3&lt;life_fac,1,IF(3=life_fac,0.5,0))+Sens!G10261*IF(2&lt;life_fac,1,IF(2=life_fac,0.5,0))+Sens!H10261*IF(1&lt;life_fac,1,IF(1=life_fac,0.5,0))+Sens!I10261*0.5)/life_fac</f>
        <v>7.37368556095442</v>
      </c>
      <c r="J10267" s="6" t="n">
        <f aca="false">(Sens!C10261*IF(7&lt;life_fac,1,IF(7=life_fac,0.5,0))+Sens!D10261*IF(6&lt;life_fac,1,IF(6=life_fac,0.5,0))+Sens!E10261*IF(5&lt;life_fac,1,IF(5=life_fac,0.5,0))+Sens!F10261*IF(4&lt;life_fac,1,IF(4=life_fac,0.5,0))+Sens!G10261*IF(3&lt;life_fac,1,IF(3=life_fac,0.5,0))+Sens!H10261*IF(2&lt;life_fac,1,IF(2=life_fac,0.5,0))+Sens!I10261*IF(1&lt;life_fac,1,IF(1=life_fac,0.5,0))+Sens!J10261*0.5)/life_fac</f>
        <v>8.35816451031075</v>
      </c>
      <c r="K10267" s="6" t="n">
        <f aca="false">(Sens!C10261*IF(8&lt;life_fac,1,IF(8=life_fac,0.5,0))+Sens!D10261*IF(7&lt;life_fac,1,IF(7=life_fac,0.5,0))+Sens!E10261*IF(6&lt;life_fac,1,IF(6=life_fac,0.5,0))+Sens!F10261*IF(5&lt;life_fac,1,IF(5=life_fac,0.5,0))+Sens!G10261*IF(4&lt;life_fac,1,IF(4=life_fac,0.5,0))+Sens!H10261*IF(3&lt;life_fac,1,IF(3=life_fac,0.5,0))+Sens!I10261*IF(2&lt;life_fac,1,IF(2=life_fac,0.5,0))+Sens!J10261*IF(1&lt;life_fac,1,IF(1=life_fac,0.5,0))+Sens!K10261*0.5)/life_fac</f>
        <v>8.86883104910662</v>
      </c>
    </row>
    <row r="10268" customFormat="false" ht="17.15" hidden="false" customHeight="false" outlineLevel="0" collapsed="false">
      <c r="A10268" s="0" t="s">
        <v>1001</v>
      </c>
      <c r="B10268" s="0" t="s">
        <v>98</v>
      </c>
      <c r="E10268" s="6" t="n">
        <f aca="false">Sens!E10266+Sens!E10267</f>
        <v>16.3054059770833</v>
      </c>
      <c r="F10268" s="6" t="n">
        <f aca="false">Sens!F10266+Sens!F10267</f>
        <v>34.5793144783516</v>
      </c>
      <c r="G10268" s="6" t="n">
        <f aca="false">Sens!G10266+Sens!G10267</f>
        <v>60.7344906522989</v>
      </c>
      <c r="H10268" s="6" t="n">
        <f aca="false">Sens!H10266+Sens!H10267</f>
        <v>89.1000906614457</v>
      </c>
      <c r="I10268" s="6" t="n">
        <f aca="false">Sens!I10266+Sens!I10267</f>
        <v>114.231009694548</v>
      </c>
      <c r="J10268" s="6" t="n">
        <f aca="false">Sens!J10266+Sens!J10267</f>
        <v>132.015673049596</v>
      </c>
      <c r="K10268" s="6" t="n">
        <f aca="false">Sens!K10266+Sens!K10267</f>
        <v>143.012669550934</v>
      </c>
    </row>
    <row r="10269" customFormat="false" ht="17.15" hidden="false" customHeight="false" outlineLevel="0" collapsed="false">
      <c r="A10269" s="0" t="s">
        <v>1002</v>
      </c>
      <c r="B10269" s="0" t="s">
        <v>98</v>
      </c>
      <c r="E10269" s="6" t="n">
        <f aca="false">Sens!E10256-Sens!E10255*Sens!E10268</f>
        <v>8.92707889977379</v>
      </c>
      <c r="F10269" s="6" t="n">
        <f aca="false">Sens!F10256-Sens!F10255*Sens!F10268</f>
        <v>22.4686207259278</v>
      </c>
      <c r="G10269" s="6" t="n">
        <f aca="false">Sens!G10256-Sens!G10255*Sens!G10268</f>
        <v>43.2797528675735</v>
      </c>
      <c r="H10269" s="6" t="n">
        <f aca="false">Sens!H10256-Sens!H10255*Sens!H10268</f>
        <v>69.3477099347341</v>
      </c>
      <c r="I10269" s="6" t="n">
        <f aca="false">Sens!I10256-Sens!I10255*Sens!I10268</f>
        <v>86.8523667140836</v>
      </c>
      <c r="J10269" s="6" t="n">
        <f aca="false">Sens!J10256-Sens!J10255*Sens!J10268</f>
        <v>98.9882647234202</v>
      </c>
      <c r="K10269" s="6" t="n">
        <f aca="false">Sens!K10256-Sens!K10255*Sens!K10268</f>
        <v>106.918985011399</v>
      </c>
    </row>
    <row r="10270" customFormat="false" ht="17.15" hidden="false" customHeight="false" outlineLevel="0" collapsed="false">
      <c r="A10270" s="3" t="s">
        <v>1736</v>
      </c>
    </row>
    <row r="10271" customFormat="false" ht="15" hidden="false" customHeight="false" outlineLevel="0" collapsed="false">
      <c r="A10271" s="4" t="s">
        <v>43</v>
      </c>
      <c r="B10271" s="4" t="s">
        <v>65</v>
      </c>
      <c r="C10271" s="23" t="s">
        <v>938</v>
      </c>
      <c r="D10271" s="23" t="s">
        <v>939</v>
      </c>
      <c r="E10271" s="23" t="s">
        <v>940</v>
      </c>
      <c r="F10271" s="23" t="s">
        <v>941</v>
      </c>
      <c r="G10271" s="23" t="s">
        <v>942</v>
      </c>
      <c r="H10271" s="23" t="s">
        <v>943</v>
      </c>
      <c r="I10271" s="23" t="s">
        <v>944</v>
      </c>
      <c r="J10271" s="23" t="s">
        <v>945</v>
      </c>
      <c r="K10271" s="23" t="s">
        <v>946</v>
      </c>
      <c r="L10271" s="4" t="s">
        <v>47</v>
      </c>
    </row>
    <row r="10272" customFormat="false" ht="17.15" hidden="false" customHeight="false" outlineLevel="0" collapsed="false">
      <c r="A10272" s="0" t="s">
        <v>1021</v>
      </c>
      <c r="B10272" s="0" t="s">
        <v>98</v>
      </c>
      <c r="D10272" s="6" t="n">
        <f aca="false">Sens!D10250</f>
        <v>12.9359794422418</v>
      </c>
      <c r="E10272" s="6" t="n">
        <f aca="false">Sens!E10250</f>
        <v>27.8095064661409</v>
      </c>
      <c r="F10272" s="6" t="n">
        <f aca="false">Sens!F10250</f>
        <v>59.1034165651511</v>
      </c>
      <c r="G10272" s="6" t="n">
        <f aca="false">Sens!G10250</f>
        <v>103.451498789198</v>
      </c>
      <c r="H10272" s="6" t="n">
        <f aca="false">Sens!H10250</f>
        <v>153.816719989035</v>
      </c>
      <c r="I10272" s="6" t="n">
        <f aca="false">Sens!I10250</f>
        <v>192.699478690852</v>
      </c>
      <c r="J10272" s="6" t="n">
        <f aca="false">Sens!J10250</f>
        <v>219.794102584244</v>
      </c>
      <c r="K10272" s="6" t="n">
        <f aca="false">Sens!K10250</f>
        <v>236.757046905022</v>
      </c>
    </row>
    <row r="10273" customFormat="false" ht="17.15" hidden="false" customHeight="false" outlineLevel="0" collapsed="false">
      <c r="A10273" s="0" t="s">
        <v>1022</v>
      </c>
      <c r="B10273" s="0" t="s">
        <v>98</v>
      </c>
      <c r="D10273" s="6" t="n">
        <f aca="false">Q!L6-Sens!D10272</f>
        <v>59.6740205577583</v>
      </c>
      <c r="E10273" s="6" t="n">
        <f aca="false">Q!M6-Sens!E10272</f>
        <v>74.1284935338591</v>
      </c>
      <c r="F10273" s="6" t="n">
        <f aca="false">Q!$I$6+(Sens!F10272+Sens!E10273*(1+Sens!F10274))*(1-Q!$E$6/Q!M6)-Sens!F10272</f>
        <v>90.4866018070994</v>
      </c>
      <c r="G10273" s="6" t="n">
        <f aca="false">Sens!F10273*(1+Sens!G10274)</f>
        <v>107.511588557154</v>
      </c>
      <c r="H10273" s="6" t="n">
        <f aca="false">Sens!G10273*(1+Sens!H10274)</f>
        <v>124.832989325489</v>
      </c>
      <c r="I10273" s="6" t="n">
        <f aca="false">Sens!H10273*(1+Sens!I10274)</f>
        <v>141.56992589148</v>
      </c>
      <c r="J10273" s="6" t="n">
        <f aca="false">Sens!I10273*(1+Sens!J10274)</f>
        <v>156.723190479428</v>
      </c>
      <c r="K10273" s="6" t="n">
        <f aca="false">Sens!J10273*(1+Sens!K10274)</f>
        <v>169.261045717783</v>
      </c>
      <c r="L10273" s="12" t="s">
        <v>1023</v>
      </c>
    </row>
    <row r="10274" customFormat="false" ht="15" hidden="false" customHeight="false" outlineLevel="0" collapsed="false">
      <c r="A10274" s="1" t="s">
        <v>1024</v>
      </c>
      <c r="B10274" s="0" t="s">
        <v>168</v>
      </c>
      <c r="E10274" s="7" t="n">
        <f aca="false">Sens!E10273/Sens!D10273-1</f>
        <v>0.242223883039864</v>
      </c>
      <c r="F10274" s="7" t="n">
        <f aca="false">Sens!$E$10274+(glt_azo-Sens!$E$10274)*MIN(1,(Sens!F10231-base_fy)/n_conv)</f>
        <v>0.215186569199887</v>
      </c>
      <c r="G10274" s="7" t="n">
        <f aca="false">Sens!$E$10274+(glt_azo-Sens!$E$10274)*MIN(1,(Sens!G10231-base_fy)/n_conv)</f>
        <v>0.18814925535991</v>
      </c>
      <c r="H10274" s="7" t="n">
        <f aca="false">Sens!$E$10274+(glt_azo-Sens!$E$10274)*MIN(1,(Sens!H10231-base_fy)/n_conv)</f>
        <v>0.161111941519932</v>
      </c>
      <c r="I10274" s="7" t="n">
        <f aca="false">Sens!$E$10274+(glt_azo-Sens!$E$10274)*MIN(1,(Sens!I10231-base_fy)/n_conv)</f>
        <v>0.134074627679955</v>
      </c>
      <c r="J10274" s="7" t="n">
        <f aca="false">Sens!$E$10274+(glt_azo-Sens!$E$10274)*MIN(1,(Sens!J10231-base_fy)/n_conv)</f>
        <v>0.107037313839977</v>
      </c>
      <c r="K10274" s="7" t="n">
        <f aca="false">Sens!$E$10274+(glt_azo-Sens!$E$10274)*MIN(1,(Sens!K10231-base_fy)/n_conv)</f>
        <v>0.08</v>
      </c>
    </row>
    <row r="10275" customFormat="false" ht="15" hidden="false" customHeight="false" outlineLevel="0" collapsed="false">
      <c r="A10275" s="0" t="s">
        <v>1025</v>
      </c>
      <c r="B10275" s="0" t="s">
        <v>98</v>
      </c>
      <c r="D10275" s="6" t="n">
        <f aca="false">Sens!D10272+Sens!D10273</f>
        <v>72.61</v>
      </c>
      <c r="E10275" s="6" t="n">
        <f aca="false">Sens!E10272+Sens!E10273</f>
        <v>101.938</v>
      </c>
      <c r="F10275" s="6" t="n">
        <f aca="false">Sens!F10272+Sens!F10273</f>
        <v>149.59001837225</v>
      </c>
      <c r="G10275" s="6" t="n">
        <f aca="false">Sens!G10272+Sens!G10273</f>
        <v>210.963087346352</v>
      </c>
      <c r="H10275" s="6" t="n">
        <f aca="false">Sens!H10272+Sens!H10273</f>
        <v>278.649709314524</v>
      </c>
      <c r="I10275" s="6" t="n">
        <f aca="false">Sens!I10272+Sens!I10273</f>
        <v>334.269404582332</v>
      </c>
      <c r="J10275" s="6" t="n">
        <f aca="false">Sens!J10272+Sens!J10273</f>
        <v>376.517293063672</v>
      </c>
      <c r="K10275" s="6" t="n">
        <f aca="false">Sens!K10272+Sens!K10273</f>
        <v>406.018092622804</v>
      </c>
    </row>
    <row r="10276" customFormat="false" ht="17.15" hidden="false" customHeight="false" outlineLevel="0" collapsed="false">
      <c r="A10276" s="0" t="s">
        <v>1026</v>
      </c>
      <c r="B10276" s="1" t="s">
        <v>610</v>
      </c>
      <c r="C10276" s="30" t="n">
        <f aca="false">cop_s24</f>
        <v>1</v>
      </c>
      <c r="D10276" s="30" t="n">
        <f aca="false">cop_s25</f>
        <v>5</v>
      </c>
      <c r="E10276" s="30" t="n">
        <f aca="false">cop_s26</f>
        <v>30</v>
      </c>
      <c r="F10276" s="30" t="n">
        <f aca="false">Sens!E10276+cop_add_A</f>
        <v>60</v>
      </c>
      <c r="G10276" s="30" t="n">
        <f aca="false">Sens!F10276+cop_add_A</f>
        <v>90</v>
      </c>
      <c r="H10276" s="30" t="n">
        <f aca="false">Sens!G10276+cop_add_A</f>
        <v>120</v>
      </c>
      <c r="I10276" s="30" t="n">
        <f aca="false">Sens!H10276+cop_add_A*cop_tail</f>
        <v>135</v>
      </c>
      <c r="J10276" s="30" t="n">
        <f aca="false">Sens!I10276+cop_add_A*cop_tail</f>
        <v>150</v>
      </c>
      <c r="K10276" s="30" t="n">
        <f aca="false">Sens!J10276+cop_add_A*cop_tail</f>
        <v>165</v>
      </c>
      <c r="L10276" s="12" t="s">
        <v>1027</v>
      </c>
    </row>
    <row r="10277" customFormat="false" ht="17.15" hidden="false" customHeight="false" outlineLevel="0" collapsed="false">
      <c r="A10277" s="0" t="s">
        <v>1028</v>
      </c>
      <c r="B10277" s="0" t="s">
        <v>98</v>
      </c>
      <c r="D10277" s="6" t="n">
        <f aca="false">(Sens!C10276+Sens!D10276)/2*cop_px*12/1000</f>
        <v>0.9</v>
      </c>
      <c r="E10277" s="6" t="n">
        <f aca="false">(Sens!D10276+Sens!E10276)/2*cop_px*12/1000</f>
        <v>5.25</v>
      </c>
      <c r="F10277" s="6" t="n">
        <f aca="false">(Sens!E10276+Sens!F10276)/2*cop_px*12/1000</f>
        <v>13.5</v>
      </c>
      <c r="G10277" s="6" t="n">
        <f aca="false">(Sens!F10276+Sens!G10276)/2*cop_px*12/1000</f>
        <v>22.5</v>
      </c>
      <c r="H10277" s="6" t="n">
        <f aca="false">(Sens!G10276+Sens!H10276)/2*cop_px*12/1000</f>
        <v>31.5</v>
      </c>
      <c r="I10277" s="6" t="n">
        <f aca="false">(Sens!H10276+Sens!I10276)/2*cop_px*12/1000</f>
        <v>38.25</v>
      </c>
      <c r="J10277" s="6" t="n">
        <f aca="false">(Sens!I10276+Sens!J10276)/2*cop_px*12/1000</f>
        <v>42.75</v>
      </c>
      <c r="K10277" s="6" t="n">
        <f aca="false">(Sens!J10276+Sens!K10276)/2*cop_px*12/1000</f>
        <v>47.25</v>
      </c>
      <c r="L10277" s="1" t="s">
        <v>1029</v>
      </c>
    </row>
    <row r="10278" customFormat="false" ht="17.15" hidden="false" customHeight="false" outlineLevel="0" collapsed="false">
      <c r="A10278" s="0" t="s">
        <v>1030</v>
      </c>
      <c r="B10278" s="0" t="s">
        <v>98</v>
      </c>
      <c r="D10278" s="6" t="n">
        <f aca="false">Q!L7-Sens!D10277</f>
        <v>83.705</v>
      </c>
      <c r="E10278" s="6" t="n">
        <f aca="false">Q!M7-Sens!E10277</f>
        <v>95.049</v>
      </c>
      <c r="F10278" s="6" t="n">
        <f aca="false">Q!$I$7+(Sens!E10278*(1+Sens!F10279)+Sens!F10277)*(1-Q!$E$7/Q!M7)-Sens!F10277</f>
        <v>106.229653205718</v>
      </c>
      <c r="G10278" s="6" t="n">
        <f aca="false">Sens!F10278*(1+Sens!G10279)</f>
        <v>118.306092647576</v>
      </c>
      <c r="H10278" s="6" t="n">
        <f aca="false">Sens!G10278*(1+Sens!H10279)</f>
        <v>130.463437602768</v>
      </c>
      <c r="I10278" s="6" t="n">
        <f aca="false">Sens!H10278*(1+Sens!I10279)</f>
        <v>142.445354741933</v>
      </c>
      <c r="J10278" s="6" t="n">
        <f aca="false">Sens!I10278*(1+Sens!J10279)</f>
        <v>153.972117481571</v>
      </c>
      <c r="K10278" s="6" t="n">
        <f aca="false">Sens!J10278*(1+Sens!K10279)</f>
        <v>164.75016570528</v>
      </c>
      <c r="L10278" s="12" t="s">
        <v>1031</v>
      </c>
    </row>
    <row r="10279" customFormat="false" ht="15" hidden="false" customHeight="false" outlineLevel="0" collapsed="false">
      <c r="A10279" s="1" t="s">
        <v>1024</v>
      </c>
      <c r="B10279" s="0" t="s">
        <v>168</v>
      </c>
      <c r="E10279" s="7" t="n">
        <f aca="false">Sens!E10278/Sens!D10278-1</f>
        <v>0.135523564900544</v>
      </c>
      <c r="F10279" s="7" t="n">
        <f aca="false">Sens!$E$10279+(glt_m365b-Sens!$E$10279)*MIN(1,(Sens!F10231-base_fy)/n_conv)</f>
        <v>0.124602970750453</v>
      </c>
      <c r="G10279" s="7" t="n">
        <f aca="false">Sens!$E$10279+(glt_m365b-Sens!$E$10279)*MIN(1,(Sens!G10231-base_fy)/n_conv)</f>
        <v>0.113682376600363</v>
      </c>
      <c r="H10279" s="7" t="n">
        <f aca="false">Sens!$E$10279+(glt_m365b-Sens!$E$10279)*MIN(1,(Sens!H10231-base_fy)/n_conv)</f>
        <v>0.102761782450272</v>
      </c>
      <c r="I10279" s="7" t="n">
        <f aca="false">Sens!$E$10279+(glt_m365b-Sens!$E$10279)*MIN(1,(Sens!I10231-base_fy)/n_conv)</f>
        <v>0.0918411883001813</v>
      </c>
      <c r="J10279" s="7" t="n">
        <f aca="false">Sens!$E$10279+(glt_m365b-Sens!$E$10279)*MIN(1,(Sens!J10231-base_fy)/n_conv)</f>
        <v>0.0809205941500906</v>
      </c>
      <c r="K10279" s="7" t="n">
        <f aca="false">Sens!$E$10279+(glt_m365b-Sens!$E$10279)*MIN(1,(Sens!K10231-base_fy)/n_conv)</f>
        <v>0.07</v>
      </c>
    </row>
    <row r="10280" customFormat="false" ht="15" hidden="false" customHeight="false" outlineLevel="0" collapsed="false">
      <c r="A10280" s="0" t="s">
        <v>1032</v>
      </c>
      <c r="B10280" s="0" t="s">
        <v>98</v>
      </c>
      <c r="D10280" s="6" t="n">
        <f aca="false">Sens!D10278+Sens!D10277</f>
        <v>84.605</v>
      </c>
      <c r="E10280" s="6" t="n">
        <f aca="false">Sens!E10278+Sens!E10277</f>
        <v>100.299</v>
      </c>
      <c r="F10280" s="6" t="n">
        <f aca="false">Sens!F10278+Sens!F10277</f>
        <v>119.729653205718</v>
      </c>
      <c r="G10280" s="6" t="n">
        <f aca="false">Sens!G10278+Sens!G10277</f>
        <v>140.806092647576</v>
      </c>
      <c r="H10280" s="6" t="n">
        <f aca="false">Sens!H10278+Sens!H10277</f>
        <v>161.963437602768</v>
      </c>
      <c r="I10280" s="6" t="n">
        <f aca="false">Sens!I10278+Sens!I10277</f>
        <v>180.695354741933</v>
      </c>
      <c r="J10280" s="6" t="n">
        <f aca="false">Sens!J10278+Sens!J10277</f>
        <v>196.722117481571</v>
      </c>
      <c r="K10280" s="6" t="n">
        <f aca="false">Sens!K10278+Sens!K10277</f>
        <v>212.00016570528</v>
      </c>
    </row>
    <row r="10281" customFormat="false" ht="17.15" hidden="false" customHeight="false" outlineLevel="0" collapsed="false">
      <c r="A10281" s="0" t="s">
        <v>1033</v>
      </c>
      <c r="B10281" s="0" t="s">
        <v>98</v>
      </c>
      <c r="D10281" s="6" t="n">
        <f aca="false">Q!L8</f>
        <v>35.391</v>
      </c>
      <c r="E10281" s="6" t="n">
        <f aca="false">Q!M8</f>
        <v>37.285</v>
      </c>
      <c r="F10281" s="6" t="n">
        <f aca="false">Q!$I$8+(Q!M8-Q!$E$8)*(1+Sens!F10282)</f>
        <v>38.3851437782675</v>
      </c>
      <c r="G10281" s="6" t="n">
        <f aca="false">Sens!F10281*(1+Sens!G10282)</f>
        <v>40.0105353288615</v>
      </c>
      <c r="H10281" s="6" t="n">
        <f aca="false">Sens!G10281*(1+Sens!H10282)</f>
        <v>41.4812512033683</v>
      </c>
      <c r="I10281" s="6" t="n">
        <f aca="false">Sens!H10281*(1+Sens!I10282)</f>
        <v>42.7743107216329</v>
      </c>
      <c r="J10281" s="6" t="n">
        <f aca="false">Sens!I10281*(1+Sens!J10282)</f>
        <v>43.8687373064601</v>
      </c>
      <c r="K10281" s="6" t="n">
        <f aca="false">Sens!J10281*(1+Sens!K10282)</f>
        <v>44.7461120525893</v>
      </c>
      <c r="L10281" s="12" t="s">
        <v>1034</v>
      </c>
    </row>
    <row r="10282" customFormat="false" ht="15" hidden="false" customHeight="false" outlineLevel="0" collapsed="false">
      <c r="A10282" s="1" t="s">
        <v>1024</v>
      </c>
      <c r="B10282" s="0" t="s">
        <v>168</v>
      </c>
      <c r="E10282" s="7" t="n">
        <f aca="false">Sens!E10281/Sens!D10281-1</f>
        <v>0.0535164307309768</v>
      </c>
      <c r="F10282" s="7" t="n">
        <f aca="false">Sens!$E$10282+(glt_lic-Sens!$E$10282)*MIN(1,(Sens!F10231-base_fy)/n_conv)</f>
        <v>0.0479303589424807</v>
      </c>
      <c r="G10282" s="7" t="n">
        <f aca="false">Sens!$E$10282+(glt_lic-Sens!$E$10282)*MIN(1,(Sens!G10231-base_fy)/n_conv)</f>
        <v>0.0423442871539845</v>
      </c>
      <c r="H10282" s="7" t="n">
        <f aca="false">Sens!$E$10282+(glt_lic-Sens!$E$10282)*MIN(1,(Sens!H10231-base_fy)/n_conv)</f>
        <v>0.0367582153654884</v>
      </c>
      <c r="I10282" s="7" t="n">
        <f aca="false">Sens!$E$10282+(glt_lic-Sens!$E$10282)*MIN(1,(Sens!I10231-base_fy)/n_conv)</f>
        <v>0.0311721435769923</v>
      </c>
      <c r="J10282" s="7" t="n">
        <f aca="false">Sens!$E$10282+(glt_lic-Sens!$E$10282)*MIN(1,(Sens!J10231-base_fy)/n_conv)</f>
        <v>0.0255860717884961</v>
      </c>
      <c r="K10282" s="7" t="n">
        <f aca="false">Sens!$E$10282+(glt_lic-Sens!$E$10282)*MIN(1,(Sens!K10231-base_fy)/n_conv)</f>
        <v>0.02</v>
      </c>
    </row>
    <row r="10283" customFormat="false" ht="17.15" hidden="false" customHeight="false" outlineLevel="0" collapsed="false">
      <c r="A10283" s="0" t="s">
        <v>1035</v>
      </c>
      <c r="B10283" s="0" t="s">
        <v>98</v>
      </c>
      <c r="D10283" s="6" t="n">
        <f aca="false">Q!L9</f>
        <v>18.417</v>
      </c>
      <c r="E10283" s="6" t="n">
        <f aca="false">Q!M9</f>
        <v>20.345</v>
      </c>
      <c r="F10283" s="6" t="n">
        <f aca="false">Q!$I$9+(Q!M9-Q!$E$9)*(1+Sens!F10284)</f>
        <v>22.3161797133988</v>
      </c>
      <c r="G10283" s="6" t="n">
        <f aca="false">Sens!F10283*(1+Sens!G10284)</f>
        <v>24.3943499673233</v>
      </c>
      <c r="H10283" s="6" t="n">
        <f aca="false">Sens!G10283*(1+Sens!H10284)</f>
        <v>26.5250243109019</v>
      </c>
      <c r="I10283" s="6" t="n">
        <f aca="false">Sens!H10283*(1+Sens!I10284)</f>
        <v>28.6884573538181</v>
      </c>
      <c r="J10283" s="6" t="n">
        <f aca="false">Sens!I10283*(1+Sens!J10284)</f>
        <v>30.8624968052127</v>
      </c>
      <c r="K10283" s="6" t="n">
        <f aca="false">Sens!J10283*(1+Sens!K10284)</f>
        <v>33.0228715815776</v>
      </c>
      <c r="L10283" s="12" t="s">
        <v>1034</v>
      </c>
    </row>
    <row r="10284" customFormat="false" ht="15" hidden="false" customHeight="false" outlineLevel="0" collapsed="false">
      <c r="A10284" s="1" t="s">
        <v>1024</v>
      </c>
      <c r="B10284" s="0" t="s">
        <v>168</v>
      </c>
      <c r="E10284" s="7" t="n">
        <f aca="false">Sens!E10283/Sens!D10283-1</f>
        <v>0.104685888038225</v>
      </c>
      <c r="F10284" s="7" t="n">
        <f aca="false">Sens!$E$10284+(glt_ind-Sens!$E$10284)*MIN(1,(Sens!F10231-base_fy)/n_conv)</f>
        <v>0.0989049066985211</v>
      </c>
      <c r="G10284" s="7" t="n">
        <f aca="false">Sens!$E$10284+(glt_ind-Sens!$E$10284)*MIN(1,(Sens!G10231-base_fy)/n_conv)</f>
        <v>0.0931239253588169</v>
      </c>
      <c r="H10284" s="7" t="n">
        <f aca="false">Sens!$E$10284+(glt_ind-Sens!$E$10284)*MIN(1,(Sens!H10231-base_fy)/n_conv)</f>
        <v>0.0873429440191127</v>
      </c>
      <c r="I10284" s="7" t="n">
        <f aca="false">Sens!$E$10284+(glt_ind-Sens!$E$10284)*MIN(1,(Sens!I10231-base_fy)/n_conv)</f>
        <v>0.0815619626794085</v>
      </c>
      <c r="J10284" s="7" t="n">
        <f aca="false">Sens!$E$10284+(glt_ind-Sens!$E$10284)*MIN(1,(Sens!J10231-base_fy)/n_conv)</f>
        <v>0.0757809813397042</v>
      </c>
      <c r="K10284" s="7" t="n">
        <f aca="false">Sens!$E$10284+(glt_ind-Sens!$E$10284)*MIN(1,(Sens!K10231-base_fy)/n_conv)</f>
        <v>0.07</v>
      </c>
    </row>
    <row r="10285" customFormat="false" ht="17.15" hidden="false" customHeight="false" outlineLevel="0" collapsed="false">
      <c r="A10285" s="0" t="s">
        <v>1036</v>
      </c>
      <c r="B10285" s="0" t="s">
        <v>98</v>
      </c>
      <c r="D10285" s="6" t="n">
        <f aca="false">Q!L10</f>
        <v>7.76</v>
      </c>
      <c r="E10285" s="6" t="n">
        <f aca="false">Q!M10</f>
        <v>8.26</v>
      </c>
      <c r="F10285" s="6" t="n">
        <f aca="false">Q!$I$10+(Q!M10-Q!$E$10)*(1+Sens!F10286)</f>
        <v>8.75372082474227</v>
      </c>
      <c r="G10285" s="6" t="n">
        <f aca="false">Sens!F10285*(1+Sens!G10286)</f>
        <v>9.33399324642364</v>
      </c>
      <c r="H10285" s="6" t="n">
        <f aca="false">Sens!G10285*(1+Sens!H10286)</f>
        <v>9.96139155535851</v>
      </c>
      <c r="I10285" s="6" t="n">
        <f aca="false">Sens!H10285*(1+Sens!I10286)</f>
        <v>10.6402039077391</v>
      </c>
      <c r="J10285" s="6" t="n">
        <f aca="false">Sens!I10285*(1+Sens!J10286)</f>
        <v>11.3751458271397</v>
      </c>
      <c r="K10285" s="6" t="n">
        <f aca="false">Sens!J10285*(1+Sens!K10286)</f>
        <v>12.1714060350394</v>
      </c>
      <c r="L10285" s="12" t="s">
        <v>1034</v>
      </c>
    </row>
    <row r="10286" customFormat="false" ht="15" hidden="false" customHeight="false" outlineLevel="0" collapsed="false">
      <c r="A10286" s="1" t="s">
        <v>1024</v>
      </c>
      <c r="B10286" s="0" t="s">
        <v>168</v>
      </c>
      <c r="E10286" s="7" t="n">
        <f aca="false">Sens!E10285/Sens!D10285-1</f>
        <v>0.0644329896907216</v>
      </c>
      <c r="F10286" s="7" t="n">
        <f aca="false">Sens!$E$10286+(glt_fro-Sens!$E$10286)*MIN(1,(Sens!F10231-base_fy)/n_conv)</f>
        <v>0.065360824742268</v>
      </c>
      <c r="G10286" s="7" t="n">
        <f aca="false">Sens!$E$10286+(glt_fro-Sens!$E$10286)*MIN(1,(Sens!G10231-base_fy)/n_conv)</f>
        <v>0.0662886597938144</v>
      </c>
      <c r="H10286" s="7" t="n">
        <f aca="false">Sens!$E$10286+(glt_fro-Sens!$E$10286)*MIN(1,(Sens!H10231-base_fy)/n_conv)</f>
        <v>0.0672164948453608</v>
      </c>
      <c r="I10286" s="7" t="n">
        <f aca="false">Sens!$E$10286+(glt_fro-Sens!$E$10286)*MIN(1,(Sens!I10231-base_fy)/n_conv)</f>
        <v>0.0681443298969072</v>
      </c>
      <c r="J10286" s="7" t="n">
        <f aca="false">Sens!$E$10286+(glt_fro-Sens!$E$10286)*MIN(1,(Sens!J10231-base_fy)/n_conv)</f>
        <v>0.0690721649484536</v>
      </c>
      <c r="K10286" s="7" t="n">
        <f aca="false">Sens!$E$10286+(glt_fro-Sens!$E$10286)*MIN(1,(Sens!K10231-base_fy)/n_conv)</f>
        <v>0.07</v>
      </c>
    </row>
    <row r="10287" customFormat="false" ht="15" hidden="false" customHeight="false" outlineLevel="0" collapsed="false">
      <c r="A10287" s="0" t="s">
        <v>852</v>
      </c>
      <c r="B10287" s="0" t="s">
        <v>98</v>
      </c>
      <c r="D10287" s="6" t="n">
        <f aca="false">Sens!D10275+Sens!D10280+Sens!D10281+Sens!D10283+Sens!D10285</f>
        <v>218.783</v>
      </c>
      <c r="E10287" s="6" t="n">
        <f aca="false">Sens!E10275+Sens!E10280+Sens!E10281+Sens!E10283+Sens!E10285</f>
        <v>268.127</v>
      </c>
      <c r="F10287" s="6" t="n">
        <f aca="false">Sens!F10275+Sens!F10280+Sens!F10281+Sens!F10283+Sens!F10285</f>
        <v>338.774715894377</v>
      </c>
      <c r="G10287" s="6" t="n">
        <f aca="false">Sens!G10275+Sens!G10280+Sens!G10281+Sens!G10283+Sens!G10285</f>
        <v>425.508058536537</v>
      </c>
      <c r="H10287" s="6" t="n">
        <f aca="false">Sens!H10275+Sens!H10280+Sens!H10281+Sens!H10283+Sens!H10285</f>
        <v>518.580813986921</v>
      </c>
      <c r="I10287" s="6" t="n">
        <f aca="false">Sens!I10275+Sens!I10280+Sens!I10281+Sens!I10283+Sens!I10285</f>
        <v>597.067731307455</v>
      </c>
      <c r="J10287" s="6" t="n">
        <f aca="false">Sens!J10275+Sens!J10280+Sens!J10281+Sens!J10283+Sens!J10285</f>
        <v>659.345790484055</v>
      </c>
      <c r="K10287" s="6" t="n">
        <f aca="false">Sens!K10275+Sens!K10280+Sens!K10281+Sens!K10283+Sens!K10285</f>
        <v>707.958647997291</v>
      </c>
    </row>
    <row r="10288" customFormat="false" ht="17.15" hidden="false" customHeight="false" outlineLevel="0" collapsed="false">
      <c r="A10288" s="0" t="s">
        <v>1037</v>
      </c>
      <c r="B10288" s="0" t="s">
        <v>98</v>
      </c>
      <c r="D10288" s="6" t="n">
        <f aca="false">Q!L13</f>
        <v>22.171</v>
      </c>
      <c r="E10288" s="6" t="n">
        <f aca="false">Q!M13</f>
        <v>24.835</v>
      </c>
      <c r="F10288" s="6" t="n">
        <f aca="false">Q!$I$13+(Q!M13-Q!$E$13)*(1+Sens!F10289)</f>
        <v>27.4647245660247</v>
      </c>
      <c r="G10288" s="6" t="n">
        <f aca="false">Sens!F10288*(1+Sens!G10289)</f>
        <v>30.0309728005339</v>
      </c>
      <c r="H10288" s="6" t="n">
        <f aca="false">Sens!G10288*(1+Sens!H10289)</f>
        <v>32.435807482304</v>
      </c>
      <c r="I10288" s="6" t="n">
        <f aca="false">Sens!H10288*(1+Sens!I10289)</f>
        <v>34.5998917086668</v>
      </c>
      <c r="J10288" s="6" t="n">
        <f aca="false">Sens!I10288*(1+Sens!J10289)</f>
        <v>36.4461244099918</v>
      </c>
      <c r="K10288" s="6" t="n">
        <f aca="false">Sens!J10288*(1+Sens!K10289)</f>
        <v>37.9039693863915</v>
      </c>
      <c r="L10288" s="12" t="s">
        <v>1034</v>
      </c>
    </row>
    <row r="10289" customFormat="false" ht="15" hidden="false" customHeight="false" outlineLevel="0" collapsed="false">
      <c r="A10289" s="1" t="s">
        <v>1024</v>
      </c>
      <c r="B10289" s="0" t="s">
        <v>168</v>
      </c>
      <c r="E10289" s="7" t="n">
        <f aca="false">Sens!E10288/Sens!D10288-1</f>
        <v>0.120156961796942</v>
      </c>
      <c r="F10289" s="7" t="n">
        <f aca="false">Sens!$E$10289+(glt_srch_lo-Sens!$E$10289)*MIN(1,(Sens!F10231-base_fy)/n_conv)</f>
        <v>0.106797468164118</v>
      </c>
      <c r="G10289" s="7" t="n">
        <f aca="false">Sens!$E$10289+(glt_srch_lo-Sens!$E$10289)*MIN(1,(Sens!G10231-base_fy)/n_conv)</f>
        <v>0.0934379745312947</v>
      </c>
      <c r="H10289" s="7" t="n">
        <f aca="false">Sens!$E$10289+(glt_srch_lo-Sens!$E$10289)*MIN(1,(Sens!H10231-base_fy)/n_conv)</f>
        <v>0.080078480898471</v>
      </c>
      <c r="I10289" s="7" t="n">
        <f aca="false">Sens!$E$10289+(glt_srch_lo-Sens!$E$10289)*MIN(1,(Sens!I10231-base_fy)/n_conv)</f>
        <v>0.0667189872656473</v>
      </c>
      <c r="J10289" s="7" t="n">
        <f aca="false">Sens!$E$10289+(glt_srch_lo-Sens!$E$10289)*MIN(1,(Sens!J10231-base_fy)/n_conv)</f>
        <v>0.0533594936328237</v>
      </c>
      <c r="K10289" s="7" t="n">
        <f aca="false">Sens!$E$10289+(glt_srch_lo-Sens!$E$10289)*MIN(1,(Sens!K10231-base_fy)/n_conv)</f>
        <v>0.04</v>
      </c>
    </row>
    <row r="10290" customFormat="false" ht="17.15" hidden="false" customHeight="false" outlineLevel="0" collapsed="false">
      <c r="A10290" s="0" t="s">
        <v>1038</v>
      </c>
      <c r="B10290" s="0" t="s">
        <v>98</v>
      </c>
      <c r="D10290" s="6" t="n">
        <f aca="false">Q!L14</f>
        <v>23.455</v>
      </c>
      <c r="E10290" s="6" t="n">
        <f aca="false">Q!M14</f>
        <v>21.79</v>
      </c>
      <c r="F10290" s="6" t="n">
        <f aca="false">Q!$I$14+(Q!M14-Q!$E$14)*(1+Sens!F10291)</f>
        <v>20.7520981041711</v>
      </c>
      <c r="G10290" s="6" t="n">
        <f aca="false">Sens!F10290*(1+Sens!G10291)</f>
        <v>19.9083593495882</v>
      </c>
      <c r="H10290" s="6" t="n">
        <f aca="false">Sens!G10290*(1+Sens!H10291)</f>
        <v>19.4008256265831</v>
      </c>
      <c r="I10290" s="6" t="n">
        <f aca="false">Sens!H10290*(1+Sens!I10291)</f>
        <v>19.200434522122</v>
      </c>
      <c r="J10290" s="6" t="n">
        <f aca="false">Sens!I10290*(1+Sens!J10291)</f>
        <v>19.2932782348507</v>
      </c>
      <c r="K10290" s="6" t="n">
        <f aca="false">Sens!J10290*(1+Sens!K10291)</f>
        <v>19.6791437995477</v>
      </c>
      <c r="L10290" s="12" t="s">
        <v>1034</v>
      </c>
    </row>
    <row r="10291" customFormat="false" ht="15" hidden="false" customHeight="false" outlineLevel="0" collapsed="false">
      <c r="A10291" s="1" t="s">
        <v>1024</v>
      </c>
      <c r="B10291" s="0" t="s">
        <v>168</v>
      </c>
      <c r="E10291" s="7" t="n">
        <f aca="false">Sens!E10290/Sens!D10290-1</f>
        <v>-0.0709869963760392</v>
      </c>
      <c r="F10291" s="7" t="n">
        <f aca="false">Sens!$E$10291+(glt_xbox-Sens!$E$10291)*MIN(1,(Sens!F10231-base_fy)/n_conv)</f>
        <v>-0.0558224969800327</v>
      </c>
      <c r="G10291" s="7" t="n">
        <f aca="false">Sens!$E$10291+(glt_xbox-Sens!$E$10291)*MIN(1,(Sens!G10231-base_fy)/n_conv)</f>
        <v>-0.0406579975840262</v>
      </c>
      <c r="H10291" s="7" t="n">
        <f aca="false">Sens!$E$10291+(glt_xbox-Sens!$E$10291)*MIN(1,(Sens!H10231-base_fy)/n_conv)</f>
        <v>-0.0254934981880196</v>
      </c>
      <c r="I10291" s="7" t="n">
        <f aca="false">Sens!$E$10291+(glt_xbox-Sens!$E$10291)*MIN(1,(Sens!I10231-base_fy)/n_conv)</f>
        <v>-0.0103289987920131</v>
      </c>
      <c r="J10291" s="7" t="n">
        <f aca="false">Sens!$E$10291+(glt_xbox-Sens!$E$10291)*MIN(1,(Sens!J10231-base_fy)/n_conv)</f>
        <v>0.00483550060399347</v>
      </c>
      <c r="K10291" s="7" t="n">
        <f aca="false">Sens!$E$10291+(glt_xbox-Sens!$E$10291)*MIN(1,(Sens!K10231-base_fy)/n_conv)</f>
        <v>0.02</v>
      </c>
    </row>
    <row r="10292" customFormat="false" ht="17.15" hidden="false" customHeight="false" outlineLevel="0" collapsed="false">
      <c r="A10292" s="0" t="s">
        <v>1039</v>
      </c>
      <c r="B10292" s="0" t="s">
        <v>98</v>
      </c>
      <c r="D10292" s="6" t="n">
        <f aca="false">Q!L15</f>
        <v>17.315</v>
      </c>
      <c r="E10292" s="6" t="n">
        <f aca="false">Q!M15</f>
        <v>17.087</v>
      </c>
      <c r="F10292" s="6" t="n">
        <f aca="false">Q!$I$15+(Q!M15-Q!$E$15)*(1+Sens!F10293)</f>
        <v>15.9912273250553</v>
      </c>
      <c r="G10292" s="6" t="n">
        <f aca="false">Sens!F10292*(1+Sens!G10293)</f>
        <v>15.9574562664827</v>
      </c>
      <c r="H10292" s="6" t="n">
        <f aca="false">Sens!G10292*(1+Sens!H10293)</f>
        <v>16.0119687434196</v>
      </c>
      <c r="I10292" s="6" t="n">
        <f aca="false">Sens!H10292*(1+Sens!I10293)</f>
        <v>16.1551810001948</v>
      </c>
      <c r="J10292" s="6" t="n">
        <f aca="false">Sens!I10292*(1+Sens!J10293)</f>
        <v>16.3889793892005</v>
      </c>
      <c r="K10292" s="6" t="n">
        <f aca="false">Sens!J10292*(1+Sens!K10293)</f>
        <v>16.7167589769845</v>
      </c>
      <c r="L10292" s="12" t="s">
        <v>1034</v>
      </c>
    </row>
    <row r="10293" customFormat="false" ht="15" hidden="false" customHeight="false" outlineLevel="0" collapsed="false">
      <c r="A10293" s="1" t="s">
        <v>1024</v>
      </c>
      <c r="B10293" s="0" t="s">
        <v>168</v>
      </c>
      <c r="E10293" s="7" t="n">
        <f aca="false">Sens!E10292/Sens!D10292-1</f>
        <v>-0.0131677736066995</v>
      </c>
      <c r="F10293" s="7" t="n">
        <f aca="false">Sens!$E$10293+(glt_win-Sens!$E$10293)*MIN(1,(Sens!F10231-base_fy)/n_conv)</f>
        <v>-0.00763981133891627</v>
      </c>
      <c r="G10293" s="7" t="n">
        <f aca="false">Sens!$E$10293+(glt_win-Sens!$E$10293)*MIN(1,(Sens!G10231-base_fy)/n_conv)</f>
        <v>-0.00211184907113301</v>
      </c>
      <c r="H10293" s="7" t="n">
        <f aca="false">Sens!$E$10293+(glt_win-Sens!$E$10293)*MIN(1,(Sens!H10231-base_fy)/n_conv)</f>
        <v>0.00341611319665024</v>
      </c>
      <c r="I10293" s="7" t="n">
        <f aca="false">Sens!$E$10293+(glt_win-Sens!$E$10293)*MIN(1,(Sens!I10231-base_fy)/n_conv)</f>
        <v>0.00894407546443349</v>
      </c>
      <c r="J10293" s="7" t="n">
        <f aca="false">Sens!$E$10293+(glt_win-Sens!$E$10293)*MIN(1,(Sens!J10231-base_fy)/n_conv)</f>
        <v>0.0144720377322168</v>
      </c>
      <c r="K10293" s="7" t="n">
        <f aca="false">Sens!$E$10293+(glt_win-Sens!$E$10293)*MIN(1,(Sens!K10231-base_fy)/n_conv)</f>
        <v>0.02</v>
      </c>
    </row>
    <row r="10294" customFormat="false" ht="15" hidden="false" customHeight="false" outlineLevel="0" collapsed="false">
      <c r="A10294" s="0" t="s">
        <v>866</v>
      </c>
      <c r="B10294" s="0" t="s">
        <v>98</v>
      </c>
      <c r="D10294" s="6" t="n">
        <f aca="false">Sens!D10288+Sens!D10290+Sens!D10292</f>
        <v>62.941</v>
      </c>
      <c r="E10294" s="6" t="n">
        <f aca="false">Sens!E10288+Sens!E10290+Sens!E10292</f>
        <v>63.712</v>
      </c>
      <c r="F10294" s="6" t="n">
        <f aca="false">Sens!F10288+Sens!F10290+Sens!F10292</f>
        <v>64.2080499952511</v>
      </c>
      <c r="G10294" s="6" t="n">
        <f aca="false">Sens!G10288+Sens!G10290+Sens!G10292</f>
        <v>65.8967884166048</v>
      </c>
      <c r="H10294" s="6" t="n">
        <f aca="false">Sens!H10288+Sens!H10290+Sens!H10292</f>
        <v>67.8486018523066</v>
      </c>
      <c r="I10294" s="6" t="n">
        <f aca="false">Sens!I10288+Sens!I10290+Sens!I10292</f>
        <v>69.9555072309837</v>
      </c>
      <c r="J10294" s="6" t="n">
        <f aca="false">Sens!J10288+Sens!J10290+Sens!J10292</f>
        <v>72.128382034043</v>
      </c>
      <c r="K10294" s="6" t="n">
        <f aca="false">Sens!K10288+Sens!K10290+Sens!K10292</f>
        <v>74.2998721629237</v>
      </c>
    </row>
    <row r="10295" customFormat="false" ht="15" hidden="false" customHeight="false" outlineLevel="0" collapsed="false">
      <c r="A10295" s="1" t="s">
        <v>1040</v>
      </c>
      <c r="B10295" s="0" t="s">
        <v>98</v>
      </c>
      <c r="D10295" s="6" t="n">
        <f aca="false">Sens!D10287+Sens!D10294</f>
        <v>281.724</v>
      </c>
      <c r="E10295" s="6" t="n">
        <f aca="false">Sens!E10287+Sens!E10294</f>
        <v>331.839</v>
      </c>
      <c r="F10295" s="6" t="n">
        <f aca="false">Sens!F10287+Sens!F10294</f>
        <v>402.982765889628</v>
      </c>
      <c r="G10295" s="6" t="n">
        <f aca="false">Sens!G10287+Sens!G10294</f>
        <v>491.404846953142</v>
      </c>
      <c r="H10295" s="6" t="n">
        <f aca="false">Sens!H10287+Sens!H10294</f>
        <v>586.429415839228</v>
      </c>
      <c r="I10295" s="6" t="n">
        <f aca="false">Sens!I10287+Sens!I10294</f>
        <v>667.023238538439</v>
      </c>
      <c r="J10295" s="6" t="n">
        <f aca="false">Sens!J10287+Sens!J10294</f>
        <v>731.474172518098</v>
      </c>
      <c r="K10295" s="6" t="n">
        <f aca="false">Sens!K10287+Sens!K10294</f>
        <v>782.258520160215</v>
      </c>
    </row>
    <row r="10296" customFormat="false" ht="15" hidden="false" customHeight="false" outlineLevel="0" collapsed="false">
      <c r="A10296" s="26" t="s">
        <v>1041</v>
      </c>
      <c r="B10296" s="31" t="s">
        <v>98</v>
      </c>
      <c r="C10296" s="31"/>
      <c r="D10296" s="27" t="n">
        <f aca="false">(Sens!D10275+Sens!D10280+Sens!D10281+Sens!D10283+Sens!D10285-Sens!D10287)+(Sens!D10288+Sens!D10290+Sens!D10292-Sens!D10294)+(Sens!D10287-Q!L5)+(Sens!D10294-Q!L12)+(Sens!D10275-Q!L6)+(Sens!D10280-Q!L7)</f>
        <v>0</v>
      </c>
      <c r="E10296" s="27" t="n">
        <f aca="false">(Sens!E10275+Sens!E10280+Sens!E10281+Sens!E10283+Sens!E10285-Sens!E10287)+(Sens!E10288+Sens!E10290+Sens!E10292-Sens!E10294)+(Sens!E10287-Q!M5)+(Sens!E10294-Q!M12)+(Sens!E10275-Q!M6)+(Sens!E10280-Q!M7)</f>
        <v>0</v>
      </c>
      <c r="F10296" s="27" t="n">
        <f aca="false">(Sens!F10275+Sens!F10280+Sens!F10281+Sens!F10283+Sens!F10285-Sens!F10287)+(Sens!F10288+Sens!F10290+Sens!F10292-Sens!F10294)</f>
        <v>0</v>
      </c>
      <c r="G10296" s="27" t="n">
        <f aca="false">(Sens!G10275+Sens!G10280+Sens!G10281+Sens!G10283+Sens!G10285-Sens!G10287)+(Sens!G10288+Sens!G10290+Sens!G10292-Sens!G10294)</f>
        <v>0</v>
      </c>
      <c r="H10296" s="27" t="n">
        <f aca="false">(Sens!H10275+Sens!H10280+Sens!H10281+Sens!H10283+Sens!H10285-Sens!H10287)+(Sens!H10288+Sens!H10290+Sens!H10292-Sens!H10294)</f>
        <v>0</v>
      </c>
      <c r="I10296" s="27" t="n">
        <f aca="false">(Sens!I10275+Sens!I10280+Sens!I10281+Sens!I10283+Sens!I10285-Sens!I10287)+(Sens!I10288+Sens!I10290+Sens!I10292-Sens!I10294)</f>
        <v>0</v>
      </c>
      <c r="J10296" s="27" t="n">
        <f aca="false">(Sens!J10275+Sens!J10280+Sens!J10281+Sens!J10283+Sens!J10285-Sens!J10287)+(Sens!J10288+Sens!J10290+Sens!J10292-Sens!J10294)</f>
        <v>0</v>
      </c>
      <c r="K10296" s="27" t="n">
        <f aca="false">(Sens!K10275+Sens!K10280+Sens!K10281+Sens!K10283+Sens!K10285-Sens!K10287)+(Sens!K10288+Sens!K10290+Sens!K10292-Sens!K10294)</f>
        <v>0</v>
      </c>
    </row>
    <row r="10297" customFormat="false" ht="17.15" hidden="false" customHeight="false" outlineLevel="0" collapsed="false">
      <c r="A10297" s="3" t="s">
        <v>1737</v>
      </c>
    </row>
    <row r="10298" customFormat="false" ht="15" hidden="false" customHeight="false" outlineLevel="0" collapsed="false">
      <c r="A10298" s="4" t="s">
        <v>43</v>
      </c>
      <c r="B10298" s="4" t="s">
        <v>65</v>
      </c>
      <c r="C10298" s="23" t="s">
        <v>938</v>
      </c>
      <c r="D10298" s="23" t="s">
        <v>939</v>
      </c>
      <c r="E10298" s="23" t="s">
        <v>940</v>
      </c>
      <c r="F10298" s="23" t="s">
        <v>941</v>
      </c>
      <c r="G10298" s="23" t="s">
        <v>942</v>
      </c>
      <c r="H10298" s="23" t="s">
        <v>943</v>
      </c>
      <c r="I10298" s="23" t="s">
        <v>944</v>
      </c>
      <c r="J10298" s="23" t="s">
        <v>945</v>
      </c>
      <c r="K10298" s="23" t="s">
        <v>946</v>
      </c>
      <c r="L10298" s="4" t="s">
        <v>47</v>
      </c>
    </row>
    <row r="10299" customFormat="false" ht="15" hidden="false" customHeight="false" outlineLevel="0" collapsed="false">
      <c r="A10299" s="0" t="s">
        <v>1025</v>
      </c>
      <c r="B10299" s="0" t="s">
        <v>98</v>
      </c>
      <c r="D10299" s="6" t="n">
        <f aca="false">Sens!D10275</f>
        <v>72.61</v>
      </c>
      <c r="E10299" s="6" t="n">
        <f aca="false">Sens!E10275</f>
        <v>101.938</v>
      </c>
      <c r="F10299" s="6" t="n">
        <f aca="false">Sens!F10275</f>
        <v>149.59001837225</v>
      </c>
      <c r="G10299" s="6" t="n">
        <f aca="false">Sens!G10275</f>
        <v>210.963087346352</v>
      </c>
      <c r="H10299" s="6" t="n">
        <f aca="false">Sens!H10275</f>
        <v>278.649709314524</v>
      </c>
      <c r="I10299" s="6" t="n">
        <f aca="false">Sens!I10275</f>
        <v>334.269404582332</v>
      </c>
      <c r="J10299" s="6" t="n">
        <f aca="false">Sens!J10275</f>
        <v>376.517293063672</v>
      </c>
      <c r="K10299" s="6" t="n">
        <f aca="false">Sens!K10275</f>
        <v>406.018092622804</v>
      </c>
    </row>
    <row r="10300" customFormat="false" ht="17.15" hidden="false" customHeight="false" outlineLevel="0" collapsed="false">
      <c r="A10300" s="0" t="s">
        <v>1021</v>
      </c>
      <c r="B10300" s="0" t="s">
        <v>98</v>
      </c>
      <c r="D10300" s="6" t="n">
        <f aca="false">Sens!D10272</f>
        <v>12.9359794422418</v>
      </c>
      <c r="E10300" s="6" t="n">
        <f aca="false">Sens!E10272</f>
        <v>27.8095064661409</v>
      </c>
      <c r="F10300" s="6" t="n">
        <f aca="false">Sens!F10272</f>
        <v>59.1034165651511</v>
      </c>
      <c r="G10300" s="6" t="n">
        <f aca="false">Sens!G10272</f>
        <v>103.451498789198</v>
      </c>
      <c r="H10300" s="6" t="n">
        <f aca="false">Sens!H10272</f>
        <v>153.816719989035</v>
      </c>
      <c r="I10300" s="6" t="n">
        <f aca="false">Sens!I10272</f>
        <v>192.699478690852</v>
      </c>
      <c r="J10300" s="6" t="n">
        <f aca="false">Sens!J10272</f>
        <v>219.794102584244</v>
      </c>
      <c r="K10300" s="6" t="n">
        <f aca="false">Sens!K10272</f>
        <v>236.757046905022</v>
      </c>
    </row>
    <row r="10301" customFormat="false" ht="17.15" hidden="false" customHeight="false" outlineLevel="0" collapsed="false">
      <c r="A10301" s="0" t="s">
        <v>1052</v>
      </c>
      <c r="B10301" s="0" t="s">
        <v>98</v>
      </c>
      <c r="D10301" s="6" t="n">
        <f aca="false">Sens!D10273</f>
        <v>59.6740205577583</v>
      </c>
      <c r="E10301" s="6" t="n">
        <f aca="false">Sens!E10273</f>
        <v>74.1284935338591</v>
      </c>
      <c r="F10301" s="6" t="n">
        <f aca="false">Sens!F10273</f>
        <v>90.4866018070994</v>
      </c>
      <c r="G10301" s="6" t="n">
        <f aca="false">Sens!G10273</f>
        <v>107.511588557154</v>
      </c>
      <c r="H10301" s="6" t="n">
        <f aca="false">Sens!H10273</f>
        <v>124.832989325489</v>
      </c>
      <c r="I10301" s="6" t="n">
        <f aca="false">Sens!I10273</f>
        <v>141.56992589148</v>
      </c>
      <c r="J10301" s="6" t="n">
        <f aca="false">Sens!J10273</f>
        <v>156.723190479428</v>
      </c>
      <c r="K10301" s="6" t="n">
        <f aca="false">Sens!K10273</f>
        <v>169.261045717783</v>
      </c>
    </row>
    <row r="10302" customFormat="false" ht="15" hidden="false" customHeight="false" outlineLevel="0" collapsed="false">
      <c r="A10302" s="0" t="s">
        <v>1032</v>
      </c>
      <c r="B10302" s="0" t="s">
        <v>98</v>
      </c>
      <c r="D10302" s="6" t="n">
        <f aca="false">Sens!D10280</f>
        <v>84.605</v>
      </c>
      <c r="E10302" s="6" t="n">
        <f aca="false">Sens!E10280</f>
        <v>100.299</v>
      </c>
      <c r="F10302" s="6" t="n">
        <f aca="false">Sens!F10280</f>
        <v>119.729653205718</v>
      </c>
      <c r="G10302" s="6" t="n">
        <f aca="false">Sens!G10280</f>
        <v>140.806092647576</v>
      </c>
      <c r="H10302" s="6" t="n">
        <f aca="false">Sens!H10280</f>
        <v>161.963437602768</v>
      </c>
      <c r="I10302" s="6" t="n">
        <f aca="false">Sens!I10280</f>
        <v>180.695354741933</v>
      </c>
      <c r="J10302" s="6" t="n">
        <f aca="false">Sens!J10280</f>
        <v>196.722117481571</v>
      </c>
      <c r="K10302" s="6" t="n">
        <f aca="false">Sens!K10280</f>
        <v>212.00016570528</v>
      </c>
    </row>
    <row r="10303" customFormat="false" ht="17.15" hidden="false" customHeight="false" outlineLevel="0" collapsed="false">
      <c r="A10303" s="0" t="s">
        <v>1053</v>
      </c>
      <c r="B10303" s="0" t="s">
        <v>98</v>
      </c>
      <c r="D10303" s="6" t="n">
        <f aca="false">Sens!D10278</f>
        <v>83.705</v>
      </c>
      <c r="E10303" s="6" t="n">
        <f aca="false">Sens!E10278</f>
        <v>95.049</v>
      </c>
      <c r="F10303" s="6" t="n">
        <f aca="false">Sens!F10278</f>
        <v>106.229653205718</v>
      </c>
      <c r="G10303" s="6" t="n">
        <f aca="false">Sens!G10278</f>
        <v>118.306092647576</v>
      </c>
      <c r="H10303" s="6" t="n">
        <f aca="false">Sens!H10278</f>
        <v>130.463437602768</v>
      </c>
      <c r="I10303" s="6" t="n">
        <f aca="false">Sens!I10278</f>
        <v>142.445354741933</v>
      </c>
      <c r="J10303" s="6" t="n">
        <f aca="false">Sens!J10278</f>
        <v>153.972117481571</v>
      </c>
      <c r="K10303" s="6" t="n">
        <f aca="false">Sens!K10278</f>
        <v>164.75016570528</v>
      </c>
    </row>
    <row r="10304" customFormat="false" ht="17.15" hidden="false" customHeight="false" outlineLevel="0" collapsed="false">
      <c r="A10304" s="0" t="s">
        <v>1054</v>
      </c>
      <c r="B10304" s="0" t="s">
        <v>98</v>
      </c>
      <c r="D10304" s="6" t="n">
        <f aca="false">Sens!D10277</f>
        <v>0.9</v>
      </c>
      <c r="E10304" s="6" t="n">
        <f aca="false">Sens!E10277</f>
        <v>5.25</v>
      </c>
      <c r="F10304" s="6" t="n">
        <f aca="false">Sens!F10277</f>
        <v>13.5</v>
      </c>
      <c r="G10304" s="6" t="n">
        <f aca="false">Sens!G10277</f>
        <v>22.5</v>
      </c>
      <c r="H10304" s="6" t="n">
        <f aca="false">Sens!H10277</f>
        <v>31.5</v>
      </c>
      <c r="I10304" s="6" t="n">
        <f aca="false">Sens!I10277</f>
        <v>38.25</v>
      </c>
      <c r="J10304" s="6" t="n">
        <f aca="false">Sens!J10277</f>
        <v>42.75</v>
      </c>
      <c r="K10304" s="6" t="n">
        <f aca="false">Sens!K10277</f>
        <v>47.25</v>
      </c>
    </row>
    <row r="10305" customFormat="false" ht="15" hidden="false" customHeight="false" outlineLevel="0" collapsed="false">
      <c r="A10305" s="0" t="s">
        <v>1033</v>
      </c>
      <c r="B10305" s="0" t="s">
        <v>98</v>
      </c>
      <c r="D10305" s="6" t="n">
        <f aca="false">Sens!D10281</f>
        <v>35.391</v>
      </c>
      <c r="E10305" s="6" t="n">
        <f aca="false">Sens!E10281</f>
        <v>37.285</v>
      </c>
      <c r="F10305" s="6" t="n">
        <f aca="false">Sens!F10281</f>
        <v>38.3851437782675</v>
      </c>
      <c r="G10305" s="6" t="n">
        <f aca="false">Sens!G10281</f>
        <v>40.0105353288615</v>
      </c>
      <c r="H10305" s="6" t="n">
        <f aca="false">Sens!H10281</f>
        <v>41.4812512033683</v>
      </c>
      <c r="I10305" s="6" t="n">
        <f aca="false">Sens!I10281</f>
        <v>42.7743107216329</v>
      </c>
      <c r="J10305" s="6" t="n">
        <f aca="false">Sens!J10281</f>
        <v>43.8687373064601</v>
      </c>
      <c r="K10305" s="6" t="n">
        <f aca="false">Sens!K10281</f>
        <v>44.7461120525893</v>
      </c>
    </row>
    <row r="10306" customFormat="false" ht="15" hidden="false" customHeight="false" outlineLevel="0" collapsed="false">
      <c r="A10306" s="0" t="s">
        <v>1035</v>
      </c>
      <c r="B10306" s="0" t="s">
        <v>98</v>
      </c>
      <c r="D10306" s="6" t="n">
        <f aca="false">Sens!D10283</f>
        <v>18.417</v>
      </c>
      <c r="E10306" s="6" t="n">
        <f aca="false">Sens!E10283</f>
        <v>20.345</v>
      </c>
      <c r="F10306" s="6" t="n">
        <f aca="false">Sens!F10283</f>
        <v>22.3161797133988</v>
      </c>
      <c r="G10306" s="6" t="n">
        <f aca="false">Sens!G10283</f>
        <v>24.3943499673233</v>
      </c>
      <c r="H10306" s="6" t="n">
        <f aca="false">Sens!H10283</f>
        <v>26.5250243109019</v>
      </c>
      <c r="I10306" s="6" t="n">
        <f aca="false">Sens!I10283</f>
        <v>28.6884573538181</v>
      </c>
      <c r="J10306" s="6" t="n">
        <f aca="false">Sens!J10283</f>
        <v>30.8624968052127</v>
      </c>
      <c r="K10306" s="6" t="n">
        <f aca="false">Sens!K10283</f>
        <v>33.0228715815776</v>
      </c>
    </row>
    <row r="10307" customFormat="false" ht="15" hidden="false" customHeight="false" outlineLevel="0" collapsed="false">
      <c r="A10307" s="0" t="s">
        <v>1036</v>
      </c>
      <c r="B10307" s="0" t="s">
        <v>98</v>
      </c>
      <c r="D10307" s="6" t="n">
        <f aca="false">Sens!D10285</f>
        <v>7.76</v>
      </c>
      <c r="E10307" s="6" t="n">
        <f aca="false">Sens!E10285</f>
        <v>8.26</v>
      </c>
      <c r="F10307" s="6" t="n">
        <f aca="false">Sens!F10285</f>
        <v>8.75372082474227</v>
      </c>
      <c r="G10307" s="6" t="n">
        <f aca="false">Sens!G10285</f>
        <v>9.33399324642364</v>
      </c>
      <c r="H10307" s="6" t="n">
        <f aca="false">Sens!H10285</f>
        <v>9.96139155535851</v>
      </c>
      <c r="I10307" s="6" t="n">
        <f aca="false">Sens!I10285</f>
        <v>10.6402039077391</v>
      </c>
      <c r="J10307" s="6" t="n">
        <f aca="false">Sens!J10285</f>
        <v>11.3751458271397</v>
      </c>
      <c r="K10307" s="6" t="n">
        <f aca="false">Sens!K10285</f>
        <v>12.1714060350394</v>
      </c>
    </row>
    <row r="10308" customFormat="false" ht="15" hidden="false" customHeight="false" outlineLevel="0" collapsed="false">
      <c r="A10308" s="0" t="s">
        <v>852</v>
      </c>
      <c r="B10308" s="0" t="s">
        <v>98</v>
      </c>
      <c r="D10308" s="6" t="n">
        <f aca="false">Sens!D10287</f>
        <v>218.783</v>
      </c>
      <c r="E10308" s="6" t="n">
        <f aca="false">Sens!E10287</f>
        <v>268.127</v>
      </c>
      <c r="F10308" s="6" t="n">
        <f aca="false">Sens!F10287</f>
        <v>338.774715894377</v>
      </c>
      <c r="G10308" s="6" t="n">
        <f aca="false">Sens!G10287</f>
        <v>425.508058536537</v>
      </c>
      <c r="H10308" s="6" t="n">
        <f aca="false">Sens!H10287</f>
        <v>518.580813986921</v>
      </c>
      <c r="I10308" s="6" t="n">
        <f aca="false">Sens!I10287</f>
        <v>597.067731307455</v>
      </c>
      <c r="J10308" s="6" t="n">
        <f aca="false">Sens!J10287</f>
        <v>659.345790484055</v>
      </c>
      <c r="K10308" s="6" t="n">
        <f aca="false">Sens!K10287</f>
        <v>707.958647997291</v>
      </c>
    </row>
    <row r="10309" customFormat="false" ht="15" hidden="false" customHeight="false" outlineLevel="0" collapsed="false">
      <c r="A10309" s="0" t="s">
        <v>1037</v>
      </c>
      <c r="B10309" s="0" t="s">
        <v>98</v>
      </c>
      <c r="D10309" s="6" t="n">
        <f aca="false">Sens!D10288</f>
        <v>22.171</v>
      </c>
      <c r="E10309" s="6" t="n">
        <f aca="false">Sens!E10288</f>
        <v>24.835</v>
      </c>
      <c r="F10309" s="6" t="n">
        <f aca="false">Sens!F10288</f>
        <v>27.4647245660247</v>
      </c>
      <c r="G10309" s="6" t="n">
        <f aca="false">Sens!G10288</f>
        <v>30.0309728005339</v>
      </c>
      <c r="H10309" s="6" t="n">
        <f aca="false">Sens!H10288</f>
        <v>32.435807482304</v>
      </c>
      <c r="I10309" s="6" t="n">
        <f aca="false">Sens!I10288</f>
        <v>34.5998917086668</v>
      </c>
      <c r="J10309" s="6" t="n">
        <f aca="false">Sens!J10288</f>
        <v>36.4461244099918</v>
      </c>
      <c r="K10309" s="6" t="n">
        <f aca="false">Sens!K10288</f>
        <v>37.9039693863915</v>
      </c>
    </row>
    <row r="10310" customFormat="false" ht="15" hidden="false" customHeight="false" outlineLevel="0" collapsed="false">
      <c r="A10310" s="0" t="s">
        <v>1038</v>
      </c>
      <c r="B10310" s="0" t="s">
        <v>98</v>
      </c>
      <c r="D10310" s="6" t="n">
        <f aca="false">Sens!D10290</f>
        <v>23.455</v>
      </c>
      <c r="E10310" s="6" t="n">
        <f aca="false">Sens!E10290</f>
        <v>21.79</v>
      </c>
      <c r="F10310" s="6" t="n">
        <f aca="false">Sens!F10290</f>
        <v>20.7520981041711</v>
      </c>
      <c r="G10310" s="6" t="n">
        <f aca="false">Sens!G10290</f>
        <v>19.9083593495882</v>
      </c>
      <c r="H10310" s="6" t="n">
        <f aca="false">Sens!H10290</f>
        <v>19.4008256265831</v>
      </c>
      <c r="I10310" s="6" t="n">
        <f aca="false">Sens!I10290</f>
        <v>19.200434522122</v>
      </c>
      <c r="J10310" s="6" t="n">
        <f aca="false">Sens!J10290</f>
        <v>19.2932782348507</v>
      </c>
      <c r="K10310" s="6" t="n">
        <f aca="false">Sens!K10290</f>
        <v>19.6791437995477</v>
      </c>
    </row>
    <row r="10311" customFormat="false" ht="15" hidden="false" customHeight="false" outlineLevel="0" collapsed="false">
      <c r="A10311" s="0" t="s">
        <v>1039</v>
      </c>
      <c r="B10311" s="0" t="s">
        <v>98</v>
      </c>
      <c r="D10311" s="6" t="n">
        <f aca="false">Sens!D10292</f>
        <v>17.315</v>
      </c>
      <c r="E10311" s="6" t="n">
        <f aca="false">Sens!E10292</f>
        <v>17.087</v>
      </c>
      <c r="F10311" s="6" t="n">
        <f aca="false">Sens!F10292</f>
        <v>15.9912273250553</v>
      </c>
      <c r="G10311" s="6" t="n">
        <f aca="false">Sens!G10292</f>
        <v>15.9574562664827</v>
      </c>
      <c r="H10311" s="6" t="n">
        <f aca="false">Sens!H10292</f>
        <v>16.0119687434196</v>
      </c>
      <c r="I10311" s="6" t="n">
        <f aca="false">Sens!I10292</f>
        <v>16.1551810001948</v>
      </c>
      <c r="J10311" s="6" t="n">
        <f aca="false">Sens!J10292</f>
        <v>16.3889793892005</v>
      </c>
      <c r="K10311" s="6" t="n">
        <f aca="false">Sens!K10292</f>
        <v>16.7167589769845</v>
      </c>
    </row>
    <row r="10312" customFormat="false" ht="15" hidden="false" customHeight="false" outlineLevel="0" collapsed="false">
      <c r="A10312" s="0" t="s">
        <v>866</v>
      </c>
      <c r="B10312" s="0" t="s">
        <v>98</v>
      </c>
      <c r="D10312" s="6" t="n">
        <f aca="false">Sens!D10294</f>
        <v>62.941</v>
      </c>
      <c r="E10312" s="6" t="n">
        <f aca="false">Sens!E10294</f>
        <v>63.712</v>
      </c>
      <c r="F10312" s="6" t="n">
        <f aca="false">Sens!F10294</f>
        <v>64.2080499952511</v>
      </c>
      <c r="G10312" s="6" t="n">
        <f aca="false">Sens!G10294</f>
        <v>65.8967884166048</v>
      </c>
      <c r="H10312" s="6" t="n">
        <f aca="false">Sens!H10294</f>
        <v>67.8486018523066</v>
      </c>
      <c r="I10312" s="6" t="n">
        <f aca="false">Sens!I10294</f>
        <v>69.9555072309837</v>
      </c>
      <c r="J10312" s="6" t="n">
        <f aca="false">Sens!J10294</f>
        <v>72.128382034043</v>
      </c>
      <c r="K10312" s="6" t="n">
        <f aca="false">Sens!K10294</f>
        <v>74.2998721629237</v>
      </c>
    </row>
    <row r="10313" customFormat="false" ht="15" hidden="false" customHeight="false" outlineLevel="0" collapsed="false">
      <c r="A10313" s="1" t="s">
        <v>1055</v>
      </c>
      <c r="B10313" s="0" t="s">
        <v>98</v>
      </c>
      <c r="D10313" s="6" t="n">
        <f aca="false">Sens!D10295</f>
        <v>281.724</v>
      </c>
      <c r="E10313" s="6" t="n">
        <f aca="false">Sens!E10295</f>
        <v>331.839</v>
      </c>
      <c r="F10313" s="6" t="n">
        <f aca="false">Sens!F10295</f>
        <v>402.982765889628</v>
      </c>
      <c r="G10313" s="6" t="n">
        <f aca="false">Sens!G10295</f>
        <v>491.404846953142</v>
      </c>
      <c r="H10313" s="6" t="n">
        <f aca="false">Sens!H10295</f>
        <v>586.429415839228</v>
      </c>
      <c r="I10313" s="6" t="n">
        <f aca="false">Sens!I10295</f>
        <v>667.023238538439</v>
      </c>
      <c r="J10313" s="6" t="n">
        <f aca="false">Sens!J10295</f>
        <v>731.474172518098</v>
      </c>
      <c r="K10313" s="6" t="n">
        <f aca="false">Sens!K10295</f>
        <v>782.258520160215</v>
      </c>
    </row>
    <row r="10314" customFormat="false" ht="15" hidden="false" customHeight="false" outlineLevel="0" collapsed="false">
      <c r="A10314" s="1" t="s">
        <v>1056</v>
      </c>
      <c r="B10314" s="0" t="s">
        <v>168</v>
      </c>
      <c r="E10314" s="7" t="n">
        <f aca="false">Sens!E10313/Sens!D10313-1</f>
        <v>0.177886867998467</v>
      </c>
      <c r="F10314" s="7" t="n">
        <f aca="false">Sens!F10313/Sens!E10313-1</f>
        <v>0.214392418882736</v>
      </c>
      <c r="G10314" s="7" t="n">
        <f aca="false">Sens!G10313/Sens!F10313-1</f>
        <v>0.219419013784156</v>
      </c>
      <c r="H10314" s="7" t="n">
        <f aca="false">Sens!H10313/Sens!G10313-1</f>
        <v>0.193373283709485</v>
      </c>
      <c r="I10314" s="7" t="n">
        <f aca="false">Sens!I10313/Sens!H10313-1</f>
        <v>0.137431412071775</v>
      </c>
      <c r="J10314" s="7" t="n">
        <f aca="false">Sens!J10313/Sens!I10313-1</f>
        <v>0.0966247204833255</v>
      </c>
      <c r="K10314" s="7" t="n">
        <f aca="false">Sens!K10313/Sens!J10313-1</f>
        <v>0.0694273968242678</v>
      </c>
    </row>
    <row r="10315" customFormat="false" ht="17.15" hidden="false" customHeight="false" outlineLevel="0" collapsed="false">
      <c r="A10315" s="26" t="s">
        <v>1057</v>
      </c>
      <c r="B10315" s="31" t="s">
        <v>98</v>
      </c>
      <c r="C10315" s="31"/>
      <c r="D10315" s="27" t="n">
        <f aca="false">(Sens!D10308+Sens!D10312-Sens!D10313)+(Sens!D10300+Sens!D10301-Sens!D10299)+(Sens!D10303+Sens!D10304-Sens!D10302)+(Sens!D10313-Q!L18)</f>
        <v>0</v>
      </c>
      <c r="E10315" s="27" t="n">
        <f aca="false">(Sens!E10308+Sens!E10312-Sens!E10313)+(Sens!E10300+Sens!E10301-Sens!E10299)+(Sens!E10303+Sens!E10304-Sens!E10302)+(Sens!E10313-Q!M18)</f>
        <v>0</v>
      </c>
      <c r="F10315" s="27" t="n">
        <f aca="false">(Sens!F10308+Sens!F10312-Sens!F10313)+(Sens!F10300+Sens!F10301-Sens!F10299)+(Sens!F10303+Sens!F10304-Sens!F10302)</f>
        <v>0</v>
      </c>
      <c r="G10315" s="27" t="n">
        <f aca="false">(Sens!G10308+Sens!G10312-Sens!G10313)+(Sens!G10300+Sens!G10301-Sens!G10299)+(Sens!G10303+Sens!G10304-Sens!G10302)</f>
        <v>0</v>
      </c>
      <c r="H10315" s="27" t="n">
        <f aca="false">(Sens!H10308+Sens!H10312-Sens!H10313)+(Sens!H10300+Sens!H10301-Sens!H10299)+(Sens!H10303+Sens!H10304-Sens!H10302)</f>
        <v>0</v>
      </c>
      <c r="I10315" s="27" t="n">
        <f aca="false">(Sens!I10308+Sens!I10312-Sens!I10313)+(Sens!I10300+Sens!I10301-Sens!I10299)+(Sens!I10303+Sens!I10304-Sens!I10302)</f>
        <v>0</v>
      </c>
      <c r="J10315" s="27" t="n">
        <f aca="false">(Sens!J10308+Sens!J10312-Sens!J10313)+(Sens!J10300+Sens!J10301-Sens!J10299)+(Sens!J10303+Sens!J10304-Sens!J10302)</f>
        <v>0</v>
      </c>
      <c r="K10315" s="27" t="n">
        <f aca="false">(Sens!K10308+Sens!K10312-Sens!K10313)+(Sens!K10300+Sens!K10301-Sens!K10299)+(Sens!K10303+Sens!K10304-Sens!K10302)</f>
        <v>0</v>
      </c>
    </row>
    <row r="10316" customFormat="false" ht="17.15" hidden="false" customHeight="false" outlineLevel="0" collapsed="false">
      <c r="A10316" s="0" t="s">
        <v>1058</v>
      </c>
      <c r="B10316" s="0" t="s">
        <v>168</v>
      </c>
      <c r="E10316" s="7" t="n">
        <f aca="false">(Q!M21+Sens!E10252+Sens!E10253+Sens!E10254+Sens!E10268-Sens!E10250)/(Q!M5-Sens!E10250)</f>
        <v>0.570957350878296</v>
      </c>
      <c r="F10316" s="7" t="n">
        <f aca="false">Sens!$E$10316+dm_seg</f>
        <v>0.570957350878296</v>
      </c>
      <c r="G10316" s="7" t="n">
        <f aca="false">Sens!$E$10316+dm_seg</f>
        <v>0.570957350878296</v>
      </c>
      <c r="H10316" s="7" t="n">
        <f aca="false">Sens!$E$10316+dm_seg</f>
        <v>0.570957350878296</v>
      </c>
      <c r="I10316" s="7" t="n">
        <f aca="false">Sens!$E$10316+dm_seg</f>
        <v>0.570957350878296</v>
      </c>
      <c r="J10316" s="7" t="n">
        <f aca="false">Sens!$E$10316+dm_seg</f>
        <v>0.570957350878296</v>
      </c>
      <c r="K10316" s="7" t="n">
        <f aca="false">Sens!$E$10316+dm_seg</f>
        <v>0.570957350878296</v>
      </c>
      <c r="L10316" s="12" t="s">
        <v>1059</v>
      </c>
    </row>
    <row r="10317" customFormat="false" ht="17.15" hidden="false" customHeight="false" outlineLevel="0" collapsed="false">
      <c r="A10317" s="0" t="s">
        <v>880</v>
      </c>
      <c r="B10317" s="0" t="s">
        <v>98</v>
      </c>
      <c r="D10317" s="6" t="n">
        <f aca="false">Q!L21</f>
        <v>110.814</v>
      </c>
      <c r="E10317" s="6" t="n">
        <f aca="false">Q!M21</f>
        <v>136.365</v>
      </c>
      <c r="F10317" s="6" t="n">
        <f aca="false">Q!$I$21+(Sens!F10316*(Sens!F10287-Sens!F10250)+Sens!F10250-(Sens!F10252+Sens!F10253+Sens!F10254)-Sens!F10268-Sens!F10351)*(Sens!F10287-Q!$I$5)/Sens!F10287</f>
        <v>165.518355879926</v>
      </c>
      <c r="G10317" s="6" t="n">
        <f aca="false">(Sens!G10316*(Sens!G10287-Sens!G10250)+Sens!G10250-(Sens!G10252+Sens!G10253+Sens!G10254)-Sens!G10268-Sens!G10351)</f>
        <v>191.521413654735</v>
      </c>
      <c r="H10317" s="6" t="n">
        <f aca="false">(Sens!H10316*(Sens!H10287-Sens!H10250)+Sens!H10250-(Sens!H10252+Sens!H10253+Sens!H10254)-Sens!H10268-Sens!H10351)</f>
        <v>225.775871463489</v>
      </c>
      <c r="I10317" s="6" t="n">
        <f aca="false">(Sens!I10316*(Sens!I10287-Sens!I10250)+Sens!I10250-(Sens!I10252+Sens!I10253+Sens!I10254)-Sens!I10268-Sens!I10351)</f>
        <v>251.64119237386</v>
      </c>
      <c r="J10317" s="6" t="n">
        <f aca="false">(Sens!J10316*(Sens!J10287-Sens!J10250)+Sens!J10250-(Sens!J10252+Sens!J10253+Sens!J10254)-Sens!J10268-Sens!J10351)</f>
        <v>273.893249396156</v>
      </c>
      <c r="K10317" s="6" t="n">
        <f aca="false">(Sens!K10316*(Sens!K10287-Sens!K10250)+Sens!K10250-(Sens!K10252+Sens!K10253+Sens!K10254)-Sens!K10268-Sens!K10351)</f>
        <v>293.873599325902</v>
      </c>
      <c r="L10317" s="1" t="s">
        <v>1060</v>
      </c>
    </row>
    <row r="10318" customFormat="false" ht="17.15" hidden="false" customHeight="false" outlineLevel="0" collapsed="false">
      <c r="A10318" s="0" t="s">
        <v>1061</v>
      </c>
      <c r="B10318" s="0" t="s">
        <v>168</v>
      </c>
      <c r="E10318" s="7" t="n">
        <f aca="false">Q!M22/Q!M12</f>
        <v>0.296207935710698</v>
      </c>
      <c r="F10318" s="7" t="n">
        <f aca="false">Sens!$E$10318+dm_seg</f>
        <v>0.296207935710698</v>
      </c>
      <c r="G10318" s="7" t="n">
        <f aca="false">Sens!$E$10318+dm_seg</f>
        <v>0.296207935710698</v>
      </c>
      <c r="H10318" s="7" t="n">
        <f aca="false">Sens!$E$10318+dm_seg</f>
        <v>0.296207935710698</v>
      </c>
      <c r="I10318" s="7" t="n">
        <f aca="false">Sens!$E$10318+dm_seg</f>
        <v>0.296207935710698</v>
      </c>
      <c r="J10318" s="7" t="n">
        <f aca="false">Sens!$E$10318+dm_seg</f>
        <v>0.296207935710698</v>
      </c>
      <c r="K10318" s="7" t="n">
        <f aca="false">Sens!$E$10318+dm_seg</f>
        <v>0.296207935710698</v>
      </c>
      <c r="L10318" s="12" t="s">
        <v>1062</v>
      </c>
    </row>
    <row r="10319" customFormat="false" ht="17.15" hidden="false" customHeight="false" outlineLevel="0" collapsed="false">
      <c r="A10319" s="0" t="s">
        <v>882</v>
      </c>
      <c r="B10319" s="0" t="s">
        <v>98</v>
      </c>
      <c r="D10319" s="6" t="n">
        <f aca="false">Q!L22</f>
        <v>17.714</v>
      </c>
      <c r="E10319" s="6" t="n">
        <f aca="false">Q!M22</f>
        <v>18.872</v>
      </c>
      <c r="F10319" s="6" t="n">
        <f aca="false">Q!$I$22+(Sens!F10294-Q!$I$12)*Sens!F10318</f>
        <v>19.7894502685582</v>
      </c>
      <c r="G10319" s="6" t="n">
        <f aca="false">Sens!G10294*Sens!G10318</f>
        <v>19.5191516668472</v>
      </c>
      <c r="H10319" s="6" t="n">
        <f aca="false">Sens!H10294*Sens!H10318</f>
        <v>20.0972942955288</v>
      </c>
      <c r="I10319" s="6" t="n">
        <f aca="false">Sens!I10294*Sens!I10318</f>
        <v>20.7213763884845</v>
      </c>
      <c r="J10319" s="6" t="n">
        <f aca="false">Sens!J10294*Sens!J10318</f>
        <v>21.3649991484565</v>
      </c>
      <c r="K10319" s="6" t="n">
        <f aca="false">Sens!K10294*Sens!K10318</f>
        <v>22.0082117569484</v>
      </c>
      <c r="L10319" s="12" t="s">
        <v>1063</v>
      </c>
    </row>
    <row r="10320" customFormat="false" ht="15" hidden="false" customHeight="false" outlineLevel="0" collapsed="false">
      <c r="A10320" s="1" t="s">
        <v>1064</v>
      </c>
      <c r="B10320" s="0" t="s">
        <v>98</v>
      </c>
      <c r="D10320" s="6" t="n">
        <f aca="false">Sens!D10317+Sens!D10319</f>
        <v>128.528</v>
      </c>
      <c r="E10320" s="6" t="n">
        <f aca="false">Sens!E10317+Sens!E10319</f>
        <v>155.237</v>
      </c>
      <c r="F10320" s="6" t="n">
        <f aca="false">Sens!F10317+Sens!F10319</f>
        <v>185.307806148484</v>
      </c>
      <c r="G10320" s="6" t="n">
        <f aca="false">Sens!G10317+Sens!G10319</f>
        <v>211.040565321582</v>
      </c>
      <c r="H10320" s="6" t="n">
        <f aca="false">Sens!H10317+Sens!H10319</f>
        <v>245.873165759018</v>
      </c>
      <c r="I10320" s="6" t="n">
        <f aca="false">Sens!I10317+Sens!I10319</f>
        <v>272.362568762344</v>
      </c>
      <c r="J10320" s="6" t="n">
        <f aca="false">Sens!J10317+Sens!J10319</f>
        <v>295.258248544612</v>
      </c>
      <c r="K10320" s="6" t="n">
        <f aca="false">Sens!K10317+Sens!K10319</f>
        <v>315.881811082851</v>
      </c>
    </row>
    <row r="10321" customFormat="false" ht="15" hidden="false" customHeight="false" outlineLevel="0" collapsed="false">
      <c r="A10321" s="26" t="s">
        <v>1065</v>
      </c>
      <c r="B10321" s="31" t="s">
        <v>98</v>
      </c>
      <c r="C10321" s="31"/>
      <c r="D10321" s="27" t="n">
        <f aca="false">Sens!D10320-Q!L23</f>
        <v>0</v>
      </c>
      <c r="E10321" s="27" t="n">
        <f aca="false">Sens!E10320-Q!M23</f>
        <v>0</v>
      </c>
      <c r="F10321" s="31"/>
      <c r="G10321" s="31"/>
      <c r="H10321" s="31"/>
      <c r="I10321" s="31"/>
      <c r="J10321" s="31"/>
      <c r="K10321" s="31"/>
    </row>
    <row r="10322" customFormat="false" ht="15" hidden="false" customHeight="false" outlineLevel="0" collapsed="false">
      <c r="A10322" s="1" t="s">
        <v>1066</v>
      </c>
      <c r="B10322" s="0" t="s">
        <v>168</v>
      </c>
      <c r="D10322" s="7" t="n">
        <f aca="false">Sens!D10320/Sens!D10313</f>
        <v>0.456219562408598</v>
      </c>
      <c r="E10322" s="7" t="n">
        <f aca="false">Sens!E10320/Sens!E10313</f>
        <v>0.467808184089272</v>
      </c>
      <c r="F10322" s="7" t="n">
        <f aca="false">Sens!F10320/Sens!F10313</f>
        <v>0.459840523798573</v>
      </c>
      <c r="G10322" s="7" t="n">
        <f aca="false">Sens!G10320/Sens!G10313</f>
        <v>0.429463743856206</v>
      </c>
      <c r="H10322" s="7" t="n">
        <f aca="false">Sens!H10320/Sens!H10313</f>
        <v>0.419271542521709</v>
      </c>
      <c r="I10322" s="7" t="n">
        <f aca="false">Sens!I10320/Sens!I10313</f>
        <v>0.408325457084729</v>
      </c>
      <c r="J10322" s="7" t="n">
        <f aca="false">Sens!J10320/Sens!J10313</f>
        <v>0.403648221137032</v>
      </c>
      <c r="K10322" s="7" t="n">
        <f aca="false">Sens!K10320/Sens!K10313</f>
        <v>0.403807440816566</v>
      </c>
    </row>
    <row r="10323" customFormat="false" ht="17.15" hidden="false" customHeight="false" outlineLevel="0" collapsed="false">
      <c r="A10323" s="1" t="s">
        <v>1067</v>
      </c>
      <c r="B10323" s="0" t="s">
        <v>98</v>
      </c>
      <c r="F10323" s="6" t="n">
        <f aca="false">Sens!F10338</f>
        <v>8.88340674531245</v>
      </c>
      <c r="G10323" s="6" t="n">
        <f aca="false">Sens!G10338</f>
        <v>22.7060305170273</v>
      </c>
      <c r="H10323" s="6" t="n">
        <f aca="false">Sens!H10338</f>
        <v>38.0018452382075</v>
      </c>
      <c r="I10323" s="6" t="n">
        <f aca="false">Sens!I10338</f>
        <v>52.1381094705177</v>
      </c>
      <c r="J10323" s="6" t="n">
        <f aca="false">Sens!J10338</f>
        <v>62.0595818934393</v>
      </c>
      <c r="K10323" s="6" t="n">
        <f aca="false">Sens!K10338</f>
        <v>67.0801312706266</v>
      </c>
      <c r="L10323" s="1" t="s">
        <v>1068</v>
      </c>
    </row>
    <row r="10324" customFormat="false" ht="17.15" hidden="false" customHeight="false" outlineLevel="0" collapsed="false">
      <c r="A10324" s="1" t="s">
        <v>1069</v>
      </c>
      <c r="B10324" s="0" t="s">
        <v>98</v>
      </c>
      <c r="D10324" s="6" t="n">
        <f aca="false">Sens!D10320</f>
        <v>128.528</v>
      </c>
      <c r="E10324" s="6" t="n">
        <f aca="false">Sens!E10320</f>
        <v>155.237</v>
      </c>
      <c r="F10324" s="6" t="n">
        <f aca="false">Sens!F10320+Sens!F10323</f>
        <v>194.191212893797</v>
      </c>
      <c r="G10324" s="6" t="n">
        <f aca="false">Sens!G10320+Sens!G10323</f>
        <v>233.74659583861</v>
      </c>
      <c r="H10324" s="6" t="n">
        <f aca="false">Sens!H10320+Sens!H10323</f>
        <v>283.875010997225</v>
      </c>
      <c r="I10324" s="6" t="n">
        <f aca="false">Sens!I10320+Sens!I10323</f>
        <v>324.500678232862</v>
      </c>
      <c r="J10324" s="6" t="n">
        <f aca="false">Sens!J10320+Sens!J10323</f>
        <v>357.317830438052</v>
      </c>
      <c r="K10324" s="6" t="n">
        <f aca="false">Sens!K10320+Sens!K10323</f>
        <v>382.961942353477</v>
      </c>
    </row>
    <row r="10325" customFormat="false" ht="17.15" hidden="false" customHeight="false" outlineLevel="0" collapsed="false">
      <c r="A10325" s="1" t="s">
        <v>1070</v>
      </c>
      <c r="B10325" s="0" t="s">
        <v>98</v>
      </c>
      <c r="E10325" s="6" t="n">
        <f aca="false">Sens!E10268</f>
        <v>16.3054059770833</v>
      </c>
      <c r="F10325" s="6" t="n">
        <f aca="false">Sens!F10268</f>
        <v>34.5793144783516</v>
      </c>
      <c r="G10325" s="6" t="n">
        <f aca="false">Sens!G10268</f>
        <v>60.7344906522989</v>
      </c>
      <c r="H10325" s="6" t="n">
        <f aca="false">Sens!H10268</f>
        <v>89.1000906614457</v>
      </c>
      <c r="I10325" s="6" t="n">
        <f aca="false">Sens!I10268</f>
        <v>114.231009694548</v>
      </c>
      <c r="J10325" s="6" t="n">
        <f aca="false">Sens!J10268</f>
        <v>132.015673049596</v>
      </c>
      <c r="K10325" s="6" t="n">
        <f aca="false">Sens!K10268</f>
        <v>143.012669550934</v>
      </c>
    </row>
    <row r="10326" customFormat="false" ht="17.15" hidden="false" customHeight="false" outlineLevel="0" collapsed="false">
      <c r="A10326" s="1" t="s">
        <v>1071</v>
      </c>
      <c r="B10326" s="0" t="s">
        <v>98</v>
      </c>
      <c r="E10326" s="6" t="n">
        <f aca="false">Sens!E10350</f>
        <v>22.2285940229167</v>
      </c>
      <c r="F10326" s="6" t="n">
        <f aca="false">Sens!F10350</f>
        <v>23.580344216413</v>
      </c>
      <c r="G10326" s="6" t="n">
        <f aca="false">Sens!G10350</f>
        <v>25.3771105083695</v>
      </c>
      <c r="H10326" s="6" t="n">
        <f aca="false">Sens!H10350</f>
        <v>27.5868130447765</v>
      </c>
      <c r="I10326" s="6" t="n">
        <f aca="false">Sens!I10350</f>
        <v>30.1315417135351</v>
      </c>
      <c r="J10326" s="6" t="n">
        <f aca="false">Sens!J10350</f>
        <v>32.9176139825127</v>
      </c>
      <c r="K10326" s="6" t="n">
        <f aca="false">Sens!K10350</f>
        <v>35.8589582312788</v>
      </c>
    </row>
    <row r="10327" customFormat="false" ht="17.15" hidden="false" customHeight="false" outlineLevel="0" collapsed="false">
      <c r="A10327" s="1" t="s">
        <v>1072</v>
      </c>
      <c r="B10327" s="0" t="s">
        <v>98</v>
      </c>
      <c r="D10327" s="6" t="n">
        <f aca="false">Q!L27</f>
        <v>-4.901</v>
      </c>
      <c r="E10327" s="6" t="n">
        <f aca="false">Q!M27</f>
        <v>10.697</v>
      </c>
      <c r="F10327" s="6" t="n">
        <f aca="false">Q!$I$27+oie_f*(q_per_yr-1)/q_per_yr</f>
        <v>-0.862</v>
      </c>
      <c r="G10327" s="6" t="n">
        <f aca="false">oie_f</f>
        <v>-1.2</v>
      </c>
      <c r="H10327" s="6" t="n">
        <f aca="false">oie_f</f>
        <v>-1.2</v>
      </c>
      <c r="I10327" s="6" t="n">
        <f aca="false">oie_f</f>
        <v>-1.2</v>
      </c>
      <c r="J10327" s="6" t="n">
        <f aca="false">oie_f</f>
        <v>-1.2</v>
      </c>
      <c r="K10327" s="6" t="n">
        <f aca="false">oie_f</f>
        <v>-1.2</v>
      </c>
      <c r="L10327" s="12" t="s">
        <v>1073</v>
      </c>
    </row>
    <row r="10328" customFormat="false" ht="15" hidden="false" customHeight="false" outlineLevel="0" collapsed="false">
      <c r="A10328" s="1" t="s">
        <v>1074</v>
      </c>
      <c r="B10328" s="0" t="s">
        <v>98</v>
      </c>
      <c r="D10328" s="6" t="n">
        <f aca="false">Sens!D10320+Sens!D10327</f>
        <v>123.627</v>
      </c>
      <c r="E10328" s="6" t="n">
        <f aca="false">Sens!E10320+Sens!E10327</f>
        <v>165.934</v>
      </c>
      <c r="F10328" s="6" t="n">
        <f aca="false">Sens!F10320+Sens!F10327</f>
        <v>184.445806148484</v>
      </c>
      <c r="G10328" s="6" t="n">
        <f aca="false">Sens!G10320+Sens!G10327</f>
        <v>209.840565321582</v>
      </c>
      <c r="H10328" s="6" t="n">
        <f aca="false">Sens!H10320+Sens!H10327</f>
        <v>244.673165759018</v>
      </c>
      <c r="I10328" s="6" t="n">
        <f aca="false">Sens!I10320+Sens!I10327</f>
        <v>271.162568762344</v>
      </c>
      <c r="J10328" s="6" t="n">
        <f aca="false">Sens!J10320+Sens!J10327</f>
        <v>294.058248544612</v>
      </c>
      <c r="K10328" s="6" t="n">
        <f aca="false">Sens!K10320+Sens!K10327</f>
        <v>314.681811082851</v>
      </c>
    </row>
    <row r="10329" customFormat="false" ht="15" hidden="false" customHeight="false" outlineLevel="0" collapsed="false">
      <c r="A10329" s="1" t="s">
        <v>1075</v>
      </c>
      <c r="B10329" s="0" t="s">
        <v>98</v>
      </c>
      <c r="D10329" s="6" t="n">
        <f aca="false">Q!L29</f>
        <v>21.795</v>
      </c>
      <c r="E10329" s="6" t="n">
        <f aca="false">Q!M29</f>
        <v>32.185</v>
      </c>
      <c r="F10329" s="6" t="n">
        <f aca="false">Q!$I$29+(Sens!F10328-Q!$I$28)*tax_f</f>
        <v>37.0225612296968</v>
      </c>
      <c r="G10329" s="6" t="n">
        <f aca="false">Sens!G10328*tax_f</f>
        <v>41.9681130643165</v>
      </c>
      <c r="H10329" s="6" t="n">
        <f aca="false">Sens!H10328*tax_f</f>
        <v>48.9346331518036</v>
      </c>
      <c r="I10329" s="6" t="n">
        <f aca="false">Sens!I10328*tax_f</f>
        <v>54.2325137524688</v>
      </c>
      <c r="J10329" s="6" t="n">
        <f aca="false">Sens!J10328*tax_f</f>
        <v>58.8116497089225</v>
      </c>
      <c r="K10329" s="6" t="n">
        <f aca="false">Sens!K10328*tax_f</f>
        <v>62.9363622165702</v>
      </c>
    </row>
    <row r="10330" customFormat="false" ht="15" hidden="false" customHeight="false" outlineLevel="0" collapsed="false">
      <c r="A10330" s="1" t="s">
        <v>1076</v>
      </c>
      <c r="B10330" s="0" t="s">
        <v>98</v>
      </c>
      <c r="D10330" s="6" t="n">
        <f aca="false">Sens!D10328-Sens!D10329</f>
        <v>101.832</v>
      </c>
      <c r="E10330" s="6" t="n">
        <f aca="false">Sens!E10328-Sens!E10329</f>
        <v>133.749</v>
      </c>
      <c r="F10330" s="6" t="n">
        <f aca="false">Sens!F10328-Sens!F10329</f>
        <v>147.423244918787</v>
      </c>
      <c r="G10330" s="6" t="n">
        <f aca="false">Sens!G10328-Sens!G10329</f>
        <v>167.872452257266</v>
      </c>
      <c r="H10330" s="6" t="n">
        <f aca="false">Sens!H10328-Sens!H10329</f>
        <v>195.738532607214</v>
      </c>
      <c r="I10330" s="6" t="n">
        <f aca="false">Sens!I10328-Sens!I10329</f>
        <v>216.930055009875</v>
      </c>
      <c r="J10330" s="6" t="n">
        <f aca="false">Sens!J10328-Sens!J10329</f>
        <v>235.24659883569</v>
      </c>
      <c r="K10330" s="6" t="n">
        <f aca="false">Sens!K10328-Sens!K10329</f>
        <v>251.745448866281</v>
      </c>
    </row>
    <row r="10331" customFormat="false" ht="17.15" hidden="false" customHeight="false" outlineLevel="0" collapsed="false">
      <c r="A10331" s="1" t="s">
        <v>1077</v>
      </c>
      <c r="B10331" s="1" t="s">
        <v>81</v>
      </c>
      <c r="D10331" s="15" t="n">
        <f aca="false">Q!L31</f>
        <v>7.465</v>
      </c>
      <c r="E10331" s="15" t="n">
        <f aca="false">Q!M31</f>
        <v>7.453</v>
      </c>
      <c r="F10331" s="15" t="n">
        <f aca="false">Sens!F10375</f>
        <v>7.47065659298931</v>
      </c>
      <c r="G10331" s="15" t="n">
        <f aca="false">Sens!G10375</f>
        <v>7.51001635450094</v>
      </c>
      <c r="H10331" s="15" t="n">
        <f aca="false">Sens!H10375</f>
        <v>7.53491946205207</v>
      </c>
      <c r="I10331" s="15" t="n">
        <f aca="false">Sens!I10375</f>
        <v>7.54660082610754</v>
      </c>
      <c r="J10331" s="15" t="n">
        <f aca="false">Sens!J10375</f>
        <v>7.56075023727001</v>
      </c>
      <c r="K10331" s="15" t="n">
        <f aca="false">Sens!K10375</f>
        <v>7.57718487723526</v>
      </c>
    </row>
    <row r="10332" customFormat="false" ht="17.15" hidden="false" customHeight="false" outlineLevel="0" collapsed="false">
      <c r="A10332" s="0" t="s">
        <v>1078</v>
      </c>
      <c r="B10332" s="0" t="s">
        <v>75</v>
      </c>
      <c r="D10332" s="8" t="n">
        <f aca="false">Sens!D10330/Sens!D10331</f>
        <v>13.641259209645</v>
      </c>
      <c r="E10332" s="8" t="n">
        <f aca="false">Sens!E10330/Sens!E10331</f>
        <v>17.9456594659869</v>
      </c>
      <c r="F10332" s="8" t="n">
        <f aca="false">Sens!F10330/Sens!F10331</f>
        <v>19.7336396183883</v>
      </c>
      <c r="G10332" s="8" t="n">
        <f aca="false">Sens!G10330/Sens!G10331</f>
        <v>22.3531407034361</v>
      </c>
      <c r="H10332" s="8" t="n">
        <f aca="false">Sens!H10330/Sens!H10331</f>
        <v>25.9775215372915</v>
      </c>
      <c r="I10332" s="8" t="n">
        <f aca="false">Sens!I10330/Sens!I10331</f>
        <v>28.7453994200149</v>
      </c>
      <c r="J10332" s="8" t="n">
        <f aca="false">Sens!J10330/Sens!J10331</f>
        <v>31.1141872768213</v>
      </c>
      <c r="K10332" s="8" t="n">
        <f aca="false">Sens!K10330/Sens!K10331</f>
        <v>33.2241396963428</v>
      </c>
      <c r="L10332" s="1" t="s">
        <v>1079</v>
      </c>
    </row>
    <row r="10333" customFormat="false" ht="17.15" hidden="false" customHeight="false" outlineLevel="0" collapsed="false">
      <c r="A10333" s="1" t="s">
        <v>1080</v>
      </c>
      <c r="B10333" s="0" t="s">
        <v>98</v>
      </c>
      <c r="D10333" s="6" t="n">
        <f aca="false">Sens!D10330</f>
        <v>101.832</v>
      </c>
      <c r="E10333" s="6" t="n">
        <f aca="false">Sens!E10330</f>
        <v>133.749</v>
      </c>
      <c r="F10333" s="6" t="n">
        <f aca="false">Sens!F10330+Sens!F10323*(1-tax_f)</f>
        <v>154.529970315037</v>
      </c>
      <c r="G10333" s="6" t="n">
        <f aca="false">Sens!G10330+Sens!G10323*(1-tax_f)</f>
        <v>186.037276670888</v>
      </c>
      <c r="H10333" s="6" t="n">
        <f aca="false">Sens!H10330+Sens!H10323*(1-tax_f)</f>
        <v>226.14000879778</v>
      </c>
      <c r="I10333" s="6" t="n">
        <f aca="false">Sens!I10330+Sens!I10323*(1-tax_f)</f>
        <v>258.64054258629</v>
      </c>
      <c r="J10333" s="6" t="n">
        <f aca="false">Sens!J10330+Sens!J10323*(1-tax_f)</f>
        <v>284.894264350441</v>
      </c>
      <c r="K10333" s="6" t="n">
        <f aca="false">Sens!K10330+Sens!K10323*(1-tax_f)</f>
        <v>305.409553882782</v>
      </c>
    </row>
    <row r="10334" customFormat="false" ht="17.15" hidden="false" customHeight="false" outlineLevel="0" collapsed="false">
      <c r="A10334" s="0" t="s">
        <v>1081</v>
      </c>
      <c r="B10334" s="0" t="s">
        <v>75</v>
      </c>
      <c r="D10334" s="8" t="n">
        <f aca="false">Sens!D10333/Sens!D10331</f>
        <v>13.641259209645</v>
      </c>
      <c r="E10334" s="8" t="n">
        <f aca="false">Sens!E10333/Sens!E10331</f>
        <v>17.9456594659869</v>
      </c>
      <c r="F10334" s="8" t="n">
        <f aca="false">Sens!F10333/Sens!F10331</f>
        <v>20.6849248645766</v>
      </c>
      <c r="G10334" s="8" t="n">
        <f aca="false">Sens!G10333/Sens!G10331</f>
        <v>24.7718870225084</v>
      </c>
      <c r="H10334" s="8" t="n">
        <f aca="false">Sens!H10333/Sens!H10331</f>
        <v>30.0122662142155</v>
      </c>
      <c r="I10334" s="8" t="n">
        <f aca="false">Sens!I10333/Sens!I10331</f>
        <v>34.2724557116523</v>
      </c>
      <c r="J10334" s="8" t="n">
        <f aca="false">Sens!J10333/Sens!J10331</f>
        <v>37.6806871553674</v>
      </c>
      <c r="K10334" s="8" t="n">
        <f aca="false">Sens!K10333/Sens!K10331</f>
        <v>40.3064672211375</v>
      </c>
      <c r="L10334" s="1" t="s">
        <v>1082</v>
      </c>
    </row>
    <row r="10335" customFormat="false" ht="17.15" hidden="false" customHeight="false" outlineLevel="0" collapsed="false">
      <c r="A10335" s="0" t="s">
        <v>1083</v>
      </c>
      <c r="B10335" s="0" t="s">
        <v>168</v>
      </c>
      <c r="E10335" s="7" t="n">
        <f aca="false">Sens!E10334/Sens!D10334-1</f>
        <v>0.315542736208578</v>
      </c>
      <c r="F10335" s="7" t="n">
        <f aca="false">Sens!F10334/Sens!E10334-1</f>
        <v>0.152642225479735</v>
      </c>
      <c r="G10335" s="7" t="n">
        <f aca="false">Sens!G10334/Sens!F10334-1</f>
        <v>0.197581677704368</v>
      </c>
      <c r="H10335" s="7" t="n">
        <f aca="false">Sens!H10334/Sens!G10334-1</f>
        <v>0.211545417874124</v>
      </c>
      <c r="I10335" s="7" t="n">
        <f aca="false">Sens!I10334/Sens!H10334-1</f>
        <v>0.141948277648522</v>
      </c>
      <c r="J10335" s="7" t="n">
        <f aca="false">Sens!J10334/Sens!I10334-1</f>
        <v>0.0994452067394847</v>
      </c>
      <c r="K10335" s="7" t="n">
        <f aca="false">Sens!K10334/Sens!J10334-1</f>
        <v>0.0696850366593182</v>
      </c>
    </row>
    <row r="10336" customFormat="false" ht="17.15" hidden="false" customHeight="false" outlineLevel="0" collapsed="false">
      <c r="A10336" s="0" t="s">
        <v>1003</v>
      </c>
      <c r="B10336" s="0" t="s">
        <v>98</v>
      </c>
      <c r="E10336" s="6" t="n">
        <f aca="false">Sens!E10277</f>
        <v>5.25</v>
      </c>
      <c r="F10336" s="6" t="n">
        <f aca="false">Sens!F10277</f>
        <v>13.5</v>
      </c>
      <c r="G10336" s="6" t="n">
        <f aca="false">Sens!G10277</f>
        <v>22.5</v>
      </c>
      <c r="H10336" s="6" t="n">
        <f aca="false">Sens!H10277</f>
        <v>31.5</v>
      </c>
      <c r="I10336" s="6" t="n">
        <f aca="false">Sens!I10277</f>
        <v>38.25</v>
      </c>
      <c r="J10336" s="6" t="n">
        <f aca="false">Sens!J10277</f>
        <v>42.75</v>
      </c>
      <c r="K10336" s="6" t="n">
        <f aca="false">Sens!K10277</f>
        <v>47.25</v>
      </c>
    </row>
    <row r="10337" customFormat="false" ht="17.15" hidden="false" customHeight="false" outlineLevel="0" collapsed="false">
      <c r="A10337" s="1" t="s">
        <v>1004</v>
      </c>
      <c r="B10337" s="0" t="s">
        <v>98</v>
      </c>
      <c r="F10337" s="6" t="n">
        <f aca="false">MAX(0,((Sens!E10237+Sens!F10237)/2-(shadow_base*(Sens!$D$10237+Sens!$E$10237)/2+(1-shadow_base)*Sens!$E$10237))*Sens!F10246/1000-(Sens!F10336-Sens!$E$10336)*Sens!F10316)</f>
        <v>8.88340674531245</v>
      </c>
      <c r="G10337" s="6" t="n">
        <f aca="false">MAX(0,((Sens!F10237+Sens!G10237)/2-(shadow_base*(Sens!$D$10237+Sens!$E$10237)/2+(1-shadow_base)*Sens!$E$10237))*Sens!G10246/1000-(Sens!G10336-Sens!$E$10336)*Sens!G10316)</f>
        <v>22.7060305170273</v>
      </c>
      <c r="H10337" s="6" t="n">
        <f aca="false">MAX(0,((Sens!G10237+Sens!H10237)/2-(shadow_base*(Sens!$D$10237+Sens!$E$10237)/2+(1-shadow_base)*Sens!$E$10237))*Sens!H10246/1000-(Sens!H10336-Sens!$E$10336)*Sens!H10316)</f>
        <v>38.0018452382075</v>
      </c>
      <c r="I10337" s="6" t="n">
        <f aca="false">MAX(0,((Sens!H10237+Sens!I10237)/2-(shadow_base*(Sens!$D$10237+Sens!$E$10237)/2+(1-shadow_base)*Sens!$E$10237))*Sens!I10246/1000-(Sens!I10336-Sens!$E$10336)*Sens!I10316)</f>
        <v>52.1381094705177</v>
      </c>
      <c r="J10337" s="6" t="n">
        <f aca="false">MAX(0,((Sens!I10237+Sens!J10237)/2-(shadow_base*(Sens!$D$10237+Sens!$E$10237)/2+(1-shadow_base)*Sens!$E$10237))*Sens!J10246/1000-(Sens!J10336-Sens!$E$10336)*Sens!J10316)</f>
        <v>62.0595818934393</v>
      </c>
      <c r="K10337" s="6" t="n">
        <f aca="false">MAX(0,((Sens!J10237+Sens!K10237)/2-(shadow_base*(Sens!$D$10237+Sens!$E$10237)/2+(1-shadow_base)*Sens!$E$10237))*Sens!K10246/1000-(Sens!K10336-Sens!$E$10336)*Sens!K10316)</f>
        <v>67.0801312706266</v>
      </c>
      <c r="L10337" s="1" t="s">
        <v>1005</v>
      </c>
    </row>
    <row r="10338" customFormat="false" ht="17.15" hidden="false" customHeight="false" outlineLevel="0" collapsed="false">
      <c r="A10338" s="1" t="s">
        <v>1006</v>
      </c>
      <c r="B10338" s="0" t="s">
        <v>98</v>
      </c>
      <c r="F10338" s="6" t="n">
        <f aca="false">IF(internal_ai_reading=2,1,0)*Sens!F10337</f>
        <v>8.88340674531245</v>
      </c>
      <c r="G10338" s="6" t="n">
        <f aca="false">IF(internal_ai_reading=2,1,0)*Sens!G10337</f>
        <v>22.7060305170273</v>
      </c>
      <c r="H10338" s="6" t="n">
        <f aca="false">IF(internal_ai_reading=2,1,0)*Sens!H10337</f>
        <v>38.0018452382075</v>
      </c>
      <c r="I10338" s="6" t="n">
        <f aca="false">IF(internal_ai_reading=2,1,0)*Sens!I10337</f>
        <v>52.1381094705177</v>
      </c>
      <c r="J10338" s="6" t="n">
        <f aca="false">IF(internal_ai_reading=2,1,0)*Sens!J10337</f>
        <v>62.0595818934393</v>
      </c>
      <c r="K10338" s="6" t="n">
        <f aca="false">IF(internal_ai_reading=2,1,0)*Sens!K10337</f>
        <v>67.0801312706266</v>
      </c>
    </row>
    <row r="10339" customFormat="false" ht="17.15" hidden="false" customHeight="false" outlineLevel="0" collapsed="false">
      <c r="A10339" s="0" t="s">
        <v>1007</v>
      </c>
      <c r="B10339" s="0" t="s">
        <v>98</v>
      </c>
      <c r="F10339" s="6" t="n">
        <f aca="false">Sens!F10256+Sens!F10336*Sens!F10316+Sens!F10338-Sens!F10257-Sens!F10268</f>
        <v>18.5068678152817</v>
      </c>
      <c r="G10339" s="6" t="n">
        <f aca="false">Sens!G10256+Sens!G10336*Sens!G10316+Sens!G10338-Sens!G10257-Sens!G10268</f>
        <v>43.1983864982792</v>
      </c>
      <c r="H10339" s="6" t="n">
        <f aca="false">Sens!H10256+Sens!H10336*Sens!H10316+Sens!H10338-Sens!H10257-Sens!H10268</f>
        <v>73.502598356074</v>
      </c>
      <c r="I10339" s="6" t="n">
        <f aca="false">Sens!I10256+Sens!I10336*Sens!I10316+Sens!I10338-Sens!I10257-Sens!I10268</f>
        <v>94.7454135378504</v>
      </c>
      <c r="J10339" s="6" t="n">
        <f aca="false">Sens!J10256+Sens!J10336*Sens!J10316+Sens!J10338-Sens!J10257-Sens!J10268</f>
        <v>109.399608126358</v>
      </c>
      <c r="K10339" s="6" t="n">
        <f aca="false">Sens!K10256+Sens!K10336*Sens!K10316+Sens!K10338-Sens!K10257-Sens!K10268</f>
        <v>118.898703181943</v>
      </c>
    </row>
    <row r="10340" customFormat="false" ht="17.15" hidden="false" customHeight="false" outlineLevel="0" collapsed="false">
      <c r="A10340" s="0" t="s">
        <v>1008</v>
      </c>
      <c r="B10340" s="0" t="s">
        <v>98</v>
      </c>
      <c r="E10340" s="6" t="n">
        <f aca="false">Sens!E10236*(cxit_open+self_build*tk_cxfac)/1000*ai_net_open</f>
        <v>126.6980382</v>
      </c>
      <c r="F10340" s="6" t="n">
        <f aca="false">Sens!E10340+Sens!F10265-Sens!F10268</f>
        <v>260.572627763768</v>
      </c>
      <c r="G10340" s="6" t="n">
        <f aca="false">Sens!F10340+Sens!G10265-Sens!G10268</f>
        <v>391.782612760517</v>
      </c>
      <c r="H10340" s="6" t="n">
        <f aca="false">Sens!G10340+Sens!H10265-Sens!H10268</f>
        <v>499.488526163584</v>
      </c>
      <c r="I10340" s="6" t="n">
        <f aca="false">Sens!H10340+Sens!I10265-Sens!I10268</f>
        <v>553.872350090646</v>
      </c>
      <c r="J10340" s="6" t="n">
        <f aca="false">Sens!I10340+Sens!J10265-Sens!J10268</f>
        <v>550.78660823699</v>
      </c>
      <c r="K10340" s="6" t="n">
        <f aca="false">Sens!J10340+Sens!K10265-Sens!K10268</f>
        <v>526.736791750789</v>
      </c>
      <c r="L10340" s="1" t="s">
        <v>1009</v>
      </c>
    </row>
    <row r="10341" customFormat="false" ht="17.15" hidden="false" customHeight="false" outlineLevel="0" collapsed="false">
      <c r="A10341" s="0" t="s">
        <v>1010</v>
      </c>
      <c r="B10341" s="0" t="s">
        <v>168</v>
      </c>
      <c r="F10341" s="7" t="n">
        <f aca="false">Sens!F10339*(1-tax_f)/((Sens!E10340+Sens!F10340)/2)</f>
        <v>0.0764607059271074</v>
      </c>
      <c r="G10341" s="7" t="n">
        <f aca="false">Sens!G10339*(1-tax_f)/((Sens!F10340+Sens!G10340)/2)</f>
        <v>0.105950583522098</v>
      </c>
      <c r="H10341" s="7" t="n">
        <f aca="false">Sens!H10339*(1-tax_f)/((Sens!G10340+Sens!H10340)/2)</f>
        <v>0.131951044114011</v>
      </c>
      <c r="I10341" s="7" t="n">
        <f aca="false">Sens!I10339*(1-tax_f)/((Sens!H10340+Sens!I10340)/2)</f>
        <v>0.143913320760143</v>
      </c>
      <c r="J10341" s="7" t="n">
        <f aca="false">Sens!J10339*(1-tax_f)/((Sens!I10340+Sens!J10340)/2)</f>
        <v>0.158455577336889</v>
      </c>
      <c r="K10341" s="7" t="n">
        <f aca="false">Sens!K10339*(1-tax_f)/((Sens!J10340+Sens!K10340)/2)</f>
        <v>0.176551084731214</v>
      </c>
    </row>
    <row r="10342" customFormat="false" ht="17.15" hidden="false" customHeight="false" outlineLevel="0" collapsed="false">
      <c r="A10342" s="1" t="s">
        <v>1011</v>
      </c>
      <c r="B10342" s="0" t="s">
        <v>168</v>
      </c>
      <c r="F10342" s="7" t="n">
        <f aca="false">(Sens!F10339-Sens!F10338)*(1-tax_f)/((Sens!E10340+Sens!F10340)/2)</f>
        <v>0.0397591118181705</v>
      </c>
      <c r="G10342" s="7" t="n">
        <f aca="false">(Sens!G10339-Sens!G10338)*(1-tax_f)/((Sens!F10340+Sens!G10340)/2)</f>
        <v>0.0502606057761598</v>
      </c>
      <c r="H10342" s="7" t="n">
        <f aca="false">(Sens!H10339-Sens!H10338)*(1-tax_f)/((Sens!G10340+Sens!H10340)/2)</f>
        <v>0.0637305557287023</v>
      </c>
      <c r="I10342" s="7" t="n">
        <f aca="false">(Sens!I10339-Sens!I10338)*(1-tax_f)/((Sens!H10340+Sens!I10340)/2)</f>
        <v>0.0647182632699936</v>
      </c>
      <c r="J10342" s="7" t="n">
        <f aca="false">(Sens!J10339-Sens!J10338)*(1-tax_f)/((Sens!I10340+Sens!J10340)/2)</f>
        <v>0.0685678067440289</v>
      </c>
      <c r="K10342" s="7" t="n">
        <f aca="false">(Sens!K10339-Sens!K10338)*(1-tax_f)/((Sens!J10340+Sens!K10340)/2)</f>
        <v>0.0769447002812616</v>
      </c>
    </row>
    <row r="10343" customFormat="false" ht="17.15" hidden="false" customHeight="false" outlineLevel="0" collapsed="false">
      <c r="A10343" s="1" t="s">
        <v>1012</v>
      </c>
      <c r="B10343" s="0" t="s">
        <v>168</v>
      </c>
      <c r="F10343" s="7" t="n">
        <f aca="false">(Sens!F10339-Sens!F10338+Sens!F10337)*(1-tax_f)/((Sens!E10340+Sens!F10340)/2)</f>
        <v>0.0764607059271074</v>
      </c>
      <c r="G10343" s="7" t="n">
        <f aca="false">(Sens!G10339-Sens!G10338+Sens!G10337)*(1-tax_f)/((Sens!F10340+Sens!G10340)/2)</f>
        <v>0.105950583522098</v>
      </c>
      <c r="H10343" s="7" t="n">
        <f aca="false">(Sens!H10339-Sens!H10338+Sens!H10337)*(1-tax_f)/((Sens!G10340+Sens!H10340)/2)</f>
        <v>0.131951044114011</v>
      </c>
      <c r="I10343" s="7" t="n">
        <f aca="false">(Sens!I10339-Sens!I10338+Sens!I10337)*(1-tax_f)/((Sens!H10340+Sens!I10340)/2)</f>
        <v>0.143913320760143</v>
      </c>
      <c r="J10343" s="7" t="n">
        <f aca="false">(Sens!J10339-Sens!J10338+Sens!J10337)*(1-tax_f)/((Sens!I10340+Sens!J10340)/2)</f>
        <v>0.158455577336889</v>
      </c>
      <c r="K10343" s="7" t="n">
        <f aca="false">(Sens!K10339-Sens!K10338+Sens!K10337)*(1-tax_f)/((Sens!J10340+Sens!K10340)/2)</f>
        <v>0.176551084731214</v>
      </c>
    </row>
    <row r="10344" customFormat="false" ht="17.15" hidden="false" customHeight="false" outlineLevel="0" collapsed="false">
      <c r="A10344" s="1" t="s">
        <v>1013</v>
      </c>
      <c r="B10344" s="0" t="s">
        <v>168</v>
      </c>
      <c r="F10344" s="7" t="n">
        <f aca="false">Sens!F10269*(1-tax_f)/(Sens!F10255*(Sens!E10340+Sens!F10340)/2)</f>
        <v>0.15471433083293</v>
      </c>
      <c r="G10344" s="7" t="n">
        <f aca="false">Sens!G10269*(1-tax_f)/(Sens!G10255*(Sens!F10340+Sens!G10340)/2)</f>
        <v>0.176916911437355</v>
      </c>
      <c r="H10344" s="7" t="n">
        <f aca="false">Sens!H10269*(1-tax_f)/(Sens!H10255*(Sens!G10340+Sens!H10340)/2)</f>
        <v>0.207487057996582</v>
      </c>
      <c r="I10344" s="7" t="n">
        <f aca="false">Sens!I10269*(1-tax_f)/(Sens!I10255*(Sens!H10340+Sens!I10340)/2)</f>
        <v>0.219873660070946</v>
      </c>
      <c r="J10344" s="7" t="n">
        <f aca="false">Sens!J10269*(1-tax_f)/(Sens!J10255*(Sens!I10340+Sens!J10340)/2)</f>
        <v>0.238959457974928</v>
      </c>
      <c r="K10344" s="7" t="n">
        <f aca="false">Sens!K10269*(1-tax_f)/(Sens!K10255*(Sens!J10340+Sens!K10340)/2)</f>
        <v>0.264604270651536</v>
      </c>
    </row>
    <row r="10345" customFormat="false" ht="17.15" hidden="false" customHeight="false" outlineLevel="0" collapsed="false">
      <c r="A10345" s="0" t="s">
        <v>1014</v>
      </c>
      <c r="B10345" s="0" t="s">
        <v>253</v>
      </c>
      <c r="F10345" s="7" t="n">
        <f aca="false">Sens!F10341-wacc</f>
        <v>-0.0264758850184899</v>
      </c>
      <c r="G10345" s="7" t="n">
        <f aca="false">Sens!G10341-wacc</f>
        <v>0.00301399257650095</v>
      </c>
      <c r="H10345" s="7" t="n">
        <f aca="false">Sens!H10341-wacc</f>
        <v>0.0290144531684132</v>
      </c>
      <c r="I10345" s="7" t="n">
        <f aca="false">Sens!I10341-wacc</f>
        <v>0.0409767298145461</v>
      </c>
      <c r="J10345" s="7" t="n">
        <f aca="false">Sens!J10341-wacc</f>
        <v>0.0555189863912922</v>
      </c>
      <c r="K10345" s="7" t="n">
        <f aca="false">Sens!K10341-wacc</f>
        <v>0.0736144937856168</v>
      </c>
    </row>
    <row r="10346" customFormat="false" ht="17.15" hidden="false" customHeight="false" outlineLevel="0" collapsed="false">
      <c r="A10346" s="0" t="s">
        <v>1015</v>
      </c>
      <c r="B10346" s="0" t="s">
        <v>98</v>
      </c>
      <c r="F10346" s="6" t="n">
        <f aca="false">Sens!F10339*(1-tax_f)-wacc*(Sens!E10340+Sens!F10340)/2</f>
        <v>-5.12666681154535</v>
      </c>
      <c r="G10346" s="6" t="n">
        <f aca="false">Sens!G10339*(1-tax_f)-wacc*(Sens!F10340+Sens!G10340)/2</f>
        <v>0.983096926090845</v>
      </c>
      <c r="H10346" s="6" t="n">
        <f aca="false">Sens!H10339*(1-tax_f)-wacc*(Sens!G10340+Sens!H10340)/2</f>
        <v>12.9298723603358</v>
      </c>
      <c r="I10346" s="6" t="n">
        <f aca="false">Sens!I10339*(1-tax_f)-wacc*(Sens!H10340+Sens!I10340)/2</f>
        <v>21.5816420117415</v>
      </c>
      <c r="J10346" s="6" t="n">
        <f aca="false">Sens!J10339*(1-tax_f)-wacc*(Sens!I10340+Sens!J10340)/2</f>
        <v>30.6647728372055</v>
      </c>
      <c r="K10346" s="6" t="n">
        <f aca="false">Sens!K10339*(1-tax_f)-wacc*(Sens!J10340+Sens!K10340)/2</f>
        <v>39.6606698161285</v>
      </c>
    </row>
    <row r="10347" customFormat="false" ht="17.15" hidden="false" customHeight="false" outlineLevel="0" collapsed="false">
      <c r="A10347" s="3" t="s">
        <v>1738</v>
      </c>
    </row>
    <row r="10348" customFormat="false" ht="15" hidden="false" customHeight="false" outlineLevel="0" collapsed="false">
      <c r="A10348" s="4" t="s">
        <v>43</v>
      </c>
      <c r="B10348" s="4" t="s">
        <v>65</v>
      </c>
      <c r="C10348" s="23" t="s">
        <v>938</v>
      </c>
      <c r="D10348" s="23" t="s">
        <v>939</v>
      </c>
      <c r="E10348" s="23" t="s">
        <v>940</v>
      </c>
      <c r="F10348" s="23" t="s">
        <v>941</v>
      </c>
      <c r="G10348" s="23" t="s">
        <v>942</v>
      </c>
      <c r="H10348" s="23" t="s">
        <v>943</v>
      </c>
      <c r="I10348" s="23" t="s">
        <v>944</v>
      </c>
      <c r="J10348" s="23" t="s">
        <v>945</v>
      </c>
      <c r="K10348" s="23" t="s">
        <v>946</v>
      </c>
      <c r="L10348" s="4" t="s">
        <v>47</v>
      </c>
    </row>
    <row r="10349" customFormat="false" ht="15" hidden="false" customHeight="false" outlineLevel="0" collapsed="false">
      <c r="A10349" s="1" t="s">
        <v>1076</v>
      </c>
      <c r="B10349" s="0" t="s">
        <v>98</v>
      </c>
      <c r="F10349" s="6" t="n">
        <f aca="false">Sens!F10330</f>
        <v>147.423244918787</v>
      </c>
      <c r="G10349" s="6" t="n">
        <f aca="false">Sens!G10330</f>
        <v>167.872452257266</v>
      </c>
      <c r="H10349" s="6" t="n">
        <f aca="false">Sens!H10330</f>
        <v>195.738532607214</v>
      </c>
      <c r="I10349" s="6" t="n">
        <f aca="false">Sens!I10330</f>
        <v>216.930055009875</v>
      </c>
      <c r="J10349" s="6" t="n">
        <f aca="false">Sens!J10330</f>
        <v>235.24659883569</v>
      </c>
      <c r="K10349" s="6" t="n">
        <f aca="false">Sens!K10330</f>
        <v>251.745448866281</v>
      </c>
    </row>
    <row r="10350" customFormat="false" ht="17.15" hidden="false" customHeight="false" outlineLevel="0" collapsed="false">
      <c r="A10350" s="1" t="s">
        <v>1098</v>
      </c>
      <c r="B10350" s="0" t="s">
        <v>98</v>
      </c>
      <c r="E10350" s="6" t="n">
        <f aca="false">Q!M38-Sens!E10268</f>
        <v>22.2285940229167</v>
      </c>
      <c r="F10350" s="6" t="n">
        <f aca="false">Sens!E10350*(1-1/life_nonai)+(Sens!F10358+Sens!F10359)/life_nonai</f>
        <v>23.580344216413</v>
      </c>
      <c r="G10350" s="6" t="n">
        <f aca="false">Sens!F10350*(1-1/life_nonai)+(Sens!G10358)/life_nonai</f>
        <v>25.3771105083695</v>
      </c>
      <c r="H10350" s="6" t="n">
        <f aca="false">Sens!G10350*(1-1/life_nonai)+(Sens!H10358)/life_nonai</f>
        <v>27.5868130447765</v>
      </c>
      <c r="I10350" s="6" t="n">
        <f aca="false">Sens!H10350*(1-1/life_nonai)+(Sens!I10358)/life_nonai</f>
        <v>30.1315417135351</v>
      </c>
      <c r="J10350" s="6" t="n">
        <f aca="false">Sens!I10350*(1-1/life_nonai)+(Sens!J10358)/life_nonai</f>
        <v>32.9176139825127</v>
      </c>
      <c r="K10350" s="6" t="n">
        <f aca="false">Sens!J10350*(1-1/life_nonai)+(Sens!K10358)/life_nonai</f>
        <v>35.8589582312788</v>
      </c>
      <c r="L10350" s="12" t="s">
        <v>1099</v>
      </c>
    </row>
    <row r="10351" customFormat="false" ht="17.15" hidden="false" customHeight="false" outlineLevel="0" collapsed="false">
      <c r="A10351" s="1" t="s">
        <v>1100</v>
      </c>
      <c r="B10351" s="0" t="s">
        <v>98</v>
      </c>
      <c r="F10351" s="6" t="n">
        <f aca="false">Sens!$F$10359/life_nonai*(1-1/life_nonai)^(Sens!F10231-2027)</f>
        <v>0.00551346452575601</v>
      </c>
      <c r="G10351" s="6" t="n">
        <f aca="false">Sens!$F$10359/life_nonai*(1-1/life_nonai)^(Sens!G10231-2027)</f>
        <v>0.00496211807318041</v>
      </c>
      <c r="H10351" s="6" t="n">
        <f aca="false">Sens!$F$10359/life_nonai*(1-1/life_nonai)^(Sens!H10231-2027)</f>
        <v>0.00446590626586237</v>
      </c>
      <c r="I10351" s="6" t="n">
        <f aca="false">Sens!$F$10359/life_nonai*(1-1/life_nonai)^(Sens!I10231-2027)</f>
        <v>0.00401931563927613</v>
      </c>
      <c r="J10351" s="6" t="n">
        <f aca="false">Sens!$F$10359/life_nonai*(1-1/life_nonai)^(Sens!J10231-2027)</f>
        <v>0.00361738407534852</v>
      </c>
      <c r="K10351" s="6" t="n">
        <f aca="false">Sens!$F$10359/life_nonai*(1-1/life_nonai)^(Sens!K10231-2027)</f>
        <v>0.00325564566781366</v>
      </c>
      <c r="L10351" s="1" t="s">
        <v>1101</v>
      </c>
    </row>
    <row r="10352" customFormat="false" ht="17.15" hidden="false" customHeight="false" outlineLevel="0" collapsed="false">
      <c r="A10352" s="1" t="s">
        <v>1102</v>
      </c>
      <c r="B10352" s="0" t="s">
        <v>98</v>
      </c>
      <c r="E10352" s="6" t="n">
        <f aca="false">Sens!E10268+Sens!E10350</f>
        <v>38.534</v>
      </c>
      <c r="F10352" s="6" t="n">
        <f aca="false">Sens!F10268+Sens!F10350</f>
        <v>58.1596586947647</v>
      </c>
      <c r="G10352" s="6" t="n">
        <f aca="false">Sens!G10268+Sens!G10350</f>
        <v>86.1116011606685</v>
      </c>
      <c r="H10352" s="6" t="n">
        <f aca="false">Sens!H10268+Sens!H10350</f>
        <v>116.686903706222</v>
      </c>
      <c r="I10352" s="6" t="n">
        <f aca="false">Sens!I10268+Sens!I10350</f>
        <v>144.362551408083</v>
      </c>
      <c r="J10352" s="6" t="n">
        <f aca="false">Sens!J10268+Sens!J10350</f>
        <v>164.933287032109</v>
      </c>
      <c r="K10352" s="6" t="n">
        <f aca="false">Sens!K10268+Sens!K10350</f>
        <v>178.871627782213</v>
      </c>
    </row>
    <row r="10353" customFormat="false" ht="17.15" hidden="false" customHeight="false" outlineLevel="0" collapsed="false">
      <c r="A10353" s="1" t="s">
        <v>1103</v>
      </c>
      <c r="B10353" s="0" t="s">
        <v>98</v>
      </c>
      <c r="F10353" s="6" t="n">
        <f aca="false">Sens!F10295*sbc_r</f>
        <v>15.0645379562403</v>
      </c>
      <c r="G10353" s="6" t="n">
        <f aca="false">Sens!G10295*sbc_r</f>
        <v>18.3699840177126</v>
      </c>
      <c r="H10353" s="6" t="n">
        <f aca="false">Sens!H10295*sbc_r</f>
        <v>21.9222481489084</v>
      </c>
      <c r="I10353" s="6" t="n">
        <f aca="false">Sens!I10295*sbc_r</f>
        <v>24.9350536678007</v>
      </c>
      <c r="J10353" s="6" t="n">
        <f aca="false">Sens!J10295*sbc_r</f>
        <v>27.3443962586887</v>
      </c>
      <c r="K10353" s="6" t="n">
        <f aca="false">Sens!K10295*sbc_r</f>
        <v>29.2428465086607</v>
      </c>
    </row>
    <row r="10354" customFormat="false" ht="17.15" hidden="false" customHeight="false" outlineLevel="0" collapsed="false">
      <c r="A10354" s="1" t="s">
        <v>1104</v>
      </c>
      <c r="B10354" s="0" t="s">
        <v>98</v>
      </c>
      <c r="F10354" s="6" t="n">
        <f aca="false">wc27-wc26q1</f>
        <v>-4.677</v>
      </c>
      <c r="G10354" s="6" t="n">
        <f aca="false">wc_f</f>
        <v>0</v>
      </c>
      <c r="H10354" s="6" t="n">
        <f aca="false">wc_f</f>
        <v>0</v>
      </c>
      <c r="I10354" s="6" t="n">
        <f aca="false">wc_f</f>
        <v>0</v>
      </c>
      <c r="J10354" s="6" t="n">
        <f aca="false">wc_f</f>
        <v>0</v>
      </c>
      <c r="K10354" s="6" t="n">
        <f aca="false">wc_f</f>
        <v>0</v>
      </c>
      <c r="L10354" s="12" t="s">
        <v>1105</v>
      </c>
    </row>
    <row r="10355" customFormat="false" ht="17.15" hidden="false" customHeight="false" outlineLevel="0" collapsed="false">
      <c r="A10355" s="0" t="s">
        <v>1106</v>
      </c>
      <c r="B10355" s="0" t="s">
        <v>98</v>
      </c>
      <c r="F10355" s="6" t="n">
        <f aca="false">Q!$I$35-Q!$I$26-Q!$I$38-Q!$I$39</f>
        <v>6.493</v>
      </c>
      <c r="L10355" s="1" t="s">
        <v>1107</v>
      </c>
    </row>
    <row r="10356" customFormat="false" ht="15" hidden="false" customHeight="false" outlineLevel="0" collapsed="false">
      <c r="A10356" s="1" t="s">
        <v>904</v>
      </c>
      <c r="B10356" s="0" t="s">
        <v>98</v>
      </c>
      <c r="E10356" s="6" t="n">
        <f aca="false">Q!M35</f>
        <v>182.935</v>
      </c>
      <c r="F10356" s="6" t="n">
        <f aca="false">Sens!F10349+Sens!F10352+Sens!F10353+Sens!F10354+Sens!F10355</f>
        <v>222.463441569792</v>
      </c>
      <c r="G10356" s="6" t="n">
        <f aca="false">Sens!G10349+Sens!G10352+Sens!G10353+Sens!G10354</f>
        <v>272.354037435647</v>
      </c>
      <c r="H10356" s="6" t="n">
        <f aca="false">Sens!H10349+Sens!H10352+Sens!H10353+Sens!H10354</f>
        <v>334.347684462345</v>
      </c>
      <c r="I10356" s="6" t="n">
        <f aca="false">Sens!I10349+Sens!I10352+Sens!I10353+Sens!I10354</f>
        <v>386.22766008576</v>
      </c>
      <c r="J10356" s="6" t="n">
        <f aca="false">Sens!J10349+Sens!J10352+Sens!J10353+Sens!J10354</f>
        <v>427.524282126487</v>
      </c>
      <c r="K10356" s="6" t="n">
        <f aca="false">Sens!K10349+Sens!K10352+Sens!K10353+Sens!K10354</f>
        <v>459.859923157154</v>
      </c>
    </row>
    <row r="10357" customFormat="false" ht="17.15" hidden="false" customHeight="false" outlineLevel="0" collapsed="false">
      <c r="A10357" s="0" t="s">
        <v>1108</v>
      </c>
      <c r="B10357" s="0" t="s">
        <v>98</v>
      </c>
      <c r="F10357" s="6" t="n">
        <f aca="false">Sens!F10265</f>
        <v>168.45390404212</v>
      </c>
      <c r="G10357" s="6" t="n">
        <f aca="false">Sens!G10265</f>
        <v>191.944475649048</v>
      </c>
      <c r="H10357" s="6" t="n">
        <f aca="false">Sens!H10265</f>
        <v>196.806004064512</v>
      </c>
      <c r="I10357" s="6" t="n">
        <f aca="false">Sens!I10265</f>
        <v>168.61483362161</v>
      </c>
      <c r="J10357" s="6" t="n">
        <f aca="false">Sens!J10265</f>
        <v>128.92993119594</v>
      </c>
      <c r="K10357" s="6" t="n">
        <f aca="false">Sens!K10265</f>
        <v>118.962853064733</v>
      </c>
    </row>
    <row r="10358" customFormat="false" ht="17.15" hidden="false" customHeight="false" outlineLevel="0" collapsed="false">
      <c r="A10358" s="1" t="s">
        <v>1109</v>
      </c>
      <c r="B10358" s="0" t="s">
        <v>98</v>
      </c>
      <c r="E10358" s="6" t="n">
        <f aca="false">Sens!E10273*cx_azo+Sens!E10280*cx_m365+Sens!E10281*cx_lic+(Sens!E10283+Sens!E10285)*cx_ind+Sens!E10288*cx_srch+(Sens!E10290+Sens!E10292)*cx_dev</f>
        <v>30.1846587067718</v>
      </c>
      <c r="F10358" s="6" t="n">
        <f aca="false">Sens!F10273*cx_azo+Sens!F10280*cx_m365+Sens!F10281*cx_lic+(Sens!F10283+Sens!F10285)*cx_ind+Sens!F10288*cx_srch+(Sens!F10290+Sens!F10292)*cx_dev</f>
        <v>35.6909613126228</v>
      </c>
      <c r="G10358" s="6" t="n">
        <f aca="false">Sens!G10273*cx_azo+Sens!G10280*cx_m365+Sens!G10281*cx_lic+(Sens!G10283+Sens!G10285)*cx_ind+Sens!G10288*cx_srch+(Sens!G10290+Sens!G10292)*cx_dev</f>
        <v>41.5480071359778</v>
      </c>
      <c r="H10358" s="6" t="n">
        <f aca="false">Sens!H10273*cx_azo+Sens!H10280*cx_m365+Sens!H10281*cx_lic+(Sens!H10283+Sens!H10285)*cx_ind+Sens!H10288*cx_srch+(Sens!H10290+Sens!H10292)*cx_dev</f>
        <v>47.4741358724394</v>
      </c>
      <c r="I10358" s="6" t="n">
        <f aca="false">Sens!I10273*cx_azo+Sens!I10280*cx_m365+Sens!I10281*cx_lic+(Sens!I10283+Sens!I10285)*cx_ind+Sens!I10288*cx_srch+(Sens!I10290+Sens!I10292)*cx_dev</f>
        <v>53.0340997323626</v>
      </c>
      <c r="J10358" s="6" t="n">
        <f aca="false">Sens!J10273*cx_azo+Sens!J10280*cx_m365+Sens!J10281*cx_lic+(Sens!J10283+Sens!J10285)*cx_ind+Sens!J10288*cx_srch+(Sens!J10290+Sens!J10292)*cx_dev</f>
        <v>57.9922644033104</v>
      </c>
      <c r="K10358" s="6" t="n">
        <f aca="false">Sens!K10273*cx_azo+Sens!K10280*cx_m365+Sens!K10281*cx_lic+(Sens!K10283+Sens!K10285)*cx_ind+Sens!K10288*cx_srch+(Sens!K10290+Sens!K10292)*cx_dev</f>
        <v>62.3310564701745</v>
      </c>
    </row>
    <row r="10359" customFormat="false" ht="17.15" hidden="false" customHeight="false" outlineLevel="0" collapsed="false">
      <c r="A10359" s="0" t="s">
        <v>1110</v>
      </c>
      <c r="B10359" s="0" t="s">
        <v>98</v>
      </c>
      <c r="F10359" s="6" t="n">
        <f aca="false">Sens!F10263</f>
        <v>0.0551346452575601</v>
      </c>
      <c r="L10359" s="1" t="s">
        <v>1111</v>
      </c>
    </row>
    <row r="10360" customFormat="false" ht="17.15" hidden="false" customHeight="false" outlineLevel="0" collapsed="false">
      <c r="A10360" s="1" t="s">
        <v>1112</v>
      </c>
      <c r="B10360" s="0" t="s">
        <v>98</v>
      </c>
      <c r="E10360" s="6" t="n">
        <f aca="false">Q!M43</f>
        <v>145.3</v>
      </c>
      <c r="F10360" s="6" t="n">
        <f aca="false">Sens!F10357+Sens!F10358+Sens!F10359</f>
        <v>204.2</v>
      </c>
      <c r="G10360" s="6" t="n">
        <f aca="false">Sens!G10357+Sens!G10358</f>
        <v>233.492482785026</v>
      </c>
      <c r="H10360" s="6" t="n">
        <f aca="false">Sens!H10357+Sens!H10358</f>
        <v>244.280139936952</v>
      </c>
      <c r="I10360" s="6" t="n">
        <f aca="false">Sens!I10357+Sens!I10358</f>
        <v>221.648933353973</v>
      </c>
      <c r="J10360" s="6" t="n">
        <f aca="false">Sens!J10357+Sens!J10358</f>
        <v>186.922195599251</v>
      </c>
      <c r="K10360" s="6" t="n">
        <f aca="false">Sens!K10357+Sens!K10358</f>
        <v>181.293909534907</v>
      </c>
      <c r="L10360" s="1" t="s">
        <v>1113</v>
      </c>
    </row>
    <row r="10361" customFormat="false" ht="15" hidden="false" customHeight="false" outlineLevel="0" collapsed="false">
      <c r="A10361" s="1" t="s">
        <v>1114</v>
      </c>
      <c r="B10361" s="0" t="s">
        <v>98</v>
      </c>
      <c r="E10361" s="6" t="n">
        <f aca="false">fl_liab</f>
        <v>66.594</v>
      </c>
      <c r="F10361" s="6" t="n">
        <f aca="false">Sens!E10361-Sens!F10362</f>
        <v>62.46973</v>
      </c>
      <c r="G10361" s="6" t="n">
        <f aca="false">Sens!F10361-Sens!G10362</f>
        <v>57.98686785</v>
      </c>
      <c r="H10361" s="6" t="n">
        <f aca="false">Sens!G10361-Sens!H10362</f>
        <v>53.92827690325</v>
      </c>
      <c r="I10361" s="6" t="n">
        <f aca="false">Sens!H10361-Sens!I10362</f>
        <v>49.7850493638962</v>
      </c>
      <c r="J10361" s="6" t="n">
        <f aca="false">Sens!I10361-Sens!J10362</f>
        <v>45.4823765852716</v>
      </c>
      <c r="K10361" s="6" t="n">
        <f aca="false">Sens!J10361-Sens!K10362</f>
        <v>40.9860835316088</v>
      </c>
    </row>
    <row r="10362" customFormat="false" ht="15" hidden="false" customHeight="false" outlineLevel="0" collapsed="false">
      <c r="A10362" s="1" t="s">
        <v>1115</v>
      </c>
      <c r="B10362" s="0" t="s">
        <v>98</v>
      </c>
      <c r="F10362" s="6" t="n">
        <f aca="false">fl_pay_27-Sens!E10361*fl_rate</f>
        <v>4.12427</v>
      </c>
      <c r="G10362" s="6" t="n">
        <f aca="false">fl_pay_28-Sens!F10361*fl_rate</f>
        <v>4.48286215</v>
      </c>
      <c r="H10362" s="6" t="n">
        <f aca="false">fl_pay_29-Sens!G10361*fl_rate</f>
        <v>4.05859094675</v>
      </c>
      <c r="I10362" s="6" t="n">
        <f aca="false">fl_pay_30-Sens!H10361*fl_rate</f>
        <v>4.14322753935375</v>
      </c>
      <c r="J10362" s="6" t="n">
        <f aca="false">fl_pay_31-Sens!I10361*fl_rate</f>
        <v>4.30267277862467</v>
      </c>
      <c r="K10362" s="6" t="n">
        <f aca="false">fl_pay_32-Sens!J10361*fl_rate</f>
        <v>4.49629305366278</v>
      </c>
    </row>
    <row r="10363" customFormat="false" ht="17.15" hidden="false" customHeight="false" outlineLevel="0" collapsed="false">
      <c r="A10363" s="1" t="s">
        <v>1116</v>
      </c>
      <c r="B10363" s="0" t="s">
        <v>98</v>
      </c>
      <c r="E10363" s="6" t="n">
        <f aca="false">Q!M35-Q!M36-Q!M44</f>
        <v>63.886</v>
      </c>
      <c r="F10363" s="6" t="n">
        <f aca="false">Sens!F10356-Sens!F10360-Sens!F10362</f>
        <v>14.1391715697923</v>
      </c>
      <c r="G10363" s="6" t="n">
        <f aca="false">Sens!G10356-Sens!G10360-Sens!G10362</f>
        <v>34.3786925006209</v>
      </c>
      <c r="H10363" s="6" t="n">
        <f aca="false">Sens!H10356-Sens!H10360-Sens!H10362</f>
        <v>86.0089535786431</v>
      </c>
      <c r="I10363" s="6" t="n">
        <f aca="false">Sens!I10356-Sens!I10360-Sens!I10362</f>
        <v>160.435499192433</v>
      </c>
      <c r="J10363" s="6" t="n">
        <f aca="false">Sens!J10356-Sens!J10360-Sens!J10362</f>
        <v>236.299413748612</v>
      </c>
      <c r="K10363" s="6" t="n">
        <f aca="false">Sens!K10356-Sens!K10360-Sens!K10362</f>
        <v>274.069720568584</v>
      </c>
      <c r="L10363" s="12" t="s">
        <v>1117</v>
      </c>
    </row>
    <row r="10364" customFormat="false" ht="15" hidden="false" customHeight="false" outlineLevel="0" collapsed="false">
      <c r="A10364" s="1" t="s">
        <v>1118</v>
      </c>
      <c r="B10364" s="0" t="s">
        <v>75</v>
      </c>
      <c r="F10364" s="8" t="n">
        <f aca="false">dps_27</f>
        <v>3.85</v>
      </c>
      <c r="G10364" s="8" t="n">
        <f aca="false">Sens!F10364*(1+dps_g)</f>
        <v>4.158</v>
      </c>
      <c r="H10364" s="8" t="n">
        <f aca="false">Sens!G10364*(1+dps_g)</f>
        <v>4.49064</v>
      </c>
      <c r="I10364" s="8" t="n">
        <f aca="false">Sens!H10364*(1+dps_g)</f>
        <v>4.8498912</v>
      </c>
      <c r="J10364" s="8" t="n">
        <f aca="false">Sens!I10364*(1+dps_g)</f>
        <v>5.237882496</v>
      </c>
      <c r="K10364" s="8" t="n">
        <f aca="false">Sens!J10364*(1+dps_g)</f>
        <v>5.65691309568</v>
      </c>
    </row>
    <row r="10365" customFormat="false" ht="17.15" hidden="false" customHeight="false" outlineLevel="0" collapsed="false">
      <c r="A10365" s="1" t="s">
        <v>1119</v>
      </c>
      <c r="B10365" s="0" t="s">
        <v>98</v>
      </c>
      <c r="E10365" s="6" t="n">
        <f aca="false">Q!M41</f>
        <v>26.445</v>
      </c>
      <c r="F10365" s="6" t="n">
        <f aca="false">Sens!F10364*Sens!E10374</f>
        <v>28.59395</v>
      </c>
      <c r="G10365" s="6" t="n">
        <f aca="false">Sens!G10364*Sens!F10374</f>
        <v>31.0449302272991</v>
      </c>
      <c r="H10365" s="6" t="n">
        <f aca="false">Sens!H10364*Sens!G10374</f>
        <v>33.7054843188692</v>
      </c>
      <c r="I10365" s="6" t="n">
        <f aca="false">Sens!I10364*Sens!H10374</f>
        <v>36.4523613414514</v>
      </c>
      <c r="J10365" s="6" t="n">
        <f aca="false">Sens!J10364*Sens!I10374</f>
        <v>39.4364481341601</v>
      </c>
      <c r="K10365" s="6" t="n">
        <f aca="false">Sens!K10364*Sens!J10374</f>
        <v>42.6781182472712</v>
      </c>
      <c r="L10365" s="1" t="s">
        <v>1120</v>
      </c>
    </row>
    <row r="10366" customFormat="false" ht="15" hidden="false" customHeight="false" outlineLevel="0" collapsed="false">
      <c r="A10366" s="1" t="s">
        <v>1121</v>
      </c>
      <c r="B10366" s="0" t="s">
        <v>98</v>
      </c>
      <c r="E10366" s="6" t="n">
        <f aca="false">Sens!E10363-Sens!E10365</f>
        <v>37.441</v>
      </c>
      <c r="F10366" s="6" t="n">
        <f aca="false">Sens!F10363-Sens!F10365</f>
        <v>-14.4547784302077</v>
      </c>
      <c r="G10366" s="6" t="n">
        <f aca="false">Sens!G10363-Sens!G10365</f>
        <v>3.33376227332179</v>
      </c>
      <c r="H10366" s="6" t="n">
        <f aca="false">Sens!H10363-Sens!H10365</f>
        <v>52.3034692597739</v>
      </c>
      <c r="I10366" s="6" t="n">
        <f aca="false">Sens!I10363-Sens!I10365</f>
        <v>123.983137850981</v>
      </c>
      <c r="J10366" s="6" t="n">
        <f aca="false">Sens!J10363-Sens!J10365</f>
        <v>196.862965614452</v>
      </c>
      <c r="K10366" s="6" t="n">
        <f aca="false">Sens!K10363-Sens!K10365</f>
        <v>231.391602321313</v>
      </c>
    </row>
    <row r="10367" customFormat="false" ht="15" hidden="false" customHeight="false" outlineLevel="0" collapsed="false">
      <c r="A10367" s="1" t="s">
        <v>1122</v>
      </c>
      <c r="B10367" s="0" t="s">
        <v>98</v>
      </c>
      <c r="F10367" s="6" t="n">
        <f aca="false">debt_mat_27</f>
        <v>9.25</v>
      </c>
      <c r="G10367" s="6" t="n">
        <f aca="false">debt_mat_28</f>
        <v>0</v>
      </c>
      <c r="H10367" s="6" t="n">
        <f aca="false">debt_mat_29</f>
        <v>2.001</v>
      </c>
      <c r="I10367" s="6" t="n">
        <f aca="false">debt_mat_30</f>
        <v>0</v>
      </c>
      <c r="J10367" s="6" t="n">
        <f aca="false">debt_mat_31</f>
        <v>0.5</v>
      </c>
      <c r="K10367" s="6" t="n">
        <f aca="false">debt_mat_32</f>
        <v>0</v>
      </c>
    </row>
    <row r="10368" customFormat="false" ht="15" hidden="false" customHeight="false" outlineLevel="0" collapsed="false">
      <c r="A10368" s="1" t="s">
        <v>1123</v>
      </c>
      <c r="B10368" s="0" t="s">
        <v>98</v>
      </c>
      <c r="E10368" s="6" t="n">
        <f aca="false">Q!M40</f>
        <v>22.271</v>
      </c>
      <c r="F10368" s="6" t="n">
        <f aca="false">MAX(0,MIN(bb_target,Sens!E10370+Sens!F10366-Sens!F10367-min_cash))</f>
        <v>3.13822156979235</v>
      </c>
      <c r="G10368" s="6" t="n">
        <f aca="false">MAX(0,MIN(bb_target,Sens!F10370+Sens!G10366-Sens!G10367-min_cash))</f>
        <v>3.3337622733218</v>
      </c>
      <c r="H10368" s="6" t="n">
        <f aca="false">MAX(0,MIN(bb_target,Sens!G10370+Sens!H10366-Sens!H10367-min_cash))</f>
        <v>22.271</v>
      </c>
      <c r="I10368" s="6" t="n">
        <f aca="false">MAX(0,MIN(bb_target,Sens!H10370+Sens!I10366-Sens!I10367-min_cash))</f>
        <v>22.271</v>
      </c>
      <c r="J10368" s="6" t="n">
        <f aca="false">MAX(0,MIN(bb_target,Sens!I10370+Sens!J10366-Sens!J10367-min_cash))</f>
        <v>22.271</v>
      </c>
      <c r="K10368" s="6" t="n">
        <f aca="false">MAX(0,MIN(bb_target,Sens!J10370+Sens!K10366-Sens!K10367-min_cash))</f>
        <v>22.271</v>
      </c>
    </row>
    <row r="10369" customFormat="false" ht="15" hidden="false" customHeight="false" outlineLevel="0" collapsed="false">
      <c r="A10369" s="1" t="s">
        <v>1124</v>
      </c>
      <c r="B10369" s="0" t="s">
        <v>98</v>
      </c>
      <c r="F10369" s="6" t="n">
        <f aca="false">MAX(0,min_cash-(Sens!E10370+Sens!F10366-Sens!F10367-Sens!F10368))</f>
        <v>0</v>
      </c>
      <c r="G10369" s="6" t="n">
        <f aca="false">MAX(0,min_cash-(Sens!F10370+Sens!G10366-Sens!G10367-Sens!G10368))</f>
        <v>0</v>
      </c>
      <c r="H10369" s="6" t="n">
        <f aca="false">MAX(0,min_cash-(Sens!G10370+Sens!H10366-Sens!H10367-Sens!H10368))</f>
        <v>0</v>
      </c>
      <c r="I10369" s="6" t="n">
        <f aca="false">MAX(0,min_cash-(Sens!H10370+Sens!I10366-Sens!I10367-Sens!I10368))</f>
        <v>0</v>
      </c>
      <c r="J10369" s="6" t="n">
        <f aca="false">MAX(0,min_cash-(Sens!I10370+Sens!J10366-Sens!J10367-Sens!J10368))</f>
        <v>0</v>
      </c>
      <c r="K10369" s="6" t="n">
        <f aca="false">MAX(0,min_cash-(Sens!J10370+Sens!K10366-Sens!K10367-Sens!K10368))</f>
        <v>0</v>
      </c>
    </row>
    <row r="10370" customFormat="false" ht="15" hidden="false" customHeight="false" outlineLevel="0" collapsed="false">
      <c r="A10370" s="1" t="s">
        <v>1125</v>
      </c>
      <c r="B10370" s="0" t="s">
        <v>98</v>
      </c>
      <c r="E10370" s="6" t="n">
        <f aca="false">cash_open</f>
        <v>76.843</v>
      </c>
      <c r="F10370" s="6" t="n">
        <f aca="false">Sens!E10370+Sens!F10366-Sens!F10367-Sens!F10368+Sens!F10369</f>
        <v>50</v>
      </c>
      <c r="G10370" s="6" t="n">
        <f aca="false">Sens!F10370+Sens!G10366-Sens!G10367-Sens!G10368+Sens!G10369</f>
        <v>50</v>
      </c>
      <c r="H10370" s="6" t="n">
        <f aca="false">Sens!G10370+Sens!H10366-Sens!H10367-Sens!H10368+Sens!H10369</f>
        <v>78.0314692597739</v>
      </c>
      <c r="I10370" s="6" t="n">
        <f aca="false">Sens!H10370+Sens!I10366-Sens!I10367-Sens!I10368+Sens!I10369</f>
        <v>179.743607110755</v>
      </c>
      <c r="J10370" s="6" t="n">
        <f aca="false">Sens!I10370+Sens!J10366-Sens!J10367-Sens!J10368+Sens!J10369</f>
        <v>353.835572725207</v>
      </c>
      <c r="K10370" s="6" t="n">
        <f aca="false">Sens!J10370+Sens!K10366-Sens!K10367-Sens!K10368+Sens!K10369</f>
        <v>562.95617504652</v>
      </c>
    </row>
    <row r="10371" customFormat="false" ht="15" hidden="false" customHeight="false" outlineLevel="0" collapsed="false">
      <c r="A10371" s="1" t="s">
        <v>1126</v>
      </c>
      <c r="B10371" s="0" t="s">
        <v>98</v>
      </c>
      <c r="E10371" s="6" t="n">
        <f aca="false">debt_face</f>
        <v>46.136</v>
      </c>
      <c r="F10371" s="6" t="n">
        <f aca="false">Sens!E10371-Sens!F10367+Sens!F10369</f>
        <v>36.886</v>
      </c>
      <c r="G10371" s="6" t="n">
        <f aca="false">Sens!F10371-Sens!G10367+Sens!G10369</f>
        <v>36.886</v>
      </c>
      <c r="H10371" s="6" t="n">
        <f aca="false">Sens!G10371-Sens!H10367+Sens!H10369</f>
        <v>34.885</v>
      </c>
      <c r="I10371" s="6" t="n">
        <f aca="false">Sens!H10371-Sens!I10367+Sens!I10369</f>
        <v>34.885</v>
      </c>
      <c r="J10371" s="6" t="n">
        <f aca="false">Sens!I10371-Sens!J10367+Sens!J10369</f>
        <v>34.385</v>
      </c>
      <c r="K10371" s="6" t="n">
        <f aca="false">Sens!J10371-Sens!K10367+Sens!K10369</f>
        <v>34.385</v>
      </c>
    </row>
    <row r="10372" customFormat="false" ht="15" hidden="false" customHeight="false" outlineLevel="0" collapsed="false">
      <c r="A10372" s="1" t="s">
        <v>1127</v>
      </c>
      <c r="B10372" s="0" t="s">
        <v>98</v>
      </c>
      <c r="E10372" s="6" t="n">
        <f aca="false">Sens!E10370-Sens!E10371</f>
        <v>30.707</v>
      </c>
      <c r="F10372" s="6" t="n">
        <f aca="false">Sens!F10370-Sens!F10371</f>
        <v>13.114</v>
      </c>
      <c r="G10372" s="6" t="n">
        <f aca="false">Sens!G10370-Sens!G10371</f>
        <v>13.114</v>
      </c>
      <c r="H10372" s="6" t="n">
        <f aca="false">Sens!H10370-Sens!H10371</f>
        <v>43.1464692597739</v>
      </c>
      <c r="I10372" s="6" t="n">
        <f aca="false">Sens!I10370-Sens!I10371</f>
        <v>144.858607110755</v>
      </c>
      <c r="J10372" s="6" t="n">
        <f aca="false">Sens!J10370-Sens!J10371</f>
        <v>319.450572725207</v>
      </c>
      <c r="K10372" s="6" t="n">
        <f aca="false">Sens!K10370-Sens!K10371</f>
        <v>528.57117504652</v>
      </c>
    </row>
    <row r="10373" customFormat="false" ht="15" hidden="false" customHeight="false" outlineLevel="0" collapsed="false">
      <c r="A10373" s="1" t="s">
        <v>1128</v>
      </c>
      <c r="B10373" s="0" t="s">
        <v>75</v>
      </c>
      <c r="F10373" s="30" t="n">
        <f aca="false">px*(1+bb_g)^(Sens!F10231-base_fy-mid_yr)</f>
        <v>551.84177959629</v>
      </c>
      <c r="G10373" s="30" t="n">
        <f aca="false">px*(1+bb_g)^(Sens!G10231-base_fy-mid_yr)</f>
        <v>595.989121963993</v>
      </c>
      <c r="H10373" s="30" t="n">
        <f aca="false">px*(1+bb_g)^(Sens!H10231-base_fy-mid_yr)</f>
        <v>643.668251721112</v>
      </c>
      <c r="I10373" s="30" t="n">
        <f aca="false">px*(1+bb_g)^(Sens!I10231-base_fy-mid_yr)</f>
        <v>695.161711858801</v>
      </c>
      <c r="J10373" s="30" t="n">
        <f aca="false">px*(1+bb_g)^(Sens!J10231-base_fy-mid_yr)</f>
        <v>750.774648807506</v>
      </c>
      <c r="K10373" s="30" t="n">
        <f aca="false">px*(1+bb_g)^(Sens!K10231-base_fy-mid_yr)</f>
        <v>810.836620712106</v>
      </c>
    </row>
    <row r="10374" customFormat="false" ht="15" hidden="false" customHeight="false" outlineLevel="0" collapsed="false">
      <c r="A10374" s="1" t="s">
        <v>1129</v>
      </c>
      <c r="B10374" s="1" t="s">
        <v>81</v>
      </c>
      <c r="E10374" s="15" t="n">
        <f aca="false">sh_out26</f>
        <v>7.427</v>
      </c>
      <c r="F10374" s="15" t="n">
        <f aca="false">Sens!E10374+sh_iss-Sens!F10368/Sens!F10373</f>
        <v>7.46631318597862</v>
      </c>
      <c r="G10374" s="15" t="n">
        <f aca="false">Sens!F10374+sh_iss-Sens!G10368/Sens!G10373</f>
        <v>7.50571952302327</v>
      </c>
      <c r="H10374" s="15" t="n">
        <f aca="false">Sens!G10374+sh_iss-Sens!H10368/Sens!H10373</f>
        <v>7.51611940108087</v>
      </c>
      <c r="I10374" s="15" t="n">
        <f aca="false">Sens!H10374+sh_iss-Sens!I10368/Sens!I10373</f>
        <v>7.52908225113421</v>
      </c>
      <c r="J10374" s="15" t="n">
        <f aca="false">Sens!I10374+sh_iss-Sens!J10368/Sens!J10373</f>
        <v>7.54441822340581</v>
      </c>
      <c r="K10374" s="15" t="n">
        <f aca="false">Sens!J10374+sh_iss-Sens!K10368/Sens!K10373</f>
        <v>7.56195153106471</v>
      </c>
    </row>
    <row r="10375" customFormat="false" ht="15" hidden="false" customHeight="false" outlineLevel="0" collapsed="false">
      <c r="A10375" s="1" t="s">
        <v>1130</v>
      </c>
      <c r="B10375" s="1" t="s">
        <v>81</v>
      </c>
      <c r="E10375" s="15" t="n">
        <f aca="false">sh_dil26</f>
        <v>7.453</v>
      </c>
      <c r="F10375" s="15" t="n">
        <f aca="false">(Sens!E10374+Sens!F10374)/2+dil_gap</f>
        <v>7.47065659298931</v>
      </c>
      <c r="G10375" s="15" t="n">
        <f aca="false">(Sens!F10374+Sens!G10374)/2+dil_gap</f>
        <v>7.51001635450094</v>
      </c>
      <c r="H10375" s="15" t="n">
        <f aca="false">(Sens!G10374+Sens!H10374)/2+dil_gap</f>
        <v>7.53491946205207</v>
      </c>
      <c r="I10375" s="15" t="n">
        <f aca="false">(Sens!H10374+Sens!I10374)/2+dil_gap</f>
        <v>7.54660082610754</v>
      </c>
      <c r="J10375" s="15" t="n">
        <f aca="false">(Sens!I10374+Sens!J10374)/2+dil_gap</f>
        <v>7.56075023727001</v>
      </c>
      <c r="K10375" s="15" t="n">
        <f aca="false">(Sens!J10374+Sens!K10374)/2+dil_gap</f>
        <v>7.57718487723526</v>
      </c>
    </row>
    <row r="10376" customFormat="false" ht="17.15" hidden="false" customHeight="false" outlineLevel="0" collapsed="false">
      <c r="A10376" s="1" t="s">
        <v>1131</v>
      </c>
      <c r="B10376" s="0" t="s">
        <v>98</v>
      </c>
      <c r="C10376" s="6" t="n">
        <f aca="false">SUM(Sens!F10366:J10366)</f>
        <v>362.028556568321</v>
      </c>
    </row>
    <row r="10377" customFormat="false" ht="15" hidden="false" customHeight="false" outlineLevel="0" collapsed="false">
      <c r="A10377" s="26" t="s">
        <v>1096</v>
      </c>
      <c r="B10377" s="31" t="s">
        <v>98</v>
      </c>
      <c r="C10377" s="27" t="n">
        <f aca="false">Sens!$C$10376-(Sens!F10366+Sens!G10366+Sens!H10366+Sens!I10366+Sens!J10366)</f>
        <v>0</v>
      </c>
      <c r="D10377" s="31"/>
      <c r="E10377" s="31"/>
      <c r="F10377" s="31"/>
      <c r="G10377" s="31"/>
      <c r="H10377" s="31"/>
      <c r="I10377" s="31"/>
      <c r="J10377" s="31"/>
      <c r="K10377" s="31"/>
    </row>
    <row r="10378" customFormat="false" ht="17.15" hidden="false" customHeight="false" outlineLevel="0" collapsed="false">
      <c r="A10378" s="1" t="s">
        <v>1090</v>
      </c>
      <c r="B10378" s="1" t="s">
        <v>1132</v>
      </c>
      <c r="C10378" s="33" t="str">
        <f aca="false">IF(SUM(Sens!F10369:J10369)&gt;0.05,"需要舉債 "&amp;TEXT(SUM(Sens!F10369:J10369),"0.0")&amp;" 十億美元","不需舉債")&amp;"；"&amp;IF(SUM(Sens!F10368:J10368)&lt;COUNT(Sens!F10368:J10368)*bb_target-0.05,"回購較每年 "&amp;TEXT(bb_target,"0.0")&amp;" 的目標少 "&amp;TEXT(COUNT(Sens!F10368:J10368)*bb_target-SUM(Sens!F10368:J10368),"0.0")&amp;" 十億美元（"&amp;TEXT(COUNTIF(Sens!F10368:J10368,"&lt;"&amp;(bb_target-0.05)),"0")&amp;" 年減少）","回購不減")</f>
        <v>不需舉債；回購較每年 22.3 的目標少 38.1 十億美元（2 年減少）</v>
      </c>
    </row>
    <row r="10379" customFormat="false" ht="17.15" hidden="false" customHeight="false" outlineLevel="0" collapsed="false">
      <c r="A10379" s="3" t="s">
        <v>1739</v>
      </c>
    </row>
    <row r="10380" customFormat="false" ht="15" hidden="false" customHeight="false" outlineLevel="0" collapsed="false">
      <c r="A10380" s="4" t="s">
        <v>43</v>
      </c>
      <c r="B10380" s="4" t="s">
        <v>65</v>
      </c>
      <c r="C10380" s="23" t="s">
        <v>938</v>
      </c>
      <c r="D10380" s="23" t="s">
        <v>939</v>
      </c>
      <c r="E10380" s="23" t="s">
        <v>940</v>
      </c>
      <c r="F10380" s="23" t="s">
        <v>941</v>
      </c>
      <c r="G10380" s="23" t="s">
        <v>942</v>
      </c>
      <c r="H10380" s="23" t="s">
        <v>943</v>
      </c>
      <c r="I10380" s="23" t="s">
        <v>944</v>
      </c>
      <c r="J10380" s="23" t="s">
        <v>945</v>
      </c>
      <c r="K10380" s="23" t="s">
        <v>946</v>
      </c>
      <c r="L10380" s="4" t="s">
        <v>47</v>
      </c>
    </row>
    <row r="10381" customFormat="false" ht="17.15" hidden="false" customHeight="false" outlineLevel="0" collapsed="false">
      <c r="A10381" s="1" t="s">
        <v>1212</v>
      </c>
      <c r="B10381" s="1" t="s">
        <v>279</v>
      </c>
      <c r="F10381" s="8" t="n">
        <f aca="false">(1-v_off)*mid_yr</f>
        <v>0.373972602739726</v>
      </c>
      <c r="G10381" s="8" t="n">
        <f aca="false">Sens!G10231-base_fy-mid_yr-v_off</f>
        <v>1.24794520547945</v>
      </c>
      <c r="H10381" s="8" t="n">
        <f aca="false">Sens!H10231-base_fy-mid_yr-v_off</f>
        <v>2.24794520547945</v>
      </c>
      <c r="I10381" s="8" t="n">
        <f aca="false">Sens!I10231-base_fy-mid_yr-v_off</f>
        <v>3.24794520547945</v>
      </c>
      <c r="J10381" s="8" t="n">
        <f aca="false">Sens!J10231-base_fy-mid_yr-v_off</f>
        <v>4.24794520547945</v>
      </c>
      <c r="K10381" s="8" t="n">
        <f aca="false">Sens!K10231-base_fy-mid_yr-v_off</f>
        <v>5.24794520547945</v>
      </c>
      <c r="L10381" s="12" t="s">
        <v>1213</v>
      </c>
    </row>
    <row r="10382" customFormat="false" ht="15" hidden="false" customHeight="false" outlineLevel="0" collapsed="false">
      <c r="A10382" s="1" t="s">
        <v>1214</v>
      </c>
      <c r="B10382" s="1" t="s">
        <v>279</v>
      </c>
      <c r="F10382" s="8" t="n">
        <f aca="false">Sens!F10231-base_fy-v_off</f>
        <v>0.747945205479452</v>
      </c>
      <c r="G10382" s="8" t="n">
        <f aca="false">Sens!G10231-base_fy-v_off</f>
        <v>1.74794520547945</v>
      </c>
      <c r="H10382" s="8" t="n">
        <f aca="false">Sens!H10231-base_fy-v_off</f>
        <v>2.74794520547945</v>
      </c>
      <c r="I10382" s="8" t="n">
        <f aca="false">Sens!I10231-base_fy-v_off</f>
        <v>3.74794520547945</v>
      </c>
      <c r="J10382" s="8" t="n">
        <f aca="false">Sens!J10231-base_fy-v_off</f>
        <v>4.74794520547945</v>
      </c>
      <c r="K10382" s="8" t="n">
        <f aca="false">Sens!K10231-base_fy-v_off</f>
        <v>5.74794520547945</v>
      </c>
    </row>
    <row r="10383" customFormat="false" ht="15" hidden="false" customHeight="false" outlineLevel="0" collapsed="false">
      <c r="A10383" s="1" t="s">
        <v>1215</v>
      </c>
      <c r="B10383" s="0" t="s">
        <v>229</v>
      </c>
      <c r="F10383" s="15" t="n">
        <f aca="false">1/(1+wacc)^Sens!F10381</f>
        <v>0.964022703286649</v>
      </c>
      <c r="G10383" s="15" t="n">
        <f aca="false">1/(1+wacc)^Sens!G10381</f>
        <v>0.884910302296739</v>
      </c>
      <c r="H10383" s="15" t="n">
        <f aca="false">1/(1+wacc)^Sens!H10381</f>
        <v>0.802322009770358</v>
      </c>
      <c r="I10383" s="15" t="n">
        <f aca="false">1/(1+wacc)^Sens!I10381</f>
        <v>0.727441646561469</v>
      </c>
      <c r="J10383" s="15" t="n">
        <f aca="false">1/(1+wacc)^Sens!J10381</f>
        <v>0.659549834988973</v>
      </c>
      <c r="K10383" s="15" t="n">
        <f aca="false">1/(1+wacc)^Sens!K10381</f>
        <v>0.597994336576966</v>
      </c>
    </row>
    <row r="10384" customFormat="false" ht="17.15" hidden="false" customHeight="false" outlineLevel="0" collapsed="false">
      <c r="A10384" s="1" t="s">
        <v>1216</v>
      </c>
      <c r="B10384" s="0" t="s">
        <v>98</v>
      </c>
      <c r="F10384" s="6" t="n">
        <f aca="false">Q!$I$35-Q!$I$39-Q!$I$43</f>
        <v>9.666</v>
      </c>
      <c r="L10384" s="12" t="s">
        <v>1217</v>
      </c>
    </row>
    <row r="10385" customFormat="false" ht="17.15" hidden="false" customHeight="false" outlineLevel="0" collapsed="false">
      <c r="A10385" s="1" t="s">
        <v>1218</v>
      </c>
      <c r="B10385" s="0" t="s">
        <v>98</v>
      </c>
      <c r="F10385" s="6" t="n">
        <f aca="false">Sens!F10356-Sens!F10353-Sens!F10360+Sens!F10338*(1-tax_f)*(1-v_off)-Sens!F10384</f>
        <v>-1.15165519966377</v>
      </c>
      <c r="G10385" s="6" t="n">
        <f aca="false">Sens!G10356-Sens!G10353-Sens!G10360+Sens!G10338*(1-tax_f)</f>
        <v>38.6563950465302</v>
      </c>
      <c r="H10385" s="6" t="n">
        <f aca="false">Sens!H10356-Sens!H10353-Sens!H10360+Sens!H10338*(1-tax_f)</f>
        <v>98.5467725670508</v>
      </c>
      <c r="I10385" s="6" t="n">
        <f aca="false">Sens!I10356-Sens!I10353-Sens!I10360+Sens!I10338*(1-tax_f)</f>
        <v>181.3541606404</v>
      </c>
      <c r="J10385" s="6" t="n">
        <f aca="false">Sens!J10356-Sens!J10353-Sens!J10360+Sens!J10338*(1-tax_f)</f>
        <v>262.905355783299</v>
      </c>
      <c r="K10385" s="6" t="n">
        <f aca="false">Sens!K10356-Sens!K10353-Sens!K10360+Sens!K10338*(1-tax_f)</f>
        <v>302.987272130088</v>
      </c>
      <c r="L10385" s="1" t="s">
        <v>1219</v>
      </c>
    </row>
    <row r="10386" customFormat="false" ht="15" hidden="false" customHeight="false" outlineLevel="0" collapsed="false">
      <c r="A10386" s="1" t="s">
        <v>1220</v>
      </c>
      <c r="B10386" s="0" t="s">
        <v>98</v>
      </c>
      <c r="F10386" s="6" t="n">
        <f aca="false">Sens!F10385*Sens!F10383</f>
        <v>-1.110221758834</v>
      </c>
      <c r="G10386" s="6" t="n">
        <f aca="false">Sens!G10385*Sens!G10383</f>
        <v>34.2074422263272</v>
      </c>
      <c r="H10386" s="6" t="n">
        <f aca="false">Sens!H10385*Sens!H10383</f>
        <v>79.0662446223786</v>
      </c>
      <c r="I10386" s="6" t="n">
        <f aca="false">Sens!I10385*Sens!I10383</f>
        <v>131.924569227026</v>
      </c>
      <c r="J10386" s="6" t="n">
        <f aca="false">Sens!J10385*Sens!J10383</f>
        <v>173.399184024592</v>
      </c>
      <c r="K10386" s="6" t="n">
        <f aca="false">Sens!K10385*Sens!K10383</f>
        <v>181.184672788696</v>
      </c>
    </row>
    <row r="10387" customFormat="false" ht="17.15" hidden="false" customHeight="false" outlineLevel="0" collapsed="false">
      <c r="A10387" s="1" t="s">
        <v>1221</v>
      </c>
      <c r="B10387" s="0" t="s">
        <v>98</v>
      </c>
      <c r="C10387" s="6" t="n">
        <f aca="false">SUM(Sens!F10386:K10386)</f>
        <v>598.671891130186</v>
      </c>
    </row>
    <row r="10388" customFormat="false" ht="17.15" hidden="false" customHeight="false" outlineLevel="0" collapsed="false">
      <c r="A10388" s="1" t="s">
        <v>1222</v>
      </c>
      <c r="B10388" s="0" t="s">
        <v>98</v>
      </c>
      <c r="C10388" s="6" t="n">
        <f aca="false">Sens!K10324*(1+g_tv)*(1-tax_f)</f>
        <v>315.560640499265</v>
      </c>
    </row>
    <row r="10389" customFormat="false" ht="17.15" hidden="false" customHeight="false" outlineLevel="0" collapsed="false">
      <c r="A10389" s="1" t="s">
        <v>1223</v>
      </c>
      <c r="B10389" s="0" t="s">
        <v>98</v>
      </c>
      <c r="C10389" s="6" t="n">
        <f aca="false">Sens!$C$10388*(1-g_tv/(wacc+ronic_prem))</f>
        <v>223.593157138745</v>
      </c>
    </row>
    <row r="10390" customFormat="false" ht="17.15" hidden="false" customHeight="false" outlineLevel="0" collapsed="false">
      <c r="A10390" s="1" t="s">
        <v>1224</v>
      </c>
      <c r="B10390" s="0" t="s">
        <v>98</v>
      </c>
      <c r="C10390" s="6" t="n">
        <f aca="false">Sens!$C$10389/(wacc-g_tv)</f>
        <v>3065.58277868403</v>
      </c>
    </row>
    <row r="10391" customFormat="false" ht="15" hidden="false" customHeight="false" outlineLevel="0" collapsed="false">
      <c r="A10391" s="1" t="s">
        <v>1225</v>
      </c>
      <c r="B10391" s="0" t="s">
        <v>98</v>
      </c>
      <c r="C10391" s="6" t="n">
        <f aca="false">Sens!$C$10390/(1+wacc)^Sens!K10382</f>
        <v>1745.56026011161</v>
      </c>
    </row>
    <row r="10392" customFormat="false" ht="17.15" hidden="false" customHeight="false" outlineLevel="0" collapsed="false">
      <c r="A10392" s="0" t="s">
        <v>1226</v>
      </c>
      <c r="B10392" s="0" t="s">
        <v>98</v>
      </c>
      <c r="C10392" s="6" t="n">
        <f aca="false">Sens!$C$10387+Sens!$C$10391</f>
        <v>2344.2321512418</v>
      </c>
    </row>
    <row r="10393" customFormat="false" ht="15" hidden="false" customHeight="false" outlineLevel="0" collapsed="false">
      <c r="A10393" s="1" t="s">
        <v>1141</v>
      </c>
      <c r="B10393" s="0" t="s">
        <v>168</v>
      </c>
      <c r="C10393" s="7" t="n">
        <f aca="false">Sens!$C$10391/Sens!$C$10392</f>
        <v>0.74461919617771</v>
      </c>
    </row>
    <row r="10394" customFormat="false" ht="17.15" hidden="false" customHeight="false" outlineLevel="0" collapsed="false">
      <c r="A10394" s="1" t="s">
        <v>1227</v>
      </c>
      <c r="B10394" s="0" t="s">
        <v>98</v>
      </c>
      <c r="C10394" s="6" t="n">
        <f aca="false">Sens!$C$10392+cash_val-debt_val-fl_val+oai_v</f>
        <v>2460.0831512418</v>
      </c>
    </row>
    <row r="10395" customFormat="false" ht="17.15" hidden="false" customHeight="false" outlineLevel="0" collapsed="false">
      <c r="A10395" s="0" t="s">
        <v>1149</v>
      </c>
      <c r="B10395" s="0" t="s">
        <v>75</v>
      </c>
      <c r="C10395" s="5" t="n">
        <f aca="false">Sens!$C$10394/shd_val</f>
        <v>330.38989406954</v>
      </c>
    </row>
    <row r="10396" customFormat="false" ht="15" hidden="false" customHeight="false" outlineLevel="0" collapsed="false">
      <c r="A10396" s="1" t="s">
        <v>1228</v>
      </c>
      <c r="B10396" s="0" t="s">
        <v>75</v>
      </c>
      <c r="C10396" s="8" t="n">
        <f aca="false">div_rem27+Sens!G10364*roll_div_q/q_per_yr</f>
        <v>3.9795</v>
      </c>
    </row>
    <row r="10397" customFormat="false" ht="17.15" hidden="false" customHeight="false" outlineLevel="0" collapsed="false">
      <c r="A10397" s="0" t="s">
        <v>1229</v>
      </c>
      <c r="B10397" s="0" t="s">
        <v>75</v>
      </c>
      <c r="C10397" s="5" t="n">
        <f aca="false">Sens!$C$10395*(1+wacc)^t_roll-Sens!$C$10396</f>
        <v>363.267306564032</v>
      </c>
    </row>
    <row r="10398" customFormat="false" ht="17.15" hidden="false" customHeight="false" outlineLevel="0" collapsed="false">
      <c r="A10398" s="1" t="s">
        <v>1230</v>
      </c>
      <c r="B10398" s="0" t="s">
        <v>168</v>
      </c>
      <c r="F10398" s="7" t="n">
        <f aca="false">Sens!F10350/(Sens!F10295-Sens!F10250)</f>
        <v>0.0685715622724502</v>
      </c>
      <c r="G10398" s="7" t="n">
        <f aca="false">Sens!G10350/(Sens!G10295-Sens!G10250)</f>
        <v>0.0654127890079339</v>
      </c>
      <c r="H10398" s="7" t="n">
        <f aca="false">Sens!H10350/(Sens!H10295-Sens!H10250)</f>
        <v>0.0637679229236708</v>
      </c>
      <c r="I10398" s="7" t="n">
        <f aca="false">Sens!I10350/(Sens!I10295-Sens!I10250)</f>
        <v>0.0635252632573524</v>
      </c>
      <c r="J10398" s="7" t="n">
        <f aca="false">Sens!J10350/(Sens!J10295-Sens!J10250)</f>
        <v>0.0643324137810722</v>
      </c>
      <c r="K10398" s="7" t="n">
        <f aca="false">Sens!K10350/(Sens!K10295-Sens!K10250)</f>
        <v>0.0657357678931575</v>
      </c>
    </row>
    <row r="10399" customFormat="false" ht="17.15" hidden="false" customHeight="false" outlineLevel="0" collapsed="false">
      <c r="A10399" s="0" t="s">
        <v>1231</v>
      </c>
      <c r="B10399" s="0" t="s">
        <v>98</v>
      </c>
      <c r="F10399" s="6" t="n">
        <f aca="false">Sens!F10280*(al_m365+Sens!F10398+sbc_r)</f>
        <v>84.5236453677987</v>
      </c>
      <c r="G10399" s="6" t="n">
        <f aca="false">Sens!G10280*(al_m365+Sens!G10398+sbc_r)</f>
        <v>98.9578707044721</v>
      </c>
      <c r="H10399" s="6" t="n">
        <f aca="false">Sens!H10280*(al_m365+Sens!H10398+sbc_r)</f>
        <v>113.560746723852</v>
      </c>
      <c r="I10399" s="6" t="n">
        <f aca="false">Sens!I10280*(al_m365+Sens!I10398+sbc_r)</f>
        <v>126.65079248711</v>
      </c>
      <c r="J10399" s="6" t="n">
        <f aca="false">Sens!J10280*(al_m365+Sens!J10398+sbc_r)</f>
        <v>138.042860651802</v>
      </c>
      <c r="K10399" s="6" t="n">
        <f aca="false">Sens!K10280*(al_m365+Sens!K10398+sbc_r)</f>
        <v>149.061207564105</v>
      </c>
      <c r="L10399" s="12" t="s">
        <v>1232</v>
      </c>
    </row>
    <row r="10400" customFormat="false" ht="17.15" hidden="false" customHeight="false" outlineLevel="0" collapsed="false">
      <c r="A10400" s="0" t="s">
        <v>1233</v>
      </c>
      <c r="B10400" s="0" t="s">
        <v>98</v>
      </c>
      <c r="F10400" s="6" t="n">
        <f aca="false">Sens!F10281*(al_lic+Sens!F10398+sbc_r)</f>
        <v>32.8559230541722</v>
      </c>
      <c r="G10400" s="6" t="n">
        <f aca="false">Sens!G10281*(al_lic+Sens!G10398+sbc_r)</f>
        <v>34.1207994853915</v>
      </c>
      <c r="H10400" s="6" t="n">
        <f aca="false">Sens!H10281*(al_lic+Sens!H10398+sbc_r)</f>
        <v>35.306788078081</v>
      </c>
      <c r="I10400" s="6" t="n">
        <f aca="false">Sens!I10281*(al_lic+Sens!I10398+sbc_r)</f>
        <v>36.3969967453266</v>
      </c>
      <c r="J10400" s="6" t="n">
        <f aca="false">Sens!J10281*(al_lic+Sens!J10398+sbc_r)</f>
        <v>37.3636615912301</v>
      </c>
      <c r="K10400" s="6" t="n">
        <f aca="false">Sens!K10281*(al_lic+Sens!K10398+sbc_r)</f>
        <v>38.1737294634035</v>
      </c>
    </row>
    <row r="10401" customFormat="false" ht="17.15" hidden="false" customHeight="false" outlineLevel="0" collapsed="false">
      <c r="A10401" s="0" t="s">
        <v>1234</v>
      </c>
      <c r="B10401" s="0" t="s">
        <v>98</v>
      </c>
      <c r="F10401" s="6" t="n">
        <f aca="false">Sens!F10283*(al_ind+Sens!F10398+sbc_r)</f>
        <v>9.05934573123003</v>
      </c>
      <c r="G10401" s="6" t="n">
        <f aca="false">Sens!G10283*(al_ind+Sens!G10398+sbc_r)</f>
        <v>9.82593134642278</v>
      </c>
      <c r="H10401" s="6" t="n">
        <f aca="false">Sens!H10283*(al_ind+Sens!H10398+sbc_r)</f>
        <v>10.6405270050758</v>
      </c>
      <c r="I10401" s="6" t="n">
        <f aca="false">Sens!I10283*(al_ind+Sens!I10398+sbc_r)</f>
        <v>11.5014277400643</v>
      </c>
      <c r="J10401" s="6" t="n">
        <f aca="false">Sens!J10283*(al_ind+Sens!J10398+sbc_r)</f>
        <v>12.3979279014737</v>
      </c>
      <c r="K10401" s="6" t="n">
        <f aca="false">Sens!K10283*(al_ind+Sens!K10398+sbc_r)</f>
        <v>13.3121256372038</v>
      </c>
    </row>
    <row r="10402" customFormat="false" ht="17.15" hidden="false" customHeight="false" outlineLevel="0" collapsed="false">
      <c r="A10402" s="0" t="s">
        <v>1235</v>
      </c>
      <c r="B10402" s="0" t="s">
        <v>98</v>
      </c>
      <c r="F10402" s="6" t="n">
        <f aca="false">Sens!F10285*(al_fro+Sens!F10398+sbc_r)</f>
        <v>3.55360928279288</v>
      </c>
      <c r="G10402" s="6" t="n">
        <f aca="false">Sens!G10285*(al_fro+Sens!G10398+sbc_r)</f>
        <v>3.7596893112621</v>
      </c>
      <c r="H10402" s="6" t="n">
        <f aca="false">Sens!H10285*(al_fro+Sens!H10398+sbc_r)</f>
        <v>3.99601729335123</v>
      </c>
      <c r="I10402" s="6" t="n">
        <f aca="false">Sens!I10285*(al_fro+Sens!I10398+sbc_r)</f>
        <v>4.26574126573329</v>
      </c>
      <c r="J10402" s="6" t="n">
        <f aca="false">Sens!J10285*(al_fro+Sens!J10398+sbc_r)</f>
        <v>4.56956670497921</v>
      </c>
      <c r="K10402" s="6" t="n">
        <f aca="false">Sens!K10285*(al_fro+Sens!K10398+sbc_r)</f>
        <v>4.90651716703689</v>
      </c>
    </row>
    <row r="10403" customFormat="false" ht="17.15" hidden="false" customHeight="false" outlineLevel="0" collapsed="false">
      <c r="A10403" s="0" t="s">
        <v>1236</v>
      </c>
      <c r="B10403" s="0" t="s">
        <v>98</v>
      </c>
      <c r="F10403" s="6" t="n">
        <f aca="false">Sens!F10288*(al_srch+Sens!F10398+sbc_r)</f>
        <v>11.1494188724083</v>
      </c>
      <c r="G10403" s="6" t="n">
        <f aca="false">Sens!G10288*(al_srch+Sens!G10398+sbc_r)</f>
        <v>12.0963369550574</v>
      </c>
      <c r="H10403" s="6" t="n">
        <f aca="false">Sens!H10288*(al_srch+Sens!H10398+sbc_r)</f>
        <v>13.0116406832111</v>
      </c>
      <c r="I10403" s="6" t="n">
        <f aca="false">Sens!I10288*(al_srch+Sens!I10398+sbc_r)</f>
        <v>13.8713681740827</v>
      </c>
      <c r="J10403" s="6" t="n">
        <f aca="false">Sens!J10288*(al_srch+Sens!J10398+sbc_r)</f>
        <v>14.6409548642513</v>
      </c>
      <c r="K10403" s="6" t="n">
        <f aca="false">Sens!K10288*(al_srch+Sens!K10398+sbc_r)</f>
        <v>15.2797857501241</v>
      </c>
    </row>
    <row r="10404" customFormat="false" ht="17.15" hidden="false" customHeight="false" outlineLevel="0" collapsed="false">
      <c r="A10404" s="0" t="s">
        <v>1237</v>
      </c>
      <c r="B10404" s="0" t="s">
        <v>98</v>
      </c>
      <c r="F10404" s="6" t="n">
        <f aca="false">Sens!F10256-Sens!F10257+Sens!F10338</f>
        <v>45.3782580567763</v>
      </c>
      <c r="G10404" s="6" t="n">
        <f aca="false">Sens!G10256-Sens!G10257+Sens!G10338</f>
        <v>91.0863367558165</v>
      </c>
      <c r="H10404" s="6" t="n">
        <f aca="false">Sens!H10256-Sens!H10257+Sens!H10338</f>
        <v>144.617532464853</v>
      </c>
      <c r="I10404" s="6" t="n">
        <f aca="false">Sens!I10256-Sens!I10257+Sens!I10338</f>
        <v>187.137304561304</v>
      </c>
      <c r="J10404" s="6" t="n">
        <f aca="false">Sens!J10256-Sens!J10257+Sens!J10338</f>
        <v>217.006854425907</v>
      </c>
      <c r="K10404" s="6" t="n">
        <f aca="false">Sens!K10256-Sens!K10257+Sens!K10338</f>
        <v>234.933637903877</v>
      </c>
    </row>
    <row r="10405" customFormat="false" ht="17.15" hidden="false" customHeight="false" outlineLevel="0" collapsed="false">
      <c r="A10405" s="0" t="s">
        <v>1238</v>
      </c>
      <c r="B10405" s="0" t="s">
        <v>98</v>
      </c>
      <c r="F10405" s="6" t="n">
        <f aca="false">Sens!F10317+Sens!F10338+Sens!F10268+Sens!F10398*(Sens!F10287-Sens!F10250)+sbc_r*Sens!F10287</f>
        <v>240.822850018181</v>
      </c>
      <c r="G10405" s="6" t="n">
        <f aca="false">Sens!G10317+Sens!G10338+Sens!G10268+Sens!G10398*(Sens!G10287-Sens!G10250)+sbc_r*Sens!G10287</f>
        <v>311.935144264234</v>
      </c>
      <c r="H10405" s="6" t="n">
        <f aca="false">Sens!H10317+Sens!H10338+Sens!H10268+Sens!H10398*(Sens!H10287-Sens!H10250)+sbc_r*Sens!H10287</f>
        <v>395.52394794064</v>
      </c>
      <c r="I10405" s="6" t="n">
        <f aca="false">Sens!I10317+Sens!I10338+Sens!I10268+Sens!I10398*(Sens!I10287-Sens!I10250)+sbc_r*Sens!I10287</f>
        <v>466.017847132527</v>
      </c>
      <c r="J10405" s="6" t="n">
        <f aca="false">Sens!J10317+Sens!J10338+Sens!J10268+Sens!J10398*(Sens!J10287-Sens!J10250)+sbc_r*Sens!J10287</f>
        <v>520.893976207952</v>
      </c>
      <c r="K10405" s="6" t="n">
        <f aca="false">Sens!K10317+Sens!K10338+Sens!K10268+Sens!K10398*(Sens!K10287-Sens!K10250)+sbc_r*Sens!K10287</f>
        <v>561.406524365561</v>
      </c>
    </row>
    <row r="10406" customFormat="false" ht="17.15" hidden="false" customHeight="false" outlineLevel="0" collapsed="false">
      <c r="A10406" s="0" t="s">
        <v>1239</v>
      </c>
      <c r="B10406" s="0" t="s">
        <v>98</v>
      </c>
      <c r="F10406" s="6" t="n">
        <f aca="false">Sens!F10405-Sens!F10399-Sens!F10400-Sens!F10401-Sens!F10402-Sens!F10404</f>
        <v>65.452068525411</v>
      </c>
      <c r="G10406" s="6" t="n">
        <f aca="false">Sens!G10405-Sens!G10399-Sens!G10400-Sens!G10401-Sens!G10402-Sens!G10404</f>
        <v>74.1845166608689</v>
      </c>
      <c r="H10406" s="6" t="n">
        <f aca="false">Sens!H10405-Sens!H10399-Sens!H10400-Sens!H10401-Sens!H10402-Sens!H10404</f>
        <v>87.402336375426</v>
      </c>
      <c r="I10406" s="6" t="n">
        <f aca="false">Sens!I10405-Sens!I10399-Sens!I10400-Sens!I10401-Sens!I10402-Sens!I10404</f>
        <v>100.065584332989</v>
      </c>
      <c r="J10406" s="6" t="n">
        <f aca="false">Sens!J10405-Sens!J10399-Sens!J10400-Sens!J10401-Sens!J10402-Sens!J10404</f>
        <v>111.51310493256</v>
      </c>
      <c r="K10406" s="6" t="n">
        <f aca="false">Sens!K10405-Sens!K10399-Sens!K10400-Sens!K10401-Sens!K10402-Sens!K10404</f>
        <v>121.019306629935</v>
      </c>
    </row>
    <row r="10407" customFormat="false" ht="17.15" hidden="false" customHeight="false" outlineLevel="0" collapsed="false">
      <c r="A10407" s="0" t="s">
        <v>1240</v>
      </c>
      <c r="B10407" s="0" t="s">
        <v>98</v>
      </c>
      <c r="F10407" s="6" t="n">
        <f aca="false">Sens!F10319+Sens!F10398*Sens!F10294+sbc_r*Sens!F10294</f>
        <v>26.5925595266205</v>
      </c>
      <c r="G10407" s="6" t="n">
        <f aca="false">Sens!G10319+Sens!G10398*Sens!G10294+sbc_r*Sens!G10294</f>
        <v>26.2930367527568</v>
      </c>
      <c r="H10407" s="6" t="n">
        <f aca="false">Sens!H10319+Sens!H10398*Sens!H10294+sbc_r*Sens!H10294</f>
        <v>26.9602149117162</v>
      </c>
      <c r="I10407" s="6" t="n">
        <f aca="false">Sens!I10319+Sens!I10398*Sens!I10294+sbc_r*Sens!I10294</f>
        <v>27.7804361762189</v>
      </c>
      <c r="J10407" s="6" t="n">
        <f aca="false">Sens!J10319+Sens!J10398*Sens!J10294+sbc_r*Sens!J10294</f>
        <v>28.7015375208973</v>
      </c>
      <c r="K10407" s="6" t="n">
        <f aca="false">Sens!K10319+Sens!K10398*Sens!K10294+sbc_r*Sens!K10294</f>
        <v>29.6698922787903</v>
      </c>
    </row>
    <row r="10408" customFormat="false" ht="17.15" hidden="false" customHeight="false" outlineLevel="0" collapsed="false">
      <c r="A10408" s="0" t="s">
        <v>1241</v>
      </c>
      <c r="B10408" s="0" t="s">
        <v>98</v>
      </c>
      <c r="F10408" s="6" t="n">
        <f aca="false">(Sens!F10407-Sens!F10403)*Sens!F10290/(Sens!F10290+Sens!F10292)</f>
        <v>8.72206220174644</v>
      </c>
      <c r="G10408" s="6" t="n">
        <f aca="false">(Sens!G10407-Sens!G10403)*Sens!G10290/(Sens!G10290+Sens!G10292)</f>
        <v>7.88028924746335</v>
      </c>
      <c r="H10408" s="6" t="n">
        <f aca="false">(Sens!H10407-Sens!H10403)*Sens!H10290/(Sens!H10290+Sens!H10292)</f>
        <v>7.64169733456305</v>
      </c>
      <c r="I10408" s="6" t="n">
        <f aca="false">(Sens!I10407-Sens!I10403)*Sens!I10290/(Sens!I10290+Sens!I10292)</f>
        <v>7.55354264077756</v>
      </c>
      <c r="J10408" s="6" t="n">
        <f aca="false">(Sens!J10407-Sens!J10403)*Sens!J10290/(Sens!J10290+Sens!J10292)</f>
        <v>7.60251036234706</v>
      </c>
      <c r="K10408" s="6" t="n">
        <f aca="false">(Sens!K10407-Sens!K10403)*Sens!K10290/(Sens!K10290+Sens!K10292)</f>
        <v>7.78068282595336</v>
      </c>
    </row>
    <row r="10409" customFormat="false" ht="17.15" hidden="false" customHeight="false" outlineLevel="0" collapsed="false">
      <c r="A10409" s="0" t="s">
        <v>1242</v>
      </c>
      <c r="B10409" s="0" t="s">
        <v>98</v>
      </c>
      <c r="F10409" s="6" t="n">
        <f aca="false">Sens!F10407-Sens!F10403-Sens!F10408</f>
        <v>6.72107845246577</v>
      </c>
      <c r="G10409" s="6" t="n">
        <f aca="false">Sens!G10407-Sens!G10403-Sens!G10408</f>
        <v>6.31641055023606</v>
      </c>
      <c r="H10409" s="6" t="n">
        <f aca="false">Sens!H10407-Sens!H10403-Sens!H10408</f>
        <v>6.30687689394208</v>
      </c>
      <c r="I10409" s="6" t="n">
        <f aca="false">Sens!I10407-Sens!I10403-Sens!I10408</f>
        <v>6.35552536135857</v>
      </c>
      <c r="J10409" s="6" t="n">
        <f aca="false">Sens!J10407-Sens!J10403-Sens!J10408</f>
        <v>6.45807229429887</v>
      </c>
      <c r="K10409" s="6" t="n">
        <f aca="false">Sens!K10407-Sens!K10403-Sens!K10408</f>
        <v>6.60942370271282</v>
      </c>
    </row>
    <row r="10410" customFormat="false" ht="17.15" hidden="false" customHeight="false" outlineLevel="0" collapsed="false">
      <c r="A10410" s="0" t="s">
        <v>1243</v>
      </c>
      <c r="B10410" s="0" t="s">
        <v>98</v>
      </c>
      <c r="F10410" s="6" t="n">
        <f aca="false">Sens!F10404-tax_f*(Sens!F10404-Sens!F10268)-Sens!F10265</f>
        <v>-125.235434701028</v>
      </c>
      <c r="G10410" s="6" t="n">
        <f aca="false">Sens!G10404-tax_f*(Sens!G10404-Sens!G10268)-Sens!G10265</f>
        <v>-106.928508113935</v>
      </c>
      <c r="H10410" s="6" t="n">
        <f aca="false">Sens!H10404-tax_f*(Sens!H10404-Sens!H10268)-Sens!H10265</f>
        <v>-63.2919599603405</v>
      </c>
      <c r="I10410" s="6" t="n">
        <f aca="false">Sens!I10404-tax_f*(Sens!I10404-Sens!I10268)-Sens!I10265</f>
        <v>3.94121196634245</v>
      </c>
      <c r="J10410" s="6" t="n">
        <f aca="false">Sens!J10404-tax_f*(Sens!J10404-Sens!J10268)-Sens!J10265</f>
        <v>71.0786869547042</v>
      </c>
      <c r="K10410" s="6" t="n">
        <f aca="false">Sens!K10404-tax_f*(Sens!K10404-Sens!K10268)-Sens!K10265</f>
        <v>97.5865911685559</v>
      </c>
    </row>
    <row r="10411" customFormat="false" ht="17.15" hidden="false" customHeight="false" outlineLevel="0" collapsed="false">
      <c r="A10411" s="0" t="s">
        <v>1244</v>
      </c>
      <c r="B10411" s="0" t="s">
        <v>98</v>
      </c>
      <c r="G10411" s="6" t="n">
        <f aca="false">Sens!G10410/(1+wacc)^(Sens!G10381-Sens!F10382)</f>
        <v>-101.81651667568</v>
      </c>
      <c r="H10411" s="6" t="n">
        <f aca="false">Sens!H10410/(1+wacc)^(Sens!H10381-Sens!F10382)</f>
        <v>-54.6415143556151</v>
      </c>
      <c r="I10411" s="6" t="n">
        <f aca="false">Sens!I10410/(1+wacc)^(Sens!I10381-Sens!F10382)</f>
        <v>3.08498765169516</v>
      </c>
      <c r="J10411" s="6" t="n">
        <f aca="false">Sens!J10410/(1+wacc)^(Sens!J10381-Sens!F10382)</f>
        <v>50.4443451596971</v>
      </c>
      <c r="K10411" s="6" t="n">
        <f aca="false">Sens!K10410/(1+wacc)^(Sens!K10381-Sens!F10382)</f>
        <v>62.7932114544856</v>
      </c>
      <c r="L10411" s="1" t="s">
        <v>1245</v>
      </c>
    </row>
    <row r="10412" customFormat="false" ht="17.15" hidden="false" customHeight="false" outlineLevel="0" collapsed="false">
      <c r="A10412" s="0" t="s">
        <v>1246</v>
      </c>
      <c r="B10412" s="0" t="s">
        <v>98</v>
      </c>
      <c r="C10412" s="6" t="n">
        <f aca="false">(Sens!K10404-Sens!K10268)*(1-tax_f)*(1+g_tv)*(1-g_tv/(wacc+ronic_prem))/(wacc-g_tv)/(1+wacc)^(Sens!K10382-Sens!F10382)</f>
        <v>450.836735002813</v>
      </c>
    </row>
    <row r="10413" customFormat="false" ht="17.15" hidden="false" customHeight="false" outlineLevel="0" collapsed="false">
      <c r="A10413" s="1" t="s">
        <v>1247</v>
      </c>
      <c r="B10413" s="0" t="s">
        <v>98</v>
      </c>
      <c r="C10413" s="6" t="n">
        <f aca="false">(SUM(Sens!G10411:K10411)+Sens!$C$10412)*(1+wacc)^(t_roll-Sens!F10382)</f>
        <v>424.259738494477</v>
      </c>
      <c r="L10413" s="12" t="s">
        <v>1248</v>
      </c>
    </row>
    <row r="10414" customFormat="false" ht="17.15" hidden="false" customHeight="false" outlineLevel="0" collapsed="false">
      <c r="A10414" s="1" t="s">
        <v>1249</v>
      </c>
      <c r="B10414" s="0" t="s">
        <v>98</v>
      </c>
      <c r="C10414" s="6" t="n">
        <f aca="false">(w_ntm28*Sens!G10256+(1-w_ntm28)*Sens!H10256)*m_ai</f>
        <v>563.316843258668</v>
      </c>
    </row>
    <row r="10415" customFormat="false" ht="17.15" hidden="false" customHeight="false" outlineLevel="0" collapsed="false">
      <c r="A10415" s="1" t="s">
        <v>1250</v>
      </c>
      <c r="B10415" s="0" t="s">
        <v>98</v>
      </c>
      <c r="C10415" s="6" t="n">
        <f aca="false">(w_ntm28*Sens!G10406+(1-w_ntm28)*Sens!H10406)*m_cloud</f>
        <v>1085.2859989234</v>
      </c>
    </row>
    <row r="10416" customFormat="false" ht="17.15" hidden="false" customHeight="false" outlineLevel="0" collapsed="false">
      <c r="A10416" s="1" t="s">
        <v>1251</v>
      </c>
      <c r="B10416" s="0" t="s">
        <v>98</v>
      </c>
      <c r="C10416" s="6" t="n">
        <f aca="false">(w_ntm28*Sens!G10399+(1-w_ntm28)*Sens!H10399)*m_sw</f>
        <v>1120.59521544697</v>
      </c>
    </row>
    <row r="10417" customFormat="false" ht="17.15" hidden="false" customHeight="false" outlineLevel="0" collapsed="false">
      <c r="A10417" s="1" t="s">
        <v>1252</v>
      </c>
      <c r="B10417" s="0" t="s">
        <v>98</v>
      </c>
      <c r="C10417" s="6" t="n">
        <f aca="false">(w_ntm28*Sens!G10400+(1-w_ntm28)*Sens!H10400)*m_sw</f>
        <v>372.71570626723</v>
      </c>
    </row>
    <row r="10418" customFormat="false" ht="17.15" hidden="false" customHeight="false" outlineLevel="0" collapsed="false">
      <c r="A10418" s="1" t="s">
        <v>1253</v>
      </c>
      <c r="B10418" s="0" t="s">
        <v>98</v>
      </c>
      <c r="C10418" s="6" t="n">
        <f aca="false">(w_ntm28*Sens!G10401+(1-w_ntm28)*Sens!H10401)*m_sw</f>
        <v>109.012431071816</v>
      </c>
    </row>
    <row r="10419" customFormat="false" ht="17.15" hidden="false" customHeight="false" outlineLevel="0" collapsed="false">
      <c r="A10419" s="1" t="s">
        <v>1254</v>
      </c>
      <c r="B10419" s="0" t="s">
        <v>98</v>
      </c>
      <c r="C10419" s="6" t="n">
        <f aca="false">(w_ntm28*Sens!G10402+(1-w_ntm28)*Sens!H10402)*m_sw</f>
        <v>41.443770766528</v>
      </c>
    </row>
    <row r="10420" customFormat="false" ht="17.15" hidden="false" customHeight="false" outlineLevel="0" collapsed="false">
      <c r="A10420" s="1" t="s">
        <v>1255</v>
      </c>
      <c r="B10420" s="0" t="s">
        <v>98</v>
      </c>
      <c r="C10420" s="6" t="n">
        <f aca="false">(w_ntm28*Sens!G10403+(1-w_ntm28)*Sens!H10403)*m_ads</f>
        <v>112.939027018429</v>
      </c>
    </row>
    <row r="10421" customFormat="false" ht="17.15" hidden="false" customHeight="false" outlineLevel="0" collapsed="false">
      <c r="A10421" s="1" t="s">
        <v>1256</v>
      </c>
      <c r="B10421" s="0" t="s">
        <v>98</v>
      </c>
      <c r="C10421" s="6" t="n">
        <f aca="false">(w_ntm28*Sens!G10408+(1-w_ntm28)*Sens!H10408)*m_game</f>
        <v>98.5373411319232</v>
      </c>
    </row>
    <row r="10422" customFormat="false" ht="17.15" hidden="false" customHeight="false" outlineLevel="0" collapsed="false">
      <c r="A10422" s="1" t="s">
        <v>1257</v>
      </c>
      <c r="B10422" s="0" t="s">
        <v>98</v>
      </c>
      <c r="C10422" s="6" t="n">
        <f aca="false">(w_ntm28*Sens!G10409+(1-w_ntm28)*Sens!H10409)*m_pc</f>
        <v>91.3531065775627</v>
      </c>
    </row>
    <row r="10423" customFormat="false" ht="17.15" hidden="false" customHeight="false" outlineLevel="0" collapsed="false">
      <c r="A10423" s="1" t="s">
        <v>1258</v>
      </c>
      <c r="B10423" s="0" t="s">
        <v>98</v>
      </c>
      <c r="C10423" s="6" t="n">
        <f aca="false">Sens!$C$10413+Sens!$C$10415+Sens!$C$10416+Sens!$C$10417+Sens!$C$10418+Sens!$C$10419+Sens!$C$10420+Sens!$C$10421+Sens!$C$10422</f>
        <v>3456.14233569835</v>
      </c>
    </row>
    <row r="10424" customFormat="false" ht="17.15" hidden="false" customHeight="false" outlineLevel="0" collapsed="false">
      <c r="A10424" s="1" t="s">
        <v>1259</v>
      </c>
      <c r="B10424" s="0" t="s">
        <v>98</v>
      </c>
      <c r="C10424" s="6" t="n">
        <f aca="false">(Sens!G10385-Sens!G10410)*t_stub</f>
        <v>48.2623925545652</v>
      </c>
      <c r="L10424" s="1" t="s">
        <v>1260</v>
      </c>
    </row>
    <row r="10425" customFormat="false" ht="17.15" hidden="false" customHeight="false" outlineLevel="0" collapsed="false">
      <c r="A10425" s="1" t="s">
        <v>1169</v>
      </c>
      <c r="B10425" s="0" t="s">
        <v>98</v>
      </c>
      <c r="C10425" s="6" t="n">
        <f aca="false">Sens!F10372+oai_v-Sens!F10361+Sens!$C$10424</f>
        <v>162.490662554565</v>
      </c>
      <c r="L10425" s="1" t="s">
        <v>1261</v>
      </c>
    </row>
    <row r="10426" customFormat="false" ht="17.15" hidden="false" customHeight="false" outlineLevel="0" collapsed="false">
      <c r="A10426" s="1" t="s">
        <v>1262</v>
      </c>
      <c r="B10426" s="0" t="s">
        <v>75</v>
      </c>
      <c r="C10426" s="5" t="n">
        <f aca="false">(Sens!$C$10423+Sens!$C$10425)/(Sens!F10374+dil_gap)-Sens!G10364*roll_div_q/q_per_yr</f>
        <v>482.068870558758</v>
      </c>
      <c r="L10426" s="1" t="s">
        <v>1263</v>
      </c>
    </row>
    <row r="10427" customFormat="false" ht="17.15" hidden="false" customHeight="false" outlineLevel="0" collapsed="false">
      <c r="A10427" s="1" t="s">
        <v>1264</v>
      </c>
      <c r="B10427" s="0" t="s">
        <v>75</v>
      </c>
      <c r="C10427" s="5" t="n">
        <f aca="false">w_dcf*Sens!$C$10397+(1-w_dcf)*Sens!$C$10426</f>
        <v>422.668088561395</v>
      </c>
    </row>
    <row r="10428" customFormat="false" ht="17.15" hidden="false" customHeight="false" outlineLevel="0" collapsed="false">
      <c r="A10428" s="3" t="s">
        <v>1740</v>
      </c>
    </row>
    <row r="10429" customFormat="false" ht="15" hidden="false" customHeight="false" outlineLevel="0" collapsed="false">
      <c r="A10429" s="4" t="s">
        <v>43</v>
      </c>
      <c r="B10429" s="4" t="s">
        <v>65</v>
      </c>
      <c r="C10429" s="23" t="s">
        <v>938</v>
      </c>
      <c r="D10429" s="23" t="s">
        <v>939</v>
      </c>
      <c r="E10429" s="23" t="s">
        <v>940</v>
      </c>
      <c r="F10429" s="23" t="s">
        <v>941</v>
      </c>
      <c r="G10429" s="23" t="s">
        <v>942</v>
      </c>
      <c r="H10429" s="23" t="s">
        <v>943</v>
      </c>
      <c r="I10429" s="23" t="s">
        <v>944</v>
      </c>
      <c r="J10429" s="23" t="s">
        <v>945</v>
      </c>
      <c r="K10429" s="23" t="s">
        <v>946</v>
      </c>
      <c r="L10429" s="4" t="s">
        <v>47</v>
      </c>
    </row>
    <row r="10430" customFormat="false" ht="17.15" hidden="false" customHeight="false" outlineLevel="0" collapsed="false">
      <c r="A10430" s="1" t="s">
        <v>947</v>
      </c>
      <c r="B10430" s="1" t="s">
        <v>279</v>
      </c>
      <c r="C10430" s="21" t="n">
        <v>2024</v>
      </c>
      <c r="D10430" s="21" t="n">
        <v>2025</v>
      </c>
      <c r="E10430" s="21" t="n">
        <v>2026</v>
      </c>
      <c r="F10430" s="21" t="n">
        <v>2027</v>
      </c>
      <c r="G10430" s="21" t="n">
        <v>2028</v>
      </c>
      <c r="H10430" s="21" t="n">
        <v>2029</v>
      </c>
      <c r="I10430" s="21" t="n">
        <v>2030</v>
      </c>
      <c r="J10430" s="21" t="n">
        <v>2031</v>
      </c>
      <c r="K10430" s="21" t="n">
        <v>2032</v>
      </c>
    </row>
    <row r="10431" customFormat="false" ht="17.15" hidden="false" customHeight="false" outlineLevel="0" collapsed="false">
      <c r="A10431" s="1" t="s">
        <v>948</v>
      </c>
      <c r="B10431" s="0" t="s">
        <v>456</v>
      </c>
      <c r="F10431" s="30" t="n">
        <f aca="false">pace</f>
        <v>2726.5351</v>
      </c>
      <c r="G10431" s="30" t="n">
        <f aca="false">pace</f>
        <v>2726.5351</v>
      </c>
      <c r="H10431" s="30" t="n">
        <f aca="false">pace</f>
        <v>2726.5351</v>
      </c>
      <c r="I10431" s="30" t="n">
        <f aca="false">pace+(g_tv*Sens!H10432-pace)*MIN(1,(Sens!I10430-pace_y0)/(pace_y1-pace_y0))</f>
        <v>1931.98611966667</v>
      </c>
      <c r="J10431" s="30" t="n">
        <f aca="false">pace+(g_tv*Sens!I10432-pace)*MIN(1,(Sens!J10430-pace_y0)/(pace_y1-pace_y0))</f>
        <v>1176.07686172667</v>
      </c>
      <c r="K10431" s="30" t="n">
        <f aca="false">pace+(g_tv*Sens!J10432-pace)*MIN(1,(Sens!K10430-pace_y0)/(pace_y1-pace_y0))</f>
        <v>436.1300484418</v>
      </c>
      <c r="L10431" s="12" t="s">
        <v>949</v>
      </c>
    </row>
    <row r="10432" customFormat="false" ht="17.15" hidden="false" customHeight="false" outlineLevel="0" collapsed="false">
      <c r="A10432" s="1" t="s">
        <v>950</v>
      </c>
      <c r="B10432" s="0" t="s">
        <v>456</v>
      </c>
      <c r="C10432" s="30" t="n">
        <f aca="false">mw_ext_24</f>
        <v>640</v>
      </c>
      <c r="D10432" s="30" t="n">
        <f aca="false">mw_ext_25</f>
        <v>1630</v>
      </c>
      <c r="E10432" s="30" t="n">
        <f aca="false">mw_ext_26</f>
        <v>3250</v>
      </c>
      <c r="F10432" s="30" t="n">
        <f aca="false">Sens!E10432+Sens!F10431</f>
        <v>5976.5351</v>
      </c>
      <c r="G10432" s="30" t="n">
        <f aca="false">Sens!F10432+Sens!G10431</f>
        <v>8703.0702</v>
      </c>
      <c r="H10432" s="30" t="n">
        <f aca="false">Sens!G10432+Sens!H10431</f>
        <v>11429.6053</v>
      </c>
      <c r="I10432" s="30" t="n">
        <f aca="false">Sens!H10432+Sens!I10431</f>
        <v>13361.5914196667</v>
      </c>
      <c r="J10432" s="30" t="n">
        <f aca="false">Sens!I10432+Sens!J10431</f>
        <v>14537.6682813933</v>
      </c>
      <c r="K10432" s="30" t="n">
        <f aca="false">Sens!J10432+Sens!K10431</f>
        <v>14973.7983298351</v>
      </c>
      <c r="L10432" s="1" t="s">
        <v>951</v>
      </c>
    </row>
    <row r="10433" customFormat="false" ht="17.15" hidden="false" customHeight="false" outlineLevel="0" collapsed="false">
      <c r="A10433" s="1" t="s">
        <v>952</v>
      </c>
      <c r="B10433" s="0" t="s">
        <v>456</v>
      </c>
      <c r="C10433" s="30" t="n">
        <f aca="false">rent_ext_24</f>
        <v>150</v>
      </c>
      <c r="D10433" s="30" t="n">
        <f aca="false">rent_ext_25</f>
        <v>400</v>
      </c>
      <c r="E10433" s="30" t="n">
        <f aca="false">rent_ext_26</f>
        <v>550</v>
      </c>
      <c r="F10433" s="30" t="n">
        <f aca="false">rent_ext_f</f>
        <v>756</v>
      </c>
      <c r="G10433" s="30" t="n">
        <f aca="false">rent_ext_f</f>
        <v>756</v>
      </c>
      <c r="H10433" s="30" t="n">
        <f aca="false">rent_ext_f</f>
        <v>756</v>
      </c>
      <c r="I10433" s="30" t="n">
        <f aca="false">rent_ext_f</f>
        <v>756</v>
      </c>
      <c r="J10433" s="30" t="n">
        <f aca="false">rent_ext_f</f>
        <v>756</v>
      </c>
      <c r="K10433" s="30" t="n">
        <f aca="false">rent_ext_f</f>
        <v>756</v>
      </c>
      <c r="L10433" s="1" t="s">
        <v>953</v>
      </c>
    </row>
    <row r="10434" customFormat="false" ht="17.15" hidden="false" customHeight="false" outlineLevel="0" collapsed="false">
      <c r="A10434" s="1" t="s">
        <v>954</v>
      </c>
      <c r="B10434" s="0" t="s">
        <v>456</v>
      </c>
      <c r="C10434" s="30" t="n">
        <f aca="false">Sens!C10432-Sens!C10433</f>
        <v>490</v>
      </c>
      <c r="D10434" s="30" t="n">
        <f aca="false">Sens!D10432-Sens!D10433</f>
        <v>1230</v>
      </c>
      <c r="E10434" s="30" t="n">
        <f aca="false">Sens!E10432-Sens!E10433</f>
        <v>2700</v>
      </c>
      <c r="F10434" s="30" t="n">
        <f aca="false">Sens!F10432-Sens!F10433</f>
        <v>5220.5351</v>
      </c>
      <c r="G10434" s="30" t="n">
        <f aca="false">Sens!G10432-Sens!G10433</f>
        <v>7947.0702</v>
      </c>
      <c r="H10434" s="30" t="n">
        <f aca="false">Sens!H10432-Sens!H10433</f>
        <v>10673.6053</v>
      </c>
      <c r="I10434" s="30" t="n">
        <f aca="false">Sens!I10432-Sens!I10433</f>
        <v>12605.5914196667</v>
      </c>
      <c r="J10434" s="30" t="n">
        <f aca="false">Sens!J10432-Sens!J10433</f>
        <v>13781.6682813933</v>
      </c>
      <c r="K10434" s="30" t="n">
        <f aca="false">Sens!K10432-Sens!K10433</f>
        <v>14217.7983298351</v>
      </c>
    </row>
    <row r="10435" customFormat="false" ht="17.15" hidden="false" customHeight="false" outlineLevel="0" collapsed="false">
      <c r="A10435" s="1" t="s">
        <v>955</v>
      </c>
      <c r="B10435" s="0" t="s">
        <v>456</v>
      </c>
      <c r="C10435" s="30" t="n">
        <f aca="false">Sens!C10434/ext_sh</f>
        <v>816.666666666667</v>
      </c>
      <c r="D10435" s="30" t="n">
        <f aca="false">Sens!D10434/ext_sh</f>
        <v>2050</v>
      </c>
      <c r="E10435" s="30" t="n">
        <f aca="false">Sens!E10434/ext_sh</f>
        <v>4500</v>
      </c>
      <c r="F10435" s="30" t="n">
        <f aca="false">Sens!F10434/ext_sh</f>
        <v>8700.89183333333</v>
      </c>
      <c r="G10435" s="30" t="n">
        <f aca="false">Sens!G10434/ext_sh</f>
        <v>13245.117</v>
      </c>
      <c r="H10435" s="30" t="n">
        <f aca="false">Sens!H10434/ext_sh</f>
        <v>17789.3421666667</v>
      </c>
      <c r="I10435" s="30" t="n">
        <f aca="false">Sens!I10434/ext_sh</f>
        <v>21009.3190327778</v>
      </c>
      <c r="J10435" s="30" t="n">
        <f aca="false">Sens!J10434/ext_sh</f>
        <v>22969.4471356556</v>
      </c>
      <c r="K10435" s="30" t="n">
        <f aca="false">Sens!K10434/ext_sh</f>
        <v>23696.3305497252</v>
      </c>
      <c r="L10435" s="1" t="s">
        <v>956</v>
      </c>
    </row>
    <row r="10436" customFormat="false" ht="17.15" hidden="false" customHeight="false" outlineLevel="0" collapsed="false">
      <c r="A10436" s="1" t="s">
        <v>957</v>
      </c>
      <c r="B10436" s="0" t="s">
        <v>456</v>
      </c>
      <c r="C10436" s="30" t="n">
        <f aca="false">Sens!C10435-Sens!C10434</f>
        <v>326.666666666667</v>
      </c>
      <c r="D10436" s="30" t="n">
        <f aca="false">Sens!D10435-Sens!D10434</f>
        <v>820</v>
      </c>
      <c r="E10436" s="30" t="n">
        <f aca="false">Sens!E10435-Sens!E10434</f>
        <v>1800</v>
      </c>
      <c r="F10436" s="30" t="n">
        <f aca="false">Sens!F10435-Sens!F10434</f>
        <v>3480.35673333333</v>
      </c>
      <c r="G10436" s="30" t="n">
        <f aca="false">Sens!G10435-Sens!G10434</f>
        <v>5298.0468</v>
      </c>
      <c r="H10436" s="30" t="n">
        <f aca="false">Sens!H10435-Sens!H10434</f>
        <v>7115.73686666667</v>
      </c>
      <c r="I10436" s="30" t="n">
        <f aca="false">Sens!I10435-Sens!I10434</f>
        <v>8403.72761311111</v>
      </c>
      <c r="J10436" s="30" t="n">
        <f aca="false">Sens!J10435-Sens!J10434</f>
        <v>9187.77885426222</v>
      </c>
      <c r="K10436" s="30" t="n">
        <f aca="false">Sens!K10435-Sens!K10434</f>
        <v>9478.53221989009</v>
      </c>
    </row>
    <row r="10437" customFormat="false" ht="17.15" hidden="false" customHeight="false" outlineLevel="0" collapsed="false">
      <c r="A10437" s="1" t="s">
        <v>958</v>
      </c>
      <c r="B10437" s="0" t="s">
        <v>456</v>
      </c>
      <c r="C10437" s="30" t="n">
        <f aca="false">Sens!C10435</f>
        <v>816.666666666667</v>
      </c>
      <c r="D10437" s="30" t="n">
        <f aca="false">Sens!D10435-Sens!C10435</f>
        <v>1233.33333333333</v>
      </c>
      <c r="E10437" s="30" t="n">
        <f aca="false">Sens!E10435-Sens!D10435</f>
        <v>2450</v>
      </c>
      <c r="F10437" s="30" t="n">
        <f aca="false">Sens!F10435-Sens!E10435</f>
        <v>4200.89183333333</v>
      </c>
      <c r="G10437" s="30" t="n">
        <f aca="false">Sens!G10435-Sens!F10435</f>
        <v>4544.22516666667</v>
      </c>
      <c r="H10437" s="30" t="n">
        <f aca="false">Sens!H10435-Sens!G10435</f>
        <v>4544.22516666667</v>
      </c>
      <c r="I10437" s="30" t="n">
        <f aca="false">Sens!I10435-Sens!H10435</f>
        <v>3219.97686611111</v>
      </c>
      <c r="J10437" s="30" t="n">
        <f aca="false">Sens!J10435-Sens!I10435</f>
        <v>1960.12810287778</v>
      </c>
      <c r="K10437" s="30" t="n">
        <f aca="false">Sens!K10435-Sens!J10435</f>
        <v>726.883414069667</v>
      </c>
    </row>
    <row r="10438" customFormat="false" ht="17.15" hidden="false" customHeight="false" outlineLevel="0" collapsed="false">
      <c r="A10438" s="1" t="s">
        <v>959</v>
      </c>
      <c r="B10438" s="0" t="s">
        <v>456</v>
      </c>
      <c r="D10438" s="30" t="n">
        <f aca="false">Sens!D10432-Sens!C10432</f>
        <v>990</v>
      </c>
      <c r="E10438" s="30" t="n">
        <f aca="false">Sens!E10432-Sens!D10432</f>
        <v>1620</v>
      </c>
      <c r="F10438" s="30" t="n">
        <f aca="false">Sens!F10432-Sens!E10432</f>
        <v>2726.5351</v>
      </c>
      <c r="G10438" s="30" t="n">
        <f aca="false">Sens!G10432-Sens!F10432</f>
        <v>2726.5351</v>
      </c>
      <c r="H10438" s="30" t="n">
        <f aca="false">Sens!H10432-Sens!G10432</f>
        <v>2726.5351</v>
      </c>
      <c r="I10438" s="30" t="n">
        <f aca="false">Sens!I10432-Sens!H10432</f>
        <v>1931.98611966667</v>
      </c>
      <c r="J10438" s="30" t="n">
        <f aca="false">Sens!J10432-Sens!I10432</f>
        <v>1176.07686172667</v>
      </c>
      <c r="K10438" s="30" t="n">
        <f aca="false">Sens!K10432-Sens!J10432</f>
        <v>436.130048441799</v>
      </c>
    </row>
    <row r="10439" customFormat="false" ht="17.15" hidden="false" customHeight="false" outlineLevel="0" collapsed="false">
      <c r="A10439" s="1" t="s">
        <v>960</v>
      </c>
      <c r="B10439" s="0" t="s">
        <v>456</v>
      </c>
      <c r="F10439" s="30" t="n">
        <f aca="false">Sens!F10458*ext_sh</f>
        <v>0</v>
      </c>
      <c r="G10439" s="30" t="n">
        <f aca="false">Sens!G10458*ext_sh</f>
        <v>0</v>
      </c>
      <c r="H10439" s="30" t="n">
        <f aca="false">Sens!H10458*ext_sh</f>
        <v>0</v>
      </c>
      <c r="I10439" s="30" t="n">
        <f aca="false">Sens!I10458*ext_sh</f>
        <v>490</v>
      </c>
      <c r="J10439" s="30" t="n">
        <f aca="false">Sens!J10458*ext_sh</f>
        <v>740</v>
      </c>
      <c r="K10439" s="30" t="n">
        <f aca="false">Sens!K10458*ext_sh</f>
        <v>1470</v>
      </c>
      <c r="L10439" s="1" t="s">
        <v>961</v>
      </c>
    </row>
    <row r="10440" customFormat="false" ht="17.15" hidden="false" customHeight="false" outlineLevel="0" collapsed="false">
      <c r="A10440" s="1" t="s">
        <v>962</v>
      </c>
      <c r="B10440" s="0" t="s">
        <v>456</v>
      </c>
      <c r="C10440" s="30" t="n">
        <f aca="false">mix_h*Sens!C10432</f>
        <v>128</v>
      </c>
      <c r="D10440" s="30" t="n">
        <f aca="false">mix_h*Sens!D10432</f>
        <v>326</v>
      </c>
      <c r="E10440" s="30" t="n">
        <f aca="false">mix_h*Sens!E10432</f>
        <v>650</v>
      </c>
      <c r="F10440" s="30" t="n">
        <f aca="false">Sens!E10440-Sens!F10439*mix_h</f>
        <v>650</v>
      </c>
      <c r="G10440" s="30" t="n">
        <f aca="false">Sens!F10440-Sens!G10439*mix_h</f>
        <v>650</v>
      </c>
      <c r="H10440" s="30" t="n">
        <f aca="false">Sens!G10440-Sens!H10439*mix_h</f>
        <v>650</v>
      </c>
      <c r="I10440" s="30" t="n">
        <f aca="false">Sens!H10440-Sens!I10439*mix_h</f>
        <v>552</v>
      </c>
      <c r="J10440" s="30" t="n">
        <f aca="false">Sens!I10440-Sens!J10439*mix_h</f>
        <v>404</v>
      </c>
      <c r="K10440" s="30" t="n">
        <f aca="false">Sens!J10440-Sens!K10439*mix_h</f>
        <v>110</v>
      </c>
    </row>
    <row r="10441" customFormat="false" ht="17.15" hidden="false" customHeight="false" outlineLevel="0" collapsed="false">
      <c r="A10441" s="1" t="s">
        <v>963</v>
      </c>
      <c r="B10441" s="0" t="s">
        <v>456</v>
      </c>
      <c r="C10441" s="30" t="n">
        <f aca="false">mix_g2*Sens!C10432</f>
        <v>288</v>
      </c>
      <c r="D10441" s="30" t="n">
        <f aca="false">mix_g2*Sens!D10432</f>
        <v>733.5</v>
      </c>
      <c r="E10441" s="30" t="n">
        <f aca="false">mix_g2*Sens!E10432</f>
        <v>1462.5</v>
      </c>
      <c r="F10441" s="30" t="n">
        <f aca="false">Sens!E10441-Sens!F10439*mix_g2</f>
        <v>1462.5</v>
      </c>
      <c r="G10441" s="30" t="n">
        <f aca="false">Sens!F10441-Sens!G10439*mix_g2</f>
        <v>1462.5</v>
      </c>
      <c r="H10441" s="30" t="n">
        <f aca="false">Sens!G10441-Sens!H10439*mix_g2</f>
        <v>1462.5</v>
      </c>
      <c r="I10441" s="30" t="n">
        <f aca="false">Sens!H10441-Sens!I10439*mix_g2</f>
        <v>1242</v>
      </c>
      <c r="J10441" s="30" t="n">
        <f aca="false">Sens!I10441-Sens!J10439*mix_g2</f>
        <v>909</v>
      </c>
      <c r="K10441" s="30" t="n">
        <f aca="false">Sens!J10441-Sens!K10439*mix_g2</f>
        <v>247.5</v>
      </c>
    </row>
    <row r="10442" customFormat="false" ht="17.15" hidden="false" customHeight="false" outlineLevel="0" collapsed="false">
      <c r="A10442" s="1" t="s">
        <v>964</v>
      </c>
      <c r="B10442" s="0" t="s">
        <v>456</v>
      </c>
      <c r="C10442" s="30" t="n">
        <f aca="false">mix_g3*Sens!C10432</f>
        <v>224</v>
      </c>
      <c r="D10442" s="30" t="n">
        <f aca="false">mix_g3*Sens!D10432</f>
        <v>570.5</v>
      </c>
      <c r="E10442" s="30" t="n">
        <f aca="false">mix_g3*Sens!E10432</f>
        <v>1137.5</v>
      </c>
      <c r="F10442" s="30" t="n">
        <f aca="false">Sens!E10442+(Sens!F10438+Sens!F10439)*(a_g3_27-nonnv*a_mai)-Sens!F10439*mix_g3</f>
        <v>2773.42106</v>
      </c>
      <c r="G10442" s="30" t="n">
        <f aca="false">Sens!F10442+(Sens!G10438+Sens!G10439)*(a_g3_28-nonnv*a_mai)-Sens!G10439*mix_g3</f>
        <v>3318.72808</v>
      </c>
      <c r="H10442" s="30" t="n">
        <f aca="false">Sens!G10442+(Sens!H10438+Sens!H10439)*(a_g3_29-nonnv*a_mai)-Sens!H10439*mix_g3</f>
        <v>3318.72808</v>
      </c>
      <c r="I10442" s="30" t="n">
        <f aca="false">Sens!H10442+(Sens!I10438+Sens!I10439)*(a_g3_29-nonnv*a_mai)-Sens!I10439*mix_g3</f>
        <v>3147.22808</v>
      </c>
      <c r="J10442" s="30" t="n">
        <f aca="false">Sens!I10442+(Sens!J10438+Sens!J10439)*(a_g3_29-nonnv*a_mai)-Sens!J10439*mix_g3</f>
        <v>2888.22808</v>
      </c>
      <c r="K10442" s="30" t="n">
        <f aca="false">Sens!J10442+(Sens!K10438+Sens!K10439)*(a_g3_29-nonnv*a_mai)-Sens!K10439*mix_g3</f>
        <v>2373.72808</v>
      </c>
    </row>
    <row r="10443" customFormat="false" ht="17.15" hidden="false" customHeight="false" outlineLevel="0" collapsed="false">
      <c r="A10443" s="1" t="s">
        <v>965</v>
      </c>
      <c r="B10443" s="0" t="s">
        <v>456</v>
      </c>
      <c r="C10443" s="30" t="n">
        <v>0</v>
      </c>
      <c r="D10443" s="30" t="n">
        <v>0</v>
      </c>
      <c r="E10443" s="30" t="n">
        <v>0</v>
      </c>
      <c r="F10443" s="30" t="n">
        <f aca="false">Sens!E10443+(Sens!F10438+Sens!F10439)*nonnv*a_mai</f>
        <v>272.65351</v>
      </c>
      <c r="G10443" s="30" t="n">
        <f aca="false">Sens!F10443+(Sens!G10438+Sens!G10439)*nonnv*a_mai</f>
        <v>545.30702</v>
      </c>
      <c r="H10443" s="30" t="n">
        <f aca="false">Sens!G10443+(Sens!H10438+Sens!H10439)*nonnv*a_mai</f>
        <v>817.96053</v>
      </c>
      <c r="I10443" s="30" t="n">
        <f aca="false">Sens!H10443+(Sens!I10438+Sens!I10439)*nonnv*a_mai</f>
        <v>1060.15914196667</v>
      </c>
      <c r="J10443" s="30" t="n">
        <f aca="false">Sens!I10443+(Sens!J10438+Sens!J10439)*nonnv*a_mai</f>
        <v>1251.76682813933</v>
      </c>
      <c r="K10443" s="30" t="n">
        <f aca="false">Sens!J10443+(Sens!K10438+Sens!K10439)*nonnv*a_mai</f>
        <v>1442.37983298351</v>
      </c>
      <c r="L10443" s="12" t="s">
        <v>966</v>
      </c>
    </row>
    <row r="10444" customFormat="false" ht="17.15" hidden="false" customHeight="false" outlineLevel="0" collapsed="false">
      <c r="A10444" s="1" t="s">
        <v>967</v>
      </c>
      <c r="B10444" s="0" t="s">
        <v>456</v>
      </c>
      <c r="C10444" s="30" t="n">
        <v>0</v>
      </c>
      <c r="D10444" s="30" t="n">
        <v>0</v>
      </c>
      <c r="E10444" s="30" t="n">
        <v>0</v>
      </c>
      <c r="F10444" s="30" t="n">
        <f aca="false">Sens!E10444+(Sens!F10438+Sens!F10439)*(1-a_g3_27)</f>
        <v>817.96053</v>
      </c>
      <c r="G10444" s="30" t="n">
        <f aca="false">Sens!F10444+(Sens!G10438+Sens!G10439)*(1-a_g3_28)</f>
        <v>2726.5351</v>
      </c>
      <c r="H10444" s="30" t="n">
        <f aca="false">Sens!G10444+(Sens!H10438+Sens!H10439)*(1-a_g3_29)</f>
        <v>5180.41669</v>
      </c>
      <c r="I10444" s="30" t="n">
        <f aca="false">Sens!H10444+(Sens!I10438+Sens!I10439)*(1-a_g3_29)</f>
        <v>7360.2041977</v>
      </c>
      <c r="J10444" s="30" t="n">
        <f aca="false">Sens!I10444+(Sens!J10438+Sens!J10439)*(1-a_g3_29)</f>
        <v>9084.673373254</v>
      </c>
      <c r="K10444" s="30" t="n">
        <f aca="false">Sens!J10444+(Sens!K10438+Sens!K10439)*(1-a_g3_29)</f>
        <v>10800.1904168516</v>
      </c>
    </row>
    <row r="10445" customFormat="false" ht="17.15" hidden="false" customHeight="false" outlineLevel="0" collapsed="false">
      <c r="A10445" s="1" t="s">
        <v>968</v>
      </c>
      <c r="B10445" s="0" t="s">
        <v>403</v>
      </c>
      <c r="C10445" s="15" t="n">
        <f aca="false">(Sens!C10440*tk_hold_h100+Sens!C10441*tk_hold_gb200+Sens!C10442*tk_hold_gb300+Sens!C10444*tk_hold_vr200+Sens!C10443*nv_hold_mai*tk_hold_vr200)/Sens!C10432</f>
        <v>9.7235358126469</v>
      </c>
      <c r="D10445" s="15" t="n">
        <f aca="false">(Sens!D10440*tk_hold_h100+Sens!D10441*tk_hold_gb200+Sens!D10442*tk_hold_gb300+Sens!D10444*tk_hold_vr200+Sens!D10443*nv_hold_mai*tk_hold_vr200)/Sens!D10432</f>
        <v>9.7235358126469</v>
      </c>
      <c r="E10445" s="15" t="n">
        <f aca="false">(Sens!E10440*tk_hold_h100+Sens!E10441*tk_hold_gb200+Sens!E10442*tk_hold_gb300+Sens!E10444*tk_hold_vr200+Sens!E10443*nv_hold_mai*tk_hold_vr200)/Sens!E10432</f>
        <v>9.7235358126469</v>
      </c>
      <c r="F10445" s="15" t="n">
        <f aca="false">(Sens!F10440*tk_hold_h100+Sens!F10441*tk_hold_gb200+Sens!F10442*tk_hold_gb300+Sens!F10444*tk_hold_vr200+Sens!F10443*nv_hold_mai*tk_hold_vr200)/Sens!F10432</f>
        <v>10.2195353876665</v>
      </c>
      <c r="G10445" s="15" t="n">
        <f aca="false">(Sens!G10440*tk_hold_h100+Sens!G10441*tk_hold_gb200+Sens!G10442*tk_hold_gb300+Sens!G10444*tk_hold_vr200+Sens!G10443*nv_hold_mai*tk_hold_vr200)/Sens!G10432</f>
        <v>10.5725598017306</v>
      </c>
      <c r="H10445" s="15" t="n">
        <f aca="false">(Sens!H10440*tk_hold_h100+Sens!H10441*tk_hold_gb200+Sens!H10442*tk_hold_gb300+Sens!H10444*tk_hold_vr200+Sens!H10443*nv_hold_mai*tk_hold_vr200)/Sens!H10432</f>
        <v>10.8210427149036</v>
      </c>
      <c r="I10445" s="15" t="n">
        <f aca="false">(Sens!I10440*tk_hold_h100+Sens!I10441*tk_hold_gb200+Sens!I10442*tk_hold_gb300+Sens!I10444*tk_hold_vr200+Sens!I10443*nv_hold_mai*tk_hold_vr200)/Sens!I10432</f>
        <v>11.0050618241982</v>
      </c>
      <c r="J10445" s="15" t="n">
        <f aca="false">(Sens!J10440*tk_hold_h100+Sens!J10441*tk_hold_gb200+Sens!J10442*tk_hold_gb300+Sens!J10444*tk_hold_vr200+Sens!J10443*nv_hold_mai*tk_hold_vr200)/Sens!J10432</f>
        <v>11.1505789658881</v>
      </c>
      <c r="K10445" s="15" t="n">
        <f aca="false">(Sens!K10440*tk_hold_h100+Sens!K10441*tk_hold_gb200+Sens!K10442*tk_hold_gb300+Sens!K10444*tk_hold_vr200+Sens!K10443*nv_hold_mai*tk_hold_vr200)/Sens!K10432</f>
        <v>11.3496914757183</v>
      </c>
      <c r="L10445" s="1" t="s">
        <v>969</v>
      </c>
    </row>
    <row r="10446" customFormat="false" ht="17.15" hidden="false" customHeight="false" outlineLevel="0" collapsed="false">
      <c r="A10446" s="1" t="s">
        <v>970</v>
      </c>
      <c r="B10446" s="0" t="s">
        <v>403</v>
      </c>
      <c r="C10446" s="15" t="n">
        <f aca="false">(Sens!C10440*tk_hold_h100+Sens!C10441*tk_hold_gb200+Sens!C10442*tk_hold_gb300+Sens!C10444*tk_hold_vr200+Sens!C10443*nv_out_mai*tk_hold_vr200)/Sens!C10432</f>
        <v>9.7235358126469</v>
      </c>
      <c r="D10446" s="15" t="n">
        <f aca="false">(Sens!D10440*tk_hold_h100+Sens!D10441*tk_hold_gb200+Sens!D10442*tk_hold_gb300+Sens!D10444*tk_hold_vr200+Sens!D10443*nv_out_mai*tk_hold_vr200)/Sens!D10432</f>
        <v>9.7235358126469</v>
      </c>
      <c r="E10446" s="15" t="n">
        <f aca="false">(Sens!E10440*tk_hold_h100+Sens!E10441*tk_hold_gb200+Sens!E10442*tk_hold_gb300+Sens!E10444*tk_hold_vr200+Sens!E10443*nv_out_mai*tk_hold_vr200)/Sens!E10432</f>
        <v>9.7235358126469</v>
      </c>
      <c r="F10446" s="15" t="n">
        <f aca="false">(Sens!F10440*tk_hold_h100+Sens!F10441*tk_hold_gb200+Sens!F10442*tk_hold_gb300+Sens!F10444*tk_hold_vr200+Sens!F10443*nv_out_mai*tk_hold_vr200)/Sens!F10432</f>
        <v>10.247422093969</v>
      </c>
      <c r="G10446" s="15" t="n">
        <f aca="false">(Sens!G10440*tk_hold_h100+Sens!G10441*tk_hold_gb200+Sens!G10442*tk_hold_gb300+Sens!G10444*tk_hold_vr200+Sens!G10443*nv_out_mai*tk_hold_vr200)/Sens!G10432</f>
        <v>10.6108602808053</v>
      </c>
      <c r="H10446" s="15" t="n">
        <f aca="false">(Sens!H10440*tk_hold_h100+Sens!H10441*tk_hold_gb200+Sens!H10442*tk_hold_gb300+Sens!H10444*tk_hold_vr200+Sens!H10443*nv_out_mai*tk_hold_vr200)/Sens!H10432</f>
        <v>10.8647885507393</v>
      </c>
      <c r="I10446" s="15" t="n">
        <f aca="false">(Sens!I10440*tk_hold_h100+Sens!I10441*tk_hold_gb200+Sens!I10442*tk_hold_gb300+Sens!I10444*tk_hold_vr200+Sens!I10443*nv_out_mai*tk_hold_vr200)/Sens!I10432</f>
        <v>11.0535625770025</v>
      </c>
      <c r="J10446" s="15" t="n">
        <f aca="false">(Sens!J10440*tk_hold_h100+Sens!J10441*tk_hold_gb200+Sens!J10442*tk_hold_gb300+Sens!J10444*tk_hold_vr200+Sens!J10443*nv_out_mai*tk_hold_vr200)/Sens!J10432</f>
        <v>11.2032127128058</v>
      </c>
      <c r="K10446" s="15" t="n">
        <f aca="false">(Sens!K10440*tk_hold_h100+Sens!K10441*tk_hold_gb200+Sens!K10442*tk_hold_gb300+Sens!K10444*tk_hold_vr200+Sens!K10443*nv_out_mai*tk_hold_vr200)/Sens!K10432</f>
        <v>11.4085735724225</v>
      </c>
      <c r="L10446" s="12" t="s">
        <v>971</v>
      </c>
    </row>
    <row r="10447" customFormat="false" ht="17.15" hidden="false" customHeight="false" outlineLevel="0" collapsed="false">
      <c r="A10447" s="0" t="s">
        <v>972</v>
      </c>
      <c r="B10447" s="0" t="s">
        <v>229</v>
      </c>
      <c r="C10447" s="15" t="n">
        <f aca="false">k_B</f>
        <v>1.17213932619116</v>
      </c>
      <c r="D10447" s="15" t="n">
        <f aca="false">k_B</f>
        <v>1.17213932619116</v>
      </c>
      <c r="E10447" s="15" t="n">
        <f aca="false">k_B</f>
        <v>1.17213932619116</v>
      </c>
      <c r="F10447" s="15" t="n">
        <f aca="false">(k_B+((ls_B*k_long+(1-ls_B)*k_spot)-k_B)*MIN(1,(Sens!F10430-base_fy)/k_ramp))</f>
        <v>1.17213932619116</v>
      </c>
      <c r="G10447" s="15" t="n">
        <f aca="false">(k_B+((ls_B*k_long+(1-ls_B)*k_spot)-k_B)*MIN(1,(Sens!G10430-base_fy)/k_ramp))</f>
        <v>1.17213932619116</v>
      </c>
      <c r="H10447" s="15" t="n">
        <f aca="false">(k_B+((ls_B*k_long+(1-ls_B)*k_spot)-k_B)*MIN(1,(Sens!H10430-base_fy)/k_ramp))</f>
        <v>1.17213932619116</v>
      </c>
      <c r="I10447" s="15" t="n">
        <f aca="false">(k_B+((ls_B*k_long+(1-ls_B)*k_spot)-k_B)*MIN(1,(Sens!I10430-base_fy)/k_ramp))</f>
        <v>1.17213932619116</v>
      </c>
      <c r="J10447" s="15" t="n">
        <f aca="false">(k_B+((ls_B*k_long+(1-ls_B)*k_spot)-k_B)*MIN(1,(Sens!J10430-base_fy)/k_ramp))</f>
        <v>1.17213932619116</v>
      </c>
      <c r="K10447" s="15" t="n">
        <f aca="false">(k_B+((ls_B*k_long+(1-ls_B)*k_spot)-k_B)*MIN(1,(Sens!K10430-base_fy)/k_ramp))</f>
        <v>1.17213932619116</v>
      </c>
      <c r="L10447" s="1" t="s">
        <v>973</v>
      </c>
    </row>
    <row r="10448" customFormat="false" ht="17.15" hidden="false" customHeight="false" outlineLevel="0" collapsed="false">
      <c r="A10448" s="1" t="s">
        <v>974</v>
      </c>
      <c r="B10448" s="0" t="s">
        <v>403</v>
      </c>
      <c r="C10448" s="15" t="n">
        <f aca="false">Sens!C10446*Sens!C10447*chip_f</f>
        <v>11.3973387156315</v>
      </c>
      <c r="D10448" s="15" t="n">
        <f aca="false">Sens!D10446*Sens!D10447*chip_f</f>
        <v>11.3973387156315</v>
      </c>
      <c r="E10448" s="15" t="n">
        <f aca="false">Sens!E10446*Sens!E10447*chip_f</f>
        <v>11.3973387156315</v>
      </c>
      <c r="F10448" s="15" t="n">
        <f aca="false">Sens!F10446*Sens!F10447*chip_f</f>
        <v>12.0114064284211</v>
      </c>
      <c r="G10448" s="15" t="n">
        <f aca="false">Sens!G10446*Sens!G10447*chip_f</f>
        <v>12.4374066198516</v>
      </c>
      <c r="H10448" s="15" t="n">
        <f aca="false">Sens!H10446*Sens!H10447*chip_f</f>
        <v>12.735045931073</v>
      </c>
      <c r="I10448" s="15" t="n">
        <f aca="false">Sens!I10446*Sens!I10447*chip_f</f>
        <v>12.9563153910195</v>
      </c>
      <c r="J10448" s="15" t="n">
        <f aca="false">Sens!J10446*Sens!J10447*chip_f</f>
        <v>13.1317262003643</v>
      </c>
      <c r="K10448" s="15" t="n">
        <f aca="false">Sens!K10446*Sens!K10447*chip_f</f>
        <v>13.3724377399815</v>
      </c>
      <c r="L10448" s="1" t="s">
        <v>975</v>
      </c>
    </row>
    <row r="10449" customFormat="false" ht="17.15" hidden="false" customHeight="false" outlineLevel="0" collapsed="false">
      <c r="A10449" s="0" t="s">
        <v>976</v>
      </c>
      <c r="B10449" s="0" t="s">
        <v>98</v>
      </c>
      <c r="D10449" s="6" t="n">
        <f aca="false">(Sens!C10432+Sens!D10432)/2*Sens!D10448/1000</f>
        <v>12.9359794422418</v>
      </c>
      <c r="E10449" s="6" t="n">
        <f aca="false">(Sens!D10432+Sens!E10432)/2*Sens!E10448/1000</f>
        <v>27.8095064661409</v>
      </c>
      <c r="F10449" s="6" t="n">
        <f aca="false">(Sens!E10432+Sens!F10432)/2*Sens!F10448/1000</f>
        <v>55.4118315060966</v>
      </c>
      <c r="G10449" s="6" t="n">
        <f aca="false">(Sens!F10432+Sens!G10432)/2*Sens!G10448/1000</f>
        <v>91.2881100675143</v>
      </c>
      <c r="H10449" s="6" t="n">
        <f aca="false">(Sens!G10432+Sens!H10432)/2*Sens!H10448/1000</f>
        <v>128.195273603944</v>
      </c>
      <c r="I10449" s="6" t="n">
        <f aca="false">(Sens!H10432+Sens!I10432)/2*Sens!I10448/1000</f>
        <v>160.601281810405</v>
      </c>
      <c r="J10449" s="6" t="n">
        <f aca="false">(Sens!I10432+Sens!J10432)/2*Sens!J10448/1000</f>
        <v>183.182719793589</v>
      </c>
      <c r="K10449" s="6" t="n">
        <f aca="false">(Sens!J10432+Sens!K10432)/2*Sens!K10448/1000</f>
        <v>197.320124937098</v>
      </c>
      <c r="L10449" s="12" t="s">
        <v>977</v>
      </c>
    </row>
    <row r="10450" customFormat="false" ht="17.15" hidden="false" customHeight="false" outlineLevel="0" collapsed="false">
      <c r="A10450" s="1" t="s">
        <v>978</v>
      </c>
      <c r="B10450" s="0" t="s">
        <v>403</v>
      </c>
      <c r="C10450" s="15" t="n">
        <f aca="false">(Sens!C10440*tk_opex_h100+Sens!C10441*tk_opex_gb200+Sens!C10442*tk_opex_gb300+(Sens!C10444+Sens!C10443)*tk_opex_vr200)/Sens!C10432</f>
        <v>1.88636041306092</v>
      </c>
      <c r="D10450" s="15" t="n">
        <f aca="false">(Sens!D10440*tk_opex_h100+Sens!D10441*tk_opex_gb200+Sens!D10442*tk_opex_gb300+(Sens!D10444+Sens!D10443)*tk_opex_vr200)/Sens!D10432</f>
        <v>1.88636041306092</v>
      </c>
      <c r="E10450" s="15" t="n">
        <f aca="false">(Sens!E10440*tk_opex_h100+Sens!E10441*tk_opex_gb200+Sens!E10442*tk_opex_gb300+(Sens!E10444+Sens!E10443)*tk_opex_vr200)/Sens!E10432</f>
        <v>1.88636041306092</v>
      </c>
      <c r="F10450" s="15" t="n">
        <f aca="false">(Sens!F10440*tk_opex_h100+Sens!F10441*tk_opex_gb200+Sens!F10442*tk_opex_gb300+(Sens!F10444+Sens!F10443)*tk_opex_vr200)/Sens!F10432</f>
        <v>1.95051159746876</v>
      </c>
      <c r="G10450" s="15" t="n">
        <f aca="false">(Sens!G10440*tk_opex_h100+Sens!G10441*tk_opex_gb200+Sens!G10442*tk_opex_gb300+(Sens!G10444+Sens!G10443)*tk_opex_vr200)/Sens!G10432</f>
        <v>1.98836003669956</v>
      </c>
      <c r="H10450" s="15" t="n">
        <f aca="false">(Sens!H10440*tk_opex_h100+Sens!H10441*tk_opex_gb200+Sens!H10442*tk_opex_gb300+(Sens!H10444+Sens!H10443)*tk_opex_vr200)/Sens!H10432</f>
        <v>2.01344013834343</v>
      </c>
      <c r="I10450" s="15" t="n">
        <f aca="false">(Sens!I10440*tk_opex_h100+Sens!I10441*tk_opex_gb200+Sens!I10442*tk_opex_gb300+(Sens!I10444+Sens!I10443)*tk_opex_vr200)/Sens!I10432</f>
        <v>2.03261166882178</v>
      </c>
      <c r="J10450" s="15" t="n">
        <f aca="false">(Sens!J10440*tk_opex_h100+Sens!J10441*tk_opex_gb200+Sens!J10442*tk_opex_gb300+(Sens!J10444+Sens!J10443)*tk_opex_vr200)/Sens!J10432</f>
        <v>2.04808073288745</v>
      </c>
      <c r="K10450" s="15" t="n">
        <f aca="false">(Sens!K10440*tk_opex_h100+Sens!K10441*tk_opex_gb200+Sens!K10442*tk_opex_gb300+(Sens!K10444+Sens!K10443)*tk_opex_vr200)/Sens!K10432</f>
        <v>2.06973825807449</v>
      </c>
      <c r="L10450" s="12" t="s">
        <v>979</v>
      </c>
    </row>
    <row r="10451" customFormat="false" ht="17.15" hidden="false" customHeight="false" outlineLevel="0" collapsed="false">
      <c r="A10451" s="0" t="s">
        <v>980</v>
      </c>
      <c r="B10451" s="0" t="s">
        <v>98</v>
      </c>
      <c r="D10451" s="6" t="n">
        <f aca="false">(Sens!C10435+Sens!D10435)/2*Sens!D10450/1000</f>
        <v>2.70378325872065</v>
      </c>
      <c r="E10451" s="6" t="n">
        <f aca="false">(Sens!D10435+Sens!E10435)/2*Sens!E10450/1000</f>
        <v>6.17783035277451</v>
      </c>
      <c r="F10451" s="6" t="n">
        <f aca="false">(Sens!E10435+Sens!F10435)/2*Sens!F10450/1000</f>
        <v>12.8742463089237</v>
      </c>
      <c r="G10451" s="6" t="n">
        <f aca="false">(Sens!F10435+Sens!G10435)/2*Sens!G10450/1000</f>
        <v>21.8182834646277</v>
      </c>
      <c r="H10451" s="6" t="n">
        <f aca="false">(Sens!G10435+Sens!H10435)/2*Sens!H10450/1000</f>
        <v>31.2430128789734</v>
      </c>
      <c r="I10451" s="6" t="n">
        <f aca="false">(Sens!H10435+Sens!I10435)/2*Sens!I10450/1000</f>
        <v>39.4313057443268</v>
      </c>
      <c r="J10451" s="6" t="n">
        <f aca="false">(Sens!I10435+Sens!J10435)/2*Sens!J10450/1000</f>
        <v>45.0360318228653</v>
      </c>
      <c r="K10451" s="6" t="n">
        <f aca="false">(Sens!J10435+Sens!K10435)/2*Sens!K10450/1000</f>
        <v>48.2929727091156</v>
      </c>
    </row>
    <row r="10452" customFormat="false" ht="17.15" hidden="false" customHeight="false" outlineLevel="0" collapsed="false">
      <c r="A10452" s="0" t="s">
        <v>981</v>
      </c>
      <c r="B10452" s="0" t="s">
        <v>98</v>
      </c>
      <c r="D10452" s="6" t="n">
        <f aca="false">(Sens!C10433+Sens!D10433)/2*rent_mw/1000</f>
        <v>2.44475</v>
      </c>
      <c r="E10452" s="6" t="n">
        <f aca="false">(Sens!D10433+Sens!E10433)/2*rent_mw/1000</f>
        <v>4.22275</v>
      </c>
      <c r="F10452" s="6" t="n">
        <f aca="false">(Sens!E10433+Sens!F10433)/2*rent_mw/1000</f>
        <v>5.80517</v>
      </c>
      <c r="G10452" s="6" t="n">
        <f aca="false">(Sens!F10433+Sens!G10433)/2*rent_mw/1000</f>
        <v>6.72084</v>
      </c>
      <c r="H10452" s="6" t="n">
        <f aca="false">(Sens!G10433+Sens!H10433)/2*rent_mw/1000</f>
        <v>6.72084</v>
      </c>
      <c r="I10452" s="6" t="n">
        <f aca="false">(Sens!H10433+Sens!I10433)/2*rent_mw/1000</f>
        <v>6.72084</v>
      </c>
      <c r="J10452" s="6" t="n">
        <f aca="false">(Sens!I10433+Sens!J10433)/2*rent_mw/1000</f>
        <v>6.72084</v>
      </c>
      <c r="K10452" s="6" t="n">
        <f aca="false">(Sens!J10433+Sens!K10433)/2*rent_mw/1000</f>
        <v>6.72084</v>
      </c>
    </row>
    <row r="10453" customFormat="false" ht="17.15" hidden="false" customHeight="false" outlineLevel="0" collapsed="false">
      <c r="A10453" s="0" t="s">
        <v>982</v>
      </c>
      <c r="B10453" s="0" t="s">
        <v>98</v>
      </c>
      <c r="D10453" s="6" t="n">
        <f aca="false">(Sens!C10435+Sens!D10435)/2*(1-self_build)*fac_rent/1000</f>
        <v>0.853242375631075</v>
      </c>
      <c r="E10453" s="6" t="n">
        <f aca="false">(Sens!D10435+Sens!E10435)/2*(1-self_build)*fac_rent/1000</f>
        <v>1.94955961408728</v>
      </c>
      <c r="F10453" s="6" t="n">
        <f aca="false">(Sens!E10435+Sens!F10435)/2*(1-self_build)*fac_rent/1000</f>
        <v>3.92914894476356</v>
      </c>
      <c r="G10453" s="6" t="n">
        <f aca="false">(Sens!F10435+Sens!G10435)/2*(1-self_build)*fac_rent/1000</f>
        <v>6.53206908578159</v>
      </c>
      <c r="H10453" s="6" t="n">
        <f aca="false">(Sens!G10435+Sens!H10435)/2*(1-self_build)*fac_rent/1000</f>
        <v>9.23717988341591</v>
      </c>
      <c r="I10453" s="6" t="n">
        <f aca="false">(Sens!H10435+Sens!I10435)/2*(1-self_build)*fac_rent/1000</f>
        <v>11.5481378557393</v>
      </c>
      <c r="J10453" s="6" t="n">
        <f aca="false">(Sens!I10435+Sens!J10435)/2*(1-self_build)*fac_rent/1000</f>
        <v>13.0899582289108</v>
      </c>
      <c r="K10453" s="6" t="n">
        <f aca="false">(Sens!J10435+Sens!K10435)/2*(1-self_build)*fac_rent/1000</f>
        <v>13.8897275626556</v>
      </c>
      <c r="L10453" s="12" t="s">
        <v>983</v>
      </c>
    </row>
    <row r="10454" customFormat="false" ht="17.15" hidden="false" customHeight="false" outlineLevel="0" collapsed="false">
      <c r="A10454" s="1" t="s">
        <v>984</v>
      </c>
      <c r="B10454" s="0" t="s">
        <v>168</v>
      </c>
      <c r="D10454" s="7" t="n">
        <f aca="false">(Sens!C10434+Sens!D10434)/(Sens!C10435+Sens!D10435)</f>
        <v>0.6</v>
      </c>
      <c r="E10454" s="7" t="n">
        <f aca="false">(Sens!D10434+Sens!E10434)/(Sens!D10435+Sens!E10435)</f>
        <v>0.6</v>
      </c>
      <c r="F10454" s="7" t="n">
        <f aca="false">(Sens!E10434+Sens!F10434)/(Sens!E10435+Sens!F10435)</f>
        <v>0.6</v>
      </c>
      <c r="G10454" s="7" t="n">
        <f aca="false">(Sens!F10434+Sens!G10434)/(Sens!F10435+Sens!G10435)</f>
        <v>0.6</v>
      </c>
      <c r="H10454" s="7" t="n">
        <f aca="false">(Sens!G10434+Sens!H10434)/(Sens!G10435+Sens!H10435)</f>
        <v>0.6</v>
      </c>
      <c r="I10454" s="7" t="n">
        <f aca="false">(Sens!H10434+Sens!I10434)/(Sens!H10435+Sens!I10435)</f>
        <v>0.6</v>
      </c>
      <c r="J10454" s="7" t="n">
        <f aca="false">(Sens!I10434+Sens!J10434)/(Sens!I10435+Sens!J10435)</f>
        <v>0.6</v>
      </c>
      <c r="K10454" s="7" t="n">
        <f aca="false">(Sens!J10434+Sens!K10434)/(Sens!J10435+Sens!K10435)</f>
        <v>0.6</v>
      </c>
    </row>
    <row r="10455" customFormat="false" ht="17.15" hidden="false" customHeight="false" outlineLevel="0" collapsed="false">
      <c r="A10455" s="0" t="s">
        <v>985</v>
      </c>
      <c r="B10455" s="0" t="s">
        <v>98</v>
      </c>
      <c r="D10455" s="6" t="n">
        <f aca="false">Sens!D10449-Sens!D10454*(Sens!D10451+Sens!D10453)-Sens!D10452</f>
        <v>8.35701406163072</v>
      </c>
      <c r="E10455" s="6" t="n">
        <f aca="false">Sens!E10449-Sens!E10454*(Sens!E10451+Sens!E10453)-Sens!E10452</f>
        <v>18.7103224860238</v>
      </c>
      <c r="F10455" s="6" t="n">
        <f aca="false">Sens!F10449-Sens!F10454*(Sens!F10451+Sens!F10453)-Sens!F10452</f>
        <v>39.5246243538843</v>
      </c>
      <c r="G10455" s="6" t="n">
        <f aca="false">Sens!G10449-Sens!G10454*(Sens!G10451+Sens!G10453)-Sens!G10452</f>
        <v>67.5570585372687</v>
      </c>
      <c r="H10455" s="6" t="n">
        <f aca="false">Sens!H10449-Sens!H10454*(Sens!H10451+Sens!H10453)-Sens!H10452</f>
        <v>97.1863179465102</v>
      </c>
      <c r="I10455" s="6" t="n">
        <f aca="false">Sens!I10449-Sens!I10454*(Sens!I10451+Sens!I10453)-Sens!I10452</f>
        <v>123.292775650365</v>
      </c>
      <c r="J10455" s="6" t="n">
        <f aca="false">Sens!J10449-Sens!J10454*(Sens!J10451+Sens!J10453)-Sens!J10452</f>
        <v>141.586285762524</v>
      </c>
      <c r="K10455" s="6" t="n">
        <f aca="false">Sens!K10449-Sens!K10454*(Sens!K10451+Sens!K10453)-Sens!K10452</f>
        <v>153.289664774035</v>
      </c>
    </row>
    <row r="10456" customFormat="false" ht="17.15" hidden="false" customHeight="false" outlineLevel="0" collapsed="false">
      <c r="A10456" s="1" t="s">
        <v>986</v>
      </c>
      <c r="B10456" s="0" t="s">
        <v>98</v>
      </c>
      <c r="D10456" s="6" t="n">
        <f aca="false">(1-Sens!D10454)*(Sens!D10451+Sens!D10453)</f>
        <v>1.42281025374069</v>
      </c>
      <c r="E10456" s="6" t="n">
        <f aca="false">(1-Sens!E10454)*(Sens!E10451+Sens!E10453)</f>
        <v>3.25095598674472</v>
      </c>
      <c r="F10456" s="6" t="n">
        <f aca="false">(1-Sens!F10454)*(Sens!F10451+Sens!F10453)</f>
        <v>6.72135810147489</v>
      </c>
      <c r="G10456" s="6" t="n">
        <f aca="false">(1-Sens!G10454)*(Sens!G10451+Sens!G10453)</f>
        <v>11.3401410201637</v>
      </c>
      <c r="H10456" s="6" t="n">
        <f aca="false">(1-Sens!H10454)*(Sens!H10451+Sens!H10453)</f>
        <v>16.1920771049557</v>
      </c>
      <c r="I10456" s="6" t="n">
        <f aca="false">(1-Sens!I10454)*(Sens!I10451+Sens!I10453)</f>
        <v>20.3917774400264</v>
      </c>
      <c r="J10456" s="6" t="n">
        <f aca="false">(1-Sens!J10454)*(Sens!J10451+Sens!J10453)</f>
        <v>23.2503960207104</v>
      </c>
      <c r="K10456" s="6" t="n">
        <f aca="false">(1-Sens!K10454)*(Sens!K10451+Sens!K10453)</f>
        <v>24.8730801087085</v>
      </c>
    </row>
    <row r="10457" customFormat="false" ht="17.15" hidden="false" customHeight="false" outlineLevel="0" collapsed="false">
      <c r="A10457" s="1" t="s">
        <v>987</v>
      </c>
      <c r="B10457" s="0" t="s">
        <v>414</v>
      </c>
      <c r="C10457" s="8" t="n">
        <f aca="false">cxit_open</f>
        <v>27.5918995</v>
      </c>
      <c r="D10457" s="8" t="n">
        <f aca="false">cxit_open</f>
        <v>27.5918995</v>
      </c>
      <c r="E10457" s="8" t="n">
        <f aca="false">cxit_open</f>
        <v>27.5918995</v>
      </c>
      <c r="F10457" s="8" t="n">
        <f aca="false">((a_g3_27-nonnv*a_mai)*tk_cxit_gb300+nonnv*a_mai*nv_hold_mai*tk_cxit_vr200+(1-a_g3_27)*tk_cxit_vr200)</f>
        <v>32.4975576</v>
      </c>
      <c r="G10457" s="8" t="n">
        <f aca="false">((a_g3_28-nonnv*a_mai)*tk_cxit_gb300+nonnv*a_mai*nv_hold_mai*tk_cxit_vr200+(1-a_g3_28)*tk_cxit_vr200)</f>
        <v>34.6372088</v>
      </c>
      <c r="H10457" s="8" t="n">
        <f aca="false">((a_g3_29-nonnv*a_mai)*tk_cxit_gb300+nonnv*a_mai*nv_hold_mai*tk_cxit_vr200+(1-a_g3_29)*tk_cxit_vr200)</f>
        <v>35.7070344</v>
      </c>
      <c r="I10457" s="8" t="n">
        <f aca="false">((a_g3_29-nonnv*a_mai)*tk_cxit_gb300+nonnv*a_mai*nv_hold_mai*tk_cxit_vr200+(1-a_g3_29)*tk_cxit_vr200)</f>
        <v>35.7070344</v>
      </c>
      <c r="J10457" s="8" t="n">
        <f aca="false">((a_g3_29-nonnv*a_mai)*tk_cxit_gb300+nonnv*a_mai*nv_hold_mai*tk_cxit_vr200+(1-a_g3_29)*tk_cxit_vr200)</f>
        <v>35.7070344</v>
      </c>
      <c r="K10457" s="8" t="n">
        <f aca="false">((a_g3_29-nonnv*a_mai)*tk_cxit_gb300+nonnv*a_mai*nv_hold_mai*tk_cxit_vr200+(1-a_g3_29)*tk_cxit_vr200)</f>
        <v>35.7070344</v>
      </c>
      <c r="L10457" s="12" t="s">
        <v>988</v>
      </c>
    </row>
    <row r="10458" customFormat="false" ht="17.15" hidden="false" customHeight="false" outlineLevel="0" collapsed="false">
      <c r="A10458" s="0" t="s">
        <v>989</v>
      </c>
      <c r="B10458" s="0" t="s">
        <v>456</v>
      </c>
      <c r="F10458" s="30" t="n">
        <f aca="false">Sens!C10437*IF(Sens!F10430-Sens!C10430=life_it,1,0)+Sens!D10437*IF(Sens!F10430-Sens!D10430=life_it,1,0)+Sens!E10437*IF(Sens!F10430-Sens!E10430=life_it,1,0)</f>
        <v>0</v>
      </c>
      <c r="G10458" s="30" t="n">
        <f aca="false">Sens!C10437*IF(Sens!G10430-Sens!C10430=life_it,1,0)+Sens!D10437*IF(Sens!G10430-Sens!D10430=life_it,1,0)+Sens!E10437*IF(Sens!G10430-Sens!E10430=life_it,1,0)+Sens!F10437*IF(Sens!G10430-Sens!F10430=life_it,1,0)</f>
        <v>0</v>
      </c>
      <c r="H10458" s="30" t="n">
        <f aca="false">Sens!C10437*IF(Sens!H10430-Sens!C10430=life_it,1,0)+Sens!D10437*IF(Sens!H10430-Sens!D10430=life_it,1,0)+Sens!E10437*IF(Sens!H10430-Sens!E10430=life_it,1,0)+Sens!F10437*IF(Sens!H10430-Sens!F10430=life_it,1,0)+Sens!G10437*IF(Sens!H10430-Sens!G10430=life_it,1,0)</f>
        <v>0</v>
      </c>
      <c r="I10458" s="30" t="n">
        <f aca="false">Sens!C10437*IF(Sens!I10430-Sens!C10430=life_it,1,0)+Sens!D10437*IF(Sens!I10430-Sens!D10430=life_it,1,0)+Sens!E10437*IF(Sens!I10430-Sens!E10430=life_it,1,0)+Sens!F10437*IF(Sens!I10430-Sens!F10430=life_it,1,0)+Sens!G10437*IF(Sens!I10430-Sens!G10430=life_it,1,0)+Sens!H10437*IF(Sens!I10430-Sens!H10430=life_it,1,0)</f>
        <v>816.666666666667</v>
      </c>
      <c r="J10458" s="30" t="n">
        <f aca="false">Sens!C10437*IF(Sens!J10430-Sens!C10430=life_it,1,0)+Sens!D10437*IF(Sens!J10430-Sens!D10430=life_it,1,0)+Sens!E10437*IF(Sens!J10430-Sens!E10430=life_it,1,0)+Sens!F10437*IF(Sens!J10430-Sens!F10430=life_it,1,0)+Sens!G10437*IF(Sens!J10430-Sens!G10430=life_it,1,0)+Sens!H10437*IF(Sens!J10430-Sens!H10430=life_it,1,0)+Sens!I10437*IF(Sens!J10430-Sens!I10430=life_it,1,0)</f>
        <v>1233.33333333333</v>
      </c>
      <c r="K10458" s="30" t="n">
        <f aca="false">Sens!C10437*IF(Sens!K10430-Sens!C10430=life_it,1,0)+Sens!D10437*IF(Sens!K10430-Sens!D10430=life_it,1,0)+Sens!E10437*IF(Sens!K10430-Sens!E10430=life_it,1,0)+Sens!F10437*IF(Sens!K10430-Sens!F10430=life_it,1,0)+Sens!G10437*IF(Sens!K10430-Sens!G10430=life_it,1,0)+Sens!H10437*IF(Sens!K10430-Sens!H10430=life_it,1,0)+Sens!I10437*IF(Sens!K10430-Sens!I10430=life_it,1,0)+Sens!J10437*IF(Sens!K10430-Sens!J10430=life_it,1,0)</f>
        <v>2450</v>
      </c>
      <c r="L10458" s="1" t="s">
        <v>990</v>
      </c>
    </row>
    <row r="10459" customFormat="false" ht="17.15" hidden="false" customHeight="false" outlineLevel="0" collapsed="false">
      <c r="A10459" s="0" t="s">
        <v>991</v>
      </c>
      <c r="B10459" s="0" t="s">
        <v>98</v>
      </c>
      <c r="C10459" s="6" t="n">
        <f aca="false">Sens!C10437*Sens!C10457/1000</f>
        <v>22.5333845916667</v>
      </c>
      <c r="D10459" s="6" t="n">
        <f aca="false">Sens!D10437*Sens!D10457/1000</f>
        <v>34.0300093833333</v>
      </c>
      <c r="E10459" s="6" t="n">
        <f aca="false">Sens!E10437*Sens!E10457/1000</f>
        <v>67.600153775</v>
      </c>
      <c r="F10459" s="6" t="n">
        <f aca="false">(Sens!F10437+Sens!F10458)*Sens!F10457/1000</f>
        <v>136.51872432512</v>
      </c>
      <c r="G10459" s="6" t="n">
        <f aca="false">(Sens!G10437+Sens!G10458)*Sens!G10457/1000</f>
        <v>157.399275932048</v>
      </c>
      <c r="H10459" s="6" t="n">
        <f aca="false">(Sens!H10437+Sens!H10458)*Sens!H10457/1000</f>
        <v>162.260804347512</v>
      </c>
      <c r="I10459" s="6" t="n">
        <f aca="false">(Sens!I10437+Sens!I10458)*Sens!I10457/1000</f>
        <v>144.136569485434</v>
      </c>
      <c r="J10459" s="6" t="n">
        <f aca="false">(Sens!J10437+Sens!J10458)*Sens!J10457/1000</f>
        <v>114.029037357864</v>
      </c>
      <c r="K10459" s="6" t="n">
        <f aca="false">(Sens!K10437+Sens!K10458)*Sens!K10457/1000</f>
        <v>113.437085350975</v>
      </c>
    </row>
    <row r="10460" customFormat="false" ht="17.15" hidden="false" customHeight="false" outlineLevel="0" collapsed="false">
      <c r="A10460" s="0" t="s">
        <v>992</v>
      </c>
      <c r="B10460" s="0" t="s">
        <v>98</v>
      </c>
      <c r="C10460" s="6" t="n">
        <f aca="false">Sens!C10437*self_build*tk_cxfac/1000</f>
        <v>6.2083</v>
      </c>
      <c r="D10460" s="6" t="n">
        <f aca="false">Sens!D10437*self_build*tk_cxfac/1000</f>
        <v>9.3758</v>
      </c>
      <c r="E10460" s="6" t="n">
        <f aca="false">Sens!E10437*self_build*tk_cxfac/1000</f>
        <v>18.6249</v>
      </c>
      <c r="F10460" s="6" t="n">
        <f aca="false">Sens!F10437*self_build*tk_cxfac/1000</f>
        <v>31.935179717</v>
      </c>
      <c r="G10460" s="6" t="n">
        <f aca="false">Sens!G10437*self_build*tk_cxfac/1000</f>
        <v>34.545199717</v>
      </c>
      <c r="H10460" s="6" t="n">
        <f aca="false">Sens!H10437*self_build*tk_cxfac/1000</f>
        <v>34.545199717</v>
      </c>
      <c r="I10460" s="6" t="n">
        <f aca="false">Sens!I10437*self_build*tk_cxfac/1000</f>
        <v>24.4782641361767</v>
      </c>
      <c r="J10460" s="6" t="n">
        <f aca="false">Sens!J10437*self_build*tk_cxfac/1000</f>
        <v>14.9008938380769</v>
      </c>
      <c r="K10460" s="6" t="n">
        <f aca="false">Sens!K10437*self_build*tk_cxfac/1000</f>
        <v>5.52576771375761</v>
      </c>
    </row>
    <row r="10461" customFormat="false" ht="17.15" hidden="false" customHeight="false" outlineLevel="0" collapsed="false">
      <c r="A10461" s="0" t="s">
        <v>993</v>
      </c>
      <c r="B10461" s="0" t="s">
        <v>98</v>
      </c>
      <c r="F10461" s="15" t="n">
        <f aca="false">capex_floor27-Sens!F10459-Sens!F10460-Sens!F10557</f>
        <v>0.00757665865767621</v>
      </c>
      <c r="L10461" s="12" t="s">
        <v>994</v>
      </c>
    </row>
    <row r="10462" customFormat="false" ht="17.15" hidden="false" customHeight="false" outlineLevel="0" collapsed="false">
      <c r="A10462" s="0" t="s">
        <v>995</v>
      </c>
      <c r="B10462" s="0" t="s">
        <v>98</v>
      </c>
      <c r="F10462" s="6" t="n">
        <f aca="false">MAX(0,Sens!F10461)</f>
        <v>0.00757665865767621</v>
      </c>
    </row>
    <row r="10463" customFormat="false" ht="17.15" hidden="false" customHeight="false" outlineLevel="0" collapsed="false">
      <c r="A10463" s="0" t="s">
        <v>996</v>
      </c>
      <c r="B10463" s="0" t="s">
        <v>98</v>
      </c>
      <c r="C10463" s="6" t="n">
        <f aca="false">Sens!C10459</f>
        <v>22.5333845916667</v>
      </c>
      <c r="D10463" s="6" t="n">
        <f aca="false">Sens!D10459</f>
        <v>34.0300093833333</v>
      </c>
      <c r="E10463" s="6" t="n">
        <f aca="false">Sens!E10459</f>
        <v>67.600153775</v>
      </c>
      <c r="F10463" s="6" t="n">
        <f aca="false">Sens!F10459</f>
        <v>136.51872432512</v>
      </c>
      <c r="G10463" s="6" t="n">
        <f aca="false">Sens!G10459</f>
        <v>157.399275932048</v>
      </c>
      <c r="H10463" s="6" t="n">
        <f aca="false">Sens!H10459</f>
        <v>162.260804347512</v>
      </c>
      <c r="I10463" s="6" t="n">
        <f aca="false">Sens!I10459</f>
        <v>144.136569485434</v>
      </c>
      <c r="J10463" s="6" t="n">
        <f aca="false">Sens!J10459</f>
        <v>114.029037357864</v>
      </c>
      <c r="K10463" s="6" t="n">
        <f aca="false">Sens!K10459</f>
        <v>113.437085350975</v>
      </c>
    </row>
    <row r="10464" customFormat="false" ht="17.15" hidden="false" customHeight="false" outlineLevel="0" collapsed="false">
      <c r="A10464" s="0" t="s">
        <v>997</v>
      </c>
      <c r="B10464" s="0" t="s">
        <v>98</v>
      </c>
      <c r="C10464" s="6" t="n">
        <f aca="false">Sens!C10463+Sens!C10460</f>
        <v>28.7416845916667</v>
      </c>
      <c r="D10464" s="6" t="n">
        <f aca="false">Sens!D10463+Sens!D10460</f>
        <v>43.4058093833333</v>
      </c>
      <c r="E10464" s="6" t="n">
        <f aca="false">Sens!E10463+Sens!E10460</f>
        <v>86.225053775</v>
      </c>
      <c r="F10464" s="6" t="n">
        <f aca="false">Sens!F10463+Sens!F10460</f>
        <v>168.45390404212</v>
      </c>
      <c r="G10464" s="6" t="n">
        <f aca="false">Sens!G10463+Sens!G10460</f>
        <v>191.944475649048</v>
      </c>
      <c r="H10464" s="6" t="n">
        <f aca="false">Sens!H10463+Sens!H10460</f>
        <v>196.806004064512</v>
      </c>
      <c r="I10464" s="6" t="n">
        <f aca="false">Sens!I10463+Sens!I10460</f>
        <v>168.61483362161</v>
      </c>
      <c r="J10464" s="6" t="n">
        <f aca="false">Sens!J10463+Sens!J10460</f>
        <v>128.92993119594</v>
      </c>
      <c r="K10464" s="6" t="n">
        <f aca="false">Sens!K10463+Sens!K10460</f>
        <v>118.962853064733</v>
      </c>
      <c r="L10464" s="12" t="s">
        <v>998</v>
      </c>
    </row>
    <row r="10465" customFormat="false" ht="17.15" hidden="false" customHeight="false" outlineLevel="0" collapsed="false">
      <c r="A10465" s="0" t="s">
        <v>999</v>
      </c>
      <c r="B10465" s="0" t="s">
        <v>98</v>
      </c>
      <c r="E10465" s="6" t="n">
        <f aca="false">(Sens!C10463*IF(2&lt;life_it,1,IF(2=life_it,0.5,0))+Sens!D10463*IF(1&lt;life_it,1,IF(1=life_it,0.5,0))+Sens!E10463*0.5)/life_it</f>
        <v>15.0605784770833</v>
      </c>
      <c r="F10465" s="6" t="n">
        <f aca="false">(Sens!C10463*IF(3&lt;life_it,1,IF(3=life_it,0.5,0))+Sens!D10463*IF(2&lt;life_it,1,IF(2=life_it,0.5,0))+Sens!E10463*IF(1&lt;life_it,1,IF(1=life_it,0.5,0))+Sens!F10463*0.5)/life_it</f>
        <v>32.0704849854266</v>
      </c>
      <c r="G10465" s="6" t="n">
        <f aca="false">(Sens!C10463*IF(4&lt;life_it,1,IF(4=life_it,0.5,0))+Sens!D10463*IF(3&lt;life_it,1,IF(3=life_it,0.5,0))+Sens!E10463*IF(2&lt;life_it,1,IF(2=life_it,0.5,0))+Sens!F10463*IF(1&lt;life_it,1,IF(1=life_it,0.5,0))+Sens!G10463*0.5)/life_it</f>
        <v>56.5636516735239</v>
      </c>
      <c r="H10465" s="6" t="n">
        <f aca="false">(Sens!C10463*IF(5&lt;life_it,1,IF(5=life_it,0.5,0))+Sens!D10463*IF(4&lt;life_it,1,IF(4=life_it,0.5,0))+Sens!E10463*IF(3&lt;life_it,1,IF(3=life_it,0.5,0))+Sens!F10463*IF(2&lt;life_it,1,IF(2=life_it,0.5,0))+Sens!G10463*IF(1&lt;life_it,1,IF(1=life_it,0.5,0))+Sens!H10463*0.5)/life_it</f>
        <v>83.2019916968207</v>
      </c>
      <c r="I10465" s="6" t="n">
        <f aca="false">(Sens!C10463*IF(6&lt;life_it,1,IF(6=life_it,0.5,0))+Sens!D10463*IF(5&lt;life_it,1,IF(5=life_it,0.5,0))+Sens!E10463*IF(4&lt;life_it,1,IF(4=life_it,0.5,0))+Sens!F10463*IF(3&lt;life_it,1,IF(3=life_it,0.5,0))+Sens!G10463*IF(2&lt;life_it,1,IF(2=life_it,0.5,0))+Sens!H10463*IF(1&lt;life_it,1,IF(1=life_it,0.5,0))+Sens!I10463*0.5)/life_it</f>
        <v>106.857324133594</v>
      </c>
      <c r="J10465" s="6" t="n">
        <f aca="false">(Sens!C10463*IF(7&lt;life_it,1,IF(7=life_it,0.5,0))+Sens!D10463*IF(6&lt;life_it,1,IF(6=life_it,0.5,0))+Sens!E10463*IF(5&lt;life_it,1,IF(5=life_it,0.5,0))+Sens!F10463*IF(4&lt;life_it,1,IF(4=life_it,0.5,0))+Sens!G10463*IF(3&lt;life_it,1,IF(3=life_it,0.5,0))+Sens!H10463*IF(2&lt;life_it,1,IF(2=life_it,0.5,0))+Sens!I10463*IF(1&lt;life_it,1,IF(1=life_it,0.5,0))+Sens!J10463*0.5)/life_it</f>
        <v>123.657508539285</v>
      </c>
      <c r="K10465" s="6" t="n">
        <f aca="false">(Sens!C10463*IF(8&lt;life_it,1,IF(8=life_it,0.5,0))+Sens!D10463*IF(7&lt;life_it,1,IF(7=life_it,0.5,0))+Sens!E10463*IF(6&lt;life_it,1,IF(6=life_it,0.5,0))+Sens!F10463*IF(5&lt;life_it,1,IF(5=life_it,0.5,0))+Sens!G10463*IF(4&lt;life_it,1,IF(4=life_it,0.5,0))+Sens!H10463*IF(3&lt;life_it,1,IF(3=life_it,0.5,0))+Sens!I10463*IF(2&lt;life_it,1,IF(2=life_it,0.5,0))+Sens!J10463*IF(1&lt;life_it,1,IF(1=life_it,0.5,0))+Sens!K10463*0.5)/life_it</f>
        <v>134.143838501827</v>
      </c>
    </row>
    <row r="10466" customFormat="false" ht="17.15" hidden="false" customHeight="false" outlineLevel="0" collapsed="false">
      <c r="A10466" s="0" t="s">
        <v>1000</v>
      </c>
      <c r="B10466" s="0" t="s">
        <v>98</v>
      </c>
      <c r="E10466" s="6" t="n">
        <f aca="false">(Sens!C10460*IF(2&lt;life_fac,1,IF(2=life_fac,0.5,0))+Sens!D10460*IF(1&lt;life_fac,1,IF(1=life_fac,0.5,0))+Sens!E10460*0.5)/life_fac</f>
        <v>1.2448275</v>
      </c>
      <c r="F10466" s="6" t="n">
        <f aca="false">(Sens!C10460*IF(3&lt;life_fac,1,IF(3=life_fac,0.5,0))+Sens!D10460*IF(2&lt;life_fac,1,IF(2=life_fac,0.5,0))+Sens!E10460*IF(1&lt;life_fac,1,IF(1=life_fac,0.5,0))+Sens!F10460*0.5)/life_fac</f>
        <v>2.508829492925</v>
      </c>
      <c r="G10466" s="6" t="n">
        <f aca="false">(Sens!C10460*IF(4&lt;life_fac,1,IF(4=life_fac,0.5,0))+Sens!D10460*IF(3&lt;life_fac,1,IF(3=life_fac,0.5,0))+Sens!E10460*IF(2&lt;life_fac,1,IF(2=life_fac,0.5,0))+Sens!F10460*IF(1&lt;life_fac,1,IF(1=life_fac,0.5,0))+Sens!G10460*0.5)/life_fac</f>
        <v>4.170838978775</v>
      </c>
      <c r="H10466" s="6" t="n">
        <f aca="false">(Sens!C10460*IF(5&lt;life_fac,1,IF(5=life_fac,0.5,0))+Sens!D10460*IF(4&lt;life_fac,1,IF(4=life_fac,0.5,0))+Sens!E10460*IF(3&lt;life_fac,1,IF(3=life_fac,0.5,0))+Sens!F10460*IF(2&lt;life_fac,1,IF(2=life_fac,0.5,0))+Sens!G10460*IF(1&lt;life_fac,1,IF(1=life_fac,0.5,0))+Sens!H10460*0.5)/life_fac</f>
        <v>5.898098964625</v>
      </c>
      <c r="I10466" s="6" t="n">
        <f aca="false">(Sens!C10460*IF(6&lt;life_fac,1,IF(6=life_fac,0.5,0))+Sens!D10460*IF(5&lt;life_fac,1,IF(5=life_fac,0.5,0))+Sens!E10460*IF(4&lt;life_fac,1,IF(4=life_fac,0.5,0))+Sens!F10460*IF(3&lt;life_fac,1,IF(3=life_fac,0.5,0))+Sens!G10460*IF(2&lt;life_fac,1,IF(2=life_fac,0.5,0))+Sens!H10460*IF(1&lt;life_fac,1,IF(1=life_fac,0.5,0))+Sens!I10460*0.5)/life_fac</f>
        <v>7.37368556095442</v>
      </c>
      <c r="J10466" s="6" t="n">
        <f aca="false">(Sens!C10460*IF(7&lt;life_fac,1,IF(7=life_fac,0.5,0))+Sens!D10460*IF(6&lt;life_fac,1,IF(6=life_fac,0.5,0))+Sens!E10460*IF(5&lt;life_fac,1,IF(5=life_fac,0.5,0))+Sens!F10460*IF(4&lt;life_fac,1,IF(4=life_fac,0.5,0))+Sens!G10460*IF(3&lt;life_fac,1,IF(3=life_fac,0.5,0))+Sens!H10460*IF(2&lt;life_fac,1,IF(2=life_fac,0.5,0))+Sens!I10460*IF(1&lt;life_fac,1,IF(1=life_fac,0.5,0))+Sens!J10460*0.5)/life_fac</f>
        <v>8.35816451031075</v>
      </c>
      <c r="K10466" s="6" t="n">
        <f aca="false">(Sens!C10460*IF(8&lt;life_fac,1,IF(8=life_fac,0.5,0))+Sens!D10460*IF(7&lt;life_fac,1,IF(7=life_fac,0.5,0))+Sens!E10460*IF(6&lt;life_fac,1,IF(6=life_fac,0.5,0))+Sens!F10460*IF(5&lt;life_fac,1,IF(5=life_fac,0.5,0))+Sens!G10460*IF(4&lt;life_fac,1,IF(4=life_fac,0.5,0))+Sens!H10460*IF(3&lt;life_fac,1,IF(3=life_fac,0.5,0))+Sens!I10460*IF(2&lt;life_fac,1,IF(2=life_fac,0.5,0))+Sens!J10460*IF(1&lt;life_fac,1,IF(1=life_fac,0.5,0))+Sens!K10460*0.5)/life_fac</f>
        <v>8.86883104910662</v>
      </c>
    </row>
    <row r="10467" customFormat="false" ht="17.15" hidden="false" customHeight="false" outlineLevel="0" collapsed="false">
      <c r="A10467" s="0" t="s">
        <v>1001</v>
      </c>
      <c r="B10467" s="0" t="s">
        <v>98</v>
      </c>
      <c r="E10467" s="6" t="n">
        <f aca="false">Sens!E10465+Sens!E10466</f>
        <v>16.3054059770833</v>
      </c>
      <c r="F10467" s="6" t="n">
        <f aca="false">Sens!F10465+Sens!F10466</f>
        <v>34.5793144783516</v>
      </c>
      <c r="G10467" s="6" t="n">
        <f aca="false">Sens!G10465+Sens!G10466</f>
        <v>60.7344906522989</v>
      </c>
      <c r="H10467" s="6" t="n">
        <f aca="false">Sens!H10465+Sens!H10466</f>
        <v>89.1000906614457</v>
      </c>
      <c r="I10467" s="6" t="n">
        <f aca="false">Sens!I10465+Sens!I10466</f>
        <v>114.231009694548</v>
      </c>
      <c r="J10467" s="6" t="n">
        <f aca="false">Sens!J10465+Sens!J10466</f>
        <v>132.015673049596</v>
      </c>
      <c r="K10467" s="6" t="n">
        <f aca="false">Sens!K10465+Sens!K10466</f>
        <v>143.012669550934</v>
      </c>
    </row>
    <row r="10468" customFormat="false" ht="17.15" hidden="false" customHeight="false" outlineLevel="0" collapsed="false">
      <c r="A10468" s="0" t="s">
        <v>1002</v>
      </c>
      <c r="B10468" s="0" t="s">
        <v>98</v>
      </c>
      <c r="E10468" s="6" t="n">
        <f aca="false">Sens!E10455-Sens!E10454*Sens!E10467</f>
        <v>8.92707889977379</v>
      </c>
      <c r="F10468" s="6" t="n">
        <f aca="false">Sens!F10455-Sens!F10454*Sens!F10467</f>
        <v>18.7770356668733</v>
      </c>
      <c r="G10468" s="6" t="n">
        <f aca="false">Sens!G10455-Sens!G10454*Sens!G10467</f>
        <v>31.1163641458894</v>
      </c>
      <c r="H10468" s="6" t="n">
        <f aca="false">Sens!H10455-Sens!H10454*Sens!H10467</f>
        <v>43.7262635496428</v>
      </c>
      <c r="I10468" s="6" t="n">
        <f aca="false">Sens!I10455-Sens!I10454*Sens!I10467</f>
        <v>54.7541698336361</v>
      </c>
      <c r="J10468" s="6" t="n">
        <f aca="false">Sens!J10455-Sens!J10454*Sens!J10467</f>
        <v>62.3768819327658</v>
      </c>
      <c r="K10468" s="6" t="n">
        <f aca="false">Sens!K10455-Sens!K10454*Sens!K10467</f>
        <v>67.4820630434748</v>
      </c>
    </row>
    <row r="10469" customFormat="false" ht="17.15" hidden="false" customHeight="false" outlineLevel="0" collapsed="false">
      <c r="A10469" s="3" t="s">
        <v>1741</v>
      </c>
    </row>
    <row r="10470" customFormat="false" ht="15" hidden="false" customHeight="false" outlineLevel="0" collapsed="false">
      <c r="A10470" s="4" t="s">
        <v>43</v>
      </c>
      <c r="B10470" s="4" t="s">
        <v>65</v>
      </c>
      <c r="C10470" s="23" t="s">
        <v>938</v>
      </c>
      <c r="D10470" s="23" t="s">
        <v>939</v>
      </c>
      <c r="E10470" s="23" t="s">
        <v>940</v>
      </c>
      <c r="F10470" s="23" t="s">
        <v>941</v>
      </c>
      <c r="G10470" s="23" t="s">
        <v>942</v>
      </c>
      <c r="H10470" s="23" t="s">
        <v>943</v>
      </c>
      <c r="I10470" s="23" t="s">
        <v>944</v>
      </c>
      <c r="J10470" s="23" t="s">
        <v>945</v>
      </c>
      <c r="K10470" s="23" t="s">
        <v>946</v>
      </c>
      <c r="L10470" s="4" t="s">
        <v>47</v>
      </c>
    </row>
    <row r="10471" customFormat="false" ht="17.15" hidden="false" customHeight="false" outlineLevel="0" collapsed="false">
      <c r="A10471" s="0" t="s">
        <v>1021</v>
      </c>
      <c r="B10471" s="0" t="s">
        <v>98</v>
      </c>
      <c r="D10471" s="6" t="n">
        <f aca="false">Sens!D10449</f>
        <v>12.9359794422418</v>
      </c>
      <c r="E10471" s="6" t="n">
        <f aca="false">Sens!E10449</f>
        <v>27.8095064661409</v>
      </c>
      <c r="F10471" s="6" t="n">
        <f aca="false">Sens!F10449</f>
        <v>55.4118315060966</v>
      </c>
      <c r="G10471" s="6" t="n">
        <f aca="false">Sens!G10449</f>
        <v>91.2881100675143</v>
      </c>
      <c r="H10471" s="6" t="n">
        <f aca="false">Sens!H10449</f>
        <v>128.195273603944</v>
      </c>
      <c r="I10471" s="6" t="n">
        <f aca="false">Sens!I10449</f>
        <v>160.601281810405</v>
      </c>
      <c r="J10471" s="6" t="n">
        <f aca="false">Sens!J10449</f>
        <v>183.182719793589</v>
      </c>
      <c r="K10471" s="6" t="n">
        <f aca="false">Sens!K10449</f>
        <v>197.320124937098</v>
      </c>
    </row>
    <row r="10472" customFormat="false" ht="17.15" hidden="false" customHeight="false" outlineLevel="0" collapsed="false">
      <c r="A10472" s="0" t="s">
        <v>1022</v>
      </c>
      <c r="B10472" s="0" t="s">
        <v>98</v>
      </c>
      <c r="D10472" s="6" t="n">
        <f aca="false">Q!L6-Sens!D10471</f>
        <v>59.6740205577583</v>
      </c>
      <c r="E10472" s="6" t="n">
        <f aca="false">Q!M6-Sens!E10471</f>
        <v>74.1284935338591</v>
      </c>
      <c r="F10472" s="6" t="n">
        <f aca="false">Q!$I$6+(Sens!F10471+Sens!E10472*(1+Sens!F10473))*(1-Q!$E$6/Q!M6)-Sens!F10471</f>
        <v>91.2972164940844</v>
      </c>
      <c r="G10472" s="6" t="n">
        <f aca="false">Sens!F10472*(1+Sens!G10473)</f>
        <v>108.474719793879</v>
      </c>
      <c r="H10472" s="6" t="n">
        <f aca="false">Sens!G10472*(1+Sens!H10473)</f>
        <v>125.951292505701</v>
      </c>
      <c r="I10472" s="6" t="n">
        <f aca="false">Sens!H10472*(1+Sens!I10473)</f>
        <v>142.838165154212</v>
      </c>
      <c r="J10472" s="6" t="n">
        <f aca="false">Sens!I10472*(1+Sens!J10473)</f>
        <v>158.12717866615</v>
      </c>
      <c r="K10472" s="6" t="n">
        <f aca="false">Sens!J10472*(1+Sens!K10473)</f>
        <v>170.777352959442</v>
      </c>
      <c r="L10472" s="12" t="s">
        <v>1023</v>
      </c>
    </row>
    <row r="10473" customFormat="false" ht="15" hidden="false" customHeight="false" outlineLevel="0" collapsed="false">
      <c r="A10473" s="1" t="s">
        <v>1024</v>
      </c>
      <c r="B10473" s="0" t="s">
        <v>168</v>
      </c>
      <c r="E10473" s="7" t="n">
        <f aca="false">Sens!E10472/Sens!D10472-1</f>
        <v>0.242223883039864</v>
      </c>
      <c r="F10473" s="7" t="n">
        <f aca="false">Sens!$E$10473+(glt_azo-Sens!$E$10473)*MIN(1,(Sens!F10430-base_fy)/n_conv)</f>
        <v>0.215186569199887</v>
      </c>
      <c r="G10473" s="7" t="n">
        <f aca="false">Sens!$E$10473+(glt_azo-Sens!$E$10473)*MIN(1,(Sens!G10430-base_fy)/n_conv)</f>
        <v>0.18814925535991</v>
      </c>
      <c r="H10473" s="7" t="n">
        <f aca="false">Sens!$E$10473+(glt_azo-Sens!$E$10473)*MIN(1,(Sens!H10430-base_fy)/n_conv)</f>
        <v>0.161111941519932</v>
      </c>
      <c r="I10473" s="7" t="n">
        <f aca="false">Sens!$E$10473+(glt_azo-Sens!$E$10473)*MIN(1,(Sens!I10430-base_fy)/n_conv)</f>
        <v>0.134074627679955</v>
      </c>
      <c r="J10473" s="7" t="n">
        <f aca="false">Sens!$E$10473+(glt_azo-Sens!$E$10473)*MIN(1,(Sens!J10430-base_fy)/n_conv)</f>
        <v>0.107037313839977</v>
      </c>
      <c r="K10473" s="7" t="n">
        <f aca="false">Sens!$E$10473+(glt_azo-Sens!$E$10473)*MIN(1,(Sens!K10430-base_fy)/n_conv)</f>
        <v>0.08</v>
      </c>
    </row>
    <row r="10474" customFormat="false" ht="15" hidden="false" customHeight="false" outlineLevel="0" collapsed="false">
      <c r="A10474" s="0" t="s">
        <v>1025</v>
      </c>
      <c r="B10474" s="0" t="s">
        <v>98</v>
      </c>
      <c r="D10474" s="6" t="n">
        <f aca="false">Sens!D10471+Sens!D10472</f>
        <v>72.61</v>
      </c>
      <c r="E10474" s="6" t="n">
        <f aca="false">Sens!E10471+Sens!E10472</f>
        <v>101.938</v>
      </c>
      <c r="F10474" s="6" t="n">
        <f aca="false">Sens!F10471+Sens!F10472</f>
        <v>146.709048000181</v>
      </c>
      <c r="G10474" s="6" t="n">
        <f aca="false">Sens!G10471+Sens!G10472</f>
        <v>199.762829861393</v>
      </c>
      <c r="H10474" s="6" t="n">
        <f aca="false">Sens!H10471+Sens!H10472</f>
        <v>254.146566109645</v>
      </c>
      <c r="I10474" s="6" t="n">
        <f aca="false">Sens!I10471+Sens!I10472</f>
        <v>303.439446964617</v>
      </c>
      <c r="J10474" s="6" t="n">
        <f aca="false">Sens!J10471+Sens!J10472</f>
        <v>341.309898459739</v>
      </c>
      <c r="K10474" s="6" t="n">
        <f aca="false">Sens!K10471+Sens!K10472</f>
        <v>368.09747789654</v>
      </c>
    </row>
    <row r="10475" customFormat="false" ht="17.15" hidden="false" customHeight="false" outlineLevel="0" collapsed="false">
      <c r="A10475" s="0" t="s">
        <v>1026</v>
      </c>
      <c r="B10475" s="1" t="s">
        <v>610</v>
      </c>
      <c r="C10475" s="30" t="n">
        <f aca="false">cop_s24</f>
        <v>1</v>
      </c>
      <c r="D10475" s="30" t="n">
        <f aca="false">cop_s25</f>
        <v>5</v>
      </c>
      <c r="E10475" s="30" t="n">
        <f aca="false">cop_s26</f>
        <v>30</v>
      </c>
      <c r="F10475" s="30" t="n">
        <f aca="false">Sens!E10475+cop_add_B</f>
        <v>50</v>
      </c>
      <c r="G10475" s="30" t="n">
        <f aca="false">Sens!F10475+cop_add_B</f>
        <v>70</v>
      </c>
      <c r="H10475" s="30" t="n">
        <f aca="false">Sens!G10475+cop_add_B</f>
        <v>90</v>
      </c>
      <c r="I10475" s="30" t="n">
        <f aca="false">Sens!H10475+cop_add_B*cop_tail</f>
        <v>100</v>
      </c>
      <c r="J10475" s="30" t="n">
        <f aca="false">Sens!I10475+cop_add_B*cop_tail</f>
        <v>110</v>
      </c>
      <c r="K10475" s="30" t="n">
        <f aca="false">Sens!J10475+cop_add_B*cop_tail</f>
        <v>120</v>
      </c>
      <c r="L10475" s="12" t="s">
        <v>1027</v>
      </c>
    </row>
    <row r="10476" customFormat="false" ht="17.15" hidden="false" customHeight="false" outlineLevel="0" collapsed="false">
      <c r="A10476" s="0" t="s">
        <v>1028</v>
      </c>
      <c r="B10476" s="0" t="s">
        <v>98</v>
      </c>
      <c r="D10476" s="6" t="n">
        <f aca="false">(Sens!C10475+Sens!D10475)/2*cop_px*12/1000</f>
        <v>0.9</v>
      </c>
      <c r="E10476" s="6" t="n">
        <f aca="false">(Sens!D10475+Sens!E10475)/2*cop_px*12/1000</f>
        <v>5.25</v>
      </c>
      <c r="F10476" s="6" t="n">
        <f aca="false">(Sens!E10475+Sens!F10475)/2*cop_px*12/1000</f>
        <v>12</v>
      </c>
      <c r="G10476" s="6" t="n">
        <f aca="false">(Sens!F10475+Sens!G10475)/2*cop_px*12/1000</f>
        <v>18</v>
      </c>
      <c r="H10476" s="6" t="n">
        <f aca="false">(Sens!G10475+Sens!H10475)/2*cop_px*12/1000</f>
        <v>24</v>
      </c>
      <c r="I10476" s="6" t="n">
        <f aca="false">(Sens!H10475+Sens!I10475)/2*cop_px*12/1000</f>
        <v>28.5</v>
      </c>
      <c r="J10476" s="6" t="n">
        <f aca="false">(Sens!I10475+Sens!J10475)/2*cop_px*12/1000</f>
        <v>31.5</v>
      </c>
      <c r="K10476" s="6" t="n">
        <f aca="false">(Sens!J10475+Sens!K10475)/2*cop_px*12/1000</f>
        <v>34.5</v>
      </c>
      <c r="L10476" s="1" t="s">
        <v>1029</v>
      </c>
    </row>
    <row r="10477" customFormat="false" ht="17.15" hidden="false" customHeight="false" outlineLevel="0" collapsed="false">
      <c r="A10477" s="0" t="s">
        <v>1030</v>
      </c>
      <c r="B10477" s="0" t="s">
        <v>98</v>
      </c>
      <c r="D10477" s="6" t="n">
        <f aca="false">Q!L7-Sens!D10476</f>
        <v>83.705</v>
      </c>
      <c r="E10477" s="6" t="n">
        <f aca="false">Q!M7-Sens!E10476</f>
        <v>95.049</v>
      </c>
      <c r="F10477" s="6" t="n">
        <f aca="false">Q!$I$7+(Sens!E10477*(1+Sens!F10478)+Sens!F10476)*(1-Q!$E$7/Q!M7)-Sens!F10476</f>
        <v>106.584003697747</v>
      </c>
      <c r="G10477" s="6" t="n">
        <f aca="false">Sens!F10477*(1+Sens!G10478)</f>
        <v>118.700726545688</v>
      </c>
      <c r="H10477" s="6" t="n">
        <f aca="false">Sens!G10477*(1+Sens!H10478)</f>
        <v>130.898624783666</v>
      </c>
      <c r="I10477" s="6" t="n">
        <f aca="false">Sens!H10477*(1+Sens!I10478)</f>
        <v>142.920510030657</v>
      </c>
      <c r="J10477" s="6" t="n">
        <f aca="false">Sens!I10477*(1+Sens!J10478)</f>
        <v>154.485722618572</v>
      </c>
      <c r="K10477" s="6" t="n">
        <f aca="false">Sens!J10477*(1+Sens!K10478)</f>
        <v>165.299723201872</v>
      </c>
      <c r="L10477" s="12" t="s">
        <v>1031</v>
      </c>
    </row>
    <row r="10478" customFormat="false" ht="15" hidden="false" customHeight="false" outlineLevel="0" collapsed="false">
      <c r="A10478" s="1" t="s">
        <v>1024</v>
      </c>
      <c r="B10478" s="0" t="s">
        <v>168</v>
      </c>
      <c r="E10478" s="7" t="n">
        <f aca="false">Sens!E10477/Sens!D10477-1</f>
        <v>0.135523564900544</v>
      </c>
      <c r="F10478" s="7" t="n">
        <f aca="false">Sens!$E$10478+(glt_m365b-Sens!$E$10478)*MIN(1,(Sens!F10430-base_fy)/n_conv)</f>
        <v>0.124602970750453</v>
      </c>
      <c r="G10478" s="7" t="n">
        <f aca="false">Sens!$E$10478+(glt_m365b-Sens!$E$10478)*MIN(1,(Sens!G10430-base_fy)/n_conv)</f>
        <v>0.113682376600363</v>
      </c>
      <c r="H10478" s="7" t="n">
        <f aca="false">Sens!$E$10478+(glt_m365b-Sens!$E$10478)*MIN(1,(Sens!H10430-base_fy)/n_conv)</f>
        <v>0.102761782450272</v>
      </c>
      <c r="I10478" s="7" t="n">
        <f aca="false">Sens!$E$10478+(glt_m365b-Sens!$E$10478)*MIN(1,(Sens!I10430-base_fy)/n_conv)</f>
        <v>0.0918411883001813</v>
      </c>
      <c r="J10478" s="7" t="n">
        <f aca="false">Sens!$E$10478+(glt_m365b-Sens!$E$10478)*MIN(1,(Sens!J10430-base_fy)/n_conv)</f>
        <v>0.0809205941500906</v>
      </c>
      <c r="K10478" s="7" t="n">
        <f aca="false">Sens!$E$10478+(glt_m365b-Sens!$E$10478)*MIN(1,(Sens!K10430-base_fy)/n_conv)</f>
        <v>0.07</v>
      </c>
    </row>
    <row r="10479" customFormat="false" ht="15" hidden="false" customHeight="false" outlineLevel="0" collapsed="false">
      <c r="A10479" s="0" t="s">
        <v>1032</v>
      </c>
      <c r="B10479" s="0" t="s">
        <v>98</v>
      </c>
      <c r="D10479" s="6" t="n">
        <f aca="false">Sens!D10477+Sens!D10476</f>
        <v>84.605</v>
      </c>
      <c r="E10479" s="6" t="n">
        <f aca="false">Sens!E10477+Sens!E10476</f>
        <v>100.299</v>
      </c>
      <c r="F10479" s="6" t="n">
        <f aca="false">Sens!F10477+Sens!F10476</f>
        <v>118.584003697747</v>
      </c>
      <c r="G10479" s="6" t="n">
        <f aca="false">Sens!G10477+Sens!G10476</f>
        <v>136.700726545688</v>
      </c>
      <c r="H10479" s="6" t="n">
        <f aca="false">Sens!H10477+Sens!H10476</f>
        <v>154.898624783666</v>
      </c>
      <c r="I10479" s="6" t="n">
        <f aca="false">Sens!I10477+Sens!I10476</f>
        <v>171.420510030657</v>
      </c>
      <c r="J10479" s="6" t="n">
        <f aca="false">Sens!J10477+Sens!J10476</f>
        <v>185.985722618572</v>
      </c>
      <c r="K10479" s="6" t="n">
        <f aca="false">Sens!K10477+Sens!K10476</f>
        <v>199.799723201872</v>
      </c>
    </row>
    <row r="10480" customFormat="false" ht="17.15" hidden="false" customHeight="false" outlineLevel="0" collapsed="false">
      <c r="A10480" s="0" t="s">
        <v>1033</v>
      </c>
      <c r="B10480" s="0" t="s">
        <v>98</v>
      </c>
      <c r="D10480" s="6" t="n">
        <f aca="false">Q!L8</f>
        <v>35.391</v>
      </c>
      <c r="E10480" s="6" t="n">
        <f aca="false">Q!M8</f>
        <v>37.285</v>
      </c>
      <c r="F10480" s="6" t="n">
        <f aca="false">Q!$I$8+(Q!M8-Q!$E$8)*(1+Sens!F10481)</f>
        <v>38.3851437782675</v>
      </c>
      <c r="G10480" s="6" t="n">
        <f aca="false">Sens!F10480*(1+Sens!G10481)</f>
        <v>40.0105353288615</v>
      </c>
      <c r="H10480" s="6" t="n">
        <f aca="false">Sens!G10480*(1+Sens!H10481)</f>
        <v>41.4812512033683</v>
      </c>
      <c r="I10480" s="6" t="n">
        <f aca="false">Sens!H10480*(1+Sens!I10481)</f>
        <v>42.7743107216329</v>
      </c>
      <c r="J10480" s="6" t="n">
        <f aca="false">Sens!I10480*(1+Sens!J10481)</f>
        <v>43.8687373064601</v>
      </c>
      <c r="K10480" s="6" t="n">
        <f aca="false">Sens!J10480*(1+Sens!K10481)</f>
        <v>44.7461120525893</v>
      </c>
      <c r="L10480" s="12" t="s">
        <v>1034</v>
      </c>
    </row>
    <row r="10481" customFormat="false" ht="15" hidden="false" customHeight="false" outlineLevel="0" collapsed="false">
      <c r="A10481" s="1" t="s">
        <v>1024</v>
      </c>
      <c r="B10481" s="0" t="s">
        <v>168</v>
      </c>
      <c r="E10481" s="7" t="n">
        <f aca="false">Sens!E10480/Sens!D10480-1</f>
        <v>0.0535164307309768</v>
      </c>
      <c r="F10481" s="7" t="n">
        <f aca="false">Sens!$E$10481+(glt_lic-Sens!$E$10481)*MIN(1,(Sens!F10430-base_fy)/n_conv)</f>
        <v>0.0479303589424807</v>
      </c>
      <c r="G10481" s="7" t="n">
        <f aca="false">Sens!$E$10481+(glt_lic-Sens!$E$10481)*MIN(1,(Sens!G10430-base_fy)/n_conv)</f>
        <v>0.0423442871539845</v>
      </c>
      <c r="H10481" s="7" t="n">
        <f aca="false">Sens!$E$10481+(glt_lic-Sens!$E$10481)*MIN(1,(Sens!H10430-base_fy)/n_conv)</f>
        <v>0.0367582153654884</v>
      </c>
      <c r="I10481" s="7" t="n">
        <f aca="false">Sens!$E$10481+(glt_lic-Sens!$E$10481)*MIN(1,(Sens!I10430-base_fy)/n_conv)</f>
        <v>0.0311721435769923</v>
      </c>
      <c r="J10481" s="7" t="n">
        <f aca="false">Sens!$E$10481+(glt_lic-Sens!$E$10481)*MIN(1,(Sens!J10430-base_fy)/n_conv)</f>
        <v>0.0255860717884961</v>
      </c>
      <c r="K10481" s="7" t="n">
        <f aca="false">Sens!$E$10481+(glt_lic-Sens!$E$10481)*MIN(1,(Sens!K10430-base_fy)/n_conv)</f>
        <v>0.02</v>
      </c>
    </row>
    <row r="10482" customFormat="false" ht="17.15" hidden="false" customHeight="false" outlineLevel="0" collapsed="false">
      <c r="A10482" s="0" t="s">
        <v>1035</v>
      </c>
      <c r="B10482" s="0" t="s">
        <v>98</v>
      </c>
      <c r="D10482" s="6" t="n">
        <f aca="false">Q!L9</f>
        <v>18.417</v>
      </c>
      <c r="E10482" s="6" t="n">
        <f aca="false">Q!M9</f>
        <v>20.345</v>
      </c>
      <c r="F10482" s="6" t="n">
        <f aca="false">Q!$I$9+(Q!M9-Q!$E$9)*(1+Sens!F10483)</f>
        <v>22.3161797133988</v>
      </c>
      <c r="G10482" s="6" t="n">
        <f aca="false">Sens!F10482*(1+Sens!G10483)</f>
        <v>24.3943499673233</v>
      </c>
      <c r="H10482" s="6" t="n">
        <f aca="false">Sens!G10482*(1+Sens!H10483)</f>
        <v>26.5250243109019</v>
      </c>
      <c r="I10482" s="6" t="n">
        <f aca="false">Sens!H10482*(1+Sens!I10483)</f>
        <v>28.6884573538181</v>
      </c>
      <c r="J10482" s="6" t="n">
        <f aca="false">Sens!I10482*(1+Sens!J10483)</f>
        <v>30.8624968052127</v>
      </c>
      <c r="K10482" s="6" t="n">
        <f aca="false">Sens!J10482*(1+Sens!K10483)</f>
        <v>33.0228715815776</v>
      </c>
      <c r="L10482" s="12" t="s">
        <v>1034</v>
      </c>
    </row>
    <row r="10483" customFormat="false" ht="15" hidden="false" customHeight="false" outlineLevel="0" collapsed="false">
      <c r="A10483" s="1" t="s">
        <v>1024</v>
      </c>
      <c r="B10483" s="0" t="s">
        <v>168</v>
      </c>
      <c r="E10483" s="7" t="n">
        <f aca="false">Sens!E10482/Sens!D10482-1</f>
        <v>0.104685888038225</v>
      </c>
      <c r="F10483" s="7" t="n">
        <f aca="false">Sens!$E$10483+(glt_ind-Sens!$E$10483)*MIN(1,(Sens!F10430-base_fy)/n_conv)</f>
        <v>0.0989049066985211</v>
      </c>
      <c r="G10483" s="7" t="n">
        <f aca="false">Sens!$E$10483+(glt_ind-Sens!$E$10483)*MIN(1,(Sens!G10430-base_fy)/n_conv)</f>
        <v>0.0931239253588169</v>
      </c>
      <c r="H10483" s="7" t="n">
        <f aca="false">Sens!$E$10483+(glt_ind-Sens!$E$10483)*MIN(1,(Sens!H10430-base_fy)/n_conv)</f>
        <v>0.0873429440191127</v>
      </c>
      <c r="I10483" s="7" t="n">
        <f aca="false">Sens!$E$10483+(glt_ind-Sens!$E$10483)*MIN(1,(Sens!I10430-base_fy)/n_conv)</f>
        <v>0.0815619626794085</v>
      </c>
      <c r="J10483" s="7" t="n">
        <f aca="false">Sens!$E$10483+(glt_ind-Sens!$E$10483)*MIN(1,(Sens!J10430-base_fy)/n_conv)</f>
        <v>0.0757809813397042</v>
      </c>
      <c r="K10483" s="7" t="n">
        <f aca="false">Sens!$E$10483+(glt_ind-Sens!$E$10483)*MIN(1,(Sens!K10430-base_fy)/n_conv)</f>
        <v>0.07</v>
      </c>
    </row>
    <row r="10484" customFormat="false" ht="17.15" hidden="false" customHeight="false" outlineLevel="0" collapsed="false">
      <c r="A10484" s="0" t="s">
        <v>1036</v>
      </c>
      <c r="B10484" s="0" t="s">
        <v>98</v>
      </c>
      <c r="D10484" s="6" t="n">
        <f aca="false">Q!L10</f>
        <v>7.76</v>
      </c>
      <c r="E10484" s="6" t="n">
        <f aca="false">Q!M10</f>
        <v>8.26</v>
      </c>
      <c r="F10484" s="6" t="n">
        <f aca="false">Q!$I$10+(Q!M10-Q!$E$10)*(1+Sens!F10485)</f>
        <v>8.75372082474227</v>
      </c>
      <c r="G10484" s="6" t="n">
        <f aca="false">Sens!F10484*(1+Sens!G10485)</f>
        <v>9.33399324642364</v>
      </c>
      <c r="H10484" s="6" t="n">
        <f aca="false">Sens!G10484*(1+Sens!H10485)</f>
        <v>9.96139155535851</v>
      </c>
      <c r="I10484" s="6" t="n">
        <f aca="false">Sens!H10484*(1+Sens!I10485)</f>
        <v>10.6402039077391</v>
      </c>
      <c r="J10484" s="6" t="n">
        <f aca="false">Sens!I10484*(1+Sens!J10485)</f>
        <v>11.3751458271397</v>
      </c>
      <c r="K10484" s="6" t="n">
        <f aca="false">Sens!J10484*(1+Sens!K10485)</f>
        <v>12.1714060350394</v>
      </c>
      <c r="L10484" s="12" t="s">
        <v>1034</v>
      </c>
    </row>
    <row r="10485" customFormat="false" ht="15" hidden="false" customHeight="false" outlineLevel="0" collapsed="false">
      <c r="A10485" s="1" t="s">
        <v>1024</v>
      </c>
      <c r="B10485" s="0" t="s">
        <v>168</v>
      </c>
      <c r="E10485" s="7" t="n">
        <f aca="false">Sens!E10484/Sens!D10484-1</f>
        <v>0.0644329896907216</v>
      </c>
      <c r="F10485" s="7" t="n">
        <f aca="false">Sens!$E$10485+(glt_fro-Sens!$E$10485)*MIN(1,(Sens!F10430-base_fy)/n_conv)</f>
        <v>0.065360824742268</v>
      </c>
      <c r="G10485" s="7" t="n">
        <f aca="false">Sens!$E$10485+(glt_fro-Sens!$E$10485)*MIN(1,(Sens!G10430-base_fy)/n_conv)</f>
        <v>0.0662886597938144</v>
      </c>
      <c r="H10485" s="7" t="n">
        <f aca="false">Sens!$E$10485+(glt_fro-Sens!$E$10485)*MIN(1,(Sens!H10430-base_fy)/n_conv)</f>
        <v>0.0672164948453608</v>
      </c>
      <c r="I10485" s="7" t="n">
        <f aca="false">Sens!$E$10485+(glt_fro-Sens!$E$10485)*MIN(1,(Sens!I10430-base_fy)/n_conv)</f>
        <v>0.0681443298969072</v>
      </c>
      <c r="J10485" s="7" t="n">
        <f aca="false">Sens!$E$10485+(glt_fro-Sens!$E$10485)*MIN(1,(Sens!J10430-base_fy)/n_conv)</f>
        <v>0.0690721649484536</v>
      </c>
      <c r="K10485" s="7" t="n">
        <f aca="false">Sens!$E$10485+(glt_fro-Sens!$E$10485)*MIN(1,(Sens!K10430-base_fy)/n_conv)</f>
        <v>0.07</v>
      </c>
    </row>
    <row r="10486" customFormat="false" ht="15" hidden="false" customHeight="false" outlineLevel="0" collapsed="false">
      <c r="A10486" s="0" t="s">
        <v>852</v>
      </c>
      <c r="B10486" s="0" t="s">
        <v>98</v>
      </c>
      <c r="D10486" s="6" t="n">
        <f aca="false">Sens!D10474+Sens!D10479+Sens!D10480+Sens!D10482+Sens!D10484</f>
        <v>218.783</v>
      </c>
      <c r="E10486" s="6" t="n">
        <f aca="false">Sens!E10474+Sens!E10479+Sens!E10480+Sens!E10482+Sens!E10484</f>
        <v>268.127</v>
      </c>
      <c r="F10486" s="6" t="n">
        <f aca="false">Sens!F10474+Sens!F10479+Sens!F10480+Sens!F10482+Sens!F10484</f>
        <v>334.748096014336</v>
      </c>
      <c r="G10486" s="6" t="n">
        <f aca="false">Sens!G10474+Sens!G10479+Sens!G10480+Sens!G10482+Sens!G10484</f>
        <v>410.20243494969</v>
      </c>
      <c r="H10486" s="6" t="n">
        <f aca="false">Sens!H10474+Sens!H10479+Sens!H10480+Sens!H10482+Sens!H10484</f>
        <v>487.012857962939</v>
      </c>
      <c r="I10486" s="6" t="n">
        <f aca="false">Sens!I10474+Sens!I10479+Sens!I10480+Sens!I10482+Sens!I10484</f>
        <v>556.962928978464</v>
      </c>
      <c r="J10486" s="6" t="n">
        <f aca="false">Sens!J10474+Sens!J10479+Sens!J10480+Sens!J10482+Sens!J10484</f>
        <v>613.402001017124</v>
      </c>
      <c r="K10486" s="6" t="n">
        <f aca="false">Sens!K10474+Sens!K10479+Sens!K10480+Sens!K10482+Sens!K10484</f>
        <v>657.837590767618</v>
      </c>
    </row>
    <row r="10487" customFormat="false" ht="17.15" hidden="false" customHeight="false" outlineLevel="0" collapsed="false">
      <c r="A10487" s="0" t="s">
        <v>1037</v>
      </c>
      <c r="B10487" s="0" t="s">
        <v>98</v>
      </c>
      <c r="D10487" s="6" t="n">
        <f aca="false">Q!L13</f>
        <v>22.171</v>
      </c>
      <c r="E10487" s="6" t="n">
        <f aca="false">Q!M13</f>
        <v>24.835</v>
      </c>
      <c r="F10487" s="6" t="n">
        <f aca="false">Q!$I$13+(Q!M13-Q!$E$13)*(1+Sens!F10488)</f>
        <v>27.4647245660247</v>
      </c>
      <c r="G10487" s="6" t="n">
        <f aca="false">Sens!F10487*(1+Sens!G10488)</f>
        <v>30.0309728005339</v>
      </c>
      <c r="H10487" s="6" t="n">
        <f aca="false">Sens!G10487*(1+Sens!H10488)</f>
        <v>32.435807482304</v>
      </c>
      <c r="I10487" s="6" t="n">
        <f aca="false">Sens!H10487*(1+Sens!I10488)</f>
        <v>34.5998917086668</v>
      </c>
      <c r="J10487" s="6" t="n">
        <f aca="false">Sens!I10487*(1+Sens!J10488)</f>
        <v>36.4461244099918</v>
      </c>
      <c r="K10487" s="6" t="n">
        <f aca="false">Sens!J10487*(1+Sens!K10488)</f>
        <v>37.9039693863915</v>
      </c>
      <c r="L10487" s="12" t="s">
        <v>1034</v>
      </c>
    </row>
    <row r="10488" customFormat="false" ht="15" hidden="false" customHeight="false" outlineLevel="0" collapsed="false">
      <c r="A10488" s="1" t="s">
        <v>1024</v>
      </c>
      <c r="B10488" s="0" t="s">
        <v>168</v>
      </c>
      <c r="E10488" s="7" t="n">
        <f aca="false">Sens!E10487/Sens!D10487-1</f>
        <v>0.120156961796942</v>
      </c>
      <c r="F10488" s="7" t="n">
        <f aca="false">Sens!$E$10488+(glt_srch_lo-Sens!$E$10488)*MIN(1,(Sens!F10430-base_fy)/n_conv)</f>
        <v>0.106797468164118</v>
      </c>
      <c r="G10488" s="7" t="n">
        <f aca="false">Sens!$E$10488+(glt_srch_lo-Sens!$E$10488)*MIN(1,(Sens!G10430-base_fy)/n_conv)</f>
        <v>0.0934379745312947</v>
      </c>
      <c r="H10488" s="7" t="n">
        <f aca="false">Sens!$E$10488+(glt_srch_lo-Sens!$E$10488)*MIN(1,(Sens!H10430-base_fy)/n_conv)</f>
        <v>0.080078480898471</v>
      </c>
      <c r="I10488" s="7" t="n">
        <f aca="false">Sens!$E$10488+(glt_srch_lo-Sens!$E$10488)*MIN(1,(Sens!I10430-base_fy)/n_conv)</f>
        <v>0.0667189872656473</v>
      </c>
      <c r="J10488" s="7" t="n">
        <f aca="false">Sens!$E$10488+(glt_srch_lo-Sens!$E$10488)*MIN(1,(Sens!J10430-base_fy)/n_conv)</f>
        <v>0.0533594936328237</v>
      </c>
      <c r="K10488" s="7" t="n">
        <f aca="false">Sens!$E$10488+(glt_srch_lo-Sens!$E$10488)*MIN(1,(Sens!K10430-base_fy)/n_conv)</f>
        <v>0.04</v>
      </c>
    </row>
    <row r="10489" customFormat="false" ht="17.15" hidden="false" customHeight="false" outlineLevel="0" collapsed="false">
      <c r="A10489" s="0" t="s">
        <v>1038</v>
      </c>
      <c r="B10489" s="0" t="s">
        <v>98</v>
      </c>
      <c r="D10489" s="6" t="n">
        <f aca="false">Q!L14</f>
        <v>23.455</v>
      </c>
      <c r="E10489" s="6" t="n">
        <f aca="false">Q!M14</f>
        <v>21.79</v>
      </c>
      <c r="F10489" s="6" t="n">
        <f aca="false">Q!$I$14+(Q!M14-Q!$E$14)*(1+Sens!F10490)</f>
        <v>20.7520981041711</v>
      </c>
      <c r="G10489" s="6" t="n">
        <f aca="false">Sens!F10489*(1+Sens!G10490)</f>
        <v>19.9083593495882</v>
      </c>
      <c r="H10489" s="6" t="n">
        <f aca="false">Sens!G10489*(1+Sens!H10490)</f>
        <v>19.4008256265831</v>
      </c>
      <c r="I10489" s="6" t="n">
        <f aca="false">Sens!H10489*(1+Sens!I10490)</f>
        <v>19.200434522122</v>
      </c>
      <c r="J10489" s="6" t="n">
        <f aca="false">Sens!I10489*(1+Sens!J10490)</f>
        <v>19.2932782348507</v>
      </c>
      <c r="K10489" s="6" t="n">
        <f aca="false">Sens!J10489*(1+Sens!K10490)</f>
        <v>19.6791437995477</v>
      </c>
      <c r="L10489" s="12" t="s">
        <v>1034</v>
      </c>
    </row>
    <row r="10490" customFormat="false" ht="15" hidden="false" customHeight="false" outlineLevel="0" collapsed="false">
      <c r="A10490" s="1" t="s">
        <v>1024</v>
      </c>
      <c r="B10490" s="0" t="s">
        <v>168</v>
      </c>
      <c r="E10490" s="7" t="n">
        <f aca="false">Sens!E10489/Sens!D10489-1</f>
        <v>-0.0709869963760392</v>
      </c>
      <c r="F10490" s="7" t="n">
        <f aca="false">Sens!$E$10490+(glt_xbox-Sens!$E$10490)*MIN(1,(Sens!F10430-base_fy)/n_conv)</f>
        <v>-0.0558224969800327</v>
      </c>
      <c r="G10490" s="7" t="n">
        <f aca="false">Sens!$E$10490+(glt_xbox-Sens!$E$10490)*MIN(1,(Sens!G10430-base_fy)/n_conv)</f>
        <v>-0.0406579975840262</v>
      </c>
      <c r="H10490" s="7" t="n">
        <f aca="false">Sens!$E$10490+(glt_xbox-Sens!$E$10490)*MIN(1,(Sens!H10430-base_fy)/n_conv)</f>
        <v>-0.0254934981880196</v>
      </c>
      <c r="I10490" s="7" t="n">
        <f aca="false">Sens!$E$10490+(glt_xbox-Sens!$E$10490)*MIN(1,(Sens!I10430-base_fy)/n_conv)</f>
        <v>-0.0103289987920131</v>
      </c>
      <c r="J10490" s="7" t="n">
        <f aca="false">Sens!$E$10490+(glt_xbox-Sens!$E$10490)*MIN(1,(Sens!J10430-base_fy)/n_conv)</f>
        <v>0.00483550060399347</v>
      </c>
      <c r="K10490" s="7" t="n">
        <f aca="false">Sens!$E$10490+(glt_xbox-Sens!$E$10490)*MIN(1,(Sens!K10430-base_fy)/n_conv)</f>
        <v>0.02</v>
      </c>
    </row>
    <row r="10491" customFormat="false" ht="17.15" hidden="false" customHeight="false" outlineLevel="0" collapsed="false">
      <c r="A10491" s="0" t="s">
        <v>1039</v>
      </c>
      <c r="B10491" s="0" t="s">
        <v>98</v>
      </c>
      <c r="D10491" s="6" t="n">
        <f aca="false">Q!L15</f>
        <v>17.315</v>
      </c>
      <c r="E10491" s="6" t="n">
        <f aca="false">Q!M15</f>
        <v>17.087</v>
      </c>
      <c r="F10491" s="6" t="n">
        <f aca="false">Q!$I$15+(Q!M15-Q!$E$15)*(1+Sens!F10492)</f>
        <v>15.9912273250553</v>
      </c>
      <c r="G10491" s="6" t="n">
        <f aca="false">Sens!F10491*(1+Sens!G10492)</f>
        <v>15.9574562664827</v>
      </c>
      <c r="H10491" s="6" t="n">
        <f aca="false">Sens!G10491*(1+Sens!H10492)</f>
        <v>16.0119687434196</v>
      </c>
      <c r="I10491" s="6" t="n">
        <f aca="false">Sens!H10491*(1+Sens!I10492)</f>
        <v>16.1551810001948</v>
      </c>
      <c r="J10491" s="6" t="n">
        <f aca="false">Sens!I10491*(1+Sens!J10492)</f>
        <v>16.3889793892005</v>
      </c>
      <c r="K10491" s="6" t="n">
        <f aca="false">Sens!J10491*(1+Sens!K10492)</f>
        <v>16.7167589769845</v>
      </c>
      <c r="L10491" s="12" t="s">
        <v>1034</v>
      </c>
    </row>
    <row r="10492" customFormat="false" ht="15" hidden="false" customHeight="false" outlineLevel="0" collapsed="false">
      <c r="A10492" s="1" t="s">
        <v>1024</v>
      </c>
      <c r="B10492" s="0" t="s">
        <v>168</v>
      </c>
      <c r="E10492" s="7" t="n">
        <f aca="false">Sens!E10491/Sens!D10491-1</f>
        <v>-0.0131677736066995</v>
      </c>
      <c r="F10492" s="7" t="n">
        <f aca="false">Sens!$E$10492+(glt_win-Sens!$E$10492)*MIN(1,(Sens!F10430-base_fy)/n_conv)</f>
        <v>-0.00763981133891627</v>
      </c>
      <c r="G10492" s="7" t="n">
        <f aca="false">Sens!$E$10492+(glt_win-Sens!$E$10492)*MIN(1,(Sens!G10430-base_fy)/n_conv)</f>
        <v>-0.00211184907113301</v>
      </c>
      <c r="H10492" s="7" t="n">
        <f aca="false">Sens!$E$10492+(glt_win-Sens!$E$10492)*MIN(1,(Sens!H10430-base_fy)/n_conv)</f>
        <v>0.00341611319665024</v>
      </c>
      <c r="I10492" s="7" t="n">
        <f aca="false">Sens!$E$10492+(glt_win-Sens!$E$10492)*MIN(1,(Sens!I10430-base_fy)/n_conv)</f>
        <v>0.00894407546443349</v>
      </c>
      <c r="J10492" s="7" t="n">
        <f aca="false">Sens!$E$10492+(glt_win-Sens!$E$10492)*MIN(1,(Sens!J10430-base_fy)/n_conv)</f>
        <v>0.0144720377322168</v>
      </c>
      <c r="K10492" s="7" t="n">
        <f aca="false">Sens!$E$10492+(glt_win-Sens!$E$10492)*MIN(1,(Sens!K10430-base_fy)/n_conv)</f>
        <v>0.02</v>
      </c>
    </row>
    <row r="10493" customFormat="false" ht="15" hidden="false" customHeight="false" outlineLevel="0" collapsed="false">
      <c r="A10493" s="0" t="s">
        <v>866</v>
      </c>
      <c r="B10493" s="0" t="s">
        <v>98</v>
      </c>
      <c r="D10493" s="6" t="n">
        <f aca="false">Sens!D10487+Sens!D10489+Sens!D10491</f>
        <v>62.941</v>
      </c>
      <c r="E10493" s="6" t="n">
        <f aca="false">Sens!E10487+Sens!E10489+Sens!E10491</f>
        <v>63.712</v>
      </c>
      <c r="F10493" s="6" t="n">
        <f aca="false">Sens!F10487+Sens!F10489+Sens!F10491</f>
        <v>64.2080499952511</v>
      </c>
      <c r="G10493" s="6" t="n">
        <f aca="false">Sens!G10487+Sens!G10489+Sens!G10491</f>
        <v>65.8967884166048</v>
      </c>
      <c r="H10493" s="6" t="n">
        <f aca="false">Sens!H10487+Sens!H10489+Sens!H10491</f>
        <v>67.8486018523066</v>
      </c>
      <c r="I10493" s="6" t="n">
        <f aca="false">Sens!I10487+Sens!I10489+Sens!I10491</f>
        <v>69.9555072309837</v>
      </c>
      <c r="J10493" s="6" t="n">
        <f aca="false">Sens!J10487+Sens!J10489+Sens!J10491</f>
        <v>72.128382034043</v>
      </c>
      <c r="K10493" s="6" t="n">
        <f aca="false">Sens!K10487+Sens!K10489+Sens!K10491</f>
        <v>74.2998721629237</v>
      </c>
    </row>
    <row r="10494" customFormat="false" ht="15" hidden="false" customHeight="false" outlineLevel="0" collapsed="false">
      <c r="A10494" s="1" t="s">
        <v>1040</v>
      </c>
      <c r="B10494" s="0" t="s">
        <v>98</v>
      </c>
      <c r="D10494" s="6" t="n">
        <f aca="false">Sens!D10486+Sens!D10493</f>
        <v>281.724</v>
      </c>
      <c r="E10494" s="6" t="n">
        <f aca="false">Sens!E10486+Sens!E10493</f>
        <v>331.839</v>
      </c>
      <c r="F10494" s="6" t="n">
        <f aca="false">Sens!F10486+Sens!F10493</f>
        <v>398.956146009588</v>
      </c>
      <c r="G10494" s="6" t="n">
        <f aca="false">Sens!G10486+Sens!G10493</f>
        <v>476.099223366295</v>
      </c>
      <c r="H10494" s="6" t="n">
        <f aca="false">Sens!H10486+Sens!H10493</f>
        <v>554.861459815246</v>
      </c>
      <c r="I10494" s="6" t="n">
        <f aca="false">Sens!I10486+Sens!I10493</f>
        <v>626.918436209448</v>
      </c>
      <c r="J10494" s="6" t="n">
        <f aca="false">Sens!J10486+Sens!J10493</f>
        <v>685.530383051167</v>
      </c>
      <c r="K10494" s="6" t="n">
        <f aca="false">Sens!K10486+Sens!K10493</f>
        <v>732.137462930542</v>
      </c>
    </row>
    <row r="10495" customFormat="false" ht="15" hidden="false" customHeight="false" outlineLevel="0" collapsed="false">
      <c r="A10495" s="26" t="s">
        <v>1041</v>
      </c>
      <c r="B10495" s="31" t="s">
        <v>98</v>
      </c>
      <c r="C10495" s="31"/>
      <c r="D10495" s="27" t="n">
        <f aca="false">(Sens!D10474+Sens!D10479+Sens!D10480+Sens!D10482+Sens!D10484-Sens!D10486)+(Sens!D10487+Sens!D10489+Sens!D10491-Sens!D10493)+(Sens!D10486-Q!L5)+(Sens!D10493-Q!L12)+(Sens!D10474-Q!L6)+(Sens!D10479-Q!L7)</f>
        <v>0</v>
      </c>
      <c r="E10495" s="27" t="n">
        <f aca="false">(Sens!E10474+Sens!E10479+Sens!E10480+Sens!E10482+Sens!E10484-Sens!E10486)+(Sens!E10487+Sens!E10489+Sens!E10491-Sens!E10493)+(Sens!E10486-Q!M5)+(Sens!E10493-Q!M12)+(Sens!E10474-Q!M6)+(Sens!E10479-Q!M7)</f>
        <v>0</v>
      </c>
      <c r="F10495" s="27" t="n">
        <f aca="false">(Sens!F10474+Sens!F10479+Sens!F10480+Sens!F10482+Sens!F10484-Sens!F10486)+(Sens!F10487+Sens!F10489+Sens!F10491-Sens!F10493)</f>
        <v>0</v>
      </c>
      <c r="G10495" s="27" t="n">
        <f aca="false">(Sens!G10474+Sens!G10479+Sens!G10480+Sens!G10482+Sens!G10484-Sens!G10486)+(Sens!G10487+Sens!G10489+Sens!G10491-Sens!G10493)</f>
        <v>0</v>
      </c>
      <c r="H10495" s="27" t="n">
        <f aca="false">(Sens!H10474+Sens!H10479+Sens!H10480+Sens!H10482+Sens!H10484-Sens!H10486)+(Sens!H10487+Sens!H10489+Sens!H10491-Sens!H10493)</f>
        <v>0</v>
      </c>
      <c r="I10495" s="27" t="n">
        <f aca="false">(Sens!I10474+Sens!I10479+Sens!I10480+Sens!I10482+Sens!I10484-Sens!I10486)+(Sens!I10487+Sens!I10489+Sens!I10491-Sens!I10493)</f>
        <v>0</v>
      </c>
      <c r="J10495" s="27" t="n">
        <f aca="false">(Sens!J10474+Sens!J10479+Sens!J10480+Sens!J10482+Sens!J10484-Sens!J10486)+(Sens!J10487+Sens!J10489+Sens!J10491-Sens!J10493)</f>
        <v>0</v>
      </c>
      <c r="K10495" s="27" t="n">
        <f aca="false">(Sens!K10474+Sens!K10479+Sens!K10480+Sens!K10482+Sens!K10484-Sens!K10486)+(Sens!K10487+Sens!K10489+Sens!K10491-Sens!K10493)</f>
        <v>0</v>
      </c>
    </row>
    <row r="10496" customFormat="false" ht="17.15" hidden="false" customHeight="false" outlineLevel="0" collapsed="false">
      <c r="A10496" s="3" t="s">
        <v>1742</v>
      </c>
    </row>
    <row r="10497" customFormat="false" ht="15" hidden="false" customHeight="false" outlineLevel="0" collapsed="false">
      <c r="A10497" s="4" t="s">
        <v>43</v>
      </c>
      <c r="B10497" s="4" t="s">
        <v>65</v>
      </c>
      <c r="C10497" s="23" t="s">
        <v>938</v>
      </c>
      <c r="D10497" s="23" t="s">
        <v>939</v>
      </c>
      <c r="E10497" s="23" t="s">
        <v>940</v>
      </c>
      <c r="F10497" s="23" t="s">
        <v>941</v>
      </c>
      <c r="G10497" s="23" t="s">
        <v>942</v>
      </c>
      <c r="H10497" s="23" t="s">
        <v>943</v>
      </c>
      <c r="I10497" s="23" t="s">
        <v>944</v>
      </c>
      <c r="J10497" s="23" t="s">
        <v>945</v>
      </c>
      <c r="K10497" s="23" t="s">
        <v>946</v>
      </c>
      <c r="L10497" s="4" t="s">
        <v>47</v>
      </c>
    </row>
    <row r="10498" customFormat="false" ht="15" hidden="false" customHeight="false" outlineLevel="0" collapsed="false">
      <c r="A10498" s="0" t="s">
        <v>1025</v>
      </c>
      <c r="B10498" s="0" t="s">
        <v>98</v>
      </c>
      <c r="D10498" s="6" t="n">
        <f aca="false">Sens!D10474</f>
        <v>72.61</v>
      </c>
      <c r="E10498" s="6" t="n">
        <f aca="false">Sens!E10474</f>
        <v>101.938</v>
      </c>
      <c r="F10498" s="6" t="n">
        <f aca="false">Sens!F10474</f>
        <v>146.709048000181</v>
      </c>
      <c r="G10498" s="6" t="n">
        <f aca="false">Sens!G10474</f>
        <v>199.762829861393</v>
      </c>
      <c r="H10498" s="6" t="n">
        <f aca="false">Sens!H10474</f>
        <v>254.146566109645</v>
      </c>
      <c r="I10498" s="6" t="n">
        <f aca="false">Sens!I10474</f>
        <v>303.439446964617</v>
      </c>
      <c r="J10498" s="6" t="n">
        <f aca="false">Sens!J10474</f>
        <v>341.309898459739</v>
      </c>
      <c r="K10498" s="6" t="n">
        <f aca="false">Sens!K10474</f>
        <v>368.09747789654</v>
      </c>
    </row>
    <row r="10499" customFormat="false" ht="17.15" hidden="false" customHeight="false" outlineLevel="0" collapsed="false">
      <c r="A10499" s="0" t="s">
        <v>1021</v>
      </c>
      <c r="B10499" s="0" t="s">
        <v>98</v>
      </c>
      <c r="D10499" s="6" t="n">
        <f aca="false">Sens!D10471</f>
        <v>12.9359794422418</v>
      </c>
      <c r="E10499" s="6" t="n">
        <f aca="false">Sens!E10471</f>
        <v>27.8095064661409</v>
      </c>
      <c r="F10499" s="6" t="n">
        <f aca="false">Sens!F10471</f>
        <v>55.4118315060966</v>
      </c>
      <c r="G10499" s="6" t="n">
        <f aca="false">Sens!G10471</f>
        <v>91.2881100675143</v>
      </c>
      <c r="H10499" s="6" t="n">
        <f aca="false">Sens!H10471</f>
        <v>128.195273603944</v>
      </c>
      <c r="I10499" s="6" t="n">
        <f aca="false">Sens!I10471</f>
        <v>160.601281810405</v>
      </c>
      <c r="J10499" s="6" t="n">
        <f aca="false">Sens!J10471</f>
        <v>183.182719793589</v>
      </c>
      <c r="K10499" s="6" t="n">
        <f aca="false">Sens!K10471</f>
        <v>197.320124937098</v>
      </c>
    </row>
    <row r="10500" customFormat="false" ht="17.15" hidden="false" customHeight="false" outlineLevel="0" collapsed="false">
      <c r="A10500" s="0" t="s">
        <v>1052</v>
      </c>
      <c r="B10500" s="0" t="s">
        <v>98</v>
      </c>
      <c r="D10500" s="6" t="n">
        <f aca="false">Sens!D10472</f>
        <v>59.6740205577583</v>
      </c>
      <c r="E10500" s="6" t="n">
        <f aca="false">Sens!E10472</f>
        <v>74.1284935338591</v>
      </c>
      <c r="F10500" s="6" t="n">
        <f aca="false">Sens!F10472</f>
        <v>91.2972164940844</v>
      </c>
      <c r="G10500" s="6" t="n">
        <f aca="false">Sens!G10472</f>
        <v>108.474719793879</v>
      </c>
      <c r="H10500" s="6" t="n">
        <f aca="false">Sens!H10472</f>
        <v>125.951292505701</v>
      </c>
      <c r="I10500" s="6" t="n">
        <f aca="false">Sens!I10472</f>
        <v>142.838165154212</v>
      </c>
      <c r="J10500" s="6" t="n">
        <f aca="false">Sens!J10472</f>
        <v>158.12717866615</v>
      </c>
      <c r="K10500" s="6" t="n">
        <f aca="false">Sens!K10472</f>
        <v>170.777352959442</v>
      </c>
    </row>
    <row r="10501" customFormat="false" ht="15" hidden="false" customHeight="false" outlineLevel="0" collapsed="false">
      <c r="A10501" s="0" t="s">
        <v>1032</v>
      </c>
      <c r="B10501" s="0" t="s">
        <v>98</v>
      </c>
      <c r="D10501" s="6" t="n">
        <f aca="false">Sens!D10479</f>
        <v>84.605</v>
      </c>
      <c r="E10501" s="6" t="n">
        <f aca="false">Sens!E10479</f>
        <v>100.299</v>
      </c>
      <c r="F10501" s="6" t="n">
        <f aca="false">Sens!F10479</f>
        <v>118.584003697747</v>
      </c>
      <c r="G10501" s="6" t="n">
        <f aca="false">Sens!G10479</f>
        <v>136.700726545688</v>
      </c>
      <c r="H10501" s="6" t="n">
        <f aca="false">Sens!H10479</f>
        <v>154.898624783666</v>
      </c>
      <c r="I10501" s="6" t="n">
        <f aca="false">Sens!I10479</f>
        <v>171.420510030657</v>
      </c>
      <c r="J10501" s="6" t="n">
        <f aca="false">Sens!J10479</f>
        <v>185.985722618572</v>
      </c>
      <c r="K10501" s="6" t="n">
        <f aca="false">Sens!K10479</f>
        <v>199.799723201872</v>
      </c>
    </row>
    <row r="10502" customFormat="false" ht="17.15" hidden="false" customHeight="false" outlineLevel="0" collapsed="false">
      <c r="A10502" s="0" t="s">
        <v>1053</v>
      </c>
      <c r="B10502" s="0" t="s">
        <v>98</v>
      </c>
      <c r="D10502" s="6" t="n">
        <f aca="false">Sens!D10477</f>
        <v>83.705</v>
      </c>
      <c r="E10502" s="6" t="n">
        <f aca="false">Sens!E10477</f>
        <v>95.049</v>
      </c>
      <c r="F10502" s="6" t="n">
        <f aca="false">Sens!F10477</f>
        <v>106.584003697747</v>
      </c>
      <c r="G10502" s="6" t="n">
        <f aca="false">Sens!G10477</f>
        <v>118.700726545688</v>
      </c>
      <c r="H10502" s="6" t="n">
        <f aca="false">Sens!H10477</f>
        <v>130.898624783666</v>
      </c>
      <c r="I10502" s="6" t="n">
        <f aca="false">Sens!I10477</f>
        <v>142.920510030657</v>
      </c>
      <c r="J10502" s="6" t="n">
        <f aca="false">Sens!J10477</f>
        <v>154.485722618572</v>
      </c>
      <c r="K10502" s="6" t="n">
        <f aca="false">Sens!K10477</f>
        <v>165.299723201872</v>
      </c>
    </row>
    <row r="10503" customFormat="false" ht="17.15" hidden="false" customHeight="false" outlineLevel="0" collapsed="false">
      <c r="A10503" s="0" t="s">
        <v>1054</v>
      </c>
      <c r="B10503" s="0" t="s">
        <v>98</v>
      </c>
      <c r="D10503" s="6" t="n">
        <f aca="false">Sens!D10476</f>
        <v>0.9</v>
      </c>
      <c r="E10503" s="6" t="n">
        <f aca="false">Sens!E10476</f>
        <v>5.25</v>
      </c>
      <c r="F10503" s="6" t="n">
        <f aca="false">Sens!F10476</f>
        <v>12</v>
      </c>
      <c r="G10503" s="6" t="n">
        <f aca="false">Sens!G10476</f>
        <v>18</v>
      </c>
      <c r="H10503" s="6" t="n">
        <f aca="false">Sens!H10476</f>
        <v>24</v>
      </c>
      <c r="I10503" s="6" t="n">
        <f aca="false">Sens!I10476</f>
        <v>28.5</v>
      </c>
      <c r="J10503" s="6" t="n">
        <f aca="false">Sens!J10476</f>
        <v>31.5</v>
      </c>
      <c r="K10503" s="6" t="n">
        <f aca="false">Sens!K10476</f>
        <v>34.5</v>
      </c>
    </row>
    <row r="10504" customFormat="false" ht="15" hidden="false" customHeight="false" outlineLevel="0" collapsed="false">
      <c r="A10504" s="0" t="s">
        <v>1033</v>
      </c>
      <c r="B10504" s="0" t="s">
        <v>98</v>
      </c>
      <c r="D10504" s="6" t="n">
        <f aca="false">Sens!D10480</f>
        <v>35.391</v>
      </c>
      <c r="E10504" s="6" t="n">
        <f aca="false">Sens!E10480</f>
        <v>37.285</v>
      </c>
      <c r="F10504" s="6" t="n">
        <f aca="false">Sens!F10480</f>
        <v>38.3851437782675</v>
      </c>
      <c r="G10504" s="6" t="n">
        <f aca="false">Sens!G10480</f>
        <v>40.0105353288615</v>
      </c>
      <c r="H10504" s="6" t="n">
        <f aca="false">Sens!H10480</f>
        <v>41.4812512033683</v>
      </c>
      <c r="I10504" s="6" t="n">
        <f aca="false">Sens!I10480</f>
        <v>42.7743107216329</v>
      </c>
      <c r="J10504" s="6" t="n">
        <f aca="false">Sens!J10480</f>
        <v>43.8687373064601</v>
      </c>
      <c r="K10504" s="6" t="n">
        <f aca="false">Sens!K10480</f>
        <v>44.7461120525893</v>
      </c>
    </row>
    <row r="10505" customFormat="false" ht="15" hidden="false" customHeight="false" outlineLevel="0" collapsed="false">
      <c r="A10505" s="0" t="s">
        <v>1035</v>
      </c>
      <c r="B10505" s="0" t="s">
        <v>98</v>
      </c>
      <c r="D10505" s="6" t="n">
        <f aca="false">Sens!D10482</f>
        <v>18.417</v>
      </c>
      <c r="E10505" s="6" t="n">
        <f aca="false">Sens!E10482</f>
        <v>20.345</v>
      </c>
      <c r="F10505" s="6" t="n">
        <f aca="false">Sens!F10482</f>
        <v>22.3161797133988</v>
      </c>
      <c r="G10505" s="6" t="n">
        <f aca="false">Sens!G10482</f>
        <v>24.3943499673233</v>
      </c>
      <c r="H10505" s="6" t="n">
        <f aca="false">Sens!H10482</f>
        <v>26.5250243109019</v>
      </c>
      <c r="I10505" s="6" t="n">
        <f aca="false">Sens!I10482</f>
        <v>28.6884573538181</v>
      </c>
      <c r="J10505" s="6" t="n">
        <f aca="false">Sens!J10482</f>
        <v>30.8624968052127</v>
      </c>
      <c r="K10505" s="6" t="n">
        <f aca="false">Sens!K10482</f>
        <v>33.0228715815776</v>
      </c>
    </row>
    <row r="10506" customFormat="false" ht="15" hidden="false" customHeight="false" outlineLevel="0" collapsed="false">
      <c r="A10506" s="0" t="s">
        <v>1036</v>
      </c>
      <c r="B10506" s="0" t="s">
        <v>98</v>
      </c>
      <c r="D10506" s="6" t="n">
        <f aca="false">Sens!D10484</f>
        <v>7.76</v>
      </c>
      <c r="E10506" s="6" t="n">
        <f aca="false">Sens!E10484</f>
        <v>8.26</v>
      </c>
      <c r="F10506" s="6" t="n">
        <f aca="false">Sens!F10484</f>
        <v>8.75372082474227</v>
      </c>
      <c r="G10506" s="6" t="n">
        <f aca="false">Sens!G10484</f>
        <v>9.33399324642364</v>
      </c>
      <c r="H10506" s="6" t="n">
        <f aca="false">Sens!H10484</f>
        <v>9.96139155535851</v>
      </c>
      <c r="I10506" s="6" t="n">
        <f aca="false">Sens!I10484</f>
        <v>10.6402039077391</v>
      </c>
      <c r="J10506" s="6" t="n">
        <f aca="false">Sens!J10484</f>
        <v>11.3751458271397</v>
      </c>
      <c r="K10506" s="6" t="n">
        <f aca="false">Sens!K10484</f>
        <v>12.1714060350394</v>
      </c>
    </row>
    <row r="10507" customFormat="false" ht="15" hidden="false" customHeight="false" outlineLevel="0" collapsed="false">
      <c r="A10507" s="0" t="s">
        <v>852</v>
      </c>
      <c r="B10507" s="0" t="s">
        <v>98</v>
      </c>
      <c r="D10507" s="6" t="n">
        <f aca="false">Sens!D10486</f>
        <v>218.783</v>
      </c>
      <c r="E10507" s="6" t="n">
        <f aca="false">Sens!E10486</f>
        <v>268.127</v>
      </c>
      <c r="F10507" s="6" t="n">
        <f aca="false">Sens!F10486</f>
        <v>334.748096014336</v>
      </c>
      <c r="G10507" s="6" t="n">
        <f aca="false">Sens!G10486</f>
        <v>410.20243494969</v>
      </c>
      <c r="H10507" s="6" t="n">
        <f aca="false">Sens!H10486</f>
        <v>487.012857962939</v>
      </c>
      <c r="I10507" s="6" t="n">
        <f aca="false">Sens!I10486</f>
        <v>556.962928978464</v>
      </c>
      <c r="J10507" s="6" t="n">
        <f aca="false">Sens!J10486</f>
        <v>613.402001017124</v>
      </c>
      <c r="K10507" s="6" t="n">
        <f aca="false">Sens!K10486</f>
        <v>657.837590767618</v>
      </c>
    </row>
    <row r="10508" customFormat="false" ht="15" hidden="false" customHeight="false" outlineLevel="0" collapsed="false">
      <c r="A10508" s="0" t="s">
        <v>1037</v>
      </c>
      <c r="B10508" s="0" t="s">
        <v>98</v>
      </c>
      <c r="D10508" s="6" t="n">
        <f aca="false">Sens!D10487</f>
        <v>22.171</v>
      </c>
      <c r="E10508" s="6" t="n">
        <f aca="false">Sens!E10487</f>
        <v>24.835</v>
      </c>
      <c r="F10508" s="6" t="n">
        <f aca="false">Sens!F10487</f>
        <v>27.4647245660247</v>
      </c>
      <c r="G10508" s="6" t="n">
        <f aca="false">Sens!G10487</f>
        <v>30.0309728005339</v>
      </c>
      <c r="H10508" s="6" t="n">
        <f aca="false">Sens!H10487</f>
        <v>32.435807482304</v>
      </c>
      <c r="I10508" s="6" t="n">
        <f aca="false">Sens!I10487</f>
        <v>34.5998917086668</v>
      </c>
      <c r="J10508" s="6" t="n">
        <f aca="false">Sens!J10487</f>
        <v>36.4461244099918</v>
      </c>
      <c r="K10508" s="6" t="n">
        <f aca="false">Sens!K10487</f>
        <v>37.9039693863915</v>
      </c>
    </row>
    <row r="10509" customFormat="false" ht="15" hidden="false" customHeight="false" outlineLevel="0" collapsed="false">
      <c r="A10509" s="0" t="s">
        <v>1038</v>
      </c>
      <c r="B10509" s="0" t="s">
        <v>98</v>
      </c>
      <c r="D10509" s="6" t="n">
        <f aca="false">Sens!D10489</f>
        <v>23.455</v>
      </c>
      <c r="E10509" s="6" t="n">
        <f aca="false">Sens!E10489</f>
        <v>21.79</v>
      </c>
      <c r="F10509" s="6" t="n">
        <f aca="false">Sens!F10489</f>
        <v>20.7520981041711</v>
      </c>
      <c r="G10509" s="6" t="n">
        <f aca="false">Sens!G10489</f>
        <v>19.9083593495882</v>
      </c>
      <c r="H10509" s="6" t="n">
        <f aca="false">Sens!H10489</f>
        <v>19.4008256265831</v>
      </c>
      <c r="I10509" s="6" t="n">
        <f aca="false">Sens!I10489</f>
        <v>19.200434522122</v>
      </c>
      <c r="J10509" s="6" t="n">
        <f aca="false">Sens!J10489</f>
        <v>19.2932782348507</v>
      </c>
      <c r="K10509" s="6" t="n">
        <f aca="false">Sens!K10489</f>
        <v>19.6791437995477</v>
      </c>
    </row>
    <row r="10510" customFormat="false" ht="15" hidden="false" customHeight="false" outlineLevel="0" collapsed="false">
      <c r="A10510" s="0" t="s">
        <v>1039</v>
      </c>
      <c r="B10510" s="0" t="s">
        <v>98</v>
      </c>
      <c r="D10510" s="6" t="n">
        <f aca="false">Sens!D10491</f>
        <v>17.315</v>
      </c>
      <c r="E10510" s="6" t="n">
        <f aca="false">Sens!E10491</f>
        <v>17.087</v>
      </c>
      <c r="F10510" s="6" t="n">
        <f aca="false">Sens!F10491</f>
        <v>15.9912273250553</v>
      </c>
      <c r="G10510" s="6" t="n">
        <f aca="false">Sens!G10491</f>
        <v>15.9574562664827</v>
      </c>
      <c r="H10510" s="6" t="n">
        <f aca="false">Sens!H10491</f>
        <v>16.0119687434196</v>
      </c>
      <c r="I10510" s="6" t="n">
        <f aca="false">Sens!I10491</f>
        <v>16.1551810001948</v>
      </c>
      <c r="J10510" s="6" t="n">
        <f aca="false">Sens!J10491</f>
        <v>16.3889793892005</v>
      </c>
      <c r="K10510" s="6" t="n">
        <f aca="false">Sens!K10491</f>
        <v>16.7167589769845</v>
      </c>
    </row>
    <row r="10511" customFormat="false" ht="15" hidden="false" customHeight="false" outlineLevel="0" collapsed="false">
      <c r="A10511" s="0" t="s">
        <v>866</v>
      </c>
      <c r="B10511" s="0" t="s">
        <v>98</v>
      </c>
      <c r="D10511" s="6" t="n">
        <f aca="false">Sens!D10493</f>
        <v>62.941</v>
      </c>
      <c r="E10511" s="6" t="n">
        <f aca="false">Sens!E10493</f>
        <v>63.712</v>
      </c>
      <c r="F10511" s="6" t="n">
        <f aca="false">Sens!F10493</f>
        <v>64.2080499952511</v>
      </c>
      <c r="G10511" s="6" t="n">
        <f aca="false">Sens!G10493</f>
        <v>65.8967884166048</v>
      </c>
      <c r="H10511" s="6" t="n">
        <f aca="false">Sens!H10493</f>
        <v>67.8486018523066</v>
      </c>
      <c r="I10511" s="6" t="n">
        <f aca="false">Sens!I10493</f>
        <v>69.9555072309837</v>
      </c>
      <c r="J10511" s="6" t="n">
        <f aca="false">Sens!J10493</f>
        <v>72.128382034043</v>
      </c>
      <c r="K10511" s="6" t="n">
        <f aca="false">Sens!K10493</f>
        <v>74.2998721629237</v>
      </c>
    </row>
    <row r="10512" customFormat="false" ht="15" hidden="false" customHeight="false" outlineLevel="0" collapsed="false">
      <c r="A10512" s="1" t="s">
        <v>1055</v>
      </c>
      <c r="B10512" s="0" t="s">
        <v>98</v>
      </c>
      <c r="D10512" s="6" t="n">
        <f aca="false">Sens!D10494</f>
        <v>281.724</v>
      </c>
      <c r="E10512" s="6" t="n">
        <f aca="false">Sens!E10494</f>
        <v>331.839</v>
      </c>
      <c r="F10512" s="6" t="n">
        <f aca="false">Sens!F10494</f>
        <v>398.956146009588</v>
      </c>
      <c r="G10512" s="6" t="n">
        <f aca="false">Sens!G10494</f>
        <v>476.099223366295</v>
      </c>
      <c r="H10512" s="6" t="n">
        <f aca="false">Sens!H10494</f>
        <v>554.861459815246</v>
      </c>
      <c r="I10512" s="6" t="n">
        <f aca="false">Sens!I10494</f>
        <v>626.918436209448</v>
      </c>
      <c r="J10512" s="6" t="n">
        <f aca="false">Sens!J10494</f>
        <v>685.530383051167</v>
      </c>
      <c r="K10512" s="6" t="n">
        <f aca="false">Sens!K10494</f>
        <v>732.137462930542</v>
      </c>
    </row>
    <row r="10513" customFormat="false" ht="15" hidden="false" customHeight="false" outlineLevel="0" collapsed="false">
      <c r="A10513" s="1" t="s">
        <v>1056</v>
      </c>
      <c r="B10513" s="0" t="s">
        <v>168</v>
      </c>
      <c r="E10513" s="7" t="n">
        <f aca="false">Sens!E10512/Sens!D10512-1</f>
        <v>0.177886867998467</v>
      </c>
      <c r="F10513" s="7" t="n">
        <f aca="false">Sens!F10512/Sens!E10512-1</f>
        <v>0.202258161366167</v>
      </c>
      <c r="G10513" s="7" t="n">
        <f aca="false">Sens!G10512/Sens!F10512-1</f>
        <v>0.193362298408741</v>
      </c>
      <c r="H10513" s="7" t="n">
        <f aca="false">Sens!H10512/Sens!G10512-1</f>
        <v>0.165432398507305</v>
      </c>
      <c r="I10513" s="7" t="n">
        <f aca="false">Sens!I10512/Sens!H10512-1</f>
        <v>0.12986480700641</v>
      </c>
      <c r="J10513" s="7" t="n">
        <f aca="false">Sens!J10512/Sens!I10512-1</f>
        <v>0.0934921410129612</v>
      </c>
      <c r="K10513" s="7" t="n">
        <f aca="false">Sens!K10512/Sens!J10512-1</f>
        <v>0.0679868916559701</v>
      </c>
    </row>
    <row r="10514" customFormat="false" ht="17.15" hidden="false" customHeight="false" outlineLevel="0" collapsed="false">
      <c r="A10514" s="26" t="s">
        <v>1057</v>
      </c>
      <c r="B10514" s="31" t="s">
        <v>98</v>
      </c>
      <c r="C10514" s="31"/>
      <c r="D10514" s="27" t="n">
        <f aca="false">(Sens!D10507+Sens!D10511-Sens!D10512)+(Sens!D10499+Sens!D10500-Sens!D10498)+(Sens!D10502+Sens!D10503-Sens!D10501)+(Sens!D10512-Q!L18)</f>
        <v>0</v>
      </c>
      <c r="E10514" s="27" t="n">
        <f aca="false">(Sens!E10507+Sens!E10511-Sens!E10512)+(Sens!E10499+Sens!E10500-Sens!E10498)+(Sens!E10502+Sens!E10503-Sens!E10501)+(Sens!E10512-Q!M18)</f>
        <v>0</v>
      </c>
      <c r="F10514" s="27" t="n">
        <f aca="false">(Sens!F10507+Sens!F10511-Sens!F10512)+(Sens!F10499+Sens!F10500-Sens!F10498)+(Sens!F10502+Sens!F10503-Sens!F10501)</f>
        <v>0</v>
      </c>
      <c r="G10514" s="27" t="n">
        <f aca="false">(Sens!G10507+Sens!G10511-Sens!G10512)+(Sens!G10499+Sens!G10500-Sens!G10498)+(Sens!G10502+Sens!G10503-Sens!G10501)</f>
        <v>0</v>
      </c>
      <c r="H10514" s="27" t="n">
        <f aca="false">(Sens!H10507+Sens!H10511-Sens!H10512)+(Sens!H10499+Sens!H10500-Sens!H10498)+(Sens!H10502+Sens!H10503-Sens!H10501)</f>
        <v>0</v>
      </c>
      <c r="I10514" s="27" t="n">
        <f aca="false">(Sens!I10507+Sens!I10511-Sens!I10512)+(Sens!I10499+Sens!I10500-Sens!I10498)+(Sens!I10502+Sens!I10503-Sens!I10501)</f>
        <v>0</v>
      </c>
      <c r="J10514" s="27" t="n">
        <f aca="false">(Sens!J10507+Sens!J10511-Sens!J10512)+(Sens!J10499+Sens!J10500-Sens!J10498)+(Sens!J10502+Sens!J10503-Sens!J10501)</f>
        <v>0</v>
      </c>
      <c r="K10514" s="27" t="n">
        <f aca="false">(Sens!K10507+Sens!K10511-Sens!K10512)+(Sens!K10499+Sens!K10500-Sens!K10498)+(Sens!K10502+Sens!K10503-Sens!K10501)</f>
        <v>0</v>
      </c>
    </row>
    <row r="10515" customFormat="false" ht="17.15" hidden="false" customHeight="false" outlineLevel="0" collapsed="false">
      <c r="A10515" s="0" t="s">
        <v>1058</v>
      </c>
      <c r="B10515" s="0" t="s">
        <v>168</v>
      </c>
      <c r="E10515" s="7" t="n">
        <f aca="false">(Q!M21+Sens!E10451+Sens!E10452+Sens!E10453+Sens!E10467-Sens!E10449)/(Q!M5-Sens!E10449)</f>
        <v>0.570957350878296</v>
      </c>
      <c r="F10515" s="7" t="n">
        <f aca="false">Sens!$E$10515+dm_seg</f>
        <v>0.570957350878296</v>
      </c>
      <c r="G10515" s="7" t="n">
        <f aca="false">Sens!$E$10515+dm_seg</f>
        <v>0.570957350878296</v>
      </c>
      <c r="H10515" s="7" t="n">
        <f aca="false">Sens!$E$10515+dm_seg</f>
        <v>0.570957350878296</v>
      </c>
      <c r="I10515" s="7" t="n">
        <f aca="false">Sens!$E$10515+dm_seg</f>
        <v>0.570957350878296</v>
      </c>
      <c r="J10515" s="7" t="n">
        <f aca="false">Sens!$E$10515+dm_seg</f>
        <v>0.570957350878296</v>
      </c>
      <c r="K10515" s="7" t="n">
        <f aca="false">Sens!$E$10515+dm_seg</f>
        <v>0.570957350878296</v>
      </c>
      <c r="L10515" s="12" t="s">
        <v>1059</v>
      </c>
    </row>
    <row r="10516" customFormat="false" ht="17.15" hidden="false" customHeight="false" outlineLevel="0" collapsed="false">
      <c r="A10516" s="0" t="s">
        <v>880</v>
      </c>
      <c r="B10516" s="0" t="s">
        <v>98</v>
      </c>
      <c r="D10516" s="6" t="n">
        <f aca="false">Q!L21</f>
        <v>110.814</v>
      </c>
      <c r="E10516" s="6" t="n">
        <f aca="false">Q!M21</f>
        <v>136.365</v>
      </c>
      <c r="F10516" s="6" t="n">
        <f aca="false">Q!$I$21+(Sens!F10515*(Sens!F10486-Sens!F10449)+Sens!F10449-(Sens!F10451+Sens!F10452+Sens!F10453)-Sens!F10467-Sens!F10550)*(Sens!F10486-Q!$I$5)/Sens!F10486</f>
        <v>162.089304808255</v>
      </c>
      <c r="G10516" s="6" t="n">
        <f aca="false">(Sens!G10515*(Sens!G10486-Sens!G10449)+Sens!G10449-(Sens!G10451+Sens!G10452+Sens!G10453)-Sens!G10467-Sens!G10550)</f>
        <v>177.568223057394</v>
      </c>
      <c r="H10516" s="6" t="n">
        <f aca="false">(Sens!H10515*(Sens!H10486-Sens!H10449)+Sens!H10449-(Sens!H10451+Sens!H10452+Sens!H10453)-Sens!H10467-Sens!H10550)</f>
        <v>196.763073884919</v>
      </c>
      <c r="I10516" s="6" t="n">
        <f aca="false">(Sens!I10515*(Sens!I10486-Sens!I10449)+Sens!I10449-(Sens!I10451+Sens!I10452+Sens!I10453)-Sens!I10467-Sens!I10550)</f>
        <v>214.975032234207</v>
      </c>
      <c r="J10516" s="6" t="n">
        <f aca="false">(Sens!J10515*(Sens!J10486-Sens!J10449)+Sens!J10449-(Sens!J10451+Sens!J10452+Sens!J10453)-Sens!J10467-Sens!J10550)</f>
        <v>231.956580691796</v>
      </c>
      <c r="K10516" s="6" t="n">
        <f aca="false">(Sens!K10515*(Sens!K10486-Sens!K10449)+Sens!K10449-(Sens!K10451+Sens!K10452+Sens!K10453)-Sens!K10467-Sens!K10550)</f>
        <v>248.339300044056</v>
      </c>
      <c r="L10516" s="1" t="s">
        <v>1060</v>
      </c>
    </row>
    <row r="10517" customFormat="false" ht="17.15" hidden="false" customHeight="false" outlineLevel="0" collapsed="false">
      <c r="A10517" s="0" t="s">
        <v>1061</v>
      </c>
      <c r="B10517" s="0" t="s">
        <v>168</v>
      </c>
      <c r="E10517" s="7" t="n">
        <f aca="false">Q!M22/Q!M12</f>
        <v>0.296207935710698</v>
      </c>
      <c r="F10517" s="7" t="n">
        <f aca="false">Sens!$E$10517+dm_seg</f>
        <v>0.296207935710698</v>
      </c>
      <c r="G10517" s="7" t="n">
        <f aca="false">Sens!$E$10517+dm_seg</f>
        <v>0.296207935710698</v>
      </c>
      <c r="H10517" s="7" t="n">
        <f aca="false">Sens!$E$10517+dm_seg</f>
        <v>0.296207935710698</v>
      </c>
      <c r="I10517" s="7" t="n">
        <f aca="false">Sens!$E$10517+dm_seg</f>
        <v>0.296207935710698</v>
      </c>
      <c r="J10517" s="7" t="n">
        <f aca="false">Sens!$E$10517+dm_seg</f>
        <v>0.296207935710698</v>
      </c>
      <c r="K10517" s="7" t="n">
        <f aca="false">Sens!$E$10517+dm_seg</f>
        <v>0.296207935710698</v>
      </c>
      <c r="L10517" s="12" t="s">
        <v>1062</v>
      </c>
    </row>
    <row r="10518" customFormat="false" ht="17.15" hidden="false" customHeight="false" outlineLevel="0" collapsed="false">
      <c r="A10518" s="0" t="s">
        <v>882</v>
      </c>
      <c r="B10518" s="0" t="s">
        <v>98</v>
      </c>
      <c r="D10518" s="6" t="n">
        <f aca="false">Q!L22</f>
        <v>17.714</v>
      </c>
      <c r="E10518" s="6" t="n">
        <f aca="false">Q!M22</f>
        <v>18.872</v>
      </c>
      <c r="F10518" s="6" t="n">
        <f aca="false">Q!$I$22+(Sens!F10493-Q!$I$12)*Sens!F10517</f>
        <v>19.7894502685582</v>
      </c>
      <c r="G10518" s="6" t="n">
        <f aca="false">Sens!G10493*Sens!G10517</f>
        <v>19.5191516668472</v>
      </c>
      <c r="H10518" s="6" t="n">
        <f aca="false">Sens!H10493*Sens!H10517</f>
        <v>20.0972942955288</v>
      </c>
      <c r="I10518" s="6" t="n">
        <f aca="false">Sens!I10493*Sens!I10517</f>
        <v>20.7213763884845</v>
      </c>
      <c r="J10518" s="6" t="n">
        <f aca="false">Sens!J10493*Sens!J10517</f>
        <v>21.3649991484565</v>
      </c>
      <c r="K10518" s="6" t="n">
        <f aca="false">Sens!K10493*Sens!K10517</f>
        <v>22.0082117569484</v>
      </c>
      <c r="L10518" s="12" t="s">
        <v>1063</v>
      </c>
    </row>
    <row r="10519" customFormat="false" ht="15" hidden="false" customHeight="false" outlineLevel="0" collapsed="false">
      <c r="A10519" s="1" t="s">
        <v>1064</v>
      </c>
      <c r="B10519" s="0" t="s">
        <v>98</v>
      </c>
      <c r="D10519" s="6" t="n">
        <f aca="false">Sens!D10516+Sens!D10518</f>
        <v>128.528</v>
      </c>
      <c r="E10519" s="6" t="n">
        <f aca="false">Sens!E10516+Sens!E10518</f>
        <v>155.237</v>
      </c>
      <c r="F10519" s="6" t="n">
        <f aca="false">Sens!F10516+Sens!F10518</f>
        <v>181.878755076813</v>
      </c>
      <c r="G10519" s="6" t="n">
        <f aca="false">Sens!G10516+Sens!G10518</f>
        <v>197.087374724241</v>
      </c>
      <c r="H10519" s="6" t="n">
        <f aca="false">Sens!H10516+Sens!H10518</f>
        <v>216.860368180448</v>
      </c>
      <c r="I10519" s="6" t="n">
        <f aca="false">Sens!I10516+Sens!I10518</f>
        <v>235.696408622692</v>
      </c>
      <c r="J10519" s="6" t="n">
        <f aca="false">Sens!J10516+Sens!J10518</f>
        <v>253.321579840253</v>
      </c>
      <c r="K10519" s="6" t="n">
        <f aca="false">Sens!K10516+Sens!K10518</f>
        <v>270.347511801004</v>
      </c>
    </row>
    <row r="10520" customFormat="false" ht="15" hidden="false" customHeight="false" outlineLevel="0" collapsed="false">
      <c r="A10520" s="26" t="s">
        <v>1065</v>
      </c>
      <c r="B10520" s="31" t="s">
        <v>98</v>
      </c>
      <c r="C10520" s="31"/>
      <c r="D10520" s="27" t="n">
        <f aca="false">Sens!D10519-Q!L23</f>
        <v>0</v>
      </c>
      <c r="E10520" s="27" t="n">
        <f aca="false">Sens!E10519-Q!M23</f>
        <v>0</v>
      </c>
      <c r="F10520" s="31"/>
      <c r="G10520" s="31"/>
      <c r="H10520" s="31"/>
      <c r="I10520" s="31"/>
      <c r="J10520" s="31"/>
      <c r="K10520" s="31"/>
    </row>
    <row r="10521" customFormat="false" ht="15" hidden="false" customHeight="false" outlineLevel="0" collapsed="false">
      <c r="A10521" s="1" t="s">
        <v>1066</v>
      </c>
      <c r="B10521" s="0" t="s">
        <v>168</v>
      </c>
      <c r="D10521" s="7" t="n">
        <f aca="false">Sens!D10519/Sens!D10512</f>
        <v>0.456219562408598</v>
      </c>
      <c r="E10521" s="7" t="n">
        <f aca="false">Sens!E10519/Sens!E10512</f>
        <v>0.467808184089272</v>
      </c>
      <c r="F10521" s="7" t="n">
        <f aca="false">Sens!F10519/Sens!F10512</f>
        <v>0.455886585270057</v>
      </c>
      <c r="G10521" s="7" t="n">
        <f aca="false">Sens!G10519/Sens!G10512</f>
        <v>0.413962815000454</v>
      </c>
      <c r="H10521" s="7" t="n">
        <f aca="false">Sens!H10519/Sens!H10512</f>
        <v>0.390836963613686</v>
      </c>
      <c r="I10521" s="7" t="n">
        <f aca="false">Sens!I10519/Sens!I10512</f>
        <v>0.375960244601816</v>
      </c>
      <c r="J10521" s="7" t="n">
        <f aca="false">Sens!J10519/Sens!J10512</f>
        <v>0.369526407732311</v>
      </c>
      <c r="K10521" s="7" t="n">
        <f aca="false">Sens!K10519/Sens!K10512</f>
        <v>0.369257858652497</v>
      </c>
    </row>
    <row r="10522" customFormat="false" ht="17.15" hidden="false" customHeight="false" outlineLevel="0" collapsed="false">
      <c r="A10522" s="1" t="s">
        <v>1067</v>
      </c>
      <c r="B10522" s="0" t="s">
        <v>98</v>
      </c>
      <c r="F10522" s="6" t="n">
        <f aca="false">Sens!F10537</f>
        <v>9.7398427716299</v>
      </c>
      <c r="G10522" s="6" t="n">
        <f aca="false">Sens!G10537</f>
        <v>25.2753385959797</v>
      </c>
      <c r="H10522" s="6" t="n">
        <f aca="false">Sens!H10537</f>
        <v>42.2840253697948</v>
      </c>
      <c r="I10522" s="6" t="n">
        <f aca="false">Sens!I10537</f>
        <v>57.704943641581</v>
      </c>
      <c r="J10522" s="6" t="n">
        <f aca="false">Sens!J10537</f>
        <v>68.4828520908201</v>
      </c>
      <c r="K10522" s="6" t="n">
        <f aca="false">Sens!K10537</f>
        <v>74.3598374943249</v>
      </c>
      <c r="L10522" s="1" t="s">
        <v>1068</v>
      </c>
    </row>
    <row r="10523" customFormat="false" ht="17.15" hidden="false" customHeight="false" outlineLevel="0" collapsed="false">
      <c r="A10523" s="1" t="s">
        <v>1069</v>
      </c>
      <c r="B10523" s="0" t="s">
        <v>98</v>
      </c>
      <c r="D10523" s="6" t="n">
        <f aca="false">Sens!D10519</f>
        <v>128.528</v>
      </c>
      <c r="E10523" s="6" t="n">
        <f aca="false">Sens!E10519</f>
        <v>155.237</v>
      </c>
      <c r="F10523" s="6" t="n">
        <f aca="false">Sens!F10519+Sens!F10522</f>
        <v>191.618597848443</v>
      </c>
      <c r="G10523" s="6" t="n">
        <f aca="false">Sens!G10519+Sens!G10522</f>
        <v>222.362713320221</v>
      </c>
      <c r="H10523" s="6" t="n">
        <f aca="false">Sens!H10519+Sens!H10522</f>
        <v>259.144393550243</v>
      </c>
      <c r="I10523" s="6" t="n">
        <f aca="false">Sens!I10519+Sens!I10522</f>
        <v>293.401352264273</v>
      </c>
      <c r="J10523" s="6" t="n">
        <f aca="false">Sens!J10519+Sens!J10522</f>
        <v>321.804431931073</v>
      </c>
      <c r="K10523" s="6" t="n">
        <f aca="false">Sens!K10519+Sens!K10522</f>
        <v>344.707349295329</v>
      </c>
    </row>
    <row r="10524" customFormat="false" ht="17.15" hidden="false" customHeight="false" outlineLevel="0" collapsed="false">
      <c r="A10524" s="1" t="s">
        <v>1070</v>
      </c>
      <c r="B10524" s="0" t="s">
        <v>98</v>
      </c>
      <c r="E10524" s="6" t="n">
        <f aca="false">Sens!E10467</f>
        <v>16.3054059770833</v>
      </c>
      <c r="F10524" s="6" t="n">
        <f aca="false">Sens!F10467</f>
        <v>34.5793144783516</v>
      </c>
      <c r="G10524" s="6" t="n">
        <f aca="false">Sens!G10467</f>
        <v>60.7344906522989</v>
      </c>
      <c r="H10524" s="6" t="n">
        <f aca="false">Sens!H10467</f>
        <v>89.1000906614457</v>
      </c>
      <c r="I10524" s="6" t="n">
        <f aca="false">Sens!I10467</f>
        <v>114.231009694548</v>
      </c>
      <c r="J10524" s="6" t="n">
        <f aca="false">Sens!J10467</f>
        <v>132.015673049596</v>
      </c>
      <c r="K10524" s="6" t="n">
        <f aca="false">Sens!K10467</f>
        <v>143.012669550934</v>
      </c>
    </row>
    <row r="10525" customFormat="false" ht="17.15" hidden="false" customHeight="false" outlineLevel="0" collapsed="false">
      <c r="A10525" s="1" t="s">
        <v>1071</v>
      </c>
      <c r="B10525" s="0" t="s">
        <v>98</v>
      </c>
      <c r="E10525" s="6" t="n">
        <f aca="false">Sens!E10549</f>
        <v>22.2285940229167</v>
      </c>
      <c r="F10525" s="6" t="n">
        <f aca="false">Sens!F10549</f>
        <v>23.580344216413</v>
      </c>
      <c r="G10525" s="6" t="n">
        <f aca="false">Sens!G10549</f>
        <v>25.3553194720851</v>
      </c>
      <c r="H10525" s="6" t="n">
        <f aca="false">Sens!H10549</f>
        <v>27.5189190475338</v>
      </c>
      <c r="I10525" s="6" t="n">
        <f aca="false">Sens!I10549</f>
        <v>30.0030534541586</v>
      </c>
      <c r="J10525" s="6" t="n">
        <f aca="false">Sens!J10549</f>
        <v>32.7226903641782</v>
      </c>
      <c r="K10525" s="6" t="n">
        <f aca="false">Sens!K10549</f>
        <v>35.5918486945769</v>
      </c>
    </row>
    <row r="10526" customFormat="false" ht="17.15" hidden="false" customHeight="false" outlineLevel="0" collapsed="false">
      <c r="A10526" s="1" t="s">
        <v>1072</v>
      </c>
      <c r="B10526" s="0" t="s">
        <v>98</v>
      </c>
      <c r="D10526" s="6" t="n">
        <f aca="false">Q!L27</f>
        <v>-4.901</v>
      </c>
      <c r="E10526" s="6" t="n">
        <f aca="false">Q!M27</f>
        <v>10.697</v>
      </c>
      <c r="F10526" s="6" t="n">
        <f aca="false">Q!$I$27+oie_f*(q_per_yr-1)/q_per_yr</f>
        <v>-0.862</v>
      </c>
      <c r="G10526" s="6" t="n">
        <f aca="false">oie_f</f>
        <v>-1.2</v>
      </c>
      <c r="H10526" s="6" t="n">
        <f aca="false">oie_f</f>
        <v>-1.2</v>
      </c>
      <c r="I10526" s="6" t="n">
        <f aca="false">oie_f</f>
        <v>-1.2</v>
      </c>
      <c r="J10526" s="6" t="n">
        <f aca="false">oie_f</f>
        <v>-1.2</v>
      </c>
      <c r="K10526" s="6" t="n">
        <f aca="false">oie_f</f>
        <v>-1.2</v>
      </c>
      <c r="L10526" s="12" t="s">
        <v>1073</v>
      </c>
    </row>
    <row r="10527" customFormat="false" ht="15" hidden="false" customHeight="false" outlineLevel="0" collapsed="false">
      <c r="A10527" s="1" t="s">
        <v>1074</v>
      </c>
      <c r="B10527" s="0" t="s">
        <v>98</v>
      </c>
      <c r="D10527" s="6" t="n">
        <f aca="false">Sens!D10519+Sens!D10526</f>
        <v>123.627</v>
      </c>
      <c r="E10527" s="6" t="n">
        <f aca="false">Sens!E10519+Sens!E10526</f>
        <v>165.934</v>
      </c>
      <c r="F10527" s="6" t="n">
        <f aca="false">Sens!F10519+Sens!F10526</f>
        <v>181.016755076813</v>
      </c>
      <c r="G10527" s="6" t="n">
        <f aca="false">Sens!G10519+Sens!G10526</f>
        <v>195.887374724241</v>
      </c>
      <c r="H10527" s="6" t="n">
        <f aca="false">Sens!H10519+Sens!H10526</f>
        <v>215.660368180448</v>
      </c>
      <c r="I10527" s="6" t="n">
        <f aca="false">Sens!I10519+Sens!I10526</f>
        <v>234.496408622692</v>
      </c>
      <c r="J10527" s="6" t="n">
        <f aca="false">Sens!J10519+Sens!J10526</f>
        <v>252.121579840253</v>
      </c>
      <c r="K10527" s="6" t="n">
        <f aca="false">Sens!K10519+Sens!K10526</f>
        <v>269.147511801004</v>
      </c>
    </row>
    <row r="10528" customFormat="false" ht="15" hidden="false" customHeight="false" outlineLevel="0" collapsed="false">
      <c r="A10528" s="1" t="s">
        <v>1075</v>
      </c>
      <c r="B10528" s="0" t="s">
        <v>98</v>
      </c>
      <c r="D10528" s="6" t="n">
        <f aca="false">Q!L29</f>
        <v>21.795</v>
      </c>
      <c r="E10528" s="6" t="n">
        <f aca="false">Q!M29</f>
        <v>32.185</v>
      </c>
      <c r="F10528" s="6" t="n">
        <f aca="false">Q!$I$29+(Sens!F10527-Q!$I$28)*tax_f</f>
        <v>36.3367510153626</v>
      </c>
      <c r="G10528" s="6" t="n">
        <f aca="false">Sens!G10527*tax_f</f>
        <v>39.1774749448483</v>
      </c>
      <c r="H10528" s="6" t="n">
        <f aca="false">Sens!H10527*tax_f</f>
        <v>43.1320736360896</v>
      </c>
      <c r="I10528" s="6" t="n">
        <f aca="false">Sens!I10527*tax_f</f>
        <v>46.8992817245383</v>
      </c>
      <c r="J10528" s="6" t="n">
        <f aca="false">Sens!J10527*tax_f</f>
        <v>50.4243159680506</v>
      </c>
      <c r="K10528" s="6" t="n">
        <f aca="false">Sens!K10527*tax_f</f>
        <v>53.8295023602008</v>
      </c>
    </row>
    <row r="10529" customFormat="false" ht="15" hidden="false" customHeight="false" outlineLevel="0" collapsed="false">
      <c r="A10529" s="1" t="s">
        <v>1076</v>
      </c>
      <c r="B10529" s="0" t="s">
        <v>98</v>
      </c>
      <c r="D10529" s="6" t="n">
        <f aca="false">Sens!D10527-Sens!D10528</f>
        <v>101.832</v>
      </c>
      <c r="E10529" s="6" t="n">
        <f aca="false">Sens!E10527-Sens!E10528</f>
        <v>133.749</v>
      </c>
      <c r="F10529" s="6" t="n">
        <f aca="false">Sens!F10527-Sens!F10528</f>
        <v>144.68000406145</v>
      </c>
      <c r="G10529" s="6" t="n">
        <f aca="false">Sens!G10527-Sens!G10528</f>
        <v>156.709899779393</v>
      </c>
      <c r="H10529" s="6" t="n">
        <f aca="false">Sens!H10527-Sens!H10528</f>
        <v>172.528294544358</v>
      </c>
      <c r="I10529" s="6" t="n">
        <f aca="false">Sens!I10527-Sens!I10528</f>
        <v>187.597126898153</v>
      </c>
      <c r="J10529" s="6" t="n">
        <f aca="false">Sens!J10527-Sens!J10528</f>
        <v>201.697263872202</v>
      </c>
      <c r="K10529" s="6" t="n">
        <f aca="false">Sens!K10527-Sens!K10528</f>
        <v>215.318009440803</v>
      </c>
    </row>
    <row r="10530" customFormat="false" ht="17.15" hidden="false" customHeight="false" outlineLevel="0" collapsed="false">
      <c r="A10530" s="1" t="s">
        <v>1077</v>
      </c>
      <c r="B10530" s="1" t="s">
        <v>81</v>
      </c>
      <c r="D10530" s="15" t="n">
        <f aca="false">Q!L31</f>
        <v>7.465</v>
      </c>
      <c r="E10530" s="15" t="n">
        <f aca="false">Q!M31</f>
        <v>7.453</v>
      </c>
      <c r="F10530" s="15" t="n">
        <f aca="false">Sens!F10574</f>
        <v>7.47327850965893</v>
      </c>
      <c r="G10530" s="15" t="n">
        <f aca="false">Sens!G10574</f>
        <v>7.51805701931785</v>
      </c>
      <c r="H10530" s="15" t="n">
        <f aca="false">Sens!H10574</f>
        <v>7.54575695834665</v>
      </c>
      <c r="I10530" s="15" t="n">
        <f aca="false">Sens!I10574</f>
        <v>7.55743832240212</v>
      </c>
      <c r="J10530" s="15" t="n">
        <f aca="false">Sens!J10574</f>
        <v>7.5715877335646</v>
      </c>
      <c r="K10530" s="15" t="n">
        <f aca="false">Sens!K10574</f>
        <v>7.58802237352985</v>
      </c>
    </row>
    <row r="10531" customFormat="false" ht="17.15" hidden="false" customHeight="false" outlineLevel="0" collapsed="false">
      <c r="A10531" s="0" t="s">
        <v>1078</v>
      </c>
      <c r="B10531" s="0" t="s">
        <v>75</v>
      </c>
      <c r="D10531" s="8" t="n">
        <f aca="false">Sens!D10529/Sens!D10530</f>
        <v>13.641259209645</v>
      </c>
      <c r="E10531" s="8" t="n">
        <f aca="false">Sens!E10529/Sens!E10530</f>
        <v>17.9456594659869</v>
      </c>
      <c r="F10531" s="8" t="n">
        <f aca="false">Sens!F10529/Sens!F10530</f>
        <v>19.3596430100199</v>
      </c>
      <c r="G10531" s="8" t="n">
        <f aca="false">Sens!G10529/Sens!G10530</f>
        <v>20.8444681088109</v>
      </c>
      <c r="H10531" s="8" t="n">
        <f aca="false">Sens!H10529/Sens!H10530</f>
        <v>22.8642792892392</v>
      </c>
      <c r="I10531" s="8" t="n">
        <f aca="false">Sens!I10529/Sens!I10530</f>
        <v>24.8228459029654</v>
      </c>
      <c r="J10531" s="8" t="n">
        <f aca="false">Sens!J10529/Sens!J10530</f>
        <v>26.6387012829667</v>
      </c>
      <c r="K10531" s="8" t="n">
        <f aca="false">Sens!K10529/Sens!K10530</f>
        <v>28.3760377660352</v>
      </c>
      <c r="L10531" s="1" t="s">
        <v>1079</v>
      </c>
    </row>
    <row r="10532" customFormat="false" ht="17.15" hidden="false" customHeight="false" outlineLevel="0" collapsed="false">
      <c r="A10532" s="1" t="s">
        <v>1080</v>
      </c>
      <c r="B10532" s="0" t="s">
        <v>98</v>
      </c>
      <c r="D10532" s="6" t="n">
        <f aca="false">Sens!D10529</f>
        <v>101.832</v>
      </c>
      <c r="E10532" s="6" t="n">
        <f aca="false">Sens!E10529</f>
        <v>133.749</v>
      </c>
      <c r="F10532" s="6" t="n">
        <f aca="false">Sens!F10529+Sens!F10522*(1-tax_f)</f>
        <v>152.471878278754</v>
      </c>
      <c r="G10532" s="6" t="n">
        <f aca="false">Sens!G10529+Sens!G10522*(1-tax_f)</f>
        <v>176.930170656177</v>
      </c>
      <c r="H10532" s="6" t="n">
        <f aca="false">Sens!H10529+Sens!H10522*(1-tax_f)</f>
        <v>206.355514840194</v>
      </c>
      <c r="I10532" s="6" t="n">
        <f aca="false">Sens!I10529+Sens!I10522*(1-tax_f)</f>
        <v>233.761081811418</v>
      </c>
      <c r="J10532" s="6" t="n">
        <f aca="false">Sens!J10529+Sens!J10522*(1-tax_f)</f>
        <v>256.483545544858</v>
      </c>
      <c r="K10532" s="6" t="n">
        <f aca="false">Sens!K10529+Sens!K10522*(1-tax_f)</f>
        <v>274.805879436263</v>
      </c>
    </row>
    <row r="10533" customFormat="false" ht="17.15" hidden="false" customHeight="false" outlineLevel="0" collapsed="false">
      <c r="A10533" s="0" t="s">
        <v>1081</v>
      </c>
      <c r="B10533" s="0" t="s">
        <v>75</v>
      </c>
      <c r="D10533" s="8" t="n">
        <f aca="false">Sens!D10532/Sens!D10530</f>
        <v>13.641259209645</v>
      </c>
      <c r="E10533" s="8" t="n">
        <f aca="false">Sens!E10532/Sens!E10530</f>
        <v>17.9456594659869</v>
      </c>
      <c r="F10533" s="8" t="n">
        <f aca="false">Sens!F10532/Sens!F10530</f>
        <v>20.4022743273505</v>
      </c>
      <c r="G10533" s="8" t="n">
        <f aca="false">Sens!G10532/Sens!G10530</f>
        <v>23.5340288323898</v>
      </c>
      <c r="H10533" s="8" t="n">
        <f aca="false">Sens!H10532/Sens!H10530</f>
        <v>27.3472251994462</v>
      </c>
      <c r="I10533" s="8" t="n">
        <f aca="false">Sens!I10532/Sens!I10530</f>
        <v>30.9312589582759</v>
      </c>
      <c r="J10533" s="8" t="n">
        <f aca="false">Sens!J10532/Sens!J10530</f>
        <v>33.8744731713106</v>
      </c>
      <c r="K10533" s="8" t="n">
        <f aca="false">Sens!K10532/Sens!K10530</f>
        <v>36.2157444863235</v>
      </c>
      <c r="L10533" s="1" t="s">
        <v>1082</v>
      </c>
    </row>
    <row r="10534" customFormat="false" ht="17.15" hidden="false" customHeight="false" outlineLevel="0" collapsed="false">
      <c r="A10534" s="0" t="s">
        <v>1083</v>
      </c>
      <c r="B10534" s="0" t="s">
        <v>168</v>
      </c>
      <c r="E10534" s="7" t="n">
        <f aca="false">Sens!E10533/Sens!D10533-1</f>
        <v>0.315542736208578</v>
      </c>
      <c r="F10534" s="7" t="n">
        <f aca="false">Sens!F10533/Sens!E10533-1</f>
        <v>0.136891868812052</v>
      </c>
      <c r="G10534" s="7" t="n">
        <f aca="false">Sens!G10533/Sens!F10533-1</f>
        <v>0.153500264470074</v>
      </c>
      <c r="H10534" s="7" t="n">
        <f aca="false">Sens!H10533/Sens!G10533-1</f>
        <v>0.162029051388274</v>
      </c>
      <c r="I10534" s="7" t="n">
        <f aca="false">Sens!I10533/Sens!H10533-1</f>
        <v>0.131056578233841</v>
      </c>
      <c r="J10534" s="7" t="n">
        <f aca="false">Sens!J10533/Sens!I10533-1</f>
        <v>0.0951533921398062</v>
      </c>
      <c r="K10534" s="7" t="n">
        <f aca="false">Sens!K10533/Sens!J10533-1</f>
        <v>0.0691160952724668</v>
      </c>
    </row>
    <row r="10535" customFormat="false" ht="17.15" hidden="false" customHeight="false" outlineLevel="0" collapsed="false">
      <c r="A10535" s="0" t="s">
        <v>1003</v>
      </c>
      <c r="B10535" s="0" t="s">
        <v>98</v>
      </c>
      <c r="E10535" s="6" t="n">
        <f aca="false">Sens!E10476</f>
        <v>5.25</v>
      </c>
      <c r="F10535" s="6" t="n">
        <f aca="false">Sens!F10476</f>
        <v>12</v>
      </c>
      <c r="G10535" s="6" t="n">
        <f aca="false">Sens!G10476</f>
        <v>18</v>
      </c>
      <c r="H10535" s="6" t="n">
        <f aca="false">Sens!H10476</f>
        <v>24</v>
      </c>
      <c r="I10535" s="6" t="n">
        <f aca="false">Sens!I10476</f>
        <v>28.5</v>
      </c>
      <c r="J10535" s="6" t="n">
        <f aca="false">Sens!J10476</f>
        <v>31.5</v>
      </c>
      <c r="K10535" s="6" t="n">
        <f aca="false">Sens!K10476</f>
        <v>34.5</v>
      </c>
    </row>
    <row r="10536" customFormat="false" ht="17.15" hidden="false" customHeight="false" outlineLevel="0" collapsed="false">
      <c r="A10536" s="1" t="s">
        <v>1004</v>
      </c>
      <c r="B10536" s="0" t="s">
        <v>98</v>
      </c>
      <c r="F10536" s="6" t="n">
        <f aca="false">MAX(0,((Sens!E10436+Sens!F10436)/2-(shadow_base*(Sens!$D$10436+Sens!$E$10436)/2+(1-shadow_base)*Sens!$E$10436))*Sens!F10445/1000-(Sens!F10535-Sens!$E$10535)*Sens!F10515)</f>
        <v>9.7398427716299</v>
      </c>
      <c r="G10536" s="6" t="n">
        <f aca="false">MAX(0,((Sens!F10436+Sens!G10436)/2-(shadow_base*(Sens!$D$10436+Sens!$E$10436)/2+(1-shadow_base)*Sens!$E$10436))*Sens!G10445/1000-(Sens!G10535-Sens!$E$10535)*Sens!G10515)</f>
        <v>25.2753385959797</v>
      </c>
      <c r="H10536" s="6" t="n">
        <f aca="false">MAX(0,((Sens!G10436+Sens!H10436)/2-(shadow_base*(Sens!$D$10436+Sens!$E$10436)/2+(1-shadow_base)*Sens!$E$10436))*Sens!H10445/1000-(Sens!H10535-Sens!$E$10535)*Sens!H10515)</f>
        <v>42.2840253697948</v>
      </c>
      <c r="I10536" s="6" t="n">
        <f aca="false">MAX(0,((Sens!H10436+Sens!I10436)/2-(shadow_base*(Sens!$D$10436+Sens!$E$10436)/2+(1-shadow_base)*Sens!$E$10436))*Sens!I10445/1000-(Sens!I10535-Sens!$E$10535)*Sens!I10515)</f>
        <v>57.704943641581</v>
      </c>
      <c r="J10536" s="6" t="n">
        <f aca="false">MAX(0,((Sens!I10436+Sens!J10436)/2-(shadow_base*(Sens!$D$10436+Sens!$E$10436)/2+(1-shadow_base)*Sens!$E$10436))*Sens!J10445/1000-(Sens!J10535-Sens!$E$10535)*Sens!J10515)</f>
        <v>68.4828520908201</v>
      </c>
      <c r="K10536" s="6" t="n">
        <f aca="false">MAX(0,((Sens!J10436+Sens!K10436)/2-(shadow_base*(Sens!$D$10436+Sens!$E$10436)/2+(1-shadow_base)*Sens!$E$10436))*Sens!K10445/1000-(Sens!K10535-Sens!$E$10535)*Sens!K10515)</f>
        <v>74.3598374943249</v>
      </c>
      <c r="L10536" s="1" t="s">
        <v>1005</v>
      </c>
    </row>
    <row r="10537" customFormat="false" ht="17.15" hidden="false" customHeight="false" outlineLevel="0" collapsed="false">
      <c r="A10537" s="1" t="s">
        <v>1006</v>
      </c>
      <c r="B10537" s="0" t="s">
        <v>98</v>
      </c>
      <c r="F10537" s="6" t="n">
        <f aca="false">IF(internal_ai_reading=2,1,0)*Sens!F10536</f>
        <v>9.7398427716299</v>
      </c>
      <c r="G10537" s="6" t="n">
        <f aca="false">IF(internal_ai_reading=2,1,0)*Sens!G10536</f>
        <v>25.2753385959797</v>
      </c>
      <c r="H10537" s="6" t="n">
        <f aca="false">IF(internal_ai_reading=2,1,0)*Sens!H10536</f>
        <v>42.2840253697948</v>
      </c>
      <c r="I10537" s="6" t="n">
        <f aca="false">IF(internal_ai_reading=2,1,0)*Sens!I10536</f>
        <v>57.704943641581</v>
      </c>
      <c r="J10537" s="6" t="n">
        <f aca="false">IF(internal_ai_reading=2,1,0)*Sens!J10536</f>
        <v>68.4828520908201</v>
      </c>
      <c r="K10537" s="6" t="n">
        <f aca="false">IF(internal_ai_reading=2,1,0)*Sens!K10536</f>
        <v>74.3598374943249</v>
      </c>
    </row>
    <row r="10538" customFormat="false" ht="17.15" hidden="false" customHeight="false" outlineLevel="0" collapsed="false">
      <c r="A10538" s="0" t="s">
        <v>1007</v>
      </c>
      <c r="B10538" s="0" t="s">
        <v>98</v>
      </c>
      <c r="F10538" s="6" t="n">
        <f aca="false">Sens!F10455+Sens!F10535*Sens!F10515+Sens!F10537-Sens!F10456-Sens!F10467</f>
        <v>14.8152827562272</v>
      </c>
      <c r="G10538" s="6" t="n">
        <f aca="false">Sens!G10455+Sens!G10535*Sens!G10515+Sens!G10537-Sens!G10456-Sens!G10467</f>
        <v>31.0349977765951</v>
      </c>
      <c r="H10538" s="6" t="n">
        <f aca="false">Sens!H10455+Sens!H10535*Sens!H10515+Sens!H10537-Sens!H10456-Sens!H10467</f>
        <v>47.8811519709826</v>
      </c>
      <c r="I10538" s="6" t="n">
        <f aca="false">Sens!I10455+Sens!I10535*Sens!I10515+Sens!I10537-Sens!I10456-Sens!I10467</f>
        <v>62.6472166574028</v>
      </c>
      <c r="J10538" s="6" t="n">
        <f aca="false">Sens!J10455+Sens!J10535*Sens!J10515+Sens!J10537-Sens!J10456-Sens!J10467</f>
        <v>72.7882253357034</v>
      </c>
      <c r="K10538" s="6" t="n">
        <f aca="false">Sens!K10455+Sens!K10535*Sens!K10515+Sens!K10537-Sens!K10456-Sens!K10467</f>
        <v>79.4617812140187</v>
      </c>
    </row>
    <row r="10539" customFormat="false" ht="17.15" hidden="false" customHeight="false" outlineLevel="0" collapsed="false">
      <c r="A10539" s="0" t="s">
        <v>1008</v>
      </c>
      <c r="B10539" s="0" t="s">
        <v>98</v>
      </c>
      <c r="E10539" s="6" t="n">
        <f aca="false">Sens!E10435*(cxit_open+self_build*tk_cxfac)/1000*ai_net_open</f>
        <v>126.6980382</v>
      </c>
      <c r="F10539" s="6" t="n">
        <f aca="false">Sens!E10539+Sens!F10464-Sens!F10467</f>
        <v>260.572627763768</v>
      </c>
      <c r="G10539" s="6" t="n">
        <f aca="false">Sens!F10539+Sens!G10464-Sens!G10467</f>
        <v>391.782612760517</v>
      </c>
      <c r="H10539" s="6" t="n">
        <f aca="false">Sens!G10539+Sens!H10464-Sens!H10467</f>
        <v>499.488526163584</v>
      </c>
      <c r="I10539" s="6" t="n">
        <f aca="false">Sens!H10539+Sens!I10464-Sens!I10467</f>
        <v>553.872350090646</v>
      </c>
      <c r="J10539" s="6" t="n">
        <f aca="false">Sens!I10539+Sens!J10464-Sens!J10467</f>
        <v>550.78660823699</v>
      </c>
      <c r="K10539" s="6" t="n">
        <f aca="false">Sens!J10539+Sens!K10464-Sens!K10467</f>
        <v>526.736791750789</v>
      </c>
      <c r="L10539" s="1" t="s">
        <v>1009</v>
      </c>
    </row>
    <row r="10540" customFormat="false" ht="17.15" hidden="false" customHeight="false" outlineLevel="0" collapsed="false">
      <c r="A10540" s="0" t="s">
        <v>1010</v>
      </c>
      <c r="B10540" s="0" t="s">
        <v>168</v>
      </c>
      <c r="F10540" s="7" t="n">
        <f aca="false">Sens!F10538*(1-tax_f)/((Sens!E10539+Sens!F10539)/2)</f>
        <v>0.0612090057246454</v>
      </c>
      <c r="G10540" s="7" t="n">
        <f aca="false">Sens!G10538*(1-tax_f)/((Sens!F10539+Sens!G10539)/2)</f>
        <v>0.0761180310326695</v>
      </c>
      <c r="H10540" s="7" t="n">
        <f aca="false">Sens!H10538*(1-tax_f)/((Sens!G10539+Sens!H10539)/2)</f>
        <v>0.0859557095566361</v>
      </c>
      <c r="I10540" s="7" t="n">
        <f aca="false">Sens!I10538*(1-tax_f)/((Sens!H10539+Sens!I10539)/2)</f>
        <v>0.0951578408800258</v>
      </c>
      <c r="J10540" s="7" t="n">
        <f aca="false">Sens!J10538*(1-tax_f)/((Sens!I10539+Sens!J10539)/2)</f>
        <v>0.105427253958487</v>
      </c>
      <c r="K10540" s="7" t="n">
        <f aca="false">Sens!K10538*(1-tax_f)/((Sens!J10539+Sens!K10539)/2)</f>
        <v>0.117991729872291</v>
      </c>
    </row>
    <row r="10541" customFormat="false" ht="17.15" hidden="false" customHeight="false" outlineLevel="0" collapsed="false">
      <c r="A10541" s="1" t="s">
        <v>1011</v>
      </c>
      <c r="B10541" s="0" t="s">
        <v>168</v>
      </c>
      <c r="F10541" s="7" t="n">
        <f aca="false">(Sens!F10538-Sens!F10537)*(1-tax_f)/((Sens!E10539+Sens!F10539)/2)</f>
        <v>0.0209690655375262</v>
      </c>
      <c r="G10541" s="7" t="n">
        <f aca="false">(Sens!G10538-Sens!G10537)*(1-tax_f)/((Sens!F10539+Sens!G10539)/2)</f>
        <v>0.014126436206105</v>
      </c>
      <c r="H10541" s="7" t="n">
        <f aca="false">(Sens!H10538-Sens!H10537)*(1-tax_f)/((Sens!G10539+Sens!H10539)/2)</f>
        <v>0.010047899197893</v>
      </c>
      <c r="I10541" s="7" t="n">
        <f aca="false">(Sens!I10538-Sens!I10537)*(1-tax_f)/((Sens!H10539+Sens!I10539)/2)</f>
        <v>0.00750705385359908</v>
      </c>
      <c r="J10541" s="7" t="n">
        <f aca="false">(Sens!J10538-Sens!J10537)*(1-tax_f)/((Sens!I10539+Sens!J10539)/2)</f>
        <v>0.00623594924015468</v>
      </c>
      <c r="K10541" s="7" t="n">
        <f aca="false">(Sens!K10538-Sens!K10537)*(1-tax_f)/((Sens!J10539+Sens!K10539)/2)</f>
        <v>0.00757580758951754</v>
      </c>
    </row>
    <row r="10542" customFormat="false" ht="17.15" hidden="false" customHeight="false" outlineLevel="0" collapsed="false">
      <c r="A10542" s="1" t="s">
        <v>1012</v>
      </c>
      <c r="B10542" s="0" t="s">
        <v>168</v>
      </c>
      <c r="F10542" s="7" t="n">
        <f aca="false">(Sens!F10538-Sens!F10537+Sens!F10536)*(1-tax_f)/((Sens!E10539+Sens!F10539)/2)</f>
        <v>0.0612090057246454</v>
      </c>
      <c r="G10542" s="7" t="n">
        <f aca="false">(Sens!G10538-Sens!G10537+Sens!G10536)*(1-tax_f)/((Sens!F10539+Sens!G10539)/2)</f>
        <v>0.0761180310326695</v>
      </c>
      <c r="H10542" s="7" t="n">
        <f aca="false">(Sens!H10538-Sens!H10537+Sens!H10536)*(1-tax_f)/((Sens!G10539+Sens!H10539)/2)</f>
        <v>0.0859557095566361</v>
      </c>
      <c r="I10542" s="7" t="n">
        <f aca="false">(Sens!I10538-Sens!I10537+Sens!I10536)*(1-tax_f)/((Sens!H10539+Sens!I10539)/2)</f>
        <v>0.0951578408800258</v>
      </c>
      <c r="J10542" s="7" t="n">
        <f aca="false">(Sens!J10538-Sens!J10537+Sens!J10536)*(1-tax_f)/((Sens!I10539+Sens!J10539)/2)</f>
        <v>0.105427253958487</v>
      </c>
      <c r="K10542" s="7" t="n">
        <f aca="false">(Sens!K10538-Sens!K10537+Sens!K10536)*(1-tax_f)/((Sens!J10539+Sens!K10539)/2)</f>
        <v>0.117991729872291</v>
      </c>
    </row>
    <row r="10543" customFormat="false" ht="17.15" hidden="false" customHeight="false" outlineLevel="0" collapsed="false">
      <c r="A10543" s="1" t="s">
        <v>1013</v>
      </c>
      <c r="B10543" s="0" t="s">
        <v>168</v>
      </c>
      <c r="F10543" s="7" t="n">
        <f aca="false">Sens!F10468*(1-tax_f)/(Sens!F10454*(Sens!E10539+Sens!F10539)/2)</f>
        <v>0.129294830495493</v>
      </c>
      <c r="G10543" s="7" t="n">
        <f aca="false">Sens!G10468*(1-tax_f)/(Sens!G10454*(Sens!F10539+Sens!G10539)/2)</f>
        <v>0.12719599062164</v>
      </c>
      <c r="H10543" s="7" t="n">
        <f aca="false">Sens!H10468*(1-tax_f)/(Sens!H10454*(Sens!G10539+Sens!H10539)/2)</f>
        <v>0.130828167067624</v>
      </c>
      <c r="I10543" s="7" t="n">
        <f aca="false">Sens!I10468*(1-tax_f)/(Sens!I10454*(Sens!H10539+Sens!I10539)/2)</f>
        <v>0.138614526937417</v>
      </c>
      <c r="J10543" s="7" t="n">
        <f aca="false">Sens!J10468*(1-tax_f)/(Sens!J10454*(Sens!I10539+Sens!J10539)/2)</f>
        <v>0.150578919010924</v>
      </c>
      <c r="K10543" s="7" t="n">
        <f aca="false">Sens!K10468*(1-tax_f)/(Sens!K10454*(Sens!J10539+Sens!K10539)/2)</f>
        <v>0.167005345886664</v>
      </c>
    </row>
    <row r="10544" customFormat="false" ht="17.15" hidden="false" customHeight="false" outlineLevel="0" collapsed="false">
      <c r="A10544" s="0" t="s">
        <v>1014</v>
      </c>
      <c r="B10544" s="0" t="s">
        <v>253</v>
      </c>
      <c r="F10544" s="7" t="n">
        <f aca="false">Sens!F10540-wacc</f>
        <v>-0.0417275852209519</v>
      </c>
      <c r="G10544" s="7" t="n">
        <f aca="false">Sens!G10540-wacc</f>
        <v>-0.0268185599129278</v>
      </c>
      <c r="H10544" s="7" t="n">
        <f aca="false">Sens!H10540-wacc</f>
        <v>-0.0169808813889612</v>
      </c>
      <c r="I10544" s="7" t="n">
        <f aca="false">Sens!I10540-wacc</f>
        <v>-0.00777875006557149</v>
      </c>
      <c r="J10544" s="7" t="n">
        <f aca="false">Sens!J10540-wacc</f>
        <v>0.0024906630128898</v>
      </c>
      <c r="K10544" s="7" t="n">
        <f aca="false">Sens!K10540-wacc</f>
        <v>0.0150551389266932</v>
      </c>
    </row>
    <row r="10545" customFormat="false" ht="17.15" hidden="false" customHeight="false" outlineLevel="0" collapsed="false">
      <c r="A10545" s="0" t="s">
        <v>1015</v>
      </c>
      <c r="B10545" s="0" t="s">
        <v>98</v>
      </c>
      <c r="F10545" s="6" t="n">
        <f aca="false">Sens!F10538*(1-tax_f)-wacc*(Sens!E10539+Sens!F10539)/2</f>
        <v>-8.07993485878896</v>
      </c>
      <c r="G10545" s="6" t="n">
        <f aca="false">Sens!G10538*(1-tax_f)-wacc*(Sens!F10539+Sens!G10539)/2</f>
        <v>-8.74761405125648</v>
      </c>
      <c r="H10545" s="6" t="n">
        <f aca="false">Sens!H10538*(1-tax_f)-wacc*(Sens!G10539+Sens!H10539)/2</f>
        <v>-7.56728474773728</v>
      </c>
      <c r="I10545" s="6" t="n">
        <f aca="false">Sens!I10538*(1-tax_f)-wacc*(Sens!H10539+Sens!I10539)/2</f>
        <v>-4.09691549261652</v>
      </c>
      <c r="J10545" s="6" t="n">
        <f aca="false">Sens!J10538*(1-tax_f)-wacc*(Sens!I10539+Sens!J10539)/2</f>
        <v>1.37566660468201</v>
      </c>
      <c r="K10545" s="6" t="n">
        <f aca="false">Sens!K10538*(1-tax_f)-wacc*(Sens!J10539+Sens!K10539)/2</f>
        <v>8.11113224178941</v>
      </c>
    </row>
    <row r="10546" customFormat="false" ht="17.15" hidden="false" customHeight="false" outlineLevel="0" collapsed="false">
      <c r="A10546" s="3" t="s">
        <v>1743</v>
      </c>
    </row>
    <row r="10547" customFormat="false" ht="15" hidden="false" customHeight="false" outlineLevel="0" collapsed="false">
      <c r="A10547" s="4" t="s">
        <v>43</v>
      </c>
      <c r="B10547" s="4" t="s">
        <v>65</v>
      </c>
      <c r="C10547" s="23" t="s">
        <v>938</v>
      </c>
      <c r="D10547" s="23" t="s">
        <v>939</v>
      </c>
      <c r="E10547" s="23" t="s">
        <v>940</v>
      </c>
      <c r="F10547" s="23" t="s">
        <v>941</v>
      </c>
      <c r="G10547" s="23" t="s">
        <v>942</v>
      </c>
      <c r="H10547" s="23" t="s">
        <v>943</v>
      </c>
      <c r="I10547" s="23" t="s">
        <v>944</v>
      </c>
      <c r="J10547" s="23" t="s">
        <v>945</v>
      </c>
      <c r="K10547" s="23" t="s">
        <v>946</v>
      </c>
      <c r="L10547" s="4" t="s">
        <v>47</v>
      </c>
    </row>
    <row r="10548" customFormat="false" ht="15" hidden="false" customHeight="false" outlineLevel="0" collapsed="false">
      <c r="A10548" s="1" t="s">
        <v>1076</v>
      </c>
      <c r="B10548" s="0" t="s">
        <v>98</v>
      </c>
      <c r="F10548" s="6" t="n">
        <f aca="false">Sens!F10529</f>
        <v>144.68000406145</v>
      </c>
      <c r="G10548" s="6" t="n">
        <f aca="false">Sens!G10529</f>
        <v>156.709899779393</v>
      </c>
      <c r="H10548" s="6" t="n">
        <f aca="false">Sens!H10529</f>
        <v>172.528294544358</v>
      </c>
      <c r="I10548" s="6" t="n">
        <f aca="false">Sens!I10529</f>
        <v>187.597126898153</v>
      </c>
      <c r="J10548" s="6" t="n">
        <f aca="false">Sens!J10529</f>
        <v>201.697263872202</v>
      </c>
      <c r="K10548" s="6" t="n">
        <f aca="false">Sens!K10529</f>
        <v>215.318009440803</v>
      </c>
    </row>
    <row r="10549" customFormat="false" ht="17.15" hidden="false" customHeight="false" outlineLevel="0" collapsed="false">
      <c r="A10549" s="1" t="s">
        <v>1098</v>
      </c>
      <c r="B10549" s="0" t="s">
        <v>98</v>
      </c>
      <c r="E10549" s="6" t="n">
        <f aca="false">Q!M38-Sens!E10467</f>
        <v>22.2285940229167</v>
      </c>
      <c r="F10549" s="6" t="n">
        <f aca="false">Sens!E10549*(1-1/life_nonai)+(Sens!F10557+Sens!F10558)/life_nonai</f>
        <v>23.580344216413</v>
      </c>
      <c r="G10549" s="6" t="n">
        <f aca="false">Sens!F10549*(1-1/life_nonai)+(Sens!G10557)/life_nonai</f>
        <v>25.3553194720851</v>
      </c>
      <c r="H10549" s="6" t="n">
        <f aca="false">Sens!G10549*(1-1/life_nonai)+(Sens!H10557)/life_nonai</f>
        <v>27.5189190475338</v>
      </c>
      <c r="I10549" s="6" t="n">
        <f aca="false">Sens!H10549*(1-1/life_nonai)+(Sens!I10557)/life_nonai</f>
        <v>30.0030534541586</v>
      </c>
      <c r="J10549" s="6" t="n">
        <f aca="false">Sens!I10549*(1-1/life_nonai)+(Sens!J10557)/life_nonai</f>
        <v>32.7226903641782</v>
      </c>
      <c r="K10549" s="6" t="n">
        <f aca="false">Sens!J10549*(1-1/life_nonai)+(Sens!K10557)/life_nonai</f>
        <v>35.5918486945769</v>
      </c>
      <c r="L10549" s="12" t="s">
        <v>1099</v>
      </c>
    </row>
    <row r="10550" customFormat="false" ht="17.15" hidden="false" customHeight="false" outlineLevel="0" collapsed="false">
      <c r="A10550" s="1" t="s">
        <v>1100</v>
      </c>
      <c r="B10550" s="0" t="s">
        <v>98</v>
      </c>
      <c r="F10550" s="6" t="n">
        <f aca="false">Sens!$F$10558/life_nonai*(1-1/life_nonai)^(Sens!F10430-2027)</f>
        <v>0.000757665865767621</v>
      </c>
      <c r="G10550" s="6" t="n">
        <f aca="false">Sens!$F$10558/life_nonai*(1-1/life_nonai)^(Sens!G10430-2027)</f>
        <v>0.000681899279190859</v>
      </c>
      <c r="H10550" s="6" t="n">
        <f aca="false">Sens!$F$10558/life_nonai*(1-1/life_nonai)^(Sens!H10430-2027)</f>
        <v>0.000613709351271773</v>
      </c>
      <c r="I10550" s="6" t="n">
        <f aca="false">Sens!$F$10558/life_nonai*(1-1/life_nonai)^(Sens!I10430-2027)</f>
        <v>0.000552338416144595</v>
      </c>
      <c r="J10550" s="6" t="n">
        <f aca="false">Sens!$F$10558/life_nonai*(1-1/life_nonai)^(Sens!J10430-2027)</f>
        <v>0.000497104574530136</v>
      </c>
      <c r="K10550" s="6" t="n">
        <f aca="false">Sens!$F$10558/life_nonai*(1-1/life_nonai)^(Sens!K10430-2027)</f>
        <v>0.000447394117077122</v>
      </c>
      <c r="L10550" s="1" t="s">
        <v>1101</v>
      </c>
    </row>
    <row r="10551" customFormat="false" ht="17.15" hidden="false" customHeight="false" outlineLevel="0" collapsed="false">
      <c r="A10551" s="1" t="s">
        <v>1102</v>
      </c>
      <c r="B10551" s="0" t="s">
        <v>98</v>
      </c>
      <c r="E10551" s="6" t="n">
        <f aca="false">Sens!E10467+Sens!E10549</f>
        <v>38.534</v>
      </c>
      <c r="F10551" s="6" t="n">
        <f aca="false">Sens!F10467+Sens!F10549</f>
        <v>58.1596586947647</v>
      </c>
      <c r="G10551" s="6" t="n">
        <f aca="false">Sens!G10467+Sens!G10549</f>
        <v>86.0898101243841</v>
      </c>
      <c r="H10551" s="6" t="n">
        <f aca="false">Sens!H10467+Sens!H10549</f>
        <v>116.619009708979</v>
      </c>
      <c r="I10551" s="6" t="n">
        <f aca="false">Sens!I10467+Sens!I10549</f>
        <v>144.234063148707</v>
      </c>
      <c r="J10551" s="6" t="n">
        <f aca="false">Sens!J10467+Sens!J10549</f>
        <v>164.738363413774</v>
      </c>
      <c r="K10551" s="6" t="n">
        <f aca="false">Sens!K10467+Sens!K10549</f>
        <v>178.604518245511</v>
      </c>
    </row>
    <row r="10552" customFormat="false" ht="17.15" hidden="false" customHeight="false" outlineLevel="0" collapsed="false">
      <c r="A10552" s="1" t="s">
        <v>1103</v>
      </c>
      <c r="B10552" s="0" t="s">
        <v>98</v>
      </c>
      <c r="F10552" s="6" t="n">
        <f aca="false">Sens!F10494*sbc_r</f>
        <v>14.9140124917473</v>
      </c>
      <c r="G10552" s="6" t="n">
        <f aca="false">Sens!G10494*sbc_r</f>
        <v>17.7978202256482</v>
      </c>
      <c r="H10552" s="6" t="n">
        <f aca="false">Sens!H10494*sbc_r</f>
        <v>20.742156313779</v>
      </c>
      <c r="I10552" s="6" t="n">
        <f aca="false">Sens!I10494*sbc_r</f>
        <v>23.4358324403648</v>
      </c>
      <c r="J10552" s="6" t="n">
        <f aca="false">Sens!J10494*sbc_r</f>
        <v>25.6268985916355</v>
      </c>
      <c r="K10552" s="6" t="n">
        <f aca="false">Sens!K10494*sbc_r</f>
        <v>27.3691917696635</v>
      </c>
    </row>
    <row r="10553" customFormat="false" ht="17.15" hidden="false" customHeight="false" outlineLevel="0" collapsed="false">
      <c r="A10553" s="1" t="s">
        <v>1104</v>
      </c>
      <c r="B10553" s="0" t="s">
        <v>98</v>
      </c>
      <c r="F10553" s="6" t="n">
        <f aca="false">wc27-wc26q1</f>
        <v>-4.677</v>
      </c>
      <c r="G10553" s="6" t="n">
        <f aca="false">wc_f</f>
        <v>0</v>
      </c>
      <c r="H10553" s="6" t="n">
        <f aca="false">wc_f</f>
        <v>0</v>
      </c>
      <c r="I10553" s="6" t="n">
        <f aca="false">wc_f</f>
        <v>0</v>
      </c>
      <c r="J10553" s="6" t="n">
        <f aca="false">wc_f</f>
        <v>0</v>
      </c>
      <c r="K10553" s="6" t="n">
        <f aca="false">wc_f</f>
        <v>0</v>
      </c>
      <c r="L10553" s="12" t="s">
        <v>1105</v>
      </c>
    </row>
    <row r="10554" customFormat="false" ht="17.15" hidden="false" customHeight="false" outlineLevel="0" collapsed="false">
      <c r="A10554" s="0" t="s">
        <v>1106</v>
      </c>
      <c r="B10554" s="0" t="s">
        <v>98</v>
      </c>
      <c r="F10554" s="6" t="n">
        <f aca="false">Q!$I$35-Q!$I$26-Q!$I$38-Q!$I$39</f>
        <v>6.493</v>
      </c>
      <c r="L10554" s="1" t="s">
        <v>1107</v>
      </c>
    </row>
    <row r="10555" customFormat="false" ht="15" hidden="false" customHeight="false" outlineLevel="0" collapsed="false">
      <c r="A10555" s="1" t="s">
        <v>904</v>
      </c>
      <c r="B10555" s="0" t="s">
        <v>98</v>
      </c>
      <c r="E10555" s="6" t="n">
        <f aca="false">Q!M35</f>
        <v>182.935</v>
      </c>
      <c r="F10555" s="6" t="n">
        <f aca="false">Sens!F10548+Sens!F10551+Sens!F10552+Sens!F10553+Sens!F10554</f>
        <v>219.569675247962</v>
      </c>
      <c r="G10555" s="6" t="n">
        <f aca="false">Sens!G10548+Sens!G10551+Sens!G10552+Sens!G10553</f>
        <v>260.597530129425</v>
      </c>
      <c r="H10555" s="6" t="n">
        <f aca="false">Sens!H10548+Sens!H10551+Sens!H10552+Sens!H10553</f>
        <v>309.889460567117</v>
      </c>
      <c r="I10555" s="6" t="n">
        <f aca="false">Sens!I10548+Sens!I10551+Sens!I10552+Sens!I10553</f>
        <v>355.267022487225</v>
      </c>
      <c r="J10555" s="6" t="n">
        <f aca="false">Sens!J10548+Sens!J10551+Sens!J10552+Sens!J10553</f>
        <v>392.062525877612</v>
      </c>
      <c r="K10555" s="6" t="n">
        <f aca="false">Sens!K10548+Sens!K10551+Sens!K10552+Sens!K10553</f>
        <v>421.291719455978</v>
      </c>
    </row>
    <row r="10556" customFormat="false" ht="17.15" hidden="false" customHeight="false" outlineLevel="0" collapsed="false">
      <c r="A10556" s="0" t="s">
        <v>1108</v>
      </c>
      <c r="B10556" s="0" t="s">
        <v>98</v>
      </c>
      <c r="F10556" s="6" t="n">
        <f aca="false">Sens!F10464</f>
        <v>168.45390404212</v>
      </c>
      <c r="G10556" s="6" t="n">
        <f aca="false">Sens!G10464</f>
        <v>191.944475649048</v>
      </c>
      <c r="H10556" s="6" t="n">
        <f aca="false">Sens!H10464</f>
        <v>196.806004064512</v>
      </c>
      <c r="I10556" s="6" t="n">
        <f aca="false">Sens!I10464</f>
        <v>168.61483362161</v>
      </c>
      <c r="J10556" s="6" t="n">
        <f aca="false">Sens!J10464</f>
        <v>128.92993119594</v>
      </c>
      <c r="K10556" s="6" t="n">
        <f aca="false">Sens!K10464</f>
        <v>118.962853064733</v>
      </c>
    </row>
    <row r="10557" customFormat="false" ht="17.15" hidden="false" customHeight="false" outlineLevel="0" collapsed="false">
      <c r="A10557" s="1" t="s">
        <v>1109</v>
      </c>
      <c r="B10557" s="0" t="s">
        <v>98</v>
      </c>
      <c r="E10557" s="6" t="n">
        <f aca="false">Sens!E10472*cx_azo+Sens!E10479*cx_m365+Sens!E10480*cx_lic+(Sens!E10482+Sens!E10484)*cx_ind+Sens!E10487*cx_srch+(Sens!E10489+Sens!E10491)*cx_dev</f>
        <v>30.1846587067718</v>
      </c>
      <c r="F10557" s="6" t="n">
        <f aca="false">Sens!F10472*cx_azo+Sens!F10479*cx_m365+Sens!F10480*cx_lic+(Sens!F10482+Sens!F10484)*cx_ind+Sens!F10487*cx_srch+(Sens!F10489+Sens!F10491)*cx_dev</f>
        <v>35.7385192992227</v>
      </c>
      <c r="G10557" s="6" t="n">
        <f aca="false">Sens!G10472*cx_azo+Sens!G10479*cx_m365+Sens!G10480*cx_lic+(Sens!G10482+Sens!G10484)*cx_ind+Sens!G10487*cx_srch+(Sens!G10489+Sens!G10491)*cx_dev</f>
        <v>41.330096773134</v>
      </c>
      <c r="H10557" s="6" t="n">
        <f aca="false">Sens!H10472*cx_azo+Sens!H10479*cx_m365+Sens!H10480*cx_lic+(Sens!H10482+Sens!H10484)*cx_ind+Sens!H10487*cx_srch+(Sens!H10489+Sens!H10491)*cx_dev</f>
        <v>46.9913152265716</v>
      </c>
      <c r="I10557" s="6" t="n">
        <f aca="false">Sens!I10472*cx_azo+Sens!I10479*cx_m365+Sens!I10480*cx_lic+(Sens!I10482+Sens!I10484)*cx_ind+Sens!I10487*cx_srch+(Sens!I10489+Sens!I10491)*cx_dev</f>
        <v>52.3602631137815</v>
      </c>
      <c r="J10557" s="6" t="n">
        <f aca="false">Sens!J10472*cx_azo+Sens!J10479*cx_m365+Sens!J10480*cx_lic+(Sens!J10482+Sens!J10484)*cx_ind+Sens!J10487*cx_srch+(Sens!J10489+Sens!J10491)*cx_dev</f>
        <v>57.1994225543549</v>
      </c>
      <c r="K10557" s="6" t="n">
        <f aca="false">Sens!K10472*cx_azo+Sens!K10479*cx_m365+Sens!K10480*cx_lic+(Sens!K10482+Sens!K10484)*cx_ind+Sens!K10487*cx_srch+(Sens!K10489+Sens!K10491)*cx_dev</f>
        <v>61.4142736681655</v>
      </c>
    </row>
    <row r="10558" customFormat="false" ht="17.15" hidden="false" customHeight="false" outlineLevel="0" collapsed="false">
      <c r="A10558" s="0" t="s">
        <v>1110</v>
      </c>
      <c r="B10558" s="0" t="s">
        <v>98</v>
      </c>
      <c r="F10558" s="6" t="n">
        <f aca="false">Sens!F10462</f>
        <v>0.00757665865767621</v>
      </c>
      <c r="L10558" s="1" t="s">
        <v>1111</v>
      </c>
    </row>
    <row r="10559" customFormat="false" ht="17.15" hidden="false" customHeight="false" outlineLevel="0" collapsed="false">
      <c r="A10559" s="1" t="s">
        <v>1112</v>
      </c>
      <c r="B10559" s="0" t="s">
        <v>98</v>
      </c>
      <c r="E10559" s="6" t="n">
        <f aca="false">Q!M43</f>
        <v>145.3</v>
      </c>
      <c r="F10559" s="6" t="n">
        <f aca="false">Sens!F10556+Sens!F10557+Sens!F10558</f>
        <v>204.2</v>
      </c>
      <c r="G10559" s="6" t="n">
        <f aca="false">Sens!G10556+Sens!G10557</f>
        <v>233.274572422182</v>
      </c>
      <c r="H10559" s="6" t="n">
        <f aca="false">Sens!H10556+Sens!H10557</f>
        <v>243.797319291084</v>
      </c>
      <c r="I10559" s="6" t="n">
        <f aca="false">Sens!I10556+Sens!I10557</f>
        <v>220.975096735392</v>
      </c>
      <c r="J10559" s="6" t="n">
        <f aca="false">Sens!J10556+Sens!J10557</f>
        <v>186.129353750295</v>
      </c>
      <c r="K10559" s="6" t="n">
        <f aca="false">Sens!K10556+Sens!K10557</f>
        <v>180.377126732898</v>
      </c>
      <c r="L10559" s="1" t="s">
        <v>1113</v>
      </c>
    </row>
    <row r="10560" customFormat="false" ht="15" hidden="false" customHeight="false" outlineLevel="0" collapsed="false">
      <c r="A10560" s="1" t="s">
        <v>1114</v>
      </c>
      <c r="B10560" s="0" t="s">
        <v>98</v>
      </c>
      <c r="E10560" s="6" t="n">
        <f aca="false">fl_liab</f>
        <v>66.594</v>
      </c>
      <c r="F10560" s="6" t="n">
        <f aca="false">Sens!E10560-Sens!F10561</f>
        <v>62.46973</v>
      </c>
      <c r="G10560" s="6" t="n">
        <f aca="false">Sens!F10560-Sens!G10561</f>
        <v>57.98686785</v>
      </c>
      <c r="H10560" s="6" t="n">
        <f aca="false">Sens!G10560-Sens!H10561</f>
        <v>53.92827690325</v>
      </c>
      <c r="I10560" s="6" t="n">
        <f aca="false">Sens!H10560-Sens!I10561</f>
        <v>49.7850493638962</v>
      </c>
      <c r="J10560" s="6" t="n">
        <f aca="false">Sens!I10560-Sens!J10561</f>
        <v>45.4823765852716</v>
      </c>
      <c r="K10560" s="6" t="n">
        <f aca="false">Sens!J10560-Sens!K10561</f>
        <v>40.9860835316088</v>
      </c>
    </row>
    <row r="10561" customFormat="false" ht="15" hidden="false" customHeight="false" outlineLevel="0" collapsed="false">
      <c r="A10561" s="1" t="s">
        <v>1115</v>
      </c>
      <c r="B10561" s="0" t="s">
        <v>98</v>
      </c>
      <c r="F10561" s="6" t="n">
        <f aca="false">fl_pay_27-Sens!E10560*fl_rate</f>
        <v>4.12427</v>
      </c>
      <c r="G10561" s="6" t="n">
        <f aca="false">fl_pay_28-Sens!F10560*fl_rate</f>
        <v>4.48286215</v>
      </c>
      <c r="H10561" s="6" t="n">
        <f aca="false">fl_pay_29-Sens!G10560*fl_rate</f>
        <v>4.05859094675</v>
      </c>
      <c r="I10561" s="6" t="n">
        <f aca="false">fl_pay_30-Sens!H10560*fl_rate</f>
        <v>4.14322753935375</v>
      </c>
      <c r="J10561" s="6" t="n">
        <f aca="false">fl_pay_31-Sens!I10560*fl_rate</f>
        <v>4.30267277862467</v>
      </c>
      <c r="K10561" s="6" t="n">
        <f aca="false">fl_pay_32-Sens!J10560*fl_rate</f>
        <v>4.49629305366278</v>
      </c>
    </row>
    <row r="10562" customFormat="false" ht="17.15" hidden="false" customHeight="false" outlineLevel="0" collapsed="false">
      <c r="A10562" s="1" t="s">
        <v>1116</v>
      </c>
      <c r="B10562" s="0" t="s">
        <v>98</v>
      </c>
      <c r="E10562" s="6" t="n">
        <f aca="false">Q!M35-Q!M36-Q!M44</f>
        <v>63.886</v>
      </c>
      <c r="F10562" s="6" t="n">
        <f aca="false">Sens!F10555-Sens!F10559-Sens!F10561</f>
        <v>11.2454052479624</v>
      </c>
      <c r="G10562" s="6" t="n">
        <f aca="false">Sens!G10555-Sens!G10559-Sens!G10561</f>
        <v>22.8400955572432</v>
      </c>
      <c r="H10562" s="6" t="n">
        <f aca="false">Sens!H10555-Sens!H10559-Sens!H10561</f>
        <v>62.0335503292829</v>
      </c>
      <c r="I10562" s="6" t="n">
        <f aca="false">Sens!I10555-Sens!I10559-Sens!I10561</f>
        <v>130.148698212479</v>
      </c>
      <c r="J10562" s="6" t="n">
        <f aca="false">Sens!J10555-Sens!J10559-Sens!J10561</f>
        <v>201.630499348692</v>
      </c>
      <c r="K10562" s="6" t="n">
        <f aca="false">Sens!K10555-Sens!K10559-Sens!K10561</f>
        <v>236.418299669417</v>
      </c>
      <c r="L10562" s="12" t="s">
        <v>1117</v>
      </c>
    </row>
    <row r="10563" customFormat="false" ht="15" hidden="false" customHeight="false" outlineLevel="0" collapsed="false">
      <c r="A10563" s="1" t="s">
        <v>1118</v>
      </c>
      <c r="B10563" s="0" t="s">
        <v>75</v>
      </c>
      <c r="F10563" s="8" t="n">
        <f aca="false">dps_27</f>
        <v>3.85</v>
      </c>
      <c r="G10563" s="8" t="n">
        <f aca="false">Sens!F10563*(1+dps_g)</f>
        <v>4.158</v>
      </c>
      <c r="H10563" s="8" t="n">
        <f aca="false">Sens!G10563*(1+dps_g)</f>
        <v>4.49064</v>
      </c>
      <c r="I10563" s="8" t="n">
        <f aca="false">Sens!H10563*(1+dps_g)</f>
        <v>4.8498912</v>
      </c>
      <c r="J10563" s="8" t="n">
        <f aca="false">Sens!I10563*(1+dps_g)</f>
        <v>5.237882496</v>
      </c>
      <c r="K10563" s="8" t="n">
        <f aca="false">Sens!J10563*(1+dps_g)</f>
        <v>5.65691309568</v>
      </c>
    </row>
    <row r="10564" customFormat="false" ht="17.15" hidden="false" customHeight="false" outlineLevel="0" collapsed="false">
      <c r="A10564" s="1" t="s">
        <v>1119</v>
      </c>
      <c r="B10564" s="0" t="s">
        <v>98</v>
      </c>
      <c r="E10564" s="6" t="n">
        <f aca="false">Q!M41</f>
        <v>26.445</v>
      </c>
      <c r="F10564" s="6" t="n">
        <f aca="false">Sens!F10563*Sens!E10573</f>
        <v>28.59395</v>
      </c>
      <c r="G10564" s="6" t="n">
        <f aca="false">Sens!G10563*Sens!F10573</f>
        <v>31.0667340863236</v>
      </c>
      <c r="H10564" s="6" t="n">
        <f aca="false">Sens!H10563*Sens!G10573</f>
        <v>33.7541516132295</v>
      </c>
      <c r="I10564" s="6" t="n">
        <f aca="false">Sens!I10563*Sens!H10573</f>
        <v>36.5049220193605</v>
      </c>
      <c r="J10564" s="6" t="n">
        <f aca="false">Sens!J10563*Sens!I10573</f>
        <v>39.493213666302</v>
      </c>
      <c r="K10564" s="6" t="n">
        <f aca="false">Sens!K10563*Sens!J10573</f>
        <v>42.7394250219844</v>
      </c>
      <c r="L10564" s="1" t="s">
        <v>1120</v>
      </c>
    </row>
    <row r="10565" customFormat="false" ht="15" hidden="false" customHeight="false" outlineLevel="0" collapsed="false">
      <c r="A10565" s="1" t="s">
        <v>1121</v>
      </c>
      <c r="B10565" s="0" t="s">
        <v>98</v>
      </c>
      <c r="E10565" s="6" t="n">
        <f aca="false">Sens!E10562-Sens!E10564</f>
        <v>37.441</v>
      </c>
      <c r="F10565" s="6" t="n">
        <f aca="false">Sens!F10562-Sens!F10564</f>
        <v>-17.3485447520376</v>
      </c>
      <c r="G10565" s="6" t="n">
        <f aca="false">Sens!G10562-Sens!G10564</f>
        <v>-8.22663852908049</v>
      </c>
      <c r="H10565" s="6" t="n">
        <f aca="false">Sens!H10562-Sens!H10564</f>
        <v>28.2793987160533</v>
      </c>
      <c r="I10565" s="6" t="n">
        <f aca="false">Sens!I10562-Sens!I10564</f>
        <v>93.6437761931188</v>
      </c>
      <c r="J10565" s="6" t="n">
        <f aca="false">Sens!J10562-Sens!J10564</f>
        <v>162.13728568239</v>
      </c>
      <c r="K10565" s="6" t="n">
        <f aca="false">Sens!K10562-Sens!K10564</f>
        <v>193.678874647432</v>
      </c>
    </row>
    <row r="10566" customFormat="false" ht="15" hidden="false" customHeight="false" outlineLevel="0" collapsed="false">
      <c r="A10566" s="1" t="s">
        <v>1122</v>
      </c>
      <c r="B10566" s="0" t="s">
        <v>98</v>
      </c>
      <c r="F10566" s="6" t="n">
        <f aca="false">debt_mat_27</f>
        <v>9.25</v>
      </c>
      <c r="G10566" s="6" t="n">
        <f aca="false">debt_mat_28</f>
        <v>0</v>
      </c>
      <c r="H10566" s="6" t="n">
        <f aca="false">debt_mat_29</f>
        <v>2.001</v>
      </c>
      <c r="I10566" s="6" t="n">
        <f aca="false">debt_mat_30</f>
        <v>0</v>
      </c>
      <c r="J10566" s="6" t="n">
        <f aca="false">debt_mat_31</f>
        <v>0.5</v>
      </c>
      <c r="K10566" s="6" t="n">
        <f aca="false">debt_mat_32</f>
        <v>0</v>
      </c>
    </row>
    <row r="10567" customFormat="false" ht="15" hidden="false" customHeight="false" outlineLevel="0" collapsed="false">
      <c r="A10567" s="1" t="s">
        <v>1123</v>
      </c>
      <c r="B10567" s="0" t="s">
        <v>98</v>
      </c>
      <c r="E10567" s="6" t="n">
        <f aca="false">Q!M40</f>
        <v>22.271</v>
      </c>
      <c r="F10567" s="6" t="n">
        <f aca="false">MAX(0,MIN(bb_target,Sens!E10569+Sens!F10565-Sens!F10566-min_cash))</f>
        <v>0.244455247962421</v>
      </c>
      <c r="G10567" s="6" t="n">
        <f aca="false">MAX(0,MIN(bb_target,Sens!F10569+Sens!G10565-Sens!G10566-min_cash))</f>
        <v>0</v>
      </c>
      <c r="H10567" s="6" t="n">
        <f aca="false">MAX(0,MIN(bb_target,Sens!G10569+Sens!H10565-Sens!H10566-min_cash))</f>
        <v>22.271</v>
      </c>
      <c r="I10567" s="6" t="n">
        <f aca="false">MAX(0,MIN(bb_target,Sens!H10569+Sens!I10565-Sens!I10566-min_cash))</f>
        <v>22.271</v>
      </c>
      <c r="J10567" s="6" t="n">
        <f aca="false">MAX(0,MIN(bb_target,Sens!I10569+Sens!J10565-Sens!J10566-min_cash))</f>
        <v>22.271</v>
      </c>
      <c r="K10567" s="6" t="n">
        <f aca="false">MAX(0,MIN(bb_target,Sens!J10569+Sens!K10565-Sens!K10566-min_cash))</f>
        <v>22.271</v>
      </c>
    </row>
    <row r="10568" customFormat="false" ht="15" hidden="false" customHeight="false" outlineLevel="0" collapsed="false">
      <c r="A10568" s="1" t="s">
        <v>1124</v>
      </c>
      <c r="B10568" s="0" t="s">
        <v>98</v>
      </c>
      <c r="F10568" s="6" t="n">
        <f aca="false">MAX(0,min_cash-(Sens!E10569+Sens!F10565-Sens!F10566-Sens!F10567))</f>
        <v>0</v>
      </c>
      <c r="G10568" s="6" t="n">
        <f aca="false">MAX(0,min_cash-(Sens!F10569+Sens!G10565-Sens!G10566-Sens!G10567))</f>
        <v>8.22663852908049</v>
      </c>
      <c r="H10568" s="6" t="n">
        <f aca="false">MAX(0,min_cash-(Sens!G10569+Sens!H10565-Sens!H10566-Sens!H10567))</f>
        <v>0</v>
      </c>
      <c r="I10568" s="6" t="n">
        <f aca="false">MAX(0,min_cash-(Sens!H10569+Sens!I10565-Sens!I10566-Sens!I10567))</f>
        <v>0</v>
      </c>
      <c r="J10568" s="6" t="n">
        <f aca="false">MAX(0,min_cash-(Sens!I10569+Sens!J10565-Sens!J10566-Sens!J10567))</f>
        <v>0</v>
      </c>
      <c r="K10568" s="6" t="n">
        <f aca="false">MAX(0,min_cash-(Sens!J10569+Sens!K10565-Sens!K10566-Sens!K10567))</f>
        <v>0</v>
      </c>
    </row>
    <row r="10569" customFormat="false" ht="15" hidden="false" customHeight="false" outlineLevel="0" collapsed="false">
      <c r="A10569" s="1" t="s">
        <v>1125</v>
      </c>
      <c r="B10569" s="0" t="s">
        <v>98</v>
      </c>
      <c r="E10569" s="6" t="n">
        <f aca="false">cash_open</f>
        <v>76.843</v>
      </c>
      <c r="F10569" s="6" t="n">
        <f aca="false">Sens!E10569+Sens!F10565-Sens!F10566-Sens!F10567+Sens!F10568</f>
        <v>50</v>
      </c>
      <c r="G10569" s="6" t="n">
        <f aca="false">Sens!F10569+Sens!G10565-Sens!G10566-Sens!G10567+Sens!G10568</f>
        <v>50</v>
      </c>
      <c r="H10569" s="6" t="n">
        <f aca="false">Sens!G10569+Sens!H10565-Sens!H10566-Sens!H10567+Sens!H10568</f>
        <v>54.0073987160533</v>
      </c>
      <c r="I10569" s="6" t="n">
        <f aca="false">Sens!H10569+Sens!I10565-Sens!I10566-Sens!I10567+Sens!I10568</f>
        <v>125.380174909172</v>
      </c>
      <c r="J10569" s="6" t="n">
        <f aca="false">Sens!I10569+Sens!J10565-Sens!J10566-Sens!J10567+Sens!J10568</f>
        <v>264.746460591562</v>
      </c>
      <c r="K10569" s="6" t="n">
        <f aca="false">Sens!J10569+Sens!K10565-Sens!K10566-Sens!K10567+Sens!K10568</f>
        <v>436.154335238994</v>
      </c>
    </row>
    <row r="10570" customFormat="false" ht="15" hidden="false" customHeight="false" outlineLevel="0" collapsed="false">
      <c r="A10570" s="1" t="s">
        <v>1126</v>
      </c>
      <c r="B10570" s="0" t="s">
        <v>98</v>
      </c>
      <c r="E10570" s="6" t="n">
        <f aca="false">debt_face</f>
        <v>46.136</v>
      </c>
      <c r="F10570" s="6" t="n">
        <f aca="false">Sens!E10570-Sens!F10566+Sens!F10568</f>
        <v>36.886</v>
      </c>
      <c r="G10570" s="6" t="n">
        <f aca="false">Sens!F10570-Sens!G10566+Sens!G10568</f>
        <v>45.1126385290805</v>
      </c>
      <c r="H10570" s="6" t="n">
        <f aca="false">Sens!G10570-Sens!H10566+Sens!H10568</f>
        <v>43.1116385290805</v>
      </c>
      <c r="I10570" s="6" t="n">
        <f aca="false">Sens!H10570-Sens!I10566+Sens!I10568</f>
        <v>43.1116385290805</v>
      </c>
      <c r="J10570" s="6" t="n">
        <f aca="false">Sens!I10570-Sens!J10566+Sens!J10568</f>
        <v>42.6116385290805</v>
      </c>
      <c r="K10570" s="6" t="n">
        <f aca="false">Sens!J10570-Sens!K10566+Sens!K10568</f>
        <v>42.6116385290805</v>
      </c>
    </row>
    <row r="10571" customFormat="false" ht="15" hidden="false" customHeight="false" outlineLevel="0" collapsed="false">
      <c r="A10571" s="1" t="s">
        <v>1127</v>
      </c>
      <c r="B10571" s="0" t="s">
        <v>98</v>
      </c>
      <c r="E10571" s="6" t="n">
        <f aca="false">Sens!E10569-Sens!E10570</f>
        <v>30.707</v>
      </c>
      <c r="F10571" s="6" t="n">
        <f aca="false">Sens!F10569-Sens!F10570</f>
        <v>13.114</v>
      </c>
      <c r="G10571" s="6" t="n">
        <f aca="false">Sens!G10569-Sens!G10570</f>
        <v>4.88736147091951</v>
      </c>
      <c r="H10571" s="6" t="n">
        <f aca="false">Sens!H10569-Sens!H10570</f>
        <v>10.8957601869728</v>
      </c>
      <c r="I10571" s="6" t="n">
        <f aca="false">Sens!I10569-Sens!I10570</f>
        <v>82.2685363800917</v>
      </c>
      <c r="J10571" s="6" t="n">
        <f aca="false">Sens!J10569-Sens!J10570</f>
        <v>222.134822062482</v>
      </c>
      <c r="K10571" s="6" t="n">
        <f aca="false">Sens!K10569-Sens!K10570</f>
        <v>393.542696709914</v>
      </c>
    </row>
    <row r="10572" customFormat="false" ht="15" hidden="false" customHeight="false" outlineLevel="0" collapsed="false">
      <c r="A10572" s="1" t="s">
        <v>1128</v>
      </c>
      <c r="B10572" s="0" t="s">
        <v>75</v>
      </c>
      <c r="F10572" s="30" t="n">
        <f aca="false">px*(1+bb_g)^(Sens!F10430-base_fy-mid_yr)</f>
        <v>551.84177959629</v>
      </c>
      <c r="G10572" s="30" t="n">
        <f aca="false">px*(1+bb_g)^(Sens!G10430-base_fy-mid_yr)</f>
        <v>595.989121963993</v>
      </c>
      <c r="H10572" s="30" t="n">
        <f aca="false">px*(1+bb_g)^(Sens!H10430-base_fy-mid_yr)</f>
        <v>643.668251721112</v>
      </c>
      <c r="I10572" s="30" t="n">
        <f aca="false">px*(1+bb_g)^(Sens!I10430-base_fy-mid_yr)</f>
        <v>695.161711858801</v>
      </c>
      <c r="J10572" s="30" t="n">
        <f aca="false">px*(1+bb_g)^(Sens!J10430-base_fy-mid_yr)</f>
        <v>750.774648807506</v>
      </c>
      <c r="K10572" s="30" t="n">
        <f aca="false">px*(1+bb_g)^(Sens!K10430-base_fy-mid_yr)</f>
        <v>810.836620712106</v>
      </c>
    </row>
    <row r="10573" customFormat="false" ht="15" hidden="false" customHeight="false" outlineLevel="0" collapsed="false">
      <c r="A10573" s="1" t="s">
        <v>1129</v>
      </c>
      <c r="B10573" s="1" t="s">
        <v>81</v>
      </c>
      <c r="E10573" s="15" t="n">
        <f aca="false">sh_out26</f>
        <v>7.427</v>
      </c>
      <c r="F10573" s="15" t="n">
        <f aca="false">Sens!E10573+sh_iss-Sens!F10567/Sens!F10572</f>
        <v>7.47155701931785</v>
      </c>
      <c r="G10573" s="15" t="n">
        <f aca="false">Sens!F10573+sh_iss-Sens!G10567/Sens!G10572</f>
        <v>7.51655701931785</v>
      </c>
      <c r="H10573" s="15" t="n">
        <f aca="false">Sens!G10573+sh_iss-Sens!H10567/Sens!H10572</f>
        <v>7.52695689737546</v>
      </c>
      <c r="I10573" s="15" t="n">
        <f aca="false">Sens!H10573+sh_iss-Sens!I10567/Sens!I10572</f>
        <v>7.53991974742879</v>
      </c>
      <c r="J10573" s="15" t="n">
        <f aca="false">Sens!I10573+sh_iss-Sens!J10567/Sens!J10572</f>
        <v>7.5552557197004</v>
      </c>
      <c r="K10573" s="15" t="n">
        <f aca="false">Sens!J10573+sh_iss-Sens!K10567/Sens!K10572</f>
        <v>7.5727890273593</v>
      </c>
    </row>
    <row r="10574" customFormat="false" ht="15" hidden="false" customHeight="false" outlineLevel="0" collapsed="false">
      <c r="A10574" s="1" t="s">
        <v>1130</v>
      </c>
      <c r="B10574" s="1" t="s">
        <v>81</v>
      </c>
      <c r="E10574" s="15" t="n">
        <f aca="false">sh_dil26</f>
        <v>7.453</v>
      </c>
      <c r="F10574" s="15" t="n">
        <f aca="false">(Sens!E10573+Sens!F10573)/2+dil_gap</f>
        <v>7.47327850965893</v>
      </c>
      <c r="G10574" s="15" t="n">
        <f aca="false">(Sens!F10573+Sens!G10573)/2+dil_gap</f>
        <v>7.51805701931785</v>
      </c>
      <c r="H10574" s="15" t="n">
        <f aca="false">(Sens!G10573+Sens!H10573)/2+dil_gap</f>
        <v>7.54575695834665</v>
      </c>
      <c r="I10574" s="15" t="n">
        <f aca="false">(Sens!H10573+Sens!I10573)/2+dil_gap</f>
        <v>7.55743832240212</v>
      </c>
      <c r="J10574" s="15" t="n">
        <f aca="false">(Sens!I10573+Sens!J10573)/2+dil_gap</f>
        <v>7.5715877335646</v>
      </c>
      <c r="K10574" s="15" t="n">
        <f aca="false">(Sens!J10573+Sens!K10573)/2+dil_gap</f>
        <v>7.58802237352985</v>
      </c>
    </row>
    <row r="10575" customFormat="false" ht="17.15" hidden="false" customHeight="false" outlineLevel="0" collapsed="false">
      <c r="A10575" s="1" t="s">
        <v>1131</v>
      </c>
      <c r="B10575" s="0" t="s">
        <v>98</v>
      </c>
      <c r="C10575" s="6" t="n">
        <f aca="false">SUM(Sens!F10565:J10565)</f>
        <v>258.485277310444</v>
      </c>
    </row>
    <row r="10576" customFormat="false" ht="15" hidden="false" customHeight="false" outlineLevel="0" collapsed="false">
      <c r="A10576" s="26" t="s">
        <v>1096</v>
      </c>
      <c r="B10576" s="31" t="s">
        <v>98</v>
      </c>
      <c r="C10576" s="27" t="n">
        <f aca="false">Sens!$C$10575-(Sens!F10565+Sens!G10565+Sens!H10565+Sens!I10565+Sens!J10565)</f>
        <v>0</v>
      </c>
      <c r="D10576" s="31"/>
      <c r="E10576" s="31"/>
      <c r="F10576" s="31"/>
      <c r="G10576" s="31"/>
      <c r="H10576" s="31"/>
      <c r="I10576" s="31"/>
      <c r="J10576" s="31"/>
      <c r="K10576" s="31"/>
    </row>
    <row r="10577" customFormat="false" ht="17.15" hidden="false" customHeight="false" outlineLevel="0" collapsed="false">
      <c r="A10577" s="1" t="s">
        <v>1090</v>
      </c>
      <c r="B10577" s="1" t="s">
        <v>1132</v>
      </c>
      <c r="C10577" s="33" t="str">
        <f aca="false">IF(SUM(Sens!F10568:J10568)&gt;0.05,"需要舉債 "&amp;TEXT(SUM(Sens!F10568:J10568),"0.0")&amp;" 十億美元","不需舉債")&amp;"；"&amp;IF(SUM(Sens!F10567:J10567)&lt;COUNT(Sens!F10567:J10567)*bb_target-0.05,"回購較每年 "&amp;TEXT(bb_target,"0.0")&amp;" 的目標少 "&amp;TEXT(COUNT(Sens!F10567:J10567)*bb_target-SUM(Sens!F10567:J10567),"0.0")&amp;" 十億美元（"&amp;TEXT(COUNTIF(Sens!F10567:J10567,"&lt;"&amp;(bb_target-0.05)),"0")&amp;" 年減少）","回購不減")</f>
        <v>需要舉債 8.2 十億美元；回購較每年 22.3 的目標少 44.3 十億美元（2 年減少）</v>
      </c>
    </row>
    <row r="10578" customFormat="false" ht="17.15" hidden="false" customHeight="false" outlineLevel="0" collapsed="false">
      <c r="A10578" s="3" t="s">
        <v>1744</v>
      </c>
    </row>
    <row r="10579" customFormat="false" ht="15" hidden="false" customHeight="false" outlineLevel="0" collapsed="false">
      <c r="A10579" s="4" t="s">
        <v>43</v>
      </c>
      <c r="B10579" s="4" t="s">
        <v>65</v>
      </c>
      <c r="C10579" s="23" t="s">
        <v>938</v>
      </c>
      <c r="D10579" s="23" t="s">
        <v>939</v>
      </c>
      <c r="E10579" s="23" t="s">
        <v>940</v>
      </c>
      <c r="F10579" s="23" t="s">
        <v>941</v>
      </c>
      <c r="G10579" s="23" t="s">
        <v>942</v>
      </c>
      <c r="H10579" s="23" t="s">
        <v>943</v>
      </c>
      <c r="I10579" s="23" t="s">
        <v>944</v>
      </c>
      <c r="J10579" s="23" t="s">
        <v>945</v>
      </c>
      <c r="K10579" s="23" t="s">
        <v>946</v>
      </c>
      <c r="L10579" s="4" t="s">
        <v>47</v>
      </c>
    </row>
    <row r="10580" customFormat="false" ht="17.15" hidden="false" customHeight="false" outlineLevel="0" collapsed="false">
      <c r="A10580" s="1" t="s">
        <v>1212</v>
      </c>
      <c r="B10580" s="1" t="s">
        <v>279</v>
      </c>
      <c r="F10580" s="8" t="n">
        <f aca="false">(1-v_off)*mid_yr</f>
        <v>0.373972602739726</v>
      </c>
      <c r="G10580" s="8" t="n">
        <f aca="false">Sens!G10430-base_fy-mid_yr-v_off</f>
        <v>1.24794520547945</v>
      </c>
      <c r="H10580" s="8" t="n">
        <f aca="false">Sens!H10430-base_fy-mid_yr-v_off</f>
        <v>2.24794520547945</v>
      </c>
      <c r="I10580" s="8" t="n">
        <f aca="false">Sens!I10430-base_fy-mid_yr-v_off</f>
        <v>3.24794520547945</v>
      </c>
      <c r="J10580" s="8" t="n">
        <f aca="false">Sens!J10430-base_fy-mid_yr-v_off</f>
        <v>4.24794520547945</v>
      </c>
      <c r="K10580" s="8" t="n">
        <f aca="false">Sens!K10430-base_fy-mid_yr-v_off</f>
        <v>5.24794520547945</v>
      </c>
      <c r="L10580" s="12" t="s">
        <v>1213</v>
      </c>
    </row>
    <row r="10581" customFormat="false" ht="15" hidden="false" customHeight="false" outlineLevel="0" collapsed="false">
      <c r="A10581" s="1" t="s">
        <v>1214</v>
      </c>
      <c r="B10581" s="1" t="s">
        <v>279</v>
      </c>
      <c r="F10581" s="8" t="n">
        <f aca="false">Sens!F10430-base_fy-v_off</f>
        <v>0.747945205479452</v>
      </c>
      <c r="G10581" s="8" t="n">
        <f aca="false">Sens!G10430-base_fy-v_off</f>
        <v>1.74794520547945</v>
      </c>
      <c r="H10581" s="8" t="n">
        <f aca="false">Sens!H10430-base_fy-v_off</f>
        <v>2.74794520547945</v>
      </c>
      <c r="I10581" s="8" t="n">
        <f aca="false">Sens!I10430-base_fy-v_off</f>
        <v>3.74794520547945</v>
      </c>
      <c r="J10581" s="8" t="n">
        <f aca="false">Sens!J10430-base_fy-v_off</f>
        <v>4.74794520547945</v>
      </c>
      <c r="K10581" s="8" t="n">
        <f aca="false">Sens!K10430-base_fy-v_off</f>
        <v>5.74794520547945</v>
      </c>
    </row>
    <row r="10582" customFormat="false" ht="15" hidden="false" customHeight="false" outlineLevel="0" collapsed="false">
      <c r="A10582" s="1" t="s">
        <v>1215</v>
      </c>
      <c r="B10582" s="0" t="s">
        <v>229</v>
      </c>
      <c r="F10582" s="15" t="n">
        <f aca="false">1/(1+wacc)^Sens!F10580</f>
        <v>0.964022703286649</v>
      </c>
      <c r="G10582" s="15" t="n">
        <f aca="false">1/(1+wacc)^Sens!G10580</f>
        <v>0.884910302296739</v>
      </c>
      <c r="H10582" s="15" t="n">
        <f aca="false">1/(1+wacc)^Sens!H10580</f>
        <v>0.802322009770358</v>
      </c>
      <c r="I10582" s="15" t="n">
        <f aca="false">1/(1+wacc)^Sens!I10580</f>
        <v>0.727441646561469</v>
      </c>
      <c r="J10582" s="15" t="n">
        <f aca="false">1/(1+wacc)^Sens!J10580</f>
        <v>0.659549834988973</v>
      </c>
      <c r="K10582" s="15" t="n">
        <f aca="false">1/(1+wacc)^Sens!K10580</f>
        <v>0.597994336576966</v>
      </c>
    </row>
    <row r="10583" customFormat="false" ht="17.15" hidden="false" customHeight="false" outlineLevel="0" collapsed="false">
      <c r="A10583" s="1" t="s">
        <v>1216</v>
      </c>
      <c r="B10583" s="0" t="s">
        <v>98</v>
      </c>
      <c r="F10583" s="6" t="n">
        <f aca="false">Q!$I$35-Q!$I$39-Q!$I$43</f>
        <v>9.666</v>
      </c>
      <c r="L10583" s="12" t="s">
        <v>1217</v>
      </c>
    </row>
    <row r="10584" customFormat="false" ht="17.15" hidden="false" customHeight="false" outlineLevel="0" collapsed="false">
      <c r="A10584" s="1" t="s">
        <v>1218</v>
      </c>
      <c r="B10584" s="0" t="s">
        <v>98</v>
      </c>
      <c r="F10584" s="6" t="n">
        <f aca="false">Sens!F10555-Sens!F10552-Sens!F10559+Sens!F10537*(1-tax_f)*(1-v_off)-Sens!F10583</f>
        <v>-3.38244228125347</v>
      </c>
      <c r="G10584" s="6" t="n">
        <f aca="false">Sens!G10555-Sens!G10552-Sens!G10559+Sens!G10537*(1-tax_f)</f>
        <v>29.7454083583786</v>
      </c>
      <c r="H10584" s="6" t="n">
        <f aca="false">Sens!H10555-Sens!H10552-Sens!H10559+Sens!H10537*(1-tax_f)</f>
        <v>79.1772052580896</v>
      </c>
      <c r="I10584" s="6" t="n">
        <f aca="false">Sens!I10555-Sens!I10552-Sens!I10559+Sens!I10537*(1-tax_f)</f>
        <v>157.020048224733</v>
      </c>
      <c r="J10584" s="6" t="n">
        <f aca="false">Sens!J10555-Sens!J10552-Sens!J10559+Sens!J10537*(1-tax_f)</f>
        <v>235.092555208337</v>
      </c>
      <c r="K10584" s="6" t="n">
        <f aca="false">Sens!K10555-Sens!K10552-Sens!K10559+Sens!K10537*(1-tax_f)</f>
        <v>273.033270948876</v>
      </c>
      <c r="L10584" s="1" t="s">
        <v>1219</v>
      </c>
    </row>
    <row r="10585" customFormat="false" ht="15" hidden="false" customHeight="false" outlineLevel="0" collapsed="false">
      <c r="A10585" s="1" t="s">
        <v>1220</v>
      </c>
      <c r="B10585" s="0" t="s">
        <v>98</v>
      </c>
      <c r="F10585" s="6" t="n">
        <f aca="false">Sens!F10584*Sens!F10582</f>
        <v>-3.26075115168503</v>
      </c>
      <c r="G10585" s="6" t="n">
        <f aca="false">Sens!G10584*Sens!G10582</f>
        <v>26.3220183023528</v>
      </c>
      <c r="H10585" s="6" t="n">
        <f aca="false">Sens!H10584*Sens!H10582</f>
        <v>63.5256144506706</v>
      </c>
      <c r="I10585" s="6" t="n">
        <f aca="false">Sens!I10584*Sens!I10582</f>
        <v>114.222922423761</v>
      </c>
      <c r="J10585" s="6" t="n">
        <f aca="false">Sens!J10584*Sens!J10582</f>
        <v>155.055255994795</v>
      </c>
      <c r="K10585" s="6" t="n">
        <f aca="false">Sens!K10584*Sens!K10582</f>
        <v>163.272349724512</v>
      </c>
    </row>
    <row r="10586" customFormat="false" ht="17.15" hidden="false" customHeight="false" outlineLevel="0" collapsed="false">
      <c r="A10586" s="1" t="s">
        <v>1221</v>
      </c>
      <c r="B10586" s="0" t="s">
        <v>98</v>
      </c>
      <c r="C10586" s="6" t="n">
        <f aca="false">SUM(Sens!F10585:K10585)</f>
        <v>519.137409744406</v>
      </c>
    </row>
    <row r="10587" customFormat="false" ht="17.15" hidden="false" customHeight="false" outlineLevel="0" collapsed="false">
      <c r="A10587" s="1" t="s">
        <v>1222</v>
      </c>
      <c r="B10587" s="0" t="s">
        <v>98</v>
      </c>
      <c r="C10587" s="6" t="n">
        <f aca="false">Sens!K10523*(1+g_tv)*(1-tax_f)</f>
        <v>284.038855819351</v>
      </c>
    </row>
    <row r="10588" customFormat="false" ht="17.15" hidden="false" customHeight="false" outlineLevel="0" collapsed="false">
      <c r="A10588" s="1" t="s">
        <v>1223</v>
      </c>
      <c r="B10588" s="0" t="s">
        <v>98</v>
      </c>
      <c r="C10588" s="6" t="n">
        <f aca="false">Sens!$C$10587*(1-g_tv/(wacc+ronic_prem))</f>
        <v>201.258130362025</v>
      </c>
    </row>
    <row r="10589" customFormat="false" ht="17.15" hidden="false" customHeight="false" outlineLevel="0" collapsed="false">
      <c r="A10589" s="1" t="s">
        <v>1224</v>
      </c>
      <c r="B10589" s="0" t="s">
        <v>98</v>
      </c>
      <c r="C10589" s="6" t="n">
        <f aca="false">Sens!$C$10588/(wacc-g_tv)</f>
        <v>2759.35751524419</v>
      </c>
    </row>
    <row r="10590" customFormat="false" ht="15" hidden="false" customHeight="false" outlineLevel="0" collapsed="false">
      <c r="A10590" s="1" t="s">
        <v>1225</v>
      </c>
      <c r="B10590" s="0" t="s">
        <v>98</v>
      </c>
      <c r="C10590" s="6" t="n">
        <f aca="false">Sens!$C$10589/(1+wacc)^Sens!K10581</f>
        <v>1571.19385440905</v>
      </c>
    </row>
    <row r="10591" customFormat="false" ht="17.15" hidden="false" customHeight="false" outlineLevel="0" collapsed="false">
      <c r="A10591" s="0" t="s">
        <v>1226</v>
      </c>
      <c r="B10591" s="0" t="s">
        <v>98</v>
      </c>
      <c r="C10591" s="6" t="n">
        <f aca="false">Sens!$C$10586+Sens!$C$10590</f>
        <v>2090.33126415346</v>
      </c>
    </row>
    <row r="10592" customFormat="false" ht="15" hidden="false" customHeight="false" outlineLevel="0" collapsed="false">
      <c r="A10592" s="1" t="s">
        <v>1141</v>
      </c>
      <c r="B10592" s="0" t="s">
        <v>168</v>
      </c>
      <c r="C10592" s="7" t="n">
        <f aca="false">Sens!$C$10590/Sens!$C$10591</f>
        <v>0.751648258509569</v>
      </c>
    </row>
    <row r="10593" customFormat="false" ht="17.15" hidden="false" customHeight="false" outlineLevel="0" collapsed="false">
      <c r="A10593" s="1" t="s">
        <v>1227</v>
      </c>
      <c r="B10593" s="0" t="s">
        <v>98</v>
      </c>
      <c r="C10593" s="6" t="n">
        <f aca="false">Sens!$C$10591+cash_val-debt_val-fl_val+oai_v</f>
        <v>2206.18226415346</v>
      </c>
    </row>
    <row r="10594" customFormat="false" ht="17.15" hidden="false" customHeight="false" outlineLevel="0" collapsed="false">
      <c r="A10594" s="0" t="s">
        <v>1149</v>
      </c>
      <c r="B10594" s="0" t="s">
        <v>75</v>
      </c>
      <c r="C10594" s="5" t="n">
        <f aca="false">Sens!$C$10593/shd_val</f>
        <v>296.290929915855</v>
      </c>
    </row>
    <row r="10595" customFormat="false" ht="15" hidden="false" customHeight="false" outlineLevel="0" collapsed="false">
      <c r="A10595" s="1" t="s">
        <v>1228</v>
      </c>
      <c r="B10595" s="0" t="s">
        <v>75</v>
      </c>
      <c r="C10595" s="8" t="n">
        <f aca="false">div_rem27+Sens!G10563*roll_div_q/q_per_yr</f>
        <v>3.9795</v>
      </c>
    </row>
    <row r="10596" customFormat="false" ht="17.15" hidden="false" customHeight="false" outlineLevel="0" collapsed="false">
      <c r="A10596" s="0" t="s">
        <v>1229</v>
      </c>
      <c r="B10596" s="0" t="s">
        <v>75</v>
      </c>
      <c r="C10596" s="5" t="n">
        <f aca="false">Sens!$C$10594*(1+wacc)^t_roll-Sens!$C$10595</f>
        <v>325.364404818659</v>
      </c>
    </row>
    <row r="10597" customFormat="false" ht="17.15" hidden="false" customHeight="false" outlineLevel="0" collapsed="false">
      <c r="A10597" s="1" t="s">
        <v>1230</v>
      </c>
      <c r="B10597" s="0" t="s">
        <v>168</v>
      </c>
      <c r="F10597" s="7" t="n">
        <f aca="false">Sens!F10549/(Sens!F10494-Sens!F10449)</f>
        <v>0.0686384353369161</v>
      </c>
      <c r="G10597" s="7" t="n">
        <f aca="false">Sens!G10549/(Sens!G10494-Sens!G10449)</f>
        <v>0.0658902994113853</v>
      </c>
      <c r="H10597" s="7" t="n">
        <f aca="false">Sens!H10549/(Sens!H10494-Sens!H10449)</f>
        <v>0.0644975391462246</v>
      </c>
      <c r="I10597" s="7" t="n">
        <f aca="false">Sens!I10549/(Sens!I10494-Sens!I10449)</f>
        <v>0.0643404454910616</v>
      </c>
      <c r="J10597" s="7" t="n">
        <f aca="false">Sens!J10549/(Sens!J10494-Sens!J10449)</f>
        <v>0.0651395293689258</v>
      </c>
      <c r="K10597" s="7" t="n">
        <f aca="false">Sens!K10549/(Sens!K10494-Sens!K10449)</f>
        <v>0.0665495416212801</v>
      </c>
    </row>
    <row r="10598" customFormat="false" ht="17.15" hidden="false" customHeight="false" outlineLevel="0" collapsed="false">
      <c r="A10598" s="0" t="s">
        <v>1231</v>
      </c>
      <c r="B10598" s="0" t="s">
        <v>98</v>
      </c>
      <c r="F10598" s="6" t="n">
        <f aca="false">Sens!F10479*(al_m365+Sens!F10597+sbc_r)</f>
        <v>83.722799420751</v>
      </c>
      <c r="G10598" s="6" t="n">
        <f aca="false">Sens!G10479*(al_m365+Sens!G10597+sbc_r)</f>
        <v>96.1379144138873</v>
      </c>
      <c r="H10598" s="6" t="n">
        <f aca="false">Sens!H10479*(al_m365+Sens!H10597+sbc_r)</f>
        <v>108.720266168838</v>
      </c>
      <c r="I10598" s="6" t="n">
        <f aca="false">Sens!I10479*(al_m365+Sens!I10597+sbc_r)</f>
        <v>120.289719981365</v>
      </c>
      <c r="J10598" s="6" t="n">
        <f aca="false">Sens!J10479*(al_m365+Sens!J10597+sbc_r)</f>
        <v>130.659083307272</v>
      </c>
      <c r="K10598" s="6" t="n">
        <f aca="false">Sens!K10479*(al_m365+Sens!K10597+sbc_r)</f>
        <v>140.645444278337</v>
      </c>
      <c r="L10598" s="12" t="s">
        <v>1232</v>
      </c>
    </row>
    <row r="10599" customFormat="false" ht="17.15" hidden="false" customHeight="false" outlineLevel="0" collapsed="false">
      <c r="A10599" s="0" t="s">
        <v>1233</v>
      </c>
      <c r="B10599" s="0" t="s">
        <v>98</v>
      </c>
      <c r="F10599" s="6" t="n">
        <f aca="false">Sens!F10480*(al_lic+Sens!F10597+sbc_r)</f>
        <v>32.8584899863666</v>
      </c>
      <c r="G10599" s="6" t="n">
        <f aca="false">Sens!G10480*(al_lic+Sens!G10597+sbc_r)</f>
        <v>34.1399049322587</v>
      </c>
      <c r="H10599" s="6" t="n">
        <f aca="false">Sens!H10480*(al_lic+Sens!H10597+sbc_r)</f>
        <v>35.3370534718908</v>
      </c>
      <c r="I10599" s="6" t="n">
        <f aca="false">Sens!I10480*(al_lic+Sens!I10597+sbc_r)</f>
        <v>36.4318656034861</v>
      </c>
      <c r="J10599" s="6" t="n">
        <f aca="false">Sens!J10480*(al_lic+Sens!J10597+sbc_r)</f>
        <v>37.3990687329295</v>
      </c>
      <c r="K10599" s="6" t="n">
        <f aca="false">Sens!K10480*(al_lic+Sens!K10597+sbc_r)</f>
        <v>38.2101426738275</v>
      </c>
    </row>
    <row r="10600" customFormat="false" ht="17.15" hidden="false" customHeight="false" outlineLevel="0" collapsed="false">
      <c r="A10600" s="0" t="s">
        <v>1234</v>
      </c>
      <c r="B10600" s="0" t="s">
        <v>98</v>
      </c>
      <c r="F10600" s="6" t="n">
        <f aca="false">Sens!F10482*(al_ind+Sens!F10597+sbc_r)</f>
        <v>9.06083808255464</v>
      </c>
      <c r="G10600" s="6" t="n">
        <f aca="false">Sens!G10482*(al_ind+Sens!G10597+sbc_r)</f>
        <v>9.83757990231761</v>
      </c>
      <c r="H10600" s="6" t="n">
        <f aca="false">Sens!H10482*(al_ind+Sens!H10597+sbc_r)</f>
        <v>10.6598800931166</v>
      </c>
      <c r="I10600" s="6" t="n">
        <f aca="false">Sens!I10482*(al_ind+Sens!I10597+sbc_r)</f>
        <v>11.5248140608117</v>
      </c>
      <c r="J10600" s="6" t="n">
        <f aca="false">Sens!J10482*(al_ind+Sens!J10597+sbc_r)</f>
        <v>12.4228375037253</v>
      </c>
      <c r="K10600" s="6" t="n">
        <f aca="false">Sens!K10482*(al_ind+Sens!K10597+sbc_r)</f>
        <v>13.338998782524</v>
      </c>
    </row>
    <row r="10601" customFormat="false" ht="17.15" hidden="false" customHeight="false" outlineLevel="0" collapsed="false">
      <c r="A10601" s="0" t="s">
        <v>1235</v>
      </c>
      <c r="B10601" s="0" t="s">
        <v>98</v>
      </c>
      <c r="F10601" s="6" t="n">
        <f aca="false">Sens!F10484*(al_fro+Sens!F10597+sbc_r)</f>
        <v>3.55419467092991</v>
      </c>
      <c r="G10601" s="6" t="n">
        <f aca="false">Sens!G10484*(al_fro+Sens!G10597+sbc_r)</f>
        <v>3.76414639014301</v>
      </c>
      <c r="H10601" s="6" t="n">
        <f aca="false">Sens!H10484*(al_fro+Sens!H10597+sbc_r)</f>
        <v>4.00328528622923</v>
      </c>
      <c r="I10601" s="6" t="n">
        <f aca="false">Sens!I10484*(al_fro+Sens!I10597+sbc_r)</f>
        <v>4.27441497092193</v>
      </c>
      <c r="J10601" s="6" t="n">
        <f aca="false">Sens!J10484*(al_fro+Sens!J10597+sbc_r)</f>
        <v>4.57874776249041</v>
      </c>
      <c r="K10601" s="6" t="n">
        <f aca="false">Sens!K10484*(al_fro+Sens!K10597+sbc_r)</f>
        <v>4.91642193750252</v>
      </c>
    </row>
    <row r="10602" customFormat="false" ht="17.15" hidden="false" customHeight="false" outlineLevel="0" collapsed="false">
      <c r="A10602" s="0" t="s">
        <v>1236</v>
      </c>
      <c r="B10602" s="0" t="s">
        <v>98</v>
      </c>
      <c r="F10602" s="6" t="n">
        <f aca="false">Sens!F10487*(al_srch+Sens!F10597+sbc_r)</f>
        <v>11.1512555227047</v>
      </c>
      <c r="G10602" s="6" t="n">
        <f aca="false">Sens!G10487*(al_srch+Sens!G10597+sbc_r)</f>
        <v>12.1106770569954</v>
      </c>
      <c r="H10602" s="6" t="n">
        <f aca="false">Sens!H10487*(al_srch+Sens!H10597+sbc_r)</f>
        <v>13.0353063745418</v>
      </c>
      <c r="I10602" s="6" t="n">
        <f aca="false">Sens!I10487*(al_srch+Sens!I10597+sbc_r)</f>
        <v>13.8995733910919</v>
      </c>
      <c r="J10602" s="6" t="n">
        <f aca="false">Sens!J10487*(al_srch+Sens!J10597+sbc_r)</f>
        <v>14.6703710993795</v>
      </c>
      <c r="K10602" s="6" t="n">
        <f aca="false">Sens!K10487*(al_srch+Sens!K10597+sbc_r)</f>
        <v>15.3106310046024</v>
      </c>
    </row>
    <row r="10603" customFormat="false" ht="17.15" hidden="false" customHeight="false" outlineLevel="0" collapsed="false">
      <c r="A10603" s="0" t="s">
        <v>1237</v>
      </c>
      <c r="B10603" s="0" t="s">
        <v>98</v>
      </c>
      <c r="F10603" s="6" t="n">
        <f aca="false">Sens!F10455-Sens!F10456+Sens!F10537</f>
        <v>42.5431090240393</v>
      </c>
      <c r="G10603" s="6" t="n">
        <f aca="false">Sens!G10455-Sens!G10456+Sens!G10537</f>
        <v>81.4922561130847</v>
      </c>
      <c r="H10603" s="6" t="n">
        <f aca="false">Sens!H10455-Sens!H10456+Sens!H10537</f>
        <v>123.278266211349</v>
      </c>
      <c r="I10603" s="6" t="n">
        <f aca="false">Sens!I10455-Sens!I10456+Sens!I10537</f>
        <v>160.60594185192</v>
      </c>
      <c r="J10603" s="6" t="n">
        <f aca="false">Sens!J10455-Sens!J10456+Sens!J10537</f>
        <v>186.818741832633</v>
      </c>
      <c r="K10603" s="6" t="n">
        <f aca="false">Sens!K10455-Sens!K10456+Sens!K10537</f>
        <v>202.776422159652</v>
      </c>
    </row>
    <row r="10604" customFormat="false" ht="17.15" hidden="false" customHeight="false" outlineLevel="0" collapsed="false">
      <c r="A10604" s="0" t="s">
        <v>1238</v>
      </c>
      <c r="B10604" s="0" t="s">
        <v>98</v>
      </c>
      <c r="F10604" s="6" t="n">
        <f aca="false">Sens!F10516+Sens!F10537+Sens!F10467+Sens!F10597*(Sens!F10486-Sens!F10449)+sbc_r*Sens!F10486</f>
        <v>238.095415719268</v>
      </c>
      <c r="G10604" s="6" t="n">
        <f aca="false">Sens!G10516+Sens!G10537+Sens!G10467+Sens!G10597*(Sens!G10486-Sens!G10449)+sbc_r*Sens!G10486</f>
        <v>299.925840515474</v>
      </c>
      <c r="H10604" s="6" t="n">
        <f aca="false">Sens!H10516+Sens!H10537+Sens!H10467+Sens!H10597*(Sens!H10486-Sens!H10449)+sbc_r*Sens!H10486</f>
        <v>369.495841220696</v>
      </c>
      <c r="I10604" s="6" t="n">
        <f aca="false">Sens!I10516+Sens!I10537+Sens!I10467+Sens!I10597*(Sens!I10486-Sens!I10449)+sbc_r*Sens!I10486</f>
        <v>433.233785190481</v>
      </c>
      <c r="J10604" s="6" t="n">
        <f aca="false">Sens!J10516+Sens!J10537+Sens!J10467+Sens!J10597*(Sens!J10486-Sens!J10449)+sbc_r*Sens!J10486</f>
        <v>483.409940474119</v>
      </c>
      <c r="K10604" s="6" t="n">
        <f aca="false">Sens!K10516+Sens!K10537+Sens!K10467+Sens!K10597*(Sens!K10486-Sens!K10449)+sbc_r*Sens!K10486</f>
        <v>520.950703747744</v>
      </c>
    </row>
    <row r="10605" customFormat="false" ht="17.15" hidden="false" customHeight="false" outlineLevel="0" collapsed="false">
      <c r="A10605" s="0" t="s">
        <v>1239</v>
      </c>
      <c r="B10605" s="0" t="s">
        <v>98</v>
      </c>
      <c r="F10605" s="6" t="n">
        <f aca="false">Sens!F10604-Sens!F10598-Sens!F10599-Sens!F10600-Sens!F10601-Sens!F10603</f>
        <v>66.3559845346264</v>
      </c>
      <c r="G10605" s="6" t="n">
        <f aca="false">Sens!G10604-Sens!G10598-Sens!G10599-Sens!G10600-Sens!G10601-Sens!G10603</f>
        <v>74.5540387637822</v>
      </c>
      <c r="H10605" s="6" t="n">
        <f aca="false">Sens!H10604-Sens!H10598-Sens!H10599-Sens!H10600-Sens!H10601-Sens!H10603</f>
        <v>87.4970899892725</v>
      </c>
      <c r="I10605" s="6" t="n">
        <f aca="false">Sens!I10604-Sens!I10598-Sens!I10599-Sens!I10600-Sens!I10601-Sens!I10603</f>
        <v>100.107028721976</v>
      </c>
      <c r="J10605" s="6" t="n">
        <f aca="false">Sens!J10604-Sens!J10598-Sens!J10599-Sens!J10600-Sens!J10601-Sens!J10603</f>
        <v>111.531461335069</v>
      </c>
      <c r="K10605" s="6" t="n">
        <f aca="false">Sens!K10604-Sens!K10598-Sens!K10599-Sens!K10600-Sens!K10601-Sens!K10603</f>
        <v>121.063273915901</v>
      </c>
    </row>
    <row r="10606" customFormat="false" ht="17.15" hidden="false" customHeight="false" outlineLevel="0" collapsed="false">
      <c r="A10606" s="0" t="s">
        <v>1240</v>
      </c>
      <c r="B10606" s="0" t="s">
        <v>98</v>
      </c>
      <c r="F10606" s="6" t="n">
        <f aca="false">Sens!F10518+Sens!F10597*Sens!F10493+sbc_r*Sens!F10493</f>
        <v>26.5968533156871</v>
      </c>
      <c r="G10606" s="6" t="n">
        <f aca="false">Sens!G10518+Sens!G10597*Sens!G10493+sbc_r*Sens!G10493</f>
        <v>26.3245031547797</v>
      </c>
      <c r="H10606" s="6" t="n">
        <f aca="false">Sens!H10518+Sens!H10597*Sens!H10493+sbc_r*Sens!H10493</f>
        <v>27.0097183523052</v>
      </c>
      <c r="I10606" s="6" t="n">
        <f aca="false">Sens!I10518+Sens!I10597*Sens!I10493+sbc_r*Sens!I10493</f>
        <v>27.8374626628637</v>
      </c>
      <c r="J10606" s="6" t="n">
        <f aca="false">Sens!J10518+Sens!J10597*Sens!J10493+sbc_r*Sens!J10493</f>
        <v>28.7597534623636</v>
      </c>
      <c r="K10606" s="6" t="n">
        <f aca="false">Sens!K10518+Sens!K10597*Sens!K10493+sbc_r*Sens!K10493</f>
        <v>29.7303555627594</v>
      </c>
    </row>
    <row r="10607" customFormat="false" ht="17.15" hidden="false" customHeight="false" outlineLevel="0" collapsed="false">
      <c r="A10607" s="0" t="s">
        <v>1241</v>
      </c>
      <c r="B10607" s="0" t="s">
        <v>98</v>
      </c>
      <c r="F10607" s="6" t="n">
        <f aca="false">(Sens!F10606-Sens!F10602)*Sens!F10489/(Sens!F10489+Sens!F10491)</f>
        <v>8.72344995814077</v>
      </c>
      <c r="G10607" s="6" t="n">
        <f aca="false">(Sens!G10606-Sens!G10602)*Sens!G10489/(Sens!G10489+Sens!G10491)</f>
        <v>7.88979569616842</v>
      </c>
      <c r="H10607" s="6" t="n">
        <f aca="false">(Sens!H10606-Sens!H10602)*Sens!H10489/(Sens!H10489+Sens!H10491)</f>
        <v>7.65585249167114</v>
      </c>
      <c r="I10607" s="6" t="n">
        <f aca="false">(Sens!I10606-Sens!I10602)*Sens!I10489/(Sens!I10489+Sens!I10491)</f>
        <v>7.56919449387949</v>
      </c>
      <c r="J10607" s="6" t="n">
        <f aca="false">(Sens!J10606-Sens!J10602)*Sens!J10489/(Sens!J10489+Sens!J10491)</f>
        <v>7.6180822679512</v>
      </c>
      <c r="K10607" s="6" t="n">
        <f aca="false">(Sens!K10606-Sens!K10602)*Sens!K10489/(Sens!K10489+Sens!K10491)</f>
        <v>7.79669719616938</v>
      </c>
    </row>
    <row r="10608" customFormat="false" ht="17.15" hidden="false" customHeight="false" outlineLevel="0" collapsed="false">
      <c r="A10608" s="0" t="s">
        <v>1242</v>
      </c>
      <c r="B10608" s="0" t="s">
        <v>98</v>
      </c>
      <c r="F10608" s="6" t="n">
        <f aca="false">Sens!F10606-Sens!F10602-Sens!F10607</f>
        <v>6.72214783484156</v>
      </c>
      <c r="G10608" s="6" t="n">
        <f aca="false">Sens!G10606-Sens!G10602-Sens!G10607</f>
        <v>6.32403040161592</v>
      </c>
      <c r="H10608" s="6" t="n">
        <f aca="false">Sens!H10606-Sens!H10602-Sens!H10607</f>
        <v>6.3185594860923</v>
      </c>
      <c r="I10608" s="6" t="n">
        <f aca="false">Sens!I10606-Sens!I10602-Sens!I10607</f>
        <v>6.36869477789228</v>
      </c>
      <c r="J10608" s="6" t="n">
        <f aca="false">Sens!J10606-Sens!J10602-Sens!J10607</f>
        <v>6.47130009503291</v>
      </c>
      <c r="K10608" s="6" t="n">
        <f aca="false">Sens!K10606-Sens!K10602-Sens!K10607</f>
        <v>6.62302736198765</v>
      </c>
    </row>
    <row r="10609" customFormat="false" ht="17.15" hidden="false" customHeight="false" outlineLevel="0" collapsed="false">
      <c r="A10609" s="0" t="s">
        <v>1243</v>
      </c>
      <c r="B10609" s="0" t="s">
        <v>98</v>
      </c>
      <c r="F10609" s="6" t="n">
        <f aca="false">Sens!F10603-tax_f*(Sens!F10603-Sens!F10467)-Sens!F10464</f>
        <v>-127.503553927218</v>
      </c>
      <c r="G10609" s="6" t="n">
        <f aca="false">Sens!G10603-tax_f*(Sens!G10603-Sens!G10467)-Sens!G10464</f>
        <v>-114.603772628121</v>
      </c>
      <c r="H10609" s="6" t="n">
        <f aca="false">Sens!H10603-tax_f*(Sens!H10603-Sens!H10467)-Sens!H10464</f>
        <v>-80.3633729631438</v>
      </c>
      <c r="I10609" s="6" t="n">
        <f aca="false">Sens!I10603-tax_f*(Sens!I10603-Sens!I10467)-Sens!I10464</f>
        <v>-17.2838782011649</v>
      </c>
      <c r="J10609" s="6" t="n">
        <f aca="false">Sens!J10603-tax_f*(Sens!J10603-Sens!J10467)-Sens!J10464</f>
        <v>46.9281968800854</v>
      </c>
      <c r="K10609" s="6" t="n">
        <f aca="false">Sens!K10603-tax_f*(Sens!K10603-Sens!K10467)-Sens!K10464</f>
        <v>71.8608185731755</v>
      </c>
    </row>
    <row r="10610" customFormat="false" ht="17.15" hidden="false" customHeight="false" outlineLevel="0" collapsed="false">
      <c r="A10610" s="0" t="s">
        <v>1244</v>
      </c>
      <c r="B10610" s="0" t="s">
        <v>98</v>
      </c>
      <c r="G10610" s="6" t="n">
        <f aca="false">Sens!G10609/(1+wacc)^(Sens!G10580-Sens!F10581)</f>
        <v>-109.124845494465</v>
      </c>
      <c r="H10610" s="6" t="n">
        <f aca="false">Sens!H10609/(1+wacc)^(Sens!H10580-Sens!F10581)</f>
        <v>-69.3796874071025</v>
      </c>
      <c r="I10610" s="6" t="n">
        <f aca="false">Sens!I10609/(1+wacc)^(Sens!I10580-Sens!F10581)</f>
        <v>-13.5289731380471</v>
      </c>
      <c r="J10610" s="6" t="n">
        <f aca="false">Sens!J10609/(1+wacc)^(Sens!J10580-Sens!F10581)</f>
        <v>33.3048099587126</v>
      </c>
      <c r="K10610" s="6" t="n">
        <f aca="false">Sens!K10609/(1+wacc)^(Sens!K10580-Sens!F10581)</f>
        <v>46.2396679904913</v>
      </c>
      <c r="L10610" s="1" t="s">
        <v>1245</v>
      </c>
    </row>
    <row r="10611" customFormat="false" ht="17.15" hidden="false" customHeight="false" outlineLevel="0" collapsed="false">
      <c r="A10611" s="0" t="s">
        <v>1246</v>
      </c>
      <c r="B10611" s="0" t="s">
        <v>98</v>
      </c>
      <c r="C10611" s="6" t="n">
        <f aca="false">(Sens!K10603-Sens!K10467)*(1-tax_f)*(1+g_tv)*(1-g_tv/(wacc+ronic_prem))/(wacc-g_tv)/(1+wacc)^(Sens!K10581-Sens!F10581)</f>
        <v>293.118051086843</v>
      </c>
    </row>
    <row r="10612" customFormat="false" ht="17.15" hidden="false" customHeight="false" outlineLevel="0" collapsed="false">
      <c r="A10612" s="1" t="s">
        <v>1247</v>
      </c>
      <c r="B10612" s="0" t="s">
        <v>98</v>
      </c>
      <c r="C10612" s="6" t="n">
        <f aca="false">(SUM(Sens!G10610:K10610)+Sens!$C$10611)*(1+wacc)^(t_roll-Sens!F10581)</f>
        <v>186.592133308255</v>
      </c>
      <c r="L10612" s="12" t="s">
        <v>1248</v>
      </c>
    </row>
    <row r="10613" customFormat="false" ht="17.15" hidden="false" customHeight="false" outlineLevel="0" collapsed="false">
      <c r="A10613" s="1" t="s">
        <v>1249</v>
      </c>
      <c r="B10613" s="0" t="s">
        <v>98</v>
      </c>
      <c r="C10613" s="6" t="n">
        <f aca="false">(w_ntm28*Sens!G10455+(1-w_ntm28)*Sens!H10455)*m_ai</f>
        <v>463.789109510335</v>
      </c>
    </row>
    <row r="10614" customFormat="false" ht="17.15" hidden="false" customHeight="false" outlineLevel="0" collapsed="false">
      <c r="A10614" s="1" t="s">
        <v>1250</v>
      </c>
      <c r="B10614" s="0" t="s">
        <v>98</v>
      </c>
      <c r="C10614" s="6" t="n">
        <f aca="false">(w_ntm28*Sens!G10605+(1-w_ntm28)*Sens!H10605)*m_cloud</f>
        <v>1089.14436681781</v>
      </c>
    </row>
    <row r="10615" customFormat="false" ht="17.15" hidden="false" customHeight="false" outlineLevel="0" collapsed="false">
      <c r="A10615" s="1" t="s">
        <v>1251</v>
      </c>
      <c r="B10615" s="0" t="s">
        <v>98</v>
      </c>
      <c r="C10615" s="6" t="n">
        <f aca="false">(w_ntm28*Sens!G10598+(1-w_ntm28)*Sens!H10598)*m_sw</f>
        <v>1082.9654424492</v>
      </c>
    </row>
    <row r="10616" customFormat="false" ht="17.15" hidden="false" customHeight="false" outlineLevel="0" collapsed="false">
      <c r="A10616" s="1" t="s">
        <v>1252</v>
      </c>
      <c r="B10616" s="0" t="s">
        <v>98</v>
      </c>
      <c r="C10616" s="6" t="n">
        <f aca="false">(w_ntm28*Sens!G10599+(1-w_ntm28)*Sens!H10599)*m_sw</f>
        <v>372.961670548841</v>
      </c>
    </row>
    <row r="10617" customFormat="false" ht="17.15" hidden="false" customHeight="false" outlineLevel="0" collapsed="false">
      <c r="A10617" s="1" t="s">
        <v>1253</v>
      </c>
      <c r="B10617" s="0" t="s">
        <v>98</v>
      </c>
      <c r="C10617" s="6" t="n">
        <f aca="false">(w_ntm28*Sens!G10600+(1-w_ntm28)*Sens!H10600)*m_sw</f>
        <v>109.165591841676</v>
      </c>
    </row>
    <row r="10618" customFormat="false" ht="17.15" hidden="false" customHeight="false" outlineLevel="0" collapsed="false">
      <c r="A10618" s="1" t="s">
        <v>1254</v>
      </c>
      <c r="B10618" s="0" t="s">
        <v>98</v>
      </c>
      <c r="C10618" s="6" t="n">
        <f aca="false">(w_ntm28*Sens!G10601+(1-w_ntm28)*Sens!H10601)*m_sw</f>
        <v>41.5018878884151</v>
      </c>
    </row>
    <row r="10619" customFormat="false" ht="17.15" hidden="false" customHeight="false" outlineLevel="0" collapsed="false">
      <c r="A10619" s="1" t="s">
        <v>1255</v>
      </c>
      <c r="B10619" s="0" t="s">
        <v>98</v>
      </c>
      <c r="C10619" s="6" t="n">
        <f aca="false">(w_ntm28*Sens!G10602+(1-w_ntm28)*Sens!H10602)*m_ads</f>
        <v>113.097596126055</v>
      </c>
    </row>
    <row r="10620" customFormat="false" ht="17.15" hidden="false" customHeight="false" outlineLevel="0" collapsed="false">
      <c r="A10620" s="1" t="s">
        <v>1256</v>
      </c>
      <c r="B10620" s="0" t="s">
        <v>98</v>
      </c>
      <c r="C10620" s="6" t="n">
        <f aca="false">(w_ntm28*Sens!G10607+(1-w_ntm28)*Sens!H10607)*m_game</f>
        <v>98.6767105447001</v>
      </c>
    </row>
    <row r="10621" customFormat="false" ht="17.15" hidden="false" customHeight="false" outlineLevel="0" collapsed="false">
      <c r="A10621" s="1" t="s">
        <v>1257</v>
      </c>
      <c r="B10621" s="0" t="s">
        <v>98</v>
      </c>
      <c r="C10621" s="6" t="n">
        <f aca="false">(w_ntm28*Sens!G10608+(1-w_ntm28)*Sens!H10608)*m_pc</f>
        <v>91.4826933422996</v>
      </c>
    </row>
    <row r="10622" customFormat="false" ht="17.15" hidden="false" customHeight="false" outlineLevel="0" collapsed="false">
      <c r="A10622" s="1" t="s">
        <v>1258</v>
      </c>
      <c r="B10622" s="0" t="s">
        <v>98</v>
      </c>
      <c r="C10622" s="6" t="n">
        <f aca="false">Sens!$C$10612+Sens!$C$10614+Sens!$C$10615+Sens!$C$10616+Sens!$C$10617+Sens!$C$10618+Sens!$C$10619+Sens!$C$10620+Sens!$C$10621</f>
        <v>3185.58809286725</v>
      </c>
    </row>
    <row r="10623" customFormat="false" ht="17.15" hidden="false" customHeight="false" outlineLevel="0" collapsed="false">
      <c r="A10623" s="1" t="s">
        <v>1259</v>
      </c>
      <c r="B10623" s="0" t="s">
        <v>98</v>
      </c>
      <c r="C10623" s="6" t="n">
        <f aca="false">(Sens!G10584-Sens!G10609)*t_stub</f>
        <v>47.852742190045</v>
      </c>
      <c r="L10623" s="1" t="s">
        <v>1260</v>
      </c>
    </row>
    <row r="10624" customFormat="false" ht="17.15" hidden="false" customHeight="false" outlineLevel="0" collapsed="false">
      <c r="A10624" s="1" t="s">
        <v>1169</v>
      </c>
      <c r="B10624" s="0" t="s">
        <v>98</v>
      </c>
      <c r="C10624" s="6" t="n">
        <f aca="false">Sens!F10571+oai_v-Sens!F10560+Sens!$C$10623</f>
        <v>162.081012190045</v>
      </c>
      <c r="L10624" s="1" t="s">
        <v>1261</v>
      </c>
    </row>
    <row r="10625" customFormat="false" ht="17.15" hidden="false" customHeight="false" outlineLevel="0" collapsed="false">
      <c r="A10625" s="1" t="s">
        <v>1262</v>
      </c>
      <c r="B10625" s="0" t="s">
        <v>75</v>
      </c>
      <c r="C10625" s="5" t="n">
        <f aca="false">(Sens!$C$10622+Sens!$C$10624)/(Sens!F10573+dil_gap)-Sens!G10563*roll_div_q/q_per_yr</f>
        <v>445.580957482953</v>
      </c>
      <c r="L10625" s="1" t="s">
        <v>1263</v>
      </c>
    </row>
    <row r="10626" customFormat="false" ht="17.15" hidden="false" customHeight="false" outlineLevel="0" collapsed="false">
      <c r="A10626" s="1" t="s">
        <v>1264</v>
      </c>
      <c r="B10626" s="0" t="s">
        <v>75</v>
      </c>
      <c r="C10626" s="5" t="n">
        <f aca="false">w_dcf*Sens!$C$10596+(1-w_dcf)*Sens!$C$10625</f>
        <v>385.472681150806</v>
      </c>
    </row>
    <row r="10627" customFormat="false" ht="17.15" hidden="false" customHeight="false" outlineLevel="0" collapsed="false">
      <c r="A10627" s="3" t="s">
        <v>1745</v>
      </c>
    </row>
    <row r="10628" customFormat="false" ht="15" hidden="false" customHeight="false" outlineLevel="0" collapsed="false">
      <c r="A10628" s="4" t="s">
        <v>43</v>
      </c>
      <c r="B10628" s="4" t="s">
        <v>65</v>
      </c>
      <c r="C10628" s="23" t="s">
        <v>938</v>
      </c>
      <c r="D10628" s="23" t="s">
        <v>939</v>
      </c>
      <c r="E10628" s="23" t="s">
        <v>940</v>
      </c>
      <c r="F10628" s="23" t="s">
        <v>941</v>
      </c>
      <c r="G10628" s="23" t="s">
        <v>942</v>
      </c>
      <c r="H10628" s="23" t="s">
        <v>943</v>
      </c>
      <c r="I10628" s="23" t="s">
        <v>944</v>
      </c>
      <c r="J10628" s="23" t="s">
        <v>945</v>
      </c>
      <c r="K10628" s="23" t="s">
        <v>946</v>
      </c>
      <c r="L10628" s="4" t="s">
        <v>47</v>
      </c>
    </row>
    <row r="10629" customFormat="false" ht="17.15" hidden="false" customHeight="false" outlineLevel="0" collapsed="false">
      <c r="A10629" s="1" t="s">
        <v>947</v>
      </c>
      <c r="B10629" s="1" t="s">
        <v>279</v>
      </c>
      <c r="C10629" s="21" t="n">
        <v>2024</v>
      </c>
      <c r="D10629" s="21" t="n">
        <v>2025</v>
      </c>
      <c r="E10629" s="21" t="n">
        <v>2026</v>
      </c>
      <c r="F10629" s="21" t="n">
        <v>2027</v>
      </c>
      <c r="G10629" s="21" t="n">
        <v>2028</v>
      </c>
      <c r="H10629" s="21" t="n">
        <v>2029</v>
      </c>
      <c r="I10629" s="21" t="n">
        <v>2030</v>
      </c>
      <c r="J10629" s="21" t="n">
        <v>2031</v>
      </c>
      <c r="K10629" s="21" t="n">
        <v>2032</v>
      </c>
    </row>
    <row r="10630" customFormat="false" ht="17.15" hidden="false" customHeight="false" outlineLevel="0" collapsed="false">
      <c r="A10630" s="1" t="s">
        <v>948</v>
      </c>
      <c r="B10630" s="0" t="s">
        <v>456</v>
      </c>
      <c r="F10630" s="30" t="n">
        <f aca="false">pace</f>
        <v>2726.5351</v>
      </c>
      <c r="G10630" s="30" t="n">
        <f aca="false">pace</f>
        <v>2726.5351</v>
      </c>
      <c r="H10630" s="30" t="n">
        <f aca="false">pace</f>
        <v>2726.5351</v>
      </c>
      <c r="I10630" s="30" t="n">
        <f aca="false">pace+(g_tv*Sens!H10631-pace)*MIN(1,(Sens!I10629-pace_y0)/(pace_y1-pace_y0))</f>
        <v>1931.98611966667</v>
      </c>
      <c r="J10630" s="30" t="n">
        <f aca="false">pace+(g_tv*Sens!I10631-pace)*MIN(1,(Sens!J10629-pace_y0)/(pace_y1-pace_y0))</f>
        <v>1176.07686172667</v>
      </c>
      <c r="K10630" s="30" t="n">
        <f aca="false">pace+(g_tv*Sens!J10631-pace)*MIN(1,(Sens!K10629-pace_y0)/(pace_y1-pace_y0))</f>
        <v>436.1300484418</v>
      </c>
      <c r="L10630" s="12" t="s">
        <v>949</v>
      </c>
    </row>
    <row r="10631" customFormat="false" ht="17.15" hidden="false" customHeight="false" outlineLevel="0" collapsed="false">
      <c r="A10631" s="1" t="s">
        <v>950</v>
      </c>
      <c r="B10631" s="0" t="s">
        <v>456</v>
      </c>
      <c r="C10631" s="30" t="n">
        <f aca="false">mw_ext_24</f>
        <v>640</v>
      </c>
      <c r="D10631" s="30" t="n">
        <f aca="false">mw_ext_25</f>
        <v>1630</v>
      </c>
      <c r="E10631" s="30" t="n">
        <f aca="false">mw_ext_26</f>
        <v>3250</v>
      </c>
      <c r="F10631" s="30" t="n">
        <f aca="false">Sens!E10631+Sens!F10630</f>
        <v>5976.5351</v>
      </c>
      <c r="G10631" s="30" t="n">
        <f aca="false">Sens!F10631+Sens!G10630</f>
        <v>8703.0702</v>
      </c>
      <c r="H10631" s="30" t="n">
        <f aca="false">Sens!G10631+Sens!H10630</f>
        <v>11429.6053</v>
      </c>
      <c r="I10631" s="30" t="n">
        <f aca="false">Sens!H10631+Sens!I10630</f>
        <v>13361.5914196667</v>
      </c>
      <c r="J10631" s="30" t="n">
        <f aca="false">Sens!I10631+Sens!J10630</f>
        <v>14537.6682813933</v>
      </c>
      <c r="K10631" s="30" t="n">
        <f aca="false">Sens!J10631+Sens!K10630</f>
        <v>14973.7983298351</v>
      </c>
      <c r="L10631" s="1" t="s">
        <v>951</v>
      </c>
    </row>
    <row r="10632" customFormat="false" ht="17.15" hidden="false" customHeight="false" outlineLevel="0" collapsed="false">
      <c r="A10632" s="1" t="s">
        <v>952</v>
      </c>
      <c r="B10632" s="0" t="s">
        <v>456</v>
      </c>
      <c r="C10632" s="30" t="n">
        <f aca="false">rent_ext_24</f>
        <v>150</v>
      </c>
      <c r="D10632" s="30" t="n">
        <f aca="false">rent_ext_25</f>
        <v>400</v>
      </c>
      <c r="E10632" s="30" t="n">
        <f aca="false">rent_ext_26</f>
        <v>550</v>
      </c>
      <c r="F10632" s="30" t="n">
        <f aca="false">rent_ext_f</f>
        <v>756</v>
      </c>
      <c r="G10632" s="30" t="n">
        <f aca="false">rent_ext_f</f>
        <v>756</v>
      </c>
      <c r="H10632" s="30" t="n">
        <f aca="false">rent_ext_f</f>
        <v>756</v>
      </c>
      <c r="I10632" s="30" t="n">
        <f aca="false">rent_ext_f</f>
        <v>756</v>
      </c>
      <c r="J10632" s="30" t="n">
        <f aca="false">rent_ext_f</f>
        <v>756</v>
      </c>
      <c r="K10632" s="30" t="n">
        <f aca="false">rent_ext_f</f>
        <v>756</v>
      </c>
      <c r="L10632" s="1" t="s">
        <v>953</v>
      </c>
    </row>
    <row r="10633" customFormat="false" ht="17.15" hidden="false" customHeight="false" outlineLevel="0" collapsed="false">
      <c r="A10633" s="1" t="s">
        <v>954</v>
      </c>
      <c r="B10633" s="0" t="s">
        <v>456</v>
      </c>
      <c r="C10633" s="30" t="n">
        <f aca="false">Sens!C10631-Sens!C10632</f>
        <v>490</v>
      </c>
      <c r="D10633" s="30" t="n">
        <f aca="false">Sens!D10631-Sens!D10632</f>
        <v>1230</v>
      </c>
      <c r="E10633" s="30" t="n">
        <f aca="false">Sens!E10631-Sens!E10632</f>
        <v>2700</v>
      </c>
      <c r="F10633" s="30" t="n">
        <f aca="false">Sens!F10631-Sens!F10632</f>
        <v>5220.5351</v>
      </c>
      <c r="G10633" s="30" t="n">
        <f aca="false">Sens!G10631-Sens!G10632</f>
        <v>7947.0702</v>
      </c>
      <c r="H10633" s="30" t="n">
        <f aca="false">Sens!H10631-Sens!H10632</f>
        <v>10673.6053</v>
      </c>
      <c r="I10633" s="30" t="n">
        <f aca="false">Sens!I10631-Sens!I10632</f>
        <v>12605.5914196667</v>
      </c>
      <c r="J10633" s="30" t="n">
        <f aca="false">Sens!J10631-Sens!J10632</f>
        <v>13781.6682813933</v>
      </c>
      <c r="K10633" s="30" t="n">
        <f aca="false">Sens!K10631-Sens!K10632</f>
        <v>14217.7983298351</v>
      </c>
    </row>
    <row r="10634" customFormat="false" ht="17.15" hidden="false" customHeight="false" outlineLevel="0" collapsed="false">
      <c r="A10634" s="1" t="s">
        <v>955</v>
      </c>
      <c r="B10634" s="0" t="s">
        <v>456</v>
      </c>
      <c r="C10634" s="30" t="n">
        <f aca="false">Sens!C10633/ext_sh</f>
        <v>816.666666666667</v>
      </c>
      <c r="D10634" s="30" t="n">
        <f aca="false">Sens!D10633/ext_sh</f>
        <v>2050</v>
      </c>
      <c r="E10634" s="30" t="n">
        <f aca="false">Sens!E10633/ext_sh</f>
        <v>4500</v>
      </c>
      <c r="F10634" s="30" t="n">
        <f aca="false">Sens!F10633/ext_sh</f>
        <v>8700.89183333333</v>
      </c>
      <c r="G10634" s="30" t="n">
        <f aca="false">Sens!G10633/ext_sh</f>
        <v>13245.117</v>
      </c>
      <c r="H10634" s="30" t="n">
        <f aca="false">Sens!H10633/ext_sh</f>
        <v>17789.3421666667</v>
      </c>
      <c r="I10634" s="30" t="n">
        <f aca="false">Sens!I10633/ext_sh</f>
        <v>21009.3190327778</v>
      </c>
      <c r="J10634" s="30" t="n">
        <f aca="false">Sens!J10633/ext_sh</f>
        <v>22969.4471356556</v>
      </c>
      <c r="K10634" s="30" t="n">
        <f aca="false">Sens!K10633/ext_sh</f>
        <v>23696.3305497252</v>
      </c>
      <c r="L10634" s="1" t="s">
        <v>956</v>
      </c>
    </row>
    <row r="10635" customFormat="false" ht="17.15" hidden="false" customHeight="false" outlineLevel="0" collapsed="false">
      <c r="A10635" s="1" t="s">
        <v>957</v>
      </c>
      <c r="B10635" s="0" t="s">
        <v>456</v>
      </c>
      <c r="C10635" s="30" t="n">
        <f aca="false">Sens!C10634-Sens!C10633</f>
        <v>326.666666666667</v>
      </c>
      <c r="D10635" s="30" t="n">
        <f aca="false">Sens!D10634-Sens!D10633</f>
        <v>820</v>
      </c>
      <c r="E10635" s="30" t="n">
        <f aca="false">Sens!E10634-Sens!E10633</f>
        <v>1800</v>
      </c>
      <c r="F10635" s="30" t="n">
        <f aca="false">Sens!F10634-Sens!F10633</f>
        <v>3480.35673333333</v>
      </c>
      <c r="G10635" s="30" t="n">
        <f aca="false">Sens!G10634-Sens!G10633</f>
        <v>5298.0468</v>
      </c>
      <c r="H10635" s="30" t="n">
        <f aca="false">Sens!H10634-Sens!H10633</f>
        <v>7115.73686666667</v>
      </c>
      <c r="I10635" s="30" t="n">
        <f aca="false">Sens!I10634-Sens!I10633</f>
        <v>8403.72761311111</v>
      </c>
      <c r="J10635" s="30" t="n">
        <f aca="false">Sens!J10634-Sens!J10633</f>
        <v>9187.77885426222</v>
      </c>
      <c r="K10635" s="30" t="n">
        <f aca="false">Sens!K10634-Sens!K10633</f>
        <v>9478.53221989009</v>
      </c>
    </row>
    <row r="10636" customFormat="false" ht="17.15" hidden="false" customHeight="false" outlineLevel="0" collapsed="false">
      <c r="A10636" s="1" t="s">
        <v>958</v>
      </c>
      <c r="B10636" s="0" t="s">
        <v>456</v>
      </c>
      <c r="C10636" s="30" t="n">
        <f aca="false">Sens!C10634</f>
        <v>816.666666666667</v>
      </c>
      <c r="D10636" s="30" t="n">
        <f aca="false">Sens!D10634-Sens!C10634</f>
        <v>1233.33333333333</v>
      </c>
      <c r="E10636" s="30" t="n">
        <f aca="false">Sens!E10634-Sens!D10634</f>
        <v>2450</v>
      </c>
      <c r="F10636" s="30" t="n">
        <f aca="false">Sens!F10634-Sens!E10634</f>
        <v>4200.89183333333</v>
      </c>
      <c r="G10636" s="30" t="n">
        <f aca="false">Sens!G10634-Sens!F10634</f>
        <v>4544.22516666667</v>
      </c>
      <c r="H10636" s="30" t="n">
        <f aca="false">Sens!H10634-Sens!G10634</f>
        <v>4544.22516666667</v>
      </c>
      <c r="I10636" s="30" t="n">
        <f aca="false">Sens!I10634-Sens!H10634</f>
        <v>3219.97686611111</v>
      </c>
      <c r="J10636" s="30" t="n">
        <f aca="false">Sens!J10634-Sens!I10634</f>
        <v>1960.12810287778</v>
      </c>
      <c r="K10636" s="30" t="n">
        <f aca="false">Sens!K10634-Sens!J10634</f>
        <v>726.883414069667</v>
      </c>
    </row>
    <row r="10637" customFormat="false" ht="17.15" hidden="false" customHeight="false" outlineLevel="0" collapsed="false">
      <c r="A10637" s="1" t="s">
        <v>959</v>
      </c>
      <c r="B10637" s="0" t="s">
        <v>456</v>
      </c>
      <c r="D10637" s="30" t="n">
        <f aca="false">Sens!D10631-Sens!C10631</f>
        <v>990</v>
      </c>
      <c r="E10637" s="30" t="n">
        <f aca="false">Sens!E10631-Sens!D10631</f>
        <v>1620</v>
      </c>
      <c r="F10637" s="30" t="n">
        <f aca="false">Sens!F10631-Sens!E10631</f>
        <v>2726.5351</v>
      </c>
      <c r="G10637" s="30" t="n">
        <f aca="false">Sens!G10631-Sens!F10631</f>
        <v>2726.5351</v>
      </c>
      <c r="H10637" s="30" t="n">
        <f aca="false">Sens!H10631-Sens!G10631</f>
        <v>2726.5351</v>
      </c>
      <c r="I10637" s="30" t="n">
        <f aca="false">Sens!I10631-Sens!H10631</f>
        <v>1931.98611966667</v>
      </c>
      <c r="J10637" s="30" t="n">
        <f aca="false">Sens!J10631-Sens!I10631</f>
        <v>1176.07686172667</v>
      </c>
      <c r="K10637" s="30" t="n">
        <f aca="false">Sens!K10631-Sens!J10631</f>
        <v>436.130048441799</v>
      </c>
    </row>
    <row r="10638" customFormat="false" ht="17.15" hidden="false" customHeight="false" outlineLevel="0" collapsed="false">
      <c r="A10638" s="1" t="s">
        <v>960</v>
      </c>
      <c r="B10638" s="0" t="s">
        <v>456</v>
      </c>
      <c r="F10638" s="30" t="n">
        <f aca="false">Sens!F10657*ext_sh</f>
        <v>0</v>
      </c>
      <c r="G10638" s="30" t="n">
        <f aca="false">Sens!G10657*ext_sh</f>
        <v>0</v>
      </c>
      <c r="H10638" s="30" t="n">
        <f aca="false">Sens!H10657*ext_sh</f>
        <v>0</v>
      </c>
      <c r="I10638" s="30" t="n">
        <f aca="false">Sens!I10657*ext_sh</f>
        <v>490</v>
      </c>
      <c r="J10638" s="30" t="n">
        <f aca="false">Sens!J10657*ext_sh</f>
        <v>740</v>
      </c>
      <c r="K10638" s="30" t="n">
        <f aca="false">Sens!K10657*ext_sh</f>
        <v>1470</v>
      </c>
      <c r="L10638" s="1" t="s">
        <v>961</v>
      </c>
    </row>
    <row r="10639" customFormat="false" ht="17.15" hidden="false" customHeight="false" outlineLevel="0" collapsed="false">
      <c r="A10639" s="1" t="s">
        <v>962</v>
      </c>
      <c r="B10639" s="0" t="s">
        <v>456</v>
      </c>
      <c r="C10639" s="30" t="n">
        <f aca="false">mix_h*Sens!C10631</f>
        <v>128</v>
      </c>
      <c r="D10639" s="30" t="n">
        <f aca="false">mix_h*Sens!D10631</f>
        <v>326</v>
      </c>
      <c r="E10639" s="30" t="n">
        <f aca="false">mix_h*Sens!E10631</f>
        <v>650</v>
      </c>
      <c r="F10639" s="30" t="n">
        <f aca="false">Sens!E10639-Sens!F10638*mix_h</f>
        <v>650</v>
      </c>
      <c r="G10639" s="30" t="n">
        <f aca="false">Sens!F10639-Sens!G10638*mix_h</f>
        <v>650</v>
      </c>
      <c r="H10639" s="30" t="n">
        <f aca="false">Sens!G10639-Sens!H10638*mix_h</f>
        <v>650</v>
      </c>
      <c r="I10639" s="30" t="n">
        <f aca="false">Sens!H10639-Sens!I10638*mix_h</f>
        <v>552</v>
      </c>
      <c r="J10639" s="30" t="n">
        <f aca="false">Sens!I10639-Sens!J10638*mix_h</f>
        <v>404</v>
      </c>
      <c r="K10639" s="30" t="n">
        <f aca="false">Sens!J10639-Sens!K10638*mix_h</f>
        <v>110</v>
      </c>
    </row>
    <row r="10640" customFormat="false" ht="17.15" hidden="false" customHeight="false" outlineLevel="0" collapsed="false">
      <c r="A10640" s="1" t="s">
        <v>963</v>
      </c>
      <c r="B10640" s="0" t="s">
        <v>456</v>
      </c>
      <c r="C10640" s="30" t="n">
        <f aca="false">mix_g2*Sens!C10631</f>
        <v>288</v>
      </c>
      <c r="D10640" s="30" t="n">
        <f aca="false">mix_g2*Sens!D10631</f>
        <v>733.5</v>
      </c>
      <c r="E10640" s="30" t="n">
        <f aca="false">mix_g2*Sens!E10631</f>
        <v>1462.5</v>
      </c>
      <c r="F10640" s="30" t="n">
        <f aca="false">Sens!E10640-Sens!F10638*mix_g2</f>
        <v>1462.5</v>
      </c>
      <c r="G10640" s="30" t="n">
        <f aca="false">Sens!F10640-Sens!G10638*mix_g2</f>
        <v>1462.5</v>
      </c>
      <c r="H10640" s="30" t="n">
        <f aca="false">Sens!G10640-Sens!H10638*mix_g2</f>
        <v>1462.5</v>
      </c>
      <c r="I10640" s="30" t="n">
        <f aca="false">Sens!H10640-Sens!I10638*mix_g2</f>
        <v>1242</v>
      </c>
      <c r="J10640" s="30" t="n">
        <f aca="false">Sens!I10640-Sens!J10638*mix_g2</f>
        <v>909</v>
      </c>
      <c r="K10640" s="30" t="n">
        <f aca="false">Sens!J10640-Sens!K10638*mix_g2</f>
        <v>247.5</v>
      </c>
    </row>
    <row r="10641" customFormat="false" ht="17.15" hidden="false" customHeight="false" outlineLevel="0" collapsed="false">
      <c r="A10641" s="1" t="s">
        <v>964</v>
      </c>
      <c r="B10641" s="0" t="s">
        <v>456</v>
      </c>
      <c r="C10641" s="30" t="n">
        <f aca="false">mix_g3*Sens!C10631</f>
        <v>224</v>
      </c>
      <c r="D10641" s="30" t="n">
        <f aca="false">mix_g3*Sens!D10631</f>
        <v>570.5</v>
      </c>
      <c r="E10641" s="30" t="n">
        <f aca="false">mix_g3*Sens!E10631</f>
        <v>1137.5</v>
      </c>
      <c r="F10641" s="30" t="n">
        <f aca="false">Sens!E10641+(Sens!F10637+Sens!F10638)*(a_g3_27-nonnv*a_mai)-Sens!F10638*mix_g3</f>
        <v>2773.42106</v>
      </c>
      <c r="G10641" s="30" t="n">
        <f aca="false">Sens!F10641+(Sens!G10637+Sens!G10638)*(a_g3_28-nonnv*a_mai)-Sens!G10638*mix_g3</f>
        <v>3318.72808</v>
      </c>
      <c r="H10641" s="30" t="n">
        <f aca="false">Sens!G10641+(Sens!H10637+Sens!H10638)*(a_g3_29-nonnv*a_mai)-Sens!H10638*mix_g3</f>
        <v>3318.72808</v>
      </c>
      <c r="I10641" s="30" t="n">
        <f aca="false">Sens!H10641+(Sens!I10637+Sens!I10638)*(a_g3_29-nonnv*a_mai)-Sens!I10638*mix_g3</f>
        <v>3147.22808</v>
      </c>
      <c r="J10641" s="30" t="n">
        <f aca="false">Sens!I10641+(Sens!J10637+Sens!J10638)*(a_g3_29-nonnv*a_mai)-Sens!J10638*mix_g3</f>
        <v>2888.22808</v>
      </c>
      <c r="K10641" s="30" t="n">
        <f aca="false">Sens!J10641+(Sens!K10637+Sens!K10638)*(a_g3_29-nonnv*a_mai)-Sens!K10638*mix_g3</f>
        <v>2373.72808</v>
      </c>
    </row>
    <row r="10642" customFormat="false" ht="17.15" hidden="false" customHeight="false" outlineLevel="0" collapsed="false">
      <c r="A10642" s="1" t="s">
        <v>965</v>
      </c>
      <c r="B10642" s="0" t="s">
        <v>456</v>
      </c>
      <c r="C10642" s="30" t="n">
        <v>0</v>
      </c>
      <c r="D10642" s="30" t="n">
        <v>0</v>
      </c>
      <c r="E10642" s="30" t="n">
        <v>0</v>
      </c>
      <c r="F10642" s="30" t="n">
        <f aca="false">Sens!E10642+(Sens!F10637+Sens!F10638)*nonnv*a_mai</f>
        <v>272.65351</v>
      </c>
      <c r="G10642" s="30" t="n">
        <f aca="false">Sens!F10642+(Sens!G10637+Sens!G10638)*nonnv*a_mai</f>
        <v>545.30702</v>
      </c>
      <c r="H10642" s="30" t="n">
        <f aca="false">Sens!G10642+(Sens!H10637+Sens!H10638)*nonnv*a_mai</f>
        <v>817.96053</v>
      </c>
      <c r="I10642" s="30" t="n">
        <f aca="false">Sens!H10642+(Sens!I10637+Sens!I10638)*nonnv*a_mai</f>
        <v>1060.15914196667</v>
      </c>
      <c r="J10642" s="30" t="n">
        <f aca="false">Sens!I10642+(Sens!J10637+Sens!J10638)*nonnv*a_mai</f>
        <v>1251.76682813933</v>
      </c>
      <c r="K10642" s="30" t="n">
        <f aca="false">Sens!J10642+(Sens!K10637+Sens!K10638)*nonnv*a_mai</f>
        <v>1442.37983298351</v>
      </c>
      <c r="L10642" s="12" t="s">
        <v>966</v>
      </c>
    </row>
    <row r="10643" customFormat="false" ht="17.15" hidden="false" customHeight="false" outlineLevel="0" collapsed="false">
      <c r="A10643" s="1" t="s">
        <v>967</v>
      </c>
      <c r="B10643" s="0" t="s">
        <v>456</v>
      </c>
      <c r="C10643" s="30" t="n">
        <v>0</v>
      </c>
      <c r="D10643" s="30" t="n">
        <v>0</v>
      </c>
      <c r="E10643" s="30" t="n">
        <v>0</v>
      </c>
      <c r="F10643" s="30" t="n">
        <f aca="false">Sens!E10643+(Sens!F10637+Sens!F10638)*(1-a_g3_27)</f>
        <v>817.96053</v>
      </c>
      <c r="G10643" s="30" t="n">
        <f aca="false">Sens!F10643+(Sens!G10637+Sens!G10638)*(1-a_g3_28)</f>
        <v>2726.5351</v>
      </c>
      <c r="H10643" s="30" t="n">
        <f aca="false">Sens!G10643+(Sens!H10637+Sens!H10638)*(1-a_g3_29)</f>
        <v>5180.41669</v>
      </c>
      <c r="I10643" s="30" t="n">
        <f aca="false">Sens!H10643+(Sens!I10637+Sens!I10638)*(1-a_g3_29)</f>
        <v>7360.2041977</v>
      </c>
      <c r="J10643" s="30" t="n">
        <f aca="false">Sens!I10643+(Sens!J10637+Sens!J10638)*(1-a_g3_29)</f>
        <v>9084.673373254</v>
      </c>
      <c r="K10643" s="30" t="n">
        <f aca="false">Sens!J10643+(Sens!K10637+Sens!K10638)*(1-a_g3_29)</f>
        <v>10800.1904168516</v>
      </c>
    </row>
    <row r="10644" customFormat="false" ht="17.15" hidden="false" customHeight="false" outlineLevel="0" collapsed="false">
      <c r="A10644" s="1" t="s">
        <v>968</v>
      </c>
      <c r="B10644" s="0" t="s">
        <v>403</v>
      </c>
      <c r="C10644" s="15" t="n">
        <f aca="false">(Sens!C10639*tk_hold_h100+Sens!C10640*tk_hold_gb200+Sens!C10641*tk_hold_gb300+Sens!C10643*tk_hold_vr200+Sens!C10642*nv_hold_mai*tk_hold_vr200)/Sens!C10631</f>
        <v>9.7235358126469</v>
      </c>
      <c r="D10644" s="15" t="n">
        <f aca="false">(Sens!D10639*tk_hold_h100+Sens!D10640*tk_hold_gb200+Sens!D10641*tk_hold_gb300+Sens!D10643*tk_hold_vr200+Sens!D10642*nv_hold_mai*tk_hold_vr200)/Sens!D10631</f>
        <v>9.7235358126469</v>
      </c>
      <c r="E10644" s="15" t="n">
        <f aca="false">(Sens!E10639*tk_hold_h100+Sens!E10640*tk_hold_gb200+Sens!E10641*tk_hold_gb300+Sens!E10643*tk_hold_vr200+Sens!E10642*nv_hold_mai*tk_hold_vr200)/Sens!E10631</f>
        <v>9.7235358126469</v>
      </c>
      <c r="F10644" s="15" t="n">
        <f aca="false">(Sens!F10639*tk_hold_h100+Sens!F10640*tk_hold_gb200+Sens!F10641*tk_hold_gb300+Sens!F10643*tk_hold_vr200+Sens!F10642*nv_hold_mai*tk_hold_vr200)/Sens!F10631</f>
        <v>10.2195353876665</v>
      </c>
      <c r="G10644" s="15" t="n">
        <f aca="false">(Sens!G10639*tk_hold_h100+Sens!G10640*tk_hold_gb200+Sens!G10641*tk_hold_gb300+Sens!G10643*tk_hold_vr200+Sens!G10642*nv_hold_mai*tk_hold_vr200)/Sens!G10631</f>
        <v>10.5725598017306</v>
      </c>
      <c r="H10644" s="15" t="n">
        <f aca="false">(Sens!H10639*tk_hold_h100+Sens!H10640*tk_hold_gb200+Sens!H10641*tk_hold_gb300+Sens!H10643*tk_hold_vr200+Sens!H10642*nv_hold_mai*tk_hold_vr200)/Sens!H10631</f>
        <v>10.8210427149036</v>
      </c>
      <c r="I10644" s="15" t="n">
        <f aca="false">(Sens!I10639*tk_hold_h100+Sens!I10640*tk_hold_gb200+Sens!I10641*tk_hold_gb300+Sens!I10643*tk_hold_vr200+Sens!I10642*nv_hold_mai*tk_hold_vr200)/Sens!I10631</f>
        <v>11.0050618241982</v>
      </c>
      <c r="J10644" s="15" t="n">
        <f aca="false">(Sens!J10639*tk_hold_h100+Sens!J10640*tk_hold_gb200+Sens!J10641*tk_hold_gb300+Sens!J10643*tk_hold_vr200+Sens!J10642*nv_hold_mai*tk_hold_vr200)/Sens!J10631</f>
        <v>11.1505789658881</v>
      </c>
      <c r="K10644" s="15" t="n">
        <f aca="false">(Sens!K10639*tk_hold_h100+Sens!K10640*tk_hold_gb200+Sens!K10641*tk_hold_gb300+Sens!K10643*tk_hold_vr200+Sens!K10642*nv_hold_mai*tk_hold_vr200)/Sens!K10631</f>
        <v>11.3496914757183</v>
      </c>
      <c r="L10644" s="1" t="s">
        <v>969</v>
      </c>
    </row>
    <row r="10645" customFormat="false" ht="17.15" hidden="false" customHeight="false" outlineLevel="0" collapsed="false">
      <c r="A10645" s="1" t="s">
        <v>970</v>
      </c>
      <c r="B10645" s="0" t="s">
        <v>403</v>
      </c>
      <c r="C10645" s="15" t="n">
        <f aca="false">(Sens!C10639*tk_hold_h100+Sens!C10640*tk_hold_gb200+Sens!C10641*tk_hold_gb300+Sens!C10643*tk_hold_vr200+Sens!C10642*nv_out_mai*tk_hold_vr200)/Sens!C10631</f>
        <v>9.7235358126469</v>
      </c>
      <c r="D10645" s="15" t="n">
        <f aca="false">(Sens!D10639*tk_hold_h100+Sens!D10640*tk_hold_gb200+Sens!D10641*tk_hold_gb300+Sens!D10643*tk_hold_vr200+Sens!D10642*nv_out_mai*tk_hold_vr200)/Sens!D10631</f>
        <v>9.7235358126469</v>
      </c>
      <c r="E10645" s="15" t="n">
        <f aca="false">(Sens!E10639*tk_hold_h100+Sens!E10640*tk_hold_gb200+Sens!E10641*tk_hold_gb300+Sens!E10643*tk_hold_vr200+Sens!E10642*nv_out_mai*tk_hold_vr200)/Sens!E10631</f>
        <v>9.7235358126469</v>
      </c>
      <c r="F10645" s="15" t="n">
        <f aca="false">(Sens!F10639*tk_hold_h100+Sens!F10640*tk_hold_gb200+Sens!F10641*tk_hold_gb300+Sens!F10643*tk_hold_vr200+Sens!F10642*nv_out_mai*tk_hold_vr200)/Sens!F10631</f>
        <v>10.247422093969</v>
      </c>
      <c r="G10645" s="15" t="n">
        <f aca="false">(Sens!G10639*tk_hold_h100+Sens!G10640*tk_hold_gb200+Sens!G10641*tk_hold_gb300+Sens!G10643*tk_hold_vr200+Sens!G10642*nv_out_mai*tk_hold_vr200)/Sens!G10631</f>
        <v>10.6108602808053</v>
      </c>
      <c r="H10645" s="15" t="n">
        <f aca="false">(Sens!H10639*tk_hold_h100+Sens!H10640*tk_hold_gb200+Sens!H10641*tk_hold_gb300+Sens!H10643*tk_hold_vr200+Sens!H10642*nv_out_mai*tk_hold_vr200)/Sens!H10631</f>
        <v>10.8647885507393</v>
      </c>
      <c r="I10645" s="15" t="n">
        <f aca="false">(Sens!I10639*tk_hold_h100+Sens!I10640*tk_hold_gb200+Sens!I10641*tk_hold_gb300+Sens!I10643*tk_hold_vr200+Sens!I10642*nv_out_mai*tk_hold_vr200)/Sens!I10631</f>
        <v>11.0535625770025</v>
      </c>
      <c r="J10645" s="15" t="n">
        <f aca="false">(Sens!J10639*tk_hold_h100+Sens!J10640*tk_hold_gb200+Sens!J10641*tk_hold_gb300+Sens!J10643*tk_hold_vr200+Sens!J10642*nv_out_mai*tk_hold_vr200)/Sens!J10631</f>
        <v>11.2032127128058</v>
      </c>
      <c r="K10645" s="15" t="n">
        <f aca="false">(Sens!K10639*tk_hold_h100+Sens!K10640*tk_hold_gb200+Sens!K10641*tk_hold_gb300+Sens!K10643*tk_hold_vr200+Sens!K10642*nv_out_mai*tk_hold_vr200)/Sens!K10631</f>
        <v>11.4085735724225</v>
      </c>
      <c r="L10645" s="12" t="s">
        <v>971</v>
      </c>
    </row>
    <row r="10646" customFormat="false" ht="17.15" hidden="false" customHeight="false" outlineLevel="0" collapsed="false">
      <c r="A10646" s="0" t="s">
        <v>972</v>
      </c>
      <c r="B10646" s="0" t="s">
        <v>229</v>
      </c>
      <c r="C10646" s="15" t="n">
        <f aca="false">k_B</f>
        <v>1.17213932619116</v>
      </c>
      <c r="D10646" s="15" t="n">
        <f aca="false">k_B</f>
        <v>1.17213932619116</v>
      </c>
      <c r="E10646" s="15" t="n">
        <f aca="false">k_B</f>
        <v>1.17213932619116</v>
      </c>
      <c r="F10646" s="15" t="n">
        <f aca="false">(k_B+((ls_C*k_long+(1-ls_C)*k_spot)-k_B)*MIN(1,(Sens!F10629-base_fy)/k_ramp))</f>
        <v>1.07843258004497</v>
      </c>
      <c r="G10646" s="15" t="n">
        <f aca="false">(k_B+((ls_C*k_long+(1-ls_C)*k_spot)-k_B)*MIN(1,(Sens!G10629-base_fy)/k_ramp))</f>
        <v>0.984725833898784</v>
      </c>
      <c r="H10646" s="15" t="n">
        <f aca="false">(k_B+((ls_C*k_long+(1-ls_C)*k_spot)-k_B)*MIN(1,(Sens!H10629-base_fy)/k_ramp))</f>
        <v>0.891019087752599</v>
      </c>
      <c r="I10646" s="15" t="n">
        <f aca="false">(k_B+((ls_C*k_long+(1-ls_C)*k_spot)-k_B)*MIN(1,(Sens!I10629-base_fy)/k_ramp))</f>
        <v>0.891019087752599</v>
      </c>
      <c r="J10646" s="15" t="n">
        <f aca="false">(k_B+((ls_C*k_long+(1-ls_C)*k_spot)-k_B)*MIN(1,(Sens!J10629-base_fy)/k_ramp))</f>
        <v>0.891019087752599</v>
      </c>
      <c r="K10646" s="15" t="n">
        <f aca="false">(k_B+((ls_C*k_long+(1-ls_C)*k_spot)-k_B)*MIN(1,(Sens!K10629-base_fy)/k_ramp))</f>
        <v>0.891019087752599</v>
      </c>
      <c r="L10646" s="1" t="s">
        <v>973</v>
      </c>
    </row>
    <row r="10647" customFormat="false" ht="17.15" hidden="false" customHeight="false" outlineLevel="0" collapsed="false">
      <c r="A10647" s="1" t="s">
        <v>974</v>
      </c>
      <c r="B10647" s="0" t="s">
        <v>403</v>
      </c>
      <c r="C10647" s="15" t="n">
        <f aca="false">Sens!C10645*Sens!C10646*chip_f</f>
        <v>11.3973387156315</v>
      </c>
      <c r="D10647" s="15" t="n">
        <f aca="false">Sens!D10645*Sens!D10646*chip_f</f>
        <v>11.3973387156315</v>
      </c>
      <c r="E10647" s="15" t="n">
        <f aca="false">Sens!E10645*Sens!E10646*chip_f</f>
        <v>11.3973387156315</v>
      </c>
      <c r="F10647" s="15" t="n">
        <f aca="false">Sens!F10645*Sens!F10646*chip_f</f>
        <v>11.0511538476088</v>
      </c>
      <c r="G10647" s="15" t="n">
        <f aca="false">Sens!G10645*Sens!G10646*chip_f</f>
        <v>10.4487882383995</v>
      </c>
      <c r="H10647" s="15" t="n">
        <f aca="false">Sens!H10645*Sens!H10646*chip_f</f>
        <v>9.68073398310464</v>
      </c>
      <c r="I10647" s="15" t="n">
        <f aca="false">Sens!I10645*Sens!I10646*chip_f</f>
        <v>9.84893524377706</v>
      </c>
      <c r="J10647" s="15" t="n">
        <f aca="false">Sens!J10645*Sens!J10646*chip_f</f>
        <v>9.98227637126252</v>
      </c>
      <c r="K10647" s="15" t="n">
        <f aca="false">Sens!K10645*Sens!K10646*chip_f</f>
        <v>10.1652568170583</v>
      </c>
      <c r="L10647" s="1" t="s">
        <v>975</v>
      </c>
    </row>
    <row r="10648" customFormat="false" ht="17.15" hidden="false" customHeight="false" outlineLevel="0" collapsed="false">
      <c r="A10648" s="0" t="s">
        <v>976</v>
      </c>
      <c r="B10648" s="0" t="s">
        <v>98</v>
      </c>
      <c r="D10648" s="6" t="n">
        <f aca="false">(Sens!C10631+Sens!D10631)/2*Sens!D10647/1000</f>
        <v>12.9359794422418</v>
      </c>
      <c r="E10648" s="6" t="n">
        <f aca="false">(Sens!D10631+Sens!E10631)/2*Sens!E10647/1000</f>
        <v>27.8095064661409</v>
      </c>
      <c r="F10648" s="6" t="n">
        <f aca="false">(Sens!E10631+Sens!F10631)/2*Sens!F10647/1000</f>
        <v>50.9819294352312</v>
      </c>
      <c r="G10648" s="6" t="n">
        <f aca="false">(Sens!F10631+Sens!G10631)/2*Sens!G10647/1000</f>
        <v>76.6920436014933</v>
      </c>
      <c r="H10648" s="6" t="n">
        <f aca="false">(Sens!G10631+Sens!H10631)/2*Sens!H10647/1000</f>
        <v>97.4495379418341</v>
      </c>
      <c r="I10648" s="6" t="n">
        <f aca="false">(Sens!H10631+Sens!I10631)/2*Sens!I10647/1000</f>
        <v>122.083445553868</v>
      </c>
      <c r="J10648" s="6" t="n">
        <f aca="false">(Sens!I10631+Sens!J10631)/2*Sens!J10647/1000</f>
        <v>139.249060444804</v>
      </c>
      <c r="K10648" s="6" t="n">
        <f aca="false">(Sens!J10631+Sens!K10631)/2*Sens!K10647/1000</f>
        <v>149.995818575589</v>
      </c>
      <c r="L10648" s="12" t="s">
        <v>977</v>
      </c>
    </row>
    <row r="10649" customFormat="false" ht="17.15" hidden="false" customHeight="false" outlineLevel="0" collapsed="false">
      <c r="A10649" s="1" t="s">
        <v>978</v>
      </c>
      <c r="B10649" s="0" t="s">
        <v>403</v>
      </c>
      <c r="C10649" s="15" t="n">
        <f aca="false">(Sens!C10639*tk_opex_h100+Sens!C10640*tk_opex_gb200+Sens!C10641*tk_opex_gb300+(Sens!C10643+Sens!C10642)*tk_opex_vr200)/Sens!C10631</f>
        <v>1.88636041306092</v>
      </c>
      <c r="D10649" s="15" t="n">
        <f aca="false">(Sens!D10639*tk_opex_h100+Sens!D10640*tk_opex_gb200+Sens!D10641*tk_opex_gb300+(Sens!D10643+Sens!D10642)*tk_opex_vr200)/Sens!D10631</f>
        <v>1.88636041306092</v>
      </c>
      <c r="E10649" s="15" t="n">
        <f aca="false">(Sens!E10639*tk_opex_h100+Sens!E10640*tk_opex_gb200+Sens!E10641*tk_opex_gb300+(Sens!E10643+Sens!E10642)*tk_opex_vr200)/Sens!E10631</f>
        <v>1.88636041306092</v>
      </c>
      <c r="F10649" s="15" t="n">
        <f aca="false">(Sens!F10639*tk_opex_h100+Sens!F10640*tk_opex_gb200+Sens!F10641*tk_opex_gb300+(Sens!F10643+Sens!F10642)*tk_opex_vr200)/Sens!F10631</f>
        <v>1.95051159746876</v>
      </c>
      <c r="G10649" s="15" t="n">
        <f aca="false">(Sens!G10639*tk_opex_h100+Sens!G10640*tk_opex_gb200+Sens!G10641*tk_opex_gb300+(Sens!G10643+Sens!G10642)*tk_opex_vr200)/Sens!G10631</f>
        <v>1.98836003669956</v>
      </c>
      <c r="H10649" s="15" t="n">
        <f aca="false">(Sens!H10639*tk_opex_h100+Sens!H10640*tk_opex_gb200+Sens!H10641*tk_opex_gb300+(Sens!H10643+Sens!H10642)*tk_opex_vr200)/Sens!H10631</f>
        <v>2.01344013834343</v>
      </c>
      <c r="I10649" s="15" t="n">
        <f aca="false">(Sens!I10639*tk_opex_h100+Sens!I10640*tk_opex_gb200+Sens!I10641*tk_opex_gb300+(Sens!I10643+Sens!I10642)*tk_opex_vr200)/Sens!I10631</f>
        <v>2.03261166882178</v>
      </c>
      <c r="J10649" s="15" t="n">
        <f aca="false">(Sens!J10639*tk_opex_h100+Sens!J10640*tk_opex_gb200+Sens!J10641*tk_opex_gb300+(Sens!J10643+Sens!J10642)*tk_opex_vr200)/Sens!J10631</f>
        <v>2.04808073288745</v>
      </c>
      <c r="K10649" s="15" t="n">
        <f aca="false">(Sens!K10639*tk_opex_h100+Sens!K10640*tk_opex_gb200+Sens!K10641*tk_opex_gb300+(Sens!K10643+Sens!K10642)*tk_opex_vr200)/Sens!K10631</f>
        <v>2.06973825807449</v>
      </c>
      <c r="L10649" s="12" t="s">
        <v>979</v>
      </c>
    </row>
    <row r="10650" customFormat="false" ht="17.15" hidden="false" customHeight="false" outlineLevel="0" collapsed="false">
      <c r="A10650" s="0" t="s">
        <v>980</v>
      </c>
      <c r="B10650" s="0" t="s">
        <v>98</v>
      </c>
      <c r="D10650" s="6" t="n">
        <f aca="false">(Sens!C10634+Sens!D10634)/2*Sens!D10649/1000</f>
        <v>2.70378325872065</v>
      </c>
      <c r="E10650" s="6" t="n">
        <f aca="false">(Sens!D10634+Sens!E10634)/2*Sens!E10649/1000</f>
        <v>6.17783035277451</v>
      </c>
      <c r="F10650" s="6" t="n">
        <f aca="false">(Sens!E10634+Sens!F10634)/2*Sens!F10649/1000</f>
        <v>12.8742463089237</v>
      </c>
      <c r="G10650" s="6" t="n">
        <f aca="false">(Sens!F10634+Sens!G10634)/2*Sens!G10649/1000</f>
        <v>21.8182834646277</v>
      </c>
      <c r="H10650" s="6" t="n">
        <f aca="false">(Sens!G10634+Sens!H10634)/2*Sens!H10649/1000</f>
        <v>31.2430128789734</v>
      </c>
      <c r="I10650" s="6" t="n">
        <f aca="false">(Sens!H10634+Sens!I10634)/2*Sens!I10649/1000</f>
        <v>39.4313057443268</v>
      </c>
      <c r="J10650" s="6" t="n">
        <f aca="false">(Sens!I10634+Sens!J10634)/2*Sens!J10649/1000</f>
        <v>45.0360318228653</v>
      </c>
      <c r="K10650" s="6" t="n">
        <f aca="false">(Sens!J10634+Sens!K10634)/2*Sens!K10649/1000</f>
        <v>48.2929727091156</v>
      </c>
    </row>
    <row r="10651" customFormat="false" ht="17.15" hidden="false" customHeight="false" outlineLevel="0" collapsed="false">
      <c r="A10651" s="0" t="s">
        <v>981</v>
      </c>
      <c r="B10651" s="0" t="s">
        <v>98</v>
      </c>
      <c r="D10651" s="6" t="n">
        <f aca="false">(Sens!C10632+Sens!D10632)/2*rent_mw/1000</f>
        <v>2.44475</v>
      </c>
      <c r="E10651" s="6" t="n">
        <f aca="false">(Sens!D10632+Sens!E10632)/2*rent_mw/1000</f>
        <v>4.22275</v>
      </c>
      <c r="F10651" s="6" t="n">
        <f aca="false">(Sens!E10632+Sens!F10632)/2*rent_mw/1000</f>
        <v>5.80517</v>
      </c>
      <c r="G10651" s="6" t="n">
        <f aca="false">(Sens!F10632+Sens!G10632)/2*rent_mw/1000</f>
        <v>6.72084</v>
      </c>
      <c r="H10651" s="6" t="n">
        <f aca="false">(Sens!G10632+Sens!H10632)/2*rent_mw/1000</f>
        <v>6.72084</v>
      </c>
      <c r="I10651" s="6" t="n">
        <f aca="false">(Sens!H10632+Sens!I10632)/2*rent_mw/1000</f>
        <v>6.72084</v>
      </c>
      <c r="J10651" s="6" t="n">
        <f aca="false">(Sens!I10632+Sens!J10632)/2*rent_mw/1000</f>
        <v>6.72084</v>
      </c>
      <c r="K10651" s="6" t="n">
        <f aca="false">(Sens!J10632+Sens!K10632)/2*rent_mw/1000</f>
        <v>6.72084</v>
      </c>
    </row>
    <row r="10652" customFormat="false" ht="17.15" hidden="false" customHeight="false" outlineLevel="0" collapsed="false">
      <c r="A10652" s="0" t="s">
        <v>982</v>
      </c>
      <c r="B10652" s="0" t="s">
        <v>98</v>
      </c>
      <c r="D10652" s="6" t="n">
        <f aca="false">(Sens!C10634+Sens!D10634)/2*(1-self_build)*fac_rent/1000</f>
        <v>0.853242375631075</v>
      </c>
      <c r="E10652" s="6" t="n">
        <f aca="false">(Sens!D10634+Sens!E10634)/2*(1-self_build)*fac_rent/1000</f>
        <v>1.94955961408728</v>
      </c>
      <c r="F10652" s="6" t="n">
        <f aca="false">(Sens!E10634+Sens!F10634)/2*(1-self_build)*fac_rent/1000</f>
        <v>3.92914894476356</v>
      </c>
      <c r="G10652" s="6" t="n">
        <f aca="false">(Sens!F10634+Sens!G10634)/2*(1-self_build)*fac_rent/1000</f>
        <v>6.53206908578159</v>
      </c>
      <c r="H10652" s="6" t="n">
        <f aca="false">(Sens!G10634+Sens!H10634)/2*(1-self_build)*fac_rent/1000</f>
        <v>9.23717988341591</v>
      </c>
      <c r="I10652" s="6" t="n">
        <f aca="false">(Sens!H10634+Sens!I10634)/2*(1-self_build)*fac_rent/1000</f>
        <v>11.5481378557393</v>
      </c>
      <c r="J10652" s="6" t="n">
        <f aca="false">(Sens!I10634+Sens!J10634)/2*(1-self_build)*fac_rent/1000</f>
        <v>13.0899582289108</v>
      </c>
      <c r="K10652" s="6" t="n">
        <f aca="false">(Sens!J10634+Sens!K10634)/2*(1-self_build)*fac_rent/1000</f>
        <v>13.8897275626556</v>
      </c>
      <c r="L10652" s="12" t="s">
        <v>983</v>
      </c>
    </row>
    <row r="10653" customFormat="false" ht="17.15" hidden="false" customHeight="false" outlineLevel="0" collapsed="false">
      <c r="A10653" s="1" t="s">
        <v>984</v>
      </c>
      <c r="B10653" s="0" t="s">
        <v>168</v>
      </c>
      <c r="D10653" s="7" t="n">
        <f aca="false">(Sens!C10633+Sens!D10633)/(Sens!C10634+Sens!D10634)</f>
        <v>0.6</v>
      </c>
      <c r="E10653" s="7" t="n">
        <f aca="false">(Sens!D10633+Sens!E10633)/(Sens!D10634+Sens!E10634)</f>
        <v>0.6</v>
      </c>
      <c r="F10653" s="7" t="n">
        <f aca="false">(Sens!E10633+Sens!F10633)/(Sens!E10634+Sens!F10634)</f>
        <v>0.6</v>
      </c>
      <c r="G10653" s="7" t="n">
        <f aca="false">(Sens!F10633+Sens!G10633)/(Sens!F10634+Sens!G10634)</f>
        <v>0.6</v>
      </c>
      <c r="H10653" s="7" t="n">
        <f aca="false">(Sens!G10633+Sens!H10633)/(Sens!G10634+Sens!H10634)</f>
        <v>0.6</v>
      </c>
      <c r="I10653" s="7" t="n">
        <f aca="false">(Sens!H10633+Sens!I10633)/(Sens!H10634+Sens!I10634)</f>
        <v>0.6</v>
      </c>
      <c r="J10653" s="7" t="n">
        <f aca="false">(Sens!I10633+Sens!J10633)/(Sens!I10634+Sens!J10634)</f>
        <v>0.6</v>
      </c>
      <c r="K10653" s="7" t="n">
        <f aca="false">(Sens!J10633+Sens!K10633)/(Sens!J10634+Sens!K10634)</f>
        <v>0.6</v>
      </c>
    </row>
    <row r="10654" customFormat="false" ht="17.15" hidden="false" customHeight="false" outlineLevel="0" collapsed="false">
      <c r="A10654" s="0" t="s">
        <v>985</v>
      </c>
      <c r="B10654" s="0" t="s">
        <v>98</v>
      </c>
      <c r="D10654" s="6" t="n">
        <f aca="false">Sens!D10648-Sens!D10653*(Sens!D10650+Sens!D10652)-Sens!D10651</f>
        <v>8.35701406163072</v>
      </c>
      <c r="E10654" s="6" t="n">
        <f aca="false">Sens!E10648-Sens!E10653*(Sens!E10650+Sens!E10652)-Sens!E10651</f>
        <v>18.7103224860238</v>
      </c>
      <c r="F10654" s="6" t="n">
        <f aca="false">Sens!F10648-Sens!F10653*(Sens!F10650+Sens!F10652)-Sens!F10651</f>
        <v>35.0947222830189</v>
      </c>
      <c r="G10654" s="6" t="n">
        <f aca="false">Sens!G10648-Sens!G10653*(Sens!G10650+Sens!G10652)-Sens!G10651</f>
        <v>52.9609920712477</v>
      </c>
      <c r="H10654" s="6" t="n">
        <f aca="false">Sens!H10648-Sens!H10653*(Sens!H10650+Sens!H10652)-Sens!H10651</f>
        <v>66.4405822844005</v>
      </c>
      <c r="I10654" s="6" t="n">
        <f aca="false">Sens!I10648-Sens!I10653*(Sens!I10650+Sens!I10652)-Sens!I10651</f>
        <v>84.7749393938279</v>
      </c>
      <c r="J10654" s="6" t="n">
        <f aca="false">Sens!J10648-Sens!J10653*(Sens!J10650+Sens!J10652)-Sens!J10651</f>
        <v>97.6526264137382</v>
      </c>
      <c r="K10654" s="6" t="n">
        <f aca="false">Sens!K10648-Sens!K10653*(Sens!K10650+Sens!K10652)-Sens!K10651</f>
        <v>105.965358412527</v>
      </c>
    </row>
    <row r="10655" customFormat="false" ht="17.15" hidden="false" customHeight="false" outlineLevel="0" collapsed="false">
      <c r="A10655" s="1" t="s">
        <v>986</v>
      </c>
      <c r="B10655" s="0" t="s">
        <v>98</v>
      </c>
      <c r="D10655" s="6" t="n">
        <f aca="false">(1-Sens!D10653)*(Sens!D10650+Sens!D10652)</f>
        <v>1.42281025374069</v>
      </c>
      <c r="E10655" s="6" t="n">
        <f aca="false">(1-Sens!E10653)*(Sens!E10650+Sens!E10652)</f>
        <v>3.25095598674472</v>
      </c>
      <c r="F10655" s="6" t="n">
        <f aca="false">(1-Sens!F10653)*(Sens!F10650+Sens!F10652)</f>
        <v>6.72135810147489</v>
      </c>
      <c r="G10655" s="6" t="n">
        <f aca="false">(1-Sens!G10653)*(Sens!G10650+Sens!G10652)</f>
        <v>11.3401410201637</v>
      </c>
      <c r="H10655" s="6" t="n">
        <f aca="false">(1-Sens!H10653)*(Sens!H10650+Sens!H10652)</f>
        <v>16.1920771049557</v>
      </c>
      <c r="I10655" s="6" t="n">
        <f aca="false">(1-Sens!I10653)*(Sens!I10650+Sens!I10652)</f>
        <v>20.3917774400264</v>
      </c>
      <c r="J10655" s="6" t="n">
        <f aca="false">(1-Sens!J10653)*(Sens!J10650+Sens!J10652)</f>
        <v>23.2503960207104</v>
      </c>
      <c r="K10655" s="6" t="n">
        <f aca="false">(1-Sens!K10653)*(Sens!K10650+Sens!K10652)</f>
        <v>24.8730801087085</v>
      </c>
    </row>
    <row r="10656" customFormat="false" ht="17.15" hidden="false" customHeight="false" outlineLevel="0" collapsed="false">
      <c r="A10656" s="1" t="s">
        <v>987</v>
      </c>
      <c r="B10656" s="0" t="s">
        <v>414</v>
      </c>
      <c r="C10656" s="8" t="n">
        <f aca="false">cxit_open</f>
        <v>27.5918995</v>
      </c>
      <c r="D10656" s="8" t="n">
        <f aca="false">cxit_open</f>
        <v>27.5918995</v>
      </c>
      <c r="E10656" s="8" t="n">
        <f aca="false">cxit_open</f>
        <v>27.5918995</v>
      </c>
      <c r="F10656" s="8" t="n">
        <f aca="false">((a_g3_27-nonnv*a_mai)*tk_cxit_gb300+nonnv*a_mai*nv_hold_mai*tk_cxit_vr200+(1-a_g3_27)*tk_cxit_vr200)</f>
        <v>32.4975576</v>
      </c>
      <c r="G10656" s="8" t="n">
        <f aca="false">((a_g3_28-nonnv*a_mai)*tk_cxit_gb300+nonnv*a_mai*nv_hold_mai*tk_cxit_vr200+(1-a_g3_28)*tk_cxit_vr200)</f>
        <v>34.6372088</v>
      </c>
      <c r="H10656" s="8" t="n">
        <f aca="false">((a_g3_29-nonnv*a_mai)*tk_cxit_gb300+nonnv*a_mai*nv_hold_mai*tk_cxit_vr200+(1-a_g3_29)*tk_cxit_vr200)</f>
        <v>35.7070344</v>
      </c>
      <c r="I10656" s="8" t="n">
        <f aca="false">((a_g3_29-nonnv*a_mai)*tk_cxit_gb300+nonnv*a_mai*nv_hold_mai*tk_cxit_vr200+(1-a_g3_29)*tk_cxit_vr200)</f>
        <v>35.7070344</v>
      </c>
      <c r="J10656" s="8" t="n">
        <f aca="false">((a_g3_29-nonnv*a_mai)*tk_cxit_gb300+nonnv*a_mai*nv_hold_mai*tk_cxit_vr200+(1-a_g3_29)*tk_cxit_vr200)</f>
        <v>35.7070344</v>
      </c>
      <c r="K10656" s="8" t="n">
        <f aca="false">((a_g3_29-nonnv*a_mai)*tk_cxit_gb300+nonnv*a_mai*nv_hold_mai*tk_cxit_vr200+(1-a_g3_29)*tk_cxit_vr200)</f>
        <v>35.7070344</v>
      </c>
      <c r="L10656" s="12" t="s">
        <v>988</v>
      </c>
    </row>
    <row r="10657" customFormat="false" ht="17.15" hidden="false" customHeight="false" outlineLevel="0" collapsed="false">
      <c r="A10657" s="0" t="s">
        <v>989</v>
      </c>
      <c r="B10657" s="0" t="s">
        <v>456</v>
      </c>
      <c r="F10657" s="30" t="n">
        <f aca="false">Sens!C10636*IF(Sens!F10629-Sens!C10629=life_it,1,0)+Sens!D10636*IF(Sens!F10629-Sens!D10629=life_it,1,0)+Sens!E10636*IF(Sens!F10629-Sens!E10629=life_it,1,0)</f>
        <v>0</v>
      </c>
      <c r="G10657" s="30" t="n">
        <f aca="false">Sens!C10636*IF(Sens!G10629-Sens!C10629=life_it,1,0)+Sens!D10636*IF(Sens!G10629-Sens!D10629=life_it,1,0)+Sens!E10636*IF(Sens!G10629-Sens!E10629=life_it,1,0)+Sens!F10636*IF(Sens!G10629-Sens!F10629=life_it,1,0)</f>
        <v>0</v>
      </c>
      <c r="H10657" s="30" t="n">
        <f aca="false">Sens!C10636*IF(Sens!H10629-Sens!C10629=life_it,1,0)+Sens!D10636*IF(Sens!H10629-Sens!D10629=life_it,1,0)+Sens!E10636*IF(Sens!H10629-Sens!E10629=life_it,1,0)+Sens!F10636*IF(Sens!H10629-Sens!F10629=life_it,1,0)+Sens!G10636*IF(Sens!H10629-Sens!G10629=life_it,1,0)</f>
        <v>0</v>
      </c>
      <c r="I10657" s="30" t="n">
        <f aca="false">Sens!C10636*IF(Sens!I10629-Sens!C10629=life_it,1,0)+Sens!D10636*IF(Sens!I10629-Sens!D10629=life_it,1,0)+Sens!E10636*IF(Sens!I10629-Sens!E10629=life_it,1,0)+Sens!F10636*IF(Sens!I10629-Sens!F10629=life_it,1,0)+Sens!G10636*IF(Sens!I10629-Sens!G10629=life_it,1,0)+Sens!H10636*IF(Sens!I10629-Sens!H10629=life_it,1,0)</f>
        <v>816.666666666667</v>
      </c>
      <c r="J10657" s="30" t="n">
        <f aca="false">Sens!C10636*IF(Sens!J10629-Sens!C10629=life_it,1,0)+Sens!D10636*IF(Sens!J10629-Sens!D10629=life_it,1,0)+Sens!E10636*IF(Sens!J10629-Sens!E10629=life_it,1,0)+Sens!F10636*IF(Sens!J10629-Sens!F10629=life_it,1,0)+Sens!G10636*IF(Sens!J10629-Sens!G10629=life_it,1,0)+Sens!H10636*IF(Sens!J10629-Sens!H10629=life_it,1,0)+Sens!I10636*IF(Sens!J10629-Sens!I10629=life_it,1,0)</f>
        <v>1233.33333333333</v>
      </c>
      <c r="K10657" s="30" t="n">
        <f aca="false">Sens!C10636*IF(Sens!K10629-Sens!C10629=life_it,1,0)+Sens!D10636*IF(Sens!K10629-Sens!D10629=life_it,1,0)+Sens!E10636*IF(Sens!K10629-Sens!E10629=life_it,1,0)+Sens!F10636*IF(Sens!K10629-Sens!F10629=life_it,1,0)+Sens!G10636*IF(Sens!K10629-Sens!G10629=life_it,1,0)+Sens!H10636*IF(Sens!K10629-Sens!H10629=life_it,1,0)+Sens!I10636*IF(Sens!K10629-Sens!I10629=life_it,1,0)+Sens!J10636*IF(Sens!K10629-Sens!J10629=life_it,1,0)</f>
        <v>2450</v>
      </c>
      <c r="L10657" s="1" t="s">
        <v>990</v>
      </c>
    </row>
    <row r="10658" customFormat="false" ht="17.15" hidden="false" customHeight="false" outlineLevel="0" collapsed="false">
      <c r="A10658" s="0" t="s">
        <v>991</v>
      </c>
      <c r="B10658" s="0" t="s">
        <v>98</v>
      </c>
      <c r="C10658" s="6" t="n">
        <f aca="false">Sens!C10636*Sens!C10656/1000</f>
        <v>22.5333845916667</v>
      </c>
      <c r="D10658" s="6" t="n">
        <f aca="false">Sens!D10636*Sens!D10656/1000</f>
        <v>34.0300093833333</v>
      </c>
      <c r="E10658" s="6" t="n">
        <f aca="false">Sens!E10636*Sens!E10656/1000</f>
        <v>67.600153775</v>
      </c>
      <c r="F10658" s="6" t="n">
        <f aca="false">(Sens!F10636+Sens!F10657)*Sens!F10656/1000</f>
        <v>136.51872432512</v>
      </c>
      <c r="G10658" s="6" t="n">
        <f aca="false">(Sens!G10636+Sens!G10657)*Sens!G10656/1000</f>
        <v>157.399275932048</v>
      </c>
      <c r="H10658" s="6" t="n">
        <f aca="false">(Sens!H10636+Sens!H10657)*Sens!H10656/1000</f>
        <v>162.260804347512</v>
      </c>
      <c r="I10658" s="6" t="n">
        <f aca="false">(Sens!I10636+Sens!I10657)*Sens!I10656/1000</f>
        <v>144.136569485434</v>
      </c>
      <c r="J10658" s="6" t="n">
        <f aca="false">(Sens!J10636+Sens!J10657)*Sens!J10656/1000</f>
        <v>114.029037357864</v>
      </c>
      <c r="K10658" s="6" t="n">
        <f aca="false">(Sens!K10636+Sens!K10657)*Sens!K10656/1000</f>
        <v>113.437085350975</v>
      </c>
    </row>
    <row r="10659" customFormat="false" ht="17.15" hidden="false" customHeight="false" outlineLevel="0" collapsed="false">
      <c r="A10659" s="0" t="s">
        <v>992</v>
      </c>
      <c r="B10659" s="0" t="s">
        <v>98</v>
      </c>
      <c r="C10659" s="6" t="n">
        <f aca="false">Sens!C10636*self_build*tk_cxfac/1000</f>
        <v>6.2083</v>
      </c>
      <c r="D10659" s="6" t="n">
        <f aca="false">Sens!D10636*self_build*tk_cxfac/1000</f>
        <v>9.3758</v>
      </c>
      <c r="E10659" s="6" t="n">
        <f aca="false">Sens!E10636*self_build*tk_cxfac/1000</f>
        <v>18.6249</v>
      </c>
      <c r="F10659" s="6" t="n">
        <f aca="false">Sens!F10636*self_build*tk_cxfac/1000</f>
        <v>31.935179717</v>
      </c>
      <c r="G10659" s="6" t="n">
        <f aca="false">Sens!G10636*self_build*tk_cxfac/1000</f>
        <v>34.545199717</v>
      </c>
      <c r="H10659" s="6" t="n">
        <f aca="false">Sens!H10636*self_build*tk_cxfac/1000</f>
        <v>34.545199717</v>
      </c>
      <c r="I10659" s="6" t="n">
        <f aca="false">Sens!I10636*self_build*tk_cxfac/1000</f>
        <v>24.4782641361767</v>
      </c>
      <c r="J10659" s="6" t="n">
        <f aca="false">Sens!J10636*self_build*tk_cxfac/1000</f>
        <v>14.9008938380769</v>
      </c>
      <c r="K10659" s="6" t="n">
        <f aca="false">Sens!K10636*self_build*tk_cxfac/1000</f>
        <v>5.52576771375761</v>
      </c>
    </row>
    <row r="10660" customFormat="false" ht="17.15" hidden="false" customHeight="false" outlineLevel="0" collapsed="false">
      <c r="A10660" s="0" t="s">
        <v>993</v>
      </c>
      <c r="B10660" s="0" t="s">
        <v>98</v>
      </c>
      <c r="F10660" s="15" t="n">
        <f aca="false">capex_floor27-Sens!F10658-Sens!F10659-Sens!F10756</f>
        <v>-0.072405915421605</v>
      </c>
      <c r="L10660" s="12" t="s">
        <v>994</v>
      </c>
    </row>
    <row r="10661" customFormat="false" ht="17.15" hidden="false" customHeight="false" outlineLevel="0" collapsed="false">
      <c r="A10661" s="0" t="s">
        <v>995</v>
      </c>
      <c r="B10661" s="0" t="s">
        <v>98</v>
      </c>
      <c r="F10661" s="6" t="n">
        <f aca="false">MAX(0,Sens!F10660)</f>
        <v>0</v>
      </c>
    </row>
    <row r="10662" customFormat="false" ht="17.15" hidden="false" customHeight="false" outlineLevel="0" collapsed="false">
      <c r="A10662" s="0" t="s">
        <v>996</v>
      </c>
      <c r="B10662" s="0" t="s">
        <v>98</v>
      </c>
      <c r="C10662" s="6" t="n">
        <f aca="false">Sens!C10658</f>
        <v>22.5333845916667</v>
      </c>
      <c r="D10662" s="6" t="n">
        <f aca="false">Sens!D10658</f>
        <v>34.0300093833333</v>
      </c>
      <c r="E10662" s="6" t="n">
        <f aca="false">Sens!E10658</f>
        <v>67.600153775</v>
      </c>
      <c r="F10662" s="6" t="n">
        <f aca="false">Sens!F10658</f>
        <v>136.51872432512</v>
      </c>
      <c r="G10662" s="6" t="n">
        <f aca="false">Sens!G10658</f>
        <v>157.399275932048</v>
      </c>
      <c r="H10662" s="6" t="n">
        <f aca="false">Sens!H10658</f>
        <v>162.260804347512</v>
      </c>
      <c r="I10662" s="6" t="n">
        <f aca="false">Sens!I10658</f>
        <v>144.136569485434</v>
      </c>
      <c r="J10662" s="6" t="n">
        <f aca="false">Sens!J10658</f>
        <v>114.029037357864</v>
      </c>
      <c r="K10662" s="6" t="n">
        <f aca="false">Sens!K10658</f>
        <v>113.437085350975</v>
      </c>
    </row>
    <row r="10663" customFormat="false" ht="17.15" hidden="false" customHeight="false" outlineLevel="0" collapsed="false">
      <c r="A10663" s="0" t="s">
        <v>997</v>
      </c>
      <c r="B10663" s="0" t="s">
        <v>98</v>
      </c>
      <c r="C10663" s="6" t="n">
        <f aca="false">Sens!C10662+Sens!C10659</f>
        <v>28.7416845916667</v>
      </c>
      <c r="D10663" s="6" t="n">
        <f aca="false">Sens!D10662+Sens!D10659</f>
        <v>43.4058093833333</v>
      </c>
      <c r="E10663" s="6" t="n">
        <f aca="false">Sens!E10662+Sens!E10659</f>
        <v>86.225053775</v>
      </c>
      <c r="F10663" s="6" t="n">
        <f aca="false">Sens!F10662+Sens!F10659</f>
        <v>168.45390404212</v>
      </c>
      <c r="G10663" s="6" t="n">
        <f aca="false">Sens!G10662+Sens!G10659</f>
        <v>191.944475649048</v>
      </c>
      <c r="H10663" s="6" t="n">
        <f aca="false">Sens!H10662+Sens!H10659</f>
        <v>196.806004064512</v>
      </c>
      <c r="I10663" s="6" t="n">
        <f aca="false">Sens!I10662+Sens!I10659</f>
        <v>168.61483362161</v>
      </c>
      <c r="J10663" s="6" t="n">
        <f aca="false">Sens!J10662+Sens!J10659</f>
        <v>128.92993119594</v>
      </c>
      <c r="K10663" s="6" t="n">
        <f aca="false">Sens!K10662+Sens!K10659</f>
        <v>118.962853064733</v>
      </c>
      <c r="L10663" s="12" t="s">
        <v>998</v>
      </c>
    </row>
    <row r="10664" customFormat="false" ht="17.15" hidden="false" customHeight="false" outlineLevel="0" collapsed="false">
      <c r="A10664" s="0" t="s">
        <v>999</v>
      </c>
      <c r="B10664" s="0" t="s">
        <v>98</v>
      </c>
      <c r="E10664" s="6" t="n">
        <f aca="false">(Sens!C10662*IF(2&lt;life_it,1,IF(2=life_it,0.5,0))+Sens!D10662*IF(1&lt;life_it,1,IF(1=life_it,0.5,0))+Sens!E10662*0.5)/life_it</f>
        <v>15.0605784770833</v>
      </c>
      <c r="F10664" s="6" t="n">
        <f aca="false">(Sens!C10662*IF(3&lt;life_it,1,IF(3=life_it,0.5,0))+Sens!D10662*IF(2&lt;life_it,1,IF(2=life_it,0.5,0))+Sens!E10662*IF(1&lt;life_it,1,IF(1=life_it,0.5,0))+Sens!F10662*0.5)/life_it</f>
        <v>32.0704849854266</v>
      </c>
      <c r="G10664" s="6" t="n">
        <f aca="false">(Sens!C10662*IF(4&lt;life_it,1,IF(4=life_it,0.5,0))+Sens!D10662*IF(3&lt;life_it,1,IF(3=life_it,0.5,0))+Sens!E10662*IF(2&lt;life_it,1,IF(2=life_it,0.5,0))+Sens!F10662*IF(1&lt;life_it,1,IF(1=life_it,0.5,0))+Sens!G10662*0.5)/life_it</f>
        <v>56.5636516735239</v>
      </c>
      <c r="H10664" s="6" t="n">
        <f aca="false">(Sens!C10662*IF(5&lt;life_it,1,IF(5=life_it,0.5,0))+Sens!D10662*IF(4&lt;life_it,1,IF(4=life_it,0.5,0))+Sens!E10662*IF(3&lt;life_it,1,IF(3=life_it,0.5,0))+Sens!F10662*IF(2&lt;life_it,1,IF(2=life_it,0.5,0))+Sens!G10662*IF(1&lt;life_it,1,IF(1=life_it,0.5,0))+Sens!H10662*0.5)/life_it</f>
        <v>83.2019916968207</v>
      </c>
      <c r="I10664" s="6" t="n">
        <f aca="false">(Sens!C10662*IF(6&lt;life_it,1,IF(6=life_it,0.5,0))+Sens!D10662*IF(5&lt;life_it,1,IF(5=life_it,0.5,0))+Sens!E10662*IF(4&lt;life_it,1,IF(4=life_it,0.5,0))+Sens!F10662*IF(3&lt;life_it,1,IF(3=life_it,0.5,0))+Sens!G10662*IF(2&lt;life_it,1,IF(2=life_it,0.5,0))+Sens!H10662*IF(1&lt;life_it,1,IF(1=life_it,0.5,0))+Sens!I10662*0.5)/life_it</f>
        <v>106.857324133594</v>
      </c>
      <c r="J10664" s="6" t="n">
        <f aca="false">(Sens!C10662*IF(7&lt;life_it,1,IF(7=life_it,0.5,0))+Sens!D10662*IF(6&lt;life_it,1,IF(6=life_it,0.5,0))+Sens!E10662*IF(5&lt;life_it,1,IF(5=life_it,0.5,0))+Sens!F10662*IF(4&lt;life_it,1,IF(4=life_it,0.5,0))+Sens!G10662*IF(3&lt;life_it,1,IF(3=life_it,0.5,0))+Sens!H10662*IF(2&lt;life_it,1,IF(2=life_it,0.5,0))+Sens!I10662*IF(1&lt;life_it,1,IF(1=life_it,0.5,0))+Sens!J10662*0.5)/life_it</f>
        <v>123.657508539285</v>
      </c>
      <c r="K10664" s="6" t="n">
        <f aca="false">(Sens!C10662*IF(8&lt;life_it,1,IF(8=life_it,0.5,0))+Sens!D10662*IF(7&lt;life_it,1,IF(7=life_it,0.5,0))+Sens!E10662*IF(6&lt;life_it,1,IF(6=life_it,0.5,0))+Sens!F10662*IF(5&lt;life_it,1,IF(5=life_it,0.5,0))+Sens!G10662*IF(4&lt;life_it,1,IF(4=life_it,0.5,0))+Sens!H10662*IF(3&lt;life_it,1,IF(3=life_it,0.5,0))+Sens!I10662*IF(2&lt;life_it,1,IF(2=life_it,0.5,0))+Sens!J10662*IF(1&lt;life_it,1,IF(1=life_it,0.5,0))+Sens!K10662*0.5)/life_it</f>
        <v>134.143838501827</v>
      </c>
    </row>
    <row r="10665" customFormat="false" ht="17.15" hidden="false" customHeight="false" outlineLevel="0" collapsed="false">
      <c r="A10665" s="0" t="s">
        <v>1000</v>
      </c>
      <c r="B10665" s="0" t="s">
        <v>98</v>
      </c>
      <c r="E10665" s="6" t="n">
        <f aca="false">(Sens!C10659*IF(2&lt;life_fac,1,IF(2=life_fac,0.5,0))+Sens!D10659*IF(1&lt;life_fac,1,IF(1=life_fac,0.5,0))+Sens!E10659*0.5)/life_fac</f>
        <v>1.2448275</v>
      </c>
      <c r="F10665" s="6" t="n">
        <f aca="false">(Sens!C10659*IF(3&lt;life_fac,1,IF(3=life_fac,0.5,0))+Sens!D10659*IF(2&lt;life_fac,1,IF(2=life_fac,0.5,0))+Sens!E10659*IF(1&lt;life_fac,1,IF(1=life_fac,0.5,0))+Sens!F10659*0.5)/life_fac</f>
        <v>2.508829492925</v>
      </c>
      <c r="G10665" s="6" t="n">
        <f aca="false">(Sens!C10659*IF(4&lt;life_fac,1,IF(4=life_fac,0.5,0))+Sens!D10659*IF(3&lt;life_fac,1,IF(3=life_fac,0.5,0))+Sens!E10659*IF(2&lt;life_fac,1,IF(2=life_fac,0.5,0))+Sens!F10659*IF(1&lt;life_fac,1,IF(1=life_fac,0.5,0))+Sens!G10659*0.5)/life_fac</f>
        <v>4.170838978775</v>
      </c>
      <c r="H10665" s="6" t="n">
        <f aca="false">(Sens!C10659*IF(5&lt;life_fac,1,IF(5=life_fac,0.5,0))+Sens!D10659*IF(4&lt;life_fac,1,IF(4=life_fac,0.5,0))+Sens!E10659*IF(3&lt;life_fac,1,IF(3=life_fac,0.5,0))+Sens!F10659*IF(2&lt;life_fac,1,IF(2=life_fac,0.5,0))+Sens!G10659*IF(1&lt;life_fac,1,IF(1=life_fac,0.5,0))+Sens!H10659*0.5)/life_fac</f>
        <v>5.898098964625</v>
      </c>
      <c r="I10665" s="6" t="n">
        <f aca="false">(Sens!C10659*IF(6&lt;life_fac,1,IF(6=life_fac,0.5,0))+Sens!D10659*IF(5&lt;life_fac,1,IF(5=life_fac,0.5,0))+Sens!E10659*IF(4&lt;life_fac,1,IF(4=life_fac,0.5,0))+Sens!F10659*IF(3&lt;life_fac,1,IF(3=life_fac,0.5,0))+Sens!G10659*IF(2&lt;life_fac,1,IF(2=life_fac,0.5,0))+Sens!H10659*IF(1&lt;life_fac,1,IF(1=life_fac,0.5,0))+Sens!I10659*0.5)/life_fac</f>
        <v>7.37368556095442</v>
      </c>
      <c r="J10665" s="6" t="n">
        <f aca="false">(Sens!C10659*IF(7&lt;life_fac,1,IF(7=life_fac,0.5,0))+Sens!D10659*IF(6&lt;life_fac,1,IF(6=life_fac,0.5,0))+Sens!E10659*IF(5&lt;life_fac,1,IF(5=life_fac,0.5,0))+Sens!F10659*IF(4&lt;life_fac,1,IF(4=life_fac,0.5,0))+Sens!G10659*IF(3&lt;life_fac,1,IF(3=life_fac,0.5,0))+Sens!H10659*IF(2&lt;life_fac,1,IF(2=life_fac,0.5,0))+Sens!I10659*IF(1&lt;life_fac,1,IF(1=life_fac,0.5,0))+Sens!J10659*0.5)/life_fac</f>
        <v>8.35816451031075</v>
      </c>
      <c r="K10665" s="6" t="n">
        <f aca="false">(Sens!C10659*IF(8&lt;life_fac,1,IF(8=life_fac,0.5,0))+Sens!D10659*IF(7&lt;life_fac,1,IF(7=life_fac,0.5,0))+Sens!E10659*IF(6&lt;life_fac,1,IF(6=life_fac,0.5,0))+Sens!F10659*IF(5&lt;life_fac,1,IF(5=life_fac,0.5,0))+Sens!G10659*IF(4&lt;life_fac,1,IF(4=life_fac,0.5,0))+Sens!H10659*IF(3&lt;life_fac,1,IF(3=life_fac,0.5,0))+Sens!I10659*IF(2&lt;life_fac,1,IF(2=life_fac,0.5,0))+Sens!J10659*IF(1&lt;life_fac,1,IF(1=life_fac,0.5,0))+Sens!K10659*0.5)/life_fac</f>
        <v>8.86883104910662</v>
      </c>
    </row>
    <row r="10666" customFormat="false" ht="17.15" hidden="false" customHeight="false" outlineLevel="0" collapsed="false">
      <c r="A10666" s="0" t="s">
        <v>1001</v>
      </c>
      <c r="B10666" s="0" t="s">
        <v>98</v>
      </c>
      <c r="E10666" s="6" t="n">
        <f aca="false">Sens!E10664+Sens!E10665</f>
        <v>16.3054059770833</v>
      </c>
      <c r="F10666" s="6" t="n">
        <f aca="false">Sens!F10664+Sens!F10665</f>
        <v>34.5793144783516</v>
      </c>
      <c r="G10666" s="6" t="n">
        <f aca="false">Sens!G10664+Sens!G10665</f>
        <v>60.7344906522989</v>
      </c>
      <c r="H10666" s="6" t="n">
        <f aca="false">Sens!H10664+Sens!H10665</f>
        <v>89.1000906614457</v>
      </c>
      <c r="I10666" s="6" t="n">
        <f aca="false">Sens!I10664+Sens!I10665</f>
        <v>114.231009694548</v>
      </c>
      <c r="J10666" s="6" t="n">
        <f aca="false">Sens!J10664+Sens!J10665</f>
        <v>132.015673049596</v>
      </c>
      <c r="K10666" s="6" t="n">
        <f aca="false">Sens!K10664+Sens!K10665</f>
        <v>143.012669550934</v>
      </c>
    </row>
    <row r="10667" customFormat="false" ht="17.15" hidden="false" customHeight="false" outlineLevel="0" collapsed="false">
      <c r="A10667" s="0" t="s">
        <v>1002</v>
      </c>
      <c r="B10667" s="0" t="s">
        <v>98</v>
      </c>
      <c r="E10667" s="6" t="n">
        <f aca="false">Sens!E10654-Sens!E10653*Sens!E10666</f>
        <v>8.92707889977379</v>
      </c>
      <c r="F10667" s="6" t="n">
        <f aca="false">Sens!F10654-Sens!F10653*Sens!F10666</f>
        <v>14.3471335960079</v>
      </c>
      <c r="G10667" s="6" t="n">
        <f aca="false">Sens!G10654-Sens!G10653*Sens!G10666</f>
        <v>16.5202976798683</v>
      </c>
      <c r="H10667" s="6" t="n">
        <f aca="false">Sens!H10654-Sens!H10653*Sens!H10666</f>
        <v>12.9805278875331</v>
      </c>
      <c r="I10667" s="6" t="n">
        <f aca="false">Sens!I10654-Sens!I10653*Sens!I10666</f>
        <v>16.2363335770989</v>
      </c>
      <c r="J10667" s="6" t="n">
        <f aca="false">Sens!J10654-Sens!J10653*Sens!J10666</f>
        <v>18.4432225839805</v>
      </c>
      <c r="K10667" s="6" t="n">
        <f aca="false">Sens!K10654-Sens!K10653*Sens!K10666</f>
        <v>20.1577566819661</v>
      </c>
    </row>
    <row r="10668" customFormat="false" ht="17.15" hidden="false" customHeight="false" outlineLevel="0" collapsed="false">
      <c r="A10668" s="3" t="s">
        <v>1746</v>
      </c>
    </row>
    <row r="10669" customFormat="false" ht="15" hidden="false" customHeight="false" outlineLevel="0" collapsed="false">
      <c r="A10669" s="4" t="s">
        <v>43</v>
      </c>
      <c r="B10669" s="4" t="s">
        <v>65</v>
      </c>
      <c r="C10669" s="23" t="s">
        <v>938</v>
      </c>
      <c r="D10669" s="23" t="s">
        <v>939</v>
      </c>
      <c r="E10669" s="23" t="s">
        <v>940</v>
      </c>
      <c r="F10669" s="23" t="s">
        <v>941</v>
      </c>
      <c r="G10669" s="23" t="s">
        <v>942</v>
      </c>
      <c r="H10669" s="23" t="s">
        <v>943</v>
      </c>
      <c r="I10669" s="23" t="s">
        <v>944</v>
      </c>
      <c r="J10669" s="23" t="s">
        <v>945</v>
      </c>
      <c r="K10669" s="23" t="s">
        <v>946</v>
      </c>
      <c r="L10669" s="4" t="s">
        <v>47</v>
      </c>
    </row>
    <row r="10670" customFormat="false" ht="17.15" hidden="false" customHeight="false" outlineLevel="0" collapsed="false">
      <c r="A10670" s="0" t="s">
        <v>1021</v>
      </c>
      <c r="B10670" s="0" t="s">
        <v>98</v>
      </c>
      <c r="D10670" s="6" t="n">
        <f aca="false">Sens!D10648</f>
        <v>12.9359794422418</v>
      </c>
      <c r="E10670" s="6" t="n">
        <f aca="false">Sens!E10648</f>
        <v>27.8095064661409</v>
      </c>
      <c r="F10670" s="6" t="n">
        <f aca="false">Sens!F10648</f>
        <v>50.9819294352312</v>
      </c>
      <c r="G10670" s="6" t="n">
        <f aca="false">Sens!G10648</f>
        <v>76.6920436014933</v>
      </c>
      <c r="H10670" s="6" t="n">
        <f aca="false">Sens!H10648</f>
        <v>97.4495379418341</v>
      </c>
      <c r="I10670" s="6" t="n">
        <f aca="false">Sens!I10648</f>
        <v>122.083445553868</v>
      </c>
      <c r="J10670" s="6" t="n">
        <f aca="false">Sens!J10648</f>
        <v>139.249060444804</v>
      </c>
      <c r="K10670" s="6" t="n">
        <f aca="false">Sens!K10648</f>
        <v>149.995818575589</v>
      </c>
    </row>
    <row r="10671" customFormat="false" ht="17.15" hidden="false" customHeight="false" outlineLevel="0" collapsed="false">
      <c r="A10671" s="0" t="s">
        <v>1022</v>
      </c>
      <c r="B10671" s="0" t="s">
        <v>98</v>
      </c>
      <c r="D10671" s="6" t="n">
        <f aca="false">Q!L6-Sens!D10670</f>
        <v>59.6740205577583</v>
      </c>
      <c r="E10671" s="6" t="n">
        <f aca="false">Q!M6-Sens!E10670</f>
        <v>74.1284935338591</v>
      </c>
      <c r="F10671" s="6" t="n">
        <f aca="false">Q!$I$6+(Sens!F10670+Sens!E10671*(1+Sens!F10672))*(1-Q!$E$6/Q!M6)-Sens!F10670</f>
        <v>92.2699541184664</v>
      </c>
      <c r="G10671" s="6" t="n">
        <f aca="false">Sens!F10671*(1+Sens!G10672)</f>
        <v>109.630477277949</v>
      </c>
      <c r="H10671" s="6" t="n">
        <f aca="false">Sens!G10671*(1+Sens!H10672)</f>
        <v>127.293256321956</v>
      </c>
      <c r="I10671" s="6" t="n">
        <f aca="false">Sens!H10671*(1+Sens!I10672)</f>
        <v>144.360052269491</v>
      </c>
      <c r="J10671" s="6" t="n">
        <f aca="false">Sens!I10671*(1+Sens!J10672)</f>
        <v>159.811964490216</v>
      </c>
      <c r="K10671" s="6" t="n">
        <f aca="false">Sens!J10671*(1+Sens!K10672)</f>
        <v>172.596921649434</v>
      </c>
      <c r="L10671" s="12" t="s">
        <v>1023</v>
      </c>
    </row>
    <row r="10672" customFormat="false" ht="15" hidden="false" customHeight="false" outlineLevel="0" collapsed="false">
      <c r="A10672" s="1" t="s">
        <v>1024</v>
      </c>
      <c r="B10672" s="0" t="s">
        <v>168</v>
      </c>
      <c r="E10672" s="7" t="n">
        <f aca="false">Sens!E10671/Sens!D10671-1</f>
        <v>0.242223883039864</v>
      </c>
      <c r="F10672" s="7" t="n">
        <f aca="false">Sens!$E$10672+(glt_azo-Sens!$E$10672)*MIN(1,(Sens!F10629-base_fy)/n_conv)</f>
        <v>0.215186569199887</v>
      </c>
      <c r="G10672" s="7" t="n">
        <f aca="false">Sens!$E$10672+(glt_azo-Sens!$E$10672)*MIN(1,(Sens!G10629-base_fy)/n_conv)</f>
        <v>0.18814925535991</v>
      </c>
      <c r="H10672" s="7" t="n">
        <f aca="false">Sens!$E$10672+(glt_azo-Sens!$E$10672)*MIN(1,(Sens!H10629-base_fy)/n_conv)</f>
        <v>0.161111941519932</v>
      </c>
      <c r="I10672" s="7" t="n">
        <f aca="false">Sens!$E$10672+(glt_azo-Sens!$E$10672)*MIN(1,(Sens!I10629-base_fy)/n_conv)</f>
        <v>0.134074627679955</v>
      </c>
      <c r="J10672" s="7" t="n">
        <f aca="false">Sens!$E$10672+(glt_azo-Sens!$E$10672)*MIN(1,(Sens!J10629-base_fy)/n_conv)</f>
        <v>0.107037313839977</v>
      </c>
      <c r="K10672" s="7" t="n">
        <f aca="false">Sens!$E$10672+(glt_azo-Sens!$E$10672)*MIN(1,(Sens!K10629-base_fy)/n_conv)</f>
        <v>0.08</v>
      </c>
    </row>
    <row r="10673" customFormat="false" ht="15" hidden="false" customHeight="false" outlineLevel="0" collapsed="false">
      <c r="A10673" s="0" t="s">
        <v>1025</v>
      </c>
      <c r="B10673" s="0" t="s">
        <v>98</v>
      </c>
      <c r="D10673" s="6" t="n">
        <f aca="false">Sens!D10670+Sens!D10671</f>
        <v>72.61</v>
      </c>
      <c r="E10673" s="6" t="n">
        <f aca="false">Sens!E10670+Sens!E10671</f>
        <v>101.938</v>
      </c>
      <c r="F10673" s="6" t="n">
        <f aca="false">Sens!F10670+Sens!F10671</f>
        <v>143.251883553698</v>
      </c>
      <c r="G10673" s="6" t="n">
        <f aca="false">Sens!G10670+Sens!G10671</f>
        <v>186.322520879442</v>
      </c>
      <c r="H10673" s="6" t="n">
        <f aca="false">Sens!H10670+Sens!H10671</f>
        <v>224.74279426379</v>
      </c>
      <c r="I10673" s="6" t="n">
        <f aca="false">Sens!I10670+Sens!I10671</f>
        <v>266.443497823359</v>
      </c>
      <c r="J10673" s="6" t="n">
        <f aca="false">Sens!J10670+Sens!J10671</f>
        <v>299.06102493502</v>
      </c>
      <c r="K10673" s="6" t="n">
        <f aca="false">Sens!K10670+Sens!K10671</f>
        <v>322.592740225023</v>
      </c>
    </row>
    <row r="10674" customFormat="false" ht="17.15" hidden="false" customHeight="false" outlineLevel="0" collapsed="false">
      <c r="A10674" s="0" t="s">
        <v>1026</v>
      </c>
      <c r="B10674" s="1" t="s">
        <v>610</v>
      </c>
      <c r="C10674" s="30" t="n">
        <f aca="false">cop_s24</f>
        <v>1</v>
      </c>
      <c r="D10674" s="30" t="n">
        <f aca="false">cop_s25</f>
        <v>5</v>
      </c>
      <c r="E10674" s="30" t="n">
        <f aca="false">cop_s26</f>
        <v>30</v>
      </c>
      <c r="F10674" s="30" t="n">
        <f aca="false">Sens!E10674+cop_add_C</f>
        <v>40</v>
      </c>
      <c r="G10674" s="30" t="n">
        <f aca="false">Sens!F10674+cop_add_C</f>
        <v>50</v>
      </c>
      <c r="H10674" s="30" t="n">
        <f aca="false">Sens!G10674+cop_add_C</f>
        <v>60</v>
      </c>
      <c r="I10674" s="30" t="n">
        <f aca="false">Sens!H10674+cop_add_C*cop_tail</f>
        <v>65</v>
      </c>
      <c r="J10674" s="30" t="n">
        <f aca="false">Sens!I10674+cop_add_C*cop_tail</f>
        <v>70</v>
      </c>
      <c r="K10674" s="30" t="n">
        <f aca="false">Sens!J10674+cop_add_C*cop_tail</f>
        <v>75</v>
      </c>
      <c r="L10674" s="12" t="s">
        <v>1027</v>
      </c>
    </row>
    <row r="10675" customFormat="false" ht="17.15" hidden="false" customHeight="false" outlineLevel="0" collapsed="false">
      <c r="A10675" s="0" t="s">
        <v>1028</v>
      </c>
      <c r="B10675" s="0" t="s">
        <v>98</v>
      </c>
      <c r="D10675" s="6" t="n">
        <f aca="false">(Sens!C10674+Sens!D10674)/2*cop_px*12/1000</f>
        <v>0.9</v>
      </c>
      <c r="E10675" s="6" t="n">
        <f aca="false">(Sens!D10674+Sens!E10674)/2*cop_px*12/1000</f>
        <v>5.25</v>
      </c>
      <c r="F10675" s="6" t="n">
        <f aca="false">(Sens!E10674+Sens!F10674)/2*cop_px*12/1000</f>
        <v>10.5</v>
      </c>
      <c r="G10675" s="6" t="n">
        <f aca="false">(Sens!F10674+Sens!G10674)/2*cop_px*12/1000</f>
        <v>13.5</v>
      </c>
      <c r="H10675" s="6" t="n">
        <f aca="false">(Sens!G10674+Sens!H10674)/2*cop_px*12/1000</f>
        <v>16.5</v>
      </c>
      <c r="I10675" s="6" t="n">
        <f aca="false">(Sens!H10674+Sens!I10674)/2*cop_px*12/1000</f>
        <v>18.75</v>
      </c>
      <c r="J10675" s="6" t="n">
        <f aca="false">(Sens!I10674+Sens!J10674)/2*cop_px*12/1000</f>
        <v>20.25</v>
      </c>
      <c r="K10675" s="6" t="n">
        <f aca="false">(Sens!J10674+Sens!K10674)/2*cop_px*12/1000</f>
        <v>21.75</v>
      </c>
      <c r="L10675" s="1" t="s">
        <v>1029</v>
      </c>
    </row>
    <row r="10676" customFormat="false" ht="17.15" hidden="false" customHeight="false" outlineLevel="0" collapsed="false">
      <c r="A10676" s="0" t="s">
        <v>1030</v>
      </c>
      <c r="B10676" s="0" t="s">
        <v>98</v>
      </c>
      <c r="D10676" s="6" t="n">
        <f aca="false">Q!L7-Sens!D10675</f>
        <v>83.705</v>
      </c>
      <c r="E10676" s="6" t="n">
        <f aca="false">Q!M7-Sens!E10675</f>
        <v>95.049</v>
      </c>
      <c r="F10676" s="6" t="n">
        <f aca="false">Q!$I$7+(Sens!E10676*(1+Sens!F10677)+Sens!F10675)*(1-Q!$E$7/Q!M7)-Sens!F10675</f>
        <v>106.938354189776</v>
      </c>
      <c r="G10676" s="6" t="n">
        <f aca="false">Sens!F10676*(1+Sens!G10677)</f>
        <v>119.095360443801</v>
      </c>
      <c r="H10676" s="6" t="n">
        <f aca="false">Sens!G10676*(1+Sens!H10677)</f>
        <v>131.333811964563</v>
      </c>
      <c r="I10676" s="6" t="n">
        <f aca="false">Sens!H10676*(1+Sens!I10677)</f>
        <v>143.395665319381</v>
      </c>
      <c r="J10676" s="6" t="n">
        <f aca="false">Sens!I10676*(1+Sens!J10677)</f>
        <v>154.999327755573</v>
      </c>
      <c r="K10676" s="6" t="n">
        <f aca="false">Sens!J10676*(1+Sens!K10677)</f>
        <v>165.849280698463</v>
      </c>
      <c r="L10676" s="12" t="s">
        <v>1031</v>
      </c>
    </row>
    <row r="10677" customFormat="false" ht="15" hidden="false" customHeight="false" outlineLevel="0" collapsed="false">
      <c r="A10677" s="1" t="s">
        <v>1024</v>
      </c>
      <c r="B10677" s="0" t="s">
        <v>168</v>
      </c>
      <c r="E10677" s="7" t="n">
        <f aca="false">Sens!E10676/Sens!D10676-1</f>
        <v>0.135523564900544</v>
      </c>
      <c r="F10677" s="7" t="n">
        <f aca="false">Sens!$E$10677+(glt_m365b-Sens!$E$10677)*MIN(1,(Sens!F10629-base_fy)/n_conv)</f>
        <v>0.124602970750453</v>
      </c>
      <c r="G10677" s="7" t="n">
        <f aca="false">Sens!$E$10677+(glt_m365b-Sens!$E$10677)*MIN(1,(Sens!G10629-base_fy)/n_conv)</f>
        <v>0.113682376600363</v>
      </c>
      <c r="H10677" s="7" t="n">
        <f aca="false">Sens!$E$10677+(glt_m365b-Sens!$E$10677)*MIN(1,(Sens!H10629-base_fy)/n_conv)</f>
        <v>0.102761782450272</v>
      </c>
      <c r="I10677" s="7" t="n">
        <f aca="false">Sens!$E$10677+(glt_m365b-Sens!$E$10677)*MIN(1,(Sens!I10629-base_fy)/n_conv)</f>
        <v>0.0918411883001813</v>
      </c>
      <c r="J10677" s="7" t="n">
        <f aca="false">Sens!$E$10677+(glt_m365b-Sens!$E$10677)*MIN(1,(Sens!J10629-base_fy)/n_conv)</f>
        <v>0.0809205941500906</v>
      </c>
      <c r="K10677" s="7" t="n">
        <f aca="false">Sens!$E$10677+(glt_m365b-Sens!$E$10677)*MIN(1,(Sens!K10629-base_fy)/n_conv)</f>
        <v>0.07</v>
      </c>
    </row>
    <row r="10678" customFormat="false" ht="15" hidden="false" customHeight="false" outlineLevel="0" collapsed="false">
      <c r="A10678" s="0" t="s">
        <v>1032</v>
      </c>
      <c r="B10678" s="0" t="s">
        <v>98</v>
      </c>
      <c r="D10678" s="6" t="n">
        <f aca="false">Sens!D10676+Sens!D10675</f>
        <v>84.605</v>
      </c>
      <c r="E10678" s="6" t="n">
        <f aca="false">Sens!E10676+Sens!E10675</f>
        <v>100.299</v>
      </c>
      <c r="F10678" s="6" t="n">
        <f aca="false">Sens!F10676+Sens!F10675</f>
        <v>117.438354189776</v>
      </c>
      <c r="G10678" s="6" t="n">
        <f aca="false">Sens!G10676+Sens!G10675</f>
        <v>132.595360443801</v>
      </c>
      <c r="H10678" s="6" t="n">
        <f aca="false">Sens!H10676+Sens!H10675</f>
        <v>147.833811964563</v>
      </c>
      <c r="I10678" s="6" t="n">
        <f aca="false">Sens!I10676+Sens!I10675</f>
        <v>162.145665319381</v>
      </c>
      <c r="J10678" s="6" t="n">
        <f aca="false">Sens!J10676+Sens!J10675</f>
        <v>175.249327755573</v>
      </c>
      <c r="K10678" s="6" t="n">
        <f aca="false">Sens!K10676+Sens!K10675</f>
        <v>187.599280698463</v>
      </c>
    </row>
    <row r="10679" customFormat="false" ht="17.15" hidden="false" customHeight="false" outlineLevel="0" collapsed="false">
      <c r="A10679" s="0" t="s">
        <v>1033</v>
      </c>
      <c r="B10679" s="0" t="s">
        <v>98</v>
      </c>
      <c r="D10679" s="6" t="n">
        <f aca="false">Q!L8</f>
        <v>35.391</v>
      </c>
      <c r="E10679" s="6" t="n">
        <f aca="false">Q!M8</f>
        <v>37.285</v>
      </c>
      <c r="F10679" s="6" t="n">
        <f aca="false">Q!$I$8+(Q!M8-Q!$E$8)*(1+Sens!F10680)</f>
        <v>38.3851437782675</v>
      </c>
      <c r="G10679" s="6" t="n">
        <f aca="false">Sens!F10679*(1+Sens!G10680)</f>
        <v>40.0105353288615</v>
      </c>
      <c r="H10679" s="6" t="n">
        <f aca="false">Sens!G10679*(1+Sens!H10680)</f>
        <v>41.4812512033683</v>
      </c>
      <c r="I10679" s="6" t="n">
        <f aca="false">Sens!H10679*(1+Sens!I10680)</f>
        <v>42.7743107216329</v>
      </c>
      <c r="J10679" s="6" t="n">
        <f aca="false">Sens!I10679*(1+Sens!J10680)</f>
        <v>43.8687373064601</v>
      </c>
      <c r="K10679" s="6" t="n">
        <f aca="false">Sens!J10679*(1+Sens!K10680)</f>
        <v>44.7461120525893</v>
      </c>
      <c r="L10679" s="12" t="s">
        <v>1034</v>
      </c>
    </row>
    <row r="10680" customFormat="false" ht="15" hidden="false" customHeight="false" outlineLevel="0" collapsed="false">
      <c r="A10680" s="1" t="s">
        <v>1024</v>
      </c>
      <c r="B10680" s="0" t="s">
        <v>168</v>
      </c>
      <c r="E10680" s="7" t="n">
        <f aca="false">Sens!E10679/Sens!D10679-1</f>
        <v>0.0535164307309768</v>
      </c>
      <c r="F10680" s="7" t="n">
        <f aca="false">Sens!$E$10680+(glt_lic-Sens!$E$10680)*MIN(1,(Sens!F10629-base_fy)/n_conv)</f>
        <v>0.0479303589424807</v>
      </c>
      <c r="G10680" s="7" t="n">
        <f aca="false">Sens!$E$10680+(glt_lic-Sens!$E$10680)*MIN(1,(Sens!G10629-base_fy)/n_conv)</f>
        <v>0.0423442871539845</v>
      </c>
      <c r="H10680" s="7" t="n">
        <f aca="false">Sens!$E$10680+(glt_lic-Sens!$E$10680)*MIN(1,(Sens!H10629-base_fy)/n_conv)</f>
        <v>0.0367582153654884</v>
      </c>
      <c r="I10680" s="7" t="n">
        <f aca="false">Sens!$E$10680+(glt_lic-Sens!$E$10680)*MIN(1,(Sens!I10629-base_fy)/n_conv)</f>
        <v>0.0311721435769923</v>
      </c>
      <c r="J10680" s="7" t="n">
        <f aca="false">Sens!$E$10680+(glt_lic-Sens!$E$10680)*MIN(1,(Sens!J10629-base_fy)/n_conv)</f>
        <v>0.0255860717884961</v>
      </c>
      <c r="K10680" s="7" t="n">
        <f aca="false">Sens!$E$10680+(glt_lic-Sens!$E$10680)*MIN(1,(Sens!K10629-base_fy)/n_conv)</f>
        <v>0.02</v>
      </c>
    </row>
    <row r="10681" customFormat="false" ht="17.15" hidden="false" customHeight="false" outlineLevel="0" collapsed="false">
      <c r="A10681" s="0" t="s">
        <v>1035</v>
      </c>
      <c r="B10681" s="0" t="s">
        <v>98</v>
      </c>
      <c r="D10681" s="6" t="n">
        <f aca="false">Q!L9</f>
        <v>18.417</v>
      </c>
      <c r="E10681" s="6" t="n">
        <f aca="false">Q!M9</f>
        <v>20.345</v>
      </c>
      <c r="F10681" s="6" t="n">
        <f aca="false">Q!$I$9+(Q!M9-Q!$E$9)*(1+Sens!F10682)</f>
        <v>22.3161797133988</v>
      </c>
      <c r="G10681" s="6" t="n">
        <f aca="false">Sens!F10681*(1+Sens!G10682)</f>
        <v>24.3943499673233</v>
      </c>
      <c r="H10681" s="6" t="n">
        <f aca="false">Sens!G10681*(1+Sens!H10682)</f>
        <v>26.5250243109019</v>
      </c>
      <c r="I10681" s="6" t="n">
        <f aca="false">Sens!H10681*(1+Sens!I10682)</f>
        <v>28.6884573538181</v>
      </c>
      <c r="J10681" s="6" t="n">
        <f aca="false">Sens!I10681*(1+Sens!J10682)</f>
        <v>30.8624968052127</v>
      </c>
      <c r="K10681" s="6" t="n">
        <f aca="false">Sens!J10681*(1+Sens!K10682)</f>
        <v>33.0228715815776</v>
      </c>
      <c r="L10681" s="12" t="s">
        <v>1034</v>
      </c>
    </row>
    <row r="10682" customFormat="false" ht="15" hidden="false" customHeight="false" outlineLevel="0" collapsed="false">
      <c r="A10682" s="1" t="s">
        <v>1024</v>
      </c>
      <c r="B10682" s="0" t="s">
        <v>168</v>
      </c>
      <c r="E10682" s="7" t="n">
        <f aca="false">Sens!E10681/Sens!D10681-1</f>
        <v>0.104685888038225</v>
      </c>
      <c r="F10682" s="7" t="n">
        <f aca="false">Sens!$E$10682+(glt_ind-Sens!$E$10682)*MIN(1,(Sens!F10629-base_fy)/n_conv)</f>
        <v>0.0989049066985211</v>
      </c>
      <c r="G10682" s="7" t="n">
        <f aca="false">Sens!$E$10682+(glt_ind-Sens!$E$10682)*MIN(1,(Sens!G10629-base_fy)/n_conv)</f>
        <v>0.0931239253588169</v>
      </c>
      <c r="H10682" s="7" t="n">
        <f aca="false">Sens!$E$10682+(glt_ind-Sens!$E$10682)*MIN(1,(Sens!H10629-base_fy)/n_conv)</f>
        <v>0.0873429440191127</v>
      </c>
      <c r="I10682" s="7" t="n">
        <f aca="false">Sens!$E$10682+(glt_ind-Sens!$E$10682)*MIN(1,(Sens!I10629-base_fy)/n_conv)</f>
        <v>0.0815619626794085</v>
      </c>
      <c r="J10682" s="7" t="n">
        <f aca="false">Sens!$E$10682+(glt_ind-Sens!$E$10682)*MIN(1,(Sens!J10629-base_fy)/n_conv)</f>
        <v>0.0757809813397042</v>
      </c>
      <c r="K10682" s="7" t="n">
        <f aca="false">Sens!$E$10682+(glt_ind-Sens!$E$10682)*MIN(1,(Sens!K10629-base_fy)/n_conv)</f>
        <v>0.07</v>
      </c>
    </row>
    <row r="10683" customFormat="false" ht="17.15" hidden="false" customHeight="false" outlineLevel="0" collapsed="false">
      <c r="A10683" s="0" t="s">
        <v>1036</v>
      </c>
      <c r="B10683" s="0" t="s">
        <v>98</v>
      </c>
      <c r="D10683" s="6" t="n">
        <f aca="false">Q!L10</f>
        <v>7.76</v>
      </c>
      <c r="E10683" s="6" t="n">
        <f aca="false">Q!M10</f>
        <v>8.26</v>
      </c>
      <c r="F10683" s="6" t="n">
        <f aca="false">Q!$I$10+(Q!M10-Q!$E$10)*(1+Sens!F10684)</f>
        <v>8.75372082474227</v>
      </c>
      <c r="G10683" s="6" t="n">
        <f aca="false">Sens!F10683*(1+Sens!G10684)</f>
        <v>9.33399324642364</v>
      </c>
      <c r="H10683" s="6" t="n">
        <f aca="false">Sens!G10683*(1+Sens!H10684)</f>
        <v>9.96139155535851</v>
      </c>
      <c r="I10683" s="6" t="n">
        <f aca="false">Sens!H10683*(1+Sens!I10684)</f>
        <v>10.6402039077391</v>
      </c>
      <c r="J10683" s="6" t="n">
        <f aca="false">Sens!I10683*(1+Sens!J10684)</f>
        <v>11.3751458271397</v>
      </c>
      <c r="K10683" s="6" t="n">
        <f aca="false">Sens!J10683*(1+Sens!K10684)</f>
        <v>12.1714060350394</v>
      </c>
      <c r="L10683" s="12" t="s">
        <v>1034</v>
      </c>
    </row>
    <row r="10684" customFormat="false" ht="15" hidden="false" customHeight="false" outlineLevel="0" collapsed="false">
      <c r="A10684" s="1" t="s">
        <v>1024</v>
      </c>
      <c r="B10684" s="0" t="s">
        <v>168</v>
      </c>
      <c r="E10684" s="7" t="n">
        <f aca="false">Sens!E10683/Sens!D10683-1</f>
        <v>0.0644329896907216</v>
      </c>
      <c r="F10684" s="7" t="n">
        <f aca="false">Sens!$E$10684+(glt_fro-Sens!$E$10684)*MIN(1,(Sens!F10629-base_fy)/n_conv)</f>
        <v>0.065360824742268</v>
      </c>
      <c r="G10684" s="7" t="n">
        <f aca="false">Sens!$E$10684+(glt_fro-Sens!$E$10684)*MIN(1,(Sens!G10629-base_fy)/n_conv)</f>
        <v>0.0662886597938144</v>
      </c>
      <c r="H10684" s="7" t="n">
        <f aca="false">Sens!$E$10684+(glt_fro-Sens!$E$10684)*MIN(1,(Sens!H10629-base_fy)/n_conv)</f>
        <v>0.0672164948453608</v>
      </c>
      <c r="I10684" s="7" t="n">
        <f aca="false">Sens!$E$10684+(glt_fro-Sens!$E$10684)*MIN(1,(Sens!I10629-base_fy)/n_conv)</f>
        <v>0.0681443298969072</v>
      </c>
      <c r="J10684" s="7" t="n">
        <f aca="false">Sens!$E$10684+(glt_fro-Sens!$E$10684)*MIN(1,(Sens!J10629-base_fy)/n_conv)</f>
        <v>0.0690721649484536</v>
      </c>
      <c r="K10684" s="7" t="n">
        <f aca="false">Sens!$E$10684+(glt_fro-Sens!$E$10684)*MIN(1,(Sens!K10629-base_fy)/n_conv)</f>
        <v>0.07</v>
      </c>
    </row>
    <row r="10685" customFormat="false" ht="15" hidden="false" customHeight="false" outlineLevel="0" collapsed="false">
      <c r="A10685" s="0" t="s">
        <v>852</v>
      </c>
      <c r="B10685" s="0" t="s">
        <v>98</v>
      </c>
      <c r="D10685" s="6" t="n">
        <f aca="false">Sens!D10673+Sens!D10678+Sens!D10679+Sens!D10681+Sens!D10683</f>
        <v>218.783</v>
      </c>
      <c r="E10685" s="6" t="n">
        <f aca="false">Sens!E10673+Sens!E10678+Sens!E10679+Sens!E10681+Sens!E10683</f>
        <v>268.127</v>
      </c>
      <c r="F10685" s="6" t="n">
        <f aca="false">Sens!F10673+Sens!F10678+Sens!F10679+Sens!F10681+Sens!F10683</f>
        <v>330.145282059882</v>
      </c>
      <c r="G10685" s="6" t="n">
        <f aca="false">Sens!G10673+Sens!G10678+Sens!G10679+Sens!G10681+Sens!G10683</f>
        <v>392.656759865851</v>
      </c>
      <c r="H10685" s="6" t="n">
        <f aca="false">Sens!H10673+Sens!H10678+Sens!H10679+Sens!H10681+Sens!H10683</f>
        <v>450.544273297982</v>
      </c>
      <c r="I10685" s="6" t="n">
        <f aca="false">Sens!I10673+Sens!I10678+Sens!I10679+Sens!I10681+Sens!I10683</f>
        <v>510.69213512593</v>
      </c>
      <c r="J10685" s="6" t="n">
        <f aca="false">Sens!J10673+Sens!J10678+Sens!J10679+Sens!J10681+Sens!J10683</f>
        <v>560.416732629406</v>
      </c>
      <c r="K10685" s="6" t="n">
        <f aca="false">Sens!K10673+Sens!K10678+Sens!K10679+Sens!K10681+Sens!K10683</f>
        <v>600.132410592692</v>
      </c>
    </row>
    <row r="10686" customFormat="false" ht="17.15" hidden="false" customHeight="false" outlineLevel="0" collapsed="false">
      <c r="A10686" s="0" t="s">
        <v>1037</v>
      </c>
      <c r="B10686" s="0" t="s">
        <v>98</v>
      </c>
      <c r="D10686" s="6" t="n">
        <f aca="false">Q!L13</f>
        <v>22.171</v>
      </c>
      <c r="E10686" s="6" t="n">
        <f aca="false">Q!M13</f>
        <v>24.835</v>
      </c>
      <c r="F10686" s="6" t="n">
        <f aca="false">Q!$I$13+(Q!M13-Q!$E$13)*(1+Sens!F10687)</f>
        <v>27.4647245660247</v>
      </c>
      <c r="G10686" s="6" t="n">
        <f aca="false">Sens!F10686*(1+Sens!G10687)</f>
        <v>30.0309728005339</v>
      </c>
      <c r="H10686" s="6" t="n">
        <f aca="false">Sens!G10686*(1+Sens!H10687)</f>
        <v>32.435807482304</v>
      </c>
      <c r="I10686" s="6" t="n">
        <f aca="false">Sens!H10686*(1+Sens!I10687)</f>
        <v>34.5998917086668</v>
      </c>
      <c r="J10686" s="6" t="n">
        <f aca="false">Sens!I10686*(1+Sens!J10687)</f>
        <v>36.4461244099918</v>
      </c>
      <c r="K10686" s="6" t="n">
        <f aca="false">Sens!J10686*(1+Sens!K10687)</f>
        <v>37.9039693863915</v>
      </c>
      <c r="L10686" s="12" t="s">
        <v>1034</v>
      </c>
    </row>
    <row r="10687" customFormat="false" ht="15" hidden="false" customHeight="false" outlineLevel="0" collapsed="false">
      <c r="A10687" s="1" t="s">
        <v>1024</v>
      </c>
      <c r="B10687" s="0" t="s">
        <v>168</v>
      </c>
      <c r="E10687" s="7" t="n">
        <f aca="false">Sens!E10686/Sens!D10686-1</f>
        <v>0.120156961796942</v>
      </c>
      <c r="F10687" s="7" t="n">
        <f aca="false">Sens!$E$10687+(glt_srch_lo-Sens!$E$10687)*MIN(1,(Sens!F10629-base_fy)/n_conv)</f>
        <v>0.106797468164118</v>
      </c>
      <c r="G10687" s="7" t="n">
        <f aca="false">Sens!$E$10687+(glt_srch_lo-Sens!$E$10687)*MIN(1,(Sens!G10629-base_fy)/n_conv)</f>
        <v>0.0934379745312947</v>
      </c>
      <c r="H10687" s="7" t="n">
        <f aca="false">Sens!$E$10687+(glt_srch_lo-Sens!$E$10687)*MIN(1,(Sens!H10629-base_fy)/n_conv)</f>
        <v>0.080078480898471</v>
      </c>
      <c r="I10687" s="7" t="n">
        <f aca="false">Sens!$E$10687+(glt_srch_lo-Sens!$E$10687)*MIN(1,(Sens!I10629-base_fy)/n_conv)</f>
        <v>0.0667189872656473</v>
      </c>
      <c r="J10687" s="7" t="n">
        <f aca="false">Sens!$E$10687+(glt_srch_lo-Sens!$E$10687)*MIN(1,(Sens!J10629-base_fy)/n_conv)</f>
        <v>0.0533594936328237</v>
      </c>
      <c r="K10687" s="7" t="n">
        <f aca="false">Sens!$E$10687+(glt_srch_lo-Sens!$E$10687)*MIN(1,(Sens!K10629-base_fy)/n_conv)</f>
        <v>0.04</v>
      </c>
    </row>
    <row r="10688" customFormat="false" ht="17.15" hidden="false" customHeight="false" outlineLevel="0" collapsed="false">
      <c r="A10688" s="0" t="s">
        <v>1038</v>
      </c>
      <c r="B10688" s="0" t="s">
        <v>98</v>
      </c>
      <c r="D10688" s="6" t="n">
        <f aca="false">Q!L14</f>
        <v>23.455</v>
      </c>
      <c r="E10688" s="6" t="n">
        <f aca="false">Q!M14</f>
        <v>21.79</v>
      </c>
      <c r="F10688" s="6" t="n">
        <f aca="false">Q!$I$14+(Q!M14-Q!$E$14)*(1+Sens!F10689)</f>
        <v>20.7520981041711</v>
      </c>
      <c r="G10688" s="6" t="n">
        <f aca="false">Sens!F10688*(1+Sens!G10689)</f>
        <v>19.9083593495882</v>
      </c>
      <c r="H10688" s="6" t="n">
        <f aca="false">Sens!G10688*(1+Sens!H10689)</f>
        <v>19.4008256265831</v>
      </c>
      <c r="I10688" s="6" t="n">
        <f aca="false">Sens!H10688*(1+Sens!I10689)</f>
        <v>19.200434522122</v>
      </c>
      <c r="J10688" s="6" t="n">
        <f aca="false">Sens!I10688*(1+Sens!J10689)</f>
        <v>19.2932782348507</v>
      </c>
      <c r="K10688" s="6" t="n">
        <f aca="false">Sens!J10688*(1+Sens!K10689)</f>
        <v>19.6791437995477</v>
      </c>
      <c r="L10688" s="12" t="s">
        <v>1034</v>
      </c>
    </row>
    <row r="10689" customFormat="false" ht="15" hidden="false" customHeight="false" outlineLevel="0" collapsed="false">
      <c r="A10689" s="1" t="s">
        <v>1024</v>
      </c>
      <c r="B10689" s="0" t="s">
        <v>168</v>
      </c>
      <c r="E10689" s="7" t="n">
        <f aca="false">Sens!E10688/Sens!D10688-1</f>
        <v>-0.0709869963760392</v>
      </c>
      <c r="F10689" s="7" t="n">
        <f aca="false">Sens!$E$10689+(glt_xbox-Sens!$E$10689)*MIN(1,(Sens!F10629-base_fy)/n_conv)</f>
        <v>-0.0558224969800327</v>
      </c>
      <c r="G10689" s="7" t="n">
        <f aca="false">Sens!$E$10689+(glt_xbox-Sens!$E$10689)*MIN(1,(Sens!G10629-base_fy)/n_conv)</f>
        <v>-0.0406579975840262</v>
      </c>
      <c r="H10689" s="7" t="n">
        <f aca="false">Sens!$E$10689+(glt_xbox-Sens!$E$10689)*MIN(1,(Sens!H10629-base_fy)/n_conv)</f>
        <v>-0.0254934981880196</v>
      </c>
      <c r="I10689" s="7" t="n">
        <f aca="false">Sens!$E$10689+(glt_xbox-Sens!$E$10689)*MIN(1,(Sens!I10629-base_fy)/n_conv)</f>
        <v>-0.0103289987920131</v>
      </c>
      <c r="J10689" s="7" t="n">
        <f aca="false">Sens!$E$10689+(glt_xbox-Sens!$E$10689)*MIN(1,(Sens!J10629-base_fy)/n_conv)</f>
        <v>0.00483550060399347</v>
      </c>
      <c r="K10689" s="7" t="n">
        <f aca="false">Sens!$E$10689+(glt_xbox-Sens!$E$10689)*MIN(1,(Sens!K10629-base_fy)/n_conv)</f>
        <v>0.02</v>
      </c>
    </row>
    <row r="10690" customFormat="false" ht="17.15" hidden="false" customHeight="false" outlineLevel="0" collapsed="false">
      <c r="A10690" s="0" t="s">
        <v>1039</v>
      </c>
      <c r="B10690" s="0" t="s">
        <v>98</v>
      </c>
      <c r="D10690" s="6" t="n">
        <f aca="false">Q!L15</f>
        <v>17.315</v>
      </c>
      <c r="E10690" s="6" t="n">
        <f aca="false">Q!M15</f>
        <v>17.087</v>
      </c>
      <c r="F10690" s="6" t="n">
        <f aca="false">Q!$I$15+(Q!M15-Q!$E$15)*(1+Sens!F10691)</f>
        <v>15.9912273250553</v>
      </c>
      <c r="G10690" s="6" t="n">
        <f aca="false">Sens!F10690*(1+Sens!G10691)</f>
        <v>15.9574562664827</v>
      </c>
      <c r="H10690" s="6" t="n">
        <f aca="false">Sens!G10690*(1+Sens!H10691)</f>
        <v>16.0119687434196</v>
      </c>
      <c r="I10690" s="6" t="n">
        <f aca="false">Sens!H10690*(1+Sens!I10691)</f>
        <v>16.1551810001948</v>
      </c>
      <c r="J10690" s="6" t="n">
        <f aca="false">Sens!I10690*(1+Sens!J10691)</f>
        <v>16.3889793892005</v>
      </c>
      <c r="K10690" s="6" t="n">
        <f aca="false">Sens!J10690*(1+Sens!K10691)</f>
        <v>16.7167589769845</v>
      </c>
      <c r="L10690" s="12" t="s">
        <v>1034</v>
      </c>
    </row>
    <row r="10691" customFormat="false" ht="15" hidden="false" customHeight="false" outlineLevel="0" collapsed="false">
      <c r="A10691" s="1" t="s">
        <v>1024</v>
      </c>
      <c r="B10691" s="0" t="s">
        <v>168</v>
      </c>
      <c r="E10691" s="7" t="n">
        <f aca="false">Sens!E10690/Sens!D10690-1</f>
        <v>-0.0131677736066995</v>
      </c>
      <c r="F10691" s="7" t="n">
        <f aca="false">Sens!$E$10691+(glt_win-Sens!$E$10691)*MIN(1,(Sens!F10629-base_fy)/n_conv)</f>
        <v>-0.00763981133891627</v>
      </c>
      <c r="G10691" s="7" t="n">
        <f aca="false">Sens!$E$10691+(glt_win-Sens!$E$10691)*MIN(1,(Sens!G10629-base_fy)/n_conv)</f>
        <v>-0.00211184907113301</v>
      </c>
      <c r="H10691" s="7" t="n">
        <f aca="false">Sens!$E$10691+(glt_win-Sens!$E$10691)*MIN(1,(Sens!H10629-base_fy)/n_conv)</f>
        <v>0.00341611319665024</v>
      </c>
      <c r="I10691" s="7" t="n">
        <f aca="false">Sens!$E$10691+(glt_win-Sens!$E$10691)*MIN(1,(Sens!I10629-base_fy)/n_conv)</f>
        <v>0.00894407546443349</v>
      </c>
      <c r="J10691" s="7" t="n">
        <f aca="false">Sens!$E$10691+(glt_win-Sens!$E$10691)*MIN(1,(Sens!J10629-base_fy)/n_conv)</f>
        <v>0.0144720377322168</v>
      </c>
      <c r="K10691" s="7" t="n">
        <f aca="false">Sens!$E$10691+(glt_win-Sens!$E$10691)*MIN(1,(Sens!K10629-base_fy)/n_conv)</f>
        <v>0.02</v>
      </c>
    </row>
    <row r="10692" customFormat="false" ht="15" hidden="false" customHeight="false" outlineLevel="0" collapsed="false">
      <c r="A10692" s="0" t="s">
        <v>866</v>
      </c>
      <c r="B10692" s="0" t="s">
        <v>98</v>
      </c>
      <c r="D10692" s="6" t="n">
        <f aca="false">Sens!D10686+Sens!D10688+Sens!D10690</f>
        <v>62.941</v>
      </c>
      <c r="E10692" s="6" t="n">
        <f aca="false">Sens!E10686+Sens!E10688+Sens!E10690</f>
        <v>63.712</v>
      </c>
      <c r="F10692" s="6" t="n">
        <f aca="false">Sens!F10686+Sens!F10688+Sens!F10690</f>
        <v>64.2080499952511</v>
      </c>
      <c r="G10692" s="6" t="n">
        <f aca="false">Sens!G10686+Sens!G10688+Sens!G10690</f>
        <v>65.8967884166048</v>
      </c>
      <c r="H10692" s="6" t="n">
        <f aca="false">Sens!H10686+Sens!H10688+Sens!H10690</f>
        <v>67.8486018523066</v>
      </c>
      <c r="I10692" s="6" t="n">
        <f aca="false">Sens!I10686+Sens!I10688+Sens!I10690</f>
        <v>69.9555072309837</v>
      </c>
      <c r="J10692" s="6" t="n">
        <f aca="false">Sens!J10686+Sens!J10688+Sens!J10690</f>
        <v>72.128382034043</v>
      </c>
      <c r="K10692" s="6" t="n">
        <f aca="false">Sens!K10686+Sens!K10688+Sens!K10690</f>
        <v>74.2998721629237</v>
      </c>
    </row>
    <row r="10693" customFormat="false" ht="15" hidden="false" customHeight="false" outlineLevel="0" collapsed="false">
      <c r="A10693" s="1" t="s">
        <v>1040</v>
      </c>
      <c r="B10693" s="0" t="s">
        <v>98</v>
      </c>
      <c r="D10693" s="6" t="n">
        <f aca="false">Sens!D10685+Sens!D10692</f>
        <v>281.724</v>
      </c>
      <c r="E10693" s="6" t="n">
        <f aca="false">Sens!E10685+Sens!E10692</f>
        <v>331.839</v>
      </c>
      <c r="F10693" s="6" t="n">
        <f aca="false">Sens!F10685+Sens!F10692</f>
        <v>394.353332055133</v>
      </c>
      <c r="G10693" s="6" t="n">
        <f aca="false">Sens!G10685+Sens!G10692</f>
        <v>458.553548282456</v>
      </c>
      <c r="H10693" s="6" t="n">
        <f aca="false">Sens!H10685+Sens!H10692</f>
        <v>518.392875150289</v>
      </c>
      <c r="I10693" s="6" t="n">
        <f aca="false">Sens!I10685+Sens!I10692</f>
        <v>580.647642356914</v>
      </c>
      <c r="J10693" s="6" t="n">
        <f aca="false">Sens!J10685+Sens!J10692</f>
        <v>632.545114663449</v>
      </c>
      <c r="K10693" s="6" t="n">
        <f aca="false">Sens!K10685+Sens!K10692</f>
        <v>674.432282755616</v>
      </c>
    </row>
    <row r="10694" customFormat="false" ht="15" hidden="false" customHeight="false" outlineLevel="0" collapsed="false">
      <c r="A10694" s="26" t="s">
        <v>1041</v>
      </c>
      <c r="B10694" s="31" t="s">
        <v>98</v>
      </c>
      <c r="C10694" s="31"/>
      <c r="D10694" s="27" t="n">
        <f aca="false">(Sens!D10673+Sens!D10678+Sens!D10679+Sens!D10681+Sens!D10683-Sens!D10685)+(Sens!D10686+Sens!D10688+Sens!D10690-Sens!D10692)+(Sens!D10685-Q!L5)+(Sens!D10692-Q!L12)+(Sens!D10673-Q!L6)+(Sens!D10678-Q!L7)</f>
        <v>0</v>
      </c>
      <c r="E10694" s="27" t="n">
        <f aca="false">(Sens!E10673+Sens!E10678+Sens!E10679+Sens!E10681+Sens!E10683-Sens!E10685)+(Sens!E10686+Sens!E10688+Sens!E10690-Sens!E10692)+(Sens!E10685-Q!M5)+(Sens!E10692-Q!M12)+(Sens!E10673-Q!M6)+(Sens!E10678-Q!M7)</f>
        <v>0</v>
      </c>
      <c r="F10694" s="27" t="n">
        <f aca="false">(Sens!F10673+Sens!F10678+Sens!F10679+Sens!F10681+Sens!F10683-Sens!F10685)+(Sens!F10686+Sens!F10688+Sens!F10690-Sens!F10692)</f>
        <v>0</v>
      </c>
      <c r="G10694" s="27" t="n">
        <f aca="false">(Sens!G10673+Sens!G10678+Sens!G10679+Sens!G10681+Sens!G10683-Sens!G10685)+(Sens!G10686+Sens!G10688+Sens!G10690-Sens!G10692)</f>
        <v>0</v>
      </c>
      <c r="H10694" s="27" t="n">
        <f aca="false">(Sens!H10673+Sens!H10678+Sens!H10679+Sens!H10681+Sens!H10683-Sens!H10685)+(Sens!H10686+Sens!H10688+Sens!H10690-Sens!H10692)</f>
        <v>0</v>
      </c>
      <c r="I10694" s="27" t="n">
        <f aca="false">(Sens!I10673+Sens!I10678+Sens!I10679+Sens!I10681+Sens!I10683-Sens!I10685)+(Sens!I10686+Sens!I10688+Sens!I10690-Sens!I10692)</f>
        <v>0</v>
      </c>
      <c r="J10694" s="27" t="n">
        <f aca="false">(Sens!J10673+Sens!J10678+Sens!J10679+Sens!J10681+Sens!J10683-Sens!J10685)+(Sens!J10686+Sens!J10688+Sens!J10690-Sens!J10692)</f>
        <v>0</v>
      </c>
      <c r="K10694" s="27" t="n">
        <f aca="false">(Sens!K10673+Sens!K10678+Sens!K10679+Sens!K10681+Sens!K10683-Sens!K10685)+(Sens!K10686+Sens!K10688+Sens!K10690-Sens!K10692)</f>
        <v>0</v>
      </c>
    </row>
    <row r="10695" customFormat="false" ht="17.15" hidden="false" customHeight="false" outlineLevel="0" collapsed="false">
      <c r="A10695" s="3" t="s">
        <v>1747</v>
      </c>
    </row>
    <row r="10696" customFormat="false" ht="15" hidden="false" customHeight="false" outlineLevel="0" collapsed="false">
      <c r="A10696" s="4" t="s">
        <v>43</v>
      </c>
      <c r="B10696" s="4" t="s">
        <v>65</v>
      </c>
      <c r="C10696" s="23" t="s">
        <v>938</v>
      </c>
      <c r="D10696" s="23" t="s">
        <v>939</v>
      </c>
      <c r="E10696" s="23" t="s">
        <v>940</v>
      </c>
      <c r="F10696" s="23" t="s">
        <v>941</v>
      </c>
      <c r="G10696" s="23" t="s">
        <v>942</v>
      </c>
      <c r="H10696" s="23" t="s">
        <v>943</v>
      </c>
      <c r="I10696" s="23" t="s">
        <v>944</v>
      </c>
      <c r="J10696" s="23" t="s">
        <v>945</v>
      </c>
      <c r="K10696" s="23" t="s">
        <v>946</v>
      </c>
      <c r="L10696" s="4" t="s">
        <v>47</v>
      </c>
    </row>
    <row r="10697" customFormat="false" ht="15" hidden="false" customHeight="false" outlineLevel="0" collapsed="false">
      <c r="A10697" s="0" t="s">
        <v>1025</v>
      </c>
      <c r="B10697" s="0" t="s">
        <v>98</v>
      </c>
      <c r="D10697" s="6" t="n">
        <f aca="false">Sens!D10673</f>
        <v>72.61</v>
      </c>
      <c r="E10697" s="6" t="n">
        <f aca="false">Sens!E10673</f>
        <v>101.938</v>
      </c>
      <c r="F10697" s="6" t="n">
        <f aca="false">Sens!F10673</f>
        <v>143.251883553698</v>
      </c>
      <c r="G10697" s="6" t="n">
        <f aca="false">Sens!G10673</f>
        <v>186.322520879442</v>
      </c>
      <c r="H10697" s="6" t="n">
        <f aca="false">Sens!H10673</f>
        <v>224.74279426379</v>
      </c>
      <c r="I10697" s="6" t="n">
        <f aca="false">Sens!I10673</f>
        <v>266.443497823359</v>
      </c>
      <c r="J10697" s="6" t="n">
        <f aca="false">Sens!J10673</f>
        <v>299.06102493502</v>
      </c>
      <c r="K10697" s="6" t="n">
        <f aca="false">Sens!K10673</f>
        <v>322.592740225023</v>
      </c>
    </row>
    <row r="10698" customFormat="false" ht="17.15" hidden="false" customHeight="false" outlineLevel="0" collapsed="false">
      <c r="A10698" s="0" t="s">
        <v>1021</v>
      </c>
      <c r="B10698" s="0" t="s">
        <v>98</v>
      </c>
      <c r="D10698" s="6" t="n">
        <f aca="false">Sens!D10670</f>
        <v>12.9359794422418</v>
      </c>
      <c r="E10698" s="6" t="n">
        <f aca="false">Sens!E10670</f>
        <v>27.8095064661409</v>
      </c>
      <c r="F10698" s="6" t="n">
        <f aca="false">Sens!F10670</f>
        <v>50.9819294352312</v>
      </c>
      <c r="G10698" s="6" t="n">
        <f aca="false">Sens!G10670</f>
        <v>76.6920436014933</v>
      </c>
      <c r="H10698" s="6" t="n">
        <f aca="false">Sens!H10670</f>
        <v>97.4495379418341</v>
      </c>
      <c r="I10698" s="6" t="n">
        <f aca="false">Sens!I10670</f>
        <v>122.083445553868</v>
      </c>
      <c r="J10698" s="6" t="n">
        <f aca="false">Sens!J10670</f>
        <v>139.249060444804</v>
      </c>
      <c r="K10698" s="6" t="n">
        <f aca="false">Sens!K10670</f>
        <v>149.995818575589</v>
      </c>
    </row>
    <row r="10699" customFormat="false" ht="17.15" hidden="false" customHeight="false" outlineLevel="0" collapsed="false">
      <c r="A10699" s="0" t="s">
        <v>1052</v>
      </c>
      <c r="B10699" s="0" t="s">
        <v>98</v>
      </c>
      <c r="D10699" s="6" t="n">
        <f aca="false">Sens!D10671</f>
        <v>59.6740205577583</v>
      </c>
      <c r="E10699" s="6" t="n">
        <f aca="false">Sens!E10671</f>
        <v>74.1284935338591</v>
      </c>
      <c r="F10699" s="6" t="n">
        <f aca="false">Sens!F10671</f>
        <v>92.2699541184664</v>
      </c>
      <c r="G10699" s="6" t="n">
        <f aca="false">Sens!G10671</f>
        <v>109.630477277949</v>
      </c>
      <c r="H10699" s="6" t="n">
        <f aca="false">Sens!H10671</f>
        <v>127.293256321956</v>
      </c>
      <c r="I10699" s="6" t="n">
        <f aca="false">Sens!I10671</f>
        <v>144.360052269491</v>
      </c>
      <c r="J10699" s="6" t="n">
        <f aca="false">Sens!J10671</f>
        <v>159.811964490216</v>
      </c>
      <c r="K10699" s="6" t="n">
        <f aca="false">Sens!K10671</f>
        <v>172.596921649434</v>
      </c>
    </row>
    <row r="10700" customFormat="false" ht="15" hidden="false" customHeight="false" outlineLevel="0" collapsed="false">
      <c r="A10700" s="0" t="s">
        <v>1032</v>
      </c>
      <c r="B10700" s="0" t="s">
        <v>98</v>
      </c>
      <c r="D10700" s="6" t="n">
        <f aca="false">Sens!D10678</f>
        <v>84.605</v>
      </c>
      <c r="E10700" s="6" t="n">
        <f aca="false">Sens!E10678</f>
        <v>100.299</v>
      </c>
      <c r="F10700" s="6" t="n">
        <f aca="false">Sens!F10678</f>
        <v>117.438354189776</v>
      </c>
      <c r="G10700" s="6" t="n">
        <f aca="false">Sens!G10678</f>
        <v>132.595360443801</v>
      </c>
      <c r="H10700" s="6" t="n">
        <f aca="false">Sens!H10678</f>
        <v>147.833811964563</v>
      </c>
      <c r="I10700" s="6" t="n">
        <f aca="false">Sens!I10678</f>
        <v>162.145665319381</v>
      </c>
      <c r="J10700" s="6" t="n">
        <f aca="false">Sens!J10678</f>
        <v>175.249327755573</v>
      </c>
      <c r="K10700" s="6" t="n">
        <f aca="false">Sens!K10678</f>
        <v>187.599280698463</v>
      </c>
    </row>
    <row r="10701" customFormat="false" ht="17.15" hidden="false" customHeight="false" outlineLevel="0" collapsed="false">
      <c r="A10701" s="0" t="s">
        <v>1053</v>
      </c>
      <c r="B10701" s="0" t="s">
        <v>98</v>
      </c>
      <c r="D10701" s="6" t="n">
        <f aca="false">Sens!D10676</f>
        <v>83.705</v>
      </c>
      <c r="E10701" s="6" t="n">
        <f aca="false">Sens!E10676</f>
        <v>95.049</v>
      </c>
      <c r="F10701" s="6" t="n">
        <f aca="false">Sens!F10676</f>
        <v>106.938354189776</v>
      </c>
      <c r="G10701" s="6" t="n">
        <f aca="false">Sens!G10676</f>
        <v>119.095360443801</v>
      </c>
      <c r="H10701" s="6" t="n">
        <f aca="false">Sens!H10676</f>
        <v>131.333811964563</v>
      </c>
      <c r="I10701" s="6" t="n">
        <f aca="false">Sens!I10676</f>
        <v>143.395665319381</v>
      </c>
      <c r="J10701" s="6" t="n">
        <f aca="false">Sens!J10676</f>
        <v>154.999327755573</v>
      </c>
      <c r="K10701" s="6" t="n">
        <f aca="false">Sens!K10676</f>
        <v>165.849280698463</v>
      </c>
    </row>
    <row r="10702" customFormat="false" ht="17.15" hidden="false" customHeight="false" outlineLevel="0" collapsed="false">
      <c r="A10702" s="0" t="s">
        <v>1054</v>
      </c>
      <c r="B10702" s="0" t="s">
        <v>98</v>
      </c>
      <c r="D10702" s="6" t="n">
        <f aca="false">Sens!D10675</f>
        <v>0.9</v>
      </c>
      <c r="E10702" s="6" t="n">
        <f aca="false">Sens!E10675</f>
        <v>5.25</v>
      </c>
      <c r="F10702" s="6" t="n">
        <f aca="false">Sens!F10675</f>
        <v>10.5</v>
      </c>
      <c r="G10702" s="6" t="n">
        <f aca="false">Sens!G10675</f>
        <v>13.5</v>
      </c>
      <c r="H10702" s="6" t="n">
        <f aca="false">Sens!H10675</f>
        <v>16.5</v>
      </c>
      <c r="I10702" s="6" t="n">
        <f aca="false">Sens!I10675</f>
        <v>18.75</v>
      </c>
      <c r="J10702" s="6" t="n">
        <f aca="false">Sens!J10675</f>
        <v>20.25</v>
      </c>
      <c r="K10702" s="6" t="n">
        <f aca="false">Sens!K10675</f>
        <v>21.75</v>
      </c>
    </row>
    <row r="10703" customFormat="false" ht="15" hidden="false" customHeight="false" outlineLevel="0" collapsed="false">
      <c r="A10703" s="0" t="s">
        <v>1033</v>
      </c>
      <c r="B10703" s="0" t="s">
        <v>98</v>
      </c>
      <c r="D10703" s="6" t="n">
        <f aca="false">Sens!D10679</f>
        <v>35.391</v>
      </c>
      <c r="E10703" s="6" t="n">
        <f aca="false">Sens!E10679</f>
        <v>37.285</v>
      </c>
      <c r="F10703" s="6" t="n">
        <f aca="false">Sens!F10679</f>
        <v>38.3851437782675</v>
      </c>
      <c r="G10703" s="6" t="n">
        <f aca="false">Sens!G10679</f>
        <v>40.0105353288615</v>
      </c>
      <c r="H10703" s="6" t="n">
        <f aca="false">Sens!H10679</f>
        <v>41.4812512033683</v>
      </c>
      <c r="I10703" s="6" t="n">
        <f aca="false">Sens!I10679</f>
        <v>42.7743107216329</v>
      </c>
      <c r="J10703" s="6" t="n">
        <f aca="false">Sens!J10679</f>
        <v>43.8687373064601</v>
      </c>
      <c r="K10703" s="6" t="n">
        <f aca="false">Sens!K10679</f>
        <v>44.7461120525893</v>
      </c>
    </row>
    <row r="10704" customFormat="false" ht="15" hidden="false" customHeight="false" outlineLevel="0" collapsed="false">
      <c r="A10704" s="0" t="s">
        <v>1035</v>
      </c>
      <c r="B10704" s="0" t="s">
        <v>98</v>
      </c>
      <c r="D10704" s="6" t="n">
        <f aca="false">Sens!D10681</f>
        <v>18.417</v>
      </c>
      <c r="E10704" s="6" t="n">
        <f aca="false">Sens!E10681</f>
        <v>20.345</v>
      </c>
      <c r="F10704" s="6" t="n">
        <f aca="false">Sens!F10681</f>
        <v>22.3161797133988</v>
      </c>
      <c r="G10704" s="6" t="n">
        <f aca="false">Sens!G10681</f>
        <v>24.3943499673233</v>
      </c>
      <c r="H10704" s="6" t="n">
        <f aca="false">Sens!H10681</f>
        <v>26.5250243109019</v>
      </c>
      <c r="I10704" s="6" t="n">
        <f aca="false">Sens!I10681</f>
        <v>28.6884573538181</v>
      </c>
      <c r="J10704" s="6" t="n">
        <f aca="false">Sens!J10681</f>
        <v>30.8624968052127</v>
      </c>
      <c r="K10704" s="6" t="n">
        <f aca="false">Sens!K10681</f>
        <v>33.0228715815776</v>
      </c>
    </row>
    <row r="10705" customFormat="false" ht="15" hidden="false" customHeight="false" outlineLevel="0" collapsed="false">
      <c r="A10705" s="0" t="s">
        <v>1036</v>
      </c>
      <c r="B10705" s="0" t="s">
        <v>98</v>
      </c>
      <c r="D10705" s="6" t="n">
        <f aca="false">Sens!D10683</f>
        <v>7.76</v>
      </c>
      <c r="E10705" s="6" t="n">
        <f aca="false">Sens!E10683</f>
        <v>8.26</v>
      </c>
      <c r="F10705" s="6" t="n">
        <f aca="false">Sens!F10683</f>
        <v>8.75372082474227</v>
      </c>
      <c r="G10705" s="6" t="n">
        <f aca="false">Sens!G10683</f>
        <v>9.33399324642364</v>
      </c>
      <c r="H10705" s="6" t="n">
        <f aca="false">Sens!H10683</f>
        <v>9.96139155535851</v>
      </c>
      <c r="I10705" s="6" t="n">
        <f aca="false">Sens!I10683</f>
        <v>10.6402039077391</v>
      </c>
      <c r="J10705" s="6" t="n">
        <f aca="false">Sens!J10683</f>
        <v>11.3751458271397</v>
      </c>
      <c r="K10705" s="6" t="n">
        <f aca="false">Sens!K10683</f>
        <v>12.1714060350394</v>
      </c>
    </row>
    <row r="10706" customFormat="false" ht="15" hidden="false" customHeight="false" outlineLevel="0" collapsed="false">
      <c r="A10706" s="0" t="s">
        <v>852</v>
      </c>
      <c r="B10706" s="0" t="s">
        <v>98</v>
      </c>
      <c r="D10706" s="6" t="n">
        <f aca="false">Sens!D10685</f>
        <v>218.783</v>
      </c>
      <c r="E10706" s="6" t="n">
        <f aca="false">Sens!E10685</f>
        <v>268.127</v>
      </c>
      <c r="F10706" s="6" t="n">
        <f aca="false">Sens!F10685</f>
        <v>330.145282059882</v>
      </c>
      <c r="G10706" s="6" t="n">
        <f aca="false">Sens!G10685</f>
        <v>392.656759865851</v>
      </c>
      <c r="H10706" s="6" t="n">
        <f aca="false">Sens!H10685</f>
        <v>450.544273297982</v>
      </c>
      <c r="I10706" s="6" t="n">
        <f aca="false">Sens!I10685</f>
        <v>510.69213512593</v>
      </c>
      <c r="J10706" s="6" t="n">
        <f aca="false">Sens!J10685</f>
        <v>560.416732629406</v>
      </c>
      <c r="K10706" s="6" t="n">
        <f aca="false">Sens!K10685</f>
        <v>600.132410592692</v>
      </c>
    </row>
    <row r="10707" customFormat="false" ht="15" hidden="false" customHeight="false" outlineLevel="0" collapsed="false">
      <c r="A10707" s="0" t="s">
        <v>1037</v>
      </c>
      <c r="B10707" s="0" t="s">
        <v>98</v>
      </c>
      <c r="D10707" s="6" t="n">
        <f aca="false">Sens!D10686</f>
        <v>22.171</v>
      </c>
      <c r="E10707" s="6" t="n">
        <f aca="false">Sens!E10686</f>
        <v>24.835</v>
      </c>
      <c r="F10707" s="6" t="n">
        <f aca="false">Sens!F10686</f>
        <v>27.4647245660247</v>
      </c>
      <c r="G10707" s="6" t="n">
        <f aca="false">Sens!G10686</f>
        <v>30.0309728005339</v>
      </c>
      <c r="H10707" s="6" t="n">
        <f aca="false">Sens!H10686</f>
        <v>32.435807482304</v>
      </c>
      <c r="I10707" s="6" t="n">
        <f aca="false">Sens!I10686</f>
        <v>34.5998917086668</v>
      </c>
      <c r="J10707" s="6" t="n">
        <f aca="false">Sens!J10686</f>
        <v>36.4461244099918</v>
      </c>
      <c r="K10707" s="6" t="n">
        <f aca="false">Sens!K10686</f>
        <v>37.9039693863915</v>
      </c>
    </row>
    <row r="10708" customFormat="false" ht="15" hidden="false" customHeight="false" outlineLevel="0" collapsed="false">
      <c r="A10708" s="0" t="s">
        <v>1038</v>
      </c>
      <c r="B10708" s="0" t="s">
        <v>98</v>
      </c>
      <c r="D10708" s="6" t="n">
        <f aca="false">Sens!D10688</f>
        <v>23.455</v>
      </c>
      <c r="E10708" s="6" t="n">
        <f aca="false">Sens!E10688</f>
        <v>21.79</v>
      </c>
      <c r="F10708" s="6" t="n">
        <f aca="false">Sens!F10688</f>
        <v>20.7520981041711</v>
      </c>
      <c r="G10708" s="6" t="n">
        <f aca="false">Sens!G10688</f>
        <v>19.9083593495882</v>
      </c>
      <c r="H10708" s="6" t="n">
        <f aca="false">Sens!H10688</f>
        <v>19.4008256265831</v>
      </c>
      <c r="I10708" s="6" t="n">
        <f aca="false">Sens!I10688</f>
        <v>19.200434522122</v>
      </c>
      <c r="J10708" s="6" t="n">
        <f aca="false">Sens!J10688</f>
        <v>19.2932782348507</v>
      </c>
      <c r="K10708" s="6" t="n">
        <f aca="false">Sens!K10688</f>
        <v>19.6791437995477</v>
      </c>
    </row>
    <row r="10709" customFormat="false" ht="15" hidden="false" customHeight="false" outlineLevel="0" collapsed="false">
      <c r="A10709" s="0" t="s">
        <v>1039</v>
      </c>
      <c r="B10709" s="0" t="s">
        <v>98</v>
      </c>
      <c r="D10709" s="6" t="n">
        <f aca="false">Sens!D10690</f>
        <v>17.315</v>
      </c>
      <c r="E10709" s="6" t="n">
        <f aca="false">Sens!E10690</f>
        <v>17.087</v>
      </c>
      <c r="F10709" s="6" t="n">
        <f aca="false">Sens!F10690</f>
        <v>15.9912273250553</v>
      </c>
      <c r="G10709" s="6" t="n">
        <f aca="false">Sens!G10690</f>
        <v>15.9574562664827</v>
      </c>
      <c r="H10709" s="6" t="n">
        <f aca="false">Sens!H10690</f>
        <v>16.0119687434196</v>
      </c>
      <c r="I10709" s="6" t="n">
        <f aca="false">Sens!I10690</f>
        <v>16.1551810001948</v>
      </c>
      <c r="J10709" s="6" t="n">
        <f aca="false">Sens!J10690</f>
        <v>16.3889793892005</v>
      </c>
      <c r="K10709" s="6" t="n">
        <f aca="false">Sens!K10690</f>
        <v>16.7167589769845</v>
      </c>
    </row>
    <row r="10710" customFormat="false" ht="15" hidden="false" customHeight="false" outlineLevel="0" collapsed="false">
      <c r="A10710" s="0" t="s">
        <v>866</v>
      </c>
      <c r="B10710" s="0" t="s">
        <v>98</v>
      </c>
      <c r="D10710" s="6" t="n">
        <f aca="false">Sens!D10692</f>
        <v>62.941</v>
      </c>
      <c r="E10710" s="6" t="n">
        <f aca="false">Sens!E10692</f>
        <v>63.712</v>
      </c>
      <c r="F10710" s="6" t="n">
        <f aca="false">Sens!F10692</f>
        <v>64.2080499952511</v>
      </c>
      <c r="G10710" s="6" t="n">
        <f aca="false">Sens!G10692</f>
        <v>65.8967884166048</v>
      </c>
      <c r="H10710" s="6" t="n">
        <f aca="false">Sens!H10692</f>
        <v>67.8486018523066</v>
      </c>
      <c r="I10710" s="6" t="n">
        <f aca="false">Sens!I10692</f>
        <v>69.9555072309837</v>
      </c>
      <c r="J10710" s="6" t="n">
        <f aca="false">Sens!J10692</f>
        <v>72.128382034043</v>
      </c>
      <c r="K10710" s="6" t="n">
        <f aca="false">Sens!K10692</f>
        <v>74.2998721629237</v>
      </c>
    </row>
    <row r="10711" customFormat="false" ht="15" hidden="false" customHeight="false" outlineLevel="0" collapsed="false">
      <c r="A10711" s="1" t="s">
        <v>1055</v>
      </c>
      <c r="B10711" s="0" t="s">
        <v>98</v>
      </c>
      <c r="D10711" s="6" t="n">
        <f aca="false">Sens!D10693</f>
        <v>281.724</v>
      </c>
      <c r="E10711" s="6" t="n">
        <f aca="false">Sens!E10693</f>
        <v>331.839</v>
      </c>
      <c r="F10711" s="6" t="n">
        <f aca="false">Sens!F10693</f>
        <v>394.353332055133</v>
      </c>
      <c r="G10711" s="6" t="n">
        <f aca="false">Sens!G10693</f>
        <v>458.553548282456</v>
      </c>
      <c r="H10711" s="6" t="n">
        <f aca="false">Sens!H10693</f>
        <v>518.392875150289</v>
      </c>
      <c r="I10711" s="6" t="n">
        <f aca="false">Sens!I10693</f>
        <v>580.647642356914</v>
      </c>
      <c r="J10711" s="6" t="n">
        <f aca="false">Sens!J10693</f>
        <v>632.545114663449</v>
      </c>
      <c r="K10711" s="6" t="n">
        <f aca="false">Sens!K10693</f>
        <v>674.432282755616</v>
      </c>
    </row>
    <row r="10712" customFormat="false" ht="15" hidden="false" customHeight="false" outlineLevel="0" collapsed="false">
      <c r="A10712" s="1" t="s">
        <v>1056</v>
      </c>
      <c r="B10712" s="0" t="s">
        <v>168</v>
      </c>
      <c r="E10712" s="7" t="n">
        <f aca="false">Sens!E10711/Sens!D10711-1</f>
        <v>0.177886867998467</v>
      </c>
      <c r="F10712" s="7" t="n">
        <f aca="false">Sens!F10711/Sens!E10711-1</f>
        <v>0.188387537495993</v>
      </c>
      <c r="G10712" s="7" t="n">
        <f aca="false">Sens!G10711/Sens!F10711-1</f>
        <v>0.162798716300304</v>
      </c>
      <c r="H10712" s="7" t="n">
        <f aca="false">Sens!H10711/Sens!G10711-1</f>
        <v>0.130495832148644</v>
      </c>
      <c r="I10712" s="7" t="n">
        <f aca="false">Sens!I10711/Sens!H10711-1</f>
        <v>0.120091865052306</v>
      </c>
      <c r="J10712" s="7" t="n">
        <f aca="false">Sens!J10711/Sens!I10711-1</f>
        <v>0.0893785981733728</v>
      </c>
      <c r="K10712" s="7" t="n">
        <f aca="false">Sens!K10711/Sens!J10711-1</f>
        <v>0.0662200483746582</v>
      </c>
    </row>
    <row r="10713" customFormat="false" ht="17.15" hidden="false" customHeight="false" outlineLevel="0" collapsed="false">
      <c r="A10713" s="26" t="s">
        <v>1057</v>
      </c>
      <c r="B10713" s="31" t="s">
        <v>98</v>
      </c>
      <c r="C10713" s="31"/>
      <c r="D10713" s="27" t="n">
        <f aca="false">(Sens!D10706+Sens!D10710-Sens!D10711)+(Sens!D10698+Sens!D10699-Sens!D10697)+(Sens!D10701+Sens!D10702-Sens!D10700)+(Sens!D10711-Q!L18)</f>
        <v>0</v>
      </c>
      <c r="E10713" s="27" t="n">
        <f aca="false">(Sens!E10706+Sens!E10710-Sens!E10711)+(Sens!E10698+Sens!E10699-Sens!E10697)+(Sens!E10701+Sens!E10702-Sens!E10700)+(Sens!E10711-Q!M18)</f>
        <v>0</v>
      </c>
      <c r="F10713" s="27" t="n">
        <f aca="false">(Sens!F10706+Sens!F10710-Sens!F10711)+(Sens!F10698+Sens!F10699-Sens!F10697)+(Sens!F10701+Sens!F10702-Sens!F10700)</f>
        <v>0</v>
      </c>
      <c r="G10713" s="27" t="n">
        <f aca="false">(Sens!G10706+Sens!G10710-Sens!G10711)+(Sens!G10698+Sens!G10699-Sens!G10697)+(Sens!G10701+Sens!G10702-Sens!G10700)</f>
        <v>0</v>
      </c>
      <c r="H10713" s="27" t="n">
        <f aca="false">(Sens!H10706+Sens!H10710-Sens!H10711)+(Sens!H10698+Sens!H10699-Sens!H10697)+(Sens!H10701+Sens!H10702-Sens!H10700)</f>
        <v>0</v>
      </c>
      <c r="I10713" s="27" t="n">
        <f aca="false">(Sens!I10706+Sens!I10710-Sens!I10711)+(Sens!I10698+Sens!I10699-Sens!I10697)+(Sens!I10701+Sens!I10702-Sens!I10700)</f>
        <v>0</v>
      </c>
      <c r="J10713" s="27" t="n">
        <f aca="false">(Sens!J10706+Sens!J10710-Sens!J10711)+(Sens!J10698+Sens!J10699-Sens!J10697)+(Sens!J10701+Sens!J10702-Sens!J10700)</f>
        <v>0</v>
      </c>
      <c r="K10713" s="27" t="n">
        <f aca="false">(Sens!K10706+Sens!K10710-Sens!K10711)+(Sens!K10698+Sens!K10699-Sens!K10697)+(Sens!K10701+Sens!K10702-Sens!K10700)</f>
        <v>0</v>
      </c>
    </row>
    <row r="10714" customFormat="false" ht="17.15" hidden="false" customHeight="false" outlineLevel="0" collapsed="false">
      <c r="A10714" s="0" t="s">
        <v>1058</v>
      </c>
      <c r="B10714" s="0" t="s">
        <v>168</v>
      </c>
      <c r="E10714" s="7" t="n">
        <f aca="false">(Q!M21+Sens!E10650+Sens!E10651+Sens!E10652+Sens!E10666-Sens!E10648)/(Q!M5-Sens!E10648)</f>
        <v>0.570957350878296</v>
      </c>
      <c r="F10714" s="7" t="n">
        <f aca="false">Sens!$E$10714+dm_seg</f>
        <v>0.570957350878296</v>
      </c>
      <c r="G10714" s="7" t="n">
        <f aca="false">Sens!$E$10714+dm_seg</f>
        <v>0.570957350878296</v>
      </c>
      <c r="H10714" s="7" t="n">
        <f aca="false">Sens!$E$10714+dm_seg</f>
        <v>0.570957350878296</v>
      </c>
      <c r="I10714" s="7" t="n">
        <f aca="false">Sens!$E$10714+dm_seg</f>
        <v>0.570957350878296</v>
      </c>
      <c r="J10714" s="7" t="n">
        <f aca="false">Sens!$E$10714+dm_seg</f>
        <v>0.570957350878296</v>
      </c>
      <c r="K10714" s="7" t="n">
        <f aca="false">Sens!$E$10714+dm_seg</f>
        <v>0.570957350878296</v>
      </c>
      <c r="L10714" s="12" t="s">
        <v>1059</v>
      </c>
    </row>
    <row r="10715" customFormat="false" ht="17.15" hidden="false" customHeight="false" outlineLevel="0" collapsed="false">
      <c r="A10715" s="0" t="s">
        <v>880</v>
      </c>
      <c r="B10715" s="0" t="s">
        <v>98</v>
      </c>
      <c r="D10715" s="6" t="n">
        <f aca="false">Q!L21</f>
        <v>110.814</v>
      </c>
      <c r="E10715" s="6" t="n">
        <f aca="false">Q!M21</f>
        <v>136.365</v>
      </c>
      <c r="F10715" s="6" t="n">
        <f aca="false">Q!$I$21+(Sens!F10714*(Sens!F10685-Sens!F10648)+Sens!F10648-(Sens!F10650+Sens!F10651+Sens!F10652)-Sens!F10666-Sens!F10749)*(Sens!F10685-Q!$I$5)/Sens!F10685</f>
        <v>158.110234156687</v>
      </c>
      <c r="G10715" s="6" t="n">
        <f aca="false">(Sens!G10714*(Sens!G10685-Sens!G10648)+Sens!G10648-(Sens!G10650+Sens!G10651+Sens!G10652)-Sens!G10666-Sens!G10749)</f>
        <v>161.288737768095</v>
      </c>
      <c r="H10715" s="6" t="n">
        <f aca="false">(Sens!H10714*(Sens!H10685-Sens!H10648)+Sens!H10648-(Sens!H10650+Sens!H10651+Sens!H10652)-Sens!H10666-Sens!H10749)</f>
        <v>162.750449226018</v>
      </c>
      <c r="I10715" s="6" t="n">
        <f aca="false">(Sens!I10714*(Sens!I10685-Sens!I10648)+Sens!I10648-(Sens!I10650+Sens!I10651+Sens!I10652)-Sens!I10666-Sens!I10749)</f>
        <v>172.031140185604</v>
      </c>
      <c r="J10715" s="6" t="n">
        <f aca="false">(Sens!J10714*(Sens!J10685-Sens!J10648)+Sens!J10648-(Sens!J10650+Sens!J10651+Sens!J10652)-Sens!J10666-Sens!J10749)</f>
        <v>182.855335729531</v>
      </c>
      <c r="K10715" s="6" t="n">
        <f aca="false">(Sens!K10714*(Sens!K10685-Sens!K10648)+Sens!K10648-(Sens!K10650+Sens!K10651+Sens!K10652)-Sens!K10666-Sens!K10749)</f>
        <v>195.088404864353</v>
      </c>
      <c r="L10715" s="1" t="s">
        <v>1060</v>
      </c>
    </row>
    <row r="10716" customFormat="false" ht="17.15" hidden="false" customHeight="false" outlineLevel="0" collapsed="false">
      <c r="A10716" s="0" t="s">
        <v>1061</v>
      </c>
      <c r="B10716" s="0" t="s">
        <v>168</v>
      </c>
      <c r="E10716" s="7" t="n">
        <f aca="false">Q!M22/Q!M12</f>
        <v>0.296207935710698</v>
      </c>
      <c r="F10716" s="7" t="n">
        <f aca="false">Sens!$E$10716+dm_seg</f>
        <v>0.296207935710698</v>
      </c>
      <c r="G10716" s="7" t="n">
        <f aca="false">Sens!$E$10716+dm_seg</f>
        <v>0.296207935710698</v>
      </c>
      <c r="H10716" s="7" t="n">
        <f aca="false">Sens!$E$10716+dm_seg</f>
        <v>0.296207935710698</v>
      </c>
      <c r="I10716" s="7" t="n">
        <f aca="false">Sens!$E$10716+dm_seg</f>
        <v>0.296207935710698</v>
      </c>
      <c r="J10716" s="7" t="n">
        <f aca="false">Sens!$E$10716+dm_seg</f>
        <v>0.296207935710698</v>
      </c>
      <c r="K10716" s="7" t="n">
        <f aca="false">Sens!$E$10716+dm_seg</f>
        <v>0.296207935710698</v>
      </c>
      <c r="L10716" s="12" t="s">
        <v>1062</v>
      </c>
    </row>
    <row r="10717" customFormat="false" ht="17.15" hidden="false" customHeight="false" outlineLevel="0" collapsed="false">
      <c r="A10717" s="0" t="s">
        <v>882</v>
      </c>
      <c r="B10717" s="0" t="s">
        <v>98</v>
      </c>
      <c r="D10717" s="6" t="n">
        <f aca="false">Q!L22</f>
        <v>17.714</v>
      </c>
      <c r="E10717" s="6" t="n">
        <f aca="false">Q!M22</f>
        <v>18.872</v>
      </c>
      <c r="F10717" s="6" t="n">
        <f aca="false">Q!$I$22+(Sens!F10692-Q!$I$12)*Sens!F10716</f>
        <v>19.7894502685582</v>
      </c>
      <c r="G10717" s="6" t="n">
        <f aca="false">Sens!G10692*Sens!G10716</f>
        <v>19.5191516668472</v>
      </c>
      <c r="H10717" s="6" t="n">
        <f aca="false">Sens!H10692*Sens!H10716</f>
        <v>20.0972942955288</v>
      </c>
      <c r="I10717" s="6" t="n">
        <f aca="false">Sens!I10692*Sens!I10716</f>
        <v>20.7213763884845</v>
      </c>
      <c r="J10717" s="6" t="n">
        <f aca="false">Sens!J10692*Sens!J10716</f>
        <v>21.3649991484565</v>
      </c>
      <c r="K10717" s="6" t="n">
        <f aca="false">Sens!K10692*Sens!K10716</f>
        <v>22.0082117569484</v>
      </c>
      <c r="L10717" s="12" t="s">
        <v>1063</v>
      </c>
    </row>
    <row r="10718" customFormat="false" ht="15" hidden="false" customHeight="false" outlineLevel="0" collapsed="false">
      <c r="A10718" s="1" t="s">
        <v>1064</v>
      </c>
      <c r="B10718" s="0" t="s">
        <v>98</v>
      </c>
      <c r="D10718" s="6" t="n">
        <f aca="false">Sens!D10715+Sens!D10717</f>
        <v>128.528</v>
      </c>
      <c r="E10718" s="6" t="n">
        <f aca="false">Sens!E10715+Sens!E10717</f>
        <v>155.237</v>
      </c>
      <c r="F10718" s="6" t="n">
        <f aca="false">Sens!F10715+Sens!F10717</f>
        <v>177.899684425245</v>
      </c>
      <c r="G10718" s="6" t="n">
        <f aca="false">Sens!G10715+Sens!G10717</f>
        <v>180.807889434942</v>
      </c>
      <c r="H10718" s="6" t="n">
        <f aca="false">Sens!H10715+Sens!H10717</f>
        <v>182.847743521547</v>
      </c>
      <c r="I10718" s="6" t="n">
        <f aca="false">Sens!I10715+Sens!I10717</f>
        <v>192.752516574089</v>
      </c>
      <c r="J10718" s="6" t="n">
        <f aca="false">Sens!J10715+Sens!J10717</f>
        <v>204.220334877987</v>
      </c>
      <c r="K10718" s="6" t="n">
        <f aca="false">Sens!K10715+Sens!K10717</f>
        <v>217.096616621302</v>
      </c>
    </row>
    <row r="10719" customFormat="false" ht="15" hidden="false" customHeight="false" outlineLevel="0" collapsed="false">
      <c r="A10719" s="26" t="s">
        <v>1065</v>
      </c>
      <c r="B10719" s="31" t="s">
        <v>98</v>
      </c>
      <c r="C10719" s="31"/>
      <c r="D10719" s="27" t="n">
        <f aca="false">Sens!D10718-Q!L23</f>
        <v>0</v>
      </c>
      <c r="E10719" s="27" t="n">
        <f aca="false">Sens!E10718-Q!M23</f>
        <v>0</v>
      </c>
      <c r="F10719" s="31"/>
      <c r="G10719" s="31"/>
      <c r="H10719" s="31"/>
      <c r="I10719" s="31"/>
      <c r="J10719" s="31"/>
      <c r="K10719" s="31"/>
    </row>
    <row r="10720" customFormat="false" ht="15" hidden="false" customHeight="false" outlineLevel="0" collapsed="false">
      <c r="A10720" s="1" t="s">
        <v>1066</v>
      </c>
      <c r="B10720" s="0" t="s">
        <v>168</v>
      </c>
      <c r="D10720" s="7" t="n">
        <f aca="false">Sens!D10718/Sens!D10711</f>
        <v>0.456219562408598</v>
      </c>
      <c r="E10720" s="7" t="n">
        <f aca="false">Sens!E10718/Sens!E10711</f>
        <v>0.467808184089272</v>
      </c>
      <c r="F10720" s="7" t="n">
        <f aca="false">Sens!F10718/Sens!F10711</f>
        <v>0.45111748770611</v>
      </c>
      <c r="G10720" s="7" t="n">
        <f aca="false">Sens!G10718/Sens!G10711</f>
        <v>0.394300491430436</v>
      </c>
      <c r="H10720" s="7" t="n">
        <f aca="false">Sens!H10718/Sens!H10711</f>
        <v>0.352720402394684</v>
      </c>
      <c r="I10720" s="7" t="n">
        <f aca="false">Sens!I10718/Sens!I10711</f>
        <v>0.331961248979992</v>
      </c>
      <c r="J10720" s="7" t="n">
        <f aca="false">Sens!J10718/Sens!J10711</f>
        <v>0.32285497135907</v>
      </c>
      <c r="K10720" s="7" t="n">
        <f aca="false">Sens!K10718/Sens!K10711</f>
        <v>0.321895351352818</v>
      </c>
    </row>
    <row r="10721" customFormat="false" ht="17.15" hidden="false" customHeight="false" outlineLevel="0" collapsed="false">
      <c r="A10721" s="1" t="s">
        <v>1067</v>
      </c>
      <c r="B10721" s="0" t="s">
        <v>98</v>
      </c>
      <c r="F10721" s="6" t="n">
        <f aca="false">Sens!F10736</f>
        <v>10.5962787979473</v>
      </c>
      <c r="G10721" s="6" t="n">
        <f aca="false">Sens!G10736</f>
        <v>27.844646674932</v>
      </c>
      <c r="H10721" s="6" t="n">
        <f aca="false">Sens!H10736</f>
        <v>46.566205501382</v>
      </c>
      <c r="I10721" s="6" t="n">
        <f aca="false">Sens!I10736</f>
        <v>63.2717778126444</v>
      </c>
      <c r="J10721" s="6" t="n">
        <f aca="false">Sens!J10736</f>
        <v>74.9061222882009</v>
      </c>
      <c r="K10721" s="6" t="n">
        <f aca="false">Sens!K10736</f>
        <v>81.6395437180232</v>
      </c>
      <c r="L10721" s="1" t="s">
        <v>1068</v>
      </c>
    </row>
    <row r="10722" customFormat="false" ht="17.15" hidden="false" customHeight="false" outlineLevel="0" collapsed="false">
      <c r="A10722" s="1" t="s">
        <v>1069</v>
      </c>
      <c r="B10722" s="0" t="s">
        <v>98</v>
      </c>
      <c r="D10722" s="6" t="n">
        <f aca="false">Sens!D10718</f>
        <v>128.528</v>
      </c>
      <c r="E10722" s="6" t="n">
        <f aca="false">Sens!E10718</f>
        <v>155.237</v>
      </c>
      <c r="F10722" s="6" t="n">
        <f aca="false">Sens!F10718+Sens!F10721</f>
        <v>188.495963223192</v>
      </c>
      <c r="G10722" s="6" t="n">
        <f aca="false">Sens!G10718+Sens!G10721</f>
        <v>208.652536109874</v>
      </c>
      <c r="H10722" s="6" t="n">
        <f aca="false">Sens!H10718+Sens!H10721</f>
        <v>229.413949022929</v>
      </c>
      <c r="I10722" s="6" t="n">
        <f aca="false">Sens!I10718+Sens!I10721</f>
        <v>256.024294386733</v>
      </c>
      <c r="J10722" s="6" t="n">
        <f aca="false">Sens!J10718+Sens!J10721</f>
        <v>279.126457166188</v>
      </c>
      <c r="K10722" s="6" t="n">
        <f aca="false">Sens!K10718+Sens!K10721</f>
        <v>298.736160339325</v>
      </c>
    </row>
    <row r="10723" customFormat="false" ht="17.15" hidden="false" customHeight="false" outlineLevel="0" collapsed="false">
      <c r="A10723" s="1" t="s">
        <v>1070</v>
      </c>
      <c r="B10723" s="0" t="s">
        <v>98</v>
      </c>
      <c r="E10723" s="6" t="n">
        <f aca="false">Sens!E10666</f>
        <v>16.3054059770833</v>
      </c>
      <c r="F10723" s="6" t="n">
        <f aca="false">Sens!F10666</f>
        <v>34.5793144783516</v>
      </c>
      <c r="G10723" s="6" t="n">
        <f aca="false">Sens!G10666</f>
        <v>60.7344906522989</v>
      </c>
      <c r="H10723" s="6" t="n">
        <f aca="false">Sens!H10666</f>
        <v>89.1000906614457</v>
      </c>
      <c r="I10723" s="6" t="n">
        <f aca="false">Sens!I10666</f>
        <v>114.231009694548</v>
      </c>
      <c r="J10723" s="6" t="n">
        <f aca="false">Sens!J10666</f>
        <v>132.015673049596</v>
      </c>
      <c r="K10723" s="6" t="n">
        <f aca="false">Sens!K10666</f>
        <v>143.012669550934</v>
      </c>
    </row>
    <row r="10724" customFormat="false" ht="17.15" hidden="false" customHeight="false" outlineLevel="0" collapsed="false">
      <c r="A10724" s="1" t="s">
        <v>1071</v>
      </c>
      <c r="B10724" s="0" t="s">
        <v>98</v>
      </c>
      <c r="E10724" s="6" t="n">
        <f aca="false">Sens!E10748</f>
        <v>22.2285940229167</v>
      </c>
      <c r="F10724" s="6" t="n">
        <f aca="false">Sens!F10748</f>
        <v>23.5875848079552</v>
      </c>
      <c r="G10724" s="6" t="n">
        <f aca="false">Sens!G10748</f>
        <v>25.3438974931356</v>
      </c>
      <c r="H10724" s="6" t="n">
        <f aca="false">Sens!H10748</f>
        <v>27.4648304146133</v>
      </c>
      <c r="I10724" s="6" t="n">
        <f aca="false">Sens!I10748</f>
        <v>29.8920629797229</v>
      </c>
      <c r="J10724" s="6" t="n">
        <f aca="false">Sens!J10748</f>
        <v>32.5491307050375</v>
      </c>
      <c r="K10724" s="6" t="n">
        <f aca="false">Sens!K10748</f>
        <v>35.350031950116</v>
      </c>
    </row>
    <row r="10725" customFormat="false" ht="17.15" hidden="false" customHeight="false" outlineLevel="0" collapsed="false">
      <c r="A10725" s="1" t="s">
        <v>1072</v>
      </c>
      <c r="B10725" s="0" t="s">
        <v>98</v>
      </c>
      <c r="D10725" s="6" t="n">
        <f aca="false">Q!L27</f>
        <v>-4.901</v>
      </c>
      <c r="E10725" s="6" t="n">
        <f aca="false">Q!M27</f>
        <v>10.697</v>
      </c>
      <c r="F10725" s="6" t="n">
        <f aca="false">Q!$I$27+oie_f*(q_per_yr-1)/q_per_yr</f>
        <v>-0.862</v>
      </c>
      <c r="G10725" s="6" t="n">
        <f aca="false">oie_f</f>
        <v>-1.2</v>
      </c>
      <c r="H10725" s="6" t="n">
        <f aca="false">oie_f</f>
        <v>-1.2</v>
      </c>
      <c r="I10725" s="6" t="n">
        <f aca="false">oie_f</f>
        <v>-1.2</v>
      </c>
      <c r="J10725" s="6" t="n">
        <f aca="false">oie_f</f>
        <v>-1.2</v>
      </c>
      <c r="K10725" s="6" t="n">
        <f aca="false">oie_f</f>
        <v>-1.2</v>
      </c>
      <c r="L10725" s="12" t="s">
        <v>1073</v>
      </c>
    </row>
    <row r="10726" customFormat="false" ht="15" hidden="false" customHeight="false" outlineLevel="0" collapsed="false">
      <c r="A10726" s="1" t="s">
        <v>1074</v>
      </c>
      <c r="B10726" s="0" t="s">
        <v>98</v>
      </c>
      <c r="D10726" s="6" t="n">
        <f aca="false">Sens!D10718+Sens!D10725</f>
        <v>123.627</v>
      </c>
      <c r="E10726" s="6" t="n">
        <f aca="false">Sens!E10718+Sens!E10725</f>
        <v>165.934</v>
      </c>
      <c r="F10726" s="6" t="n">
        <f aca="false">Sens!F10718+Sens!F10725</f>
        <v>177.037684425245</v>
      </c>
      <c r="G10726" s="6" t="n">
        <f aca="false">Sens!G10718+Sens!G10725</f>
        <v>179.607889434942</v>
      </c>
      <c r="H10726" s="6" t="n">
        <f aca="false">Sens!H10718+Sens!H10725</f>
        <v>181.647743521547</v>
      </c>
      <c r="I10726" s="6" t="n">
        <f aca="false">Sens!I10718+Sens!I10725</f>
        <v>191.552516574089</v>
      </c>
      <c r="J10726" s="6" t="n">
        <f aca="false">Sens!J10718+Sens!J10725</f>
        <v>203.020334877987</v>
      </c>
      <c r="K10726" s="6" t="n">
        <f aca="false">Sens!K10718+Sens!K10725</f>
        <v>215.896616621302</v>
      </c>
    </row>
    <row r="10727" customFormat="false" ht="15" hidden="false" customHeight="false" outlineLevel="0" collapsed="false">
      <c r="A10727" s="1" t="s">
        <v>1075</v>
      </c>
      <c r="B10727" s="0" t="s">
        <v>98</v>
      </c>
      <c r="D10727" s="6" t="n">
        <f aca="false">Q!L29</f>
        <v>21.795</v>
      </c>
      <c r="E10727" s="6" t="n">
        <f aca="false">Q!M29</f>
        <v>32.185</v>
      </c>
      <c r="F10727" s="6" t="n">
        <f aca="false">Q!$I$29+(Sens!F10726-Q!$I$28)*tax_f</f>
        <v>35.540936885049</v>
      </c>
      <c r="G10727" s="6" t="n">
        <f aca="false">Sens!G10726*tax_f</f>
        <v>35.9215778869885</v>
      </c>
      <c r="H10727" s="6" t="n">
        <f aca="false">Sens!H10726*tax_f</f>
        <v>36.3295487043094</v>
      </c>
      <c r="I10727" s="6" t="n">
        <f aca="false">Sens!I10726*tax_f</f>
        <v>38.3105033148177</v>
      </c>
      <c r="J10727" s="6" t="n">
        <f aca="false">Sens!J10726*tax_f</f>
        <v>40.6040669755974</v>
      </c>
      <c r="K10727" s="6" t="n">
        <f aca="false">Sens!K10726*tax_f</f>
        <v>43.1793233242604</v>
      </c>
    </row>
    <row r="10728" customFormat="false" ht="15" hidden="false" customHeight="false" outlineLevel="0" collapsed="false">
      <c r="A10728" s="1" t="s">
        <v>1076</v>
      </c>
      <c r="B10728" s="0" t="s">
        <v>98</v>
      </c>
      <c r="D10728" s="6" t="n">
        <f aca="false">Sens!D10726-Sens!D10727</f>
        <v>101.832</v>
      </c>
      <c r="E10728" s="6" t="n">
        <f aca="false">Sens!E10726-Sens!E10727</f>
        <v>133.749</v>
      </c>
      <c r="F10728" s="6" t="n">
        <f aca="false">Sens!F10726-Sens!F10727</f>
        <v>141.496747540196</v>
      </c>
      <c r="G10728" s="6" t="n">
        <f aca="false">Sens!G10726-Sens!G10727</f>
        <v>143.686311547954</v>
      </c>
      <c r="H10728" s="6" t="n">
        <f aca="false">Sens!H10726-Sens!H10727</f>
        <v>145.318194817238</v>
      </c>
      <c r="I10728" s="6" t="n">
        <f aca="false">Sens!I10726-Sens!I10727</f>
        <v>153.242013259271</v>
      </c>
      <c r="J10728" s="6" t="n">
        <f aca="false">Sens!J10726-Sens!J10727</f>
        <v>162.41626790239</v>
      </c>
      <c r="K10728" s="6" t="n">
        <f aca="false">Sens!K10726-Sens!K10727</f>
        <v>172.717293297042</v>
      </c>
    </row>
    <row r="10729" customFormat="false" ht="17.15" hidden="false" customHeight="false" outlineLevel="0" collapsed="false">
      <c r="A10729" s="1" t="s">
        <v>1077</v>
      </c>
      <c r="B10729" s="1" t="s">
        <v>81</v>
      </c>
      <c r="D10729" s="15" t="n">
        <f aca="false">Q!L31</f>
        <v>7.465</v>
      </c>
      <c r="E10729" s="15" t="n">
        <f aca="false">Q!M31</f>
        <v>7.453</v>
      </c>
      <c r="F10729" s="15" t="n">
        <f aca="false">Sens!F10773</f>
        <v>7.4735</v>
      </c>
      <c r="G10729" s="15" t="n">
        <f aca="false">Sens!G10773</f>
        <v>7.5185</v>
      </c>
      <c r="H10729" s="15" t="n">
        <f aca="false">Sens!H10773</f>
        <v>7.5635</v>
      </c>
      <c r="I10729" s="15" t="n">
        <f aca="false">Sens!I10773</f>
        <v>7.59248142502667</v>
      </c>
      <c r="J10729" s="15" t="n">
        <f aca="false">Sens!J10773</f>
        <v>7.60663083618914</v>
      </c>
      <c r="K10729" s="15" t="n">
        <f aca="false">Sens!K10773</f>
        <v>7.62306547615439</v>
      </c>
    </row>
    <row r="10730" customFormat="false" ht="17.15" hidden="false" customHeight="false" outlineLevel="0" collapsed="false">
      <c r="A10730" s="0" t="s">
        <v>1078</v>
      </c>
      <c r="B10730" s="0" t="s">
        <v>75</v>
      </c>
      <c r="D10730" s="8" t="n">
        <f aca="false">Sens!D10728/Sens!D10729</f>
        <v>13.641259209645</v>
      </c>
      <c r="E10730" s="8" t="n">
        <f aca="false">Sens!E10728/Sens!E10729</f>
        <v>17.9456594659869</v>
      </c>
      <c r="F10730" s="8" t="n">
        <f aca="false">Sens!F10728/Sens!F10729</f>
        <v>18.9331300649222</v>
      </c>
      <c r="G10730" s="8" t="n">
        <f aca="false">Sens!G10728/Sens!G10729</f>
        <v>19.1110343217336</v>
      </c>
      <c r="H10730" s="8" t="n">
        <f aca="false">Sens!H10728/Sens!H10729</f>
        <v>19.2130884930571</v>
      </c>
      <c r="I10730" s="8" t="n">
        <f aca="false">Sens!I10728/Sens!I10729</f>
        <v>20.1833899460258</v>
      </c>
      <c r="J10730" s="8" t="n">
        <f aca="false">Sens!J10728/Sens!J10729</f>
        <v>21.3519324652488</v>
      </c>
      <c r="K10730" s="8" t="n">
        <f aca="false">Sens!K10728/Sens!K10729</f>
        <v>22.6571966143169</v>
      </c>
      <c r="L10730" s="1" t="s">
        <v>1079</v>
      </c>
    </row>
    <row r="10731" customFormat="false" ht="17.15" hidden="false" customHeight="false" outlineLevel="0" collapsed="false">
      <c r="A10731" s="1" t="s">
        <v>1080</v>
      </c>
      <c r="B10731" s="0" t="s">
        <v>98</v>
      </c>
      <c r="D10731" s="6" t="n">
        <f aca="false">Sens!D10728</f>
        <v>101.832</v>
      </c>
      <c r="E10731" s="6" t="n">
        <f aca="false">Sens!E10728</f>
        <v>133.749</v>
      </c>
      <c r="F10731" s="6" t="n">
        <f aca="false">Sens!F10728+Sens!F10721*(1-tax_f)</f>
        <v>149.973770578554</v>
      </c>
      <c r="G10731" s="6" t="n">
        <f aca="false">Sens!G10728+Sens!G10721*(1-tax_f)</f>
        <v>165.9620288879</v>
      </c>
      <c r="H10731" s="6" t="n">
        <f aca="false">Sens!H10728+Sens!H10721*(1-tax_f)</f>
        <v>182.571159218343</v>
      </c>
      <c r="I10731" s="6" t="n">
        <f aca="false">Sens!I10728+Sens!I10721*(1-tax_f)</f>
        <v>203.859435509386</v>
      </c>
      <c r="J10731" s="6" t="n">
        <f aca="false">Sens!J10728+Sens!J10721*(1-tax_f)</f>
        <v>222.34116573295</v>
      </c>
      <c r="K10731" s="6" t="n">
        <f aca="false">Sens!K10728+Sens!K10721*(1-tax_f)</f>
        <v>238.02892827146</v>
      </c>
    </row>
    <row r="10732" customFormat="false" ht="17.15" hidden="false" customHeight="false" outlineLevel="0" collapsed="false">
      <c r="A10732" s="0" t="s">
        <v>1081</v>
      </c>
      <c r="B10732" s="0" t="s">
        <v>75</v>
      </c>
      <c r="D10732" s="8" t="n">
        <f aca="false">Sens!D10731/Sens!D10729</f>
        <v>13.641259209645</v>
      </c>
      <c r="E10732" s="8" t="n">
        <f aca="false">Sens!E10731/Sens!E10729</f>
        <v>17.9456594659869</v>
      </c>
      <c r="F10732" s="8" t="n">
        <f aca="false">Sens!F10731/Sens!F10729</f>
        <v>20.0674075839371</v>
      </c>
      <c r="G10732" s="8" t="n">
        <f aca="false">Sens!G10731/Sens!G10729</f>
        <v>22.0738217580501</v>
      </c>
      <c r="H10732" s="8" t="n">
        <f aca="false">Sens!H10731/Sens!H10729</f>
        <v>24.1384490273476</v>
      </c>
      <c r="I10732" s="8" t="n">
        <f aca="false">Sens!I10731/Sens!I10729</f>
        <v>26.8501724399899</v>
      </c>
      <c r="J10732" s="8" t="n">
        <f aca="false">Sens!J10731/Sens!J10729</f>
        <v>29.2299140738032</v>
      </c>
      <c r="K10732" s="8" t="n">
        <f aca="false">Sens!K10731/Sens!K10729</f>
        <v>31.2248306165066</v>
      </c>
      <c r="L10732" s="1" t="s">
        <v>1082</v>
      </c>
    </row>
    <row r="10733" customFormat="false" ht="17.15" hidden="false" customHeight="false" outlineLevel="0" collapsed="false">
      <c r="A10733" s="0" t="s">
        <v>1083</v>
      </c>
      <c r="B10733" s="0" t="s">
        <v>168</v>
      </c>
      <c r="E10733" s="7" t="n">
        <f aca="false">Sens!E10732/Sens!D10732-1</f>
        <v>0.315542736208578</v>
      </c>
      <c r="F10733" s="7" t="n">
        <f aca="false">Sens!F10732/Sens!E10732-1</f>
        <v>0.118231827700269</v>
      </c>
      <c r="G10733" s="7" t="n">
        <f aca="false">Sens!G10732/Sens!F10732-1</f>
        <v>0.0999837256367386</v>
      </c>
      <c r="H10733" s="7" t="n">
        <f aca="false">Sens!H10732/Sens!G10732-1</f>
        <v>0.0935328413868584</v>
      </c>
      <c r="I10733" s="7" t="n">
        <f aca="false">Sens!I10732/Sens!H10732-1</f>
        <v>0.112340416303058</v>
      </c>
      <c r="J10733" s="7" t="n">
        <f aca="false">Sens!J10732/Sens!I10732-1</f>
        <v>0.0886304041112587</v>
      </c>
      <c r="K10733" s="7" t="n">
        <f aca="false">Sens!K10732/Sens!J10732-1</f>
        <v>0.0682491415358379</v>
      </c>
    </row>
    <row r="10734" customFormat="false" ht="17.15" hidden="false" customHeight="false" outlineLevel="0" collapsed="false">
      <c r="A10734" s="0" t="s">
        <v>1003</v>
      </c>
      <c r="B10734" s="0" t="s">
        <v>98</v>
      </c>
      <c r="E10734" s="6" t="n">
        <f aca="false">Sens!E10675</f>
        <v>5.25</v>
      </c>
      <c r="F10734" s="6" t="n">
        <f aca="false">Sens!F10675</f>
        <v>10.5</v>
      </c>
      <c r="G10734" s="6" t="n">
        <f aca="false">Sens!G10675</f>
        <v>13.5</v>
      </c>
      <c r="H10734" s="6" t="n">
        <f aca="false">Sens!H10675</f>
        <v>16.5</v>
      </c>
      <c r="I10734" s="6" t="n">
        <f aca="false">Sens!I10675</f>
        <v>18.75</v>
      </c>
      <c r="J10734" s="6" t="n">
        <f aca="false">Sens!J10675</f>
        <v>20.25</v>
      </c>
      <c r="K10734" s="6" t="n">
        <f aca="false">Sens!K10675</f>
        <v>21.75</v>
      </c>
    </row>
    <row r="10735" customFormat="false" ht="17.15" hidden="false" customHeight="false" outlineLevel="0" collapsed="false">
      <c r="A10735" s="1" t="s">
        <v>1004</v>
      </c>
      <c r="B10735" s="0" t="s">
        <v>98</v>
      </c>
      <c r="F10735" s="6" t="n">
        <f aca="false">MAX(0,((Sens!E10635+Sens!F10635)/2-(shadow_base*(Sens!$D$10635+Sens!$E$10635)/2+(1-shadow_base)*Sens!$E$10635))*Sens!F10644/1000-(Sens!F10734-Sens!$E$10734)*Sens!F10714)</f>
        <v>10.5962787979473</v>
      </c>
      <c r="G10735" s="6" t="n">
        <f aca="false">MAX(0,((Sens!F10635+Sens!G10635)/2-(shadow_base*(Sens!$D$10635+Sens!$E$10635)/2+(1-shadow_base)*Sens!$E$10635))*Sens!G10644/1000-(Sens!G10734-Sens!$E$10734)*Sens!G10714)</f>
        <v>27.844646674932</v>
      </c>
      <c r="H10735" s="6" t="n">
        <f aca="false">MAX(0,((Sens!G10635+Sens!H10635)/2-(shadow_base*(Sens!$D$10635+Sens!$E$10635)/2+(1-shadow_base)*Sens!$E$10635))*Sens!H10644/1000-(Sens!H10734-Sens!$E$10734)*Sens!H10714)</f>
        <v>46.566205501382</v>
      </c>
      <c r="I10735" s="6" t="n">
        <f aca="false">MAX(0,((Sens!H10635+Sens!I10635)/2-(shadow_base*(Sens!$D$10635+Sens!$E$10635)/2+(1-shadow_base)*Sens!$E$10635))*Sens!I10644/1000-(Sens!I10734-Sens!$E$10734)*Sens!I10714)</f>
        <v>63.2717778126444</v>
      </c>
      <c r="J10735" s="6" t="n">
        <f aca="false">MAX(0,((Sens!I10635+Sens!J10635)/2-(shadow_base*(Sens!$D$10635+Sens!$E$10635)/2+(1-shadow_base)*Sens!$E$10635))*Sens!J10644/1000-(Sens!J10734-Sens!$E$10734)*Sens!J10714)</f>
        <v>74.9061222882009</v>
      </c>
      <c r="K10735" s="6" t="n">
        <f aca="false">MAX(0,((Sens!J10635+Sens!K10635)/2-(shadow_base*(Sens!$D$10635+Sens!$E$10635)/2+(1-shadow_base)*Sens!$E$10635))*Sens!K10644/1000-(Sens!K10734-Sens!$E$10734)*Sens!K10714)</f>
        <v>81.6395437180232</v>
      </c>
      <c r="L10735" s="1" t="s">
        <v>1005</v>
      </c>
    </row>
    <row r="10736" customFormat="false" ht="17.15" hidden="false" customHeight="false" outlineLevel="0" collapsed="false">
      <c r="A10736" s="1" t="s">
        <v>1006</v>
      </c>
      <c r="B10736" s="0" t="s">
        <v>98</v>
      </c>
      <c r="F10736" s="6" t="n">
        <f aca="false">IF(internal_ai_reading=2,1,0)*Sens!F10735</f>
        <v>10.5962787979473</v>
      </c>
      <c r="G10736" s="6" t="n">
        <f aca="false">IF(internal_ai_reading=2,1,0)*Sens!G10735</f>
        <v>27.844646674932</v>
      </c>
      <c r="H10736" s="6" t="n">
        <f aca="false">IF(internal_ai_reading=2,1,0)*Sens!H10735</f>
        <v>46.566205501382</v>
      </c>
      <c r="I10736" s="6" t="n">
        <f aca="false">IF(internal_ai_reading=2,1,0)*Sens!I10735</f>
        <v>63.2717778126444</v>
      </c>
      <c r="J10736" s="6" t="n">
        <f aca="false">IF(internal_ai_reading=2,1,0)*Sens!J10735</f>
        <v>74.9061222882009</v>
      </c>
      <c r="K10736" s="6" t="n">
        <f aca="false">IF(internal_ai_reading=2,1,0)*Sens!K10735</f>
        <v>81.6395437180232</v>
      </c>
    </row>
    <row r="10737" customFormat="false" ht="17.15" hidden="false" customHeight="false" outlineLevel="0" collapsed="false">
      <c r="A10737" s="0" t="s">
        <v>1007</v>
      </c>
      <c r="B10737" s="0" t="s">
        <v>98</v>
      </c>
      <c r="F10737" s="6" t="n">
        <f aca="false">Sens!F10654+Sens!F10734*Sens!F10714+Sens!F10736-Sens!F10655-Sens!F10666</f>
        <v>10.3853806853618</v>
      </c>
      <c r="G10737" s="6" t="n">
        <f aca="false">Sens!G10654+Sens!G10734*Sens!G10714+Sens!G10736-Sens!G10655-Sens!G10666</f>
        <v>16.4389313105741</v>
      </c>
      <c r="H10737" s="6" t="n">
        <f aca="false">Sens!H10654+Sens!H10734*Sens!H10714+Sens!H10736-Sens!H10655-Sens!H10666</f>
        <v>17.135416308873</v>
      </c>
      <c r="I10737" s="6" t="n">
        <f aca="false">Sens!I10654+Sens!I10734*Sens!I10714+Sens!I10736-Sens!I10655-Sens!I10666</f>
        <v>24.1293804008657</v>
      </c>
      <c r="J10737" s="6" t="n">
        <f aca="false">Sens!J10654+Sens!J10734*Sens!J10714+Sens!J10736-Sens!J10655-Sens!J10666</f>
        <v>28.8545659869181</v>
      </c>
      <c r="K10737" s="6" t="n">
        <f aca="false">Sens!K10654+Sens!K10734*Sens!K10714+Sens!K10736-Sens!K10655-Sens!K10666</f>
        <v>32.13747485251</v>
      </c>
    </row>
    <row r="10738" customFormat="false" ht="17.15" hidden="false" customHeight="false" outlineLevel="0" collapsed="false">
      <c r="A10738" s="0" t="s">
        <v>1008</v>
      </c>
      <c r="B10738" s="0" t="s">
        <v>98</v>
      </c>
      <c r="E10738" s="6" t="n">
        <f aca="false">Sens!E10634*(cxit_open+self_build*tk_cxfac)/1000*ai_net_open</f>
        <v>126.6980382</v>
      </c>
      <c r="F10738" s="6" t="n">
        <f aca="false">Sens!E10738+Sens!F10663-Sens!F10666</f>
        <v>260.572627763768</v>
      </c>
      <c r="G10738" s="6" t="n">
        <f aca="false">Sens!F10738+Sens!G10663-Sens!G10666</f>
        <v>391.782612760517</v>
      </c>
      <c r="H10738" s="6" t="n">
        <f aca="false">Sens!G10738+Sens!H10663-Sens!H10666</f>
        <v>499.488526163584</v>
      </c>
      <c r="I10738" s="6" t="n">
        <f aca="false">Sens!H10738+Sens!I10663-Sens!I10666</f>
        <v>553.872350090646</v>
      </c>
      <c r="J10738" s="6" t="n">
        <f aca="false">Sens!I10738+Sens!J10663-Sens!J10666</f>
        <v>550.78660823699</v>
      </c>
      <c r="K10738" s="6" t="n">
        <f aca="false">Sens!J10738+Sens!K10663-Sens!K10666</f>
        <v>526.736791750789</v>
      </c>
      <c r="L10738" s="1" t="s">
        <v>1009</v>
      </c>
    </row>
    <row r="10739" customFormat="false" ht="17.15" hidden="false" customHeight="false" outlineLevel="0" collapsed="false">
      <c r="A10739" s="0" t="s">
        <v>1010</v>
      </c>
      <c r="B10739" s="0" t="s">
        <v>168</v>
      </c>
      <c r="F10739" s="7" t="n">
        <f aca="false">Sens!F10737*(1-tax_f)/((Sens!E10738+Sens!F10738)/2)</f>
        <v>0.0429069654816909</v>
      </c>
      <c r="G10739" s="7" t="n">
        <f aca="false">Sens!G10737*(1-tax_f)/((Sens!F10738+Sens!G10738)/2)</f>
        <v>0.0403189680453549</v>
      </c>
      <c r="H10739" s="7" t="n">
        <f aca="false">Sens!H10737*(1-tax_f)/((Sens!G10738+Sens!H10738)/2)</f>
        <v>0.0307613080877867</v>
      </c>
      <c r="I10739" s="7" t="n">
        <f aca="false">Sens!I10737*(1-tax_f)/((Sens!H10738+Sens!I10738)/2)</f>
        <v>0.0366512650238846</v>
      </c>
      <c r="J10739" s="7" t="n">
        <f aca="false">Sens!J10737*(1-tax_f)/((Sens!I10738+Sens!J10738)/2)</f>
        <v>0.0417932659044041</v>
      </c>
      <c r="K10739" s="7" t="n">
        <f aca="false">Sens!K10737*(1-tax_f)/((Sens!J10738+Sens!K10738)/2)</f>
        <v>0.0477205040415821</v>
      </c>
    </row>
    <row r="10740" customFormat="false" ht="17.15" hidden="false" customHeight="false" outlineLevel="0" collapsed="false">
      <c r="A10740" s="1" t="s">
        <v>1011</v>
      </c>
      <c r="B10740" s="0" t="s">
        <v>168</v>
      </c>
      <c r="F10740" s="7" t="n">
        <f aca="false">(Sens!F10737-Sens!F10736)*(1-tax_f)/((Sens!E10738+Sens!F10738)/2)</f>
        <v>-0.000871320783610466</v>
      </c>
      <c r="G10740" s="7" t="n">
        <f aca="false">(Sens!G10737-Sens!G10736)*(1-tax_f)/((Sens!F10738+Sens!G10738)/2)</f>
        <v>-0.0279742438618356</v>
      </c>
      <c r="H10740" s="7" t="n">
        <f aca="false">(Sens!H10737-Sens!H10736)*(1-tax_f)/((Sens!G10738+Sens!H10738)/2)</f>
        <v>-0.0528338242443913</v>
      </c>
      <c r="I10740" s="7" t="n">
        <f aca="false">(Sens!I10737-Sens!I10736)*(1-tax_f)/((Sens!H10738+Sens!I10738)/2)</f>
        <v>-0.059455251538819</v>
      </c>
      <c r="J10740" s="7" t="n">
        <f aca="false">(Sens!J10737-Sens!J10736)*(1-tax_f)/((Sens!I10738+Sens!J10738)/2)</f>
        <v>-0.0667015729394002</v>
      </c>
      <c r="K10740" s="7" t="n">
        <f aca="false">(Sens!K10737-Sens!K10736)*(1-tax_f)/((Sens!J10738+Sens!K10738)/2)</f>
        <v>-0.0735049560740113</v>
      </c>
    </row>
    <row r="10741" customFormat="false" ht="17.15" hidden="false" customHeight="false" outlineLevel="0" collapsed="false">
      <c r="A10741" s="1" t="s">
        <v>1012</v>
      </c>
      <c r="B10741" s="0" t="s">
        <v>168</v>
      </c>
      <c r="F10741" s="7" t="n">
        <f aca="false">(Sens!F10737-Sens!F10736+Sens!F10735)*(1-tax_f)/((Sens!E10738+Sens!F10738)/2)</f>
        <v>0.0429069654816909</v>
      </c>
      <c r="G10741" s="7" t="n">
        <f aca="false">(Sens!G10737-Sens!G10736+Sens!G10735)*(1-tax_f)/((Sens!F10738+Sens!G10738)/2)</f>
        <v>0.0403189680453549</v>
      </c>
      <c r="H10741" s="7" t="n">
        <f aca="false">(Sens!H10737-Sens!H10736+Sens!H10735)*(1-tax_f)/((Sens!G10738+Sens!H10738)/2)</f>
        <v>0.0307613080877867</v>
      </c>
      <c r="I10741" s="7" t="n">
        <f aca="false">(Sens!I10737-Sens!I10736+Sens!I10735)*(1-tax_f)/((Sens!H10738+Sens!I10738)/2)</f>
        <v>0.0366512650238846</v>
      </c>
      <c r="J10741" s="7" t="n">
        <f aca="false">(Sens!J10737-Sens!J10736+Sens!J10735)*(1-tax_f)/((Sens!I10738+Sens!J10738)/2)</f>
        <v>0.0417932659044041</v>
      </c>
      <c r="K10741" s="7" t="n">
        <f aca="false">(Sens!K10737-Sens!K10736+Sens!K10735)*(1-tax_f)/((Sens!J10738+Sens!K10738)/2)</f>
        <v>0.0477205040415821</v>
      </c>
    </row>
    <row r="10742" customFormat="false" ht="17.15" hidden="false" customHeight="false" outlineLevel="0" collapsed="false">
      <c r="A10742" s="1" t="s">
        <v>1013</v>
      </c>
      <c r="B10742" s="0" t="s">
        <v>168</v>
      </c>
      <c r="F10742" s="7" t="n">
        <f aca="false">Sens!F10667*(1-tax_f)/(Sens!F10653*(Sens!E10738+Sens!F10738)/2)</f>
        <v>0.098791430090569</v>
      </c>
      <c r="G10742" s="7" t="n">
        <f aca="false">Sens!G10667*(1-tax_f)/(Sens!G10653*(Sens!F10738+Sens!G10738)/2)</f>
        <v>0.0675308856427828</v>
      </c>
      <c r="H10742" s="7" t="n">
        <f aca="false">Sens!H10667*(1-tax_f)/(Sens!H10653*(Sens!G10738+Sens!H10738)/2)</f>
        <v>0.0388374979528754</v>
      </c>
      <c r="I10742" s="7" t="n">
        <f aca="false">Sens!I10667*(1-tax_f)/(Sens!I10653*(Sens!H10738+Sens!I10738)/2)</f>
        <v>0.0411035671771815</v>
      </c>
      <c r="J10742" s="7" t="n">
        <f aca="false">Sens!J10667*(1-tax_f)/(Sens!J10653*(Sens!I10738+Sens!J10738)/2)</f>
        <v>0.0445222722541192</v>
      </c>
      <c r="K10742" s="7" t="n">
        <f aca="false">Sens!K10667*(1-tax_f)/(Sens!K10653*(Sens!J10738+Sens!K10738)/2)</f>
        <v>0.0498866361688162</v>
      </c>
    </row>
    <row r="10743" customFormat="false" ht="17.15" hidden="false" customHeight="false" outlineLevel="0" collapsed="false">
      <c r="A10743" s="0" t="s">
        <v>1014</v>
      </c>
      <c r="B10743" s="0" t="s">
        <v>253</v>
      </c>
      <c r="F10743" s="7" t="n">
        <f aca="false">Sens!F10739-wacc</f>
        <v>-0.0600296254639064</v>
      </c>
      <c r="G10743" s="7" t="n">
        <f aca="false">Sens!G10739-wacc</f>
        <v>-0.0626176229002424</v>
      </c>
      <c r="H10743" s="7" t="n">
        <f aca="false">Sens!H10739-wacc</f>
        <v>-0.0721752828578106</v>
      </c>
      <c r="I10743" s="7" t="n">
        <f aca="false">Sens!I10739-wacc</f>
        <v>-0.0662853259217127</v>
      </c>
      <c r="J10743" s="7" t="n">
        <f aca="false">Sens!J10739-wacc</f>
        <v>-0.0611433250411932</v>
      </c>
      <c r="K10743" s="7" t="n">
        <f aca="false">Sens!K10739-wacc</f>
        <v>-0.0552160869040152</v>
      </c>
    </row>
    <row r="10744" customFormat="false" ht="17.15" hidden="false" customHeight="false" outlineLevel="0" collapsed="false">
      <c r="A10744" s="0" t="s">
        <v>1015</v>
      </c>
      <c r="B10744" s="0" t="s">
        <v>98</v>
      </c>
      <c r="F10744" s="6" t="n">
        <f aca="false">Sens!F10737*(1-tax_f)-wacc*(Sens!E10738+Sens!F10738)/2</f>
        <v>-11.6238565154813</v>
      </c>
      <c r="G10744" s="6" t="n">
        <f aca="false">Sens!G10737*(1-tax_f)-wacc*(Sens!F10738+Sens!G10738)/2</f>
        <v>-20.4244672240733</v>
      </c>
      <c r="H10744" s="6" t="n">
        <f aca="false">Sens!H10737*(1-tax_f)-wacc*(Sens!G10738+Sens!H10738)/2</f>
        <v>-32.163873277425</v>
      </c>
      <c r="I10744" s="6" t="n">
        <f aca="false">Sens!I10737*(1-tax_f)-wacc*(Sens!H10738+Sens!I10738)/2</f>
        <v>-34.9111844978462</v>
      </c>
      <c r="J10744" s="6" t="n">
        <f aca="false">Sens!J10737*(1-tax_f)-wacc*(Sens!I10738+Sens!J10738)/2</f>
        <v>-33.7712608743463</v>
      </c>
      <c r="K10744" s="6" t="n">
        <f aca="false">Sens!K10737*(1-tax_f)-wacc*(Sens!J10738+Sens!K10738)/2</f>
        <v>-29.7483128474176</v>
      </c>
    </row>
    <row r="10745" customFormat="false" ht="17.15" hidden="false" customHeight="false" outlineLevel="0" collapsed="false">
      <c r="A10745" s="3" t="s">
        <v>1748</v>
      </c>
    </row>
    <row r="10746" customFormat="false" ht="15" hidden="false" customHeight="false" outlineLevel="0" collapsed="false">
      <c r="A10746" s="4" t="s">
        <v>43</v>
      </c>
      <c r="B10746" s="4" t="s">
        <v>65</v>
      </c>
      <c r="C10746" s="23" t="s">
        <v>938</v>
      </c>
      <c r="D10746" s="23" t="s">
        <v>939</v>
      </c>
      <c r="E10746" s="23" t="s">
        <v>940</v>
      </c>
      <c r="F10746" s="23" t="s">
        <v>941</v>
      </c>
      <c r="G10746" s="23" t="s">
        <v>942</v>
      </c>
      <c r="H10746" s="23" t="s">
        <v>943</v>
      </c>
      <c r="I10746" s="23" t="s">
        <v>944</v>
      </c>
      <c r="J10746" s="23" t="s">
        <v>945</v>
      </c>
      <c r="K10746" s="23" t="s">
        <v>946</v>
      </c>
      <c r="L10746" s="4" t="s">
        <v>47</v>
      </c>
    </row>
    <row r="10747" customFormat="false" ht="15" hidden="false" customHeight="false" outlineLevel="0" collapsed="false">
      <c r="A10747" s="1" t="s">
        <v>1076</v>
      </c>
      <c r="B10747" s="0" t="s">
        <v>98</v>
      </c>
      <c r="F10747" s="6" t="n">
        <f aca="false">Sens!F10728</f>
        <v>141.496747540196</v>
      </c>
      <c r="G10747" s="6" t="n">
        <f aca="false">Sens!G10728</f>
        <v>143.686311547954</v>
      </c>
      <c r="H10747" s="6" t="n">
        <f aca="false">Sens!H10728</f>
        <v>145.318194817238</v>
      </c>
      <c r="I10747" s="6" t="n">
        <f aca="false">Sens!I10728</f>
        <v>153.242013259271</v>
      </c>
      <c r="J10747" s="6" t="n">
        <f aca="false">Sens!J10728</f>
        <v>162.41626790239</v>
      </c>
      <c r="K10747" s="6" t="n">
        <f aca="false">Sens!K10728</f>
        <v>172.717293297042</v>
      </c>
    </row>
    <row r="10748" customFormat="false" ht="17.15" hidden="false" customHeight="false" outlineLevel="0" collapsed="false">
      <c r="A10748" s="1" t="s">
        <v>1098</v>
      </c>
      <c r="B10748" s="0" t="s">
        <v>98</v>
      </c>
      <c r="E10748" s="6" t="n">
        <f aca="false">Q!M38-Sens!E10666</f>
        <v>22.2285940229167</v>
      </c>
      <c r="F10748" s="6" t="n">
        <f aca="false">Sens!E10748*(1-1/life_nonai)+(Sens!F10756+Sens!F10757)/life_nonai</f>
        <v>23.5875848079552</v>
      </c>
      <c r="G10748" s="6" t="n">
        <f aca="false">Sens!F10748*(1-1/life_nonai)+(Sens!G10756)/life_nonai</f>
        <v>25.3438974931356</v>
      </c>
      <c r="H10748" s="6" t="n">
        <f aca="false">Sens!G10748*(1-1/life_nonai)+(Sens!H10756)/life_nonai</f>
        <v>27.4648304146133</v>
      </c>
      <c r="I10748" s="6" t="n">
        <f aca="false">Sens!H10748*(1-1/life_nonai)+(Sens!I10756)/life_nonai</f>
        <v>29.8920629797229</v>
      </c>
      <c r="J10748" s="6" t="n">
        <f aca="false">Sens!I10748*(1-1/life_nonai)+(Sens!J10756)/life_nonai</f>
        <v>32.5491307050375</v>
      </c>
      <c r="K10748" s="6" t="n">
        <f aca="false">Sens!J10748*(1-1/life_nonai)+(Sens!K10756)/life_nonai</f>
        <v>35.350031950116</v>
      </c>
      <c r="L10748" s="12" t="s">
        <v>1099</v>
      </c>
    </row>
    <row r="10749" customFormat="false" ht="17.15" hidden="false" customHeight="false" outlineLevel="0" collapsed="false">
      <c r="A10749" s="1" t="s">
        <v>1100</v>
      </c>
      <c r="B10749" s="0" t="s">
        <v>98</v>
      </c>
      <c r="F10749" s="6" t="n">
        <f aca="false">Sens!$F$10757/life_nonai*(1-1/life_nonai)^(Sens!F10629-2027)</f>
        <v>0</v>
      </c>
      <c r="G10749" s="6" t="n">
        <f aca="false">Sens!$F$10757/life_nonai*(1-1/life_nonai)^(Sens!G10629-2027)</f>
        <v>0</v>
      </c>
      <c r="H10749" s="6" t="n">
        <f aca="false">Sens!$F$10757/life_nonai*(1-1/life_nonai)^(Sens!H10629-2027)</f>
        <v>0</v>
      </c>
      <c r="I10749" s="6" t="n">
        <f aca="false">Sens!$F$10757/life_nonai*(1-1/life_nonai)^(Sens!I10629-2027)</f>
        <v>0</v>
      </c>
      <c r="J10749" s="6" t="n">
        <f aca="false">Sens!$F$10757/life_nonai*(1-1/life_nonai)^(Sens!J10629-2027)</f>
        <v>0</v>
      </c>
      <c r="K10749" s="6" t="n">
        <f aca="false">Sens!$F$10757/life_nonai*(1-1/life_nonai)^(Sens!K10629-2027)</f>
        <v>0</v>
      </c>
      <c r="L10749" s="1" t="s">
        <v>1101</v>
      </c>
    </row>
    <row r="10750" customFormat="false" ht="17.15" hidden="false" customHeight="false" outlineLevel="0" collapsed="false">
      <c r="A10750" s="1" t="s">
        <v>1102</v>
      </c>
      <c r="B10750" s="0" t="s">
        <v>98</v>
      </c>
      <c r="E10750" s="6" t="n">
        <f aca="false">Sens!E10666+Sens!E10748</f>
        <v>38.534</v>
      </c>
      <c r="F10750" s="6" t="n">
        <f aca="false">Sens!F10666+Sens!F10748</f>
        <v>58.1668992863068</v>
      </c>
      <c r="G10750" s="6" t="n">
        <f aca="false">Sens!G10666+Sens!G10748</f>
        <v>86.0783881454346</v>
      </c>
      <c r="H10750" s="6" t="n">
        <f aca="false">Sens!H10666+Sens!H10748</f>
        <v>116.564921076059</v>
      </c>
      <c r="I10750" s="6" t="n">
        <f aca="false">Sens!I10666+Sens!I10748</f>
        <v>144.123072674271</v>
      </c>
      <c r="J10750" s="6" t="n">
        <f aca="false">Sens!J10666+Sens!J10748</f>
        <v>164.564803754634</v>
      </c>
      <c r="K10750" s="6" t="n">
        <f aca="false">Sens!K10666+Sens!K10748</f>
        <v>178.36270150105</v>
      </c>
    </row>
    <row r="10751" customFormat="false" ht="17.15" hidden="false" customHeight="false" outlineLevel="0" collapsed="false">
      <c r="A10751" s="1" t="s">
        <v>1103</v>
      </c>
      <c r="B10751" s="0" t="s">
        <v>98</v>
      </c>
      <c r="F10751" s="6" t="n">
        <f aca="false">Sens!F10693*sbc_r</f>
        <v>14.7419474026378</v>
      </c>
      <c r="G10751" s="6" t="n">
        <f aca="false">Sens!G10693*sbc_r</f>
        <v>17.1419175155538</v>
      </c>
      <c r="H10751" s="6" t="n">
        <f aca="false">Sens!H10693*sbc_r</f>
        <v>19.3788663063694</v>
      </c>
      <c r="I10751" s="6" t="n">
        <f aca="false">Sens!I10693*sbc_r</f>
        <v>21.7061105037006</v>
      </c>
      <c r="J10751" s="6" t="n">
        <f aca="false">Sens!J10693*sbc_r</f>
        <v>23.6461722323177</v>
      </c>
      <c r="K10751" s="6" t="n">
        <f aca="false">Sens!K10693*sbc_r</f>
        <v>25.2120229014173</v>
      </c>
    </row>
    <row r="10752" customFormat="false" ht="17.15" hidden="false" customHeight="false" outlineLevel="0" collapsed="false">
      <c r="A10752" s="1" t="s">
        <v>1104</v>
      </c>
      <c r="B10752" s="0" t="s">
        <v>98</v>
      </c>
      <c r="F10752" s="6" t="n">
        <f aca="false">wc27-wc26q1</f>
        <v>-4.677</v>
      </c>
      <c r="G10752" s="6" t="n">
        <f aca="false">wc_f</f>
        <v>0</v>
      </c>
      <c r="H10752" s="6" t="n">
        <f aca="false">wc_f</f>
        <v>0</v>
      </c>
      <c r="I10752" s="6" t="n">
        <f aca="false">wc_f</f>
        <v>0</v>
      </c>
      <c r="J10752" s="6" t="n">
        <f aca="false">wc_f</f>
        <v>0</v>
      </c>
      <c r="K10752" s="6" t="n">
        <f aca="false">wc_f</f>
        <v>0</v>
      </c>
      <c r="L10752" s="12" t="s">
        <v>1105</v>
      </c>
    </row>
    <row r="10753" customFormat="false" ht="17.15" hidden="false" customHeight="false" outlineLevel="0" collapsed="false">
      <c r="A10753" s="0" t="s">
        <v>1106</v>
      </c>
      <c r="B10753" s="0" t="s">
        <v>98</v>
      </c>
      <c r="F10753" s="6" t="n">
        <f aca="false">Q!$I$35-Q!$I$26-Q!$I$38-Q!$I$39</f>
        <v>6.493</v>
      </c>
      <c r="L10753" s="1" t="s">
        <v>1107</v>
      </c>
    </row>
    <row r="10754" customFormat="false" ht="15" hidden="false" customHeight="false" outlineLevel="0" collapsed="false">
      <c r="A10754" s="1" t="s">
        <v>904</v>
      </c>
      <c r="B10754" s="0" t="s">
        <v>98</v>
      </c>
      <c r="E10754" s="6" t="n">
        <f aca="false">Q!M35</f>
        <v>182.935</v>
      </c>
      <c r="F10754" s="6" t="n">
        <f aca="false">Sens!F10747+Sens!F10750+Sens!F10751+Sens!F10752+Sens!F10753</f>
        <v>216.221594229141</v>
      </c>
      <c r="G10754" s="6" t="n">
        <f aca="false">Sens!G10747+Sens!G10750+Sens!G10751+Sens!G10752</f>
        <v>246.906617208942</v>
      </c>
      <c r="H10754" s="6" t="n">
        <f aca="false">Sens!H10747+Sens!H10750+Sens!H10751+Sens!H10752</f>
        <v>281.261982199666</v>
      </c>
      <c r="I10754" s="6" t="n">
        <f aca="false">Sens!I10747+Sens!I10750+Sens!I10751+Sens!I10752</f>
        <v>319.071196437243</v>
      </c>
      <c r="J10754" s="6" t="n">
        <f aca="false">Sens!J10747+Sens!J10750+Sens!J10751+Sens!J10752</f>
        <v>350.627243889341</v>
      </c>
      <c r="K10754" s="6" t="n">
        <f aca="false">Sens!K10747+Sens!K10750+Sens!K10751+Sens!K10752</f>
        <v>376.292017699509</v>
      </c>
    </row>
    <row r="10755" customFormat="false" ht="17.15" hidden="false" customHeight="false" outlineLevel="0" collapsed="false">
      <c r="A10755" s="0" t="s">
        <v>1108</v>
      </c>
      <c r="B10755" s="0" t="s">
        <v>98</v>
      </c>
      <c r="F10755" s="6" t="n">
        <f aca="false">Sens!F10663</f>
        <v>168.45390404212</v>
      </c>
      <c r="G10755" s="6" t="n">
        <f aca="false">Sens!G10663</f>
        <v>191.944475649048</v>
      </c>
      <c r="H10755" s="6" t="n">
        <f aca="false">Sens!H10663</f>
        <v>196.806004064512</v>
      </c>
      <c r="I10755" s="6" t="n">
        <f aca="false">Sens!I10663</f>
        <v>168.61483362161</v>
      </c>
      <c r="J10755" s="6" t="n">
        <f aca="false">Sens!J10663</f>
        <v>128.92993119594</v>
      </c>
      <c r="K10755" s="6" t="n">
        <f aca="false">Sens!K10663</f>
        <v>118.962853064733</v>
      </c>
    </row>
    <row r="10756" customFormat="false" ht="17.15" hidden="false" customHeight="false" outlineLevel="0" collapsed="false">
      <c r="A10756" s="1" t="s">
        <v>1109</v>
      </c>
      <c r="B10756" s="0" t="s">
        <v>98</v>
      </c>
      <c r="E10756" s="6" t="n">
        <f aca="false">Sens!E10671*cx_azo+Sens!E10678*cx_m365+Sens!E10679*cx_lic+(Sens!E10681+Sens!E10683)*cx_ind+Sens!E10686*cx_srch+(Sens!E10688+Sens!E10690)*cx_dev</f>
        <v>30.1846587067718</v>
      </c>
      <c r="F10756" s="6" t="n">
        <f aca="false">Sens!F10671*cx_azo+Sens!F10678*cx_m365+Sens!F10679*cx_lic+(Sens!F10681+Sens!F10683)*cx_ind+Sens!F10686*cx_srch+(Sens!F10688+Sens!F10690)*cx_dev</f>
        <v>35.818501873302</v>
      </c>
      <c r="G10756" s="6" t="n">
        <f aca="false">Sens!G10671*cx_azo+Sens!G10678*cx_m365+Sens!G10679*cx_lic+(Sens!G10681+Sens!G10683)*cx_ind+Sens!G10686*cx_srch+(Sens!G10688+Sens!G10690)*cx_dev</f>
        <v>41.1507116597592</v>
      </c>
      <c r="H10756" s="6" t="n">
        <f aca="false">Sens!H10671*cx_azo+Sens!H10678*cx_m365+Sens!H10679*cx_lic+(Sens!H10681+Sens!H10683)*cx_ind+Sens!H10686*cx_srch+(Sens!H10688+Sens!H10690)*cx_dev</f>
        <v>46.5532267079123</v>
      </c>
      <c r="I10756" s="6" t="n">
        <f aca="false">Sens!I10671*cx_azo+Sens!I10678*cx_m365+Sens!I10679*cx_lic+(Sens!I10681+Sens!I10683)*cx_ind+Sens!I10686*cx_srch+(Sens!I10688+Sens!I10690)*cx_dev</f>
        <v>51.7371560657097</v>
      </c>
      <c r="J10756" s="6" t="n">
        <f aca="false">Sens!J10671*cx_azo+Sens!J10678*cx_m365+Sens!J10679*cx_lic+(Sens!J10681+Sens!J10683)*cx_ind+Sens!J10686*cx_srch+(Sens!J10688+Sens!J10690)*cx_dev</f>
        <v>56.4627402328683</v>
      </c>
      <c r="K10756" s="6" t="n">
        <f aca="false">Sens!K10671*cx_azo+Sens!K10678*cx_m365+Sens!K10679*cx_lic+(Sens!K10681+Sens!K10683)*cx_ind+Sens!K10686*cx_srch+(Sens!K10688+Sens!K10690)*cx_dev</f>
        <v>60.558143155823</v>
      </c>
    </row>
    <row r="10757" customFormat="false" ht="17.15" hidden="false" customHeight="false" outlineLevel="0" collapsed="false">
      <c r="A10757" s="0" t="s">
        <v>1110</v>
      </c>
      <c r="B10757" s="0" t="s">
        <v>98</v>
      </c>
      <c r="F10757" s="6" t="n">
        <f aca="false">Sens!F10661</f>
        <v>0</v>
      </c>
      <c r="L10757" s="1" t="s">
        <v>1111</v>
      </c>
    </row>
    <row r="10758" customFormat="false" ht="17.15" hidden="false" customHeight="false" outlineLevel="0" collapsed="false">
      <c r="A10758" s="1" t="s">
        <v>1112</v>
      </c>
      <c r="B10758" s="0" t="s">
        <v>98</v>
      </c>
      <c r="E10758" s="6" t="n">
        <f aca="false">Q!M43</f>
        <v>145.3</v>
      </c>
      <c r="F10758" s="6" t="n">
        <f aca="false">Sens!F10755+Sens!F10756+Sens!F10757</f>
        <v>204.272405915422</v>
      </c>
      <c r="G10758" s="6" t="n">
        <f aca="false">Sens!G10755+Sens!G10756</f>
        <v>233.095187308807</v>
      </c>
      <c r="H10758" s="6" t="n">
        <f aca="false">Sens!H10755+Sens!H10756</f>
        <v>243.359230772425</v>
      </c>
      <c r="I10758" s="6" t="n">
        <f aca="false">Sens!I10755+Sens!I10756</f>
        <v>220.35198968732</v>
      </c>
      <c r="J10758" s="6" t="n">
        <f aca="false">Sens!J10755+Sens!J10756</f>
        <v>185.392671428809</v>
      </c>
      <c r="K10758" s="6" t="n">
        <f aca="false">Sens!K10755+Sens!K10756</f>
        <v>179.520996220556</v>
      </c>
      <c r="L10758" s="1" t="s">
        <v>1113</v>
      </c>
    </row>
    <row r="10759" customFormat="false" ht="15" hidden="false" customHeight="false" outlineLevel="0" collapsed="false">
      <c r="A10759" s="1" t="s">
        <v>1114</v>
      </c>
      <c r="B10759" s="0" t="s">
        <v>98</v>
      </c>
      <c r="E10759" s="6" t="n">
        <f aca="false">fl_liab</f>
        <v>66.594</v>
      </c>
      <c r="F10759" s="6" t="n">
        <f aca="false">Sens!E10759-Sens!F10760</f>
        <v>62.46973</v>
      </c>
      <c r="G10759" s="6" t="n">
        <f aca="false">Sens!F10759-Sens!G10760</f>
        <v>57.98686785</v>
      </c>
      <c r="H10759" s="6" t="n">
        <f aca="false">Sens!G10759-Sens!H10760</f>
        <v>53.92827690325</v>
      </c>
      <c r="I10759" s="6" t="n">
        <f aca="false">Sens!H10759-Sens!I10760</f>
        <v>49.7850493638962</v>
      </c>
      <c r="J10759" s="6" t="n">
        <f aca="false">Sens!I10759-Sens!J10760</f>
        <v>45.4823765852716</v>
      </c>
      <c r="K10759" s="6" t="n">
        <f aca="false">Sens!J10759-Sens!K10760</f>
        <v>40.9860835316088</v>
      </c>
    </row>
    <row r="10760" customFormat="false" ht="15" hidden="false" customHeight="false" outlineLevel="0" collapsed="false">
      <c r="A10760" s="1" t="s">
        <v>1115</v>
      </c>
      <c r="B10760" s="0" t="s">
        <v>98</v>
      </c>
      <c r="F10760" s="6" t="n">
        <f aca="false">fl_pay_27-Sens!E10759*fl_rate</f>
        <v>4.12427</v>
      </c>
      <c r="G10760" s="6" t="n">
        <f aca="false">fl_pay_28-Sens!F10759*fl_rate</f>
        <v>4.48286215</v>
      </c>
      <c r="H10760" s="6" t="n">
        <f aca="false">fl_pay_29-Sens!G10759*fl_rate</f>
        <v>4.05859094675</v>
      </c>
      <c r="I10760" s="6" t="n">
        <f aca="false">fl_pay_30-Sens!H10759*fl_rate</f>
        <v>4.14322753935375</v>
      </c>
      <c r="J10760" s="6" t="n">
        <f aca="false">fl_pay_31-Sens!I10759*fl_rate</f>
        <v>4.30267277862467</v>
      </c>
      <c r="K10760" s="6" t="n">
        <f aca="false">fl_pay_32-Sens!J10759*fl_rate</f>
        <v>4.49629305366278</v>
      </c>
    </row>
    <row r="10761" customFormat="false" ht="17.15" hidden="false" customHeight="false" outlineLevel="0" collapsed="false">
      <c r="A10761" s="1" t="s">
        <v>1116</v>
      </c>
      <c r="B10761" s="0" t="s">
        <v>98</v>
      </c>
      <c r="E10761" s="6" t="n">
        <f aca="false">Q!M35-Q!M36-Q!M44</f>
        <v>63.886</v>
      </c>
      <c r="F10761" s="6" t="n">
        <f aca="false">Sens!F10754-Sens!F10758-Sens!F10760</f>
        <v>7.8249183137191</v>
      </c>
      <c r="G10761" s="6" t="n">
        <f aca="false">Sens!G10754-Sens!G10758-Sens!G10760</f>
        <v>9.3285677501349</v>
      </c>
      <c r="H10761" s="6" t="n">
        <f aca="false">Sens!H10754-Sens!H10758-Sens!H10760</f>
        <v>33.8441604804914</v>
      </c>
      <c r="I10761" s="6" t="n">
        <f aca="false">Sens!I10754-Sens!I10758-Sens!I10760</f>
        <v>94.575979210569</v>
      </c>
      <c r="J10761" s="6" t="n">
        <f aca="false">Sens!J10754-Sens!J10758-Sens!J10760</f>
        <v>160.931899681908</v>
      </c>
      <c r="K10761" s="6" t="n">
        <f aca="false">Sens!K10754-Sens!K10758-Sens!K10760</f>
        <v>192.27472842529</v>
      </c>
      <c r="L10761" s="12" t="s">
        <v>1117</v>
      </c>
    </row>
    <row r="10762" customFormat="false" ht="15" hidden="false" customHeight="false" outlineLevel="0" collapsed="false">
      <c r="A10762" s="1" t="s">
        <v>1118</v>
      </c>
      <c r="B10762" s="0" t="s">
        <v>75</v>
      </c>
      <c r="F10762" s="8" t="n">
        <f aca="false">dps_27</f>
        <v>3.85</v>
      </c>
      <c r="G10762" s="8" t="n">
        <f aca="false">Sens!F10762*(1+dps_g)</f>
        <v>4.158</v>
      </c>
      <c r="H10762" s="8" t="n">
        <f aca="false">Sens!G10762*(1+dps_g)</f>
        <v>4.49064</v>
      </c>
      <c r="I10762" s="8" t="n">
        <f aca="false">Sens!H10762*(1+dps_g)</f>
        <v>4.8498912</v>
      </c>
      <c r="J10762" s="8" t="n">
        <f aca="false">Sens!I10762*(1+dps_g)</f>
        <v>5.237882496</v>
      </c>
      <c r="K10762" s="8" t="n">
        <f aca="false">Sens!J10762*(1+dps_g)</f>
        <v>5.65691309568</v>
      </c>
    </row>
    <row r="10763" customFormat="false" ht="17.15" hidden="false" customHeight="false" outlineLevel="0" collapsed="false">
      <c r="A10763" s="1" t="s">
        <v>1119</v>
      </c>
      <c r="B10763" s="0" t="s">
        <v>98</v>
      </c>
      <c r="E10763" s="6" t="n">
        <f aca="false">Q!M41</f>
        <v>26.445</v>
      </c>
      <c r="F10763" s="6" t="n">
        <f aca="false">Sens!F10762*Sens!E10772</f>
        <v>28.59395</v>
      </c>
      <c r="G10763" s="6" t="n">
        <f aca="false">Sens!G10762*Sens!F10772</f>
        <v>31.068576</v>
      </c>
      <c r="H10763" s="6" t="n">
        <f aca="false">Sens!H10762*Sens!G10772</f>
        <v>33.75614088</v>
      </c>
      <c r="I10763" s="6" t="n">
        <f aca="false">Sens!I10762*Sens!H10772</f>
        <v>36.6748772544</v>
      </c>
      <c r="J10763" s="6" t="n">
        <f aca="false">Sens!J10762*Sens!I10772</f>
        <v>39.6767653201446</v>
      </c>
      <c r="K10763" s="6" t="n">
        <f aca="false">Sens!K10762*Sens!J10772</f>
        <v>42.9376608081345</v>
      </c>
      <c r="L10763" s="1" t="s">
        <v>1120</v>
      </c>
    </row>
    <row r="10764" customFormat="false" ht="15" hidden="false" customHeight="false" outlineLevel="0" collapsed="false">
      <c r="A10764" s="1" t="s">
        <v>1121</v>
      </c>
      <c r="B10764" s="0" t="s">
        <v>98</v>
      </c>
      <c r="E10764" s="6" t="n">
        <f aca="false">Sens!E10761-Sens!E10763</f>
        <v>37.441</v>
      </c>
      <c r="F10764" s="6" t="n">
        <f aca="false">Sens!F10761-Sens!F10763</f>
        <v>-20.7690316862809</v>
      </c>
      <c r="G10764" s="6" t="n">
        <f aca="false">Sens!G10761-Sens!G10763</f>
        <v>-21.7400082498651</v>
      </c>
      <c r="H10764" s="6" t="n">
        <f aca="false">Sens!H10761-Sens!H10763</f>
        <v>0.0880196004914069</v>
      </c>
      <c r="I10764" s="6" t="n">
        <f aca="false">Sens!I10761-Sens!I10763</f>
        <v>57.901101956169</v>
      </c>
      <c r="J10764" s="6" t="n">
        <f aca="false">Sens!J10761-Sens!J10763</f>
        <v>121.255134361763</v>
      </c>
      <c r="K10764" s="6" t="n">
        <f aca="false">Sens!K10761-Sens!K10763</f>
        <v>149.337067617156</v>
      </c>
    </row>
    <row r="10765" customFormat="false" ht="15" hidden="false" customHeight="false" outlineLevel="0" collapsed="false">
      <c r="A10765" s="1" t="s">
        <v>1122</v>
      </c>
      <c r="B10765" s="0" t="s">
        <v>98</v>
      </c>
      <c r="F10765" s="6" t="n">
        <f aca="false">debt_mat_27</f>
        <v>9.25</v>
      </c>
      <c r="G10765" s="6" t="n">
        <f aca="false">debt_mat_28</f>
        <v>0</v>
      </c>
      <c r="H10765" s="6" t="n">
        <f aca="false">debt_mat_29</f>
        <v>2.001</v>
      </c>
      <c r="I10765" s="6" t="n">
        <f aca="false">debt_mat_30</f>
        <v>0</v>
      </c>
      <c r="J10765" s="6" t="n">
        <f aca="false">debt_mat_31</f>
        <v>0.5</v>
      </c>
      <c r="K10765" s="6" t="n">
        <f aca="false">debt_mat_32</f>
        <v>0</v>
      </c>
    </row>
    <row r="10766" customFormat="false" ht="15" hidden="false" customHeight="false" outlineLevel="0" collapsed="false">
      <c r="A10766" s="1" t="s">
        <v>1123</v>
      </c>
      <c r="B10766" s="0" t="s">
        <v>98</v>
      </c>
      <c r="E10766" s="6" t="n">
        <f aca="false">Q!M40</f>
        <v>22.271</v>
      </c>
      <c r="F10766" s="6" t="n">
        <f aca="false">MAX(0,MIN(bb_target,Sens!E10768+Sens!F10764-Sens!F10765-min_cash))</f>
        <v>0</v>
      </c>
      <c r="G10766" s="6" t="n">
        <f aca="false">MAX(0,MIN(bb_target,Sens!F10768+Sens!G10764-Sens!G10765-min_cash))</f>
        <v>0</v>
      </c>
      <c r="H10766" s="6" t="n">
        <f aca="false">MAX(0,MIN(bb_target,Sens!G10768+Sens!H10764-Sens!H10765-min_cash))</f>
        <v>0</v>
      </c>
      <c r="I10766" s="6" t="n">
        <f aca="false">MAX(0,MIN(bb_target,Sens!H10768+Sens!I10764-Sens!I10765-min_cash))</f>
        <v>22.271</v>
      </c>
      <c r="J10766" s="6" t="n">
        <f aca="false">MAX(0,MIN(bb_target,Sens!I10768+Sens!J10764-Sens!J10765-min_cash))</f>
        <v>22.271</v>
      </c>
      <c r="K10766" s="6" t="n">
        <f aca="false">MAX(0,MIN(bb_target,Sens!J10768+Sens!K10764-Sens!K10765-min_cash))</f>
        <v>22.271</v>
      </c>
    </row>
    <row r="10767" customFormat="false" ht="15" hidden="false" customHeight="false" outlineLevel="0" collapsed="false">
      <c r="A10767" s="1" t="s">
        <v>1124</v>
      </c>
      <c r="B10767" s="0" t="s">
        <v>98</v>
      </c>
      <c r="F10767" s="6" t="n">
        <f aca="false">MAX(0,min_cash-(Sens!E10768+Sens!F10764-Sens!F10765-Sens!F10766))</f>
        <v>3.17603168628089</v>
      </c>
      <c r="G10767" s="6" t="n">
        <f aca="false">MAX(0,min_cash-(Sens!F10768+Sens!G10764-Sens!G10765-Sens!G10766))</f>
        <v>21.7400082498651</v>
      </c>
      <c r="H10767" s="6" t="n">
        <f aca="false">MAX(0,min_cash-(Sens!G10768+Sens!H10764-Sens!H10765-Sens!H10766))</f>
        <v>1.91298039950859</v>
      </c>
      <c r="I10767" s="6" t="n">
        <f aca="false">MAX(0,min_cash-(Sens!H10768+Sens!I10764-Sens!I10765-Sens!I10766))</f>
        <v>0</v>
      </c>
      <c r="J10767" s="6" t="n">
        <f aca="false">MAX(0,min_cash-(Sens!I10768+Sens!J10764-Sens!J10765-Sens!J10766))</f>
        <v>0</v>
      </c>
      <c r="K10767" s="6" t="n">
        <f aca="false">MAX(0,min_cash-(Sens!J10768+Sens!K10764-Sens!K10765-Sens!K10766))</f>
        <v>0</v>
      </c>
    </row>
    <row r="10768" customFormat="false" ht="15" hidden="false" customHeight="false" outlineLevel="0" collapsed="false">
      <c r="A10768" s="1" t="s">
        <v>1125</v>
      </c>
      <c r="B10768" s="0" t="s">
        <v>98</v>
      </c>
      <c r="E10768" s="6" t="n">
        <f aca="false">cash_open</f>
        <v>76.843</v>
      </c>
      <c r="F10768" s="6" t="n">
        <f aca="false">Sens!E10768+Sens!F10764-Sens!F10765-Sens!F10766+Sens!F10767</f>
        <v>50</v>
      </c>
      <c r="G10768" s="6" t="n">
        <f aca="false">Sens!F10768+Sens!G10764-Sens!G10765-Sens!G10766+Sens!G10767</f>
        <v>50</v>
      </c>
      <c r="H10768" s="6" t="n">
        <f aca="false">Sens!G10768+Sens!H10764-Sens!H10765-Sens!H10766+Sens!H10767</f>
        <v>50</v>
      </c>
      <c r="I10768" s="6" t="n">
        <f aca="false">Sens!H10768+Sens!I10764-Sens!I10765-Sens!I10766+Sens!I10767</f>
        <v>85.630101956169</v>
      </c>
      <c r="J10768" s="6" t="n">
        <f aca="false">Sens!I10768+Sens!J10764-Sens!J10765-Sens!J10766+Sens!J10767</f>
        <v>184.114236317932</v>
      </c>
      <c r="K10768" s="6" t="n">
        <f aca="false">Sens!J10768+Sens!K10764-Sens!K10765-Sens!K10766+Sens!K10767</f>
        <v>311.180303935088</v>
      </c>
    </row>
    <row r="10769" customFormat="false" ht="15" hidden="false" customHeight="false" outlineLevel="0" collapsed="false">
      <c r="A10769" s="1" t="s">
        <v>1126</v>
      </c>
      <c r="B10769" s="0" t="s">
        <v>98</v>
      </c>
      <c r="E10769" s="6" t="n">
        <f aca="false">debt_face</f>
        <v>46.136</v>
      </c>
      <c r="F10769" s="6" t="n">
        <f aca="false">Sens!E10769-Sens!F10765+Sens!F10767</f>
        <v>40.0620316862809</v>
      </c>
      <c r="G10769" s="6" t="n">
        <f aca="false">Sens!F10769-Sens!G10765+Sens!G10767</f>
        <v>61.802039936146</v>
      </c>
      <c r="H10769" s="6" t="n">
        <f aca="false">Sens!G10769-Sens!H10765+Sens!H10767</f>
        <v>61.7140203356546</v>
      </c>
      <c r="I10769" s="6" t="n">
        <f aca="false">Sens!H10769-Sens!I10765+Sens!I10767</f>
        <v>61.7140203356546</v>
      </c>
      <c r="J10769" s="6" t="n">
        <f aca="false">Sens!I10769-Sens!J10765+Sens!J10767</f>
        <v>61.2140203356546</v>
      </c>
      <c r="K10769" s="6" t="n">
        <f aca="false">Sens!J10769-Sens!K10765+Sens!K10767</f>
        <v>61.2140203356546</v>
      </c>
    </row>
    <row r="10770" customFormat="false" ht="15" hidden="false" customHeight="false" outlineLevel="0" collapsed="false">
      <c r="A10770" s="1" t="s">
        <v>1127</v>
      </c>
      <c r="B10770" s="0" t="s">
        <v>98</v>
      </c>
      <c r="E10770" s="6" t="n">
        <f aca="false">Sens!E10768-Sens!E10769</f>
        <v>30.707</v>
      </c>
      <c r="F10770" s="6" t="n">
        <f aca="false">Sens!F10768-Sens!F10769</f>
        <v>9.9379683137191</v>
      </c>
      <c r="G10770" s="6" t="n">
        <f aca="false">Sens!G10768-Sens!G10769</f>
        <v>-11.802039936146</v>
      </c>
      <c r="H10770" s="6" t="n">
        <f aca="false">Sens!H10768-Sens!H10769</f>
        <v>-11.7140203356546</v>
      </c>
      <c r="I10770" s="6" t="n">
        <f aca="false">Sens!I10768-Sens!I10769</f>
        <v>23.9160816205144</v>
      </c>
      <c r="J10770" s="6" t="n">
        <f aca="false">Sens!J10768-Sens!J10769</f>
        <v>122.900215982277</v>
      </c>
      <c r="K10770" s="6" t="n">
        <f aca="false">Sens!K10768-Sens!K10769</f>
        <v>249.966283599433</v>
      </c>
    </row>
    <row r="10771" customFormat="false" ht="15" hidden="false" customHeight="false" outlineLevel="0" collapsed="false">
      <c r="A10771" s="1" t="s">
        <v>1128</v>
      </c>
      <c r="B10771" s="0" t="s">
        <v>75</v>
      </c>
      <c r="F10771" s="30" t="n">
        <f aca="false">px*(1+bb_g)^(Sens!F10629-base_fy-mid_yr)</f>
        <v>551.84177959629</v>
      </c>
      <c r="G10771" s="30" t="n">
        <f aca="false">px*(1+bb_g)^(Sens!G10629-base_fy-mid_yr)</f>
        <v>595.989121963993</v>
      </c>
      <c r="H10771" s="30" t="n">
        <f aca="false">px*(1+bb_g)^(Sens!H10629-base_fy-mid_yr)</f>
        <v>643.668251721112</v>
      </c>
      <c r="I10771" s="30" t="n">
        <f aca="false">px*(1+bb_g)^(Sens!I10629-base_fy-mid_yr)</f>
        <v>695.161711858801</v>
      </c>
      <c r="J10771" s="30" t="n">
        <f aca="false">px*(1+bb_g)^(Sens!J10629-base_fy-mid_yr)</f>
        <v>750.774648807506</v>
      </c>
      <c r="K10771" s="30" t="n">
        <f aca="false">px*(1+bb_g)^(Sens!K10629-base_fy-mid_yr)</f>
        <v>810.836620712106</v>
      </c>
    </row>
    <row r="10772" customFormat="false" ht="15" hidden="false" customHeight="false" outlineLevel="0" collapsed="false">
      <c r="A10772" s="1" t="s">
        <v>1129</v>
      </c>
      <c r="B10772" s="1" t="s">
        <v>81</v>
      </c>
      <c r="E10772" s="15" t="n">
        <f aca="false">sh_out26</f>
        <v>7.427</v>
      </c>
      <c r="F10772" s="15" t="n">
        <f aca="false">Sens!E10772+sh_iss-Sens!F10766/Sens!F10771</f>
        <v>7.472</v>
      </c>
      <c r="G10772" s="15" t="n">
        <f aca="false">Sens!F10772+sh_iss-Sens!G10766/Sens!G10771</f>
        <v>7.517</v>
      </c>
      <c r="H10772" s="15" t="n">
        <f aca="false">Sens!G10772+sh_iss-Sens!H10766/Sens!H10771</f>
        <v>7.562</v>
      </c>
      <c r="I10772" s="15" t="n">
        <f aca="false">Sens!H10772+sh_iss-Sens!I10766/Sens!I10771</f>
        <v>7.57496285005334</v>
      </c>
      <c r="J10772" s="15" t="n">
        <f aca="false">Sens!I10772+sh_iss-Sens!J10766/Sens!J10771</f>
        <v>7.59029882232494</v>
      </c>
      <c r="K10772" s="15" t="n">
        <f aca="false">Sens!J10772+sh_iss-Sens!K10766/Sens!K10771</f>
        <v>7.60783212998384</v>
      </c>
    </row>
    <row r="10773" customFormat="false" ht="15" hidden="false" customHeight="false" outlineLevel="0" collapsed="false">
      <c r="A10773" s="1" t="s">
        <v>1130</v>
      </c>
      <c r="B10773" s="1" t="s">
        <v>81</v>
      </c>
      <c r="E10773" s="15" t="n">
        <f aca="false">sh_dil26</f>
        <v>7.453</v>
      </c>
      <c r="F10773" s="15" t="n">
        <f aca="false">(Sens!E10772+Sens!F10772)/2+dil_gap</f>
        <v>7.4735</v>
      </c>
      <c r="G10773" s="15" t="n">
        <f aca="false">(Sens!F10772+Sens!G10772)/2+dil_gap</f>
        <v>7.5185</v>
      </c>
      <c r="H10773" s="15" t="n">
        <f aca="false">(Sens!G10772+Sens!H10772)/2+dil_gap</f>
        <v>7.5635</v>
      </c>
      <c r="I10773" s="15" t="n">
        <f aca="false">(Sens!H10772+Sens!I10772)/2+dil_gap</f>
        <v>7.59248142502667</v>
      </c>
      <c r="J10773" s="15" t="n">
        <f aca="false">(Sens!I10772+Sens!J10772)/2+dil_gap</f>
        <v>7.60663083618914</v>
      </c>
      <c r="K10773" s="15" t="n">
        <f aca="false">(Sens!J10772+Sens!K10772)/2+dil_gap</f>
        <v>7.62306547615439</v>
      </c>
    </row>
    <row r="10774" customFormat="false" ht="17.15" hidden="false" customHeight="false" outlineLevel="0" collapsed="false">
      <c r="A10774" s="1" t="s">
        <v>1131</v>
      </c>
      <c r="B10774" s="0" t="s">
        <v>98</v>
      </c>
      <c r="C10774" s="6" t="n">
        <f aca="false">SUM(Sens!F10764:J10764)</f>
        <v>136.735215982277</v>
      </c>
    </row>
    <row r="10775" customFormat="false" ht="15" hidden="false" customHeight="false" outlineLevel="0" collapsed="false">
      <c r="A10775" s="26" t="s">
        <v>1096</v>
      </c>
      <c r="B10775" s="31" t="s">
        <v>98</v>
      </c>
      <c r="C10775" s="27" t="n">
        <f aca="false">Sens!$C$10774-(Sens!F10764+Sens!G10764+Sens!H10764+Sens!I10764+Sens!J10764)</f>
        <v>0</v>
      </c>
      <c r="D10775" s="31"/>
      <c r="E10775" s="31"/>
      <c r="F10775" s="31"/>
      <c r="G10775" s="31"/>
      <c r="H10775" s="31"/>
      <c r="I10775" s="31"/>
      <c r="J10775" s="31"/>
      <c r="K10775" s="31"/>
    </row>
    <row r="10776" customFormat="false" ht="17.15" hidden="false" customHeight="false" outlineLevel="0" collapsed="false">
      <c r="A10776" s="1" t="s">
        <v>1090</v>
      </c>
      <c r="B10776" s="1" t="s">
        <v>1132</v>
      </c>
      <c r="C10776" s="33" t="str">
        <f aca="false">IF(SUM(Sens!F10767:J10767)&gt;0.05,"需要舉債 "&amp;TEXT(SUM(Sens!F10767:J10767),"0.0")&amp;" 十億美元","不需舉債")&amp;"；"&amp;IF(SUM(Sens!F10766:J10766)&lt;COUNT(Sens!F10766:J10766)*bb_target-0.05,"回購較每年 "&amp;TEXT(bb_target,"0.0")&amp;" 的目標少 "&amp;TEXT(COUNT(Sens!F10766:J10766)*bb_target-SUM(Sens!F10766:J10766),"0.0")&amp;" 十億美元（"&amp;TEXT(COUNTIF(Sens!F10766:J10766,"&lt;"&amp;(bb_target-0.05)),"0")&amp;" 年減少）","回購不減")</f>
        <v>需要舉債 26.8 十億美元；回購較每年 22.3 的目標少 66.8 十億美元（3 年減少）</v>
      </c>
    </row>
    <row r="10777" customFormat="false" ht="17.15" hidden="false" customHeight="false" outlineLevel="0" collapsed="false">
      <c r="A10777" s="3" t="s">
        <v>1749</v>
      </c>
    </row>
    <row r="10778" customFormat="false" ht="15" hidden="false" customHeight="false" outlineLevel="0" collapsed="false">
      <c r="A10778" s="4" t="s">
        <v>43</v>
      </c>
      <c r="B10778" s="4" t="s">
        <v>65</v>
      </c>
      <c r="C10778" s="23" t="s">
        <v>938</v>
      </c>
      <c r="D10778" s="23" t="s">
        <v>939</v>
      </c>
      <c r="E10778" s="23" t="s">
        <v>940</v>
      </c>
      <c r="F10778" s="23" t="s">
        <v>941</v>
      </c>
      <c r="G10778" s="23" t="s">
        <v>942</v>
      </c>
      <c r="H10778" s="23" t="s">
        <v>943</v>
      </c>
      <c r="I10778" s="23" t="s">
        <v>944</v>
      </c>
      <c r="J10778" s="23" t="s">
        <v>945</v>
      </c>
      <c r="K10778" s="23" t="s">
        <v>946</v>
      </c>
      <c r="L10778" s="4" t="s">
        <v>47</v>
      </c>
    </row>
    <row r="10779" customFormat="false" ht="17.15" hidden="false" customHeight="false" outlineLevel="0" collapsed="false">
      <c r="A10779" s="1" t="s">
        <v>1212</v>
      </c>
      <c r="B10779" s="1" t="s">
        <v>279</v>
      </c>
      <c r="F10779" s="8" t="n">
        <f aca="false">(1-v_off)*mid_yr</f>
        <v>0.373972602739726</v>
      </c>
      <c r="G10779" s="8" t="n">
        <f aca="false">Sens!G10629-base_fy-mid_yr-v_off</f>
        <v>1.24794520547945</v>
      </c>
      <c r="H10779" s="8" t="n">
        <f aca="false">Sens!H10629-base_fy-mid_yr-v_off</f>
        <v>2.24794520547945</v>
      </c>
      <c r="I10779" s="8" t="n">
        <f aca="false">Sens!I10629-base_fy-mid_yr-v_off</f>
        <v>3.24794520547945</v>
      </c>
      <c r="J10779" s="8" t="n">
        <f aca="false">Sens!J10629-base_fy-mid_yr-v_off</f>
        <v>4.24794520547945</v>
      </c>
      <c r="K10779" s="8" t="n">
        <f aca="false">Sens!K10629-base_fy-mid_yr-v_off</f>
        <v>5.24794520547945</v>
      </c>
      <c r="L10779" s="12" t="s">
        <v>1213</v>
      </c>
    </row>
    <row r="10780" customFormat="false" ht="15" hidden="false" customHeight="false" outlineLevel="0" collapsed="false">
      <c r="A10780" s="1" t="s">
        <v>1214</v>
      </c>
      <c r="B10780" s="1" t="s">
        <v>279</v>
      </c>
      <c r="F10780" s="8" t="n">
        <f aca="false">Sens!F10629-base_fy-v_off</f>
        <v>0.747945205479452</v>
      </c>
      <c r="G10780" s="8" t="n">
        <f aca="false">Sens!G10629-base_fy-v_off</f>
        <v>1.74794520547945</v>
      </c>
      <c r="H10780" s="8" t="n">
        <f aca="false">Sens!H10629-base_fy-v_off</f>
        <v>2.74794520547945</v>
      </c>
      <c r="I10780" s="8" t="n">
        <f aca="false">Sens!I10629-base_fy-v_off</f>
        <v>3.74794520547945</v>
      </c>
      <c r="J10780" s="8" t="n">
        <f aca="false">Sens!J10629-base_fy-v_off</f>
        <v>4.74794520547945</v>
      </c>
      <c r="K10780" s="8" t="n">
        <f aca="false">Sens!K10629-base_fy-v_off</f>
        <v>5.74794520547945</v>
      </c>
    </row>
    <row r="10781" customFormat="false" ht="15" hidden="false" customHeight="false" outlineLevel="0" collapsed="false">
      <c r="A10781" s="1" t="s">
        <v>1215</v>
      </c>
      <c r="B10781" s="0" t="s">
        <v>229</v>
      </c>
      <c r="F10781" s="15" t="n">
        <f aca="false">1/(1+wacc)^Sens!F10779</f>
        <v>0.964022703286649</v>
      </c>
      <c r="G10781" s="15" t="n">
        <f aca="false">1/(1+wacc)^Sens!G10779</f>
        <v>0.884910302296739</v>
      </c>
      <c r="H10781" s="15" t="n">
        <f aca="false">1/(1+wacc)^Sens!H10779</f>
        <v>0.802322009770358</v>
      </c>
      <c r="I10781" s="15" t="n">
        <f aca="false">1/(1+wacc)^Sens!I10779</f>
        <v>0.727441646561469</v>
      </c>
      <c r="J10781" s="15" t="n">
        <f aca="false">1/(1+wacc)^Sens!J10779</f>
        <v>0.659549834988973</v>
      </c>
      <c r="K10781" s="15" t="n">
        <f aca="false">1/(1+wacc)^Sens!K10779</f>
        <v>0.597994336576966</v>
      </c>
    </row>
    <row r="10782" customFormat="false" ht="17.15" hidden="false" customHeight="false" outlineLevel="0" collapsed="false">
      <c r="A10782" s="1" t="s">
        <v>1216</v>
      </c>
      <c r="B10782" s="0" t="s">
        <v>98</v>
      </c>
      <c r="F10782" s="6" t="n">
        <f aca="false">Q!$I$35-Q!$I$39-Q!$I$43</f>
        <v>9.666</v>
      </c>
      <c r="L10782" s="12" t="s">
        <v>1217</v>
      </c>
    </row>
    <row r="10783" customFormat="false" ht="17.15" hidden="false" customHeight="false" outlineLevel="0" collapsed="false">
      <c r="A10783" s="1" t="s">
        <v>1218</v>
      </c>
      <c r="B10783" s="0" t="s">
        <v>98</v>
      </c>
      <c r="F10783" s="6" t="n">
        <f aca="false">Sens!F10754-Sens!F10751-Sens!F10758+Sens!F10736*(1-tax_f)*(1-v_off)-Sens!F10782</f>
        <v>-6.11841035064007</v>
      </c>
      <c r="G10783" s="6" t="n">
        <f aca="false">Sens!G10754-Sens!G10751-Sens!G10758+Sens!G10736*(1-tax_f)</f>
        <v>18.9452297245267</v>
      </c>
      <c r="H10783" s="6" t="n">
        <f aca="false">Sens!H10754-Sens!H10751-Sens!H10758+Sens!H10736*(1-tax_f)</f>
        <v>55.7768495219776</v>
      </c>
      <c r="I10783" s="6" t="n">
        <f aca="false">Sens!I10754-Sens!I10751-Sens!I10758+Sens!I10736*(1-tax_f)</f>
        <v>127.630518496338</v>
      </c>
      <c r="J10783" s="6" t="n">
        <f aca="false">Sens!J10754-Sens!J10751-Sens!J10758+Sens!J10736*(1-tax_f)</f>
        <v>201.513298058775</v>
      </c>
      <c r="K10783" s="6" t="n">
        <f aca="false">Sens!K10754-Sens!K10751-Sens!K10758+Sens!K10736*(1-tax_f)</f>
        <v>236.870633551954</v>
      </c>
      <c r="L10783" s="1" t="s">
        <v>1219</v>
      </c>
    </row>
    <row r="10784" customFormat="false" ht="15" hidden="false" customHeight="false" outlineLevel="0" collapsed="false">
      <c r="A10784" s="1" t="s">
        <v>1220</v>
      </c>
      <c r="B10784" s="0" t="s">
        <v>98</v>
      </c>
      <c r="F10784" s="6" t="n">
        <f aca="false">Sens!F10783*Sens!F10781</f>
        <v>-5.89828648604105</v>
      </c>
      <c r="G10784" s="6" t="n">
        <f aca="false">Sens!G10783*Sens!G10781</f>
        <v>16.7648289626121</v>
      </c>
      <c r="H10784" s="6" t="n">
        <f aca="false">Sens!H10783*Sens!H10781</f>
        <v>44.7509940071319</v>
      </c>
      <c r="I10784" s="6" t="n">
        <f aca="false">Sens!I10783*Sens!I10781</f>
        <v>92.8437545264698</v>
      </c>
      <c r="J10784" s="6" t="n">
        <f aca="false">Sens!J10783*Sens!J10781</f>
        <v>132.908062482749</v>
      </c>
      <c r="K10784" s="6" t="n">
        <f aca="false">Sens!K10783*Sens!K10781</f>
        <v>141.647297365467</v>
      </c>
    </row>
    <row r="10785" customFormat="false" ht="17.15" hidden="false" customHeight="false" outlineLevel="0" collapsed="false">
      <c r="A10785" s="1" t="s">
        <v>1221</v>
      </c>
      <c r="B10785" s="0" t="s">
        <v>98</v>
      </c>
      <c r="C10785" s="6" t="n">
        <f aca="false">SUM(Sens!F10784:K10784)</f>
        <v>423.016650858388</v>
      </c>
    </row>
    <row r="10786" customFormat="false" ht="17.15" hidden="false" customHeight="false" outlineLevel="0" collapsed="false">
      <c r="A10786" s="1" t="s">
        <v>1222</v>
      </c>
      <c r="B10786" s="0" t="s">
        <v>98</v>
      </c>
      <c r="C10786" s="6" t="n">
        <f aca="false">Sens!K10722*(1+g_tv)*(1-tax_f)</f>
        <v>246.158596119604</v>
      </c>
    </row>
    <row r="10787" customFormat="false" ht="17.15" hidden="false" customHeight="false" outlineLevel="0" collapsed="false">
      <c r="A10787" s="1" t="s">
        <v>1223</v>
      </c>
      <c r="B10787" s="0" t="s">
        <v>98</v>
      </c>
      <c r="C10787" s="6" t="n">
        <f aca="false">Sens!$C$10786*(1-g_tv/(wacc+ronic_prem))</f>
        <v>174.417752404554</v>
      </c>
    </row>
    <row r="10788" customFormat="false" ht="17.15" hidden="false" customHeight="false" outlineLevel="0" collapsed="false">
      <c r="A10788" s="1" t="s">
        <v>1224</v>
      </c>
      <c r="B10788" s="0" t="s">
        <v>98</v>
      </c>
      <c r="C10788" s="6" t="n">
        <f aca="false">Sens!$C$10787/(wacc-g_tv)</f>
        <v>2391.36145716833</v>
      </c>
    </row>
    <row r="10789" customFormat="false" ht="15" hidden="false" customHeight="false" outlineLevel="0" collapsed="false">
      <c r="A10789" s="1" t="s">
        <v>1225</v>
      </c>
      <c r="B10789" s="0" t="s">
        <v>98</v>
      </c>
      <c r="C10789" s="6" t="n">
        <f aca="false">Sens!$C$10788/(1+wacc)^Sens!K10780</f>
        <v>1361.65480711225</v>
      </c>
    </row>
    <row r="10790" customFormat="false" ht="17.15" hidden="false" customHeight="false" outlineLevel="0" collapsed="false">
      <c r="A10790" s="0" t="s">
        <v>1226</v>
      </c>
      <c r="B10790" s="0" t="s">
        <v>98</v>
      </c>
      <c r="C10790" s="6" t="n">
        <f aca="false">Sens!$C$10785+Sens!$C$10789</f>
        <v>1784.67145797064</v>
      </c>
    </row>
    <row r="10791" customFormat="false" ht="15" hidden="false" customHeight="false" outlineLevel="0" collapsed="false">
      <c r="A10791" s="1" t="s">
        <v>1141</v>
      </c>
      <c r="B10791" s="0" t="s">
        <v>168</v>
      </c>
      <c r="C10791" s="7" t="n">
        <f aca="false">Sens!$C$10789/Sens!$C$10790</f>
        <v>0.76297225521867</v>
      </c>
    </row>
    <row r="10792" customFormat="false" ht="17.15" hidden="false" customHeight="false" outlineLevel="0" collapsed="false">
      <c r="A10792" s="1" t="s">
        <v>1227</v>
      </c>
      <c r="B10792" s="0" t="s">
        <v>98</v>
      </c>
      <c r="C10792" s="6" t="n">
        <f aca="false">Sens!$C$10790+cash_val-debt_val-fl_val+oai_v</f>
        <v>1900.52245797064</v>
      </c>
    </row>
    <row r="10793" customFormat="false" ht="17.15" hidden="false" customHeight="false" outlineLevel="0" collapsed="false">
      <c r="A10793" s="0" t="s">
        <v>1149</v>
      </c>
      <c r="B10793" s="0" t="s">
        <v>75</v>
      </c>
      <c r="C10793" s="5" t="n">
        <f aca="false">Sens!$C$10792/shd_val</f>
        <v>255.240727635057</v>
      </c>
    </row>
    <row r="10794" customFormat="false" ht="15" hidden="false" customHeight="false" outlineLevel="0" collapsed="false">
      <c r="A10794" s="1" t="s">
        <v>1228</v>
      </c>
      <c r="B10794" s="0" t="s">
        <v>75</v>
      </c>
      <c r="C10794" s="8" t="n">
        <f aca="false">div_rem27+Sens!G10762*roll_div_q/q_per_yr</f>
        <v>3.9795</v>
      </c>
    </row>
    <row r="10795" customFormat="false" ht="17.15" hidden="false" customHeight="false" outlineLevel="0" collapsed="false">
      <c r="A10795" s="0" t="s">
        <v>1229</v>
      </c>
      <c r="B10795" s="0" t="s">
        <v>75</v>
      </c>
      <c r="C10795" s="5" t="n">
        <f aca="false">Sens!$C$10793*(1+wacc)^t_roll-Sens!$C$10794</f>
        <v>279.734813941228</v>
      </c>
    </row>
    <row r="10796" customFormat="false" ht="17.15" hidden="false" customHeight="false" outlineLevel="0" collapsed="false">
      <c r="A10796" s="1" t="s">
        <v>1230</v>
      </c>
      <c r="B10796" s="0" t="s">
        <v>168</v>
      </c>
      <c r="F10796" s="7" t="n">
        <f aca="false">Sens!F10748/(Sens!F10693-Sens!F10648)</f>
        <v>0.0686940864264859</v>
      </c>
      <c r="G10796" s="7" t="n">
        <f aca="false">Sens!G10748/(Sens!G10693-Sens!G10648)</f>
        <v>0.06636934381304</v>
      </c>
      <c r="H10796" s="7" t="n">
        <f aca="false">Sens!H10748/(Sens!H10693-Sens!H10648)</f>
        <v>0.0652459083846063</v>
      </c>
      <c r="I10796" s="7" t="n">
        <f aca="false">Sens!I10748/(Sens!I10693-Sens!I10648)</f>
        <v>0.065186212068278</v>
      </c>
      <c r="J10796" s="7" t="n">
        <f aca="false">Sens!J10748/(Sens!J10693-Sens!J10648)</f>
        <v>0.0659829536982484</v>
      </c>
      <c r="K10796" s="7" t="n">
        <f aca="false">Sens!K10748/(Sens!K10693-Sens!K10648)</f>
        <v>0.0674057476254763</v>
      </c>
    </row>
    <row r="10797" customFormat="false" ht="17.15" hidden="false" customHeight="false" outlineLevel="0" collapsed="false">
      <c r="A10797" s="0" t="s">
        <v>1231</v>
      </c>
      <c r="B10797" s="0" t="s">
        <v>98</v>
      </c>
      <c r="F10797" s="6" t="n">
        <f aca="false">Sens!F10678*(al_m365+Sens!F10796+sbc_r)</f>
        <v>82.9204823572539</v>
      </c>
      <c r="G10797" s="6" t="n">
        <f aca="false">Sens!G10678*(al_m365+Sens!G10796+sbc_r)</f>
        <v>93.3142408142999</v>
      </c>
      <c r="H10797" s="6" t="n">
        <f aca="false">Sens!H10678*(al_m365+Sens!H10796+sbc_r)</f>
        <v>103.872248739554</v>
      </c>
      <c r="I10797" s="6" t="n">
        <f aca="false">Sens!I10678*(al_m365+Sens!I10796+sbc_r)</f>
        <v>113.918485217088</v>
      </c>
      <c r="J10797" s="6" t="n">
        <f aca="false">Sens!J10678*(al_m365+Sens!J10796+sbc_r)</f>
        <v>123.264338021974</v>
      </c>
      <c r="K10797" s="6" t="n">
        <f aca="false">Sens!K10678*(al_m365+Sens!K10796+sbc_r)</f>
        <v>132.217784457878</v>
      </c>
      <c r="L10797" s="12" t="s">
        <v>1232</v>
      </c>
    </row>
    <row r="10798" customFormat="false" ht="17.15" hidden="false" customHeight="false" outlineLevel="0" collapsed="false">
      <c r="A10798" s="0" t="s">
        <v>1233</v>
      </c>
      <c r="B10798" s="0" t="s">
        <v>98</v>
      </c>
      <c r="F10798" s="6" t="n">
        <f aca="false">Sens!F10679*(al_lic+Sens!F10796+sbc_r)</f>
        <v>32.8606261614412</v>
      </c>
      <c r="G10798" s="6" t="n">
        <f aca="false">Sens!G10679*(al_lic+Sens!G10796+sbc_r)</f>
        <v>34.1590717552152</v>
      </c>
      <c r="H10798" s="6" t="n">
        <f aca="false">Sens!H10679*(al_lic+Sens!H10796+sbc_r)</f>
        <v>35.368096764261</v>
      </c>
      <c r="I10798" s="6" t="n">
        <f aca="false">Sens!I10679*(al_lic+Sens!I10796+sbc_r)</f>
        <v>36.4680426858579</v>
      </c>
      <c r="J10798" s="6" t="n">
        <f aca="false">Sens!J10679*(al_lic+Sens!J10796+sbc_r)</f>
        <v>37.4360686932705</v>
      </c>
      <c r="K10798" s="6" t="n">
        <f aca="false">Sens!K10679*(al_lic+Sens!K10796+sbc_r)</f>
        <v>38.2484545636314</v>
      </c>
    </row>
    <row r="10799" customFormat="false" ht="17.15" hidden="false" customHeight="false" outlineLevel="0" collapsed="false">
      <c r="A10799" s="0" t="s">
        <v>1234</v>
      </c>
      <c r="B10799" s="0" t="s">
        <v>98</v>
      </c>
      <c r="F10799" s="6" t="n">
        <f aca="false">Sens!F10681*(al_ind+Sens!F10796+sbc_r)</f>
        <v>9.06208000227072</v>
      </c>
      <c r="G10799" s="6" t="n">
        <f aca="false">Sens!G10681*(al_ind+Sens!G10796+sbc_r)</f>
        <v>9.84926587910146</v>
      </c>
      <c r="H10799" s="6" t="n">
        <f aca="false">Sens!H10681*(al_ind+Sens!H10796+sbc_r)</f>
        <v>10.6797306053582</v>
      </c>
      <c r="I10799" s="6" t="n">
        <f aca="false">Sens!I10681*(al_ind+Sens!I10796+sbc_r)</f>
        <v>11.5490777991934</v>
      </c>
      <c r="J10799" s="6" t="n">
        <f aca="false">Sens!J10681*(al_ind+Sens!J10796+sbc_r)</f>
        <v>12.4488676843945</v>
      </c>
      <c r="K10799" s="6" t="n">
        <f aca="false">Sens!K10681*(al_ind+Sens!K10796+sbc_r)</f>
        <v>13.367273163448</v>
      </c>
    </row>
    <row r="10800" customFormat="false" ht="17.15" hidden="false" customHeight="false" outlineLevel="0" collapsed="false">
      <c r="A10800" s="0" t="s">
        <v>1235</v>
      </c>
      <c r="B10800" s="0" t="s">
        <v>98</v>
      </c>
      <c r="F10800" s="6" t="n">
        <f aca="false">Sens!F10683*(al_fro+Sens!F10796+sbc_r)</f>
        <v>3.5546818250316</v>
      </c>
      <c r="G10800" s="6" t="n">
        <f aca="false">Sens!G10683*(al_fro+Sens!G10796+sbc_r)</f>
        <v>3.76861778735279</v>
      </c>
      <c r="H10800" s="6" t="n">
        <f aca="false">Sens!H10683*(al_fro+Sens!H10796+sbc_r)</f>
        <v>4.01074008524074</v>
      </c>
      <c r="I10800" s="6" t="n">
        <f aca="false">Sens!I10683*(al_fro+Sens!I10796+sbc_r)</f>
        <v>4.28341409976186</v>
      </c>
      <c r="J10800" s="6" t="n">
        <f aca="false">Sens!J10683*(al_fro+Sens!J10796+sbc_r)</f>
        <v>4.58834183723061</v>
      </c>
      <c r="K10800" s="6" t="n">
        <f aca="false">Sens!K10683*(al_fro+Sens!K10796+sbc_r)</f>
        <v>4.92684316842923</v>
      </c>
    </row>
    <row r="10801" customFormat="false" ht="17.15" hidden="false" customHeight="false" outlineLevel="0" collapsed="false">
      <c r="A10801" s="0" t="s">
        <v>1236</v>
      </c>
      <c r="B10801" s="0" t="s">
        <v>98</v>
      </c>
      <c r="F10801" s="6" t="n">
        <f aca="false">Sens!F10686*(al_srch+Sens!F10796+sbc_r)</f>
        <v>11.1527839645516</v>
      </c>
      <c r="G10801" s="6" t="n">
        <f aca="false">Sens!G10686*(al_srch+Sens!G10796+sbc_r)</f>
        <v>12.1250632263917</v>
      </c>
      <c r="H10801" s="6" t="n">
        <f aca="false">Sens!H10686*(al_srch+Sens!H10796+sbc_r)</f>
        <v>13.0595803350836</v>
      </c>
      <c r="I10801" s="6" t="n">
        <f aca="false">Sens!I10686*(al_srch+Sens!I10796+sbc_r)</f>
        <v>13.9288368230744</v>
      </c>
      <c r="J10801" s="6" t="n">
        <f aca="false">Sens!J10686*(al_srch+Sens!J10796+sbc_r)</f>
        <v>14.7011106474164</v>
      </c>
      <c r="K10801" s="6" t="n">
        <f aca="false">Sens!K10686*(al_srch+Sens!K10796+sbc_r)</f>
        <v>15.3430846107739</v>
      </c>
    </row>
    <row r="10802" customFormat="false" ht="17.15" hidden="false" customHeight="false" outlineLevel="0" collapsed="false">
      <c r="A10802" s="0" t="s">
        <v>1237</v>
      </c>
      <c r="B10802" s="0" t="s">
        <v>98</v>
      </c>
      <c r="F10802" s="6" t="n">
        <f aca="false">Sens!F10654-Sens!F10655+Sens!F10736</f>
        <v>38.9696429794913</v>
      </c>
      <c r="G10802" s="6" t="n">
        <f aca="false">Sens!G10654-Sens!G10655+Sens!G10736</f>
        <v>69.465497726016</v>
      </c>
      <c r="H10802" s="6" t="n">
        <f aca="false">Sens!H10654-Sens!H10655+Sens!H10736</f>
        <v>96.8147106808268</v>
      </c>
      <c r="I10802" s="6" t="n">
        <f aca="false">Sens!I10654-Sens!I10655+Sens!I10736</f>
        <v>127.654939766446</v>
      </c>
      <c r="J10802" s="6" t="n">
        <f aca="false">Sens!J10654-Sens!J10655+Sens!J10736</f>
        <v>149.308352681229</v>
      </c>
      <c r="K10802" s="6" t="n">
        <f aca="false">Sens!K10654-Sens!K10655+Sens!K10736</f>
        <v>162.731822021841</v>
      </c>
    </row>
    <row r="10803" customFormat="false" ht="17.15" hidden="false" customHeight="false" outlineLevel="0" collapsed="false">
      <c r="A10803" s="0" t="s">
        <v>1238</v>
      </c>
      <c r="B10803" s="0" t="s">
        <v>98</v>
      </c>
      <c r="F10803" s="6" t="n">
        <f aca="false">Sens!F10715+Sens!F10736+Sens!F10666+Sens!F10796*(Sens!F10685-Sens!F10648)+sbc_r*Sens!F10685</f>
        <v>234.804383348509</v>
      </c>
      <c r="G10803" s="6" t="n">
        <f aca="false">Sens!G10715+Sens!G10736+Sens!G10666+Sens!G10796*(Sens!G10685-Sens!G10648)+sbc_r*Sens!G10685</f>
        <v>285.516771128505</v>
      </c>
      <c r="H10803" s="6" t="n">
        <f aca="false">Sens!H10715+Sens!H10736+Sens!H10666+Sens!H10796*(Sens!H10685-Sens!H10648)+sbc_r*Sens!H10685</f>
        <v>338.297242246559</v>
      </c>
      <c r="I10803" s="6" t="n">
        <f aca="false">Sens!I10715+Sens!I10736+Sens!I10666+Sens!I10796*(Sens!I10685-Sens!I10648)+sbc_r*Sens!I10685</f>
        <v>393.956848871933</v>
      </c>
      <c r="J10803" s="6" t="n">
        <f aca="false">Sens!J10715+Sens!J10736+Sens!J10666+Sens!J10796*(Sens!J10685-Sens!J10648)+sbc_r*Sens!J10685</f>
        <v>438.516844858533</v>
      </c>
      <c r="K10803" s="6" t="n">
        <f aca="false">Sens!K10715+Sens!K10736+Sens!K10666+Sens!K10796*(Sens!K10685-Sens!K10648)+sbc_r*Sens!K10685</f>
        <v>472.516913182376</v>
      </c>
    </row>
    <row r="10804" customFormat="false" ht="17.15" hidden="false" customHeight="false" outlineLevel="0" collapsed="false">
      <c r="A10804" s="0" t="s">
        <v>1239</v>
      </c>
      <c r="B10804" s="0" t="s">
        <v>98</v>
      </c>
      <c r="F10804" s="6" t="n">
        <f aca="false">Sens!F10803-Sens!F10797-Sens!F10798-Sens!F10799-Sens!F10800-Sens!F10802</f>
        <v>67.4368700230199</v>
      </c>
      <c r="G10804" s="6" t="n">
        <f aca="false">Sens!G10803-Sens!G10797-Sens!G10798-Sens!G10799-Sens!G10800-Sens!G10802</f>
        <v>74.9600771665197</v>
      </c>
      <c r="H10804" s="6" t="n">
        <f aca="false">Sens!H10803-Sens!H10797-Sens!H10798-Sens!H10799-Sens!H10800-Sens!H10802</f>
        <v>87.551715371318</v>
      </c>
      <c r="I10804" s="6" t="n">
        <f aca="false">Sens!I10803-Sens!I10797-Sens!I10798-Sens!I10799-Sens!I10800-Sens!I10802</f>
        <v>100.082889303586</v>
      </c>
      <c r="J10804" s="6" t="n">
        <f aca="false">Sens!J10803-Sens!J10797-Sens!J10798-Sens!J10799-Sens!J10800-Sens!J10802</f>
        <v>111.470875940436</v>
      </c>
      <c r="K10804" s="6" t="n">
        <f aca="false">Sens!K10803-Sens!K10797-Sens!K10798-Sens!K10799-Sens!K10800-Sens!K10802</f>
        <v>121.024735807148</v>
      </c>
    </row>
    <row r="10805" customFormat="false" ht="17.15" hidden="false" customHeight="false" outlineLevel="0" collapsed="false">
      <c r="A10805" s="0" t="s">
        <v>1240</v>
      </c>
      <c r="B10805" s="0" t="s">
        <v>98</v>
      </c>
      <c r="F10805" s="6" t="n">
        <f aca="false">Sens!F10717+Sens!F10796*Sens!F10692+sbc_r*Sens!F10692</f>
        <v>26.6004265636285</v>
      </c>
      <c r="G10805" s="6" t="n">
        <f aca="false">Sens!G10717+Sens!G10796*Sens!G10692+sbc_r*Sens!G10692</f>
        <v>26.3560706423578</v>
      </c>
      <c r="H10805" s="6" t="n">
        <f aca="false">Sens!H10717+Sens!H10796*Sens!H10692+sbc_r*Sens!H10692</f>
        <v>27.0604941587987</v>
      </c>
      <c r="I10805" s="6" t="n">
        <f aca="false">Sens!I10717+Sens!I10796*Sens!I10692+sbc_r*Sens!I10692</f>
        <v>27.8966286927719</v>
      </c>
      <c r="J10805" s="6" t="n">
        <f aca="false">Sens!J10717+Sens!J10796*Sens!J10692+sbc_r*Sens!J10692</f>
        <v>28.8205882946058</v>
      </c>
      <c r="K10805" s="6" t="n">
        <f aca="false">Sens!K10717+Sens!K10796*Sens!K10692+sbc_r*Sens!K10692</f>
        <v>29.7939715594163</v>
      </c>
    </row>
    <row r="10806" customFormat="false" ht="17.15" hidden="false" customHeight="false" outlineLevel="0" collapsed="false">
      <c r="A10806" s="0" t="s">
        <v>1241</v>
      </c>
      <c r="B10806" s="0" t="s">
        <v>98</v>
      </c>
      <c r="F10806" s="6" t="n">
        <f aca="false">(Sens!F10805-Sens!F10801)*Sens!F10688/(Sens!F10688+Sens!F10690)</f>
        <v>8.72460483501112</v>
      </c>
      <c r="G10806" s="6" t="n">
        <f aca="false">(Sens!G10805-Sens!G10801)*Sens!G10688/(Sens!G10688+Sens!G10690)</f>
        <v>7.89933268426098</v>
      </c>
      <c r="H10806" s="6" t="n">
        <f aca="false">(Sens!H10805-Sens!H10801)*Sens!H10688/(Sens!H10688+Sens!H10690)</f>
        <v>7.67037147276929</v>
      </c>
      <c r="I10806" s="6" t="n">
        <f aca="false">(Sens!I10805-Sens!I10801)*Sens!I10688/(Sens!I10688+Sens!I10690)</f>
        <v>7.58543357966634</v>
      </c>
      <c r="J10806" s="6" t="n">
        <f aca="false">(Sens!J10805-Sens!J10801)*Sens!J10688/(Sens!J10688+Sens!J10690)</f>
        <v>7.63435468820686</v>
      </c>
      <c r="K10806" s="6" t="n">
        <f aca="false">(Sens!K10805-Sens!K10801)*Sens!K10688/(Sens!K10688+Sens!K10690)</f>
        <v>7.81354659724799</v>
      </c>
    </row>
    <row r="10807" customFormat="false" ht="17.15" hidden="false" customHeight="false" outlineLevel="0" collapsed="false">
      <c r="A10807" s="0" t="s">
        <v>1242</v>
      </c>
      <c r="B10807" s="0" t="s">
        <v>98</v>
      </c>
      <c r="F10807" s="6" t="n">
        <f aca="false">Sens!F10805-Sens!F10801-Sens!F10806</f>
        <v>6.72303776406576</v>
      </c>
      <c r="G10807" s="6" t="n">
        <f aca="false">Sens!G10805-Sens!G10801-Sens!G10806</f>
        <v>6.33167473170503</v>
      </c>
      <c r="H10807" s="6" t="n">
        <f aca="false">Sens!H10805-Sens!H10801-Sens!H10806</f>
        <v>6.33054235094581</v>
      </c>
      <c r="I10807" s="6" t="n">
        <f aca="false">Sens!I10805-Sens!I10801-Sens!I10806</f>
        <v>6.38235829003113</v>
      </c>
      <c r="J10807" s="6" t="n">
        <f aca="false">Sens!J10805-Sens!J10801-Sens!J10806</f>
        <v>6.48512295898253</v>
      </c>
      <c r="K10807" s="6" t="n">
        <f aca="false">Sens!K10805-Sens!K10801-Sens!K10806</f>
        <v>6.63734035139444</v>
      </c>
    </row>
    <row r="10808" customFormat="false" ht="17.15" hidden="false" customHeight="false" outlineLevel="0" collapsed="false">
      <c r="A10808" s="0" t="s">
        <v>1243</v>
      </c>
      <c r="B10808" s="0" t="s">
        <v>98</v>
      </c>
      <c r="F10808" s="6" t="n">
        <f aca="false">Sens!F10802-tax_f*(Sens!F10802-Sens!F10666)-Sens!F10663</f>
        <v>-130.362326762856</v>
      </c>
      <c r="G10808" s="6" t="n">
        <f aca="false">Sens!G10802-tax_f*(Sens!G10802-Sens!G10666)-Sens!G10663</f>
        <v>-124.225179337776</v>
      </c>
      <c r="H10808" s="6" t="n">
        <f aca="false">Sens!H10802-tax_f*(Sens!H10802-Sens!H10666)-Sens!H10663</f>
        <v>-101.534217387562</v>
      </c>
      <c r="I10808" s="6" t="n">
        <f aca="false">Sens!I10802-tax_f*(Sens!I10802-Sens!I10666)-Sens!I10663</f>
        <v>-43.6446798695439</v>
      </c>
      <c r="J10808" s="6" t="n">
        <f aca="false">Sens!J10802-tax_f*(Sens!J10802-Sens!J10666)-Sens!J10663</f>
        <v>16.9198855589618</v>
      </c>
      <c r="K10808" s="6" t="n">
        <f aca="false">Sens!K10802-tax_f*(Sens!K10802-Sens!K10666)-Sens!K10663</f>
        <v>39.8251384629271</v>
      </c>
    </row>
    <row r="10809" customFormat="false" ht="17.15" hidden="false" customHeight="false" outlineLevel="0" collapsed="false">
      <c r="A10809" s="0" t="s">
        <v>1244</v>
      </c>
      <c r="B10809" s="0" t="s">
        <v>98</v>
      </c>
      <c r="G10809" s="6" t="n">
        <f aca="false">Sens!G10808/(1+wacc)^(Sens!G10779-Sens!F10780)</f>
        <v>-118.286276192192</v>
      </c>
      <c r="H10809" s="6" t="n">
        <f aca="false">Sens!H10808/(1+wacc)^(Sens!H10779-Sens!F10780)</f>
        <v>-87.6570009910427</v>
      </c>
      <c r="I10809" s="6" t="n">
        <f aca="false">Sens!I10808/(1+wacc)^(Sens!I10779-Sens!F10780)</f>
        <v>-34.1629172979204</v>
      </c>
      <c r="J10809" s="6" t="n">
        <f aca="false">Sens!J10808/(1+wacc)^(Sens!J10779-Sens!F10780)</f>
        <v>12.0079954170053</v>
      </c>
      <c r="K10809" s="6" t="n">
        <f aca="false">Sens!K10808/(1+wacc)^(Sens!K10779-Sens!F10780)</f>
        <v>25.6259421582556</v>
      </c>
      <c r="L10809" s="1" t="s">
        <v>1245</v>
      </c>
    </row>
    <row r="10810" customFormat="false" ht="17.15" hidden="false" customHeight="false" outlineLevel="0" collapsed="false">
      <c r="A10810" s="0" t="s">
        <v>1246</v>
      </c>
      <c r="B10810" s="0" t="s">
        <v>98</v>
      </c>
      <c r="C10810" s="6" t="n">
        <f aca="false">(Sens!K10802-Sens!K10666)*(1-tax_f)*(1+g_tv)*(1-g_tv/(wacc+ronic_prem))/(wacc-g_tv)/(1+wacc)^(Sens!K10780-Sens!F10780)</f>
        <v>96.7148026864948</v>
      </c>
    </row>
    <row r="10811" customFormat="false" ht="17.15" hidden="false" customHeight="false" outlineLevel="0" collapsed="false">
      <c r="A10811" s="1" t="s">
        <v>1247</v>
      </c>
      <c r="B10811" s="0" t="s">
        <v>98</v>
      </c>
      <c r="C10811" s="6" t="n">
        <f aca="false">(SUM(Sens!G10809:K10809)+Sens!$C$10810)*(1+wacc)^(t_roll-Sens!F10780)</f>
        <v>-109.248827617462</v>
      </c>
      <c r="L10811" s="12" t="s">
        <v>1248</v>
      </c>
    </row>
    <row r="10812" customFormat="false" ht="17.15" hidden="false" customHeight="false" outlineLevel="0" collapsed="false">
      <c r="A10812" s="1" t="s">
        <v>1249</v>
      </c>
      <c r="B10812" s="0" t="s">
        <v>98</v>
      </c>
      <c r="C10812" s="6" t="n">
        <f aca="false">(w_ntm28*Sens!G10654+(1-w_ntm28)*Sens!H10654)*m_ai</f>
        <v>344.355829012336</v>
      </c>
    </row>
    <row r="10813" customFormat="false" ht="17.15" hidden="false" customHeight="false" outlineLevel="0" collapsed="false">
      <c r="A10813" s="1" t="s">
        <v>1250</v>
      </c>
      <c r="B10813" s="0" t="s">
        <v>98</v>
      </c>
      <c r="C10813" s="6" t="n">
        <f aca="false">(w_ntm28*Sens!G10804+(1-w_ntm28)*Sens!H10804)*m_cloud</f>
        <v>1093.15915082168</v>
      </c>
    </row>
    <row r="10814" customFormat="false" ht="17.15" hidden="false" customHeight="false" outlineLevel="0" collapsed="false">
      <c r="A10814" s="1" t="s">
        <v>1251</v>
      </c>
      <c r="B10814" s="0" t="s">
        <v>98</v>
      </c>
      <c r="C10814" s="6" t="n">
        <f aca="false">(w_ntm28*Sens!G10797+(1-w_ntm28)*Sens!H10797)*m_sw</f>
        <v>1045.28196044137</v>
      </c>
    </row>
    <row r="10815" customFormat="false" ht="17.15" hidden="false" customHeight="false" outlineLevel="0" collapsed="false">
      <c r="A10815" s="1" t="s">
        <v>1252</v>
      </c>
      <c r="B10815" s="0" t="s">
        <v>98</v>
      </c>
      <c r="C10815" s="6" t="n">
        <f aca="false">(w_ntm28*Sens!G10798+(1-w_ntm28)*Sens!H10798)*m_sw</f>
        <v>373.210841837758</v>
      </c>
    </row>
    <row r="10816" customFormat="false" ht="17.15" hidden="false" customHeight="false" outlineLevel="0" collapsed="false">
      <c r="A10816" s="1" t="s">
        <v>1253</v>
      </c>
      <c r="B10816" s="0" t="s">
        <v>98</v>
      </c>
      <c r="C10816" s="6" t="n">
        <f aca="false">(w_ntm28*Sens!G10799+(1-w_ntm28)*Sens!H10799)*m_sw</f>
        <v>109.320790083964</v>
      </c>
    </row>
    <row r="10817" customFormat="false" ht="17.15" hidden="false" customHeight="false" outlineLevel="0" collapsed="false">
      <c r="A10817" s="1" t="s">
        <v>1254</v>
      </c>
      <c r="B10817" s="0" t="s">
        <v>98</v>
      </c>
      <c r="C10817" s="6" t="n">
        <f aca="false">(w_ntm28*Sens!G10800+(1-w_ntm28)*Sens!H10800)*m_sw</f>
        <v>41.5607720981027</v>
      </c>
    </row>
    <row r="10818" customFormat="false" ht="17.15" hidden="false" customHeight="false" outlineLevel="0" collapsed="false">
      <c r="A10818" s="1" t="s">
        <v>1255</v>
      </c>
      <c r="B10818" s="0" t="s">
        <v>98</v>
      </c>
      <c r="C10818" s="6" t="n">
        <f aca="false">(w_ntm28*Sens!G10801+(1-w_ntm28)*Sens!H10801)*m_ads</f>
        <v>113.258268740982</v>
      </c>
    </row>
    <row r="10819" customFormat="false" ht="17.15" hidden="false" customHeight="false" outlineLevel="0" collapsed="false">
      <c r="A10819" s="1" t="s">
        <v>1256</v>
      </c>
      <c r="B10819" s="0" t="s">
        <v>98</v>
      </c>
      <c r="C10819" s="6" t="n">
        <f aca="false">(w_ntm28*Sens!G10806+(1-w_ntm28)*Sens!H10806)*m_game</f>
        <v>98.8178495771838</v>
      </c>
    </row>
    <row r="10820" customFormat="false" ht="17.15" hidden="false" customHeight="false" outlineLevel="0" collapsed="false">
      <c r="A10820" s="1" t="s">
        <v>1257</v>
      </c>
      <c r="B10820" s="0" t="s">
        <v>98</v>
      </c>
      <c r="C10820" s="6" t="n">
        <f aca="false">(w_ntm28*Sens!G10807+(1-w_ntm28)*Sens!H10807)*m_pc</f>
        <v>91.6139463377709</v>
      </c>
    </row>
    <row r="10821" customFormat="false" ht="17.15" hidden="false" customHeight="false" outlineLevel="0" collapsed="false">
      <c r="A10821" s="1" t="s">
        <v>1258</v>
      </c>
      <c r="B10821" s="0" t="s">
        <v>98</v>
      </c>
      <c r="C10821" s="6" t="n">
        <f aca="false">Sens!$C$10811+Sens!$C$10813+Sens!$C$10814+Sens!$C$10815+Sens!$C$10816+Sens!$C$10817+Sens!$C$10818+Sens!$C$10819+Sens!$C$10820</f>
        <v>2856.97475232135</v>
      </c>
    </row>
    <row r="10822" customFormat="false" ht="17.15" hidden="false" customHeight="false" outlineLevel="0" collapsed="false">
      <c r="A10822" s="1" t="s">
        <v>1259</v>
      </c>
      <c r="B10822" s="0" t="s">
        <v>98</v>
      </c>
      <c r="C10822" s="6" t="n">
        <f aca="false">(Sens!G10783-Sens!G10808)*t_stub</f>
        <v>47.4619712233934</v>
      </c>
      <c r="L10822" s="1" t="s">
        <v>1260</v>
      </c>
    </row>
    <row r="10823" customFormat="false" ht="17.15" hidden="false" customHeight="false" outlineLevel="0" collapsed="false">
      <c r="A10823" s="1" t="s">
        <v>1169</v>
      </c>
      <c r="B10823" s="0" t="s">
        <v>98</v>
      </c>
      <c r="C10823" s="6" t="n">
        <f aca="false">Sens!F10770+oai_v-Sens!F10759+Sens!$C$10822</f>
        <v>158.514209537112</v>
      </c>
      <c r="L10823" s="1" t="s">
        <v>1261</v>
      </c>
    </row>
    <row r="10824" customFormat="false" ht="17.15" hidden="false" customHeight="false" outlineLevel="0" collapsed="false">
      <c r="A10824" s="1" t="s">
        <v>1262</v>
      </c>
      <c r="B10824" s="0" t="s">
        <v>75</v>
      </c>
      <c r="C10824" s="5" t="n">
        <f aca="false">(Sens!$C$10821+Sens!$C$10823)/(Sens!F10772+dil_gap)-Sens!G10762*roll_div_q/q_per_yr</f>
        <v>401.240244111321</v>
      </c>
      <c r="L10824" s="1" t="s">
        <v>1263</v>
      </c>
    </row>
    <row r="10825" customFormat="false" ht="17.15" hidden="false" customHeight="false" outlineLevel="0" collapsed="false">
      <c r="A10825" s="1" t="s">
        <v>1264</v>
      </c>
      <c r="B10825" s="0" t="s">
        <v>75</v>
      </c>
      <c r="C10825" s="5" t="n">
        <f aca="false">w_dcf*Sens!$C$10795+(1-w_dcf)*Sens!$C$10824</f>
        <v>340.487529026275</v>
      </c>
    </row>
    <row r="10826" customFormat="false" ht="17.15" hidden="false" customHeight="false" outlineLevel="0" collapsed="false">
      <c r="A10826" s="3" t="s">
        <v>1750</v>
      </c>
    </row>
    <row r="10827" customFormat="false" ht="15" hidden="false" customHeight="false" outlineLevel="0" collapsed="false">
      <c r="A10827" s="4" t="s">
        <v>43</v>
      </c>
      <c r="B10827" s="4" t="s">
        <v>65</v>
      </c>
      <c r="C10827" s="23" t="s">
        <v>938</v>
      </c>
      <c r="D10827" s="23" t="s">
        <v>939</v>
      </c>
      <c r="E10827" s="23" t="s">
        <v>940</v>
      </c>
      <c r="F10827" s="23" t="s">
        <v>941</v>
      </c>
      <c r="G10827" s="23" t="s">
        <v>942</v>
      </c>
      <c r="H10827" s="23" t="s">
        <v>943</v>
      </c>
      <c r="I10827" s="23" t="s">
        <v>944</v>
      </c>
      <c r="J10827" s="23" t="s">
        <v>945</v>
      </c>
      <c r="K10827" s="23" t="s">
        <v>946</v>
      </c>
      <c r="L10827" s="4" t="s">
        <v>47</v>
      </c>
    </row>
    <row r="10828" customFormat="false" ht="17.15" hidden="false" customHeight="false" outlineLevel="0" collapsed="false">
      <c r="A10828" s="1" t="s">
        <v>947</v>
      </c>
      <c r="B10828" s="1" t="s">
        <v>279</v>
      </c>
      <c r="C10828" s="21" t="n">
        <v>2024</v>
      </c>
      <c r="D10828" s="21" t="n">
        <v>2025</v>
      </c>
      <c r="E10828" s="21" t="n">
        <v>2026</v>
      </c>
      <c r="F10828" s="21" t="n">
        <v>2027</v>
      </c>
      <c r="G10828" s="21" t="n">
        <v>2028</v>
      </c>
      <c r="H10828" s="21" t="n">
        <v>2029</v>
      </c>
      <c r="I10828" s="21" t="n">
        <v>2030</v>
      </c>
      <c r="J10828" s="21" t="n">
        <v>2031</v>
      </c>
      <c r="K10828" s="21" t="n">
        <v>2032</v>
      </c>
    </row>
    <row r="10829" customFormat="false" ht="17.15" hidden="false" customHeight="false" outlineLevel="0" collapsed="false">
      <c r="A10829" s="1" t="s">
        <v>948</v>
      </c>
      <c r="B10829" s="0" t="s">
        <v>456</v>
      </c>
      <c r="F10829" s="30" t="n">
        <f aca="false">pace</f>
        <v>2726.5351</v>
      </c>
      <c r="G10829" s="30" t="n">
        <f aca="false">pace</f>
        <v>2726.5351</v>
      </c>
      <c r="H10829" s="30" t="n">
        <f aca="false">pace</f>
        <v>2726.5351</v>
      </c>
      <c r="I10829" s="30" t="n">
        <f aca="false">pace+(g_tv*Sens!H10830-pace)*MIN(1,(Sens!I10828-pace_y0)/(pace_y1-pace_y0))</f>
        <v>1931.98611966667</v>
      </c>
      <c r="J10829" s="30" t="n">
        <f aca="false">pace+(g_tv*Sens!I10830-pace)*MIN(1,(Sens!J10828-pace_y0)/(pace_y1-pace_y0))</f>
        <v>1176.07686172667</v>
      </c>
      <c r="K10829" s="30" t="n">
        <f aca="false">pace+(g_tv*Sens!J10830-pace)*MIN(1,(Sens!K10828-pace_y0)/(pace_y1-pace_y0))</f>
        <v>436.1300484418</v>
      </c>
      <c r="L10829" s="12" t="s">
        <v>949</v>
      </c>
    </row>
    <row r="10830" customFormat="false" ht="17.15" hidden="false" customHeight="false" outlineLevel="0" collapsed="false">
      <c r="A10830" s="1" t="s">
        <v>950</v>
      </c>
      <c r="B10830" s="0" t="s">
        <v>456</v>
      </c>
      <c r="C10830" s="30" t="n">
        <f aca="false">mw_ext_24</f>
        <v>640</v>
      </c>
      <c r="D10830" s="30" t="n">
        <f aca="false">mw_ext_25</f>
        <v>1630</v>
      </c>
      <c r="E10830" s="30" t="n">
        <f aca="false">mw_ext_26</f>
        <v>3250</v>
      </c>
      <c r="F10830" s="30" t="n">
        <f aca="false">Sens!E10830+Sens!F10829</f>
        <v>5976.5351</v>
      </c>
      <c r="G10830" s="30" t="n">
        <f aca="false">Sens!F10830+Sens!G10829</f>
        <v>8703.0702</v>
      </c>
      <c r="H10830" s="30" t="n">
        <f aca="false">Sens!G10830+Sens!H10829</f>
        <v>11429.6053</v>
      </c>
      <c r="I10830" s="30" t="n">
        <f aca="false">Sens!H10830+Sens!I10829</f>
        <v>13361.5914196667</v>
      </c>
      <c r="J10830" s="30" t="n">
        <f aca="false">Sens!I10830+Sens!J10829</f>
        <v>14537.6682813933</v>
      </c>
      <c r="K10830" s="30" t="n">
        <f aca="false">Sens!J10830+Sens!K10829</f>
        <v>14973.7983298351</v>
      </c>
      <c r="L10830" s="1" t="s">
        <v>951</v>
      </c>
    </row>
    <row r="10831" customFormat="false" ht="17.15" hidden="false" customHeight="false" outlineLevel="0" collapsed="false">
      <c r="A10831" s="1" t="s">
        <v>952</v>
      </c>
      <c r="B10831" s="0" t="s">
        <v>456</v>
      </c>
      <c r="C10831" s="30" t="n">
        <f aca="false">rent_ext_24</f>
        <v>150</v>
      </c>
      <c r="D10831" s="30" t="n">
        <f aca="false">rent_ext_25</f>
        <v>400</v>
      </c>
      <c r="E10831" s="30" t="n">
        <f aca="false">rent_ext_26</f>
        <v>550</v>
      </c>
      <c r="F10831" s="30" t="n">
        <f aca="false">rent_ext_f</f>
        <v>756</v>
      </c>
      <c r="G10831" s="30" t="n">
        <f aca="false">rent_ext_f</f>
        <v>756</v>
      </c>
      <c r="H10831" s="30" t="n">
        <f aca="false">rent_ext_f</f>
        <v>756</v>
      </c>
      <c r="I10831" s="30" t="n">
        <f aca="false">rent_ext_f</f>
        <v>756</v>
      </c>
      <c r="J10831" s="30" t="n">
        <f aca="false">rent_ext_f</f>
        <v>756</v>
      </c>
      <c r="K10831" s="30" t="n">
        <f aca="false">rent_ext_f</f>
        <v>756</v>
      </c>
      <c r="L10831" s="1" t="s">
        <v>953</v>
      </c>
    </row>
    <row r="10832" customFormat="false" ht="17.15" hidden="false" customHeight="false" outlineLevel="0" collapsed="false">
      <c r="A10832" s="1" t="s">
        <v>954</v>
      </c>
      <c r="B10832" s="0" t="s">
        <v>456</v>
      </c>
      <c r="C10832" s="30" t="n">
        <f aca="false">Sens!C10830-Sens!C10831</f>
        <v>490</v>
      </c>
      <c r="D10832" s="30" t="n">
        <f aca="false">Sens!D10830-Sens!D10831</f>
        <v>1230</v>
      </c>
      <c r="E10832" s="30" t="n">
        <f aca="false">Sens!E10830-Sens!E10831</f>
        <v>2700</v>
      </c>
      <c r="F10832" s="30" t="n">
        <f aca="false">Sens!F10830-Sens!F10831</f>
        <v>5220.5351</v>
      </c>
      <c r="G10832" s="30" t="n">
        <f aca="false">Sens!G10830-Sens!G10831</f>
        <v>7947.0702</v>
      </c>
      <c r="H10832" s="30" t="n">
        <f aca="false">Sens!H10830-Sens!H10831</f>
        <v>10673.6053</v>
      </c>
      <c r="I10832" s="30" t="n">
        <f aca="false">Sens!I10830-Sens!I10831</f>
        <v>12605.5914196667</v>
      </c>
      <c r="J10832" s="30" t="n">
        <f aca="false">Sens!J10830-Sens!J10831</f>
        <v>13781.6682813933</v>
      </c>
      <c r="K10832" s="30" t="n">
        <f aca="false">Sens!K10830-Sens!K10831</f>
        <v>14217.7983298351</v>
      </c>
    </row>
    <row r="10833" customFormat="false" ht="17.15" hidden="false" customHeight="false" outlineLevel="0" collapsed="false">
      <c r="A10833" s="1" t="s">
        <v>955</v>
      </c>
      <c r="B10833" s="0" t="s">
        <v>456</v>
      </c>
      <c r="C10833" s="30" t="n">
        <f aca="false">Sens!C10832/ext_sh</f>
        <v>816.666666666667</v>
      </c>
      <c r="D10833" s="30" t="n">
        <f aca="false">Sens!D10832/ext_sh</f>
        <v>2050</v>
      </c>
      <c r="E10833" s="30" t="n">
        <f aca="false">Sens!E10832/ext_sh</f>
        <v>4500</v>
      </c>
      <c r="F10833" s="30" t="n">
        <f aca="false">Sens!F10832/ext_sh</f>
        <v>8700.89183333333</v>
      </c>
      <c r="G10833" s="30" t="n">
        <f aca="false">Sens!G10832/ext_sh</f>
        <v>13245.117</v>
      </c>
      <c r="H10833" s="30" t="n">
        <f aca="false">Sens!H10832/ext_sh</f>
        <v>17789.3421666667</v>
      </c>
      <c r="I10833" s="30" t="n">
        <f aca="false">Sens!I10832/ext_sh</f>
        <v>21009.3190327778</v>
      </c>
      <c r="J10833" s="30" t="n">
        <f aca="false">Sens!J10832/ext_sh</f>
        <v>22969.4471356556</v>
      </c>
      <c r="K10833" s="30" t="n">
        <f aca="false">Sens!K10832/ext_sh</f>
        <v>23696.3305497252</v>
      </c>
      <c r="L10833" s="1" t="s">
        <v>956</v>
      </c>
    </row>
    <row r="10834" customFormat="false" ht="17.15" hidden="false" customHeight="false" outlineLevel="0" collapsed="false">
      <c r="A10834" s="1" t="s">
        <v>957</v>
      </c>
      <c r="B10834" s="0" t="s">
        <v>456</v>
      </c>
      <c r="C10834" s="30" t="n">
        <f aca="false">Sens!C10833-Sens!C10832</f>
        <v>326.666666666667</v>
      </c>
      <c r="D10834" s="30" t="n">
        <f aca="false">Sens!D10833-Sens!D10832</f>
        <v>820</v>
      </c>
      <c r="E10834" s="30" t="n">
        <f aca="false">Sens!E10833-Sens!E10832</f>
        <v>1800</v>
      </c>
      <c r="F10834" s="30" t="n">
        <f aca="false">Sens!F10833-Sens!F10832</f>
        <v>3480.35673333333</v>
      </c>
      <c r="G10834" s="30" t="n">
        <f aca="false">Sens!G10833-Sens!G10832</f>
        <v>5298.0468</v>
      </c>
      <c r="H10834" s="30" t="n">
        <f aca="false">Sens!H10833-Sens!H10832</f>
        <v>7115.73686666667</v>
      </c>
      <c r="I10834" s="30" t="n">
        <f aca="false">Sens!I10833-Sens!I10832</f>
        <v>8403.72761311111</v>
      </c>
      <c r="J10834" s="30" t="n">
        <f aca="false">Sens!J10833-Sens!J10832</f>
        <v>9187.77885426222</v>
      </c>
      <c r="K10834" s="30" t="n">
        <f aca="false">Sens!K10833-Sens!K10832</f>
        <v>9478.53221989009</v>
      </c>
    </row>
    <row r="10835" customFormat="false" ht="17.15" hidden="false" customHeight="false" outlineLevel="0" collapsed="false">
      <c r="A10835" s="1" t="s">
        <v>958</v>
      </c>
      <c r="B10835" s="0" t="s">
        <v>456</v>
      </c>
      <c r="C10835" s="30" t="n">
        <f aca="false">Sens!C10833</f>
        <v>816.666666666667</v>
      </c>
      <c r="D10835" s="30" t="n">
        <f aca="false">Sens!D10833-Sens!C10833</f>
        <v>1233.33333333333</v>
      </c>
      <c r="E10835" s="30" t="n">
        <f aca="false">Sens!E10833-Sens!D10833</f>
        <v>2450</v>
      </c>
      <c r="F10835" s="30" t="n">
        <f aca="false">Sens!F10833-Sens!E10833</f>
        <v>4200.89183333333</v>
      </c>
      <c r="G10835" s="30" t="n">
        <f aca="false">Sens!G10833-Sens!F10833</f>
        <v>4544.22516666667</v>
      </c>
      <c r="H10835" s="30" t="n">
        <f aca="false">Sens!H10833-Sens!G10833</f>
        <v>4544.22516666667</v>
      </c>
      <c r="I10835" s="30" t="n">
        <f aca="false">Sens!I10833-Sens!H10833</f>
        <v>3219.97686611111</v>
      </c>
      <c r="J10835" s="30" t="n">
        <f aca="false">Sens!J10833-Sens!I10833</f>
        <v>1960.12810287778</v>
      </c>
      <c r="K10835" s="30" t="n">
        <f aca="false">Sens!K10833-Sens!J10833</f>
        <v>726.883414069667</v>
      </c>
    </row>
    <row r="10836" customFormat="false" ht="17.15" hidden="false" customHeight="false" outlineLevel="0" collapsed="false">
      <c r="A10836" s="1" t="s">
        <v>959</v>
      </c>
      <c r="B10836" s="0" t="s">
        <v>456</v>
      </c>
      <c r="D10836" s="30" t="n">
        <f aca="false">Sens!D10830-Sens!C10830</f>
        <v>990</v>
      </c>
      <c r="E10836" s="30" t="n">
        <f aca="false">Sens!E10830-Sens!D10830</f>
        <v>1620</v>
      </c>
      <c r="F10836" s="30" t="n">
        <f aca="false">Sens!F10830-Sens!E10830</f>
        <v>2726.5351</v>
      </c>
      <c r="G10836" s="30" t="n">
        <f aca="false">Sens!G10830-Sens!F10830</f>
        <v>2726.5351</v>
      </c>
      <c r="H10836" s="30" t="n">
        <f aca="false">Sens!H10830-Sens!G10830</f>
        <v>2726.5351</v>
      </c>
      <c r="I10836" s="30" t="n">
        <f aca="false">Sens!I10830-Sens!H10830</f>
        <v>1931.98611966667</v>
      </c>
      <c r="J10836" s="30" t="n">
        <f aca="false">Sens!J10830-Sens!I10830</f>
        <v>1176.07686172667</v>
      </c>
      <c r="K10836" s="30" t="n">
        <f aca="false">Sens!K10830-Sens!J10830</f>
        <v>436.130048441799</v>
      </c>
    </row>
    <row r="10837" customFormat="false" ht="17.15" hidden="false" customHeight="false" outlineLevel="0" collapsed="false">
      <c r="A10837" s="1" t="s">
        <v>960</v>
      </c>
      <c r="B10837" s="0" t="s">
        <v>456</v>
      </c>
      <c r="F10837" s="30" t="n">
        <f aca="false">Sens!F10856*ext_sh</f>
        <v>0</v>
      </c>
      <c r="G10837" s="30" t="n">
        <f aca="false">Sens!G10856*ext_sh</f>
        <v>0</v>
      </c>
      <c r="H10837" s="30" t="n">
        <f aca="false">Sens!H10856*ext_sh</f>
        <v>0</v>
      </c>
      <c r="I10837" s="30" t="n">
        <f aca="false">Sens!I10856*ext_sh</f>
        <v>490</v>
      </c>
      <c r="J10837" s="30" t="n">
        <f aca="false">Sens!J10856*ext_sh</f>
        <v>740</v>
      </c>
      <c r="K10837" s="30" t="n">
        <f aca="false">Sens!K10856*ext_sh</f>
        <v>1470</v>
      </c>
      <c r="L10837" s="1" t="s">
        <v>961</v>
      </c>
    </row>
    <row r="10838" customFormat="false" ht="17.15" hidden="false" customHeight="false" outlineLevel="0" collapsed="false">
      <c r="A10838" s="1" t="s">
        <v>962</v>
      </c>
      <c r="B10838" s="0" t="s">
        <v>456</v>
      </c>
      <c r="C10838" s="30" t="n">
        <f aca="false">mix_h*Sens!C10830</f>
        <v>128</v>
      </c>
      <c r="D10838" s="30" t="n">
        <f aca="false">mix_h*Sens!D10830</f>
        <v>326</v>
      </c>
      <c r="E10838" s="30" t="n">
        <f aca="false">mix_h*Sens!E10830</f>
        <v>650</v>
      </c>
      <c r="F10838" s="30" t="n">
        <f aca="false">Sens!E10838-Sens!F10837*mix_h</f>
        <v>650</v>
      </c>
      <c r="G10838" s="30" t="n">
        <f aca="false">Sens!F10838-Sens!G10837*mix_h</f>
        <v>650</v>
      </c>
      <c r="H10838" s="30" t="n">
        <f aca="false">Sens!G10838-Sens!H10837*mix_h</f>
        <v>650</v>
      </c>
      <c r="I10838" s="30" t="n">
        <f aca="false">Sens!H10838-Sens!I10837*mix_h</f>
        <v>552</v>
      </c>
      <c r="J10838" s="30" t="n">
        <f aca="false">Sens!I10838-Sens!J10837*mix_h</f>
        <v>404</v>
      </c>
      <c r="K10838" s="30" t="n">
        <f aca="false">Sens!J10838-Sens!K10837*mix_h</f>
        <v>110</v>
      </c>
    </row>
    <row r="10839" customFormat="false" ht="17.15" hidden="false" customHeight="false" outlineLevel="0" collapsed="false">
      <c r="A10839" s="1" t="s">
        <v>963</v>
      </c>
      <c r="B10839" s="0" t="s">
        <v>456</v>
      </c>
      <c r="C10839" s="30" t="n">
        <f aca="false">mix_g2*Sens!C10830</f>
        <v>288</v>
      </c>
      <c r="D10839" s="30" t="n">
        <f aca="false">mix_g2*Sens!D10830</f>
        <v>733.5</v>
      </c>
      <c r="E10839" s="30" t="n">
        <f aca="false">mix_g2*Sens!E10830</f>
        <v>1462.5</v>
      </c>
      <c r="F10839" s="30" t="n">
        <f aca="false">Sens!E10839-Sens!F10837*mix_g2</f>
        <v>1462.5</v>
      </c>
      <c r="G10839" s="30" t="n">
        <f aca="false">Sens!F10839-Sens!G10837*mix_g2</f>
        <v>1462.5</v>
      </c>
      <c r="H10839" s="30" t="n">
        <f aca="false">Sens!G10839-Sens!H10837*mix_g2</f>
        <v>1462.5</v>
      </c>
      <c r="I10839" s="30" t="n">
        <f aca="false">Sens!H10839-Sens!I10837*mix_g2</f>
        <v>1242</v>
      </c>
      <c r="J10839" s="30" t="n">
        <f aca="false">Sens!I10839-Sens!J10837*mix_g2</f>
        <v>909</v>
      </c>
      <c r="K10839" s="30" t="n">
        <f aca="false">Sens!J10839-Sens!K10837*mix_g2</f>
        <v>247.5</v>
      </c>
    </row>
    <row r="10840" customFormat="false" ht="17.15" hidden="false" customHeight="false" outlineLevel="0" collapsed="false">
      <c r="A10840" s="1" t="s">
        <v>964</v>
      </c>
      <c r="B10840" s="0" t="s">
        <v>456</v>
      </c>
      <c r="C10840" s="30" t="n">
        <f aca="false">mix_g3*Sens!C10830</f>
        <v>224</v>
      </c>
      <c r="D10840" s="30" t="n">
        <f aca="false">mix_g3*Sens!D10830</f>
        <v>570.5</v>
      </c>
      <c r="E10840" s="30" t="n">
        <f aca="false">mix_g3*Sens!E10830</f>
        <v>1137.5</v>
      </c>
      <c r="F10840" s="30" t="n">
        <f aca="false">Sens!E10840+(Sens!F10836+Sens!F10837)*(a_g3_27-nonnv*a_mai)-Sens!F10837*mix_g3</f>
        <v>2773.42106</v>
      </c>
      <c r="G10840" s="30" t="n">
        <f aca="false">Sens!F10840+(Sens!G10836+Sens!G10837)*(a_g3_28-nonnv*a_mai)-Sens!G10837*mix_g3</f>
        <v>3318.72808</v>
      </c>
      <c r="H10840" s="30" t="n">
        <f aca="false">Sens!G10840+(Sens!H10836+Sens!H10837)*(a_g3_29-nonnv*a_mai)-Sens!H10837*mix_g3</f>
        <v>3318.72808</v>
      </c>
      <c r="I10840" s="30" t="n">
        <f aca="false">Sens!H10840+(Sens!I10836+Sens!I10837)*(a_g3_29-nonnv*a_mai)-Sens!I10837*mix_g3</f>
        <v>3147.22808</v>
      </c>
      <c r="J10840" s="30" t="n">
        <f aca="false">Sens!I10840+(Sens!J10836+Sens!J10837)*(a_g3_29-nonnv*a_mai)-Sens!J10837*mix_g3</f>
        <v>2888.22808</v>
      </c>
      <c r="K10840" s="30" t="n">
        <f aca="false">Sens!J10840+(Sens!K10836+Sens!K10837)*(a_g3_29-nonnv*a_mai)-Sens!K10837*mix_g3</f>
        <v>2373.72808</v>
      </c>
    </row>
    <row r="10841" customFormat="false" ht="17.15" hidden="false" customHeight="false" outlineLevel="0" collapsed="false">
      <c r="A10841" s="1" t="s">
        <v>965</v>
      </c>
      <c r="B10841" s="0" t="s">
        <v>456</v>
      </c>
      <c r="C10841" s="30" t="n">
        <v>0</v>
      </c>
      <c r="D10841" s="30" t="n">
        <v>0</v>
      </c>
      <c r="E10841" s="30" t="n">
        <v>0</v>
      </c>
      <c r="F10841" s="30" t="n">
        <f aca="false">Sens!E10841+(Sens!F10836+Sens!F10837)*nonnv*a_mai</f>
        <v>272.65351</v>
      </c>
      <c r="G10841" s="30" t="n">
        <f aca="false">Sens!F10841+(Sens!G10836+Sens!G10837)*nonnv*a_mai</f>
        <v>545.30702</v>
      </c>
      <c r="H10841" s="30" t="n">
        <f aca="false">Sens!G10841+(Sens!H10836+Sens!H10837)*nonnv*a_mai</f>
        <v>817.96053</v>
      </c>
      <c r="I10841" s="30" t="n">
        <f aca="false">Sens!H10841+(Sens!I10836+Sens!I10837)*nonnv*a_mai</f>
        <v>1060.15914196667</v>
      </c>
      <c r="J10841" s="30" t="n">
        <f aca="false">Sens!I10841+(Sens!J10836+Sens!J10837)*nonnv*a_mai</f>
        <v>1251.76682813933</v>
      </c>
      <c r="K10841" s="30" t="n">
        <f aca="false">Sens!J10841+(Sens!K10836+Sens!K10837)*nonnv*a_mai</f>
        <v>1442.37983298351</v>
      </c>
      <c r="L10841" s="12" t="s">
        <v>966</v>
      </c>
    </row>
    <row r="10842" customFormat="false" ht="17.15" hidden="false" customHeight="false" outlineLevel="0" collapsed="false">
      <c r="A10842" s="1" t="s">
        <v>967</v>
      </c>
      <c r="B10842" s="0" t="s">
        <v>456</v>
      </c>
      <c r="C10842" s="30" t="n">
        <v>0</v>
      </c>
      <c r="D10842" s="30" t="n">
        <v>0</v>
      </c>
      <c r="E10842" s="30" t="n">
        <v>0</v>
      </c>
      <c r="F10842" s="30" t="n">
        <f aca="false">Sens!E10842+(Sens!F10836+Sens!F10837)*(1-a_g3_27)</f>
        <v>817.96053</v>
      </c>
      <c r="G10842" s="30" t="n">
        <f aca="false">Sens!F10842+(Sens!G10836+Sens!G10837)*(1-a_g3_28)</f>
        <v>2726.5351</v>
      </c>
      <c r="H10842" s="30" t="n">
        <f aca="false">Sens!G10842+(Sens!H10836+Sens!H10837)*(1-a_g3_29)</f>
        <v>5180.41669</v>
      </c>
      <c r="I10842" s="30" t="n">
        <f aca="false">Sens!H10842+(Sens!I10836+Sens!I10837)*(1-a_g3_29)</f>
        <v>7360.2041977</v>
      </c>
      <c r="J10842" s="30" t="n">
        <f aca="false">Sens!I10842+(Sens!J10836+Sens!J10837)*(1-a_g3_29)</f>
        <v>9084.673373254</v>
      </c>
      <c r="K10842" s="30" t="n">
        <f aca="false">Sens!J10842+(Sens!K10836+Sens!K10837)*(1-a_g3_29)</f>
        <v>10800.1904168516</v>
      </c>
    </row>
    <row r="10843" customFormat="false" ht="17.15" hidden="false" customHeight="false" outlineLevel="0" collapsed="false">
      <c r="A10843" s="1" t="s">
        <v>968</v>
      </c>
      <c r="B10843" s="0" t="s">
        <v>403</v>
      </c>
      <c r="C10843" s="15" t="n">
        <f aca="false">(Sens!C10838*tk_hold_h100+Sens!C10839*tk_hold_gb200+Sens!C10840*tk_hold_gb300+Sens!C10842*tk_hold_vr200+Sens!C10841*nv_hold_mai*tk_hold_vr200)/Sens!C10830</f>
        <v>9.7235358126469</v>
      </c>
      <c r="D10843" s="15" t="n">
        <f aca="false">(Sens!D10838*tk_hold_h100+Sens!D10839*tk_hold_gb200+Sens!D10840*tk_hold_gb300+Sens!D10842*tk_hold_vr200+Sens!D10841*nv_hold_mai*tk_hold_vr200)/Sens!D10830</f>
        <v>9.7235358126469</v>
      </c>
      <c r="E10843" s="15" t="n">
        <f aca="false">(Sens!E10838*tk_hold_h100+Sens!E10839*tk_hold_gb200+Sens!E10840*tk_hold_gb300+Sens!E10842*tk_hold_vr200+Sens!E10841*nv_hold_mai*tk_hold_vr200)/Sens!E10830</f>
        <v>9.7235358126469</v>
      </c>
      <c r="F10843" s="15" t="n">
        <f aca="false">(Sens!F10838*tk_hold_h100+Sens!F10839*tk_hold_gb200+Sens!F10840*tk_hold_gb300+Sens!F10842*tk_hold_vr200+Sens!F10841*nv_hold_mai*tk_hold_vr200)/Sens!F10830</f>
        <v>10.2195353876665</v>
      </c>
      <c r="G10843" s="15" t="n">
        <f aca="false">(Sens!G10838*tk_hold_h100+Sens!G10839*tk_hold_gb200+Sens!G10840*tk_hold_gb300+Sens!G10842*tk_hold_vr200+Sens!G10841*nv_hold_mai*tk_hold_vr200)/Sens!G10830</f>
        <v>10.5725598017306</v>
      </c>
      <c r="H10843" s="15" t="n">
        <f aca="false">(Sens!H10838*tk_hold_h100+Sens!H10839*tk_hold_gb200+Sens!H10840*tk_hold_gb300+Sens!H10842*tk_hold_vr200+Sens!H10841*nv_hold_mai*tk_hold_vr200)/Sens!H10830</f>
        <v>10.8210427149036</v>
      </c>
      <c r="I10843" s="15" t="n">
        <f aca="false">(Sens!I10838*tk_hold_h100+Sens!I10839*tk_hold_gb200+Sens!I10840*tk_hold_gb300+Sens!I10842*tk_hold_vr200+Sens!I10841*nv_hold_mai*tk_hold_vr200)/Sens!I10830</f>
        <v>11.0050618241982</v>
      </c>
      <c r="J10843" s="15" t="n">
        <f aca="false">(Sens!J10838*tk_hold_h100+Sens!J10839*tk_hold_gb200+Sens!J10840*tk_hold_gb300+Sens!J10842*tk_hold_vr200+Sens!J10841*nv_hold_mai*tk_hold_vr200)/Sens!J10830</f>
        <v>11.1505789658881</v>
      </c>
      <c r="K10843" s="15" t="n">
        <f aca="false">(Sens!K10838*tk_hold_h100+Sens!K10839*tk_hold_gb200+Sens!K10840*tk_hold_gb300+Sens!K10842*tk_hold_vr200+Sens!K10841*nv_hold_mai*tk_hold_vr200)/Sens!K10830</f>
        <v>11.3496914757183</v>
      </c>
      <c r="L10843" s="1" t="s">
        <v>969</v>
      </c>
    </row>
    <row r="10844" customFormat="false" ht="17.15" hidden="false" customHeight="false" outlineLevel="0" collapsed="false">
      <c r="A10844" s="1" t="s">
        <v>970</v>
      </c>
      <c r="B10844" s="0" t="s">
        <v>403</v>
      </c>
      <c r="C10844" s="15" t="n">
        <f aca="false">(Sens!C10838*tk_hold_h100+Sens!C10839*tk_hold_gb200+Sens!C10840*tk_hold_gb300+Sens!C10842*tk_hold_vr200+Sens!C10841*nv_out_mai*tk_hold_vr200)/Sens!C10830</f>
        <v>9.7235358126469</v>
      </c>
      <c r="D10844" s="15" t="n">
        <f aca="false">(Sens!D10838*tk_hold_h100+Sens!D10839*tk_hold_gb200+Sens!D10840*tk_hold_gb300+Sens!D10842*tk_hold_vr200+Sens!D10841*nv_out_mai*tk_hold_vr200)/Sens!D10830</f>
        <v>9.7235358126469</v>
      </c>
      <c r="E10844" s="15" t="n">
        <f aca="false">(Sens!E10838*tk_hold_h100+Sens!E10839*tk_hold_gb200+Sens!E10840*tk_hold_gb300+Sens!E10842*tk_hold_vr200+Sens!E10841*nv_out_mai*tk_hold_vr200)/Sens!E10830</f>
        <v>9.7235358126469</v>
      </c>
      <c r="F10844" s="15" t="n">
        <f aca="false">(Sens!F10838*tk_hold_h100+Sens!F10839*tk_hold_gb200+Sens!F10840*tk_hold_gb300+Sens!F10842*tk_hold_vr200+Sens!F10841*nv_out_mai*tk_hold_vr200)/Sens!F10830</f>
        <v>10.247422093969</v>
      </c>
      <c r="G10844" s="15" t="n">
        <f aca="false">(Sens!G10838*tk_hold_h100+Sens!G10839*tk_hold_gb200+Sens!G10840*tk_hold_gb300+Sens!G10842*tk_hold_vr200+Sens!G10841*nv_out_mai*tk_hold_vr200)/Sens!G10830</f>
        <v>10.6108602808053</v>
      </c>
      <c r="H10844" s="15" t="n">
        <f aca="false">(Sens!H10838*tk_hold_h100+Sens!H10839*tk_hold_gb200+Sens!H10840*tk_hold_gb300+Sens!H10842*tk_hold_vr200+Sens!H10841*nv_out_mai*tk_hold_vr200)/Sens!H10830</f>
        <v>10.8647885507393</v>
      </c>
      <c r="I10844" s="15" t="n">
        <f aca="false">(Sens!I10838*tk_hold_h100+Sens!I10839*tk_hold_gb200+Sens!I10840*tk_hold_gb300+Sens!I10842*tk_hold_vr200+Sens!I10841*nv_out_mai*tk_hold_vr200)/Sens!I10830</f>
        <v>11.0535625770025</v>
      </c>
      <c r="J10844" s="15" t="n">
        <f aca="false">(Sens!J10838*tk_hold_h100+Sens!J10839*tk_hold_gb200+Sens!J10840*tk_hold_gb300+Sens!J10842*tk_hold_vr200+Sens!J10841*nv_out_mai*tk_hold_vr200)/Sens!J10830</f>
        <v>11.2032127128058</v>
      </c>
      <c r="K10844" s="15" t="n">
        <f aca="false">(Sens!K10838*tk_hold_h100+Sens!K10839*tk_hold_gb200+Sens!K10840*tk_hold_gb300+Sens!K10842*tk_hold_vr200+Sens!K10841*nv_out_mai*tk_hold_vr200)/Sens!K10830</f>
        <v>11.4085735724225</v>
      </c>
      <c r="L10844" s="12" t="s">
        <v>971</v>
      </c>
    </row>
    <row r="10845" customFormat="false" ht="17.15" hidden="false" customHeight="false" outlineLevel="0" collapsed="false">
      <c r="A10845" s="0" t="s">
        <v>972</v>
      </c>
      <c r="B10845" s="0" t="s">
        <v>229</v>
      </c>
      <c r="C10845" s="15" t="n">
        <f aca="false">k_B</f>
        <v>1.17213932619116</v>
      </c>
      <c r="D10845" s="15" t="n">
        <f aca="false">k_B</f>
        <v>1.17213932619116</v>
      </c>
      <c r="E10845" s="15" t="n">
        <f aca="false">k_B</f>
        <v>1.17213932619116</v>
      </c>
      <c r="F10845" s="15" t="n">
        <f aca="false">(k_B+((ls_A*k_long+(1-ls_A)*k_spot)-k_B)*MIN(1,(Sens!F10828-base_fy)/k_ramp))</f>
        <v>1.25022828131298</v>
      </c>
      <c r="G10845" s="15" t="n">
        <f aca="false">(k_B+((ls_A*k_long+(1-ls_A)*k_spot)-k_B)*MIN(1,(Sens!G10828-base_fy)/k_ramp))</f>
        <v>1.3283172364348</v>
      </c>
      <c r="H10845" s="15" t="n">
        <f aca="false">(k_B+((ls_A*k_long+(1-ls_A)*k_spot)-k_B)*MIN(1,(Sens!H10828-base_fy)/k_ramp))</f>
        <v>1.40640619155662</v>
      </c>
      <c r="I10845" s="15" t="n">
        <f aca="false">(k_B+((ls_A*k_long+(1-ls_A)*k_spot)-k_B)*MIN(1,(Sens!I10828-base_fy)/k_ramp))</f>
        <v>1.40640619155662</v>
      </c>
      <c r="J10845" s="15" t="n">
        <f aca="false">(k_B+((ls_A*k_long+(1-ls_A)*k_spot)-k_B)*MIN(1,(Sens!J10828-base_fy)/k_ramp))</f>
        <v>1.40640619155662</v>
      </c>
      <c r="K10845" s="15" t="n">
        <f aca="false">(k_B+((ls_A*k_long+(1-ls_A)*k_spot)-k_B)*MIN(1,(Sens!K10828-base_fy)/k_ramp))</f>
        <v>1.40640619155662</v>
      </c>
      <c r="L10845" s="1" t="s">
        <v>973</v>
      </c>
    </row>
    <row r="10846" customFormat="false" ht="17.15" hidden="false" customHeight="false" outlineLevel="0" collapsed="false">
      <c r="A10846" s="1" t="s">
        <v>974</v>
      </c>
      <c r="B10846" s="0" t="s">
        <v>403</v>
      </c>
      <c r="C10846" s="15" t="n">
        <f aca="false">Sens!C10844*Sens!C10845*chip_f</f>
        <v>11.3973387156315</v>
      </c>
      <c r="D10846" s="15" t="n">
        <f aca="false">Sens!D10844*Sens!D10845*chip_f</f>
        <v>11.3973387156315</v>
      </c>
      <c r="E10846" s="15" t="n">
        <f aca="false">Sens!E10844*Sens!E10845*chip_f</f>
        <v>11.3973387156315</v>
      </c>
      <c r="F10846" s="15" t="n">
        <f aca="false">Sens!F10844*Sens!F10845*chip_f</f>
        <v>12.8116169124314</v>
      </c>
      <c r="G10846" s="15" t="n">
        <f aca="false">Sens!G10844*Sens!G10845*chip_f</f>
        <v>14.094588604395</v>
      </c>
      <c r="H10846" s="15" t="n">
        <f aca="false">Sens!H10844*Sens!H10845*chip_f</f>
        <v>15.2803058877132</v>
      </c>
      <c r="I10846" s="15" t="n">
        <f aca="false">Sens!I10844*Sens!I10845*chip_f</f>
        <v>15.5457988470549</v>
      </c>
      <c r="J10846" s="15" t="n">
        <f aca="false">Sens!J10844*Sens!J10845*chip_f</f>
        <v>15.7562677246158</v>
      </c>
      <c r="K10846" s="15" t="n">
        <f aca="false">Sens!K10844*Sens!K10845*chip_f</f>
        <v>16.0450885090842</v>
      </c>
      <c r="L10846" s="1" t="s">
        <v>975</v>
      </c>
    </row>
    <row r="10847" customFormat="false" ht="17.15" hidden="false" customHeight="false" outlineLevel="0" collapsed="false">
      <c r="A10847" s="0" t="s">
        <v>976</v>
      </c>
      <c r="B10847" s="0" t="s">
        <v>98</v>
      </c>
      <c r="D10847" s="6" t="n">
        <f aca="false">(Sens!C10830+Sens!D10830)/2*Sens!D10846/1000</f>
        <v>12.9359794422418</v>
      </c>
      <c r="E10847" s="6" t="n">
        <f aca="false">(Sens!D10830+Sens!E10830)/2*Sens!E10846/1000</f>
        <v>27.8095064661409</v>
      </c>
      <c r="F10847" s="6" t="n">
        <f aca="false">(Sens!E10830+Sens!F10830)/2*Sens!F10846/1000</f>
        <v>59.1034165651511</v>
      </c>
      <c r="G10847" s="6" t="n">
        <f aca="false">(Sens!F10830+Sens!G10830)/2*Sens!G10846/1000</f>
        <v>103.451498789198</v>
      </c>
      <c r="H10847" s="6" t="n">
        <f aca="false">(Sens!G10830+Sens!H10830)/2*Sens!H10846/1000</f>
        <v>153.816719989035</v>
      </c>
      <c r="I10847" s="6" t="n">
        <f aca="false">(Sens!H10830+Sens!I10830)/2*Sens!I10846/1000</f>
        <v>192.699478690852</v>
      </c>
      <c r="J10847" s="6" t="n">
        <f aca="false">(Sens!I10830+Sens!J10830)/2*Sens!J10846/1000</f>
        <v>219.794102584244</v>
      </c>
      <c r="K10847" s="6" t="n">
        <f aca="false">(Sens!J10830+Sens!K10830)/2*Sens!K10846/1000</f>
        <v>236.757046905022</v>
      </c>
      <c r="L10847" s="12" t="s">
        <v>977</v>
      </c>
    </row>
    <row r="10848" customFormat="false" ht="17.15" hidden="false" customHeight="false" outlineLevel="0" collapsed="false">
      <c r="A10848" s="1" t="s">
        <v>978</v>
      </c>
      <c r="B10848" s="0" t="s">
        <v>403</v>
      </c>
      <c r="C10848" s="15" t="n">
        <f aca="false">(Sens!C10838*tk_opex_h100+Sens!C10839*tk_opex_gb200+Sens!C10840*tk_opex_gb300+(Sens!C10842+Sens!C10841)*tk_opex_vr200)/Sens!C10830</f>
        <v>1.88636041306092</v>
      </c>
      <c r="D10848" s="15" t="n">
        <f aca="false">(Sens!D10838*tk_opex_h100+Sens!D10839*tk_opex_gb200+Sens!D10840*tk_opex_gb300+(Sens!D10842+Sens!D10841)*tk_opex_vr200)/Sens!D10830</f>
        <v>1.88636041306092</v>
      </c>
      <c r="E10848" s="15" t="n">
        <f aca="false">(Sens!E10838*tk_opex_h100+Sens!E10839*tk_opex_gb200+Sens!E10840*tk_opex_gb300+(Sens!E10842+Sens!E10841)*tk_opex_vr200)/Sens!E10830</f>
        <v>1.88636041306092</v>
      </c>
      <c r="F10848" s="15" t="n">
        <f aca="false">(Sens!F10838*tk_opex_h100+Sens!F10839*tk_opex_gb200+Sens!F10840*tk_opex_gb300+(Sens!F10842+Sens!F10841)*tk_opex_vr200)/Sens!F10830</f>
        <v>1.95051159746876</v>
      </c>
      <c r="G10848" s="15" t="n">
        <f aca="false">(Sens!G10838*tk_opex_h100+Sens!G10839*tk_opex_gb200+Sens!G10840*tk_opex_gb300+(Sens!G10842+Sens!G10841)*tk_opex_vr200)/Sens!G10830</f>
        <v>1.98836003669956</v>
      </c>
      <c r="H10848" s="15" t="n">
        <f aca="false">(Sens!H10838*tk_opex_h100+Sens!H10839*tk_opex_gb200+Sens!H10840*tk_opex_gb300+(Sens!H10842+Sens!H10841)*tk_opex_vr200)/Sens!H10830</f>
        <v>2.01344013834343</v>
      </c>
      <c r="I10848" s="15" t="n">
        <f aca="false">(Sens!I10838*tk_opex_h100+Sens!I10839*tk_opex_gb200+Sens!I10840*tk_opex_gb300+(Sens!I10842+Sens!I10841)*tk_opex_vr200)/Sens!I10830</f>
        <v>2.03261166882178</v>
      </c>
      <c r="J10848" s="15" t="n">
        <f aca="false">(Sens!J10838*tk_opex_h100+Sens!J10839*tk_opex_gb200+Sens!J10840*tk_opex_gb300+(Sens!J10842+Sens!J10841)*tk_opex_vr200)/Sens!J10830</f>
        <v>2.04808073288745</v>
      </c>
      <c r="K10848" s="15" t="n">
        <f aca="false">(Sens!K10838*tk_opex_h100+Sens!K10839*tk_opex_gb200+Sens!K10840*tk_opex_gb300+(Sens!K10842+Sens!K10841)*tk_opex_vr200)/Sens!K10830</f>
        <v>2.06973825807449</v>
      </c>
      <c r="L10848" s="12" t="s">
        <v>979</v>
      </c>
    </row>
    <row r="10849" customFormat="false" ht="17.15" hidden="false" customHeight="false" outlineLevel="0" collapsed="false">
      <c r="A10849" s="0" t="s">
        <v>980</v>
      </c>
      <c r="B10849" s="0" t="s">
        <v>98</v>
      </c>
      <c r="D10849" s="6" t="n">
        <f aca="false">(Sens!C10833+Sens!D10833)/2*Sens!D10848/1000</f>
        <v>2.70378325872065</v>
      </c>
      <c r="E10849" s="6" t="n">
        <f aca="false">(Sens!D10833+Sens!E10833)/2*Sens!E10848/1000</f>
        <v>6.17783035277451</v>
      </c>
      <c r="F10849" s="6" t="n">
        <f aca="false">(Sens!E10833+Sens!F10833)/2*Sens!F10848/1000</f>
        <v>12.8742463089237</v>
      </c>
      <c r="G10849" s="6" t="n">
        <f aca="false">(Sens!F10833+Sens!G10833)/2*Sens!G10848/1000</f>
        <v>21.8182834646277</v>
      </c>
      <c r="H10849" s="6" t="n">
        <f aca="false">(Sens!G10833+Sens!H10833)/2*Sens!H10848/1000</f>
        <v>31.2430128789734</v>
      </c>
      <c r="I10849" s="6" t="n">
        <f aca="false">(Sens!H10833+Sens!I10833)/2*Sens!I10848/1000</f>
        <v>39.4313057443268</v>
      </c>
      <c r="J10849" s="6" t="n">
        <f aca="false">(Sens!I10833+Sens!J10833)/2*Sens!J10848/1000</f>
        <v>45.0360318228653</v>
      </c>
      <c r="K10849" s="6" t="n">
        <f aca="false">(Sens!J10833+Sens!K10833)/2*Sens!K10848/1000</f>
        <v>48.2929727091156</v>
      </c>
    </row>
    <row r="10850" customFormat="false" ht="17.15" hidden="false" customHeight="false" outlineLevel="0" collapsed="false">
      <c r="A10850" s="0" t="s">
        <v>981</v>
      </c>
      <c r="B10850" s="0" t="s">
        <v>98</v>
      </c>
      <c r="D10850" s="6" t="n">
        <f aca="false">(Sens!C10831+Sens!D10831)/2*rent_mw/1000</f>
        <v>2.44475</v>
      </c>
      <c r="E10850" s="6" t="n">
        <f aca="false">(Sens!D10831+Sens!E10831)/2*rent_mw/1000</f>
        <v>4.22275</v>
      </c>
      <c r="F10850" s="6" t="n">
        <f aca="false">(Sens!E10831+Sens!F10831)/2*rent_mw/1000</f>
        <v>5.80517</v>
      </c>
      <c r="G10850" s="6" t="n">
        <f aca="false">(Sens!F10831+Sens!G10831)/2*rent_mw/1000</f>
        <v>6.72084</v>
      </c>
      <c r="H10850" s="6" t="n">
        <f aca="false">(Sens!G10831+Sens!H10831)/2*rent_mw/1000</f>
        <v>6.72084</v>
      </c>
      <c r="I10850" s="6" t="n">
        <f aca="false">(Sens!H10831+Sens!I10831)/2*rent_mw/1000</f>
        <v>6.72084</v>
      </c>
      <c r="J10850" s="6" t="n">
        <f aca="false">(Sens!I10831+Sens!J10831)/2*rent_mw/1000</f>
        <v>6.72084</v>
      </c>
      <c r="K10850" s="6" t="n">
        <f aca="false">(Sens!J10831+Sens!K10831)/2*rent_mw/1000</f>
        <v>6.72084</v>
      </c>
    </row>
    <row r="10851" customFormat="false" ht="17.15" hidden="false" customHeight="false" outlineLevel="0" collapsed="false">
      <c r="A10851" s="0" t="s">
        <v>982</v>
      </c>
      <c r="B10851" s="0" t="s">
        <v>98</v>
      </c>
      <c r="D10851" s="6" t="n">
        <f aca="false">(Sens!C10833+Sens!D10833)/2*(1-self_build)*fac_rent/1000</f>
        <v>0.853242375631075</v>
      </c>
      <c r="E10851" s="6" t="n">
        <f aca="false">(Sens!D10833+Sens!E10833)/2*(1-self_build)*fac_rent/1000</f>
        <v>1.94955961408728</v>
      </c>
      <c r="F10851" s="6" t="n">
        <f aca="false">(Sens!E10833+Sens!F10833)/2*(1-self_build)*fac_rent/1000</f>
        <v>3.92914894476356</v>
      </c>
      <c r="G10851" s="6" t="n">
        <f aca="false">(Sens!F10833+Sens!G10833)/2*(1-self_build)*fac_rent/1000</f>
        <v>6.53206908578159</v>
      </c>
      <c r="H10851" s="6" t="n">
        <f aca="false">(Sens!G10833+Sens!H10833)/2*(1-self_build)*fac_rent/1000</f>
        <v>9.23717988341591</v>
      </c>
      <c r="I10851" s="6" t="n">
        <f aca="false">(Sens!H10833+Sens!I10833)/2*(1-self_build)*fac_rent/1000</f>
        <v>11.5481378557393</v>
      </c>
      <c r="J10851" s="6" t="n">
        <f aca="false">(Sens!I10833+Sens!J10833)/2*(1-self_build)*fac_rent/1000</f>
        <v>13.0899582289108</v>
      </c>
      <c r="K10851" s="6" t="n">
        <f aca="false">(Sens!J10833+Sens!K10833)/2*(1-self_build)*fac_rent/1000</f>
        <v>13.8897275626556</v>
      </c>
      <c r="L10851" s="12" t="s">
        <v>983</v>
      </c>
    </row>
    <row r="10852" customFormat="false" ht="17.15" hidden="false" customHeight="false" outlineLevel="0" collapsed="false">
      <c r="A10852" s="1" t="s">
        <v>984</v>
      </c>
      <c r="B10852" s="0" t="s">
        <v>168</v>
      </c>
      <c r="D10852" s="7" t="n">
        <f aca="false">(Sens!C10832+Sens!D10832)/(Sens!C10833+Sens!D10833)</f>
        <v>0.6</v>
      </c>
      <c r="E10852" s="7" t="n">
        <f aca="false">(Sens!D10832+Sens!E10832)/(Sens!D10833+Sens!E10833)</f>
        <v>0.6</v>
      </c>
      <c r="F10852" s="7" t="n">
        <f aca="false">(Sens!E10832+Sens!F10832)/(Sens!E10833+Sens!F10833)</f>
        <v>0.6</v>
      </c>
      <c r="G10852" s="7" t="n">
        <f aca="false">(Sens!F10832+Sens!G10832)/(Sens!F10833+Sens!G10833)</f>
        <v>0.6</v>
      </c>
      <c r="H10852" s="7" t="n">
        <f aca="false">(Sens!G10832+Sens!H10832)/(Sens!G10833+Sens!H10833)</f>
        <v>0.6</v>
      </c>
      <c r="I10852" s="7" t="n">
        <f aca="false">(Sens!H10832+Sens!I10832)/(Sens!H10833+Sens!I10833)</f>
        <v>0.6</v>
      </c>
      <c r="J10852" s="7" t="n">
        <f aca="false">(Sens!I10832+Sens!J10832)/(Sens!I10833+Sens!J10833)</f>
        <v>0.6</v>
      </c>
      <c r="K10852" s="7" t="n">
        <f aca="false">(Sens!J10832+Sens!K10832)/(Sens!J10833+Sens!K10833)</f>
        <v>0.6</v>
      </c>
    </row>
    <row r="10853" customFormat="false" ht="17.15" hidden="false" customHeight="false" outlineLevel="0" collapsed="false">
      <c r="A10853" s="0" t="s">
        <v>985</v>
      </c>
      <c r="B10853" s="0" t="s">
        <v>98</v>
      </c>
      <c r="D10853" s="6" t="n">
        <f aca="false">Sens!D10847-Sens!D10852*(Sens!D10849+Sens!D10851)-Sens!D10850</f>
        <v>8.35701406163072</v>
      </c>
      <c r="E10853" s="6" t="n">
        <f aca="false">Sens!E10847-Sens!E10852*(Sens!E10849+Sens!E10851)-Sens!E10850</f>
        <v>18.7103224860238</v>
      </c>
      <c r="F10853" s="6" t="n">
        <f aca="false">Sens!F10847-Sens!F10852*(Sens!F10849+Sens!F10851)-Sens!F10850</f>
        <v>43.2162094129388</v>
      </c>
      <c r="G10853" s="6" t="n">
        <f aca="false">Sens!G10847-Sens!G10852*(Sens!G10849+Sens!G10851)-Sens!G10850</f>
        <v>79.7204472589529</v>
      </c>
      <c r="H10853" s="6" t="n">
        <f aca="false">Sens!H10847-Sens!H10852*(Sens!H10849+Sens!H10851)-Sens!H10850</f>
        <v>122.807764331602</v>
      </c>
      <c r="I10853" s="6" t="n">
        <f aca="false">Sens!I10847-Sens!I10852*(Sens!I10849+Sens!I10851)-Sens!I10850</f>
        <v>155.390972530813</v>
      </c>
      <c r="J10853" s="6" t="n">
        <f aca="false">Sens!J10847-Sens!J10852*(Sens!J10849+Sens!J10851)-Sens!J10850</f>
        <v>178.197668553178</v>
      </c>
      <c r="K10853" s="6" t="n">
        <f aca="false">Sens!K10847-Sens!K10852*(Sens!K10849+Sens!K10851)-Sens!K10850</f>
        <v>192.726586741959</v>
      </c>
    </row>
    <row r="10854" customFormat="false" ht="17.15" hidden="false" customHeight="false" outlineLevel="0" collapsed="false">
      <c r="A10854" s="1" t="s">
        <v>986</v>
      </c>
      <c r="B10854" s="0" t="s">
        <v>98</v>
      </c>
      <c r="D10854" s="6" t="n">
        <f aca="false">(1-Sens!D10852)*(Sens!D10849+Sens!D10851)</f>
        <v>1.42281025374069</v>
      </c>
      <c r="E10854" s="6" t="n">
        <f aca="false">(1-Sens!E10852)*(Sens!E10849+Sens!E10851)</f>
        <v>3.25095598674472</v>
      </c>
      <c r="F10854" s="6" t="n">
        <f aca="false">(1-Sens!F10852)*(Sens!F10849+Sens!F10851)</f>
        <v>6.72135810147489</v>
      </c>
      <c r="G10854" s="6" t="n">
        <f aca="false">(1-Sens!G10852)*(Sens!G10849+Sens!G10851)</f>
        <v>11.3401410201637</v>
      </c>
      <c r="H10854" s="6" t="n">
        <f aca="false">(1-Sens!H10852)*(Sens!H10849+Sens!H10851)</f>
        <v>16.1920771049557</v>
      </c>
      <c r="I10854" s="6" t="n">
        <f aca="false">(1-Sens!I10852)*(Sens!I10849+Sens!I10851)</f>
        <v>20.3917774400264</v>
      </c>
      <c r="J10854" s="6" t="n">
        <f aca="false">(1-Sens!J10852)*(Sens!J10849+Sens!J10851)</f>
        <v>23.2503960207104</v>
      </c>
      <c r="K10854" s="6" t="n">
        <f aca="false">(1-Sens!K10852)*(Sens!K10849+Sens!K10851)</f>
        <v>24.8730801087085</v>
      </c>
    </row>
    <row r="10855" customFormat="false" ht="17.15" hidden="false" customHeight="false" outlineLevel="0" collapsed="false">
      <c r="A10855" s="1" t="s">
        <v>987</v>
      </c>
      <c r="B10855" s="0" t="s">
        <v>414</v>
      </c>
      <c r="C10855" s="8" t="n">
        <f aca="false">cxit_open</f>
        <v>27.5918995</v>
      </c>
      <c r="D10855" s="8" t="n">
        <f aca="false">cxit_open</f>
        <v>27.5918995</v>
      </c>
      <c r="E10855" s="8" t="n">
        <f aca="false">cxit_open</f>
        <v>27.5918995</v>
      </c>
      <c r="F10855" s="8" t="n">
        <f aca="false">((a_g3_27-nonnv*a_mai)*tk_cxit_gb300+nonnv*a_mai*nv_hold_mai*tk_cxit_vr200+(1-a_g3_27)*tk_cxit_vr200)</f>
        <v>32.4975576</v>
      </c>
      <c r="G10855" s="8" t="n">
        <f aca="false">((a_g3_28-nonnv*a_mai)*tk_cxit_gb300+nonnv*a_mai*nv_hold_mai*tk_cxit_vr200+(1-a_g3_28)*tk_cxit_vr200)</f>
        <v>34.6372088</v>
      </c>
      <c r="H10855" s="8" t="n">
        <f aca="false">((a_g3_29-nonnv*a_mai)*tk_cxit_gb300+nonnv*a_mai*nv_hold_mai*tk_cxit_vr200+(1-a_g3_29)*tk_cxit_vr200)</f>
        <v>35.7070344</v>
      </c>
      <c r="I10855" s="8" t="n">
        <f aca="false">((a_g3_29-nonnv*a_mai)*tk_cxit_gb300+nonnv*a_mai*nv_hold_mai*tk_cxit_vr200+(1-a_g3_29)*tk_cxit_vr200)</f>
        <v>35.7070344</v>
      </c>
      <c r="J10855" s="8" t="n">
        <f aca="false">((a_g3_29-nonnv*a_mai)*tk_cxit_gb300+nonnv*a_mai*nv_hold_mai*tk_cxit_vr200+(1-a_g3_29)*tk_cxit_vr200)</f>
        <v>35.7070344</v>
      </c>
      <c r="K10855" s="8" t="n">
        <f aca="false">((a_g3_29-nonnv*a_mai)*tk_cxit_gb300+nonnv*a_mai*nv_hold_mai*tk_cxit_vr200+(1-a_g3_29)*tk_cxit_vr200)</f>
        <v>35.7070344</v>
      </c>
      <c r="L10855" s="12" t="s">
        <v>988</v>
      </c>
    </row>
    <row r="10856" customFormat="false" ht="17.15" hidden="false" customHeight="false" outlineLevel="0" collapsed="false">
      <c r="A10856" s="0" t="s">
        <v>989</v>
      </c>
      <c r="B10856" s="0" t="s">
        <v>456</v>
      </c>
      <c r="F10856" s="30" t="n">
        <f aca="false">Sens!C10835*IF(Sens!F10828-Sens!C10828=life_it,1,0)+Sens!D10835*IF(Sens!F10828-Sens!D10828=life_it,1,0)+Sens!E10835*IF(Sens!F10828-Sens!E10828=life_it,1,0)</f>
        <v>0</v>
      </c>
      <c r="G10856" s="30" t="n">
        <f aca="false">Sens!C10835*IF(Sens!G10828-Sens!C10828=life_it,1,0)+Sens!D10835*IF(Sens!G10828-Sens!D10828=life_it,1,0)+Sens!E10835*IF(Sens!G10828-Sens!E10828=life_it,1,0)+Sens!F10835*IF(Sens!G10828-Sens!F10828=life_it,1,0)</f>
        <v>0</v>
      </c>
      <c r="H10856" s="30" t="n">
        <f aca="false">Sens!C10835*IF(Sens!H10828-Sens!C10828=life_it,1,0)+Sens!D10835*IF(Sens!H10828-Sens!D10828=life_it,1,0)+Sens!E10835*IF(Sens!H10828-Sens!E10828=life_it,1,0)+Sens!F10835*IF(Sens!H10828-Sens!F10828=life_it,1,0)+Sens!G10835*IF(Sens!H10828-Sens!G10828=life_it,1,0)</f>
        <v>0</v>
      </c>
      <c r="I10856" s="30" t="n">
        <f aca="false">Sens!C10835*IF(Sens!I10828-Sens!C10828=life_it,1,0)+Sens!D10835*IF(Sens!I10828-Sens!D10828=life_it,1,0)+Sens!E10835*IF(Sens!I10828-Sens!E10828=life_it,1,0)+Sens!F10835*IF(Sens!I10828-Sens!F10828=life_it,1,0)+Sens!G10835*IF(Sens!I10828-Sens!G10828=life_it,1,0)+Sens!H10835*IF(Sens!I10828-Sens!H10828=life_it,1,0)</f>
        <v>816.666666666667</v>
      </c>
      <c r="J10856" s="30" t="n">
        <f aca="false">Sens!C10835*IF(Sens!J10828-Sens!C10828=life_it,1,0)+Sens!D10835*IF(Sens!J10828-Sens!D10828=life_it,1,0)+Sens!E10835*IF(Sens!J10828-Sens!E10828=life_it,1,0)+Sens!F10835*IF(Sens!J10828-Sens!F10828=life_it,1,0)+Sens!G10835*IF(Sens!J10828-Sens!G10828=life_it,1,0)+Sens!H10835*IF(Sens!J10828-Sens!H10828=life_it,1,0)+Sens!I10835*IF(Sens!J10828-Sens!I10828=life_it,1,0)</f>
        <v>1233.33333333333</v>
      </c>
      <c r="K10856" s="30" t="n">
        <f aca="false">Sens!C10835*IF(Sens!K10828-Sens!C10828=life_it,1,0)+Sens!D10835*IF(Sens!K10828-Sens!D10828=life_it,1,0)+Sens!E10835*IF(Sens!K10828-Sens!E10828=life_it,1,0)+Sens!F10835*IF(Sens!K10828-Sens!F10828=life_it,1,0)+Sens!G10835*IF(Sens!K10828-Sens!G10828=life_it,1,0)+Sens!H10835*IF(Sens!K10828-Sens!H10828=life_it,1,0)+Sens!I10835*IF(Sens!K10828-Sens!I10828=life_it,1,0)+Sens!J10835*IF(Sens!K10828-Sens!J10828=life_it,1,0)</f>
        <v>2450</v>
      </c>
      <c r="L10856" s="1" t="s">
        <v>990</v>
      </c>
    </row>
    <row r="10857" customFormat="false" ht="17.15" hidden="false" customHeight="false" outlineLevel="0" collapsed="false">
      <c r="A10857" s="0" t="s">
        <v>991</v>
      </c>
      <c r="B10857" s="0" t="s">
        <v>98</v>
      </c>
      <c r="C10857" s="6" t="n">
        <f aca="false">Sens!C10835*Sens!C10855/1000</f>
        <v>22.5333845916667</v>
      </c>
      <c r="D10857" s="6" t="n">
        <f aca="false">Sens!D10835*Sens!D10855/1000</f>
        <v>34.0300093833333</v>
      </c>
      <c r="E10857" s="6" t="n">
        <f aca="false">Sens!E10835*Sens!E10855/1000</f>
        <v>67.600153775</v>
      </c>
      <c r="F10857" s="6" t="n">
        <f aca="false">(Sens!F10835+Sens!F10856)*Sens!F10855/1000</f>
        <v>136.51872432512</v>
      </c>
      <c r="G10857" s="6" t="n">
        <f aca="false">(Sens!G10835+Sens!G10856)*Sens!G10855/1000</f>
        <v>157.399275932048</v>
      </c>
      <c r="H10857" s="6" t="n">
        <f aca="false">(Sens!H10835+Sens!H10856)*Sens!H10855/1000</f>
        <v>162.260804347512</v>
      </c>
      <c r="I10857" s="6" t="n">
        <f aca="false">(Sens!I10835+Sens!I10856)*Sens!I10855/1000</f>
        <v>144.136569485434</v>
      </c>
      <c r="J10857" s="6" t="n">
        <f aca="false">(Sens!J10835+Sens!J10856)*Sens!J10855/1000</f>
        <v>114.029037357864</v>
      </c>
      <c r="K10857" s="6" t="n">
        <f aca="false">(Sens!K10835+Sens!K10856)*Sens!K10855/1000</f>
        <v>113.437085350975</v>
      </c>
    </row>
    <row r="10858" customFormat="false" ht="17.15" hidden="false" customHeight="false" outlineLevel="0" collapsed="false">
      <c r="A10858" s="0" t="s">
        <v>992</v>
      </c>
      <c r="B10858" s="0" t="s">
        <v>98</v>
      </c>
      <c r="C10858" s="6" t="n">
        <f aca="false">Sens!C10835*self_build*tk_cxfac/1000</f>
        <v>6.2083</v>
      </c>
      <c r="D10858" s="6" t="n">
        <f aca="false">Sens!D10835*self_build*tk_cxfac/1000</f>
        <v>9.3758</v>
      </c>
      <c r="E10858" s="6" t="n">
        <f aca="false">Sens!E10835*self_build*tk_cxfac/1000</f>
        <v>18.6249</v>
      </c>
      <c r="F10858" s="6" t="n">
        <f aca="false">Sens!F10835*self_build*tk_cxfac/1000</f>
        <v>31.935179717</v>
      </c>
      <c r="G10858" s="6" t="n">
        <f aca="false">Sens!G10835*self_build*tk_cxfac/1000</f>
        <v>34.545199717</v>
      </c>
      <c r="H10858" s="6" t="n">
        <f aca="false">Sens!H10835*self_build*tk_cxfac/1000</f>
        <v>34.545199717</v>
      </c>
      <c r="I10858" s="6" t="n">
        <f aca="false">Sens!I10835*self_build*tk_cxfac/1000</f>
        <v>24.4782641361767</v>
      </c>
      <c r="J10858" s="6" t="n">
        <f aca="false">Sens!J10835*self_build*tk_cxfac/1000</f>
        <v>14.9008938380769</v>
      </c>
      <c r="K10858" s="6" t="n">
        <f aca="false">Sens!K10835*self_build*tk_cxfac/1000</f>
        <v>5.52576771375761</v>
      </c>
    </row>
    <row r="10859" customFormat="false" ht="17.15" hidden="false" customHeight="false" outlineLevel="0" collapsed="false">
      <c r="A10859" s="0" t="s">
        <v>993</v>
      </c>
      <c r="B10859" s="0" t="s">
        <v>98</v>
      </c>
      <c r="F10859" s="15" t="n">
        <f aca="false">capex_floor27-Sens!F10857-Sens!F10858-Sens!F10955</f>
        <v>0.0400202452575584</v>
      </c>
      <c r="L10859" s="12" t="s">
        <v>994</v>
      </c>
    </row>
    <row r="10860" customFormat="false" ht="17.15" hidden="false" customHeight="false" outlineLevel="0" collapsed="false">
      <c r="A10860" s="0" t="s">
        <v>995</v>
      </c>
      <c r="B10860" s="0" t="s">
        <v>98</v>
      </c>
      <c r="F10860" s="6" t="n">
        <f aca="false">MAX(0,Sens!F10859)</f>
        <v>0.0400202452575584</v>
      </c>
    </row>
    <row r="10861" customFormat="false" ht="17.15" hidden="false" customHeight="false" outlineLevel="0" collapsed="false">
      <c r="A10861" s="0" t="s">
        <v>996</v>
      </c>
      <c r="B10861" s="0" t="s">
        <v>98</v>
      </c>
      <c r="C10861" s="6" t="n">
        <f aca="false">Sens!C10857</f>
        <v>22.5333845916667</v>
      </c>
      <c r="D10861" s="6" t="n">
        <f aca="false">Sens!D10857</f>
        <v>34.0300093833333</v>
      </c>
      <c r="E10861" s="6" t="n">
        <f aca="false">Sens!E10857</f>
        <v>67.600153775</v>
      </c>
      <c r="F10861" s="6" t="n">
        <f aca="false">Sens!F10857</f>
        <v>136.51872432512</v>
      </c>
      <c r="G10861" s="6" t="n">
        <f aca="false">Sens!G10857</f>
        <v>157.399275932048</v>
      </c>
      <c r="H10861" s="6" t="n">
        <f aca="false">Sens!H10857</f>
        <v>162.260804347512</v>
      </c>
      <c r="I10861" s="6" t="n">
        <f aca="false">Sens!I10857</f>
        <v>144.136569485434</v>
      </c>
      <c r="J10861" s="6" t="n">
        <f aca="false">Sens!J10857</f>
        <v>114.029037357864</v>
      </c>
      <c r="K10861" s="6" t="n">
        <f aca="false">Sens!K10857</f>
        <v>113.437085350975</v>
      </c>
    </row>
    <row r="10862" customFormat="false" ht="17.15" hidden="false" customHeight="false" outlineLevel="0" collapsed="false">
      <c r="A10862" s="0" t="s">
        <v>997</v>
      </c>
      <c r="B10862" s="0" t="s">
        <v>98</v>
      </c>
      <c r="C10862" s="6" t="n">
        <f aca="false">Sens!C10861+Sens!C10858</f>
        <v>28.7416845916667</v>
      </c>
      <c r="D10862" s="6" t="n">
        <f aca="false">Sens!D10861+Sens!D10858</f>
        <v>43.4058093833333</v>
      </c>
      <c r="E10862" s="6" t="n">
        <f aca="false">Sens!E10861+Sens!E10858</f>
        <v>86.225053775</v>
      </c>
      <c r="F10862" s="6" t="n">
        <f aca="false">Sens!F10861+Sens!F10858</f>
        <v>168.45390404212</v>
      </c>
      <c r="G10862" s="6" t="n">
        <f aca="false">Sens!G10861+Sens!G10858</f>
        <v>191.944475649048</v>
      </c>
      <c r="H10862" s="6" t="n">
        <f aca="false">Sens!H10861+Sens!H10858</f>
        <v>196.806004064512</v>
      </c>
      <c r="I10862" s="6" t="n">
        <f aca="false">Sens!I10861+Sens!I10858</f>
        <v>168.61483362161</v>
      </c>
      <c r="J10862" s="6" t="n">
        <f aca="false">Sens!J10861+Sens!J10858</f>
        <v>128.92993119594</v>
      </c>
      <c r="K10862" s="6" t="n">
        <f aca="false">Sens!K10861+Sens!K10858</f>
        <v>118.962853064733</v>
      </c>
      <c r="L10862" s="12" t="s">
        <v>998</v>
      </c>
    </row>
    <row r="10863" customFormat="false" ht="17.15" hidden="false" customHeight="false" outlineLevel="0" collapsed="false">
      <c r="A10863" s="0" t="s">
        <v>999</v>
      </c>
      <c r="B10863" s="0" t="s">
        <v>98</v>
      </c>
      <c r="E10863" s="6" t="n">
        <f aca="false">(Sens!C10861*IF(2&lt;life_it,1,IF(2=life_it,0.5,0))+Sens!D10861*IF(1&lt;life_it,1,IF(1=life_it,0.5,0))+Sens!E10861*0.5)/life_it</f>
        <v>15.0605784770833</v>
      </c>
      <c r="F10863" s="6" t="n">
        <f aca="false">(Sens!C10861*IF(3&lt;life_it,1,IF(3=life_it,0.5,0))+Sens!D10861*IF(2&lt;life_it,1,IF(2=life_it,0.5,0))+Sens!E10861*IF(1&lt;life_it,1,IF(1=life_it,0.5,0))+Sens!F10861*0.5)/life_it</f>
        <v>32.0704849854266</v>
      </c>
      <c r="G10863" s="6" t="n">
        <f aca="false">(Sens!C10861*IF(4&lt;life_it,1,IF(4=life_it,0.5,0))+Sens!D10861*IF(3&lt;life_it,1,IF(3=life_it,0.5,0))+Sens!E10861*IF(2&lt;life_it,1,IF(2=life_it,0.5,0))+Sens!F10861*IF(1&lt;life_it,1,IF(1=life_it,0.5,0))+Sens!G10861*0.5)/life_it</f>
        <v>56.5636516735239</v>
      </c>
      <c r="H10863" s="6" t="n">
        <f aca="false">(Sens!C10861*IF(5&lt;life_it,1,IF(5=life_it,0.5,0))+Sens!D10861*IF(4&lt;life_it,1,IF(4=life_it,0.5,0))+Sens!E10861*IF(3&lt;life_it,1,IF(3=life_it,0.5,0))+Sens!F10861*IF(2&lt;life_it,1,IF(2=life_it,0.5,0))+Sens!G10861*IF(1&lt;life_it,1,IF(1=life_it,0.5,0))+Sens!H10861*0.5)/life_it</f>
        <v>83.2019916968207</v>
      </c>
      <c r="I10863" s="6" t="n">
        <f aca="false">(Sens!C10861*IF(6&lt;life_it,1,IF(6=life_it,0.5,0))+Sens!D10861*IF(5&lt;life_it,1,IF(5=life_it,0.5,0))+Sens!E10861*IF(4&lt;life_it,1,IF(4=life_it,0.5,0))+Sens!F10861*IF(3&lt;life_it,1,IF(3=life_it,0.5,0))+Sens!G10861*IF(2&lt;life_it,1,IF(2=life_it,0.5,0))+Sens!H10861*IF(1&lt;life_it,1,IF(1=life_it,0.5,0))+Sens!I10861*0.5)/life_it</f>
        <v>106.857324133594</v>
      </c>
      <c r="J10863" s="6" t="n">
        <f aca="false">(Sens!C10861*IF(7&lt;life_it,1,IF(7=life_it,0.5,0))+Sens!D10861*IF(6&lt;life_it,1,IF(6=life_it,0.5,0))+Sens!E10861*IF(5&lt;life_it,1,IF(5=life_it,0.5,0))+Sens!F10861*IF(4&lt;life_it,1,IF(4=life_it,0.5,0))+Sens!G10861*IF(3&lt;life_it,1,IF(3=life_it,0.5,0))+Sens!H10861*IF(2&lt;life_it,1,IF(2=life_it,0.5,0))+Sens!I10861*IF(1&lt;life_it,1,IF(1=life_it,0.5,0))+Sens!J10861*0.5)/life_it</f>
        <v>123.657508539285</v>
      </c>
      <c r="K10863" s="6" t="n">
        <f aca="false">(Sens!C10861*IF(8&lt;life_it,1,IF(8=life_it,0.5,0))+Sens!D10861*IF(7&lt;life_it,1,IF(7=life_it,0.5,0))+Sens!E10861*IF(6&lt;life_it,1,IF(6=life_it,0.5,0))+Sens!F10861*IF(5&lt;life_it,1,IF(5=life_it,0.5,0))+Sens!G10861*IF(4&lt;life_it,1,IF(4=life_it,0.5,0))+Sens!H10861*IF(3&lt;life_it,1,IF(3=life_it,0.5,0))+Sens!I10861*IF(2&lt;life_it,1,IF(2=life_it,0.5,0))+Sens!J10861*IF(1&lt;life_it,1,IF(1=life_it,0.5,0))+Sens!K10861*0.5)/life_it</f>
        <v>134.143838501827</v>
      </c>
    </row>
    <row r="10864" customFormat="false" ht="17.15" hidden="false" customHeight="false" outlineLevel="0" collapsed="false">
      <c r="A10864" s="0" t="s">
        <v>1000</v>
      </c>
      <c r="B10864" s="0" t="s">
        <v>98</v>
      </c>
      <c r="E10864" s="6" t="n">
        <f aca="false">(Sens!C10858*IF(2&lt;life_fac,1,IF(2=life_fac,0.5,0))+Sens!D10858*IF(1&lt;life_fac,1,IF(1=life_fac,0.5,0))+Sens!E10858*0.5)/life_fac</f>
        <v>1.2448275</v>
      </c>
      <c r="F10864" s="6" t="n">
        <f aca="false">(Sens!C10858*IF(3&lt;life_fac,1,IF(3=life_fac,0.5,0))+Sens!D10858*IF(2&lt;life_fac,1,IF(2=life_fac,0.5,0))+Sens!E10858*IF(1&lt;life_fac,1,IF(1=life_fac,0.5,0))+Sens!F10858*0.5)/life_fac</f>
        <v>2.508829492925</v>
      </c>
      <c r="G10864" s="6" t="n">
        <f aca="false">(Sens!C10858*IF(4&lt;life_fac,1,IF(4=life_fac,0.5,0))+Sens!D10858*IF(3&lt;life_fac,1,IF(3=life_fac,0.5,0))+Sens!E10858*IF(2&lt;life_fac,1,IF(2=life_fac,0.5,0))+Sens!F10858*IF(1&lt;life_fac,1,IF(1=life_fac,0.5,0))+Sens!G10858*0.5)/life_fac</f>
        <v>4.170838978775</v>
      </c>
      <c r="H10864" s="6" t="n">
        <f aca="false">(Sens!C10858*IF(5&lt;life_fac,1,IF(5=life_fac,0.5,0))+Sens!D10858*IF(4&lt;life_fac,1,IF(4=life_fac,0.5,0))+Sens!E10858*IF(3&lt;life_fac,1,IF(3=life_fac,0.5,0))+Sens!F10858*IF(2&lt;life_fac,1,IF(2=life_fac,0.5,0))+Sens!G10858*IF(1&lt;life_fac,1,IF(1=life_fac,0.5,0))+Sens!H10858*0.5)/life_fac</f>
        <v>5.898098964625</v>
      </c>
      <c r="I10864" s="6" t="n">
        <f aca="false">(Sens!C10858*IF(6&lt;life_fac,1,IF(6=life_fac,0.5,0))+Sens!D10858*IF(5&lt;life_fac,1,IF(5=life_fac,0.5,0))+Sens!E10858*IF(4&lt;life_fac,1,IF(4=life_fac,0.5,0))+Sens!F10858*IF(3&lt;life_fac,1,IF(3=life_fac,0.5,0))+Sens!G10858*IF(2&lt;life_fac,1,IF(2=life_fac,0.5,0))+Sens!H10858*IF(1&lt;life_fac,1,IF(1=life_fac,0.5,0))+Sens!I10858*0.5)/life_fac</f>
        <v>7.37368556095442</v>
      </c>
      <c r="J10864" s="6" t="n">
        <f aca="false">(Sens!C10858*IF(7&lt;life_fac,1,IF(7=life_fac,0.5,0))+Sens!D10858*IF(6&lt;life_fac,1,IF(6=life_fac,0.5,0))+Sens!E10858*IF(5&lt;life_fac,1,IF(5=life_fac,0.5,0))+Sens!F10858*IF(4&lt;life_fac,1,IF(4=life_fac,0.5,0))+Sens!G10858*IF(3&lt;life_fac,1,IF(3=life_fac,0.5,0))+Sens!H10858*IF(2&lt;life_fac,1,IF(2=life_fac,0.5,0))+Sens!I10858*IF(1&lt;life_fac,1,IF(1=life_fac,0.5,0))+Sens!J10858*0.5)/life_fac</f>
        <v>8.35816451031075</v>
      </c>
      <c r="K10864" s="6" t="n">
        <f aca="false">(Sens!C10858*IF(8&lt;life_fac,1,IF(8=life_fac,0.5,0))+Sens!D10858*IF(7&lt;life_fac,1,IF(7=life_fac,0.5,0))+Sens!E10858*IF(6&lt;life_fac,1,IF(6=life_fac,0.5,0))+Sens!F10858*IF(5&lt;life_fac,1,IF(5=life_fac,0.5,0))+Sens!G10858*IF(4&lt;life_fac,1,IF(4=life_fac,0.5,0))+Sens!H10858*IF(3&lt;life_fac,1,IF(3=life_fac,0.5,0))+Sens!I10858*IF(2&lt;life_fac,1,IF(2=life_fac,0.5,0))+Sens!J10858*IF(1&lt;life_fac,1,IF(1=life_fac,0.5,0))+Sens!K10858*0.5)/life_fac</f>
        <v>8.86883104910662</v>
      </c>
    </row>
    <row r="10865" customFormat="false" ht="17.15" hidden="false" customHeight="false" outlineLevel="0" collapsed="false">
      <c r="A10865" s="0" t="s">
        <v>1001</v>
      </c>
      <c r="B10865" s="0" t="s">
        <v>98</v>
      </c>
      <c r="E10865" s="6" t="n">
        <f aca="false">Sens!E10863+Sens!E10864</f>
        <v>16.3054059770833</v>
      </c>
      <c r="F10865" s="6" t="n">
        <f aca="false">Sens!F10863+Sens!F10864</f>
        <v>34.5793144783516</v>
      </c>
      <c r="G10865" s="6" t="n">
        <f aca="false">Sens!G10863+Sens!G10864</f>
        <v>60.7344906522989</v>
      </c>
      <c r="H10865" s="6" t="n">
        <f aca="false">Sens!H10863+Sens!H10864</f>
        <v>89.1000906614457</v>
      </c>
      <c r="I10865" s="6" t="n">
        <f aca="false">Sens!I10863+Sens!I10864</f>
        <v>114.231009694548</v>
      </c>
      <c r="J10865" s="6" t="n">
        <f aca="false">Sens!J10863+Sens!J10864</f>
        <v>132.015673049596</v>
      </c>
      <c r="K10865" s="6" t="n">
        <f aca="false">Sens!K10863+Sens!K10864</f>
        <v>143.012669550934</v>
      </c>
    </row>
    <row r="10866" customFormat="false" ht="17.15" hidden="false" customHeight="false" outlineLevel="0" collapsed="false">
      <c r="A10866" s="0" t="s">
        <v>1002</v>
      </c>
      <c r="B10866" s="0" t="s">
        <v>98</v>
      </c>
      <c r="E10866" s="6" t="n">
        <f aca="false">Sens!E10853-Sens!E10852*Sens!E10865</f>
        <v>8.92707889977379</v>
      </c>
      <c r="F10866" s="6" t="n">
        <f aca="false">Sens!F10853-Sens!F10852*Sens!F10865</f>
        <v>22.4686207259278</v>
      </c>
      <c r="G10866" s="6" t="n">
        <f aca="false">Sens!G10853-Sens!G10852*Sens!G10865</f>
        <v>43.2797528675735</v>
      </c>
      <c r="H10866" s="6" t="n">
        <f aca="false">Sens!H10853-Sens!H10852*Sens!H10865</f>
        <v>69.3477099347341</v>
      </c>
      <c r="I10866" s="6" t="n">
        <f aca="false">Sens!I10853-Sens!I10852*Sens!I10865</f>
        <v>86.8523667140836</v>
      </c>
      <c r="J10866" s="6" t="n">
        <f aca="false">Sens!J10853-Sens!J10852*Sens!J10865</f>
        <v>98.9882647234202</v>
      </c>
      <c r="K10866" s="6" t="n">
        <f aca="false">Sens!K10853-Sens!K10852*Sens!K10865</f>
        <v>106.918985011399</v>
      </c>
    </row>
    <row r="10867" customFormat="false" ht="17.15" hidden="false" customHeight="false" outlineLevel="0" collapsed="false">
      <c r="A10867" s="3" t="s">
        <v>1751</v>
      </c>
    </row>
    <row r="10868" customFormat="false" ht="15" hidden="false" customHeight="false" outlineLevel="0" collapsed="false">
      <c r="A10868" s="4" t="s">
        <v>43</v>
      </c>
      <c r="B10868" s="4" t="s">
        <v>65</v>
      </c>
      <c r="C10868" s="23" t="s">
        <v>938</v>
      </c>
      <c r="D10868" s="23" t="s">
        <v>939</v>
      </c>
      <c r="E10868" s="23" t="s">
        <v>940</v>
      </c>
      <c r="F10868" s="23" t="s">
        <v>941</v>
      </c>
      <c r="G10868" s="23" t="s">
        <v>942</v>
      </c>
      <c r="H10868" s="23" t="s">
        <v>943</v>
      </c>
      <c r="I10868" s="23" t="s">
        <v>944</v>
      </c>
      <c r="J10868" s="23" t="s">
        <v>945</v>
      </c>
      <c r="K10868" s="23" t="s">
        <v>946</v>
      </c>
      <c r="L10868" s="4" t="s">
        <v>47</v>
      </c>
    </row>
    <row r="10869" customFormat="false" ht="17.15" hidden="false" customHeight="false" outlineLevel="0" collapsed="false">
      <c r="A10869" s="0" t="s">
        <v>1021</v>
      </c>
      <c r="B10869" s="0" t="s">
        <v>98</v>
      </c>
      <c r="D10869" s="6" t="n">
        <f aca="false">Sens!D10847</f>
        <v>12.9359794422418</v>
      </c>
      <c r="E10869" s="6" t="n">
        <f aca="false">Sens!E10847</f>
        <v>27.8095064661409</v>
      </c>
      <c r="F10869" s="6" t="n">
        <f aca="false">Sens!F10847</f>
        <v>59.1034165651511</v>
      </c>
      <c r="G10869" s="6" t="n">
        <f aca="false">Sens!G10847</f>
        <v>103.451498789198</v>
      </c>
      <c r="H10869" s="6" t="n">
        <f aca="false">Sens!H10847</f>
        <v>153.816719989035</v>
      </c>
      <c r="I10869" s="6" t="n">
        <f aca="false">Sens!I10847</f>
        <v>192.699478690852</v>
      </c>
      <c r="J10869" s="6" t="n">
        <f aca="false">Sens!J10847</f>
        <v>219.794102584244</v>
      </c>
      <c r="K10869" s="6" t="n">
        <f aca="false">Sens!K10847</f>
        <v>236.757046905022</v>
      </c>
    </row>
    <row r="10870" customFormat="false" ht="17.15" hidden="false" customHeight="false" outlineLevel="0" collapsed="false">
      <c r="A10870" s="0" t="s">
        <v>1022</v>
      </c>
      <c r="B10870" s="0" t="s">
        <v>98</v>
      </c>
      <c r="D10870" s="6" t="n">
        <f aca="false">Q!L6-Sens!D10869</f>
        <v>59.6740205577583</v>
      </c>
      <c r="E10870" s="6" t="n">
        <f aca="false">Q!M6-Sens!E10869</f>
        <v>74.1284935338591</v>
      </c>
      <c r="F10870" s="6" t="n">
        <f aca="false">Q!$I$6+(Sens!F10869+Sens!E10870*(1+Sens!F10871))*(1-Q!$E$6/Q!M6)-Sens!F10869</f>
        <v>90.4866018070994</v>
      </c>
      <c r="G10870" s="6" t="n">
        <f aca="false">Sens!F10870*(1+Sens!G10871)</f>
        <v>107.511588557154</v>
      </c>
      <c r="H10870" s="6" t="n">
        <f aca="false">Sens!G10870*(1+Sens!H10871)</f>
        <v>124.832989325489</v>
      </c>
      <c r="I10870" s="6" t="n">
        <f aca="false">Sens!H10870*(1+Sens!I10871)</f>
        <v>141.56992589148</v>
      </c>
      <c r="J10870" s="6" t="n">
        <f aca="false">Sens!I10870*(1+Sens!J10871)</f>
        <v>156.723190479428</v>
      </c>
      <c r="K10870" s="6" t="n">
        <f aca="false">Sens!J10870*(1+Sens!K10871)</f>
        <v>169.261045717783</v>
      </c>
      <c r="L10870" s="12" t="s">
        <v>1023</v>
      </c>
    </row>
    <row r="10871" customFormat="false" ht="15" hidden="false" customHeight="false" outlineLevel="0" collapsed="false">
      <c r="A10871" s="1" t="s">
        <v>1024</v>
      </c>
      <c r="B10871" s="0" t="s">
        <v>168</v>
      </c>
      <c r="E10871" s="7" t="n">
        <f aca="false">Sens!E10870/Sens!D10870-1</f>
        <v>0.242223883039864</v>
      </c>
      <c r="F10871" s="7" t="n">
        <f aca="false">Sens!$E$10871+(glt_azo-Sens!$E$10871)*MIN(1,(Sens!F10828-base_fy)/n_conv)</f>
        <v>0.215186569199887</v>
      </c>
      <c r="G10871" s="7" t="n">
        <f aca="false">Sens!$E$10871+(glt_azo-Sens!$E$10871)*MIN(1,(Sens!G10828-base_fy)/n_conv)</f>
        <v>0.18814925535991</v>
      </c>
      <c r="H10871" s="7" t="n">
        <f aca="false">Sens!$E$10871+(glt_azo-Sens!$E$10871)*MIN(1,(Sens!H10828-base_fy)/n_conv)</f>
        <v>0.161111941519932</v>
      </c>
      <c r="I10871" s="7" t="n">
        <f aca="false">Sens!$E$10871+(glt_azo-Sens!$E$10871)*MIN(1,(Sens!I10828-base_fy)/n_conv)</f>
        <v>0.134074627679955</v>
      </c>
      <c r="J10871" s="7" t="n">
        <f aca="false">Sens!$E$10871+(glt_azo-Sens!$E$10871)*MIN(1,(Sens!J10828-base_fy)/n_conv)</f>
        <v>0.107037313839977</v>
      </c>
      <c r="K10871" s="7" t="n">
        <f aca="false">Sens!$E$10871+(glt_azo-Sens!$E$10871)*MIN(1,(Sens!K10828-base_fy)/n_conv)</f>
        <v>0.08</v>
      </c>
    </row>
    <row r="10872" customFormat="false" ht="15" hidden="false" customHeight="false" outlineLevel="0" collapsed="false">
      <c r="A10872" s="0" t="s">
        <v>1025</v>
      </c>
      <c r="B10872" s="0" t="s">
        <v>98</v>
      </c>
      <c r="D10872" s="6" t="n">
        <f aca="false">Sens!D10869+Sens!D10870</f>
        <v>72.61</v>
      </c>
      <c r="E10872" s="6" t="n">
        <f aca="false">Sens!E10869+Sens!E10870</f>
        <v>101.938</v>
      </c>
      <c r="F10872" s="6" t="n">
        <f aca="false">Sens!F10869+Sens!F10870</f>
        <v>149.59001837225</v>
      </c>
      <c r="G10872" s="6" t="n">
        <f aca="false">Sens!G10869+Sens!G10870</f>
        <v>210.963087346352</v>
      </c>
      <c r="H10872" s="6" t="n">
        <f aca="false">Sens!H10869+Sens!H10870</f>
        <v>278.649709314524</v>
      </c>
      <c r="I10872" s="6" t="n">
        <f aca="false">Sens!I10869+Sens!I10870</f>
        <v>334.269404582332</v>
      </c>
      <c r="J10872" s="6" t="n">
        <f aca="false">Sens!J10869+Sens!J10870</f>
        <v>376.517293063672</v>
      </c>
      <c r="K10872" s="6" t="n">
        <f aca="false">Sens!K10869+Sens!K10870</f>
        <v>406.018092622804</v>
      </c>
    </row>
    <row r="10873" customFormat="false" ht="17.15" hidden="false" customHeight="false" outlineLevel="0" collapsed="false">
      <c r="A10873" s="0" t="s">
        <v>1026</v>
      </c>
      <c r="B10873" s="1" t="s">
        <v>610</v>
      </c>
      <c r="C10873" s="30" t="n">
        <f aca="false">cop_s24</f>
        <v>1</v>
      </c>
      <c r="D10873" s="30" t="n">
        <f aca="false">cop_s25</f>
        <v>5</v>
      </c>
      <c r="E10873" s="30" t="n">
        <f aca="false">cop_s26</f>
        <v>30</v>
      </c>
      <c r="F10873" s="30" t="n">
        <f aca="false">Sens!E10873+cop_add_A</f>
        <v>60</v>
      </c>
      <c r="G10873" s="30" t="n">
        <f aca="false">Sens!F10873+cop_add_A</f>
        <v>90</v>
      </c>
      <c r="H10873" s="30" t="n">
        <f aca="false">Sens!G10873+cop_add_A</f>
        <v>120</v>
      </c>
      <c r="I10873" s="30" t="n">
        <f aca="false">Sens!H10873+cop_add_A*cop_tail</f>
        <v>135</v>
      </c>
      <c r="J10873" s="30" t="n">
        <f aca="false">Sens!I10873+cop_add_A*cop_tail</f>
        <v>150</v>
      </c>
      <c r="K10873" s="30" t="n">
        <f aca="false">Sens!J10873+cop_add_A*cop_tail</f>
        <v>165</v>
      </c>
      <c r="L10873" s="12" t="s">
        <v>1027</v>
      </c>
    </row>
    <row r="10874" customFormat="false" ht="17.15" hidden="false" customHeight="false" outlineLevel="0" collapsed="false">
      <c r="A10874" s="0" t="s">
        <v>1028</v>
      </c>
      <c r="B10874" s="0" t="s">
        <v>98</v>
      </c>
      <c r="D10874" s="6" t="n">
        <f aca="false">(Sens!C10873+Sens!D10873)/2*cop_px*12/1000</f>
        <v>0.9</v>
      </c>
      <c r="E10874" s="6" t="n">
        <f aca="false">(Sens!D10873+Sens!E10873)/2*cop_px*12/1000</f>
        <v>5.25</v>
      </c>
      <c r="F10874" s="6" t="n">
        <f aca="false">(Sens!E10873+Sens!F10873)/2*cop_px*12/1000</f>
        <v>13.5</v>
      </c>
      <c r="G10874" s="6" t="n">
        <f aca="false">(Sens!F10873+Sens!G10873)/2*cop_px*12/1000</f>
        <v>22.5</v>
      </c>
      <c r="H10874" s="6" t="n">
        <f aca="false">(Sens!G10873+Sens!H10873)/2*cop_px*12/1000</f>
        <v>31.5</v>
      </c>
      <c r="I10874" s="6" t="n">
        <f aca="false">(Sens!H10873+Sens!I10873)/2*cop_px*12/1000</f>
        <v>38.25</v>
      </c>
      <c r="J10874" s="6" t="n">
        <f aca="false">(Sens!I10873+Sens!J10873)/2*cop_px*12/1000</f>
        <v>42.75</v>
      </c>
      <c r="K10874" s="6" t="n">
        <f aca="false">(Sens!J10873+Sens!K10873)/2*cop_px*12/1000</f>
        <v>47.25</v>
      </c>
      <c r="L10874" s="1" t="s">
        <v>1029</v>
      </c>
    </row>
    <row r="10875" customFormat="false" ht="17.15" hidden="false" customHeight="false" outlineLevel="0" collapsed="false">
      <c r="A10875" s="0" t="s">
        <v>1030</v>
      </c>
      <c r="B10875" s="0" t="s">
        <v>98</v>
      </c>
      <c r="D10875" s="6" t="n">
        <f aca="false">Q!L7-Sens!D10874</f>
        <v>83.705</v>
      </c>
      <c r="E10875" s="6" t="n">
        <f aca="false">Q!M7-Sens!E10874</f>
        <v>95.049</v>
      </c>
      <c r="F10875" s="6" t="n">
        <f aca="false">Q!$I$7+(Sens!E10875*(1+Sens!F10876)+Sens!F10874)*(1-Q!$E$7/Q!M7)-Sens!F10874</f>
        <v>106.229653205718</v>
      </c>
      <c r="G10875" s="6" t="n">
        <f aca="false">Sens!F10875*(1+Sens!G10876)</f>
        <v>118.306092647576</v>
      </c>
      <c r="H10875" s="6" t="n">
        <f aca="false">Sens!G10875*(1+Sens!H10876)</f>
        <v>130.463437602768</v>
      </c>
      <c r="I10875" s="6" t="n">
        <f aca="false">Sens!H10875*(1+Sens!I10876)</f>
        <v>142.445354741933</v>
      </c>
      <c r="J10875" s="6" t="n">
        <f aca="false">Sens!I10875*(1+Sens!J10876)</f>
        <v>153.972117481571</v>
      </c>
      <c r="K10875" s="6" t="n">
        <f aca="false">Sens!J10875*(1+Sens!K10876)</f>
        <v>164.75016570528</v>
      </c>
      <c r="L10875" s="12" t="s">
        <v>1031</v>
      </c>
    </row>
    <row r="10876" customFormat="false" ht="15" hidden="false" customHeight="false" outlineLevel="0" collapsed="false">
      <c r="A10876" s="1" t="s">
        <v>1024</v>
      </c>
      <c r="B10876" s="0" t="s">
        <v>168</v>
      </c>
      <c r="E10876" s="7" t="n">
        <f aca="false">Sens!E10875/Sens!D10875-1</f>
        <v>0.135523564900544</v>
      </c>
      <c r="F10876" s="7" t="n">
        <f aca="false">Sens!$E$10876+(glt_m365b-Sens!$E$10876)*MIN(1,(Sens!F10828-base_fy)/n_conv)</f>
        <v>0.124602970750453</v>
      </c>
      <c r="G10876" s="7" t="n">
        <f aca="false">Sens!$E$10876+(glt_m365b-Sens!$E$10876)*MIN(1,(Sens!G10828-base_fy)/n_conv)</f>
        <v>0.113682376600363</v>
      </c>
      <c r="H10876" s="7" t="n">
        <f aca="false">Sens!$E$10876+(glt_m365b-Sens!$E$10876)*MIN(1,(Sens!H10828-base_fy)/n_conv)</f>
        <v>0.102761782450272</v>
      </c>
      <c r="I10876" s="7" t="n">
        <f aca="false">Sens!$E$10876+(glt_m365b-Sens!$E$10876)*MIN(1,(Sens!I10828-base_fy)/n_conv)</f>
        <v>0.0918411883001813</v>
      </c>
      <c r="J10876" s="7" t="n">
        <f aca="false">Sens!$E$10876+(glt_m365b-Sens!$E$10876)*MIN(1,(Sens!J10828-base_fy)/n_conv)</f>
        <v>0.0809205941500906</v>
      </c>
      <c r="K10876" s="7" t="n">
        <f aca="false">Sens!$E$10876+(glt_m365b-Sens!$E$10876)*MIN(1,(Sens!K10828-base_fy)/n_conv)</f>
        <v>0.07</v>
      </c>
    </row>
    <row r="10877" customFormat="false" ht="15" hidden="false" customHeight="false" outlineLevel="0" collapsed="false">
      <c r="A10877" s="0" t="s">
        <v>1032</v>
      </c>
      <c r="B10877" s="0" t="s">
        <v>98</v>
      </c>
      <c r="D10877" s="6" t="n">
        <f aca="false">Sens!D10875+Sens!D10874</f>
        <v>84.605</v>
      </c>
      <c r="E10877" s="6" t="n">
        <f aca="false">Sens!E10875+Sens!E10874</f>
        <v>100.299</v>
      </c>
      <c r="F10877" s="6" t="n">
        <f aca="false">Sens!F10875+Sens!F10874</f>
        <v>119.729653205718</v>
      </c>
      <c r="G10877" s="6" t="n">
        <f aca="false">Sens!G10875+Sens!G10874</f>
        <v>140.806092647576</v>
      </c>
      <c r="H10877" s="6" t="n">
        <f aca="false">Sens!H10875+Sens!H10874</f>
        <v>161.963437602768</v>
      </c>
      <c r="I10877" s="6" t="n">
        <f aca="false">Sens!I10875+Sens!I10874</f>
        <v>180.695354741933</v>
      </c>
      <c r="J10877" s="6" t="n">
        <f aca="false">Sens!J10875+Sens!J10874</f>
        <v>196.722117481571</v>
      </c>
      <c r="K10877" s="6" t="n">
        <f aca="false">Sens!K10875+Sens!K10874</f>
        <v>212.00016570528</v>
      </c>
    </row>
    <row r="10878" customFormat="false" ht="17.15" hidden="false" customHeight="false" outlineLevel="0" collapsed="false">
      <c r="A10878" s="0" t="s">
        <v>1033</v>
      </c>
      <c r="B10878" s="0" t="s">
        <v>98</v>
      </c>
      <c r="D10878" s="6" t="n">
        <f aca="false">Q!L8</f>
        <v>35.391</v>
      </c>
      <c r="E10878" s="6" t="n">
        <f aca="false">Q!M8</f>
        <v>37.285</v>
      </c>
      <c r="F10878" s="6" t="n">
        <f aca="false">Q!$I$8+(Q!M8-Q!$E$8)*(1+Sens!F10879)</f>
        <v>38.3851437782675</v>
      </c>
      <c r="G10878" s="6" t="n">
        <f aca="false">Sens!F10878*(1+Sens!G10879)</f>
        <v>40.0105353288615</v>
      </c>
      <c r="H10878" s="6" t="n">
        <f aca="false">Sens!G10878*(1+Sens!H10879)</f>
        <v>41.4812512033683</v>
      </c>
      <c r="I10878" s="6" t="n">
        <f aca="false">Sens!H10878*(1+Sens!I10879)</f>
        <v>42.7743107216329</v>
      </c>
      <c r="J10878" s="6" t="n">
        <f aca="false">Sens!I10878*(1+Sens!J10879)</f>
        <v>43.8687373064601</v>
      </c>
      <c r="K10878" s="6" t="n">
        <f aca="false">Sens!J10878*(1+Sens!K10879)</f>
        <v>44.7461120525893</v>
      </c>
      <c r="L10878" s="12" t="s">
        <v>1034</v>
      </c>
    </row>
    <row r="10879" customFormat="false" ht="15" hidden="false" customHeight="false" outlineLevel="0" collapsed="false">
      <c r="A10879" s="1" t="s">
        <v>1024</v>
      </c>
      <c r="B10879" s="0" t="s">
        <v>168</v>
      </c>
      <c r="E10879" s="7" t="n">
        <f aca="false">Sens!E10878/Sens!D10878-1</f>
        <v>0.0535164307309768</v>
      </c>
      <c r="F10879" s="7" t="n">
        <f aca="false">Sens!$E$10879+(glt_lic-Sens!$E$10879)*MIN(1,(Sens!F10828-base_fy)/n_conv)</f>
        <v>0.0479303589424807</v>
      </c>
      <c r="G10879" s="7" t="n">
        <f aca="false">Sens!$E$10879+(glt_lic-Sens!$E$10879)*MIN(1,(Sens!G10828-base_fy)/n_conv)</f>
        <v>0.0423442871539845</v>
      </c>
      <c r="H10879" s="7" t="n">
        <f aca="false">Sens!$E$10879+(glt_lic-Sens!$E$10879)*MIN(1,(Sens!H10828-base_fy)/n_conv)</f>
        <v>0.0367582153654884</v>
      </c>
      <c r="I10879" s="7" t="n">
        <f aca="false">Sens!$E$10879+(glt_lic-Sens!$E$10879)*MIN(1,(Sens!I10828-base_fy)/n_conv)</f>
        <v>0.0311721435769923</v>
      </c>
      <c r="J10879" s="7" t="n">
        <f aca="false">Sens!$E$10879+(glt_lic-Sens!$E$10879)*MIN(1,(Sens!J10828-base_fy)/n_conv)</f>
        <v>0.0255860717884961</v>
      </c>
      <c r="K10879" s="7" t="n">
        <f aca="false">Sens!$E$10879+(glt_lic-Sens!$E$10879)*MIN(1,(Sens!K10828-base_fy)/n_conv)</f>
        <v>0.02</v>
      </c>
    </row>
    <row r="10880" customFormat="false" ht="17.15" hidden="false" customHeight="false" outlineLevel="0" collapsed="false">
      <c r="A10880" s="0" t="s">
        <v>1035</v>
      </c>
      <c r="B10880" s="0" t="s">
        <v>98</v>
      </c>
      <c r="D10880" s="6" t="n">
        <f aca="false">Q!L9</f>
        <v>18.417</v>
      </c>
      <c r="E10880" s="6" t="n">
        <f aca="false">Q!M9</f>
        <v>20.345</v>
      </c>
      <c r="F10880" s="6" t="n">
        <f aca="false">Q!$I$9+(Q!M9-Q!$E$9)*(1+Sens!F10881)</f>
        <v>22.3161797133988</v>
      </c>
      <c r="G10880" s="6" t="n">
        <f aca="false">Sens!F10880*(1+Sens!G10881)</f>
        <v>24.3943499673233</v>
      </c>
      <c r="H10880" s="6" t="n">
        <f aca="false">Sens!G10880*(1+Sens!H10881)</f>
        <v>26.5250243109019</v>
      </c>
      <c r="I10880" s="6" t="n">
        <f aca="false">Sens!H10880*(1+Sens!I10881)</f>
        <v>28.6884573538181</v>
      </c>
      <c r="J10880" s="6" t="n">
        <f aca="false">Sens!I10880*(1+Sens!J10881)</f>
        <v>30.8624968052127</v>
      </c>
      <c r="K10880" s="6" t="n">
        <f aca="false">Sens!J10880*(1+Sens!K10881)</f>
        <v>33.0228715815776</v>
      </c>
      <c r="L10880" s="12" t="s">
        <v>1034</v>
      </c>
    </row>
    <row r="10881" customFormat="false" ht="15" hidden="false" customHeight="false" outlineLevel="0" collapsed="false">
      <c r="A10881" s="1" t="s">
        <v>1024</v>
      </c>
      <c r="B10881" s="0" t="s">
        <v>168</v>
      </c>
      <c r="E10881" s="7" t="n">
        <f aca="false">Sens!E10880/Sens!D10880-1</f>
        <v>0.104685888038225</v>
      </c>
      <c r="F10881" s="7" t="n">
        <f aca="false">Sens!$E$10881+(glt_ind-Sens!$E$10881)*MIN(1,(Sens!F10828-base_fy)/n_conv)</f>
        <v>0.0989049066985211</v>
      </c>
      <c r="G10881" s="7" t="n">
        <f aca="false">Sens!$E$10881+(glt_ind-Sens!$E$10881)*MIN(1,(Sens!G10828-base_fy)/n_conv)</f>
        <v>0.0931239253588169</v>
      </c>
      <c r="H10881" s="7" t="n">
        <f aca="false">Sens!$E$10881+(glt_ind-Sens!$E$10881)*MIN(1,(Sens!H10828-base_fy)/n_conv)</f>
        <v>0.0873429440191127</v>
      </c>
      <c r="I10881" s="7" t="n">
        <f aca="false">Sens!$E$10881+(glt_ind-Sens!$E$10881)*MIN(1,(Sens!I10828-base_fy)/n_conv)</f>
        <v>0.0815619626794085</v>
      </c>
      <c r="J10881" s="7" t="n">
        <f aca="false">Sens!$E$10881+(glt_ind-Sens!$E$10881)*MIN(1,(Sens!J10828-base_fy)/n_conv)</f>
        <v>0.0757809813397042</v>
      </c>
      <c r="K10881" s="7" t="n">
        <f aca="false">Sens!$E$10881+(glt_ind-Sens!$E$10881)*MIN(1,(Sens!K10828-base_fy)/n_conv)</f>
        <v>0.07</v>
      </c>
    </row>
    <row r="10882" customFormat="false" ht="17.15" hidden="false" customHeight="false" outlineLevel="0" collapsed="false">
      <c r="A10882" s="0" t="s">
        <v>1036</v>
      </c>
      <c r="B10882" s="0" t="s">
        <v>98</v>
      </c>
      <c r="D10882" s="6" t="n">
        <f aca="false">Q!L10</f>
        <v>7.76</v>
      </c>
      <c r="E10882" s="6" t="n">
        <f aca="false">Q!M10</f>
        <v>8.26</v>
      </c>
      <c r="F10882" s="6" t="n">
        <f aca="false">Q!$I$10+(Q!M10-Q!$E$10)*(1+Sens!F10883)</f>
        <v>8.75372082474227</v>
      </c>
      <c r="G10882" s="6" t="n">
        <f aca="false">Sens!F10882*(1+Sens!G10883)</f>
        <v>9.33399324642364</v>
      </c>
      <c r="H10882" s="6" t="n">
        <f aca="false">Sens!G10882*(1+Sens!H10883)</f>
        <v>9.96139155535851</v>
      </c>
      <c r="I10882" s="6" t="n">
        <f aca="false">Sens!H10882*(1+Sens!I10883)</f>
        <v>10.6402039077391</v>
      </c>
      <c r="J10882" s="6" t="n">
        <f aca="false">Sens!I10882*(1+Sens!J10883)</f>
        <v>11.3751458271397</v>
      </c>
      <c r="K10882" s="6" t="n">
        <f aca="false">Sens!J10882*(1+Sens!K10883)</f>
        <v>12.1714060350394</v>
      </c>
      <c r="L10882" s="12" t="s">
        <v>1034</v>
      </c>
    </row>
    <row r="10883" customFormat="false" ht="15" hidden="false" customHeight="false" outlineLevel="0" collapsed="false">
      <c r="A10883" s="1" t="s">
        <v>1024</v>
      </c>
      <c r="B10883" s="0" t="s">
        <v>168</v>
      </c>
      <c r="E10883" s="7" t="n">
        <f aca="false">Sens!E10882/Sens!D10882-1</f>
        <v>0.0644329896907216</v>
      </c>
      <c r="F10883" s="7" t="n">
        <f aca="false">Sens!$E$10883+(glt_fro-Sens!$E$10883)*MIN(1,(Sens!F10828-base_fy)/n_conv)</f>
        <v>0.065360824742268</v>
      </c>
      <c r="G10883" s="7" t="n">
        <f aca="false">Sens!$E$10883+(glt_fro-Sens!$E$10883)*MIN(1,(Sens!G10828-base_fy)/n_conv)</f>
        <v>0.0662886597938144</v>
      </c>
      <c r="H10883" s="7" t="n">
        <f aca="false">Sens!$E$10883+(glt_fro-Sens!$E$10883)*MIN(1,(Sens!H10828-base_fy)/n_conv)</f>
        <v>0.0672164948453608</v>
      </c>
      <c r="I10883" s="7" t="n">
        <f aca="false">Sens!$E$10883+(glt_fro-Sens!$E$10883)*MIN(1,(Sens!I10828-base_fy)/n_conv)</f>
        <v>0.0681443298969072</v>
      </c>
      <c r="J10883" s="7" t="n">
        <f aca="false">Sens!$E$10883+(glt_fro-Sens!$E$10883)*MIN(1,(Sens!J10828-base_fy)/n_conv)</f>
        <v>0.0690721649484536</v>
      </c>
      <c r="K10883" s="7" t="n">
        <f aca="false">Sens!$E$10883+(glt_fro-Sens!$E$10883)*MIN(1,(Sens!K10828-base_fy)/n_conv)</f>
        <v>0.07</v>
      </c>
    </row>
    <row r="10884" customFormat="false" ht="15" hidden="false" customHeight="false" outlineLevel="0" collapsed="false">
      <c r="A10884" s="0" t="s">
        <v>852</v>
      </c>
      <c r="B10884" s="0" t="s">
        <v>98</v>
      </c>
      <c r="D10884" s="6" t="n">
        <f aca="false">Sens!D10872+Sens!D10877+Sens!D10878+Sens!D10880+Sens!D10882</f>
        <v>218.783</v>
      </c>
      <c r="E10884" s="6" t="n">
        <f aca="false">Sens!E10872+Sens!E10877+Sens!E10878+Sens!E10880+Sens!E10882</f>
        <v>268.127</v>
      </c>
      <c r="F10884" s="6" t="n">
        <f aca="false">Sens!F10872+Sens!F10877+Sens!F10878+Sens!F10880+Sens!F10882</f>
        <v>338.774715894377</v>
      </c>
      <c r="G10884" s="6" t="n">
        <f aca="false">Sens!G10872+Sens!G10877+Sens!G10878+Sens!G10880+Sens!G10882</f>
        <v>425.508058536537</v>
      </c>
      <c r="H10884" s="6" t="n">
        <f aca="false">Sens!H10872+Sens!H10877+Sens!H10878+Sens!H10880+Sens!H10882</f>
        <v>518.580813986921</v>
      </c>
      <c r="I10884" s="6" t="n">
        <f aca="false">Sens!I10872+Sens!I10877+Sens!I10878+Sens!I10880+Sens!I10882</f>
        <v>597.067731307455</v>
      </c>
      <c r="J10884" s="6" t="n">
        <f aca="false">Sens!J10872+Sens!J10877+Sens!J10878+Sens!J10880+Sens!J10882</f>
        <v>659.345790484055</v>
      </c>
      <c r="K10884" s="6" t="n">
        <f aca="false">Sens!K10872+Sens!K10877+Sens!K10878+Sens!K10880+Sens!K10882</f>
        <v>707.958647997291</v>
      </c>
    </row>
    <row r="10885" customFormat="false" ht="17.15" hidden="false" customHeight="false" outlineLevel="0" collapsed="false">
      <c r="A10885" s="0" t="s">
        <v>1037</v>
      </c>
      <c r="B10885" s="0" t="s">
        <v>98</v>
      </c>
      <c r="D10885" s="6" t="n">
        <f aca="false">Q!L13</f>
        <v>22.171</v>
      </c>
      <c r="E10885" s="6" t="n">
        <f aca="false">Q!M13</f>
        <v>24.835</v>
      </c>
      <c r="F10885" s="6" t="n">
        <f aca="false">Q!$I$13+(Q!M13-Q!$E$13)*(1+Sens!F10886)</f>
        <v>27.6536545660247</v>
      </c>
      <c r="G10885" s="6" t="n">
        <f aca="false">Sens!F10885*(1+Sens!G10886)</f>
        <v>30.7906291283826</v>
      </c>
      <c r="H10885" s="6" t="n">
        <f aca="false">Sens!G10885*(1+Sens!H10886)</f>
        <v>34.1800148087432</v>
      </c>
      <c r="I10885" s="6" t="n">
        <f aca="false">Sens!H10885*(1+Sens!I10886)</f>
        <v>37.8276713738571</v>
      </c>
      <c r="J10885" s="6" t="n">
        <f aca="false">Sens!I10885*(1+Sens!J10886)</f>
        <v>41.7375203323678</v>
      </c>
      <c r="K10885" s="6" t="n">
        <f aca="false">Sens!J10885*(1+Sens!K10886)</f>
        <v>45.9112723656046</v>
      </c>
      <c r="L10885" s="12" t="s">
        <v>1034</v>
      </c>
    </row>
    <row r="10886" customFormat="false" ht="15" hidden="false" customHeight="false" outlineLevel="0" collapsed="false">
      <c r="A10886" s="1" t="s">
        <v>1024</v>
      </c>
      <c r="B10886" s="0" t="s">
        <v>168</v>
      </c>
      <c r="E10886" s="7" t="n">
        <f aca="false">Sens!E10885/Sens!D10885-1</f>
        <v>0.120156961796942</v>
      </c>
      <c r="F10886" s="7" t="n">
        <f aca="false">Sens!$E$10886+(glt_srch_hi-Sens!$E$10886)*MIN(1,(Sens!F10828-base_fy)/n_conv)</f>
        <v>0.116797468164118</v>
      </c>
      <c r="G10886" s="7" t="n">
        <f aca="false">Sens!$E$10886+(glt_srch_hi-Sens!$E$10886)*MIN(1,(Sens!G10828-base_fy)/n_conv)</f>
        <v>0.113437974531295</v>
      </c>
      <c r="H10886" s="7" t="n">
        <f aca="false">Sens!$E$10886+(glt_srch_hi-Sens!$E$10886)*MIN(1,(Sens!H10828-base_fy)/n_conv)</f>
        <v>0.110078480898471</v>
      </c>
      <c r="I10886" s="7" t="n">
        <f aca="false">Sens!$E$10886+(glt_srch_hi-Sens!$E$10886)*MIN(1,(Sens!I10828-base_fy)/n_conv)</f>
        <v>0.106718987265647</v>
      </c>
      <c r="J10886" s="7" t="n">
        <f aca="false">Sens!$E$10886+(glt_srch_hi-Sens!$E$10886)*MIN(1,(Sens!J10828-base_fy)/n_conv)</f>
        <v>0.103359493632824</v>
      </c>
      <c r="K10886" s="7" t="n">
        <f aca="false">Sens!$E$10886+(glt_srch_hi-Sens!$E$10886)*MIN(1,(Sens!K10828-base_fy)/n_conv)</f>
        <v>0.1</v>
      </c>
    </row>
    <row r="10887" customFormat="false" ht="17.15" hidden="false" customHeight="false" outlineLevel="0" collapsed="false">
      <c r="A10887" s="0" t="s">
        <v>1038</v>
      </c>
      <c r="B10887" s="0" t="s">
        <v>98</v>
      </c>
      <c r="D10887" s="6" t="n">
        <f aca="false">Q!L14</f>
        <v>23.455</v>
      </c>
      <c r="E10887" s="6" t="n">
        <f aca="false">Q!M14</f>
        <v>21.79</v>
      </c>
      <c r="F10887" s="6" t="n">
        <f aca="false">Q!$I$14+(Q!M14-Q!$E$14)*(1+Sens!F10888)</f>
        <v>20.7520981041711</v>
      </c>
      <c r="G10887" s="6" t="n">
        <f aca="false">Sens!F10887*(1+Sens!G10888)</f>
        <v>19.9083593495882</v>
      </c>
      <c r="H10887" s="6" t="n">
        <f aca="false">Sens!G10887*(1+Sens!H10888)</f>
        <v>19.4008256265831</v>
      </c>
      <c r="I10887" s="6" t="n">
        <f aca="false">Sens!H10887*(1+Sens!I10888)</f>
        <v>19.200434522122</v>
      </c>
      <c r="J10887" s="6" t="n">
        <f aca="false">Sens!I10887*(1+Sens!J10888)</f>
        <v>19.2932782348507</v>
      </c>
      <c r="K10887" s="6" t="n">
        <f aca="false">Sens!J10887*(1+Sens!K10888)</f>
        <v>19.6791437995477</v>
      </c>
      <c r="L10887" s="12" t="s">
        <v>1034</v>
      </c>
    </row>
    <row r="10888" customFormat="false" ht="15" hidden="false" customHeight="false" outlineLevel="0" collapsed="false">
      <c r="A10888" s="1" t="s">
        <v>1024</v>
      </c>
      <c r="B10888" s="0" t="s">
        <v>168</v>
      </c>
      <c r="E10888" s="7" t="n">
        <f aca="false">Sens!E10887/Sens!D10887-1</f>
        <v>-0.0709869963760392</v>
      </c>
      <c r="F10888" s="7" t="n">
        <f aca="false">Sens!$E$10888+(glt_xbox-Sens!$E$10888)*MIN(1,(Sens!F10828-base_fy)/n_conv)</f>
        <v>-0.0558224969800327</v>
      </c>
      <c r="G10888" s="7" t="n">
        <f aca="false">Sens!$E$10888+(glt_xbox-Sens!$E$10888)*MIN(1,(Sens!G10828-base_fy)/n_conv)</f>
        <v>-0.0406579975840262</v>
      </c>
      <c r="H10888" s="7" t="n">
        <f aca="false">Sens!$E$10888+(glt_xbox-Sens!$E$10888)*MIN(1,(Sens!H10828-base_fy)/n_conv)</f>
        <v>-0.0254934981880196</v>
      </c>
      <c r="I10888" s="7" t="n">
        <f aca="false">Sens!$E$10888+(glt_xbox-Sens!$E$10888)*MIN(1,(Sens!I10828-base_fy)/n_conv)</f>
        <v>-0.0103289987920131</v>
      </c>
      <c r="J10888" s="7" t="n">
        <f aca="false">Sens!$E$10888+(glt_xbox-Sens!$E$10888)*MIN(1,(Sens!J10828-base_fy)/n_conv)</f>
        <v>0.00483550060399347</v>
      </c>
      <c r="K10888" s="7" t="n">
        <f aca="false">Sens!$E$10888+(glt_xbox-Sens!$E$10888)*MIN(1,(Sens!K10828-base_fy)/n_conv)</f>
        <v>0.02</v>
      </c>
    </row>
    <row r="10889" customFormat="false" ht="17.15" hidden="false" customHeight="false" outlineLevel="0" collapsed="false">
      <c r="A10889" s="0" t="s">
        <v>1039</v>
      </c>
      <c r="B10889" s="0" t="s">
        <v>98</v>
      </c>
      <c r="D10889" s="6" t="n">
        <f aca="false">Q!L15</f>
        <v>17.315</v>
      </c>
      <c r="E10889" s="6" t="n">
        <f aca="false">Q!M15</f>
        <v>17.087</v>
      </c>
      <c r="F10889" s="6" t="n">
        <f aca="false">Q!$I$15+(Q!M15-Q!$E$15)*(1+Sens!F10890)</f>
        <v>15.9912273250553</v>
      </c>
      <c r="G10889" s="6" t="n">
        <f aca="false">Sens!F10889*(1+Sens!G10890)</f>
        <v>15.9574562664827</v>
      </c>
      <c r="H10889" s="6" t="n">
        <f aca="false">Sens!G10889*(1+Sens!H10890)</f>
        <v>16.0119687434196</v>
      </c>
      <c r="I10889" s="6" t="n">
        <f aca="false">Sens!H10889*(1+Sens!I10890)</f>
        <v>16.1551810001948</v>
      </c>
      <c r="J10889" s="6" t="n">
        <f aca="false">Sens!I10889*(1+Sens!J10890)</f>
        <v>16.3889793892005</v>
      </c>
      <c r="K10889" s="6" t="n">
        <f aca="false">Sens!J10889*(1+Sens!K10890)</f>
        <v>16.7167589769845</v>
      </c>
      <c r="L10889" s="12" t="s">
        <v>1034</v>
      </c>
    </row>
    <row r="10890" customFormat="false" ht="15" hidden="false" customHeight="false" outlineLevel="0" collapsed="false">
      <c r="A10890" s="1" t="s">
        <v>1024</v>
      </c>
      <c r="B10890" s="0" t="s">
        <v>168</v>
      </c>
      <c r="E10890" s="7" t="n">
        <f aca="false">Sens!E10889/Sens!D10889-1</f>
        <v>-0.0131677736066995</v>
      </c>
      <c r="F10890" s="7" t="n">
        <f aca="false">Sens!$E$10890+(glt_win-Sens!$E$10890)*MIN(1,(Sens!F10828-base_fy)/n_conv)</f>
        <v>-0.00763981133891627</v>
      </c>
      <c r="G10890" s="7" t="n">
        <f aca="false">Sens!$E$10890+(glt_win-Sens!$E$10890)*MIN(1,(Sens!G10828-base_fy)/n_conv)</f>
        <v>-0.00211184907113301</v>
      </c>
      <c r="H10890" s="7" t="n">
        <f aca="false">Sens!$E$10890+(glt_win-Sens!$E$10890)*MIN(1,(Sens!H10828-base_fy)/n_conv)</f>
        <v>0.00341611319665024</v>
      </c>
      <c r="I10890" s="7" t="n">
        <f aca="false">Sens!$E$10890+(glt_win-Sens!$E$10890)*MIN(1,(Sens!I10828-base_fy)/n_conv)</f>
        <v>0.00894407546443349</v>
      </c>
      <c r="J10890" s="7" t="n">
        <f aca="false">Sens!$E$10890+(glt_win-Sens!$E$10890)*MIN(1,(Sens!J10828-base_fy)/n_conv)</f>
        <v>0.0144720377322168</v>
      </c>
      <c r="K10890" s="7" t="n">
        <f aca="false">Sens!$E$10890+(glt_win-Sens!$E$10890)*MIN(1,(Sens!K10828-base_fy)/n_conv)</f>
        <v>0.02</v>
      </c>
    </row>
    <row r="10891" customFormat="false" ht="15" hidden="false" customHeight="false" outlineLevel="0" collapsed="false">
      <c r="A10891" s="0" t="s">
        <v>866</v>
      </c>
      <c r="B10891" s="0" t="s">
        <v>98</v>
      </c>
      <c r="D10891" s="6" t="n">
        <f aca="false">Sens!D10885+Sens!D10887+Sens!D10889</f>
        <v>62.941</v>
      </c>
      <c r="E10891" s="6" t="n">
        <f aca="false">Sens!E10885+Sens!E10887+Sens!E10889</f>
        <v>63.712</v>
      </c>
      <c r="F10891" s="6" t="n">
        <f aca="false">Sens!F10885+Sens!F10887+Sens!F10889</f>
        <v>64.3969799952511</v>
      </c>
      <c r="G10891" s="6" t="n">
        <f aca="false">Sens!G10885+Sens!G10887+Sens!G10889</f>
        <v>66.6564447444535</v>
      </c>
      <c r="H10891" s="6" t="n">
        <f aca="false">Sens!H10885+Sens!H10887+Sens!H10889</f>
        <v>69.5928091787458</v>
      </c>
      <c r="I10891" s="6" t="n">
        <f aca="false">Sens!I10885+Sens!I10887+Sens!I10889</f>
        <v>73.183286896174</v>
      </c>
      <c r="J10891" s="6" t="n">
        <f aca="false">Sens!J10885+Sens!J10887+Sens!J10889</f>
        <v>77.419777956419</v>
      </c>
      <c r="K10891" s="6" t="n">
        <f aca="false">Sens!K10885+Sens!K10887+Sens!K10889</f>
        <v>82.3071751421368</v>
      </c>
    </row>
    <row r="10892" customFormat="false" ht="15" hidden="false" customHeight="false" outlineLevel="0" collapsed="false">
      <c r="A10892" s="1" t="s">
        <v>1040</v>
      </c>
      <c r="B10892" s="0" t="s">
        <v>98</v>
      </c>
      <c r="D10892" s="6" t="n">
        <f aca="false">Sens!D10884+Sens!D10891</f>
        <v>281.724</v>
      </c>
      <c r="E10892" s="6" t="n">
        <f aca="false">Sens!E10884+Sens!E10891</f>
        <v>331.839</v>
      </c>
      <c r="F10892" s="6" t="n">
        <f aca="false">Sens!F10884+Sens!F10891</f>
        <v>403.171695889628</v>
      </c>
      <c r="G10892" s="6" t="n">
        <f aca="false">Sens!G10884+Sens!G10891</f>
        <v>492.16450328099</v>
      </c>
      <c r="H10892" s="6" t="n">
        <f aca="false">Sens!H10884+Sens!H10891</f>
        <v>588.173623165667</v>
      </c>
      <c r="I10892" s="6" t="n">
        <f aca="false">Sens!I10884+Sens!I10891</f>
        <v>670.251018203629</v>
      </c>
      <c r="J10892" s="6" t="n">
        <f aca="false">Sens!J10884+Sens!J10891</f>
        <v>736.765568440474</v>
      </c>
      <c r="K10892" s="6" t="n">
        <f aca="false">Sens!K10884+Sens!K10891</f>
        <v>790.265823139428</v>
      </c>
    </row>
    <row r="10893" customFormat="false" ht="15" hidden="false" customHeight="false" outlineLevel="0" collapsed="false">
      <c r="A10893" s="26" t="s">
        <v>1041</v>
      </c>
      <c r="B10893" s="31" t="s">
        <v>98</v>
      </c>
      <c r="C10893" s="31"/>
      <c r="D10893" s="27" t="n">
        <f aca="false">(Sens!D10872+Sens!D10877+Sens!D10878+Sens!D10880+Sens!D10882-Sens!D10884)+(Sens!D10885+Sens!D10887+Sens!D10889-Sens!D10891)+(Sens!D10884-Q!L5)+(Sens!D10891-Q!L12)+(Sens!D10872-Q!L6)+(Sens!D10877-Q!L7)</f>
        <v>0</v>
      </c>
      <c r="E10893" s="27" t="n">
        <f aca="false">(Sens!E10872+Sens!E10877+Sens!E10878+Sens!E10880+Sens!E10882-Sens!E10884)+(Sens!E10885+Sens!E10887+Sens!E10889-Sens!E10891)+(Sens!E10884-Q!M5)+(Sens!E10891-Q!M12)+(Sens!E10872-Q!M6)+(Sens!E10877-Q!M7)</f>
        <v>0</v>
      </c>
      <c r="F10893" s="27" t="n">
        <f aca="false">(Sens!F10872+Sens!F10877+Sens!F10878+Sens!F10880+Sens!F10882-Sens!F10884)+(Sens!F10885+Sens!F10887+Sens!F10889-Sens!F10891)</f>
        <v>0</v>
      </c>
      <c r="G10893" s="27" t="n">
        <f aca="false">(Sens!G10872+Sens!G10877+Sens!G10878+Sens!G10880+Sens!G10882-Sens!G10884)+(Sens!G10885+Sens!G10887+Sens!G10889-Sens!G10891)</f>
        <v>0</v>
      </c>
      <c r="H10893" s="27" t="n">
        <f aca="false">(Sens!H10872+Sens!H10877+Sens!H10878+Sens!H10880+Sens!H10882-Sens!H10884)+(Sens!H10885+Sens!H10887+Sens!H10889-Sens!H10891)</f>
        <v>0</v>
      </c>
      <c r="I10893" s="27" t="n">
        <f aca="false">(Sens!I10872+Sens!I10877+Sens!I10878+Sens!I10880+Sens!I10882-Sens!I10884)+(Sens!I10885+Sens!I10887+Sens!I10889-Sens!I10891)</f>
        <v>0</v>
      </c>
      <c r="J10893" s="27" t="n">
        <f aca="false">(Sens!J10872+Sens!J10877+Sens!J10878+Sens!J10880+Sens!J10882-Sens!J10884)+(Sens!J10885+Sens!J10887+Sens!J10889-Sens!J10891)</f>
        <v>0</v>
      </c>
      <c r="K10893" s="27" t="n">
        <f aca="false">(Sens!K10872+Sens!K10877+Sens!K10878+Sens!K10880+Sens!K10882-Sens!K10884)+(Sens!K10885+Sens!K10887+Sens!K10889-Sens!K10891)</f>
        <v>0</v>
      </c>
    </row>
    <row r="10894" customFormat="false" ht="17.15" hidden="false" customHeight="false" outlineLevel="0" collapsed="false">
      <c r="A10894" s="3" t="s">
        <v>1752</v>
      </c>
    </row>
    <row r="10895" customFormat="false" ht="15" hidden="false" customHeight="false" outlineLevel="0" collapsed="false">
      <c r="A10895" s="4" t="s">
        <v>43</v>
      </c>
      <c r="B10895" s="4" t="s">
        <v>65</v>
      </c>
      <c r="C10895" s="23" t="s">
        <v>938</v>
      </c>
      <c r="D10895" s="23" t="s">
        <v>939</v>
      </c>
      <c r="E10895" s="23" t="s">
        <v>940</v>
      </c>
      <c r="F10895" s="23" t="s">
        <v>941</v>
      </c>
      <c r="G10895" s="23" t="s">
        <v>942</v>
      </c>
      <c r="H10895" s="23" t="s">
        <v>943</v>
      </c>
      <c r="I10895" s="23" t="s">
        <v>944</v>
      </c>
      <c r="J10895" s="23" t="s">
        <v>945</v>
      </c>
      <c r="K10895" s="23" t="s">
        <v>946</v>
      </c>
      <c r="L10895" s="4" t="s">
        <v>47</v>
      </c>
    </row>
    <row r="10896" customFormat="false" ht="15" hidden="false" customHeight="false" outlineLevel="0" collapsed="false">
      <c r="A10896" s="0" t="s">
        <v>1025</v>
      </c>
      <c r="B10896" s="0" t="s">
        <v>98</v>
      </c>
      <c r="D10896" s="6" t="n">
        <f aca="false">Sens!D10872</f>
        <v>72.61</v>
      </c>
      <c r="E10896" s="6" t="n">
        <f aca="false">Sens!E10872</f>
        <v>101.938</v>
      </c>
      <c r="F10896" s="6" t="n">
        <f aca="false">Sens!F10872</f>
        <v>149.59001837225</v>
      </c>
      <c r="G10896" s="6" t="n">
        <f aca="false">Sens!G10872</f>
        <v>210.963087346352</v>
      </c>
      <c r="H10896" s="6" t="n">
        <f aca="false">Sens!H10872</f>
        <v>278.649709314524</v>
      </c>
      <c r="I10896" s="6" t="n">
        <f aca="false">Sens!I10872</f>
        <v>334.269404582332</v>
      </c>
      <c r="J10896" s="6" t="n">
        <f aca="false">Sens!J10872</f>
        <v>376.517293063672</v>
      </c>
      <c r="K10896" s="6" t="n">
        <f aca="false">Sens!K10872</f>
        <v>406.018092622804</v>
      </c>
    </row>
    <row r="10897" customFormat="false" ht="17.15" hidden="false" customHeight="false" outlineLevel="0" collapsed="false">
      <c r="A10897" s="0" t="s">
        <v>1021</v>
      </c>
      <c r="B10897" s="0" t="s">
        <v>98</v>
      </c>
      <c r="D10897" s="6" t="n">
        <f aca="false">Sens!D10869</f>
        <v>12.9359794422418</v>
      </c>
      <c r="E10897" s="6" t="n">
        <f aca="false">Sens!E10869</f>
        <v>27.8095064661409</v>
      </c>
      <c r="F10897" s="6" t="n">
        <f aca="false">Sens!F10869</f>
        <v>59.1034165651511</v>
      </c>
      <c r="G10897" s="6" t="n">
        <f aca="false">Sens!G10869</f>
        <v>103.451498789198</v>
      </c>
      <c r="H10897" s="6" t="n">
        <f aca="false">Sens!H10869</f>
        <v>153.816719989035</v>
      </c>
      <c r="I10897" s="6" t="n">
        <f aca="false">Sens!I10869</f>
        <v>192.699478690852</v>
      </c>
      <c r="J10897" s="6" t="n">
        <f aca="false">Sens!J10869</f>
        <v>219.794102584244</v>
      </c>
      <c r="K10897" s="6" t="n">
        <f aca="false">Sens!K10869</f>
        <v>236.757046905022</v>
      </c>
    </row>
    <row r="10898" customFormat="false" ht="17.15" hidden="false" customHeight="false" outlineLevel="0" collapsed="false">
      <c r="A10898" s="0" t="s">
        <v>1052</v>
      </c>
      <c r="B10898" s="0" t="s">
        <v>98</v>
      </c>
      <c r="D10898" s="6" t="n">
        <f aca="false">Sens!D10870</f>
        <v>59.6740205577583</v>
      </c>
      <c r="E10898" s="6" t="n">
        <f aca="false">Sens!E10870</f>
        <v>74.1284935338591</v>
      </c>
      <c r="F10898" s="6" t="n">
        <f aca="false">Sens!F10870</f>
        <v>90.4866018070994</v>
      </c>
      <c r="G10898" s="6" t="n">
        <f aca="false">Sens!G10870</f>
        <v>107.511588557154</v>
      </c>
      <c r="H10898" s="6" t="n">
        <f aca="false">Sens!H10870</f>
        <v>124.832989325489</v>
      </c>
      <c r="I10898" s="6" t="n">
        <f aca="false">Sens!I10870</f>
        <v>141.56992589148</v>
      </c>
      <c r="J10898" s="6" t="n">
        <f aca="false">Sens!J10870</f>
        <v>156.723190479428</v>
      </c>
      <c r="K10898" s="6" t="n">
        <f aca="false">Sens!K10870</f>
        <v>169.261045717783</v>
      </c>
    </row>
    <row r="10899" customFormat="false" ht="15" hidden="false" customHeight="false" outlineLevel="0" collapsed="false">
      <c r="A10899" s="0" t="s">
        <v>1032</v>
      </c>
      <c r="B10899" s="0" t="s">
        <v>98</v>
      </c>
      <c r="D10899" s="6" t="n">
        <f aca="false">Sens!D10877</f>
        <v>84.605</v>
      </c>
      <c r="E10899" s="6" t="n">
        <f aca="false">Sens!E10877</f>
        <v>100.299</v>
      </c>
      <c r="F10899" s="6" t="n">
        <f aca="false">Sens!F10877</f>
        <v>119.729653205718</v>
      </c>
      <c r="G10899" s="6" t="n">
        <f aca="false">Sens!G10877</f>
        <v>140.806092647576</v>
      </c>
      <c r="H10899" s="6" t="n">
        <f aca="false">Sens!H10877</f>
        <v>161.963437602768</v>
      </c>
      <c r="I10899" s="6" t="n">
        <f aca="false">Sens!I10877</f>
        <v>180.695354741933</v>
      </c>
      <c r="J10899" s="6" t="n">
        <f aca="false">Sens!J10877</f>
        <v>196.722117481571</v>
      </c>
      <c r="K10899" s="6" t="n">
        <f aca="false">Sens!K10877</f>
        <v>212.00016570528</v>
      </c>
    </row>
    <row r="10900" customFormat="false" ht="17.15" hidden="false" customHeight="false" outlineLevel="0" collapsed="false">
      <c r="A10900" s="0" t="s">
        <v>1053</v>
      </c>
      <c r="B10900" s="0" t="s">
        <v>98</v>
      </c>
      <c r="D10900" s="6" t="n">
        <f aca="false">Sens!D10875</f>
        <v>83.705</v>
      </c>
      <c r="E10900" s="6" t="n">
        <f aca="false">Sens!E10875</f>
        <v>95.049</v>
      </c>
      <c r="F10900" s="6" t="n">
        <f aca="false">Sens!F10875</f>
        <v>106.229653205718</v>
      </c>
      <c r="G10900" s="6" t="n">
        <f aca="false">Sens!G10875</f>
        <v>118.306092647576</v>
      </c>
      <c r="H10900" s="6" t="n">
        <f aca="false">Sens!H10875</f>
        <v>130.463437602768</v>
      </c>
      <c r="I10900" s="6" t="n">
        <f aca="false">Sens!I10875</f>
        <v>142.445354741933</v>
      </c>
      <c r="J10900" s="6" t="n">
        <f aca="false">Sens!J10875</f>
        <v>153.972117481571</v>
      </c>
      <c r="K10900" s="6" t="n">
        <f aca="false">Sens!K10875</f>
        <v>164.75016570528</v>
      </c>
    </row>
    <row r="10901" customFormat="false" ht="17.15" hidden="false" customHeight="false" outlineLevel="0" collapsed="false">
      <c r="A10901" s="0" t="s">
        <v>1054</v>
      </c>
      <c r="B10901" s="0" t="s">
        <v>98</v>
      </c>
      <c r="D10901" s="6" t="n">
        <f aca="false">Sens!D10874</f>
        <v>0.9</v>
      </c>
      <c r="E10901" s="6" t="n">
        <f aca="false">Sens!E10874</f>
        <v>5.25</v>
      </c>
      <c r="F10901" s="6" t="n">
        <f aca="false">Sens!F10874</f>
        <v>13.5</v>
      </c>
      <c r="G10901" s="6" t="n">
        <f aca="false">Sens!G10874</f>
        <v>22.5</v>
      </c>
      <c r="H10901" s="6" t="n">
        <f aca="false">Sens!H10874</f>
        <v>31.5</v>
      </c>
      <c r="I10901" s="6" t="n">
        <f aca="false">Sens!I10874</f>
        <v>38.25</v>
      </c>
      <c r="J10901" s="6" t="n">
        <f aca="false">Sens!J10874</f>
        <v>42.75</v>
      </c>
      <c r="K10901" s="6" t="n">
        <f aca="false">Sens!K10874</f>
        <v>47.25</v>
      </c>
    </row>
    <row r="10902" customFormat="false" ht="15" hidden="false" customHeight="false" outlineLevel="0" collapsed="false">
      <c r="A10902" s="0" t="s">
        <v>1033</v>
      </c>
      <c r="B10902" s="0" t="s">
        <v>98</v>
      </c>
      <c r="D10902" s="6" t="n">
        <f aca="false">Sens!D10878</f>
        <v>35.391</v>
      </c>
      <c r="E10902" s="6" t="n">
        <f aca="false">Sens!E10878</f>
        <v>37.285</v>
      </c>
      <c r="F10902" s="6" t="n">
        <f aca="false">Sens!F10878</f>
        <v>38.3851437782675</v>
      </c>
      <c r="G10902" s="6" t="n">
        <f aca="false">Sens!G10878</f>
        <v>40.0105353288615</v>
      </c>
      <c r="H10902" s="6" t="n">
        <f aca="false">Sens!H10878</f>
        <v>41.4812512033683</v>
      </c>
      <c r="I10902" s="6" t="n">
        <f aca="false">Sens!I10878</f>
        <v>42.7743107216329</v>
      </c>
      <c r="J10902" s="6" t="n">
        <f aca="false">Sens!J10878</f>
        <v>43.8687373064601</v>
      </c>
      <c r="K10902" s="6" t="n">
        <f aca="false">Sens!K10878</f>
        <v>44.7461120525893</v>
      </c>
    </row>
    <row r="10903" customFormat="false" ht="15" hidden="false" customHeight="false" outlineLevel="0" collapsed="false">
      <c r="A10903" s="0" t="s">
        <v>1035</v>
      </c>
      <c r="B10903" s="0" t="s">
        <v>98</v>
      </c>
      <c r="D10903" s="6" t="n">
        <f aca="false">Sens!D10880</f>
        <v>18.417</v>
      </c>
      <c r="E10903" s="6" t="n">
        <f aca="false">Sens!E10880</f>
        <v>20.345</v>
      </c>
      <c r="F10903" s="6" t="n">
        <f aca="false">Sens!F10880</f>
        <v>22.3161797133988</v>
      </c>
      <c r="G10903" s="6" t="n">
        <f aca="false">Sens!G10880</f>
        <v>24.3943499673233</v>
      </c>
      <c r="H10903" s="6" t="n">
        <f aca="false">Sens!H10880</f>
        <v>26.5250243109019</v>
      </c>
      <c r="I10903" s="6" t="n">
        <f aca="false">Sens!I10880</f>
        <v>28.6884573538181</v>
      </c>
      <c r="J10903" s="6" t="n">
        <f aca="false">Sens!J10880</f>
        <v>30.8624968052127</v>
      </c>
      <c r="K10903" s="6" t="n">
        <f aca="false">Sens!K10880</f>
        <v>33.0228715815776</v>
      </c>
    </row>
    <row r="10904" customFormat="false" ht="15" hidden="false" customHeight="false" outlineLevel="0" collapsed="false">
      <c r="A10904" s="0" t="s">
        <v>1036</v>
      </c>
      <c r="B10904" s="0" t="s">
        <v>98</v>
      </c>
      <c r="D10904" s="6" t="n">
        <f aca="false">Sens!D10882</f>
        <v>7.76</v>
      </c>
      <c r="E10904" s="6" t="n">
        <f aca="false">Sens!E10882</f>
        <v>8.26</v>
      </c>
      <c r="F10904" s="6" t="n">
        <f aca="false">Sens!F10882</f>
        <v>8.75372082474227</v>
      </c>
      <c r="G10904" s="6" t="n">
        <f aca="false">Sens!G10882</f>
        <v>9.33399324642364</v>
      </c>
      <c r="H10904" s="6" t="n">
        <f aca="false">Sens!H10882</f>
        <v>9.96139155535851</v>
      </c>
      <c r="I10904" s="6" t="n">
        <f aca="false">Sens!I10882</f>
        <v>10.6402039077391</v>
      </c>
      <c r="J10904" s="6" t="n">
        <f aca="false">Sens!J10882</f>
        <v>11.3751458271397</v>
      </c>
      <c r="K10904" s="6" t="n">
        <f aca="false">Sens!K10882</f>
        <v>12.1714060350394</v>
      </c>
    </row>
    <row r="10905" customFormat="false" ht="15" hidden="false" customHeight="false" outlineLevel="0" collapsed="false">
      <c r="A10905" s="0" t="s">
        <v>852</v>
      </c>
      <c r="B10905" s="0" t="s">
        <v>98</v>
      </c>
      <c r="D10905" s="6" t="n">
        <f aca="false">Sens!D10884</f>
        <v>218.783</v>
      </c>
      <c r="E10905" s="6" t="n">
        <f aca="false">Sens!E10884</f>
        <v>268.127</v>
      </c>
      <c r="F10905" s="6" t="n">
        <f aca="false">Sens!F10884</f>
        <v>338.774715894377</v>
      </c>
      <c r="G10905" s="6" t="n">
        <f aca="false">Sens!G10884</f>
        <v>425.508058536537</v>
      </c>
      <c r="H10905" s="6" t="n">
        <f aca="false">Sens!H10884</f>
        <v>518.580813986921</v>
      </c>
      <c r="I10905" s="6" t="n">
        <f aca="false">Sens!I10884</f>
        <v>597.067731307455</v>
      </c>
      <c r="J10905" s="6" t="n">
        <f aca="false">Sens!J10884</f>
        <v>659.345790484055</v>
      </c>
      <c r="K10905" s="6" t="n">
        <f aca="false">Sens!K10884</f>
        <v>707.958647997291</v>
      </c>
    </row>
    <row r="10906" customFormat="false" ht="15" hidden="false" customHeight="false" outlineLevel="0" collapsed="false">
      <c r="A10906" s="0" t="s">
        <v>1037</v>
      </c>
      <c r="B10906" s="0" t="s">
        <v>98</v>
      </c>
      <c r="D10906" s="6" t="n">
        <f aca="false">Sens!D10885</f>
        <v>22.171</v>
      </c>
      <c r="E10906" s="6" t="n">
        <f aca="false">Sens!E10885</f>
        <v>24.835</v>
      </c>
      <c r="F10906" s="6" t="n">
        <f aca="false">Sens!F10885</f>
        <v>27.6536545660247</v>
      </c>
      <c r="G10906" s="6" t="n">
        <f aca="false">Sens!G10885</f>
        <v>30.7906291283826</v>
      </c>
      <c r="H10906" s="6" t="n">
        <f aca="false">Sens!H10885</f>
        <v>34.1800148087432</v>
      </c>
      <c r="I10906" s="6" t="n">
        <f aca="false">Sens!I10885</f>
        <v>37.8276713738571</v>
      </c>
      <c r="J10906" s="6" t="n">
        <f aca="false">Sens!J10885</f>
        <v>41.7375203323678</v>
      </c>
      <c r="K10906" s="6" t="n">
        <f aca="false">Sens!K10885</f>
        <v>45.9112723656046</v>
      </c>
    </row>
    <row r="10907" customFormat="false" ht="15" hidden="false" customHeight="false" outlineLevel="0" collapsed="false">
      <c r="A10907" s="0" t="s">
        <v>1038</v>
      </c>
      <c r="B10907" s="0" t="s">
        <v>98</v>
      </c>
      <c r="D10907" s="6" t="n">
        <f aca="false">Sens!D10887</f>
        <v>23.455</v>
      </c>
      <c r="E10907" s="6" t="n">
        <f aca="false">Sens!E10887</f>
        <v>21.79</v>
      </c>
      <c r="F10907" s="6" t="n">
        <f aca="false">Sens!F10887</f>
        <v>20.7520981041711</v>
      </c>
      <c r="G10907" s="6" t="n">
        <f aca="false">Sens!G10887</f>
        <v>19.9083593495882</v>
      </c>
      <c r="H10907" s="6" t="n">
        <f aca="false">Sens!H10887</f>
        <v>19.4008256265831</v>
      </c>
      <c r="I10907" s="6" t="n">
        <f aca="false">Sens!I10887</f>
        <v>19.200434522122</v>
      </c>
      <c r="J10907" s="6" t="n">
        <f aca="false">Sens!J10887</f>
        <v>19.2932782348507</v>
      </c>
      <c r="K10907" s="6" t="n">
        <f aca="false">Sens!K10887</f>
        <v>19.6791437995477</v>
      </c>
    </row>
    <row r="10908" customFormat="false" ht="15" hidden="false" customHeight="false" outlineLevel="0" collapsed="false">
      <c r="A10908" s="0" t="s">
        <v>1039</v>
      </c>
      <c r="B10908" s="0" t="s">
        <v>98</v>
      </c>
      <c r="D10908" s="6" t="n">
        <f aca="false">Sens!D10889</f>
        <v>17.315</v>
      </c>
      <c r="E10908" s="6" t="n">
        <f aca="false">Sens!E10889</f>
        <v>17.087</v>
      </c>
      <c r="F10908" s="6" t="n">
        <f aca="false">Sens!F10889</f>
        <v>15.9912273250553</v>
      </c>
      <c r="G10908" s="6" t="n">
        <f aca="false">Sens!G10889</f>
        <v>15.9574562664827</v>
      </c>
      <c r="H10908" s="6" t="n">
        <f aca="false">Sens!H10889</f>
        <v>16.0119687434196</v>
      </c>
      <c r="I10908" s="6" t="n">
        <f aca="false">Sens!I10889</f>
        <v>16.1551810001948</v>
      </c>
      <c r="J10908" s="6" t="n">
        <f aca="false">Sens!J10889</f>
        <v>16.3889793892005</v>
      </c>
      <c r="K10908" s="6" t="n">
        <f aca="false">Sens!K10889</f>
        <v>16.7167589769845</v>
      </c>
    </row>
    <row r="10909" customFormat="false" ht="15" hidden="false" customHeight="false" outlineLevel="0" collapsed="false">
      <c r="A10909" s="0" t="s">
        <v>866</v>
      </c>
      <c r="B10909" s="0" t="s">
        <v>98</v>
      </c>
      <c r="D10909" s="6" t="n">
        <f aca="false">Sens!D10891</f>
        <v>62.941</v>
      </c>
      <c r="E10909" s="6" t="n">
        <f aca="false">Sens!E10891</f>
        <v>63.712</v>
      </c>
      <c r="F10909" s="6" t="n">
        <f aca="false">Sens!F10891</f>
        <v>64.3969799952511</v>
      </c>
      <c r="G10909" s="6" t="n">
        <f aca="false">Sens!G10891</f>
        <v>66.6564447444535</v>
      </c>
      <c r="H10909" s="6" t="n">
        <f aca="false">Sens!H10891</f>
        <v>69.5928091787458</v>
      </c>
      <c r="I10909" s="6" t="n">
        <f aca="false">Sens!I10891</f>
        <v>73.183286896174</v>
      </c>
      <c r="J10909" s="6" t="n">
        <f aca="false">Sens!J10891</f>
        <v>77.419777956419</v>
      </c>
      <c r="K10909" s="6" t="n">
        <f aca="false">Sens!K10891</f>
        <v>82.3071751421368</v>
      </c>
    </row>
    <row r="10910" customFormat="false" ht="15" hidden="false" customHeight="false" outlineLevel="0" collapsed="false">
      <c r="A10910" s="1" t="s">
        <v>1055</v>
      </c>
      <c r="B10910" s="0" t="s">
        <v>98</v>
      </c>
      <c r="D10910" s="6" t="n">
        <f aca="false">Sens!D10892</f>
        <v>281.724</v>
      </c>
      <c r="E10910" s="6" t="n">
        <f aca="false">Sens!E10892</f>
        <v>331.839</v>
      </c>
      <c r="F10910" s="6" t="n">
        <f aca="false">Sens!F10892</f>
        <v>403.171695889628</v>
      </c>
      <c r="G10910" s="6" t="n">
        <f aca="false">Sens!G10892</f>
        <v>492.16450328099</v>
      </c>
      <c r="H10910" s="6" t="n">
        <f aca="false">Sens!H10892</f>
        <v>588.173623165667</v>
      </c>
      <c r="I10910" s="6" t="n">
        <f aca="false">Sens!I10892</f>
        <v>670.251018203629</v>
      </c>
      <c r="J10910" s="6" t="n">
        <f aca="false">Sens!J10892</f>
        <v>736.765568440474</v>
      </c>
      <c r="K10910" s="6" t="n">
        <f aca="false">Sens!K10892</f>
        <v>790.265823139428</v>
      </c>
    </row>
    <row r="10911" customFormat="false" ht="15" hidden="false" customHeight="false" outlineLevel="0" collapsed="false">
      <c r="A10911" s="1" t="s">
        <v>1056</v>
      </c>
      <c r="B10911" s="0" t="s">
        <v>168</v>
      </c>
      <c r="E10911" s="7" t="n">
        <f aca="false">Sens!E10910/Sens!D10910-1</f>
        <v>0.177886867998467</v>
      </c>
      <c r="F10911" s="7" t="n">
        <f aca="false">Sens!F10910/Sens!E10910-1</f>
        <v>0.214961761244544</v>
      </c>
      <c r="G10911" s="7" t="n">
        <f aca="false">Sens!G10910/Sens!F10910-1</f>
        <v>0.220731783254261</v>
      </c>
      <c r="H10911" s="7" t="n">
        <f aca="false">Sens!H10910/Sens!G10910-1</f>
        <v>0.195075262934723</v>
      </c>
      <c r="I10911" s="7" t="n">
        <f aca="false">Sens!I10910/Sens!H10910-1</f>
        <v>0.13954620167461</v>
      </c>
      <c r="J10911" s="7" t="n">
        <f aca="false">Sens!J10910/Sens!I10910-1</f>
        <v>0.0992382680970987</v>
      </c>
      <c r="K10911" s="7" t="n">
        <f aca="false">Sens!K10910/Sens!J10910-1</f>
        <v>0.0726150311451159</v>
      </c>
    </row>
    <row r="10912" customFormat="false" ht="17.15" hidden="false" customHeight="false" outlineLevel="0" collapsed="false">
      <c r="A10912" s="26" t="s">
        <v>1057</v>
      </c>
      <c r="B10912" s="31" t="s">
        <v>98</v>
      </c>
      <c r="C10912" s="31"/>
      <c r="D10912" s="27" t="n">
        <f aca="false">(Sens!D10905+Sens!D10909-Sens!D10910)+(Sens!D10897+Sens!D10898-Sens!D10896)+(Sens!D10900+Sens!D10901-Sens!D10899)+(Sens!D10910-Q!L18)</f>
        <v>0</v>
      </c>
      <c r="E10912" s="27" t="n">
        <f aca="false">(Sens!E10905+Sens!E10909-Sens!E10910)+(Sens!E10897+Sens!E10898-Sens!E10896)+(Sens!E10900+Sens!E10901-Sens!E10899)+(Sens!E10910-Q!M18)</f>
        <v>0</v>
      </c>
      <c r="F10912" s="27" t="n">
        <f aca="false">(Sens!F10905+Sens!F10909-Sens!F10910)+(Sens!F10897+Sens!F10898-Sens!F10896)+(Sens!F10900+Sens!F10901-Sens!F10899)</f>
        <v>0</v>
      </c>
      <c r="G10912" s="27" t="n">
        <f aca="false">(Sens!G10905+Sens!G10909-Sens!G10910)+(Sens!G10897+Sens!G10898-Sens!G10896)+(Sens!G10900+Sens!G10901-Sens!G10899)</f>
        <v>0</v>
      </c>
      <c r="H10912" s="27" t="n">
        <f aca="false">(Sens!H10905+Sens!H10909-Sens!H10910)+(Sens!H10897+Sens!H10898-Sens!H10896)+(Sens!H10900+Sens!H10901-Sens!H10899)</f>
        <v>0</v>
      </c>
      <c r="I10912" s="27" t="n">
        <f aca="false">(Sens!I10905+Sens!I10909-Sens!I10910)+(Sens!I10897+Sens!I10898-Sens!I10896)+(Sens!I10900+Sens!I10901-Sens!I10899)</f>
        <v>0</v>
      </c>
      <c r="J10912" s="27" t="n">
        <f aca="false">(Sens!J10905+Sens!J10909-Sens!J10910)+(Sens!J10897+Sens!J10898-Sens!J10896)+(Sens!J10900+Sens!J10901-Sens!J10899)</f>
        <v>0</v>
      </c>
      <c r="K10912" s="27" t="n">
        <f aca="false">(Sens!K10905+Sens!K10909-Sens!K10910)+(Sens!K10897+Sens!K10898-Sens!K10896)+(Sens!K10900+Sens!K10901-Sens!K10899)</f>
        <v>0</v>
      </c>
    </row>
    <row r="10913" customFormat="false" ht="17.15" hidden="false" customHeight="false" outlineLevel="0" collapsed="false">
      <c r="A10913" s="0" t="s">
        <v>1058</v>
      </c>
      <c r="B10913" s="0" t="s">
        <v>168</v>
      </c>
      <c r="E10913" s="7" t="n">
        <f aca="false">(Q!M21+Sens!E10849+Sens!E10850+Sens!E10851+Sens!E10865-Sens!E10847)/(Q!M5-Sens!E10847)</f>
        <v>0.570957350878296</v>
      </c>
      <c r="F10913" s="7" t="n">
        <f aca="false">Sens!$E$10913+dm_seg</f>
        <v>0.570957350878296</v>
      </c>
      <c r="G10913" s="7" t="n">
        <f aca="false">Sens!$E$10913+dm_seg</f>
        <v>0.570957350878296</v>
      </c>
      <c r="H10913" s="7" t="n">
        <f aca="false">Sens!$E$10913+dm_seg</f>
        <v>0.570957350878296</v>
      </c>
      <c r="I10913" s="7" t="n">
        <f aca="false">Sens!$E$10913+dm_seg</f>
        <v>0.570957350878296</v>
      </c>
      <c r="J10913" s="7" t="n">
        <f aca="false">Sens!$E$10913+dm_seg</f>
        <v>0.570957350878296</v>
      </c>
      <c r="K10913" s="7" t="n">
        <f aca="false">Sens!$E$10913+dm_seg</f>
        <v>0.570957350878296</v>
      </c>
      <c r="L10913" s="12" t="s">
        <v>1059</v>
      </c>
    </row>
    <row r="10914" customFormat="false" ht="17.15" hidden="false" customHeight="false" outlineLevel="0" collapsed="false">
      <c r="A10914" s="0" t="s">
        <v>880</v>
      </c>
      <c r="B10914" s="0" t="s">
        <v>98</v>
      </c>
      <c r="D10914" s="6" t="n">
        <f aca="false">Q!L21</f>
        <v>110.814</v>
      </c>
      <c r="E10914" s="6" t="n">
        <f aca="false">Q!M21</f>
        <v>136.365</v>
      </c>
      <c r="F10914" s="6" t="n">
        <f aca="false">Q!$I$21+(Sens!F10913*(Sens!F10884-Sens!F10847)+Sens!F10847-(Sens!F10849+Sens!F10850+Sens!F10851)-Sens!F10865-Sens!F10948)*(Sens!F10884-Q!$I$5)/Sens!F10884</f>
        <v>165.519524699803</v>
      </c>
      <c r="G10914" s="6" t="n">
        <f aca="false">(Sens!G10913*(Sens!G10884-Sens!G10847)+Sens!G10847-(Sens!G10849+Sens!G10850+Sens!G10851)-Sens!G10865-Sens!G10948)</f>
        <v>191.522773950735</v>
      </c>
      <c r="H10914" s="6" t="n">
        <f aca="false">(Sens!H10913*(Sens!H10884-Sens!H10847)+Sens!H10847-(Sens!H10849+Sens!H10850+Sens!H10851)-Sens!H10865-Sens!H10948)</f>
        <v>225.777095729889</v>
      </c>
      <c r="I10914" s="6" t="n">
        <f aca="false">(Sens!I10913*(Sens!I10884-Sens!I10847)+Sens!I10847-(Sens!I10849+Sens!I10850+Sens!I10851)-Sens!I10865-Sens!I10948)</f>
        <v>251.64229421362</v>
      </c>
      <c r="J10914" s="6" t="n">
        <f aca="false">(Sens!J10913*(Sens!J10884-Sens!J10847)+Sens!J10847-(Sens!J10849+Sens!J10850+Sens!J10851)-Sens!J10865-Sens!J10948)</f>
        <v>273.89424105194</v>
      </c>
      <c r="K10914" s="6" t="n">
        <f aca="false">(Sens!K10913*(Sens!K10884-Sens!K10847)+Sens!K10847-(Sens!K10849+Sens!K10850+Sens!K10851)-Sens!K10865-Sens!K10948)</f>
        <v>293.874491816108</v>
      </c>
      <c r="L10914" s="1" t="s">
        <v>1060</v>
      </c>
    </row>
    <row r="10915" customFormat="false" ht="17.15" hidden="false" customHeight="false" outlineLevel="0" collapsed="false">
      <c r="A10915" s="0" t="s">
        <v>1061</v>
      </c>
      <c r="B10915" s="0" t="s">
        <v>168</v>
      </c>
      <c r="E10915" s="7" t="n">
        <f aca="false">Q!M22/Q!M12</f>
        <v>0.296207935710698</v>
      </c>
      <c r="F10915" s="7" t="n">
        <f aca="false">Sens!$E$10915+dm_seg</f>
        <v>0.296207935710698</v>
      </c>
      <c r="G10915" s="7" t="n">
        <f aca="false">Sens!$E$10915+dm_seg</f>
        <v>0.296207935710698</v>
      </c>
      <c r="H10915" s="7" t="n">
        <f aca="false">Sens!$E$10915+dm_seg</f>
        <v>0.296207935710698</v>
      </c>
      <c r="I10915" s="7" t="n">
        <f aca="false">Sens!$E$10915+dm_seg</f>
        <v>0.296207935710698</v>
      </c>
      <c r="J10915" s="7" t="n">
        <f aca="false">Sens!$E$10915+dm_seg</f>
        <v>0.296207935710698</v>
      </c>
      <c r="K10915" s="7" t="n">
        <f aca="false">Sens!$E$10915+dm_seg</f>
        <v>0.296207935710698</v>
      </c>
      <c r="L10915" s="12" t="s">
        <v>1062</v>
      </c>
    </row>
    <row r="10916" customFormat="false" ht="17.15" hidden="false" customHeight="false" outlineLevel="0" collapsed="false">
      <c r="A10916" s="0" t="s">
        <v>882</v>
      </c>
      <c r="B10916" s="0" t="s">
        <v>98</v>
      </c>
      <c r="D10916" s="6" t="n">
        <f aca="false">Q!L22</f>
        <v>17.714</v>
      </c>
      <c r="E10916" s="6" t="n">
        <f aca="false">Q!M22</f>
        <v>18.872</v>
      </c>
      <c r="F10916" s="6" t="n">
        <f aca="false">Q!$I$22+(Sens!F10891-Q!$I$12)*Sens!F10915</f>
        <v>19.845412833852</v>
      </c>
      <c r="G10916" s="6" t="n">
        <f aca="false">Sens!G10891*Sens!G10915</f>
        <v>19.7441678995688</v>
      </c>
      <c r="H10916" s="6" t="n">
        <f aca="false">Sens!H10891*Sens!H10915</f>
        <v>20.6139423471448</v>
      </c>
      <c r="I10916" s="6" t="n">
        <f aca="false">Sens!I10891*Sens!I10915</f>
        <v>21.6774703400395</v>
      </c>
      <c r="J10916" s="6" t="n">
        <f aca="false">Sens!J10891*Sens!J10915</f>
        <v>22.9323526116515</v>
      </c>
      <c r="K10916" s="6" t="n">
        <f aca="false">Sens!K10891*Sens!K10915</f>
        <v>24.3800384430312</v>
      </c>
      <c r="L10916" s="12" t="s">
        <v>1063</v>
      </c>
    </row>
    <row r="10917" customFormat="false" ht="15" hidden="false" customHeight="false" outlineLevel="0" collapsed="false">
      <c r="A10917" s="1" t="s">
        <v>1064</v>
      </c>
      <c r="B10917" s="0" t="s">
        <v>98</v>
      </c>
      <c r="D10917" s="6" t="n">
        <f aca="false">Sens!D10914+Sens!D10916</f>
        <v>128.528</v>
      </c>
      <c r="E10917" s="6" t="n">
        <f aca="false">Sens!E10914+Sens!E10916</f>
        <v>155.237</v>
      </c>
      <c r="F10917" s="6" t="n">
        <f aca="false">Sens!F10914+Sens!F10916</f>
        <v>185.364937533655</v>
      </c>
      <c r="G10917" s="6" t="n">
        <f aca="false">Sens!G10914+Sens!G10916</f>
        <v>211.266941850304</v>
      </c>
      <c r="H10917" s="6" t="n">
        <f aca="false">Sens!H10914+Sens!H10916</f>
        <v>246.391038077034</v>
      </c>
      <c r="I10917" s="6" t="n">
        <f aca="false">Sens!I10914+Sens!I10916</f>
        <v>273.319764553659</v>
      </c>
      <c r="J10917" s="6" t="n">
        <f aca="false">Sens!J10914+Sens!J10916</f>
        <v>296.826593663591</v>
      </c>
      <c r="K10917" s="6" t="n">
        <f aca="false">Sens!K10914+Sens!K10916</f>
        <v>318.254530259139</v>
      </c>
    </row>
    <row r="10918" customFormat="false" ht="15" hidden="false" customHeight="false" outlineLevel="0" collapsed="false">
      <c r="A10918" s="26" t="s">
        <v>1065</v>
      </c>
      <c r="B10918" s="31" t="s">
        <v>98</v>
      </c>
      <c r="C10918" s="31"/>
      <c r="D10918" s="27" t="n">
        <f aca="false">Sens!D10917-Q!L23</f>
        <v>0</v>
      </c>
      <c r="E10918" s="27" t="n">
        <f aca="false">Sens!E10917-Q!M23</f>
        <v>0</v>
      </c>
      <c r="F10918" s="31"/>
      <c r="G10918" s="31"/>
      <c r="H10918" s="31"/>
      <c r="I10918" s="31"/>
      <c r="J10918" s="31"/>
      <c r="K10918" s="31"/>
    </row>
    <row r="10919" customFormat="false" ht="15" hidden="false" customHeight="false" outlineLevel="0" collapsed="false">
      <c r="A10919" s="1" t="s">
        <v>1066</v>
      </c>
      <c r="B10919" s="0" t="s">
        <v>168</v>
      </c>
      <c r="D10919" s="7" t="n">
        <f aca="false">Sens!D10917/Sens!D10910</f>
        <v>0.456219562408598</v>
      </c>
      <c r="E10919" s="7" t="n">
        <f aca="false">Sens!E10917/Sens!E10910</f>
        <v>0.467808184089272</v>
      </c>
      <c r="F10919" s="7" t="n">
        <f aca="false">Sens!F10917/Sens!F10910</f>
        <v>0.459766743110857</v>
      </c>
      <c r="G10919" s="7" t="n">
        <f aca="false">Sens!G10917/Sens!G10910</f>
        <v>0.429260827308559</v>
      </c>
      <c r="H10919" s="7" t="n">
        <f aca="false">Sens!H10917/Sens!H10910</f>
        <v>0.418908683376362</v>
      </c>
      <c r="I10919" s="7" t="n">
        <f aca="false">Sens!I10917/Sens!I10910</f>
        <v>0.407787167986997</v>
      </c>
      <c r="J10919" s="7" t="n">
        <f aca="false">Sens!J10917/Sens!J10910</f>
        <v>0.402877938897023</v>
      </c>
      <c r="K10919" s="7" t="n">
        <f aca="false">Sens!K10917/Sens!K10910</f>
        <v>0.402718327100157</v>
      </c>
    </row>
    <row r="10920" customFormat="false" ht="17.15" hidden="false" customHeight="false" outlineLevel="0" collapsed="false">
      <c r="A10920" s="1" t="s">
        <v>1067</v>
      </c>
      <c r="B10920" s="0" t="s">
        <v>98</v>
      </c>
      <c r="F10920" s="6" t="n">
        <f aca="false">Sens!F10935</f>
        <v>8.88340674531245</v>
      </c>
      <c r="G10920" s="6" t="n">
        <f aca="false">Sens!G10935</f>
        <v>22.7060305170273</v>
      </c>
      <c r="H10920" s="6" t="n">
        <f aca="false">Sens!H10935</f>
        <v>38.0018452382075</v>
      </c>
      <c r="I10920" s="6" t="n">
        <f aca="false">Sens!I10935</f>
        <v>52.1381094705177</v>
      </c>
      <c r="J10920" s="6" t="n">
        <f aca="false">Sens!J10935</f>
        <v>62.0595818934393</v>
      </c>
      <c r="K10920" s="6" t="n">
        <f aca="false">Sens!K10935</f>
        <v>67.0801312706266</v>
      </c>
      <c r="L10920" s="1" t="s">
        <v>1068</v>
      </c>
    </row>
    <row r="10921" customFormat="false" ht="17.15" hidden="false" customHeight="false" outlineLevel="0" collapsed="false">
      <c r="A10921" s="1" t="s">
        <v>1069</v>
      </c>
      <c r="B10921" s="0" t="s">
        <v>98</v>
      </c>
      <c r="D10921" s="6" t="n">
        <f aca="false">Sens!D10917</f>
        <v>128.528</v>
      </c>
      <c r="E10921" s="6" t="n">
        <f aca="false">Sens!E10917</f>
        <v>155.237</v>
      </c>
      <c r="F10921" s="6" t="n">
        <f aca="false">Sens!F10917+Sens!F10920</f>
        <v>194.248344278968</v>
      </c>
      <c r="G10921" s="6" t="n">
        <f aca="false">Sens!G10917+Sens!G10920</f>
        <v>233.972972367331</v>
      </c>
      <c r="H10921" s="6" t="n">
        <f aca="false">Sens!H10917+Sens!H10920</f>
        <v>284.392883315241</v>
      </c>
      <c r="I10921" s="6" t="n">
        <f aca="false">Sens!I10917+Sens!I10920</f>
        <v>325.457874024177</v>
      </c>
      <c r="J10921" s="6" t="n">
        <f aca="false">Sens!J10917+Sens!J10920</f>
        <v>358.886175557031</v>
      </c>
      <c r="K10921" s="6" t="n">
        <f aca="false">Sens!K10917+Sens!K10920</f>
        <v>385.334661529766</v>
      </c>
    </row>
    <row r="10922" customFormat="false" ht="17.15" hidden="false" customHeight="false" outlineLevel="0" collapsed="false">
      <c r="A10922" s="1" t="s">
        <v>1070</v>
      </c>
      <c r="B10922" s="0" t="s">
        <v>98</v>
      </c>
      <c r="E10922" s="6" t="n">
        <f aca="false">Sens!E10865</f>
        <v>16.3054059770833</v>
      </c>
      <c r="F10922" s="6" t="n">
        <f aca="false">Sens!F10865</f>
        <v>34.5793144783516</v>
      </c>
      <c r="G10922" s="6" t="n">
        <f aca="false">Sens!G10865</f>
        <v>60.7344906522989</v>
      </c>
      <c r="H10922" s="6" t="n">
        <f aca="false">Sens!H10865</f>
        <v>89.1000906614457</v>
      </c>
      <c r="I10922" s="6" t="n">
        <f aca="false">Sens!I10865</f>
        <v>114.231009694548</v>
      </c>
      <c r="J10922" s="6" t="n">
        <f aca="false">Sens!J10865</f>
        <v>132.015673049596</v>
      </c>
      <c r="K10922" s="6" t="n">
        <f aca="false">Sens!K10865</f>
        <v>143.012669550934</v>
      </c>
    </row>
    <row r="10923" customFormat="false" ht="17.15" hidden="false" customHeight="false" outlineLevel="0" collapsed="false">
      <c r="A10923" s="1" t="s">
        <v>1071</v>
      </c>
      <c r="B10923" s="0" t="s">
        <v>98</v>
      </c>
      <c r="E10923" s="6" t="n">
        <f aca="false">Sens!E10947</f>
        <v>22.2285940229167</v>
      </c>
      <c r="F10923" s="6" t="n">
        <f aca="false">Sens!F10947</f>
        <v>23.580344216413</v>
      </c>
      <c r="G10923" s="6" t="n">
        <f aca="false">Sens!G10947</f>
        <v>25.3831877589923</v>
      </c>
      <c r="H10923" s="6" t="n">
        <f aca="false">Sens!H10947</f>
        <v>27.6062362289485</v>
      </c>
      <c r="I10923" s="6" t="n">
        <f aca="false">Sens!I10947</f>
        <v>30.1748448166115</v>
      </c>
      <c r="J10923" s="6" t="n">
        <f aca="false">Sens!J10947</f>
        <v>32.9989179426604</v>
      </c>
      <c r="K10923" s="6" t="n">
        <f aca="false">Sens!K10947</f>
        <v>35.9961902192455</v>
      </c>
    </row>
    <row r="10924" customFormat="false" ht="17.15" hidden="false" customHeight="false" outlineLevel="0" collapsed="false">
      <c r="A10924" s="1" t="s">
        <v>1072</v>
      </c>
      <c r="B10924" s="0" t="s">
        <v>98</v>
      </c>
      <c r="D10924" s="6" t="n">
        <f aca="false">Q!L27</f>
        <v>-4.901</v>
      </c>
      <c r="E10924" s="6" t="n">
        <f aca="false">Q!M27</f>
        <v>10.697</v>
      </c>
      <c r="F10924" s="6" t="n">
        <f aca="false">Q!$I$27+oie_f*(q_per_yr-1)/q_per_yr</f>
        <v>-0.862</v>
      </c>
      <c r="G10924" s="6" t="n">
        <f aca="false">oie_f</f>
        <v>-1.2</v>
      </c>
      <c r="H10924" s="6" t="n">
        <f aca="false">oie_f</f>
        <v>-1.2</v>
      </c>
      <c r="I10924" s="6" t="n">
        <f aca="false">oie_f</f>
        <v>-1.2</v>
      </c>
      <c r="J10924" s="6" t="n">
        <f aca="false">oie_f</f>
        <v>-1.2</v>
      </c>
      <c r="K10924" s="6" t="n">
        <f aca="false">oie_f</f>
        <v>-1.2</v>
      </c>
      <c r="L10924" s="12" t="s">
        <v>1073</v>
      </c>
    </row>
    <row r="10925" customFormat="false" ht="15" hidden="false" customHeight="false" outlineLevel="0" collapsed="false">
      <c r="A10925" s="1" t="s">
        <v>1074</v>
      </c>
      <c r="B10925" s="0" t="s">
        <v>98</v>
      </c>
      <c r="D10925" s="6" t="n">
        <f aca="false">Sens!D10917+Sens!D10924</f>
        <v>123.627</v>
      </c>
      <c r="E10925" s="6" t="n">
        <f aca="false">Sens!E10917+Sens!E10924</f>
        <v>165.934</v>
      </c>
      <c r="F10925" s="6" t="n">
        <f aca="false">Sens!F10917+Sens!F10924</f>
        <v>184.502937533655</v>
      </c>
      <c r="G10925" s="6" t="n">
        <f aca="false">Sens!G10917+Sens!G10924</f>
        <v>210.066941850304</v>
      </c>
      <c r="H10925" s="6" t="n">
        <f aca="false">Sens!H10917+Sens!H10924</f>
        <v>245.191038077034</v>
      </c>
      <c r="I10925" s="6" t="n">
        <f aca="false">Sens!I10917+Sens!I10924</f>
        <v>272.119764553659</v>
      </c>
      <c r="J10925" s="6" t="n">
        <f aca="false">Sens!J10917+Sens!J10924</f>
        <v>295.626593663591</v>
      </c>
      <c r="K10925" s="6" t="n">
        <f aca="false">Sens!K10917+Sens!K10924</f>
        <v>317.054530259139</v>
      </c>
    </row>
    <row r="10926" customFormat="false" ht="15" hidden="false" customHeight="false" outlineLevel="0" collapsed="false">
      <c r="A10926" s="1" t="s">
        <v>1075</v>
      </c>
      <c r="B10926" s="0" t="s">
        <v>98</v>
      </c>
      <c r="D10926" s="6" t="n">
        <f aca="false">Q!L29</f>
        <v>21.795</v>
      </c>
      <c r="E10926" s="6" t="n">
        <f aca="false">Q!M29</f>
        <v>32.185</v>
      </c>
      <c r="F10926" s="6" t="n">
        <f aca="false">Q!$I$29+(Sens!F10925-Q!$I$28)*tax_f</f>
        <v>37.033987506731</v>
      </c>
      <c r="G10926" s="6" t="n">
        <f aca="false">Sens!G10925*tax_f</f>
        <v>42.0133883700608</v>
      </c>
      <c r="H10926" s="6" t="n">
        <f aca="false">Sens!H10925*tax_f</f>
        <v>49.0382076154068</v>
      </c>
      <c r="I10926" s="6" t="n">
        <f aca="false">Sens!I10925*tax_f</f>
        <v>54.4239529107318</v>
      </c>
      <c r="J10926" s="6" t="n">
        <f aca="false">Sens!J10925*tax_f</f>
        <v>59.1253187327183</v>
      </c>
      <c r="K10926" s="6" t="n">
        <f aca="false">Sens!K10925*tax_f</f>
        <v>63.4109060518279</v>
      </c>
    </row>
    <row r="10927" customFormat="false" ht="15" hidden="false" customHeight="false" outlineLevel="0" collapsed="false">
      <c r="A10927" s="1" t="s">
        <v>1076</v>
      </c>
      <c r="B10927" s="0" t="s">
        <v>98</v>
      </c>
      <c r="D10927" s="6" t="n">
        <f aca="false">Sens!D10925-Sens!D10926</f>
        <v>101.832</v>
      </c>
      <c r="E10927" s="6" t="n">
        <f aca="false">Sens!E10925-Sens!E10926</f>
        <v>133.749</v>
      </c>
      <c r="F10927" s="6" t="n">
        <f aca="false">Sens!F10925-Sens!F10926</f>
        <v>147.468950026924</v>
      </c>
      <c r="G10927" s="6" t="n">
        <f aca="false">Sens!G10925-Sens!G10926</f>
        <v>168.053553480243</v>
      </c>
      <c r="H10927" s="6" t="n">
        <f aca="false">Sens!H10925-Sens!H10926</f>
        <v>196.152830461627</v>
      </c>
      <c r="I10927" s="6" t="n">
        <f aca="false">Sens!I10925-Sens!I10926</f>
        <v>217.695811642927</v>
      </c>
      <c r="J10927" s="6" t="n">
        <f aca="false">Sens!J10925-Sens!J10926</f>
        <v>236.501274930873</v>
      </c>
      <c r="K10927" s="6" t="n">
        <f aca="false">Sens!K10925-Sens!K10926</f>
        <v>253.643624207311</v>
      </c>
    </row>
    <row r="10928" customFormat="false" ht="17.15" hidden="false" customHeight="false" outlineLevel="0" collapsed="false">
      <c r="A10928" s="1" t="s">
        <v>1077</v>
      </c>
      <c r="B10928" s="1" t="s">
        <v>81</v>
      </c>
      <c r="D10928" s="15" t="n">
        <f aca="false">Q!L31</f>
        <v>7.465</v>
      </c>
      <c r="E10928" s="15" t="n">
        <f aca="false">Q!M31</f>
        <v>7.453</v>
      </c>
      <c r="F10928" s="15" t="n">
        <f aca="false">Sens!F10972</f>
        <v>7.47060878236488</v>
      </c>
      <c r="G10928" s="15" t="n">
        <f aca="false">Sens!G10972</f>
        <v>7.50979052829288</v>
      </c>
      <c r="H10928" s="15" t="n">
        <f aca="false">Sens!H10972</f>
        <v>7.53456343088479</v>
      </c>
      <c r="I10928" s="15" t="n">
        <f aca="false">Sens!I10972</f>
        <v>7.54624479494026</v>
      </c>
      <c r="J10928" s="15" t="n">
        <f aca="false">Sens!J10972</f>
        <v>7.56039420610273</v>
      </c>
      <c r="K10928" s="15" t="n">
        <f aca="false">Sens!K10972</f>
        <v>7.57682884606798</v>
      </c>
    </row>
    <row r="10929" customFormat="false" ht="17.15" hidden="false" customHeight="false" outlineLevel="0" collapsed="false">
      <c r="A10929" s="0" t="s">
        <v>1078</v>
      </c>
      <c r="B10929" s="0" t="s">
        <v>75</v>
      </c>
      <c r="D10929" s="8" t="n">
        <f aca="false">Sens!D10927/Sens!D10928</f>
        <v>13.641259209645</v>
      </c>
      <c r="E10929" s="8" t="n">
        <f aca="false">Sens!E10927/Sens!E10928</f>
        <v>17.9456594659869</v>
      </c>
      <c r="F10929" s="8" t="n">
        <f aca="false">Sens!F10927/Sens!F10928</f>
        <v>19.7398839000965</v>
      </c>
      <c r="G10929" s="8" t="n">
        <f aca="false">Sens!G10927/Sens!G10928</f>
        <v>22.3779282321001</v>
      </c>
      <c r="H10929" s="8" t="n">
        <f aca="false">Sens!H10927/Sens!H10928</f>
        <v>26.033735366482</v>
      </c>
      <c r="I10929" s="8" t="n">
        <f aca="false">Sens!I10927/Sens!I10928</f>
        <v>28.84823081659</v>
      </c>
      <c r="J10929" s="8" t="n">
        <f aca="false">Sens!J10927/Sens!J10928</f>
        <v>31.2816062871391</v>
      </c>
      <c r="K10929" s="8" t="n">
        <f aca="false">Sens!K10927/Sens!K10928</f>
        <v>33.4762246000767</v>
      </c>
      <c r="L10929" s="1" t="s">
        <v>1079</v>
      </c>
    </row>
    <row r="10930" customFormat="false" ht="17.15" hidden="false" customHeight="false" outlineLevel="0" collapsed="false">
      <c r="A10930" s="1" t="s">
        <v>1080</v>
      </c>
      <c r="B10930" s="0" t="s">
        <v>98</v>
      </c>
      <c r="D10930" s="6" t="n">
        <f aca="false">Sens!D10927</f>
        <v>101.832</v>
      </c>
      <c r="E10930" s="6" t="n">
        <f aca="false">Sens!E10927</f>
        <v>133.749</v>
      </c>
      <c r="F10930" s="6" t="n">
        <f aca="false">Sens!F10927+Sens!F10920*(1-tax_f)</f>
        <v>154.575675423174</v>
      </c>
      <c r="G10930" s="6" t="n">
        <f aca="false">Sens!G10927+Sens!G10920*(1-tax_f)</f>
        <v>186.218377893865</v>
      </c>
      <c r="H10930" s="6" t="n">
        <f aca="false">Sens!H10927+Sens!H10920*(1-tax_f)</f>
        <v>226.554306652193</v>
      </c>
      <c r="I10930" s="6" t="n">
        <f aca="false">Sens!I10927+Sens!I10920*(1-tax_f)</f>
        <v>259.406299219341</v>
      </c>
      <c r="J10930" s="6" t="n">
        <f aca="false">Sens!J10927+Sens!J10920*(1-tax_f)</f>
        <v>286.148940445625</v>
      </c>
      <c r="K10930" s="6" t="n">
        <f aca="false">Sens!K10927+Sens!K10920*(1-tax_f)</f>
        <v>307.307729223813</v>
      </c>
    </row>
    <row r="10931" customFormat="false" ht="17.15" hidden="false" customHeight="false" outlineLevel="0" collapsed="false">
      <c r="A10931" s="0" t="s">
        <v>1081</v>
      </c>
      <c r="B10931" s="0" t="s">
        <v>75</v>
      </c>
      <c r="D10931" s="8" t="n">
        <f aca="false">Sens!D10930/Sens!D10928</f>
        <v>13.641259209645</v>
      </c>
      <c r="E10931" s="8" t="n">
        <f aca="false">Sens!E10930/Sens!E10928</f>
        <v>17.9456594659869</v>
      </c>
      <c r="F10931" s="8" t="n">
        <f aca="false">Sens!F10930/Sens!F10928</f>
        <v>20.6911752343484</v>
      </c>
      <c r="G10931" s="8" t="n">
        <f aca="false">Sens!G10930/Sens!G10928</f>
        <v>24.7967472850666</v>
      </c>
      <c r="H10931" s="8" t="n">
        <f aca="false">Sens!H10930/Sens!H10928</f>
        <v>30.0686706974326</v>
      </c>
      <c r="I10931" s="8" t="n">
        <f aca="false">Sens!I10930/Sens!I10928</f>
        <v>34.3755478742583</v>
      </c>
      <c r="J10931" s="8" t="n">
        <f aca="false">Sens!J10930/Sens!J10928</f>
        <v>37.8484153927643</v>
      </c>
      <c r="K10931" s="8" t="n">
        <f aca="false">Sens!K10930/Sens!K10928</f>
        <v>40.5588849196839</v>
      </c>
      <c r="L10931" s="1" t="s">
        <v>1082</v>
      </c>
    </row>
    <row r="10932" customFormat="false" ht="17.15" hidden="false" customHeight="false" outlineLevel="0" collapsed="false">
      <c r="A10932" s="0" t="s">
        <v>1083</v>
      </c>
      <c r="B10932" s="0" t="s">
        <v>168</v>
      </c>
      <c r="E10932" s="7" t="n">
        <f aca="false">Sens!E10931/Sens!D10931-1</f>
        <v>0.315542736208578</v>
      </c>
      <c r="F10932" s="7" t="n">
        <f aca="false">Sens!F10931/Sens!E10931-1</f>
        <v>0.152990519716773</v>
      </c>
      <c r="G10932" s="7" t="n">
        <f aca="false">Sens!G10931/Sens!F10931-1</f>
        <v>0.198421404498217</v>
      </c>
      <c r="H10932" s="7" t="n">
        <f aca="false">Sens!H10931/Sens!G10931-1</f>
        <v>0.212605441825066</v>
      </c>
      <c r="I10932" s="7" t="n">
        <f aca="false">Sens!I10931/Sens!H10931-1</f>
        <v>0.143234704991245</v>
      </c>
      <c r="J10932" s="7" t="n">
        <f aca="false">Sens!J10931/Sens!I10931-1</f>
        <v>0.10102726307692</v>
      </c>
      <c r="K10932" s="7" t="n">
        <f aca="false">Sens!K10931/Sens!J10931-1</f>
        <v>0.0716138178782986</v>
      </c>
    </row>
    <row r="10933" customFormat="false" ht="17.15" hidden="false" customHeight="false" outlineLevel="0" collapsed="false">
      <c r="A10933" s="0" t="s">
        <v>1003</v>
      </c>
      <c r="B10933" s="0" t="s">
        <v>98</v>
      </c>
      <c r="E10933" s="6" t="n">
        <f aca="false">Sens!E10874</f>
        <v>5.25</v>
      </c>
      <c r="F10933" s="6" t="n">
        <f aca="false">Sens!F10874</f>
        <v>13.5</v>
      </c>
      <c r="G10933" s="6" t="n">
        <f aca="false">Sens!G10874</f>
        <v>22.5</v>
      </c>
      <c r="H10933" s="6" t="n">
        <f aca="false">Sens!H10874</f>
        <v>31.5</v>
      </c>
      <c r="I10933" s="6" t="n">
        <f aca="false">Sens!I10874</f>
        <v>38.25</v>
      </c>
      <c r="J10933" s="6" t="n">
        <f aca="false">Sens!J10874</f>
        <v>42.75</v>
      </c>
      <c r="K10933" s="6" t="n">
        <f aca="false">Sens!K10874</f>
        <v>47.25</v>
      </c>
    </row>
    <row r="10934" customFormat="false" ht="17.15" hidden="false" customHeight="false" outlineLevel="0" collapsed="false">
      <c r="A10934" s="1" t="s">
        <v>1004</v>
      </c>
      <c r="B10934" s="0" t="s">
        <v>98</v>
      </c>
      <c r="F10934" s="6" t="n">
        <f aca="false">MAX(0,((Sens!E10834+Sens!F10834)/2-(shadow_base*(Sens!$D$10834+Sens!$E$10834)/2+(1-shadow_base)*Sens!$E$10834))*Sens!F10843/1000-(Sens!F10933-Sens!$E$10933)*Sens!F10913)</f>
        <v>8.88340674531245</v>
      </c>
      <c r="G10934" s="6" t="n">
        <f aca="false">MAX(0,((Sens!F10834+Sens!G10834)/2-(shadow_base*(Sens!$D$10834+Sens!$E$10834)/2+(1-shadow_base)*Sens!$E$10834))*Sens!G10843/1000-(Sens!G10933-Sens!$E$10933)*Sens!G10913)</f>
        <v>22.7060305170273</v>
      </c>
      <c r="H10934" s="6" t="n">
        <f aca="false">MAX(0,((Sens!G10834+Sens!H10834)/2-(shadow_base*(Sens!$D$10834+Sens!$E$10834)/2+(1-shadow_base)*Sens!$E$10834))*Sens!H10843/1000-(Sens!H10933-Sens!$E$10933)*Sens!H10913)</f>
        <v>38.0018452382075</v>
      </c>
      <c r="I10934" s="6" t="n">
        <f aca="false">MAX(0,((Sens!H10834+Sens!I10834)/2-(shadow_base*(Sens!$D$10834+Sens!$E$10834)/2+(1-shadow_base)*Sens!$E$10834))*Sens!I10843/1000-(Sens!I10933-Sens!$E$10933)*Sens!I10913)</f>
        <v>52.1381094705177</v>
      </c>
      <c r="J10934" s="6" t="n">
        <f aca="false">MAX(0,((Sens!I10834+Sens!J10834)/2-(shadow_base*(Sens!$D$10834+Sens!$E$10834)/2+(1-shadow_base)*Sens!$E$10834))*Sens!J10843/1000-(Sens!J10933-Sens!$E$10933)*Sens!J10913)</f>
        <v>62.0595818934393</v>
      </c>
      <c r="K10934" s="6" t="n">
        <f aca="false">MAX(0,((Sens!J10834+Sens!K10834)/2-(shadow_base*(Sens!$D$10834+Sens!$E$10834)/2+(1-shadow_base)*Sens!$E$10834))*Sens!K10843/1000-(Sens!K10933-Sens!$E$10933)*Sens!K10913)</f>
        <v>67.0801312706266</v>
      </c>
      <c r="L10934" s="1" t="s">
        <v>1005</v>
      </c>
    </row>
    <row r="10935" customFormat="false" ht="17.15" hidden="false" customHeight="false" outlineLevel="0" collapsed="false">
      <c r="A10935" s="1" t="s">
        <v>1006</v>
      </c>
      <c r="B10935" s="0" t="s">
        <v>98</v>
      </c>
      <c r="F10935" s="6" t="n">
        <f aca="false">IF(internal_ai_reading=2,1,0)*Sens!F10934</f>
        <v>8.88340674531245</v>
      </c>
      <c r="G10935" s="6" t="n">
        <f aca="false">IF(internal_ai_reading=2,1,0)*Sens!G10934</f>
        <v>22.7060305170273</v>
      </c>
      <c r="H10935" s="6" t="n">
        <f aca="false">IF(internal_ai_reading=2,1,0)*Sens!H10934</f>
        <v>38.0018452382075</v>
      </c>
      <c r="I10935" s="6" t="n">
        <f aca="false">IF(internal_ai_reading=2,1,0)*Sens!I10934</f>
        <v>52.1381094705177</v>
      </c>
      <c r="J10935" s="6" t="n">
        <f aca="false">IF(internal_ai_reading=2,1,0)*Sens!J10934</f>
        <v>62.0595818934393</v>
      </c>
      <c r="K10935" s="6" t="n">
        <f aca="false">IF(internal_ai_reading=2,1,0)*Sens!K10934</f>
        <v>67.0801312706266</v>
      </c>
    </row>
    <row r="10936" customFormat="false" ht="17.15" hidden="false" customHeight="false" outlineLevel="0" collapsed="false">
      <c r="A10936" s="0" t="s">
        <v>1007</v>
      </c>
      <c r="B10936" s="0" t="s">
        <v>98</v>
      </c>
      <c r="F10936" s="6" t="n">
        <f aca="false">Sens!F10853+Sens!F10933*Sens!F10913+Sens!F10935-Sens!F10854-Sens!F10865</f>
        <v>18.5068678152817</v>
      </c>
      <c r="G10936" s="6" t="n">
        <f aca="false">Sens!G10853+Sens!G10933*Sens!G10913+Sens!G10935-Sens!G10854-Sens!G10865</f>
        <v>43.1983864982792</v>
      </c>
      <c r="H10936" s="6" t="n">
        <f aca="false">Sens!H10853+Sens!H10933*Sens!H10913+Sens!H10935-Sens!H10854-Sens!H10865</f>
        <v>73.502598356074</v>
      </c>
      <c r="I10936" s="6" t="n">
        <f aca="false">Sens!I10853+Sens!I10933*Sens!I10913+Sens!I10935-Sens!I10854-Sens!I10865</f>
        <v>94.7454135378504</v>
      </c>
      <c r="J10936" s="6" t="n">
        <f aca="false">Sens!J10853+Sens!J10933*Sens!J10913+Sens!J10935-Sens!J10854-Sens!J10865</f>
        <v>109.399608126358</v>
      </c>
      <c r="K10936" s="6" t="n">
        <f aca="false">Sens!K10853+Sens!K10933*Sens!K10913+Sens!K10935-Sens!K10854-Sens!K10865</f>
        <v>118.898703181943</v>
      </c>
    </row>
    <row r="10937" customFormat="false" ht="17.15" hidden="false" customHeight="false" outlineLevel="0" collapsed="false">
      <c r="A10937" s="0" t="s">
        <v>1008</v>
      </c>
      <c r="B10937" s="0" t="s">
        <v>98</v>
      </c>
      <c r="E10937" s="6" t="n">
        <f aca="false">Sens!E10833*(cxit_open+self_build*tk_cxfac)/1000*ai_net_open</f>
        <v>126.6980382</v>
      </c>
      <c r="F10937" s="6" t="n">
        <f aca="false">Sens!E10937+Sens!F10862-Sens!F10865</f>
        <v>260.572627763768</v>
      </c>
      <c r="G10937" s="6" t="n">
        <f aca="false">Sens!F10937+Sens!G10862-Sens!G10865</f>
        <v>391.782612760517</v>
      </c>
      <c r="H10937" s="6" t="n">
        <f aca="false">Sens!G10937+Sens!H10862-Sens!H10865</f>
        <v>499.488526163584</v>
      </c>
      <c r="I10937" s="6" t="n">
        <f aca="false">Sens!H10937+Sens!I10862-Sens!I10865</f>
        <v>553.872350090646</v>
      </c>
      <c r="J10937" s="6" t="n">
        <f aca="false">Sens!I10937+Sens!J10862-Sens!J10865</f>
        <v>550.78660823699</v>
      </c>
      <c r="K10937" s="6" t="n">
        <f aca="false">Sens!J10937+Sens!K10862-Sens!K10865</f>
        <v>526.736791750789</v>
      </c>
      <c r="L10937" s="1" t="s">
        <v>1009</v>
      </c>
    </row>
    <row r="10938" customFormat="false" ht="17.15" hidden="false" customHeight="false" outlineLevel="0" collapsed="false">
      <c r="A10938" s="0" t="s">
        <v>1010</v>
      </c>
      <c r="B10938" s="0" t="s">
        <v>168</v>
      </c>
      <c r="F10938" s="7" t="n">
        <f aca="false">Sens!F10936*(1-tax_f)/((Sens!E10937+Sens!F10937)/2)</f>
        <v>0.0764607059271074</v>
      </c>
      <c r="G10938" s="7" t="n">
        <f aca="false">Sens!G10936*(1-tax_f)/((Sens!F10937+Sens!G10937)/2)</f>
        <v>0.105950583522098</v>
      </c>
      <c r="H10938" s="7" t="n">
        <f aca="false">Sens!H10936*(1-tax_f)/((Sens!G10937+Sens!H10937)/2)</f>
        <v>0.131951044114011</v>
      </c>
      <c r="I10938" s="7" t="n">
        <f aca="false">Sens!I10936*(1-tax_f)/((Sens!H10937+Sens!I10937)/2)</f>
        <v>0.143913320760143</v>
      </c>
      <c r="J10938" s="7" t="n">
        <f aca="false">Sens!J10936*(1-tax_f)/((Sens!I10937+Sens!J10937)/2)</f>
        <v>0.158455577336889</v>
      </c>
      <c r="K10938" s="7" t="n">
        <f aca="false">Sens!K10936*(1-tax_f)/((Sens!J10937+Sens!K10937)/2)</f>
        <v>0.176551084731214</v>
      </c>
    </row>
    <row r="10939" customFormat="false" ht="17.15" hidden="false" customHeight="false" outlineLevel="0" collapsed="false">
      <c r="A10939" s="1" t="s">
        <v>1011</v>
      </c>
      <c r="B10939" s="0" t="s">
        <v>168</v>
      </c>
      <c r="F10939" s="7" t="n">
        <f aca="false">(Sens!F10936-Sens!F10935)*(1-tax_f)/((Sens!E10937+Sens!F10937)/2)</f>
        <v>0.0397591118181705</v>
      </c>
      <c r="G10939" s="7" t="n">
        <f aca="false">(Sens!G10936-Sens!G10935)*(1-tax_f)/((Sens!F10937+Sens!G10937)/2)</f>
        <v>0.0502606057761598</v>
      </c>
      <c r="H10939" s="7" t="n">
        <f aca="false">(Sens!H10936-Sens!H10935)*(1-tax_f)/((Sens!G10937+Sens!H10937)/2)</f>
        <v>0.0637305557287023</v>
      </c>
      <c r="I10939" s="7" t="n">
        <f aca="false">(Sens!I10936-Sens!I10935)*(1-tax_f)/((Sens!H10937+Sens!I10937)/2)</f>
        <v>0.0647182632699936</v>
      </c>
      <c r="J10939" s="7" t="n">
        <f aca="false">(Sens!J10936-Sens!J10935)*(1-tax_f)/((Sens!I10937+Sens!J10937)/2)</f>
        <v>0.0685678067440289</v>
      </c>
      <c r="K10939" s="7" t="n">
        <f aca="false">(Sens!K10936-Sens!K10935)*(1-tax_f)/((Sens!J10937+Sens!K10937)/2)</f>
        <v>0.0769447002812616</v>
      </c>
    </row>
    <row r="10940" customFormat="false" ht="17.15" hidden="false" customHeight="false" outlineLevel="0" collapsed="false">
      <c r="A10940" s="1" t="s">
        <v>1012</v>
      </c>
      <c r="B10940" s="0" t="s">
        <v>168</v>
      </c>
      <c r="F10940" s="7" t="n">
        <f aca="false">(Sens!F10936-Sens!F10935+Sens!F10934)*(1-tax_f)/((Sens!E10937+Sens!F10937)/2)</f>
        <v>0.0764607059271074</v>
      </c>
      <c r="G10940" s="7" t="n">
        <f aca="false">(Sens!G10936-Sens!G10935+Sens!G10934)*(1-tax_f)/((Sens!F10937+Sens!G10937)/2)</f>
        <v>0.105950583522098</v>
      </c>
      <c r="H10940" s="7" t="n">
        <f aca="false">(Sens!H10936-Sens!H10935+Sens!H10934)*(1-tax_f)/((Sens!G10937+Sens!H10937)/2)</f>
        <v>0.131951044114011</v>
      </c>
      <c r="I10940" s="7" t="n">
        <f aca="false">(Sens!I10936-Sens!I10935+Sens!I10934)*(1-tax_f)/((Sens!H10937+Sens!I10937)/2)</f>
        <v>0.143913320760143</v>
      </c>
      <c r="J10940" s="7" t="n">
        <f aca="false">(Sens!J10936-Sens!J10935+Sens!J10934)*(1-tax_f)/((Sens!I10937+Sens!J10937)/2)</f>
        <v>0.158455577336889</v>
      </c>
      <c r="K10940" s="7" t="n">
        <f aca="false">(Sens!K10936-Sens!K10935+Sens!K10934)*(1-tax_f)/((Sens!J10937+Sens!K10937)/2)</f>
        <v>0.176551084731214</v>
      </c>
    </row>
    <row r="10941" customFormat="false" ht="17.15" hidden="false" customHeight="false" outlineLevel="0" collapsed="false">
      <c r="A10941" s="1" t="s">
        <v>1013</v>
      </c>
      <c r="B10941" s="0" t="s">
        <v>168</v>
      </c>
      <c r="F10941" s="7" t="n">
        <f aca="false">Sens!F10866*(1-tax_f)/(Sens!F10852*(Sens!E10937+Sens!F10937)/2)</f>
        <v>0.15471433083293</v>
      </c>
      <c r="G10941" s="7" t="n">
        <f aca="false">Sens!G10866*(1-tax_f)/(Sens!G10852*(Sens!F10937+Sens!G10937)/2)</f>
        <v>0.176916911437355</v>
      </c>
      <c r="H10941" s="7" t="n">
        <f aca="false">Sens!H10866*(1-tax_f)/(Sens!H10852*(Sens!G10937+Sens!H10937)/2)</f>
        <v>0.207487057996582</v>
      </c>
      <c r="I10941" s="7" t="n">
        <f aca="false">Sens!I10866*(1-tax_f)/(Sens!I10852*(Sens!H10937+Sens!I10937)/2)</f>
        <v>0.219873660070946</v>
      </c>
      <c r="J10941" s="7" t="n">
        <f aca="false">Sens!J10866*(1-tax_f)/(Sens!J10852*(Sens!I10937+Sens!J10937)/2)</f>
        <v>0.238959457974928</v>
      </c>
      <c r="K10941" s="7" t="n">
        <f aca="false">Sens!K10866*(1-tax_f)/(Sens!K10852*(Sens!J10937+Sens!K10937)/2)</f>
        <v>0.264604270651536</v>
      </c>
    </row>
    <row r="10942" customFormat="false" ht="17.15" hidden="false" customHeight="false" outlineLevel="0" collapsed="false">
      <c r="A10942" s="0" t="s">
        <v>1014</v>
      </c>
      <c r="B10942" s="0" t="s">
        <v>253</v>
      </c>
      <c r="F10942" s="7" t="n">
        <f aca="false">Sens!F10938-wacc</f>
        <v>-0.0264758850184899</v>
      </c>
      <c r="G10942" s="7" t="n">
        <f aca="false">Sens!G10938-wacc</f>
        <v>0.00301399257650095</v>
      </c>
      <c r="H10942" s="7" t="n">
        <f aca="false">Sens!H10938-wacc</f>
        <v>0.0290144531684132</v>
      </c>
      <c r="I10942" s="7" t="n">
        <f aca="false">Sens!I10938-wacc</f>
        <v>0.0409767298145461</v>
      </c>
      <c r="J10942" s="7" t="n">
        <f aca="false">Sens!J10938-wacc</f>
        <v>0.0555189863912922</v>
      </c>
      <c r="K10942" s="7" t="n">
        <f aca="false">Sens!K10938-wacc</f>
        <v>0.0736144937856168</v>
      </c>
    </row>
    <row r="10943" customFormat="false" ht="17.15" hidden="false" customHeight="false" outlineLevel="0" collapsed="false">
      <c r="A10943" s="0" t="s">
        <v>1015</v>
      </c>
      <c r="B10943" s="0" t="s">
        <v>98</v>
      </c>
      <c r="F10943" s="6" t="n">
        <f aca="false">Sens!F10936*(1-tax_f)-wacc*(Sens!E10937+Sens!F10937)/2</f>
        <v>-5.12666681154535</v>
      </c>
      <c r="G10943" s="6" t="n">
        <f aca="false">Sens!G10936*(1-tax_f)-wacc*(Sens!F10937+Sens!G10937)/2</f>
        <v>0.983096926090845</v>
      </c>
      <c r="H10943" s="6" t="n">
        <f aca="false">Sens!H10936*(1-tax_f)-wacc*(Sens!G10937+Sens!H10937)/2</f>
        <v>12.9298723603358</v>
      </c>
      <c r="I10943" s="6" t="n">
        <f aca="false">Sens!I10936*(1-tax_f)-wacc*(Sens!H10937+Sens!I10937)/2</f>
        <v>21.5816420117415</v>
      </c>
      <c r="J10943" s="6" t="n">
        <f aca="false">Sens!J10936*(1-tax_f)-wacc*(Sens!I10937+Sens!J10937)/2</f>
        <v>30.6647728372055</v>
      </c>
      <c r="K10943" s="6" t="n">
        <f aca="false">Sens!K10936*(1-tax_f)-wacc*(Sens!J10937+Sens!K10937)/2</f>
        <v>39.6606698161285</v>
      </c>
    </row>
    <row r="10944" customFormat="false" ht="17.15" hidden="false" customHeight="false" outlineLevel="0" collapsed="false">
      <c r="A10944" s="3" t="s">
        <v>1753</v>
      </c>
    </row>
    <row r="10945" customFormat="false" ht="15" hidden="false" customHeight="false" outlineLevel="0" collapsed="false">
      <c r="A10945" s="4" t="s">
        <v>43</v>
      </c>
      <c r="B10945" s="4" t="s">
        <v>65</v>
      </c>
      <c r="C10945" s="23" t="s">
        <v>938</v>
      </c>
      <c r="D10945" s="23" t="s">
        <v>939</v>
      </c>
      <c r="E10945" s="23" t="s">
        <v>940</v>
      </c>
      <c r="F10945" s="23" t="s">
        <v>941</v>
      </c>
      <c r="G10945" s="23" t="s">
        <v>942</v>
      </c>
      <c r="H10945" s="23" t="s">
        <v>943</v>
      </c>
      <c r="I10945" s="23" t="s">
        <v>944</v>
      </c>
      <c r="J10945" s="23" t="s">
        <v>945</v>
      </c>
      <c r="K10945" s="23" t="s">
        <v>946</v>
      </c>
      <c r="L10945" s="4" t="s">
        <v>47</v>
      </c>
    </row>
    <row r="10946" customFormat="false" ht="15" hidden="false" customHeight="false" outlineLevel="0" collapsed="false">
      <c r="A10946" s="1" t="s">
        <v>1076</v>
      </c>
      <c r="B10946" s="0" t="s">
        <v>98</v>
      </c>
      <c r="F10946" s="6" t="n">
        <f aca="false">Sens!F10927</f>
        <v>147.468950026924</v>
      </c>
      <c r="G10946" s="6" t="n">
        <f aca="false">Sens!G10927</f>
        <v>168.053553480243</v>
      </c>
      <c r="H10946" s="6" t="n">
        <f aca="false">Sens!H10927</f>
        <v>196.152830461627</v>
      </c>
      <c r="I10946" s="6" t="n">
        <f aca="false">Sens!I10927</f>
        <v>217.695811642927</v>
      </c>
      <c r="J10946" s="6" t="n">
        <f aca="false">Sens!J10927</f>
        <v>236.501274930873</v>
      </c>
      <c r="K10946" s="6" t="n">
        <f aca="false">Sens!K10927</f>
        <v>253.643624207311</v>
      </c>
    </row>
    <row r="10947" customFormat="false" ht="17.15" hidden="false" customHeight="false" outlineLevel="0" collapsed="false">
      <c r="A10947" s="1" t="s">
        <v>1098</v>
      </c>
      <c r="B10947" s="0" t="s">
        <v>98</v>
      </c>
      <c r="E10947" s="6" t="n">
        <f aca="false">Q!M38-Sens!E10865</f>
        <v>22.2285940229167</v>
      </c>
      <c r="F10947" s="6" t="n">
        <f aca="false">Sens!E10947*(1-1/life_nonai)+(Sens!F10955+Sens!F10956)/life_nonai</f>
        <v>23.580344216413</v>
      </c>
      <c r="G10947" s="6" t="n">
        <f aca="false">Sens!F10947*(1-1/life_nonai)+(Sens!G10955)/life_nonai</f>
        <v>25.3831877589923</v>
      </c>
      <c r="H10947" s="6" t="n">
        <f aca="false">Sens!G10947*(1-1/life_nonai)+(Sens!H10955)/life_nonai</f>
        <v>27.6062362289485</v>
      </c>
      <c r="I10947" s="6" t="n">
        <f aca="false">Sens!H10947*(1-1/life_nonai)+(Sens!I10955)/life_nonai</f>
        <v>30.1748448166115</v>
      </c>
      <c r="J10947" s="6" t="n">
        <f aca="false">Sens!I10947*(1-1/life_nonai)+(Sens!J10955)/life_nonai</f>
        <v>32.9989179426604</v>
      </c>
      <c r="K10947" s="6" t="n">
        <f aca="false">Sens!J10947*(1-1/life_nonai)+(Sens!K10955)/life_nonai</f>
        <v>35.9961902192455</v>
      </c>
      <c r="L10947" s="12" t="s">
        <v>1099</v>
      </c>
    </row>
    <row r="10948" customFormat="false" ht="17.15" hidden="false" customHeight="false" outlineLevel="0" collapsed="false">
      <c r="A10948" s="1" t="s">
        <v>1100</v>
      </c>
      <c r="B10948" s="0" t="s">
        <v>98</v>
      </c>
      <c r="F10948" s="6" t="n">
        <f aca="false">Sens!$F$10956/life_nonai*(1-1/life_nonai)^(Sens!F10828-2027)</f>
        <v>0.00400202452575584</v>
      </c>
      <c r="G10948" s="6" t="n">
        <f aca="false">Sens!$F$10956/life_nonai*(1-1/life_nonai)^(Sens!G10828-2027)</f>
        <v>0.00360182207318026</v>
      </c>
      <c r="H10948" s="6" t="n">
        <f aca="false">Sens!$F$10956/life_nonai*(1-1/life_nonai)^(Sens!H10828-2027)</f>
        <v>0.00324163986586223</v>
      </c>
      <c r="I10948" s="6" t="n">
        <f aca="false">Sens!$F$10956/life_nonai*(1-1/life_nonai)^(Sens!I10828-2027)</f>
        <v>0.00291747587927601</v>
      </c>
      <c r="J10948" s="6" t="n">
        <f aca="false">Sens!$F$10956/life_nonai*(1-1/life_nonai)^(Sens!J10828-2027)</f>
        <v>0.00262572829134841</v>
      </c>
      <c r="K10948" s="6" t="n">
        <f aca="false">Sens!$F$10956/life_nonai*(1-1/life_nonai)^(Sens!K10828-2027)</f>
        <v>0.00236315546221357</v>
      </c>
      <c r="L10948" s="1" t="s">
        <v>1101</v>
      </c>
    </row>
    <row r="10949" customFormat="false" ht="17.15" hidden="false" customHeight="false" outlineLevel="0" collapsed="false">
      <c r="A10949" s="1" t="s">
        <v>1102</v>
      </c>
      <c r="B10949" s="0" t="s">
        <v>98</v>
      </c>
      <c r="E10949" s="6" t="n">
        <f aca="false">Sens!E10865+Sens!E10947</f>
        <v>38.534</v>
      </c>
      <c r="F10949" s="6" t="n">
        <f aca="false">Sens!F10865+Sens!F10947</f>
        <v>58.1596586947647</v>
      </c>
      <c r="G10949" s="6" t="n">
        <f aca="false">Sens!G10865+Sens!G10947</f>
        <v>86.1176784112913</v>
      </c>
      <c r="H10949" s="6" t="n">
        <f aca="false">Sens!H10865+Sens!H10947</f>
        <v>116.706326890394</v>
      </c>
      <c r="I10949" s="6" t="n">
        <f aca="false">Sens!I10865+Sens!I10947</f>
        <v>144.40585451116</v>
      </c>
      <c r="J10949" s="6" t="n">
        <f aca="false">Sens!J10865+Sens!J10947</f>
        <v>165.014590992256</v>
      </c>
      <c r="K10949" s="6" t="n">
        <f aca="false">Sens!K10865+Sens!K10947</f>
        <v>179.00885977018</v>
      </c>
    </row>
    <row r="10950" customFormat="false" ht="17.15" hidden="false" customHeight="false" outlineLevel="0" collapsed="false">
      <c r="A10950" s="1" t="s">
        <v>1103</v>
      </c>
      <c r="B10950" s="0" t="s">
        <v>98</v>
      </c>
      <c r="F10950" s="6" t="n">
        <f aca="false">Sens!F10892*sbc_r</f>
        <v>15.0716006482386</v>
      </c>
      <c r="G10950" s="6" t="n">
        <f aca="false">Sens!G10892*sbc_r</f>
        <v>18.3983819358203</v>
      </c>
      <c r="H10950" s="6" t="n">
        <f aca="false">Sens!H10892*sbc_r</f>
        <v>21.9874511295239</v>
      </c>
      <c r="I10950" s="6" t="n">
        <f aca="false">Sens!I10892*sbc_r</f>
        <v>25.0557164191551</v>
      </c>
      <c r="J10950" s="6" t="n">
        <f aca="false">Sens!J10892*sbc_r</f>
        <v>27.5422023225241</v>
      </c>
      <c r="K10950" s="6" t="n">
        <f aca="false">Sens!K10892*sbc_r</f>
        <v>29.5421802019793</v>
      </c>
    </row>
    <row r="10951" customFormat="false" ht="17.15" hidden="false" customHeight="false" outlineLevel="0" collapsed="false">
      <c r="A10951" s="1" t="s">
        <v>1104</v>
      </c>
      <c r="B10951" s="0" t="s">
        <v>98</v>
      </c>
      <c r="F10951" s="6" t="n">
        <f aca="false">wc27-wc26q1</f>
        <v>-4.677</v>
      </c>
      <c r="G10951" s="6" t="n">
        <f aca="false">wc_f</f>
        <v>0</v>
      </c>
      <c r="H10951" s="6" t="n">
        <f aca="false">wc_f</f>
        <v>0</v>
      </c>
      <c r="I10951" s="6" t="n">
        <f aca="false">wc_f</f>
        <v>0</v>
      </c>
      <c r="J10951" s="6" t="n">
        <f aca="false">wc_f</f>
        <v>0</v>
      </c>
      <c r="K10951" s="6" t="n">
        <f aca="false">wc_f</f>
        <v>0</v>
      </c>
      <c r="L10951" s="12" t="s">
        <v>1105</v>
      </c>
    </row>
    <row r="10952" customFormat="false" ht="17.15" hidden="false" customHeight="false" outlineLevel="0" collapsed="false">
      <c r="A10952" s="0" t="s">
        <v>1106</v>
      </c>
      <c r="B10952" s="0" t="s">
        <v>98</v>
      </c>
      <c r="F10952" s="6" t="n">
        <f aca="false">Q!$I$35-Q!$I$26-Q!$I$38-Q!$I$39</f>
        <v>6.493</v>
      </c>
      <c r="L10952" s="1" t="s">
        <v>1107</v>
      </c>
    </row>
    <row r="10953" customFormat="false" ht="15" hidden="false" customHeight="false" outlineLevel="0" collapsed="false">
      <c r="A10953" s="1" t="s">
        <v>904</v>
      </c>
      <c r="B10953" s="0" t="s">
        <v>98</v>
      </c>
      <c r="E10953" s="6" t="n">
        <f aca="false">Q!M35</f>
        <v>182.935</v>
      </c>
      <c r="F10953" s="6" t="n">
        <f aca="false">Sens!F10946+Sens!F10949+Sens!F10950+Sens!F10951+Sens!F10952</f>
        <v>222.516209369927</v>
      </c>
      <c r="G10953" s="6" t="n">
        <f aca="false">Sens!G10946+Sens!G10949+Sens!G10950+Sens!G10951</f>
        <v>272.569613827355</v>
      </c>
      <c r="H10953" s="6" t="n">
        <f aca="false">Sens!H10946+Sens!H10949+Sens!H10950+Sens!H10951</f>
        <v>334.846608481545</v>
      </c>
      <c r="I10953" s="6" t="n">
        <f aca="false">Sens!I10946+Sens!I10949+Sens!I10950+Sens!I10951</f>
        <v>387.157382573242</v>
      </c>
      <c r="J10953" s="6" t="n">
        <f aca="false">Sens!J10946+Sens!J10949+Sens!J10950+Sens!J10951</f>
        <v>429.058068245654</v>
      </c>
      <c r="K10953" s="6" t="n">
        <f aca="false">Sens!K10946+Sens!K10949+Sens!K10950+Sens!K10951</f>
        <v>462.19466417947</v>
      </c>
    </row>
    <row r="10954" customFormat="false" ht="17.15" hidden="false" customHeight="false" outlineLevel="0" collapsed="false">
      <c r="A10954" s="0" t="s">
        <v>1108</v>
      </c>
      <c r="B10954" s="0" t="s">
        <v>98</v>
      </c>
      <c r="F10954" s="6" t="n">
        <f aca="false">Sens!F10862</f>
        <v>168.45390404212</v>
      </c>
      <c r="G10954" s="6" t="n">
        <f aca="false">Sens!G10862</f>
        <v>191.944475649048</v>
      </c>
      <c r="H10954" s="6" t="n">
        <f aca="false">Sens!H10862</f>
        <v>196.806004064512</v>
      </c>
      <c r="I10954" s="6" t="n">
        <f aca="false">Sens!I10862</f>
        <v>168.61483362161</v>
      </c>
      <c r="J10954" s="6" t="n">
        <f aca="false">Sens!J10862</f>
        <v>128.92993119594</v>
      </c>
      <c r="K10954" s="6" t="n">
        <f aca="false">Sens!K10862</f>
        <v>118.962853064733</v>
      </c>
    </row>
    <row r="10955" customFormat="false" ht="17.15" hidden="false" customHeight="false" outlineLevel="0" collapsed="false">
      <c r="A10955" s="1" t="s">
        <v>1109</v>
      </c>
      <c r="B10955" s="0" t="s">
        <v>98</v>
      </c>
      <c r="E10955" s="6" t="n">
        <f aca="false">Sens!E10870*cx_azo+Sens!E10877*cx_m365+Sens!E10878*cx_lic+(Sens!E10880+Sens!E10882)*cx_ind+Sens!E10885*cx_srch+(Sens!E10887+Sens!E10889)*cx_dev</f>
        <v>30.1846587067718</v>
      </c>
      <c r="F10955" s="6" t="n">
        <f aca="false">Sens!F10870*cx_azo+Sens!F10877*cx_m365+Sens!F10878*cx_lic+(Sens!F10880+Sens!F10882)*cx_ind+Sens!F10885*cx_srch+(Sens!F10887+Sens!F10889)*cx_dev</f>
        <v>35.7060757126228</v>
      </c>
      <c r="G10955" s="6" t="n">
        <f aca="false">Sens!G10870*cx_azo+Sens!G10877*cx_m365+Sens!G10878*cx_lic+(Sens!G10880+Sens!G10882)*cx_ind+Sens!G10885*cx_srch+(Sens!G10887+Sens!G10889)*cx_dev</f>
        <v>41.6087796422057</v>
      </c>
      <c r="H10955" s="6" t="n">
        <f aca="false">Sens!H10870*cx_azo+Sens!H10877*cx_m365+Sens!H10878*cx_lic+(Sens!H10880+Sens!H10882)*cx_ind+Sens!H10885*cx_srch+(Sens!H10887+Sens!H10889)*cx_dev</f>
        <v>47.6136724585545</v>
      </c>
      <c r="I10955" s="6" t="n">
        <f aca="false">Sens!I10870*cx_azo+Sens!I10877*cx_m365+Sens!I10878*cx_lic+(Sens!I10880+Sens!I10882)*cx_ind+Sens!I10885*cx_srch+(Sens!I10887+Sens!I10889)*cx_dev</f>
        <v>53.2923221055778</v>
      </c>
      <c r="J10955" s="6" t="n">
        <f aca="false">Sens!J10870*cx_azo+Sens!J10877*cx_m365+Sens!J10878*cx_lic+(Sens!J10880+Sens!J10882)*cx_ind+Sens!J10885*cx_srch+(Sens!J10887+Sens!J10889)*cx_dev</f>
        <v>58.4155760771005</v>
      </c>
      <c r="K10955" s="6" t="n">
        <f aca="false">Sens!K10870*cx_azo+Sens!K10877*cx_m365+Sens!K10878*cx_lic+(Sens!K10880+Sens!K10882)*cx_ind+Sens!K10885*cx_srch+(Sens!K10887+Sens!K10889)*cx_dev</f>
        <v>62.9716407085115</v>
      </c>
    </row>
    <row r="10956" customFormat="false" ht="17.15" hidden="false" customHeight="false" outlineLevel="0" collapsed="false">
      <c r="A10956" s="0" t="s">
        <v>1110</v>
      </c>
      <c r="B10956" s="0" t="s">
        <v>98</v>
      </c>
      <c r="F10956" s="6" t="n">
        <f aca="false">Sens!F10860</f>
        <v>0.0400202452575584</v>
      </c>
      <c r="L10956" s="1" t="s">
        <v>1111</v>
      </c>
    </row>
    <row r="10957" customFormat="false" ht="17.15" hidden="false" customHeight="false" outlineLevel="0" collapsed="false">
      <c r="A10957" s="1" t="s">
        <v>1112</v>
      </c>
      <c r="B10957" s="0" t="s">
        <v>98</v>
      </c>
      <c r="E10957" s="6" t="n">
        <f aca="false">Q!M43</f>
        <v>145.3</v>
      </c>
      <c r="F10957" s="6" t="n">
        <f aca="false">Sens!F10954+Sens!F10955+Sens!F10956</f>
        <v>204.2</v>
      </c>
      <c r="G10957" s="6" t="n">
        <f aca="false">Sens!G10954+Sens!G10955</f>
        <v>233.553255291254</v>
      </c>
      <c r="H10957" s="6" t="n">
        <f aca="false">Sens!H10954+Sens!H10955</f>
        <v>244.419676523067</v>
      </c>
      <c r="I10957" s="6" t="n">
        <f aca="false">Sens!I10954+Sens!I10955</f>
        <v>221.907155727188</v>
      </c>
      <c r="J10957" s="6" t="n">
        <f aca="false">Sens!J10954+Sens!J10955</f>
        <v>187.345507273041</v>
      </c>
      <c r="K10957" s="6" t="n">
        <f aca="false">Sens!K10954+Sens!K10955</f>
        <v>181.934493773244</v>
      </c>
      <c r="L10957" s="1" t="s">
        <v>1113</v>
      </c>
    </row>
    <row r="10958" customFormat="false" ht="15" hidden="false" customHeight="false" outlineLevel="0" collapsed="false">
      <c r="A10958" s="1" t="s">
        <v>1114</v>
      </c>
      <c r="B10958" s="0" t="s">
        <v>98</v>
      </c>
      <c r="E10958" s="6" t="n">
        <f aca="false">fl_liab</f>
        <v>66.594</v>
      </c>
      <c r="F10958" s="6" t="n">
        <f aca="false">Sens!E10958-Sens!F10959</f>
        <v>62.46973</v>
      </c>
      <c r="G10958" s="6" t="n">
        <f aca="false">Sens!F10958-Sens!G10959</f>
        <v>57.98686785</v>
      </c>
      <c r="H10958" s="6" t="n">
        <f aca="false">Sens!G10958-Sens!H10959</f>
        <v>53.92827690325</v>
      </c>
      <c r="I10958" s="6" t="n">
        <f aca="false">Sens!H10958-Sens!I10959</f>
        <v>49.7850493638962</v>
      </c>
      <c r="J10958" s="6" t="n">
        <f aca="false">Sens!I10958-Sens!J10959</f>
        <v>45.4823765852716</v>
      </c>
      <c r="K10958" s="6" t="n">
        <f aca="false">Sens!J10958-Sens!K10959</f>
        <v>40.9860835316088</v>
      </c>
    </row>
    <row r="10959" customFormat="false" ht="15" hidden="false" customHeight="false" outlineLevel="0" collapsed="false">
      <c r="A10959" s="1" t="s">
        <v>1115</v>
      </c>
      <c r="B10959" s="0" t="s">
        <v>98</v>
      </c>
      <c r="F10959" s="6" t="n">
        <f aca="false">fl_pay_27-Sens!E10958*fl_rate</f>
        <v>4.12427</v>
      </c>
      <c r="G10959" s="6" t="n">
        <f aca="false">fl_pay_28-Sens!F10958*fl_rate</f>
        <v>4.48286215</v>
      </c>
      <c r="H10959" s="6" t="n">
        <f aca="false">fl_pay_29-Sens!G10958*fl_rate</f>
        <v>4.05859094675</v>
      </c>
      <c r="I10959" s="6" t="n">
        <f aca="false">fl_pay_30-Sens!H10958*fl_rate</f>
        <v>4.14322753935375</v>
      </c>
      <c r="J10959" s="6" t="n">
        <f aca="false">fl_pay_31-Sens!I10958*fl_rate</f>
        <v>4.30267277862467</v>
      </c>
      <c r="K10959" s="6" t="n">
        <f aca="false">fl_pay_32-Sens!J10958*fl_rate</f>
        <v>4.49629305366278</v>
      </c>
    </row>
    <row r="10960" customFormat="false" ht="17.15" hidden="false" customHeight="false" outlineLevel="0" collapsed="false">
      <c r="A10960" s="1" t="s">
        <v>1116</v>
      </c>
      <c r="B10960" s="0" t="s">
        <v>98</v>
      </c>
      <c r="E10960" s="6" t="n">
        <f aca="false">Q!M35-Q!M36-Q!M44</f>
        <v>63.886</v>
      </c>
      <c r="F10960" s="6" t="n">
        <f aca="false">Sens!F10953-Sens!F10957-Sens!F10959</f>
        <v>14.1919393699273</v>
      </c>
      <c r="G10960" s="6" t="n">
        <f aca="false">Sens!G10953-Sens!G10957-Sens!G10959</f>
        <v>34.5334963861008</v>
      </c>
      <c r="H10960" s="6" t="n">
        <f aca="false">Sens!H10953-Sens!H10957-Sens!H10959</f>
        <v>86.3683410117284</v>
      </c>
      <c r="I10960" s="6" t="n">
        <f aca="false">Sens!I10953-Sens!I10957-Sens!I10959</f>
        <v>161.1069993067</v>
      </c>
      <c r="J10960" s="6" t="n">
        <f aca="false">Sens!J10953-Sens!J10957-Sens!J10959</f>
        <v>237.409888193988</v>
      </c>
      <c r="K10960" s="6" t="n">
        <f aca="false">Sens!K10953-Sens!K10957-Sens!K10959</f>
        <v>275.763877352563</v>
      </c>
      <c r="L10960" s="12" t="s">
        <v>1117</v>
      </c>
    </row>
    <row r="10961" customFormat="false" ht="15" hidden="false" customHeight="false" outlineLevel="0" collapsed="false">
      <c r="A10961" s="1" t="s">
        <v>1118</v>
      </c>
      <c r="B10961" s="0" t="s">
        <v>75</v>
      </c>
      <c r="F10961" s="8" t="n">
        <f aca="false">dps_27</f>
        <v>3.85</v>
      </c>
      <c r="G10961" s="8" t="n">
        <f aca="false">Sens!F10961*(1+dps_g)</f>
        <v>4.158</v>
      </c>
      <c r="H10961" s="8" t="n">
        <f aca="false">Sens!G10961*(1+dps_g)</f>
        <v>4.49064</v>
      </c>
      <c r="I10961" s="8" t="n">
        <f aca="false">Sens!H10961*(1+dps_g)</f>
        <v>4.8498912</v>
      </c>
      <c r="J10961" s="8" t="n">
        <f aca="false">Sens!I10961*(1+dps_g)</f>
        <v>5.237882496</v>
      </c>
      <c r="K10961" s="8" t="n">
        <f aca="false">Sens!J10961*(1+dps_g)</f>
        <v>5.65691309568</v>
      </c>
    </row>
    <row r="10962" customFormat="false" ht="17.15" hidden="false" customHeight="false" outlineLevel="0" collapsed="false">
      <c r="A10962" s="1" t="s">
        <v>1119</v>
      </c>
      <c r="B10962" s="0" t="s">
        <v>98</v>
      </c>
      <c r="E10962" s="6" t="n">
        <f aca="false">Q!M41</f>
        <v>26.445</v>
      </c>
      <c r="F10962" s="6" t="n">
        <f aca="false">Sens!F10961*Sens!E10971</f>
        <v>28.59395</v>
      </c>
      <c r="G10962" s="6" t="n">
        <f aca="false">Sens!G10961*Sens!F10971</f>
        <v>31.0445326341464</v>
      </c>
      <c r="H10962" s="6" t="n">
        <f aca="false">Sens!H10961*Sens!G10971</f>
        <v>33.7038855110682</v>
      </c>
      <c r="I10962" s="6" t="n">
        <f aca="false">Sens!I10961*Sens!H10971</f>
        <v>36.4506346290263</v>
      </c>
      <c r="J10962" s="6" t="n">
        <f aca="false">Sens!J10961*Sens!I10971</f>
        <v>39.434583284741</v>
      </c>
      <c r="K10962" s="6" t="n">
        <f aca="false">Sens!K10961*Sens!J10971</f>
        <v>42.6761042098986</v>
      </c>
      <c r="L10962" s="1" t="s">
        <v>1120</v>
      </c>
    </row>
    <row r="10963" customFormat="false" ht="15" hidden="false" customHeight="false" outlineLevel="0" collapsed="false">
      <c r="A10963" s="1" t="s">
        <v>1121</v>
      </c>
      <c r="B10963" s="0" t="s">
        <v>98</v>
      </c>
      <c r="E10963" s="6" t="n">
        <f aca="false">Sens!E10960-Sens!E10962</f>
        <v>37.441</v>
      </c>
      <c r="F10963" s="6" t="n">
        <f aca="false">Sens!F10960-Sens!F10962</f>
        <v>-14.4020106300727</v>
      </c>
      <c r="G10963" s="6" t="n">
        <f aca="false">Sens!G10960-Sens!G10962</f>
        <v>3.48896375195446</v>
      </c>
      <c r="H10963" s="6" t="n">
        <f aca="false">Sens!H10960-Sens!H10962</f>
        <v>52.6644555006602</v>
      </c>
      <c r="I10963" s="6" t="n">
        <f aca="false">Sens!I10960-Sens!I10962</f>
        <v>124.656364677674</v>
      </c>
      <c r="J10963" s="6" t="n">
        <f aca="false">Sens!J10960-Sens!J10962</f>
        <v>197.975304909247</v>
      </c>
      <c r="K10963" s="6" t="n">
        <f aca="false">Sens!K10960-Sens!K10962</f>
        <v>233.087773142665</v>
      </c>
    </row>
    <row r="10964" customFormat="false" ht="15" hidden="false" customHeight="false" outlineLevel="0" collapsed="false">
      <c r="A10964" s="1" t="s">
        <v>1122</v>
      </c>
      <c r="B10964" s="0" t="s">
        <v>98</v>
      </c>
      <c r="F10964" s="6" t="n">
        <f aca="false">debt_mat_27</f>
        <v>9.25</v>
      </c>
      <c r="G10964" s="6" t="n">
        <f aca="false">debt_mat_28</f>
        <v>0</v>
      </c>
      <c r="H10964" s="6" t="n">
        <f aca="false">debt_mat_29</f>
        <v>2.001</v>
      </c>
      <c r="I10964" s="6" t="n">
        <f aca="false">debt_mat_30</f>
        <v>0</v>
      </c>
      <c r="J10964" s="6" t="n">
        <f aca="false">debt_mat_31</f>
        <v>0.5</v>
      </c>
      <c r="K10964" s="6" t="n">
        <f aca="false">debt_mat_32</f>
        <v>0</v>
      </c>
    </row>
    <row r="10965" customFormat="false" ht="15" hidden="false" customHeight="false" outlineLevel="0" collapsed="false">
      <c r="A10965" s="1" t="s">
        <v>1123</v>
      </c>
      <c r="B10965" s="0" t="s">
        <v>98</v>
      </c>
      <c r="E10965" s="6" t="n">
        <f aca="false">Q!M40</f>
        <v>22.271</v>
      </c>
      <c r="F10965" s="6" t="n">
        <f aca="false">MAX(0,MIN(bb_target,Sens!E10967+Sens!F10963-Sens!F10964-min_cash))</f>
        <v>3.19098936992735</v>
      </c>
      <c r="G10965" s="6" t="n">
        <f aca="false">MAX(0,MIN(bb_target,Sens!F10967+Sens!G10963-Sens!G10964-min_cash))</f>
        <v>3.48896375195446</v>
      </c>
      <c r="H10965" s="6" t="n">
        <f aca="false">MAX(0,MIN(bb_target,Sens!G10967+Sens!H10963-Sens!H10964-min_cash))</f>
        <v>22.271</v>
      </c>
      <c r="I10965" s="6" t="n">
        <f aca="false">MAX(0,MIN(bb_target,Sens!H10967+Sens!I10963-Sens!I10964-min_cash))</f>
        <v>22.271</v>
      </c>
      <c r="J10965" s="6" t="n">
        <f aca="false">MAX(0,MIN(bb_target,Sens!I10967+Sens!J10963-Sens!J10964-min_cash))</f>
        <v>22.271</v>
      </c>
      <c r="K10965" s="6" t="n">
        <f aca="false">MAX(0,MIN(bb_target,Sens!J10967+Sens!K10963-Sens!K10964-min_cash))</f>
        <v>22.271</v>
      </c>
    </row>
    <row r="10966" customFormat="false" ht="15" hidden="false" customHeight="false" outlineLevel="0" collapsed="false">
      <c r="A10966" s="1" t="s">
        <v>1124</v>
      </c>
      <c r="B10966" s="0" t="s">
        <v>98</v>
      </c>
      <c r="F10966" s="6" t="n">
        <f aca="false">MAX(0,min_cash-(Sens!E10967+Sens!F10963-Sens!F10964-Sens!F10965))</f>
        <v>0</v>
      </c>
      <c r="G10966" s="6" t="n">
        <f aca="false">MAX(0,min_cash-(Sens!F10967+Sens!G10963-Sens!G10964-Sens!G10965))</f>
        <v>0</v>
      </c>
      <c r="H10966" s="6" t="n">
        <f aca="false">MAX(0,min_cash-(Sens!G10967+Sens!H10963-Sens!H10964-Sens!H10965))</f>
        <v>0</v>
      </c>
      <c r="I10966" s="6" t="n">
        <f aca="false">MAX(0,min_cash-(Sens!H10967+Sens!I10963-Sens!I10964-Sens!I10965))</f>
        <v>0</v>
      </c>
      <c r="J10966" s="6" t="n">
        <f aca="false">MAX(0,min_cash-(Sens!I10967+Sens!J10963-Sens!J10964-Sens!J10965))</f>
        <v>0</v>
      </c>
      <c r="K10966" s="6" t="n">
        <f aca="false">MAX(0,min_cash-(Sens!J10967+Sens!K10963-Sens!K10964-Sens!K10965))</f>
        <v>0</v>
      </c>
    </row>
    <row r="10967" customFormat="false" ht="15" hidden="false" customHeight="false" outlineLevel="0" collapsed="false">
      <c r="A10967" s="1" t="s">
        <v>1125</v>
      </c>
      <c r="B10967" s="0" t="s">
        <v>98</v>
      </c>
      <c r="E10967" s="6" t="n">
        <f aca="false">cash_open</f>
        <v>76.843</v>
      </c>
      <c r="F10967" s="6" t="n">
        <f aca="false">Sens!E10967+Sens!F10963-Sens!F10964-Sens!F10965+Sens!F10966</f>
        <v>50</v>
      </c>
      <c r="G10967" s="6" t="n">
        <f aca="false">Sens!F10967+Sens!G10963-Sens!G10964-Sens!G10965+Sens!G10966</f>
        <v>50</v>
      </c>
      <c r="H10967" s="6" t="n">
        <f aca="false">Sens!G10967+Sens!H10963-Sens!H10964-Sens!H10965+Sens!H10966</f>
        <v>78.3924555006602</v>
      </c>
      <c r="I10967" s="6" t="n">
        <f aca="false">Sens!H10967+Sens!I10963-Sens!I10964-Sens!I10965+Sens!I10966</f>
        <v>180.777820178334</v>
      </c>
      <c r="J10967" s="6" t="n">
        <f aca="false">Sens!I10967+Sens!J10963-Sens!J10964-Sens!J10965+Sens!J10966</f>
        <v>355.982125087581</v>
      </c>
      <c r="K10967" s="6" t="n">
        <f aca="false">Sens!J10967+Sens!K10963-Sens!K10964-Sens!K10965+Sens!K10966</f>
        <v>566.798898230246</v>
      </c>
    </row>
    <row r="10968" customFormat="false" ht="15" hidden="false" customHeight="false" outlineLevel="0" collapsed="false">
      <c r="A10968" s="1" t="s">
        <v>1126</v>
      </c>
      <c r="B10968" s="0" t="s">
        <v>98</v>
      </c>
      <c r="E10968" s="6" t="n">
        <f aca="false">debt_face</f>
        <v>46.136</v>
      </c>
      <c r="F10968" s="6" t="n">
        <f aca="false">Sens!E10968-Sens!F10964+Sens!F10966</f>
        <v>36.886</v>
      </c>
      <c r="G10968" s="6" t="n">
        <f aca="false">Sens!F10968-Sens!G10964+Sens!G10966</f>
        <v>36.886</v>
      </c>
      <c r="H10968" s="6" t="n">
        <f aca="false">Sens!G10968-Sens!H10964+Sens!H10966</f>
        <v>34.885</v>
      </c>
      <c r="I10968" s="6" t="n">
        <f aca="false">Sens!H10968-Sens!I10964+Sens!I10966</f>
        <v>34.885</v>
      </c>
      <c r="J10968" s="6" t="n">
        <f aca="false">Sens!I10968-Sens!J10964+Sens!J10966</f>
        <v>34.385</v>
      </c>
      <c r="K10968" s="6" t="n">
        <f aca="false">Sens!J10968-Sens!K10964+Sens!K10966</f>
        <v>34.385</v>
      </c>
    </row>
    <row r="10969" customFormat="false" ht="15" hidden="false" customHeight="false" outlineLevel="0" collapsed="false">
      <c r="A10969" s="1" t="s">
        <v>1127</v>
      </c>
      <c r="B10969" s="0" t="s">
        <v>98</v>
      </c>
      <c r="E10969" s="6" t="n">
        <f aca="false">Sens!E10967-Sens!E10968</f>
        <v>30.707</v>
      </c>
      <c r="F10969" s="6" t="n">
        <f aca="false">Sens!F10967-Sens!F10968</f>
        <v>13.114</v>
      </c>
      <c r="G10969" s="6" t="n">
        <f aca="false">Sens!G10967-Sens!G10968</f>
        <v>13.114</v>
      </c>
      <c r="H10969" s="6" t="n">
        <f aca="false">Sens!H10967-Sens!H10968</f>
        <v>43.5074555006602</v>
      </c>
      <c r="I10969" s="6" t="n">
        <f aca="false">Sens!I10967-Sens!I10968</f>
        <v>145.892820178334</v>
      </c>
      <c r="J10969" s="6" t="n">
        <f aca="false">Sens!J10967-Sens!J10968</f>
        <v>321.597125087581</v>
      </c>
      <c r="K10969" s="6" t="n">
        <f aca="false">Sens!K10967-Sens!K10968</f>
        <v>532.413898230246</v>
      </c>
    </row>
    <row r="10970" customFormat="false" ht="15" hidden="false" customHeight="false" outlineLevel="0" collapsed="false">
      <c r="A10970" s="1" t="s">
        <v>1128</v>
      </c>
      <c r="B10970" s="0" t="s">
        <v>75</v>
      </c>
      <c r="F10970" s="30" t="n">
        <f aca="false">px*(1+bb_g)^(Sens!F10828-base_fy-mid_yr)</f>
        <v>551.84177959629</v>
      </c>
      <c r="G10970" s="30" t="n">
        <f aca="false">px*(1+bb_g)^(Sens!G10828-base_fy-mid_yr)</f>
        <v>595.989121963993</v>
      </c>
      <c r="H10970" s="30" t="n">
        <f aca="false">px*(1+bb_g)^(Sens!H10828-base_fy-mid_yr)</f>
        <v>643.668251721112</v>
      </c>
      <c r="I10970" s="30" t="n">
        <f aca="false">px*(1+bb_g)^(Sens!I10828-base_fy-mid_yr)</f>
        <v>695.161711858801</v>
      </c>
      <c r="J10970" s="30" t="n">
        <f aca="false">px*(1+bb_g)^(Sens!J10828-base_fy-mid_yr)</f>
        <v>750.774648807506</v>
      </c>
      <c r="K10970" s="30" t="n">
        <f aca="false">px*(1+bb_g)^(Sens!K10828-base_fy-mid_yr)</f>
        <v>810.836620712106</v>
      </c>
    </row>
    <row r="10971" customFormat="false" ht="15" hidden="false" customHeight="false" outlineLevel="0" collapsed="false">
      <c r="A10971" s="1" t="s">
        <v>1129</v>
      </c>
      <c r="B10971" s="1" t="s">
        <v>81</v>
      </c>
      <c r="E10971" s="15" t="n">
        <f aca="false">sh_out26</f>
        <v>7.427</v>
      </c>
      <c r="F10971" s="15" t="n">
        <f aca="false">Sens!E10971+sh_iss-Sens!F10965/Sens!F10970</f>
        <v>7.46621756472976</v>
      </c>
      <c r="G10971" s="15" t="n">
        <f aca="false">Sens!F10971+sh_iss-Sens!G10965/Sens!G10970</f>
        <v>7.50536349185599</v>
      </c>
      <c r="H10971" s="15" t="n">
        <f aca="false">Sens!G10971+sh_iss-Sens!H10965/Sens!H10970</f>
        <v>7.51576336991359</v>
      </c>
      <c r="I10971" s="15" t="n">
        <f aca="false">Sens!H10971+sh_iss-Sens!I10965/Sens!I10970</f>
        <v>7.52872621996693</v>
      </c>
      <c r="J10971" s="15" t="n">
        <f aca="false">Sens!I10971+sh_iss-Sens!J10965/Sens!J10970</f>
        <v>7.54406219223854</v>
      </c>
      <c r="K10971" s="15" t="n">
        <f aca="false">Sens!J10971+sh_iss-Sens!K10965/Sens!K10970</f>
        <v>7.56159549989743</v>
      </c>
    </row>
    <row r="10972" customFormat="false" ht="15" hidden="false" customHeight="false" outlineLevel="0" collapsed="false">
      <c r="A10972" s="1" t="s">
        <v>1130</v>
      </c>
      <c r="B10972" s="1" t="s">
        <v>81</v>
      </c>
      <c r="E10972" s="15" t="n">
        <f aca="false">sh_dil26</f>
        <v>7.453</v>
      </c>
      <c r="F10972" s="15" t="n">
        <f aca="false">(Sens!E10971+Sens!F10971)/2+dil_gap</f>
        <v>7.47060878236488</v>
      </c>
      <c r="G10972" s="15" t="n">
        <f aca="false">(Sens!F10971+Sens!G10971)/2+dil_gap</f>
        <v>7.50979052829288</v>
      </c>
      <c r="H10972" s="15" t="n">
        <f aca="false">(Sens!G10971+Sens!H10971)/2+dil_gap</f>
        <v>7.53456343088479</v>
      </c>
      <c r="I10972" s="15" t="n">
        <f aca="false">(Sens!H10971+Sens!I10971)/2+dil_gap</f>
        <v>7.54624479494026</v>
      </c>
      <c r="J10972" s="15" t="n">
        <f aca="false">(Sens!I10971+Sens!J10971)/2+dil_gap</f>
        <v>7.56039420610273</v>
      </c>
      <c r="K10972" s="15" t="n">
        <f aca="false">(Sens!J10971+Sens!K10971)/2+dil_gap</f>
        <v>7.57682884606798</v>
      </c>
    </row>
    <row r="10973" customFormat="false" ht="17.15" hidden="false" customHeight="false" outlineLevel="0" collapsed="false">
      <c r="A10973" s="1" t="s">
        <v>1131</v>
      </c>
      <c r="B10973" s="0" t="s">
        <v>98</v>
      </c>
      <c r="C10973" s="6" t="n">
        <f aca="false">SUM(Sens!F10963:J10963)</f>
        <v>364.383078209463</v>
      </c>
    </row>
    <row r="10974" customFormat="false" ht="15" hidden="false" customHeight="false" outlineLevel="0" collapsed="false">
      <c r="A10974" s="26" t="s">
        <v>1096</v>
      </c>
      <c r="B10974" s="31" t="s">
        <v>98</v>
      </c>
      <c r="C10974" s="27" t="n">
        <f aca="false">Sens!$C$10973-(Sens!F10963+Sens!G10963+Sens!H10963+Sens!I10963+Sens!J10963)</f>
        <v>0</v>
      </c>
      <c r="D10974" s="31"/>
      <c r="E10974" s="31"/>
      <c r="F10974" s="31"/>
      <c r="G10974" s="31"/>
      <c r="H10974" s="31"/>
      <c r="I10974" s="31"/>
      <c r="J10974" s="31"/>
      <c r="K10974" s="31"/>
    </row>
    <row r="10975" customFormat="false" ht="17.15" hidden="false" customHeight="false" outlineLevel="0" collapsed="false">
      <c r="A10975" s="1" t="s">
        <v>1090</v>
      </c>
      <c r="B10975" s="1" t="s">
        <v>1132</v>
      </c>
      <c r="C10975" s="33" t="str">
        <f aca="false">IF(SUM(Sens!F10966:J10966)&gt;0.05,"需要舉債 "&amp;TEXT(SUM(Sens!F10966:J10966),"0.0")&amp;" 十億美元","不需舉債")&amp;"；"&amp;IF(SUM(Sens!F10965:J10965)&lt;COUNT(Sens!F10965:J10965)*bb_target-0.05,"回購較每年 "&amp;TEXT(bb_target,"0.0")&amp;" 的目標少 "&amp;TEXT(COUNT(Sens!F10965:J10965)*bb_target-SUM(Sens!F10965:J10965),"0.0")&amp;" 十億美元（"&amp;TEXT(COUNTIF(Sens!F10965:J10965,"&lt;"&amp;(bb_target-0.05)),"0")&amp;" 年減少）","回購不減")</f>
        <v>不需舉債；回購較每年 22.3 的目標少 37.9 十億美元（2 年減少）</v>
      </c>
    </row>
    <row r="10976" customFormat="false" ht="17.15" hidden="false" customHeight="false" outlineLevel="0" collapsed="false">
      <c r="A10976" s="3" t="s">
        <v>1754</v>
      </c>
    </row>
    <row r="10977" customFormat="false" ht="15" hidden="false" customHeight="false" outlineLevel="0" collapsed="false">
      <c r="A10977" s="4" t="s">
        <v>43</v>
      </c>
      <c r="B10977" s="4" t="s">
        <v>65</v>
      </c>
      <c r="C10977" s="23" t="s">
        <v>938</v>
      </c>
      <c r="D10977" s="23" t="s">
        <v>939</v>
      </c>
      <c r="E10977" s="23" t="s">
        <v>940</v>
      </c>
      <c r="F10977" s="23" t="s">
        <v>941</v>
      </c>
      <c r="G10977" s="23" t="s">
        <v>942</v>
      </c>
      <c r="H10977" s="23" t="s">
        <v>943</v>
      </c>
      <c r="I10977" s="23" t="s">
        <v>944</v>
      </c>
      <c r="J10977" s="23" t="s">
        <v>945</v>
      </c>
      <c r="K10977" s="23" t="s">
        <v>946</v>
      </c>
      <c r="L10977" s="4" t="s">
        <v>47</v>
      </c>
    </row>
    <row r="10978" customFormat="false" ht="17.15" hidden="false" customHeight="false" outlineLevel="0" collapsed="false">
      <c r="A10978" s="1" t="s">
        <v>1212</v>
      </c>
      <c r="B10978" s="1" t="s">
        <v>279</v>
      </c>
      <c r="F10978" s="8" t="n">
        <f aca="false">(1-v_off)*mid_yr</f>
        <v>0.373972602739726</v>
      </c>
      <c r="G10978" s="8" t="n">
        <f aca="false">Sens!G10828-base_fy-mid_yr-v_off</f>
        <v>1.24794520547945</v>
      </c>
      <c r="H10978" s="8" t="n">
        <f aca="false">Sens!H10828-base_fy-mid_yr-v_off</f>
        <v>2.24794520547945</v>
      </c>
      <c r="I10978" s="8" t="n">
        <f aca="false">Sens!I10828-base_fy-mid_yr-v_off</f>
        <v>3.24794520547945</v>
      </c>
      <c r="J10978" s="8" t="n">
        <f aca="false">Sens!J10828-base_fy-mid_yr-v_off</f>
        <v>4.24794520547945</v>
      </c>
      <c r="K10978" s="8" t="n">
        <f aca="false">Sens!K10828-base_fy-mid_yr-v_off</f>
        <v>5.24794520547945</v>
      </c>
      <c r="L10978" s="12" t="s">
        <v>1213</v>
      </c>
    </row>
    <row r="10979" customFormat="false" ht="15" hidden="false" customHeight="false" outlineLevel="0" collapsed="false">
      <c r="A10979" s="1" t="s">
        <v>1214</v>
      </c>
      <c r="B10979" s="1" t="s">
        <v>279</v>
      </c>
      <c r="F10979" s="8" t="n">
        <f aca="false">Sens!F10828-base_fy-v_off</f>
        <v>0.747945205479452</v>
      </c>
      <c r="G10979" s="8" t="n">
        <f aca="false">Sens!G10828-base_fy-v_off</f>
        <v>1.74794520547945</v>
      </c>
      <c r="H10979" s="8" t="n">
        <f aca="false">Sens!H10828-base_fy-v_off</f>
        <v>2.74794520547945</v>
      </c>
      <c r="I10979" s="8" t="n">
        <f aca="false">Sens!I10828-base_fy-v_off</f>
        <v>3.74794520547945</v>
      </c>
      <c r="J10979" s="8" t="n">
        <f aca="false">Sens!J10828-base_fy-v_off</f>
        <v>4.74794520547945</v>
      </c>
      <c r="K10979" s="8" t="n">
        <f aca="false">Sens!K10828-base_fy-v_off</f>
        <v>5.74794520547945</v>
      </c>
    </row>
    <row r="10980" customFormat="false" ht="15" hidden="false" customHeight="false" outlineLevel="0" collapsed="false">
      <c r="A10980" s="1" t="s">
        <v>1215</v>
      </c>
      <c r="B10980" s="0" t="s">
        <v>229</v>
      </c>
      <c r="F10980" s="15" t="n">
        <f aca="false">1/(1+wacc)^Sens!F10978</f>
        <v>0.964022703286649</v>
      </c>
      <c r="G10980" s="15" t="n">
        <f aca="false">1/(1+wacc)^Sens!G10978</f>
        <v>0.884910302296739</v>
      </c>
      <c r="H10980" s="15" t="n">
        <f aca="false">1/(1+wacc)^Sens!H10978</f>
        <v>0.802322009770358</v>
      </c>
      <c r="I10980" s="15" t="n">
        <f aca="false">1/(1+wacc)^Sens!I10978</f>
        <v>0.727441646561469</v>
      </c>
      <c r="J10980" s="15" t="n">
        <f aca="false">1/(1+wacc)^Sens!J10978</f>
        <v>0.659549834988973</v>
      </c>
      <c r="K10980" s="15" t="n">
        <f aca="false">1/(1+wacc)^Sens!K10978</f>
        <v>0.597994336576966</v>
      </c>
    </row>
    <row r="10981" customFormat="false" ht="17.15" hidden="false" customHeight="false" outlineLevel="0" collapsed="false">
      <c r="A10981" s="1" t="s">
        <v>1216</v>
      </c>
      <c r="B10981" s="0" t="s">
        <v>98</v>
      </c>
      <c r="F10981" s="6" t="n">
        <f aca="false">Q!$I$35-Q!$I$39-Q!$I$43</f>
        <v>9.666</v>
      </c>
      <c r="L10981" s="12" t="s">
        <v>1217</v>
      </c>
    </row>
    <row r="10982" customFormat="false" ht="17.15" hidden="false" customHeight="false" outlineLevel="0" collapsed="false">
      <c r="A10982" s="1" t="s">
        <v>1218</v>
      </c>
      <c r="B10982" s="0" t="s">
        <v>98</v>
      </c>
      <c r="F10982" s="6" t="n">
        <f aca="false">Sens!F10953-Sens!F10950-Sens!F10957+Sens!F10935*(1-tax_f)*(1-v_off)-Sens!F10981</f>
        <v>-1.10595009152699</v>
      </c>
      <c r="G10982" s="6" t="n">
        <f aca="false">Sens!G10953-Sens!G10950-Sens!G10957+Sens!G10935*(1-tax_f)</f>
        <v>38.7828010139024</v>
      </c>
      <c r="H10982" s="6" t="n">
        <f aca="false">Sens!H10953-Sens!H10950-Sens!H10957+Sens!H10935*(1-tax_f)</f>
        <v>98.8409570195205</v>
      </c>
      <c r="I10982" s="6" t="n">
        <f aca="false">Sens!I10953-Sens!I10950-Sens!I10957+Sens!I10935*(1-tax_f)</f>
        <v>181.904998003313</v>
      </c>
      <c r="J10982" s="6" t="n">
        <f aca="false">Sens!J10953-Sens!J10950-Sens!J10957+Sens!J10935*(1-tax_f)</f>
        <v>263.81802416484</v>
      </c>
      <c r="K10982" s="6" t="n">
        <f aca="false">Sens!K10953-Sens!K10950-Sens!K10957+Sens!K10935*(1-tax_f)</f>
        <v>304.382095220748</v>
      </c>
      <c r="L10982" s="1" t="s">
        <v>1219</v>
      </c>
    </row>
    <row r="10983" customFormat="false" ht="15" hidden="false" customHeight="false" outlineLevel="0" collapsed="false">
      <c r="A10983" s="1" t="s">
        <v>1220</v>
      </c>
      <c r="B10983" s="0" t="s">
        <v>98</v>
      </c>
      <c r="F10983" s="6" t="n">
        <f aca="false">Sens!F10982*Sens!F10980</f>
        <v>-1.06616099693396</v>
      </c>
      <c r="G10983" s="6" t="n">
        <f aca="false">Sens!G10982*Sens!G10980</f>
        <v>34.3193001691266</v>
      </c>
      <c r="H10983" s="6" t="n">
        <f aca="false">Sens!H10982*Sens!H10980</f>
        <v>79.3022752835272</v>
      </c>
      <c r="I10983" s="6" t="n">
        <f aca="false">Sens!I10982*Sens!I10980</f>
        <v>132.325271265291</v>
      </c>
      <c r="J10983" s="6" t="n">
        <f aca="false">Sens!J10982*Sens!J10980</f>
        <v>174.001134305037</v>
      </c>
      <c r="K10983" s="6" t="n">
        <f aca="false">Sens!K10982*Sens!K10980</f>
        <v>182.018769097438</v>
      </c>
    </row>
    <row r="10984" customFormat="false" ht="17.15" hidden="false" customHeight="false" outlineLevel="0" collapsed="false">
      <c r="A10984" s="1" t="s">
        <v>1221</v>
      </c>
      <c r="B10984" s="0" t="s">
        <v>98</v>
      </c>
      <c r="C10984" s="6" t="n">
        <f aca="false">SUM(Sens!F10983:K10983)</f>
        <v>600.900589123486</v>
      </c>
    </row>
    <row r="10985" customFormat="false" ht="17.15" hidden="false" customHeight="false" outlineLevel="0" collapsed="false">
      <c r="A10985" s="1" t="s">
        <v>1222</v>
      </c>
      <c r="B10985" s="0" t="s">
        <v>98</v>
      </c>
      <c r="C10985" s="6" t="n">
        <f aca="false">Sens!K10921*(1+g_tv)*(1-tax_f)</f>
        <v>317.515761100527</v>
      </c>
    </row>
    <row r="10986" customFormat="false" ht="17.15" hidden="false" customHeight="false" outlineLevel="0" collapsed="false">
      <c r="A10986" s="1" t="s">
        <v>1223</v>
      </c>
      <c r="B10986" s="0" t="s">
        <v>98</v>
      </c>
      <c r="C10986" s="6" t="n">
        <f aca="false">Sens!$C$10985*(1-g_tv/(wacc+ronic_prem))</f>
        <v>224.978474354261</v>
      </c>
    </row>
    <row r="10987" customFormat="false" ht="17.15" hidden="false" customHeight="false" outlineLevel="0" collapsed="false">
      <c r="A10987" s="1" t="s">
        <v>1224</v>
      </c>
      <c r="B10987" s="0" t="s">
        <v>98</v>
      </c>
      <c r="C10987" s="6" t="n">
        <f aca="false">Sens!$C$10986/(wacc-g_tv)</f>
        <v>3084.57622487553</v>
      </c>
    </row>
    <row r="10988" customFormat="false" ht="15" hidden="false" customHeight="false" outlineLevel="0" collapsed="false">
      <c r="A10988" s="1" t="s">
        <v>1225</v>
      </c>
      <c r="B10988" s="0" t="s">
        <v>98</v>
      </c>
      <c r="C10988" s="6" t="n">
        <f aca="false">Sens!$C$10987/(1+wacc)^Sens!K10979</f>
        <v>1756.37523633896</v>
      </c>
    </row>
    <row r="10989" customFormat="false" ht="17.15" hidden="false" customHeight="false" outlineLevel="0" collapsed="false">
      <c r="A10989" s="0" t="s">
        <v>1226</v>
      </c>
      <c r="B10989" s="0" t="s">
        <v>98</v>
      </c>
      <c r="C10989" s="6" t="n">
        <f aca="false">Sens!$C$10984+Sens!$C$10988</f>
        <v>2357.27582546245</v>
      </c>
    </row>
    <row r="10990" customFormat="false" ht="15" hidden="false" customHeight="false" outlineLevel="0" collapsed="false">
      <c r="A10990" s="1" t="s">
        <v>1141</v>
      </c>
      <c r="B10990" s="0" t="s">
        <v>168</v>
      </c>
      <c r="C10990" s="7" t="n">
        <f aca="false">Sens!$C$10988/Sens!$C$10989</f>
        <v>0.745086857196441</v>
      </c>
    </row>
    <row r="10991" customFormat="false" ht="17.15" hidden="false" customHeight="false" outlineLevel="0" collapsed="false">
      <c r="A10991" s="1" t="s">
        <v>1227</v>
      </c>
      <c r="B10991" s="0" t="s">
        <v>98</v>
      </c>
      <c r="C10991" s="6" t="n">
        <f aca="false">Sens!$C$10989+cash_val-debt_val-fl_val+oai_v</f>
        <v>2473.12682546245</v>
      </c>
    </row>
    <row r="10992" customFormat="false" ht="17.15" hidden="false" customHeight="false" outlineLevel="0" collapsed="false">
      <c r="A10992" s="0" t="s">
        <v>1149</v>
      </c>
      <c r="B10992" s="0" t="s">
        <v>75</v>
      </c>
      <c r="C10992" s="5" t="n">
        <f aca="false">Sens!$C$10991/shd_val</f>
        <v>332.141663371266</v>
      </c>
    </row>
    <row r="10993" customFormat="false" ht="15" hidden="false" customHeight="false" outlineLevel="0" collapsed="false">
      <c r="A10993" s="1" t="s">
        <v>1228</v>
      </c>
      <c r="B10993" s="0" t="s">
        <v>75</v>
      </c>
      <c r="C10993" s="8" t="n">
        <f aca="false">div_rem27+Sens!G10961*roll_div_q/q_per_yr</f>
        <v>3.9795</v>
      </c>
    </row>
    <row r="10994" customFormat="false" ht="17.15" hidden="false" customHeight="false" outlineLevel="0" collapsed="false">
      <c r="A10994" s="0" t="s">
        <v>1229</v>
      </c>
      <c r="B10994" s="0" t="s">
        <v>75</v>
      </c>
      <c r="C10994" s="5" t="n">
        <f aca="false">Sens!$C$10992*(1+wacc)^t_roll-Sens!$C$10993</f>
        <v>365.214495910449</v>
      </c>
    </row>
    <row r="10995" customFormat="false" ht="17.15" hidden="false" customHeight="false" outlineLevel="0" collapsed="false">
      <c r="A10995" s="1" t="s">
        <v>1230</v>
      </c>
      <c r="B10995" s="0" t="s">
        <v>168</v>
      </c>
      <c r="F10995" s="7" t="n">
        <f aca="false">Sens!F10947/(Sens!F10892-Sens!F10847)</f>
        <v>0.068533909207525</v>
      </c>
      <c r="G10995" s="7" t="n">
        <f aca="false">Sens!G10947/(Sens!G10892-Sens!G10847)</f>
        <v>0.0653005880062557</v>
      </c>
      <c r="H10995" s="7" t="n">
        <f aca="false">Sens!H10947/(Sens!H10892-Sens!H10847)</f>
        <v>0.0635565730095521</v>
      </c>
      <c r="I10995" s="7" t="n">
        <f aca="false">Sens!I10947/(Sens!I10892-Sens!I10847)</f>
        <v>0.0631865721706131</v>
      </c>
      <c r="J10995" s="7" t="n">
        <f aca="false">Sens!J10947/(Sens!J10892-Sens!J10847)</f>
        <v>0.0638312172375049</v>
      </c>
      <c r="K10995" s="7" t="n">
        <f aca="false">Sens!K10947/(Sens!K10892-Sens!K10847)</f>
        <v>0.0650327361819488</v>
      </c>
    </row>
    <row r="10996" customFormat="false" ht="17.15" hidden="false" customHeight="false" outlineLevel="0" collapsed="false">
      <c r="A10996" s="0" t="s">
        <v>1231</v>
      </c>
      <c r="B10996" s="0" t="s">
        <v>98</v>
      </c>
      <c r="F10996" s="6" t="n">
        <f aca="false">Sens!F10877*(al_m365+Sens!F10995+sbc_r)</f>
        <v>84.5191371793931</v>
      </c>
      <c r="G10996" s="6" t="n">
        <f aca="false">Sens!G10877*(al_m365+Sens!G10995+sbc_r)</f>
        <v>98.9420721198347</v>
      </c>
      <c r="H10996" s="6" t="n">
        <f aca="false">Sens!H10877*(al_m365+Sens!H10995+sbc_r)</f>
        <v>113.526515765225</v>
      </c>
      <c r="I10996" s="6" t="n">
        <f aca="false">Sens!I10877*(al_m365+Sens!I10995+sbc_r)</f>
        <v>126.589592581044</v>
      </c>
      <c r="J10996" s="6" t="n">
        <f aca="false">Sens!J10877*(al_m365+Sens!J10995+sbc_r)</f>
        <v>137.944264206477</v>
      </c>
      <c r="K10996" s="6" t="n">
        <f aca="false">Sens!K10877*(al_m365+Sens!K10995+sbc_r)</f>
        <v>148.912164724832</v>
      </c>
      <c r="L10996" s="12" t="s">
        <v>1232</v>
      </c>
    </row>
    <row r="10997" customFormat="false" ht="17.15" hidden="false" customHeight="false" outlineLevel="0" collapsed="false">
      <c r="A10997" s="0" t="s">
        <v>1233</v>
      </c>
      <c r="B10997" s="0" t="s">
        <v>98</v>
      </c>
      <c r="F10997" s="6" t="n">
        <f aca="false">Sens!F10878*(al_lic+Sens!F10995+sbc_r)</f>
        <v>32.8544777358614</v>
      </c>
      <c r="G10997" s="6" t="n">
        <f aca="false">Sens!G10878*(al_lic+Sens!G10995+sbc_r)</f>
        <v>34.1163102632499</v>
      </c>
      <c r="H10997" s="6" t="n">
        <f aca="false">Sens!H10878*(al_lic+Sens!H10995+sbc_r)</f>
        <v>35.2980210192016</v>
      </c>
      <c r="I10997" s="6" t="n">
        <f aca="false">Sens!I10878*(al_lic+Sens!I10995+sbc_r)</f>
        <v>36.3825094675438</v>
      </c>
      <c r="J10997" s="6" t="n">
        <f aca="false">Sens!J10878*(al_lic+Sens!J10995+sbc_r)</f>
        <v>37.3416747317214</v>
      </c>
      <c r="K10997" s="6" t="n">
        <f aca="false">Sens!K10878*(al_lic+Sens!K10995+sbc_r)</f>
        <v>38.1422715276772</v>
      </c>
    </row>
    <row r="10998" customFormat="false" ht="17.15" hidden="false" customHeight="false" outlineLevel="0" collapsed="false">
      <c r="A10998" s="0" t="s">
        <v>1234</v>
      </c>
      <c r="B10998" s="0" t="s">
        <v>98</v>
      </c>
      <c r="F10998" s="6" t="n">
        <f aca="false">Sens!F10880*(al_ind+Sens!F10995+sbc_r)</f>
        <v>9.0585054586664</v>
      </c>
      <c r="G10998" s="6" t="n">
        <f aca="false">Sens!G10880*(al_ind+Sens!G10995+sbc_r)</f>
        <v>9.82319427592115</v>
      </c>
      <c r="H10998" s="6" t="n">
        <f aca="false">Sens!H10880*(al_ind+Sens!H10995+sbc_r)</f>
        <v>10.6349209434657</v>
      </c>
      <c r="I10998" s="6" t="n">
        <f aca="false">Sens!I10880*(al_ind+Sens!I10995+sbc_r)</f>
        <v>11.4917112152663</v>
      </c>
      <c r="J10998" s="6" t="n">
        <f aca="false">Sens!J10880*(al_ind+Sens!J10995+sbc_r)</f>
        <v>12.3824597247491</v>
      </c>
      <c r="K10998" s="6" t="n">
        <f aca="false">Sens!K10880*(al_ind+Sens!K10995+sbc_r)</f>
        <v>13.2889095112867</v>
      </c>
    </row>
    <row r="10999" customFormat="false" ht="17.15" hidden="false" customHeight="false" outlineLevel="0" collapsed="false">
      <c r="A10999" s="0" t="s">
        <v>1235</v>
      </c>
      <c r="B10999" s="0" t="s">
        <v>98</v>
      </c>
      <c r="F10999" s="6" t="n">
        <f aca="false">Sens!F10882*(al_fro+Sens!F10995+sbc_r)</f>
        <v>3.55327967837433</v>
      </c>
      <c r="G10999" s="6" t="n">
        <f aca="false">Sens!G10882*(al_fro+Sens!G10995+sbc_r)</f>
        <v>3.75864202787019</v>
      </c>
      <c r="H10999" s="6" t="n">
        <f aca="false">Sens!H10882*(al_fro+Sens!H10995+sbc_r)</f>
        <v>3.9939119541015</v>
      </c>
      <c r="I10999" s="6" t="n">
        <f aca="false">Sens!I10882*(al_fro+Sens!I10995+sbc_r)</f>
        <v>4.26213752350865</v>
      </c>
      <c r="J10999" s="6" t="n">
        <f aca="false">Sens!J10882*(al_fro+Sens!J10995+sbc_r)</f>
        <v>4.56386552120808</v>
      </c>
      <c r="K10999" s="6" t="n">
        <f aca="false">Sens!K10882*(al_fro+Sens!K10995+sbc_r)</f>
        <v>4.89796028262426</v>
      </c>
    </row>
    <row r="11000" customFormat="false" ht="17.15" hidden="false" customHeight="false" outlineLevel="0" collapsed="false">
      <c r="A11000" s="0" t="s">
        <v>1236</v>
      </c>
      <c r="B11000" s="0" t="s">
        <v>98</v>
      </c>
      <c r="F11000" s="6" t="n">
        <f aca="false">Sens!F10885*(al_srch+Sens!F10995+sbc_r)</f>
        <v>11.2250745448159</v>
      </c>
      <c r="G11000" s="6" t="n">
        <f aca="false">Sens!G10885*(al_srch+Sens!G10995+sbc_r)</f>
        <v>12.3988682711814</v>
      </c>
      <c r="H11000" s="6" t="n">
        <f aca="false">Sens!H10885*(al_srch+Sens!H10995+sbc_r)</f>
        <v>13.7041063969192</v>
      </c>
      <c r="I11000" s="6" t="n">
        <f aca="false">Sens!I10885*(al_srch+Sens!I10995+sbc_r)</f>
        <v>15.1525984828357</v>
      </c>
      <c r="J11000" s="6" t="n">
        <f aca="false">Sens!J10885*(al_srch+Sens!J10995+sbc_r)</f>
        <v>16.7456692758297</v>
      </c>
      <c r="K11000" s="6" t="n">
        <f aca="false">Sens!K10885*(al_srch+Sens!K10995+sbc_r)</f>
        <v>18.4753994669234</v>
      </c>
    </row>
    <row r="11001" customFormat="false" ht="17.15" hidden="false" customHeight="false" outlineLevel="0" collapsed="false">
      <c r="A11001" s="0" t="s">
        <v>1237</v>
      </c>
      <c r="B11001" s="0" t="s">
        <v>98</v>
      </c>
      <c r="F11001" s="6" t="n">
        <f aca="false">Sens!F10853-Sens!F10854+Sens!F10935</f>
        <v>45.3782580567763</v>
      </c>
      <c r="G11001" s="6" t="n">
        <f aca="false">Sens!G10853-Sens!G10854+Sens!G10935</f>
        <v>91.0863367558165</v>
      </c>
      <c r="H11001" s="6" t="n">
        <f aca="false">Sens!H10853-Sens!H10854+Sens!H10935</f>
        <v>144.617532464853</v>
      </c>
      <c r="I11001" s="6" t="n">
        <f aca="false">Sens!I10853-Sens!I10854+Sens!I10935</f>
        <v>187.137304561304</v>
      </c>
      <c r="J11001" s="6" t="n">
        <f aca="false">Sens!J10853-Sens!J10854+Sens!J10935</f>
        <v>217.006854425907</v>
      </c>
      <c r="K11001" s="6" t="n">
        <f aca="false">Sens!K10853-Sens!K10854+Sens!K10935</f>
        <v>234.933637903877</v>
      </c>
    </row>
    <row r="11002" customFormat="false" ht="17.15" hidden="false" customHeight="false" outlineLevel="0" collapsed="false">
      <c r="A11002" s="0" t="s">
        <v>1238</v>
      </c>
      <c r="B11002" s="0" t="s">
        <v>98</v>
      </c>
      <c r="F11002" s="6" t="n">
        <f aca="false">Sens!F10914+Sens!F10935+Sens!F10865+Sens!F10995*(Sens!F10884-Sens!F10847)+sbc_r*Sens!F10884</f>
        <v>240.813488356467</v>
      </c>
      <c r="G11002" s="6" t="n">
        <f aca="false">Sens!G10914+Sens!G10935+Sens!G10865+Sens!G10995*(Sens!G10884-Sens!G10847)+sbc_r*Sens!G10884</f>
        <v>311.900369491633</v>
      </c>
      <c r="H11002" s="6" t="n">
        <f aca="false">Sens!H10914+Sens!H10935+Sens!H10865+Sens!H10995*(Sens!H10884-Sens!H10847)+sbc_r*Sens!H10884</f>
        <v>395.4480793471</v>
      </c>
      <c r="I11002" s="6" t="n">
        <f aca="false">Sens!I10914+Sens!I10935+Sens!I10865+Sens!I10995*(Sens!I10884-Sens!I10847)+sbc_r*Sens!I10884</f>
        <v>465.881993049366</v>
      </c>
      <c r="J11002" s="6" t="n">
        <f aca="false">Sens!J10914+Sens!J10935+Sens!J10865+Sens!J10995*(Sens!J10884-Sens!J10847)+sbc_r*Sens!J10884</f>
        <v>520.674666077041</v>
      </c>
      <c r="K11002" s="6" t="n">
        <f aca="false">Sens!K10914+Sens!K10935+Sens!K10865+Sens!K10995*(Sens!K10884-Sens!K10847)+sbc_r*Sens!K10884</f>
        <v>561.076147187826</v>
      </c>
    </row>
    <row r="11003" customFormat="false" ht="17.15" hidden="false" customHeight="false" outlineLevel="0" collapsed="false">
      <c r="A11003" s="0" t="s">
        <v>1239</v>
      </c>
      <c r="B11003" s="0" t="s">
        <v>98</v>
      </c>
      <c r="F11003" s="6" t="n">
        <f aca="false">Sens!F11002-Sens!F10996-Sens!F10997-Sens!F10998-Sens!F10999-Sens!F11001</f>
        <v>65.4498302473953</v>
      </c>
      <c r="G11003" s="6" t="n">
        <f aca="false">Sens!G11002-Sens!G10996-Sens!G10997-Sens!G10998-Sens!G10999-Sens!G11001</f>
        <v>74.1738140489407</v>
      </c>
      <c r="H11003" s="6" t="n">
        <f aca="false">Sens!H11002-Sens!H10996-Sens!H10997-Sens!H10998-Sens!H10999-Sens!H11001</f>
        <v>87.3771772002528</v>
      </c>
      <c r="I11003" s="6" t="n">
        <f aca="false">Sens!I11002-Sens!I10996-Sens!I10997-Sens!I10998-Sens!I10999-Sens!I11001</f>
        <v>100.018737700699</v>
      </c>
      <c r="J11003" s="6" t="n">
        <f aca="false">Sens!J11002-Sens!J10996-Sens!J10997-Sens!J10998-Sens!J10999-Sens!J11001</f>
        <v>111.435547466979</v>
      </c>
      <c r="K11003" s="6" t="n">
        <f aca="false">Sens!K11002-Sens!K10996-Sens!K10997-Sens!K10998-Sens!K10999-Sens!K11001</f>
        <v>120.901203237528</v>
      </c>
    </row>
    <row r="11004" customFormat="false" ht="17.15" hidden="false" customHeight="false" outlineLevel="0" collapsed="false">
      <c r="A11004" s="0" t="s">
        <v>1240</v>
      </c>
      <c r="B11004" s="0" t="s">
        <v>98</v>
      </c>
      <c r="F11004" s="6" t="n">
        <f aca="false">Sens!F10916+Sens!F10995*Sens!F10891+sbc_r*Sens!F10891</f>
        <v>26.6661152655039</v>
      </c>
      <c r="G11004" s="6" t="n">
        <f aca="false">Sens!G10916+Sens!G10995*Sens!G10891+sbc_r*Sens!G10891</f>
        <v>26.5886632228097</v>
      </c>
      <c r="H11004" s="6" t="n">
        <f aca="false">Sens!H10916+Sens!H10995*Sens!H10891+sbc_r*Sens!H10891</f>
        <v>27.6385819880598</v>
      </c>
      <c r="I11004" s="6" t="n">
        <f aca="false">Sens!I10916+Sens!I10995*Sens!I10891+sbc_r*Sens!I10891</f>
        <v>29.0374519051262</v>
      </c>
      <c r="J11004" s="6" t="n">
        <f aca="false">Sens!J10916+Sens!J10995*Sens!J10891+sbc_r*Sens!J10891</f>
        <v>30.7683027947699</v>
      </c>
      <c r="K11004" s="6" t="n">
        <f aca="false">Sens!K10916+Sens!K10995*Sens!K10891+sbc_r*Sens!K10891</f>
        <v>32.8095543140986</v>
      </c>
    </row>
    <row r="11005" customFormat="false" ht="17.15" hidden="false" customHeight="false" outlineLevel="0" collapsed="false">
      <c r="A11005" s="0" t="s">
        <v>1241</v>
      </c>
      <c r="B11005" s="0" t="s">
        <v>98</v>
      </c>
      <c r="F11005" s="6" t="n">
        <f aca="false">(Sens!F11004-Sens!F11000)*Sens!F10887/(Sens!F10887+Sens!F10889)</f>
        <v>8.72087618970219</v>
      </c>
      <c r="G11005" s="6" t="n">
        <f aca="false">(Sens!G11004-Sens!G11000)*Sens!G10887/(Sens!G10887+Sens!G10889)</f>
        <v>7.87645651274156</v>
      </c>
      <c r="H11005" s="6" t="n">
        <f aca="false">(Sens!H11004-Sens!H11000)*Sens!H10887/(Sens!H10887+Sens!H10889)</f>
        <v>7.63397342545201</v>
      </c>
      <c r="I11005" s="6" t="n">
        <f aca="false">(Sens!I11004-Sens!I11000)*Sens!I10887/(Sens!I10887+Sens!I10889)</f>
        <v>7.54039252451062</v>
      </c>
      <c r="J11005" s="6" t="n">
        <f aca="false">(Sens!J11004-Sens!J11000)*Sens!J10887/(Sens!J10887+Sens!J10889)</f>
        <v>7.58199138957796</v>
      </c>
      <c r="K11005" s="6" t="n">
        <f aca="false">(Sens!K11004-Sens!K11000)*Sens!K10887/(Sens!K10887+Sens!K10889)</f>
        <v>7.75042993752661</v>
      </c>
    </row>
    <row r="11006" customFormat="false" ht="17.15" hidden="false" customHeight="false" outlineLevel="0" collapsed="false">
      <c r="A11006" s="0" t="s">
        <v>1242</v>
      </c>
      <c r="B11006" s="0" t="s">
        <v>98</v>
      </c>
      <c r="F11006" s="6" t="n">
        <f aca="false">Sens!F11004-Sens!F11000-Sens!F11005</f>
        <v>6.72016453098589</v>
      </c>
      <c r="G11006" s="6" t="n">
        <f aca="false">Sens!G11004-Sens!G11000-Sens!G11005</f>
        <v>6.31333843888675</v>
      </c>
      <c r="H11006" s="6" t="n">
        <f aca="false">Sens!H11004-Sens!H11000-Sens!H11005</f>
        <v>6.30050216568858</v>
      </c>
      <c r="I11006" s="6" t="n">
        <f aca="false">Sens!I11004-Sens!I11000-Sens!I11005</f>
        <v>6.34446089777982</v>
      </c>
      <c r="J11006" s="6" t="n">
        <f aca="false">Sens!J11004-Sens!J11000-Sens!J11005</f>
        <v>6.44064212936232</v>
      </c>
      <c r="K11006" s="6" t="n">
        <f aca="false">Sens!K11004-Sens!K11000-Sens!K11005</f>
        <v>6.5837249096485</v>
      </c>
    </row>
    <row r="11007" customFormat="false" ht="17.15" hidden="false" customHeight="false" outlineLevel="0" collapsed="false">
      <c r="A11007" s="0" t="s">
        <v>1243</v>
      </c>
      <c r="B11007" s="0" t="s">
        <v>98</v>
      </c>
      <c r="F11007" s="6" t="n">
        <f aca="false">Sens!F11001-tax_f*(Sens!F11001-Sens!F10865)-Sens!F10862</f>
        <v>-125.235434701028</v>
      </c>
      <c r="G11007" s="6" t="n">
        <f aca="false">Sens!G11001-tax_f*(Sens!G11001-Sens!G10865)-Sens!G10862</f>
        <v>-106.928508113935</v>
      </c>
      <c r="H11007" s="6" t="n">
        <f aca="false">Sens!H11001-tax_f*(Sens!H11001-Sens!H10865)-Sens!H10862</f>
        <v>-63.2919599603405</v>
      </c>
      <c r="I11007" s="6" t="n">
        <f aca="false">Sens!I11001-tax_f*(Sens!I11001-Sens!I10865)-Sens!I10862</f>
        <v>3.94121196634245</v>
      </c>
      <c r="J11007" s="6" t="n">
        <f aca="false">Sens!J11001-tax_f*(Sens!J11001-Sens!J10865)-Sens!J10862</f>
        <v>71.0786869547042</v>
      </c>
      <c r="K11007" s="6" t="n">
        <f aca="false">Sens!K11001-tax_f*(Sens!K11001-Sens!K10865)-Sens!K10862</f>
        <v>97.5865911685559</v>
      </c>
    </row>
    <row r="11008" customFormat="false" ht="17.15" hidden="false" customHeight="false" outlineLevel="0" collapsed="false">
      <c r="A11008" s="0" t="s">
        <v>1244</v>
      </c>
      <c r="B11008" s="0" t="s">
        <v>98</v>
      </c>
      <c r="G11008" s="6" t="n">
        <f aca="false">Sens!G11007/(1+wacc)^(Sens!G10978-Sens!F10979)</f>
        <v>-101.81651667568</v>
      </c>
      <c r="H11008" s="6" t="n">
        <f aca="false">Sens!H11007/(1+wacc)^(Sens!H10978-Sens!F10979)</f>
        <v>-54.6415143556151</v>
      </c>
      <c r="I11008" s="6" t="n">
        <f aca="false">Sens!I11007/(1+wacc)^(Sens!I10978-Sens!F10979)</f>
        <v>3.08498765169516</v>
      </c>
      <c r="J11008" s="6" t="n">
        <f aca="false">Sens!J11007/(1+wacc)^(Sens!J10978-Sens!F10979)</f>
        <v>50.4443451596971</v>
      </c>
      <c r="K11008" s="6" t="n">
        <f aca="false">Sens!K11007/(1+wacc)^(Sens!K10978-Sens!F10979)</f>
        <v>62.7932114544856</v>
      </c>
      <c r="L11008" s="1" t="s">
        <v>1245</v>
      </c>
    </row>
    <row r="11009" customFormat="false" ht="17.15" hidden="false" customHeight="false" outlineLevel="0" collapsed="false">
      <c r="A11009" s="0" t="s">
        <v>1246</v>
      </c>
      <c r="B11009" s="0" t="s">
        <v>98</v>
      </c>
      <c r="C11009" s="6" t="n">
        <f aca="false">(Sens!K11001-Sens!K10865)*(1-tax_f)*(1+g_tv)*(1-g_tv/(wacc+ronic_prem))/(wacc-g_tv)/(1+wacc)^(Sens!K10979-Sens!F10979)</f>
        <v>450.836735002813</v>
      </c>
    </row>
    <row r="11010" customFormat="false" ht="17.15" hidden="false" customHeight="false" outlineLevel="0" collapsed="false">
      <c r="A11010" s="1" t="s">
        <v>1247</v>
      </c>
      <c r="B11010" s="0" t="s">
        <v>98</v>
      </c>
      <c r="C11010" s="6" t="n">
        <f aca="false">(SUM(Sens!G11008:K11008)+Sens!$C$11009)*(1+wacc)^(t_roll-Sens!F10979)</f>
        <v>424.259738494477</v>
      </c>
      <c r="L11010" s="12" t="s">
        <v>1248</v>
      </c>
    </row>
    <row r="11011" customFormat="false" ht="17.15" hidden="false" customHeight="false" outlineLevel="0" collapsed="false">
      <c r="A11011" s="1" t="s">
        <v>1249</v>
      </c>
      <c r="B11011" s="0" t="s">
        <v>98</v>
      </c>
      <c r="C11011" s="6" t="n">
        <f aca="false">(w_ntm28*Sens!G10853+(1-w_ntm28)*Sens!H10853)*m_ai</f>
        <v>563.316843258668</v>
      </c>
    </row>
    <row r="11012" customFormat="false" ht="17.15" hidden="false" customHeight="false" outlineLevel="0" collapsed="false">
      <c r="A11012" s="1" t="s">
        <v>1250</v>
      </c>
      <c r="B11012" s="0" t="s">
        <v>98</v>
      </c>
      <c r="C11012" s="6" t="n">
        <f aca="false">(w_ntm28*Sens!G11003+(1-w_ntm28)*Sens!H11003)*m_cloud</f>
        <v>1085.07240454029</v>
      </c>
    </row>
    <row r="11013" customFormat="false" ht="17.15" hidden="false" customHeight="false" outlineLevel="0" collapsed="false">
      <c r="A11013" s="1" t="s">
        <v>1251</v>
      </c>
      <c r="B11013" s="0" t="s">
        <v>98</v>
      </c>
      <c r="C11013" s="6" t="n">
        <f aca="false">(w_ntm28*Sens!G10996+(1-w_ntm28)*Sens!H10996)*m_sw</f>
        <v>1120.35914318031</v>
      </c>
    </row>
    <row r="11014" customFormat="false" ht="17.15" hidden="false" customHeight="false" outlineLevel="0" collapsed="false">
      <c r="A11014" s="1" t="s">
        <v>1252</v>
      </c>
      <c r="B11014" s="0" t="s">
        <v>98</v>
      </c>
      <c r="C11014" s="6" t="n">
        <f aca="false">(w_ntm28*Sens!G10997+(1-w_ntm28)*Sens!H10997)*m_sw</f>
        <v>372.652033417656</v>
      </c>
    </row>
    <row r="11015" customFormat="false" ht="17.15" hidden="false" customHeight="false" outlineLevel="0" collapsed="false">
      <c r="A11015" s="1" t="s">
        <v>1253</v>
      </c>
      <c r="B11015" s="0" t="s">
        <v>98</v>
      </c>
      <c r="C11015" s="6" t="n">
        <f aca="false">(w_ntm28*Sens!G10998+(1-w_ntm28)*Sens!H10998)*m_sw</f>
        <v>108.972683826901</v>
      </c>
    </row>
    <row r="11016" customFormat="false" ht="17.15" hidden="false" customHeight="false" outlineLevel="0" collapsed="false">
      <c r="A11016" s="1" t="s">
        <v>1254</v>
      </c>
      <c r="B11016" s="0" t="s">
        <v>98</v>
      </c>
      <c r="C11016" s="6" t="n">
        <f aca="false">(w_ntm28*Sens!G10999+(1-w_ntm28)*Sens!H10999)*m_sw</f>
        <v>41.4287032829043</v>
      </c>
    </row>
    <row r="11017" customFormat="false" ht="17.15" hidden="false" customHeight="false" outlineLevel="0" collapsed="false">
      <c r="A11017" s="1" t="s">
        <v>1255</v>
      </c>
      <c r="B11017" s="0" t="s">
        <v>98</v>
      </c>
      <c r="C11017" s="6" t="n">
        <f aca="false">(w_ntm28*Sens!G11000+(1-w_ntm28)*Sens!H11000)*m_ads</f>
        <v>116.862967536919</v>
      </c>
    </row>
    <row r="11018" customFormat="false" ht="17.15" hidden="false" customHeight="false" outlineLevel="0" collapsed="false">
      <c r="A11018" s="1" t="s">
        <v>1256</v>
      </c>
      <c r="B11018" s="0" t="s">
        <v>98</v>
      </c>
      <c r="C11018" s="6" t="n">
        <f aca="false">(w_ntm28*Sens!G11005+(1-w_ntm28)*Sens!H11005)*m_game</f>
        <v>98.4727762570326</v>
      </c>
    </row>
    <row r="11019" customFormat="false" ht="17.15" hidden="false" customHeight="false" outlineLevel="0" collapsed="false">
      <c r="A11019" s="1" t="s">
        <v>1257</v>
      </c>
      <c r="B11019" s="0" t="s">
        <v>98</v>
      </c>
      <c r="C11019" s="6" t="n">
        <f aca="false">(w_ntm28*Sens!G11006+(1-w_ntm28)*Sens!H11006)*m_pc</f>
        <v>91.2929417181397</v>
      </c>
    </row>
    <row r="11020" customFormat="false" ht="17.15" hidden="false" customHeight="false" outlineLevel="0" collapsed="false">
      <c r="A11020" s="1" t="s">
        <v>1258</v>
      </c>
      <c r="B11020" s="0" t="s">
        <v>98</v>
      </c>
      <c r="C11020" s="6" t="n">
        <f aca="false">Sens!$C$11010+Sens!$C$11012+Sens!$C$11013+Sens!$C$11014+Sens!$C$11015+Sens!$C$11016+Sens!$C$11017+Sens!$C$11018+Sens!$C$11019</f>
        <v>3459.37339225464</v>
      </c>
    </row>
    <row r="11021" customFormat="false" ht="17.15" hidden="false" customHeight="false" outlineLevel="0" collapsed="false">
      <c r="A11021" s="1" t="s">
        <v>1259</v>
      </c>
      <c r="B11021" s="0" t="s">
        <v>98</v>
      </c>
      <c r="C11021" s="6" t="n">
        <f aca="false">(Sens!G10982-Sens!G11007)*t_stub</f>
        <v>48.3042969985434</v>
      </c>
      <c r="L11021" s="1" t="s">
        <v>1260</v>
      </c>
    </row>
    <row r="11022" customFormat="false" ht="17.15" hidden="false" customHeight="false" outlineLevel="0" collapsed="false">
      <c r="A11022" s="1" t="s">
        <v>1169</v>
      </c>
      <c r="B11022" s="0" t="s">
        <v>98</v>
      </c>
      <c r="C11022" s="6" t="n">
        <f aca="false">Sens!F10969+oai_v-Sens!F10958+Sens!$C$11021</f>
        <v>162.532566998543</v>
      </c>
      <c r="L11022" s="1" t="s">
        <v>1261</v>
      </c>
    </row>
    <row r="11023" customFormat="false" ht="17.15" hidden="false" customHeight="false" outlineLevel="0" collapsed="false">
      <c r="A11023" s="1" t="s">
        <v>1262</v>
      </c>
      <c r="B11023" s="0" t="s">
        <v>75</v>
      </c>
      <c r="C11023" s="5" t="n">
        <f aca="false">(Sens!$C$11020+Sens!$C$11022)/(Sens!F10971+dil_gap)-Sens!G10961*roll_div_q/q_per_yr</f>
        <v>482.512002737138</v>
      </c>
      <c r="L11023" s="1" t="s">
        <v>1263</v>
      </c>
    </row>
    <row r="11024" customFormat="false" ht="17.15" hidden="false" customHeight="false" outlineLevel="0" collapsed="false">
      <c r="A11024" s="1" t="s">
        <v>1264</v>
      </c>
      <c r="B11024" s="0" t="s">
        <v>75</v>
      </c>
      <c r="C11024" s="5" t="n">
        <f aca="false">w_dcf*Sens!$C$10994+(1-w_dcf)*Sens!$C$11023</f>
        <v>423.863249323793</v>
      </c>
    </row>
    <row r="11025" customFormat="false" ht="17.15" hidden="false" customHeight="false" outlineLevel="0" collapsed="false">
      <c r="A11025" s="3" t="s">
        <v>1755</v>
      </c>
    </row>
    <row r="11026" customFormat="false" ht="15" hidden="false" customHeight="false" outlineLevel="0" collapsed="false">
      <c r="A11026" s="4" t="s">
        <v>43</v>
      </c>
      <c r="B11026" s="4" t="s">
        <v>65</v>
      </c>
      <c r="C11026" s="23" t="s">
        <v>938</v>
      </c>
      <c r="D11026" s="23" t="s">
        <v>939</v>
      </c>
      <c r="E11026" s="23" t="s">
        <v>940</v>
      </c>
      <c r="F11026" s="23" t="s">
        <v>941</v>
      </c>
      <c r="G11026" s="23" t="s">
        <v>942</v>
      </c>
      <c r="H11026" s="23" t="s">
        <v>943</v>
      </c>
      <c r="I11026" s="23" t="s">
        <v>944</v>
      </c>
      <c r="J11026" s="23" t="s">
        <v>945</v>
      </c>
      <c r="K11026" s="23" t="s">
        <v>946</v>
      </c>
      <c r="L11026" s="4" t="s">
        <v>47</v>
      </c>
    </row>
    <row r="11027" customFormat="false" ht="17.15" hidden="false" customHeight="false" outlineLevel="0" collapsed="false">
      <c r="A11027" s="1" t="s">
        <v>947</v>
      </c>
      <c r="B11027" s="1" t="s">
        <v>279</v>
      </c>
      <c r="C11027" s="21" t="n">
        <v>2024</v>
      </c>
      <c r="D11027" s="21" t="n">
        <v>2025</v>
      </c>
      <c r="E11027" s="21" t="n">
        <v>2026</v>
      </c>
      <c r="F11027" s="21" t="n">
        <v>2027</v>
      </c>
      <c r="G11027" s="21" t="n">
        <v>2028</v>
      </c>
      <c r="H11027" s="21" t="n">
        <v>2029</v>
      </c>
      <c r="I11027" s="21" t="n">
        <v>2030</v>
      </c>
      <c r="J11027" s="21" t="n">
        <v>2031</v>
      </c>
      <c r="K11027" s="21" t="n">
        <v>2032</v>
      </c>
    </row>
    <row r="11028" customFormat="false" ht="17.15" hidden="false" customHeight="false" outlineLevel="0" collapsed="false">
      <c r="A11028" s="1" t="s">
        <v>948</v>
      </c>
      <c r="B11028" s="0" t="s">
        <v>456</v>
      </c>
      <c r="F11028" s="30" t="n">
        <f aca="false">pace</f>
        <v>2726.5351</v>
      </c>
      <c r="G11028" s="30" t="n">
        <f aca="false">pace</f>
        <v>2726.5351</v>
      </c>
      <c r="H11028" s="30" t="n">
        <f aca="false">pace</f>
        <v>2726.5351</v>
      </c>
      <c r="I11028" s="30" t="n">
        <f aca="false">pace+(g_tv*Sens!H11029-pace)*MIN(1,(Sens!I11027-pace_y0)/(pace_y1-pace_y0))</f>
        <v>1931.98611966667</v>
      </c>
      <c r="J11028" s="30" t="n">
        <f aca="false">pace+(g_tv*Sens!I11029-pace)*MIN(1,(Sens!J11027-pace_y0)/(pace_y1-pace_y0))</f>
        <v>1176.07686172667</v>
      </c>
      <c r="K11028" s="30" t="n">
        <f aca="false">pace+(g_tv*Sens!J11029-pace)*MIN(1,(Sens!K11027-pace_y0)/(pace_y1-pace_y0))</f>
        <v>436.1300484418</v>
      </c>
      <c r="L11028" s="12" t="s">
        <v>949</v>
      </c>
    </row>
    <row r="11029" customFormat="false" ht="17.15" hidden="false" customHeight="false" outlineLevel="0" collapsed="false">
      <c r="A11029" s="1" t="s">
        <v>950</v>
      </c>
      <c r="B11029" s="0" t="s">
        <v>456</v>
      </c>
      <c r="C11029" s="30" t="n">
        <f aca="false">mw_ext_24</f>
        <v>640</v>
      </c>
      <c r="D11029" s="30" t="n">
        <f aca="false">mw_ext_25</f>
        <v>1630</v>
      </c>
      <c r="E11029" s="30" t="n">
        <f aca="false">mw_ext_26</f>
        <v>3250</v>
      </c>
      <c r="F11029" s="30" t="n">
        <f aca="false">Sens!E11029+Sens!F11028</f>
        <v>5976.5351</v>
      </c>
      <c r="G11029" s="30" t="n">
        <f aca="false">Sens!F11029+Sens!G11028</f>
        <v>8703.0702</v>
      </c>
      <c r="H11029" s="30" t="n">
        <f aca="false">Sens!G11029+Sens!H11028</f>
        <v>11429.6053</v>
      </c>
      <c r="I11029" s="30" t="n">
        <f aca="false">Sens!H11029+Sens!I11028</f>
        <v>13361.5914196667</v>
      </c>
      <c r="J11029" s="30" t="n">
        <f aca="false">Sens!I11029+Sens!J11028</f>
        <v>14537.6682813933</v>
      </c>
      <c r="K11029" s="30" t="n">
        <f aca="false">Sens!J11029+Sens!K11028</f>
        <v>14973.7983298351</v>
      </c>
      <c r="L11029" s="1" t="s">
        <v>951</v>
      </c>
    </row>
    <row r="11030" customFormat="false" ht="17.15" hidden="false" customHeight="false" outlineLevel="0" collapsed="false">
      <c r="A11030" s="1" t="s">
        <v>952</v>
      </c>
      <c r="B11030" s="0" t="s">
        <v>456</v>
      </c>
      <c r="C11030" s="30" t="n">
        <f aca="false">rent_ext_24</f>
        <v>150</v>
      </c>
      <c r="D11030" s="30" t="n">
        <f aca="false">rent_ext_25</f>
        <v>400</v>
      </c>
      <c r="E11030" s="30" t="n">
        <f aca="false">rent_ext_26</f>
        <v>550</v>
      </c>
      <c r="F11030" s="30" t="n">
        <f aca="false">rent_ext_f</f>
        <v>756</v>
      </c>
      <c r="G11030" s="30" t="n">
        <f aca="false">rent_ext_f</f>
        <v>756</v>
      </c>
      <c r="H11030" s="30" t="n">
        <f aca="false">rent_ext_f</f>
        <v>756</v>
      </c>
      <c r="I11030" s="30" t="n">
        <f aca="false">rent_ext_f</f>
        <v>756</v>
      </c>
      <c r="J11030" s="30" t="n">
        <f aca="false">rent_ext_f</f>
        <v>756</v>
      </c>
      <c r="K11030" s="30" t="n">
        <f aca="false">rent_ext_f</f>
        <v>756</v>
      </c>
      <c r="L11030" s="1" t="s">
        <v>953</v>
      </c>
    </row>
    <row r="11031" customFormat="false" ht="17.15" hidden="false" customHeight="false" outlineLevel="0" collapsed="false">
      <c r="A11031" s="1" t="s">
        <v>954</v>
      </c>
      <c r="B11031" s="0" t="s">
        <v>456</v>
      </c>
      <c r="C11031" s="30" t="n">
        <f aca="false">Sens!C11029-Sens!C11030</f>
        <v>490</v>
      </c>
      <c r="D11031" s="30" t="n">
        <f aca="false">Sens!D11029-Sens!D11030</f>
        <v>1230</v>
      </c>
      <c r="E11031" s="30" t="n">
        <f aca="false">Sens!E11029-Sens!E11030</f>
        <v>2700</v>
      </c>
      <c r="F11031" s="30" t="n">
        <f aca="false">Sens!F11029-Sens!F11030</f>
        <v>5220.5351</v>
      </c>
      <c r="G11031" s="30" t="n">
        <f aca="false">Sens!G11029-Sens!G11030</f>
        <v>7947.0702</v>
      </c>
      <c r="H11031" s="30" t="n">
        <f aca="false">Sens!H11029-Sens!H11030</f>
        <v>10673.6053</v>
      </c>
      <c r="I11031" s="30" t="n">
        <f aca="false">Sens!I11029-Sens!I11030</f>
        <v>12605.5914196667</v>
      </c>
      <c r="J11031" s="30" t="n">
        <f aca="false">Sens!J11029-Sens!J11030</f>
        <v>13781.6682813933</v>
      </c>
      <c r="K11031" s="30" t="n">
        <f aca="false">Sens!K11029-Sens!K11030</f>
        <v>14217.7983298351</v>
      </c>
    </row>
    <row r="11032" customFormat="false" ht="17.15" hidden="false" customHeight="false" outlineLevel="0" collapsed="false">
      <c r="A11032" s="1" t="s">
        <v>955</v>
      </c>
      <c r="B11032" s="0" t="s">
        <v>456</v>
      </c>
      <c r="C11032" s="30" t="n">
        <f aca="false">Sens!C11031/ext_sh</f>
        <v>816.666666666667</v>
      </c>
      <c r="D11032" s="30" t="n">
        <f aca="false">Sens!D11031/ext_sh</f>
        <v>2050</v>
      </c>
      <c r="E11032" s="30" t="n">
        <f aca="false">Sens!E11031/ext_sh</f>
        <v>4500</v>
      </c>
      <c r="F11032" s="30" t="n">
        <f aca="false">Sens!F11031/ext_sh</f>
        <v>8700.89183333333</v>
      </c>
      <c r="G11032" s="30" t="n">
        <f aca="false">Sens!G11031/ext_sh</f>
        <v>13245.117</v>
      </c>
      <c r="H11032" s="30" t="n">
        <f aca="false">Sens!H11031/ext_sh</f>
        <v>17789.3421666667</v>
      </c>
      <c r="I11032" s="30" t="n">
        <f aca="false">Sens!I11031/ext_sh</f>
        <v>21009.3190327778</v>
      </c>
      <c r="J11032" s="30" t="n">
        <f aca="false">Sens!J11031/ext_sh</f>
        <v>22969.4471356556</v>
      </c>
      <c r="K11032" s="30" t="n">
        <f aca="false">Sens!K11031/ext_sh</f>
        <v>23696.3305497252</v>
      </c>
      <c r="L11032" s="1" t="s">
        <v>956</v>
      </c>
    </row>
    <row r="11033" customFormat="false" ht="17.15" hidden="false" customHeight="false" outlineLevel="0" collapsed="false">
      <c r="A11033" s="1" t="s">
        <v>957</v>
      </c>
      <c r="B11033" s="0" t="s">
        <v>456</v>
      </c>
      <c r="C11033" s="30" t="n">
        <f aca="false">Sens!C11032-Sens!C11031</f>
        <v>326.666666666667</v>
      </c>
      <c r="D11033" s="30" t="n">
        <f aca="false">Sens!D11032-Sens!D11031</f>
        <v>820</v>
      </c>
      <c r="E11033" s="30" t="n">
        <f aca="false">Sens!E11032-Sens!E11031</f>
        <v>1800</v>
      </c>
      <c r="F11033" s="30" t="n">
        <f aca="false">Sens!F11032-Sens!F11031</f>
        <v>3480.35673333333</v>
      </c>
      <c r="G11033" s="30" t="n">
        <f aca="false">Sens!G11032-Sens!G11031</f>
        <v>5298.0468</v>
      </c>
      <c r="H11033" s="30" t="n">
        <f aca="false">Sens!H11032-Sens!H11031</f>
        <v>7115.73686666667</v>
      </c>
      <c r="I11033" s="30" t="n">
        <f aca="false">Sens!I11032-Sens!I11031</f>
        <v>8403.72761311111</v>
      </c>
      <c r="J11033" s="30" t="n">
        <f aca="false">Sens!J11032-Sens!J11031</f>
        <v>9187.77885426222</v>
      </c>
      <c r="K11033" s="30" t="n">
        <f aca="false">Sens!K11032-Sens!K11031</f>
        <v>9478.53221989009</v>
      </c>
    </row>
    <row r="11034" customFormat="false" ht="17.15" hidden="false" customHeight="false" outlineLevel="0" collapsed="false">
      <c r="A11034" s="1" t="s">
        <v>958</v>
      </c>
      <c r="B11034" s="0" t="s">
        <v>456</v>
      </c>
      <c r="C11034" s="30" t="n">
        <f aca="false">Sens!C11032</f>
        <v>816.666666666667</v>
      </c>
      <c r="D11034" s="30" t="n">
        <f aca="false">Sens!D11032-Sens!C11032</f>
        <v>1233.33333333333</v>
      </c>
      <c r="E11034" s="30" t="n">
        <f aca="false">Sens!E11032-Sens!D11032</f>
        <v>2450</v>
      </c>
      <c r="F11034" s="30" t="n">
        <f aca="false">Sens!F11032-Sens!E11032</f>
        <v>4200.89183333333</v>
      </c>
      <c r="G11034" s="30" t="n">
        <f aca="false">Sens!G11032-Sens!F11032</f>
        <v>4544.22516666667</v>
      </c>
      <c r="H11034" s="30" t="n">
        <f aca="false">Sens!H11032-Sens!G11032</f>
        <v>4544.22516666667</v>
      </c>
      <c r="I11034" s="30" t="n">
        <f aca="false">Sens!I11032-Sens!H11032</f>
        <v>3219.97686611111</v>
      </c>
      <c r="J11034" s="30" t="n">
        <f aca="false">Sens!J11032-Sens!I11032</f>
        <v>1960.12810287778</v>
      </c>
      <c r="K11034" s="30" t="n">
        <f aca="false">Sens!K11032-Sens!J11032</f>
        <v>726.883414069667</v>
      </c>
    </row>
    <row r="11035" customFormat="false" ht="17.15" hidden="false" customHeight="false" outlineLevel="0" collapsed="false">
      <c r="A11035" s="1" t="s">
        <v>959</v>
      </c>
      <c r="B11035" s="0" t="s">
        <v>456</v>
      </c>
      <c r="D11035" s="30" t="n">
        <f aca="false">Sens!D11029-Sens!C11029</f>
        <v>990</v>
      </c>
      <c r="E11035" s="30" t="n">
        <f aca="false">Sens!E11029-Sens!D11029</f>
        <v>1620</v>
      </c>
      <c r="F11035" s="30" t="n">
        <f aca="false">Sens!F11029-Sens!E11029</f>
        <v>2726.5351</v>
      </c>
      <c r="G11035" s="30" t="n">
        <f aca="false">Sens!G11029-Sens!F11029</f>
        <v>2726.5351</v>
      </c>
      <c r="H11035" s="30" t="n">
        <f aca="false">Sens!H11029-Sens!G11029</f>
        <v>2726.5351</v>
      </c>
      <c r="I11035" s="30" t="n">
        <f aca="false">Sens!I11029-Sens!H11029</f>
        <v>1931.98611966667</v>
      </c>
      <c r="J11035" s="30" t="n">
        <f aca="false">Sens!J11029-Sens!I11029</f>
        <v>1176.07686172667</v>
      </c>
      <c r="K11035" s="30" t="n">
        <f aca="false">Sens!K11029-Sens!J11029</f>
        <v>436.130048441799</v>
      </c>
    </row>
    <row r="11036" customFormat="false" ht="17.15" hidden="false" customHeight="false" outlineLevel="0" collapsed="false">
      <c r="A11036" s="1" t="s">
        <v>960</v>
      </c>
      <c r="B11036" s="0" t="s">
        <v>456</v>
      </c>
      <c r="F11036" s="30" t="n">
        <f aca="false">Sens!F11055*ext_sh</f>
        <v>0</v>
      </c>
      <c r="G11036" s="30" t="n">
        <f aca="false">Sens!G11055*ext_sh</f>
        <v>0</v>
      </c>
      <c r="H11036" s="30" t="n">
        <f aca="false">Sens!H11055*ext_sh</f>
        <v>0</v>
      </c>
      <c r="I11036" s="30" t="n">
        <f aca="false">Sens!I11055*ext_sh</f>
        <v>490</v>
      </c>
      <c r="J11036" s="30" t="n">
        <f aca="false">Sens!J11055*ext_sh</f>
        <v>740</v>
      </c>
      <c r="K11036" s="30" t="n">
        <f aca="false">Sens!K11055*ext_sh</f>
        <v>1470</v>
      </c>
      <c r="L11036" s="1" t="s">
        <v>961</v>
      </c>
    </row>
    <row r="11037" customFormat="false" ht="17.15" hidden="false" customHeight="false" outlineLevel="0" collapsed="false">
      <c r="A11037" s="1" t="s">
        <v>962</v>
      </c>
      <c r="B11037" s="0" t="s">
        <v>456</v>
      </c>
      <c r="C11037" s="30" t="n">
        <f aca="false">mix_h*Sens!C11029</f>
        <v>128</v>
      </c>
      <c r="D11037" s="30" t="n">
        <f aca="false">mix_h*Sens!D11029</f>
        <v>326</v>
      </c>
      <c r="E11037" s="30" t="n">
        <f aca="false">mix_h*Sens!E11029</f>
        <v>650</v>
      </c>
      <c r="F11037" s="30" t="n">
        <f aca="false">Sens!E11037-Sens!F11036*mix_h</f>
        <v>650</v>
      </c>
      <c r="G11037" s="30" t="n">
        <f aca="false">Sens!F11037-Sens!G11036*mix_h</f>
        <v>650</v>
      </c>
      <c r="H11037" s="30" t="n">
        <f aca="false">Sens!G11037-Sens!H11036*mix_h</f>
        <v>650</v>
      </c>
      <c r="I11037" s="30" t="n">
        <f aca="false">Sens!H11037-Sens!I11036*mix_h</f>
        <v>552</v>
      </c>
      <c r="J11037" s="30" t="n">
        <f aca="false">Sens!I11037-Sens!J11036*mix_h</f>
        <v>404</v>
      </c>
      <c r="K11037" s="30" t="n">
        <f aca="false">Sens!J11037-Sens!K11036*mix_h</f>
        <v>110</v>
      </c>
    </row>
    <row r="11038" customFormat="false" ht="17.15" hidden="false" customHeight="false" outlineLevel="0" collapsed="false">
      <c r="A11038" s="1" t="s">
        <v>963</v>
      </c>
      <c r="B11038" s="0" t="s">
        <v>456</v>
      </c>
      <c r="C11038" s="30" t="n">
        <f aca="false">mix_g2*Sens!C11029</f>
        <v>288</v>
      </c>
      <c r="D11038" s="30" t="n">
        <f aca="false">mix_g2*Sens!D11029</f>
        <v>733.5</v>
      </c>
      <c r="E11038" s="30" t="n">
        <f aca="false">mix_g2*Sens!E11029</f>
        <v>1462.5</v>
      </c>
      <c r="F11038" s="30" t="n">
        <f aca="false">Sens!E11038-Sens!F11036*mix_g2</f>
        <v>1462.5</v>
      </c>
      <c r="G11038" s="30" t="n">
        <f aca="false">Sens!F11038-Sens!G11036*mix_g2</f>
        <v>1462.5</v>
      </c>
      <c r="H11038" s="30" t="n">
        <f aca="false">Sens!G11038-Sens!H11036*mix_g2</f>
        <v>1462.5</v>
      </c>
      <c r="I11038" s="30" t="n">
        <f aca="false">Sens!H11038-Sens!I11036*mix_g2</f>
        <v>1242</v>
      </c>
      <c r="J11038" s="30" t="n">
        <f aca="false">Sens!I11038-Sens!J11036*mix_g2</f>
        <v>909</v>
      </c>
      <c r="K11038" s="30" t="n">
        <f aca="false">Sens!J11038-Sens!K11036*mix_g2</f>
        <v>247.5</v>
      </c>
    </row>
    <row r="11039" customFormat="false" ht="17.15" hidden="false" customHeight="false" outlineLevel="0" collapsed="false">
      <c r="A11039" s="1" t="s">
        <v>964</v>
      </c>
      <c r="B11039" s="0" t="s">
        <v>456</v>
      </c>
      <c r="C11039" s="30" t="n">
        <f aca="false">mix_g3*Sens!C11029</f>
        <v>224</v>
      </c>
      <c r="D11039" s="30" t="n">
        <f aca="false">mix_g3*Sens!D11029</f>
        <v>570.5</v>
      </c>
      <c r="E11039" s="30" t="n">
        <f aca="false">mix_g3*Sens!E11029</f>
        <v>1137.5</v>
      </c>
      <c r="F11039" s="30" t="n">
        <f aca="false">Sens!E11039+(Sens!F11035+Sens!F11036)*(a_g3_27-nonnv*a_mai)-Sens!F11036*mix_g3</f>
        <v>2773.42106</v>
      </c>
      <c r="G11039" s="30" t="n">
        <f aca="false">Sens!F11039+(Sens!G11035+Sens!G11036)*(a_g3_28-nonnv*a_mai)-Sens!G11036*mix_g3</f>
        <v>3318.72808</v>
      </c>
      <c r="H11039" s="30" t="n">
        <f aca="false">Sens!G11039+(Sens!H11035+Sens!H11036)*(a_g3_29-nonnv*a_mai)-Sens!H11036*mix_g3</f>
        <v>3318.72808</v>
      </c>
      <c r="I11039" s="30" t="n">
        <f aca="false">Sens!H11039+(Sens!I11035+Sens!I11036)*(a_g3_29-nonnv*a_mai)-Sens!I11036*mix_g3</f>
        <v>3147.22808</v>
      </c>
      <c r="J11039" s="30" t="n">
        <f aca="false">Sens!I11039+(Sens!J11035+Sens!J11036)*(a_g3_29-nonnv*a_mai)-Sens!J11036*mix_g3</f>
        <v>2888.22808</v>
      </c>
      <c r="K11039" s="30" t="n">
        <f aca="false">Sens!J11039+(Sens!K11035+Sens!K11036)*(a_g3_29-nonnv*a_mai)-Sens!K11036*mix_g3</f>
        <v>2373.72808</v>
      </c>
    </row>
    <row r="11040" customFormat="false" ht="17.15" hidden="false" customHeight="false" outlineLevel="0" collapsed="false">
      <c r="A11040" s="1" t="s">
        <v>965</v>
      </c>
      <c r="B11040" s="0" t="s">
        <v>456</v>
      </c>
      <c r="C11040" s="30" t="n">
        <v>0</v>
      </c>
      <c r="D11040" s="30" t="n">
        <v>0</v>
      </c>
      <c r="E11040" s="30" t="n">
        <v>0</v>
      </c>
      <c r="F11040" s="30" t="n">
        <f aca="false">Sens!E11040+(Sens!F11035+Sens!F11036)*nonnv*a_mai</f>
        <v>272.65351</v>
      </c>
      <c r="G11040" s="30" t="n">
        <f aca="false">Sens!F11040+(Sens!G11035+Sens!G11036)*nonnv*a_mai</f>
        <v>545.30702</v>
      </c>
      <c r="H11040" s="30" t="n">
        <f aca="false">Sens!G11040+(Sens!H11035+Sens!H11036)*nonnv*a_mai</f>
        <v>817.96053</v>
      </c>
      <c r="I11040" s="30" t="n">
        <f aca="false">Sens!H11040+(Sens!I11035+Sens!I11036)*nonnv*a_mai</f>
        <v>1060.15914196667</v>
      </c>
      <c r="J11040" s="30" t="n">
        <f aca="false">Sens!I11040+(Sens!J11035+Sens!J11036)*nonnv*a_mai</f>
        <v>1251.76682813933</v>
      </c>
      <c r="K11040" s="30" t="n">
        <f aca="false">Sens!J11040+(Sens!K11035+Sens!K11036)*nonnv*a_mai</f>
        <v>1442.37983298351</v>
      </c>
      <c r="L11040" s="12" t="s">
        <v>966</v>
      </c>
    </row>
    <row r="11041" customFormat="false" ht="17.15" hidden="false" customHeight="false" outlineLevel="0" collapsed="false">
      <c r="A11041" s="1" t="s">
        <v>967</v>
      </c>
      <c r="B11041" s="0" t="s">
        <v>456</v>
      </c>
      <c r="C11041" s="30" t="n">
        <v>0</v>
      </c>
      <c r="D11041" s="30" t="n">
        <v>0</v>
      </c>
      <c r="E11041" s="30" t="n">
        <v>0</v>
      </c>
      <c r="F11041" s="30" t="n">
        <f aca="false">Sens!E11041+(Sens!F11035+Sens!F11036)*(1-a_g3_27)</f>
        <v>817.96053</v>
      </c>
      <c r="G11041" s="30" t="n">
        <f aca="false">Sens!F11041+(Sens!G11035+Sens!G11036)*(1-a_g3_28)</f>
        <v>2726.5351</v>
      </c>
      <c r="H11041" s="30" t="n">
        <f aca="false">Sens!G11041+(Sens!H11035+Sens!H11036)*(1-a_g3_29)</f>
        <v>5180.41669</v>
      </c>
      <c r="I11041" s="30" t="n">
        <f aca="false">Sens!H11041+(Sens!I11035+Sens!I11036)*(1-a_g3_29)</f>
        <v>7360.2041977</v>
      </c>
      <c r="J11041" s="30" t="n">
        <f aca="false">Sens!I11041+(Sens!J11035+Sens!J11036)*(1-a_g3_29)</f>
        <v>9084.673373254</v>
      </c>
      <c r="K11041" s="30" t="n">
        <f aca="false">Sens!J11041+(Sens!K11035+Sens!K11036)*(1-a_g3_29)</f>
        <v>10800.1904168516</v>
      </c>
    </row>
    <row r="11042" customFormat="false" ht="17.15" hidden="false" customHeight="false" outlineLevel="0" collapsed="false">
      <c r="A11042" s="1" t="s">
        <v>968</v>
      </c>
      <c r="B11042" s="0" t="s">
        <v>403</v>
      </c>
      <c r="C11042" s="15" t="n">
        <f aca="false">(Sens!C11037*tk_hold_h100+Sens!C11038*tk_hold_gb200+Sens!C11039*tk_hold_gb300+Sens!C11041*tk_hold_vr200+Sens!C11040*nv_hold_mai*tk_hold_vr200)/Sens!C11029</f>
        <v>9.7235358126469</v>
      </c>
      <c r="D11042" s="15" t="n">
        <f aca="false">(Sens!D11037*tk_hold_h100+Sens!D11038*tk_hold_gb200+Sens!D11039*tk_hold_gb300+Sens!D11041*tk_hold_vr200+Sens!D11040*nv_hold_mai*tk_hold_vr200)/Sens!D11029</f>
        <v>9.7235358126469</v>
      </c>
      <c r="E11042" s="15" t="n">
        <f aca="false">(Sens!E11037*tk_hold_h100+Sens!E11038*tk_hold_gb200+Sens!E11039*tk_hold_gb300+Sens!E11041*tk_hold_vr200+Sens!E11040*nv_hold_mai*tk_hold_vr200)/Sens!E11029</f>
        <v>9.7235358126469</v>
      </c>
      <c r="F11042" s="15" t="n">
        <f aca="false">(Sens!F11037*tk_hold_h100+Sens!F11038*tk_hold_gb200+Sens!F11039*tk_hold_gb300+Sens!F11041*tk_hold_vr200+Sens!F11040*nv_hold_mai*tk_hold_vr200)/Sens!F11029</f>
        <v>10.2195353876665</v>
      </c>
      <c r="G11042" s="15" t="n">
        <f aca="false">(Sens!G11037*tk_hold_h100+Sens!G11038*tk_hold_gb200+Sens!G11039*tk_hold_gb300+Sens!G11041*tk_hold_vr200+Sens!G11040*nv_hold_mai*tk_hold_vr200)/Sens!G11029</f>
        <v>10.5725598017306</v>
      </c>
      <c r="H11042" s="15" t="n">
        <f aca="false">(Sens!H11037*tk_hold_h100+Sens!H11038*tk_hold_gb200+Sens!H11039*tk_hold_gb300+Sens!H11041*tk_hold_vr200+Sens!H11040*nv_hold_mai*tk_hold_vr200)/Sens!H11029</f>
        <v>10.8210427149036</v>
      </c>
      <c r="I11042" s="15" t="n">
        <f aca="false">(Sens!I11037*tk_hold_h100+Sens!I11038*tk_hold_gb200+Sens!I11039*tk_hold_gb300+Sens!I11041*tk_hold_vr200+Sens!I11040*nv_hold_mai*tk_hold_vr200)/Sens!I11029</f>
        <v>11.0050618241982</v>
      </c>
      <c r="J11042" s="15" t="n">
        <f aca="false">(Sens!J11037*tk_hold_h100+Sens!J11038*tk_hold_gb200+Sens!J11039*tk_hold_gb300+Sens!J11041*tk_hold_vr200+Sens!J11040*nv_hold_mai*tk_hold_vr200)/Sens!J11029</f>
        <v>11.1505789658881</v>
      </c>
      <c r="K11042" s="15" t="n">
        <f aca="false">(Sens!K11037*tk_hold_h100+Sens!K11038*tk_hold_gb200+Sens!K11039*tk_hold_gb300+Sens!K11041*tk_hold_vr200+Sens!K11040*nv_hold_mai*tk_hold_vr200)/Sens!K11029</f>
        <v>11.3496914757183</v>
      </c>
      <c r="L11042" s="1" t="s">
        <v>969</v>
      </c>
    </row>
    <row r="11043" customFormat="false" ht="17.15" hidden="false" customHeight="false" outlineLevel="0" collapsed="false">
      <c r="A11043" s="1" t="s">
        <v>970</v>
      </c>
      <c r="B11043" s="0" t="s">
        <v>403</v>
      </c>
      <c r="C11043" s="15" t="n">
        <f aca="false">(Sens!C11037*tk_hold_h100+Sens!C11038*tk_hold_gb200+Sens!C11039*tk_hold_gb300+Sens!C11041*tk_hold_vr200+Sens!C11040*nv_out_mai*tk_hold_vr200)/Sens!C11029</f>
        <v>9.7235358126469</v>
      </c>
      <c r="D11043" s="15" t="n">
        <f aca="false">(Sens!D11037*tk_hold_h100+Sens!D11038*tk_hold_gb200+Sens!D11039*tk_hold_gb300+Sens!D11041*tk_hold_vr200+Sens!D11040*nv_out_mai*tk_hold_vr200)/Sens!D11029</f>
        <v>9.7235358126469</v>
      </c>
      <c r="E11043" s="15" t="n">
        <f aca="false">(Sens!E11037*tk_hold_h100+Sens!E11038*tk_hold_gb200+Sens!E11039*tk_hold_gb300+Sens!E11041*tk_hold_vr200+Sens!E11040*nv_out_mai*tk_hold_vr200)/Sens!E11029</f>
        <v>9.7235358126469</v>
      </c>
      <c r="F11043" s="15" t="n">
        <f aca="false">(Sens!F11037*tk_hold_h100+Sens!F11038*tk_hold_gb200+Sens!F11039*tk_hold_gb300+Sens!F11041*tk_hold_vr200+Sens!F11040*nv_out_mai*tk_hold_vr200)/Sens!F11029</f>
        <v>10.247422093969</v>
      </c>
      <c r="G11043" s="15" t="n">
        <f aca="false">(Sens!G11037*tk_hold_h100+Sens!G11038*tk_hold_gb200+Sens!G11039*tk_hold_gb300+Sens!G11041*tk_hold_vr200+Sens!G11040*nv_out_mai*tk_hold_vr200)/Sens!G11029</f>
        <v>10.6108602808053</v>
      </c>
      <c r="H11043" s="15" t="n">
        <f aca="false">(Sens!H11037*tk_hold_h100+Sens!H11038*tk_hold_gb200+Sens!H11039*tk_hold_gb300+Sens!H11041*tk_hold_vr200+Sens!H11040*nv_out_mai*tk_hold_vr200)/Sens!H11029</f>
        <v>10.8647885507393</v>
      </c>
      <c r="I11043" s="15" t="n">
        <f aca="false">(Sens!I11037*tk_hold_h100+Sens!I11038*tk_hold_gb200+Sens!I11039*tk_hold_gb300+Sens!I11041*tk_hold_vr200+Sens!I11040*nv_out_mai*tk_hold_vr200)/Sens!I11029</f>
        <v>11.0535625770025</v>
      </c>
      <c r="J11043" s="15" t="n">
        <f aca="false">(Sens!J11037*tk_hold_h100+Sens!J11038*tk_hold_gb200+Sens!J11039*tk_hold_gb300+Sens!J11041*tk_hold_vr200+Sens!J11040*nv_out_mai*tk_hold_vr200)/Sens!J11029</f>
        <v>11.2032127128058</v>
      </c>
      <c r="K11043" s="15" t="n">
        <f aca="false">(Sens!K11037*tk_hold_h100+Sens!K11038*tk_hold_gb200+Sens!K11039*tk_hold_gb300+Sens!K11041*tk_hold_vr200+Sens!K11040*nv_out_mai*tk_hold_vr200)/Sens!K11029</f>
        <v>11.4085735724225</v>
      </c>
      <c r="L11043" s="12" t="s">
        <v>971</v>
      </c>
    </row>
    <row r="11044" customFormat="false" ht="17.15" hidden="false" customHeight="false" outlineLevel="0" collapsed="false">
      <c r="A11044" s="0" t="s">
        <v>972</v>
      </c>
      <c r="B11044" s="0" t="s">
        <v>229</v>
      </c>
      <c r="C11044" s="15" t="n">
        <f aca="false">k_B</f>
        <v>1.17213932619116</v>
      </c>
      <c r="D11044" s="15" t="n">
        <f aca="false">k_B</f>
        <v>1.17213932619116</v>
      </c>
      <c r="E11044" s="15" t="n">
        <f aca="false">k_B</f>
        <v>1.17213932619116</v>
      </c>
      <c r="F11044" s="15" t="n">
        <f aca="false">(k_B+((ls_B*k_long+(1-ls_B)*k_spot)-k_B)*MIN(1,(Sens!F11027-base_fy)/k_ramp))</f>
        <v>1.17213932619116</v>
      </c>
      <c r="G11044" s="15" t="n">
        <f aca="false">(k_B+((ls_B*k_long+(1-ls_B)*k_spot)-k_B)*MIN(1,(Sens!G11027-base_fy)/k_ramp))</f>
        <v>1.17213932619116</v>
      </c>
      <c r="H11044" s="15" t="n">
        <f aca="false">(k_B+((ls_B*k_long+(1-ls_B)*k_spot)-k_B)*MIN(1,(Sens!H11027-base_fy)/k_ramp))</f>
        <v>1.17213932619116</v>
      </c>
      <c r="I11044" s="15" t="n">
        <f aca="false">(k_B+((ls_B*k_long+(1-ls_B)*k_spot)-k_B)*MIN(1,(Sens!I11027-base_fy)/k_ramp))</f>
        <v>1.17213932619116</v>
      </c>
      <c r="J11044" s="15" t="n">
        <f aca="false">(k_B+((ls_B*k_long+(1-ls_B)*k_spot)-k_B)*MIN(1,(Sens!J11027-base_fy)/k_ramp))</f>
        <v>1.17213932619116</v>
      </c>
      <c r="K11044" s="15" t="n">
        <f aca="false">(k_B+((ls_B*k_long+(1-ls_B)*k_spot)-k_B)*MIN(1,(Sens!K11027-base_fy)/k_ramp))</f>
        <v>1.17213932619116</v>
      </c>
      <c r="L11044" s="1" t="s">
        <v>973</v>
      </c>
    </row>
    <row r="11045" customFormat="false" ht="17.15" hidden="false" customHeight="false" outlineLevel="0" collapsed="false">
      <c r="A11045" s="1" t="s">
        <v>974</v>
      </c>
      <c r="B11045" s="0" t="s">
        <v>403</v>
      </c>
      <c r="C11045" s="15" t="n">
        <f aca="false">Sens!C11043*Sens!C11044*chip_f</f>
        <v>11.3973387156315</v>
      </c>
      <c r="D11045" s="15" t="n">
        <f aca="false">Sens!D11043*Sens!D11044*chip_f</f>
        <v>11.3973387156315</v>
      </c>
      <c r="E11045" s="15" t="n">
        <f aca="false">Sens!E11043*Sens!E11044*chip_f</f>
        <v>11.3973387156315</v>
      </c>
      <c r="F11045" s="15" t="n">
        <f aca="false">Sens!F11043*Sens!F11044*chip_f</f>
        <v>12.0114064284211</v>
      </c>
      <c r="G11045" s="15" t="n">
        <f aca="false">Sens!G11043*Sens!G11044*chip_f</f>
        <v>12.4374066198516</v>
      </c>
      <c r="H11045" s="15" t="n">
        <f aca="false">Sens!H11043*Sens!H11044*chip_f</f>
        <v>12.735045931073</v>
      </c>
      <c r="I11045" s="15" t="n">
        <f aca="false">Sens!I11043*Sens!I11044*chip_f</f>
        <v>12.9563153910195</v>
      </c>
      <c r="J11045" s="15" t="n">
        <f aca="false">Sens!J11043*Sens!J11044*chip_f</f>
        <v>13.1317262003643</v>
      </c>
      <c r="K11045" s="15" t="n">
        <f aca="false">Sens!K11043*Sens!K11044*chip_f</f>
        <v>13.3724377399815</v>
      </c>
      <c r="L11045" s="1" t="s">
        <v>975</v>
      </c>
    </row>
    <row r="11046" customFormat="false" ht="17.15" hidden="false" customHeight="false" outlineLevel="0" collapsed="false">
      <c r="A11046" s="0" t="s">
        <v>976</v>
      </c>
      <c r="B11046" s="0" t="s">
        <v>98</v>
      </c>
      <c r="D11046" s="6" t="n">
        <f aca="false">(Sens!C11029+Sens!D11029)/2*Sens!D11045/1000</f>
        <v>12.9359794422418</v>
      </c>
      <c r="E11046" s="6" t="n">
        <f aca="false">(Sens!D11029+Sens!E11029)/2*Sens!E11045/1000</f>
        <v>27.8095064661409</v>
      </c>
      <c r="F11046" s="6" t="n">
        <f aca="false">(Sens!E11029+Sens!F11029)/2*Sens!F11045/1000</f>
        <v>55.4118315060966</v>
      </c>
      <c r="G11046" s="6" t="n">
        <f aca="false">(Sens!F11029+Sens!G11029)/2*Sens!G11045/1000</f>
        <v>91.2881100675143</v>
      </c>
      <c r="H11046" s="6" t="n">
        <f aca="false">(Sens!G11029+Sens!H11029)/2*Sens!H11045/1000</f>
        <v>128.195273603944</v>
      </c>
      <c r="I11046" s="6" t="n">
        <f aca="false">(Sens!H11029+Sens!I11029)/2*Sens!I11045/1000</f>
        <v>160.601281810405</v>
      </c>
      <c r="J11046" s="6" t="n">
        <f aca="false">(Sens!I11029+Sens!J11029)/2*Sens!J11045/1000</f>
        <v>183.182719793589</v>
      </c>
      <c r="K11046" s="6" t="n">
        <f aca="false">(Sens!J11029+Sens!K11029)/2*Sens!K11045/1000</f>
        <v>197.320124937098</v>
      </c>
      <c r="L11046" s="12" t="s">
        <v>977</v>
      </c>
    </row>
    <row r="11047" customFormat="false" ht="17.15" hidden="false" customHeight="false" outlineLevel="0" collapsed="false">
      <c r="A11047" s="1" t="s">
        <v>978</v>
      </c>
      <c r="B11047" s="0" t="s">
        <v>403</v>
      </c>
      <c r="C11047" s="15" t="n">
        <f aca="false">(Sens!C11037*tk_opex_h100+Sens!C11038*tk_opex_gb200+Sens!C11039*tk_opex_gb300+(Sens!C11041+Sens!C11040)*tk_opex_vr200)/Sens!C11029</f>
        <v>1.88636041306092</v>
      </c>
      <c r="D11047" s="15" t="n">
        <f aca="false">(Sens!D11037*tk_opex_h100+Sens!D11038*tk_opex_gb200+Sens!D11039*tk_opex_gb300+(Sens!D11041+Sens!D11040)*tk_opex_vr200)/Sens!D11029</f>
        <v>1.88636041306092</v>
      </c>
      <c r="E11047" s="15" t="n">
        <f aca="false">(Sens!E11037*tk_opex_h100+Sens!E11038*tk_opex_gb200+Sens!E11039*tk_opex_gb300+(Sens!E11041+Sens!E11040)*tk_opex_vr200)/Sens!E11029</f>
        <v>1.88636041306092</v>
      </c>
      <c r="F11047" s="15" t="n">
        <f aca="false">(Sens!F11037*tk_opex_h100+Sens!F11038*tk_opex_gb200+Sens!F11039*tk_opex_gb300+(Sens!F11041+Sens!F11040)*tk_opex_vr200)/Sens!F11029</f>
        <v>1.95051159746876</v>
      </c>
      <c r="G11047" s="15" t="n">
        <f aca="false">(Sens!G11037*tk_opex_h100+Sens!G11038*tk_opex_gb200+Sens!G11039*tk_opex_gb300+(Sens!G11041+Sens!G11040)*tk_opex_vr200)/Sens!G11029</f>
        <v>1.98836003669956</v>
      </c>
      <c r="H11047" s="15" t="n">
        <f aca="false">(Sens!H11037*tk_opex_h100+Sens!H11038*tk_opex_gb200+Sens!H11039*tk_opex_gb300+(Sens!H11041+Sens!H11040)*tk_opex_vr200)/Sens!H11029</f>
        <v>2.01344013834343</v>
      </c>
      <c r="I11047" s="15" t="n">
        <f aca="false">(Sens!I11037*tk_opex_h100+Sens!I11038*tk_opex_gb200+Sens!I11039*tk_opex_gb300+(Sens!I11041+Sens!I11040)*tk_opex_vr200)/Sens!I11029</f>
        <v>2.03261166882178</v>
      </c>
      <c r="J11047" s="15" t="n">
        <f aca="false">(Sens!J11037*tk_opex_h100+Sens!J11038*tk_opex_gb200+Sens!J11039*tk_opex_gb300+(Sens!J11041+Sens!J11040)*tk_opex_vr200)/Sens!J11029</f>
        <v>2.04808073288745</v>
      </c>
      <c r="K11047" s="15" t="n">
        <f aca="false">(Sens!K11037*tk_opex_h100+Sens!K11038*tk_opex_gb200+Sens!K11039*tk_opex_gb300+(Sens!K11041+Sens!K11040)*tk_opex_vr200)/Sens!K11029</f>
        <v>2.06973825807449</v>
      </c>
      <c r="L11047" s="12" t="s">
        <v>979</v>
      </c>
    </row>
    <row r="11048" customFormat="false" ht="17.15" hidden="false" customHeight="false" outlineLevel="0" collapsed="false">
      <c r="A11048" s="0" t="s">
        <v>980</v>
      </c>
      <c r="B11048" s="0" t="s">
        <v>98</v>
      </c>
      <c r="D11048" s="6" t="n">
        <f aca="false">(Sens!C11032+Sens!D11032)/2*Sens!D11047/1000</f>
        <v>2.70378325872065</v>
      </c>
      <c r="E11048" s="6" t="n">
        <f aca="false">(Sens!D11032+Sens!E11032)/2*Sens!E11047/1000</f>
        <v>6.17783035277451</v>
      </c>
      <c r="F11048" s="6" t="n">
        <f aca="false">(Sens!E11032+Sens!F11032)/2*Sens!F11047/1000</f>
        <v>12.8742463089237</v>
      </c>
      <c r="G11048" s="6" t="n">
        <f aca="false">(Sens!F11032+Sens!G11032)/2*Sens!G11047/1000</f>
        <v>21.8182834646277</v>
      </c>
      <c r="H11048" s="6" t="n">
        <f aca="false">(Sens!G11032+Sens!H11032)/2*Sens!H11047/1000</f>
        <v>31.2430128789734</v>
      </c>
      <c r="I11048" s="6" t="n">
        <f aca="false">(Sens!H11032+Sens!I11032)/2*Sens!I11047/1000</f>
        <v>39.4313057443268</v>
      </c>
      <c r="J11048" s="6" t="n">
        <f aca="false">(Sens!I11032+Sens!J11032)/2*Sens!J11047/1000</f>
        <v>45.0360318228653</v>
      </c>
      <c r="K11048" s="6" t="n">
        <f aca="false">(Sens!J11032+Sens!K11032)/2*Sens!K11047/1000</f>
        <v>48.2929727091156</v>
      </c>
    </row>
    <row r="11049" customFormat="false" ht="17.15" hidden="false" customHeight="false" outlineLevel="0" collapsed="false">
      <c r="A11049" s="0" t="s">
        <v>981</v>
      </c>
      <c r="B11049" s="0" t="s">
        <v>98</v>
      </c>
      <c r="D11049" s="6" t="n">
        <f aca="false">(Sens!C11030+Sens!D11030)/2*rent_mw/1000</f>
        <v>2.44475</v>
      </c>
      <c r="E11049" s="6" t="n">
        <f aca="false">(Sens!D11030+Sens!E11030)/2*rent_mw/1000</f>
        <v>4.22275</v>
      </c>
      <c r="F11049" s="6" t="n">
        <f aca="false">(Sens!E11030+Sens!F11030)/2*rent_mw/1000</f>
        <v>5.80517</v>
      </c>
      <c r="G11049" s="6" t="n">
        <f aca="false">(Sens!F11030+Sens!G11030)/2*rent_mw/1000</f>
        <v>6.72084</v>
      </c>
      <c r="H11049" s="6" t="n">
        <f aca="false">(Sens!G11030+Sens!H11030)/2*rent_mw/1000</f>
        <v>6.72084</v>
      </c>
      <c r="I11049" s="6" t="n">
        <f aca="false">(Sens!H11030+Sens!I11030)/2*rent_mw/1000</f>
        <v>6.72084</v>
      </c>
      <c r="J11049" s="6" t="n">
        <f aca="false">(Sens!I11030+Sens!J11030)/2*rent_mw/1000</f>
        <v>6.72084</v>
      </c>
      <c r="K11049" s="6" t="n">
        <f aca="false">(Sens!J11030+Sens!K11030)/2*rent_mw/1000</f>
        <v>6.72084</v>
      </c>
    </row>
    <row r="11050" customFormat="false" ht="17.15" hidden="false" customHeight="false" outlineLevel="0" collapsed="false">
      <c r="A11050" s="0" t="s">
        <v>982</v>
      </c>
      <c r="B11050" s="0" t="s">
        <v>98</v>
      </c>
      <c r="D11050" s="6" t="n">
        <f aca="false">(Sens!C11032+Sens!D11032)/2*(1-self_build)*fac_rent/1000</f>
        <v>0.853242375631075</v>
      </c>
      <c r="E11050" s="6" t="n">
        <f aca="false">(Sens!D11032+Sens!E11032)/2*(1-self_build)*fac_rent/1000</f>
        <v>1.94955961408728</v>
      </c>
      <c r="F11050" s="6" t="n">
        <f aca="false">(Sens!E11032+Sens!F11032)/2*(1-self_build)*fac_rent/1000</f>
        <v>3.92914894476356</v>
      </c>
      <c r="G11050" s="6" t="n">
        <f aca="false">(Sens!F11032+Sens!G11032)/2*(1-self_build)*fac_rent/1000</f>
        <v>6.53206908578159</v>
      </c>
      <c r="H11050" s="6" t="n">
        <f aca="false">(Sens!G11032+Sens!H11032)/2*(1-self_build)*fac_rent/1000</f>
        <v>9.23717988341591</v>
      </c>
      <c r="I11050" s="6" t="n">
        <f aca="false">(Sens!H11032+Sens!I11032)/2*(1-self_build)*fac_rent/1000</f>
        <v>11.5481378557393</v>
      </c>
      <c r="J11050" s="6" t="n">
        <f aca="false">(Sens!I11032+Sens!J11032)/2*(1-self_build)*fac_rent/1000</f>
        <v>13.0899582289108</v>
      </c>
      <c r="K11050" s="6" t="n">
        <f aca="false">(Sens!J11032+Sens!K11032)/2*(1-self_build)*fac_rent/1000</f>
        <v>13.8897275626556</v>
      </c>
      <c r="L11050" s="12" t="s">
        <v>983</v>
      </c>
    </row>
    <row r="11051" customFormat="false" ht="17.15" hidden="false" customHeight="false" outlineLevel="0" collapsed="false">
      <c r="A11051" s="1" t="s">
        <v>984</v>
      </c>
      <c r="B11051" s="0" t="s">
        <v>168</v>
      </c>
      <c r="D11051" s="7" t="n">
        <f aca="false">(Sens!C11031+Sens!D11031)/(Sens!C11032+Sens!D11032)</f>
        <v>0.6</v>
      </c>
      <c r="E11051" s="7" t="n">
        <f aca="false">(Sens!D11031+Sens!E11031)/(Sens!D11032+Sens!E11032)</f>
        <v>0.6</v>
      </c>
      <c r="F11051" s="7" t="n">
        <f aca="false">(Sens!E11031+Sens!F11031)/(Sens!E11032+Sens!F11032)</f>
        <v>0.6</v>
      </c>
      <c r="G11051" s="7" t="n">
        <f aca="false">(Sens!F11031+Sens!G11031)/(Sens!F11032+Sens!G11032)</f>
        <v>0.6</v>
      </c>
      <c r="H11051" s="7" t="n">
        <f aca="false">(Sens!G11031+Sens!H11031)/(Sens!G11032+Sens!H11032)</f>
        <v>0.6</v>
      </c>
      <c r="I11051" s="7" t="n">
        <f aca="false">(Sens!H11031+Sens!I11031)/(Sens!H11032+Sens!I11032)</f>
        <v>0.6</v>
      </c>
      <c r="J11051" s="7" t="n">
        <f aca="false">(Sens!I11031+Sens!J11031)/(Sens!I11032+Sens!J11032)</f>
        <v>0.6</v>
      </c>
      <c r="K11051" s="7" t="n">
        <f aca="false">(Sens!J11031+Sens!K11031)/(Sens!J11032+Sens!K11032)</f>
        <v>0.6</v>
      </c>
    </row>
    <row r="11052" customFormat="false" ht="17.15" hidden="false" customHeight="false" outlineLevel="0" collapsed="false">
      <c r="A11052" s="0" t="s">
        <v>985</v>
      </c>
      <c r="B11052" s="0" t="s">
        <v>98</v>
      </c>
      <c r="D11052" s="6" t="n">
        <f aca="false">Sens!D11046-Sens!D11051*(Sens!D11048+Sens!D11050)-Sens!D11049</f>
        <v>8.35701406163072</v>
      </c>
      <c r="E11052" s="6" t="n">
        <f aca="false">Sens!E11046-Sens!E11051*(Sens!E11048+Sens!E11050)-Sens!E11049</f>
        <v>18.7103224860238</v>
      </c>
      <c r="F11052" s="6" t="n">
        <f aca="false">Sens!F11046-Sens!F11051*(Sens!F11048+Sens!F11050)-Sens!F11049</f>
        <v>39.5246243538843</v>
      </c>
      <c r="G11052" s="6" t="n">
        <f aca="false">Sens!G11046-Sens!G11051*(Sens!G11048+Sens!G11050)-Sens!G11049</f>
        <v>67.5570585372687</v>
      </c>
      <c r="H11052" s="6" t="n">
        <f aca="false">Sens!H11046-Sens!H11051*(Sens!H11048+Sens!H11050)-Sens!H11049</f>
        <v>97.1863179465102</v>
      </c>
      <c r="I11052" s="6" t="n">
        <f aca="false">Sens!I11046-Sens!I11051*(Sens!I11048+Sens!I11050)-Sens!I11049</f>
        <v>123.292775650365</v>
      </c>
      <c r="J11052" s="6" t="n">
        <f aca="false">Sens!J11046-Sens!J11051*(Sens!J11048+Sens!J11050)-Sens!J11049</f>
        <v>141.586285762524</v>
      </c>
      <c r="K11052" s="6" t="n">
        <f aca="false">Sens!K11046-Sens!K11051*(Sens!K11048+Sens!K11050)-Sens!K11049</f>
        <v>153.289664774035</v>
      </c>
    </row>
    <row r="11053" customFormat="false" ht="17.15" hidden="false" customHeight="false" outlineLevel="0" collapsed="false">
      <c r="A11053" s="1" t="s">
        <v>986</v>
      </c>
      <c r="B11053" s="0" t="s">
        <v>98</v>
      </c>
      <c r="D11053" s="6" t="n">
        <f aca="false">(1-Sens!D11051)*(Sens!D11048+Sens!D11050)</f>
        <v>1.42281025374069</v>
      </c>
      <c r="E11053" s="6" t="n">
        <f aca="false">(1-Sens!E11051)*(Sens!E11048+Sens!E11050)</f>
        <v>3.25095598674472</v>
      </c>
      <c r="F11053" s="6" t="n">
        <f aca="false">(1-Sens!F11051)*(Sens!F11048+Sens!F11050)</f>
        <v>6.72135810147489</v>
      </c>
      <c r="G11053" s="6" t="n">
        <f aca="false">(1-Sens!G11051)*(Sens!G11048+Sens!G11050)</f>
        <v>11.3401410201637</v>
      </c>
      <c r="H11053" s="6" t="n">
        <f aca="false">(1-Sens!H11051)*(Sens!H11048+Sens!H11050)</f>
        <v>16.1920771049557</v>
      </c>
      <c r="I11053" s="6" t="n">
        <f aca="false">(1-Sens!I11051)*(Sens!I11048+Sens!I11050)</f>
        <v>20.3917774400264</v>
      </c>
      <c r="J11053" s="6" t="n">
        <f aca="false">(1-Sens!J11051)*(Sens!J11048+Sens!J11050)</f>
        <v>23.2503960207104</v>
      </c>
      <c r="K11053" s="6" t="n">
        <f aca="false">(1-Sens!K11051)*(Sens!K11048+Sens!K11050)</f>
        <v>24.8730801087085</v>
      </c>
    </row>
    <row r="11054" customFormat="false" ht="17.15" hidden="false" customHeight="false" outlineLevel="0" collapsed="false">
      <c r="A11054" s="1" t="s">
        <v>987</v>
      </c>
      <c r="B11054" s="0" t="s">
        <v>414</v>
      </c>
      <c r="C11054" s="8" t="n">
        <f aca="false">cxit_open</f>
        <v>27.5918995</v>
      </c>
      <c r="D11054" s="8" t="n">
        <f aca="false">cxit_open</f>
        <v>27.5918995</v>
      </c>
      <c r="E11054" s="8" t="n">
        <f aca="false">cxit_open</f>
        <v>27.5918995</v>
      </c>
      <c r="F11054" s="8" t="n">
        <f aca="false">((a_g3_27-nonnv*a_mai)*tk_cxit_gb300+nonnv*a_mai*nv_hold_mai*tk_cxit_vr200+(1-a_g3_27)*tk_cxit_vr200)</f>
        <v>32.4975576</v>
      </c>
      <c r="G11054" s="8" t="n">
        <f aca="false">((a_g3_28-nonnv*a_mai)*tk_cxit_gb300+nonnv*a_mai*nv_hold_mai*tk_cxit_vr200+(1-a_g3_28)*tk_cxit_vr200)</f>
        <v>34.6372088</v>
      </c>
      <c r="H11054" s="8" t="n">
        <f aca="false">((a_g3_29-nonnv*a_mai)*tk_cxit_gb300+nonnv*a_mai*nv_hold_mai*tk_cxit_vr200+(1-a_g3_29)*tk_cxit_vr200)</f>
        <v>35.7070344</v>
      </c>
      <c r="I11054" s="8" t="n">
        <f aca="false">((a_g3_29-nonnv*a_mai)*tk_cxit_gb300+nonnv*a_mai*nv_hold_mai*tk_cxit_vr200+(1-a_g3_29)*tk_cxit_vr200)</f>
        <v>35.7070344</v>
      </c>
      <c r="J11054" s="8" t="n">
        <f aca="false">((a_g3_29-nonnv*a_mai)*tk_cxit_gb300+nonnv*a_mai*nv_hold_mai*tk_cxit_vr200+(1-a_g3_29)*tk_cxit_vr200)</f>
        <v>35.7070344</v>
      </c>
      <c r="K11054" s="8" t="n">
        <f aca="false">((a_g3_29-nonnv*a_mai)*tk_cxit_gb300+nonnv*a_mai*nv_hold_mai*tk_cxit_vr200+(1-a_g3_29)*tk_cxit_vr200)</f>
        <v>35.7070344</v>
      </c>
      <c r="L11054" s="12" t="s">
        <v>988</v>
      </c>
    </row>
    <row r="11055" customFormat="false" ht="17.15" hidden="false" customHeight="false" outlineLevel="0" collapsed="false">
      <c r="A11055" s="0" t="s">
        <v>989</v>
      </c>
      <c r="B11055" s="0" t="s">
        <v>456</v>
      </c>
      <c r="F11055" s="30" t="n">
        <f aca="false">Sens!C11034*IF(Sens!F11027-Sens!C11027=life_it,1,0)+Sens!D11034*IF(Sens!F11027-Sens!D11027=life_it,1,0)+Sens!E11034*IF(Sens!F11027-Sens!E11027=life_it,1,0)</f>
        <v>0</v>
      </c>
      <c r="G11055" s="30" t="n">
        <f aca="false">Sens!C11034*IF(Sens!G11027-Sens!C11027=life_it,1,0)+Sens!D11034*IF(Sens!G11027-Sens!D11027=life_it,1,0)+Sens!E11034*IF(Sens!G11027-Sens!E11027=life_it,1,0)+Sens!F11034*IF(Sens!G11027-Sens!F11027=life_it,1,0)</f>
        <v>0</v>
      </c>
      <c r="H11055" s="30" t="n">
        <f aca="false">Sens!C11034*IF(Sens!H11027-Sens!C11027=life_it,1,0)+Sens!D11034*IF(Sens!H11027-Sens!D11027=life_it,1,0)+Sens!E11034*IF(Sens!H11027-Sens!E11027=life_it,1,0)+Sens!F11034*IF(Sens!H11027-Sens!F11027=life_it,1,0)+Sens!G11034*IF(Sens!H11027-Sens!G11027=life_it,1,0)</f>
        <v>0</v>
      </c>
      <c r="I11055" s="30" t="n">
        <f aca="false">Sens!C11034*IF(Sens!I11027-Sens!C11027=life_it,1,0)+Sens!D11034*IF(Sens!I11027-Sens!D11027=life_it,1,0)+Sens!E11034*IF(Sens!I11027-Sens!E11027=life_it,1,0)+Sens!F11034*IF(Sens!I11027-Sens!F11027=life_it,1,0)+Sens!G11034*IF(Sens!I11027-Sens!G11027=life_it,1,0)+Sens!H11034*IF(Sens!I11027-Sens!H11027=life_it,1,0)</f>
        <v>816.666666666667</v>
      </c>
      <c r="J11055" s="30" t="n">
        <f aca="false">Sens!C11034*IF(Sens!J11027-Sens!C11027=life_it,1,0)+Sens!D11034*IF(Sens!J11027-Sens!D11027=life_it,1,0)+Sens!E11034*IF(Sens!J11027-Sens!E11027=life_it,1,0)+Sens!F11034*IF(Sens!J11027-Sens!F11027=life_it,1,0)+Sens!G11034*IF(Sens!J11027-Sens!G11027=life_it,1,0)+Sens!H11034*IF(Sens!J11027-Sens!H11027=life_it,1,0)+Sens!I11034*IF(Sens!J11027-Sens!I11027=life_it,1,0)</f>
        <v>1233.33333333333</v>
      </c>
      <c r="K11055" s="30" t="n">
        <f aca="false">Sens!C11034*IF(Sens!K11027-Sens!C11027=life_it,1,0)+Sens!D11034*IF(Sens!K11027-Sens!D11027=life_it,1,0)+Sens!E11034*IF(Sens!K11027-Sens!E11027=life_it,1,0)+Sens!F11034*IF(Sens!K11027-Sens!F11027=life_it,1,0)+Sens!G11034*IF(Sens!K11027-Sens!G11027=life_it,1,0)+Sens!H11034*IF(Sens!K11027-Sens!H11027=life_it,1,0)+Sens!I11034*IF(Sens!K11027-Sens!I11027=life_it,1,0)+Sens!J11034*IF(Sens!K11027-Sens!J11027=life_it,1,0)</f>
        <v>2450</v>
      </c>
      <c r="L11055" s="1" t="s">
        <v>990</v>
      </c>
    </row>
    <row r="11056" customFormat="false" ht="17.15" hidden="false" customHeight="false" outlineLevel="0" collapsed="false">
      <c r="A11056" s="0" t="s">
        <v>991</v>
      </c>
      <c r="B11056" s="0" t="s">
        <v>98</v>
      </c>
      <c r="C11056" s="6" t="n">
        <f aca="false">Sens!C11034*Sens!C11054/1000</f>
        <v>22.5333845916667</v>
      </c>
      <c r="D11056" s="6" t="n">
        <f aca="false">Sens!D11034*Sens!D11054/1000</f>
        <v>34.0300093833333</v>
      </c>
      <c r="E11056" s="6" t="n">
        <f aca="false">Sens!E11034*Sens!E11054/1000</f>
        <v>67.600153775</v>
      </c>
      <c r="F11056" s="6" t="n">
        <f aca="false">(Sens!F11034+Sens!F11055)*Sens!F11054/1000</f>
        <v>136.51872432512</v>
      </c>
      <c r="G11056" s="6" t="n">
        <f aca="false">(Sens!G11034+Sens!G11055)*Sens!G11054/1000</f>
        <v>157.399275932048</v>
      </c>
      <c r="H11056" s="6" t="n">
        <f aca="false">(Sens!H11034+Sens!H11055)*Sens!H11054/1000</f>
        <v>162.260804347512</v>
      </c>
      <c r="I11056" s="6" t="n">
        <f aca="false">(Sens!I11034+Sens!I11055)*Sens!I11054/1000</f>
        <v>144.136569485434</v>
      </c>
      <c r="J11056" s="6" t="n">
        <f aca="false">(Sens!J11034+Sens!J11055)*Sens!J11054/1000</f>
        <v>114.029037357864</v>
      </c>
      <c r="K11056" s="6" t="n">
        <f aca="false">(Sens!K11034+Sens!K11055)*Sens!K11054/1000</f>
        <v>113.437085350975</v>
      </c>
    </row>
    <row r="11057" customFormat="false" ht="17.15" hidden="false" customHeight="false" outlineLevel="0" collapsed="false">
      <c r="A11057" s="0" t="s">
        <v>992</v>
      </c>
      <c r="B11057" s="0" t="s">
        <v>98</v>
      </c>
      <c r="C11057" s="6" t="n">
        <f aca="false">Sens!C11034*self_build*tk_cxfac/1000</f>
        <v>6.2083</v>
      </c>
      <c r="D11057" s="6" t="n">
        <f aca="false">Sens!D11034*self_build*tk_cxfac/1000</f>
        <v>9.3758</v>
      </c>
      <c r="E11057" s="6" t="n">
        <f aca="false">Sens!E11034*self_build*tk_cxfac/1000</f>
        <v>18.6249</v>
      </c>
      <c r="F11057" s="6" t="n">
        <f aca="false">Sens!F11034*self_build*tk_cxfac/1000</f>
        <v>31.935179717</v>
      </c>
      <c r="G11057" s="6" t="n">
        <f aca="false">Sens!G11034*self_build*tk_cxfac/1000</f>
        <v>34.545199717</v>
      </c>
      <c r="H11057" s="6" t="n">
        <f aca="false">Sens!H11034*self_build*tk_cxfac/1000</f>
        <v>34.545199717</v>
      </c>
      <c r="I11057" s="6" t="n">
        <f aca="false">Sens!I11034*self_build*tk_cxfac/1000</f>
        <v>24.4782641361767</v>
      </c>
      <c r="J11057" s="6" t="n">
        <f aca="false">Sens!J11034*self_build*tk_cxfac/1000</f>
        <v>14.9008938380769</v>
      </c>
      <c r="K11057" s="6" t="n">
        <f aca="false">Sens!K11034*self_build*tk_cxfac/1000</f>
        <v>5.52576771375761</v>
      </c>
    </row>
    <row r="11058" customFormat="false" ht="17.15" hidden="false" customHeight="false" outlineLevel="0" collapsed="false">
      <c r="A11058" s="0" t="s">
        <v>993</v>
      </c>
      <c r="B11058" s="0" t="s">
        <v>98</v>
      </c>
      <c r="F11058" s="15" t="n">
        <f aca="false">capex_floor27-Sens!F11056-Sens!F11057-Sens!F11154</f>
        <v>-0.00753774134232543</v>
      </c>
      <c r="L11058" s="12" t="s">
        <v>994</v>
      </c>
    </row>
    <row r="11059" customFormat="false" ht="17.15" hidden="false" customHeight="false" outlineLevel="0" collapsed="false">
      <c r="A11059" s="0" t="s">
        <v>995</v>
      </c>
      <c r="B11059" s="0" t="s">
        <v>98</v>
      </c>
      <c r="F11059" s="6" t="n">
        <f aca="false">MAX(0,Sens!F11058)</f>
        <v>0</v>
      </c>
    </row>
    <row r="11060" customFormat="false" ht="17.15" hidden="false" customHeight="false" outlineLevel="0" collapsed="false">
      <c r="A11060" s="0" t="s">
        <v>996</v>
      </c>
      <c r="B11060" s="0" t="s">
        <v>98</v>
      </c>
      <c r="C11060" s="6" t="n">
        <f aca="false">Sens!C11056</f>
        <v>22.5333845916667</v>
      </c>
      <c r="D11060" s="6" t="n">
        <f aca="false">Sens!D11056</f>
        <v>34.0300093833333</v>
      </c>
      <c r="E11060" s="6" t="n">
        <f aca="false">Sens!E11056</f>
        <v>67.600153775</v>
      </c>
      <c r="F11060" s="6" t="n">
        <f aca="false">Sens!F11056</f>
        <v>136.51872432512</v>
      </c>
      <c r="G11060" s="6" t="n">
        <f aca="false">Sens!G11056</f>
        <v>157.399275932048</v>
      </c>
      <c r="H11060" s="6" t="n">
        <f aca="false">Sens!H11056</f>
        <v>162.260804347512</v>
      </c>
      <c r="I11060" s="6" t="n">
        <f aca="false">Sens!I11056</f>
        <v>144.136569485434</v>
      </c>
      <c r="J11060" s="6" t="n">
        <f aca="false">Sens!J11056</f>
        <v>114.029037357864</v>
      </c>
      <c r="K11060" s="6" t="n">
        <f aca="false">Sens!K11056</f>
        <v>113.437085350975</v>
      </c>
    </row>
    <row r="11061" customFormat="false" ht="17.15" hidden="false" customHeight="false" outlineLevel="0" collapsed="false">
      <c r="A11061" s="0" t="s">
        <v>997</v>
      </c>
      <c r="B11061" s="0" t="s">
        <v>98</v>
      </c>
      <c r="C11061" s="6" t="n">
        <f aca="false">Sens!C11060+Sens!C11057</f>
        <v>28.7416845916667</v>
      </c>
      <c r="D11061" s="6" t="n">
        <f aca="false">Sens!D11060+Sens!D11057</f>
        <v>43.4058093833333</v>
      </c>
      <c r="E11061" s="6" t="n">
        <f aca="false">Sens!E11060+Sens!E11057</f>
        <v>86.225053775</v>
      </c>
      <c r="F11061" s="6" t="n">
        <f aca="false">Sens!F11060+Sens!F11057</f>
        <v>168.45390404212</v>
      </c>
      <c r="G11061" s="6" t="n">
        <f aca="false">Sens!G11060+Sens!G11057</f>
        <v>191.944475649048</v>
      </c>
      <c r="H11061" s="6" t="n">
        <f aca="false">Sens!H11060+Sens!H11057</f>
        <v>196.806004064512</v>
      </c>
      <c r="I11061" s="6" t="n">
        <f aca="false">Sens!I11060+Sens!I11057</f>
        <v>168.61483362161</v>
      </c>
      <c r="J11061" s="6" t="n">
        <f aca="false">Sens!J11060+Sens!J11057</f>
        <v>128.92993119594</v>
      </c>
      <c r="K11061" s="6" t="n">
        <f aca="false">Sens!K11060+Sens!K11057</f>
        <v>118.962853064733</v>
      </c>
      <c r="L11061" s="12" t="s">
        <v>998</v>
      </c>
    </row>
    <row r="11062" customFormat="false" ht="17.15" hidden="false" customHeight="false" outlineLevel="0" collapsed="false">
      <c r="A11062" s="0" t="s">
        <v>999</v>
      </c>
      <c r="B11062" s="0" t="s">
        <v>98</v>
      </c>
      <c r="E11062" s="6" t="n">
        <f aca="false">(Sens!C11060*IF(2&lt;life_it,1,IF(2=life_it,0.5,0))+Sens!D11060*IF(1&lt;life_it,1,IF(1=life_it,0.5,0))+Sens!E11060*0.5)/life_it</f>
        <v>15.0605784770833</v>
      </c>
      <c r="F11062" s="6" t="n">
        <f aca="false">(Sens!C11060*IF(3&lt;life_it,1,IF(3=life_it,0.5,0))+Sens!D11060*IF(2&lt;life_it,1,IF(2=life_it,0.5,0))+Sens!E11060*IF(1&lt;life_it,1,IF(1=life_it,0.5,0))+Sens!F11060*0.5)/life_it</f>
        <v>32.0704849854266</v>
      </c>
      <c r="G11062" s="6" t="n">
        <f aca="false">(Sens!C11060*IF(4&lt;life_it,1,IF(4=life_it,0.5,0))+Sens!D11060*IF(3&lt;life_it,1,IF(3=life_it,0.5,0))+Sens!E11060*IF(2&lt;life_it,1,IF(2=life_it,0.5,0))+Sens!F11060*IF(1&lt;life_it,1,IF(1=life_it,0.5,0))+Sens!G11060*0.5)/life_it</f>
        <v>56.5636516735239</v>
      </c>
      <c r="H11062" s="6" t="n">
        <f aca="false">(Sens!C11060*IF(5&lt;life_it,1,IF(5=life_it,0.5,0))+Sens!D11060*IF(4&lt;life_it,1,IF(4=life_it,0.5,0))+Sens!E11060*IF(3&lt;life_it,1,IF(3=life_it,0.5,0))+Sens!F11060*IF(2&lt;life_it,1,IF(2=life_it,0.5,0))+Sens!G11060*IF(1&lt;life_it,1,IF(1=life_it,0.5,0))+Sens!H11060*0.5)/life_it</f>
        <v>83.2019916968207</v>
      </c>
      <c r="I11062" s="6" t="n">
        <f aca="false">(Sens!C11060*IF(6&lt;life_it,1,IF(6=life_it,0.5,0))+Sens!D11060*IF(5&lt;life_it,1,IF(5=life_it,0.5,0))+Sens!E11060*IF(4&lt;life_it,1,IF(4=life_it,0.5,0))+Sens!F11060*IF(3&lt;life_it,1,IF(3=life_it,0.5,0))+Sens!G11060*IF(2&lt;life_it,1,IF(2=life_it,0.5,0))+Sens!H11060*IF(1&lt;life_it,1,IF(1=life_it,0.5,0))+Sens!I11060*0.5)/life_it</f>
        <v>106.857324133594</v>
      </c>
      <c r="J11062" s="6" t="n">
        <f aca="false">(Sens!C11060*IF(7&lt;life_it,1,IF(7=life_it,0.5,0))+Sens!D11060*IF(6&lt;life_it,1,IF(6=life_it,0.5,0))+Sens!E11060*IF(5&lt;life_it,1,IF(5=life_it,0.5,0))+Sens!F11060*IF(4&lt;life_it,1,IF(4=life_it,0.5,0))+Sens!G11060*IF(3&lt;life_it,1,IF(3=life_it,0.5,0))+Sens!H11060*IF(2&lt;life_it,1,IF(2=life_it,0.5,0))+Sens!I11060*IF(1&lt;life_it,1,IF(1=life_it,0.5,0))+Sens!J11060*0.5)/life_it</f>
        <v>123.657508539285</v>
      </c>
      <c r="K11062" s="6" t="n">
        <f aca="false">(Sens!C11060*IF(8&lt;life_it,1,IF(8=life_it,0.5,0))+Sens!D11060*IF(7&lt;life_it,1,IF(7=life_it,0.5,0))+Sens!E11060*IF(6&lt;life_it,1,IF(6=life_it,0.5,0))+Sens!F11060*IF(5&lt;life_it,1,IF(5=life_it,0.5,0))+Sens!G11060*IF(4&lt;life_it,1,IF(4=life_it,0.5,0))+Sens!H11060*IF(3&lt;life_it,1,IF(3=life_it,0.5,0))+Sens!I11060*IF(2&lt;life_it,1,IF(2=life_it,0.5,0))+Sens!J11060*IF(1&lt;life_it,1,IF(1=life_it,0.5,0))+Sens!K11060*0.5)/life_it</f>
        <v>134.143838501827</v>
      </c>
    </row>
    <row r="11063" customFormat="false" ht="17.15" hidden="false" customHeight="false" outlineLevel="0" collapsed="false">
      <c r="A11063" s="0" t="s">
        <v>1000</v>
      </c>
      <c r="B11063" s="0" t="s">
        <v>98</v>
      </c>
      <c r="E11063" s="6" t="n">
        <f aca="false">(Sens!C11057*IF(2&lt;life_fac,1,IF(2=life_fac,0.5,0))+Sens!D11057*IF(1&lt;life_fac,1,IF(1=life_fac,0.5,0))+Sens!E11057*0.5)/life_fac</f>
        <v>1.2448275</v>
      </c>
      <c r="F11063" s="6" t="n">
        <f aca="false">(Sens!C11057*IF(3&lt;life_fac,1,IF(3=life_fac,0.5,0))+Sens!D11057*IF(2&lt;life_fac,1,IF(2=life_fac,0.5,0))+Sens!E11057*IF(1&lt;life_fac,1,IF(1=life_fac,0.5,0))+Sens!F11057*0.5)/life_fac</f>
        <v>2.508829492925</v>
      </c>
      <c r="G11063" s="6" t="n">
        <f aca="false">(Sens!C11057*IF(4&lt;life_fac,1,IF(4=life_fac,0.5,0))+Sens!D11057*IF(3&lt;life_fac,1,IF(3=life_fac,0.5,0))+Sens!E11057*IF(2&lt;life_fac,1,IF(2=life_fac,0.5,0))+Sens!F11057*IF(1&lt;life_fac,1,IF(1=life_fac,0.5,0))+Sens!G11057*0.5)/life_fac</f>
        <v>4.170838978775</v>
      </c>
      <c r="H11063" s="6" t="n">
        <f aca="false">(Sens!C11057*IF(5&lt;life_fac,1,IF(5=life_fac,0.5,0))+Sens!D11057*IF(4&lt;life_fac,1,IF(4=life_fac,0.5,0))+Sens!E11057*IF(3&lt;life_fac,1,IF(3=life_fac,0.5,0))+Sens!F11057*IF(2&lt;life_fac,1,IF(2=life_fac,0.5,0))+Sens!G11057*IF(1&lt;life_fac,1,IF(1=life_fac,0.5,0))+Sens!H11057*0.5)/life_fac</f>
        <v>5.898098964625</v>
      </c>
      <c r="I11063" s="6" t="n">
        <f aca="false">(Sens!C11057*IF(6&lt;life_fac,1,IF(6=life_fac,0.5,0))+Sens!D11057*IF(5&lt;life_fac,1,IF(5=life_fac,0.5,0))+Sens!E11057*IF(4&lt;life_fac,1,IF(4=life_fac,0.5,0))+Sens!F11057*IF(3&lt;life_fac,1,IF(3=life_fac,0.5,0))+Sens!G11057*IF(2&lt;life_fac,1,IF(2=life_fac,0.5,0))+Sens!H11057*IF(1&lt;life_fac,1,IF(1=life_fac,0.5,0))+Sens!I11057*0.5)/life_fac</f>
        <v>7.37368556095442</v>
      </c>
      <c r="J11063" s="6" t="n">
        <f aca="false">(Sens!C11057*IF(7&lt;life_fac,1,IF(7=life_fac,0.5,0))+Sens!D11057*IF(6&lt;life_fac,1,IF(6=life_fac,0.5,0))+Sens!E11057*IF(5&lt;life_fac,1,IF(5=life_fac,0.5,0))+Sens!F11057*IF(4&lt;life_fac,1,IF(4=life_fac,0.5,0))+Sens!G11057*IF(3&lt;life_fac,1,IF(3=life_fac,0.5,0))+Sens!H11057*IF(2&lt;life_fac,1,IF(2=life_fac,0.5,0))+Sens!I11057*IF(1&lt;life_fac,1,IF(1=life_fac,0.5,0))+Sens!J11057*0.5)/life_fac</f>
        <v>8.35816451031075</v>
      </c>
      <c r="K11063" s="6" t="n">
        <f aca="false">(Sens!C11057*IF(8&lt;life_fac,1,IF(8=life_fac,0.5,0))+Sens!D11057*IF(7&lt;life_fac,1,IF(7=life_fac,0.5,0))+Sens!E11057*IF(6&lt;life_fac,1,IF(6=life_fac,0.5,0))+Sens!F11057*IF(5&lt;life_fac,1,IF(5=life_fac,0.5,0))+Sens!G11057*IF(4&lt;life_fac,1,IF(4=life_fac,0.5,0))+Sens!H11057*IF(3&lt;life_fac,1,IF(3=life_fac,0.5,0))+Sens!I11057*IF(2&lt;life_fac,1,IF(2=life_fac,0.5,0))+Sens!J11057*IF(1&lt;life_fac,1,IF(1=life_fac,0.5,0))+Sens!K11057*0.5)/life_fac</f>
        <v>8.86883104910662</v>
      </c>
    </row>
    <row r="11064" customFormat="false" ht="17.15" hidden="false" customHeight="false" outlineLevel="0" collapsed="false">
      <c r="A11064" s="0" t="s">
        <v>1001</v>
      </c>
      <c r="B11064" s="0" t="s">
        <v>98</v>
      </c>
      <c r="E11064" s="6" t="n">
        <f aca="false">Sens!E11062+Sens!E11063</f>
        <v>16.3054059770833</v>
      </c>
      <c r="F11064" s="6" t="n">
        <f aca="false">Sens!F11062+Sens!F11063</f>
        <v>34.5793144783516</v>
      </c>
      <c r="G11064" s="6" t="n">
        <f aca="false">Sens!G11062+Sens!G11063</f>
        <v>60.7344906522989</v>
      </c>
      <c r="H11064" s="6" t="n">
        <f aca="false">Sens!H11062+Sens!H11063</f>
        <v>89.1000906614457</v>
      </c>
      <c r="I11064" s="6" t="n">
        <f aca="false">Sens!I11062+Sens!I11063</f>
        <v>114.231009694548</v>
      </c>
      <c r="J11064" s="6" t="n">
        <f aca="false">Sens!J11062+Sens!J11063</f>
        <v>132.015673049596</v>
      </c>
      <c r="K11064" s="6" t="n">
        <f aca="false">Sens!K11062+Sens!K11063</f>
        <v>143.012669550934</v>
      </c>
    </row>
    <row r="11065" customFormat="false" ht="17.15" hidden="false" customHeight="false" outlineLevel="0" collapsed="false">
      <c r="A11065" s="0" t="s">
        <v>1002</v>
      </c>
      <c r="B11065" s="0" t="s">
        <v>98</v>
      </c>
      <c r="E11065" s="6" t="n">
        <f aca="false">Sens!E11052-Sens!E11051*Sens!E11064</f>
        <v>8.92707889977379</v>
      </c>
      <c r="F11065" s="6" t="n">
        <f aca="false">Sens!F11052-Sens!F11051*Sens!F11064</f>
        <v>18.7770356668733</v>
      </c>
      <c r="G11065" s="6" t="n">
        <f aca="false">Sens!G11052-Sens!G11051*Sens!G11064</f>
        <v>31.1163641458894</v>
      </c>
      <c r="H11065" s="6" t="n">
        <f aca="false">Sens!H11052-Sens!H11051*Sens!H11064</f>
        <v>43.7262635496428</v>
      </c>
      <c r="I11065" s="6" t="n">
        <f aca="false">Sens!I11052-Sens!I11051*Sens!I11064</f>
        <v>54.7541698336361</v>
      </c>
      <c r="J11065" s="6" t="n">
        <f aca="false">Sens!J11052-Sens!J11051*Sens!J11064</f>
        <v>62.3768819327658</v>
      </c>
      <c r="K11065" s="6" t="n">
        <f aca="false">Sens!K11052-Sens!K11051*Sens!K11064</f>
        <v>67.4820630434748</v>
      </c>
    </row>
    <row r="11066" customFormat="false" ht="17.15" hidden="false" customHeight="false" outlineLevel="0" collapsed="false">
      <c r="A11066" s="3" t="s">
        <v>1756</v>
      </c>
    </row>
    <row r="11067" customFormat="false" ht="15" hidden="false" customHeight="false" outlineLevel="0" collapsed="false">
      <c r="A11067" s="4" t="s">
        <v>43</v>
      </c>
      <c r="B11067" s="4" t="s">
        <v>65</v>
      </c>
      <c r="C11067" s="23" t="s">
        <v>938</v>
      </c>
      <c r="D11067" s="23" t="s">
        <v>939</v>
      </c>
      <c r="E11067" s="23" t="s">
        <v>940</v>
      </c>
      <c r="F11067" s="23" t="s">
        <v>941</v>
      </c>
      <c r="G11067" s="23" t="s">
        <v>942</v>
      </c>
      <c r="H11067" s="23" t="s">
        <v>943</v>
      </c>
      <c r="I11067" s="23" t="s">
        <v>944</v>
      </c>
      <c r="J11067" s="23" t="s">
        <v>945</v>
      </c>
      <c r="K11067" s="23" t="s">
        <v>946</v>
      </c>
      <c r="L11067" s="4" t="s">
        <v>47</v>
      </c>
    </row>
    <row r="11068" customFormat="false" ht="17.15" hidden="false" customHeight="false" outlineLevel="0" collapsed="false">
      <c r="A11068" s="0" t="s">
        <v>1021</v>
      </c>
      <c r="B11068" s="0" t="s">
        <v>98</v>
      </c>
      <c r="D11068" s="6" t="n">
        <f aca="false">Sens!D11046</f>
        <v>12.9359794422418</v>
      </c>
      <c r="E11068" s="6" t="n">
        <f aca="false">Sens!E11046</f>
        <v>27.8095064661409</v>
      </c>
      <c r="F11068" s="6" t="n">
        <f aca="false">Sens!F11046</f>
        <v>55.4118315060966</v>
      </c>
      <c r="G11068" s="6" t="n">
        <f aca="false">Sens!G11046</f>
        <v>91.2881100675143</v>
      </c>
      <c r="H11068" s="6" t="n">
        <f aca="false">Sens!H11046</f>
        <v>128.195273603944</v>
      </c>
      <c r="I11068" s="6" t="n">
        <f aca="false">Sens!I11046</f>
        <v>160.601281810405</v>
      </c>
      <c r="J11068" s="6" t="n">
        <f aca="false">Sens!J11046</f>
        <v>183.182719793589</v>
      </c>
      <c r="K11068" s="6" t="n">
        <f aca="false">Sens!K11046</f>
        <v>197.320124937098</v>
      </c>
    </row>
    <row r="11069" customFormat="false" ht="17.15" hidden="false" customHeight="false" outlineLevel="0" collapsed="false">
      <c r="A11069" s="0" t="s">
        <v>1022</v>
      </c>
      <c r="B11069" s="0" t="s">
        <v>98</v>
      </c>
      <c r="D11069" s="6" t="n">
        <f aca="false">Q!L6-Sens!D11068</f>
        <v>59.6740205577583</v>
      </c>
      <c r="E11069" s="6" t="n">
        <f aca="false">Q!M6-Sens!E11068</f>
        <v>74.1284935338591</v>
      </c>
      <c r="F11069" s="6" t="n">
        <f aca="false">Q!$I$6+(Sens!F11068+Sens!E11069*(1+Sens!F11070))*(1-Q!$E$6/Q!M6)-Sens!F11068</f>
        <v>91.2972164940844</v>
      </c>
      <c r="G11069" s="6" t="n">
        <f aca="false">Sens!F11069*(1+Sens!G11070)</f>
        <v>108.474719793879</v>
      </c>
      <c r="H11069" s="6" t="n">
        <f aca="false">Sens!G11069*(1+Sens!H11070)</f>
        <v>125.951292505701</v>
      </c>
      <c r="I11069" s="6" t="n">
        <f aca="false">Sens!H11069*(1+Sens!I11070)</f>
        <v>142.838165154212</v>
      </c>
      <c r="J11069" s="6" t="n">
        <f aca="false">Sens!I11069*(1+Sens!J11070)</f>
        <v>158.12717866615</v>
      </c>
      <c r="K11069" s="6" t="n">
        <f aca="false">Sens!J11069*(1+Sens!K11070)</f>
        <v>170.777352959442</v>
      </c>
      <c r="L11069" s="12" t="s">
        <v>1023</v>
      </c>
    </row>
    <row r="11070" customFormat="false" ht="15" hidden="false" customHeight="false" outlineLevel="0" collapsed="false">
      <c r="A11070" s="1" t="s">
        <v>1024</v>
      </c>
      <c r="B11070" s="0" t="s">
        <v>168</v>
      </c>
      <c r="E11070" s="7" t="n">
        <f aca="false">Sens!E11069/Sens!D11069-1</f>
        <v>0.242223883039864</v>
      </c>
      <c r="F11070" s="7" t="n">
        <f aca="false">Sens!$E$11070+(glt_azo-Sens!$E$11070)*MIN(1,(Sens!F11027-base_fy)/n_conv)</f>
        <v>0.215186569199887</v>
      </c>
      <c r="G11070" s="7" t="n">
        <f aca="false">Sens!$E$11070+(glt_azo-Sens!$E$11070)*MIN(1,(Sens!G11027-base_fy)/n_conv)</f>
        <v>0.18814925535991</v>
      </c>
      <c r="H11070" s="7" t="n">
        <f aca="false">Sens!$E$11070+(glt_azo-Sens!$E$11070)*MIN(1,(Sens!H11027-base_fy)/n_conv)</f>
        <v>0.161111941519932</v>
      </c>
      <c r="I11070" s="7" t="n">
        <f aca="false">Sens!$E$11070+(glt_azo-Sens!$E$11070)*MIN(1,(Sens!I11027-base_fy)/n_conv)</f>
        <v>0.134074627679955</v>
      </c>
      <c r="J11070" s="7" t="n">
        <f aca="false">Sens!$E$11070+(glt_azo-Sens!$E$11070)*MIN(1,(Sens!J11027-base_fy)/n_conv)</f>
        <v>0.107037313839977</v>
      </c>
      <c r="K11070" s="7" t="n">
        <f aca="false">Sens!$E$11070+(glt_azo-Sens!$E$11070)*MIN(1,(Sens!K11027-base_fy)/n_conv)</f>
        <v>0.08</v>
      </c>
    </row>
    <row r="11071" customFormat="false" ht="15" hidden="false" customHeight="false" outlineLevel="0" collapsed="false">
      <c r="A11071" s="0" t="s">
        <v>1025</v>
      </c>
      <c r="B11071" s="0" t="s">
        <v>98</v>
      </c>
      <c r="D11071" s="6" t="n">
        <f aca="false">Sens!D11068+Sens!D11069</f>
        <v>72.61</v>
      </c>
      <c r="E11071" s="6" t="n">
        <f aca="false">Sens!E11068+Sens!E11069</f>
        <v>101.938</v>
      </c>
      <c r="F11071" s="6" t="n">
        <f aca="false">Sens!F11068+Sens!F11069</f>
        <v>146.709048000181</v>
      </c>
      <c r="G11071" s="6" t="n">
        <f aca="false">Sens!G11068+Sens!G11069</f>
        <v>199.762829861393</v>
      </c>
      <c r="H11071" s="6" t="n">
        <f aca="false">Sens!H11068+Sens!H11069</f>
        <v>254.146566109645</v>
      </c>
      <c r="I11071" s="6" t="n">
        <f aca="false">Sens!I11068+Sens!I11069</f>
        <v>303.439446964617</v>
      </c>
      <c r="J11071" s="6" t="n">
        <f aca="false">Sens!J11068+Sens!J11069</f>
        <v>341.309898459739</v>
      </c>
      <c r="K11071" s="6" t="n">
        <f aca="false">Sens!K11068+Sens!K11069</f>
        <v>368.09747789654</v>
      </c>
    </row>
    <row r="11072" customFormat="false" ht="17.15" hidden="false" customHeight="false" outlineLevel="0" collapsed="false">
      <c r="A11072" s="0" t="s">
        <v>1026</v>
      </c>
      <c r="B11072" s="1" t="s">
        <v>610</v>
      </c>
      <c r="C11072" s="30" t="n">
        <f aca="false">cop_s24</f>
        <v>1</v>
      </c>
      <c r="D11072" s="30" t="n">
        <f aca="false">cop_s25</f>
        <v>5</v>
      </c>
      <c r="E11072" s="30" t="n">
        <f aca="false">cop_s26</f>
        <v>30</v>
      </c>
      <c r="F11072" s="30" t="n">
        <f aca="false">Sens!E11072+cop_add_B</f>
        <v>50</v>
      </c>
      <c r="G11072" s="30" t="n">
        <f aca="false">Sens!F11072+cop_add_B</f>
        <v>70</v>
      </c>
      <c r="H11072" s="30" t="n">
        <f aca="false">Sens!G11072+cop_add_B</f>
        <v>90</v>
      </c>
      <c r="I11072" s="30" t="n">
        <f aca="false">Sens!H11072+cop_add_B*cop_tail</f>
        <v>100</v>
      </c>
      <c r="J11072" s="30" t="n">
        <f aca="false">Sens!I11072+cop_add_B*cop_tail</f>
        <v>110</v>
      </c>
      <c r="K11072" s="30" t="n">
        <f aca="false">Sens!J11072+cop_add_B*cop_tail</f>
        <v>120</v>
      </c>
      <c r="L11072" s="12" t="s">
        <v>1027</v>
      </c>
    </row>
    <row r="11073" customFormat="false" ht="17.15" hidden="false" customHeight="false" outlineLevel="0" collapsed="false">
      <c r="A11073" s="0" t="s">
        <v>1028</v>
      </c>
      <c r="B11073" s="0" t="s">
        <v>98</v>
      </c>
      <c r="D11073" s="6" t="n">
        <f aca="false">(Sens!C11072+Sens!D11072)/2*cop_px*12/1000</f>
        <v>0.9</v>
      </c>
      <c r="E11073" s="6" t="n">
        <f aca="false">(Sens!D11072+Sens!E11072)/2*cop_px*12/1000</f>
        <v>5.25</v>
      </c>
      <c r="F11073" s="6" t="n">
        <f aca="false">(Sens!E11072+Sens!F11072)/2*cop_px*12/1000</f>
        <v>12</v>
      </c>
      <c r="G11073" s="6" t="n">
        <f aca="false">(Sens!F11072+Sens!G11072)/2*cop_px*12/1000</f>
        <v>18</v>
      </c>
      <c r="H11073" s="6" t="n">
        <f aca="false">(Sens!G11072+Sens!H11072)/2*cop_px*12/1000</f>
        <v>24</v>
      </c>
      <c r="I11073" s="6" t="n">
        <f aca="false">(Sens!H11072+Sens!I11072)/2*cop_px*12/1000</f>
        <v>28.5</v>
      </c>
      <c r="J11073" s="6" t="n">
        <f aca="false">(Sens!I11072+Sens!J11072)/2*cop_px*12/1000</f>
        <v>31.5</v>
      </c>
      <c r="K11073" s="6" t="n">
        <f aca="false">(Sens!J11072+Sens!K11072)/2*cop_px*12/1000</f>
        <v>34.5</v>
      </c>
      <c r="L11073" s="1" t="s">
        <v>1029</v>
      </c>
    </row>
    <row r="11074" customFormat="false" ht="17.15" hidden="false" customHeight="false" outlineLevel="0" collapsed="false">
      <c r="A11074" s="0" t="s">
        <v>1030</v>
      </c>
      <c r="B11074" s="0" t="s">
        <v>98</v>
      </c>
      <c r="D11074" s="6" t="n">
        <f aca="false">Q!L7-Sens!D11073</f>
        <v>83.705</v>
      </c>
      <c r="E11074" s="6" t="n">
        <f aca="false">Q!M7-Sens!E11073</f>
        <v>95.049</v>
      </c>
      <c r="F11074" s="6" t="n">
        <f aca="false">Q!$I$7+(Sens!E11074*(1+Sens!F11075)+Sens!F11073)*(1-Q!$E$7/Q!M7)-Sens!F11073</f>
        <v>106.584003697747</v>
      </c>
      <c r="G11074" s="6" t="n">
        <f aca="false">Sens!F11074*(1+Sens!G11075)</f>
        <v>118.700726545688</v>
      </c>
      <c r="H11074" s="6" t="n">
        <f aca="false">Sens!G11074*(1+Sens!H11075)</f>
        <v>130.898624783666</v>
      </c>
      <c r="I11074" s="6" t="n">
        <f aca="false">Sens!H11074*(1+Sens!I11075)</f>
        <v>142.920510030657</v>
      </c>
      <c r="J11074" s="6" t="n">
        <f aca="false">Sens!I11074*(1+Sens!J11075)</f>
        <v>154.485722618572</v>
      </c>
      <c r="K11074" s="6" t="n">
        <f aca="false">Sens!J11074*(1+Sens!K11075)</f>
        <v>165.299723201872</v>
      </c>
      <c r="L11074" s="12" t="s">
        <v>1031</v>
      </c>
    </row>
    <row r="11075" customFormat="false" ht="15" hidden="false" customHeight="false" outlineLevel="0" collapsed="false">
      <c r="A11075" s="1" t="s">
        <v>1024</v>
      </c>
      <c r="B11075" s="0" t="s">
        <v>168</v>
      </c>
      <c r="E11075" s="7" t="n">
        <f aca="false">Sens!E11074/Sens!D11074-1</f>
        <v>0.135523564900544</v>
      </c>
      <c r="F11075" s="7" t="n">
        <f aca="false">Sens!$E$11075+(glt_m365b-Sens!$E$11075)*MIN(1,(Sens!F11027-base_fy)/n_conv)</f>
        <v>0.124602970750453</v>
      </c>
      <c r="G11075" s="7" t="n">
        <f aca="false">Sens!$E$11075+(glt_m365b-Sens!$E$11075)*MIN(1,(Sens!G11027-base_fy)/n_conv)</f>
        <v>0.113682376600363</v>
      </c>
      <c r="H11075" s="7" t="n">
        <f aca="false">Sens!$E$11075+(glt_m365b-Sens!$E$11075)*MIN(1,(Sens!H11027-base_fy)/n_conv)</f>
        <v>0.102761782450272</v>
      </c>
      <c r="I11075" s="7" t="n">
        <f aca="false">Sens!$E$11075+(glt_m365b-Sens!$E$11075)*MIN(1,(Sens!I11027-base_fy)/n_conv)</f>
        <v>0.0918411883001813</v>
      </c>
      <c r="J11075" s="7" t="n">
        <f aca="false">Sens!$E$11075+(glt_m365b-Sens!$E$11075)*MIN(1,(Sens!J11027-base_fy)/n_conv)</f>
        <v>0.0809205941500906</v>
      </c>
      <c r="K11075" s="7" t="n">
        <f aca="false">Sens!$E$11075+(glt_m365b-Sens!$E$11075)*MIN(1,(Sens!K11027-base_fy)/n_conv)</f>
        <v>0.07</v>
      </c>
    </row>
    <row r="11076" customFormat="false" ht="15" hidden="false" customHeight="false" outlineLevel="0" collapsed="false">
      <c r="A11076" s="0" t="s">
        <v>1032</v>
      </c>
      <c r="B11076" s="0" t="s">
        <v>98</v>
      </c>
      <c r="D11076" s="6" t="n">
        <f aca="false">Sens!D11074+Sens!D11073</f>
        <v>84.605</v>
      </c>
      <c r="E11076" s="6" t="n">
        <f aca="false">Sens!E11074+Sens!E11073</f>
        <v>100.299</v>
      </c>
      <c r="F11076" s="6" t="n">
        <f aca="false">Sens!F11074+Sens!F11073</f>
        <v>118.584003697747</v>
      </c>
      <c r="G11076" s="6" t="n">
        <f aca="false">Sens!G11074+Sens!G11073</f>
        <v>136.700726545688</v>
      </c>
      <c r="H11076" s="6" t="n">
        <f aca="false">Sens!H11074+Sens!H11073</f>
        <v>154.898624783666</v>
      </c>
      <c r="I11076" s="6" t="n">
        <f aca="false">Sens!I11074+Sens!I11073</f>
        <v>171.420510030657</v>
      </c>
      <c r="J11076" s="6" t="n">
        <f aca="false">Sens!J11074+Sens!J11073</f>
        <v>185.985722618572</v>
      </c>
      <c r="K11076" s="6" t="n">
        <f aca="false">Sens!K11074+Sens!K11073</f>
        <v>199.799723201872</v>
      </c>
    </row>
    <row r="11077" customFormat="false" ht="17.15" hidden="false" customHeight="false" outlineLevel="0" collapsed="false">
      <c r="A11077" s="0" t="s">
        <v>1033</v>
      </c>
      <c r="B11077" s="0" t="s">
        <v>98</v>
      </c>
      <c r="D11077" s="6" t="n">
        <f aca="false">Q!L8</f>
        <v>35.391</v>
      </c>
      <c r="E11077" s="6" t="n">
        <f aca="false">Q!M8</f>
        <v>37.285</v>
      </c>
      <c r="F11077" s="6" t="n">
        <f aca="false">Q!$I$8+(Q!M8-Q!$E$8)*(1+Sens!F11078)</f>
        <v>38.3851437782675</v>
      </c>
      <c r="G11077" s="6" t="n">
        <f aca="false">Sens!F11077*(1+Sens!G11078)</f>
        <v>40.0105353288615</v>
      </c>
      <c r="H11077" s="6" t="n">
        <f aca="false">Sens!G11077*(1+Sens!H11078)</f>
        <v>41.4812512033683</v>
      </c>
      <c r="I11077" s="6" t="n">
        <f aca="false">Sens!H11077*(1+Sens!I11078)</f>
        <v>42.7743107216329</v>
      </c>
      <c r="J11077" s="6" t="n">
        <f aca="false">Sens!I11077*(1+Sens!J11078)</f>
        <v>43.8687373064601</v>
      </c>
      <c r="K11077" s="6" t="n">
        <f aca="false">Sens!J11077*(1+Sens!K11078)</f>
        <v>44.7461120525893</v>
      </c>
      <c r="L11077" s="12" t="s">
        <v>1034</v>
      </c>
    </row>
    <row r="11078" customFormat="false" ht="15" hidden="false" customHeight="false" outlineLevel="0" collapsed="false">
      <c r="A11078" s="1" t="s">
        <v>1024</v>
      </c>
      <c r="B11078" s="0" t="s">
        <v>168</v>
      </c>
      <c r="E11078" s="7" t="n">
        <f aca="false">Sens!E11077/Sens!D11077-1</f>
        <v>0.0535164307309768</v>
      </c>
      <c r="F11078" s="7" t="n">
        <f aca="false">Sens!$E$11078+(glt_lic-Sens!$E$11078)*MIN(1,(Sens!F11027-base_fy)/n_conv)</f>
        <v>0.0479303589424807</v>
      </c>
      <c r="G11078" s="7" t="n">
        <f aca="false">Sens!$E$11078+(glt_lic-Sens!$E$11078)*MIN(1,(Sens!G11027-base_fy)/n_conv)</f>
        <v>0.0423442871539845</v>
      </c>
      <c r="H11078" s="7" t="n">
        <f aca="false">Sens!$E$11078+(glt_lic-Sens!$E$11078)*MIN(1,(Sens!H11027-base_fy)/n_conv)</f>
        <v>0.0367582153654884</v>
      </c>
      <c r="I11078" s="7" t="n">
        <f aca="false">Sens!$E$11078+(glt_lic-Sens!$E$11078)*MIN(1,(Sens!I11027-base_fy)/n_conv)</f>
        <v>0.0311721435769923</v>
      </c>
      <c r="J11078" s="7" t="n">
        <f aca="false">Sens!$E$11078+(glt_lic-Sens!$E$11078)*MIN(1,(Sens!J11027-base_fy)/n_conv)</f>
        <v>0.0255860717884961</v>
      </c>
      <c r="K11078" s="7" t="n">
        <f aca="false">Sens!$E$11078+(glt_lic-Sens!$E$11078)*MIN(1,(Sens!K11027-base_fy)/n_conv)</f>
        <v>0.02</v>
      </c>
    </row>
    <row r="11079" customFormat="false" ht="17.15" hidden="false" customHeight="false" outlineLevel="0" collapsed="false">
      <c r="A11079" s="0" t="s">
        <v>1035</v>
      </c>
      <c r="B11079" s="0" t="s">
        <v>98</v>
      </c>
      <c r="D11079" s="6" t="n">
        <f aca="false">Q!L9</f>
        <v>18.417</v>
      </c>
      <c r="E11079" s="6" t="n">
        <f aca="false">Q!M9</f>
        <v>20.345</v>
      </c>
      <c r="F11079" s="6" t="n">
        <f aca="false">Q!$I$9+(Q!M9-Q!$E$9)*(1+Sens!F11080)</f>
        <v>22.3161797133988</v>
      </c>
      <c r="G11079" s="6" t="n">
        <f aca="false">Sens!F11079*(1+Sens!G11080)</f>
        <v>24.3943499673233</v>
      </c>
      <c r="H11079" s="6" t="n">
        <f aca="false">Sens!G11079*(1+Sens!H11080)</f>
        <v>26.5250243109019</v>
      </c>
      <c r="I11079" s="6" t="n">
        <f aca="false">Sens!H11079*(1+Sens!I11080)</f>
        <v>28.6884573538181</v>
      </c>
      <c r="J11079" s="6" t="n">
        <f aca="false">Sens!I11079*(1+Sens!J11080)</f>
        <v>30.8624968052127</v>
      </c>
      <c r="K11079" s="6" t="n">
        <f aca="false">Sens!J11079*(1+Sens!K11080)</f>
        <v>33.0228715815776</v>
      </c>
      <c r="L11079" s="12" t="s">
        <v>1034</v>
      </c>
    </row>
    <row r="11080" customFormat="false" ht="15" hidden="false" customHeight="false" outlineLevel="0" collapsed="false">
      <c r="A11080" s="1" t="s">
        <v>1024</v>
      </c>
      <c r="B11080" s="0" t="s">
        <v>168</v>
      </c>
      <c r="E11080" s="7" t="n">
        <f aca="false">Sens!E11079/Sens!D11079-1</f>
        <v>0.104685888038225</v>
      </c>
      <c r="F11080" s="7" t="n">
        <f aca="false">Sens!$E$11080+(glt_ind-Sens!$E$11080)*MIN(1,(Sens!F11027-base_fy)/n_conv)</f>
        <v>0.0989049066985211</v>
      </c>
      <c r="G11080" s="7" t="n">
        <f aca="false">Sens!$E$11080+(glt_ind-Sens!$E$11080)*MIN(1,(Sens!G11027-base_fy)/n_conv)</f>
        <v>0.0931239253588169</v>
      </c>
      <c r="H11080" s="7" t="n">
        <f aca="false">Sens!$E$11080+(glt_ind-Sens!$E$11080)*MIN(1,(Sens!H11027-base_fy)/n_conv)</f>
        <v>0.0873429440191127</v>
      </c>
      <c r="I11080" s="7" t="n">
        <f aca="false">Sens!$E$11080+(glt_ind-Sens!$E$11080)*MIN(1,(Sens!I11027-base_fy)/n_conv)</f>
        <v>0.0815619626794085</v>
      </c>
      <c r="J11080" s="7" t="n">
        <f aca="false">Sens!$E$11080+(glt_ind-Sens!$E$11080)*MIN(1,(Sens!J11027-base_fy)/n_conv)</f>
        <v>0.0757809813397042</v>
      </c>
      <c r="K11080" s="7" t="n">
        <f aca="false">Sens!$E$11080+(glt_ind-Sens!$E$11080)*MIN(1,(Sens!K11027-base_fy)/n_conv)</f>
        <v>0.07</v>
      </c>
    </row>
    <row r="11081" customFormat="false" ht="17.15" hidden="false" customHeight="false" outlineLevel="0" collapsed="false">
      <c r="A11081" s="0" t="s">
        <v>1036</v>
      </c>
      <c r="B11081" s="0" t="s">
        <v>98</v>
      </c>
      <c r="D11081" s="6" t="n">
        <f aca="false">Q!L10</f>
        <v>7.76</v>
      </c>
      <c r="E11081" s="6" t="n">
        <f aca="false">Q!M10</f>
        <v>8.26</v>
      </c>
      <c r="F11081" s="6" t="n">
        <f aca="false">Q!$I$10+(Q!M10-Q!$E$10)*(1+Sens!F11082)</f>
        <v>8.75372082474227</v>
      </c>
      <c r="G11081" s="6" t="n">
        <f aca="false">Sens!F11081*(1+Sens!G11082)</f>
        <v>9.33399324642364</v>
      </c>
      <c r="H11081" s="6" t="n">
        <f aca="false">Sens!G11081*(1+Sens!H11082)</f>
        <v>9.96139155535851</v>
      </c>
      <c r="I11081" s="6" t="n">
        <f aca="false">Sens!H11081*(1+Sens!I11082)</f>
        <v>10.6402039077391</v>
      </c>
      <c r="J11081" s="6" t="n">
        <f aca="false">Sens!I11081*(1+Sens!J11082)</f>
        <v>11.3751458271397</v>
      </c>
      <c r="K11081" s="6" t="n">
        <f aca="false">Sens!J11081*(1+Sens!K11082)</f>
        <v>12.1714060350394</v>
      </c>
      <c r="L11081" s="12" t="s">
        <v>1034</v>
      </c>
    </row>
    <row r="11082" customFormat="false" ht="15" hidden="false" customHeight="false" outlineLevel="0" collapsed="false">
      <c r="A11082" s="1" t="s">
        <v>1024</v>
      </c>
      <c r="B11082" s="0" t="s">
        <v>168</v>
      </c>
      <c r="E11082" s="7" t="n">
        <f aca="false">Sens!E11081/Sens!D11081-1</f>
        <v>0.0644329896907216</v>
      </c>
      <c r="F11082" s="7" t="n">
        <f aca="false">Sens!$E$11082+(glt_fro-Sens!$E$11082)*MIN(1,(Sens!F11027-base_fy)/n_conv)</f>
        <v>0.065360824742268</v>
      </c>
      <c r="G11082" s="7" t="n">
        <f aca="false">Sens!$E$11082+(glt_fro-Sens!$E$11082)*MIN(1,(Sens!G11027-base_fy)/n_conv)</f>
        <v>0.0662886597938144</v>
      </c>
      <c r="H11082" s="7" t="n">
        <f aca="false">Sens!$E$11082+(glt_fro-Sens!$E$11082)*MIN(1,(Sens!H11027-base_fy)/n_conv)</f>
        <v>0.0672164948453608</v>
      </c>
      <c r="I11082" s="7" t="n">
        <f aca="false">Sens!$E$11082+(glt_fro-Sens!$E$11082)*MIN(1,(Sens!I11027-base_fy)/n_conv)</f>
        <v>0.0681443298969072</v>
      </c>
      <c r="J11082" s="7" t="n">
        <f aca="false">Sens!$E$11082+(glt_fro-Sens!$E$11082)*MIN(1,(Sens!J11027-base_fy)/n_conv)</f>
        <v>0.0690721649484536</v>
      </c>
      <c r="K11082" s="7" t="n">
        <f aca="false">Sens!$E$11082+(glt_fro-Sens!$E$11082)*MIN(1,(Sens!K11027-base_fy)/n_conv)</f>
        <v>0.07</v>
      </c>
    </row>
    <row r="11083" customFormat="false" ht="15" hidden="false" customHeight="false" outlineLevel="0" collapsed="false">
      <c r="A11083" s="0" t="s">
        <v>852</v>
      </c>
      <c r="B11083" s="0" t="s">
        <v>98</v>
      </c>
      <c r="D11083" s="6" t="n">
        <f aca="false">Sens!D11071+Sens!D11076+Sens!D11077+Sens!D11079+Sens!D11081</f>
        <v>218.783</v>
      </c>
      <c r="E11083" s="6" t="n">
        <f aca="false">Sens!E11071+Sens!E11076+Sens!E11077+Sens!E11079+Sens!E11081</f>
        <v>268.127</v>
      </c>
      <c r="F11083" s="6" t="n">
        <f aca="false">Sens!F11071+Sens!F11076+Sens!F11077+Sens!F11079+Sens!F11081</f>
        <v>334.748096014336</v>
      </c>
      <c r="G11083" s="6" t="n">
        <f aca="false">Sens!G11071+Sens!G11076+Sens!G11077+Sens!G11079+Sens!G11081</f>
        <v>410.20243494969</v>
      </c>
      <c r="H11083" s="6" t="n">
        <f aca="false">Sens!H11071+Sens!H11076+Sens!H11077+Sens!H11079+Sens!H11081</f>
        <v>487.012857962939</v>
      </c>
      <c r="I11083" s="6" t="n">
        <f aca="false">Sens!I11071+Sens!I11076+Sens!I11077+Sens!I11079+Sens!I11081</f>
        <v>556.962928978464</v>
      </c>
      <c r="J11083" s="6" t="n">
        <f aca="false">Sens!J11071+Sens!J11076+Sens!J11077+Sens!J11079+Sens!J11081</f>
        <v>613.402001017124</v>
      </c>
      <c r="K11083" s="6" t="n">
        <f aca="false">Sens!K11071+Sens!K11076+Sens!K11077+Sens!K11079+Sens!K11081</f>
        <v>657.837590767618</v>
      </c>
    </row>
    <row r="11084" customFormat="false" ht="17.15" hidden="false" customHeight="false" outlineLevel="0" collapsed="false">
      <c r="A11084" s="0" t="s">
        <v>1037</v>
      </c>
      <c r="B11084" s="0" t="s">
        <v>98</v>
      </c>
      <c r="D11084" s="6" t="n">
        <f aca="false">Q!L13</f>
        <v>22.171</v>
      </c>
      <c r="E11084" s="6" t="n">
        <f aca="false">Q!M13</f>
        <v>24.835</v>
      </c>
      <c r="F11084" s="6" t="n">
        <f aca="false">Q!$I$13+(Q!M13-Q!$E$13)*(1+Sens!F11085)</f>
        <v>27.6536545660247</v>
      </c>
      <c r="G11084" s="6" t="n">
        <f aca="false">Sens!F11084*(1+Sens!G11085)</f>
        <v>30.7906291283826</v>
      </c>
      <c r="H11084" s="6" t="n">
        <f aca="false">Sens!G11084*(1+Sens!H11085)</f>
        <v>34.1800148087432</v>
      </c>
      <c r="I11084" s="6" t="n">
        <f aca="false">Sens!H11084*(1+Sens!I11085)</f>
        <v>37.8276713738571</v>
      </c>
      <c r="J11084" s="6" t="n">
        <f aca="false">Sens!I11084*(1+Sens!J11085)</f>
        <v>41.7375203323678</v>
      </c>
      <c r="K11084" s="6" t="n">
        <f aca="false">Sens!J11084*(1+Sens!K11085)</f>
        <v>45.9112723656046</v>
      </c>
      <c r="L11084" s="12" t="s">
        <v>1034</v>
      </c>
    </row>
    <row r="11085" customFormat="false" ht="15" hidden="false" customHeight="false" outlineLevel="0" collapsed="false">
      <c r="A11085" s="1" t="s">
        <v>1024</v>
      </c>
      <c r="B11085" s="0" t="s">
        <v>168</v>
      </c>
      <c r="E11085" s="7" t="n">
        <f aca="false">Sens!E11084/Sens!D11084-1</f>
        <v>0.120156961796942</v>
      </c>
      <c r="F11085" s="7" t="n">
        <f aca="false">Sens!$E$11085+(glt_srch_hi-Sens!$E$11085)*MIN(1,(Sens!F11027-base_fy)/n_conv)</f>
        <v>0.116797468164118</v>
      </c>
      <c r="G11085" s="7" t="n">
        <f aca="false">Sens!$E$11085+(glt_srch_hi-Sens!$E$11085)*MIN(1,(Sens!G11027-base_fy)/n_conv)</f>
        <v>0.113437974531295</v>
      </c>
      <c r="H11085" s="7" t="n">
        <f aca="false">Sens!$E$11085+(glt_srch_hi-Sens!$E$11085)*MIN(1,(Sens!H11027-base_fy)/n_conv)</f>
        <v>0.110078480898471</v>
      </c>
      <c r="I11085" s="7" t="n">
        <f aca="false">Sens!$E$11085+(glt_srch_hi-Sens!$E$11085)*MIN(1,(Sens!I11027-base_fy)/n_conv)</f>
        <v>0.106718987265647</v>
      </c>
      <c r="J11085" s="7" t="n">
        <f aca="false">Sens!$E$11085+(glt_srch_hi-Sens!$E$11085)*MIN(1,(Sens!J11027-base_fy)/n_conv)</f>
        <v>0.103359493632824</v>
      </c>
      <c r="K11085" s="7" t="n">
        <f aca="false">Sens!$E$11085+(glt_srch_hi-Sens!$E$11085)*MIN(1,(Sens!K11027-base_fy)/n_conv)</f>
        <v>0.1</v>
      </c>
    </row>
    <row r="11086" customFormat="false" ht="17.15" hidden="false" customHeight="false" outlineLevel="0" collapsed="false">
      <c r="A11086" s="0" t="s">
        <v>1038</v>
      </c>
      <c r="B11086" s="0" t="s">
        <v>98</v>
      </c>
      <c r="D11086" s="6" t="n">
        <f aca="false">Q!L14</f>
        <v>23.455</v>
      </c>
      <c r="E11086" s="6" t="n">
        <f aca="false">Q!M14</f>
        <v>21.79</v>
      </c>
      <c r="F11086" s="6" t="n">
        <f aca="false">Q!$I$14+(Q!M14-Q!$E$14)*(1+Sens!F11087)</f>
        <v>20.7520981041711</v>
      </c>
      <c r="G11086" s="6" t="n">
        <f aca="false">Sens!F11086*(1+Sens!G11087)</f>
        <v>19.9083593495882</v>
      </c>
      <c r="H11086" s="6" t="n">
        <f aca="false">Sens!G11086*(1+Sens!H11087)</f>
        <v>19.4008256265831</v>
      </c>
      <c r="I11086" s="6" t="n">
        <f aca="false">Sens!H11086*(1+Sens!I11087)</f>
        <v>19.200434522122</v>
      </c>
      <c r="J11086" s="6" t="n">
        <f aca="false">Sens!I11086*(1+Sens!J11087)</f>
        <v>19.2932782348507</v>
      </c>
      <c r="K11086" s="6" t="n">
        <f aca="false">Sens!J11086*(1+Sens!K11087)</f>
        <v>19.6791437995477</v>
      </c>
      <c r="L11086" s="12" t="s">
        <v>1034</v>
      </c>
    </row>
    <row r="11087" customFormat="false" ht="15" hidden="false" customHeight="false" outlineLevel="0" collapsed="false">
      <c r="A11087" s="1" t="s">
        <v>1024</v>
      </c>
      <c r="B11087" s="0" t="s">
        <v>168</v>
      </c>
      <c r="E11087" s="7" t="n">
        <f aca="false">Sens!E11086/Sens!D11086-1</f>
        <v>-0.0709869963760392</v>
      </c>
      <c r="F11087" s="7" t="n">
        <f aca="false">Sens!$E$11087+(glt_xbox-Sens!$E$11087)*MIN(1,(Sens!F11027-base_fy)/n_conv)</f>
        <v>-0.0558224969800327</v>
      </c>
      <c r="G11087" s="7" t="n">
        <f aca="false">Sens!$E$11087+(glt_xbox-Sens!$E$11087)*MIN(1,(Sens!G11027-base_fy)/n_conv)</f>
        <v>-0.0406579975840262</v>
      </c>
      <c r="H11087" s="7" t="n">
        <f aca="false">Sens!$E$11087+(glt_xbox-Sens!$E$11087)*MIN(1,(Sens!H11027-base_fy)/n_conv)</f>
        <v>-0.0254934981880196</v>
      </c>
      <c r="I11087" s="7" t="n">
        <f aca="false">Sens!$E$11087+(glt_xbox-Sens!$E$11087)*MIN(1,(Sens!I11027-base_fy)/n_conv)</f>
        <v>-0.0103289987920131</v>
      </c>
      <c r="J11087" s="7" t="n">
        <f aca="false">Sens!$E$11087+(glt_xbox-Sens!$E$11087)*MIN(1,(Sens!J11027-base_fy)/n_conv)</f>
        <v>0.00483550060399347</v>
      </c>
      <c r="K11087" s="7" t="n">
        <f aca="false">Sens!$E$11087+(glt_xbox-Sens!$E$11087)*MIN(1,(Sens!K11027-base_fy)/n_conv)</f>
        <v>0.02</v>
      </c>
    </row>
    <row r="11088" customFormat="false" ht="17.15" hidden="false" customHeight="false" outlineLevel="0" collapsed="false">
      <c r="A11088" s="0" t="s">
        <v>1039</v>
      </c>
      <c r="B11088" s="0" t="s">
        <v>98</v>
      </c>
      <c r="D11088" s="6" t="n">
        <f aca="false">Q!L15</f>
        <v>17.315</v>
      </c>
      <c r="E11088" s="6" t="n">
        <f aca="false">Q!M15</f>
        <v>17.087</v>
      </c>
      <c r="F11088" s="6" t="n">
        <f aca="false">Q!$I$15+(Q!M15-Q!$E$15)*(1+Sens!F11089)</f>
        <v>15.9912273250553</v>
      </c>
      <c r="G11088" s="6" t="n">
        <f aca="false">Sens!F11088*(1+Sens!G11089)</f>
        <v>15.9574562664827</v>
      </c>
      <c r="H11088" s="6" t="n">
        <f aca="false">Sens!G11088*(1+Sens!H11089)</f>
        <v>16.0119687434196</v>
      </c>
      <c r="I11088" s="6" t="n">
        <f aca="false">Sens!H11088*(1+Sens!I11089)</f>
        <v>16.1551810001948</v>
      </c>
      <c r="J11088" s="6" t="n">
        <f aca="false">Sens!I11088*(1+Sens!J11089)</f>
        <v>16.3889793892005</v>
      </c>
      <c r="K11088" s="6" t="n">
        <f aca="false">Sens!J11088*(1+Sens!K11089)</f>
        <v>16.7167589769845</v>
      </c>
      <c r="L11088" s="12" t="s">
        <v>1034</v>
      </c>
    </row>
    <row r="11089" customFormat="false" ht="15" hidden="false" customHeight="false" outlineLevel="0" collapsed="false">
      <c r="A11089" s="1" t="s">
        <v>1024</v>
      </c>
      <c r="B11089" s="0" t="s">
        <v>168</v>
      </c>
      <c r="E11089" s="7" t="n">
        <f aca="false">Sens!E11088/Sens!D11088-1</f>
        <v>-0.0131677736066995</v>
      </c>
      <c r="F11089" s="7" t="n">
        <f aca="false">Sens!$E$11089+(glt_win-Sens!$E$11089)*MIN(1,(Sens!F11027-base_fy)/n_conv)</f>
        <v>-0.00763981133891627</v>
      </c>
      <c r="G11089" s="7" t="n">
        <f aca="false">Sens!$E$11089+(glt_win-Sens!$E$11089)*MIN(1,(Sens!G11027-base_fy)/n_conv)</f>
        <v>-0.00211184907113301</v>
      </c>
      <c r="H11089" s="7" t="n">
        <f aca="false">Sens!$E$11089+(glt_win-Sens!$E$11089)*MIN(1,(Sens!H11027-base_fy)/n_conv)</f>
        <v>0.00341611319665024</v>
      </c>
      <c r="I11089" s="7" t="n">
        <f aca="false">Sens!$E$11089+(glt_win-Sens!$E$11089)*MIN(1,(Sens!I11027-base_fy)/n_conv)</f>
        <v>0.00894407546443349</v>
      </c>
      <c r="J11089" s="7" t="n">
        <f aca="false">Sens!$E$11089+(glt_win-Sens!$E$11089)*MIN(1,(Sens!J11027-base_fy)/n_conv)</f>
        <v>0.0144720377322168</v>
      </c>
      <c r="K11089" s="7" t="n">
        <f aca="false">Sens!$E$11089+(glt_win-Sens!$E$11089)*MIN(1,(Sens!K11027-base_fy)/n_conv)</f>
        <v>0.02</v>
      </c>
    </row>
    <row r="11090" customFormat="false" ht="15" hidden="false" customHeight="false" outlineLevel="0" collapsed="false">
      <c r="A11090" s="0" t="s">
        <v>866</v>
      </c>
      <c r="B11090" s="0" t="s">
        <v>98</v>
      </c>
      <c r="D11090" s="6" t="n">
        <f aca="false">Sens!D11084+Sens!D11086+Sens!D11088</f>
        <v>62.941</v>
      </c>
      <c r="E11090" s="6" t="n">
        <f aca="false">Sens!E11084+Sens!E11086+Sens!E11088</f>
        <v>63.712</v>
      </c>
      <c r="F11090" s="6" t="n">
        <f aca="false">Sens!F11084+Sens!F11086+Sens!F11088</f>
        <v>64.3969799952511</v>
      </c>
      <c r="G11090" s="6" t="n">
        <f aca="false">Sens!G11084+Sens!G11086+Sens!G11088</f>
        <v>66.6564447444535</v>
      </c>
      <c r="H11090" s="6" t="n">
        <f aca="false">Sens!H11084+Sens!H11086+Sens!H11088</f>
        <v>69.5928091787458</v>
      </c>
      <c r="I11090" s="6" t="n">
        <f aca="false">Sens!I11084+Sens!I11086+Sens!I11088</f>
        <v>73.183286896174</v>
      </c>
      <c r="J11090" s="6" t="n">
        <f aca="false">Sens!J11084+Sens!J11086+Sens!J11088</f>
        <v>77.419777956419</v>
      </c>
      <c r="K11090" s="6" t="n">
        <f aca="false">Sens!K11084+Sens!K11086+Sens!K11088</f>
        <v>82.3071751421368</v>
      </c>
    </row>
    <row r="11091" customFormat="false" ht="15" hidden="false" customHeight="false" outlineLevel="0" collapsed="false">
      <c r="A11091" s="1" t="s">
        <v>1040</v>
      </c>
      <c r="B11091" s="0" t="s">
        <v>98</v>
      </c>
      <c r="D11091" s="6" t="n">
        <f aca="false">Sens!D11083+Sens!D11090</f>
        <v>281.724</v>
      </c>
      <c r="E11091" s="6" t="n">
        <f aca="false">Sens!E11083+Sens!E11090</f>
        <v>331.839</v>
      </c>
      <c r="F11091" s="6" t="n">
        <f aca="false">Sens!F11083+Sens!F11090</f>
        <v>399.145076009588</v>
      </c>
      <c r="G11091" s="6" t="n">
        <f aca="false">Sens!G11083+Sens!G11090</f>
        <v>476.858879694143</v>
      </c>
      <c r="H11091" s="6" t="n">
        <f aca="false">Sens!H11083+Sens!H11090</f>
        <v>556.605667141685</v>
      </c>
      <c r="I11091" s="6" t="n">
        <f aca="false">Sens!I11083+Sens!I11090</f>
        <v>630.146215874638</v>
      </c>
      <c r="J11091" s="6" t="n">
        <f aca="false">Sens!J11083+Sens!J11090</f>
        <v>690.821778973543</v>
      </c>
      <c r="K11091" s="6" t="n">
        <f aca="false">Sens!K11083+Sens!K11090</f>
        <v>740.144765909755</v>
      </c>
    </row>
    <row r="11092" customFormat="false" ht="15" hidden="false" customHeight="false" outlineLevel="0" collapsed="false">
      <c r="A11092" s="26" t="s">
        <v>1041</v>
      </c>
      <c r="B11092" s="31" t="s">
        <v>98</v>
      </c>
      <c r="C11092" s="31"/>
      <c r="D11092" s="27" t="n">
        <f aca="false">(Sens!D11071+Sens!D11076+Sens!D11077+Sens!D11079+Sens!D11081-Sens!D11083)+(Sens!D11084+Sens!D11086+Sens!D11088-Sens!D11090)+(Sens!D11083-Q!L5)+(Sens!D11090-Q!L12)+(Sens!D11071-Q!L6)+(Sens!D11076-Q!L7)</f>
        <v>0</v>
      </c>
      <c r="E11092" s="27" t="n">
        <f aca="false">(Sens!E11071+Sens!E11076+Sens!E11077+Sens!E11079+Sens!E11081-Sens!E11083)+(Sens!E11084+Sens!E11086+Sens!E11088-Sens!E11090)+(Sens!E11083-Q!M5)+(Sens!E11090-Q!M12)+(Sens!E11071-Q!M6)+(Sens!E11076-Q!M7)</f>
        <v>0</v>
      </c>
      <c r="F11092" s="27" t="n">
        <f aca="false">(Sens!F11071+Sens!F11076+Sens!F11077+Sens!F11079+Sens!F11081-Sens!F11083)+(Sens!F11084+Sens!F11086+Sens!F11088-Sens!F11090)</f>
        <v>0</v>
      </c>
      <c r="G11092" s="27" t="n">
        <f aca="false">(Sens!G11071+Sens!G11076+Sens!G11077+Sens!G11079+Sens!G11081-Sens!G11083)+(Sens!G11084+Sens!G11086+Sens!G11088-Sens!G11090)</f>
        <v>0</v>
      </c>
      <c r="H11092" s="27" t="n">
        <f aca="false">(Sens!H11071+Sens!H11076+Sens!H11077+Sens!H11079+Sens!H11081-Sens!H11083)+(Sens!H11084+Sens!H11086+Sens!H11088-Sens!H11090)</f>
        <v>0</v>
      </c>
      <c r="I11092" s="27" t="n">
        <f aca="false">(Sens!I11071+Sens!I11076+Sens!I11077+Sens!I11079+Sens!I11081-Sens!I11083)+(Sens!I11084+Sens!I11086+Sens!I11088-Sens!I11090)</f>
        <v>0</v>
      </c>
      <c r="J11092" s="27" t="n">
        <f aca="false">(Sens!J11071+Sens!J11076+Sens!J11077+Sens!J11079+Sens!J11081-Sens!J11083)+(Sens!J11084+Sens!J11086+Sens!J11088-Sens!J11090)</f>
        <v>0</v>
      </c>
      <c r="K11092" s="27" t="n">
        <f aca="false">(Sens!K11071+Sens!K11076+Sens!K11077+Sens!K11079+Sens!K11081-Sens!K11083)+(Sens!K11084+Sens!K11086+Sens!K11088-Sens!K11090)</f>
        <v>0</v>
      </c>
    </row>
    <row r="11093" customFormat="false" ht="17.15" hidden="false" customHeight="false" outlineLevel="0" collapsed="false">
      <c r="A11093" s="3" t="s">
        <v>1757</v>
      </c>
    </row>
    <row r="11094" customFormat="false" ht="15" hidden="false" customHeight="false" outlineLevel="0" collapsed="false">
      <c r="A11094" s="4" t="s">
        <v>43</v>
      </c>
      <c r="B11094" s="4" t="s">
        <v>65</v>
      </c>
      <c r="C11094" s="23" t="s">
        <v>938</v>
      </c>
      <c r="D11094" s="23" t="s">
        <v>939</v>
      </c>
      <c r="E11094" s="23" t="s">
        <v>940</v>
      </c>
      <c r="F11094" s="23" t="s">
        <v>941</v>
      </c>
      <c r="G11094" s="23" t="s">
        <v>942</v>
      </c>
      <c r="H11094" s="23" t="s">
        <v>943</v>
      </c>
      <c r="I11094" s="23" t="s">
        <v>944</v>
      </c>
      <c r="J11094" s="23" t="s">
        <v>945</v>
      </c>
      <c r="K11094" s="23" t="s">
        <v>946</v>
      </c>
      <c r="L11094" s="4" t="s">
        <v>47</v>
      </c>
    </row>
    <row r="11095" customFormat="false" ht="15" hidden="false" customHeight="false" outlineLevel="0" collapsed="false">
      <c r="A11095" s="0" t="s">
        <v>1025</v>
      </c>
      <c r="B11095" s="0" t="s">
        <v>98</v>
      </c>
      <c r="D11095" s="6" t="n">
        <f aca="false">Sens!D11071</f>
        <v>72.61</v>
      </c>
      <c r="E11095" s="6" t="n">
        <f aca="false">Sens!E11071</f>
        <v>101.938</v>
      </c>
      <c r="F11095" s="6" t="n">
        <f aca="false">Sens!F11071</f>
        <v>146.709048000181</v>
      </c>
      <c r="G11095" s="6" t="n">
        <f aca="false">Sens!G11071</f>
        <v>199.762829861393</v>
      </c>
      <c r="H11095" s="6" t="n">
        <f aca="false">Sens!H11071</f>
        <v>254.146566109645</v>
      </c>
      <c r="I11095" s="6" t="n">
        <f aca="false">Sens!I11071</f>
        <v>303.439446964617</v>
      </c>
      <c r="J11095" s="6" t="n">
        <f aca="false">Sens!J11071</f>
        <v>341.309898459739</v>
      </c>
      <c r="K11095" s="6" t="n">
        <f aca="false">Sens!K11071</f>
        <v>368.09747789654</v>
      </c>
    </row>
    <row r="11096" customFormat="false" ht="17.15" hidden="false" customHeight="false" outlineLevel="0" collapsed="false">
      <c r="A11096" s="0" t="s">
        <v>1021</v>
      </c>
      <c r="B11096" s="0" t="s">
        <v>98</v>
      </c>
      <c r="D11096" s="6" t="n">
        <f aca="false">Sens!D11068</f>
        <v>12.9359794422418</v>
      </c>
      <c r="E11096" s="6" t="n">
        <f aca="false">Sens!E11068</f>
        <v>27.8095064661409</v>
      </c>
      <c r="F11096" s="6" t="n">
        <f aca="false">Sens!F11068</f>
        <v>55.4118315060966</v>
      </c>
      <c r="G11096" s="6" t="n">
        <f aca="false">Sens!G11068</f>
        <v>91.2881100675143</v>
      </c>
      <c r="H11096" s="6" t="n">
        <f aca="false">Sens!H11068</f>
        <v>128.195273603944</v>
      </c>
      <c r="I11096" s="6" t="n">
        <f aca="false">Sens!I11068</f>
        <v>160.601281810405</v>
      </c>
      <c r="J11096" s="6" t="n">
        <f aca="false">Sens!J11068</f>
        <v>183.182719793589</v>
      </c>
      <c r="K11096" s="6" t="n">
        <f aca="false">Sens!K11068</f>
        <v>197.320124937098</v>
      </c>
    </row>
    <row r="11097" customFormat="false" ht="17.15" hidden="false" customHeight="false" outlineLevel="0" collapsed="false">
      <c r="A11097" s="0" t="s">
        <v>1052</v>
      </c>
      <c r="B11097" s="0" t="s">
        <v>98</v>
      </c>
      <c r="D11097" s="6" t="n">
        <f aca="false">Sens!D11069</f>
        <v>59.6740205577583</v>
      </c>
      <c r="E11097" s="6" t="n">
        <f aca="false">Sens!E11069</f>
        <v>74.1284935338591</v>
      </c>
      <c r="F11097" s="6" t="n">
        <f aca="false">Sens!F11069</f>
        <v>91.2972164940844</v>
      </c>
      <c r="G11097" s="6" t="n">
        <f aca="false">Sens!G11069</f>
        <v>108.474719793879</v>
      </c>
      <c r="H11097" s="6" t="n">
        <f aca="false">Sens!H11069</f>
        <v>125.951292505701</v>
      </c>
      <c r="I11097" s="6" t="n">
        <f aca="false">Sens!I11069</f>
        <v>142.838165154212</v>
      </c>
      <c r="J11097" s="6" t="n">
        <f aca="false">Sens!J11069</f>
        <v>158.12717866615</v>
      </c>
      <c r="K11097" s="6" t="n">
        <f aca="false">Sens!K11069</f>
        <v>170.777352959442</v>
      </c>
    </row>
    <row r="11098" customFormat="false" ht="15" hidden="false" customHeight="false" outlineLevel="0" collapsed="false">
      <c r="A11098" s="0" t="s">
        <v>1032</v>
      </c>
      <c r="B11098" s="0" t="s">
        <v>98</v>
      </c>
      <c r="D11098" s="6" t="n">
        <f aca="false">Sens!D11076</f>
        <v>84.605</v>
      </c>
      <c r="E11098" s="6" t="n">
        <f aca="false">Sens!E11076</f>
        <v>100.299</v>
      </c>
      <c r="F11098" s="6" t="n">
        <f aca="false">Sens!F11076</f>
        <v>118.584003697747</v>
      </c>
      <c r="G11098" s="6" t="n">
        <f aca="false">Sens!G11076</f>
        <v>136.700726545688</v>
      </c>
      <c r="H11098" s="6" t="n">
        <f aca="false">Sens!H11076</f>
        <v>154.898624783666</v>
      </c>
      <c r="I11098" s="6" t="n">
        <f aca="false">Sens!I11076</f>
        <v>171.420510030657</v>
      </c>
      <c r="J11098" s="6" t="n">
        <f aca="false">Sens!J11076</f>
        <v>185.985722618572</v>
      </c>
      <c r="K11098" s="6" t="n">
        <f aca="false">Sens!K11076</f>
        <v>199.799723201872</v>
      </c>
    </row>
    <row r="11099" customFormat="false" ht="17.15" hidden="false" customHeight="false" outlineLevel="0" collapsed="false">
      <c r="A11099" s="0" t="s">
        <v>1053</v>
      </c>
      <c r="B11099" s="0" t="s">
        <v>98</v>
      </c>
      <c r="D11099" s="6" t="n">
        <f aca="false">Sens!D11074</f>
        <v>83.705</v>
      </c>
      <c r="E11099" s="6" t="n">
        <f aca="false">Sens!E11074</f>
        <v>95.049</v>
      </c>
      <c r="F11099" s="6" t="n">
        <f aca="false">Sens!F11074</f>
        <v>106.584003697747</v>
      </c>
      <c r="G11099" s="6" t="n">
        <f aca="false">Sens!G11074</f>
        <v>118.700726545688</v>
      </c>
      <c r="H11099" s="6" t="n">
        <f aca="false">Sens!H11074</f>
        <v>130.898624783666</v>
      </c>
      <c r="I11099" s="6" t="n">
        <f aca="false">Sens!I11074</f>
        <v>142.920510030657</v>
      </c>
      <c r="J11099" s="6" t="n">
        <f aca="false">Sens!J11074</f>
        <v>154.485722618572</v>
      </c>
      <c r="K11099" s="6" t="n">
        <f aca="false">Sens!K11074</f>
        <v>165.299723201872</v>
      </c>
    </row>
    <row r="11100" customFormat="false" ht="17.15" hidden="false" customHeight="false" outlineLevel="0" collapsed="false">
      <c r="A11100" s="0" t="s">
        <v>1054</v>
      </c>
      <c r="B11100" s="0" t="s">
        <v>98</v>
      </c>
      <c r="D11100" s="6" t="n">
        <f aca="false">Sens!D11073</f>
        <v>0.9</v>
      </c>
      <c r="E11100" s="6" t="n">
        <f aca="false">Sens!E11073</f>
        <v>5.25</v>
      </c>
      <c r="F11100" s="6" t="n">
        <f aca="false">Sens!F11073</f>
        <v>12</v>
      </c>
      <c r="G11100" s="6" t="n">
        <f aca="false">Sens!G11073</f>
        <v>18</v>
      </c>
      <c r="H11100" s="6" t="n">
        <f aca="false">Sens!H11073</f>
        <v>24</v>
      </c>
      <c r="I11100" s="6" t="n">
        <f aca="false">Sens!I11073</f>
        <v>28.5</v>
      </c>
      <c r="J11100" s="6" t="n">
        <f aca="false">Sens!J11073</f>
        <v>31.5</v>
      </c>
      <c r="K11100" s="6" t="n">
        <f aca="false">Sens!K11073</f>
        <v>34.5</v>
      </c>
    </row>
    <row r="11101" customFormat="false" ht="15" hidden="false" customHeight="false" outlineLevel="0" collapsed="false">
      <c r="A11101" s="0" t="s">
        <v>1033</v>
      </c>
      <c r="B11101" s="0" t="s">
        <v>98</v>
      </c>
      <c r="D11101" s="6" t="n">
        <f aca="false">Sens!D11077</f>
        <v>35.391</v>
      </c>
      <c r="E11101" s="6" t="n">
        <f aca="false">Sens!E11077</f>
        <v>37.285</v>
      </c>
      <c r="F11101" s="6" t="n">
        <f aca="false">Sens!F11077</f>
        <v>38.3851437782675</v>
      </c>
      <c r="G11101" s="6" t="n">
        <f aca="false">Sens!G11077</f>
        <v>40.0105353288615</v>
      </c>
      <c r="H11101" s="6" t="n">
        <f aca="false">Sens!H11077</f>
        <v>41.4812512033683</v>
      </c>
      <c r="I11101" s="6" t="n">
        <f aca="false">Sens!I11077</f>
        <v>42.7743107216329</v>
      </c>
      <c r="J11101" s="6" t="n">
        <f aca="false">Sens!J11077</f>
        <v>43.8687373064601</v>
      </c>
      <c r="K11101" s="6" t="n">
        <f aca="false">Sens!K11077</f>
        <v>44.7461120525893</v>
      </c>
    </row>
    <row r="11102" customFormat="false" ht="15" hidden="false" customHeight="false" outlineLevel="0" collapsed="false">
      <c r="A11102" s="0" t="s">
        <v>1035</v>
      </c>
      <c r="B11102" s="0" t="s">
        <v>98</v>
      </c>
      <c r="D11102" s="6" t="n">
        <f aca="false">Sens!D11079</f>
        <v>18.417</v>
      </c>
      <c r="E11102" s="6" t="n">
        <f aca="false">Sens!E11079</f>
        <v>20.345</v>
      </c>
      <c r="F11102" s="6" t="n">
        <f aca="false">Sens!F11079</f>
        <v>22.3161797133988</v>
      </c>
      <c r="G11102" s="6" t="n">
        <f aca="false">Sens!G11079</f>
        <v>24.3943499673233</v>
      </c>
      <c r="H11102" s="6" t="n">
        <f aca="false">Sens!H11079</f>
        <v>26.5250243109019</v>
      </c>
      <c r="I11102" s="6" t="n">
        <f aca="false">Sens!I11079</f>
        <v>28.6884573538181</v>
      </c>
      <c r="J11102" s="6" t="n">
        <f aca="false">Sens!J11079</f>
        <v>30.8624968052127</v>
      </c>
      <c r="K11102" s="6" t="n">
        <f aca="false">Sens!K11079</f>
        <v>33.0228715815776</v>
      </c>
    </row>
    <row r="11103" customFormat="false" ht="15" hidden="false" customHeight="false" outlineLevel="0" collapsed="false">
      <c r="A11103" s="0" t="s">
        <v>1036</v>
      </c>
      <c r="B11103" s="0" t="s">
        <v>98</v>
      </c>
      <c r="D11103" s="6" t="n">
        <f aca="false">Sens!D11081</f>
        <v>7.76</v>
      </c>
      <c r="E11103" s="6" t="n">
        <f aca="false">Sens!E11081</f>
        <v>8.26</v>
      </c>
      <c r="F11103" s="6" t="n">
        <f aca="false">Sens!F11081</f>
        <v>8.75372082474227</v>
      </c>
      <c r="G11103" s="6" t="n">
        <f aca="false">Sens!G11081</f>
        <v>9.33399324642364</v>
      </c>
      <c r="H11103" s="6" t="n">
        <f aca="false">Sens!H11081</f>
        <v>9.96139155535851</v>
      </c>
      <c r="I11103" s="6" t="n">
        <f aca="false">Sens!I11081</f>
        <v>10.6402039077391</v>
      </c>
      <c r="J11103" s="6" t="n">
        <f aca="false">Sens!J11081</f>
        <v>11.3751458271397</v>
      </c>
      <c r="K11103" s="6" t="n">
        <f aca="false">Sens!K11081</f>
        <v>12.1714060350394</v>
      </c>
    </row>
    <row r="11104" customFormat="false" ht="15" hidden="false" customHeight="false" outlineLevel="0" collapsed="false">
      <c r="A11104" s="0" t="s">
        <v>852</v>
      </c>
      <c r="B11104" s="0" t="s">
        <v>98</v>
      </c>
      <c r="D11104" s="6" t="n">
        <f aca="false">Sens!D11083</f>
        <v>218.783</v>
      </c>
      <c r="E11104" s="6" t="n">
        <f aca="false">Sens!E11083</f>
        <v>268.127</v>
      </c>
      <c r="F11104" s="6" t="n">
        <f aca="false">Sens!F11083</f>
        <v>334.748096014336</v>
      </c>
      <c r="G11104" s="6" t="n">
        <f aca="false">Sens!G11083</f>
        <v>410.20243494969</v>
      </c>
      <c r="H11104" s="6" t="n">
        <f aca="false">Sens!H11083</f>
        <v>487.012857962939</v>
      </c>
      <c r="I11104" s="6" t="n">
        <f aca="false">Sens!I11083</f>
        <v>556.962928978464</v>
      </c>
      <c r="J11104" s="6" t="n">
        <f aca="false">Sens!J11083</f>
        <v>613.402001017124</v>
      </c>
      <c r="K11104" s="6" t="n">
        <f aca="false">Sens!K11083</f>
        <v>657.837590767618</v>
      </c>
    </row>
    <row r="11105" customFormat="false" ht="15" hidden="false" customHeight="false" outlineLevel="0" collapsed="false">
      <c r="A11105" s="0" t="s">
        <v>1037</v>
      </c>
      <c r="B11105" s="0" t="s">
        <v>98</v>
      </c>
      <c r="D11105" s="6" t="n">
        <f aca="false">Sens!D11084</f>
        <v>22.171</v>
      </c>
      <c r="E11105" s="6" t="n">
        <f aca="false">Sens!E11084</f>
        <v>24.835</v>
      </c>
      <c r="F11105" s="6" t="n">
        <f aca="false">Sens!F11084</f>
        <v>27.6536545660247</v>
      </c>
      <c r="G11105" s="6" t="n">
        <f aca="false">Sens!G11084</f>
        <v>30.7906291283826</v>
      </c>
      <c r="H11105" s="6" t="n">
        <f aca="false">Sens!H11084</f>
        <v>34.1800148087432</v>
      </c>
      <c r="I11105" s="6" t="n">
        <f aca="false">Sens!I11084</f>
        <v>37.8276713738571</v>
      </c>
      <c r="J11105" s="6" t="n">
        <f aca="false">Sens!J11084</f>
        <v>41.7375203323678</v>
      </c>
      <c r="K11105" s="6" t="n">
        <f aca="false">Sens!K11084</f>
        <v>45.9112723656046</v>
      </c>
    </row>
    <row r="11106" customFormat="false" ht="15" hidden="false" customHeight="false" outlineLevel="0" collapsed="false">
      <c r="A11106" s="0" t="s">
        <v>1038</v>
      </c>
      <c r="B11106" s="0" t="s">
        <v>98</v>
      </c>
      <c r="D11106" s="6" t="n">
        <f aca="false">Sens!D11086</f>
        <v>23.455</v>
      </c>
      <c r="E11106" s="6" t="n">
        <f aca="false">Sens!E11086</f>
        <v>21.79</v>
      </c>
      <c r="F11106" s="6" t="n">
        <f aca="false">Sens!F11086</f>
        <v>20.7520981041711</v>
      </c>
      <c r="G11106" s="6" t="n">
        <f aca="false">Sens!G11086</f>
        <v>19.9083593495882</v>
      </c>
      <c r="H11106" s="6" t="n">
        <f aca="false">Sens!H11086</f>
        <v>19.4008256265831</v>
      </c>
      <c r="I11106" s="6" t="n">
        <f aca="false">Sens!I11086</f>
        <v>19.200434522122</v>
      </c>
      <c r="J11106" s="6" t="n">
        <f aca="false">Sens!J11086</f>
        <v>19.2932782348507</v>
      </c>
      <c r="K11106" s="6" t="n">
        <f aca="false">Sens!K11086</f>
        <v>19.6791437995477</v>
      </c>
    </row>
    <row r="11107" customFormat="false" ht="15" hidden="false" customHeight="false" outlineLevel="0" collapsed="false">
      <c r="A11107" s="0" t="s">
        <v>1039</v>
      </c>
      <c r="B11107" s="0" t="s">
        <v>98</v>
      </c>
      <c r="D11107" s="6" t="n">
        <f aca="false">Sens!D11088</f>
        <v>17.315</v>
      </c>
      <c r="E11107" s="6" t="n">
        <f aca="false">Sens!E11088</f>
        <v>17.087</v>
      </c>
      <c r="F11107" s="6" t="n">
        <f aca="false">Sens!F11088</f>
        <v>15.9912273250553</v>
      </c>
      <c r="G11107" s="6" t="n">
        <f aca="false">Sens!G11088</f>
        <v>15.9574562664827</v>
      </c>
      <c r="H11107" s="6" t="n">
        <f aca="false">Sens!H11088</f>
        <v>16.0119687434196</v>
      </c>
      <c r="I11107" s="6" t="n">
        <f aca="false">Sens!I11088</f>
        <v>16.1551810001948</v>
      </c>
      <c r="J11107" s="6" t="n">
        <f aca="false">Sens!J11088</f>
        <v>16.3889793892005</v>
      </c>
      <c r="K11107" s="6" t="n">
        <f aca="false">Sens!K11088</f>
        <v>16.7167589769845</v>
      </c>
    </row>
    <row r="11108" customFormat="false" ht="15" hidden="false" customHeight="false" outlineLevel="0" collapsed="false">
      <c r="A11108" s="0" t="s">
        <v>866</v>
      </c>
      <c r="B11108" s="0" t="s">
        <v>98</v>
      </c>
      <c r="D11108" s="6" t="n">
        <f aca="false">Sens!D11090</f>
        <v>62.941</v>
      </c>
      <c r="E11108" s="6" t="n">
        <f aca="false">Sens!E11090</f>
        <v>63.712</v>
      </c>
      <c r="F11108" s="6" t="n">
        <f aca="false">Sens!F11090</f>
        <v>64.3969799952511</v>
      </c>
      <c r="G11108" s="6" t="n">
        <f aca="false">Sens!G11090</f>
        <v>66.6564447444535</v>
      </c>
      <c r="H11108" s="6" t="n">
        <f aca="false">Sens!H11090</f>
        <v>69.5928091787458</v>
      </c>
      <c r="I11108" s="6" t="n">
        <f aca="false">Sens!I11090</f>
        <v>73.183286896174</v>
      </c>
      <c r="J11108" s="6" t="n">
        <f aca="false">Sens!J11090</f>
        <v>77.419777956419</v>
      </c>
      <c r="K11108" s="6" t="n">
        <f aca="false">Sens!K11090</f>
        <v>82.3071751421368</v>
      </c>
    </row>
    <row r="11109" customFormat="false" ht="15" hidden="false" customHeight="false" outlineLevel="0" collapsed="false">
      <c r="A11109" s="1" t="s">
        <v>1055</v>
      </c>
      <c r="B11109" s="0" t="s">
        <v>98</v>
      </c>
      <c r="D11109" s="6" t="n">
        <f aca="false">Sens!D11091</f>
        <v>281.724</v>
      </c>
      <c r="E11109" s="6" t="n">
        <f aca="false">Sens!E11091</f>
        <v>331.839</v>
      </c>
      <c r="F11109" s="6" t="n">
        <f aca="false">Sens!F11091</f>
        <v>399.145076009588</v>
      </c>
      <c r="G11109" s="6" t="n">
        <f aca="false">Sens!G11091</f>
        <v>476.858879694143</v>
      </c>
      <c r="H11109" s="6" t="n">
        <f aca="false">Sens!H11091</f>
        <v>556.605667141685</v>
      </c>
      <c r="I11109" s="6" t="n">
        <f aca="false">Sens!I11091</f>
        <v>630.146215874638</v>
      </c>
      <c r="J11109" s="6" t="n">
        <f aca="false">Sens!J11091</f>
        <v>690.821778973543</v>
      </c>
      <c r="K11109" s="6" t="n">
        <f aca="false">Sens!K11091</f>
        <v>740.144765909755</v>
      </c>
    </row>
    <row r="11110" customFormat="false" ht="15" hidden="false" customHeight="false" outlineLevel="0" collapsed="false">
      <c r="A11110" s="1" t="s">
        <v>1056</v>
      </c>
      <c r="B11110" s="0" t="s">
        <v>168</v>
      </c>
      <c r="E11110" s="7" t="n">
        <f aca="false">Sens!E11109/Sens!D11109-1</f>
        <v>0.177886867998467</v>
      </c>
      <c r="F11110" s="7" t="n">
        <f aca="false">Sens!F11109/Sens!E11109-1</f>
        <v>0.202827503727975</v>
      </c>
      <c r="G11110" s="7" t="n">
        <f aca="false">Sens!G11109/Sens!F11109-1</f>
        <v>0.19470064484195</v>
      </c>
      <c r="H11110" s="7" t="n">
        <f aca="false">Sens!H11109/Sens!G11109-1</f>
        <v>0.167233516755924</v>
      </c>
      <c r="I11110" s="7" t="n">
        <f aca="false">Sens!I11109/Sens!H11109-1</f>
        <v>0.132123248242518</v>
      </c>
      <c r="J11110" s="7" t="n">
        <f aca="false">Sens!J11109/Sens!I11109-1</f>
        <v>0.0962880702452325</v>
      </c>
      <c r="K11110" s="7" t="n">
        <f aca="false">Sens!K11109/Sens!J11109-1</f>
        <v>0.0713975564138973</v>
      </c>
    </row>
    <row r="11111" customFormat="false" ht="17.15" hidden="false" customHeight="false" outlineLevel="0" collapsed="false">
      <c r="A11111" s="26" t="s">
        <v>1057</v>
      </c>
      <c r="B11111" s="31" t="s">
        <v>98</v>
      </c>
      <c r="C11111" s="31"/>
      <c r="D11111" s="27" t="n">
        <f aca="false">(Sens!D11104+Sens!D11108-Sens!D11109)+(Sens!D11096+Sens!D11097-Sens!D11095)+(Sens!D11099+Sens!D11100-Sens!D11098)+(Sens!D11109-Q!L18)</f>
        <v>0</v>
      </c>
      <c r="E11111" s="27" t="n">
        <f aca="false">(Sens!E11104+Sens!E11108-Sens!E11109)+(Sens!E11096+Sens!E11097-Sens!E11095)+(Sens!E11099+Sens!E11100-Sens!E11098)+(Sens!E11109-Q!M18)</f>
        <v>0</v>
      </c>
      <c r="F11111" s="27" t="n">
        <f aca="false">(Sens!F11104+Sens!F11108-Sens!F11109)+(Sens!F11096+Sens!F11097-Sens!F11095)+(Sens!F11099+Sens!F11100-Sens!F11098)</f>
        <v>0</v>
      </c>
      <c r="G11111" s="27" t="n">
        <f aca="false">(Sens!G11104+Sens!G11108-Sens!G11109)+(Sens!G11096+Sens!G11097-Sens!G11095)+(Sens!G11099+Sens!G11100-Sens!G11098)</f>
        <v>0</v>
      </c>
      <c r="H11111" s="27" t="n">
        <f aca="false">(Sens!H11104+Sens!H11108-Sens!H11109)+(Sens!H11096+Sens!H11097-Sens!H11095)+(Sens!H11099+Sens!H11100-Sens!H11098)</f>
        <v>0</v>
      </c>
      <c r="I11111" s="27" t="n">
        <f aca="false">(Sens!I11104+Sens!I11108-Sens!I11109)+(Sens!I11096+Sens!I11097-Sens!I11095)+(Sens!I11099+Sens!I11100-Sens!I11098)</f>
        <v>0</v>
      </c>
      <c r="J11111" s="27" t="n">
        <f aca="false">(Sens!J11104+Sens!J11108-Sens!J11109)+(Sens!J11096+Sens!J11097-Sens!J11095)+(Sens!J11099+Sens!J11100-Sens!J11098)</f>
        <v>0</v>
      </c>
      <c r="K11111" s="27" t="n">
        <f aca="false">(Sens!K11104+Sens!K11108-Sens!K11109)+(Sens!K11096+Sens!K11097-Sens!K11095)+(Sens!K11099+Sens!K11100-Sens!K11098)</f>
        <v>0</v>
      </c>
    </row>
    <row r="11112" customFormat="false" ht="17.15" hidden="false" customHeight="false" outlineLevel="0" collapsed="false">
      <c r="A11112" s="0" t="s">
        <v>1058</v>
      </c>
      <c r="B11112" s="0" t="s">
        <v>168</v>
      </c>
      <c r="E11112" s="7" t="n">
        <f aca="false">(Q!M21+Sens!E11048+Sens!E11049+Sens!E11050+Sens!E11064-Sens!E11046)/(Q!M5-Sens!E11046)</f>
        <v>0.570957350878296</v>
      </c>
      <c r="F11112" s="7" t="n">
        <f aca="false">Sens!$E$11112+dm_seg</f>
        <v>0.570957350878296</v>
      </c>
      <c r="G11112" s="7" t="n">
        <f aca="false">Sens!$E$11112+dm_seg</f>
        <v>0.570957350878296</v>
      </c>
      <c r="H11112" s="7" t="n">
        <f aca="false">Sens!$E$11112+dm_seg</f>
        <v>0.570957350878296</v>
      </c>
      <c r="I11112" s="7" t="n">
        <f aca="false">Sens!$E$11112+dm_seg</f>
        <v>0.570957350878296</v>
      </c>
      <c r="J11112" s="7" t="n">
        <f aca="false">Sens!$E$11112+dm_seg</f>
        <v>0.570957350878296</v>
      </c>
      <c r="K11112" s="7" t="n">
        <f aca="false">Sens!$E$11112+dm_seg</f>
        <v>0.570957350878296</v>
      </c>
      <c r="L11112" s="12" t="s">
        <v>1059</v>
      </c>
    </row>
    <row r="11113" customFormat="false" ht="17.15" hidden="false" customHeight="false" outlineLevel="0" collapsed="false">
      <c r="A11113" s="0" t="s">
        <v>880</v>
      </c>
      <c r="B11113" s="0" t="s">
        <v>98</v>
      </c>
      <c r="D11113" s="6" t="n">
        <f aca="false">Q!L21</f>
        <v>110.814</v>
      </c>
      <c r="E11113" s="6" t="n">
        <f aca="false">Q!M21</f>
        <v>136.365</v>
      </c>
      <c r="F11113" s="6" t="n">
        <f aca="false">Q!$I$21+(Sens!F11112*(Sens!F11083-Sens!F11046)+Sens!F11046-(Sens!F11048+Sens!F11049+Sens!F11050)-Sens!F11064-Sens!F11147)*(Sens!F11083-Q!$I$5)/Sens!F11083</f>
        <v>162.089888657</v>
      </c>
      <c r="G11113" s="6" t="n">
        <f aca="false">(Sens!G11112*(Sens!G11083-Sens!G11046)+Sens!G11046-(Sens!G11048+Sens!G11049+Sens!G11050)-Sens!G11064-Sens!G11147)</f>
        <v>177.568904956673</v>
      </c>
      <c r="H11113" s="6" t="n">
        <f aca="false">(Sens!H11112*(Sens!H11083-Sens!H11046)+Sens!H11046-(Sens!H11048+Sens!H11049+Sens!H11050)-Sens!H11064-Sens!H11147)</f>
        <v>196.76368759427</v>
      </c>
      <c r="I11113" s="6" t="n">
        <f aca="false">(Sens!I11112*(Sens!I11083-Sens!I11046)+Sens!I11046-(Sens!I11048+Sens!I11049+Sens!I11050)-Sens!I11064-Sens!I11147)</f>
        <v>214.975584572623</v>
      </c>
      <c r="J11113" s="6" t="n">
        <f aca="false">(Sens!J11112*(Sens!J11083-Sens!J11046)+Sens!J11046-(Sens!J11048+Sens!J11049+Sens!J11050)-Sens!J11064-Sens!J11147)</f>
        <v>231.957077796371</v>
      </c>
      <c r="K11113" s="6" t="n">
        <f aca="false">(Sens!K11112*(Sens!K11083-Sens!K11046)+Sens!K11046-(Sens!K11048+Sens!K11049+Sens!K11050)-Sens!K11064-Sens!K11147)</f>
        <v>248.339747438173</v>
      </c>
      <c r="L11113" s="1" t="s">
        <v>1060</v>
      </c>
    </row>
    <row r="11114" customFormat="false" ht="17.15" hidden="false" customHeight="false" outlineLevel="0" collapsed="false">
      <c r="A11114" s="0" t="s">
        <v>1061</v>
      </c>
      <c r="B11114" s="0" t="s">
        <v>168</v>
      </c>
      <c r="E11114" s="7" t="n">
        <f aca="false">Q!M22/Q!M12</f>
        <v>0.296207935710698</v>
      </c>
      <c r="F11114" s="7" t="n">
        <f aca="false">Sens!$E$11114+dm_seg</f>
        <v>0.296207935710698</v>
      </c>
      <c r="G11114" s="7" t="n">
        <f aca="false">Sens!$E$11114+dm_seg</f>
        <v>0.296207935710698</v>
      </c>
      <c r="H11114" s="7" t="n">
        <f aca="false">Sens!$E$11114+dm_seg</f>
        <v>0.296207935710698</v>
      </c>
      <c r="I11114" s="7" t="n">
        <f aca="false">Sens!$E$11114+dm_seg</f>
        <v>0.296207935710698</v>
      </c>
      <c r="J11114" s="7" t="n">
        <f aca="false">Sens!$E$11114+dm_seg</f>
        <v>0.296207935710698</v>
      </c>
      <c r="K11114" s="7" t="n">
        <f aca="false">Sens!$E$11114+dm_seg</f>
        <v>0.296207935710698</v>
      </c>
      <c r="L11114" s="12" t="s">
        <v>1062</v>
      </c>
    </row>
    <row r="11115" customFormat="false" ht="17.15" hidden="false" customHeight="false" outlineLevel="0" collapsed="false">
      <c r="A11115" s="0" t="s">
        <v>882</v>
      </c>
      <c r="B11115" s="0" t="s">
        <v>98</v>
      </c>
      <c r="D11115" s="6" t="n">
        <f aca="false">Q!L22</f>
        <v>17.714</v>
      </c>
      <c r="E11115" s="6" t="n">
        <f aca="false">Q!M22</f>
        <v>18.872</v>
      </c>
      <c r="F11115" s="6" t="n">
        <f aca="false">Q!$I$22+(Sens!F11090-Q!$I$12)*Sens!F11114</f>
        <v>19.845412833852</v>
      </c>
      <c r="G11115" s="6" t="n">
        <f aca="false">Sens!G11090*Sens!G11114</f>
        <v>19.7441678995688</v>
      </c>
      <c r="H11115" s="6" t="n">
        <f aca="false">Sens!H11090*Sens!H11114</f>
        <v>20.6139423471448</v>
      </c>
      <c r="I11115" s="6" t="n">
        <f aca="false">Sens!I11090*Sens!I11114</f>
        <v>21.6774703400395</v>
      </c>
      <c r="J11115" s="6" t="n">
        <f aca="false">Sens!J11090*Sens!J11114</f>
        <v>22.9323526116515</v>
      </c>
      <c r="K11115" s="6" t="n">
        <f aca="false">Sens!K11090*Sens!K11114</f>
        <v>24.3800384430312</v>
      </c>
      <c r="L11115" s="12" t="s">
        <v>1063</v>
      </c>
    </row>
    <row r="11116" customFormat="false" ht="15" hidden="false" customHeight="false" outlineLevel="0" collapsed="false">
      <c r="A11116" s="1" t="s">
        <v>1064</v>
      </c>
      <c r="B11116" s="0" t="s">
        <v>98</v>
      </c>
      <c r="D11116" s="6" t="n">
        <f aca="false">Sens!D11113+Sens!D11115</f>
        <v>128.528</v>
      </c>
      <c r="E11116" s="6" t="n">
        <f aca="false">Sens!E11113+Sens!E11115</f>
        <v>155.237</v>
      </c>
      <c r="F11116" s="6" t="n">
        <f aca="false">Sens!F11113+Sens!F11115</f>
        <v>181.935301490852</v>
      </c>
      <c r="G11116" s="6" t="n">
        <f aca="false">Sens!G11113+Sens!G11115</f>
        <v>197.313072856242</v>
      </c>
      <c r="H11116" s="6" t="n">
        <f aca="false">Sens!H11113+Sens!H11115</f>
        <v>217.377629941415</v>
      </c>
      <c r="I11116" s="6" t="n">
        <f aca="false">Sens!I11113+Sens!I11115</f>
        <v>236.653054912663</v>
      </c>
      <c r="J11116" s="6" t="n">
        <f aca="false">Sens!J11113+Sens!J11115</f>
        <v>254.889430408022</v>
      </c>
      <c r="K11116" s="6" t="n">
        <f aca="false">Sens!K11113+Sens!K11115</f>
        <v>272.719785881204</v>
      </c>
    </row>
    <row r="11117" customFormat="false" ht="15" hidden="false" customHeight="false" outlineLevel="0" collapsed="false">
      <c r="A11117" s="26" t="s">
        <v>1065</v>
      </c>
      <c r="B11117" s="31" t="s">
        <v>98</v>
      </c>
      <c r="C11117" s="31"/>
      <c r="D11117" s="27" t="n">
        <f aca="false">Sens!D11116-Q!L23</f>
        <v>0</v>
      </c>
      <c r="E11117" s="27" t="n">
        <f aca="false">Sens!E11116-Q!M23</f>
        <v>0</v>
      </c>
      <c r="F11117" s="31"/>
      <c r="G11117" s="31"/>
      <c r="H11117" s="31"/>
      <c r="I11117" s="31"/>
      <c r="J11117" s="31"/>
      <c r="K11117" s="31"/>
    </row>
    <row r="11118" customFormat="false" ht="15" hidden="false" customHeight="false" outlineLevel="0" collapsed="false">
      <c r="A11118" s="1" t="s">
        <v>1066</v>
      </c>
      <c r="B11118" s="0" t="s">
        <v>168</v>
      </c>
      <c r="D11118" s="7" t="n">
        <f aca="false">Sens!D11116/Sens!D11109</f>
        <v>0.456219562408598</v>
      </c>
      <c r="E11118" s="7" t="n">
        <f aca="false">Sens!E11116/Sens!E11109</f>
        <v>0.467808184089272</v>
      </c>
      <c r="F11118" s="7" t="n">
        <f aca="false">Sens!F11116/Sens!F11109</f>
        <v>0.455812466258464</v>
      </c>
      <c r="G11118" s="7" t="n">
        <f aca="false">Sens!G11116/Sens!G11109</f>
        <v>0.413776656487551</v>
      </c>
      <c r="H11118" s="7" t="n">
        <f aca="false">Sens!H11116/Sens!H11109</f>
        <v>0.390541531956917</v>
      </c>
      <c r="I11118" s="7" t="n">
        <f aca="false">Sens!I11116/Sens!I11109</f>
        <v>0.375552608189815</v>
      </c>
      <c r="J11118" s="7" t="n">
        <f aca="false">Sens!J11116/Sens!J11109</f>
        <v>0.368965539544439</v>
      </c>
      <c r="K11118" s="7" t="n">
        <f aca="false">Sens!K11116/Sens!K11109</f>
        <v>0.36846816790765</v>
      </c>
    </row>
    <row r="11119" customFormat="false" ht="17.15" hidden="false" customHeight="false" outlineLevel="0" collapsed="false">
      <c r="A11119" s="1" t="s">
        <v>1067</v>
      </c>
      <c r="B11119" s="0" t="s">
        <v>98</v>
      </c>
      <c r="F11119" s="6" t="n">
        <f aca="false">Sens!F11134</f>
        <v>9.7398427716299</v>
      </c>
      <c r="G11119" s="6" t="n">
        <f aca="false">Sens!G11134</f>
        <v>25.2753385959797</v>
      </c>
      <c r="H11119" s="6" t="n">
        <f aca="false">Sens!H11134</f>
        <v>42.2840253697948</v>
      </c>
      <c r="I11119" s="6" t="n">
        <f aca="false">Sens!I11134</f>
        <v>57.704943641581</v>
      </c>
      <c r="J11119" s="6" t="n">
        <f aca="false">Sens!J11134</f>
        <v>68.4828520908201</v>
      </c>
      <c r="K11119" s="6" t="n">
        <f aca="false">Sens!K11134</f>
        <v>74.3598374943249</v>
      </c>
      <c r="L11119" s="1" t="s">
        <v>1068</v>
      </c>
    </row>
    <row r="11120" customFormat="false" ht="17.15" hidden="false" customHeight="false" outlineLevel="0" collapsed="false">
      <c r="A11120" s="1" t="s">
        <v>1069</v>
      </c>
      <c r="B11120" s="0" t="s">
        <v>98</v>
      </c>
      <c r="D11120" s="6" t="n">
        <f aca="false">Sens!D11116</f>
        <v>128.528</v>
      </c>
      <c r="E11120" s="6" t="n">
        <f aca="false">Sens!E11116</f>
        <v>155.237</v>
      </c>
      <c r="F11120" s="6" t="n">
        <f aca="false">Sens!F11116+Sens!F11119</f>
        <v>191.675144262482</v>
      </c>
      <c r="G11120" s="6" t="n">
        <f aca="false">Sens!G11116+Sens!G11119</f>
        <v>222.588411452222</v>
      </c>
      <c r="H11120" s="6" t="n">
        <f aca="false">Sens!H11116+Sens!H11119</f>
        <v>259.66165531121</v>
      </c>
      <c r="I11120" s="6" t="n">
        <f aca="false">Sens!I11116+Sens!I11119</f>
        <v>294.357998554244</v>
      </c>
      <c r="J11120" s="6" t="n">
        <f aca="false">Sens!J11116+Sens!J11119</f>
        <v>323.372282498842</v>
      </c>
      <c r="K11120" s="6" t="n">
        <f aca="false">Sens!K11116+Sens!K11119</f>
        <v>347.079623375529</v>
      </c>
    </row>
    <row r="11121" customFormat="false" ht="17.15" hidden="false" customHeight="false" outlineLevel="0" collapsed="false">
      <c r="A11121" s="1" t="s">
        <v>1070</v>
      </c>
      <c r="B11121" s="0" t="s">
        <v>98</v>
      </c>
      <c r="E11121" s="6" t="n">
        <f aca="false">Sens!E11064</f>
        <v>16.3054059770833</v>
      </c>
      <c r="F11121" s="6" t="n">
        <f aca="false">Sens!F11064</f>
        <v>34.5793144783516</v>
      </c>
      <c r="G11121" s="6" t="n">
        <f aca="false">Sens!G11064</f>
        <v>60.7344906522989</v>
      </c>
      <c r="H11121" s="6" t="n">
        <f aca="false">Sens!H11064</f>
        <v>89.1000906614457</v>
      </c>
      <c r="I11121" s="6" t="n">
        <f aca="false">Sens!I11064</f>
        <v>114.231009694548</v>
      </c>
      <c r="J11121" s="6" t="n">
        <f aca="false">Sens!J11064</f>
        <v>132.015673049596</v>
      </c>
      <c r="K11121" s="6" t="n">
        <f aca="false">Sens!K11064</f>
        <v>143.012669550934</v>
      </c>
    </row>
    <row r="11122" customFormat="false" ht="17.15" hidden="false" customHeight="false" outlineLevel="0" collapsed="false">
      <c r="A11122" s="1" t="s">
        <v>1071</v>
      </c>
      <c r="B11122" s="0" t="s">
        <v>98</v>
      </c>
      <c r="E11122" s="6" t="n">
        <f aca="false">Sens!E11146</f>
        <v>22.2285940229167</v>
      </c>
      <c r="F11122" s="6" t="n">
        <f aca="false">Sens!F11146</f>
        <v>23.5810979905473</v>
      </c>
      <c r="G11122" s="6" t="n">
        <f aca="false">Sens!G11146</f>
        <v>25.3620751194287</v>
      </c>
      <c r="H11122" s="6" t="n">
        <f aca="false">Sens!H11146</f>
        <v>27.5389527887545</v>
      </c>
      <c r="I11122" s="6" t="n">
        <f aca="false">Sens!I11146</f>
        <v>30.0469060585788</v>
      </c>
      <c r="J11122" s="6" t="n">
        <f aca="false">Sens!J11146</f>
        <v>32.8044888755354</v>
      </c>
      <c r="K11122" s="6" t="n">
        <f aca="false">Sens!K11146</f>
        <v>35.7295257786321</v>
      </c>
    </row>
    <row r="11123" customFormat="false" ht="17.15" hidden="false" customHeight="false" outlineLevel="0" collapsed="false">
      <c r="A11123" s="1" t="s">
        <v>1072</v>
      </c>
      <c r="B11123" s="0" t="s">
        <v>98</v>
      </c>
      <c r="D11123" s="6" t="n">
        <f aca="false">Q!L27</f>
        <v>-4.901</v>
      </c>
      <c r="E11123" s="6" t="n">
        <f aca="false">Q!M27</f>
        <v>10.697</v>
      </c>
      <c r="F11123" s="6" t="n">
        <f aca="false">Q!$I$27+oie_f*(q_per_yr-1)/q_per_yr</f>
        <v>-0.862</v>
      </c>
      <c r="G11123" s="6" t="n">
        <f aca="false">oie_f</f>
        <v>-1.2</v>
      </c>
      <c r="H11123" s="6" t="n">
        <f aca="false">oie_f</f>
        <v>-1.2</v>
      </c>
      <c r="I11123" s="6" t="n">
        <f aca="false">oie_f</f>
        <v>-1.2</v>
      </c>
      <c r="J11123" s="6" t="n">
        <f aca="false">oie_f</f>
        <v>-1.2</v>
      </c>
      <c r="K11123" s="6" t="n">
        <f aca="false">oie_f</f>
        <v>-1.2</v>
      </c>
      <c r="L11123" s="12" t="s">
        <v>1073</v>
      </c>
    </row>
    <row r="11124" customFormat="false" ht="15" hidden="false" customHeight="false" outlineLevel="0" collapsed="false">
      <c r="A11124" s="1" t="s">
        <v>1074</v>
      </c>
      <c r="B11124" s="0" t="s">
        <v>98</v>
      </c>
      <c r="D11124" s="6" t="n">
        <f aca="false">Sens!D11116+Sens!D11123</f>
        <v>123.627</v>
      </c>
      <c r="E11124" s="6" t="n">
        <f aca="false">Sens!E11116+Sens!E11123</f>
        <v>165.934</v>
      </c>
      <c r="F11124" s="6" t="n">
        <f aca="false">Sens!F11116+Sens!F11123</f>
        <v>181.073301490852</v>
      </c>
      <c r="G11124" s="6" t="n">
        <f aca="false">Sens!G11116+Sens!G11123</f>
        <v>196.113072856242</v>
      </c>
      <c r="H11124" s="6" t="n">
        <f aca="false">Sens!H11116+Sens!H11123</f>
        <v>216.177629941415</v>
      </c>
      <c r="I11124" s="6" t="n">
        <f aca="false">Sens!I11116+Sens!I11123</f>
        <v>235.453054912663</v>
      </c>
      <c r="J11124" s="6" t="n">
        <f aca="false">Sens!J11116+Sens!J11123</f>
        <v>253.689430408022</v>
      </c>
      <c r="K11124" s="6" t="n">
        <f aca="false">Sens!K11116+Sens!K11123</f>
        <v>271.519785881204</v>
      </c>
    </row>
    <row r="11125" customFormat="false" ht="15" hidden="false" customHeight="false" outlineLevel="0" collapsed="false">
      <c r="A11125" s="1" t="s">
        <v>1075</v>
      </c>
      <c r="B11125" s="0" t="s">
        <v>98</v>
      </c>
      <c r="D11125" s="6" t="n">
        <f aca="false">Q!L29</f>
        <v>21.795</v>
      </c>
      <c r="E11125" s="6" t="n">
        <f aca="false">Q!M29</f>
        <v>32.185</v>
      </c>
      <c r="F11125" s="6" t="n">
        <f aca="false">Q!$I$29+(Sens!F11124-Q!$I$28)*tax_f</f>
        <v>36.3480602981704</v>
      </c>
      <c r="G11125" s="6" t="n">
        <f aca="false">Sens!G11124*tax_f</f>
        <v>39.2226145712484</v>
      </c>
      <c r="H11125" s="6" t="n">
        <f aca="false">Sens!H11124*tax_f</f>
        <v>43.235525988283</v>
      </c>
      <c r="I11125" s="6" t="n">
        <f aca="false">Sens!I11124*tax_f</f>
        <v>47.0906109825326</v>
      </c>
      <c r="J11125" s="6" t="n">
        <f aca="false">Sens!J11124*tax_f</f>
        <v>50.7378860816045</v>
      </c>
      <c r="K11125" s="6" t="n">
        <f aca="false">Sens!K11124*tax_f</f>
        <v>54.3039571762408</v>
      </c>
    </row>
    <row r="11126" customFormat="false" ht="15" hidden="false" customHeight="false" outlineLevel="0" collapsed="false">
      <c r="A11126" s="1" t="s">
        <v>1076</v>
      </c>
      <c r="B11126" s="0" t="s">
        <v>98</v>
      </c>
      <c r="D11126" s="6" t="n">
        <f aca="false">Sens!D11124-Sens!D11125</f>
        <v>101.832</v>
      </c>
      <c r="E11126" s="6" t="n">
        <f aca="false">Sens!E11124-Sens!E11125</f>
        <v>133.749</v>
      </c>
      <c r="F11126" s="6" t="n">
        <f aca="false">Sens!F11124-Sens!F11125</f>
        <v>144.725241192682</v>
      </c>
      <c r="G11126" s="6" t="n">
        <f aca="false">Sens!G11124-Sens!G11125</f>
        <v>156.890458284994</v>
      </c>
      <c r="H11126" s="6" t="n">
        <f aca="false">Sens!H11124-Sens!H11125</f>
        <v>172.942103953132</v>
      </c>
      <c r="I11126" s="6" t="n">
        <f aca="false">Sens!I11124-Sens!I11125</f>
        <v>188.36244393013</v>
      </c>
      <c r="J11126" s="6" t="n">
        <f aca="false">Sens!J11124-Sens!J11125</f>
        <v>202.951544326418</v>
      </c>
      <c r="K11126" s="6" t="n">
        <f aca="false">Sens!K11124-Sens!K11125</f>
        <v>217.215828704963</v>
      </c>
    </row>
    <row r="11127" customFormat="false" ht="17.15" hidden="false" customHeight="false" outlineLevel="0" collapsed="false">
      <c r="A11127" s="1" t="s">
        <v>1077</v>
      </c>
      <c r="B11127" s="1" t="s">
        <v>81</v>
      </c>
      <c r="D11127" s="15" t="n">
        <f aca="false">Q!L31</f>
        <v>7.465</v>
      </c>
      <c r="E11127" s="15" t="n">
        <f aca="false">Q!M31</f>
        <v>7.453</v>
      </c>
      <c r="F11127" s="15" t="n">
        <f aca="false">Sens!F11171</f>
        <v>7.47323726970782</v>
      </c>
      <c r="G11127" s="15" t="n">
        <f aca="false">Sens!G11171</f>
        <v>7.51797453941563</v>
      </c>
      <c r="H11127" s="15" t="n">
        <f aca="false">Sens!H11171</f>
        <v>7.54567447844444</v>
      </c>
      <c r="I11127" s="15" t="n">
        <f aca="false">Sens!I11171</f>
        <v>7.55735584249991</v>
      </c>
      <c r="J11127" s="15" t="n">
        <f aca="false">Sens!J11171</f>
        <v>7.57150525366238</v>
      </c>
      <c r="K11127" s="15" t="n">
        <f aca="false">Sens!K11171</f>
        <v>7.58793989362763</v>
      </c>
    </row>
    <row r="11128" customFormat="false" ht="17.15" hidden="false" customHeight="false" outlineLevel="0" collapsed="false">
      <c r="A11128" s="0" t="s">
        <v>1078</v>
      </c>
      <c r="B11128" s="0" t="s">
        <v>75</v>
      </c>
      <c r="D11128" s="8" t="n">
        <f aca="false">Sens!D11126/Sens!D11127</f>
        <v>13.641259209645</v>
      </c>
      <c r="E11128" s="8" t="n">
        <f aca="false">Sens!E11126/Sens!E11127</f>
        <v>17.9456594659869</v>
      </c>
      <c r="F11128" s="8" t="n">
        <f aca="false">Sens!F11126/Sens!F11127</f>
        <v>19.365803060919</v>
      </c>
      <c r="G11128" s="8" t="n">
        <f aca="false">Sens!G11126/Sens!G11127</f>
        <v>20.8687137023995</v>
      </c>
      <c r="H11128" s="8" t="n">
        <f aca="false">Sens!H11126/Sens!H11127</f>
        <v>22.9193698253446</v>
      </c>
      <c r="I11128" s="8" t="n">
        <f aca="false">Sens!I11126/Sens!I11127</f>
        <v>24.9243846466573</v>
      </c>
      <c r="J11128" s="8" t="n">
        <f aca="false">Sens!J11126/Sens!J11127</f>
        <v>26.804649475512</v>
      </c>
      <c r="K11128" s="8" t="n">
        <f aca="false">Sens!K11126/Sens!K11127</f>
        <v>28.6264561593828</v>
      </c>
      <c r="L11128" s="1" t="s">
        <v>1079</v>
      </c>
    </row>
    <row r="11129" customFormat="false" ht="17.15" hidden="false" customHeight="false" outlineLevel="0" collapsed="false">
      <c r="A11129" s="1" t="s">
        <v>1080</v>
      </c>
      <c r="B11129" s="0" t="s">
        <v>98</v>
      </c>
      <c r="D11129" s="6" t="n">
        <f aca="false">Sens!D11126</f>
        <v>101.832</v>
      </c>
      <c r="E11129" s="6" t="n">
        <f aca="false">Sens!E11126</f>
        <v>133.749</v>
      </c>
      <c r="F11129" s="6" t="n">
        <f aca="false">Sens!F11126+Sens!F11119*(1-tax_f)</f>
        <v>152.517115409986</v>
      </c>
      <c r="G11129" s="6" t="n">
        <f aca="false">Sens!G11126+Sens!G11119*(1-tax_f)</f>
        <v>177.110729161777</v>
      </c>
      <c r="H11129" s="6" t="n">
        <f aca="false">Sens!H11126+Sens!H11119*(1-tax_f)</f>
        <v>206.769324248968</v>
      </c>
      <c r="I11129" s="6" t="n">
        <f aca="false">Sens!I11126+Sens!I11119*(1-tax_f)</f>
        <v>234.526398843395</v>
      </c>
      <c r="J11129" s="6" t="n">
        <f aca="false">Sens!J11126+Sens!J11119*(1-tax_f)</f>
        <v>257.737825999074</v>
      </c>
      <c r="K11129" s="6" t="n">
        <f aca="false">Sens!K11126+Sens!K11119*(1-tax_f)</f>
        <v>276.703698700423</v>
      </c>
    </row>
    <row r="11130" customFormat="false" ht="17.15" hidden="false" customHeight="false" outlineLevel="0" collapsed="false">
      <c r="A11130" s="0" t="s">
        <v>1081</v>
      </c>
      <c r="B11130" s="0" t="s">
        <v>75</v>
      </c>
      <c r="D11130" s="8" t="n">
        <f aca="false">Sens!D11129/Sens!D11127</f>
        <v>13.641259209645</v>
      </c>
      <c r="E11130" s="8" t="n">
        <f aca="false">Sens!E11129/Sens!E11127</f>
        <v>17.9456594659869</v>
      </c>
      <c r="F11130" s="8" t="n">
        <f aca="false">Sens!F11129/Sens!F11127</f>
        <v>20.4084401318558</v>
      </c>
      <c r="G11130" s="8" t="n">
        <f aca="false">Sens!G11129/Sens!G11127</f>
        <v>23.5583039332219</v>
      </c>
      <c r="H11130" s="8" t="n">
        <f aca="false">Sens!H11129/Sens!H11127</f>
        <v>27.402364737525</v>
      </c>
      <c r="I11130" s="8" t="n">
        <f aca="false">Sens!I11129/Sens!I11127</f>
        <v>31.0328643683153</v>
      </c>
      <c r="J11130" s="8" t="n">
        <f aca="false">Sens!J11129/Sens!J11127</f>
        <v>34.0405001864596</v>
      </c>
      <c r="K11130" s="8" t="n">
        <f aca="false">Sens!K11129/Sens!K11127</f>
        <v>36.4662480962454</v>
      </c>
      <c r="L11130" s="1" t="s">
        <v>1082</v>
      </c>
    </row>
    <row r="11131" customFormat="false" ht="17.15" hidden="false" customHeight="false" outlineLevel="0" collapsed="false">
      <c r="A11131" s="0" t="s">
        <v>1083</v>
      </c>
      <c r="B11131" s="0" t="s">
        <v>168</v>
      </c>
      <c r="E11131" s="7" t="n">
        <f aca="false">Sens!E11130/Sens!D11130-1</f>
        <v>0.315542736208578</v>
      </c>
      <c r="F11131" s="7" t="n">
        <f aca="false">Sens!F11130/Sens!E11130-1</f>
        <v>0.137235450752688</v>
      </c>
      <c r="G11131" s="7" t="n">
        <f aca="false">Sens!G11130/Sens!F11130-1</f>
        <v>0.154341232402638</v>
      </c>
      <c r="H11131" s="7" t="n">
        <f aca="false">Sens!H11130/Sens!G11130-1</f>
        <v>0.163172222210878</v>
      </c>
      <c r="I11131" s="7" t="n">
        <f aca="false">Sens!I11130/Sens!H11130-1</f>
        <v>0.132488552194867</v>
      </c>
      <c r="J11131" s="7" t="n">
        <f aca="false">Sens!J11130/Sens!I11130-1</f>
        <v>0.0969177637761038</v>
      </c>
      <c r="K11131" s="7" t="n">
        <f aca="false">Sens!K11130/Sens!J11130-1</f>
        <v>0.0712606423671385</v>
      </c>
    </row>
    <row r="11132" customFormat="false" ht="17.15" hidden="false" customHeight="false" outlineLevel="0" collapsed="false">
      <c r="A11132" s="0" t="s">
        <v>1003</v>
      </c>
      <c r="B11132" s="0" t="s">
        <v>98</v>
      </c>
      <c r="E11132" s="6" t="n">
        <f aca="false">Sens!E11073</f>
        <v>5.25</v>
      </c>
      <c r="F11132" s="6" t="n">
        <f aca="false">Sens!F11073</f>
        <v>12</v>
      </c>
      <c r="G11132" s="6" t="n">
        <f aca="false">Sens!G11073</f>
        <v>18</v>
      </c>
      <c r="H11132" s="6" t="n">
        <f aca="false">Sens!H11073</f>
        <v>24</v>
      </c>
      <c r="I11132" s="6" t="n">
        <f aca="false">Sens!I11073</f>
        <v>28.5</v>
      </c>
      <c r="J11132" s="6" t="n">
        <f aca="false">Sens!J11073</f>
        <v>31.5</v>
      </c>
      <c r="K11132" s="6" t="n">
        <f aca="false">Sens!K11073</f>
        <v>34.5</v>
      </c>
    </row>
    <row r="11133" customFormat="false" ht="17.15" hidden="false" customHeight="false" outlineLevel="0" collapsed="false">
      <c r="A11133" s="1" t="s">
        <v>1004</v>
      </c>
      <c r="B11133" s="0" t="s">
        <v>98</v>
      </c>
      <c r="F11133" s="6" t="n">
        <f aca="false">MAX(0,((Sens!E11033+Sens!F11033)/2-(shadow_base*(Sens!$D$11033+Sens!$E$11033)/2+(1-shadow_base)*Sens!$E$11033))*Sens!F11042/1000-(Sens!F11132-Sens!$E$11132)*Sens!F11112)</f>
        <v>9.7398427716299</v>
      </c>
      <c r="G11133" s="6" t="n">
        <f aca="false">MAX(0,((Sens!F11033+Sens!G11033)/2-(shadow_base*(Sens!$D$11033+Sens!$E$11033)/2+(1-shadow_base)*Sens!$E$11033))*Sens!G11042/1000-(Sens!G11132-Sens!$E$11132)*Sens!G11112)</f>
        <v>25.2753385959797</v>
      </c>
      <c r="H11133" s="6" t="n">
        <f aca="false">MAX(0,((Sens!G11033+Sens!H11033)/2-(shadow_base*(Sens!$D$11033+Sens!$E$11033)/2+(1-shadow_base)*Sens!$E$11033))*Sens!H11042/1000-(Sens!H11132-Sens!$E$11132)*Sens!H11112)</f>
        <v>42.2840253697948</v>
      </c>
      <c r="I11133" s="6" t="n">
        <f aca="false">MAX(0,((Sens!H11033+Sens!I11033)/2-(shadow_base*(Sens!$D$11033+Sens!$E$11033)/2+(1-shadow_base)*Sens!$E$11033))*Sens!I11042/1000-(Sens!I11132-Sens!$E$11132)*Sens!I11112)</f>
        <v>57.704943641581</v>
      </c>
      <c r="J11133" s="6" t="n">
        <f aca="false">MAX(0,((Sens!I11033+Sens!J11033)/2-(shadow_base*(Sens!$D$11033+Sens!$E$11033)/2+(1-shadow_base)*Sens!$E$11033))*Sens!J11042/1000-(Sens!J11132-Sens!$E$11132)*Sens!J11112)</f>
        <v>68.4828520908201</v>
      </c>
      <c r="K11133" s="6" t="n">
        <f aca="false">MAX(0,((Sens!J11033+Sens!K11033)/2-(shadow_base*(Sens!$D$11033+Sens!$E$11033)/2+(1-shadow_base)*Sens!$E$11033))*Sens!K11042/1000-(Sens!K11132-Sens!$E$11132)*Sens!K11112)</f>
        <v>74.3598374943249</v>
      </c>
      <c r="L11133" s="1" t="s">
        <v>1005</v>
      </c>
    </row>
    <row r="11134" customFormat="false" ht="17.15" hidden="false" customHeight="false" outlineLevel="0" collapsed="false">
      <c r="A11134" s="1" t="s">
        <v>1006</v>
      </c>
      <c r="B11134" s="0" t="s">
        <v>98</v>
      </c>
      <c r="F11134" s="6" t="n">
        <f aca="false">IF(internal_ai_reading=2,1,0)*Sens!F11133</f>
        <v>9.7398427716299</v>
      </c>
      <c r="G11134" s="6" t="n">
        <f aca="false">IF(internal_ai_reading=2,1,0)*Sens!G11133</f>
        <v>25.2753385959797</v>
      </c>
      <c r="H11134" s="6" t="n">
        <f aca="false">IF(internal_ai_reading=2,1,0)*Sens!H11133</f>
        <v>42.2840253697948</v>
      </c>
      <c r="I11134" s="6" t="n">
        <f aca="false">IF(internal_ai_reading=2,1,0)*Sens!I11133</f>
        <v>57.704943641581</v>
      </c>
      <c r="J11134" s="6" t="n">
        <f aca="false">IF(internal_ai_reading=2,1,0)*Sens!J11133</f>
        <v>68.4828520908201</v>
      </c>
      <c r="K11134" s="6" t="n">
        <f aca="false">IF(internal_ai_reading=2,1,0)*Sens!K11133</f>
        <v>74.3598374943249</v>
      </c>
    </row>
    <row r="11135" customFormat="false" ht="17.15" hidden="false" customHeight="false" outlineLevel="0" collapsed="false">
      <c r="A11135" s="0" t="s">
        <v>1007</v>
      </c>
      <c r="B11135" s="0" t="s">
        <v>98</v>
      </c>
      <c r="F11135" s="6" t="n">
        <f aca="false">Sens!F11052+Sens!F11132*Sens!F11112+Sens!F11134-Sens!F11053-Sens!F11064</f>
        <v>14.8152827562272</v>
      </c>
      <c r="G11135" s="6" t="n">
        <f aca="false">Sens!G11052+Sens!G11132*Sens!G11112+Sens!G11134-Sens!G11053-Sens!G11064</f>
        <v>31.0349977765951</v>
      </c>
      <c r="H11135" s="6" t="n">
        <f aca="false">Sens!H11052+Sens!H11132*Sens!H11112+Sens!H11134-Sens!H11053-Sens!H11064</f>
        <v>47.8811519709826</v>
      </c>
      <c r="I11135" s="6" t="n">
        <f aca="false">Sens!I11052+Sens!I11132*Sens!I11112+Sens!I11134-Sens!I11053-Sens!I11064</f>
        <v>62.6472166574028</v>
      </c>
      <c r="J11135" s="6" t="n">
        <f aca="false">Sens!J11052+Sens!J11132*Sens!J11112+Sens!J11134-Sens!J11053-Sens!J11064</f>
        <v>72.7882253357034</v>
      </c>
      <c r="K11135" s="6" t="n">
        <f aca="false">Sens!K11052+Sens!K11132*Sens!K11112+Sens!K11134-Sens!K11053-Sens!K11064</f>
        <v>79.4617812140187</v>
      </c>
    </row>
    <row r="11136" customFormat="false" ht="17.15" hidden="false" customHeight="false" outlineLevel="0" collapsed="false">
      <c r="A11136" s="0" t="s">
        <v>1008</v>
      </c>
      <c r="B11136" s="0" t="s">
        <v>98</v>
      </c>
      <c r="E11136" s="6" t="n">
        <f aca="false">Sens!E11032*(cxit_open+self_build*tk_cxfac)/1000*ai_net_open</f>
        <v>126.6980382</v>
      </c>
      <c r="F11136" s="6" t="n">
        <f aca="false">Sens!E11136+Sens!F11061-Sens!F11064</f>
        <v>260.572627763768</v>
      </c>
      <c r="G11136" s="6" t="n">
        <f aca="false">Sens!F11136+Sens!G11061-Sens!G11064</f>
        <v>391.782612760517</v>
      </c>
      <c r="H11136" s="6" t="n">
        <f aca="false">Sens!G11136+Sens!H11061-Sens!H11064</f>
        <v>499.488526163584</v>
      </c>
      <c r="I11136" s="6" t="n">
        <f aca="false">Sens!H11136+Sens!I11061-Sens!I11064</f>
        <v>553.872350090646</v>
      </c>
      <c r="J11136" s="6" t="n">
        <f aca="false">Sens!I11136+Sens!J11061-Sens!J11064</f>
        <v>550.78660823699</v>
      </c>
      <c r="K11136" s="6" t="n">
        <f aca="false">Sens!J11136+Sens!K11061-Sens!K11064</f>
        <v>526.736791750789</v>
      </c>
      <c r="L11136" s="1" t="s">
        <v>1009</v>
      </c>
    </row>
    <row r="11137" customFormat="false" ht="17.15" hidden="false" customHeight="false" outlineLevel="0" collapsed="false">
      <c r="A11137" s="0" t="s">
        <v>1010</v>
      </c>
      <c r="B11137" s="0" t="s">
        <v>168</v>
      </c>
      <c r="F11137" s="7" t="n">
        <f aca="false">Sens!F11135*(1-tax_f)/((Sens!E11136+Sens!F11136)/2)</f>
        <v>0.0612090057246454</v>
      </c>
      <c r="G11137" s="7" t="n">
        <f aca="false">Sens!G11135*(1-tax_f)/((Sens!F11136+Sens!G11136)/2)</f>
        <v>0.0761180310326695</v>
      </c>
      <c r="H11137" s="7" t="n">
        <f aca="false">Sens!H11135*(1-tax_f)/((Sens!G11136+Sens!H11136)/2)</f>
        <v>0.0859557095566361</v>
      </c>
      <c r="I11137" s="7" t="n">
        <f aca="false">Sens!I11135*(1-tax_f)/((Sens!H11136+Sens!I11136)/2)</f>
        <v>0.0951578408800258</v>
      </c>
      <c r="J11137" s="7" t="n">
        <f aca="false">Sens!J11135*(1-tax_f)/((Sens!I11136+Sens!J11136)/2)</f>
        <v>0.105427253958487</v>
      </c>
      <c r="K11137" s="7" t="n">
        <f aca="false">Sens!K11135*(1-tax_f)/((Sens!J11136+Sens!K11136)/2)</f>
        <v>0.117991729872291</v>
      </c>
    </row>
    <row r="11138" customFormat="false" ht="17.15" hidden="false" customHeight="false" outlineLevel="0" collapsed="false">
      <c r="A11138" s="1" t="s">
        <v>1011</v>
      </c>
      <c r="B11138" s="0" t="s">
        <v>168</v>
      </c>
      <c r="F11138" s="7" t="n">
        <f aca="false">(Sens!F11135-Sens!F11134)*(1-tax_f)/((Sens!E11136+Sens!F11136)/2)</f>
        <v>0.0209690655375262</v>
      </c>
      <c r="G11138" s="7" t="n">
        <f aca="false">(Sens!G11135-Sens!G11134)*(1-tax_f)/((Sens!F11136+Sens!G11136)/2)</f>
        <v>0.014126436206105</v>
      </c>
      <c r="H11138" s="7" t="n">
        <f aca="false">(Sens!H11135-Sens!H11134)*(1-tax_f)/((Sens!G11136+Sens!H11136)/2)</f>
        <v>0.010047899197893</v>
      </c>
      <c r="I11138" s="7" t="n">
        <f aca="false">(Sens!I11135-Sens!I11134)*(1-tax_f)/((Sens!H11136+Sens!I11136)/2)</f>
        <v>0.00750705385359908</v>
      </c>
      <c r="J11138" s="7" t="n">
        <f aca="false">(Sens!J11135-Sens!J11134)*(1-tax_f)/((Sens!I11136+Sens!J11136)/2)</f>
        <v>0.00623594924015468</v>
      </c>
      <c r="K11138" s="7" t="n">
        <f aca="false">(Sens!K11135-Sens!K11134)*(1-tax_f)/((Sens!J11136+Sens!K11136)/2)</f>
        <v>0.00757580758951754</v>
      </c>
    </row>
    <row r="11139" customFormat="false" ht="17.15" hidden="false" customHeight="false" outlineLevel="0" collapsed="false">
      <c r="A11139" s="1" t="s">
        <v>1012</v>
      </c>
      <c r="B11139" s="0" t="s">
        <v>168</v>
      </c>
      <c r="F11139" s="7" t="n">
        <f aca="false">(Sens!F11135-Sens!F11134+Sens!F11133)*(1-tax_f)/((Sens!E11136+Sens!F11136)/2)</f>
        <v>0.0612090057246454</v>
      </c>
      <c r="G11139" s="7" t="n">
        <f aca="false">(Sens!G11135-Sens!G11134+Sens!G11133)*(1-tax_f)/((Sens!F11136+Sens!G11136)/2)</f>
        <v>0.0761180310326695</v>
      </c>
      <c r="H11139" s="7" t="n">
        <f aca="false">(Sens!H11135-Sens!H11134+Sens!H11133)*(1-tax_f)/((Sens!G11136+Sens!H11136)/2)</f>
        <v>0.0859557095566361</v>
      </c>
      <c r="I11139" s="7" t="n">
        <f aca="false">(Sens!I11135-Sens!I11134+Sens!I11133)*(1-tax_f)/((Sens!H11136+Sens!I11136)/2)</f>
        <v>0.0951578408800258</v>
      </c>
      <c r="J11139" s="7" t="n">
        <f aca="false">(Sens!J11135-Sens!J11134+Sens!J11133)*(1-tax_f)/((Sens!I11136+Sens!J11136)/2)</f>
        <v>0.105427253958487</v>
      </c>
      <c r="K11139" s="7" t="n">
        <f aca="false">(Sens!K11135-Sens!K11134+Sens!K11133)*(1-tax_f)/((Sens!J11136+Sens!K11136)/2)</f>
        <v>0.117991729872291</v>
      </c>
    </row>
    <row r="11140" customFormat="false" ht="17.15" hidden="false" customHeight="false" outlineLevel="0" collapsed="false">
      <c r="A11140" s="1" t="s">
        <v>1013</v>
      </c>
      <c r="B11140" s="0" t="s">
        <v>168</v>
      </c>
      <c r="F11140" s="7" t="n">
        <f aca="false">Sens!F11065*(1-tax_f)/(Sens!F11051*(Sens!E11136+Sens!F11136)/2)</f>
        <v>0.129294830495493</v>
      </c>
      <c r="G11140" s="7" t="n">
        <f aca="false">Sens!G11065*(1-tax_f)/(Sens!G11051*(Sens!F11136+Sens!G11136)/2)</f>
        <v>0.12719599062164</v>
      </c>
      <c r="H11140" s="7" t="n">
        <f aca="false">Sens!H11065*(1-tax_f)/(Sens!H11051*(Sens!G11136+Sens!H11136)/2)</f>
        <v>0.130828167067624</v>
      </c>
      <c r="I11140" s="7" t="n">
        <f aca="false">Sens!I11065*(1-tax_f)/(Sens!I11051*(Sens!H11136+Sens!I11136)/2)</f>
        <v>0.138614526937417</v>
      </c>
      <c r="J11140" s="7" t="n">
        <f aca="false">Sens!J11065*(1-tax_f)/(Sens!J11051*(Sens!I11136+Sens!J11136)/2)</f>
        <v>0.150578919010924</v>
      </c>
      <c r="K11140" s="7" t="n">
        <f aca="false">Sens!K11065*(1-tax_f)/(Sens!K11051*(Sens!J11136+Sens!K11136)/2)</f>
        <v>0.167005345886664</v>
      </c>
    </row>
    <row r="11141" customFormat="false" ht="17.15" hidden="false" customHeight="false" outlineLevel="0" collapsed="false">
      <c r="A11141" s="0" t="s">
        <v>1014</v>
      </c>
      <c r="B11141" s="0" t="s">
        <v>253</v>
      </c>
      <c r="F11141" s="7" t="n">
        <f aca="false">Sens!F11137-wacc</f>
        <v>-0.0417275852209519</v>
      </c>
      <c r="G11141" s="7" t="n">
        <f aca="false">Sens!G11137-wacc</f>
        <v>-0.0268185599129278</v>
      </c>
      <c r="H11141" s="7" t="n">
        <f aca="false">Sens!H11137-wacc</f>
        <v>-0.0169808813889612</v>
      </c>
      <c r="I11141" s="7" t="n">
        <f aca="false">Sens!I11137-wacc</f>
        <v>-0.00777875006557149</v>
      </c>
      <c r="J11141" s="7" t="n">
        <f aca="false">Sens!J11137-wacc</f>
        <v>0.0024906630128898</v>
      </c>
      <c r="K11141" s="7" t="n">
        <f aca="false">Sens!K11137-wacc</f>
        <v>0.0150551389266932</v>
      </c>
    </row>
    <row r="11142" customFormat="false" ht="17.15" hidden="false" customHeight="false" outlineLevel="0" collapsed="false">
      <c r="A11142" s="0" t="s">
        <v>1015</v>
      </c>
      <c r="B11142" s="0" t="s">
        <v>98</v>
      </c>
      <c r="F11142" s="6" t="n">
        <f aca="false">Sens!F11135*(1-tax_f)-wacc*(Sens!E11136+Sens!F11136)/2</f>
        <v>-8.07993485878896</v>
      </c>
      <c r="G11142" s="6" t="n">
        <f aca="false">Sens!G11135*(1-tax_f)-wacc*(Sens!F11136+Sens!G11136)/2</f>
        <v>-8.74761405125648</v>
      </c>
      <c r="H11142" s="6" t="n">
        <f aca="false">Sens!H11135*(1-tax_f)-wacc*(Sens!G11136+Sens!H11136)/2</f>
        <v>-7.56728474773728</v>
      </c>
      <c r="I11142" s="6" t="n">
        <f aca="false">Sens!I11135*(1-tax_f)-wacc*(Sens!H11136+Sens!I11136)/2</f>
        <v>-4.09691549261652</v>
      </c>
      <c r="J11142" s="6" t="n">
        <f aca="false">Sens!J11135*(1-tax_f)-wacc*(Sens!I11136+Sens!J11136)/2</f>
        <v>1.37566660468201</v>
      </c>
      <c r="K11142" s="6" t="n">
        <f aca="false">Sens!K11135*(1-tax_f)-wacc*(Sens!J11136+Sens!K11136)/2</f>
        <v>8.11113224178941</v>
      </c>
    </row>
    <row r="11143" customFormat="false" ht="17.15" hidden="false" customHeight="false" outlineLevel="0" collapsed="false">
      <c r="A11143" s="3" t="s">
        <v>1758</v>
      </c>
    </row>
    <row r="11144" customFormat="false" ht="15" hidden="false" customHeight="false" outlineLevel="0" collapsed="false">
      <c r="A11144" s="4" t="s">
        <v>43</v>
      </c>
      <c r="B11144" s="4" t="s">
        <v>65</v>
      </c>
      <c r="C11144" s="23" t="s">
        <v>938</v>
      </c>
      <c r="D11144" s="23" t="s">
        <v>939</v>
      </c>
      <c r="E11144" s="23" t="s">
        <v>940</v>
      </c>
      <c r="F11144" s="23" t="s">
        <v>941</v>
      </c>
      <c r="G11144" s="23" t="s">
        <v>942</v>
      </c>
      <c r="H11144" s="23" t="s">
        <v>943</v>
      </c>
      <c r="I11144" s="23" t="s">
        <v>944</v>
      </c>
      <c r="J11144" s="23" t="s">
        <v>945</v>
      </c>
      <c r="K11144" s="23" t="s">
        <v>946</v>
      </c>
      <c r="L11144" s="4" t="s">
        <v>47</v>
      </c>
    </row>
    <row r="11145" customFormat="false" ht="15" hidden="false" customHeight="false" outlineLevel="0" collapsed="false">
      <c r="A11145" s="1" t="s">
        <v>1076</v>
      </c>
      <c r="B11145" s="0" t="s">
        <v>98</v>
      </c>
      <c r="F11145" s="6" t="n">
        <f aca="false">Sens!F11126</f>
        <v>144.725241192682</v>
      </c>
      <c r="G11145" s="6" t="n">
        <f aca="false">Sens!G11126</f>
        <v>156.890458284994</v>
      </c>
      <c r="H11145" s="6" t="n">
        <f aca="false">Sens!H11126</f>
        <v>172.942103953132</v>
      </c>
      <c r="I11145" s="6" t="n">
        <f aca="false">Sens!I11126</f>
        <v>188.36244393013</v>
      </c>
      <c r="J11145" s="6" t="n">
        <f aca="false">Sens!J11126</f>
        <v>202.951544326418</v>
      </c>
      <c r="K11145" s="6" t="n">
        <f aca="false">Sens!K11126</f>
        <v>217.215828704963</v>
      </c>
    </row>
    <row r="11146" customFormat="false" ht="17.15" hidden="false" customHeight="false" outlineLevel="0" collapsed="false">
      <c r="A11146" s="1" t="s">
        <v>1098</v>
      </c>
      <c r="B11146" s="0" t="s">
        <v>98</v>
      </c>
      <c r="E11146" s="6" t="n">
        <f aca="false">Q!M38-Sens!E11064</f>
        <v>22.2285940229167</v>
      </c>
      <c r="F11146" s="6" t="n">
        <f aca="false">Sens!E11146*(1-1/life_nonai)+(Sens!F11154+Sens!F11155)/life_nonai</f>
        <v>23.5810979905473</v>
      </c>
      <c r="G11146" s="6" t="n">
        <f aca="false">Sens!F11146*(1-1/life_nonai)+(Sens!G11154)/life_nonai</f>
        <v>25.3620751194287</v>
      </c>
      <c r="H11146" s="6" t="n">
        <f aca="false">Sens!G11146*(1-1/life_nonai)+(Sens!H11154)/life_nonai</f>
        <v>27.5389527887545</v>
      </c>
      <c r="I11146" s="6" t="n">
        <f aca="false">Sens!H11146*(1-1/life_nonai)+(Sens!I11154)/life_nonai</f>
        <v>30.0469060585788</v>
      </c>
      <c r="J11146" s="6" t="n">
        <f aca="false">Sens!I11146*(1-1/life_nonai)+(Sens!J11154)/life_nonai</f>
        <v>32.8044888755354</v>
      </c>
      <c r="K11146" s="6" t="n">
        <f aca="false">Sens!J11146*(1-1/life_nonai)+(Sens!K11154)/life_nonai</f>
        <v>35.7295257786321</v>
      </c>
      <c r="L11146" s="12" t="s">
        <v>1099</v>
      </c>
    </row>
    <row r="11147" customFormat="false" ht="17.15" hidden="false" customHeight="false" outlineLevel="0" collapsed="false">
      <c r="A11147" s="1" t="s">
        <v>1100</v>
      </c>
      <c r="B11147" s="0" t="s">
        <v>98</v>
      </c>
      <c r="F11147" s="6" t="n">
        <f aca="false">Sens!$F$11155/life_nonai*(1-1/life_nonai)^(Sens!F11027-2027)</f>
        <v>0</v>
      </c>
      <c r="G11147" s="6" t="n">
        <f aca="false">Sens!$F$11155/life_nonai*(1-1/life_nonai)^(Sens!G11027-2027)</f>
        <v>0</v>
      </c>
      <c r="H11147" s="6" t="n">
        <f aca="false">Sens!$F$11155/life_nonai*(1-1/life_nonai)^(Sens!H11027-2027)</f>
        <v>0</v>
      </c>
      <c r="I11147" s="6" t="n">
        <f aca="false">Sens!$F$11155/life_nonai*(1-1/life_nonai)^(Sens!I11027-2027)</f>
        <v>0</v>
      </c>
      <c r="J11147" s="6" t="n">
        <f aca="false">Sens!$F$11155/life_nonai*(1-1/life_nonai)^(Sens!J11027-2027)</f>
        <v>0</v>
      </c>
      <c r="K11147" s="6" t="n">
        <f aca="false">Sens!$F$11155/life_nonai*(1-1/life_nonai)^(Sens!K11027-2027)</f>
        <v>0</v>
      </c>
      <c r="L11147" s="1" t="s">
        <v>1101</v>
      </c>
    </row>
    <row r="11148" customFormat="false" ht="17.15" hidden="false" customHeight="false" outlineLevel="0" collapsed="false">
      <c r="A11148" s="1" t="s">
        <v>1102</v>
      </c>
      <c r="B11148" s="0" t="s">
        <v>98</v>
      </c>
      <c r="E11148" s="6" t="n">
        <f aca="false">Sens!E11064+Sens!E11146</f>
        <v>38.534</v>
      </c>
      <c r="F11148" s="6" t="n">
        <f aca="false">Sens!F11064+Sens!F11146</f>
        <v>58.1604124688989</v>
      </c>
      <c r="G11148" s="6" t="n">
        <f aca="false">Sens!G11064+Sens!G11146</f>
        <v>86.0965657717277</v>
      </c>
      <c r="H11148" s="6" t="n">
        <f aca="false">Sens!H11064+Sens!H11146</f>
        <v>116.6390434502</v>
      </c>
      <c r="I11148" s="6" t="n">
        <f aca="false">Sens!I11064+Sens!I11146</f>
        <v>144.277915753127</v>
      </c>
      <c r="J11148" s="6" t="n">
        <f aca="false">Sens!J11064+Sens!J11146</f>
        <v>164.820161925132</v>
      </c>
      <c r="K11148" s="6" t="n">
        <f aca="false">Sens!K11064+Sens!K11146</f>
        <v>178.742195329566</v>
      </c>
    </row>
    <row r="11149" customFormat="false" ht="17.15" hidden="false" customHeight="false" outlineLevel="0" collapsed="false">
      <c r="A11149" s="1" t="s">
        <v>1103</v>
      </c>
      <c r="B11149" s="0" t="s">
        <v>98</v>
      </c>
      <c r="F11149" s="6" t="n">
        <f aca="false">Sens!F11091*sbc_r</f>
        <v>14.9210751837455</v>
      </c>
      <c r="G11149" s="6" t="n">
        <f aca="false">Sens!G11091*sbc_r</f>
        <v>17.826218143756</v>
      </c>
      <c r="H11149" s="6" t="n">
        <f aca="false">Sens!H11091*sbc_r</f>
        <v>20.8073592943946</v>
      </c>
      <c r="I11149" s="6" t="n">
        <f aca="false">Sens!I11091*sbc_r</f>
        <v>23.5564951917191</v>
      </c>
      <c r="J11149" s="6" t="n">
        <f aca="false">Sens!J11091*sbc_r</f>
        <v>25.8247046554709</v>
      </c>
      <c r="K11149" s="6" t="n">
        <f aca="false">Sens!K11091*sbc_r</f>
        <v>27.6685254629821</v>
      </c>
    </row>
    <row r="11150" customFormat="false" ht="17.15" hidden="false" customHeight="false" outlineLevel="0" collapsed="false">
      <c r="A11150" s="1" t="s">
        <v>1104</v>
      </c>
      <c r="B11150" s="0" t="s">
        <v>98</v>
      </c>
      <c r="F11150" s="6" t="n">
        <f aca="false">wc27-wc26q1</f>
        <v>-4.677</v>
      </c>
      <c r="G11150" s="6" t="n">
        <f aca="false">wc_f</f>
        <v>0</v>
      </c>
      <c r="H11150" s="6" t="n">
        <f aca="false">wc_f</f>
        <v>0</v>
      </c>
      <c r="I11150" s="6" t="n">
        <f aca="false">wc_f</f>
        <v>0</v>
      </c>
      <c r="J11150" s="6" t="n">
        <f aca="false">wc_f</f>
        <v>0</v>
      </c>
      <c r="K11150" s="6" t="n">
        <f aca="false">wc_f</f>
        <v>0</v>
      </c>
      <c r="L11150" s="12" t="s">
        <v>1105</v>
      </c>
    </row>
    <row r="11151" customFormat="false" ht="17.15" hidden="false" customHeight="false" outlineLevel="0" collapsed="false">
      <c r="A11151" s="0" t="s">
        <v>1106</v>
      </c>
      <c r="B11151" s="0" t="s">
        <v>98</v>
      </c>
      <c r="F11151" s="6" t="n">
        <f aca="false">Q!$I$35-Q!$I$26-Q!$I$38-Q!$I$39</f>
        <v>6.493</v>
      </c>
      <c r="L11151" s="1" t="s">
        <v>1107</v>
      </c>
    </row>
    <row r="11152" customFormat="false" ht="15" hidden="false" customHeight="false" outlineLevel="0" collapsed="false">
      <c r="A11152" s="1" t="s">
        <v>904</v>
      </c>
      <c r="B11152" s="0" t="s">
        <v>98</v>
      </c>
      <c r="E11152" s="6" t="n">
        <f aca="false">Q!M35</f>
        <v>182.935</v>
      </c>
      <c r="F11152" s="6" t="n">
        <f aca="false">Sens!F11145+Sens!F11148+Sens!F11149+Sens!F11150+Sens!F11151</f>
        <v>219.622728845326</v>
      </c>
      <c r="G11152" s="6" t="n">
        <f aca="false">Sens!G11145+Sens!G11148+Sens!G11149+Sens!G11150</f>
        <v>260.813242200477</v>
      </c>
      <c r="H11152" s="6" t="n">
        <f aca="false">Sens!H11145+Sens!H11148+Sens!H11149+Sens!H11150</f>
        <v>310.388506697727</v>
      </c>
      <c r="I11152" s="6" t="n">
        <f aca="false">Sens!I11145+Sens!I11148+Sens!I11149+Sens!I11150</f>
        <v>356.196854874976</v>
      </c>
      <c r="J11152" s="6" t="n">
        <f aca="false">Sens!J11145+Sens!J11148+Sens!J11149+Sens!J11150</f>
        <v>393.59641090702</v>
      </c>
      <c r="K11152" s="6" t="n">
        <f aca="false">Sens!K11145+Sens!K11148+Sens!K11149+Sens!K11150</f>
        <v>423.626549497511</v>
      </c>
    </row>
    <row r="11153" customFormat="false" ht="17.15" hidden="false" customHeight="false" outlineLevel="0" collapsed="false">
      <c r="A11153" s="0" t="s">
        <v>1108</v>
      </c>
      <c r="B11153" s="0" t="s">
        <v>98</v>
      </c>
      <c r="F11153" s="6" t="n">
        <f aca="false">Sens!F11061</f>
        <v>168.45390404212</v>
      </c>
      <c r="G11153" s="6" t="n">
        <f aca="false">Sens!G11061</f>
        <v>191.944475649048</v>
      </c>
      <c r="H11153" s="6" t="n">
        <f aca="false">Sens!H11061</f>
        <v>196.806004064512</v>
      </c>
      <c r="I11153" s="6" t="n">
        <f aca="false">Sens!I11061</f>
        <v>168.61483362161</v>
      </c>
      <c r="J11153" s="6" t="n">
        <f aca="false">Sens!J11061</f>
        <v>128.92993119594</v>
      </c>
      <c r="K11153" s="6" t="n">
        <f aca="false">Sens!K11061</f>
        <v>118.962853064733</v>
      </c>
    </row>
    <row r="11154" customFormat="false" ht="17.15" hidden="false" customHeight="false" outlineLevel="0" collapsed="false">
      <c r="A11154" s="1" t="s">
        <v>1109</v>
      </c>
      <c r="B11154" s="0" t="s">
        <v>98</v>
      </c>
      <c r="E11154" s="6" t="n">
        <f aca="false">Sens!E11069*cx_azo+Sens!E11076*cx_m365+Sens!E11077*cx_lic+(Sens!E11079+Sens!E11081)*cx_ind+Sens!E11084*cx_srch+(Sens!E11086+Sens!E11088)*cx_dev</f>
        <v>30.1846587067718</v>
      </c>
      <c r="F11154" s="6" t="n">
        <f aca="false">Sens!F11069*cx_azo+Sens!F11076*cx_m365+Sens!F11077*cx_lic+(Sens!F11079+Sens!F11081)*cx_ind+Sens!F11084*cx_srch+(Sens!F11086+Sens!F11088)*cx_dev</f>
        <v>35.7536336992227</v>
      </c>
      <c r="G11154" s="6" t="n">
        <f aca="false">Sens!G11069*cx_azo+Sens!G11076*cx_m365+Sens!G11077*cx_lic+(Sens!G11079+Sens!G11081)*cx_ind+Sens!G11084*cx_srch+(Sens!G11086+Sens!G11088)*cx_dev</f>
        <v>41.3908692793619</v>
      </c>
      <c r="H11154" s="6" t="n">
        <f aca="false">Sens!H11069*cx_azo+Sens!H11076*cx_m365+Sens!H11077*cx_lic+(Sens!H11079+Sens!H11081)*cx_ind+Sens!H11084*cx_srch+(Sens!H11086+Sens!H11088)*cx_dev</f>
        <v>47.1308518126867</v>
      </c>
      <c r="I11154" s="6" t="n">
        <f aca="false">Sens!I11069*cx_azo+Sens!I11076*cx_m365+Sens!I11077*cx_lic+(Sens!I11079+Sens!I11081)*cx_ind+Sens!I11084*cx_srch+(Sens!I11086+Sens!I11088)*cx_dev</f>
        <v>52.6184854869967</v>
      </c>
      <c r="J11154" s="6" t="n">
        <f aca="false">Sens!J11069*cx_azo+Sens!J11076*cx_m365+Sens!J11077*cx_lic+(Sens!J11079+Sens!J11081)*cx_ind+Sens!J11084*cx_srch+(Sens!J11086+Sens!J11088)*cx_dev</f>
        <v>57.622734228145</v>
      </c>
      <c r="K11154" s="6" t="n">
        <f aca="false">Sens!K11069*cx_azo+Sens!K11076*cx_m365+Sens!K11077*cx_lic+(Sens!K11079+Sens!K11081)*cx_ind+Sens!K11084*cx_srch+(Sens!K11086+Sens!K11088)*cx_dev</f>
        <v>62.0548579065026</v>
      </c>
    </row>
    <row r="11155" customFormat="false" ht="17.15" hidden="false" customHeight="false" outlineLevel="0" collapsed="false">
      <c r="A11155" s="0" t="s">
        <v>1110</v>
      </c>
      <c r="B11155" s="0" t="s">
        <v>98</v>
      </c>
      <c r="F11155" s="6" t="n">
        <f aca="false">Sens!F11059</f>
        <v>0</v>
      </c>
      <c r="L11155" s="1" t="s">
        <v>1111</v>
      </c>
    </row>
    <row r="11156" customFormat="false" ht="17.15" hidden="false" customHeight="false" outlineLevel="0" collapsed="false">
      <c r="A11156" s="1" t="s">
        <v>1112</v>
      </c>
      <c r="B11156" s="0" t="s">
        <v>98</v>
      </c>
      <c r="E11156" s="6" t="n">
        <f aca="false">Q!M43</f>
        <v>145.3</v>
      </c>
      <c r="F11156" s="6" t="n">
        <f aca="false">Sens!F11153+Sens!F11154+Sens!F11155</f>
        <v>204.207537741342</v>
      </c>
      <c r="G11156" s="6" t="n">
        <f aca="false">Sens!G11153+Sens!G11154</f>
        <v>233.33534492841</v>
      </c>
      <c r="H11156" s="6" t="n">
        <f aca="false">Sens!H11153+Sens!H11154</f>
        <v>243.936855877199</v>
      </c>
      <c r="I11156" s="6" t="n">
        <f aca="false">Sens!I11153+Sens!I11154</f>
        <v>221.233319108607</v>
      </c>
      <c r="J11156" s="6" t="n">
        <f aca="false">Sens!J11153+Sens!J11154</f>
        <v>186.552665424085</v>
      </c>
      <c r="K11156" s="6" t="n">
        <f aca="false">Sens!K11153+Sens!K11154</f>
        <v>181.017710971235</v>
      </c>
      <c r="L11156" s="1" t="s">
        <v>1113</v>
      </c>
    </row>
    <row r="11157" customFormat="false" ht="15" hidden="false" customHeight="false" outlineLevel="0" collapsed="false">
      <c r="A11157" s="1" t="s">
        <v>1114</v>
      </c>
      <c r="B11157" s="0" t="s">
        <v>98</v>
      </c>
      <c r="E11157" s="6" t="n">
        <f aca="false">fl_liab</f>
        <v>66.594</v>
      </c>
      <c r="F11157" s="6" t="n">
        <f aca="false">Sens!E11157-Sens!F11158</f>
        <v>62.46973</v>
      </c>
      <c r="G11157" s="6" t="n">
        <f aca="false">Sens!F11157-Sens!G11158</f>
        <v>57.98686785</v>
      </c>
      <c r="H11157" s="6" t="n">
        <f aca="false">Sens!G11157-Sens!H11158</f>
        <v>53.92827690325</v>
      </c>
      <c r="I11157" s="6" t="n">
        <f aca="false">Sens!H11157-Sens!I11158</f>
        <v>49.7850493638962</v>
      </c>
      <c r="J11157" s="6" t="n">
        <f aca="false">Sens!I11157-Sens!J11158</f>
        <v>45.4823765852716</v>
      </c>
      <c r="K11157" s="6" t="n">
        <f aca="false">Sens!J11157-Sens!K11158</f>
        <v>40.9860835316088</v>
      </c>
    </row>
    <row r="11158" customFormat="false" ht="15" hidden="false" customHeight="false" outlineLevel="0" collapsed="false">
      <c r="A11158" s="1" t="s">
        <v>1115</v>
      </c>
      <c r="B11158" s="0" t="s">
        <v>98</v>
      </c>
      <c r="F11158" s="6" t="n">
        <f aca="false">fl_pay_27-Sens!E11157*fl_rate</f>
        <v>4.12427</v>
      </c>
      <c r="G11158" s="6" t="n">
        <f aca="false">fl_pay_28-Sens!F11157*fl_rate</f>
        <v>4.48286215</v>
      </c>
      <c r="H11158" s="6" t="n">
        <f aca="false">fl_pay_29-Sens!G11157*fl_rate</f>
        <v>4.05859094675</v>
      </c>
      <c r="I11158" s="6" t="n">
        <f aca="false">fl_pay_30-Sens!H11157*fl_rate</f>
        <v>4.14322753935375</v>
      </c>
      <c r="J11158" s="6" t="n">
        <f aca="false">fl_pay_31-Sens!I11157*fl_rate</f>
        <v>4.30267277862467</v>
      </c>
      <c r="K11158" s="6" t="n">
        <f aca="false">fl_pay_32-Sens!J11157*fl_rate</f>
        <v>4.49629305366278</v>
      </c>
    </row>
    <row r="11159" customFormat="false" ht="17.15" hidden="false" customHeight="false" outlineLevel="0" collapsed="false">
      <c r="A11159" s="1" t="s">
        <v>1116</v>
      </c>
      <c r="B11159" s="0" t="s">
        <v>98</v>
      </c>
      <c r="E11159" s="6" t="n">
        <f aca="false">Q!M35-Q!M36-Q!M44</f>
        <v>63.886</v>
      </c>
      <c r="F11159" s="6" t="n">
        <f aca="false">Sens!F11152-Sens!F11156-Sens!F11158</f>
        <v>11.2909211039838</v>
      </c>
      <c r="G11159" s="6" t="n">
        <f aca="false">Sens!G11152-Sens!G11156-Sens!G11158</f>
        <v>22.9950351220673</v>
      </c>
      <c r="H11159" s="6" t="n">
        <f aca="false">Sens!H11152-Sens!H11156-Sens!H11158</f>
        <v>62.3930598737779</v>
      </c>
      <c r="I11159" s="6" t="n">
        <f aca="false">Sens!I11152-Sens!I11156-Sens!I11158</f>
        <v>130.820308227016</v>
      </c>
      <c r="J11159" s="6" t="n">
        <f aca="false">Sens!J11152-Sens!J11156-Sens!J11158</f>
        <v>202.74107270431</v>
      </c>
      <c r="K11159" s="6" t="n">
        <f aca="false">Sens!K11152-Sens!K11156-Sens!K11158</f>
        <v>238.112545472613</v>
      </c>
      <c r="L11159" s="12" t="s">
        <v>1117</v>
      </c>
    </row>
    <row r="11160" customFormat="false" ht="15" hidden="false" customHeight="false" outlineLevel="0" collapsed="false">
      <c r="A11160" s="1" t="s">
        <v>1118</v>
      </c>
      <c r="B11160" s="0" t="s">
        <v>75</v>
      </c>
      <c r="F11160" s="8" t="n">
        <f aca="false">dps_27</f>
        <v>3.85</v>
      </c>
      <c r="G11160" s="8" t="n">
        <f aca="false">Sens!F11160*(1+dps_g)</f>
        <v>4.158</v>
      </c>
      <c r="H11160" s="8" t="n">
        <f aca="false">Sens!G11160*(1+dps_g)</f>
        <v>4.49064</v>
      </c>
      <c r="I11160" s="8" t="n">
        <f aca="false">Sens!H11160*(1+dps_g)</f>
        <v>4.8498912</v>
      </c>
      <c r="J11160" s="8" t="n">
        <f aca="false">Sens!I11160*(1+dps_g)</f>
        <v>5.237882496</v>
      </c>
      <c r="K11160" s="8" t="n">
        <f aca="false">Sens!J11160*(1+dps_g)</f>
        <v>5.65691309568</v>
      </c>
    </row>
    <row r="11161" customFormat="false" ht="17.15" hidden="false" customHeight="false" outlineLevel="0" collapsed="false">
      <c r="A11161" s="1" t="s">
        <v>1119</v>
      </c>
      <c r="B11161" s="0" t="s">
        <v>98</v>
      </c>
      <c r="E11161" s="6" t="n">
        <f aca="false">Q!M41</f>
        <v>26.445</v>
      </c>
      <c r="F11161" s="6" t="n">
        <f aca="false">Sens!F11160*Sens!E11170</f>
        <v>28.59395</v>
      </c>
      <c r="G11161" s="6" t="n">
        <f aca="false">Sens!G11160*Sens!F11170</f>
        <v>31.0663911348902</v>
      </c>
      <c r="H11161" s="6" t="n">
        <f aca="false">Sens!H11160*Sens!G11170</f>
        <v>33.7537812256814</v>
      </c>
      <c r="I11161" s="6" t="n">
        <f aca="false">Sens!I11160*Sens!H11170</f>
        <v>36.5045220008086</v>
      </c>
      <c r="J11161" s="6" t="n">
        <f aca="false">Sens!J11160*Sens!I11170</f>
        <v>39.4927816462659</v>
      </c>
      <c r="K11161" s="6" t="n">
        <f aca="false">Sens!K11160*Sens!J11170</f>
        <v>42.7389584403454</v>
      </c>
      <c r="L11161" s="1" t="s">
        <v>1120</v>
      </c>
    </row>
    <row r="11162" customFormat="false" ht="15" hidden="false" customHeight="false" outlineLevel="0" collapsed="false">
      <c r="A11162" s="1" t="s">
        <v>1121</v>
      </c>
      <c r="B11162" s="0" t="s">
        <v>98</v>
      </c>
      <c r="E11162" s="6" t="n">
        <f aca="false">Sens!E11159-Sens!E11161</f>
        <v>37.441</v>
      </c>
      <c r="F11162" s="6" t="n">
        <f aca="false">Sens!F11159-Sens!F11161</f>
        <v>-17.3030288960162</v>
      </c>
      <c r="G11162" s="6" t="n">
        <f aca="false">Sens!G11159-Sens!G11161</f>
        <v>-8.0713560128229</v>
      </c>
      <c r="H11162" s="6" t="n">
        <f aca="false">Sens!H11159-Sens!H11161</f>
        <v>28.6392786480965</v>
      </c>
      <c r="I11162" s="6" t="n">
        <f aca="false">Sens!I11159-Sens!I11161</f>
        <v>94.3157862262071</v>
      </c>
      <c r="J11162" s="6" t="n">
        <f aca="false">Sens!J11159-Sens!J11161</f>
        <v>163.248291058044</v>
      </c>
      <c r="K11162" s="6" t="n">
        <f aca="false">Sens!K11159-Sens!K11161</f>
        <v>195.373587032268</v>
      </c>
    </row>
    <row r="11163" customFormat="false" ht="15" hidden="false" customHeight="false" outlineLevel="0" collapsed="false">
      <c r="A11163" s="1" t="s">
        <v>1122</v>
      </c>
      <c r="B11163" s="0" t="s">
        <v>98</v>
      </c>
      <c r="F11163" s="6" t="n">
        <f aca="false">debt_mat_27</f>
        <v>9.25</v>
      </c>
      <c r="G11163" s="6" t="n">
        <f aca="false">debt_mat_28</f>
        <v>0</v>
      </c>
      <c r="H11163" s="6" t="n">
        <f aca="false">debt_mat_29</f>
        <v>2.001</v>
      </c>
      <c r="I11163" s="6" t="n">
        <f aca="false">debt_mat_30</f>
        <v>0</v>
      </c>
      <c r="J11163" s="6" t="n">
        <f aca="false">debt_mat_31</f>
        <v>0.5</v>
      </c>
      <c r="K11163" s="6" t="n">
        <f aca="false">debt_mat_32</f>
        <v>0</v>
      </c>
    </row>
    <row r="11164" customFormat="false" ht="15" hidden="false" customHeight="false" outlineLevel="0" collapsed="false">
      <c r="A11164" s="1" t="s">
        <v>1123</v>
      </c>
      <c r="B11164" s="0" t="s">
        <v>98</v>
      </c>
      <c r="E11164" s="6" t="n">
        <f aca="false">Q!M40</f>
        <v>22.271</v>
      </c>
      <c r="F11164" s="6" t="n">
        <f aca="false">MAX(0,MIN(bb_target,Sens!E11166+Sens!F11162-Sens!F11163-min_cash))</f>
        <v>0.289971103983774</v>
      </c>
      <c r="G11164" s="6" t="n">
        <f aca="false">MAX(0,MIN(bb_target,Sens!F11166+Sens!G11162-Sens!G11163-min_cash))</f>
        <v>0</v>
      </c>
      <c r="H11164" s="6" t="n">
        <f aca="false">MAX(0,MIN(bb_target,Sens!G11166+Sens!H11162-Sens!H11163-min_cash))</f>
        <v>22.271</v>
      </c>
      <c r="I11164" s="6" t="n">
        <f aca="false">MAX(0,MIN(bb_target,Sens!H11166+Sens!I11162-Sens!I11163-min_cash))</f>
        <v>22.271</v>
      </c>
      <c r="J11164" s="6" t="n">
        <f aca="false">MAX(0,MIN(bb_target,Sens!I11166+Sens!J11162-Sens!J11163-min_cash))</f>
        <v>22.271</v>
      </c>
      <c r="K11164" s="6" t="n">
        <f aca="false">MAX(0,MIN(bb_target,Sens!J11166+Sens!K11162-Sens!K11163-min_cash))</f>
        <v>22.271</v>
      </c>
    </row>
    <row r="11165" customFormat="false" ht="15" hidden="false" customHeight="false" outlineLevel="0" collapsed="false">
      <c r="A11165" s="1" t="s">
        <v>1124</v>
      </c>
      <c r="B11165" s="0" t="s">
        <v>98</v>
      </c>
      <c r="F11165" s="6" t="n">
        <f aca="false">MAX(0,min_cash-(Sens!E11166+Sens!F11162-Sens!F11163-Sens!F11164))</f>
        <v>0</v>
      </c>
      <c r="G11165" s="6" t="n">
        <f aca="false">MAX(0,min_cash-(Sens!F11166+Sens!G11162-Sens!G11163-Sens!G11164))</f>
        <v>8.0713560128229</v>
      </c>
      <c r="H11165" s="6" t="n">
        <f aca="false">MAX(0,min_cash-(Sens!G11166+Sens!H11162-Sens!H11163-Sens!H11164))</f>
        <v>0</v>
      </c>
      <c r="I11165" s="6" t="n">
        <f aca="false">MAX(0,min_cash-(Sens!H11166+Sens!I11162-Sens!I11163-Sens!I11164))</f>
        <v>0</v>
      </c>
      <c r="J11165" s="6" t="n">
        <f aca="false">MAX(0,min_cash-(Sens!I11166+Sens!J11162-Sens!J11163-Sens!J11164))</f>
        <v>0</v>
      </c>
      <c r="K11165" s="6" t="n">
        <f aca="false">MAX(0,min_cash-(Sens!J11166+Sens!K11162-Sens!K11163-Sens!K11164))</f>
        <v>0</v>
      </c>
    </row>
    <row r="11166" customFormat="false" ht="15" hidden="false" customHeight="false" outlineLevel="0" collapsed="false">
      <c r="A11166" s="1" t="s">
        <v>1125</v>
      </c>
      <c r="B11166" s="0" t="s">
        <v>98</v>
      </c>
      <c r="E11166" s="6" t="n">
        <f aca="false">cash_open</f>
        <v>76.843</v>
      </c>
      <c r="F11166" s="6" t="n">
        <f aca="false">Sens!E11166+Sens!F11162-Sens!F11163-Sens!F11164+Sens!F11165</f>
        <v>50</v>
      </c>
      <c r="G11166" s="6" t="n">
        <f aca="false">Sens!F11166+Sens!G11162-Sens!G11163-Sens!G11164+Sens!G11165</f>
        <v>50</v>
      </c>
      <c r="H11166" s="6" t="n">
        <f aca="false">Sens!G11166+Sens!H11162-Sens!H11163-Sens!H11164+Sens!H11165</f>
        <v>54.3672786480965</v>
      </c>
      <c r="I11166" s="6" t="n">
        <f aca="false">Sens!H11166+Sens!I11162-Sens!I11163-Sens!I11164+Sens!I11165</f>
        <v>126.412064874304</v>
      </c>
      <c r="J11166" s="6" t="n">
        <f aca="false">Sens!I11166+Sens!J11162-Sens!J11163-Sens!J11164+Sens!J11165</f>
        <v>266.889355932348</v>
      </c>
      <c r="K11166" s="6" t="n">
        <f aca="false">Sens!J11166+Sens!K11162-Sens!K11163-Sens!K11164+Sens!K11165</f>
        <v>439.991942964616</v>
      </c>
    </row>
    <row r="11167" customFormat="false" ht="15" hidden="false" customHeight="false" outlineLevel="0" collapsed="false">
      <c r="A11167" s="1" t="s">
        <v>1126</v>
      </c>
      <c r="B11167" s="0" t="s">
        <v>98</v>
      </c>
      <c r="E11167" s="6" t="n">
        <f aca="false">debt_face</f>
        <v>46.136</v>
      </c>
      <c r="F11167" s="6" t="n">
        <f aca="false">Sens!E11167-Sens!F11163+Sens!F11165</f>
        <v>36.886</v>
      </c>
      <c r="G11167" s="6" t="n">
        <f aca="false">Sens!F11167-Sens!G11163+Sens!G11165</f>
        <v>44.9573560128229</v>
      </c>
      <c r="H11167" s="6" t="n">
        <f aca="false">Sens!G11167-Sens!H11163+Sens!H11165</f>
        <v>42.9563560128229</v>
      </c>
      <c r="I11167" s="6" t="n">
        <f aca="false">Sens!H11167-Sens!I11163+Sens!I11165</f>
        <v>42.9563560128229</v>
      </c>
      <c r="J11167" s="6" t="n">
        <f aca="false">Sens!I11167-Sens!J11163+Sens!J11165</f>
        <v>42.4563560128229</v>
      </c>
      <c r="K11167" s="6" t="n">
        <f aca="false">Sens!J11167-Sens!K11163+Sens!K11165</f>
        <v>42.4563560128229</v>
      </c>
    </row>
    <row r="11168" customFormat="false" ht="15" hidden="false" customHeight="false" outlineLevel="0" collapsed="false">
      <c r="A11168" s="1" t="s">
        <v>1127</v>
      </c>
      <c r="B11168" s="0" t="s">
        <v>98</v>
      </c>
      <c r="E11168" s="6" t="n">
        <f aca="false">Sens!E11166-Sens!E11167</f>
        <v>30.707</v>
      </c>
      <c r="F11168" s="6" t="n">
        <f aca="false">Sens!F11166-Sens!F11167</f>
        <v>13.114</v>
      </c>
      <c r="G11168" s="6" t="n">
        <f aca="false">Sens!G11166-Sens!G11167</f>
        <v>5.04264398717709</v>
      </c>
      <c r="H11168" s="6" t="n">
        <f aca="false">Sens!H11166-Sens!H11167</f>
        <v>11.4109226352736</v>
      </c>
      <c r="I11168" s="6" t="n">
        <f aca="false">Sens!I11166-Sens!I11167</f>
        <v>83.4557088614806</v>
      </c>
      <c r="J11168" s="6" t="n">
        <f aca="false">Sens!J11166-Sens!J11167</f>
        <v>224.432999919525</v>
      </c>
      <c r="K11168" s="6" t="n">
        <f aca="false">Sens!K11166-Sens!K11167</f>
        <v>397.535586951793</v>
      </c>
    </row>
    <row r="11169" customFormat="false" ht="15" hidden="false" customHeight="false" outlineLevel="0" collapsed="false">
      <c r="A11169" s="1" t="s">
        <v>1128</v>
      </c>
      <c r="B11169" s="0" t="s">
        <v>75</v>
      </c>
      <c r="F11169" s="30" t="n">
        <f aca="false">px*(1+bb_g)^(Sens!F11027-base_fy-mid_yr)</f>
        <v>551.84177959629</v>
      </c>
      <c r="G11169" s="30" t="n">
        <f aca="false">px*(1+bb_g)^(Sens!G11027-base_fy-mid_yr)</f>
        <v>595.989121963993</v>
      </c>
      <c r="H11169" s="30" t="n">
        <f aca="false">px*(1+bb_g)^(Sens!H11027-base_fy-mid_yr)</f>
        <v>643.668251721112</v>
      </c>
      <c r="I11169" s="30" t="n">
        <f aca="false">px*(1+bb_g)^(Sens!I11027-base_fy-mid_yr)</f>
        <v>695.161711858801</v>
      </c>
      <c r="J11169" s="30" t="n">
        <f aca="false">px*(1+bb_g)^(Sens!J11027-base_fy-mid_yr)</f>
        <v>750.774648807506</v>
      </c>
      <c r="K11169" s="30" t="n">
        <f aca="false">px*(1+bb_g)^(Sens!K11027-base_fy-mid_yr)</f>
        <v>810.836620712106</v>
      </c>
    </row>
    <row r="11170" customFormat="false" ht="15" hidden="false" customHeight="false" outlineLevel="0" collapsed="false">
      <c r="A11170" s="1" t="s">
        <v>1129</v>
      </c>
      <c r="B11170" s="1" t="s">
        <v>81</v>
      </c>
      <c r="E11170" s="15" t="n">
        <f aca="false">sh_out26</f>
        <v>7.427</v>
      </c>
      <c r="F11170" s="15" t="n">
        <f aca="false">Sens!E11170+sh_iss-Sens!F11164/Sens!F11169</f>
        <v>7.47147453941563</v>
      </c>
      <c r="G11170" s="15" t="n">
        <f aca="false">Sens!F11170+sh_iss-Sens!G11164/Sens!G11169</f>
        <v>7.51647453941563</v>
      </c>
      <c r="H11170" s="15" t="n">
        <f aca="false">Sens!G11170+sh_iss-Sens!H11164/Sens!H11169</f>
        <v>7.52687441747324</v>
      </c>
      <c r="I11170" s="15" t="n">
        <f aca="false">Sens!H11170+sh_iss-Sens!I11164/Sens!I11169</f>
        <v>7.53983726752657</v>
      </c>
      <c r="J11170" s="15" t="n">
        <f aca="false">Sens!I11170+sh_iss-Sens!J11164/Sens!J11169</f>
        <v>7.55517323979818</v>
      </c>
      <c r="K11170" s="15" t="n">
        <f aca="false">Sens!J11170+sh_iss-Sens!K11164/Sens!K11169</f>
        <v>7.57270654745708</v>
      </c>
    </row>
    <row r="11171" customFormat="false" ht="15" hidden="false" customHeight="false" outlineLevel="0" collapsed="false">
      <c r="A11171" s="1" t="s">
        <v>1130</v>
      </c>
      <c r="B11171" s="1" t="s">
        <v>81</v>
      </c>
      <c r="E11171" s="15" t="n">
        <f aca="false">sh_dil26</f>
        <v>7.453</v>
      </c>
      <c r="F11171" s="15" t="n">
        <f aca="false">(Sens!E11170+Sens!F11170)/2+dil_gap</f>
        <v>7.47323726970782</v>
      </c>
      <c r="G11171" s="15" t="n">
        <f aca="false">(Sens!F11170+Sens!G11170)/2+dil_gap</f>
        <v>7.51797453941563</v>
      </c>
      <c r="H11171" s="15" t="n">
        <f aca="false">(Sens!G11170+Sens!H11170)/2+dil_gap</f>
        <v>7.54567447844444</v>
      </c>
      <c r="I11171" s="15" t="n">
        <f aca="false">(Sens!H11170+Sens!I11170)/2+dil_gap</f>
        <v>7.55735584249991</v>
      </c>
      <c r="J11171" s="15" t="n">
        <f aca="false">(Sens!I11170+Sens!J11170)/2+dil_gap</f>
        <v>7.57150525366238</v>
      </c>
      <c r="K11171" s="15" t="n">
        <f aca="false">(Sens!J11170+Sens!K11170)/2+dil_gap</f>
        <v>7.58793989362763</v>
      </c>
    </row>
    <row r="11172" customFormat="false" ht="17.15" hidden="false" customHeight="false" outlineLevel="0" collapsed="false">
      <c r="A11172" s="1" t="s">
        <v>1131</v>
      </c>
      <c r="B11172" s="0" t="s">
        <v>98</v>
      </c>
      <c r="C11172" s="6" t="n">
        <f aca="false">SUM(Sens!F11162:J11162)</f>
        <v>260.828971023509</v>
      </c>
    </row>
    <row r="11173" customFormat="false" ht="15" hidden="false" customHeight="false" outlineLevel="0" collapsed="false">
      <c r="A11173" s="26" t="s">
        <v>1096</v>
      </c>
      <c r="B11173" s="31" t="s">
        <v>98</v>
      </c>
      <c r="C11173" s="27" t="n">
        <f aca="false">Sens!$C$11172-(Sens!F11162+Sens!G11162+Sens!H11162+Sens!I11162+Sens!J11162)</f>
        <v>0</v>
      </c>
      <c r="D11173" s="31"/>
      <c r="E11173" s="31"/>
      <c r="F11173" s="31"/>
      <c r="G11173" s="31"/>
      <c r="H11173" s="31"/>
      <c r="I11173" s="31"/>
      <c r="J11173" s="31"/>
      <c r="K11173" s="31"/>
    </row>
    <row r="11174" customFormat="false" ht="17.15" hidden="false" customHeight="false" outlineLevel="0" collapsed="false">
      <c r="A11174" s="1" t="s">
        <v>1090</v>
      </c>
      <c r="B11174" s="1" t="s">
        <v>1132</v>
      </c>
      <c r="C11174" s="33" t="str">
        <f aca="false">IF(SUM(Sens!F11165:J11165)&gt;0.05,"需要舉債 "&amp;TEXT(SUM(Sens!F11165:J11165),"0.0")&amp;" 十億美元","不需舉債")&amp;"；"&amp;IF(SUM(Sens!F11164:J11164)&lt;COUNT(Sens!F11164:J11164)*bb_target-0.05,"回購較每年 "&amp;TEXT(bb_target,"0.0")&amp;" 的目標少 "&amp;TEXT(COUNT(Sens!F11164:J11164)*bb_target-SUM(Sens!F11164:J11164),"0.0")&amp;" 十億美元（"&amp;TEXT(COUNTIF(Sens!F11164:J11164,"&lt;"&amp;(bb_target-0.05)),"0")&amp;" 年減少）","回購不減")</f>
        <v>需要舉債 8.1 十億美元；回購較每年 22.3 的目標少 44.3 十億美元（2 年減少）</v>
      </c>
    </row>
    <row r="11175" customFormat="false" ht="17.15" hidden="false" customHeight="false" outlineLevel="0" collapsed="false">
      <c r="A11175" s="3" t="s">
        <v>1759</v>
      </c>
    </row>
    <row r="11176" customFormat="false" ht="15" hidden="false" customHeight="false" outlineLevel="0" collapsed="false">
      <c r="A11176" s="4" t="s">
        <v>43</v>
      </c>
      <c r="B11176" s="4" t="s">
        <v>65</v>
      </c>
      <c r="C11176" s="23" t="s">
        <v>938</v>
      </c>
      <c r="D11176" s="23" t="s">
        <v>939</v>
      </c>
      <c r="E11176" s="23" t="s">
        <v>940</v>
      </c>
      <c r="F11176" s="23" t="s">
        <v>941</v>
      </c>
      <c r="G11176" s="23" t="s">
        <v>942</v>
      </c>
      <c r="H11176" s="23" t="s">
        <v>943</v>
      </c>
      <c r="I11176" s="23" t="s">
        <v>944</v>
      </c>
      <c r="J11176" s="23" t="s">
        <v>945</v>
      </c>
      <c r="K11176" s="23" t="s">
        <v>946</v>
      </c>
      <c r="L11176" s="4" t="s">
        <v>47</v>
      </c>
    </row>
    <row r="11177" customFormat="false" ht="17.15" hidden="false" customHeight="false" outlineLevel="0" collapsed="false">
      <c r="A11177" s="1" t="s">
        <v>1212</v>
      </c>
      <c r="B11177" s="1" t="s">
        <v>279</v>
      </c>
      <c r="F11177" s="8" t="n">
        <f aca="false">(1-v_off)*mid_yr</f>
        <v>0.373972602739726</v>
      </c>
      <c r="G11177" s="8" t="n">
        <f aca="false">Sens!G11027-base_fy-mid_yr-v_off</f>
        <v>1.24794520547945</v>
      </c>
      <c r="H11177" s="8" t="n">
        <f aca="false">Sens!H11027-base_fy-mid_yr-v_off</f>
        <v>2.24794520547945</v>
      </c>
      <c r="I11177" s="8" t="n">
        <f aca="false">Sens!I11027-base_fy-mid_yr-v_off</f>
        <v>3.24794520547945</v>
      </c>
      <c r="J11177" s="8" t="n">
        <f aca="false">Sens!J11027-base_fy-mid_yr-v_off</f>
        <v>4.24794520547945</v>
      </c>
      <c r="K11177" s="8" t="n">
        <f aca="false">Sens!K11027-base_fy-mid_yr-v_off</f>
        <v>5.24794520547945</v>
      </c>
      <c r="L11177" s="12" t="s">
        <v>1213</v>
      </c>
    </row>
    <row r="11178" customFormat="false" ht="15" hidden="false" customHeight="false" outlineLevel="0" collapsed="false">
      <c r="A11178" s="1" t="s">
        <v>1214</v>
      </c>
      <c r="B11178" s="1" t="s">
        <v>279</v>
      </c>
      <c r="F11178" s="8" t="n">
        <f aca="false">Sens!F11027-base_fy-v_off</f>
        <v>0.747945205479452</v>
      </c>
      <c r="G11178" s="8" t="n">
        <f aca="false">Sens!G11027-base_fy-v_off</f>
        <v>1.74794520547945</v>
      </c>
      <c r="H11178" s="8" t="n">
        <f aca="false">Sens!H11027-base_fy-v_off</f>
        <v>2.74794520547945</v>
      </c>
      <c r="I11178" s="8" t="n">
        <f aca="false">Sens!I11027-base_fy-v_off</f>
        <v>3.74794520547945</v>
      </c>
      <c r="J11178" s="8" t="n">
        <f aca="false">Sens!J11027-base_fy-v_off</f>
        <v>4.74794520547945</v>
      </c>
      <c r="K11178" s="8" t="n">
        <f aca="false">Sens!K11027-base_fy-v_off</f>
        <v>5.74794520547945</v>
      </c>
    </row>
    <row r="11179" customFormat="false" ht="15" hidden="false" customHeight="false" outlineLevel="0" collapsed="false">
      <c r="A11179" s="1" t="s">
        <v>1215</v>
      </c>
      <c r="B11179" s="0" t="s">
        <v>229</v>
      </c>
      <c r="F11179" s="15" t="n">
        <f aca="false">1/(1+wacc)^Sens!F11177</f>
        <v>0.964022703286649</v>
      </c>
      <c r="G11179" s="15" t="n">
        <f aca="false">1/(1+wacc)^Sens!G11177</f>
        <v>0.884910302296739</v>
      </c>
      <c r="H11179" s="15" t="n">
        <f aca="false">1/(1+wacc)^Sens!H11177</f>
        <v>0.802322009770358</v>
      </c>
      <c r="I11179" s="15" t="n">
        <f aca="false">1/(1+wacc)^Sens!I11177</f>
        <v>0.727441646561469</v>
      </c>
      <c r="J11179" s="15" t="n">
        <f aca="false">1/(1+wacc)^Sens!J11177</f>
        <v>0.659549834988973</v>
      </c>
      <c r="K11179" s="15" t="n">
        <f aca="false">1/(1+wacc)^Sens!K11177</f>
        <v>0.597994336576966</v>
      </c>
    </row>
    <row r="11180" customFormat="false" ht="17.15" hidden="false" customHeight="false" outlineLevel="0" collapsed="false">
      <c r="A11180" s="1" t="s">
        <v>1216</v>
      </c>
      <c r="B11180" s="0" t="s">
        <v>98</v>
      </c>
      <c r="F11180" s="6" t="n">
        <f aca="false">Q!$I$35-Q!$I$39-Q!$I$43</f>
        <v>9.666</v>
      </c>
      <c r="L11180" s="12" t="s">
        <v>1217</v>
      </c>
    </row>
    <row r="11181" customFormat="false" ht="17.15" hidden="false" customHeight="false" outlineLevel="0" collapsed="false">
      <c r="A11181" s="1" t="s">
        <v>1218</v>
      </c>
      <c r="B11181" s="0" t="s">
        <v>98</v>
      </c>
      <c r="F11181" s="6" t="n">
        <f aca="false">Sens!F11152-Sens!F11149-Sens!F11156+Sens!F11134*(1-tax_f)*(1-v_off)-Sens!F11180</f>
        <v>-3.34398911723033</v>
      </c>
      <c r="G11181" s="6" t="n">
        <f aca="false">Sens!G11152-Sens!G11149-Sens!G11156+Sens!G11134*(1-tax_f)</f>
        <v>29.8719500050951</v>
      </c>
      <c r="H11181" s="6" t="n">
        <f aca="false">Sens!H11152-Sens!H11149-Sens!H11156+Sens!H11134*(1-tax_f)</f>
        <v>79.4715118219691</v>
      </c>
      <c r="I11181" s="6" t="n">
        <f aca="false">Sens!I11152-Sens!I11149-Sens!I11156+Sens!I11134*(1-tax_f)</f>
        <v>157.570995487915</v>
      </c>
      <c r="J11181" s="6" t="n">
        <f aca="false">Sens!J11152-Sens!J11149-Sens!J11156+Sens!J11134*(1-tax_f)</f>
        <v>236.00532250012</v>
      </c>
      <c r="K11181" s="6" t="n">
        <f aca="false">Sens!K11152-Sens!K11149-Sens!K11156+Sens!K11134*(1-tax_f)</f>
        <v>274.428183058754</v>
      </c>
      <c r="L11181" s="1" t="s">
        <v>1219</v>
      </c>
    </row>
    <row r="11182" customFormat="false" ht="15" hidden="false" customHeight="false" outlineLevel="0" collapsed="false">
      <c r="A11182" s="1" t="s">
        <v>1220</v>
      </c>
      <c r="B11182" s="0" t="s">
        <v>98</v>
      </c>
      <c r="F11182" s="6" t="n">
        <f aca="false">Sens!F11181*Sens!F11179</f>
        <v>-3.22368142855352</v>
      </c>
      <c r="G11182" s="6" t="n">
        <f aca="false">Sens!G11181*Sens!G11179</f>
        <v>26.4339963092017</v>
      </c>
      <c r="H11182" s="6" t="n">
        <f aca="false">Sens!H11181*Sens!H11179</f>
        <v>63.761743084491</v>
      </c>
      <c r="I11182" s="6" t="n">
        <f aca="false">Sens!I11181*Sens!I11179</f>
        <v>114.623704408059</v>
      </c>
      <c r="J11182" s="6" t="n">
        <f aca="false">Sens!J11181*Sens!J11179</f>
        <v>155.657271511473</v>
      </c>
      <c r="K11182" s="6" t="n">
        <f aca="false">Sens!K11181*Sens!K11179</f>
        <v>164.106499266242</v>
      </c>
    </row>
    <row r="11183" customFormat="false" ht="17.15" hidden="false" customHeight="false" outlineLevel="0" collapsed="false">
      <c r="A11183" s="1" t="s">
        <v>1221</v>
      </c>
      <c r="B11183" s="0" t="s">
        <v>98</v>
      </c>
      <c r="C11183" s="6" t="n">
        <f aca="false">SUM(Sens!F11182:K11182)</f>
        <v>521.359533150913</v>
      </c>
    </row>
    <row r="11184" customFormat="false" ht="17.15" hidden="false" customHeight="false" outlineLevel="0" collapsed="false">
      <c r="A11184" s="1" t="s">
        <v>1222</v>
      </c>
      <c r="B11184" s="0" t="s">
        <v>98</v>
      </c>
      <c r="C11184" s="6" t="n">
        <f aca="false">Sens!K11120*(1+g_tv)*(1-tax_f)</f>
        <v>285.993609661436</v>
      </c>
    </row>
    <row r="11185" customFormat="false" ht="17.15" hidden="false" customHeight="false" outlineLevel="0" collapsed="false">
      <c r="A11185" s="1" t="s">
        <v>1223</v>
      </c>
      <c r="B11185" s="0" t="s">
        <v>98</v>
      </c>
      <c r="C11185" s="6" t="n">
        <f aca="false">Sens!$C$11184*(1-g_tv/(wacc+ronic_prem))</f>
        <v>202.643187707229</v>
      </c>
    </row>
    <row r="11186" customFormat="false" ht="17.15" hidden="false" customHeight="false" outlineLevel="0" collapsed="false">
      <c r="A11186" s="1" t="s">
        <v>1224</v>
      </c>
      <c r="B11186" s="0" t="s">
        <v>98</v>
      </c>
      <c r="C11186" s="6" t="n">
        <f aca="false">Sens!$C$11185/(wacc-g_tv)</f>
        <v>2778.34739847355</v>
      </c>
    </row>
    <row r="11187" customFormat="false" ht="15" hidden="false" customHeight="false" outlineLevel="0" collapsed="false">
      <c r="A11187" s="1" t="s">
        <v>1225</v>
      </c>
      <c r="B11187" s="0" t="s">
        <v>98</v>
      </c>
      <c r="C11187" s="6" t="n">
        <f aca="false">Sens!$C$11186/(1+wacc)^Sens!K11178</f>
        <v>1582.00680186551</v>
      </c>
    </row>
    <row r="11188" customFormat="false" ht="17.15" hidden="false" customHeight="false" outlineLevel="0" collapsed="false">
      <c r="A11188" s="0" t="s">
        <v>1226</v>
      </c>
      <c r="B11188" s="0" t="s">
        <v>98</v>
      </c>
      <c r="C11188" s="6" t="n">
        <f aca="false">Sens!$C$11183+Sens!$C$11187</f>
        <v>2103.36633501642</v>
      </c>
    </row>
    <row r="11189" customFormat="false" ht="15" hidden="false" customHeight="false" outlineLevel="0" collapsed="false">
      <c r="A11189" s="1" t="s">
        <v>1141</v>
      </c>
      <c r="B11189" s="0" t="s">
        <v>168</v>
      </c>
      <c r="C11189" s="7" t="n">
        <f aca="false">Sens!$C$11187/Sens!$C$11188</f>
        <v>0.752130893952506</v>
      </c>
    </row>
    <row r="11190" customFormat="false" ht="17.15" hidden="false" customHeight="false" outlineLevel="0" collapsed="false">
      <c r="A11190" s="1" t="s">
        <v>1227</v>
      </c>
      <c r="B11190" s="0" t="s">
        <v>98</v>
      </c>
      <c r="C11190" s="6" t="n">
        <f aca="false">Sens!$C$11188+cash_val-debt_val-fl_val+oai_v</f>
        <v>2219.21733501642</v>
      </c>
    </row>
    <row r="11191" customFormat="false" ht="17.15" hidden="false" customHeight="false" outlineLevel="0" collapsed="false">
      <c r="A11191" s="0" t="s">
        <v>1149</v>
      </c>
      <c r="B11191" s="0" t="s">
        <v>75</v>
      </c>
      <c r="C11191" s="5" t="n">
        <f aca="false">Sens!$C$11190/shd_val</f>
        <v>298.041543784102</v>
      </c>
    </row>
    <row r="11192" customFormat="false" ht="15" hidden="false" customHeight="false" outlineLevel="0" collapsed="false">
      <c r="A11192" s="1" t="s">
        <v>1228</v>
      </c>
      <c r="B11192" s="0" t="s">
        <v>75</v>
      </c>
      <c r="C11192" s="8" t="n">
        <f aca="false">div_rem27+Sens!G11160*roll_div_q/q_per_yr</f>
        <v>3.9795</v>
      </c>
    </row>
    <row r="11193" customFormat="false" ht="17.15" hidden="false" customHeight="false" outlineLevel="0" collapsed="false">
      <c r="A11193" s="0" t="s">
        <v>1229</v>
      </c>
      <c r="B11193" s="0" t="s">
        <v>75</v>
      </c>
      <c r="C11193" s="5" t="n">
        <f aca="false">Sens!$C$11191*(1+wacc)^t_roll-Sens!$C$11192</f>
        <v>327.310309836277</v>
      </c>
    </row>
    <row r="11194" customFormat="false" ht="17.15" hidden="false" customHeight="false" outlineLevel="0" collapsed="false">
      <c r="A11194" s="1" t="s">
        <v>1230</v>
      </c>
      <c r="B11194" s="0" t="s">
        <v>168</v>
      </c>
      <c r="F11194" s="7" t="n">
        <f aca="false">Sens!F11146/(Sens!F11091-Sens!F11046)</f>
        <v>0.0686029017199347</v>
      </c>
      <c r="G11194" s="7" t="n">
        <f aca="false">Sens!G11146/(Sens!G11091-Sens!G11046)</f>
        <v>0.0657780026841462</v>
      </c>
      <c r="H11194" s="7" t="n">
        <f aca="false">Sens!H11146/(Sens!H11091-Sens!H11046)</f>
        <v>0.0642817102576398</v>
      </c>
      <c r="I11194" s="7" t="n">
        <f aca="false">Sens!I11146/(Sens!I11091-Sens!I11046)</f>
        <v>0.0639915455982076</v>
      </c>
      <c r="J11194" s="7" t="n">
        <f aca="false">Sens!J11146/(Sens!J11091-Sens!J11046)</f>
        <v>0.0646216800742799</v>
      </c>
      <c r="K11194" s="7" t="n">
        <f aca="false">Sens!K11146/(Sens!K11091-Sens!K11046)</f>
        <v>0.0658214883440265</v>
      </c>
    </row>
    <row r="11195" customFormat="false" ht="17.15" hidden="false" customHeight="false" outlineLevel="0" collapsed="false">
      <c r="A11195" s="0" t="s">
        <v>1231</v>
      </c>
      <c r="B11195" s="0" t="s">
        <v>98</v>
      </c>
      <c r="F11195" s="6" t="n">
        <f aca="false">Sens!F11076*(al_m365+Sens!F11194+sbc_r)</f>
        <v>83.7185857021835</v>
      </c>
      <c r="G11195" s="6" t="n">
        <f aca="false">Sens!G11076*(al_m365+Sens!G11194+sbc_r)</f>
        <v>96.122563369685</v>
      </c>
      <c r="H11195" s="6" t="n">
        <f aca="false">Sens!H11076*(al_m365+Sens!H11194+sbc_r)</f>
        <v>108.686834570807</v>
      </c>
      <c r="I11195" s="6" t="n">
        <f aca="false">Sens!I11076*(al_m365+Sens!I11194+sbc_r)</f>
        <v>120.229911383782</v>
      </c>
      <c r="J11195" s="6" t="n">
        <f aca="false">Sens!J11076*(al_m365+Sens!J11194+sbc_r)</f>
        <v>130.562770732</v>
      </c>
      <c r="K11195" s="6" t="n">
        <f aca="false">Sens!K11076*(al_m365+Sens!K11194+sbc_r)</f>
        <v>140.499979435066</v>
      </c>
      <c r="L11195" s="12" t="s">
        <v>1232</v>
      </c>
    </row>
    <row r="11196" customFormat="false" ht="17.15" hidden="false" customHeight="false" outlineLevel="0" collapsed="false">
      <c r="A11196" s="0" t="s">
        <v>1233</v>
      </c>
      <c r="B11196" s="0" t="s">
        <v>98</v>
      </c>
      <c r="F11196" s="6" t="n">
        <f aca="false">Sens!F11077*(al_lic+Sens!F11194+sbc_r)</f>
        <v>32.8571260233698</v>
      </c>
      <c r="G11196" s="6" t="n">
        <f aca="false">Sens!G11077*(al_lic+Sens!G11194+sbc_r)</f>
        <v>34.1354118800862</v>
      </c>
      <c r="H11196" s="6" t="n">
        <f aca="false">Sens!H11077*(al_lic+Sens!H11194+sbc_r)</f>
        <v>35.3281006195464</v>
      </c>
      <c r="I11196" s="6" t="n">
        <f aca="false">Sens!I11077*(al_lic+Sens!I11194+sbc_r)</f>
        <v>36.4169416510584</v>
      </c>
      <c r="J11196" s="6" t="n">
        <f aca="false">Sens!J11077*(al_lic+Sens!J11194+sbc_r)</f>
        <v>37.3763513382584</v>
      </c>
      <c r="K11196" s="6" t="n">
        <f aca="false">Sens!K11077*(al_lic+Sens!K11194+sbc_r)</f>
        <v>38.1775651203033</v>
      </c>
    </row>
    <row r="11197" customFormat="false" ht="17.15" hidden="false" customHeight="false" outlineLevel="0" collapsed="false">
      <c r="A11197" s="0" t="s">
        <v>1234</v>
      </c>
      <c r="B11197" s="0" t="s">
        <v>98</v>
      </c>
      <c r="F11197" s="6" t="n">
        <f aca="false">Sens!F11079*(al_ind+Sens!F11194+sbc_r)</f>
        <v>9.06004510797221</v>
      </c>
      <c r="G11197" s="6" t="n">
        <f aca="false">Sens!G11079*(al_ind+Sens!G11194+sbc_r)</f>
        <v>9.83484049665315</v>
      </c>
      <c r="H11197" s="6" t="n">
        <f aca="false">Sens!H11079*(al_ind+Sens!H11194+sbc_r)</f>
        <v>10.6541552265999</v>
      </c>
      <c r="I11197" s="6" t="n">
        <f aca="false">Sens!I11079*(al_ind+Sens!I11194+sbc_r)</f>
        <v>11.5148046611148</v>
      </c>
      <c r="J11197" s="6" t="n">
        <f aca="false">Sens!J11079*(al_ind+Sens!J11194+sbc_r)</f>
        <v>12.4068553815237</v>
      </c>
      <c r="K11197" s="6" t="n">
        <f aca="false">Sens!K11079*(al_ind+Sens!K11194+sbc_r)</f>
        <v>13.3149563726447</v>
      </c>
    </row>
    <row r="11198" customFormat="false" ht="17.15" hidden="false" customHeight="false" outlineLevel="0" collapsed="false">
      <c r="A11198" s="0" t="s">
        <v>1235</v>
      </c>
      <c r="B11198" s="0" t="s">
        <v>98</v>
      </c>
      <c r="F11198" s="6" t="n">
        <f aca="false">Sens!F11081*(al_fro+Sens!F11194+sbc_r)</f>
        <v>3.55388361956696</v>
      </c>
      <c r="G11198" s="6" t="n">
        <f aca="false">Sens!G11081*(al_fro+Sens!G11194+sbc_r)</f>
        <v>3.76309821324937</v>
      </c>
      <c r="H11198" s="6" t="n">
        <f aca="false">Sens!H11081*(al_fro+Sens!H11194+sbc_r)</f>
        <v>4.00113533016108</v>
      </c>
      <c r="I11198" s="6" t="n">
        <f aca="false">Sens!I11081*(al_fro+Sens!I11194+sbc_r)</f>
        <v>4.27070260491857</v>
      </c>
      <c r="J11198" s="6" t="n">
        <f aca="false">Sens!J11081*(al_fro+Sens!J11194+sbc_r)</f>
        <v>4.57285715124733</v>
      </c>
      <c r="K11198" s="6" t="n">
        <f aca="false">Sens!K11081*(al_fro+Sens!K11194+sbc_r)</f>
        <v>4.90756050544992</v>
      </c>
    </row>
    <row r="11199" customFormat="false" ht="17.15" hidden="false" customHeight="false" outlineLevel="0" collapsed="false">
      <c r="A11199" s="0" t="s">
        <v>1236</v>
      </c>
      <c r="B11199" s="0" t="s">
        <v>98</v>
      </c>
      <c r="F11199" s="6" t="n">
        <f aca="false">Sens!F11084*(al_srch+Sens!F11194+sbc_r)</f>
        <v>11.2269824399217</v>
      </c>
      <c r="G11199" s="6" t="n">
        <f aca="false">Sens!G11084*(al_srch+Sens!G11194+sbc_r)</f>
        <v>12.4135681694687</v>
      </c>
      <c r="H11199" s="6" t="n">
        <f aca="false">Sens!H11084*(al_srch+Sens!H11194+sbc_r)</f>
        <v>13.7288915987973</v>
      </c>
      <c r="I11199" s="6" t="n">
        <f aca="false">Sens!I11084*(al_srch+Sens!I11194+sbc_r)</f>
        <v>15.1830487531194</v>
      </c>
      <c r="J11199" s="6" t="n">
        <f aca="false">Sens!J11084*(al_srch+Sens!J11194+sbc_r)</f>
        <v>16.7786612345515</v>
      </c>
      <c r="K11199" s="6" t="n">
        <f aca="false">Sens!K11084*(al_srch+Sens!K11194+sbc_r)</f>
        <v>18.5116120822655</v>
      </c>
    </row>
    <row r="11200" customFormat="false" ht="17.15" hidden="false" customHeight="false" outlineLevel="0" collapsed="false">
      <c r="A11200" s="0" t="s">
        <v>1237</v>
      </c>
      <c r="B11200" s="0" t="s">
        <v>98</v>
      </c>
      <c r="F11200" s="6" t="n">
        <f aca="false">Sens!F11052-Sens!F11053+Sens!F11134</f>
        <v>42.5431090240393</v>
      </c>
      <c r="G11200" s="6" t="n">
        <f aca="false">Sens!G11052-Sens!G11053+Sens!G11134</f>
        <v>81.4922561130847</v>
      </c>
      <c r="H11200" s="6" t="n">
        <f aca="false">Sens!H11052-Sens!H11053+Sens!H11134</f>
        <v>123.278266211349</v>
      </c>
      <c r="I11200" s="6" t="n">
        <f aca="false">Sens!I11052-Sens!I11053+Sens!I11134</f>
        <v>160.60594185192</v>
      </c>
      <c r="J11200" s="6" t="n">
        <f aca="false">Sens!J11052-Sens!J11053+Sens!J11134</f>
        <v>186.818741832633</v>
      </c>
      <c r="K11200" s="6" t="n">
        <f aca="false">Sens!K11052-Sens!K11053+Sens!K11134</f>
        <v>202.776422159652</v>
      </c>
    </row>
    <row r="11201" customFormat="false" ht="17.15" hidden="false" customHeight="false" outlineLevel="0" collapsed="false">
      <c r="A11201" s="0" t="s">
        <v>1238</v>
      </c>
      <c r="B11201" s="0" t="s">
        <v>98</v>
      </c>
      <c r="F11201" s="6" t="n">
        <f aca="false">Sens!F11113+Sens!F11134+Sens!F11064+Sens!F11194*(Sens!F11083-Sens!F11046)+sbc_r*Sens!F11083</f>
        <v>238.086073740181</v>
      </c>
      <c r="G11201" s="6" t="n">
        <f aca="false">Sens!G11113+Sens!G11134+Sens!G11064+Sens!G11194*(Sens!G11083-Sens!G11046)+sbc_r*Sens!G11083</f>
        <v>299.890709379799</v>
      </c>
      <c r="H11201" s="6" t="n">
        <f aca="false">Sens!H11113+Sens!H11134+Sens!H11064+Sens!H11194*(Sens!H11083-Sens!H11046)+sbc_r*Sens!H11083</f>
        <v>369.41901172961</v>
      </c>
      <c r="I11201" s="6" t="n">
        <f aca="false">Sens!I11113+Sens!I11134+Sens!I11064+Sens!I11194*(Sens!I11083-Sens!I11046)+sbc_r*Sens!I11083</f>
        <v>433.096046992668</v>
      </c>
      <c r="J11201" s="6" t="n">
        <f aca="false">Sens!J11113+Sens!J11134+Sens!J11064+Sens!J11194*(Sens!J11083-Sens!J11046)+sbc_r*Sens!J11083</f>
        <v>483.187648827369</v>
      </c>
      <c r="K11201" s="6" t="n">
        <f aca="false">Sens!K11113+Sens!K11134+Sens!K11064+Sens!K11194*(Sens!K11083-Sens!K11046)+sbc_r*Sens!K11083</f>
        <v>520.615869891631</v>
      </c>
    </row>
    <row r="11202" customFormat="false" ht="17.15" hidden="false" customHeight="false" outlineLevel="0" collapsed="false">
      <c r="A11202" s="0" t="s">
        <v>1239</v>
      </c>
      <c r="B11202" s="0" t="s">
        <v>98</v>
      </c>
      <c r="F11202" s="6" t="n">
        <f aca="false">Sens!F11201-Sens!F11195-Sens!F11196-Sens!F11197-Sens!F11198-Sens!F11200</f>
        <v>66.3533242630492</v>
      </c>
      <c r="G11202" s="6" t="n">
        <f aca="false">Sens!G11201-Sens!G11195-Sens!G11196-Sens!G11197-Sens!G11198-Sens!G11200</f>
        <v>74.5425393070404</v>
      </c>
      <c r="H11202" s="6" t="n">
        <f aca="false">Sens!H11201-Sens!H11195-Sens!H11196-Sens!H11197-Sens!H11198-Sens!H11200</f>
        <v>87.4705197711465</v>
      </c>
      <c r="I11202" s="6" t="n">
        <f aca="false">Sens!I11201-Sens!I11195-Sens!I11196-Sens!I11197-Sens!I11198-Sens!I11200</f>
        <v>100.057744839875</v>
      </c>
      <c r="J11202" s="6" t="n">
        <f aca="false">Sens!J11201-Sens!J11195-Sens!J11196-Sens!J11197-Sens!J11198-Sens!J11200</f>
        <v>111.450072391707</v>
      </c>
      <c r="K11202" s="6" t="n">
        <f aca="false">Sens!K11201-Sens!K11195-Sens!K11196-Sens!K11197-Sens!K11198-Sens!K11200</f>
        <v>120.939386298516</v>
      </c>
    </row>
    <row r="11203" customFormat="false" ht="17.15" hidden="false" customHeight="false" outlineLevel="0" collapsed="false">
      <c r="A11203" s="0" t="s">
        <v>1240</v>
      </c>
      <c r="B11203" s="0" t="s">
        <v>98</v>
      </c>
      <c r="F11203" s="6" t="n">
        <f aca="false">Sens!F11115+Sens!F11194*Sens!F11090+sbc_r*Sens!F11090</f>
        <v>26.6705581749454</v>
      </c>
      <c r="G11203" s="6" t="n">
        <f aca="false">Sens!G11115+Sens!G11194*Sens!G11090+sbc_r*Sens!G11090</f>
        <v>26.6204859879067</v>
      </c>
      <c r="H11203" s="6" t="n">
        <f aca="false">Sens!H11115+Sens!H11194*Sens!H11090+sbc_r*Sens!H11090</f>
        <v>27.6890463261944</v>
      </c>
      <c r="I11203" s="6" t="n">
        <f aca="false">Sens!I11115+Sens!I11194*Sens!I11090+sbc_r*Sens!I11090</f>
        <v>29.0963625064216</v>
      </c>
      <c r="J11203" s="6" t="n">
        <f aca="false">Sens!J11115+Sens!J11194*Sens!J11090+sbc_r*Sens!J11090</f>
        <v>30.8295002520759</v>
      </c>
      <c r="K11203" s="6" t="n">
        <f aca="false">Sens!K11115+Sens!K11194*Sens!K11090+sbc_r*Sens!K11090</f>
        <v>32.8744742764464</v>
      </c>
    </row>
    <row r="11204" customFormat="false" ht="17.15" hidden="false" customHeight="false" outlineLevel="0" collapsed="false">
      <c r="A11204" s="0" t="s">
        <v>1241</v>
      </c>
      <c r="B11204" s="0" t="s">
        <v>98</v>
      </c>
      <c r="F11204" s="6" t="n">
        <f aca="false">(Sens!F11203-Sens!F11199)*Sens!F11086/(Sens!F11086+Sens!F11088)</f>
        <v>8.72230792908817</v>
      </c>
      <c r="G11204" s="6" t="n">
        <f aca="false">(Sens!G11203-Sens!G11199)*Sens!G11086/(Sens!G11086+Sens!G11088)</f>
        <v>7.88596105570777</v>
      </c>
      <c r="H11204" s="6" t="n">
        <f aca="false">(Sens!H11203-Sens!H11199)*Sens!H11086/(Sens!H11086+Sens!H11088)</f>
        <v>7.64804168675751</v>
      </c>
      <c r="I11204" s="6" t="n">
        <f aca="false">(Sens!I11203-Sens!I11199)*Sens!I11086/(Sens!I11086+Sens!I11088)</f>
        <v>7.5558483640992</v>
      </c>
      <c r="J11204" s="6" t="n">
        <f aca="false">(Sens!J11203-Sens!J11199)*Sens!J11086/(Sens!J11086+Sens!J11088)</f>
        <v>7.59724200902217</v>
      </c>
      <c r="K11204" s="6" t="n">
        <f aca="false">(Sens!K11203-Sens!K11199)*Sens!K11086/(Sens!K11086+Sens!K11088)</f>
        <v>7.76595190474634</v>
      </c>
    </row>
    <row r="11205" customFormat="false" ht="17.15" hidden="false" customHeight="false" outlineLevel="0" collapsed="false">
      <c r="A11205" s="0" t="s">
        <v>1242</v>
      </c>
      <c r="B11205" s="0" t="s">
        <v>98</v>
      </c>
      <c r="F11205" s="6" t="n">
        <f aca="false">Sens!F11203-Sens!F11199-Sens!F11204</f>
        <v>6.72126780593556</v>
      </c>
      <c r="G11205" s="6" t="n">
        <f aca="false">Sens!G11203-Sens!G11199-Sens!G11204</f>
        <v>6.32095676273016</v>
      </c>
      <c r="H11205" s="6" t="n">
        <f aca="false">Sens!H11203-Sens!H11199-Sens!H11204</f>
        <v>6.31211304063965</v>
      </c>
      <c r="I11205" s="6" t="n">
        <f aca="false">Sens!I11203-Sens!I11199-Sens!I11204</f>
        <v>6.35746538920296</v>
      </c>
      <c r="J11205" s="6" t="n">
        <f aca="false">Sens!J11203-Sens!J11199-Sens!J11204</f>
        <v>6.45359700850215</v>
      </c>
      <c r="K11205" s="6" t="n">
        <f aca="false">Sens!K11203-Sens!K11199-Sens!K11204</f>
        <v>6.59691028943453</v>
      </c>
    </row>
    <row r="11206" customFormat="false" ht="17.15" hidden="false" customHeight="false" outlineLevel="0" collapsed="false">
      <c r="A11206" s="0" t="s">
        <v>1243</v>
      </c>
      <c r="B11206" s="0" t="s">
        <v>98</v>
      </c>
      <c r="F11206" s="6" t="n">
        <f aca="false">Sens!F11200-tax_f*(Sens!F11200-Sens!F11064)-Sens!F11061</f>
        <v>-127.503553927218</v>
      </c>
      <c r="G11206" s="6" t="n">
        <f aca="false">Sens!G11200-tax_f*(Sens!G11200-Sens!G11064)-Sens!G11061</f>
        <v>-114.603772628121</v>
      </c>
      <c r="H11206" s="6" t="n">
        <f aca="false">Sens!H11200-tax_f*(Sens!H11200-Sens!H11064)-Sens!H11061</f>
        <v>-80.3633729631438</v>
      </c>
      <c r="I11206" s="6" t="n">
        <f aca="false">Sens!I11200-tax_f*(Sens!I11200-Sens!I11064)-Sens!I11061</f>
        <v>-17.2838782011649</v>
      </c>
      <c r="J11206" s="6" t="n">
        <f aca="false">Sens!J11200-tax_f*(Sens!J11200-Sens!J11064)-Sens!J11061</f>
        <v>46.9281968800854</v>
      </c>
      <c r="K11206" s="6" t="n">
        <f aca="false">Sens!K11200-tax_f*(Sens!K11200-Sens!K11064)-Sens!K11061</f>
        <v>71.8608185731755</v>
      </c>
    </row>
    <row r="11207" customFormat="false" ht="17.15" hidden="false" customHeight="false" outlineLevel="0" collapsed="false">
      <c r="A11207" s="0" t="s">
        <v>1244</v>
      </c>
      <c r="B11207" s="0" t="s">
        <v>98</v>
      </c>
      <c r="G11207" s="6" t="n">
        <f aca="false">Sens!G11206/(1+wacc)^(Sens!G11177-Sens!F11178)</f>
        <v>-109.124845494465</v>
      </c>
      <c r="H11207" s="6" t="n">
        <f aca="false">Sens!H11206/(1+wacc)^(Sens!H11177-Sens!F11178)</f>
        <v>-69.3796874071025</v>
      </c>
      <c r="I11207" s="6" t="n">
        <f aca="false">Sens!I11206/(1+wacc)^(Sens!I11177-Sens!F11178)</f>
        <v>-13.5289731380471</v>
      </c>
      <c r="J11207" s="6" t="n">
        <f aca="false">Sens!J11206/(1+wacc)^(Sens!J11177-Sens!F11178)</f>
        <v>33.3048099587126</v>
      </c>
      <c r="K11207" s="6" t="n">
        <f aca="false">Sens!K11206/(1+wacc)^(Sens!K11177-Sens!F11178)</f>
        <v>46.2396679904913</v>
      </c>
      <c r="L11207" s="1" t="s">
        <v>1245</v>
      </c>
    </row>
    <row r="11208" customFormat="false" ht="17.15" hidden="false" customHeight="false" outlineLevel="0" collapsed="false">
      <c r="A11208" s="0" t="s">
        <v>1246</v>
      </c>
      <c r="B11208" s="0" t="s">
        <v>98</v>
      </c>
      <c r="C11208" s="6" t="n">
        <f aca="false">(Sens!K11200-Sens!K11064)*(1-tax_f)*(1+g_tv)*(1-g_tv/(wacc+ronic_prem))/(wacc-g_tv)/(1+wacc)^(Sens!K11178-Sens!F11178)</f>
        <v>293.118051086843</v>
      </c>
    </row>
    <row r="11209" customFormat="false" ht="17.15" hidden="false" customHeight="false" outlineLevel="0" collapsed="false">
      <c r="A11209" s="1" t="s">
        <v>1247</v>
      </c>
      <c r="B11209" s="0" t="s">
        <v>98</v>
      </c>
      <c r="C11209" s="6" t="n">
        <f aca="false">(SUM(Sens!G11207:K11207)+Sens!$C$11208)*(1+wacc)^(t_roll-Sens!F11178)</f>
        <v>186.592133308255</v>
      </c>
      <c r="L11209" s="12" t="s">
        <v>1248</v>
      </c>
    </row>
    <row r="11210" customFormat="false" ht="17.15" hidden="false" customHeight="false" outlineLevel="0" collapsed="false">
      <c r="A11210" s="1" t="s">
        <v>1249</v>
      </c>
      <c r="B11210" s="0" t="s">
        <v>98</v>
      </c>
      <c r="C11210" s="6" t="n">
        <f aca="false">(w_ntm28*Sens!G11052+(1-w_ntm28)*Sens!H11052)*m_ai</f>
        <v>463.789109510335</v>
      </c>
    </row>
    <row r="11211" customFormat="false" ht="17.15" hidden="false" customHeight="false" outlineLevel="0" collapsed="false">
      <c r="A11211" s="1" t="s">
        <v>1250</v>
      </c>
      <c r="B11211" s="0" t="s">
        <v>98</v>
      </c>
      <c r="C11211" s="6" t="n">
        <f aca="false">(w_ntm28*Sens!G11202+(1-w_ntm28)*Sens!H11202)*m_cloud</f>
        <v>1088.91696939227</v>
      </c>
    </row>
    <row r="11212" customFormat="false" ht="17.15" hidden="false" customHeight="false" outlineLevel="0" collapsed="false">
      <c r="A11212" s="1" t="s">
        <v>1251</v>
      </c>
      <c r="B11212" s="0" t="s">
        <v>98</v>
      </c>
      <c r="C11212" s="6" t="n">
        <f aca="false">(w_ntm28*Sens!G11195+(1-w_ntm28)*Sens!H11195)*m_sw</f>
        <v>1082.73545282179</v>
      </c>
    </row>
    <row r="11213" customFormat="false" ht="17.15" hidden="false" customHeight="false" outlineLevel="0" collapsed="false">
      <c r="A11213" s="1" t="s">
        <v>1252</v>
      </c>
      <c r="B11213" s="0" t="s">
        <v>98</v>
      </c>
      <c r="C11213" s="6" t="n">
        <f aca="false">(w_ntm28*Sens!G11196+(1-w_ntm28)*Sens!H11196)*m_sw</f>
        <v>372.89731024011</v>
      </c>
    </row>
    <row r="11214" customFormat="false" ht="17.15" hidden="false" customHeight="false" outlineLevel="0" collapsed="false">
      <c r="A11214" s="1" t="s">
        <v>1253</v>
      </c>
      <c r="B11214" s="0" t="s">
        <v>98</v>
      </c>
      <c r="C11214" s="6" t="n">
        <f aca="false">(w_ntm28*Sens!G11197+(1-w_ntm28)*Sens!H11197)*m_sw</f>
        <v>109.125405829638</v>
      </c>
    </row>
    <row r="11215" customFormat="false" ht="17.15" hidden="false" customHeight="false" outlineLevel="0" collapsed="false">
      <c r="A11215" s="1" t="s">
        <v>1254</v>
      </c>
      <c r="B11215" s="0" t="s">
        <v>98</v>
      </c>
      <c r="C11215" s="6" t="n">
        <f aca="false">(w_ntm28*Sens!G11198+(1-w_ntm28)*Sens!H11198)*m_sw</f>
        <v>41.4866555072509</v>
      </c>
    </row>
    <row r="11216" customFormat="false" ht="17.15" hidden="false" customHeight="false" outlineLevel="0" collapsed="false">
      <c r="A11216" s="1" t="s">
        <v>1255</v>
      </c>
      <c r="B11216" s="0" t="s">
        <v>98</v>
      </c>
      <c r="C11216" s="6" t="n">
        <f aca="false">(w_ntm28*Sens!G11199+(1-w_ntm28)*Sens!H11199)*m_ads</f>
        <v>117.027089785345</v>
      </c>
    </row>
    <row r="11217" customFormat="false" ht="17.15" hidden="false" customHeight="false" outlineLevel="0" collapsed="false">
      <c r="A11217" s="1" t="s">
        <v>1256</v>
      </c>
      <c r="B11217" s="0" t="s">
        <v>98</v>
      </c>
      <c r="C11217" s="6" t="n">
        <f aca="false">(w_ntm28*Sens!G11204+(1-w_ntm28)*Sens!H11204)*m_game</f>
        <v>98.6117686936411</v>
      </c>
    </row>
    <row r="11218" customFormat="false" ht="17.15" hidden="false" customHeight="false" outlineLevel="0" collapsed="false">
      <c r="A11218" s="1" t="s">
        <v>1257</v>
      </c>
      <c r="B11218" s="0" t="s">
        <v>98</v>
      </c>
      <c r="C11218" s="6" t="n">
        <f aca="false">(w_ntm28*Sens!G11205+(1-w_ntm28)*Sens!H11205)*m_pc</f>
        <v>91.4221724689302</v>
      </c>
    </row>
    <row r="11219" customFormat="false" ht="17.15" hidden="false" customHeight="false" outlineLevel="0" collapsed="false">
      <c r="A11219" s="1" t="s">
        <v>1258</v>
      </c>
      <c r="B11219" s="0" t="s">
        <v>98</v>
      </c>
      <c r="C11219" s="6" t="n">
        <f aca="false">Sens!$C$11209+Sens!$C$11211+Sens!$C$11212+Sens!$C$11213+Sens!$C$11214+Sens!$C$11215+Sens!$C$11216+Sens!$C$11217+Sens!$C$11218</f>
        <v>3188.81495804723</v>
      </c>
    </row>
    <row r="11220" customFormat="false" ht="17.15" hidden="false" customHeight="false" outlineLevel="0" collapsed="false">
      <c r="A11220" s="1" t="s">
        <v>1259</v>
      </c>
      <c r="B11220" s="0" t="s">
        <v>98</v>
      </c>
      <c r="C11220" s="6" t="n">
        <f aca="false">(Sens!G11181-Sens!G11206)*t_stub</f>
        <v>47.8946916126551</v>
      </c>
      <c r="L11220" s="1" t="s">
        <v>1260</v>
      </c>
    </row>
    <row r="11221" customFormat="false" ht="17.15" hidden="false" customHeight="false" outlineLevel="0" collapsed="false">
      <c r="A11221" s="1" t="s">
        <v>1169</v>
      </c>
      <c r="B11221" s="0" t="s">
        <v>98</v>
      </c>
      <c r="C11221" s="6" t="n">
        <f aca="false">Sens!F11168+oai_v-Sens!F11157+Sens!$C$11220</f>
        <v>162.122961612655</v>
      </c>
      <c r="L11221" s="1" t="s">
        <v>1261</v>
      </c>
    </row>
    <row r="11222" customFormat="false" ht="17.15" hidden="false" customHeight="false" outlineLevel="0" collapsed="false">
      <c r="A11222" s="1" t="s">
        <v>1262</v>
      </c>
      <c r="B11222" s="0" t="s">
        <v>75</v>
      </c>
      <c r="C11222" s="5" t="n">
        <f aca="false">(Sens!$C$11219+Sens!$C$11221)/(Sens!F11170+dil_gap)-Sens!G11160*roll_div_q/q_per_yr</f>
        <v>446.021977167145</v>
      </c>
      <c r="L11222" s="1" t="s">
        <v>1263</v>
      </c>
    </row>
    <row r="11223" customFormat="false" ht="17.15" hidden="false" customHeight="false" outlineLevel="0" collapsed="false">
      <c r="A11223" s="1" t="s">
        <v>1264</v>
      </c>
      <c r="B11223" s="0" t="s">
        <v>75</v>
      </c>
      <c r="C11223" s="5" t="n">
        <f aca="false">w_dcf*Sens!$C$11193+(1-w_dcf)*Sens!$C$11222</f>
        <v>386.666143501711</v>
      </c>
    </row>
    <row r="11224" customFormat="false" ht="17.15" hidden="false" customHeight="false" outlineLevel="0" collapsed="false">
      <c r="A11224" s="3" t="s">
        <v>1760</v>
      </c>
    </row>
    <row r="11225" customFormat="false" ht="15" hidden="false" customHeight="false" outlineLevel="0" collapsed="false">
      <c r="A11225" s="4" t="s">
        <v>43</v>
      </c>
      <c r="B11225" s="4" t="s">
        <v>65</v>
      </c>
      <c r="C11225" s="23" t="s">
        <v>938</v>
      </c>
      <c r="D11225" s="23" t="s">
        <v>939</v>
      </c>
      <c r="E11225" s="23" t="s">
        <v>940</v>
      </c>
      <c r="F11225" s="23" t="s">
        <v>941</v>
      </c>
      <c r="G11225" s="23" t="s">
        <v>942</v>
      </c>
      <c r="H11225" s="23" t="s">
        <v>943</v>
      </c>
      <c r="I11225" s="23" t="s">
        <v>944</v>
      </c>
      <c r="J11225" s="23" t="s">
        <v>945</v>
      </c>
      <c r="K11225" s="23" t="s">
        <v>946</v>
      </c>
      <c r="L11225" s="4" t="s">
        <v>47</v>
      </c>
    </row>
    <row r="11226" customFormat="false" ht="17.15" hidden="false" customHeight="false" outlineLevel="0" collapsed="false">
      <c r="A11226" s="1" t="s">
        <v>947</v>
      </c>
      <c r="B11226" s="1" t="s">
        <v>279</v>
      </c>
      <c r="C11226" s="21" t="n">
        <v>2024</v>
      </c>
      <c r="D11226" s="21" t="n">
        <v>2025</v>
      </c>
      <c r="E11226" s="21" t="n">
        <v>2026</v>
      </c>
      <c r="F11226" s="21" t="n">
        <v>2027</v>
      </c>
      <c r="G11226" s="21" t="n">
        <v>2028</v>
      </c>
      <c r="H11226" s="21" t="n">
        <v>2029</v>
      </c>
      <c r="I11226" s="21" t="n">
        <v>2030</v>
      </c>
      <c r="J11226" s="21" t="n">
        <v>2031</v>
      </c>
      <c r="K11226" s="21" t="n">
        <v>2032</v>
      </c>
    </row>
    <row r="11227" customFormat="false" ht="17.15" hidden="false" customHeight="false" outlineLevel="0" collapsed="false">
      <c r="A11227" s="1" t="s">
        <v>948</v>
      </c>
      <c r="B11227" s="0" t="s">
        <v>456</v>
      </c>
      <c r="F11227" s="30" t="n">
        <f aca="false">pace</f>
        <v>2726.5351</v>
      </c>
      <c r="G11227" s="30" t="n">
        <f aca="false">pace</f>
        <v>2726.5351</v>
      </c>
      <c r="H11227" s="30" t="n">
        <f aca="false">pace</f>
        <v>2726.5351</v>
      </c>
      <c r="I11227" s="30" t="n">
        <f aca="false">pace+(g_tv*Sens!H11228-pace)*MIN(1,(Sens!I11226-pace_y0)/(pace_y1-pace_y0))</f>
        <v>1931.98611966667</v>
      </c>
      <c r="J11227" s="30" t="n">
        <f aca="false">pace+(g_tv*Sens!I11228-pace)*MIN(1,(Sens!J11226-pace_y0)/(pace_y1-pace_y0))</f>
        <v>1176.07686172667</v>
      </c>
      <c r="K11227" s="30" t="n">
        <f aca="false">pace+(g_tv*Sens!J11228-pace)*MIN(1,(Sens!K11226-pace_y0)/(pace_y1-pace_y0))</f>
        <v>436.1300484418</v>
      </c>
      <c r="L11227" s="12" t="s">
        <v>949</v>
      </c>
    </row>
    <row r="11228" customFormat="false" ht="17.15" hidden="false" customHeight="false" outlineLevel="0" collapsed="false">
      <c r="A11228" s="1" t="s">
        <v>950</v>
      </c>
      <c r="B11228" s="0" t="s">
        <v>456</v>
      </c>
      <c r="C11228" s="30" t="n">
        <f aca="false">mw_ext_24</f>
        <v>640</v>
      </c>
      <c r="D11228" s="30" t="n">
        <f aca="false">mw_ext_25</f>
        <v>1630</v>
      </c>
      <c r="E11228" s="30" t="n">
        <f aca="false">mw_ext_26</f>
        <v>3250</v>
      </c>
      <c r="F11228" s="30" t="n">
        <f aca="false">Sens!E11228+Sens!F11227</f>
        <v>5976.5351</v>
      </c>
      <c r="G11228" s="30" t="n">
        <f aca="false">Sens!F11228+Sens!G11227</f>
        <v>8703.0702</v>
      </c>
      <c r="H11228" s="30" t="n">
        <f aca="false">Sens!G11228+Sens!H11227</f>
        <v>11429.6053</v>
      </c>
      <c r="I11228" s="30" t="n">
        <f aca="false">Sens!H11228+Sens!I11227</f>
        <v>13361.5914196667</v>
      </c>
      <c r="J11228" s="30" t="n">
        <f aca="false">Sens!I11228+Sens!J11227</f>
        <v>14537.6682813933</v>
      </c>
      <c r="K11228" s="30" t="n">
        <f aca="false">Sens!J11228+Sens!K11227</f>
        <v>14973.7983298351</v>
      </c>
      <c r="L11228" s="1" t="s">
        <v>951</v>
      </c>
    </row>
    <row r="11229" customFormat="false" ht="17.15" hidden="false" customHeight="false" outlineLevel="0" collapsed="false">
      <c r="A11229" s="1" t="s">
        <v>952</v>
      </c>
      <c r="B11229" s="0" t="s">
        <v>456</v>
      </c>
      <c r="C11229" s="30" t="n">
        <f aca="false">rent_ext_24</f>
        <v>150</v>
      </c>
      <c r="D11229" s="30" t="n">
        <f aca="false">rent_ext_25</f>
        <v>400</v>
      </c>
      <c r="E11229" s="30" t="n">
        <f aca="false">rent_ext_26</f>
        <v>550</v>
      </c>
      <c r="F11229" s="30" t="n">
        <f aca="false">rent_ext_f</f>
        <v>756</v>
      </c>
      <c r="G11229" s="30" t="n">
        <f aca="false">rent_ext_f</f>
        <v>756</v>
      </c>
      <c r="H11229" s="30" t="n">
        <f aca="false">rent_ext_f</f>
        <v>756</v>
      </c>
      <c r="I11229" s="30" t="n">
        <f aca="false">rent_ext_f</f>
        <v>756</v>
      </c>
      <c r="J11229" s="30" t="n">
        <f aca="false">rent_ext_f</f>
        <v>756</v>
      </c>
      <c r="K11229" s="30" t="n">
        <f aca="false">rent_ext_f</f>
        <v>756</v>
      </c>
      <c r="L11229" s="1" t="s">
        <v>953</v>
      </c>
    </row>
    <row r="11230" customFormat="false" ht="17.15" hidden="false" customHeight="false" outlineLevel="0" collapsed="false">
      <c r="A11230" s="1" t="s">
        <v>954</v>
      </c>
      <c r="B11230" s="0" t="s">
        <v>456</v>
      </c>
      <c r="C11230" s="30" t="n">
        <f aca="false">Sens!C11228-Sens!C11229</f>
        <v>490</v>
      </c>
      <c r="D11230" s="30" t="n">
        <f aca="false">Sens!D11228-Sens!D11229</f>
        <v>1230</v>
      </c>
      <c r="E11230" s="30" t="n">
        <f aca="false">Sens!E11228-Sens!E11229</f>
        <v>2700</v>
      </c>
      <c r="F11230" s="30" t="n">
        <f aca="false">Sens!F11228-Sens!F11229</f>
        <v>5220.5351</v>
      </c>
      <c r="G11230" s="30" t="n">
        <f aca="false">Sens!G11228-Sens!G11229</f>
        <v>7947.0702</v>
      </c>
      <c r="H11230" s="30" t="n">
        <f aca="false">Sens!H11228-Sens!H11229</f>
        <v>10673.6053</v>
      </c>
      <c r="I11230" s="30" t="n">
        <f aca="false">Sens!I11228-Sens!I11229</f>
        <v>12605.5914196667</v>
      </c>
      <c r="J11230" s="30" t="n">
        <f aca="false">Sens!J11228-Sens!J11229</f>
        <v>13781.6682813933</v>
      </c>
      <c r="K11230" s="30" t="n">
        <f aca="false">Sens!K11228-Sens!K11229</f>
        <v>14217.7983298351</v>
      </c>
    </row>
    <row r="11231" customFormat="false" ht="17.15" hidden="false" customHeight="false" outlineLevel="0" collapsed="false">
      <c r="A11231" s="1" t="s">
        <v>955</v>
      </c>
      <c r="B11231" s="0" t="s">
        <v>456</v>
      </c>
      <c r="C11231" s="30" t="n">
        <f aca="false">Sens!C11230/ext_sh</f>
        <v>816.666666666667</v>
      </c>
      <c r="D11231" s="30" t="n">
        <f aca="false">Sens!D11230/ext_sh</f>
        <v>2050</v>
      </c>
      <c r="E11231" s="30" t="n">
        <f aca="false">Sens!E11230/ext_sh</f>
        <v>4500</v>
      </c>
      <c r="F11231" s="30" t="n">
        <f aca="false">Sens!F11230/ext_sh</f>
        <v>8700.89183333333</v>
      </c>
      <c r="G11231" s="30" t="n">
        <f aca="false">Sens!G11230/ext_sh</f>
        <v>13245.117</v>
      </c>
      <c r="H11231" s="30" t="n">
        <f aca="false">Sens!H11230/ext_sh</f>
        <v>17789.3421666667</v>
      </c>
      <c r="I11231" s="30" t="n">
        <f aca="false">Sens!I11230/ext_sh</f>
        <v>21009.3190327778</v>
      </c>
      <c r="J11231" s="30" t="n">
        <f aca="false">Sens!J11230/ext_sh</f>
        <v>22969.4471356556</v>
      </c>
      <c r="K11231" s="30" t="n">
        <f aca="false">Sens!K11230/ext_sh</f>
        <v>23696.3305497252</v>
      </c>
      <c r="L11231" s="1" t="s">
        <v>956</v>
      </c>
    </row>
    <row r="11232" customFormat="false" ht="17.15" hidden="false" customHeight="false" outlineLevel="0" collapsed="false">
      <c r="A11232" s="1" t="s">
        <v>957</v>
      </c>
      <c r="B11232" s="0" t="s">
        <v>456</v>
      </c>
      <c r="C11232" s="30" t="n">
        <f aca="false">Sens!C11231-Sens!C11230</f>
        <v>326.666666666667</v>
      </c>
      <c r="D11232" s="30" t="n">
        <f aca="false">Sens!D11231-Sens!D11230</f>
        <v>820</v>
      </c>
      <c r="E11232" s="30" t="n">
        <f aca="false">Sens!E11231-Sens!E11230</f>
        <v>1800</v>
      </c>
      <c r="F11232" s="30" t="n">
        <f aca="false">Sens!F11231-Sens!F11230</f>
        <v>3480.35673333333</v>
      </c>
      <c r="G11232" s="30" t="n">
        <f aca="false">Sens!G11231-Sens!G11230</f>
        <v>5298.0468</v>
      </c>
      <c r="H11232" s="30" t="n">
        <f aca="false">Sens!H11231-Sens!H11230</f>
        <v>7115.73686666667</v>
      </c>
      <c r="I11232" s="30" t="n">
        <f aca="false">Sens!I11231-Sens!I11230</f>
        <v>8403.72761311111</v>
      </c>
      <c r="J11232" s="30" t="n">
        <f aca="false">Sens!J11231-Sens!J11230</f>
        <v>9187.77885426222</v>
      </c>
      <c r="K11232" s="30" t="n">
        <f aca="false">Sens!K11231-Sens!K11230</f>
        <v>9478.53221989009</v>
      </c>
    </row>
    <row r="11233" customFormat="false" ht="17.15" hidden="false" customHeight="false" outlineLevel="0" collapsed="false">
      <c r="A11233" s="1" t="s">
        <v>958</v>
      </c>
      <c r="B11233" s="0" t="s">
        <v>456</v>
      </c>
      <c r="C11233" s="30" t="n">
        <f aca="false">Sens!C11231</f>
        <v>816.666666666667</v>
      </c>
      <c r="D11233" s="30" t="n">
        <f aca="false">Sens!D11231-Sens!C11231</f>
        <v>1233.33333333333</v>
      </c>
      <c r="E11233" s="30" t="n">
        <f aca="false">Sens!E11231-Sens!D11231</f>
        <v>2450</v>
      </c>
      <c r="F11233" s="30" t="n">
        <f aca="false">Sens!F11231-Sens!E11231</f>
        <v>4200.89183333333</v>
      </c>
      <c r="G11233" s="30" t="n">
        <f aca="false">Sens!G11231-Sens!F11231</f>
        <v>4544.22516666667</v>
      </c>
      <c r="H11233" s="30" t="n">
        <f aca="false">Sens!H11231-Sens!G11231</f>
        <v>4544.22516666667</v>
      </c>
      <c r="I11233" s="30" t="n">
        <f aca="false">Sens!I11231-Sens!H11231</f>
        <v>3219.97686611111</v>
      </c>
      <c r="J11233" s="30" t="n">
        <f aca="false">Sens!J11231-Sens!I11231</f>
        <v>1960.12810287778</v>
      </c>
      <c r="K11233" s="30" t="n">
        <f aca="false">Sens!K11231-Sens!J11231</f>
        <v>726.883414069667</v>
      </c>
    </row>
    <row r="11234" customFormat="false" ht="17.15" hidden="false" customHeight="false" outlineLevel="0" collapsed="false">
      <c r="A11234" s="1" t="s">
        <v>959</v>
      </c>
      <c r="B11234" s="0" t="s">
        <v>456</v>
      </c>
      <c r="D11234" s="30" t="n">
        <f aca="false">Sens!D11228-Sens!C11228</f>
        <v>990</v>
      </c>
      <c r="E11234" s="30" t="n">
        <f aca="false">Sens!E11228-Sens!D11228</f>
        <v>1620</v>
      </c>
      <c r="F11234" s="30" t="n">
        <f aca="false">Sens!F11228-Sens!E11228</f>
        <v>2726.5351</v>
      </c>
      <c r="G11234" s="30" t="n">
        <f aca="false">Sens!G11228-Sens!F11228</f>
        <v>2726.5351</v>
      </c>
      <c r="H11234" s="30" t="n">
        <f aca="false">Sens!H11228-Sens!G11228</f>
        <v>2726.5351</v>
      </c>
      <c r="I11234" s="30" t="n">
        <f aca="false">Sens!I11228-Sens!H11228</f>
        <v>1931.98611966667</v>
      </c>
      <c r="J11234" s="30" t="n">
        <f aca="false">Sens!J11228-Sens!I11228</f>
        <v>1176.07686172667</v>
      </c>
      <c r="K11234" s="30" t="n">
        <f aca="false">Sens!K11228-Sens!J11228</f>
        <v>436.130048441799</v>
      </c>
    </row>
    <row r="11235" customFormat="false" ht="17.15" hidden="false" customHeight="false" outlineLevel="0" collapsed="false">
      <c r="A11235" s="1" t="s">
        <v>960</v>
      </c>
      <c r="B11235" s="0" t="s">
        <v>456</v>
      </c>
      <c r="F11235" s="30" t="n">
        <f aca="false">Sens!F11254*ext_sh</f>
        <v>0</v>
      </c>
      <c r="G11235" s="30" t="n">
        <f aca="false">Sens!G11254*ext_sh</f>
        <v>0</v>
      </c>
      <c r="H11235" s="30" t="n">
        <f aca="false">Sens!H11254*ext_sh</f>
        <v>0</v>
      </c>
      <c r="I11235" s="30" t="n">
        <f aca="false">Sens!I11254*ext_sh</f>
        <v>490</v>
      </c>
      <c r="J11235" s="30" t="n">
        <f aca="false">Sens!J11254*ext_sh</f>
        <v>740</v>
      </c>
      <c r="K11235" s="30" t="n">
        <f aca="false">Sens!K11254*ext_sh</f>
        <v>1470</v>
      </c>
      <c r="L11235" s="1" t="s">
        <v>961</v>
      </c>
    </row>
    <row r="11236" customFormat="false" ht="17.15" hidden="false" customHeight="false" outlineLevel="0" collapsed="false">
      <c r="A11236" s="1" t="s">
        <v>962</v>
      </c>
      <c r="B11236" s="0" t="s">
        <v>456</v>
      </c>
      <c r="C11236" s="30" t="n">
        <f aca="false">mix_h*Sens!C11228</f>
        <v>128</v>
      </c>
      <c r="D11236" s="30" t="n">
        <f aca="false">mix_h*Sens!D11228</f>
        <v>326</v>
      </c>
      <c r="E11236" s="30" t="n">
        <f aca="false">mix_h*Sens!E11228</f>
        <v>650</v>
      </c>
      <c r="F11236" s="30" t="n">
        <f aca="false">Sens!E11236-Sens!F11235*mix_h</f>
        <v>650</v>
      </c>
      <c r="G11236" s="30" t="n">
        <f aca="false">Sens!F11236-Sens!G11235*mix_h</f>
        <v>650</v>
      </c>
      <c r="H11236" s="30" t="n">
        <f aca="false">Sens!G11236-Sens!H11235*mix_h</f>
        <v>650</v>
      </c>
      <c r="I11236" s="30" t="n">
        <f aca="false">Sens!H11236-Sens!I11235*mix_h</f>
        <v>552</v>
      </c>
      <c r="J11236" s="30" t="n">
        <f aca="false">Sens!I11236-Sens!J11235*mix_h</f>
        <v>404</v>
      </c>
      <c r="K11236" s="30" t="n">
        <f aca="false">Sens!J11236-Sens!K11235*mix_h</f>
        <v>110</v>
      </c>
    </row>
    <row r="11237" customFormat="false" ht="17.15" hidden="false" customHeight="false" outlineLevel="0" collapsed="false">
      <c r="A11237" s="1" t="s">
        <v>963</v>
      </c>
      <c r="B11237" s="0" t="s">
        <v>456</v>
      </c>
      <c r="C11237" s="30" t="n">
        <f aca="false">mix_g2*Sens!C11228</f>
        <v>288</v>
      </c>
      <c r="D11237" s="30" t="n">
        <f aca="false">mix_g2*Sens!D11228</f>
        <v>733.5</v>
      </c>
      <c r="E11237" s="30" t="n">
        <f aca="false">mix_g2*Sens!E11228</f>
        <v>1462.5</v>
      </c>
      <c r="F11237" s="30" t="n">
        <f aca="false">Sens!E11237-Sens!F11235*mix_g2</f>
        <v>1462.5</v>
      </c>
      <c r="G11237" s="30" t="n">
        <f aca="false">Sens!F11237-Sens!G11235*mix_g2</f>
        <v>1462.5</v>
      </c>
      <c r="H11237" s="30" t="n">
        <f aca="false">Sens!G11237-Sens!H11235*mix_g2</f>
        <v>1462.5</v>
      </c>
      <c r="I11237" s="30" t="n">
        <f aca="false">Sens!H11237-Sens!I11235*mix_g2</f>
        <v>1242</v>
      </c>
      <c r="J11237" s="30" t="n">
        <f aca="false">Sens!I11237-Sens!J11235*mix_g2</f>
        <v>909</v>
      </c>
      <c r="K11237" s="30" t="n">
        <f aca="false">Sens!J11237-Sens!K11235*mix_g2</f>
        <v>247.5</v>
      </c>
    </row>
    <row r="11238" customFormat="false" ht="17.15" hidden="false" customHeight="false" outlineLevel="0" collapsed="false">
      <c r="A11238" s="1" t="s">
        <v>964</v>
      </c>
      <c r="B11238" s="0" t="s">
        <v>456</v>
      </c>
      <c r="C11238" s="30" t="n">
        <f aca="false">mix_g3*Sens!C11228</f>
        <v>224</v>
      </c>
      <c r="D11238" s="30" t="n">
        <f aca="false">mix_g3*Sens!D11228</f>
        <v>570.5</v>
      </c>
      <c r="E11238" s="30" t="n">
        <f aca="false">mix_g3*Sens!E11228</f>
        <v>1137.5</v>
      </c>
      <c r="F11238" s="30" t="n">
        <f aca="false">Sens!E11238+(Sens!F11234+Sens!F11235)*(a_g3_27-nonnv*a_mai)-Sens!F11235*mix_g3</f>
        <v>2773.42106</v>
      </c>
      <c r="G11238" s="30" t="n">
        <f aca="false">Sens!F11238+(Sens!G11234+Sens!G11235)*(a_g3_28-nonnv*a_mai)-Sens!G11235*mix_g3</f>
        <v>3318.72808</v>
      </c>
      <c r="H11238" s="30" t="n">
        <f aca="false">Sens!G11238+(Sens!H11234+Sens!H11235)*(a_g3_29-nonnv*a_mai)-Sens!H11235*mix_g3</f>
        <v>3318.72808</v>
      </c>
      <c r="I11238" s="30" t="n">
        <f aca="false">Sens!H11238+(Sens!I11234+Sens!I11235)*(a_g3_29-nonnv*a_mai)-Sens!I11235*mix_g3</f>
        <v>3147.22808</v>
      </c>
      <c r="J11238" s="30" t="n">
        <f aca="false">Sens!I11238+(Sens!J11234+Sens!J11235)*(a_g3_29-nonnv*a_mai)-Sens!J11235*mix_g3</f>
        <v>2888.22808</v>
      </c>
      <c r="K11238" s="30" t="n">
        <f aca="false">Sens!J11238+(Sens!K11234+Sens!K11235)*(a_g3_29-nonnv*a_mai)-Sens!K11235*mix_g3</f>
        <v>2373.72808</v>
      </c>
    </row>
    <row r="11239" customFormat="false" ht="17.15" hidden="false" customHeight="false" outlineLevel="0" collapsed="false">
      <c r="A11239" s="1" t="s">
        <v>965</v>
      </c>
      <c r="B11239" s="0" t="s">
        <v>456</v>
      </c>
      <c r="C11239" s="30" t="n">
        <v>0</v>
      </c>
      <c r="D11239" s="30" t="n">
        <v>0</v>
      </c>
      <c r="E11239" s="30" t="n">
        <v>0</v>
      </c>
      <c r="F11239" s="30" t="n">
        <f aca="false">Sens!E11239+(Sens!F11234+Sens!F11235)*nonnv*a_mai</f>
        <v>272.65351</v>
      </c>
      <c r="G11239" s="30" t="n">
        <f aca="false">Sens!F11239+(Sens!G11234+Sens!G11235)*nonnv*a_mai</f>
        <v>545.30702</v>
      </c>
      <c r="H11239" s="30" t="n">
        <f aca="false">Sens!G11239+(Sens!H11234+Sens!H11235)*nonnv*a_mai</f>
        <v>817.96053</v>
      </c>
      <c r="I11239" s="30" t="n">
        <f aca="false">Sens!H11239+(Sens!I11234+Sens!I11235)*nonnv*a_mai</f>
        <v>1060.15914196667</v>
      </c>
      <c r="J11239" s="30" t="n">
        <f aca="false">Sens!I11239+(Sens!J11234+Sens!J11235)*nonnv*a_mai</f>
        <v>1251.76682813933</v>
      </c>
      <c r="K11239" s="30" t="n">
        <f aca="false">Sens!J11239+(Sens!K11234+Sens!K11235)*nonnv*a_mai</f>
        <v>1442.37983298351</v>
      </c>
      <c r="L11239" s="12" t="s">
        <v>966</v>
      </c>
    </row>
    <row r="11240" customFormat="false" ht="17.15" hidden="false" customHeight="false" outlineLevel="0" collapsed="false">
      <c r="A11240" s="1" t="s">
        <v>967</v>
      </c>
      <c r="B11240" s="0" t="s">
        <v>456</v>
      </c>
      <c r="C11240" s="30" t="n">
        <v>0</v>
      </c>
      <c r="D11240" s="30" t="n">
        <v>0</v>
      </c>
      <c r="E11240" s="30" t="n">
        <v>0</v>
      </c>
      <c r="F11240" s="30" t="n">
        <f aca="false">Sens!E11240+(Sens!F11234+Sens!F11235)*(1-a_g3_27)</f>
        <v>817.96053</v>
      </c>
      <c r="G11240" s="30" t="n">
        <f aca="false">Sens!F11240+(Sens!G11234+Sens!G11235)*(1-a_g3_28)</f>
        <v>2726.5351</v>
      </c>
      <c r="H11240" s="30" t="n">
        <f aca="false">Sens!G11240+(Sens!H11234+Sens!H11235)*(1-a_g3_29)</f>
        <v>5180.41669</v>
      </c>
      <c r="I11240" s="30" t="n">
        <f aca="false">Sens!H11240+(Sens!I11234+Sens!I11235)*(1-a_g3_29)</f>
        <v>7360.2041977</v>
      </c>
      <c r="J11240" s="30" t="n">
        <f aca="false">Sens!I11240+(Sens!J11234+Sens!J11235)*(1-a_g3_29)</f>
        <v>9084.673373254</v>
      </c>
      <c r="K11240" s="30" t="n">
        <f aca="false">Sens!J11240+(Sens!K11234+Sens!K11235)*(1-a_g3_29)</f>
        <v>10800.1904168516</v>
      </c>
    </row>
    <row r="11241" customFormat="false" ht="17.15" hidden="false" customHeight="false" outlineLevel="0" collapsed="false">
      <c r="A11241" s="1" t="s">
        <v>968</v>
      </c>
      <c r="B11241" s="0" t="s">
        <v>403</v>
      </c>
      <c r="C11241" s="15" t="n">
        <f aca="false">(Sens!C11236*tk_hold_h100+Sens!C11237*tk_hold_gb200+Sens!C11238*tk_hold_gb300+Sens!C11240*tk_hold_vr200+Sens!C11239*nv_hold_mai*tk_hold_vr200)/Sens!C11228</f>
        <v>9.7235358126469</v>
      </c>
      <c r="D11241" s="15" t="n">
        <f aca="false">(Sens!D11236*tk_hold_h100+Sens!D11237*tk_hold_gb200+Sens!D11238*tk_hold_gb300+Sens!D11240*tk_hold_vr200+Sens!D11239*nv_hold_mai*tk_hold_vr200)/Sens!D11228</f>
        <v>9.7235358126469</v>
      </c>
      <c r="E11241" s="15" t="n">
        <f aca="false">(Sens!E11236*tk_hold_h100+Sens!E11237*tk_hold_gb200+Sens!E11238*tk_hold_gb300+Sens!E11240*tk_hold_vr200+Sens!E11239*nv_hold_mai*tk_hold_vr200)/Sens!E11228</f>
        <v>9.7235358126469</v>
      </c>
      <c r="F11241" s="15" t="n">
        <f aca="false">(Sens!F11236*tk_hold_h100+Sens!F11237*tk_hold_gb200+Sens!F11238*tk_hold_gb300+Sens!F11240*tk_hold_vr200+Sens!F11239*nv_hold_mai*tk_hold_vr200)/Sens!F11228</f>
        <v>10.2195353876665</v>
      </c>
      <c r="G11241" s="15" t="n">
        <f aca="false">(Sens!G11236*tk_hold_h100+Sens!G11237*tk_hold_gb200+Sens!G11238*tk_hold_gb300+Sens!G11240*tk_hold_vr200+Sens!G11239*nv_hold_mai*tk_hold_vr200)/Sens!G11228</f>
        <v>10.5725598017306</v>
      </c>
      <c r="H11241" s="15" t="n">
        <f aca="false">(Sens!H11236*tk_hold_h100+Sens!H11237*tk_hold_gb200+Sens!H11238*tk_hold_gb300+Sens!H11240*tk_hold_vr200+Sens!H11239*nv_hold_mai*tk_hold_vr200)/Sens!H11228</f>
        <v>10.8210427149036</v>
      </c>
      <c r="I11241" s="15" t="n">
        <f aca="false">(Sens!I11236*tk_hold_h100+Sens!I11237*tk_hold_gb200+Sens!I11238*tk_hold_gb300+Sens!I11240*tk_hold_vr200+Sens!I11239*nv_hold_mai*tk_hold_vr200)/Sens!I11228</f>
        <v>11.0050618241982</v>
      </c>
      <c r="J11241" s="15" t="n">
        <f aca="false">(Sens!J11236*tk_hold_h100+Sens!J11237*tk_hold_gb200+Sens!J11238*tk_hold_gb300+Sens!J11240*tk_hold_vr200+Sens!J11239*nv_hold_mai*tk_hold_vr200)/Sens!J11228</f>
        <v>11.1505789658881</v>
      </c>
      <c r="K11241" s="15" t="n">
        <f aca="false">(Sens!K11236*tk_hold_h100+Sens!K11237*tk_hold_gb200+Sens!K11238*tk_hold_gb300+Sens!K11240*tk_hold_vr200+Sens!K11239*nv_hold_mai*tk_hold_vr200)/Sens!K11228</f>
        <v>11.3496914757183</v>
      </c>
      <c r="L11241" s="1" t="s">
        <v>969</v>
      </c>
    </row>
    <row r="11242" customFormat="false" ht="17.15" hidden="false" customHeight="false" outlineLevel="0" collapsed="false">
      <c r="A11242" s="1" t="s">
        <v>970</v>
      </c>
      <c r="B11242" s="0" t="s">
        <v>403</v>
      </c>
      <c r="C11242" s="15" t="n">
        <f aca="false">(Sens!C11236*tk_hold_h100+Sens!C11237*tk_hold_gb200+Sens!C11238*tk_hold_gb300+Sens!C11240*tk_hold_vr200+Sens!C11239*nv_out_mai*tk_hold_vr200)/Sens!C11228</f>
        <v>9.7235358126469</v>
      </c>
      <c r="D11242" s="15" t="n">
        <f aca="false">(Sens!D11236*tk_hold_h100+Sens!D11237*tk_hold_gb200+Sens!D11238*tk_hold_gb300+Sens!D11240*tk_hold_vr200+Sens!D11239*nv_out_mai*tk_hold_vr200)/Sens!D11228</f>
        <v>9.7235358126469</v>
      </c>
      <c r="E11242" s="15" t="n">
        <f aca="false">(Sens!E11236*tk_hold_h100+Sens!E11237*tk_hold_gb200+Sens!E11238*tk_hold_gb300+Sens!E11240*tk_hold_vr200+Sens!E11239*nv_out_mai*tk_hold_vr200)/Sens!E11228</f>
        <v>9.7235358126469</v>
      </c>
      <c r="F11242" s="15" t="n">
        <f aca="false">(Sens!F11236*tk_hold_h100+Sens!F11237*tk_hold_gb200+Sens!F11238*tk_hold_gb300+Sens!F11240*tk_hold_vr200+Sens!F11239*nv_out_mai*tk_hold_vr200)/Sens!F11228</f>
        <v>10.247422093969</v>
      </c>
      <c r="G11242" s="15" t="n">
        <f aca="false">(Sens!G11236*tk_hold_h100+Sens!G11237*tk_hold_gb200+Sens!G11238*tk_hold_gb300+Sens!G11240*tk_hold_vr200+Sens!G11239*nv_out_mai*tk_hold_vr200)/Sens!G11228</f>
        <v>10.6108602808053</v>
      </c>
      <c r="H11242" s="15" t="n">
        <f aca="false">(Sens!H11236*tk_hold_h100+Sens!H11237*tk_hold_gb200+Sens!H11238*tk_hold_gb300+Sens!H11240*tk_hold_vr200+Sens!H11239*nv_out_mai*tk_hold_vr200)/Sens!H11228</f>
        <v>10.8647885507393</v>
      </c>
      <c r="I11242" s="15" t="n">
        <f aca="false">(Sens!I11236*tk_hold_h100+Sens!I11237*tk_hold_gb200+Sens!I11238*tk_hold_gb300+Sens!I11240*tk_hold_vr200+Sens!I11239*nv_out_mai*tk_hold_vr200)/Sens!I11228</f>
        <v>11.0535625770025</v>
      </c>
      <c r="J11242" s="15" t="n">
        <f aca="false">(Sens!J11236*tk_hold_h100+Sens!J11237*tk_hold_gb200+Sens!J11238*tk_hold_gb300+Sens!J11240*tk_hold_vr200+Sens!J11239*nv_out_mai*tk_hold_vr200)/Sens!J11228</f>
        <v>11.2032127128058</v>
      </c>
      <c r="K11242" s="15" t="n">
        <f aca="false">(Sens!K11236*tk_hold_h100+Sens!K11237*tk_hold_gb200+Sens!K11238*tk_hold_gb300+Sens!K11240*tk_hold_vr200+Sens!K11239*nv_out_mai*tk_hold_vr200)/Sens!K11228</f>
        <v>11.4085735724225</v>
      </c>
      <c r="L11242" s="12" t="s">
        <v>971</v>
      </c>
    </row>
    <row r="11243" customFormat="false" ht="17.15" hidden="false" customHeight="false" outlineLevel="0" collapsed="false">
      <c r="A11243" s="0" t="s">
        <v>972</v>
      </c>
      <c r="B11243" s="0" t="s">
        <v>229</v>
      </c>
      <c r="C11243" s="15" t="n">
        <f aca="false">k_B</f>
        <v>1.17213932619116</v>
      </c>
      <c r="D11243" s="15" t="n">
        <f aca="false">k_B</f>
        <v>1.17213932619116</v>
      </c>
      <c r="E11243" s="15" t="n">
        <f aca="false">k_B</f>
        <v>1.17213932619116</v>
      </c>
      <c r="F11243" s="15" t="n">
        <f aca="false">(k_B+((ls_C*k_long+(1-ls_C)*k_spot)-k_B)*MIN(1,(Sens!F11226-base_fy)/k_ramp))</f>
        <v>1.07843258004497</v>
      </c>
      <c r="G11243" s="15" t="n">
        <f aca="false">(k_B+((ls_C*k_long+(1-ls_C)*k_spot)-k_B)*MIN(1,(Sens!G11226-base_fy)/k_ramp))</f>
        <v>0.984725833898784</v>
      </c>
      <c r="H11243" s="15" t="n">
        <f aca="false">(k_B+((ls_C*k_long+(1-ls_C)*k_spot)-k_B)*MIN(1,(Sens!H11226-base_fy)/k_ramp))</f>
        <v>0.891019087752599</v>
      </c>
      <c r="I11243" s="15" t="n">
        <f aca="false">(k_B+((ls_C*k_long+(1-ls_C)*k_spot)-k_B)*MIN(1,(Sens!I11226-base_fy)/k_ramp))</f>
        <v>0.891019087752599</v>
      </c>
      <c r="J11243" s="15" t="n">
        <f aca="false">(k_B+((ls_C*k_long+(1-ls_C)*k_spot)-k_B)*MIN(1,(Sens!J11226-base_fy)/k_ramp))</f>
        <v>0.891019087752599</v>
      </c>
      <c r="K11243" s="15" t="n">
        <f aca="false">(k_B+((ls_C*k_long+(1-ls_C)*k_spot)-k_B)*MIN(1,(Sens!K11226-base_fy)/k_ramp))</f>
        <v>0.891019087752599</v>
      </c>
      <c r="L11243" s="1" t="s">
        <v>973</v>
      </c>
    </row>
    <row r="11244" customFormat="false" ht="17.15" hidden="false" customHeight="false" outlineLevel="0" collapsed="false">
      <c r="A11244" s="1" t="s">
        <v>974</v>
      </c>
      <c r="B11244" s="0" t="s">
        <v>403</v>
      </c>
      <c r="C11244" s="15" t="n">
        <f aca="false">Sens!C11242*Sens!C11243*chip_f</f>
        <v>11.3973387156315</v>
      </c>
      <c r="D11244" s="15" t="n">
        <f aca="false">Sens!D11242*Sens!D11243*chip_f</f>
        <v>11.3973387156315</v>
      </c>
      <c r="E11244" s="15" t="n">
        <f aca="false">Sens!E11242*Sens!E11243*chip_f</f>
        <v>11.3973387156315</v>
      </c>
      <c r="F11244" s="15" t="n">
        <f aca="false">Sens!F11242*Sens!F11243*chip_f</f>
        <v>11.0511538476088</v>
      </c>
      <c r="G11244" s="15" t="n">
        <f aca="false">Sens!G11242*Sens!G11243*chip_f</f>
        <v>10.4487882383995</v>
      </c>
      <c r="H11244" s="15" t="n">
        <f aca="false">Sens!H11242*Sens!H11243*chip_f</f>
        <v>9.68073398310464</v>
      </c>
      <c r="I11244" s="15" t="n">
        <f aca="false">Sens!I11242*Sens!I11243*chip_f</f>
        <v>9.84893524377706</v>
      </c>
      <c r="J11244" s="15" t="n">
        <f aca="false">Sens!J11242*Sens!J11243*chip_f</f>
        <v>9.98227637126252</v>
      </c>
      <c r="K11244" s="15" t="n">
        <f aca="false">Sens!K11242*Sens!K11243*chip_f</f>
        <v>10.1652568170583</v>
      </c>
      <c r="L11244" s="1" t="s">
        <v>975</v>
      </c>
    </row>
    <row r="11245" customFormat="false" ht="17.15" hidden="false" customHeight="false" outlineLevel="0" collapsed="false">
      <c r="A11245" s="0" t="s">
        <v>976</v>
      </c>
      <c r="B11245" s="0" t="s">
        <v>98</v>
      </c>
      <c r="D11245" s="6" t="n">
        <f aca="false">(Sens!C11228+Sens!D11228)/2*Sens!D11244/1000</f>
        <v>12.9359794422418</v>
      </c>
      <c r="E11245" s="6" t="n">
        <f aca="false">(Sens!D11228+Sens!E11228)/2*Sens!E11244/1000</f>
        <v>27.8095064661409</v>
      </c>
      <c r="F11245" s="6" t="n">
        <f aca="false">(Sens!E11228+Sens!F11228)/2*Sens!F11244/1000</f>
        <v>50.9819294352312</v>
      </c>
      <c r="G11245" s="6" t="n">
        <f aca="false">(Sens!F11228+Sens!G11228)/2*Sens!G11244/1000</f>
        <v>76.6920436014933</v>
      </c>
      <c r="H11245" s="6" t="n">
        <f aca="false">(Sens!G11228+Sens!H11228)/2*Sens!H11244/1000</f>
        <v>97.4495379418341</v>
      </c>
      <c r="I11245" s="6" t="n">
        <f aca="false">(Sens!H11228+Sens!I11228)/2*Sens!I11244/1000</f>
        <v>122.083445553868</v>
      </c>
      <c r="J11245" s="6" t="n">
        <f aca="false">(Sens!I11228+Sens!J11228)/2*Sens!J11244/1000</f>
        <v>139.249060444804</v>
      </c>
      <c r="K11245" s="6" t="n">
        <f aca="false">(Sens!J11228+Sens!K11228)/2*Sens!K11244/1000</f>
        <v>149.995818575589</v>
      </c>
      <c r="L11245" s="12" t="s">
        <v>977</v>
      </c>
    </row>
    <row r="11246" customFormat="false" ht="17.15" hidden="false" customHeight="false" outlineLevel="0" collapsed="false">
      <c r="A11246" s="1" t="s">
        <v>978</v>
      </c>
      <c r="B11246" s="0" t="s">
        <v>403</v>
      </c>
      <c r="C11246" s="15" t="n">
        <f aca="false">(Sens!C11236*tk_opex_h100+Sens!C11237*tk_opex_gb200+Sens!C11238*tk_opex_gb300+(Sens!C11240+Sens!C11239)*tk_opex_vr200)/Sens!C11228</f>
        <v>1.88636041306092</v>
      </c>
      <c r="D11246" s="15" t="n">
        <f aca="false">(Sens!D11236*tk_opex_h100+Sens!D11237*tk_opex_gb200+Sens!D11238*tk_opex_gb300+(Sens!D11240+Sens!D11239)*tk_opex_vr200)/Sens!D11228</f>
        <v>1.88636041306092</v>
      </c>
      <c r="E11246" s="15" t="n">
        <f aca="false">(Sens!E11236*tk_opex_h100+Sens!E11237*tk_opex_gb200+Sens!E11238*tk_opex_gb300+(Sens!E11240+Sens!E11239)*tk_opex_vr200)/Sens!E11228</f>
        <v>1.88636041306092</v>
      </c>
      <c r="F11246" s="15" t="n">
        <f aca="false">(Sens!F11236*tk_opex_h100+Sens!F11237*tk_opex_gb200+Sens!F11238*tk_opex_gb300+(Sens!F11240+Sens!F11239)*tk_opex_vr200)/Sens!F11228</f>
        <v>1.95051159746876</v>
      </c>
      <c r="G11246" s="15" t="n">
        <f aca="false">(Sens!G11236*tk_opex_h100+Sens!G11237*tk_opex_gb200+Sens!G11238*tk_opex_gb300+(Sens!G11240+Sens!G11239)*tk_opex_vr200)/Sens!G11228</f>
        <v>1.98836003669956</v>
      </c>
      <c r="H11246" s="15" t="n">
        <f aca="false">(Sens!H11236*tk_opex_h100+Sens!H11237*tk_opex_gb200+Sens!H11238*tk_opex_gb300+(Sens!H11240+Sens!H11239)*tk_opex_vr200)/Sens!H11228</f>
        <v>2.01344013834343</v>
      </c>
      <c r="I11246" s="15" t="n">
        <f aca="false">(Sens!I11236*tk_opex_h100+Sens!I11237*tk_opex_gb200+Sens!I11238*tk_opex_gb300+(Sens!I11240+Sens!I11239)*tk_opex_vr200)/Sens!I11228</f>
        <v>2.03261166882178</v>
      </c>
      <c r="J11246" s="15" t="n">
        <f aca="false">(Sens!J11236*tk_opex_h100+Sens!J11237*tk_opex_gb200+Sens!J11238*tk_opex_gb300+(Sens!J11240+Sens!J11239)*tk_opex_vr200)/Sens!J11228</f>
        <v>2.04808073288745</v>
      </c>
      <c r="K11246" s="15" t="n">
        <f aca="false">(Sens!K11236*tk_opex_h100+Sens!K11237*tk_opex_gb200+Sens!K11238*tk_opex_gb300+(Sens!K11240+Sens!K11239)*tk_opex_vr200)/Sens!K11228</f>
        <v>2.06973825807449</v>
      </c>
      <c r="L11246" s="12" t="s">
        <v>979</v>
      </c>
    </row>
    <row r="11247" customFormat="false" ht="17.15" hidden="false" customHeight="false" outlineLevel="0" collapsed="false">
      <c r="A11247" s="0" t="s">
        <v>980</v>
      </c>
      <c r="B11247" s="0" t="s">
        <v>98</v>
      </c>
      <c r="D11247" s="6" t="n">
        <f aca="false">(Sens!C11231+Sens!D11231)/2*Sens!D11246/1000</f>
        <v>2.70378325872065</v>
      </c>
      <c r="E11247" s="6" t="n">
        <f aca="false">(Sens!D11231+Sens!E11231)/2*Sens!E11246/1000</f>
        <v>6.17783035277451</v>
      </c>
      <c r="F11247" s="6" t="n">
        <f aca="false">(Sens!E11231+Sens!F11231)/2*Sens!F11246/1000</f>
        <v>12.8742463089237</v>
      </c>
      <c r="G11247" s="6" t="n">
        <f aca="false">(Sens!F11231+Sens!G11231)/2*Sens!G11246/1000</f>
        <v>21.8182834646277</v>
      </c>
      <c r="H11247" s="6" t="n">
        <f aca="false">(Sens!G11231+Sens!H11231)/2*Sens!H11246/1000</f>
        <v>31.2430128789734</v>
      </c>
      <c r="I11247" s="6" t="n">
        <f aca="false">(Sens!H11231+Sens!I11231)/2*Sens!I11246/1000</f>
        <v>39.4313057443268</v>
      </c>
      <c r="J11247" s="6" t="n">
        <f aca="false">(Sens!I11231+Sens!J11231)/2*Sens!J11246/1000</f>
        <v>45.0360318228653</v>
      </c>
      <c r="K11247" s="6" t="n">
        <f aca="false">(Sens!J11231+Sens!K11231)/2*Sens!K11246/1000</f>
        <v>48.2929727091156</v>
      </c>
    </row>
    <row r="11248" customFormat="false" ht="17.15" hidden="false" customHeight="false" outlineLevel="0" collapsed="false">
      <c r="A11248" s="0" t="s">
        <v>981</v>
      </c>
      <c r="B11248" s="0" t="s">
        <v>98</v>
      </c>
      <c r="D11248" s="6" t="n">
        <f aca="false">(Sens!C11229+Sens!D11229)/2*rent_mw/1000</f>
        <v>2.44475</v>
      </c>
      <c r="E11248" s="6" t="n">
        <f aca="false">(Sens!D11229+Sens!E11229)/2*rent_mw/1000</f>
        <v>4.22275</v>
      </c>
      <c r="F11248" s="6" t="n">
        <f aca="false">(Sens!E11229+Sens!F11229)/2*rent_mw/1000</f>
        <v>5.80517</v>
      </c>
      <c r="G11248" s="6" t="n">
        <f aca="false">(Sens!F11229+Sens!G11229)/2*rent_mw/1000</f>
        <v>6.72084</v>
      </c>
      <c r="H11248" s="6" t="n">
        <f aca="false">(Sens!G11229+Sens!H11229)/2*rent_mw/1000</f>
        <v>6.72084</v>
      </c>
      <c r="I11248" s="6" t="n">
        <f aca="false">(Sens!H11229+Sens!I11229)/2*rent_mw/1000</f>
        <v>6.72084</v>
      </c>
      <c r="J11248" s="6" t="n">
        <f aca="false">(Sens!I11229+Sens!J11229)/2*rent_mw/1000</f>
        <v>6.72084</v>
      </c>
      <c r="K11248" s="6" t="n">
        <f aca="false">(Sens!J11229+Sens!K11229)/2*rent_mw/1000</f>
        <v>6.72084</v>
      </c>
    </row>
    <row r="11249" customFormat="false" ht="17.15" hidden="false" customHeight="false" outlineLevel="0" collapsed="false">
      <c r="A11249" s="0" t="s">
        <v>982</v>
      </c>
      <c r="B11249" s="0" t="s">
        <v>98</v>
      </c>
      <c r="D11249" s="6" t="n">
        <f aca="false">(Sens!C11231+Sens!D11231)/2*(1-self_build)*fac_rent/1000</f>
        <v>0.853242375631075</v>
      </c>
      <c r="E11249" s="6" t="n">
        <f aca="false">(Sens!D11231+Sens!E11231)/2*(1-self_build)*fac_rent/1000</f>
        <v>1.94955961408728</v>
      </c>
      <c r="F11249" s="6" t="n">
        <f aca="false">(Sens!E11231+Sens!F11231)/2*(1-self_build)*fac_rent/1000</f>
        <v>3.92914894476356</v>
      </c>
      <c r="G11249" s="6" t="n">
        <f aca="false">(Sens!F11231+Sens!G11231)/2*(1-self_build)*fac_rent/1000</f>
        <v>6.53206908578159</v>
      </c>
      <c r="H11249" s="6" t="n">
        <f aca="false">(Sens!G11231+Sens!H11231)/2*(1-self_build)*fac_rent/1000</f>
        <v>9.23717988341591</v>
      </c>
      <c r="I11249" s="6" t="n">
        <f aca="false">(Sens!H11231+Sens!I11231)/2*(1-self_build)*fac_rent/1000</f>
        <v>11.5481378557393</v>
      </c>
      <c r="J11249" s="6" t="n">
        <f aca="false">(Sens!I11231+Sens!J11231)/2*(1-self_build)*fac_rent/1000</f>
        <v>13.0899582289108</v>
      </c>
      <c r="K11249" s="6" t="n">
        <f aca="false">(Sens!J11231+Sens!K11231)/2*(1-self_build)*fac_rent/1000</f>
        <v>13.8897275626556</v>
      </c>
      <c r="L11249" s="12" t="s">
        <v>983</v>
      </c>
    </row>
    <row r="11250" customFormat="false" ht="17.15" hidden="false" customHeight="false" outlineLevel="0" collapsed="false">
      <c r="A11250" s="1" t="s">
        <v>984</v>
      </c>
      <c r="B11250" s="0" t="s">
        <v>168</v>
      </c>
      <c r="D11250" s="7" t="n">
        <f aca="false">(Sens!C11230+Sens!D11230)/(Sens!C11231+Sens!D11231)</f>
        <v>0.6</v>
      </c>
      <c r="E11250" s="7" t="n">
        <f aca="false">(Sens!D11230+Sens!E11230)/(Sens!D11231+Sens!E11231)</f>
        <v>0.6</v>
      </c>
      <c r="F11250" s="7" t="n">
        <f aca="false">(Sens!E11230+Sens!F11230)/(Sens!E11231+Sens!F11231)</f>
        <v>0.6</v>
      </c>
      <c r="G11250" s="7" t="n">
        <f aca="false">(Sens!F11230+Sens!G11230)/(Sens!F11231+Sens!G11231)</f>
        <v>0.6</v>
      </c>
      <c r="H11250" s="7" t="n">
        <f aca="false">(Sens!G11230+Sens!H11230)/(Sens!G11231+Sens!H11231)</f>
        <v>0.6</v>
      </c>
      <c r="I11250" s="7" t="n">
        <f aca="false">(Sens!H11230+Sens!I11230)/(Sens!H11231+Sens!I11231)</f>
        <v>0.6</v>
      </c>
      <c r="J11250" s="7" t="n">
        <f aca="false">(Sens!I11230+Sens!J11230)/(Sens!I11231+Sens!J11231)</f>
        <v>0.6</v>
      </c>
      <c r="K11250" s="7" t="n">
        <f aca="false">(Sens!J11230+Sens!K11230)/(Sens!J11231+Sens!K11231)</f>
        <v>0.6</v>
      </c>
    </row>
    <row r="11251" customFormat="false" ht="17.15" hidden="false" customHeight="false" outlineLevel="0" collapsed="false">
      <c r="A11251" s="0" t="s">
        <v>985</v>
      </c>
      <c r="B11251" s="0" t="s">
        <v>98</v>
      </c>
      <c r="D11251" s="6" t="n">
        <f aca="false">Sens!D11245-Sens!D11250*(Sens!D11247+Sens!D11249)-Sens!D11248</f>
        <v>8.35701406163072</v>
      </c>
      <c r="E11251" s="6" t="n">
        <f aca="false">Sens!E11245-Sens!E11250*(Sens!E11247+Sens!E11249)-Sens!E11248</f>
        <v>18.7103224860238</v>
      </c>
      <c r="F11251" s="6" t="n">
        <f aca="false">Sens!F11245-Sens!F11250*(Sens!F11247+Sens!F11249)-Sens!F11248</f>
        <v>35.0947222830189</v>
      </c>
      <c r="G11251" s="6" t="n">
        <f aca="false">Sens!G11245-Sens!G11250*(Sens!G11247+Sens!G11249)-Sens!G11248</f>
        <v>52.9609920712477</v>
      </c>
      <c r="H11251" s="6" t="n">
        <f aca="false">Sens!H11245-Sens!H11250*(Sens!H11247+Sens!H11249)-Sens!H11248</f>
        <v>66.4405822844005</v>
      </c>
      <c r="I11251" s="6" t="n">
        <f aca="false">Sens!I11245-Sens!I11250*(Sens!I11247+Sens!I11249)-Sens!I11248</f>
        <v>84.7749393938279</v>
      </c>
      <c r="J11251" s="6" t="n">
        <f aca="false">Sens!J11245-Sens!J11250*(Sens!J11247+Sens!J11249)-Sens!J11248</f>
        <v>97.6526264137382</v>
      </c>
      <c r="K11251" s="6" t="n">
        <f aca="false">Sens!K11245-Sens!K11250*(Sens!K11247+Sens!K11249)-Sens!K11248</f>
        <v>105.965358412527</v>
      </c>
    </row>
    <row r="11252" customFormat="false" ht="17.15" hidden="false" customHeight="false" outlineLevel="0" collapsed="false">
      <c r="A11252" s="1" t="s">
        <v>986</v>
      </c>
      <c r="B11252" s="0" t="s">
        <v>98</v>
      </c>
      <c r="D11252" s="6" t="n">
        <f aca="false">(1-Sens!D11250)*(Sens!D11247+Sens!D11249)</f>
        <v>1.42281025374069</v>
      </c>
      <c r="E11252" s="6" t="n">
        <f aca="false">(1-Sens!E11250)*(Sens!E11247+Sens!E11249)</f>
        <v>3.25095598674472</v>
      </c>
      <c r="F11252" s="6" t="n">
        <f aca="false">(1-Sens!F11250)*(Sens!F11247+Sens!F11249)</f>
        <v>6.72135810147489</v>
      </c>
      <c r="G11252" s="6" t="n">
        <f aca="false">(1-Sens!G11250)*(Sens!G11247+Sens!G11249)</f>
        <v>11.3401410201637</v>
      </c>
      <c r="H11252" s="6" t="n">
        <f aca="false">(1-Sens!H11250)*(Sens!H11247+Sens!H11249)</f>
        <v>16.1920771049557</v>
      </c>
      <c r="I11252" s="6" t="n">
        <f aca="false">(1-Sens!I11250)*(Sens!I11247+Sens!I11249)</f>
        <v>20.3917774400264</v>
      </c>
      <c r="J11252" s="6" t="n">
        <f aca="false">(1-Sens!J11250)*(Sens!J11247+Sens!J11249)</f>
        <v>23.2503960207104</v>
      </c>
      <c r="K11252" s="6" t="n">
        <f aca="false">(1-Sens!K11250)*(Sens!K11247+Sens!K11249)</f>
        <v>24.8730801087085</v>
      </c>
    </row>
    <row r="11253" customFormat="false" ht="17.15" hidden="false" customHeight="false" outlineLevel="0" collapsed="false">
      <c r="A11253" s="1" t="s">
        <v>987</v>
      </c>
      <c r="B11253" s="0" t="s">
        <v>414</v>
      </c>
      <c r="C11253" s="8" t="n">
        <f aca="false">cxit_open</f>
        <v>27.5918995</v>
      </c>
      <c r="D11253" s="8" t="n">
        <f aca="false">cxit_open</f>
        <v>27.5918995</v>
      </c>
      <c r="E11253" s="8" t="n">
        <f aca="false">cxit_open</f>
        <v>27.5918995</v>
      </c>
      <c r="F11253" s="8" t="n">
        <f aca="false">((a_g3_27-nonnv*a_mai)*tk_cxit_gb300+nonnv*a_mai*nv_hold_mai*tk_cxit_vr200+(1-a_g3_27)*tk_cxit_vr200)</f>
        <v>32.4975576</v>
      </c>
      <c r="G11253" s="8" t="n">
        <f aca="false">((a_g3_28-nonnv*a_mai)*tk_cxit_gb300+nonnv*a_mai*nv_hold_mai*tk_cxit_vr200+(1-a_g3_28)*tk_cxit_vr200)</f>
        <v>34.6372088</v>
      </c>
      <c r="H11253" s="8" t="n">
        <f aca="false">((a_g3_29-nonnv*a_mai)*tk_cxit_gb300+nonnv*a_mai*nv_hold_mai*tk_cxit_vr200+(1-a_g3_29)*tk_cxit_vr200)</f>
        <v>35.7070344</v>
      </c>
      <c r="I11253" s="8" t="n">
        <f aca="false">((a_g3_29-nonnv*a_mai)*tk_cxit_gb300+nonnv*a_mai*nv_hold_mai*tk_cxit_vr200+(1-a_g3_29)*tk_cxit_vr200)</f>
        <v>35.7070344</v>
      </c>
      <c r="J11253" s="8" t="n">
        <f aca="false">((a_g3_29-nonnv*a_mai)*tk_cxit_gb300+nonnv*a_mai*nv_hold_mai*tk_cxit_vr200+(1-a_g3_29)*tk_cxit_vr200)</f>
        <v>35.7070344</v>
      </c>
      <c r="K11253" s="8" t="n">
        <f aca="false">((a_g3_29-nonnv*a_mai)*tk_cxit_gb300+nonnv*a_mai*nv_hold_mai*tk_cxit_vr200+(1-a_g3_29)*tk_cxit_vr200)</f>
        <v>35.7070344</v>
      </c>
      <c r="L11253" s="12" t="s">
        <v>988</v>
      </c>
    </row>
    <row r="11254" customFormat="false" ht="17.15" hidden="false" customHeight="false" outlineLevel="0" collapsed="false">
      <c r="A11254" s="0" t="s">
        <v>989</v>
      </c>
      <c r="B11254" s="0" t="s">
        <v>456</v>
      </c>
      <c r="F11254" s="30" t="n">
        <f aca="false">Sens!C11233*IF(Sens!F11226-Sens!C11226=life_it,1,0)+Sens!D11233*IF(Sens!F11226-Sens!D11226=life_it,1,0)+Sens!E11233*IF(Sens!F11226-Sens!E11226=life_it,1,0)</f>
        <v>0</v>
      </c>
      <c r="G11254" s="30" t="n">
        <f aca="false">Sens!C11233*IF(Sens!G11226-Sens!C11226=life_it,1,0)+Sens!D11233*IF(Sens!G11226-Sens!D11226=life_it,1,0)+Sens!E11233*IF(Sens!G11226-Sens!E11226=life_it,1,0)+Sens!F11233*IF(Sens!G11226-Sens!F11226=life_it,1,0)</f>
        <v>0</v>
      </c>
      <c r="H11254" s="30" t="n">
        <f aca="false">Sens!C11233*IF(Sens!H11226-Sens!C11226=life_it,1,0)+Sens!D11233*IF(Sens!H11226-Sens!D11226=life_it,1,0)+Sens!E11233*IF(Sens!H11226-Sens!E11226=life_it,1,0)+Sens!F11233*IF(Sens!H11226-Sens!F11226=life_it,1,0)+Sens!G11233*IF(Sens!H11226-Sens!G11226=life_it,1,0)</f>
        <v>0</v>
      </c>
      <c r="I11254" s="30" t="n">
        <f aca="false">Sens!C11233*IF(Sens!I11226-Sens!C11226=life_it,1,0)+Sens!D11233*IF(Sens!I11226-Sens!D11226=life_it,1,0)+Sens!E11233*IF(Sens!I11226-Sens!E11226=life_it,1,0)+Sens!F11233*IF(Sens!I11226-Sens!F11226=life_it,1,0)+Sens!G11233*IF(Sens!I11226-Sens!G11226=life_it,1,0)+Sens!H11233*IF(Sens!I11226-Sens!H11226=life_it,1,0)</f>
        <v>816.666666666667</v>
      </c>
      <c r="J11254" s="30" t="n">
        <f aca="false">Sens!C11233*IF(Sens!J11226-Sens!C11226=life_it,1,0)+Sens!D11233*IF(Sens!J11226-Sens!D11226=life_it,1,0)+Sens!E11233*IF(Sens!J11226-Sens!E11226=life_it,1,0)+Sens!F11233*IF(Sens!J11226-Sens!F11226=life_it,1,0)+Sens!G11233*IF(Sens!J11226-Sens!G11226=life_it,1,0)+Sens!H11233*IF(Sens!J11226-Sens!H11226=life_it,1,0)+Sens!I11233*IF(Sens!J11226-Sens!I11226=life_it,1,0)</f>
        <v>1233.33333333333</v>
      </c>
      <c r="K11254" s="30" t="n">
        <f aca="false">Sens!C11233*IF(Sens!K11226-Sens!C11226=life_it,1,0)+Sens!D11233*IF(Sens!K11226-Sens!D11226=life_it,1,0)+Sens!E11233*IF(Sens!K11226-Sens!E11226=life_it,1,0)+Sens!F11233*IF(Sens!K11226-Sens!F11226=life_it,1,0)+Sens!G11233*IF(Sens!K11226-Sens!G11226=life_it,1,0)+Sens!H11233*IF(Sens!K11226-Sens!H11226=life_it,1,0)+Sens!I11233*IF(Sens!K11226-Sens!I11226=life_it,1,0)+Sens!J11233*IF(Sens!K11226-Sens!J11226=life_it,1,0)</f>
        <v>2450</v>
      </c>
      <c r="L11254" s="1" t="s">
        <v>990</v>
      </c>
    </row>
    <row r="11255" customFormat="false" ht="17.15" hidden="false" customHeight="false" outlineLevel="0" collapsed="false">
      <c r="A11255" s="0" t="s">
        <v>991</v>
      </c>
      <c r="B11255" s="0" t="s">
        <v>98</v>
      </c>
      <c r="C11255" s="6" t="n">
        <f aca="false">Sens!C11233*Sens!C11253/1000</f>
        <v>22.5333845916667</v>
      </c>
      <c r="D11255" s="6" t="n">
        <f aca="false">Sens!D11233*Sens!D11253/1000</f>
        <v>34.0300093833333</v>
      </c>
      <c r="E11255" s="6" t="n">
        <f aca="false">Sens!E11233*Sens!E11253/1000</f>
        <v>67.600153775</v>
      </c>
      <c r="F11255" s="6" t="n">
        <f aca="false">(Sens!F11233+Sens!F11254)*Sens!F11253/1000</f>
        <v>136.51872432512</v>
      </c>
      <c r="G11255" s="6" t="n">
        <f aca="false">(Sens!G11233+Sens!G11254)*Sens!G11253/1000</f>
        <v>157.399275932048</v>
      </c>
      <c r="H11255" s="6" t="n">
        <f aca="false">(Sens!H11233+Sens!H11254)*Sens!H11253/1000</f>
        <v>162.260804347512</v>
      </c>
      <c r="I11255" s="6" t="n">
        <f aca="false">(Sens!I11233+Sens!I11254)*Sens!I11253/1000</f>
        <v>144.136569485434</v>
      </c>
      <c r="J11255" s="6" t="n">
        <f aca="false">(Sens!J11233+Sens!J11254)*Sens!J11253/1000</f>
        <v>114.029037357864</v>
      </c>
      <c r="K11255" s="6" t="n">
        <f aca="false">(Sens!K11233+Sens!K11254)*Sens!K11253/1000</f>
        <v>113.437085350975</v>
      </c>
    </row>
    <row r="11256" customFormat="false" ht="17.15" hidden="false" customHeight="false" outlineLevel="0" collapsed="false">
      <c r="A11256" s="0" t="s">
        <v>992</v>
      </c>
      <c r="B11256" s="0" t="s">
        <v>98</v>
      </c>
      <c r="C11256" s="6" t="n">
        <f aca="false">Sens!C11233*self_build*tk_cxfac/1000</f>
        <v>6.2083</v>
      </c>
      <c r="D11256" s="6" t="n">
        <f aca="false">Sens!D11233*self_build*tk_cxfac/1000</f>
        <v>9.3758</v>
      </c>
      <c r="E11256" s="6" t="n">
        <f aca="false">Sens!E11233*self_build*tk_cxfac/1000</f>
        <v>18.6249</v>
      </c>
      <c r="F11256" s="6" t="n">
        <f aca="false">Sens!F11233*self_build*tk_cxfac/1000</f>
        <v>31.935179717</v>
      </c>
      <c r="G11256" s="6" t="n">
        <f aca="false">Sens!G11233*self_build*tk_cxfac/1000</f>
        <v>34.545199717</v>
      </c>
      <c r="H11256" s="6" t="n">
        <f aca="false">Sens!H11233*self_build*tk_cxfac/1000</f>
        <v>34.545199717</v>
      </c>
      <c r="I11256" s="6" t="n">
        <f aca="false">Sens!I11233*self_build*tk_cxfac/1000</f>
        <v>24.4782641361767</v>
      </c>
      <c r="J11256" s="6" t="n">
        <f aca="false">Sens!J11233*self_build*tk_cxfac/1000</f>
        <v>14.9008938380769</v>
      </c>
      <c r="K11256" s="6" t="n">
        <f aca="false">Sens!K11233*self_build*tk_cxfac/1000</f>
        <v>5.52576771375761</v>
      </c>
    </row>
    <row r="11257" customFormat="false" ht="17.15" hidden="false" customHeight="false" outlineLevel="0" collapsed="false">
      <c r="A11257" s="0" t="s">
        <v>993</v>
      </c>
      <c r="B11257" s="0" t="s">
        <v>98</v>
      </c>
      <c r="F11257" s="15" t="n">
        <f aca="false">capex_floor27-Sens!F11255-Sens!F11256-Sens!F11353</f>
        <v>-0.0875203154216067</v>
      </c>
      <c r="L11257" s="12" t="s">
        <v>994</v>
      </c>
    </row>
    <row r="11258" customFormat="false" ht="17.15" hidden="false" customHeight="false" outlineLevel="0" collapsed="false">
      <c r="A11258" s="0" t="s">
        <v>995</v>
      </c>
      <c r="B11258" s="0" t="s">
        <v>98</v>
      </c>
      <c r="F11258" s="6" t="n">
        <f aca="false">MAX(0,Sens!F11257)</f>
        <v>0</v>
      </c>
    </row>
    <row r="11259" customFormat="false" ht="17.15" hidden="false" customHeight="false" outlineLevel="0" collapsed="false">
      <c r="A11259" s="0" t="s">
        <v>996</v>
      </c>
      <c r="B11259" s="0" t="s">
        <v>98</v>
      </c>
      <c r="C11259" s="6" t="n">
        <f aca="false">Sens!C11255</f>
        <v>22.5333845916667</v>
      </c>
      <c r="D11259" s="6" t="n">
        <f aca="false">Sens!D11255</f>
        <v>34.0300093833333</v>
      </c>
      <c r="E11259" s="6" t="n">
        <f aca="false">Sens!E11255</f>
        <v>67.600153775</v>
      </c>
      <c r="F11259" s="6" t="n">
        <f aca="false">Sens!F11255</f>
        <v>136.51872432512</v>
      </c>
      <c r="G11259" s="6" t="n">
        <f aca="false">Sens!G11255</f>
        <v>157.399275932048</v>
      </c>
      <c r="H11259" s="6" t="n">
        <f aca="false">Sens!H11255</f>
        <v>162.260804347512</v>
      </c>
      <c r="I11259" s="6" t="n">
        <f aca="false">Sens!I11255</f>
        <v>144.136569485434</v>
      </c>
      <c r="J11259" s="6" t="n">
        <f aca="false">Sens!J11255</f>
        <v>114.029037357864</v>
      </c>
      <c r="K11259" s="6" t="n">
        <f aca="false">Sens!K11255</f>
        <v>113.437085350975</v>
      </c>
    </row>
    <row r="11260" customFormat="false" ht="17.15" hidden="false" customHeight="false" outlineLevel="0" collapsed="false">
      <c r="A11260" s="0" t="s">
        <v>997</v>
      </c>
      <c r="B11260" s="0" t="s">
        <v>98</v>
      </c>
      <c r="C11260" s="6" t="n">
        <f aca="false">Sens!C11259+Sens!C11256</f>
        <v>28.7416845916667</v>
      </c>
      <c r="D11260" s="6" t="n">
        <f aca="false">Sens!D11259+Sens!D11256</f>
        <v>43.4058093833333</v>
      </c>
      <c r="E11260" s="6" t="n">
        <f aca="false">Sens!E11259+Sens!E11256</f>
        <v>86.225053775</v>
      </c>
      <c r="F11260" s="6" t="n">
        <f aca="false">Sens!F11259+Sens!F11256</f>
        <v>168.45390404212</v>
      </c>
      <c r="G11260" s="6" t="n">
        <f aca="false">Sens!G11259+Sens!G11256</f>
        <v>191.944475649048</v>
      </c>
      <c r="H11260" s="6" t="n">
        <f aca="false">Sens!H11259+Sens!H11256</f>
        <v>196.806004064512</v>
      </c>
      <c r="I11260" s="6" t="n">
        <f aca="false">Sens!I11259+Sens!I11256</f>
        <v>168.61483362161</v>
      </c>
      <c r="J11260" s="6" t="n">
        <f aca="false">Sens!J11259+Sens!J11256</f>
        <v>128.92993119594</v>
      </c>
      <c r="K11260" s="6" t="n">
        <f aca="false">Sens!K11259+Sens!K11256</f>
        <v>118.962853064733</v>
      </c>
      <c r="L11260" s="12" t="s">
        <v>998</v>
      </c>
    </row>
    <row r="11261" customFormat="false" ht="17.15" hidden="false" customHeight="false" outlineLevel="0" collapsed="false">
      <c r="A11261" s="0" t="s">
        <v>999</v>
      </c>
      <c r="B11261" s="0" t="s">
        <v>98</v>
      </c>
      <c r="E11261" s="6" t="n">
        <f aca="false">(Sens!C11259*IF(2&lt;life_it,1,IF(2=life_it,0.5,0))+Sens!D11259*IF(1&lt;life_it,1,IF(1=life_it,0.5,0))+Sens!E11259*0.5)/life_it</f>
        <v>15.0605784770833</v>
      </c>
      <c r="F11261" s="6" t="n">
        <f aca="false">(Sens!C11259*IF(3&lt;life_it,1,IF(3=life_it,0.5,0))+Sens!D11259*IF(2&lt;life_it,1,IF(2=life_it,0.5,0))+Sens!E11259*IF(1&lt;life_it,1,IF(1=life_it,0.5,0))+Sens!F11259*0.5)/life_it</f>
        <v>32.0704849854266</v>
      </c>
      <c r="G11261" s="6" t="n">
        <f aca="false">(Sens!C11259*IF(4&lt;life_it,1,IF(4=life_it,0.5,0))+Sens!D11259*IF(3&lt;life_it,1,IF(3=life_it,0.5,0))+Sens!E11259*IF(2&lt;life_it,1,IF(2=life_it,0.5,0))+Sens!F11259*IF(1&lt;life_it,1,IF(1=life_it,0.5,0))+Sens!G11259*0.5)/life_it</f>
        <v>56.5636516735239</v>
      </c>
      <c r="H11261" s="6" t="n">
        <f aca="false">(Sens!C11259*IF(5&lt;life_it,1,IF(5=life_it,0.5,0))+Sens!D11259*IF(4&lt;life_it,1,IF(4=life_it,0.5,0))+Sens!E11259*IF(3&lt;life_it,1,IF(3=life_it,0.5,0))+Sens!F11259*IF(2&lt;life_it,1,IF(2=life_it,0.5,0))+Sens!G11259*IF(1&lt;life_it,1,IF(1=life_it,0.5,0))+Sens!H11259*0.5)/life_it</f>
        <v>83.2019916968207</v>
      </c>
      <c r="I11261" s="6" t="n">
        <f aca="false">(Sens!C11259*IF(6&lt;life_it,1,IF(6=life_it,0.5,0))+Sens!D11259*IF(5&lt;life_it,1,IF(5=life_it,0.5,0))+Sens!E11259*IF(4&lt;life_it,1,IF(4=life_it,0.5,0))+Sens!F11259*IF(3&lt;life_it,1,IF(3=life_it,0.5,0))+Sens!G11259*IF(2&lt;life_it,1,IF(2=life_it,0.5,0))+Sens!H11259*IF(1&lt;life_it,1,IF(1=life_it,0.5,0))+Sens!I11259*0.5)/life_it</f>
        <v>106.857324133594</v>
      </c>
      <c r="J11261" s="6" t="n">
        <f aca="false">(Sens!C11259*IF(7&lt;life_it,1,IF(7=life_it,0.5,0))+Sens!D11259*IF(6&lt;life_it,1,IF(6=life_it,0.5,0))+Sens!E11259*IF(5&lt;life_it,1,IF(5=life_it,0.5,0))+Sens!F11259*IF(4&lt;life_it,1,IF(4=life_it,0.5,0))+Sens!G11259*IF(3&lt;life_it,1,IF(3=life_it,0.5,0))+Sens!H11259*IF(2&lt;life_it,1,IF(2=life_it,0.5,0))+Sens!I11259*IF(1&lt;life_it,1,IF(1=life_it,0.5,0))+Sens!J11259*0.5)/life_it</f>
        <v>123.657508539285</v>
      </c>
      <c r="K11261" s="6" t="n">
        <f aca="false">(Sens!C11259*IF(8&lt;life_it,1,IF(8=life_it,0.5,0))+Sens!D11259*IF(7&lt;life_it,1,IF(7=life_it,0.5,0))+Sens!E11259*IF(6&lt;life_it,1,IF(6=life_it,0.5,0))+Sens!F11259*IF(5&lt;life_it,1,IF(5=life_it,0.5,0))+Sens!G11259*IF(4&lt;life_it,1,IF(4=life_it,0.5,0))+Sens!H11259*IF(3&lt;life_it,1,IF(3=life_it,0.5,0))+Sens!I11259*IF(2&lt;life_it,1,IF(2=life_it,0.5,0))+Sens!J11259*IF(1&lt;life_it,1,IF(1=life_it,0.5,0))+Sens!K11259*0.5)/life_it</f>
        <v>134.143838501827</v>
      </c>
    </row>
    <row r="11262" customFormat="false" ht="17.15" hidden="false" customHeight="false" outlineLevel="0" collapsed="false">
      <c r="A11262" s="0" t="s">
        <v>1000</v>
      </c>
      <c r="B11262" s="0" t="s">
        <v>98</v>
      </c>
      <c r="E11262" s="6" t="n">
        <f aca="false">(Sens!C11256*IF(2&lt;life_fac,1,IF(2=life_fac,0.5,0))+Sens!D11256*IF(1&lt;life_fac,1,IF(1=life_fac,0.5,0))+Sens!E11256*0.5)/life_fac</f>
        <v>1.2448275</v>
      </c>
      <c r="F11262" s="6" t="n">
        <f aca="false">(Sens!C11256*IF(3&lt;life_fac,1,IF(3=life_fac,0.5,0))+Sens!D11256*IF(2&lt;life_fac,1,IF(2=life_fac,0.5,0))+Sens!E11256*IF(1&lt;life_fac,1,IF(1=life_fac,0.5,0))+Sens!F11256*0.5)/life_fac</f>
        <v>2.508829492925</v>
      </c>
      <c r="G11262" s="6" t="n">
        <f aca="false">(Sens!C11256*IF(4&lt;life_fac,1,IF(4=life_fac,0.5,0))+Sens!D11256*IF(3&lt;life_fac,1,IF(3=life_fac,0.5,0))+Sens!E11256*IF(2&lt;life_fac,1,IF(2=life_fac,0.5,0))+Sens!F11256*IF(1&lt;life_fac,1,IF(1=life_fac,0.5,0))+Sens!G11256*0.5)/life_fac</f>
        <v>4.170838978775</v>
      </c>
      <c r="H11262" s="6" t="n">
        <f aca="false">(Sens!C11256*IF(5&lt;life_fac,1,IF(5=life_fac,0.5,0))+Sens!D11256*IF(4&lt;life_fac,1,IF(4=life_fac,0.5,0))+Sens!E11256*IF(3&lt;life_fac,1,IF(3=life_fac,0.5,0))+Sens!F11256*IF(2&lt;life_fac,1,IF(2=life_fac,0.5,0))+Sens!G11256*IF(1&lt;life_fac,1,IF(1=life_fac,0.5,0))+Sens!H11256*0.5)/life_fac</f>
        <v>5.898098964625</v>
      </c>
      <c r="I11262" s="6" t="n">
        <f aca="false">(Sens!C11256*IF(6&lt;life_fac,1,IF(6=life_fac,0.5,0))+Sens!D11256*IF(5&lt;life_fac,1,IF(5=life_fac,0.5,0))+Sens!E11256*IF(4&lt;life_fac,1,IF(4=life_fac,0.5,0))+Sens!F11256*IF(3&lt;life_fac,1,IF(3=life_fac,0.5,0))+Sens!G11256*IF(2&lt;life_fac,1,IF(2=life_fac,0.5,0))+Sens!H11256*IF(1&lt;life_fac,1,IF(1=life_fac,0.5,0))+Sens!I11256*0.5)/life_fac</f>
        <v>7.37368556095442</v>
      </c>
      <c r="J11262" s="6" t="n">
        <f aca="false">(Sens!C11256*IF(7&lt;life_fac,1,IF(7=life_fac,0.5,0))+Sens!D11256*IF(6&lt;life_fac,1,IF(6=life_fac,0.5,0))+Sens!E11256*IF(5&lt;life_fac,1,IF(5=life_fac,0.5,0))+Sens!F11256*IF(4&lt;life_fac,1,IF(4=life_fac,0.5,0))+Sens!G11256*IF(3&lt;life_fac,1,IF(3=life_fac,0.5,0))+Sens!H11256*IF(2&lt;life_fac,1,IF(2=life_fac,0.5,0))+Sens!I11256*IF(1&lt;life_fac,1,IF(1=life_fac,0.5,0))+Sens!J11256*0.5)/life_fac</f>
        <v>8.35816451031075</v>
      </c>
      <c r="K11262" s="6" t="n">
        <f aca="false">(Sens!C11256*IF(8&lt;life_fac,1,IF(8=life_fac,0.5,0))+Sens!D11256*IF(7&lt;life_fac,1,IF(7=life_fac,0.5,0))+Sens!E11256*IF(6&lt;life_fac,1,IF(6=life_fac,0.5,0))+Sens!F11256*IF(5&lt;life_fac,1,IF(5=life_fac,0.5,0))+Sens!G11256*IF(4&lt;life_fac,1,IF(4=life_fac,0.5,0))+Sens!H11256*IF(3&lt;life_fac,1,IF(3=life_fac,0.5,0))+Sens!I11256*IF(2&lt;life_fac,1,IF(2=life_fac,0.5,0))+Sens!J11256*IF(1&lt;life_fac,1,IF(1=life_fac,0.5,0))+Sens!K11256*0.5)/life_fac</f>
        <v>8.86883104910662</v>
      </c>
    </row>
    <row r="11263" customFormat="false" ht="17.15" hidden="false" customHeight="false" outlineLevel="0" collapsed="false">
      <c r="A11263" s="0" t="s">
        <v>1001</v>
      </c>
      <c r="B11263" s="0" t="s">
        <v>98</v>
      </c>
      <c r="E11263" s="6" t="n">
        <f aca="false">Sens!E11261+Sens!E11262</f>
        <v>16.3054059770833</v>
      </c>
      <c r="F11263" s="6" t="n">
        <f aca="false">Sens!F11261+Sens!F11262</f>
        <v>34.5793144783516</v>
      </c>
      <c r="G11263" s="6" t="n">
        <f aca="false">Sens!G11261+Sens!G11262</f>
        <v>60.7344906522989</v>
      </c>
      <c r="H11263" s="6" t="n">
        <f aca="false">Sens!H11261+Sens!H11262</f>
        <v>89.1000906614457</v>
      </c>
      <c r="I11263" s="6" t="n">
        <f aca="false">Sens!I11261+Sens!I11262</f>
        <v>114.231009694548</v>
      </c>
      <c r="J11263" s="6" t="n">
        <f aca="false">Sens!J11261+Sens!J11262</f>
        <v>132.015673049596</v>
      </c>
      <c r="K11263" s="6" t="n">
        <f aca="false">Sens!K11261+Sens!K11262</f>
        <v>143.012669550934</v>
      </c>
    </row>
    <row r="11264" customFormat="false" ht="17.15" hidden="false" customHeight="false" outlineLevel="0" collapsed="false">
      <c r="A11264" s="0" t="s">
        <v>1002</v>
      </c>
      <c r="B11264" s="0" t="s">
        <v>98</v>
      </c>
      <c r="E11264" s="6" t="n">
        <f aca="false">Sens!E11251-Sens!E11250*Sens!E11263</f>
        <v>8.92707889977379</v>
      </c>
      <c r="F11264" s="6" t="n">
        <f aca="false">Sens!F11251-Sens!F11250*Sens!F11263</f>
        <v>14.3471335960079</v>
      </c>
      <c r="G11264" s="6" t="n">
        <f aca="false">Sens!G11251-Sens!G11250*Sens!G11263</f>
        <v>16.5202976798683</v>
      </c>
      <c r="H11264" s="6" t="n">
        <f aca="false">Sens!H11251-Sens!H11250*Sens!H11263</f>
        <v>12.9805278875331</v>
      </c>
      <c r="I11264" s="6" t="n">
        <f aca="false">Sens!I11251-Sens!I11250*Sens!I11263</f>
        <v>16.2363335770989</v>
      </c>
      <c r="J11264" s="6" t="n">
        <f aca="false">Sens!J11251-Sens!J11250*Sens!J11263</f>
        <v>18.4432225839805</v>
      </c>
      <c r="K11264" s="6" t="n">
        <f aca="false">Sens!K11251-Sens!K11250*Sens!K11263</f>
        <v>20.1577566819661</v>
      </c>
    </row>
    <row r="11265" customFormat="false" ht="17.15" hidden="false" customHeight="false" outlineLevel="0" collapsed="false">
      <c r="A11265" s="3" t="s">
        <v>1761</v>
      </c>
    </row>
    <row r="11266" customFormat="false" ht="15" hidden="false" customHeight="false" outlineLevel="0" collapsed="false">
      <c r="A11266" s="4" t="s">
        <v>43</v>
      </c>
      <c r="B11266" s="4" t="s">
        <v>65</v>
      </c>
      <c r="C11266" s="23" t="s">
        <v>938</v>
      </c>
      <c r="D11266" s="23" t="s">
        <v>939</v>
      </c>
      <c r="E11266" s="23" t="s">
        <v>940</v>
      </c>
      <c r="F11266" s="23" t="s">
        <v>941</v>
      </c>
      <c r="G11266" s="23" t="s">
        <v>942</v>
      </c>
      <c r="H11266" s="23" t="s">
        <v>943</v>
      </c>
      <c r="I11266" s="23" t="s">
        <v>944</v>
      </c>
      <c r="J11266" s="23" t="s">
        <v>945</v>
      </c>
      <c r="K11266" s="23" t="s">
        <v>946</v>
      </c>
      <c r="L11266" s="4" t="s">
        <v>47</v>
      </c>
    </row>
    <row r="11267" customFormat="false" ht="17.15" hidden="false" customHeight="false" outlineLevel="0" collapsed="false">
      <c r="A11267" s="0" t="s">
        <v>1021</v>
      </c>
      <c r="B11267" s="0" t="s">
        <v>98</v>
      </c>
      <c r="D11267" s="6" t="n">
        <f aca="false">Sens!D11245</f>
        <v>12.9359794422418</v>
      </c>
      <c r="E11267" s="6" t="n">
        <f aca="false">Sens!E11245</f>
        <v>27.8095064661409</v>
      </c>
      <c r="F11267" s="6" t="n">
        <f aca="false">Sens!F11245</f>
        <v>50.9819294352312</v>
      </c>
      <c r="G11267" s="6" t="n">
        <f aca="false">Sens!G11245</f>
        <v>76.6920436014933</v>
      </c>
      <c r="H11267" s="6" t="n">
        <f aca="false">Sens!H11245</f>
        <v>97.4495379418341</v>
      </c>
      <c r="I11267" s="6" t="n">
        <f aca="false">Sens!I11245</f>
        <v>122.083445553868</v>
      </c>
      <c r="J11267" s="6" t="n">
        <f aca="false">Sens!J11245</f>
        <v>139.249060444804</v>
      </c>
      <c r="K11267" s="6" t="n">
        <f aca="false">Sens!K11245</f>
        <v>149.995818575589</v>
      </c>
    </row>
    <row r="11268" customFormat="false" ht="17.15" hidden="false" customHeight="false" outlineLevel="0" collapsed="false">
      <c r="A11268" s="0" t="s">
        <v>1022</v>
      </c>
      <c r="B11268" s="0" t="s">
        <v>98</v>
      </c>
      <c r="D11268" s="6" t="n">
        <f aca="false">Q!L6-Sens!D11267</f>
        <v>59.6740205577583</v>
      </c>
      <c r="E11268" s="6" t="n">
        <f aca="false">Q!M6-Sens!E11267</f>
        <v>74.1284935338591</v>
      </c>
      <c r="F11268" s="6" t="n">
        <f aca="false">Q!$I$6+(Sens!F11267+Sens!E11268*(1+Sens!F11269))*(1-Q!$E$6/Q!M6)-Sens!F11267</f>
        <v>92.2699541184664</v>
      </c>
      <c r="G11268" s="6" t="n">
        <f aca="false">Sens!F11268*(1+Sens!G11269)</f>
        <v>109.630477277949</v>
      </c>
      <c r="H11268" s="6" t="n">
        <f aca="false">Sens!G11268*(1+Sens!H11269)</f>
        <v>127.293256321956</v>
      </c>
      <c r="I11268" s="6" t="n">
        <f aca="false">Sens!H11268*(1+Sens!I11269)</f>
        <v>144.360052269491</v>
      </c>
      <c r="J11268" s="6" t="n">
        <f aca="false">Sens!I11268*(1+Sens!J11269)</f>
        <v>159.811964490216</v>
      </c>
      <c r="K11268" s="6" t="n">
        <f aca="false">Sens!J11268*(1+Sens!K11269)</f>
        <v>172.596921649434</v>
      </c>
      <c r="L11268" s="12" t="s">
        <v>1023</v>
      </c>
    </row>
    <row r="11269" customFormat="false" ht="15" hidden="false" customHeight="false" outlineLevel="0" collapsed="false">
      <c r="A11269" s="1" t="s">
        <v>1024</v>
      </c>
      <c r="B11269" s="0" t="s">
        <v>168</v>
      </c>
      <c r="E11269" s="7" t="n">
        <f aca="false">Sens!E11268/Sens!D11268-1</f>
        <v>0.242223883039864</v>
      </c>
      <c r="F11269" s="7" t="n">
        <f aca="false">Sens!$E$11269+(glt_azo-Sens!$E$11269)*MIN(1,(Sens!F11226-base_fy)/n_conv)</f>
        <v>0.215186569199887</v>
      </c>
      <c r="G11269" s="7" t="n">
        <f aca="false">Sens!$E$11269+(glt_azo-Sens!$E$11269)*MIN(1,(Sens!G11226-base_fy)/n_conv)</f>
        <v>0.18814925535991</v>
      </c>
      <c r="H11269" s="7" t="n">
        <f aca="false">Sens!$E$11269+(glt_azo-Sens!$E$11269)*MIN(1,(Sens!H11226-base_fy)/n_conv)</f>
        <v>0.161111941519932</v>
      </c>
      <c r="I11269" s="7" t="n">
        <f aca="false">Sens!$E$11269+(glt_azo-Sens!$E$11269)*MIN(1,(Sens!I11226-base_fy)/n_conv)</f>
        <v>0.134074627679955</v>
      </c>
      <c r="J11269" s="7" t="n">
        <f aca="false">Sens!$E$11269+(glt_azo-Sens!$E$11269)*MIN(1,(Sens!J11226-base_fy)/n_conv)</f>
        <v>0.107037313839977</v>
      </c>
      <c r="K11269" s="7" t="n">
        <f aca="false">Sens!$E$11269+(glt_azo-Sens!$E$11269)*MIN(1,(Sens!K11226-base_fy)/n_conv)</f>
        <v>0.08</v>
      </c>
    </row>
    <row r="11270" customFormat="false" ht="15" hidden="false" customHeight="false" outlineLevel="0" collapsed="false">
      <c r="A11270" s="0" t="s">
        <v>1025</v>
      </c>
      <c r="B11270" s="0" t="s">
        <v>98</v>
      </c>
      <c r="D11270" s="6" t="n">
        <f aca="false">Sens!D11267+Sens!D11268</f>
        <v>72.61</v>
      </c>
      <c r="E11270" s="6" t="n">
        <f aca="false">Sens!E11267+Sens!E11268</f>
        <v>101.938</v>
      </c>
      <c r="F11270" s="6" t="n">
        <f aca="false">Sens!F11267+Sens!F11268</f>
        <v>143.251883553698</v>
      </c>
      <c r="G11270" s="6" t="n">
        <f aca="false">Sens!G11267+Sens!G11268</f>
        <v>186.322520879442</v>
      </c>
      <c r="H11270" s="6" t="n">
        <f aca="false">Sens!H11267+Sens!H11268</f>
        <v>224.74279426379</v>
      </c>
      <c r="I11270" s="6" t="n">
        <f aca="false">Sens!I11267+Sens!I11268</f>
        <v>266.443497823359</v>
      </c>
      <c r="J11270" s="6" t="n">
        <f aca="false">Sens!J11267+Sens!J11268</f>
        <v>299.06102493502</v>
      </c>
      <c r="K11270" s="6" t="n">
        <f aca="false">Sens!K11267+Sens!K11268</f>
        <v>322.592740225023</v>
      </c>
    </row>
    <row r="11271" customFormat="false" ht="17.15" hidden="false" customHeight="false" outlineLevel="0" collapsed="false">
      <c r="A11271" s="0" t="s">
        <v>1026</v>
      </c>
      <c r="B11271" s="1" t="s">
        <v>610</v>
      </c>
      <c r="C11271" s="30" t="n">
        <f aca="false">cop_s24</f>
        <v>1</v>
      </c>
      <c r="D11271" s="30" t="n">
        <f aca="false">cop_s25</f>
        <v>5</v>
      </c>
      <c r="E11271" s="30" t="n">
        <f aca="false">cop_s26</f>
        <v>30</v>
      </c>
      <c r="F11271" s="30" t="n">
        <f aca="false">Sens!E11271+cop_add_C</f>
        <v>40</v>
      </c>
      <c r="G11271" s="30" t="n">
        <f aca="false">Sens!F11271+cop_add_C</f>
        <v>50</v>
      </c>
      <c r="H11271" s="30" t="n">
        <f aca="false">Sens!G11271+cop_add_C</f>
        <v>60</v>
      </c>
      <c r="I11271" s="30" t="n">
        <f aca="false">Sens!H11271+cop_add_C*cop_tail</f>
        <v>65</v>
      </c>
      <c r="J11271" s="30" t="n">
        <f aca="false">Sens!I11271+cop_add_C*cop_tail</f>
        <v>70</v>
      </c>
      <c r="K11271" s="30" t="n">
        <f aca="false">Sens!J11271+cop_add_C*cop_tail</f>
        <v>75</v>
      </c>
      <c r="L11271" s="12" t="s">
        <v>1027</v>
      </c>
    </row>
    <row r="11272" customFormat="false" ht="17.15" hidden="false" customHeight="false" outlineLevel="0" collapsed="false">
      <c r="A11272" s="0" t="s">
        <v>1028</v>
      </c>
      <c r="B11272" s="0" t="s">
        <v>98</v>
      </c>
      <c r="D11272" s="6" t="n">
        <f aca="false">(Sens!C11271+Sens!D11271)/2*cop_px*12/1000</f>
        <v>0.9</v>
      </c>
      <c r="E11272" s="6" t="n">
        <f aca="false">(Sens!D11271+Sens!E11271)/2*cop_px*12/1000</f>
        <v>5.25</v>
      </c>
      <c r="F11272" s="6" t="n">
        <f aca="false">(Sens!E11271+Sens!F11271)/2*cop_px*12/1000</f>
        <v>10.5</v>
      </c>
      <c r="G11272" s="6" t="n">
        <f aca="false">(Sens!F11271+Sens!G11271)/2*cop_px*12/1000</f>
        <v>13.5</v>
      </c>
      <c r="H11272" s="6" t="n">
        <f aca="false">(Sens!G11271+Sens!H11271)/2*cop_px*12/1000</f>
        <v>16.5</v>
      </c>
      <c r="I11272" s="6" t="n">
        <f aca="false">(Sens!H11271+Sens!I11271)/2*cop_px*12/1000</f>
        <v>18.75</v>
      </c>
      <c r="J11272" s="6" t="n">
        <f aca="false">(Sens!I11271+Sens!J11271)/2*cop_px*12/1000</f>
        <v>20.25</v>
      </c>
      <c r="K11272" s="6" t="n">
        <f aca="false">(Sens!J11271+Sens!K11271)/2*cop_px*12/1000</f>
        <v>21.75</v>
      </c>
      <c r="L11272" s="1" t="s">
        <v>1029</v>
      </c>
    </row>
    <row r="11273" customFormat="false" ht="17.15" hidden="false" customHeight="false" outlineLevel="0" collapsed="false">
      <c r="A11273" s="0" t="s">
        <v>1030</v>
      </c>
      <c r="B11273" s="0" t="s">
        <v>98</v>
      </c>
      <c r="D11273" s="6" t="n">
        <f aca="false">Q!L7-Sens!D11272</f>
        <v>83.705</v>
      </c>
      <c r="E11273" s="6" t="n">
        <f aca="false">Q!M7-Sens!E11272</f>
        <v>95.049</v>
      </c>
      <c r="F11273" s="6" t="n">
        <f aca="false">Q!$I$7+(Sens!E11273*(1+Sens!F11274)+Sens!F11272)*(1-Q!$E$7/Q!M7)-Sens!F11272</f>
        <v>106.938354189776</v>
      </c>
      <c r="G11273" s="6" t="n">
        <f aca="false">Sens!F11273*(1+Sens!G11274)</f>
        <v>119.095360443801</v>
      </c>
      <c r="H11273" s="6" t="n">
        <f aca="false">Sens!G11273*(1+Sens!H11274)</f>
        <v>131.333811964563</v>
      </c>
      <c r="I11273" s="6" t="n">
        <f aca="false">Sens!H11273*(1+Sens!I11274)</f>
        <v>143.395665319381</v>
      </c>
      <c r="J11273" s="6" t="n">
        <f aca="false">Sens!I11273*(1+Sens!J11274)</f>
        <v>154.999327755573</v>
      </c>
      <c r="K11273" s="6" t="n">
        <f aca="false">Sens!J11273*(1+Sens!K11274)</f>
        <v>165.849280698463</v>
      </c>
      <c r="L11273" s="12" t="s">
        <v>1031</v>
      </c>
    </row>
    <row r="11274" customFormat="false" ht="15" hidden="false" customHeight="false" outlineLevel="0" collapsed="false">
      <c r="A11274" s="1" t="s">
        <v>1024</v>
      </c>
      <c r="B11274" s="0" t="s">
        <v>168</v>
      </c>
      <c r="E11274" s="7" t="n">
        <f aca="false">Sens!E11273/Sens!D11273-1</f>
        <v>0.135523564900544</v>
      </c>
      <c r="F11274" s="7" t="n">
        <f aca="false">Sens!$E$11274+(glt_m365b-Sens!$E$11274)*MIN(1,(Sens!F11226-base_fy)/n_conv)</f>
        <v>0.124602970750453</v>
      </c>
      <c r="G11274" s="7" t="n">
        <f aca="false">Sens!$E$11274+(glt_m365b-Sens!$E$11274)*MIN(1,(Sens!G11226-base_fy)/n_conv)</f>
        <v>0.113682376600363</v>
      </c>
      <c r="H11274" s="7" t="n">
        <f aca="false">Sens!$E$11274+(glt_m365b-Sens!$E$11274)*MIN(1,(Sens!H11226-base_fy)/n_conv)</f>
        <v>0.102761782450272</v>
      </c>
      <c r="I11274" s="7" t="n">
        <f aca="false">Sens!$E$11274+(glt_m365b-Sens!$E$11274)*MIN(1,(Sens!I11226-base_fy)/n_conv)</f>
        <v>0.0918411883001813</v>
      </c>
      <c r="J11274" s="7" t="n">
        <f aca="false">Sens!$E$11274+(glt_m365b-Sens!$E$11274)*MIN(1,(Sens!J11226-base_fy)/n_conv)</f>
        <v>0.0809205941500906</v>
      </c>
      <c r="K11274" s="7" t="n">
        <f aca="false">Sens!$E$11274+(glt_m365b-Sens!$E$11274)*MIN(1,(Sens!K11226-base_fy)/n_conv)</f>
        <v>0.07</v>
      </c>
    </row>
    <row r="11275" customFormat="false" ht="15" hidden="false" customHeight="false" outlineLevel="0" collapsed="false">
      <c r="A11275" s="0" t="s">
        <v>1032</v>
      </c>
      <c r="B11275" s="0" t="s">
        <v>98</v>
      </c>
      <c r="D11275" s="6" t="n">
        <f aca="false">Sens!D11273+Sens!D11272</f>
        <v>84.605</v>
      </c>
      <c r="E11275" s="6" t="n">
        <f aca="false">Sens!E11273+Sens!E11272</f>
        <v>100.299</v>
      </c>
      <c r="F11275" s="6" t="n">
        <f aca="false">Sens!F11273+Sens!F11272</f>
        <v>117.438354189776</v>
      </c>
      <c r="G11275" s="6" t="n">
        <f aca="false">Sens!G11273+Sens!G11272</f>
        <v>132.595360443801</v>
      </c>
      <c r="H11275" s="6" t="n">
        <f aca="false">Sens!H11273+Sens!H11272</f>
        <v>147.833811964563</v>
      </c>
      <c r="I11275" s="6" t="n">
        <f aca="false">Sens!I11273+Sens!I11272</f>
        <v>162.145665319381</v>
      </c>
      <c r="J11275" s="6" t="n">
        <f aca="false">Sens!J11273+Sens!J11272</f>
        <v>175.249327755573</v>
      </c>
      <c r="K11275" s="6" t="n">
        <f aca="false">Sens!K11273+Sens!K11272</f>
        <v>187.599280698463</v>
      </c>
    </row>
    <row r="11276" customFormat="false" ht="17.15" hidden="false" customHeight="false" outlineLevel="0" collapsed="false">
      <c r="A11276" s="0" t="s">
        <v>1033</v>
      </c>
      <c r="B11276" s="0" t="s">
        <v>98</v>
      </c>
      <c r="D11276" s="6" t="n">
        <f aca="false">Q!L8</f>
        <v>35.391</v>
      </c>
      <c r="E11276" s="6" t="n">
        <f aca="false">Q!M8</f>
        <v>37.285</v>
      </c>
      <c r="F11276" s="6" t="n">
        <f aca="false">Q!$I$8+(Q!M8-Q!$E$8)*(1+Sens!F11277)</f>
        <v>38.3851437782675</v>
      </c>
      <c r="G11276" s="6" t="n">
        <f aca="false">Sens!F11276*(1+Sens!G11277)</f>
        <v>40.0105353288615</v>
      </c>
      <c r="H11276" s="6" t="n">
        <f aca="false">Sens!G11276*(1+Sens!H11277)</f>
        <v>41.4812512033683</v>
      </c>
      <c r="I11276" s="6" t="n">
        <f aca="false">Sens!H11276*(1+Sens!I11277)</f>
        <v>42.7743107216329</v>
      </c>
      <c r="J11276" s="6" t="n">
        <f aca="false">Sens!I11276*(1+Sens!J11277)</f>
        <v>43.8687373064601</v>
      </c>
      <c r="K11276" s="6" t="n">
        <f aca="false">Sens!J11276*(1+Sens!K11277)</f>
        <v>44.7461120525893</v>
      </c>
      <c r="L11276" s="12" t="s">
        <v>1034</v>
      </c>
    </row>
    <row r="11277" customFormat="false" ht="15" hidden="false" customHeight="false" outlineLevel="0" collapsed="false">
      <c r="A11277" s="1" t="s">
        <v>1024</v>
      </c>
      <c r="B11277" s="0" t="s">
        <v>168</v>
      </c>
      <c r="E11277" s="7" t="n">
        <f aca="false">Sens!E11276/Sens!D11276-1</f>
        <v>0.0535164307309768</v>
      </c>
      <c r="F11277" s="7" t="n">
        <f aca="false">Sens!$E$11277+(glt_lic-Sens!$E$11277)*MIN(1,(Sens!F11226-base_fy)/n_conv)</f>
        <v>0.0479303589424807</v>
      </c>
      <c r="G11277" s="7" t="n">
        <f aca="false">Sens!$E$11277+(glt_lic-Sens!$E$11277)*MIN(1,(Sens!G11226-base_fy)/n_conv)</f>
        <v>0.0423442871539845</v>
      </c>
      <c r="H11277" s="7" t="n">
        <f aca="false">Sens!$E$11277+(glt_lic-Sens!$E$11277)*MIN(1,(Sens!H11226-base_fy)/n_conv)</f>
        <v>0.0367582153654884</v>
      </c>
      <c r="I11277" s="7" t="n">
        <f aca="false">Sens!$E$11277+(glt_lic-Sens!$E$11277)*MIN(1,(Sens!I11226-base_fy)/n_conv)</f>
        <v>0.0311721435769923</v>
      </c>
      <c r="J11277" s="7" t="n">
        <f aca="false">Sens!$E$11277+(glt_lic-Sens!$E$11277)*MIN(1,(Sens!J11226-base_fy)/n_conv)</f>
        <v>0.0255860717884961</v>
      </c>
      <c r="K11277" s="7" t="n">
        <f aca="false">Sens!$E$11277+(glt_lic-Sens!$E$11277)*MIN(1,(Sens!K11226-base_fy)/n_conv)</f>
        <v>0.02</v>
      </c>
    </row>
    <row r="11278" customFormat="false" ht="17.15" hidden="false" customHeight="false" outlineLevel="0" collapsed="false">
      <c r="A11278" s="0" t="s">
        <v>1035</v>
      </c>
      <c r="B11278" s="0" t="s">
        <v>98</v>
      </c>
      <c r="D11278" s="6" t="n">
        <f aca="false">Q!L9</f>
        <v>18.417</v>
      </c>
      <c r="E11278" s="6" t="n">
        <f aca="false">Q!M9</f>
        <v>20.345</v>
      </c>
      <c r="F11278" s="6" t="n">
        <f aca="false">Q!$I$9+(Q!M9-Q!$E$9)*(1+Sens!F11279)</f>
        <v>22.3161797133988</v>
      </c>
      <c r="G11278" s="6" t="n">
        <f aca="false">Sens!F11278*(1+Sens!G11279)</f>
        <v>24.3943499673233</v>
      </c>
      <c r="H11278" s="6" t="n">
        <f aca="false">Sens!G11278*(1+Sens!H11279)</f>
        <v>26.5250243109019</v>
      </c>
      <c r="I11278" s="6" t="n">
        <f aca="false">Sens!H11278*(1+Sens!I11279)</f>
        <v>28.6884573538181</v>
      </c>
      <c r="J11278" s="6" t="n">
        <f aca="false">Sens!I11278*(1+Sens!J11279)</f>
        <v>30.8624968052127</v>
      </c>
      <c r="K11278" s="6" t="n">
        <f aca="false">Sens!J11278*(1+Sens!K11279)</f>
        <v>33.0228715815776</v>
      </c>
      <c r="L11278" s="12" t="s">
        <v>1034</v>
      </c>
    </row>
    <row r="11279" customFormat="false" ht="15" hidden="false" customHeight="false" outlineLevel="0" collapsed="false">
      <c r="A11279" s="1" t="s">
        <v>1024</v>
      </c>
      <c r="B11279" s="0" t="s">
        <v>168</v>
      </c>
      <c r="E11279" s="7" t="n">
        <f aca="false">Sens!E11278/Sens!D11278-1</f>
        <v>0.104685888038225</v>
      </c>
      <c r="F11279" s="7" t="n">
        <f aca="false">Sens!$E$11279+(glt_ind-Sens!$E$11279)*MIN(1,(Sens!F11226-base_fy)/n_conv)</f>
        <v>0.0989049066985211</v>
      </c>
      <c r="G11279" s="7" t="n">
        <f aca="false">Sens!$E$11279+(glt_ind-Sens!$E$11279)*MIN(1,(Sens!G11226-base_fy)/n_conv)</f>
        <v>0.0931239253588169</v>
      </c>
      <c r="H11279" s="7" t="n">
        <f aca="false">Sens!$E$11279+(glt_ind-Sens!$E$11279)*MIN(1,(Sens!H11226-base_fy)/n_conv)</f>
        <v>0.0873429440191127</v>
      </c>
      <c r="I11279" s="7" t="n">
        <f aca="false">Sens!$E$11279+(glt_ind-Sens!$E$11279)*MIN(1,(Sens!I11226-base_fy)/n_conv)</f>
        <v>0.0815619626794085</v>
      </c>
      <c r="J11279" s="7" t="n">
        <f aca="false">Sens!$E$11279+(glt_ind-Sens!$E$11279)*MIN(1,(Sens!J11226-base_fy)/n_conv)</f>
        <v>0.0757809813397042</v>
      </c>
      <c r="K11279" s="7" t="n">
        <f aca="false">Sens!$E$11279+(glt_ind-Sens!$E$11279)*MIN(1,(Sens!K11226-base_fy)/n_conv)</f>
        <v>0.07</v>
      </c>
    </row>
    <row r="11280" customFormat="false" ht="17.15" hidden="false" customHeight="false" outlineLevel="0" collapsed="false">
      <c r="A11280" s="0" t="s">
        <v>1036</v>
      </c>
      <c r="B11280" s="0" t="s">
        <v>98</v>
      </c>
      <c r="D11280" s="6" t="n">
        <f aca="false">Q!L10</f>
        <v>7.76</v>
      </c>
      <c r="E11280" s="6" t="n">
        <f aca="false">Q!M10</f>
        <v>8.26</v>
      </c>
      <c r="F11280" s="6" t="n">
        <f aca="false">Q!$I$10+(Q!M10-Q!$E$10)*(1+Sens!F11281)</f>
        <v>8.75372082474227</v>
      </c>
      <c r="G11280" s="6" t="n">
        <f aca="false">Sens!F11280*(1+Sens!G11281)</f>
        <v>9.33399324642364</v>
      </c>
      <c r="H11280" s="6" t="n">
        <f aca="false">Sens!G11280*(1+Sens!H11281)</f>
        <v>9.96139155535851</v>
      </c>
      <c r="I11280" s="6" t="n">
        <f aca="false">Sens!H11280*(1+Sens!I11281)</f>
        <v>10.6402039077391</v>
      </c>
      <c r="J11280" s="6" t="n">
        <f aca="false">Sens!I11280*(1+Sens!J11281)</f>
        <v>11.3751458271397</v>
      </c>
      <c r="K11280" s="6" t="n">
        <f aca="false">Sens!J11280*(1+Sens!K11281)</f>
        <v>12.1714060350394</v>
      </c>
      <c r="L11280" s="12" t="s">
        <v>1034</v>
      </c>
    </row>
    <row r="11281" customFormat="false" ht="15" hidden="false" customHeight="false" outlineLevel="0" collapsed="false">
      <c r="A11281" s="1" t="s">
        <v>1024</v>
      </c>
      <c r="B11281" s="0" t="s">
        <v>168</v>
      </c>
      <c r="E11281" s="7" t="n">
        <f aca="false">Sens!E11280/Sens!D11280-1</f>
        <v>0.0644329896907216</v>
      </c>
      <c r="F11281" s="7" t="n">
        <f aca="false">Sens!$E$11281+(glt_fro-Sens!$E$11281)*MIN(1,(Sens!F11226-base_fy)/n_conv)</f>
        <v>0.065360824742268</v>
      </c>
      <c r="G11281" s="7" t="n">
        <f aca="false">Sens!$E$11281+(glt_fro-Sens!$E$11281)*MIN(1,(Sens!G11226-base_fy)/n_conv)</f>
        <v>0.0662886597938144</v>
      </c>
      <c r="H11281" s="7" t="n">
        <f aca="false">Sens!$E$11281+(glt_fro-Sens!$E$11281)*MIN(1,(Sens!H11226-base_fy)/n_conv)</f>
        <v>0.0672164948453608</v>
      </c>
      <c r="I11281" s="7" t="n">
        <f aca="false">Sens!$E$11281+(glt_fro-Sens!$E$11281)*MIN(1,(Sens!I11226-base_fy)/n_conv)</f>
        <v>0.0681443298969072</v>
      </c>
      <c r="J11281" s="7" t="n">
        <f aca="false">Sens!$E$11281+(glt_fro-Sens!$E$11281)*MIN(1,(Sens!J11226-base_fy)/n_conv)</f>
        <v>0.0690721649484536</v>
      </c>
      <c r="K11281" s="7" t="n">
        <f aca="false">Sens!$E$11281+(glt_fro-Sens!$E$11281)*MIN(1,(Sens!K11226-base_fy)/n_conv)</f>
        <v>0.07</v>
      </c>
    </row>
    <row r="11282" customFormat="false" ht="15" hidden="false" customHeight="false" outlineLevel="0" collapsed="false">
      <c r="A11282" s="0" t="s">
        <v>852</v>
      </c>
      <c r="B11282" s="0" t="s">
        <v>98</v>
      </c>
      <c r="D11282" s="6" t="n">
        <f aca="false">Sens!D11270+Sens!D11275+Sens!D11276+Sens!D11278+Sens!D11280</f>
        <v>218.783</v>
      </c>
      <c r="E11282" s="6" t="n">
        <f aca="false">Sens!E11270+Sens!E11275+Sens!E11276+Sens!E11278+Sens!E11280</f>
        <v>268.127</v>
      </c>
      <c r="F11282" s="6" t="n">
        <f aca="false">Sens!F11270+Sens!F11275+Sens!F11276+Sens!F11278+Sens!F11280</f>
        <v>330.145282059882</v>
      </c>
      <c r="G11282" s="6" t="n">
        <f aca="false">Sens!G11270+Sens!G11275+Sens!G11276+Sens!G11278+Sens!G11280</f>
        <v>392.656759865851</v>
      </c>
      <c r="H11282" s="6" t="n">
        <f aca="false">Sens!H11270+Sens!H11275+Sens!H11276+Sens!H11278+Sens!H11280</f>
        <v>450.544273297982</v>
      </c>
      <c r="I11282" s="6" t="n">
        <f aca="false">Sens!I11270+Sens!I11275+Sens!I11276+Sens!I11278+Sens!I11280</f>
        <v>510.69213512593</v>
      </c>
      <c r="J11282" s="6" t="n">
        <f aca="false">Sens!J11270+Sens!J11275+Sens!J11276+Sens!J11278+Sens!J11280</f>
        <v>560.416732629406</v>
      </c>
      <c r="K11282" s="6" t="n">
        <f aca="false">Sens!K11270+Sens!K11275+Sens!K11276+Sens!K11278+Sens!K11280</f>
        <v>600.132410592692</v>
      </c>
    </row>
    <row r="11283" customFormat="false" ht="17.15" hidden="false" customHeight="false" outlineLevel="0" collapsed="false">
      <c r="A11283" s="0" t="s">
        <v>1037</v>
      </c>
      <c r="B11283" s="0" t="s">
        <v>98</v>
      </c>
      <c r="D11283" s="6" t="n">
        <f aca="false">Q!L13</f>
        <v>22.171</v>
      </c>
      <c r="E11283" s="6" t="n">
        <f aca="false">Q!M13</f>
        <v>24.835</v>
      </c>
      <c r="F11283" s="6" t="n">
        <f aca="false">Q!$I$13+(Q!M13-Q!$E$13)*(1+Sens!F11284)</f>
        <v>27.6536545660247</v>
      </c>
      <c r="G11283" s="6" t="n">
        <f aca="false">Sens!F11283*(1+Sens!G11284)</f>
        <v>30.7906291283826</v>
      </c>
      <c r="H11283" s="6" t="n">
        <f aca="false">Sens!G11283*(1+Sens!H11284)</f>
        <v>34.1800148087432</v>
      </c>
      <c r="I11283" s="6" t="n">
        <f aca="false">Sens!H11283*(1+Sens!I11284)</f>
        <v>37.8276713738571</v>
      </c>
      <c r="J11283" s="6" t="n">
        <f aca="false">Sens!I11283*(1+Sens!J11284)</f>
        <v>41.7375203323678</v>
      </c>
      <c r="K11283" s="6" t="n">
        <f aca="false">Sens!J11283*(1+Sens!K11284)</f>
        <v>45.9112723656046</v>
      </c>
      <c r="L11283" s="12" t="s">
        <v>1034</v>
      </c>
    </row>
    <row r="11284" customFormat="false" ht="15" hidden="false" customHeight="false" outlineLevel="0" collapsed="false">
      <c r="A11284" s="1" t="s">
        <v>1024</v>
      </c>
      <c r="B11284" s="0" t="s">
        <v>168</v>
      </c>
      <c r="E11284" s="7" t="n">
        <f aca="false">Sens!E11283/Sens!D11283-1</f>
        <v>0.120156961796942</v>
      </c>
      <c r="F11284" s="7" t="n">
        <f aca="false">Sens!$E$11284+(glt_srch_hi-Sens!$E$11284)*MIN(1,(Sens!F11226-base_fy)/n_conv)</f>
        <v>0.116797468164118</v>
      </c>
      <c r="G11284" s="7" t="n">
        <f aca="false">Sens!$E$11284+(glt_srch_hi-Sens!$E$11284)*MIN(1,(Sens!G11226-base_fy)/n_conv)</f>
        <v>0.113437974531295</v>
      </c>
      <c r="H11284" s="7" t="n">
        <f aca="false">Sens!$E$11284+(glt_srch_hi-Sens!$E$11284)*MIN(1,(Sens!H11226-base_fy)/n_conv)</f>
        <v>0.110078480898471</v>
      </c>
      <c r="I11284" s="7" t="n">
        <f aca="false">Sens!$E$11284+(glt_srch_hi-Sens!$E$11284)*MIN(1,(Sens!I11226-base_fy)/n_conv)</f>
        <v>0.106718987265647</v>
      </c>
      <c r="J11284" s="7" t="n">
        <f aca="false">Sens!$E$11284+(glt_srch_hi-Sens!$E$11284)*MIN(1,(Sens!J11226-base_fy)/n_conv)</f>
        <v>0.103359493632824</v>
      </c>
      <c r="K11284" s="7" t="n">
        <f aca="false">Sens!$E$11284+(glt_srch_hi-Sens!$E$11284)*MIN(1,(Sens!K11226-base_fy)/n_conv)</f>
        <v>0.1</v>
      </c>
    </row>
    <row r="11285" customFormat="false" ht="17.15" hidden="false" customHeight="false" outlineLevel="0" collapsed="false">
      <c r="A11285" s="0" t="s">
        <v>1038</v>
      </c>
      <c r="B11285" s="0" t="s">
        <v>98</v>
      </c>
      <c r="D11285" s="6" t="n">
        <f aca="false">Q!L14</f>
        <v>23.455</v>
      </c>
      <c r="E11285" s="6" t="n">
        <f aca="false">Q!M14</f>
        <v>21.79</v>
      </c>
      <c r="F11285" s="6" t="n">
        <f aca="false">Q!$I$14+(Q!M14-Q!$E$14)*(1+Sens!F11286)</f>
        <v>20.7520981041711</v>
      </c>
      <c r="G11285" s="6" t="n">
        <f aca="false">Sens!F11285*(1+Sens!G11286)</f>
        <v>19.9083593495882</v>
      </c>
      <c r="H11285" s="6" t="n">
        <f aca="false">Sens!G11285*(1+Sens!H11286)</f>
        <v>19.4008256265831</v>
      </c>
      <c r="I11285" s="6" t="n">
        <f aca="false">Sens!H11285*(1+Sens!I11286)</f>
        <v>19.200434522122</v>
      </c>
      <c r="J11285" s="6" t="n">
        <f aca="false">Sens!I11285*(1+Sens!J11286)</f>
        <v>19.2932782348507</v>
      </c>
      <c r="K11285" s="6" t="n">
        <f aca="false">Sens!J11285*(1+Sens!K11286)</f>
        <v>19.6791437995477</v>
      </c>
      <c r="L11285" s="12" t="s">
        <v>1034</v>
      </c>
    </row>
    <row r="11286" customFormat="false" ht="15" hidden="false" customHeight="false" outlineLevel="0" collapsed="false">
      <c r="A11286" s="1" t="s">
        <v>1024</v>
      </c>
      <c r="B11286" s="0" t="s">
        <v>168</v>
      </c>
      <c r="E11286" s="7" t="n">
        <f aca="false">Sens!E11285/Sens!D11285-1</f>
        <v>-0.0709869963760392</v>
      </c>
      <c r="F11286" s="7" t="n">
        <f aca="false">Sens!$E$11286+(glt_xbox-Sens!$E$11286)*MIN(1,(Sens!F11226-base_fy)/n_conv)</f>
        <v>-0.0558224969800327</v>
      </c>
      <c r="G11286" s="7" t="n">
        <f aca="false">Sens!$E$11286+(glt_xbox-Sens!$E$11286)*MIN(1,(Sens!G11226-base_fy)/n_conv)</f>
        <v>-0.0406579975840262</v>
      </c>
      <c r="H11286" s="7" t="n">
        <f aca="false">Sens!$E$11286+(glt_xbox-Sens!$E$11286)*MIN(1,(Sens!H11226-base_fy)/n_conv)</f>
        <v>-0.0254934981880196</v>
      </c>
      <c r="I11286" s="7" t="n">
        <f aca="false">Sens!$E$11286+(glt_xbox-Sens!$E$11286)*MIN(1,(Sens!I11226-base_fy)/n_conv)</f>
        <v>-0.0103289987920131</v>
      </c>
      <c r="J11286" s="7" t="n">
        <f aca="false">Sens!$E$11286+(glt_xbox-Sens!$E$11286)*MIN(1,(Sens!J11226-base_fy)/n_conv)</f>
        <v>0.00483550060399347</v>
      </c>
      <c r="K11286" s="7" t="n">
        <f aca="false">Sens!$E$11286+(glt_xbox-Sens!$E$11286)*MIN(1,(Sens!K11226-base_fy)/n_conv)</f>
        <v>0.02</v>
      </c>
    </row>
    <row r="11287" customFormat="false" ht="17.15" hidden="false" customHeight="false" outlineLevel="0" collapsed="false">
      <c r="A11287" s="0" t="s">
        <v>1039</v>
      </c>
      <c r="B11287" s="0" t="s">
        <v>98</v>
      </c>
      <c r="D11287" s="6" t="n">
        <f aca="false">Q!L15</f>
        <v>17.315</v>
      </c>
      <c r="E11287" s="6" t="n">
        <f aca="false">Q!M15</f>
        <v>17.087</v>
      </c>
      <c r="F11287" s="6" t="n">
        <f aca="false">Q!$I$15+(Q!M15-Q!$E$15)*(1+Sens!F11288)</f>
        <v>15.9912273250553</v>
      </c>
      <c r="G11287" s="6" t="n">
        <f aca="false">Sens!F11287*(1+Sens!G11288)</f>
        <v>15.9574562664827</v>
      </c>
      <c r="H11287" s="6" t="n">
        <f aca="false">Sens!G11287*(1+Sens!H11288)</f>
        <v>16.0119687434196</v>
      </c>
      <c r="I11287" s="6" t="n">
        <f aca="false">Sens!H11287*(1+Sens!I11288)</f>
        <v>16.1551810001948</v>
      </c>
      <c r="J11287" s="6" t="n">
        <f aca="false">Sens!I11287*(1+Sens!J11288)</f>
        <v>16.3889793892005</v>
      </c>
      <c r="K11287" s="6" t="n">
        <f aca="false">Sens!J11287*(1+Sens!K11288)</f>
        <v>16.7167589769845</v>
      </c>
      <c r="L11287" s="12" t="s">
        <v>1034</v>
      </c>
    </row>
    <row r="11288" customFormat="false" ht="15" hidden="false" customHeight="false" outlineLevel="0" collapsed="false">
      <c r="A11288" s="1" t="s">
        <v>1024</v>
      </c>
      <c r="B11288" s="0" t="s">
        <v>168</v>
      </c>
      <c r="E11288" s="7" t="n">
        <f aca="false">Sens!E11287/Sens!D11287-1</f>
        <v>-0.0131677736066995</v>
      </c>
      <c r="F11288" s="7" t="n">
        <f aca="false">Sens!$E$11288+(glt_win-Sens!$E$11288)*MIN(1,(Sens!F11226-base_fy)/n_conv)</f>
        <v>-0.00763981133891627</v>
      </c>
      <c r="G11288" s="7" t="n">
        <f aca="false">Sens!$E$11288+(glt_win-Sens!$E$11288)*MIN(1,(Sens!G11226-base_fy)/n_conv)</f>
        <v>-0.00211184907113301</v>
      </c>
      <c r="H11288" s="7" t="n">
        <f aca="false">Sens!$E$11288+(glt_win-Sens!$E$11288)*MIN(1,(Sens!H11226-base_fy)/n_conv)</f>
        <v>0.00341611319665024</v>
      </c>
      <c r="I11288" s="7" t="n">
        <f aca="false">Sens!$E$11288+(glt_win-Sens!$E$11288)*MIN(1,(Sens!I11226-base_fy)/n_conv)</f>
        <v>0.00894407546443349</v>
      </c>
      <c r="J11288" s="7" t="n">
        <f aca="false">Sens!$E$11288+(glt_win-Sens!$E$11288)*MIN(1,(Sens!J11226-base_fy)/n_conv)</f>
        <v>0.0144720377322168</v>
      </c>
      <c r="K11288" s="7" t="n">
        <f aca="false">Sens!$E$11288+(glt_win-Sens!$E$11288)*MIN(1,(Sens!K11226-base_fy)/n_conv)</f>
        <v>0.02</v>
      </c>
    </row>
    <row r="11289" customFormat="false" ht="15" hidden="false" customHeight="false" outlineLevel="0" collapsed="false">
      <c r="A11289" s="0" t="s">
        <v>866</v>
      </c>
      <c r="B11289" s="0" t="s">
        <v>98</v>
      </c>
      <c r="D11289" s="6" t="n">
        <f aca="false">Sens!D11283+Sens!D11285+Sens!D11287</f>
        <v>62.941</v>
      </c>
      <c r="E11289" s="6" t="n">
        <f aca="false">Sens!E11283+Sens!E11285+Sens!E11287</f>
        <v>63.712</v>
      </c>
      <c r="F11289" s="6" t="n">
        <f aca="false">Sens!F11283+Sens!F11285+Sens!F11287</f>
        <v>64.3969799952511</v>
      </c>
      <c r="G11289" s="6" t="n">
        <f aca="false">Sens!G11283+Sens!G11285+Sens!G11287</f>
        <v>66.6564447444535</v>
      </c>
      <c r="H11289" s="6" t="n">
        <f aca="false">Sens!H11283+Sens!H11285+Sens!H11287</f>
        <v>69.5928091787458</v>
      </c>
      <c r="I11289" s="6" t="n">
        <f aca="false">Sens!I11283+Sens!I11285+Sens!I11287</f>
        <v>73.183286896174</v>
      </c>
      <c r="J11289" s="6" t="n">
        <f aca="false">Sens!J11283+Sens!J11285+Sens!J11287</f>
        <v>77.419777956419</v>
      </c>
      <c r="K11289" s="6" t="n">
        <f aca="false">Sens!K11283+Sens!K11285+Sens!K11287</f>
        <v>82.3071751421368</v>
      </c>
    </row>
    <row r="11290" customFormat="false" ht="15" hidden="false" customHeight="false" outlineLevel="0" collapsed="false">
      <c r="A11290" s="1" t="s">
        <v>1040</v>
      </c>
      <c r="B11290" s="0" t="s">
        <v>98</v>
      </c>
      <c r="D11290" s="6" t="n">
        <f aca="false">Sens!D11282+Sens!D11289</f>
        <v>281.724</v>
      </c>
      <c r="E11290" s="6" t="n">
        <f aca="false">Sens!E11282+Sens!E11289</f>
        <v>331.839</v>
      </c>
      <c r="F11290" s="6" t="n">
        <f aca="false">Sens!F11282+Sens!F11289</f>
        <v>394.542262055133</v>
      </c>
      <c r="G11290" s="6" t="n">
        <f aca="false">Sens!G11282+Sens!G11289</f>
        <v>459.313204610305</v>
      </c>
      <c r="H11290" s="6" t="n">
        <f aca="false">Sens!H11282+Sens!H11289</f>
        <v>520.137082476728</v>
      </c>
      <c r="I11290" s="6" t="n">
        <f aca="false">Sens!I11282+Sens!I11289</f>
        <v>583.875422022104</v>
      </c>
      <c r="J11290" s="6" t="n">
        <f aca="false">Sens!J11282+Sens!J11289</f>
        <v>637.836510585825</v>
      </c>
      <c r="K11290" s="6" t="n">
        <f aca="false">Sens!K11282+Sens!K11289</f>
        <v>682.439585734829</v>
      </c>
    </row>
    <row r="11291" customFormat="false" ht="15" hidden="false" customHeight="false" outlineLevel="0" collapsed="false">
      <c r="A11291" s="26" t="s">
        <v>1041</v>
      </c>
      <c r="B11291" s="31" t="s">
        <v>98</v>
      </c>
      <c r="C11291" s="31"/>
      <c r="D11291" s="27" t="n">
        <f aca="false">(Sens!D11270+Sens!D11275+Sens!D11276+Sens!D11278+Sens!D11280-Sens!D11282)+(Sens!D11283+Sens!D11285+Sens!D11287-Sens!D11289)+(Sens!D11282-Q!L5)+(Sens!D11289-Q!L12)+(Sens!D11270-Q!L6)+(Sens!D11275-Q!L7)</f>
        <v>0</v>
      </c>
      <c r="E11291" s="27" t="n">
        <f aca="false">(Sens!E11270+Sens!E11275+Sens!E11276+Sens!E11278+Sens!E11280-Sens!E11282)+(Sens!E11283+Sens!E11285+Sens!E11287-Sens!E11289)+(Sens!E11282-Q!M5)+(Sens!E11289-Q!M12)+(Sens!E11270-Q!M6)+(Sens!E11275-Q!M7)</f>
        <v>0</v>
      </c>
      <c r="F11291" s="27" t="n">
        <f aca="false">(Sens!F11270+Sens!F11275+Sens!F11276+Sens!F11278+Sens!F11280-Sens!F11282)+(Sens!F11283+Sens!F11285+Sens!F11287-Sens!F11289)</f>
        <v>0</v>
      </c>
      <c r="G11291" s="27" t="n">
        <f aca="false">(Sens!G11270+Sens!G11275+Sens!G11276+Sens!G11278+Sens!G11280-Sens!G11282)+(Sens!G11283+Sens!G11285+Sens!G11287-Sens!G11289)</f>
        <v>0</v>
      </c>
      <c r="H11291" s="27" t="n">
        <f aca="false">(Sens!H11270+Sens!H11275+Sens!H11276+Sens!H11278+Sens!H11280-Sens!H11282)+(Sens!H11283+Sens!H11285+Sens!H11287-Sens!H11289)</f>
        <v>0</v>
      </c>
      <c r="I11291" s="27" t="n">
        <f aca="false">(Sens!I11270+Sens!I11275+Sens!I11276+Sens!I11278+Sens!I11280-Sens!I11282)+(Sens!I11283+Sens!I11285+Sens!I11287-Sens!I11289)</f>
        <v>0</v>
      </c>
      <c r="J11291" s="27" t="n">
        <f aca="false">(Sens!J11270+Sens!J11275+Sens!J11276+Sens!J11278+Sens!J11280-Sens!J11282)+(Sens!J11283+Sens!J11285+Sens!J11287-Sens!J11289)</f>
        <v>0</v>
      </c>
      <c r="K11291" s="27" t="n">
        <f aca="false">(Sens!K11270+Sens!K11275+Sens!K11276+Sens!K11278+Sens!K11280-Sens!K11282)+(Sens!K11283+Sens!K11285+Sens!K11287-Sens!K11289)</f>
        <v>0</v>
      </c>
    </row>
    <row r="11292" customFormat="false" ht="17.15" hidden="false" customHeight="false" outlineLevel="0" collapsed="false">
      <c r="A11292" s="3" t="s">
        <v>1762</v>
      </c>
    </row>
    <row r="11293" customFormat="false" ht="15" hidden="false" customHeight="false" outlineLevel="0" collapsed="false">
      <c r="A11293" s="4" t="s">
        <v>43</v>
      </c>
      <c r="B11293" s="4" t="s">
        <v>65</v>
      </c>
      <c r="C11293" s="23" t="s">
        <v>938</v>
      </c>
      <c r="D11293" s="23" t="s">
        <v>939</v>
      </c>
      <c r="E11293" s="23" t="s">
        <v>940</v>
      </c>
      <c r="F11293" s="23" t="s">
        <v>941</v>
      </c>
      <c r="G11293" s="23" t="s">
        <v>942</v>
      </c>
      <c r="H11293" s="23" t="s">
        <v>943</v>
      </c>
      <c r="I11293" s="23" t="s">
        <v>944</v>
      </c>
      <c r="J11293" s="23" t="s">
        <v>945</v>
      </c>
      <c r="K11293" s="23" t="s">
        <v>946</v>
      </c>
      <c r="L11293" s="4" t="s">
        <v>47</v>
      </c>
    </row>
    <row r="11294" customFormat="false" ht="15" hidden="false" customHeight="false" outlineLevel="0" collapsed="false">
      <c r="A11294" s="0" t="s">
        <v>1025</v>
      </c>
      <c r="B11294" s="0" t="s">
        <v>98</v>
      </c>
      <c r="D11294" s="6" t="n">
        <f aca="false">Sens!D11270</f>
        <v>72.61</v>
      </c>
      <c r="E11294" s="6" t="n">
        <f aca="false">Sens!E11270</f>
        <v>101.938</v>
      </c>
      <c r="F11294" s="6" t="n">
        <f aca="false">Sens!F11270</f>
        <v>143.251883553698</v>
      </c>
      <c r="G11294" s="6" t="n">
        <f aca="false">Sens!G11270</f>
        <v>186.322520879442</v>
      </c>
      <c r="H11294" s="6" t="n">
        <f aca="false">Sens!H11270</f>
        <v>224.74279426379</v>
      </c>
      <c r="I11294" s="6" t="n">
        <f aca="false">Sens!I11270</f>
        <v>266.443497823359</v>
      </c>
      <c r="J11294" s="6" t="n">
        <f aca="false">Sens!J11270</f>
        <v>299.06102493502</v>
      </c>
      <c r="K11294" s="6" t="n">
        <f aca="false">Sens!K11270</f>
        <v>322.592740225023</v>
      </c>
    </row>
    <row r="11295" customFormat="false" ht="17.15" hidden="false" customHeight="false" outlineLevel="0" collapsed="false">
      <c r="A11295" s="0" t="s">
        <v>1021</v>
      </c>
      <c r="B11295" s="0" t="s">
        <v>98</v>
      </c>
      <c r="D11295" s="6" t="n">
        <f aca="false">Sens!D11267</f>
        <v>12.9359794422418</v>
      </c>
      <c r="E11295" s="6" t="n">
        <f aca="false">Sens!E11267</f>
        <v>27.8095064661409</v>
      </c>
      <c r="F11295" s="6" t="n">
        <f aca="false">Sens!F11267</f>
        <v>50.9819294352312</v>
      </c>
      <c r="G11295" s="6" t="n">
        <f aca="false">Sens!G11267</f>
        <v>76.6920436014933</v>
      </c>
      <c r="H11295" s="6" t="n">
        <f aca="false">Sens!H11267</f>
        <v>97.4495379418341</v>
      </c>
      <c r="I11295" s="6" t="n">
        <f aca="false">Sens!I11267</f>
        <v>122.083445553868</v>
      </c>
      <c r="J11295" s="6" t="n">
        <f aca="false">Sens!J11267</f>
        <v>139.249060444804</v>
      </c>
      <c r="K11295" s="6" t="n">
        <f aca="false">Sens!K11267</f>
        <v>149.995818575589</v>
      </c>
    </row>
    <row r="11296" customFormat="false" ht="17.15" hidden="false" customHeight="false" outlineLevel="0" collapsed="false">
      <c r="A11296" s="0" t="s">
        <v>1052</v>
      </c>
      <c r="B11296" s="0" t="s">
        <v>98</v>
      </c>
      <c r="D11296" s="6" t="n">
        <f aca="false">Sens!D11268</f>
        <v>59.6740205577583</v>
      </c>
      <c r="E11296" s="6" t="n">
        <f aca="false">Sens!E11268</f>
        <v>74.1284935338591</v>
      </c>
      <c r="F11296" s="6" t="n">
        <f aca="false">Sens!F11268</f>
        <v>92.2699541184664</v>
      </c>
      <c r="G11296" s="6" t="n">
        <f aca="false">Sens!G11268</f>
        <v>109.630477277949</v>
      </c>
      <c r="H11296" s="6" t="n">
        <f aca="false">Sens!H11268</f>
        <v>127.293256321956</v>
      </c>
      <c r="I11296" s="6" t="n">
        <f aca="false">Sens!I11268</f>
        <v>144.360052269491</v>
      </c>
      <c r="J11296" s="6" t="n">
        <f aca="false">Sens!J11268</f>
        <v>159.811964490216</v>
      </c>
      <c r="K11296" s="6" t="n">
        <f aca="false">Sens!K11268</f>
        <v>172.596921649434</v>
      </c>
    </row>
    <row r="11297" customFormat="false" ht="15" hidden="false" customHeight="false" outlineLevel="0" collapsed="false">
      <c r="A11297" s="0" t="s">
        <v>1032</v>
      </c>
      <c r="B11297" s="0" t="s">
        <v>98</v>
      </c>
      <c r="D11297" s="6" t="n">
        <f aca="false">Sens!D11275</f>
        <v>84.605</v>
      </c>
      <c r="E11297" s="6" t="n">
        <f aca="false">Sens!E11275</f>
        <v>100.299</v>
      </c>
      <c r="F11297" s="6" t="n">
        <f aca="false">Sens!F11275</f>
        <v>117.438354189776</v>
      </c>
      <c r="G11297" s="6" t="n">
        <f aca="false">Sens!G11275</f>
        <v>132.595360443801</v>
      </c>
      <c r="H11297" s="6" t="n">
        <f aca="false">Sens!H11275</f>
        <v>147.833811964563</v>
      </c>
      <c r="I11297" s="6" t="n">
        <f aca="false">Sens!I11275</f>
        <v>162.145665319381</v>
      </c>
      <c r="J11297" s="6" t="n">
        <f aca="false">Sens!J11275</f>
        <v>175.249327755573</v>
      </c>
      <c r="K11297" s="6" t="n">
        <f aca="false">Sens!K11275</f>
        <v>187.599280698463</v>
      </c>
    </row>
    <row r="11298" customFormat="false" ht="17.15" hidden="false" customHeight="false" outlineLevel="0" collapsed="false">
      <c r="A11298" s="0" t="s">
        <v>1053</v>
      </c>
      <c r="B11298" s="0" t="s">
        <v>98</v>
      </c>
      <c r="D11298" s="6" t="n">
        <f aca="false">Sens!D11273</f>
        <v>83.705</v>
      </c>
      <c r="E11298" s="6" t="n">
        <f aca="false">Sens!E11273</f>
        <v>95.049</v>
      </c>
      <c r="F11298" s="6" t="n">
        <f aca="false">Sens!F11273</f>
        <v>106.938354189776</v>
      </c>
      <c r="G11298" s="6" t="n">
        <f aca="false">Sens!G11273</f>
        <v>119.095360443801</v>
      </c>
      <c r="H11298" s="6" t="n">
        <f aca="false">Sens!H11273</f>
        <v>131.333811964563</v>
      </c>
      <c r="I11298" s="6" t="n">
        <f aca="false">Sens!I11273</f>
        <v>143.395665319381</v>
      </c>
      <c r="J11298" s="6" t="n">
        <f aca="false">Sens!J11273</f>
        <v>154.999327755573</v>
      </c>
      <c r="K11298" s="6" t="n">
        <f aca="false">Sens!K11273</f>
        <v>165.849280698463</v>
      </c>
    </row>
    <row r="11299" customFormat="false" ht="17.15" hidden="false" customHeight="false" outlineLevel="0" collapsed="false">
      <c r="A11299" s="0" t="s">
        <v>1054</v>
      </c>
      <c r="B11299" s="0" t="s">
        <v>98</v>
      </c>
      <c r="D11299" s="6" t="n">
        <f aca="false">Sens!D11272</f>
        <v>0.9</v>
      </c>
      <c r="E11299" s="6" t="n">
        <f aca="false">Sens!E11272</f>
        <v>5.25</v>
      </c>
      <c r="F11299" s="6" t="n">
        <f aca="false">Sens!F11272</f>
        <v>10.5</v>
      </c>
      <c r="G11299" s="6" t="n">
        <f aca="false">Sens!G11272</f>
        <v>13.5</v>
      </c>
      <c r="H11299" s="6" t="n">
        <f aca="false">Sens!H11272</f>
        <v>16.5</v>
      </c>
      <c r="I11299" s="6" t="n">
        <f aca="false">Sens!I11272</f>
        <v>18.75</v>
      </c>
      <c r="J11299" s="6" t="n">
        <f aca="false">Sens!J11272</f>
        <v>20.25</v>
      </c>
      <c r="K11299" s="6" t="n">
        <f aca="false">Sens!K11272</f>
        <v>21.75</v>
      </c>
    </row>
    <row r="11300" customFormat="false" ht="15" hidden="false" customHeight="false" outlineLevel="0" collapsed="false">
      <c r="A11300" s="0" t="s">
        <v>1033</v>
      </c>
      <c r="B11300" s="0" t="s">
        <v>98</v>
      </c>
      <c r="D11300" s="6" t="n">
        <f aca="false">Sens!D11276</f>
        <v>35.391</v>
      </c>
      <c r="E11300" s="6" t="n">
        <f aca="false">Sens!E11276</f>
        <v>37.285</v>
      </c>
      <c r="F11300" s="6" t="n">
        <f aca="false">Sens!F11276</f>
        <v>38.3851437782675</v>
      </c>
      <c r="G11300" s="6" t="n">
        <f aca="false">Sens!G11276</f>
        <v>40.0105353288615</v>
      </c>
      <c r="H11300" s="6" t="n">
        <f aca="false">Sens!H11276</f>
        <v>41.4812512033683</v>
      </c>
      <c r="I11300" s="6" t="n">
        <f aca="false">Sens!I11276</f>
        <v>42.7743107216329</v>
      </c>
      <c r="J11300" s="6" t="n">
        <f aca="false">Sens!J11276</f>
        <v>43.8687373064601</v>
      </c>
      <c r="K11300" s="6" t="n">
        <f aca="false">Sens!K11276</f>
        <v>44.7461120525893</v>
      </c>
    </row>
    <row r="11301" customFormat="false" ht="15" hidden="false" customHeight="false" outlineLevel="0" collapsed="false">
      <c r="A11301" s="0" t="s">
        <v>1035</v>
      </c>
      <c r="B11301" s="0" t="s">
        <v>98</v>
      </c>
      <c r="D11301" s="6" t="n">
        <f aca="false">Sens!D11278</f>
        <v>18.417</v>
      </c>
      <c r="E11301" s="6" t="n">
        <f aca="false">Sens!E11278</f>
        <v>20.345</v>
      </c>
      <c r="F11301" s="6" t="n">
        <f aca="false">Sens!F11278</f>
        <v>22.3161797133988</v>
      </c>
      <c r="G11301" s="6" t="n">
        <f aca="false">Sens!G11278</f>
        <v>24.3943499673233</v>
      </c>
      <c r="H11301" s="6" t="n">
        <f aca="false">Sens!H11278</f>
        <v>26.5250243109019</v>
      </c>
      <c r="I11301" s="6" t="n">
        <f aca="false">Sens!I11278</f>
        <v>28.6884573538181</v>
      </c>
      <c r="J11301" s="6" t="n">
        <f aca="false">Sens!J11278</f>
        <v>30.8624968052127</v>
      </c>
      <c r="K11301" s="6" t="n">
        <f aca="false">Sens!K11278</f>
        <v>33.0228715815776</v>
      </c>
    </row>
    <row r="11302" customFormat="false" ht="15" hidden="false" customHeight="false" outlineLevel="0" collapsed="false">
      <c r="A11302" s="0" t="s">
        <v>1036</v>
      </c>
      <c r="B11302" s="0" t="s">
        <v>98</v>
      </c>
      <c r="D11302" s="6" t="n">
        <f aca="false">Sens!D11280</f>
        <v>7.76</v>
      </c>
      <c r="E11302" s="6" t="n">
        <f aca="false">Sens!E11280</f>
        <v>8.26</v>
      </c>
      <c r="F11302" s="6" t="n">
        <f aca="false">Sens!F11280</f>
        <v>8.75372082474227</v>
      </c>
      <c r="G11302" s="6" t="n">
        <f aca="false">Sens!G11280</f>
        <v>9.33399324642364</v>
      </c>
      <c r="H11302" s="6" t="n">
        <f aca="false">Sens!H11280</f>
        <v>9.96139155535851</v>
      </c>
      <c r="I11302" s="6" t="n">
        <f aca="false">Sens!I11280</f>
        <v>10.6402039077391</v>
      </c>
      <c r="J11302" s="6" t="n">
        <f aca="false">Sens!J11280</f>
        <v>11.3751458271397</v>
      </c>
      <c r="K11302" s="6" t="n">
        <f aca="false">Sens!K11280</f>
        <v>12.1714060350394</v>
      </c>
    </row>
    <row r="11303" customFormat="false" ht="15" hidden="false" customHeight="false" outlineLevel="0" collapsed="false">
      <c r="A11303" s="0" t="s">
        <v>852</v>
      </c>
      <c r="B11303" s="0" t="s">
        <v>98</v>
      </c>
      <c r="D11303" s="6" t="n">
        <f aca="false">Sens!D11282</f>
        <v>218.783</v>
      </c>
      <c r="E11303" s="6" t="n">
        <f aca="false">Sens!E11282</f>
        <v>268.127</v>
      </c>
      <c r="F11303" s="6" t="n">
        <f aca="false">Sens!F11282</f>
        <v>330.145282059882</v>
      </c>
      <c r="G11303" s="6" t="n">
        <f aca="false">Sens!G11282</f>
        <v>392.656759865851</v>
      </c>
      <c r="H11303" s="6" t="n">
        <f aca="false">Sens!H11282</f>
        <v>450.544273297982</v>
      </c>
      <c r="I11303" s="6" t="n">
        <f aca="false">Sens!I11282</f>
        <v>510.69213512593</v>
      </c>
      <c r="J11303" s="6" t="n">
        <f aca="false">Sens!J11282</f>
        <v>560.416732629406</v>
      </c>
      <c r="K11303" s="6" t="n">
        <f aca="false">Sens!K11282</f>
        <v>600.132410592692</v>
      </c>
    </row>
    <row r="11304" customFormat="false" ht="15" hidden="false" customHeight="false" outlineLevel="0" collapsed="false">
      <c r="A11304" s="0" t="s">
        <v>1037</v>
      </c>
      <c r="B11304" s="0" t="s">
        <v>98</v>
      </c>
      <c r="D11304" s="6" t="n">
        <f aca="false">Sens!D11283</f>
        <v>22.171</v>
      </c>
      <c r="E11304" s="6" t="n">
        <f aca="false">Sens!E11283</f>
        <v>24.835</v>
      </c>
      <c r="F11304" s="6" t="n">
        <f aca="false">Sens!F11283</f>
        <v>27.6536545660247</v>
      </c>
      <c r="G11304" s="6" t="n">
        <f aca="false">Sens!G11283</f>
        <v>30.7906291283826</v>
      </c>
      <c r="H11304" s="6" t="n">
        <f aca="false">Sens!H11283</f>
        <v>34.1800148087432</v>
      </c>
      <c r="I11304" s="6" t="n">
        <f aca="false">Sens!I11283</f>
        <v>37.8276713738571</v>
      </c>
      <c r="J11304" s="6" t="n">
        <f aca="false">Sens!J11283</f>
        <v>41.7375203323678</v>
      </c>
      <c r="K11304" s="6" t="n">
        <f aca="false">Sens!K11283</f>
        <v>45.9112723656046</v>
      </c>
    </row>
    <row r="11305" customFormat="false" ht="15" hidden="false" customHeight="false" outlineLevel="0" collapsed="false">
      <c r="A11305" s="0" t="s">
        <v>1038</v>
      </c>
      <c r="B11305" s="0" t="s">
        <v>98</v>
      </c>
      <c r="D11305" s="6" t="n">
        <f aca="false">Sens!D11285</f>
        <v>23.455</v>
      </c>
      <c r="E11305" s="6" t="n">
        <f aca="false">Sens!E11285</f>
        <v>21.79</v>
      </c>
      <c r="F11305" s="6" t="n">
        <f aca="false">Sens!F11285</f>
        <v>20.7520981041711</v>
      </c>
      <c r="G11305" s="6" t="n">
        <f aca="false">Sens!G11285</f>
        <v>19.9083593495882</v>
      </c>
      <c r="H11305" s="6" t="n">
        <f aca="false">Sens!H11285</f>
        <v>19.4008256265831</v>
      </c>
      <c r="I11305" s="6" t="n">
        <f aca="false">Sens!I11285</f>
        <v>19.200434522122</v>
      </c>
      <c r="J11305" s="6" t="n">
        <f aca="false">Sens!J11285</f>
        <v>19.2932782348507</v>
      </c>
      <c r="K11305" s="6" t="n">
        <f aca="false">Sens!K11285</f>
        <v>19.6791437995477</v>
      </c>
    </row>
    <row r="11306" customFormat="false" ht="15" hidden="false" customHeight="false" outlineLevel="0" collapsed="false">
      <c r="A11306" s="0" t="s">
        <v>1039</v>
      </c>
      <c r="B11306" s="0" t="s">
        <v>98</v>
      </c>
      <c r="D11306" s="6" t="n">
        <f aca="false">Sens!D11287</f>
        <v>17.315</v>
      </c>
      <c r="E11306" s="6" t="n">
        <f aca="false">Sens!E11287</f>
        <v>17.087</v>
      </c>
      <c r="F11306" s="6" t="n">
        <f aca="false">Sens!F11287</f>
        <v>15.9912273250553</v>
      </c>
      <c r="G11306" s="6" t="n">
        <f aca="false">Sens!G11287</f>
        <v>15.9574562664827</v>
      </c>
      <c r="H11306" s="6" t="n">
        <f aca="false">Sens!H11287</f>
        <v>16.0119687434196</v>
      </c>
      <c r="I11306" s="6" t="n">
        <f aca="false">Sens!I11287</f>
        <v>16.1551810001948</v>
      </c>
      <c r="J11306" s="6" t="n">
        <f aca="false">Sens!J11287</f>
        <v>16.3889793892005</v>
      </c>
      <c r="K11306" s="6" t="n">
        <f aca="false">Sens!K11287</f>
        <v>16.7167589769845</v>
      </c>
    </row>
    <row r="11307" customFormat="false" ht="15" hidden="false" customHeight="false" outlineLevel="0" collapsed="false">
      <c r="A11307" s="0" t="s">
        <v>866</v>
      </c>
      <c r="B11307" s="0" t="s">
        <v>98</v>
      </c>
      <c r="D11307" s="6" t="n">
        <f aca="false">Sens!D11289</f>
        <v>62.941</v>
      </c>
      <c r="E11307" s="6" t="n">
        <f aca="false">Sens!E11289</f>
        <v>63.712</v>
      </c>
      <c r="F11307" s="6" t="n">
        <f aca="false">Sens!F11289</f>
        <v>64.3969799952511</v>
      </c>
      <c r="G11307" s="6" t="n">
        <f aca="false">Sens!G11289</f>
        <v>66.6564447444535</v>
      </c>
      <c r="H11307" s="6" t="n">
        <f aca="false">Sens!H11289</f>
        <v>69.5928091787458</v>
      </c>
      <c r="I11307" s="6" t="n">
        <f aca="false">Sens!I11289</f>
        <v>73.183286896174</v>
      </c>
      <c r="J11307" s="6" t="n">
        <f aca="false">Sens!J11289</f>
        <v>77.419777956419</v>
      </c>
      <c r="K11307" s="6" t="n">
        <f aca="false">Sens!K11289</f>
        <v>82.3071751421368</v>
      </c>
    </row>
    <row r="11308" customFormat="false" ht="15" hidden="false" customHeight="false" outlineLevel="0" collapsed="false">
      <c r="A11308" s="1" t="s">
        <v>1055</v>
      </c>
      <c r="B11308" s="0" t="s">
        <v>98</v>
      </c>
      <c r="D11308" s="6" t="n">
        <f aca="false">Sens!D11290</f>
        <v>281.724</v>
      </c>
      <c r="E11308" s="6" t="n">
        <f aca="false">Sens!E11290</f>
        <v>331.839</v>
      </c>
      <c r="F11308" s="6" t="n">
        <f aca="false">Sens!F11290</f>
        <v>394.542262055133</v>
      </c>
      <c r="G11308" s="6" t="n">
        <f aca="false">Sens!G11290</f>
        <v>459.313204610305</v>
      </c>
      <c r="H11308" s="6" t="n">
        <f aca="false">Sens!H11290</f>
        <v>520.137082476728</v>
      </c>
      <c r="I11308" s="6" t="n">
        <f aca="false">Sens!I11290</f>
        <v>583.875422022104</v>
      </c>
      <c r="J11308" s="6" t="n">
        <f aca="false">Sens!J11290</f>
        <v>637.836510585825</v>
      </c>
      <c r="K11308" s="6" t="n">
        <f aca="false">Sens!K11290</f>
        <v>682.439585734829</v>
      </c>
    </row>
    <row r="11309" customFormat="false" ht="15" hidden="false" customHeight="false" outlineLevel="0" collapsed="false">
      <c r="A11309" s="1" t="s">
        <v>1056</v>
      </c>
      <c r="B11309" s="0" t="s">
        <v>168</v>
      </c>
      <c r="E11309" s="7" t="n">
        <f aca="false">Sens!E11308/Sens!D11308-1</f>
        <v>0.177886867998467</v>
      </c>
      <c r="F11309" s="7" t="n">
        <f aca="false">Sens!F11308/Sens!E11308-1</f>
        <v>0.188956879857801</v>
      </c>
      <c r="G11309" s="7" t="n">
        <f aca="false">Sens!G11308/Sens!F11308-1</f>
        <v>0.164167311805296</v>
      </c>
      <c r="H11309" s="7" t="n">
        <f aca="false">Sens!H11308/Sens!G11308-1</f>
        <v>0.132423534215673</v>
      </c>
      <c r="I11309" s="7" t="n">
        <f aca="false">Sens!I11308/Sens!H11308-1</f>
        <v>0.122541425506281</v>
      </c>
      <c r="J11309" s="7" t="n">
        <f aca="false">Sens!J11308/Sens!I11308-1</f>
        <v>0.0924188388969005</v>
      </c>
      <c r="K11309" s="7" t="n">
        <f aca="false">Sens!K11308/Sens!J11308-1</f>
        <v>0.0699286955336538</v>
      </c>
    </row>
    <row r="11310" customFormat="false" ht="17.15" hidden="false" customHeight="false" outlineLevel="0" collapsed="false">
      <c r="A11310" s="26" t="s">
        <v>1057</v>
      </c>
      <c r="B11310" s="31" t="s">
        <v>98</v>
      </c>
      <c r="C11310" s="31"/>
      <c r="D11310" s="27" t="n">
        <f aca="false">(Sens!D11303+Sens!D11307-Sens!D11308)+(Sens!D11295+Sens!D11296-Sens!D11294)+(Sens!D11298+Sens!D11299-Sens!D11297)+(Sens!D11308-Q!L18)</f>
        <v>0</v>
      </c>
      <c r="E11310" s="27" t="n">
        <f aca="false">(Sens!E11303+Sens!E11307-Sens!E11308)+(Sens!E11295+Sens!E11296-Sens!E11294)+(Sens!E11298+Sens!E11299-Sens!E11297)+(Sens!E11308-Q!M18)</f>
        <v>0</v>
      </c>
      <c r="F11310" s="27" t="n">
        <f aca="false">(Sens!F11303+Sens!F11307-Sens!F11308)+(Sens!F11295+Sens!F11296-Sens!F11294)+(Sens!F11298+Sens!F11299-Sens!F11297)</f>
        <v>0</v>
      </c>
      <c r="G11310" s="27" t="n">
        <f aca="false">(Sens!G11303+Sens!G11307-Sens!G11308)+(Sens!G11295+Sens!G11296-Sens!G11294)+(Sens!G11298+Sens!G11299-Sens!G11297)</f>
        <v>0</v>
      </c>
      <c r="H11310" s="27" t="n">
        <f aca="false">(Sens!H11303+Sens!H11307-Sens!H11308)+(Sens!H11295+Sens!H11296-Sens!H11294)+(Sens!H11298+Sens!H11299-Sens!H11297)</f>
        <v>0</v>
      </c>
      <c r="I11310" s="27" t="n">
        <f aca="false">(Sens!I11303+Sens!I11307-Sens!I11308)+(Sens!I11295+Sens!I11296-Sens!I11294)+(Sens!I11298+Sens!I11299-Sens!I11297)</f>
        <v>0</v>
      </c>
      <c r="J11310" s="27" t="n">
        <f aca="false">(Sens!J11303+Sens!J11307-Sens!J11308)+(Sens!J11295+Sens!J11296-Sens!J11294)+(Sens!J11298+Sens!J11299-Sens!J11297)</f>
        <v>0</v>
      </c>
      <c r="K11310" s="27" t="n">
        <f aca="false">(Sens!K11303+Sens!K11307-Sens!K11308)+(Sens!K11295+Sens!K11296-Sens!K11294)+(Sens!K11298+Sens!K11299-Sens!K11297)</f>
        <v>0</v>
      </c>
    </row>
    <row r="11311" customFormat="false" ht="17.15" hidden="false" customHeight="false" outlineLevel="0" collapsed="false">
      <c r="A11311" s="0" t="s">
        <v>1058</v>
      </c>
      <c r="B11311" s="0" t="s">
        <v>168</v>
      </c>
      <c r="E11311" s="7" t="n">
        <f aca="false">(Q!M21+Sens!E11247+Sens!E11248+Sens!E11249+Sens!E11263-Sens!E11245)/(Q!M5-Sens!E11245)</f>
        <v>0.570957350878296</v>
      </c>
      <c r="F11311" s="7" t="n">
        <f aca="false">Sens!$E$11311+dm_seg</f>
        <v>0.570957350878296</v>
      </c>
      <c r="G11311" s="7" t="n">
        <f aca="false">Sens!$E$11311+dm_seg</f>
        <v>0.570957350878296</v>
      </c>
      <c r="H11311" s="7" t="n">
        <f aca="false">Sens!$E$11311+dm_seg</f>
        <v>0.570957350878296</v>
      </c>
      <c r="I11311" s="7" t="n">
        <f aca="false">Sens!$E$11311+dm_seg</f>
        <v>0.570957350878296</v>
      </c>
      <c r="J11311" s="7" t="n">
        <f aca="false">Sens!$E$11311+dm_seg</f>
        <v>0.570957350878296</v>
      </c>
      <c r="K11311" s="7" t="n">
        <f aca="false">Sens!$E$11311+dm_seg</f>
        <v>0.570957350878296</v>
      </c>
      <c r="L11311" s="12" t="s">
        <v>1059</v>
      </c>
    </row>
    <row r="11312" customFormat="false" ht="17.15" hidden="false" customHeight="false" outlineLevel="0" collapsed="false">
      <c r="A11312" s="0" t="s">
        <v>880</v>
      </c>
      <c r="B11312" s="0" t="s">
        <v>98</v>
      </c>
      <c r="D11312" s="6" t="n">
        <f aca="false">Q!L21</f>
        <v>110.814</v>
      </c>
      <c r="E11312" s="6" t="n">
        <f aca="false">Q!M21</f>
        <v>136.365</v>
      </c>
      <c r="F11312" s="6" t="n">
        <f aca="false">Q!$I$21+(Sens!F11311*(Sens!F11282-Sens!F11245)+Sens!F11245-(Sens!F11247+Sens!F11248+Sens!F11249)-Sens!F11263-Sens!F11346)*(Sens!F11282-Q!$I$5)/Sens!F11282</f>
        <v>158.110234156687</v>
      </c>
      <c r="G11312" s="6" t="n">
        <f aca="false">(Sens!G11311*(Sens!G11282-Sens!G11245)+Sens!G11245-(Sens!G11247+Sens!G11248+Sens!G11249)-Sens!G11263-Sens!G11346)</f>
        <v>161.288737768095</v>
      </c>
      <c r="H11312" s="6" t="n">
        <f aca="false">(Sens!H11311*(Sens!H11282-Sens!H11245)+Sens!H11245-(Sens!H11247+Sens!H11248+Sens!H11249)-Sens!H11263-Sens!H11346)</f>
        <v>162.750449226018</v>
      </c>
      <c r="I11312" s="6" t="n">
        <f aca="false">(Sens!I11311*(Sens!I11282-Sens!I11245)+Sens!I11245-(Sens!I11247+Sens!I11248+Sens!I11249)-Sens!I11263-Sens!I11346)</f>
        <v>172.031140185604</v>
      </c>
      <c r="J11312" s="6" t="n">
        <f aca="false">(Sens!J11311*(Sens!J11282-Sens!J11245)+Sens!J11245-(Sens!J11247+Sens!J11248+Sens!J11249)-Sens!J11263-Sens!J11346)</f>
        <v>182.855335729531</v>
      </c>
      <c r="K11312" s="6" t="n">
        <f aca="false">(Sens!K11311*(Sens!K11282-Sens!K11245)+Sens!K11245-(Sens!K11247+Sens!K11248+Sens!K11249)-Sens!K11263-Sens!K11346)</f>
        <v>195.088404864353</v>
      </c>
      <c r="L11312" s="1" t="s">
        <v>1060</v>
      </c>
    </row>
    <row r="11313" customFormat="false" ht="17.15" hidden="false" customHeight="false" outlineLevel="0" collapsed="false">
      <c r="A11313" s="0" t="s">
        <v>1061</v>
      </c>
      <c r="B11313" s="0" t="s">
        <v>168</v>
      </c>
      <c r="E11313" s="7" t="n">
        <f aca="false">Q!M22/Q!M12</f>
        <v>0.296207935710698</v>
      </c>
      <c r="F11313" s="7" t="n">
        <f aca="false">Sens!$E$11313+dm_seg</f>
        <v>0.296207935710698</v>
      </c>
      <c r="G11313" s="7" t="n">
        <f aca="false">Sens!$E$11313+dm_seg</f>
        <v>0.296207935710698</v>
      </c>
      <c r="H11313" s="7" t="n">
        <f aca="false">Sens!$E$11313+dm_seg</f>
        <v>0.296207935710698</v>
      </c>
      <c r="I11313" s="7" t="n">
        <f aca="false">Sens!$E$11313+dm_seg</f>
        <v>0.296207935710698</v>
      </c>
      <c r="J11313" s="7" t="n">
        <f aca="false">Sens!$E$11313+dm_seg</f>
        <v>0.296207935710698</v>
      </c>
      <c r="K11313" s="7" t="n">
        <f aca="false">Sens!$E$11313+dm_seg</f>
        <v>0.296207935710698</v>
      </c>
      <c r="L11313" s="12" t="s">
        <v>1062</v>
      </c>
    </row>
    <row r="11314" customFormat="false" ht="17.15" hidden="false" customHeight="false" outlineLevel="0" collapsed="false">
      <c r="A11314" s="0" t="s">
        <v>882</v>
      </c>
      <c r="B11314" s="0" t="s">
        <v>98</v>
      </c>
      <c r="D11314" s="6" t="n">
        <f aca="false">Q!L22</f>
        <v>17.714</v>
      </c>
      <c r="E11314" s="6" t="n">
        <f aca="false">Q!M22</f>
        <v>18.872</v>
      </c>
      <c r="F11314" s="6" t="n">
        <f aca="false">Q!$I$22+(Sens!F11289-Q!$I$12)*Sens!F11313</f>
        <v>19.845412833852</v>
      </c>
      <c r="G11314" s="6" t="n">
        <f aca="false">Sens!G11289*Sens!G11313</f>
        <v>19.7441678995688</v>
      </c>
      <c r="H11314" s="6" t="n">
        <f aca="false">Sens!H11289*Sens!H11313</f>
        <v>20.6139423471448</v>
      </c>
      <c r="I11314" s="6" t="n">
        <f aca="false">Sens!I11289*Sens!I11313</f>
        <v>21.6774703400395</v>
      </c>
      <c r="J11314" s="6" t="n">
        <f aca="false">Sens!J11289*Sens!J11313</f>
        <v>22.9323526116515</v>
      </c>
      <c r="K11314" s="6" t="n">
        <f aca="false">Sens!K11289*Sens!K11313</f>
        <v>24.3800384430312</v>
      </c>
      <c r="L11314" s="12" t="s">
        <v>1063</v>
      </c>
    </row>
    <row r="11315" customFormat="false" ht="15" hidden="false" customHeight="false" outlineLevel="0" collapsed="false">
      <c r="A11315" s="1" t="s">
        <v>1064</v>
      </c>
      <c r="B11315" s="0" t="s">
        <v>98</v>
      </c>
      <c r="D11315" s="6" t="n">
        <f aca="false">Sens!D11312+Sens!D11314</f>
        <v>128.528</v>
      </c>
      <c r="E11315" s="6" t="n">
        <f aca="false">Sens!E11312+Sens!E11314</f>
        <v>155.237</v>
      </c>
      <c r="F11315" s="6" t="n">
        <f aca="false">Sens!F11312+Sens!F11314</f>
        <v>177.955646990539</v>
      </c>
      <c r="G11315" s="6" t="n">
        <f aca="false">Sens!G11312+Sens!G11314</f>
        <v>181.032905667664</v>
      </c>
      <c r="H11315" s="6" t="n">
        <f aca="false">Sens!H11312+Sens!H11314</f>
        <v>183.364391573163</v>
      </c>
      <c r="I11315" s="6" t="n">
        <f aca="false">Sens!I11312+Sens!I11314</f>
        <v>193.708610525644</v>
      </c>
      <c r="J11315" s="6" t="n">
        <f aca="false">Sens!J11312+Sens!J11314</f>
        <v>205.787688341182</v>
      </c>
      <c r="K11315" s="6" t="n">
        <f aca="false">Sens!K11312+Sens!K11314</f>
        <v>219.468443307385</v>
      </c>
    </row>
    <row r="11316" customFormat="false" ht="15" hidden="false" customHeight="false" outlineLevel="0" collapsed="false">
      <c r="A11316" s="26" t="s">
        <v>1065</v>
      </c>
      <c r="B11316" s="31" t="s">
        <v>98</v>
      </c>
      <c r="C11316" s="31"/>
      <c r="D11316" s="27" t="n">
        <f aca="false">Sens!D11315-Q!L23</f>
        <v>0</v>
      </c>
      <c r="E11316" s="27" t="n">
        <f aca="false">Sens!E11315-Q!M23</f>
        <v>0</v>
      </c>
      <c r="F11316" s="31"/>
      <c r="G11316" s="31"/>
      <c r="H11316" s="31"/>
      <c r="I11316" s="31"/>
      <c r="J11316" s="31"/>
      <c r="K11316" s="31"/>
    </row>
    <row r="11317" customFormat="false" ht="15" hidden="false" customHeight="false" outlineLevel="0" collapsed="false">
      <c r="A11317" s="1" t="s">
        <v>1066</v>
      </c>
      <c r="B11317" s="0" t="s">
        <v>168</v>
      </c>
      <c r="D11317" s="7" t="n">
        <f aca="false">Sens!D11315/Sens!D11308</f>
        <v>0.456219562408598</v>
      </c>
      <c r="E11317" s="7" t="n">
        <f aca="false">Sens!E11315/Sens!E11308</f>
        <v>0.467808184089272</v>
      </c>
      <c r="F11317" s="7" t="n">
        <f aca="false">Sens!F11315/Sens!F11308</f>
        <v>0.451043307917344</v>
      </c>
      <c r="G11317" s="7" t="n">
        <f aca="false">Sens!G11315/Sens!G11308</f>
        <v>0.394138256532942</v>
      </c>
      <c r="H11317" s="7" t="n">
        <f aca="false">Sens!H11315/Sens!H11308</f>
        <v>0.352530895701649</v>
      </c>
      <c r="I11317" s="7" t="n">
        <f aca="false">Sens!I11315/Sens!I11308</f>
        <v>0.331763597540693</v>
      </c>
      <c r="J11317" s="7" t="n">
        <f aca="false">Sens!J11315/Sens!J11308</f>
        <v>0.322633911552312</v>
      </c>
      <c r="K11317" s="7" t="n">
        <f aca="false">Sens!K11315/Sens!K11308</f>
        <v>0.321593951896955</v>
      </c>
    </row>
    <row r="11318" customFormat="false" ht="17.15" hidden="false" customHeight="false" outlineLevel="0" collapsed="false">
      <c r="A11318" s="1" t="s">
        <v>1067</v>
      </c>
      <c r="B11318" s="0" t="s">
        <v>98</v>
      </c>
      <c r="F11318" s="6" t="n">
        <f aca="false">Sens!F11333</f>
        <v>10.5962787979473</v>
      </c>
      <c r="G11318" s="6" t="n">
        <f aca="false">Sens!G11333</f>
        <v>27.844646674932</v>
      </c>
      <c r="H11318" s="6" t="n">
        <f aca="false">Sens!H11333</f>
        <v>46.566205501382</v>
      </c>
      <c r="I11318" s="6" t="n">
        <f aca="false">Sens!I11333</f>
        <v>63.2717778126444</v>
      </c>
      <c r="J11318" s="6" t="n">
        <f aca="false">Sens!J11333</f>
        <v>74.9061222882009</v>
      </c>
      <c r="K11318" s="6" t="n">
        <f aca="false">Sens!K11333</f>
        <v>81.6395437180232</v>
      </c>
      <c r="L11318" s="1" t="s">
        <v>1068</v>
      </c>
    </row>
    <row r="11319" customFormat="false" ht="17.15" hidden="false" customHeight="false" outlineLevel="0" collapsed="false">
      <c r="A11319" s="1" t="s">
        <v>1069</v>
      </c>
      <c r="B11319" s="0" t="s">
        <v>98</v>
      </c>
      <c r="D11319" s="6" t="n">
        <f aca="false">Sens!D11315</f>
        <v>128.528</v>
      </c>
      <c r="E11319" s="6" t="n">
        <f aca="false">Sens!E11315</f>
        <v>155.237</v>
      </c>
      <c r="F11319" s="6" t="n">
        <f aca="false">Sens!F11315+Sens!F11318</f>
        <v>188.551925788486</v>
      </c>
      <c r="G11319" s="6" t="n">
        <f aca="false">Sens!G11315+Sens!G11318</f>
        <v>208.877552342596</v>
      </c>
      <c r="H11319" s="6" t="n">
        <f aca="false">Sens!H11315+Sens!H11318</f>
        <v>229.930597074545</v>
      </c>
      <c r="I11319" s="6" t="n">
        <f aca="false">Sens!I11315+Sens!I11318</f>
        <v>256.980388338288</v>
      </c>
      <c r="J11319" s="6" t="n">
        <f aca="false">Sens!J11315+Sens!J11318</f>
        <v>280.693810629383</v>
      </c>
      <c r="K11319" s="6" t="n">
        <f aca="false">Sens!K11315+Sens!K11318</f>
        <v>301.107987025408</v>
      </c>
    </row>
    <row r="11320" customFormat="false" ht="17.15" hidden="false" customHeight="false" outlineLevel="0" collapsed="false">
      <c r="A11320" s="1" t="s">
        <v>1070</v>
      </c>
      <c r="B11320" s="0" t="s">
        <v>98</v>
      </c>
      <c r="E11320" s="6" t="n">
        <f aca="false">Sens!E11263</f>
        <v>16.3054059770833</v>
      </c>
      <c r="F11320" s="6" t="n">
        <f aca="false">Sens!F11263</f>
        <v>34.5793144783516</v>
      </c>
      <c r="G11320" s="6" t="n">
        <f aca="false">Sens!G11263</f>
        <v>60.7344906522989</v>
      </c>
      <c r="H11320" s="6" t="n">
        <f aca="false">Sens!H11263</f>
        <v>89.1000906614457</v>
      </c>
      <c r="I11320" s="6" t="n">
        <f aca="false">Sens!I11263</f>
        <v>114.231009694548</v>
      </c>
      <c r="J11320" s="6" t="n">
        <f aca="false">Sens!J11263</f>
        <v>132.015673049596</v>
      </c>
      <c r="K11320" s="6" t="n">
        <f aca="false">Sens!K11263</f>
        <v>143.012669550934</v>
      </c>
    </row>
    <row r="11321" customFormat="false" ht="17.15" hidden="false" customHeight="false" outlineLevel="0" collapsed="false">
      <c r="A11321" s="1" t="s">
        <v>1071</v>
      </c>
      <c r="B11321" s="0" t="s">
        <v>98</v>
      </c>
      <c r="E11321" s="6" t="n">
        <f aca="false">Sens!E11345</f>
        <v>22.2285940229167</v>
      </c>
      <c r="F11321" s="6" t="n">
        <f aca="false">Sens!F11345</f>
        <v>23.5890962479552</v>
      </c>
      <c r="G11321" s="6" t="n">
        <f aca="false">Sens!G11345</f>
        <v>25.3513350397584</v>
      </c>
      <c r="H11321" s="6" t="n">
        <f aca="false">Sens!H11345</f>
        <v>27.4854778651853</v>
      </c>
      <c r="I11321" s="6" t="n">
        <f aca="false">Sens!I11345</f>
        <v>29.9364679225593</v>
      </c>
      <c r="J11321" s="6" t="n">
        <f aca="false">Sens!J11345</f>
        <v>32.6314263209692</v>
      </c>
      <c r="K11321" s="6" t="n">
        <f aca="false">Sens!K11345</f>
        <v>35.4881564282883</v>
      </c>
    </row>
    <row r="11322" customFormat="false" ht="17.15" hidden="false" customHeight="false" outlineLevel="0" collapsed="false">
      <c r="A11322" s="1" t="s">
        <v>1072</v>
      </c>
      <c r="B11322" s="0" t="s">
        <v>98</v>
      </c>
      <c r="D11322" s="6" t="n">
        <f aca="false">Q!L27</f>
        <v>-4.901</v>
      </c>
      <c r="E11322" s="6" t="n">
        <f aca="false">Q!M27</f>
        <v>10.697</v>
      </c>
      <c r="F11322" s="6" t="n">
        <f aca="false">Q!$I$27+oie_f*(q_per_yr-1)/q_per_yr</f>
        <v>-0.862</v>
      </c>
      <c r="G11322" s="6" t="n">
        <f aca="false">oie_f</f>
        <v>-1.2</v>
      </c>
      <c r="H11322" s="6" t="n">
        <f aca="false">oie_f</f>
        <v>-1.2</v>
      </c>
      <c r="I11322" s="6" t="n">
        <f aca="false">oie_f</f>
        <v>-1.2</v>
      </c>
      <c r="J11322" s="6" t="n">
        <f aca="false">oie_f</f>
        <v>-1.2</v>
      </c>
      <c r="K11322" s="6" t="n">
        <f aca="false">oie_f</f>
        <v>-1.2</v>
      </c>
      <c r="L11322" s="12" t="s">
        <v>1073</v>
      </c>
    </row>
    <row r="11323" customFormat="false" ht="15" hidden="false" customHeight="false" outlineLevel="0" collapsed="false">
      <c r="A11323" s="1" t="s">
        <v>1074</v>
      </c>
      <c r="B11323" s="0" t="s">
        <v>98</v>
      </c>
      <c r="D11323" s="6" t="n">
        <f aca="false">Sens!D11315+Sens!D11322</f>
        <v>123.627</v>
      </c>
      <c r="E11323" s="6" t="n">
        <f aca="false">Sens!E11315+Sens!E11322</f>
        <v>165.934</v>
      </c>
      <c r="F11323" s="6" t="n">
        <f aca="false">Sens!F11315+Sens!F11322</f>
        <v>177.093646990539</v>
      </c>
      <c r="G11323" s="6" t="n">
        <f aca="false">Sens!G11315+Sens!G11322</f>
        <v>179.832905667664</v>
      </c>
      <c r="H11323" s="6" t="n">
        <f aca="false">Sens!H11315+Sens!H11322</f>
        <v>182.164391573163</v>
      </c>
      <c r="I11323" s="6" t="n">
        <f aca="false">Sens!I11315+Sens!I11322</f>
        <v>192.508610525644</v>
      </c>
      <c r="J11323" s="6" t="n">
        <f aca="false">Sens!J11315+Sens!J11322</f>
        <v>204.587688341182</v>
      </c>
      <c r="K11323" s="6" t="n">
        <f aca="false">Sens!K11315+Sens!K11322</f>
        <v>218.268443307385</v>
      </c>
    </row>
    <row r="11324" customFormat="false" ht="15" hidden="false" customHeight="false" outlineLevel="0" collapsed="false">
      <c r="A11324" s="1" t="s">
        <v>1075</v>
      </c>
      <c r="B11324" s="0" t="s">
        <v>98</v>
      </c>
      <c r="D11324" s="6" t="n">
        <f aca="false">Q!L29</f>
        <v>21.795</v>
      </c>
      <c r="E11324" s="6" t="n">
        <f aca="false">Q!M29</f>
        <v>32.185</v>
      </c>
      <c r="F11324" s="6" t="n">
        <f aca="false">Q!$I$29+(Sens!F11323-Q!$I$28)*tax_f</f>
        <v>35.5521293981078</v>
      </c>
      <c r="G11324" s="6" t="n">
        <f aca="false">Sens!G11323*tax_f</f>
        <v>35.9665811335328</v>
      </c>
      <c r="H11324" s="6" t="n">
        <f aca="false">Sens!H11323*tax_f</f>
        <v>36.4328783146326</v>
      </c>
      <c r="I11324" s="6" t="n">
        <f aca="false">Sens!I11323*tax_f</f>
        <v>38.5017221051287</v>
      </c>
      <c r="J11324" s="6" t="n">
        <f aca="false">Sens!J11323*tax_f</f>
        <v>40.9175376682364</v>
      </c>
      <c r="K11324" s="6" t="n">
        <f aca="false">Sens!K11323*tax_f</f>
        <v>43.6536886614769</v>
      </c>
    </row>
    <row r="11325" customFormat="false" ht="15" hidden="false" customHeight="false" outlineLevel="0" collapsed="false">
      <c r="A11325" s="1" t="s">
        <v>1076</v>
      </c>
      <c r="B11325" s="0" t="s">
        <v>98</v>
      </c>
      <c r="D11325" s="6" t="n">
        <f aca="false">Sens!D11323-Sens!D11324</f>
        <v>101.832</v>
      </c>
      <c r="E11325" s="6" t="n">
        <f aca="false">Sens!E11323-Sens!E11324</f>
        <v>133.749</v>
      </c>
      <c r="F11325" s="6" t="n">
        <f aca="false">Sens!F11323-Sens!F11324</f>
        <v>141.541517592431</v>
      </c>
      <c r="G11325" s="6" t="n">
        <f aca="false">Sens!G11323-Sens!G11324</f>
        <v>143.866324534131</v>
      </c>
      <c r="H11325" s="6" t="n">
        <f aca="false">Sens!H11323-Sens!H11324</f>
        <v>145.731513258531</v>
      </c>
      <c r="I11325" s="6" t="n">
        <f aca="false">Sens!I11323-Sens!I11324</f>
        <v>154.006888420515</v>
      </c>
      <c r="J11325" s="6" t="n">
        <f aca="false">Sens!J11323-Sens!J11324</f>
        <v>163.670150672946</v>
      </c>
      <c r="K11325" s="6" t="n">
        <f aca="false">Sens!K11323-Sens!K11324</f>
        <v>174.614754645908</v>
      </c>
    </row>
    <row r="11326" customFormat="false" ht="17.15" hidden="false" customHeight="false" outlineLevel="0" collapsed="false">
      <c r="A11326" s="1" t="s">
        <v>1077</v>
      </c>
      <c r="B11326" s="1" t="s">
        <v>81</v>
      </c>
      <c r="D11326" s="15" t="n">
        <f aca="false">Q!L31</f>
        <v>7.465</v>
      </c>
      <c r="E11326" s="15" t="n">
        <f aca="false">Q!M31</f>
        <v>7.453</v>
      </c>
      <c r="F11326" s="15" t="n">
        <f aca="false">Sens!F11370</f>
        <v>7.4735</v>
      </c>
      <c r="G11326" s="15" t="n">
        <f aca="false">Sens!G11370</f>
        <v>7.5185</v>
      </c>
      <c r="H11326" s="15" t="n">
        <f aca="false">Sens!H11370</f>
        <v>7.5635</v>
      </c>
      <c r="I11326" s="15" t="n">
        <f aca="false">Sens!I11370</f>
        <v>7.59248142502667</v>
      </c>
      <c r="J11326" s="15" t="n">
        <f aca="false">Sens!J11370</f>
        <v>7.60663083618914</v>
      </c>
      <c r="K11326" s="15" t="n">
        <f aca="false">Sens!K11370</f>
        <v>7.62306547615439</v>
      </c>
    </row>
    <row r="11327" customFormat="false" ht="17.15" hidden="false" customHeight="false" outlineLevel="0" collapsed="false">
      <c r="A11327" s="0" t="s">
        <v>1078</v>
      </c>
      <c r="B11327" s="0" t="s">
        <v>75</v>
      </c>
      <c r="D11327" s="8" t="n">
        <f aca="false">Sens!D11325/Sens!D11326</f>
        <v>13.641259209645</v>
      </c>
      <c r="E11327" s="8" t="n">
        <f aca="false">Sens!E11325/Sens!E11326</f>
        <v>17.9456594659869</v>
      </c>
      <c r="F11327" s="8" t="n">
        <f aca="false">Sens!F11325/Sens!F11326</f>
        <v>18.9391205716774</v>
      </c>
      <c r="G11327" s="8" t="n">
        <f aca="false">Sens!G11325/Sens!G11326</f>
        <v>19.1349769946307</v>
      </c>
      <c r="H11327" s="8" t="n">
        <f aca="false">Sens!H11325/Sens!H11326</f>
        <v>19.2677349452675</v>
      </c>
      <c r="I11327" s="8" t="n">
        <f aca="false">Sens!I11325/Sens!I11326</f>
        <v>20.2841310764187</v>
      </c>
      <c r="J11327" s="8" t="n">
        <f aca="false">Sens!J11325/Sens!J11326</f>
        <v>21.5167732203162</v>
      </c>
      <c r="K11327" s="8" t="n">
        <f aca="false">Sens!K11325/Sens!K11326</f>
        <v>22.9061071549389</v>
      </c>
      <c r="L11327" s="1" t="s">
        <v>1079</v>
      </c>
    </row>
    <row r="11328" customFormat="false" ht="17.15" hidden="false" customHeight="false" outlineLevel="0" collapsed="false">
      <c r="A11328" s="1" t="s">
        <v>1080</v>
      </c>
      <c r="B11328" s="0" t="s">
        <v>98</v>
      </c>
      <c r="D11328" s="6" t="n">
        <f aca="false">Sens!D11325</f>
        <v>101.832</v>
      </c>
      <c r="E11328" s="6" t="n">
        <f aca="false">Sens!E11325</f>
        <v>133.749</v>
      </c>
      <c r="F11328" s="6" t="n">
        <f aca="false">Sens!F11325+Sens!F11318*(1-tax_f)</f>
        <v>150.018540630789</v>
      </c>
      <c r="G11328" s="6" t="n">
        <f aca="false">Sens!G11325+Sens!G11318*(1-tax_f)</f>
        <v>166.142041874077</v>
      </c>
      <c r="H11328" s="6" t="n">
        <f aca="false">Sens!H11325+Sens!H11318*(1-tax_f)</f>
        <v>182.984477659636</v>
      </c>
      <c r="I11328" s="6" t="n">
        <f aca="false">Sens!I11325+Sens!I11318*(1-tax_f)</f>
        <v>204.62431067063</v>
      </c>
      <c r="J11328" s="6" t="n">
        <f aca="false">Sens!J11325+Sens!J11318*(1-tax_f)</f>
        <v>223.595048503506</v>
      </c>
      <c r="K11328" s="6" t="n">
        <f aca="false">Sens!K11325+Sens!K11318*(1-tax_f)</f>
        <v>239.926389620326</v>
      </c>
    </row>
    <row r="11329" customFormat="false" ht="17.15" hidden="false" customHeight="false" outlineLevel="0" collapsed="false">
      <c r="A11329" s="0" t="s">
        <v>1081</v>
      </c>
      <c r="B11329" s="0" t="s">
        <v>75</v>
      </c>
      <c r="D11329" s="8" t="n">
        <f aca="false">Sens!D11328/Sens!D11326</f>
        <v>13.641259209645</v>
      </c>
      <c r="E11329" s="8" t="n">
        <f aca="false">Sens!E11328/Sens!E11326</f>
        <v>17.9456594659869</v>
      </c>
      <c r="F11329" s="8" t="n">
        <f aca="false">Sens!F11328/Sens!F11326</f>
        <v>20.0733980906923</v>
      </c>
      <c r="G11329" s="8" t="n">
        <f aca="false">Sens!G11328/Sens!G11326</f>
        <v>22.0977644309472</v>
      </c>
      <c r="H11329" s="8" t="n">
        <f aca="false">Sens!H11328/Sens!H11326</f>
        <v>24.1930954795579</v>
      </c>
      <c r="I11329" s="8" t="n">
        <f aca="false">Sens!I11328/Sens!I11326</f>
        <v>26.9509135703828</v>
      </c>
      <c r="J11329" s="8" t="n">
        <f aca="false">Sens!J11328/Sens!J11326</f>
        <v>29.3947548288706</v>
      </c>
      <c r="K11329" s="8" t="n">
        <f aca="false">Sens!K11328/Sens!K11326</f>
        <v>31.4737411571286</v>
      </c>
      <c r="L11329" s="1" t="s">
        <v>1082</v>
      </c>
    </row>
    <row r="11330" customFormat="false" ht="17.15" hidden="false" customHeight="false" outlineLevel="0" collapsed="false">
      <c r="A11330" s="0" t="s">
        <v>1083</v>
      </c>
      <c r="B11330" s="0" t="s">
        <v>168</v>
      </c>
      <c r="E11330" s="7" t="n">
        <f aca="false">Sens!E11329/Sens!D11329-1</f>
        <v>0.315542736208578</v>
      </c>
      <c r="F11330" s="7" t="n">
        <f aca="false">Sens!F11329/Sens!E11329-1</f>
        <v>0.118565641387448</v>
      </c>
      <c r="G11330" s="7" t="n">
        <f aca="false">Sens!G11329/Sens!F11329-1</f>
        <v>0.100848213695996</v>
      </c>
      <c r="H11330" s="7" t="n">
        <f aca="false">Sens!H11329/Sens!G11329-1</f>
        <v>0.0948209514658505</v>
      </c>
      <c r="I11330" s="7" t="n">
        <f aca="false">Sens!I11329/Sens!H11329-1</f>
        <v>0.113991948370358</v>
      </c>
      <c r="J11330" s="7" t="n">
        <f aca="false">Sens!J11329/Sens!I11329-1</f>
        <v>0.0906774923271392</v>
      </c>
      <c r="K11330" s="7" t="n">
        <f aca="false">Sens!K11329/Sens!J11329-1</f>
        <v>0.0707264387936344</v>
      </c>
    </row>
    <row r="11331" customFormat="false" ht="17.15" hidden="false" customHeight="false" outlineLevel="0" collapsed="false">
      <c r="A11331" s="0" t="s">
        <v>1003</v>
      </c>
      <c r="B11331" s="0" t="s">
        <v>98</v>
      </c>
      <c r="E11331" s="6" t="n">
        <f aca="false">Sens!E11272</f>
        <v>5.25</v>
      </c>
      <c r="F11331" s="6" t="n">
        <f aca="false">Sens!F11272</f>
        <v>10.5</v>
      </c>
      <c r="G11331" s="6" t="n">
        <f aca="false">Sens!G11272</f>
        <v>13.5</v>
      </c>
      <c r="H11331" s="6" t="n">
        <f aca="false">Sens!H11272</f>
        <v>16.5</v>
      </c>
      <c r="I11331" s="6" t="n">
        <f aca="false">Sens!I11272</f>
        <v>18.75</v>
      </c>
      <c r="J11331" s="6" t="n">
        <f aca="false">Sens!J11272</f>
        <v>20.25</v>
      </c>
      <c r="K11331" s="6" t="n">
        <f aca="false">Sens!K11272</f>
        <v>21.75</v>
      </c>
    </row>
    <row r="11332" customFormat="false" ht="17.15" hidden="false" customHeight="false" outlineLevel="0" collapsed="false">
      <c r="A11332" s="1" t="s">
        <v>1004</v>
      </c>
      <c r="B11332" s="0" t="s">
        <v>98</v>
      </c>
      <c r="F11332" s="6" t="n">
        <f aca="false">MAX(0,((Sens!E11232+Sens!F11232)/2-(shadow_base*(Sens!$D$11232+Sens!$E$11232)/2+(1-shadow_base)*Sens!$E$11232))*Sens!F11241/1000-(Sens!F11331-Sens!$E$11331)*Sens!F11311)</f>
        <v>10.5962787979473</v>
      </c>
      <c r="G11332" s="6" t="n">
        <f aca="false">MAX(0,((Sens!F11232+Sens!G11232)/2-(shadow_base*(Sens!$D$11232+Sens!$E$11232)/2+(1-shadow_base)*Sens!$E$11232))*Sens!G11241/1000-(Sens!G11331-Sens!$E$11331)*Sens!G11311)</f>
        <v>27.844646674932</v>
      </c>
      <c r="H11332" s="6" t="n">
        <f aca="false">MAX(0,((Sens!G11232+Sens!H11232)/2-(shadow_base*(Sens!$D$11232+Sens!$E$11232)/2+(1-shadow_base)*Sens!$E$11232))*Sens!H11241/1000-(Sens!H11331-Sens!$E$11331)*Sens!H11311)</f>
        <v>46.566205501382</v>
      </c>
      <c r="I11332" s="6" t="n">
        <f aca="false">MAX(0,((Sens!H11232+Sens!I11232)/2-(shadow_base*(Sens!$D$11232+Sens!$E$11232)/2+(1-shadow_base)*Sens!$E$11232))*Sens!I11241/1000-(Sens!I11331-Sens!$E$11331)*Sens!I11311)</f>
        <v>63.2717778126444</v>
      </c>
      <c r="J11332" s="6" t="n">
        <f aca="false">MAX(0,((Sens!I11232+Sens!J11232)/2-(shadow_base*(Sens!$D$11232+Sens!$E$11232)/2+(1-shadow_base)*Sens!$E$11232))*Sens!J11241/1000-(Sens!J11331-Sens!$E$11331)*Sens!J11311)</f>
        <v>74.9061222882009</v>
      </c>
      <c r="K11332" s="6" t="n">
        <f aca="false">MAX(0,((Sens!J11232+Sens!K11232)/2-(shadow_base*(Sens!$D$11232+Sens!$E$11232)/2+(1-shadow_base)*Sens!$E$11232))*Sens!K11241/1000-(Sens!K11331-Sens!$E$11331)*Sens!K11311)</f>
        <v>81.6395437180232</v>
      </c>
      <c r="L11332" s="1" t="s">
        <v>1005</v>
      </c>
    </row>
    <row r="11333" customFormat="false" ht="17.15" hidden="false" customHeight="false" outlineLevel="0" collapsed="false">
      <c r="A11333" s="1" t="s">
        <v>1006</v>
      </c>
      <c r="B11333" s="0" t="s">
        <v>98</v>
      </c>
      <c r="F11333" s="6" t="n">
        <f aca="false">IF(internal_ai_reading=2,1,0)*Sens!F11332</f>
        <v>10.5962787979473</v>
      </c>
      <c r="G11333" s="6" t="n">
        <f aca="false">IF(internal_ai_reading=2,1,0)*Sens!G11332</f>
        <v>27.844646674932</v>
      </c>
      <c r="H11333" s="6" t="n">
        <f aca="false">IF(internal_ai_reading=2,1,0)*Sens!H11332</f>
        <v>46.566205501382</v>
      </c>
      <c r="I11333" s="6" t="n">
        <f aca="false">IF(internal_ai_reading=2,1,0)*Sens!I11332</f>
        <v>63.2717778126444</v>
      </c>
      <c r="J11333" s="6" t="n">
        <f aca="false">IF(internal_ai_reading=2,1,0)*Sens!J11332</f>
        <v>74.9061222882009</v>
      </c>
      <c r="K11333" s="6" t="n">
        <f aca="false">IF(internal_ai_reading=2,1,0)*Sens!K11332</f>
        <v>81.6395437180232</v>
      </c>
    </row>
    <row r="11334" customFormat="false" ht="17.15" hidden="false" customHeight="false" outlineLevel="0" collapsed="false">
      <c r="A11334" s="0" t="s">
        <v>1007</v>
      </c>
      <c r="B11334" s="0" t="s">
        <v>98</v>
      </c>
      <c r="F11334" s="6" t="n">
        <f aca="false">Sens!F11251+Sens!F11331*Sens!F11311+Sens!F11333-Sens!F11252-Sens!F11263</f>
        <v>10.3853806853618</v>
      </c>
      <c r="G11334" s="6" t="n">
        <f aca="false">Sens!G11251+Sens!G11331*Sens!G11311+Sens!G11333-Sens!G11252-Sens!G11263</f>
        <v>16.4389313105741</v>
      </c>
      <c r="H11334" s="6" t="n">
        <f aca="false">Sens!H11251+Sens!H11331*Sens!H11311+Sens!H11333-Sens!H11252-Sens!H11263</f>
        <v>17.135416308873</v>
      </c>
      <c r="I11334" s="6" t="n">
        <f aca="false">Sens!I11251+Sens!I11331*Sens!I11311+Sens!I11333-Sens!I11252-Sens!I11263</f>
        <v>24.1293804008657</v>
      </c>
      <c r="J11334" s="6" t="n">
        <f aca="false">Sens!J11251+Sens!J11331*Sens!J11311+Sens!J11333-Sens!J11252-Sens!J11263</f>
        <v>28.8545659869181</v>
      </c>
      <c r="K11334" s="6" t="n">
        <f aca="false">Sens!K11251+Sens!K11331*Sens!K11311+Sens!K11333-Sens!K11252-Sens!K11263</f>
        <v>32.13747485251</v>
      </c>
    </row>
    <row r="11335" customFormat="false" ht="17.15" hidden="false" customHeight="false" outlineLevel="0" collapsed="false">
      <c r="A11335" s="0" t="s">
        <v>1008</v>
      </c>
      <c r="B11335" s="0" t="s">
        <v>98</v>
      </c>
      <c r="E11335" s="6" t="n">
        <f aca="false">Sens!E11231*(cxit_open+self_build*tk_cxfac)/1000*ai_net_open</f>
        <v>126.6980382</v>
      </c>
      <c r="F11335" s="6" t="n">
        <f aca="false">Sens!E11335+Sens!F11260-Sens!F11263</f>
        <v>260.572627763768</v>
      </c>
      <c r="G11335" s="6" t="n">
        <f aca="false">Sens!F11335+Sens!G11260-Sens!G11263</f>
        <v>391.782612760517</v>
      </c>
      <c r="H11335" s="6" t="n">
        <f aca="false">Sens!G11335+Sens!H11260-Sens!H11263</f>
        <v>499.488526163584</v>
      </c>
      <c r="I11335" s="6" t="n">
        <f aca="false">Sens!H11335+Sens!I11260-Sens!I11263</f>
        <v>553.872350090646</v>
      </c>
      <c r="J11335" s="6" t="n">
        <f aca="false">Sens!I11335+Sens!J11260-Sens!J11263</f>
        <v>550.78660823699</v>
      </c>
      <c r="K11335" s="6" t="n">
        <f aca="false">Sens!J11335+Sens!K11260-Sens!K11263</f>
        <v>526.736791750789</v>
      </c>
      <c r="L11335" s="1" t="s">
        <v>1009</v>
      </c>
    </row>
    <row r="11336" customFormat="false" ht="17.15" hidden="false" customHeight="false" outlineLevel="0" collapsed="false">
      <c r="A11336" s="0" t="s">
        <v>1010</v>
      </c>
      <c r="B11336" s="0" t="s">
        <v>168</v>
      </c>
      <c r="F11336" s="7" t="n">
        <f aca="false">Sens!F11334*(1-tax_f)/((Sens!E11335+Sens!F11335)/2)</f>
        <v>0.0429069654816909</v>
      </c>
      <c r="G11336" s="7" t="n">
        <f aca="false">Sens!G11334*(1-tax_f)/((Sens!F11335+Sens!G11335)/2)</f>
        <v>0.0403189680453549</v>
      </c>
      <c r="H11336" s="7" t="n">
        <f aca="false">Sens!H11334*(1-tax_f)/((Sens!G11335+Sens!H11335)/2)</f>
        <v>0.0307613080877867</v>
      </c>
      <c r="I11336" s="7" t="n">
        <f aca="false">Sens!I11334*(1-tax_f)/((Sens!H11335+Sens!I11335)/2)</f>
        <v>0.0366512650238846</v>
      </c>
      <c r="J11336" s="7" t="n">
        <f aca="false">Sens!J11334*(1-tax_f)/((Sens!I11335+Sens!J11335)/2)</f>
        <v>0.0417932659044041</v>
      </c>
      <c r="K11336" s="7" t="n">
        <f aca="false">Sens!K11334*(1-tax_f)/((Sens!J11335+Sens!K11335)/2)</f>
        <v>0.0477205040415821</v>
      </c>
    </row>
    <row r="11337" customFormat="false" ht="17.15" hidden="false" customHeight="false" outlineLevel="0" collapsed="false">
      <c r="A11337" s="1" t="s">
        <v>1011</v>
      </c>
      <c r="B11337" s="0" t="s">
        <v>168</v>
      </c>
      <c r="F11337" s="7" t="n">
        <f aca="false">(Sens!F11334-Sens!F11333)*(1-tax_f)/((Sens!E11335+Sens!F11335)/2)</f>
        <v>-0.000871320783610466</v>
      </c>
      <c r="G11337" s="7" t="n">
        <f aca="false">(Sens!G11334-Sens!G11333)*(1-tax_f)/((Sens!F11335+Sens!G11335)/2)</f>
        <v>-0.0279742438618356</v>
      </c>
      <c r="H11337" s="7" t="n">
        <f aca="false">(Sens!H11334-Sens!H11333)*(1-tax_f)/((Sens!G11335+Sens!H11335)/2)</f>
        <v>-0.0528338242443913</v>
      </c>
      <c r="I11337" s="7" t="n">
        <f aca="false">(Sens!I11334-Sens!I11333)*(1-tax_f)/((Sens!H11335+Sens!I11335)/2)</f>
        <v>-0.059455251538819</v>
      </c>
      <c r="J11337" s="7" t="n">
        <f aca="false">(Sens!J11334-Sens!J11333)*(1-tax_f)/((Sens!I11335+Sens!J11335)/2)</f>
        <v>-0.0667015729394002</v>
      </c>
      <c r="K11337" s="7" t="n">
        <f aca="false">(Sens!K11334-Sens!K11333)*(1-tax_f)/((Sens!J11335+Sens!K11335)/2)</f>
        <v>-0.0735049560740113</v>
      </c>
    </row>
    <row r="11338" customFormat="false" ht="17.15" hidden="false" customHeight="false" outlineLevel="0" collapsed="false">
      <c r="A11338" s="1" t="s">
        <v>1012</v>
      </c>
      <c r="B11338" s="0" t="s">
        <v>168</v>
      </c>
      <c r="F11338" s="7" t="n">
        <f aca="false">(Sens!F11334-Sens!F11333+Sens!F11332)*(1-tax_f)/((Sens!E11335+Sens!F11335)/2)</f>
        <v>0.0429069654816909</v>
      </c>
      <c r="G11338" s="7" t="n">
        <f aca="false">(Sens!G11334-Sens!G11333+Sens!G11332)*(1-tax_f)/((Sens!F11335+Sens!G11335)/2)</f>
        <v>0.0403189680453549</v>
      </c>
      <c r="H11338" s="7" t="n">
        <f aca="false">(Sens!H11334-Sens!H11333+Sens!H11332)*(1-tax_f)/((Sens!G11335+Sens!H11335)/2)</f>
        <v>0.0307613080877867</v>
      </c>
      <c r="I11338" s="7" t="n">
        <f aca="false">(Sens!I11334-Sens!I11333+Sens!I11332)*(1-tax_f)/((Sens!H11335+Sens!I11335)/2)</f>
        <v>0.0366512650238846</v>
      </c>
      <c r="J11338" s="7" t="n">
        <f aca="false">(Sens!J11334-Sens!J11333+Sens!J11332)*(1-tax_f)/((Sens!I11335+Sens!J11335)/2)</f>
        <v>0.0417932659044041</v>
      </c>
      <c r="K11338" s="7" t="n">
        <f aca="false">(Sens!K11334-Sens!K11333+Sens!K11332)*(1-tax_f)/((Sens!J11335+Sens!K11335)/2)</f>
        <v>0.0477205040415821</v>
      </c>
    </row>
    <row r="11339" customFormat="false" ht="17.15" hidden="false" customHeight="false" outlineLevel="0" collapsed="false">
      <c r="A11339" s="1" t="s">
        <v>1013</v>
      </c>
      <c r="B11339" s="0" t="s">
        <v>168</v>
      </c>
      <c r="F11339" s="7" t="n">
        <f aca="false">Sens!F11264*(1-tax_f)/(Sens!F11250*(Sens!E11335+Sens!F11335)/2)</f>
        <v>0.098791430090569</v>
      </c>
      <c r="G11339" s="7" t="n">
        <f aca="false">Sens!G11264*(1-tax_f)/(Sens!G11250*(Sens!F11335+Sens!G11335)/2)</f>
        <v>0.0675308856427828</v>
      </c>
      <c r="H11339" s="7" t="n">
        <f aca="false">Sens!H11264*(1-tax_f)/(Sens!H11250*(Sens!G11335+Sens!H11335)/2)</f>
        <v>0.0388374979528754</v>
      </c>
      <c r="I11339" s="7" t="n">
        <f aca="false">Sens!I11264*(1-tax_f)/(Sens!I11250*(Sens!H11335+Sens!I11335)/2)</f>
        <v>0.0411035671771815</v>
      </c>
      <c r="J11339" s="7" t="n">
        <f aca="false">Sens!J11264*(1-tax_f)/(Sens!J11250*(Sens!I11335+Sens!J11335)/2)</f>
        <v>0.0445222722541192</v>
      </c>
      <c r="K11339" s="7" t="n">
        <f aca="false">Sens!K11264*(1-tax_f)/(Sens!K11250*(Sens!J11335+Sens!K11335)/2)</f>
        <v>0.0498866361688162</v>
      </c>
    </row>
    <row r="11340" customFormat="false" ht="17.15" hidden="false" customHeight="false" outlineLevel="0" collapsed="false">
      <c r="A11340" s="0" t="s">
        <v>1014</v>
      </c>
      <c r="B11340" s="0" t="s">
        <v>253</v>
      </c>
      <c r="F11340" s="7" t="n">
        <f aca="false">Sens!F11336-wacc</f>
        <v>-0.0600296254639064</v>
      </c>
      <c r="G11340" s="7" t="n">
        <f aca="false">Sens!G11336-wacc</f>
        <v>-0.0626176229002424</v>
      </c>
      <c r="H11340" s="7" t="n">
        <f aca="false">Sens!H11336-wacc</f>
        <v>-0.0721752828578106</v>
      </c>
      <c r="I11340" s="7" t="n">
        <f aca="false">Sens!I11336-wacc</f>
        <v>-0.0662853259217127</v>
      </c>
      <c r="J11340" s="7" t="n">
        <f aca="false">Sens!J11336-wacc</f>
        <v>-0.0611433250411932</v>
      </c>
      <c r="K11340" s="7" t="n">
        <f aca="false">Sens!K11336-wacc</f>
        <v>-0.0552160869040152</v>
      </c>
    </row>
    <row r="11341" customFormat="false" ht="17.15" hidden="false" customHeight="false" outlineLevel="0" collapsed="false">
      <c r="A11341" s="0" t="s">
        <v>1015</v>
      </c>
      <c r="B11341" s="0" t="s">
        <v>98</v>
      </c>
      <c r="F11341" s="6" t="n">
        <f aca="false">Sens!F11334*(1-tax_f)-wacc*(Sens!E11335+Sens!F11335)/2</f>
        <v>-11.6238565154813</v>
      </c>
      <c r="G11341" s="6" t="n">
        <f aca="false">Sens!G11334*(1-tax_f)-wacc*(Sens!F11335+Sens!G11335)/2</f>
        <v>-20.4244672240733</v>
      </c>
      <c r="H11341" s="6" t="n">
        <f aca="false">Sens!H11334*(1-tax_f)-wacc*(Sens!G11335+Sens!H11335)/2</f>
        <v>-32.163873277425</v>
      </c>
      <c r="I11341" s="6" t="n">
        <f aca="false">Sens!I11334*(1-tax_f)-wacc*(Sens!H11335+Sens!I11335)/2</f>
        <v>-34.9111844978462</v>
      </c>
      <c r="J11341" s="6" t="n">
        <f aca="false">Sens!J11334*(1-tax_f)-wacc*(Sens!I11335+Sens!J11335)/2</f>
        <v>-33.7712608743463</v>
      </c>
      <c r="K11341" s="6" t="n">
        <f aca="false">Sens!K11334*(1-tax_f)-wacc*(Sens!J11335+Sens!K11335)/2</f>
        <v>-29.7483128474176</v>
      </c>
    </row>
    <row r="11342" customFormat="false" ht="17.15" hidden="false" customHeight="false" outlineLevel="0" collapsed="false">
      <c r="A11342" s="3" t="s">
        <v>1763</v>
      </c>
    </row>
    <row r="11343" customFormat="false" ht="15" hidden="false" customHeight="false" outlineLevel="0" collapsed="false">
      <c r="A11343" s="4" t="s">
        <v>43</v>
      </c>
      <c r="B11343" s="4" t="s">
        <v>65</v>
      </c>
      <c r="C11343" s="23" t="s">
        <v>938</v>
      </c>
      <c r="D11343" s="23" t="s">
        <v>939</v>
      </c>
      <c r="E11343" s="23" t="s">
        <v>940</v>
      </c>
      <c r="F11343" s="23" t="s">
        <v>941</v>
      </c>
      <c r="G11343" s="23" t="s">
        <v>942</v>
      </c>
      <c r="H11343" s="23" t="s">
        <v>943</v>
      </c>
      <c r="I11343" s="23" t="s">
        <v>944</v>
      </c>
      <c r="J11343" s="23" t="s">
        <v>945</v>
      </c>
      <c r="K11343" s="23" t="s">
        <v>946</v>
      </c>
      <c r="L11343" s="4" t="s">
        <v>47</v>
      </c>
    </row>
    <row r="11344" customFormat="false" ht="15" hidden="false" customHeight="false" outlineLevel="0" collapsed="false">
      <c r="A11344" s="1" t="s">
        <v>1076</v>
      </c>
      <c r="B11344" s="0" t="s">
        <v>98</v>
      </c>
      <c r="F11344" s="6" t="n">
        <f aca="false">Sens!F11325</f>
        <v>141.541517592431</v>
      </c>
      <c r="G11344" s="6" t="n">
        <f aca="false">Sens!G11325</f>
        <v>143.866324534131</v>
      </c>
      <c r="H11344" s="6" t="n">
        <f aca="false">Sens!H11325</f>
        <v>145.731513258531</v>
      </c>
      <c r="I11344" s="6" t="n">
        <f aca="false">Sens!I11325</f>
        <v>154.006888420515</v>
      </c>
      <c r="J11344" s="6" t="n">
        <f aca="false">Sens!J11325</f>
        <v>163.670150672946</v>
      </c>
      <c r="K11344" s="6" t="n">
        <f aca="false">Sens!K11325</f>
        <v>174.614754645908</v>
      </c>
    </row>
    <row r="11345" customFormat="false" ht="17.15" hidden="false" customHeight="false" outlineLevel="0" collapsed="false">
      <c r="A11345" s="1" t="s">
        <v>1098</v>
      </c>
      <c r="B11345" s="0" t="s">
        <v>98</v>
      </c>
      <c r="E11345" s="6" t="n">
        <f aca="false">Q!M38-Sens!E11263</f>
        <v>22.2285940229167</v>
      </c>
      <c r="F11345" s="6" t="n">
        <f aca="false">Sens!E11345*(1-1/life_nonai)+(Sens!F11353+Sens!F11354)/life_nonai</f>
        <v>23.5890962479552</v>
      </c>
      <c r="G11345" s="6" t="n">
        <f aca="false">Sens!F11345*(1-1/life_nonai)+(Sens!G11353)/life_nonai</f>
        <v>25.3513350397584</v>
      </c>
      <c r="H11345" s="6" t="n">
        <f aca="false">Sens!G11345*(1-1/life_nonai)+(Sens!H11353)/life_nonai</f>
        <v>27.4854778651853</v>
      </c>
      <c r="I11345" s="6" t="n">
        <f aca="false">Sens!H11345*(1-1/life_nonai)+(Sens!I11353)/life_nonai</f>
        <v>29.9364679225593</v>
      </c>
      <c r="J11345" s="6" t="n">
        <f aca="false">Sens!I11345*(1-1/life_nonai)+(Sens!J11353)/life_nonai</f>
        <v>32.6314263209692</v>
      </c>
      <c r="K11345" s="6" t="n">
        <f aca="false">Sens!J11345*(1-1/life_nonai)+(Sens!K11353)/life_nonai</f>
        <v>35.4881564282883</v>
      </c>
      <c r="L11345" s="12" t="s">
        <v>1099</v>
      </c>
    </row>
    <row r="11346" customFormat="false" ht="17.15" hidden="false" customHeight="false" outlineLevel="0" collapsed="false">
      <c r="A11346" s="1" t="s">
        <v>1100</v>
      </c>
      <c r="B11346" s="0" t="s">
        <v>98</v>
      </c>
      <c r="F11346" s="6" t="n">
        <f aca="false">Sens!$F$11354/life_nonai*(1-1/life_nonai)^(Sens!F11226-2027)</f>
        <v>0</v>
      </c>
      <c r="G11346" s="6" t="n">
        <f aca="false">Sens!$F$11354/life_nonai*(1-1/life_nonai)^(Sens!G11226-2027)</f>
        <v>0</v>
      </c>
      <c r="H11346" s="6" t="n">
        <f aca="false">Sens!$F$11354/life_nonai*(1-1/life_nonai)^(Sens!H11226-2027)</f>
        <v>0</v>
      </c>
      <c r="I11346" s="6" t="n">
        <f aca="false">Sens!$F$11354/life_nonai*(1-1/life_nonai)^(Sens!I11226-2027)</f>
        <v>0</v>
      </c>
      <c r="J11346" s="6" t="n">
        <f aca="false">Sens!$F$11354/life_nonai*(1-1/life_nonai)^(Sens!J11226-2027)</f>
        <v>0</v>
      </c>
      <c r="K11346" s="6" t="n">
        <f aca="false">Sens!$F$11354/life_nonai*(1-1/life_nonai)^(Sens!K11226-2027)</f>
        <v>0</v>
      </c>
      <c r="L11346" s="1" t="s">
        <v>1101</v>
      </c>
    </row>
    <row r="11347" customFormat="false" ht="17.15" hidden="false" customHeight="false" outlineLevel="0" collapsed="false">
      <c r="A11347" s="1" t="s">
        <v>1102</v>
      </c>
      <c r="B11347" s="0" t="s">
        <v>98</v>
      </c>
      <c r="E11347" s="6" t="n">
        <f aca="false">Sens!E11263+Sens!E11345</f>
        <v>38.534</v>
      </c>
      <c r="F11347" s="6" t="n">
        <f aca="false">Sens!F11263+Sens!F11345</f>
        <v>58.1684107263068</v>
      </c>
      <c r="G11347" s="6" t="n">
        <f aca="false">Sens!G11263+Sens!G11345</f>
        <v>86.0858256920573</v>
      </c>
      <c r="H11347" s="6" t="n">
        <f aca="false">Sens!H11263+Sens!H11345</f>
        <v>116.585568526631</v>
      </c>
      <c r="I11347" s="6" t="n">
        <f aca="false">Sens!I11263+Sens!I11345</f>
        <v>144.167477617108</v>
      </c>
      <c r="J11347" s="6" t="n">
        <f aca="false">Sens!J11263+Sens!J11345</f>
        <v>164.647099370565</v>
      </c>
      <c r="K11347" s="6" t="n">
        <f aca="false">Sens!K11263+Sens!K11345</f>
        <v>178.500825979222</v>
      </c>
    </row>
    <row r="11348" customFormat="false" ht="17.15" hidden="false" customHeight="false" outlineLevel="0" collapsed="false">
      <c r="A11348" s="1" t="s">
        <v>1103</v>
      </c>
      <c r="B11348" s="0" t="s">
        <v>98</v>
      </c>
      <c r="F11348" s="6" t="n">
        <f aca="false">Sens!F11290*sbc_r</f>
        <v>14.749010094636</v>
      </c>
      <c r="G11348" s="6" t="n">
        <f aca="false">Sens!G11290*sbc_r</f>
        <v>17.1703154336616</v>
      </c>
      <c r="H11348" s="6" t="n">
        <f aca="false">Sens!H11290*sbc_r</f>
        <v>19.444069286985</v>
      </c>
      <c r="I11348" s="6" t="n">
        <f aca="false">Sens!I11290*sbc_r</f>
        <v>21.826773255055</v>
      </c>
      <c r="J11348" s="6" t="n">
        <f aca="false">Sens!J11290*sbc_r</f>
        <v>23.8439782961531</v>
      </c>
      <c r="K11348" s="6" t="n">
        <f aca="false">Sens!K11290*sbc_r</f>
        <v>25.5113565947359</v>
      </c>
    </row>
    <row r="11349" customFormat="false" ht="17.15" hidden="false" customHeight="false" outlineLevel="0" collapsed="false">
      <c r="A11349" s="1" t="s">
        <v>1104</v>
      </c>
      <c r="B11349" s="0" t="s">
        <v>98</v>
      </c>
      <c r="F11349" s="6" t="n">
        <f aca="false">wc27-wc26q1</f>
        <v>-4.677</v>
      </c>
      <c r="G11349" s="6" t="n">
        <f aca="false">wc_f</f>
        <v>0</v>
      </c>
      <c r="H11349" s="6" t="n">
        <f aca="false">wc_f</f>
        <v>0</v>
      </c>
      <c r="I11349" s="6" t="n">
        <f aca="false">wc_f</f>
        <v>0</v>
      </c>
      <c r="J11349" s="6" t="n">
        <f aca="false">wc_f</f>
        <v>0</v>
      </c>
      <c r="K11349" s="6" t="n">
        <f aca="false">wc_f</f>
        <v>0</v>
      </c>
      <c r="L11349" s="12" t="s">
        <v>1105</v>
      </c>
    </row>
    <row r="11350" customFormat="false" ht="17.15" hidden="false" customHeight="false" outlineLevel="0" collapsed="false">
      <c r="A11350" s="0" t="s">
        <v>1106</v>
      </c>
      <c r="B11350" s="0" t="s">
        <v>98</v>
      </c>
      <c r="F11350" s="6" t="n">
        <f aca="false">Q!$I$35-Q!$I$26-Q!$I$38-Q!$I$39</f>
        <v>6.493</v>
      </c>
      <c r="L11350" s="1" t="s">
        <v>1107</v>
      </c>
    </row>
    <row r="11351" customFormat="false" ht="15" hidden="false" customHeight="false" outlineLevel="0" collapsed="false">
      <c r="A11351" s="1" t="s">
        <v>904</v>
      </c>
      <c r="B11351" s="0" t="s">
        <v>98</v>
      </c>
      <c r="E11351" s="6" t="n">
        <f aca="false">Q!M35</f>
        <v>182.935</v>
      </c>
      <c r="F11351" s="6" t="n">
        <f aca="false">Sens!F11344+Sens!F11347+Sens!F11348+Sens!F11349+Sens!F11350</f>
        <v>216.274938413374</v>
      </c>
      <c r="G11351" s="6" t="n">
        <f aca="false">Sens!G11344+Sens!G11347+Sens!G11348+Sens!G11349</f>
        <v>247.12246565985</v>
      </c>
      <c r="H11351" s="6" t="n">
        <f aca="false">Sens!H11344+Sens!H11347+Sens!H11348+Sens!H11349</f>
        <v>281.761151072146</v>
      </c>
      <c r="I11351" s="6" t="n">
        <f aca="false">Sens!I11344+Sens!I11347+Sens!I11348+Sens!I11349</f>
        <v>320.001139292677</v>
      </c>
      <c r="J11351" s="6" t="n">
        <f aca="false">Sens!J11344+Sens!J11347+Sens!J11348+Sens!J11349</f>
        <v>352.161228339664</v>
      </c>
      <c r="K11351" s="6" t="n">
        <f aca="false">Sens!K11344+Sens!K11347+Sens!K11348+Sens!K11349</f>
        <v>378.626937219866</v>
      </c>
    </row>
    <row r="11352" customFormat="false" ht="17.15" hidden="false" customHeight="false" outlineLevel="0" collapsed="false">
      <c r="A11352" s="0" t="s">
        <v>1108</v>
      </c>
      <c r="B11352" s="0" t="s">
        <v>98</v>
      </c>
      <c r="F11352" s="6" t="n">
        <f aca="false">Sens!F11260</f>
        <v>168.45390404212</v>
      </c>
      <c r="G11352" s="6" t="n">
        <f aca="false">Sens!G11260</f>
        <v>191.944475649048</v>
      </c>
      <c r="H11352" s="6" t="n">
        <f aca="false">Sens!H11260</f>
        <v>196.806004064512</v>
      </c>
      <c r="I11352" s="6" t="n">
        <f aca="false">Sens!I11260</f>
        <v>168.61483362161</v>
      </c>
      <c r="J11352" s="6" t="n">
        <f aca="false">Sens!J11260</f>
        <v>128.92993119594</v>
      </c>
      <c r="K11352" s="6" t="n">
        <f aca="false">Sens!K11260</f>
        <v>118.962853064733</v>
      </c>
    </row>
    <row r="11353" customFormat="false" ht="17.15" hidden="false" customHeight="false" outlineLevel="0" collapsed="false">
      <c r="A11353" s="1" t="s">
        <v>1109</v>
      </c>
      <c r="B11353" s="0" t="s">
        <v>98</v>
      </c>
      <c r="E11353" s="6" t="n">
        <f aca="false">Sens!E11268*cx_azo+Sens!E11275*cx_m365+Sens!E11276*cx_lic+(Sens!E11278+Sens!E11280)*cx_ind+Sens!E11283*cx_srch+(Sens!E11285+Sens!E11287)*cx_dev</f>
        <v>30.1846587067718</v>
      </c>
      <c r="F11353" s="6" t="n">
        <f aca="false">Sens!F11268*cx_azo+Sens!F11275*cx_m365+Sens!F11276*cx_lic+(Sens!F11278+Sens!F11280)*cx_ind+Sens!F11283*cx_srch+(Sens!F11285+Sens!F11287)*cx_dev</f>
        <v>35.833616273302</v>
      </c>
      <c r="G11353" s="6" t="n">
        <f aca="false">Sens!G11268*cx_azo+Sens!G11275*cx_m365+Sens!G11276*cx_lic+(Sens!G11278+Sens!G11280)*cx_ind+Sens!G11283*cx_srch+(Sens!G11285+Sens!G11287)*cx_dev</f>
        <v>41.2114841659871</v>
      </c>
      <c r="H11353" s="6" t="n">
        <f aca="false">Sens!H11268*cx_azo+Sens!H11275*cx_m365+Sens!H11276*cx_lic+(Sens!H11278+Sens!H11280)*cx_ind+Sens!H11283*cx_srch+(Sens!H11285+Sens!H11287)*cx_dev</f>
        <v>46.6927632940274</v>
      </c>
      <c r="I11353" s="6" t="n">
        <f aca="false">Sens!I11268*cx_azo+Sens!I11275*cx_m365+Sens!I11276*cx_lic+(Sens!I11278+Sens!I11280)*cx_ind+Sens!I11283*cx_srch+(Sens!I11285+Sens!I11287)*cx_dev</f>
        <v>51.995378438925</v>
      </c>
      <c r="J11353" s="6" t="n">
        <f aca="false">Sens!J11268*cx_azo+Sens!J11275*cx_m365+Sens!J11276*cx_lic+(Sens!J11278+Sens!J11280)*cx_ind+Sens!J11283*cx_srch+(Sens!J11285+Sens!J11287)*cx_dev</f>
        <v>56.8860519066583</v>
      </c>
      <c r="K11353" s="6" t="n">
        <f aca="false">Sens!K11268*cx_azo+Sens!K11275*cx_m365+Sens!K11276*cx_lic+(Sens!K11278+Sens!K11280)*cx_ind+Sens!K11283*cx_srch+(Sens!K11285+Sens!K11287)*cx_dev</f>
        <v>61.19872739416</v>
      </c>
    </row>
    <row r="11354" customFormat="false" ht="17.15" hidden="false" customHeight="false" outlineLevel="0" collapsed="false">
      <c r="A11354" s="0" t="s">
        <v>1110</v>
      </c>
      <c r="B11354" s="0" t="s">
        <v>98</v>
      </c>
      <c r="F11354" s="6" t="n">
        <f aca="false">Sens!F11258</f>
        <v>0</v>
      </c>
      <c r="L11354" s="1" t="s">
        <v>1111</v>
      </c>
    </row>
    <row r="11355" customFormat="false" ht="17.15" hidden="false" customHeight="false" outlineLevel="0" collapsed="false">
      <c r="A11355" s="1" t="s">
        <v>1112</v>
      </c>
      <c r="B11355" s="0" t="s">
        <v>98</v>
      </c>
      <c r="E11355" s="6" t="n">
        <f aca="false">Q!M43</f>
        <v>145.3</v>
      </c>
      <c r="F11355" s="6" t="n">
        <f aca="false">Sens!F11352+Sens!F11353+Sens!F11354</f>
        <v>204.287520315422</v>
      </c>
      <c r="G11355" s="6" t="n">
        <f aca="false">Sens!G11352+Sens!G11353</f>
        <v>233.155959815035</v>
      </c>
      <c r="H11355" s="6" t="n">
        <f aca="false">Sens!H11352+Sens!H11353</f>
        <v>243.49876735854</v>
      </c>
      <c r="I11355" s="6" t="n">
        <f aca="false">Sens!I11352+Sens!I11353</f>
        <v>220.610212060535</v>
      </c>
      <c r="J11355" s="6" t="n">
        <f aca="false">Sens!J11352+Sens!J11353</f>
        <v>185.815983102599</v>
      </c>
      <c r="K11355" s="6" t="n">
        <f aca="false">Sens!K11352+Sens!K11353</f>
        <v>180.161580458893</v>
      </c>
      <c r="L11355" s="1" t="s">
        <v>1113</v>
      </c>
    </row>
    <row r="11356" customFormat="false" ht="15" hidden="false" customHeight="false" outlineLevel="0" collapsed="false">
      <c r="A11356" s="1" t="s">
        <v>1114</v>
      </c>
      <c r="B11356" s="0" t="s">
        <v>98</v>
      </c>
      <c r="E11356" s="6" t="n">
        <f aca="false">fl_liab</f>
        <v>66.594</v>
      </c>
      <c r="F11356" s="6" t="n">
        <f aca="false">Sens!E11356-Sens!F11357</f>
        <v>62.46973</v>
      </c>
      <c r="G11356" s="6" t="n">
        <f aca="false">Sens!F11356-Sens!G11357</f>
        <v>57.98686785</v>
      </c>
      <c r="H11356" s="6" t="n">
        <f aca="false">Sens!G11356-Sens!H11357</f>
        <v>53.92827690325</v>
      </c>
      <c r="I11356" s="6" t="n">
        <f aca="false">Sens!H11356-Sens!I11357</f>
        <v>49.7850493638962</v>
      </c>
      <c r="J11356" s="6" t="n">
        <f aca="false">Sens!I11356-Sens!J11357</f>
        <v>45.4823765852716</v>
      </c>
      <c r="K11356" s="6" t="n">
        <f aca="false">Sens!J11356-Sens!K11357</f>
        <v>40.9860835316088</v>
      </c>
    </row>
    <row r="11357" customFormat="false" ht="15" hidden="false" customHeight="false" outlineLevel="0" collapsed="false">
      <c r="A11357" s="1" t="s">
        <v>1115</v>
      </c>
      <c r="B11357" s="0" t="s">
        <v>98</v>
      </c>
      <c r="F11357" s="6" t="n">
        <f aca="false">fl_pay_27-Sens!E11356*fl_rate</f>
        <v>4.12427</v>
      </c>
      <c r="G11357" s="6" t="n">
        <f aca="false">fl_pay_28-Sens!F11356*fl_rate</f>
        <v>4.48286215</v>
      </c>
      <c r="H11357" s="6" t="n">
        <f aca="false">fl_pay_29-Sens!G11356*fl_rate</f>
        <v>4.05859094675</v>
      </c>
      <c r="I11357" s="6" t="n">
        <f aca="false">fl_pay_30-Sens!H11356*fl_rate</f>
        <v>4.14322753935375</v>
      </c>
      <c r="J11357" s="6" t="n">
        <f aca="false">fl_pay_31-Sens!I11356*fl_rate</f>
        <v>4.30267277862467</v>
      </c>
      <c r="K11357" s="6" t="n">
        <f aca="false">fl_pay_32-Sens!J11356*fl_rate</f>
        <v>4.49629305366278</v>
      </c>
    </row>
    <row r="11358" customFormat="false" ht="17.15" hidden="false" customHeight="false" outlineLevel="0" collapsed="false">
      <c r="A11358" s="1" t="s">
        <v>1116</v>
      </c>
      <c r="B11358" s="0" t="s">
        <v>98</v>
      </c>
      <c r="E11358" s="6" t="n">
        <f aca="false">Q!M35-Q!M36-Q!M44</f>
        <v>63.886</v>
      </c>
      <c r="F11358" s="6" t="n">
        <f aca="false">Sens!F11351-Sens!F11355-Sens!F11357</f>
        <v>7.86314809795237</v>
      </c>
      <c r="G11358" s="6" t="n">
        <f aca="false">Sens!G11351-Sens!G11355-Sens!G11357</f>
        <v>9.48364369481486</v>
      </c>
      <c r="H11358" s="6" t="n">
        <f aca="false">Sens!H11351-Sens!H11355-Sens!H11357</f>
        <v>34.2037927668567</v>
      </c>
      <c r="I11358" s="6" t="n">
        <f aca="false">Sens!I11351-Sens!I11355-Sens!I11357</f>
        <v>95.2476996927884</v>
      </c>
      <c r="J11358" s="6" t="n">
        <f aca="false">Sens!J11351-Sens!J11355-Sens!J11357</f>
        <v>162.042572458441</v>
      </c>
      <c r="K11358" s="6" t="n">
        <f aca="false">Sens!K11351-Sens!K11355-Sens!K11357</f>
        <v>193.96906370731</v>
      </c>
      <c r="L11358" s="12" t="s">
        <v>1117</v>
      </c>
    </row>
    <row r="11359" customFormat="false" ht="15" hidden="false" customHeight="false" outlineLevel="0" collapsed="false">
      <c r="A11359" s="1" t="s">
        <v>1118</v>
      </c>
      <c r="B11359" s="0" t="s">
        <v>75</v>
      </c>
      <c r="F11359" s="8" t="n">
        <f aca="false">dps_27</f>
        <v>3.85</v>
      </c>
      <c r="G11359" s="8" t="n">
        <f aca="false">Sens!F11359*(1+dps_g)</f>
        <v>4.158</v>
      </c>
      <c r="H11359" s="8" t="n">
        <f aca="false">Sens!G11359*(1+dps_g)</f>
        <v>4.49064</v>
      </c>
      <c r="I11359" s="8" t="n">
        <f aca="false">Sens!H11359*(1+dps_g)</f>
        <v>4.8498912</v>
      </c>
      <c r="J11359" s="8" t="n">
        <f aca="false">Sens!I11359*(1+dps_g)</f>
        <v>5.237882496</v>
      </c>
      <c r="K11359" s="8" t="n">
        <f aca="false">Sens!J11359*(1+dps_g)</f>
        <v>5.65691309568</v>
      </c>
    </row>
    <row r="11360" customFormat="false" ht="17.15" hidden="false" customHeight="false" outlineLevel="0" collapsed="false">
      <c r="A11360" s="1" t="s">
        <v>1119</v>
      </c>
      <c r="B11360" s="0" t="s">
        <v>98</v>
      </c>
      <c r="E11360" s="6" t="n">
        <f aca="false">Q!M41</f>
        <v>26.445</v>
      </c>
      <c r="F11360" s="6" t="n">
        <f aca="false">Sens!F11359*Sens!E11369</f>
        <v>28.59395</v>
      </c>
      <c r="G11360" s="6" t="n">
        <f aca="false">Sens!G11359*Sens!F11369</f>
        <v>31.068576</v>
      </c>
      <c r="H11360" s="6" t="n">
        <f aca="false">Sens!H11359*Sens!G11369</f>
        <v>33.75614088</v>
      </c>
      <c r="I11360" s="6" t="n">
        <f aca="false">Sens!I11359*Sens!H11369</f>
        <v>36.6748772544</v>
      </c>
      <c r="J11360" s="6" t="n">
        <f aca="false">Sens!J11359*Sens!I11369</f>
        <v>39.6767653201446</v>
      </c>
      <c r="K11360" s="6" t="n">
        <f aca="false">Sens!K11359*Sens!J11369</f>
        <v>42.9376608081345</v>
      </c>
      <c r="L11360" s="1" t="s">
        <v>1120</v>
      </c>
    </row>
    <row r="11361" customFormat="false" ht="15" hidden="false" customHeight="false" outlineLevel="0" collapsed="false">
      <c r="A11361" s="1" t="s">
        <v>1121</v>
      </c>
      <c r="B11361" s="0" t="s">
        <v>98</v>
      </c>
      <c r="E11361" s="6" t="n">
        <f aca="false">Sens!E11358-Sens!E11360</f>
        <v>37.441</v>
      </c>
      <c r="F11361" s="6" t="n">
        <f aca="false">Sens!F11358-Sens!F11360</f>
        <v>-20.7308019020476</v>
      </c>
      <c r="G11361" s="6" t="n">
        <f aca="false">Sens!G11358-Sens!G11360</f>
        <v>-21.5849323051851</v>
      </c>
      <c r="H11361" s="6" t="n">
        <f aca="false">Sens!H11358-Sens!H11360</f>
        <v>0.447651886856704</v>
      </c>
      <c r="I11361" s="6" t="n">
        <f aca="false">Sens!I11358-Sens!I11360</f>
        <v>58.5728224383884</v>
      </c>
      <c r="J11361" s="6" t="n">
        <f aca="false">Sens!J11358-Sens!J11360</f>
        <v>122.365807138296</v>
      </c>
      <c r="K11361" s="6" t="n">
        <f aca="false">Sens!K11358-Sens!K11360</f>
        <v>151.031402899176</v>
      </c>
    </row>
    <row r="11362" customFormat="false" ht="15" hidden="false" customHeight="false" outlineLevel="0" collapsed="false">
      <c r="A11362" s="1" t="s">
        <v>1122</v>
      </c>
      <c r="B11362" s="0" t="s">
        <v>98</v>
      </c>
      <c r="F11362" s="6" t="n">
        <f aca="false">debt_mat_27</f>
        <v>9.25</v>
      </c>
      <c r="G11362" s="6" t="n">
        <f aca="false">debt_mat_28</f>
        <v>0</v>
      </c>
      <c r="H11362" s="6" t="n">
        <f aca="false">debt_mat_29</f>
        <v>2.001</v>
      </c>
      <c r="I11362" s="6" t="n">
        <f aca="false">debt_mat_30</f>
        <v>0</v>
      </c>
      <c r="J11362" s="6" t="n">
        <f aca="false">debt_mat_31</f>
        <v>0.5</v>
      </c>
      <c r="K11362" s="6" t="n">
        <f aca="false">debt_mat_32</f>
        <v>0</v>
      </c>
    </row>
    <row r="11363" customFormat="false" ht="15" hidden="false" customHeight="false" outlineLevel="0" collapsed="false">
      <c r="A11363" s="1" t="s">
        <v>1123</v>
      </c>
      <c r="B11363" s="0" t="s">
        <v>98</v>
      </c>
      <c r="E11363" s="6" t="n">
        <f aca="false">Q!M40</f>
        <v>22.271</v>
      </c>
      <c r="F11363" s="6" t="n">
        <f aca="false">MAX(0,MIN(bb_target,Sens!E11365+Sens!F11361-Sens!F11362-min_cash))</f>
        <v>0</v>
      </c>
      <c r="G11363" s="6" t="n">
        <f aca="false">MAX(0,MIN(bb_target,Sens!F11365+Sens!G11361-Sens!G11362-min_cash))</f>
        <v>0</v>
      </c>
      <c r="H11363" s="6" t="n">
        <f aca="false">MAX(0,MIN(bb_target,Sens!G11365+Sens!H11361-Sens!H11362-min_cash))</f>
        <v>0</v>
      </c>
      <c r="I11363" s="6" t="n">
        <f aca="false">MAX(0,MIN(bb_target,Sens!H11365+Sens!I11361-Sens!I11362-min_cash))</f>
        <v>22.271</v>
      </c>
      <c r="J11363" s="6" t="n">
        <f aca="false">MAX(0,MIN(bb_target,Sens!I11365+Sens!J11361-Sens!J11362-min_cash))</f>
        <v>22.271</v>
      </c>
      <c r="K11363" s="6" t="n">
        <f aca="false">MAX(0,MIN(bb_target,Sens!J11365+Sens!K11361-Sens!K11362-min_cash))</f>
        <v>22.271</v>
      </c>
    </row>
    <row r="11364" customFormat="false" ht="15" hidden="false" customHeight="false" outlineLevel="0" collapsed="false">
      <c r="A11364" s="1" t="s">
        <v>1124</v>
      </c>
      <c r="B11364" s="0" t="s">
        <v>98</v>
      </c>
      <c r="F11364" s="6" t="n">
        <f aca="false">MAX(0,min_cash-(Sens!E11365+Sens!F11361-Sens!F11362-Sens!F11363))</f>
        <v>3.13780190204763</v>
      </c>
      <c r="G11364" s="6" t="n">
        <f aca="false">MAX(0,min_cash-(Sens!F11365+Sens!G11361-Sens!G11362-Sens!G11363))</f>
        <v>21.5849323051851</v>
      </c>
      <c r="H11364" s="6" t="n">
        <f aca="false">MAX(0,min_cash-(Sens!G11365+Sens!H11361-Sens!H11362-Sens!H11363))</f>
        <v>1.55334811314329</v>
      </c>
      <c r="I11364" s="6" t="n">
        <f aca="false">MAX(0,min_cash-(Sens!H11365+Sens!I11361-Sens!I11362-Sens!I11363))</f>
        <v>0</v>
      </c>
      <c r="J11364" s="6" t="n">
        <f aca="false">MAX(0,min_cash-(Sens!I11365+Sens!J11361-Sens!J11362-Sens!J11363))</f>
        <v>0</v>
      </c>
      <c r="K11364" s="6" t="n">
        <f aca="false">MAX(0,min_cash-(Sens!J11365+Sens!K11361-Sens!K11362-Sens!K11363))</f>
        <v>0</v>
      </c>
    </row>
    <row r="11365" customFormat="false" ht="15" hidden="false" customHeight="false" outlineLevel="0" collapsed="false">
      <c r="A11365" s="1" t="s">
        <v>1125</v>
      </c>
      <c r="B11365" s="0" t="s">
        <v>98</v>
      </c>
      <c r="E11365" s="6" t="n">
        <f aca="false">cash_open</f>
        <v>76.843</v>
      </c>
      <c r="F11365" s="6" t="n">
        <f aca="false">Sens!E11365+Sens!F11361-Sens!F11362-Sens!F11363+Sens!F11364</f>
        <v>50</v>
      </c>
      <c r="G11365" s="6" t="n">
        <f aca="false">Sens!F11365+Sens!G11361-Sens!G11362-Sens!G11363+Sens!G11364</f>
        <v>50</v>
      </c>
      <c r="H11365" s="6" t="n">
        <f aca="false">Sens!G11365+Sens!H11361-Sens!H11362-Sens!H11363+Sens!H11364</f>
        <v>50</v>
      </c>
      <c r="I11365" s="6" t="n">
        <f aca="false">Sens!H11365+Sens!I11361-Sens!I11362-Sens!I11363+Sens!I11364</f>
        <v>86.3018224383884</v>
      </c>
      <c r="J11365" s="6" t="n">
        <f aca="false">Sens!I11365+Sens!J11361-Sens!J11362-Sens!J11363+Sens!J11364</f>
        <v>185.896629576684</v>
      </c>
      <c r="K11365" s="6" t="n">
        <f aca="false">Sens!J11365+Sens!K11361-Sens!K11362-Sens!K11363+Sens!K11364</f>
        <v>314.65703247586</v>
      </c>
    </row>
    <row r="11366" customFormat="false" ht="15" hidden="false" customHeight="false" outlineLevel="0" collapsed="false">
      <c r="A11366" s="1" t="s">
        <v>1126</v>
      </c>
      <c r="B11366" s="0" t="s">
        <v>98</v>
      </c>
      <c r="E11366" s="6" t="n">
        <f aca="false">debt_face</f>
        <v>46.136</v>
      </c>
      <c r="F11366" s="6" t="n">
        <f aca="false">Sens!E11366-Sens!F11362+Sens!F11364</f>
        <v>40.0238019020476</v>
      </c>
      <c r="G11366" s="6" t="n">
        <f aca="false">Sens!F11366-Sens!G11362+Sens!G11364</f>
        <v>61.6087342072328</v>
      </c>
      <c r="H11366" s="6" t="n">
        <f aca="false">Sens!G11366-Sens!H11362+Sens!H11364</f>
        <v>61.1610823203761</v>
      </c>
      <c r="I11366" s="6" t="n">
        <f aca="false">Sens!H11366-Sens!I11362+Sens!I11364</f>
        <v>61.1610823203761</v>
      </c>
      <c r="J11366" s="6" t="n">
        <f aca="false">Sens!I11366-Sens!J11362+Sens!J11364</f>
        <v>60.6610823203761</v>
      </c>
      <c r="K11366" s="6" t="n">
        <f aca="false">Sens!J11366-Sens!K11362+Sens!K11364</f>
        <v>60.6610823203761</v>
      </c>
    </row>
    <row r="11367" customFormat="false" ht="15" hidden="false" customHeight="false" outlineLevel="0" collapsed="false">
      <c r="A11367" s="1" t="s">
        <v>1127</v>
      </c>
      <c r="B11367" s="0" t="s">
        <v>98</v>
      </c>
      <c r="E11367" s="6" t="n">
        <f aca="false">Sens!E11365-Sens!E11366</f>
        <v>30.707</v>
      </c>
      <c r="F11367" s="6" t="n">
        <f aca="false">Sens!F11365-Sens!F11366</f>
        <v>9.97619809795237</v>
      </c>
      <c r="G11367" s="6" t="n">
        <f aca="false">Sens!G11365-Sens!G11366</f>
        <v>-11.6087342072328</v>
      </c>
      <c r="H11367" s="6" t="n">
        <f aca="false">Sens!H11365-Sens!H11366</f>
        <v>-11.1610823203761</v>
      </c>
      <c r="I11367" s="6" t="n">
        <f aca="false">Sens!I11365-Sens!I11366</f>
        <v>25.1407401180123</v>
      </c>
      <c r="J11367" s="6" t="n">
        <f aca="false">Sens!J11365-Sens!J11366</f>
        <v>125.235547256308</v>
      </c>
      <c r="K11367" s="6" t="n">
        <f aca="false">Sens!K11365-Sens!K11366</f>
        <v>253.995950155484</v>
      </c>
    </row>
    <row r="11368" customFormat="false" ht="15" hidden="false" customHeight="false" outlineLevel="0" collapsed="false">
      <c r="A11368" s="1" t="s">
        <v>1128</v>
      </c>
      <c r="B11368" s="0" t="s">
        <v>75</v>
      </c>
      <c r="F11368" s="30" t="n">
        <f aca="false">px*(1+bb_g)^(Sens!F11226-base_fy-mid_yr)</f>
        <v>551.84177959629</v>
      </c>
      <c r="G11368" s="30" t="n">
        <f aca="false">px*(1+bb_g)^(Sens!G11226-base_fy-mid_yr)</f>
        <v>595.989121963993</v>
      </c>
      <c r="H11368" s="30" t="n">
        <f aca="false">px*(1+bb_g)^(Sens!H11226-base_fy-mid_yr)</f>
        <v>643.668251721112</v>
      </c>
      <c r="I11368" s="30" t="n">
        <f aca="false">px*(1+bb_g)^(Sens!I11226-base_fy-mid_yr)</f>
        <v>695.161711858801</v>
      </c>
      <c r="J11368" s="30" t="n">
        <f aca="false">px*(1+bb_g)^(Sens!J11226-base_fy-mid_yr)</f>
        <v>750.774648807506</v>
      </c>
      <c r="K11368" s="30" t="n">
        <f aca="false">px*(1+bb_g)^(Sens!K11226-base_fy-mid_yr)</f>
        <v>810.836620712106</v>
      </c>
    </row>
    <row r="11369" customFormat="false" ht="15" hidden="false" customHeight="false" outlineLevel="0" collapsed="false">
      <c r="A11369" s="1" t="s">
        <v>1129</v>
      </c>
      <c r="B11369" s="1" t="s">
        <v>81</v>
      </c>
      <c r="E11369" s="15" t="n">
        <f aca="false">sh_out26</f>
        <v>7.427</v>
      </c>
      <c r="F11369" s="15" t="n">
        <f aca="false">Sens!E11369+sh_iss-Sens!F11363/Sens!F11368</f>
        <v>7.472</v>
      </c>
      <c r="G11369" s="15" t="n">
        <f aca="false">Sens!F11369+sh_iss-Sens!G11363/Sens!G11368</f>
        <v>7.517</v>
      </c>
      <c r="H11369" s="15" t="n">
        <f aca="false">Sens!G11369+sh_iss-Sens!H11363/Sens!H11368</f>
        <v>7.562</v>
      </c>
      <c r="I11369" s="15" t="n">
        <f aca="false">Sens!H11369+sh_iss-Sens!I11363/Sens!I11368</f>
        <v>7.57496285005334</v>
      </c>
      <c r="J11369" s="15" t="n">
        <f aca="false">Sens!I11369+sh_iss-Sens!J11363/Sens!J11368</f>
        <v>7.59029882232494</v>
      </c>
      <c r="K11369" s="15" t="n">
        <f aca="false">Sens!J11369+sh_iss-Sens!K11363/Sens!K11368</f>
        <v>7.60783212998384</v>
      </c>
    </row>
    <row r="11370" customFormat="false" ht="15" hidden="false" customHeight="false" outlineLevel="0" collapsed="false">
      <c r="A11370" s="1" t="s">
        <v>1130</v>
      </c>
      <c r="B11370" s="1" t="s">
        <v>81</v>
      </c>
      <c r="E11370" s="15" t="n">
        <f aca="false">sh_dil26</f>
        <v>7.453</v>
      </c>
      <c r="F11370" s="15" t="n">
        <f aca="false">(Sens!E11369+Sens!F11369)/2+dil_gap</f>
        <v>7.4735</v>
      </c>
      <c r="G11370" s="15" t="n">
        <f aca="false">(Sens!F11369+Sens!G11369)/2+dil_gap</f>
        <v>7.5185</v>
      </c>
      <c r="H11370" s="15" t="n">
        <f aca="false">(Sens!G11369+Sens!H11369)/2+dil_gap</f>
        <v>7.5635</v>
      </c>
      <c r="I11370" s="15" t="n">
        <f aca="false">(Sens!H11369+Sens!I11369)/2+dil_gap</f>
        <v>7.59248142502667</v>
      </c>
      <c r="J11370" s="15" t="n">
        <f aca="false">(Sens!I11369+Sens!J11369)/2+dil_gap</f>
        <v>7.60663083618914</v>
      </c>
      <c r="K11370" s="15" t="n">
        <f aca="false">(Sens!J11369+Sens!K11369)/2+dil_gap</f>
        <v>7.62306547615439</v>
      </c>
    </row>
    <row r="11371" customFormat="false" ht="17.15" hidden="false" customHeight="false" outlineLevel="0" collapsed="false">
      <c r="A11371" s="1" t="s">
        <v>1131</v>
      </c>
      <c r="B11371" s="0" t="s">
        <v>98</v>
      </c>
      <c r="C11371" s="6" t="n">
        <f aca="false">SUM(Sens!F11361:J11361)</f>
        <v>139.070547256308</v>
      </c>
    </row>
    <row r="11372" customFormat="false" ht="15" hidden="false" customHeight="false" outlineLevel="0" collapsed="false">
      <c r="A11372" s="26" t="s">
        <v>1096</v>
      </c>
      <c r="B11372" s="31" t="s">
        <v>98</v>
      </c>
      <c r="C11372" s="27" t="n">
        <f aca="false">Sens!$C$11371-(Sens!F11361+Sens!G11361+Sens!H11361+Sens!I11361+Sens!J11361)</f>
        <v>0</v>
      </c>
      <c r="D11372" s="31"/>
      <c r="E11372" s="31"/>
      <c r="F11372" s="31"/>
      <c r="G11372" s="31"/>
      <c r="H11372" s="31"/>
      <c r="I11372" s="31"/>
      <c r="J11372" s="31"/>
      <c r="K11372" s="31"/>
    </row>
    <row r="11373" customFormat="false" ht="17.15" hidden="false" customHeight="false" outlineLevel="0" collapsed="false">
      <c r="A11373" s="1" t="s">
        <v>1090</v>
      </c>
      <c r="B11373" s="1" t="s">
        <v>1132</v>
      </c>
      <c r="C11373" s="33" t="str">
        <f aca="false">IF(SUM(Sens!F11364:J11364)&gt;0.05,"需要舉債 "&amp;TEXT(SUM(Sens!F11364:J11364),"0.0")&amp;" 十億美元","不需舉債")&amp;"；"&amp;IF(SUM(Sens!F11363:J11363)&lt;COUNT(Sens!F11363:J11363)*bb_target-0.05,"回購較每年 "&amp;TEXT(bb_target,"0.0")&amp;" 的目標少 "&amp;TEXT(COUNT(Sens!F11363:J11363)*bb_target-SUM(Sens!F11363:J11363),"0.0")&amp;" 十億美元（"&amp;TEXT(COUNTIF(Sens!F11363:J11363,"&lt;"&amp;(bb_target-0.05)),"0")&amp;" 年減少）","回購不減")</f>
        <v>需要舉債 26.3 十億美元；回購較每年 22.3 的目標少 66.8 十億美元（3 年減少）</v>
      </c>
    </row>
    <row r="11374" customFormat="false" ht="17.15" hidden="false" customHeight="false" outlineLevel="0" collapsed="false">
      <c r="A11374" s="3" t="s">
        <v>1764</v>
      </c>
    </row>
    <row r="11375" customFormat="false" ht="15" hidden="false" customHeight="false" outlineLevel="0" collapsed="false">
      <c r="A11375" s="4" t="s">
        <v>43</v>
      </c>
      <c r="B11375" s="4" t="s">
        <v>65</v>
      </c>
      <c r="C11375" s="23" t="s">
        <v>938</v>
      </c>
      <c r="D11375" s="23" t="s">
        <v>939</v>
      </c>
      <c r="E11375" s="23" t="s">
        <v>940</v>
      </c>
      <c r="F11375" s="23" t="s">
        <v>941</v>
      </c>
      <c r="G11375" s="23" t="s">
        <v>942</v>
      </c>
      <c r="H11375" s="23" t="s">
        <v>943</v>
      </c>
      <c r="I11375" s="23" t="s">
        <v>944</v>
      </c>
      <c r="J11375" s="23" t="s">
        <v>945</v>
      </c>
      <c r="K11375" s="23" t="s">
        <v>946</v>
      </c>
      <c r="L11375" s="4" t="s">
        <v>47</v>
      </c>
    </row>
    <row r="11376" customFormat="false" ht="17.15" hidden="false" customHeight="false" outlineLevel="0" collapsed="false">
      <c r="A11376" s="1" t="s">
        <v>1212</v>
      </c>
      <c r="B11376" s="1" t="s">
        <v>279</v>
      </c>
      <c r="F11376" s="8" t="n">
        <f aca="false">(1-v_off)*mid_yr</f>
        <v>0.373972602739726</v>
      </c>
      <c r="G11376" s="8" t="n">
        <f aca="false">Sens!G11226-base_fy-mid_yr-v_off</f>
        <v>1.24794520547945</v>
      </c>
      <c r="H11376" s="8" t="n">
        <f aca="false">Sens!H11226-base_fy-mid_yr-v_off</f>
        <v>2.24794520547945</v>
      </c>
      <c r="I11376" s="8" t="n">
        <f aca="false">Sens!I11226-base_fy-mid_yr-v_off</f>
        <v>3.24794520547945</v>
      </c>
      <c r="J11376" s="8" t="n">
        <f aca="false">Sens!J11226-base_fy-mid_yr-v_off</f>
        <v>4.24794520547945</v>
      </c>
      <c r="K11376" s="8" t="n">
        <f aca="false">Sens!K11226-base_fy-mid_yr-v_off</f>
        <v>5.24794520547945</v>
      </c>
      <c r="L11376" s="12" t="s">
        <v>1213</v>
      </c>
    </row>
    <row r="11377" customFormat="false" ht="15" hidden="false" customHeight="false" outlineLevel="0" collapsed="false">
      <c r="A11377" s="1" t="s">
        <v>1214</v>
      </c>
      <c r="B11377" s="1" t="s">
        <v>279</v>
      </c>
      <c r="F11377" s="8" t="n">
        <f aca="false">Sens!F11226-base_fy-v_off</f>
        <v>0.747945205479452</v>
      </c>
      <c r="G11377" s="8" t="n">
        <f aca="false">Sens!G11226-base_fy-v_off</f>
        <v>1.74794520547945</v>
      </c>
      <c r="H11377" s="8" t="n">
        <f aca="false">Sens!H11226-base_fy-v_off</f>
        <v>2.74794520547945</v>
      </c>
      <c r="I11377" s="8" t="n">
        <f aca="false">Sens!I11226-base_fy-v_off</f>
        <v>3.74794520547945</v>
      </c>
      <c r="J11377" s="8" t="n">
        <f aca="false">Sens!J11226-base_fy-v_off</f>
        <v>4.74794520547945</v>
      </c>
      <c r="K11377" s="8" t="n">
        <f aca="false">Sens!K11226-base_fy-v_off</f>
        <v>5.74794520547945</v>
      </c>
    </row>
    <row r="11378" customFormat="false" ht="15" hidden="false" customHeight="false" outlineLevel="0" collapsed="false">
      <c r="A11378" s="1" t="s">
        <v>1215</v>
      </c>
      <c r="B11378" s="0" t="s">
        <v>229</v>
      </c>
      <c r="F11378" s="15" t="n">
        <f aca="false">1/(1+wacc)^Sens!F11376</f>
        <v>0.964022703286649</v>
      </c>
      <c r="G11378" s="15" t="n">
        <f aca="false">1/(1+wacc)^Sens!G11376</f>
        <v>0.884910302296739</v>
      </c>
      <c r="H11378" s="15" t="n">
        <f aca="false">1/(1+wacc)^Sens!H11376</f>
        <v>0.802322009770358</v>
      </c>
      <c r="I11378" s="15" t="n">
        <f aca="false">1/(1+wacc)^Sens!I11376</f>
        <v>0.727441646561469</v>
      </c>
      <c r="J11378" s="15" t="n">
        <f aca="false">1/(1+wacc)^Sens!J11376</f>
        <v>0.659549834988973</v>
      </c>
      <c r="K11378" s="15" t="n">
        <f aca="false">1/(1+wacc)^Sens!K11376</f>
        <v>0.597994336576966</v>
      </c>
    </row>
    <row r="11379" customFormat="false" ht="17.15" hidden="false" customHeight="false" outlineLevel="0" collapsed="false">
      <c r="A11379" s="1" t="s">
        <v>1216</v>
      </c>
      <c r="B11379" s="0" t="s">
        <v>98</v>
      </c>
      <c r="F11379" s="6" t="n">
        <f aca="false">Q!$I$35-Q!$I$39-Q!$I$43</f>
        <v>9.666</v>
      </c>
      <c r="L11379" s="12" t="s">
        <v>1217</v>
      </c>
    </row>
    <row r="11380" customFormat="false" ht="17.15" hidden="false" customHeight="false" outlineLevel="0" collapsed="false">
      <c r="A11380" s="1" t="s">
        <v>1218</v>
      </c>
      <c r="B11380" s="0" t="s">
        <v>98</v>
      </c>
      <c r="F11380" s="6" t="n">
        <f aca="false">Sens!F11351-Sens!F11348-Sens!F11355+Sens!F11333*(1-tax_f)*(1-v_off)-Sens!F11379</f>
        <v>-6.08724325840502</v>
      </c>
      <c r="G11380" s="6" t="n">
        <f aca="false">Sens!G11351-Sens!G11348-Sens!G11355+Sens!G11333*(1-tax_f)</f>
        <v>19.0719077510989</v>
      </c>
      <c r="H11380" s="6" t="n">
        <f aca="false">Sens!H11351-Sens!H11348-Sens!H11355+Sens!H11333*(1-tax_f)</f>
        <v>56.0712788277273</v>
      </c>
      <c r="I11380" s="6" t="n">
        <f aca="false">Sens!I11351-Sens!I11348-Sens!I11355+Sens!I11333*(1-tax_f)</f>
        <v>128.181576227203</v>
      </c>
      <c r="J11380" s="6" t="n">
        <f aca="false">Sens!J11351-Sens!J11348-Sens!J11355+Sens!J11333*(1-tax_f)</f>
        <v>202.426164771473</v>
      </c>
      <c r="K11380" s="6" t="n">
        <f aca="false">Sens!K11351-Sens!K11348-Sens!K11355+Sens!K11333*(1-tax_f)</f>
        <v>238.265635140656</v>
      </c>
      <c r="L11380" s="1" t="s">
        <v>1219</v>
      </c>
    </row>
    <row r="11381" customFormat="false" ht="15" hidden="false" customHeight="false" outlineLevel="0" collapsed="false">
      <c r="A11381" s="1" t="s">
        <v>1220</v>
      </c>
      <c r="B11381" s="0" t="s">
        <v>98</v>
      </c>
      <c r="F11381" s="6" t="n">
        <f aca="false">Sens!F11380*Sens!F11378</f>
        <v>-5.86824070153103</v>
      </c>
      <c r="G11381" s="6" t="n">
        <f aca="false">Sens!G11380*Sens!G11378</f>
        <v>16.8769276534004</v>
      </c>
      <c r="H11381" s="6" t="n">
        <f aca="false">Sens!H11380*Sens!H11378</f>
        <v>44.9872211194563</v>
      </c>
      <c r="I11381" s="6" t="n">
        <f aca="false">Sens!I11380*Sens!I11378</f>
        <v>93.2446168695607</v>
      </c>
      <c r="J11381" s="6" t="n">
        <f aca="false">Sens!J11380*Sens!J11378</f>
        <v>133.510143572476</v>
      </c>
      <c r="K11381" s="6" t="n">
        <f aca="false">Sens!K11380*Sens!K11378</f>
        <v>142.481500415026</v>
      </c>
    </row>
    <row r="11382" customFormat="false" ht="17.15" hidden="false" customHeight="false" outlineLevel="0" collapsed="false">
      <c r="A11382" s="1" t="s">
        <v>1221</v>
      </c>
      <c r="B11382" s="0" t="s">
        <v>98</v>
      </c>
      <c r="C11382" s="6" t="n">
        <f aca="false">SUM(Sens!F11381:K11381)</f>
        <v>425.232168928388</v>
      </c>
    </row>
    <row r="11383" customFormat="false" ht="17.15" hidden="false" customHeight="false" outlineLevel="0" collapsed="false">
      <c r="A11383" s="1" t="s">
        <v>1222</v>
      </c>
      <c r="B11383" s="0" t="s">
        <v>98</v>
      </c>
      <c r="C11383" s="6" t="n">
        <f aca="false">Sens!K11319*(1+g_tv)*(1-tax_f)</f>
        <v>248.112981308936</v>
      </c>
    </row>
    <row r="11384" customFormat="false" ht="17.15" hidden="false" customHeight="false" outlineLevel="0" collapsed="false">
      <c r="A11384" s="1" t="s">
        <v>1223</v>
      </c>
      <c r="B11384" s="0" t="s">
        <v>98</v>
      </c>
      <c r="C11384" s="6" t="n">
        <f aca="false">Sens!$C$11383*(1-g_tv/(wacc+ronic_prem))</f>
        <v>175.802548537737</v>
      </c>
    </row>
    <row r="11385" customFormat="false" ht="17.15" hidden="false" customHeight="false" outlineLevel="0" collapsed="false">
      <c r="A11385" s="1" t="s">
        <v>1224</v>
      </c>
      <c r="B11385" s="0" t="s">
        <v>98</v>
      </c>
      <c r="C11385" s="6" t="n">
        <f aca="false">Sens!$C$11384/(wacc-g_tv)</f>
        <v>2410.34775903999</v>
      </c>
    </row>
    <row r="11386" customFormat="false" ht="15" hidden="false" customHeight="false" outlineLevel="0" collapsed="false">
      <c r="A11386" s="1" t="s">
        <v>1225</v>
      </c>
      <c r="B11386" s="0" t="s">
        <v>98</v>
      </c>
      <c r="C11386" s="6" t="n">
        <f aca="false">Sens!$C$11385/(1+wacc)^Sens!K11377</f>
        <v>1372.46571532327</v>
      </c>
    </row>
    <row r="11387" customFormat="false" ht="17.15" hidden="false" customHeight="false" outlineLevel="0" collapsed="false">
      <c r="A11387" s="0" t="s">
        <v>1226</v>
      </c>
      <c r="B11387" s="0" t="s">
        <v>98</v>
      </c>
      <c r="C11387" s="6" t="n">
        <f aca="false">Sens!$C$11382+Sens!$C$11386</f>
        <v>1797.69788425166</v>
      </c>
    </row>
    <row r="11388" customFormat="false" ht="15" hidden="false" customHeight="false" outlineLevel="0" collapsed="false">
      <c r="A11388" s="1" t="s">
        <v>1141</v>
      </c>
      <c r="B11388" s="0" t="s">
        <v>168</v>
      </c>
      <c r="C11388" s="7" t="n">
        <f aca="false">Sens!$C$11386/Sens!$C$11387</f>
        <v>0.763457379210633</v>
      </c>
    </row>
    <row r="11389" customFormat="false" ht="17.15" hidden="false" customHeight="false" outlineLevel="0" collapsed="false">
      <c r="A11389" s="1" t="s">
        <v>1227</v>
      </c>
      <c r="B11389" s="0" t="s">
        <v>98</v>
      </c>
      <c r="C11389" s="6" t="n">
        <f aca="false">Sens!$C$11387+cash_val-debt_val-fl_val+oai_v</f>
        <v>1913.54888425166</v>
      </c>
    </row>
    <row r="11390" customFormat="false" ht="17.15" hidden="false" customHeight="false" outlineLevel="0" collapsed="false">
      <c r="A11390" s="0" t="s">
        <v>1149</v>
      </c>
      <c r="B11390" s="0" t="s">
        <v>75</v>
      </c>
      <c r="C11390" s="5" t="n">
        <f aca="false">Sens!$C$11389/shd_val</f>
        <v>256.990180533395</v>
      </c>
    </row>
    <row r="11391" customFormat="false" ht="15" hidden="false" customHeight="false" outlineLevel="0" collapsed="false">
      <c r="A11391" s="1" t="s">
        <v>1228</v>
      </c>
      <c r="B11391" s="0" t="s">
        <v>75</v>
      </c>
      <c r="C11391" s="8" t="n">
        <f aca="false">div_rem27+Sens!G11359*roll_div_q/q_per_yr</f>
        <v>3.9795</v>
      </c>
    </row>
    <row r="11392" customFormat="false" ht="17.15" hidden="false" customHeight="false" outlineLevel="0" collapsed="false">
      <c r="A11392" s="0" t="s">
        <v>1229</v>
      </c>
      <c r="B11392" s="0" t="s">
        <v>75</v>
      </c>
      <c r="C11392" s="5" t="n">
        <f aca="false">Sens!$C$11390*(1+wacc)^t_roll-Sens!$C$11391</f>
        <v>281.679428475998</v>
      </c>
    </row>
    <row r="11393" customFormat="false" ht="17.15" hidden="false" customHeight="false" outlineLevel="0" collapsed="false">
      <c r="A11393" s="1" t="s">
        <v>1230</v>
      </c>
      <c r="B11393" s="0" t="s">
        <v>168</v>
      </c>
      <c r="F11393" s="7" t="n">
        <f aca="false">Sens!F11345/(Sens!F11290-Sens!F11245)</f>
        <v>0.0686607096578085</v>
      </c>
      <c r="G11393" s="7" t="n">
        <f aca="false">Sens!G11345/(Sens!G11290-Sens!G11245)</f>
        <v>0.066257012479178</v>
      </c>
      <c r="H11393" s="7" t="n">
        <f aca="false">Sens!H11345/(Sens!H11290-Sens!H11245)</f>
        <v>0.0650255211457179</v>
      </c>
      <c r="I11393" s="7" t="n">
        <f aca="false">Sens!I11345/(Sens!I11290-Sens!I11245)</f>
        <v>0.0648267389821538</v>
      </c>
      <c r="J11393" s="7" t="n">
        <f aca="false">Sens!J11345/(Sens!J11290-Sens!J11245)</f>
        <v>0.0654477490593469</v>
      </c>
      <c r="K11393" s="7" t="n">
        <f aca="false">Sens!K11345/(Sens!K11290-Sens!K11245)</f>
        <v>0.0666514637172468</v>
      </c>
    </row>
    <row r="11394" customFormat="false" ht="17.15" hidden="false" customHeight="false" outlineLevel="0" collapsed="false">
      <c r="A11394" s="0" t="s">
        <v>1231</v>
      </c>
      <c r="B11394" s="0" t="s">
        <v>98</v>
      </c>
      <c r="F11394" s="6" t="n">
        <f aca="false">Sens!F11275*(al_m365+Sens!F11393+sbc_r)</f>
        <v>82.9165626444723</v>
      </c>
      <c r="G11394" s="6" t="n">
        <f aca="false">Sens!G11275*(al_m365+Sens!G11393+sbc_r)</f>
        <v>93.2993462005974</v>
      </c>
      <c r="H11394" s="6" t="n">
        <f aca="false">Sens!H11275*(al_m365+Sens!H11393+sbc_r)</f>
        <v>103.839668053921</v>
      </c>
      <c r="I11394" s="6" t="n">
        <f aca="false">Sens!I11275*(al_m365+Sens!I11393+sbc_r)</f>
        <v>113.860198214374</v>
      </c>
      <c r="J11394" s="6" t="n">
        <f aca="false">Sens!J11275*(al_m365+Sens!J11393+sbc_r)</f>
        <v>123.170543768794</v>
      </c>
      <c r="K11394" s="6" t="n">
        <f aca="false">Sens!K11275*(al_m365+Sens!K11393+sbc_r)</f>
        <v>132.076281339252</v>
      </c>
      <c r="L11394" s="12" t="s">
        <v>1232</v>
      </c>
    </row>
    <row r="11395" customFormat="false" ht="17.15" hidden="false" customHeight="false" outlineLevel="0" collapsed="false">
      <c r="A11395" s="0" t="s">
        <v>1233</v>
      </c>
      <c r="B11395" s="0" t="s">
        <v>98</v>
      </c>
      <c r="F11395" s="6" t="n">
        <f aca="false">Sens!F11276*(al_lic+Sens!F11393+sbc_r)</f>
        <v>32.8593449893767</v>
      </c>
      <c r="G11395" s="6" t="n">
        <f aca="false">Sens!G11276*(al_lic+Sens!G11393+sbc_r)</f>
        <v>34.1545773184132</v>
      </c>
      <c r="H11395" s="6" t="n">
        <f aca="false">Sens!H11276*(al_lic+Sens!H11393+sbc_r)</f>
        <v>35.3589548258426</v>
      </c>
      <c r="I11395" s="6" t="n">
        <f aca="false">Sens!I11276*(al_lic+Sens!I11393+sbc_r)</f>
        <v>36.4526664723759</v>
      </c>
      <c r="J11395" s="6" t="n">
        <f aca="false">Sens!J11276*(al_lic+Sens!J11393+sbc_r)</f>
        <v>37.4125899415613</v>
      </c>
      <c r="K11395" s="6" t="n">
        <f aca="false">Sens!K11276*(al_lic+Sens!K11393+sbc_r)</f>
        <v>38.2147032913543</v>
      </c>
    </row>
    <row r="11396" customFormat="false" ht="17.15" hidden="false" customHeight="false" outlineLevel="0" collapsed="false">
      <c r="A11396" s="0" t="s">
        <v>1234</v>
      </c>
      <c r="B11396" s="0" t="s">
        <v>98</v>
      </c>
      <c r="F11396" s="6" t="n">
        <f aca="false">Sens!F11278*(al_ind+Sens!F11393+sbc_r)</f>
        <v>9.06133516030267</v>
      </c>
      <c r="G11396" s="6" t="n">
        <f aca="false">Sens!G11278*(al_ind+Sens!G11393+sbc_r)</f>
        <v>9.84652562923094</v>
      </c>
      <c r="H11396" s="6" t="n">
        <f aca="false">Sens!H11278*(al_ind+Sens!H11393+sbc_r)</f>
        <v>10.6738848284889</v>
      </c>
      <c r="I11396" s="6" t="n">
        <f aca="false">Sens!I11278*(al_ind+Sens!I11393+sbc_r)</f>
        <v>11.5387650708923</v>
      </c>
      <c r="J11396" s="6" t="n">
        <f aca="false">Sens!J11278*(al_ind+Sens!J11393+sbc_r)</f>
        <v>12.4323499329362</v>
      </c>
      <c r="K11396" s="6" t="n">
        <f aca="false">Sens!K11278*(al_ind+Sens!K11393+sbc_r)</f>
        <v>13.3423645428104</v>
      </c>
    </row>
    <row r="11397" customFormat="false" ht="17.15" hidden="false" customHeight="false" outlineLevel="0" collapsed="false">
      <c r="A11397" s="0" t="s">
        <v>1235</v>
      </c>
      <c r="B11397" s="0" t="s">
        <v>98</v>
      </c>
      <c r="F11397" s="6" t="n">
        <f aca="false">Sens!F11280*(al_fro+Sens!F11393+sbc_r)</f>
        <v>3.55438965411656</v>
      </c>
      <c r="G11397" s="6" t="n">
        <f aca="false">Sens!G11280*(al_fro+Sens!G11393+sbc_r)</f>
        <v>3.76756928744116</v>
      </c>
      <c r="H11397" s="6" t="n">
        <f aca="false">Sens!H11280*(al_fro+Sens!H11393+sbc_r)</f>
        <v>4.00854472166037</v>
      </c>
      <c r="I11397" s="6" t="n">
        <f aca="false">Sens!I11280*(al_fro+Sens!I11393+sbc_r)</f>
        <v>4.27958923282615</v>
      </c>
      <c r="J11397" s="6" t="n">
        <f aca="false">Sens!J11280*(al_fro+Sens!J11393+sbc_r)</f>
        <v>4.58225380641574</v>
      </c>
      <c r="K11397" s="6" t="n">
        <f aca="false">Sens!K11280*(al_fro+Sens!K11393+sbc_r)</f>
        <v>4.91766247271647</v>
      </c>
    </row>
    <row r="11398" customFormat="false" ht="17.15" hidden="false" customHeight="false" outlineLevel="0" collapsed="false">
      <c r="A11398" s="0" t="s">
        <v>1236</v>
      </c>
      <c r="B11398" s="0" t="s">
        <v>98</v>
      </c>
      <c r="F11398" s="6" t="n">
        <f aca="false">Sens!F11283*(al_srch+Sens!F11393+sbc_r)</f>
        <v>11.2285810406668</v>
      </c>
      <c r="G11398" s="6" t="n">
        <f aca="false">Sens!G11283*(al_srch+Sens!G11393+sbc_r)</f>
        <v>12.4283171824164</v>
      </c>
      <c r="H11398" s="6" t="n">
        <f aca="false">Sens!H11283*(al_srch+Sens!H11393+sbc_r)</f>
        <v>13.7543150659667</v>
      </c>
      <c r="I11398" s="6" t="n">
        <f aca="false">Sens!I11283*(al_srch+Sens!I11393+sbc_r)</f>
        <v>15.214642173981</v>
      </c>
      <c r="J11398" s="6" t="n">
        <f aca="false">Sens!J11283*(al_srch+Sens!J11393+sbc_r)</f>
        <v>16.8131393056117</v>
      </c>
      <c r="K11398" s="6" t="n">
        <f aca="false">Sens!K11283*(al_srch+Sens!K11393+sbc_r)</f>
        <v>18.5497173076822</v>
      </c>
    </row>
    <row r="11399" customFormat="false" ht="17.15" hidden="false" customHeight="false" outlineLevel="0" collapsed="false">
      <c r="A11399" s="0" t="s">
        <v>1237</v>
      </c>
      <c r="B11399" s="0" t="s">
        <v>98</v>
      </c>
      <c r="F11399" s="6" t="n">
        <f aca="false">Sens!F11251-Sens!F11252+Sens!F11333</f>
        <v>38.9696429794913</v>
      </c>
      <c r="G11399" s="6" t="n">
        <f aca="false">Sens!G11251-Sens!G11252+Sens!G11333</f>
        <v>69.465497726016</v>
      </c>
      <c r="H11399" s="6" t="n">
        <f aca="false">Sens!H11251-Sens!H11252+Sens!H11333</f>
        <v>96.8147106808268</v>
      </c>
      <c r="I11399" s="6" t="n">
        <f aca="false">Sens!I11251-Sens!I11252+Sens!I11333</f>
        <v>127.654939766446</v>
      </c>
      <c r="J11399" s="6" t="n">
        <f aca="false">Sens!J11251-Sens!J11252+Sens!J11333</f>
        <v>149.308352681229</v>
      </c>
      <c r="K11399" s="6" t="n">
        <f aca="false">Sens!K11251-Sens!K11252+Sens!K11333</f>
        <v>162.731822021841</v>
      </c>
    </row>
    <row r="11400" customFormat="false" ht="17.15" hidden="false" customHeight="false" outlineLevel="0" collapsed="false">
      <c r="A11400" s="0" t="s">
        <v>1238</v>
      </c>
      <c r="B11400" s="0" t="s">
        <v>98</v>
      </c>
      <c r="F11400" s="6" t="n">
        <f aca="false">Sens!F11312+Sens!F11333+Sens!F11263+Sens!F11393*(Sens!F11282-Sens!F11245)+sbc_r*Sens!F11282</f>
        <v>234.795065777865</v>
      </c>
      <c r="G11400" s="6" t="n">
        <f aca="false">Sens!G11312+Sens!G11333+Sens!G11263+Sens!G11393*(Sens!G11282-Sens!G11245)+sbc_r*Sens!G11282</f>
        <v>285.481278390474</v>
      </c>
      <c r="H11400" s="6" t="n">
        <f aca="false">Sens!H11312+Sens!H11333+Sens!H11263+Sens!H11393*(Sens!H11282-Sens!H11245)+sbc_r*Sens!H11282</f>
        <v>338.219424672768</v>
      </c>
      <c r="I11400" s="6" t="n">
        <f aca="false">Sens!I11312+Sens!I11333+Sens!I11263+Sens!I11393*(Sens!I11282-Sens!I11245)+sbc_r*Sens!I11282</f>
        <v>393.817154506998</v>
      </c>
      <c r="J11400" s="6" t="n">
        <f aca="false">Sens!J11312+Sens!J11333+Sens!J11263+Sens!J11393*(Sens!J11282-Sens!J11245)+sbc_r*Sens!J11282</f>
        <v>438.291433966625</v>
      </c>
      <c r="K11400" s="6" t="n">
        <f aca="false">Sens!K11312+Sens!K11333+Sens!K11263+Sens!K11393*(Sens!K11282-Sens!K11245)+sbc_r*Sens!K11282</f>
        <v>472.177382394512</v>
      </c>
    </row>
    <row r="11401" customFormat="false" ht="17.15" hidden="false" customHeight="false" outlineLevel="0" collapsed="false">
      <c r="A11401" s="0" t="s">
        <v>1239</v>
      </c>
      <c r="B11401" s="0" t="s">
        <v>98</v>
      </c>
      <c r="F11401" s="6" t="n">
        <f aca="false">Sens!F11400-Sens!F11394-Sens!F11395-Sens!F11396-Sens!F11397-Sens!F11399</f>
        <v>67.4337903501054</v>
      </c>
      <c r="G11401" s="6" t="n">
        <f aca="false">Sens!G11400-Sens!G11394-Sens!G11395-Sens!G11396-Sens!G11397-Sens!G11399</f>
        <v>74.9477622287751</v>
      </c>
      <c r="H11401" s="6" t="n">
        <f aca="false">Sens!H11400-Sens!H11394-Sens!H11395-Sens!H11396-Sens!H11397-Sens!H11399</f>
        <v>87.523661562028</v>
      </c>
      <c r="I11401" s="6" t="n">
        <f aca="false">Sens!I11400-Sens!I11394-Sens!I11395-Sens!I11396-Sens!I11397-Sens!I11399</f>
        <v>100.030995750084</v>
      </c>
      <c r="J11401" s="6" t="n">
        <f aca="false">Sens!J11400-Sens!J11394-Sens!J11395-Sens!J11396-Sens!J11397-Sens!J11399</f>
        <v>111.385343835689</v>
      </c>
      <c r="K11401" s="6" t="n">
        <f aca="false">Sens!K11400-Sens!K11394-Sens!K11395-Sens!K11396-Sens!K11397-Sens!K11399</f>
        <v>120.894548726538</v>
      </c>
    </row>
    <row r="11402" customFormat="false" ht="17.15" hidden="false" customHeight="false" outlineLevel="0" collapsed="false">
      <c r="A11402" s="0" t="s">
        <v>1240</v>
      </c>
      <c r="B11402" s="0" t="s">
        <v>98</v>
      </c>
      <c r="F11402" s="6" t="n">
        <f aca="false">Sens!F11314+Sens!F11393*Sens!F11289+sbc_r*Sens!F11289</f>
        <v>26.6742808315642</v>
      </c>
      <c r="G11402" s="6" t="n">
        <f aca="false">Sens!G11314+Sens!G11393*Sens!G11289+sbc_r*Sens!G11289</f>
        <v>26.6524150778412</v>
      </c>
      <c r="H11402" s="6" t="n">
        <f aca="false">Sens!H11314+Sens!H11393*Sens!H11289+sbc_r*Sens!H11289</f>
        <v>27.7408102153935</v>
      </c>
      <c r="I11402" s="6" t="n">
        <f aca="false">Sens!I11314+Sens!I11393*Sens!I11289+sbc_r*Sens!I11289</f>
        <v>29.1574847034527</v>
      </c>
      <c r="J11402" s="6" t="n">
        <f aca="false">Sens!J11314+Sens!J11393*Sens!J11289+sbc_r*Sens!J11289</f>
        <v>30.8934543294764</v>
      </c>
      <c r="K11402" s="6" t="n">
        <f aca="false">Sens!K11314+Sens!K11393*Sens!K11289+sbc_r*Sens!K11289</f>
        <v>32.9427872048537</v>
      </c>
    </row>
    <row r="11403" customFormat="false" ht="17.15" hidden="false" customHeight="false" outlineLevel="0" collapsed="false">
      <c r="A11403" s="0" t="s">
        <v>1241</v>
      </c>
      <c r="B11403" s="0" t="s">
        <v>98</v>
      </c>
      <c r="F11403" s="6" t="n">
        <f aca="false">(Sens!F11402-Sens!F11398)*Sens!F11285/(Sens!F11285+Sens!F11287)</f>
        <v>8.72350756508613</v>
      </c>
      <c r="G11403" s="6" t="n">
        <f aca="false">(Sens!G11402-Sens!G11398)*Sens!G11285/(Sens!G11285+Sens!G11287)</f>
        <v>7.89549735483923</v>
      </c>
      <c r="H11403" s="6" t="n">
        <f aca="false">(Sens!H11402-Sens!H11398)*Sens!H11285/(Sens!H11285+Sens!H11287)</f>
        <v>7.66247223209626</v>
      </c>
      <c r="I11403" s="6" t="n">
        <f aca="false">(Sens!I11402-Sens!I11398)*Sens!I11285/(Sens!I11285+Sens!I11287)</f>
        <v>7.57188443998096</v>
      </c>
      <c r="J11403" s="6" t="n">
        <f aca="false">(Sens!J11402-Sens!J11398)*Sens!J11285/(Sens!J11285+Sens!J11287)</f>
        <v>7.61317958779225</v>
      </c>
      <c r="K11403" s="6" t="n">
        <f aca="false">(Sens!K11402-Sens!K11398)*Sens!K11285/(Sens!K11285+Sens!K11287)</f>
        <v>7.78228510946603</v>
      </c>
    </row>
    <row r="11404" customFormat="false" ht="17.15" hidden="false" customHeight="false" outlineLevel="0" collapsed="false">
      <c r="A11404" s="0" t="s">
        <v>1242</v>
      </c>
      <c r="B11404" s="0" t="s">
        <v>98</v>
      </c>
      <c r="F11404" s="6" t="n">
        <f aca="false">Sens!F11402-Sens!F11398-Sens!F11403</f>
        <v>6.72219222581129</v>
      </c>
      <c r="G11404" s="6" t="n">
        <f aca="false">Sens!G11402-Sens!G11398-Sens!G11403</f>
        <v>6.3286005405856</v>
      </c>
      <c r="H11404" s="6" t="n">
        <f aca="false">Sens!H11402-Sens!H11398-Sens!H11403</f>
        <v>6.32402291733057</v>
      </c>
      <c r="I11404" s="6" t="n">
        <f aca="false">Sens!I11402-Sens!I11398-Sens!I11403</f>
        <v>6.37095808949078</v>
      </c>
      <c r="J11404" s="6" t="n">
        <f aca="false">Sens!J11402-Sens!J11398-Sens!J11403</f>
        <v>6.46713543607247</v>
      </c>
      <c r="K11404" s="6" t="n">
        <f aca="false">Sens!K11402-Sens!K11398-Sens!K11403</f>
        <v>6.61078478770548</v>
      </c>
    </row>
    <row r="11405" customFormat="false" ht="17.15" hidden="false" customHeight="false" outlineLevel="0" collapsed="false">
      <c r="A11405" s="0" t="s">
        <v>1243</v>
      </c>
      <c r="B11405" s="0" t="s">
        <v>98</v>
      </c>
      <c r="F11405" s="6" t="n">
        <f aca="false">Sens!F11399-tax_f*(Sens!F11399-Sens!F11263)-Sens!F11260</f>
        <v>-130.362326762856</v>
      </c>
      <c r="G11405" s="6" t="n">
        <f aca="false">Sens!G11399-tax_f*(Sens!G11399-Sens!G11263)-Sens!G11260</f>
        <v>-124.225179337776</v>
      </c>
      <c r="H11405" s="6" t="n">
        <f aca="false">Sens!H11399-tax_f*(Sens!H11399-Sens!H11263)-Sens!H11260</f>
        <v>-101.534217387562</v>
      </c>
      <c r="I11405" s="6" t="n">
        <f aca="false">Sens!I11399-tax_f*(Sens!I11399-Sens!I11263)-Sens!I11260</f>
        <v>-43.6446798695439</v>
      </c>
      <c r="J11405" s="6" t="n">
        <f aca="false">Sens!J11399-tax_f*(Sens!J11399-Sens!J11263)-Sens!J11260</f>
        <v>16.9198855589618</v>
      </c>
      <c r="K11405" s="6" t="n">
        <f aca="false">Sens!K11399-tax_f*(Sens!K11399-Sens!K11263)-Sens!K11260</f>
        <v>39.8251384629271</v>
      </c>
    </row>
    <row r="11406" customFormat="false" ht="17.15" hidden="false" customHeight="false" outlineLevel="0" collapsed="false">
      <c r="A11406" s="0" t="s">
        <v>1244</v>
      </c>
      <c r="B11406" s="0" t="s">
        <v>98</v>
      </c>
      <c r="G11406" s="6" t="n">
        <f aca="false">Sens!G11405/(1+wacc)^(Sens!G11376-Sens!F11377)</f>
        <v>-118.286276192192</v>
      </c>
      <c r="H11406" s="6" t="n">
        <f aca="false">Sens!H11405/(1+wacc)^(Sens!H11376-Sens!F11377)</f>
        <v>-87.6570009910427</v>
      </c>
      <c r="I11406" s="6" t="n">
        <f aca="false">Sens!I11405/(1+wacc)^(Sens!I11376-Sens!F11377)</f>
        <v>-34.1629172979204</v>
      </c>
      <c r="J11406" s="6" t="n">
        <f aca="false">Sens!J11405/(1+wacc)^(Sens!J11376-Sens!F11377)</f>
        <v>12.0079954170053</v>
      </c>
      <c r="K11406" s="6" t="n">
        <f aca="false">Sens!K11405/(1+wacc)^(Sens!K11376-Sens!F11377)</f>
        <v>25.6259421582556</v>
      </c>
      <c r="L11406" s="1" t="s">
        <v>1245</v>
      </c>
    </row>
    <row r="11407" customFormat="false" ht="17.15" hidden="false" customHeight="false" outlineLevel="0" collapsed="false">
      <c r="A11407" s="0" t="s">
        <v>1246</v>
      </c>
      <c r="B11407" s="0" t="s">
        <v>98</v>
      </c>
      <c r="C11407" s="6" t="n">
        <f aca="false">(Sens!K11399-Sens!K11263)*(1-tax_f)*(1+g_tv)*(1-g_tv/(wacc+ronic_prem))/(wacc-g_tv)/(1+wacc)^(Sens!K11377-Sens!F11377)</f>
        <v>96.7148026864948</v>
      </c>
    </row>
    <row r="11408" customFormat="false" ht="17.15" hidden="false" customHeight="false" outlineLevel="0" collapsed="false">
      <c r="A11408" s="1" t="s">
        <v>1247</v>
      </c>
      <c r="B11408" s="0" t="s">
        <v>98</v>
      </c>
      <c r="C11408" s="6" t="n">
        <f aca="false">(SUM(Sens!G11406:K11406)+Sens!$C$11407)*(1+wacc)^(t_roll-Sens!F11377)</f>
        <v>-109.248827617462</v>
      </c>
      <c r="L11408" s="12" t="s">
        <v>1248</v>
      </c>
    </row>
    <row r="11409" customFormat="false" ht="17.15" hidden="false" customHeight="false" outlineLevel="0" collapsed="false">
      <c r="A11409" s="1" t="s">
        <v>1249</v>
      </c>
      <c r="B11409" s="0" t="s">
        <v>98</v>
      </c>
      <c r="C11409" s="6" t="n">
        <f aca="false">(w_ntm28*Sens!G11251+(1-w_ntm28)*Sens!H11251)*m_ai</f>
        <v>344.355829012336</v>
      </c>
    </row>
    <row r="11410" customFormat="false" ht="17.15" hidden="false" customHeight="false" outlineLevel="0" collapsed="false">
      <c r="A11410" s="1" t="s">
        <v>1250</v>
      </c>
      <c r="B11410" s="0" t="s">
        <v>98</v>
      </c>
      <c r="C11410" s="6" t="n">
        <f aca="false">(w_ntm28*Sens!G11401+(1-w_ntm28)*Sens!H11401)*m_cloud</f>
        <v>1092.91744784898</v>
      </c>
    </row>
    <row r="11411" customFormat="false" ht="17.15" hidden="false" customHeight="false" outlineLevel="0" collapsed="false">
      <c r="A11411" s="1" t="s">
        <v>1251</v>
      </c>
      <c r="B11411" s="0" t="s">
        <v>98</v>
      </c>
      <c r="C11411" s="6" t="n">
        <f aca="false">(w_ntm28*Sens!G11394+(1-w_ntm28)*Sens!H11394)*m_sw</f>
        <v>1045.05830094428</v>
      </c>
    </row>
    <row r="11412" customFormat="false" ht="17.15" hidden="false" customHeight="false" outlineLevel="0" collapsed="false">
      <c r="A11412" s="1" t="s">
        <v>1252</v>
      </c>
      <c r="B11412" s="0" t="s">
        <v>98</v>
      </c>
      <c r="C11412" s="6" t="n">
        <f aca="false">(w_ntm28*Sens!G11395+(1-w_ntm28)*Sens!H11395)*m_sw</f>
        <v>373.145800106338</v>
      </c>
    </row>
    <row r="11413" customFormat="false" ht="17.15" hidden="false" customHeight="false" outlineLevel="0" collapsed="false">
      <c r="A11413" s="1" t="s">
        <v>1253</v>
      </c>
      <c r="B11413" s="0" t="s">
        <v>98</v>
      </c>
      <c r="C11413" s="6" t="n">
        <f aca="false">(w_ntm28*Sens!G11396+(1-w_ntm28)*Sens!H11396)*m_sw</f>
        <v>109.280168637443</v>
      </c>
    </row>
    <row r="11414" customFormat="false" ht="17.15" hidden="false" customHeight="false" outlineLevel="0" collapsed="false">
      <c r="A11414" s="1" t="s">
        <v>1254</v>
      </c>
      <c r="B11414" s="0" t="s">
        <v>98</v>
      </c>
      <c r="C11414" s="6" t="n">
        <f aca="false">(w_ntm28*Sens!G11397+(1-w_ntm28)*Sens!H11397)*m_sw</f>
        <v>41.54537614751</v>
      </c>
    </row>
    <row r="11415" customFormat="false" ht="17.15" hidden="false" customHeight="false" outlineLevel="0" collapsed="false">
      <c r="A11415" s="1" t="s">
        <v>1255</v>
      </c>
      <c r="B11415" s="0" t="s">
        <v>98</v>
      </c>
      <c r="C11415" s="6" t="n">
        <f aca="false">(w_ntm28*Sens!G11398+(1-w_ntm28)*Sens!H11398)*m_ads</f>
        <v>117.193424014819</v>
      </c>
    </row>
    <row r="11416" customFormat="false" ht="17.15" hidden="false" customHeight="false" outlineLevel="0" collapsed="false">
      <c r="A11416" s="1" t="s">
        <v>1256</v>
      </c>
      <c r="B11416" s="0" t="s">
        <v>98</v>
      </c>
      <c r="C11416" s="6" t="n">
        <f aca="false">(w_ntm28*Sens!G11403+(1-w_ntm28)*Sens!H11403)*m_game</f>
        <v>98.7525346709915</v>
      </c>
    </row>
    <row r="11417" customFormat="false" ht="17.15" hidden="false" customHeight="false" outlineLevel="0" collapsed="false">
      <c r="A11417" s="1" t="s">
        <v>1257</v>
      </c>
      <c r="B11417" s="0" t="s">
        <v>98</v>
      </c>
      <c r="C11417" s="6" t="n">
        <f aca="false">(w_ntm28*Sens!G11404+(1-w_ntm28)*Sens!H11404)*m_pc</f>
        <v>91.5530728770133</v>
      </c>
    </row>
    <row r="11418" customFormat="false" ht="17.15" hidden="false" customHeight="false" outlineLevel="0" collapsed="false">
      <c r="A11418" s="1" t="s">
        <v>1258</v>
      </c>
      <c r="B11418" s="0" t="s">
        <v>98</v>
      </c>
      <c r="C11418" s="6" t="n">
        <f aca="false">Sens!$C$11408+Sens!$C$11410+Sens!$C$11411+Sens!$C$11412+Sens!$C$11413+Sens!$C$11414+Sens!$C$11415+Sens!$C$11416+Sens!$C$11417</f>
        <v>2860.19729762991</v>
      </c>
    </row>
    <row r="11419" customFormat="false" ht="17.15" hidden="false" customHeight="false" outlineLevel="0" collapsed="false">
      <c r="A11419" s="1" t="s">
        <v>1259</v>
      </c>
      <c r="B11419" s="0" t="s">
        <v>98</v>
      </c>
      <c r="C11419" s="6" t="n">
        <f aca="false">(Sens!G11380-Sens!G11405)*t_stub</f>
        <v>47.5039658568598</v>
      </c>
      <c r="L11419" s="1" t="s">
        <v>1260</v>
      </c>
    </row>
    <row r="11420" customFormat="false" ht="17.15" hidden="false" customHeight="false" outlineLevel="0" collapsed="false">
      <c r="A11420" s="1" t="s">
        <v>1169</v>
      </c>
      <c r="B11420" s="0" t="s">
        <v>98</v>
      </c>
      <c r="C11420" s="6" t="n">
        <f aca="false">Sens!F11367+oai_v-Sens!F11356+Sens!$C$11419</f>
        <v>158.594433954812</v>
      </c>
      <c r="L11420" s="1" t="s">
        <v>1261</v>
      </c>
    </row>
    <row r="11421" customFormat="false" ht="17.15" hidden="false" customHeight="false" outlineLevel="0" collapsed="false">
      <c r="A11421" s="1" t="s">
        <v>1262</v>
      </c>
      <c r="B11421" s="0" t="s">
        <v>75</v>
      </c>
      <c r="C11421" s="5" t="n">
        <f aca="false">(Sens!$C$11418+Sens!$C$11420)/(Sens!F11369+dil_gap)-Sens!G11359*roll_div_q/q_per_yr</f>
        <v>401.680848397108</v>
      </c>
      <c r="L11421" s="1" t="s">
        <v>1263</v>
      </c>
    </row>
    <row r="11422" customFormat="false" ht="17.15" hidden="false" customHeight="false" outlineLevel="0" collapsed="false">
      <c r="A11422" s="1" t="s">
        <v>1264</v>
      </c>
      <c r="B11422" s="0" t="s">
        <v>75</v>
      </c>
      <c r="C11422" s="5" t="n">
        <f aca="false">w_dcf*Sens!$C$11392+(1-w_dcf)*Sens!$C$11421</f>
        <v>341.680138436553</v>
      </c>
    </row>
    <row r="11423" customFormat="false" ht="17.15" hidden="false" customHeight="false" outlineLevel="0" collapsed="false">
      <c r="A11423" s="3" t="s">
        <v>1765</v>
      </c>
    </row>
    <row r="11424" customFormat="false" ht="15" hidden="false" customHeight="false" outlineLevel="0" collapsed="false">
      <c r="A11424" s="4" t="s">
        <v>43</v>
      </c>
      <c r="B11424" s="4" t="s">
        <v>65</v>
      </c>
      <c r="C11424" s="23" t="s">
        <v>938</v>
      </c>
      <c r="D11424" s="23" t="s">
        <v>939</v>
      </c>
      <c r="E11424" s="23" t="s">
        <v>940</v>
      </c>
      <c r="F11424" s="23" t="s">
        <v>941</v>
      </c>
      <c r="G11424" s="23" t="s">
        <v>942</v>
      </c>
      <c r="H11424" s="23" t="s">
        <v>943</v>
      </c>
      <c r="I11424" s="23" t="s">
        <v>944</v>
      </c>
      <c r="J11424" s="23" t="s">
        <v>945</v>
      </c>
      <c r="K11424" s="23" t="s">
        <v>946</v>
      </c>
      <c r="L11424" s="4" t="s">
        <v>47</v>
      </c>
    </row>
    <row r="11425" customFormat="false" ht="17.15" hidden="false" customHeight="false" outlineLevel="0" collapsed="false">
      <c r="A11425" s="1" t="s">
        <v>947</v>
      </c>
      <c r="B11425" s="1" t="s">
        <v>279</v>
      </c>
      <c r="C11425" s="21" t="n">
        <v>2024</v>
      </c>
      <c r="D11425" s="21" t="n">
        <v>2025</v>
      </c>
      <c r="E11425" s="21" t="n">
        <v>2026</v>
      </c>
      <c r="F11425" s="21" t="n">
        <v>2027</v>
      </c>
      <c r="G11425" s="21" t="n">
        <v>2028</v>
      </c>
      <c r="H11425" s="21" t="n">
        <v>2029</v>
      </c>
      <c r="I11425" s="21" t="n">
        <v>2030</v>
      </c>
      <c r="J11425" s="21" t="n">
        <v>2031</v>
      </c>
      <c r="K11425" s="21" t="n">
        <v>2032</v>
      </c>
    </row>
    <row r="11426" customFormat="false" ht="17.15" hidden="false" customHeight="false" outlineLevel="0" collapsed="false">
      <c r="A11426" s="1" t="s">
        <v>948</v>
      </c>
      <c r="B11426" s="0" t="s">
        <v>456</v>
      </c>
      <c r="F11426" s="30" t="n">
        <f aca="false">pace</f>
        <v>2726.5351</v>
      </c>
      <c r="G11426" s="30" t="n">
        <f aca="false">pace</f>
        <v>2726.5351</v>
      </c>
      <c r="H11426" s="30" t="n">
        <f aca="false">pace</f>
        <v>2726.5351</v>
      </c>
      <c r="I11426" s="30" t="n">
        <f aca="false">pace+(g_tv*Sens!H11427-pace)*MIN(1,(Sens!I11425-pace_y0)/(pace_y1-pace_y0))</f>
        <v>1931.98611966667</v>
      </c>
      <c r="J11426" s="30" t="n">
        <f aca="false">pace+(g_tv*Sens!I11427-pace)*MIN(1,(Sens!J11425-pace_y0)/(pace_y1-pace_y0))</f>
        <v>1176.07686172667</v>
      </c>
      <c r="K11426" s="30" t="n">
        <f aca="false">pace+(g_tv*Sens!J11427-pace)*MIN(1,(Sens!K11425-pace_y0)/(pace_y1-pace_y0))</f>
        <v>436.1300484418</v>
      </c>
      <c r="L11426" s="12" t="s">
        <v>949</v>
      </c>
    </row>
    <row r="11427" customFormat="false" ht="17.15" hidden="false" customHeight="false" outlineLevel="0" collapsed="false">
      <c r="A11427" s="1" t="s">
        <v>950</v>
      </c>
      <c r="B11427" s="0" t="s">
        <v>456</v>
      </c>
      <c r="C11427" s="30" t="n">
        <f aca="false">mw_ext_24</f>
        <v>640</v>
      </c>
      <c r="D11427" s="30" t="n">
        <f aca="false">mw_ext_25</f>
        <v>1630</v>
      </c>
      <c r="E11427" s="30" t="n">
        <f aca="false">mw_ext_26</f>
        <v>3250</v>
      </c>
      <c r="F11427" s="30" t="n">
        <f aca="false">Sens!E11427+Sens!F11426</f>
        <v>5976.5351</v>
      </c>
      <c r="G11427" s="30" t="n">
        <f aca="false">Sens!F11427+Sens!G11426</f>
        <v>8703.0702</v>
      </c>
      <c r="H11427" s="30" t="n">
        <f aca="false">Sens!G11427+Sens!H11426</f>
        <v>11429.6053</v>
      </c>
      <c r="I11427" s="30" t="n">
        <f aca="false">Sens!H11427+Sens!I11426</f>
        <v>13361.5914196667</v>
      </c>
      <c r="J11427" s="30" t="n">
        <f aca="false">Sens!I11427+Sens!J11426</f>
        <v>14537.6682813933</v>
      </c>
      <c r="K11427" s="30" t="n">
        <f aca="false">Sens!J11427+Sens!K11426</f>
        <v>14973.7983298351</v>
      </c>
      <c r="L11427" s="1" t="s">
        <v>951</v>
      </c>
    </row>
    <row r="11428" customFormat="false" ht="17.15" hidden="false" customHeight="false" outlineLevel="0" collapsed="false">
      <c r="A11428" s="1" t="s">
        <v>952</v>
      </c>
      <c r="B11428" s="0" t="s">
        <v>456</v>
      </c>
      <c r="C11428" s="30" t="n">
        <f aca="false">rent_ext_24</f>
        <v>150</v>
      </c>
      <c r="D11428" s="30" t="n">
        <f aca="false">rent_ext_25</f>
        <v>400</v>
      </c>
      <c r="E11428" s="30" t="n">
        <f aca="false">rent_ext_26</f>
        <v>550</v>
      </c>
      <c r="F11428" s="30" t="n">
        <f aca="false">rent_ext_f</f>
        <v>756</v>
      </c>
      <c r="G11428" s="30" t="n">
        <f aca="false">rent_ext_f</f>
        <v>756</v>
      </c>
      <c r="H11428" s="30" t="n">
        <f aca="false">rent_ext_f</f>
        <v>756</v>
      </c>
      <c r="I11428" s="30" t="n">
        <f aca="false">rent_ext_f</f>
        <v>756</v>
      </c>
      <c r="J11428" s="30" t="n">
        <f aca="false">rent_ext_f</f>
        <v>756</v>
      </c>
      <c r="K11428" s="30" t="n">
        <f aca="false">rent_ext_f</f>
        <v>756</v>
      </c>
      <c r="L11428" s="1" t="s">
        <v>953</v>
      </c>
    </row>
    <row r="11429" customFormat="false" ht="17.15" hidden="false" customHeight="false" outlineLevel="0" collapsed="false">
      <c r="A11429" s="1" t="s">
        <v>954</v>
      </c>
      <c r="B11429" s="0" t="s">
        <v>456</v>
      </c>
      <c r="C11429" s="30" t="n">
        <f aca="false">Sens!C11427-Sens!C11428</f>
        <v>490</v>
      </c>
      <c r="D11429" s="30" t="n">
        <f aca="false">Sens!D11427-Sens!D11428</f>
        <v>1230</v>
      </c>
      <c r="E11429" s="30" t="n">
        <f aca="false">Sens!E11427-Sens!E11428</f>
        <v>2700</v>
      </c>
      <c r="F11429" s="30" t="n">
        <f aca="false">Sens!F11427-Sens!F11428</f>
        <v>5220.5351</v>
      </c>
      <c r="G11429" s="30" t="n">
        <f aca="false">Sens!G11427-Sens!G11428</f>
        <v>7947.0702</v>
      </c>
      <c r="H11429" s="30" t="n">
        <f aca="false">Sens!H11427-Sens!H11428</f>
        <v>10673.6053</v>
      </c>
      <c r="I11429" s="30" t="n">
        <f aca="false">Sens!I11427-Sens!I11428</f>
        <v>12605.5914196667</v>
      </c>
      <c r="J11429" s="30" t="n">
        <f aca="false">Sens!J11427-Sens!J11428</f>
        <v>13781.6682813933</v>
      </c>
      <c r="K11429" s="30" t="n">
        <f aca="false">Sens!K11427-Sens!K11428</f>
        <v>14217.7983298351</v>
      </c>
    </row>
    <row r="11430" customFormat="false" ht="17.15" hidden="false" customHeight="false" outlineLevel="0" collapsed="false">
      <c r="A11430" s="1" t="s">
        <v>955</v>
      </c>
      <c r="B11430" s="0" t="s">
        <v>456</v>
      </c>
      <c r="C11430" s="30" t="n">
        <f aca="false">Sens!C11429/ext_sh</f>
        <v>816.666666666667</v>
      </c>
      <c r="D11430" s="30" t="n">
        <f aca="false">Sens!D11429/ext_sh</f>
        <v>2050</v>
      </c>
      <c r="E11430" s="30" t="n">
        <f aca="false">Sens!E11429/ext_sh</f>
        <v>4500</v>
      </c>
      <c r="F11430" s="30" t="n">
        <f aca="false">Sens!F11429/ext_sh</f>
        <v>8700.89183333333</v>
      </c>
      <c r="G11430" s="30" t="n">
        <f aca="false">Sens!G11429/ext_sh</f>
        <v>13245.117</v>
      </c>
      <c r="H11430" s="30" t="n">
        <f aca="false">Sens!H11429/ext_sh</f>
        <v>17789.3421666667</v>
      </c>
      <c r="I11430" s="30" t="n">
        <f aca="false">Sens!I11429/ext_sh</f>
        <v>21009.3190327778</v>
      </c>
      <c r="J11430" s="30" t="n">
        <f aca="false">Sens!J11429/ext_sh</f>
        <v>22969.4471356556</v>
      </c>
      <c r="K11430" s="30" t="n">
        <f aca="false">Sens!K11429/ext_sh</f>
        <v>23696.3305497252</v>
      </c>
      <c r="L11430" s="1" t="s">
        <v>956</v>
      </c>
    </row>
    <row r="11431" customFormat="false" ht="17.15" hidden="false" customHeight="false" outlineLevel="0" collapsed="false">
      <c r="A11431" s="1" t="s">
        <v>957</v>
      </c>
      <c r="B11431" s="0" t="s">
        <v>456</v>
      </c>
      <c r="C11431" s="30" t="n">
        <f aca="false">Sens!C11430-Sens!C11429</f>
        <v>326.666666666667</v>
      </c>
      <c r="D11431" s="30" t="n">
        <f aca="false">Sens!D11430-Sens!D11429</f>
        <v>820</v>
      </c>
      <c r="E11431" s="30" t="n">
        <f aca="false">Sens!E11430-Sens!E11429</f>
        <v>1800</v>
      </c>
      <c r="F11431" s="30" t="n">
        <f aca="false">Sens!F11430-Sens!F11429</f>
        <v>3480.35673333333</v>
      </c>
      <c r="G11431" s="30" t="n">
        <f aca="false">Sens!G11430-Sens!G11429</f>
        <v>5298.0468</v>
      </c>
      <c r="H11431" s="30" t="n">
        <f aca="false">Sens!H11430-Sens!H11429</f>
        <v>7115.73686666667</v>
      </c>
      <c r="I11431" s="30" t="n">
        <f aca="false">Sens!I11430-Sens!I11429</f>
        <v>8403.72761311111</v>
      </c>
      <c r="J11431" s="30" t="n">
        <f aca="false">Sens!J11430-Sens!J11429</f>
        <v>9187.77885426222</v>
      </c>
      <c r="K11431" s="30" t="n">
        <f aca="false">Sens!K11430-Sens!K11429</f>
        <v>9478.53221989009</v>
      </c>
    </row>
    <row r="11432" customFormat="false" ht="17.15" hidden="false" customHeight="false" outlineLevel="0" collapsed="false">
      <c r="A11432" s="1" t="s">
        <v>958</v>
      </c>
      <c r="B11432" s="0" t="s">
        <v>456</v>
      </c>
      <c r="C11432" s="30" t="n">
        <f aca="false">Sens!C11430</f>
        <v>816.666666666667</v>
      </c>
      <c r="D11432" s="30" t="n">
        <f aca="false">Sens!D11430-Sens!C11430</f>
        <v>1233.33333333333</v>
      </c>
      <c r="E11432" s="30" t="n">
        <f aca="false">Sens!E11430-Sens!D11430</f>
        <v>2450</v>
      </c>
      <c r="F11432" s="30" t="n">
        <f aca="false">Sens!F11430-Sens!E11430</f>
        <v>4200.89183333333</v>
      </c>
      <c r="G11432" s="30" t="n">
        <f aca="false">Sens!G11430-Sens!F11430</f>
        <v>4544.22516666667</v>
      </c>
      <c r="H11432" s="30" t="n">
        <f aca="false">Sens!H11430-Sens!G11430</f>
        <v>4544.22516666667</v>
      </c>
      <c r="I11432" s="30" t="n">
        <f aca="false">Sens!I11430-Sens!H11430</f>
        <v>3219.97686611111</v>
      </c>
      <c r="J11432" s="30" t="n">
        <f aca="false">Sens!J11430-Sens!I11430</f>
        <v>1960.12810287778</v>
      </c>
      <c r="K11432" s="30" t="n">
        <f aca="false">Sens!K11430-Sens!J11430</f>
        <v>726.883414069667</v>
      </c>
    </row>
    <row r="11433" customFormat="false" ht="17.15" hidden="false" customHeight="false" outlineLevel="0" collapsed="false">
      <c r="A11433" s="1" t="s">
        <v>959</v>
      </c>
      <c r="B11433" s="0" t="s">
        <v>456</v>
      </c>
      <c r="D11433" s="30" t="n">
        <f aca="false">Sens!D11427-Sens!C11427</f>
        <v>990</v>
      </c>
      <c r="E11433" s="30" t="n">
        <f aca="false">Sens!E11427-Sens!D11427</f>
        <v>1620</v>
      </c>
      <c r="F11433" s="30" t="n">
        <f aca="false">Sens!F11427-Sens!E11427</f>
        <v>2726.5351</v>
      </c>
      <c r="G11433" s="30" t="n">
        <f aca="false">Sens!G11427-Sens!F11427</f>
        <v>2726.5351</v>
      </c>
      <c r="H11433" s="30" t="n">
        <f aca="false">Sens!H11427-Sens!G11427</f>
        <v>2726.5351</v>
      </c>
      <c r="I11433" s="30" t="n">
        <f aca="false">Sens!I11427-Sens!H11427</f>
        <v>1931.98611966667</v>
      </c>
      <c r="J11433" s="30" t="n">
        <f aca="false">Sens!J11427-Sens!I11427</f>
        <v>1176.07686172667</v>
      </c>
      <c r="K11433" s="30" t="n">
        <f aca="false">Sens!K11427-Sens!J11427</f>
        <v>436.130048441799</v>
      </c>
    </row>
    <row r="11434" customFormat="false" ht="17.15" hidden="false" customHeight="false" outlineLevel="0" collapsed="false">
      <c r="A11434" s="1" t="s">
        <v>960</v>
      </c>
      <c r="B11434" s="0" t="s">
        <v>456</v>
      </c>
      <c r="F11434" s="30" t="n">
        <f aca="false">Sens!F11453*ext_sh</f>
        <v>0</v>
      </c>
      <c r="G11434" s="30" t="n">
        <f aca="false">Sens!G11453*ext_sh</f>
        <v>0</v>
      </c>
      <c r="H11434" s="30" t="n">
        <f aca="false">Sens!H11453*ext_sh</f>
        <v>0</v>
      </c>
      <c r="I11434" s="30" t="n">
        <f aca="false">Sens!I11453*ext_sh</f>
        <v>490</v>
      </c>
      <c r="J11434" s="30" t="n">
        <f aca="false">Sens!J11453*ext_sh</f>
        <v>740</v>
      </c>
      <c r="K11434" s="30" t="n">
        <f aca="false">Sens!K11453*ext_sh</f>
        <v>1470</v>
      </c>
      <c r="L11434" s="1" t="s">
        <v>961</v>
      </c>
    </row>
    <row r="11435" customFormat="false" ht="17.15" hidden="false" customHeight="false" outlineLevel="0" collapsed="false">
      <c r="A11435" s="1" t="s">
        <v>962</v>
      </c>
      <c r="B11435" s="0" t="s">
        <v>456</v>
      </c>
      <c r="C11435" s="30" t="n">
        <f aca="false">mix_h*Sens!C11427</f>
        <v>128</v>
      </c>
      <c r="D11435" s="30" t="n">
        <f aca="false">mix_h*Sens!D11427</f>
        <v>326</v>
      </c>
      <c r="E11435" s="30" t="n">
        <f aca="false">mix_h*Sens!E11427</f>
        <v>650</v>
      </c>
      <c r="F11435" s="30" t="n">
        <f aca="false">Sens!E11435-Sens!F11434*mix_h</f>
        <v>650</v>
      </c>
      <c r="G11435" s="30" t="n">
        <f aca="false">Sens!F11435-Sens!G11434*mix_h</f>
        <v>650</v>
      </c>
      <c r="H11435" s="30" t="n">
        <f aca="false">Sens!G11435-Sens!H11434*mix_h</f>
        <v>650</v>
      </c>
      <c r="I11435" s="30" t="n">
        <f aca="false">Sens!H11435-Sens!I11434*mix_h</f>
        <v>552</v>
      </c>
      <c r="J11435" s="30" t="n">
        <f aca="false">Sens!I11435-Sens!J11434*mix_h</f>
        <v>404</v>
      </c>
      <c r="K11435" s="30" t="n">
        <f aca="false">Sens!J11435-Sens!K11434*mix_h</f>
        <v>110</v>
      </c>
    </row>
    <row r="11436" customFormat="false" ht="17.15" hidden="false" customHeight="false" outlineLevel="0" collapsed="false">
      <c r="A11436" s="1" t="s">
        <v>963</v>
      </c>
      <c r="B11436" s="0" t="s">
        <v>456</v>
      </c>
      <c r="C11436" s="30" t="n">
        <f aca="false">mix_g2*Sens!C11427</f>
        <v>288</v>
      </c>
      <c r="D11436" s="30" t="n">
        <f aca="false">mix_g2*Sens!D11427</f>
        <v>733.5</v>
      </c>
      <c r="E11436" s="30" t="n">
        <f aca="false">mix_g2*Sens!E11427</f>
        <v>1462.5</v>
      </c>
      <c r="F11436" s="30" t="n">
        <f aca="false">Sens!E11436-Sens!F11434*mix_g2</f>
        <v>1462.5</v>
      </c>
      <c r="G11436" s="30" t="n">
        <f aca="false">Sens!F11436-Sens!G11434*mix_g2</f>
        <v>1462.5</v>
      </c>
      <c r="H11436" s="30" t="n">
        <f aca="false">Sens!G11436-Sens!H11434*mix_g2</f>
        <v>1462.5</v>
      </c>
      <c r="I11436" s="30" t="n">
        <f aca="false">Sens!H11436-Sens!I11434*mix_g2</f>
        <v>1242</v>
      </c>
      <c r="J11436" s="30" t="n">
        <f aca="false">Sens!I11436-Sens!J11434*mix_g2</f>
        <v>909</v>
      </c>
      <c r="K11436" s="30" t="n">
        <f aca="false">Sens!J11436-Sens!K11434*mix_g2</f>
        <v>247.5</v>
      </c>
    </row>
    <row r="11437" customFormat="false" ht="17.15" hidden="false" customHeight="false" outlineLevel="0" collapsed="false">
      <c r="A11437" s="1" t="s">
        <v>964</v>
      </c>
      <c r="B11437" s="0" t="s">
        <v>456</v>
      </c>
      <c r="C11437" s="30" t="n">
        <f aca="false">mix_g3*Sens!C11427</f>
        <v>224</v>
      </c>
      <c r="D11437" s="30" t="n">
        <f aca="false">mix_g3*Sens!D11427</f>
        <v>570.5</v>
      </c>
      <c r="E11437" s="30" t="n">
        <f aca="false">mix_g3*Sens!E11427</f>
        <v>1137.5</v>
      </c>
      <c r="F11437" s="30" t="n">
        <f aca="false">Sens!E11437+(Sens!F11433+Sens!F11434)*(a_g3_27-nonnv*a_mai)-Sens!F11434*mix_g3</f>
        <v>2773.42106</v>
      </c>
      <c r="G11437" s="30" t="n">
        <f aca="false">Sens!F11437+(Sens!G11433+Sens!G11434)*(a_g3_28-nonnv*a_mai)-Sens!G11434*mix_g3</f>
        <v>3318.72808</v>
      </c>
      <c r="H11437" s="30" t="n">
        <f aca="false">Sens!G11437+(Sens!H11433+Sens!H11434)*(a_g3_29-nonnv*a_mai)-Sens!H11434*mix_g3</f>
        <v>3318.72808</v>
      </c>
      <c r="I11437" s="30" t="n">
        <f aca="false">Sens!H11437+(Sens!I11433+Sens!I11434)*(a_g3_29-nonnv*a_mai)-Sens!I11434*mix_g3</f>
        <v>3147.22808</v>
      </c>
      <c r="J11437" s="30" t="n">
        <f aca="false">Sens!I11437+(Sens!J11433+Sens!J11434)*(a_g3_29-nonnv*a_mai)-Sens!J11434*mix_g3</f>
        <v>2888.22808</v>
      </c>
      <c r="K11437" s="30" t="n">
        <f aca="false">Sens!J11437+(Sens!K11433+Sens!K11434)*(a_g3_29-nonnv*a_mai)-Sens!K11434*mix_g3</f>
        <v>2373.72808</v>
      </c>
    </row>
    <row r="11438" customFormat="false" ht="17.15" hidden="false" customHeight="false" outlineLevel="0" collapsed="false">
      <c r="A11438" s="1" t="s">
        <v>965</v>
      </c>
      <c r="B11438" s="0" t="s">
        <v>456</v>
      </c>
      <c r="C11438" s="30" t="n">
        <v>0</v>
      </c>
      <c r="D11438" s="30" t="n">
        <v>0</v>
      </c>
      <c r="E11438" s="30" t="n">
        <v>0</v>
      </c>
      <c r="F11438" s="30" t="n">
        <f aca="false">Sens!E11438+(Sens!F11433+Sens!F11434)*nonnv*a_mai</f>
        <v>272.65351</v>
      </c>
      <c r="G11438" s="30" t="n">
        <f aca="false">Sens!F11438+(Sens!G11433+Sens!G11434)*nonnv*a_mai</f>
        <v>545.30702</v>
      </c>
      <c r="H11438" s="30" t="n">
        <f aca="false">Sens!G11438+(Sens!H11433+Sens!H11434)*nonnv*a_mai</f>
        <v>817.96053</v>
      </c>
      <c r="I11438" s="30" t="n">
        <f aca="false">Sens!H11438+(Sens!I11433+Sens!I11434)*nonnv*a_mai</f>
        <v>1060.15914196667</v>
      </c>
      <c r="J11438" s="30" t="n">
        <f aca="false">Sens!I11438+(Sens!J11433+Sens!J11434)*nonnv*a_mai</f>
        <v>1251.76682813933</v>
      </c>
      <c r="K11438" s="30" t="n">
        <f aca="false">Sens!J11438+(Sens!K11433+Sens!K11434)*nonnv*a_mai</f>
        <v>1442.37983298351</v>
      </c>
      <c r="L11438" s="12" t="s">
        <v>966</v>
      </c>
    </row>
    <row r="11439" customFormat="false" ht="17.15" hidden="false" customHeight="false" outlineLevel="0" collapsed="false">
      <c r="A11439" s="1" t="s">
        <v>967</v>
      </c>
      <c r="B11439" s="0" t="s">
        <v>456</v>
      </c>
      <c r="C11439" s="30" t="n">
        <v>0</v>
      </c>
      <c r="D11439" s="30" t="n">
        <v>0</v>
      </c>
      <c r="E11439" s="30" t="n">
        <v>0</v>
      </c>
      <c r="F11439" s="30" t="n">
        <f aca="false">Sens!E11439+(Sens!F11433+Sens!F11434)*(1-a_g3_27)</f>
        <v>817.96053</v>
      </c>
      <c r="G11439" s="30" t="n">
        <f aca="false">Sens!F11439+(Sens!G11433+Sens!G11434)*(1-a_g3_28)</f>
        <v>2726.5351</v>
      </c>
      <c r="H11439" s="30" t="n">
        <f aca="false">Sens!G11439+(Sens!H11433+Sens!H11434)*(1-a_g3_29)</f>
        <v>5180.41669</v>
      </c>
      <c r="I11439" s="30" t="n">
        <f aca="false">Sens!H11439+(Sens!I11433+Sens!I11434)*(1-a_g3_29)</f>
        <v>7360.2041977</v>
      </c>
      <c r="J11439" s="30" t="n">
        <f aca="false">Sens!I11439+(Sens!J11433+Sens!J11434)*(1-a_g3_29)</f>
        <v>9084.673373254</v>
      </c>
      <c r="K11439" s="30" t="n">
        <f aca="false">Sens!J11439+(Sens!K11433+Sens!K11434)*(1-a_g3_29)</f>
        <v>10800.1904168516</v>
      </c>
    </row>
    <row r="11440" customFormat="false" ht="17.15" hidden="false" customHeight="false" outlineLevel="0" collapsed="false">
      <c r="A11440" s="1" t="s">
        <v>968</v>
      </c>
      <c r="B11440" s="0" t="s">
        <v>403</v>
      </c>
      <c r="C11440" s="15" t="n">
        <f aca="false">(Sens!C11435*tk_hold_h100+Sens!C11436*tk_hold_gb200+Sens!C11437*tk_hold_gb300+Sens!C11439*tk_hold_vr200+Sens!C11438*nv_hold_mai*tk_hold_vr200)/Sens!C11427</f>
        <v>9.7235358126469</v>
      </c>
      <c r="D11440" s="15" t="n">
        <f aca="false">(Sens!D11435*tk_hold_h100+Sens!D11436*tk_hold_gb200+Sens!D11437*tk_hold_gb300+Sens!D11439*tk_hold_vr200+Sens!D11438*nv_hold_mai*tk_hold_vr200)/Sens!D11427</f>
        <v>9.7235358126469</v>
      </c>
      <c r="E11440" s="15" t="n">
        <f aca="false">(Sens!E11435*tk_hold_h100+Sens!E11436*tk_hold_gb200+Sens!E11437*tk_hold_gb300+Sens!E11439*tk_hold_vr200+Sens!E11438*nv_hold_mai*tk_hold_vr200)/Sens!E11427</f>
        <v>9.7235358126469</v>
      </c>
      <c r="F11440" s="15" t="n">
        <f aca="false">(Sens!F11435*tk_hold_h100+Sens!F11436*tk_hold_gb200+Sens!F11437*tk_hold_gb300+Sens!F11439*tk_hold_vr200+Sens!F11438*nv_hold_mai*tk_hold_vr200)/Sens!F11427</f>
        <v>10.2195353876665</v>
      </c>
      <c r="G11440" s="15" t="n">
        <f aca="false">(Sens!G11435*tk_hold_h100+Sens!G11436*tk_hold_gb200+Sens!G11437*tk_hold_gb300+Sens!G11439*tk_hold_vr200+Sens!G11438*nv_hold_mai*tk_hold_vr200)/Sens!G11427</f>
        <v>10.5725598017306</v>
      </c>
      <c r="H11440" s="15" t="n">
        <f aca="false">(Sens!H11435*tk_hold_h100+Sens!H11436*tk_hold_gb200+Sens!H11437*tk_hold_gb300+Sens!H11439*tk_hold_vr200+Sens!H11438*nv_hold_mai*tk_hold_vr200)/Sens!H11427</f>
        <v>10.8210427149036</v>
      </c>
      <c r="I11440" s="15" t="n">
        <f aca="false">(Sens!I11435*tk_hold_h100+Sens!I11436*tk_hold_gb200+Sens!I11437*tk_hold_gb300+Sens!I11439*tk_hold_vr200+Sens!I11438*nv_hold_mai*tk_hold_vr200)/Sens!I11427</f>
        <v>11.0050618241982</v>
      </c>
      <c r="J11440" s="15" t="n">
        <f aca="false">(Sens!J11435*tk_hold_h100+Sens!J11436*tk_hold_gb200+Sens!J11437*tk_hold_gb300+Sens!J11439*tk_hold_vr200+Sens!J11438*nv_hold_mai*tk_hold_vr200)/Sens!J11427</f>
        <v>11.1505789658881</v>
      </c>
      <c r="K11440" s="15" t="n">
        <f aca="false">(Sens!K11435*tk_hold_h100+Sens!K11436*tk_hold_gb200+Sens!K11437*tk_hold_gb300+Sens!K11439*tk_hold_vr200+Sens!K11438*nv_hold_mai*tk_hold_vr200)/Sens!K11427</f>
        <v>11.3496914757183</v>
      </c>
      <c r="L11440" s="1" t="s">
        <v>969</v>
      </c>
    </row>
    <row r="11441" customFormat="false" ht="17.15" hidden="false" customHeight="false" outlineLevel="0" collapsed="false">
      <c r="A11441" s="1" t="s">
        <v>970</v>
      </c>
      <c r="B11441" s="0" t="s">
        <v>403</v>
      </c>
      <c r="C11441" s="15" t="n">
        <f aca="false">(Sens!C11435*tk_hold_h100+Sens!C11436*tk_hold_gb200+Sens!C11437*tk_hold_gb300+Sens!C11439*tk_hold_vr200+Sens!C11438*nv_out_mai*tk_hold_vr200)/Sens!C11427</f>
        <v>9.7235358126469</v>
      </c>
      <c r="D11441" s="15" t="n">
        <f aca="false">(Sens!D11435*tk_hold_h100+Sens!D11436*tk_hold_gb200+Sens!D11437*tk_hold_gb300+Sens!D11439*tk_hold_vr200+Sens!D11438*nv_out_mai*tk_hold_vr200)/Sens!D11427</f>
        <v>9.7235358126469</v>
      </c>
      <c r="E11441" s="15" t="n">
        <f aca="false">(Sens!E11435*tk_hold_h100+Sens!E11436*tk_hold_gb200+Sens!E11437*tk_hold_gb300+Sens!E11439*tk_hold_vr200+Sens!E11438*nv_out_mai*tk_hold_vr200)/Sens!E11427</f>
        <v>9.7235358126469</v>
      </c>
      <c r="F11441" s="15" t="n">
        <f aca="false">(Sens!F11435*tk_hold_h100+Sens!F11436*tk_hold_gb200+Sens!F11437*tk_hold_gb300+Sens!F11439*tk_hold_vr200+Sens!F11438*nv_out_mai*tk_hold_vr200)/Sens!F11427</f>
        <v>10.247422093969</v>
      </c>
      <c r="G11441" s="15" t="n">
        <f aca="false">(Sens!G11435*tk_hold_h100+Sens!G11436*tk_hold_gb200+Sens!G11437*tk_hold_gb300+Sens!G11439*tk_hold_vr200+Sens!G11438*nv_out_mai*tk_hold_vr200)/Sens!G11427</f>
        <v>10.6108602808053</v>
      </c>
      <c r="H11441" s="15" t="n">
        <f aca="false">(Sens!H11435*tk_hold_h100+Sens!H11436*tk_hold_gb200+Sens!H11437*tk_hold_gb300+Sens!H11439*tk_hold_vr200+Sens!H11438*nv_out_mai*tk_hold_vr200)/Sens!H11427</f>
        <v>10.8647885507393</v>
      </c>
      <c r="I11441" s="15" t="n">
        <f aca="false">(Sens!I11435*tk_hold_h100+Sens!I11436*tk_hold_gb200+Sens!I11437*tk_hold_gb300+Sens!I11439*tk_hold_vr200+Sens!I11438*nv_out_mai*tk_hold_vr200)/Sens!I11427</f>
        <v>11.0535625770025</v>
      </c>
      <c r="J11441" s="15" t="n">
        <f aca="false">(Sens!J11435*tk_hold_h100+Sens!J11436*tk_hold_gb200+Sens!J11437*tk_hold_gb300+Sens!J11439*tk_hold_vr200+Sens!J11438*nv_out_mai*tk_hold_vr200)/Sens!J11427</f>
        <v>11.2032127128058</v>
      </c>
      <c r="K11441" s="15" t="n">
        <f aca="false">(Sens!K11435*tk_hold_h100+Sens!K11436*tk_hold_gb200+Sens!K11437*tk_hold_gb300+Sens!K11439*tk_hold_vr200+Sens!K11438*nv_out_mai*tk_hold_vr200)/Sens!K11427</f>
        <v>11.4085735724225</v>
      </c>
      <c r="L11441" s="12" t="s">
        <v>971</v>
      </c>
    </row>
    <row r="11442" customFormat="false" ht="17.15" hidden="false" customHeight="false" outlineLevel="0" collapsed="false">
      <c r="A11442" s="0" t="s">
        <v>972</v>
      </c>
      <c r="B11442" s="0" t="s">
        <v>229</v>
      </c>
      <c r="C11442" s="15" t="n">
        <f aca="false">k_B</f>
        <v>1.17213932619116</v>
      </c>
      <c r="D11442" s="15" t="n">
        <f aca="false">k_B</f>
        <v>1.17213932619116</v>
      </c>
      <c r="E11442" s="15" t="n">
        <f aca="false">k_B</f>
        <v>1.17213932619116</v>
      </c>
      <c r="F11442" s="15" t="n">
        <f aca="false">(k_B+((ls_A*k_long+(1-ls_A)*k_spot)-k_B)*MIN(1,(Sens!F11425-base_fy)/k_ramp))</f>
        <v>1.25022828131298</v>
      </c>
      <c r="G11442" s="15" t="n">
        <f aca="false">(k_B+((ls_A*k_long+(1-ls_A)*k_spot)-k_B)*MIN(1,(Sens!G11425-base_fy)/k_ramp))</f>
        <v>1.3283172364348</v>
      </c>
      <c r="H11442" s="15" t="n">
        <f aca="false">(k_B+((ls_A*k_long+(1-ls_A)*k_spot)-k_B)*MIN(1,(Sens!H11425-base_fy)/k_ramp))</f>
        <v>1.40640619155662</v>
      </c>
      <c r="I11442" s="15" t="n">
        <f aca="false">(k_B+((ls_A*k_long+(1-ls_A)*k_spot)-k_B)*MIN(1,(Sens!I11425-base_fy)/k_ramp))</f>
        <v>1.40640619155662</v>
      </c>
      <c r="J11442" s="15" t="n">
        <f aca="false">(k_B+((ls_A*k_long+(1-ls_A)*k_spot)-k_B)*MIN(1,(Sens!J11425-base_fy)/k_ramp))</f>
        <v>1.40640619155662</v>
      </c>
      <c r="K11442" s="15" t="n">
        <f aca="false">(k_B+((ls_A*k_long+(1-ls_A)*k_spot)-k_B)*MIN(1,(Sens!K11425-base_fy)/k_ramp))</f>
        <v>1.40640619155662</v>
      </c>
      <c r="L11442" s="1" t="s">
        <v>973</v>
      </c>
    </row>
    <row r="11443" customFormat="false" ht="17.15" hidden="false" customHeight="false" outlineLevel="0" collapsed="false">
      <c r="A11443" s="1" t="s">
        <v>974</v>
      </c>
      <c r="B11443" s="0" t="s">
        <v>403</v>
      </c>
      <c r="C11443" s="15" t="n">
        <f aca="false">Sens!C11441*Sens!C11442*chip_f</f>
        <v>11.3973387156315</v>
      </c>
      <c r="D11443" s="15" t="n">
        <f aca="false">Sens!D11441*Sens!D11442*chip_f</f>
        <v>11.3973387156315</v>
      </c>
      <c r="E11443" s="15" t="n">
        <f aca="false">Sens!E11441*Sens!E11442*chip_f</f>
        <v>11.3973387156315</v>
      </c>
      <c r="F11443" s="15" t="n">
        <f aca="false">Sens!F11441*Sens!F11442*chip_f</f>
        <v>12.8116169124314</v>
      </c>
      <c r="G11443" s="15" t="n">
        <f aca="false">Sens!G11441*Sens!G11442*chip_f</f>
        <v>14.094588604395</v>
      </c>
      <c r="H11443" s="15" t="n">
        <f aca="false">Sens!H11441*Sens!H11442*chip_f</f>
        <v>15.2803058877132</v>
      </c>
      <c r="I11443" s="15" t="n">
        <f aca="false">Sens!I11441*Sens!I11442*chip_f</f>
        <v>15.5457988470549</v>
      </c>
      <c r="J11443" s="15" t="n">
        <f aca="false">Sens!J11441*Sens!J11442*chip_f</f>
        <v>15.7562677246158</v>
      </c>
      <c r="K11443" s="15" t="n">
        <f aca="false">Sens!K11441*Sens!K11442*chip_f</f>
        <v>16.0450885090842</v>
      </c>
      <c r="L11443" s="1" t="s">
        <v>975</v>
      </c>
    </row>
    <row r="11444" customFormat="false" ht="17.15" hidden="false" customHeight="false" outlineLevel="0" collapsed="false">
      <c r="A11444" s="0" t="s">
        <v>976</v>
      </c>
      <c r="B11444" s="0" t="s">
        <v>98</v>
      </c>
      <c r="D11444" s="6" t="n">
        <f aca="false">(Sens!C11427+Sens!D11427)/2*Sens!D11443/1000</f>
        <v>12.9359794422418</v>
      </c>
      <c r="E11444" s="6" t="n">
        <f aca="false">(Sens!D11427+Sens!E11427)/2*Sens!E11443/1000</f>
        <v>27.8095064661409</v>
      </c>
      <c r="F11444" s="6" t="n">
        <f aca="false">(Sens!E11427+Sens!F11427)/2*Sens!F11443/1000</f>
        <v>59.1034165651511</v>
      </c>
      <c r="G11444" s="6" t="n">
        <f aca="false">(Sens!F11427+Sens!G11427)/2*Sens!G11443/1000</f>
        <v>103.451498789198</v>
      </c>
      <c r="H11444" s="6" t="n">
        <f aca="false">(Sens!G11427+Sens!H11427)/2*Sens!H11443/1000</f>
        <v>153.816719989035</v>
      </c>
      <c r="I11444" s="6" t="n">
        <f aca="false">(Sens!H11427+Sens!I11427)/2*Sens!I11443/1000</f>
        <v>192.699478690852</v>
      </c>
      <c r="J11444" s="6" t="n">
        <f aca="false">(Sens!I11427+Sens!J11427)/2*Sens!J11443/1000</f>
        <v>219.794102584244</v>
      </c>
      <c r="K11444" s="6" t="n">
        <f aca="false">(Sens!J11427+Sens!K11427)/2*Sens!K11443/1000</f>
        <v>236.757046905022</v>
      </c>
      <c r="L11444" s="12" t="s">
        <v>977</v>
      </c>
    </row>
    <row r="11445" customFormat="false" ht="17.15" hidden="false" customHeight="false" outlineLevel="0" collapsed="false">
      <c r="A11445" s="1" t="s">
        <v>978</v>
      </c>
      <c r="B11445" s="0" t="s">
        <v>403</v>
      </c>
      <c r="C11445" s="15" t="n">
        <f aca="false">(Sens!C11435*tk_opex_h100+Sens!C11436*tk_opex_gb200+Sens!C11437*tk_opex_gb300+(Sens!C11439+Sens!C11438)*tk_opex_vr200)/Sens!C11427</f>
        <v>1.88636041306092</v>
      </c>
      <c r="D11445" s="15" t="n">
        <f aca="false">(Sens!D11435*tk_opex_h100+Sens!D11436*tk_opex_gb200+Sens!D11437*tk_opex_gb300+(Sens!D11439+Sens!D11438)*tk_opex_vr200)/Sens!D11427</f>
        <v>1.88636041306092</v>
      </c>
      <c r="E11445" s="15" t="n">
        <f aca="false">(Sens!E11435*tk_opex_h100+Sens!E11436*tk_opex_gb200+Sens!E11437*tk_opex_gb300+(Sens!E11439+Sens!E11438)*tk_opex_vr200)/Sens!E11427</f>
        <v>1.88636041306092</v>
      </c>
      <c r="F11445" s="15" t="n">
        <f aca="false">(Sens!F11435*tk_opex_h100+Sens!F11436*tk_opex_gb200+Sens!F11437*tk_opex_gb300+(Sens!F11439+Sens!F11438)*tk_opex_vr200)/Sens!F11427</f>
        <v>1.95051159746876</v>
      </c>
      <c r="G11445" s="15" t="n">
        <f aca="false">(Sens!G11435*tk_opex_h100+Sens!G11436*tk_opex_gb200+Sens!G11437*tk_opex_gb300+(Sens!G11439+Sens!G11438)*tk_opex_vr200)/Sens!G11427</f>
        <v>1.98836003669956</v>
      </c>
      <c r="H11445" s="15" t="n">
        <f aca="false">(Sens!H11435*tk_opex_h100+Sens!H11436*tk_opex_gb200+Sens!H11437*tk_opex_gb300+(Sens!H11439+Sens!H11438)*tk_opex_vr200)/Sens!H11427</f>
        <v>2.01344013834343</v>
      </c>
      <c r="I11445" s="15" t="n">
        <f aca="false">(Sens!I11435*tk_opex_h100+Sens!I11436*tk_opex_gb200+Sens!I11437*tk_opex_gb300+(Sens!I11439+Sens!I11438)*tk_opex_vr200)/Sens!I11427</f>
        <v>2.03261166882178</v>
      </c>
      <c r="J11445" s="15" t="n">
        <f aca="false">(Sens!J11435*tk_opex_h100+Sens!J11436*tk_opex_gb200+Sens!J11437*tk_opex_gb300+(Sens!J11439+Sens!J11438)*tk_opex_vr200)/Sens!J11427</f>
        <v>2.04808073288745</v>
      </c>
      <c r="K11445" s="15" t="n">
        <f aca="false">(Sens!K11435*tk_opex_h100+Sens!K11436*tk_opex_gb200+Sens!K11437*tk_opex_gb300+(Sens!K11439+Sens!K11438)*tk_opex_vr200)/Sens!K11427</f>
        <v>2.06973825807449</v>
      </c>
      <c r="L11445" s="12" t="s">
        <v>979</v>
      </c>
    </row>
    <row r="11446" customFormat="false" ht="17.15" hidden="false" customHeight="false" outlineLevel="0" collapsed="false">
      <c r="A11446" s="0" t="s">
        <v>980</v>
      </c>
      <c r="B11446" s="0" t="s">
        <v>98</v>
      </c>
      <c r="D11446" s="6" t="n">
        <f aca="false">(Sens!C11430+Sens!D11430)/2*Sens!D11445/1000</f>
        <v>2.70378325872065</v>
      </c>
      <c r="E11446" s="6" t="n">
        <f aca="false">(Sens!D11430+Sens!E11430)/2*Sens!E11445/1000</f>
        <v>6.17783035277451</v>
      </c>
      <c r="F11446" s="6" t="n">
        <f aca="false">(Sens!E11430+Sens!F11430)/2*Sens!F11445/1000</f>
        <v>12.8742463089237</v>
      </c>
      <c r="G11446" s="6" t="n">
        <f aca="false">(Sens!F11430+Sens!G11430)/2*Sens!G11445/1000</f>
        <v>21.8182834646277</v>
      </c>
      <c r="H11446" s="6" t="n">
        <f aca="false">(Sens!G11430+Sens!H11430)/2*Sens!H11445/1000</f>
        <v>31.2430128789734</v>
      </c>
      <c r="I11446" s="6" t="n">
        <f aca="false">(Sens!H11430+Sens!I11430)/2*Sens!I11445/1000</f>
        <v>39.4313057443268</v>
      </c>
      <c r="J11446" s="6" t="n">
        <f aca="false">(Sens!I11430+Sens!J11430)/2*Sens!J11445/1000</f>
        <v>45.0360318228653</v>
      </c>
      <c r="K11446" s="6" t="n">
        <f aca="false">(Sens!J11430+Sens!K11430)/2*Sens!K11445/1000</f>
        <v>48.2929727091156</v>
      </c>
    </row>
    <row r="11447" customFormat="false" ht="17.15" hidden="false" customHeight="false" outlineLevel="0" collapsed="false">
      <c r="A11447" s="0" t="s">
        <v>981</v>
      </c>
      <c r="B11447" s="0" t="s">
        <v>98</v>
      </c>
      <c r="D11447" s="6" t="n">
        <f aca="false">(Sens!C11428+Sens!D11428)/2*rent_mw/1000</f>
        <v>2.44475</v>
      </c>
      <c r="E11447" s="6" t="n">
        <f aca="false">(Sens!D11428+Sens!E11428)/2*rent_mw/1000</f>
        <v>4.22275</v>
      </c>
      <c r="F11447" s="6" t="n">
        <f aca="false">(Sens!E11428+Sens!F11428)/2*rent_mw/1000</f>
        <v>5.80517</v>
      </c>
      <c r="G11447" s="6" t="n">
        <f aca="false">(Sens!F11428+Sens!G11428)/2*rent_mw/1000</f>
        <v>6.72084</v>
      </c>
      <c r="H11447" s="6" t="n">
        <f aca="false">(Sens!G11428+Sens!H11428)/2*rent_mw/1000</f>
        <v>6.72084</v>
      </c>
      <c r="I11447" s="6" t="n">
        <f aca="false">(Sens!H11428+Sens!I11428)/2*rent_mw/1000</f>
        <v>6.72084</v>
      </c>
      <c r="J11447" s="6" t="n">
        <f aca="false">(Sens!I11428+Sens!J11428)/2*rent_mw/1000</f>
        <v>6.72084</v>
      </c>
      <c r="K11447" s="6" t="n">
        <f aca="false">(Sens!J11428+Sens!K11428)/2*rent_mw/1000</f>
        <v>6.72084</v>
      </c>
    </row>
    <row r="11448" customFormat="false" ht="17.15" hidden="false" customHeight="false" outlineLevel="0" collapsed="false">
      <c r="A11448" s="0" t="s">
        <v>982</v>
      </c>
      <c r="B11448" s="0" t="s">
        <v>98</v>
      </c>
      <c r="D11448" s="6" t="n">
        <f aca="false">(Sens!C11430+Sens!D11430)/2*(1-self_build)*fac_rent/1000</f>
        <v>0.853242375631075</v>
      </c>
      <c r="E11448" s="6" t="n">
        <f aca="false">(Sens!D11430+Sens!E11430)/2*(1-self_build)*fac_rent/1000</f>
        <v>1.94955961408728</v>
      </c>
      <c r="F11448" s="6" t="n">
        <f aca="false">(Sens!E11430+Sens!F11430)/2*(1-self_build)*fac_rent/1000</f>
        <v>3.92914894476356</v>
      </c>
      <c r="G11448" s="6" t="n">
        <f aca="false">(Sens!F11430+Sens!G11430)/2*(1-self_build)*fac_rent/1000</f>
        <v>6.53206908578159</v>
      </c>
      <c r="H11448" s="6" t="n">
        <f aca="false">(Sens!G11430+Sens!H11430)/2*(1-self_build)*fac_rent/1000</f>
        <v>9.23717988341591</v>
      </c>
      <c r="I11448" s="6" t="n">
        <f aca="false">(Sens!H11430+Sens!I11430)/2*(1-self_build)*fac_rent/1000</f>
        <v>11.5481378557393</v>
      </c>
      <c r="J11448" s="6" t="n">
        <f aca="false">(Sens!I11430+Sens!J11430)/2*(1-self_build)*fac_rent/1000</f>
        <v>13.0899582289108</v>
      </c>
      <c r="K11448" s="6" t="n">
        <f aca="false">(Sens!J11430+Sens!K11430)/2*(1-self_build)*fac_rent/1000</f>
        <v>13.8897275626556</v>
      </c>
      <c r="L11448" s="12" t="s">
        <v>983</v>
      </c>
    </row>
    <row r="11449" customFormat="false" ht="17.15" hidden="false" customHeight="false" outlineLevel="0" collapsed="false">
      <c r="A11449" s="1" t="s">
        <v>984</v>
      </c>
      <c r="B11449" s="0" t="s">
        <v>168</v>
      </c>
      <c r="D11449" s="7" t="n">
        <f aca="false">(Sens!C11429+Sens!D11429)/(Sens!C11430+Sens!D11430)</f>
        <v>0.6</v>
      </c>
      <c r="E11449" s="7" t="n">
        <f aca="false">(Sens!D11429+Sens!E11429)/(Sens!D11430+Sens!E11430)</f>
        <v>0.6</v>
      </c>
      <c r="F11449" s="7" t="n">
        <f aca="false">(Sens!E11429+Sens!F11429)/(Sens!E11430+Sens!F11430)</f>
        <v>0.6</v>
      </c>
      <c r="G11449" s="7" t="n">
        <f aca="false">(Sens!F11429+Sens!G11429)/(Sens!F11430+Sens!G11430)</f>
        <v>0.6</v>
      </c>
      <c r="H11449" s="7" t="n">
        <f aca="false">(Sens!G11429+Sens!H11429)/(Sens!G11430+Sens!H11430)</f>
        <v>0.6</v>
      </c>
      <c r="I11449" s="7" t="n">
        <f aca="false">(Sens!H11429+Sens!I11429)/(Sens!H11430+Sens!I11430)</f>
        <v>0.6</v>
      </c>
      <c r="J11449" s="7" t="n">
        <f aca="false">(Sens!I11429+Sens!J11429)/(Sens!I11430+Sens!J11430)</f>
        <v>0.6</v>
      </c>
      <c r="K11449" s="7" t="n">
        <f aca="false">(Sens!J11429+Sens!K11429)/(Sens!J11430+Sens!K11430)</f>
        <v>0.6</v>
      </c>
    </row>
    <row r="11450" customFormat="false" ht="17.15" hidden="false" customHeight="false" outlineLevel="0" collapsed="false">
      <c r="A11450" s="0" t="s">
        <v>985</v>
      </c>
      <c r="B11450" s="0" t="s">
        <v>98</v>
      </c>
      <c r="D11450" s="6" t="n">
        <f aca="false">Sens!D11444-Sens!D11449*(Sens!D11446+Sens!D11448)-Sens!D11447</f>
        <v>8.35701406163072</v>
      </c>
      <c r="E11450" s="6" t="n">
        <f aca="false">Sens!E11444-Sens!E11449*(Sens!E11446+Sens!E11448)-Sens!E11447</f>
        <v>18.7103224860238</v>
      </c>
      <c r="F11450" s="6" t="n">
        <f aca="false">Sens!F11444-Sens!F11449*(Sens!F11446+Sens!F11448)-Sens!F11447</f>
        <v>43.2162094129388</v>
      </c>
      <c r="G11450" s="6" t="n">
        <f aca="false">Sens!G11444-Sens!G11449*(Sens!G11446+Sens!G11448)-Sens!G11447</f>
        <v>79.7204472589529</v>
      </c>
      <c r="H11450" s="6" t="n">
        <f aca="false">Sens!H11444-Sens!H11449*(Sens!H11446+Sens!H11448)-Sens!H11447</f>
        <v>122.807764331602</v>
      </c>
      <c r="I11450" s="6" t="n">
        <f aca="false">Sens!I11444-Sens!I11449*(Sens!I11446+Sens!I11448)-Sens!I11447</f>
        <v>155.390972530813</v>
      </c>
      <c r="J11450" s="6" t="n">
        <f aca="false">Sens!J11444-Sens!J11449*(Sens!J11446+Sens!J11448)-Sens!J11447</f>
        <v>178.197668553178</v>
      </c>
      <c r="K11450" s="6" t="n">
        <f aca="false">Sens!K11444-Sens!K11449*(Sens!K11446+Sens!K11448)-Sens!K11447</f>
        <v>192.726586741959</v>
      </c>
    </row>
    <row r="11451" customFormat="false" ht="17.15" hidden="false" customHeight="false" outlineLevel="0" collapsed="false">
      <c r="A11451" s="1" t="s">
        <v>986</v>
      </c>
      <c r="B11451" s="0" t="s">
        <v>98</v>
      </c>
      <c r="D11451" s="6" t="n">
        <f aca="false">(1-Sens!D11449)*(Sens!D11446+Sens!D11448)</f>
        <v>1.42281025374069</v>
      </c>
      <c r="E11451" s="6" t="n">
        <f aca="false">(1-Sens!E11449)*(Sens!E11446+Sens!E11448)</f>
        <v>3.25095598674472</v>
      </c>
      <c r="F11451" s="6" t="n">
        <f aca="false">(1-Sens!F11449)*(Sens!F11446+Sens!F11448)</f>
        <v>6.72135810147489</v>
      </c>
      <c r="G11451" s="6" t="n">
        <f aca="false">(1-Sens!G11449)*(Sens!G11446+Sens!G11448)</f>
        <v>11.3401410201637</v>
      </c>
      <c r="H11451" s="6" t="n">
        <f aca="false">(1-Sens!H11449)*(Sens!H11446+Sens!H11448)</f>
        <v>16.1920771049557</v>
      </c>
      <c r="I11451" s="6" t="n">
        <f aca="false">(1-Sens!I11449)*(Sens!I11446+Sens!I11448)</f>
        <v>20.3917774400264</v>
      </c>
      <c r="J11451" s="6" t="n">
        <f aca="false">(1-Sens!J11449)*(Sens!J11446+Sens!J11448)</f>
        <v>23.2503960207104</v>
      </c>
      <c r="K11451" s="6" t="n">
        <f aca="false">(1-Sens!K11449)*(Sens!K11446+Sens!K11448)</f>
        <v>24.8730801087085</v>
      </c>
    </row>
    <row r="11452" customFormat="false" ht="17.15" hidden="false" customHeight="false" outlineLevel="0" collapsed="false">
      <c r="A11452" s="1" t="s">
        <v>987</v>
      </c>
      <c r="B11452" s="0" t="s">
        <v>414</v>
      </c>
      <c r="C11452" s="8" t="n">
        <f aca="false">cxit_open</f>
        <v>27.5918995</v>
      </c>
      <c r="D11452" s="8" t="n">
        <f aca="false">cxit_open</f>
        <v>27.5918995</v>
      </c>
      <c r="E11452" s="8" t="n">
        <f aca="false">cxit_open</f>
        <v>27.5918995</v>
      </c>
      <c r="F11452" s="8" t="n">
        <f aca="false">((a_g3_27-nonnv*a_mai)*tk_cxit_gb300+nonnv*a_mai*nv_hold_mai*tk_cxit_vr200+(1-a_g3_27)*tk_cxit_vr200)</f>
        <v>32.4975576</v>
      </c>
      <c r="G11452" s="8" t="n">
        <f aca="false">((a_g3_28-nonnv*a_mai)*tk_cxit_gb300+nonnv*a_mai*nv_hold_mai*tk_cxit_vr200+(1-a_g3_28)*tk_cxit_vr200)</f>
        <v>34.6372088</v>
      </c>
      <c r="H11452" s="8" t="n">
        <f aca="false">((a_g3_29-nonnv*a_mai)*tk_cxit_gb300+nonnv*a_mai*nv_hold_mai*tk_cxit_vr200+(1-a_g3_29)*tk_cxit_vr200)</f>
        <v>35.7070344</v>
      </c>
      <c r="I11452" s="8" t="n">
        <f aca="false">((a_g3_29-nonnv*a_mai)*tk_cxit_gb300+nonnv*a_mai*nv_hold_mai*tk_cxit_vr200+(1-a_g3_29)*tk_cxit_vr200)</f>
        <v>35.7070344</v>
      </c>
      <c r="J11452" s="8" t="n">
        <f aca="false">((a_g3_29-nonnv*a_mai)*tk_cxit_gb300+nonnv*a_mai*nv_hold_mai*tk_cxit_vr200+(1-a_g3_29)*tk_cxit_vr200)</f>
        <v>35.7070344</v>
      </c>
      <c r="K11452" s="8" t="n">
        <f aca="false">((a_g3_29-nonnv*a_mai)*tk_cxit_gb300+nonnv*a_mai*nv_hold_mai*tk_cxit_vr200+(1-a_g3_29)*tk_cxit_vr200)</f>
        <v>35.7070344</v>
      </c>
      <c r="L11452" s="12" t="s">
        <v>988</v>
      </c>
    </row>
    <row r="11453" customFormat="false" ht="17.15" hidden="false" customHeight="false" outlineLevel="0" collapsed="false">
      <c r="A11453" s="0" t="s">
        <v>989</v>
      </c>
      <c r="B11453" s="0" t="s">
        <v>456</v>
      </c>
      <c r="F11453" s="30" t="n">
        <f aca="false">Sens!C11432*IF(Sens!F11425-Sens!C11425=life_it,1,0)+Sens!D11432*IF(Sens!F11425-Sens!D11425=life_it,1,0)+Sens!E11432*IF(Sens!F11425-Sens!E11425=life_it,1,0)</f>
        <v>0</v>
      </c>
      <c r="G11453" s="30" t="n">
        <f aca="false">Sens!C11432*IF(Sens!G11425-Sens!C11425=life_it,1,0)+Sens!D11432*IF(Sens!G11425-Sens!D11425=life_it,1,0)+Sens!E11432*IF(Sens!G11425-Sens!E11425=life_it,1,0)+Sens!F11432*IF(Sens!G11425-Sens!F11425=life_it,1,0)</f>
        <v>0</v>
      </c>
      <c r="H11453" s="30" t="n">
        <f aca="false">Sens!C11432*IF(Sens!H11425-Sens!C11425=life_it,1,0)+Sens!D11432*IF(Sens!H11425-Sens!D11425=life_it,1,0)+Sens!E11432*IF(Sens!H11425-Sens!E11425=life_it,1,0)+Sens!F11432*IF(Sens!H11425-Sens!F11425=life_it,1,0)+Sens!G11432*IF(Sens!H11425-Sens!G11425=life_it,1,0)</f>
        <v>0</v>
      </c>
      <c r="I11453" s="30" t="n">
        <f aca="false">Sens!C11432*IF(Sens!I11425-Sens!C11425=life_it,1,0)+Sens!D11432*IF(Sens!I11425-Sens!D11425=life_it,1,0)+Sens!E11432*IF(Sens!I11425-Sens!E11425=life_it,1,0)+Sens!F11432*IF(Sens!I11425-Sens!F11425=life_it,1,0)+Sens!G11432*IF(Sens!I11425-Sens!G11425=life_it,1,0)+Sens!H11432*IF(Sens!I11425-Sens!H11425=life_it,1,0)</f>
        <v>816.666666666667</v>
      </c>
      <c r="J11453" s="30" t="n">
        <f aca="false">Sens!C11432*IF(Sens!J11425-Sens!C11425=life_it,1,0)+Sens!D11432*IF(Sens!J11425-Sens!D11425=life_it,1,0)+Sens!E11432*IF(Sens!J11425-Sens!E11425=life_it,1,0)+Sens!F11432*IF(Sens!J11425-Sens!F11425=life_it,1,0)+Sens!G11432*IF(Sens!J11425-Sens!G11425=life_it,1,0)+Sens!H11432*IF(Sens!J11425-Sens!H11425=life_it,1,0)+Sens!I11432*IF(Sens!J11425-Sens!I11425=life_it,1,0)</f>
        <v>1233.33333333333</v>
      </c>
      <c r="K11453" s="30" t="n">
        <f aca="false">Sens!C11432*IF(Sens!K11425-Sens!C11425=life_it,1,0)+Sens!D11432*IF(Sens!K11425-Sens!D11425=life_it,1,0)+Sens!E11432*IF(Sens!K11425-Sens!E11425=life_it,1,0)+Sens!F11432*IF(Sens!K11425-Sens!F11425=life_it,1,0)+Sens!G11432*IF(Sens!K11425-Sens!G11425=life_it,1,0)+Sens!H11432*IF(Sens!K11425-Sens!H11425=life_it,1,0)+Sens!I11432*IF(Sens!K11425-Sens!I11425=life_it,1,0)+Sens!J11432*IF(Sens!K11425-Sens!J11425=life_it,1,0)</f>
        <v>2450</v>
      </c>
      <c r="L11453" s="1" t="s">
        <v>990</v>
      </c>
    </row>
    <row r="11454" customFormat="false" ht="17.15" hidden="false" customHeight="false" outlineLevel="0" collapsed="false">
      <c r="A11454" s="0" t="s">
        <v>991</v>
      </c>
      <c r="B11454" s="0" t="s">
        <v>98</v>
      </c>
      <c r="C11454" s="6" t="n">
        <f aca="false">Sens!C11432*Sens!C11452/1000</f>
        <v>22.5333845916667</v>
      </c>
      <c r="D11454" s="6" t="n">
        <f aca="false">Sens!D11432*Sens!D11452/1000</f>
        <v>34.0300093833333</v>
      </c>
      <c r="E11454" s="6" t="n">
        <f aca="false">Sens!E11432*Sens!E11452/1000</f>
        <v>67.600153775</v>
      </c>
      <c r="F11454" s="6" t="n">
        <f aca="false">(Sens!F11432+Sens!F11453)*Sens!F11452/1000</f>
        <v>136.51872432512</v>
      </c>
      <c r="G11454" s="6" t="n">
        <f aca="false">(Sens!G11432+Sens!G11453)*Sens!G11452/1000</f>
        <v>157.399275932048</v>
      </c>
      <c r="H11454" s="6" t="n">
        <f aca="false">(Sens!H11432+Sens!H11453)*Sens!H11452/1000</f>
        <v>162.260804347512</v>
      </c>
      <c r="I11454" s="6" t="n">
        <f aca="false">(Sens!I11432+Sens!I11453)*Sens!I11452/1000</f>
        <v>144.136569485434</v>
      </c>
      <c r="J11454" s="6" t="n">
        <f aca="false">(Sens!J11432+Sens!J11453)*Sens!J11452/1000</f>
        <v>114.029037357864</v>
      </c>
      <c r="K11454" s="6" t="n">
        <f aca="false">(Sens!K11432+Sens!K11453)*Sens!K11452/1000</f>
        <v>113.437085350975</v>
      </c>
    </row>
    <row r="11455" customFormat="false" ht="17.15" hidden="false" customHeight="false" outlineLevel="0" collapsed="false">
      <c r="A11455" s="0" t="s">
        <v>992</v>
      </c>
      <c r="B11455" s="0" t="s">
        <v>98</v>
      </c>
      <c r="C11455" s="6" t="n">
        <f aca="false">Sens!C11432*self_build*tk_cxfac/1000</f>
        <v>6.2083</v>
      </c>
      <c r="D11455" s="6" t="n">
        <f aca="false">Sens!D11432*self_build*tk_cxfac/1000</f>
        <v>9.3758</v>
      </c>
      <c r="E11455" s="6" t="n">
        <f aca="false">Sens!E11432*self_build*tk_cxfac/1000</f>
        <v>18.6249</v>
      </c>
      <c r="F11455" s="6" t="n">
        <f aca="false">Sens!F11432*self_build*tk_cxfac/1000</f>
        <v>31.935179717</v>
      </c>
      <c r="G11455" s="6" t="n">
        <f aca="false">Sens!G11432*self_build*tk_cxfac/1000</f>
        <v>34.545199717</v>
      </c>
      <c r="H11455" s="6" t="n">
        <f aca="false">Sens!H11432*self_build*tk_cxfac/1000</f>
        <v>34.545199717</v>
      </c>
      <c r="I11455" s="6" t="n">
        <f aca="false">Sens!I11432*self_build*tk_cxfac/1000</f>
        <v>24.4782641361767</v>
      </c>
      <c r="J11455" s="6" t="n">
        <f aca="false">Sens!J11432*self_build*tk_cxfac/1000</f>
        <v>14.9008938380769</v>
      </c>
      <c r="K11455" s="6" t="n">
        <f aca="false">Sens!K11432*self_build*tk_cxfac/1000</f>
        <v>5.52576771375761</v>
      </c>
    </row>
    <row r="11456" customFormat="false" ht="17.15" hidden="false" customHeight="false" outlineLevel="0" collapsed="false">
      <c r="A11456" s="0" t="s">
        <v>993</v>
      </c>
      <c r="B11456" s="0" t="s">
        <v>98</v>
      </c>
      <c r="F11456" s="15" t="n">
        <f aca="false">capex_floor27-Sens!F11454-Sens!F11455-Sens!F11552</f>
        <v>0.0508338452575643</v>
      </c>
      <c r="L11456" s="12" t="s">
        <v>994</v>
      </c>
    </row>
    <row r="11457" customFormat="false" ht="17.15" hidden="false" customHeight="false" outlineLevel="0" collapsed="false">
      <c r="A11457" s="0" t="s">
        <v>995</v>
      </c>
      <c r="B11457" s="0" t="s">
        <v>98</v>
      </c>
      <c r="F11457" s="6" t="n">
        <f aca="false">MAX(0,Sens!F11456)</f>
        <v>0.0508338452575643</v>
      </c>
    </row>
    <row r="11458" customFormat="false" ht="17.15" hidden="false" customHeight="false" outlineLevel="0" collapsed="false">
      <c r="A11458" s="0" t="s">
        <v>996</v>
      </c>
      <c r="B11458" s="0" t="s">
        <v>98</v>
      </c>
      <c r="C11458" s="6" t="n">
        <f aca="false">Sens!C11454</f>
        <v>22.5333845916667</v>
      </c>
      <c r="D11458" s="6" t="n">
        <f aca="false">Sens!D11454</f>
        <v>34.0300093833333</v>
      </c>
      <c r="E11458" s="6" t="n">
        <f aca="false">Sens!E11454</f>
        <v>67.600153775</v>
      </c>
      <c r="F11458" s="6" t="n">
        <f aca="false">Sens!F11454</f>
        <v>136.51872432512</v>
      </c>
      <c r="G11458" s="6" t="n">
        <f aca="false">Sens!G11454</f>
        <v>157.399275932048</v>
      </c>
      <c r="H11458" s="6" t="n">
        <f aca="false">Sens!H11454</f>
        <v>162.260804347512</v>
      </c>
      <c r="I11458" s="6" t="n">
        <f aca="false">Sens!I11454</f>
        <v>144.136569485434</v>
      </c>
      <c r="J11458" s="6" t="n">
        <f aca="false">Sens!J11454</f>
        <v>114.029037357864</v>
      </c>
      <c r="K11458" s="6" t="n">
        <f aca="false">Sens!K11454</f>
        <v>113.437085350975</v>
      </c>
    </row>
    <row r="11459" customFormat="false" ht="17.15" hidden="false" customHeight="false" outlineLevel="0" collapsed="false">
      <c r="A11459" s="0" t="s">
        <v>997</v>
      </c>
      <c r="B11459" s="0" t="s">
        <v>98</v>
      </c>
      <c r="C11459" s="6" t="n">
        <f aca="false">Sens!C11458+Sens!C11455</f>
        <v>28.7416845916667</v>
      </c>
      <c r="D11459" s="6" t="n">
        <f aca="false">Sens!D11458+Sens!D11455</f>
        <v>43.4058093833333</v>
      </c>
      <c r="E11459" s="6" t="n">
        <f aca="false">Sens!E11458+Sens!E11455</f>
        <v>86.225053775</v>
      </c>
      <c r="F11459" s="6" t="n">
        <f aca="false">Sens!F11458+Sens!F11455</f>
        <v>168.45390404212</v>
      </c>
      <c r="G11459" s="6" t="n">
        <f aca="false">Sens!G11458+Sens!G11455</f>
        <v>191.944475649048</v>
      </c>
      <c r="H11459" s="6" t="n">
        <f aca="false">Sens!H11458+Sens!H11455</f>
        <v>196.806004064512</v>
      </c>
      <c r="I11459" s="6" t="n">
        <f aca="false">Sens!I11458+Sens!I11455</f>
        <v>168.61483362161</v>
      </c>
      <c r="J11459" s="6" t="n">
        <f aca="false">Sens!J11458+Sens!J11455</f>
        <v>128.92993119594</v>
      </c>
      <c r="K11459" s="6" t="n">
        <f aca="false">Sens!K11458+Sens!K11455</f>
        <v>118.962853064733</v>
      </c>
      <c r="L11459" s="12" t="s">
        <v>998</v>
      </c>
    </row>
    <row r="11460" customFormat="false" ht="17.15" hidden="false" customHeight="false" outlineLevel="0" collapsed="false">
      <c r="A11460" s="0" t="s">
        <v>999</v>
      </c>
      <c r="B11460" s="0" t="s">
        <v>98</v>
      </c>
      <c r="E11460" s="6" t="n">
        <f aca="false">(Sens!C11458*IF(2&lt;life_it,1,IF(2=life_it,0.5,0))+Sens!D11458*IF(1&lt;life_it,1,IF(1=life_it,0.5,0))+Sens!E11458*0.5)/life_it</f>
        <v>15.0605784770833</v>
      </c>
      <c r="F11460" s="6" t="n">
        <f aca="false">(Sens!C11458*IF(3&lt;life_it,1,IF(3=life_it,0.5,0))+Sens!D11458*IF(2&lt;life_it,1,IF(2=life_it,0.5,0))+Sens!E11458*IF(1&lt;life_it,1,IF(1=life_it,0.5,0))+Sens!F11458*0.5)/life_it</f>
        <v>32.0704849854266</v>
      </c>
      <c r="G11460" s="6" t="n">
        <f aca="false">(Sens!C11458*IF(4&lt;life_it,1,IF(4=life_it,0.5,0))+Sens!D11458*IF(3&lt;life_it,1,IF(3=life_it,0.5,0))+Sens!E11458*IF(2&lt;life_it,1,IF(2=life_it,0.5,0))+Sens!F11458*IF(1&lt;life_it,1,IF(1=life_it,0.5,0))+Sens!G11458*0.5)/life_it</f>
        <v>56.5636516735239</v>
      </c>
      <c r="H11460" s="6" t="n">
        <f aca="false">(Sens!C11458*IF(5&lt;life_it,1,IF(5=life_it,0.5,0))+Sens!D11458*IF(4&lt;life_it,1,IF(4=life_it,0.5,0))+Sens!E11458*IF(3&lt;life_it,1,IF(3=life_it,0.5,0))+Sens!F11458*IF(2&lt;life_it,1,IF(2=life_it,0.5,0))+Sens!G11458*IF(1&lt;life_it,1,IF(1=life_it,0.5,0))+Sens!H11458*0.5)/life_it</f>
        <v>83.2019916968207</v>
      </c>
      <c r="I11460" s="6" t="n">
        <f aca="false">(Sens!C11458*IF(6&lt;life_it,1,IF(6=life_it,0.5,0))+Sens!D11458*IF(5&lt;life_it,1,IF(5=life_it,0.5,0))+Sens!E11458*IF(4&lt;life_it,1,IF(4=life_it,0.5,0))+Sens!F11458*IF(3&lt;life_it,1,IF(3=life_it,0.5,0))+Sens!G11458*IF(2&lt;life_it,1,IF(2=life_it,0.5,0))+Sens!H11458*IF(1&lt;life_it,1,IF(1=life_it,0.5,0))+Sens!I11458*0.5)/life_it</f>
        <v>106.857324133594</v>
      </c>
      <c r="J11460" s="6" t="n">
        <f aca="false">(Sens!C11458*IF(7&lt;life_it,1,IF(7=life_it,0.5,0))+Sens!D11458*IF(6&lt;life_it,1,IF(6=life_it,0.5,0))+Sens!E11458*IF(5&lt;life_it,1,IF(5=life_it,0.5,0))+Sens!F11458*IF(4&lt;life_it,1,IF(4=life_it,0.5,0))+Sens!G11458*IF(3&lt;life_it,1,IF(3=life_it,0.5,0))+Sens!H11458*IF(2&lt;life_it,1,IF(2=life_it,0.5,0))+Sens!I11458*IF(1&lt;life_it,1,IF(1=life_it,0.5,0))+Sens!J11458*0.5)/life_it</f>
        <v>123.657508539285</v>
      </c>
      <c r="K11460" s="6" t="n">
        <f aca="false">(Sens!C11458*IF(8&lt;life_it,1,IF(8=life_it,0.5,0))+Sens!D11458*IF(7&lt;life_it,1,IF(7=life_it,0.5,0))+Sens!E11458*IF(6&lt;life_it,1,IF(6=life_it,0.5,0))+Sens!F11458*IF(5&lt;life_it,1,IF(5=life_it,0.5,0))+Sens!G11458*IF(4&lt;life_it,1,IF(4=life_it,0.5,0))+Sens!H11458*IF(3&lt;life_it,1,IF(3=life_it,0.5,0))+Sens!I11458*IF(2&lt;life_it,1,IF(2=life_it,0.5,0))+Sens!J11458*IF(1&lt;life_it,1,IF(1=life_it,0.5,0))+Sens!K11458*0.5)/life_it</f>
        <v>134.143838501827</v>
      </c>
    </row>
    <row r="11461" customFormat="false" ht="17.15" hidden="false" customHeight="false" outlineLevel="0" collapsed="false">
      <c r="A11461" s="0" t="s">
        <v>1000</v>
      </c>
      <c r="B11461" s="0" t="s">
        <v>98</v>
      </c>
      <c r="E11461" s="6" t="n">
        <f aca="false">(Sens!C11455*IF(2&lt;life_fac,1,IF(2=life_fac,0.5,0))+Sens!D11455*IF(1&lt;life_fac,1,IF(1=life_fac,0.5,0))+Sens!E11455*0.5)/life_fac</f>
        <v>1.2448275</v>
      </c>
      <c r="F11461" s="6" t="n">
        <f aca="false">(Sens!C11455*IF(3&lt;life_fac,1,IF(3=life_fac,0.5,0))+Sens!D11455*IF(2&lt;life_fac,1,IF(2=life_fac,0.5,0))+Sens!E11455*IF(1&lt;life_fac,1,IF(1=life_fac,0.5,0))+Sens!F11455*0.5)/life_fac</f>
        <v>2.508829492925</v>
      </c>
      <c r="G11461" s="6" t="n">
        <f aca="false">(Sens!C11455*IF(4&lt;life_fac,1,IF(4=life_fac,0.5,0))+Sens!D11455*IF(3&lt;life_fac,1,IF(3=life_fac,0.5,0))+Sens!E11455*IF(2&lt;life_fac,1,IF(2=life_fac,0.5,0))+Sens!F11455*IF(1&lt;life_fac,1,IF(1=life_fac,0.5,0))+Sens!G11455*0.5)/life_fac</f>
        <v>4.170838978775</v>
      </c>
      <c r="H11461" s="6" t="n">
        <f aca="false">(Sens!C11455*IF(5&lt;life_fac,1,IF(5=life_fac,0.5,0))+Sens!D11455*IF(4&lt;life_fac,1,IF(4=life_fac,0.5,0))+Sens!E11455*IF(3&lt;life_fac,1,IF(3=life_fac,0.5,0))+Sens!F11455*IF(2&lt;life_fac,1,IF(2=life_fac,0.5,0))+Sens!G11455*IF(1&lt;life_fac,1,IF(1=life_fac,0.5,0))+Sens!H11455*0.5)/life_fac</f>
        <v>5.898098964625</v>
      </c>
      <c r="I11461" s="6" t="n">
        <f aca="false">(Sens!C11455*IF(6&lt;life_fac,1,IF(6=life_fac,0.5,0))+Sens!D11455*IF(5&lt;life_fac,1,IF(5=life_fac,0.5,0))+Sens!E11455*IF(4&lt;life_fac,1,IF(4=life_fac,0.5,0))+Sens!F11455*IF(3&lt;life_fac,1,IF(3=life_fac,0.5,0))+Sens!G11455*IF(2&lt;life_fac,1,IF(2=life_fac,0.5,0))+Sens!H11455*IF(1&lt;life_fac,1,IF(1=life_fac,0.5,0))+Sens!I11455*0.5)/life_fac</f>
        <v>7.37368556095442</v>
      </c>
      <c r="J11461" s="6" t="n">
        <f aca="false">(Sens!C11455*IF(7&lt;life_fac,1,IF(7=life_fac,0.5,0))+Sens!D11455*IF(6&lt;life_fac,1,IF(6=life_fac,0.5,0))+Sens!E11455*IF(5&lt;life_fac,1,IF(5=life_fac,0.5,0))+Sens!F11455*IF(4&lt;life_fac,1,IF(4=life_fac,0.5,0))+Sens!G11455*IF(3&lt;life_fac,1,IF(3=life_fac,0.5,0))+Sens!H11455*IF(2&lt;life_fac,1,IF(2=life_fac,0.5,0))+Sens!I11455*IF(1&lt;life_fac,1,IF(1=life_fac,0.5,0))+Sens!J11455*0.5)/life_fac</f>
        <v>8.35816451031075</v>
      </c>
      <c r="K11461" s="6" t="n">
        <f aca="false">(Sens!C11455*IF(8&lt;life_fac,1,IF(8=life_fac,0.5,0))+Sens!D11455*IF(7&lt;life_fac,1,IF(7=life_fac,0.5,0))+Sens!E11455*IF(6&lt;life_fac,1,IF(6=life_fac,0.5,0))+Sens!F11455*IF(5&lt;life_fac,1,IF(5=life_fac,0.5,0))+Sens!G11455*IF(4&lt;life_fac,1,IF(4=life_fac,0.5,0))+Sens!H11455*IF(3&lt;life_fac,1,IF(3=life_fac,0.5,0))+Sens!I11455*IF(2&lt;life_fac,1,IF(2=life_fac,0.5,0))+Sens!J11455*IF(1&lt;life_fac,1,IF(1=life_fac,0.5,0))+Sens!K11455*0.5)/life_fac</f>
        <v>8.86883104910662</v>
      </c>
    </row>
    <row r="11462" customFormat="false" ht="17.15" hidden="false" customHeight="false" outlineLevel="0" collapsed="false">
      <c r="A11462" s="0" t="s">
        <v>1001</v>
      </c>
      <c r="B11462" s="0" t="s">
        <v>98</v>
      </c>
      <c r="E11462" s="6" t="n">
        <f aca="false">Sens!E11460+Sens!E11461</f>
        <v>16.3054059770833</v>
      </c>
      <c r="F11462" s="6" t="n">
        <f aca="false">Sens!F11460+Sens!F11461</f>
        <v>34.5793144783516</v>
      </c>
      <c r="G11462" s="6" t="n">
        <f aca="false">Sens!G11460+Sens!G11461</f>
        <v>60.7344906522989</v>
      </c>
      <c r="H11462" s="6" t="n">
        <f aca="false">Sens!H11460+Sens!H11461</f>
        <v>89.1000906614457</v>
      </c>
      <c r="I11462" s="6" t="n">
        <f aca="false">Sens!I11460+Sens!I11461</f>
        <v>114.231009694548</v>
      </c>
      <c r="J11462" s="6" t="n">
        <f aca="false">Sens!J11460+Sens!J11461</f>
        <v>132.015673049596</v>
      </c>
      <c r="K11462" s="6" t="n">
        <f aca="false">Sens!K11460+Sens!K11461</f>
        <v>143.012669550934</v>
      </c>
    </row>
    <row r="11463" customFormat="false" ht="17.15" hidden="false" customHeight="false" outlineLevel="0" collapsed="false">
      <c r="A11463" s="0" t="s">
        <v>1002</v>
      </c>
      <c r="B11463" s="0" t="s">
        <v>98</v>
      </c>
      <c r="E11463" s="6" t="n">
        <f aca="false">Sens!E11450-Sens!E11449*Sens!E11462</f>
        <v>8.92707889977379</v>
      </c>
      <c r="F11463" s="6" t="n">
        <f aca="false">Sens!F11450-Sens!F11449*Sens!F11462</f>
        <v>22.4686207259278</v>
      </c>
      <c r="G11463" s="6" t="n">
        <f aca="false">Sens!G11450-Sens!G11449*Sens!G11462</f>
        <v>43.2797528675735</v>
      </c>
      <c r="H11463" s="6" t="n">
        <f aca="false">Sens!H11450-Sens!H11449*Sens!H11462</f>
        <v>69.3477099347341</v>
      </c>
      <c r="I11463" s="6" t="n">
        <f aca="false">Sens!I11450-Sens!I11449*Sens!I11462</f>
        <v>86.8523667140836</v>
      </c>
      <c r="J11463" s="6" t="n">
        <f aca="false">Sens!J11450-Sens!J11449*Sens!J11462</f>
        <v>98.9882647234202</v>
      </c>
      <c r="K11463" s="6" t="n">
        <f aca="false">Sens!K11450-Sens!K11449*Sens!K11462</f>
        <v>106.918985011399</v>
      </c>
    </row>
    <row r="11464" customFormat="false" ht="17.15" hidden="false" customHeight="false" outlineLevel="0" collapsed="false">
      <c r="A11464" s="3" t="s">
        <v>1766</v>
      </c>
    </row>
    <row r="11465" customFormat="false" ht="15" hidden="false" customHeight="false" outlineLevel="0" collapsed="false">
      <c r="A11465" s="4" t="s">
        <v>43</v>
      </c>
      <c r="B11465" s="4" t="s">
        <v>65</v>
      </c>
      <c r="C11465" s="23" t="s">
        <v>938</v>
      </c>
      <c r="D11465" s="23" t="s">
        <v>939</v>
      </c>
      <c r="E11465" s="23" t="s">
        <v>940</v>
      </c>
      <c r="F11465" s="23" t="s">
        <v>941</v>
      </c>
      <c r="G11465" s="23" t="s">
        <v>942</v>
      </c>
      <c r="H11465" s="23" t="s">
        <v>943</v>
      </c>
      <c r="I11465" s="23" t="s">
        <v>944</v>
      </c>
      <c r="J11465" s="23" t="s">
        <v>945</v>
      </c>
      <c r="K11465" s="23" t="s">
        <v>946</v>
      </c>
      <c r="L11465" s="4" t="s">
        <v>47</v>
      </c>
    </row>
    <row r="11466" customFormat="false" ht="17.15" hidden="false" customHeight="false" outlineLevel="0" collapsed="false">
      <c r="A11466" s="0" t="s">
        <v>1021</v>
      </c>
      <c r="B11466" s="0" t="s">
        <v>98</v>
      </c>
      <c r="D11466" s="6" t="n">
        <f aca="false">Sens!D11444</f>
        <v>12.9359794422418</v>
      </c>
      <c r="E11466" s="6" t="n">
        <f aca="false">Sens!E11444</f>
        <v>27.8095064661409</v>
      </c>
      <c r="F11466" s="6" t="n">
        <f aca="false">Sens!F11444</f>
        <v>59.1034165651511</v>
      </c>
      <c r="G11466" s="6" t="n">
        <f aca="false">Sens!G11444</f>
        <v>103.451498789198</v>
      </c>
      <c r="H11466" s="6" t="n">
        <f aca="false">Sens!H11444</f>
        <v>153.816719989035</v>
      </c>
      <c r="I11466" s="6" t="n">
        <f aca="false">Sens!I11444</f>
        <v>192.699478690852</v>
      </c>
      <c r="J11466" s="6" t="n">
        <f aca="false">Sens!J11444</f>
        <v>219.794102584244</v>
      </c>
      <c r="K11466" s="6" t="n">
        <f aca="false">Sens!K11444</f>
        <v>236.757046905022</v>
      </c>
    </row>
    <row r="11467" customFormat="false" ht="17.15" hidden="false" customHeight="false" outlineLevel="0" collapsed="false">
      <c r="A11467" s="0" t="s">
        <v>1022</v>
      </c>
      <c r="B11467" s="0" t="s">
        <v>98</v>
      </c>
      <c r="D11467" s="6" t="n">
        <f aca="false">Q!L6-Sens!D11466</f>
        <v>59.6740205577583</v>
      </c>
      <c r="E11467" s="6" t="n">
        <f aca="false">Q!M6-Sens!E11466</f>
        <v>74.1284935338591</v>
      </c>
      <c r="F11467" s="6" t="n">
        <f aca="false">Q!$I$6+(Sens!F11466+Sens!E11467*(1+Sens!F11468))*(1-Q!$E$6/Q!M6)-Sens!F11466</f>
        <v>90.4866018070994</v>
      </c>
      <c r="G11467" s="6" t="n">
        <f aca="false">Sens!F11467*(1+Sens!G11468)</f>
        <v>107.511588557154</v>
      </c>
      <c r="H11467" s="6" t="n">
        <f aca="false">Sens!G11467*(1+Sens!H11468)</f>
        <v>124.832989325489</v>
      </c>
      <c r="I11467" s="6" t="n">
        <f aca="false">Sens!H11467*(1+Sens!I11468)</f>
        <v>141.56992589148</v>
      </c>
      <c r="J11467" s="6" t="n">
        <f aca="false">Sens!I11467*(1+Sens!J11468)</f>
        <v>156.723190479428</v>
      </c>
      <c r="K11467" s="6" t="n">
        <f aca="false">Sens!J11467*(1+Sens!K11468)</f>
        <v>169.261045717783</v>
      </c>
      <c r="L11467" s="12" t="s">
        <v>1023</v>
      </c>
    </row>
    <row r="11468" customFormat="false" ht="15" hidden="false" customHeight="false" outlineLevel="0" collapsed="false">
      <c r="A11468" s="1" t="s">
        <v>1024</v>
      </c>
      <c r="B11468" s="0" t="s">
        <v>168</v>
      </c>
      <c r="E11468" s="7" t="n">
        <f aca="false">Sens!E11467/Sens!D11467-1</f>
        <v>0.242223883039864</v>
      </c>
      <c r="F11468" s="7" t="n">
        <f aca="false">Sens!$E$11468+(glt_azo-Sens!$E$11468)*MIN(1,(Sens!F11425-base_fy)/n_conv)</f>
        <v>0.215186569199887</v>
      </c>
      <c r="G11468" s="7" t="n">
        <f aca="false">Sens!$E$11468+(glt_azo-Sens!$E$11468)*MIN(1,(Sens!G11425-base_fy)/n_conv)</f>
        <v>0.18814925535991</v>
      </c>
      <c r="H11468" s="7" t="n">
        <f aca="false">Sens!$E$11468+(glt_azo-Sens!$E$11468)*MIN(1,(Sens!H11425-base_fy)/n_conv)</f>
        <v>0.161111941519932</v>
      </c>
      <c r="I11468" s="7" t="n">
        <f aca="false">Sens!$E$11468+(glt_azo-Sens!$E$11468)*MIN(1,(Sens!I11425-base_fy)/n_conv)</f>
        <v>0.134074627679955</v>
      </c>
      <c r="J11468" s="7" t="n">
        <f aca="false">Sens!$E$11468+(glt_azo-Sens!$E$11468)*MIN(1,(Sens!J11425-base_fy)/n_conv)</f>
        <v>0.107037313839977</v>
      </c>
      <c r="K11468" s="7" t="n">
        <f aca="false">Sens!$E$11468+(glt_azo-Sens!$E$11468)*MIN(1,(Sens!K11425-base_fy)/n_conv)</f>
        <v>0.08</v>
      </c>
    </row>
    <row r="11469" customFormat="false" ht="15" hidden="false" customHeight="false" outlineLevel="0" collapsed="false">
      <c r="A11469" s="0" t="s">
        <v>1025</v>
      </c>
      <c r="B11469" s="0" t="s">
        <v>98</v>
      </c>
      <c r="D11469" s="6" t="n">
        <f aca="false">Sens!D11466+Sens!D11467</f>
        <v>72.61</v>
      </c>
      <c r="E11469" s="6" t="n">
        <f aca="false">Sens!E11466+Sens!E11467</f>
        <v>101.938</v>
      </c>
      <c r="F11469" s="6" t="n">
        <f aca="false">Sens!F11466+Sens!F11467</f>
        <v>149.59001837225</v>
      </c>
      <c r="G11469" s="6" t="n">
        <f aca="false">Sens!G11466+Sens!G11467</f>
        <v>210.963087346352</v>
      </c>
      <c r="H11469" s="6" t="n">
        <f aca="false">Sens!H11466+Sens!H11467</f>
        <v>278.649709314524</v>
      </c>
      <c r="I11469" s="6" t="n">
        <f aca="false">Sens!I11466+Sens!I11467</f>
        <v>334.269404582332</v>
      </c>
      <c r="J11469" s="6" t="n">
        <f aca="false">Sens!J11466+Sens!J11467</f>
        <v>376.517293063672</v>
      </c>
      <c r="K11469" s="6" t="n">
        <f aca="false">Sens!K11466+Sens!K11467</f>
        <v>406.018092622804</v>
      </c>
    </row>
    <row r="11470" customFormat="false" ht="17.15" hidden="false" customHeight="false" outlineLevel="0" collapsed="false">
      <c r="A11470" s="0" t="s">
        <v>1026</v>
      </c>
      <c r="B11470" s="1" t="s">
        <v>610</v>
      </c>
      <c r="C11470" s="30" t="n">
        <f aca="false">cop_s24</f>
        <v>1</v>
      </c>
      <c r="D11470" s="30" t="n">
        <f aca="false">cop_s25</f>
        <v>5</v>
      </c>
      <c r="E11470" s="30" t="n">
        <f aca="false">cop_s26</f>
        <v>30</v>
      </c>
      <c r="F11470" s="30" t="n">
        <f aca="false">Sens!E11470+cop_add_A</f>
        <v>60</v>
      </c>
      <c r="G11470" s="30" t="n">
        <f aca="false">Sens!F11470+cop_add_A</f>
        <v>90</v>
      </c>
      <c r="H11470" s="30" t="n">
        <f aca="false">Sens!G11470+cop_add_A</f>
        <v>120</v>
      </c>
      <c r="I11470" s="30" t="n">
        <f aca="false">Sens!H11470+cop_add_A*cop_tail</f>
        <v>135</v>
      </c>
      <c r="J11470" s="30" t="n">
        <f aca="false">Sens!I11470+cop_add_A*cop_tail</f>
        <v>150</v>
      </c>
      <c r="K11470" s="30" t="n">
        <f aca="false">Sens!J11470+cop_add_A*cop_tail</f>
        <v>165</v>
      </c>
      <c r="L11470" s="12" t="s">
        <v>1027</v>
      </c>
    </row>
    <row r="11471" customFormat="false" ht="17.15" hidden="false" customHeight="false" outlineLevel="0" collapsed="false">
      <c r="A11471" s="0" t="s">
        <v>1028</v>
      </c>
      <c r="B11471" s="0" t="s">
        <v>98</v>
      </c>
      <c r="D11471" s="6" t="n">
        <f aca="false">(Sens!C11470+Sens!D11470)/2*cop_px*12/1000</f>
        <v>0.9</v>
      </c>
      <c r="E11471" s="6" t="n">
        <f aca="false">(Sens!D11470+Sens!E11470)/2*cop_px*12/1000</f>
        <v>5.25</v>
      </c>
      <c r="F11471" s="6" t="n">
        <f aca="false">(Sens!E11470+Sens!F11470)/2*cop_px*12/1000</f>
        <v>13.5</v>
      </c>
      <c r="G11471" s="6" t="n">
        <f aca="false">(Sens!F11470+Sens!G11470)/2*cop_px*12/1000</f>
        <v>22.5</v>
      </c>
      <c r="H11471" s="6" t="n">
        <f aca="false">(Sens!G11470+Sens!H11470)/2*cop_px*12/1000</f>
        <v>31.5</v>
      </c>
      <c r="I11471" s="6" t="n">
        <f aca="false">(Sens!H11470+Sens!I11470)/2*cop_px*12/1000</f>
        <v>38.25</v>
      </c>
      <c r="J11471" s="6" t="n">
        <f aca="false">(Sens!I11470+Sens!J11470)/2*cop_px*12/1000</f>
        <v>42.75</v>
      </c>
      <c r="K11471" s="6" t="n">
        <f aca="false">(Sens!J11470+Sens!K11470)/2*cop_px*12/1000</f>
        <v>47.25</v>
      </c>
      <c r="L11471" s="1" t="s">
        <v>1029</v>
      </c>
    </row>
    <row r="11472" customFormat="false" ht="17.15" hidden="false" customHeight="false" outlineLevel="0" collapsed="false">
      <c r="A11472" s="0" t="s">
        <v>1030</v>
      </c>
      <c r="B11472" s="0" t="s">
        <v>98</v>
      </c>
      <c r="D11472" s="6" t="n">
        <f aca="false">Q!L7-Sens!D11471</f>
        <v>83.705</v>
      </c>
      <c r="E11472" s="6" t="n">
        <f aca="false">Q!M7-Sens!E11471</f>
        <v>95.049</v>
      </c>
      <c r="F11472" s="6" t="n">
        <f aca="false">Q!$I$7+(Sens!E11472*(1+Sens!F11473)+Sens!F11471)*(1-Q!$E$7/Q!M7)-Sens!F11471</f>
        <v>106.229653205718</v>
      </c>
      <c r="G11472" s="6" t="n">
        <f aca="false">Sens!F11472*(1+Sens!G11473)</f>
        <v>118.306092647576</v>
      </c>
      <c r="H11472" s="6" t="n">
        <f aca="false">Sens!G11472*(1+Sens!H11473)</f>
        <v>130.463437602768</v>
      </c>
      <c r="I11472" s="6" t="n">
        <f aca="false">Sens!H11472*(1+Sens!I11473)</f>
        <v>142.445354741933</v>
      </c>
      <c r="J11472" s="6" t="n">
        <f aca="false">Sens!I11472*(1+Sens!J11473)</f>
        <v>153.972117481571</v>
      </c>
      <c r="K11472" s="6" t="n">
        <f aca="false">Sens!J11472*(1+Sens!K11473)</f>
        <v>164.75016570528</v>
      </c>
      <c r="L11472" s="12" t="s">
        <v>1031</v>
      </c>
    </row>
    <row r="11473" customFormat="false" ht="15" hidden="false" customHeight="false" outlineLevel="0" collapsed="false">
      <c r="A11473" s="1" t="s">
        <v>1024</v>
      </c>
      <c r="B11473" s="0" t="s">
        <v>168</v>
      </c>
      <c r="E11473" s="7" t="n">
        <f aca="false">Sens!E11472/Sens!D11472-1</f>
        <v>0.135523564900544</v>
      </c>
      <c r="F11473" s="7" t="n">
        <f aca="false">Sens!$E$11473+(glt_m365b-Sens!$E$11473)*MIN(1,(Sens!F11425-base_fy)/n_conv)</f>
        <v>0.124602970750453</v>
      </c>
      <c r="G11473" s="7" t="n">
        <f aca="false">Sens!$E$11473+(glt_m365b-Sens!$E$11473)*MIN(1,(Sens!G11425-base_fy)/n_conv)</f>
        <v>0.113682376600363</v>
      </c>
      <c r="H11473" s="7" t="n">
        <f aca="false">Sens!$E$11473+(glt_m365b-Sens!$E$11473)*MIN(1,(Sens!H11425-base_fy)/n_conv)</f>
        <v>0.102761782450272</v>
      </c>
      <c r="I11473" s="7" t="n">
        <f aca="false">Sens!$E$11473+(glt_m365b-Sens!$E$11473)*MIN(1,(Sens!I11425-base_fy)/n_conv)</f>
        <v>0.0918411883001813</v>
      </c>
      <c r="J11473" s="7" t="n">
        <f aca="false">Sens!$E$11473+(glt_m365b-Sens!$E$11473)*MIN(1,(Sens!J11425-base_fy)/n_conv)</f>
        <v>0.0809205941500906</v>
      </c>
      <c r="K11473" s="7" t="n">
        <f aca="false">Sens!$E$11473+(glt_m365b-Sens!$E$11473)*MIN(1,(Sens!K11425-base_fy)/n_conv)</f>
        <v>0.07</v>
      </c>
    </row>
    <row r="11474" customFormat="false" ht="15" hidden="false" customHeight="false" outlineLevel="0" collapsed="false">
      <c r="A11474" s="0" t="s">
        <v>1032</v>
      </c>
      <c r="B11474" s="0" t="s">
        <v>98</v>
      </c>
      <c r="D11474" s="6" t="n">
        <f aca="false">Sens!D11472+Sens!D11471</f>
        <v>84.605</v>
      </c>
      <c r="E11474" s="6" t="n">
        <f aca="false">Sens!E11472+Sens!E11471</f>
        <v>100.299</v>
      </c>
      <c r="F11474" s="6" t="n">
        <f aca="false">Sens!F11472+Sens!F11471</f>
        <v>119.729653205718</v>
      </c>
      <c r="G11474" s="6" t="n">
        <f aca="false">Sens!G11472+Sens!G11471</f>
        <v>140.806092647576</v>
      </c>
      <c r="H11474" s="6" t="n">
        <f aca="false">Sens!H11472+Sens!H11471</f>
        <v>161.963437602768</v>
      </c>
      <c r="I11474" s="6" t="n">
        <f aca="false">Sens!I11472+Sens!I11471</f>
        <v>180.695354741933</v>
      </c>
      <c r="J11474" s="6" t="n">
        <f aca="false">Sens!J11472+Sens!J11471</f>
        <v>196.722117481571</v>
      </c>
      <c r="K11474" s="6" t="n">
        <f aca="false">Sens!K11472+Sens!K11471</f>
        <v>212.00016570528</v>
      </c>
    </row>
    <row r="11475" customFormat="false" ht="17.15" hidden="false" customHeight="false" outlineLevel="0" collapsed="false">
      <c r="A11475" s="0" t="s">
        <v>1033</v>
      </c>
      <c r="B11475" s="0" t="s">
        <v>98</v>
      </c>
      <c r="D11475" s="6" t="n">
        <f aca="false">Q!L8</f>
        <v>35.391</v>
      </c>
      <c r="E11475" s="6" t="n">
        <f aca="false">Q!M8</f>
        <v>37.285</v>
      </c>
      <c r="F11475" s="6" t="n">
        <f aca="false">Q!$I$8+(Q!M8-Q!$E$8)*(1+Sens!F11476)</f>
        <v>38.3851437782675</v>
      </c>
      <c r="G11475" s="6" t="n">
        <f aca="false">Sens!F11475*(1+Sens!G11476)</f>
        <v>40.0105353288615</v>
      </c>
      <c r="H11475" s="6" t="n">
        <f aca="false">Sens!G11475*(1+Sens!H11476)</f>
        <v>41.4812512033683</v>
      </c>
      <c r="I11475" s="6" t="n">
        <f aca="false">Sens!H11475*(1+Sens!I11476)</f>
        <v>42.7743107216329</v>
      </c>
      <c r="J11475" s="6" t="n">
        <f aca="false">Sens!I11475*(1+Sens!J11476)</f>
        <v>43.8687373064601</v>
      </c>
      <c r="K11475" s="6" t="n">
        <f aca="false">Sens!J11475*(1+Sens!K11476)</f>
        <v>44.7461120525893</v>
      </c>
      <c r="L11475" s="12" t="s">
        <v>1034</v>
      </c>
    </row>
    <row r="11476" customFormat="false" ht="15" hidden="false" customHeight="false" outlineLevel="0" collapsed="false">
      <c r="A11476" s="1" t="s">
        <v>1024</v>
      </c>
      <c r="B11476" s="0" t="s">
        <v>168</v>
      </c>
      <c r="E11476" s="7" t="n">
        <f aca="false">Sens!E11475/Sens!D11475-1</f>
        <v>0.0535164307309768</v>
      </c>
      <c r="F11476" s="7" t="n">
        <f aca="false">Sens!$E$11476+(glt_lic-Sens!$E$11476)*MIN(1,(Sens!F11425-base_fy)/n_conv)</f>
        <v>0.0479303589424807</v>
      </c>
      <c r="G11476" s="7" t="n">
        <f aca="false">Sens!$E$11476+(glt_lic-Sens!$E$11476)*MIN(1,(Sens!G11425-base_fy)/n_conv)</f>
        <v>0.0423442871539845</v>
      </c>
      <c r="H11476" s="7" t="n">
        <f aca="false">Sens!$E$11476+(glt_lic-Sens!$E$11476)*MIN(1,(Sens!H11425-base_fy)/n_conv)</f>
        <v>0.0367582153654884</v>
      </c>
      <c r="I11476" s="7" t="n">
        <f aca="false">Sens!$E$11476+(glt_lic-Sens!$E$11476)*MIN(1,(Sens!I11425-base_fy)/n_conv)</f>
        <v>0.0311721435769923</v>
      </c>
      <c r="J11476" s="7" t="n">
        <f aca="false">Sens!$E$11476+(glt_lic-Sens!$E$11476)*MIN(1,(Sens!J11425-base_fy)/n_conv)</f>
        <v>0.0255860717884961</v>
      </c>
      <c r="K11476" s="7" t="n">
        <f aca="false">Sens!$E$11476+(glt_lic-Sens!$E$11476)*MIN(1,(Sens!K11425-base_fy)/n_conv)</f>
        <v>0.02</v>
      </c>
    </row>
    <row r="11477" customFormat="false" ht="17.15" hidden="false" customHeight="false" outlineLevel="0" collapsed="false">
      <c r="A11477" s="0" t="s">
        <v>1035</v>
      </c>
      <c r="B11477" s="0" t="s">
        <v>98</v>
      </c>
      <c r="D11477" s="6" t="n">
        <f aca="false">Q!L9</f>
        <v>18.417</v>
      </c>
      <c r="E11477" s="6" t="n">
        <f aca="false">Q!M9</f>
        <v>20.345</v>
      </c>
      <c r="F11477" s="6" t="n">
        <f aca="false">Q!$I$9+(Q!M9-Q!$E$9)*(1+Sens!F11478)</f>
        <v>22.3161797133988</v>
      </c>
      <c r="G11477" s="6" t="n">
        <f aca="false">Sens!F11477*(1+Sens!G11478)</f>
        <v>24.3943499673233</v>
      </c>
      <c r="H11477" s="6" t="n">
        <f aca="false">Sens!G11477*(1+Sens!H11478)</f>
        <v>26.5250243109019</v>
      </c>
      <c r="I11477" s="6" t="n">
        <f aca="false">Sens!H11477*(1+Sens!I11478)</f>
        <v>28.6884573538181</v>
      </c>
      <c r="J11477" s="6" t="n">
        <f aca="false">Sens!I11477*(1+Sens!J11478)</f>
        <v>30.8624968052127</v>
      </c>
      <c r="K11477" s="6" t="n">
        <f aca="false">Sens!J11477*(1+Sens!K11478)</f>
        <v>33.0228715815776</v>
      </c>
      <c r="L11477" s="12" t="s">
        <v>1034</v>
      </c>
    </row>
    <row r="11478" customFormat="false" ht="15" hidden="false" customHeight="false" outlineLevel="0" collapsed="false">
      <c r="A11478" s="1" t="s">
        <v>1024</v>
      </c>
      <c r="B11478" s="0" t="s">
        <v>168</v>
      </c>
      <c r="E11478" s="7" t="n">
        <f aca="false">Sens!E11477/Sens!D11477-1</f>
        <v>0.104685888038225</v>
      </c>
      <c r="F11478" s="7" t="n">
        <f aca="false">Sens!$E$11478+(glt_ind-Sens!$E$11478)*MIN(1,(Sens!F11425-base_fy)/n_conv)</f>
        <v>0.0989049066985211</v>
      </c>
      <c r="G11478" s="7" t="n">
        <f aca="false">Sens!$E$11478+(glt_ind-Sens!$E$11478)*MIN(1,(Sens!G11425-base_fy)/n_conv)</f>
        <v>0.0931239253588169</v>
      </c>
      <c r="H11478" s="7" t="n">
        <f aca="false">Sens!$E$11478+(glt_ind-Sens!$E$11478)*MIN(1,(Sens!H11425-base_fy)/n_conv)</f>
        <v>0.0873429440191127</v>
      </c>
      <c r="I11478" s="7" t="n">
        <f aca="false">Sens!$E$11478+(glt_ind-Sens!$E$11478)*MIN(1,(Sens!I11425-base_fy)/n_conv)</f>
        <v>0.0815619626794085</v>
      </c>
      <c r="J11478" s="7" t="n">
        <f aca="false">Sens!$E$11478+(glt_ind-Sens!$E$11478)*MIN(1,(Sens!J11425-base_fy)/n_conv)</f>
        <v>0.0757809813397042</v>
      </c>
      <c r="K11478" s="7" t="n">
        <f aca="false">Sens!$E$11478+(glt_ind-Sens!$E$11478)*MIN(1,(Sens!K11425-base_fy)/n_conv)</f>
        <v>0.07</v>
      </c>
    </row>
    <row r="11479" customFormat="false" ht="17.15" hidden="false" customHeight="false" outlineLevel="0" collapsed="false">
      <c r="A11479" s="0" t="s">
        <v>1036</v>
      </c>
      <c r="B11479" s="0" t="s">
        <v>98</v>
      </c>
      <c r="D11479" s="6" t="n">
        <f aca="false">Q!L10</f>
        <v>7.76</v>
      </c>
      <c r="E11479" s="6" t="n">
        <f aca="false">Q!M10</f>
        <v>8.26</v>
      </c>
      <c r="F11479" s="6" t="n">
        <f aca="false">Q!$I$10+(Q!M10-Q!$E$10)*(1+Sens!F11480)</f>
        <v>8.75372082474227</v>
      </c>
      <c r="G11479" s="6" t="n">
        <f aca="false">Sens!F11479*(1+Sens!G11480)</f>
        <v>9.33399324642364</v>
      </c>
      <c r="H11479" s="6" t="n">
        <f aca="false">Sens!G11479*(1+Sens!H11480)</f>
        <v>9.96139155535851</v>
      </c>
      <c r="I11479" s="6" t="n">
        <f aca="false">Sens!H11479*(1+Sens!I11480)</f>
        <v>10.6402039077391</v>
      </c>
      <c r="J11479" s="6" t="n">
        <f aca="false">Sens!I11479*(1+Sens!J11480)</f>
        <v>11.3751458271397</v>
      </c>
      <c r="K11479" s="6" t="n">
        <f aca="false">Sens!J11479*(1+Sens!K11480)</f>
        <v>12.1714060350394</v>
      </c>
      <c r="L11479" s="12" t="s">
        <v>1034</v>
      </c>
    </row>
    <row r="11480" customFormat="false" ht="15" hidden="false" customHeight="false" outlineLevel="0" collapsed="false">
      <c r="A11480" s="1" t="s">
        <v>1024</v>
      </c>
      <c r="B11480" s="0" t="s">
        <v>168</v>
      </c>
      <c r="E11480" s="7" t="n">
        <f aca="false">Sens!E11479/Sens!D11479-1</f>
        <v>0.0644329896907216</v>
      </c>
      <c r="F11480" s="7" t="n">
        <f aca="false">Sens!$E$11480+(glt_fro-Sens!$E$11480)*MIN(1,(Sens!F11425-base_fy)/n_conv)</f>
        <v>0.065360824742268</v>
      </c>
      <c r="G11480" s="7" t="n">
        <f aca="false">Sens!$E$11480+(glt_fro-Sens!$E$11480)*MIN(1,(Sens!G11425-base_fy)/n_conv)</f>
        <v>0.0662886597938144</v>
      </c>
      <c r="H11480" s="7" t="n">
        <f aca="false">Sens!$E$11480+(glt_fro-Sens!$E$11480)*MIN(1,(Sens!H11425-base_fy)/n_conv)</f>
        <v>0.0672164948453608</v>
      </c>
      <c r="I11480" s="7" t="n">
        <f aca="false">Sens!$E$11480+(glt_fro-Sens!$E$11480)*MIN(1,(Sens!I11425-base_fy)/n_conv)</f>
        <v>0.0681443298969072</v>
      </c>
      <c r="J11480" s="7" t="n">
        <f aca="false">Sens!$E$11480+(glt_fro-Sens!$E$11480)*MIN(1,(Sens!J11425-base_fy)/n_conv)</f>
        <v>0.0690721649484536</v>
      </c>
      <c r="K11480" s="7" t="n">
        <f aca="false">Sens!$E$11480+(glt_fro-Sens!$E$11480)*MIN(1,(Sens!K11425-base_fy)/n_conv)</f>
        <v>0.07</v>
      </c>
    </row>
    <row r="11481" customFormat="false" ht="15" hidden="false" customHeight="false" outlineLevel="0" collapsed="false">
      <c r="A11481" s="0" t="s">
        <v>852</v>
      </c>
      <c r="B11481" s="0" t="s">
        <v>98</v>
      </c>
      <c r="D11481" s="6" t="n">
        <f aca="false">Sens!D11469+Sens!D11474+Sens!D11475+Sens!D11477+Sens!D11479</f>
        <v>218.783</v>
      </c>
      <c r="E11481" s="6" t="n">
        <f aca="false">Sens!E11469+Sens!E11474+Sens!E11475+Sens!E11477+Sens!E11479</f>
        <v>268.127</v>
      </c>
      <c r="F11481" s="6" t="n">
        <f aca="false">Sens!F11469+Sens!F11474+Sens!F11475+Sens!F11477+Sens!F11479</f>
        <v>338.774715894377</v>
      </c>
      <c r="G11481" s="6" t="n">
        <f aca="false">Sens!G11469+Sens!G11474+Sens!G11475+Sens!G11477+Sens!G11479</f>
        <v>425.508058536537</v>
      </c>
      <c r="H11481" s="6" t="n">
        <f aca="false">Sens!H11469+Sens!H11474+Sens!H11475+Sens!H11477+Sens!H11479</f>
        <v>518.580813986921</v>
      </c>
      <c r="I11481" s="6" t="n">
        <f aca="false">Sens!I11469+Sens!I11474+Sens!I11475+Sens!I11477+Sens!I11479</f>
        <v>597.067731307455</v>
      </c>
      <c r="J11481" s="6" t="n">
        <f aca="false">Sens!J11469+Sens!J11474+Sens!J11475+Sens!J11477+Sens!J11479</f>
        <v>659.345790484055</v>
      </c>
      <c r="K11481" s="6" t="n">
        <f aca="false">Sens!K11469+Sens!K11474+Sens!K11475+Sens!K11477+Sens!K11479</f>
        <v>707.958647997291</v>
      </c>
    </row>
    <row r="11482" customFormat="false" ht="17.15" hidden="false" customHeight="false" outlineLevel="0" collapsed="false">
      <c r="A11482" s="0" t="s">
        <v>1037</v>
      </c>
      <c r="B11482" s="0" t="s">
        <v>98</v>
      </c>
      <c r="D11482" s="6" t="n">
        <f aca="false">Q!L13</f>
        <v>22.171</v>
      </c>
      <c r="E11482" s="6" t="n">
        <f aca="false">Q!M13</f>
        <v>24.835</v>
      </c>
      <c r="F11482" s="6" t="n">
        <f aca="false">Q!$I$13+(Q!M13-Q!$E$13)*(1+Sens!F11483)</f>
        <v>27.5591895660247</v>
      </c>
      <c r="G11482" s="6" t="n">
        <f aca="false">Sens!F11482*(1+Sens!G11483)</f>
        <v>30.4098563144583</v>
      </c>
      <c r="H11482" s="6" t="n">
        <f aca="false">Sens!G11482*(1+Sens!H11483)</f>
        <v>33.3011792571777</v>
      </c>
      <c r="I11482" s="6" t="n">
        <f aca="false">Sens!H11482*(1+Sens!I11483)</f>
        <v>36.189023797112</v>
      </c>
      <c r="J11482" s="6" t="n">
        <f aca="false">Sens!I11482*(1+Sens!J11483)</f>
        <v>39.0247773769199</v>
      </c>
      <c r="K11482" s="6" t="n">
        <f aca="false">Sens!J11482*(1+Sens!K11483)</f>
        <v>41.7565117933043</v>
      </c>
      <c r="L11482" s="12" t="s">
        <v>1034</v>
      </c>
    </row>
    <row r="11483" customFormat="false" ht="15" hidden="false" customHeight="false" outlineLevel="0" collapsed="false">
      <c r="A11483" s="1" t="s">
        <v>1024</v>
      </c>
      <c r="B11483" s="0" t="s">
        <v>168</v>
      </c>
      <c r="E11483" s="7" t="n">
        <f aca="false">Sens!E11482/Sens!D11482-1</f>
        <v>0.120156961796942</v>
      </c>
      <c r="F11483" s="7" t="n">
        <f aca="false">Sens!$E$11483+(glt_srch-Sens!$E$11483)*MIN(1,(Sens!F11425-base_fy)/n_conv)</f>
        <v>0.111797468164118</v>
      </c>
      <c r="G11483" s="7" t="n">
        <f aca="false">Sens!$E$11483+(glt_srch-Sens!$E$11483)*MIN(1,(Sens!G11425-base_fy)/n_conv)</f>
        <v>0.103437974531295</v>
      </c>
      <c r="H11483" s="7" t="n">
        <f aca="false">Sens!$E$11483+(glt_srch-Sens!$E$11483)*MIN(1,(Sens!H11425-base_fy)/n_conv)</f>
        <v>0.095078480898471</v>
      </c>
      <c r="I11483" s="7" t="n">
        <f aca="false">Sens!$E$11483+(glt_srch-Sens!$E$11483)*MIN(1,(Sens!I11425-base_fy)/n_conv)</f>
        <v>0.0867189872656474</v>
      </c>
      <c r="J11483" s="7" t="n">
        <f aca="false">Sens!$E$11483+(glt_srch-Sens!$E$11483)*MIN(1,(Sens!J11425-base_fy)/n_conv)</f>
        <v>0.0783594936328237</v>
      </c>
      <c r="K11483" s="7" t="n">
        <f aca="false">Sens!$E$11483+(glt_srch-Sens!$E$11483)*MIN(1,(Sens!K11425-base_fy)/n_conv)</f>
        <v>0.07</v>
      </c>
    </row>
    <row r="11484" customFormat="false" ht="17.15" hidden="false" customHeight="false" outlineLevel="0" collapsed="false">
      <c r="A11484" s="0" t="s">
        <v>1038</v>
      </c>
      <c r="B11484" s="0" t="s">
        <v>98</v>
      </c>
      <c r="D11484" s="6" t="n">
        <f aca="false">Q!L14</f>
        <v>23.455</v>
      </c>
      <c r="E11484" s="6" t="n">
        <f aca="false">Q!M14</f>
        <v>21.79</v>
      </c>
      <c r="F11484" s="6" t="n">
        <f aca="false">Q!$I$14+(Q!M14-Q!$E$14)*(1+Sens!F11485)</f>
        <v>20.6435514375044</v>
      </c>
      <c r="G11484" s="6" t="n">
        <f aca="false">Sens!F11484*(1+Sens!G11485)</f>
        <v>19.5289786205326</v>
      </c>
      <c r="H11484" s="6" t="n">
        <f aca="false">Sens!G11484*(1+Sens!H11485)</f>
        <v>18.6405370670455</v>
      </c>
      <c r="I11484" s="6" t="n">
        <f aca="false">Sens!H11484*(1+Sens!I11485)</f>
        <v>17.950917993743</v>
      </c>
      <c r="J11484" s="6" t="n">
        <f aca="false">Sens!I11484*(1+Sens!J11485)</f>
        <v>17.4393557354192</v>
      </c>
      <c r="K11484" s="6" t="n">
        <f aca="false">Sens!J11484*(1+Sens!K11485)</f>
        <v>17.0905686207108</v>
      </c>
      <c r="L11484" s="12" t="s">
        <v>1034</v>
      </c>
    </row>
    <row r="11485" customFormat="false" ht="15" hidden="false" customHeight="false" outlineLevel="0" collapsed="false">
      <c r="A11485" s="1" t="s">
        <v>1024</v>
      </c>
      <c r="B11485" s="0" t="s">
        <v>168</v>
      </c>
      <c r="E11485" s="7" t="n">
        <f aca="false">Sens!E11484/Sens!D11484-1</f>
        <v>-0.0709869963760392</v>
      </c>
      <c r="F11485" s="7" t="n">
        <f aca="false">Sens!$E$11485+(glt_xbox_lo-Sens!$E$11485)*MIN(1,(Sens!F11425-base_fy)/n_conv)</f>
        <v>-0.0624891636466994</v>
      </c>
      <c r="G11485" s="7" t="n">
        <f aca="false">Sens!$E$11485+(glt_xbox_lo-Sens!$E$11485)*MIN(1,(Sens!G11425-base_fy)/n_conv)</f>
        <v>-0.0539913309173595</v>
      </c>
      <c r="H11485" s="7" t="n">
        <f aca="false">Sens!$E$11485+(glt_xbox_lo-Sens!$E$11485)*MIN(1,(Sens!H11425-base_fy)/n_conv)</f>
        <v>-0.0454934981880196</v>
      </c>
      <c r="I11485" s="7" t="n">
        <f aca="false">Sens!$E$11485+(glt_xbox_lo-Sens!$E$11485)*MIN(1,(Sens!I11425-base_fy)/n_conv)</f>
        <v>-0.0369956654586797</v>
      </c>
      <c r="J11485" s="7" t="n">
        <f aca="false">Sens!$E$11485+(glt_xbox_lo-Sens!$E$11485)*MIN(1,(Sens!J11425-base_fy)/n_conv)</f>
        <v>-0.0284978327293399</v>
      </c>
      <c r="K11485" s="7" t="n">
        <f aca="false">Sens!$E$11485+(glt_xbox_lo-Sens!$E$11485)*MIN(1,(Sens!K11425-base_fy)/n_conv)</f>
        <v>-0.02</v>
      </c>
    </row>
    <row r="11486" customFormat="false" ht="17.15" hidden="false" customHeight="false" outlineLevel="0" collapsed="false">
      <c r="A11486" s="0" t="s">
        <v>1039</v>
      </c>
      <c r="B11486" s="0" t="s">
        <v>98</v>
      </c>
      <c r="D11486" s="6" t="n">
        <f aca="false">Q!L15</f>
        <v>17.315</v>
      </c>
      <c r="E11486" s="6" t="n">
        <f aca="false">Q!M15</f>
        <v>17.087</v>
      </c>
      <c r="F11486" s="6" t="n">
        <f aca="false">Q!$I$15+(Q!M15-Q!$E$15)*(1+Sens!F11487)</f>
        <v>15.9912273250553</v>
      </c>
      <c r="G11486" s="6" t="n">
        <f aca="false">Sens!F11486*(1+Sens!G11487)</f>
        <v>15.9574562664827</v>
      </c>
      <c r="H11486" s="6" t="n">
        <f aca="false">Sens!G11486*(1+Sens!H11487)</f>
        <v>16.0119687434196</v>
      </c>
      <c r="I11486" s="6" t="n">
        <f aca="false">Sens!H11486*(1+Sens!I11487)</f>
        <v>16.1551810001948</v>
      </c>
      <c r="J11486" s="6" t="n">
        <f aca="false">Sens!I11486*(1+Sens!J11487)</f>
        <v>16.3889793892005</v>
      </c>
      <c r="K11486" s="6" t="n">
        <f aca="false">Sens!J11486*(1+Sens!K11487)</f>
        <v>16.7167589769845</v>
      </c>
      <c r="L11486" s="12" t="s">
        <v>1034</v>
      </c>
    </row>
    <row r="11487" customFormat="false" ht="15" hidden="false" customHeight="false" outlineLevel="0" collapsed="false">
      <c r="A11487" s="1" t="s">
        <v>1024</v>
      </c>
      <c r="B11487" s="0" t="s">
        <v>168</v>
      </c>
      <c r="E11487" s="7" t="n">
        <f aca="false">Sens!E11486/Sens!D11486-1</f>
        <v>-0.0131677736066995</v>
      </c>
      <c r="F11487" s="7" t="n">
        <f aca="false">Sens!$E$11487+(glt_win-Sens!$E$11487)*MIN(1,(Sens!F11425-base_fy)/n_conv)</f>
        <v>-0.00763981133891627</v>
      </c>
      <c r="G11487" s="7" t="n">
        <f aca="false">Sens!$E$11487+(glt_win-Sens!$E$11487)*MIN(1,(Sens!G11425-base_fy)/n_conv)</f>
        <v>-0.00211184907113301</v>
      </c>
      <c r="H11487" s="7" t="n">
        <f aca="false">Sens!$E$11487+(glt_win-Sens!$E$11487)*MIN(1,(Sens!H11425-base_fy)/n_conv)</f>
        <v>0.00341611319665024</v>
      </c>
      <c r="I11487" s="7" t="n">
        <f aca="false">Sens!$E$11487+(glt_win-Sens!$E$11487)*MIN(1,(Sens!I11425-base_fy)/n_conv)</f>
        <v>0.00894407546443349</v>
      </c>
      <c r="J11487" s="7" t="n">
        <f aca="false">Sens!$E$11487+(glt_win-Sens!$E$11487)*MIN(1,(Sens!J11425-base_fy)/n_conv)</f>
        <v>0.0144720377322168</v>
      </c>
      <c r="K11487" s="7" t="n">
        <f aca="false">Sens!$E$11487+(glt_win-Sens!$E$11487)*MIN(1,(Sens!K11425-base_fy)/n_conv)</f>
        <v>0.02</v>
      </c>
    </row>
    <row r="11488" customFormat="false" ht="15" hidden="false" customHeight="false" outlineLevel="0" collapsed="false">
      <c r="A11488" s="0" t="s">
        <v>866</v>
      </c>
      <c r="B11488" s="0" t="s">
        <v>98</v>
      </c>
      <c r="D11488" s="6" t="n">
        <f aca="false">Sens!D11482+Sens!D11484+Sens!D11486</f>
        <v>62.941</v>
      </c>
      <c r="E11488" s="6" t="n">
        <f aca="false">Sens!E11482+Sens!E11484+Sens!E11486</f>
        <v>63.712</v>
      </c>
      <c r="F11488" s="6" t="n">
        <f aca="false">Sens!F11482+Sens!F11484+Sens!F11486</f>
        <v>64.1939683285845</v>
      </c>
      <c r="G11488" s="6" t="n">
        <f aca="false">Sens!G11482+Sens!G11484+Sens!G11486</f>
        <v>65.8962912014735</v>
      </c>
      <c r="H11488" s="6" t="n">
        <f aca="false">Sens!H11482+Sens!H11484+Sens!H11486</f>
        <v>67.9536850676428</v>
      </c>
      <c r="I11488" s="6" t="n">
        <f aca="false">Sens!I11482+Sens!I11484+Sens!I11486</f>
        <v>70.2951227910498</v>
      </c>
      <c r="J11488" s="6" t="n">
        <f aca="false">Sens!J11482+Sens!J11484+Sens!J11486</f>
        <v>72.8531125015395</v>
      </c>
      <c r="K11488" s="6" t="n">
        <f aca="false">Sens!K11482+Sens!K11484+Sens!K11486</f>
        <v>75.5638393909996</v>
      </c>
    </row>
    <row r="11489" customFormat="false" ht="15" hidden="false" customHeight="false" outlineLevel="0" collapsed="false">
      <c r="A11489" s="1" t="s">
        <v>1040</v>
      </c>
      <c r="B11489" s="0" t="s">
        <v>98</v>
      </c>
      <c r="D11489" s="6" t="n">
        <f aca="false">Sens!D11481+Sens!D11488</f>
        <v>281.724</v>
      </c>
      <c r="E11489" s="6" t="n">
        <f aca="false">Sens!E11481+Sens!E11488</f>
        <v>331.839</v>
      </c>
      <c r="F11489" s="6" t="n">
        <f aca="false">Sens!F11481+Sens!F11488</f>
        <v>402.968684222962</v>
      </c>
      <c r="G11489" s="6" t="n">
        <f aca="false">Sens!G11481+Sens!G11488</f>
        <v>491.40434973801</v>
      </c>
      <c r="H11489" s="6" t="n">
        <f aca="false">Sens!H11481+Sens!H11488</f>
        <v>586.534499054564</v>
      </c>
      <c r="I11489" s="6" t="n">
        <f aca="false">Sens!I11481+Sens!I11488</f>
        <v>667.362854098505</v>
      </c>
      <c r="J11489" s="6" t="n">
        <f aca="false">Sens!J11481+Sens!J11488</f>
        <v>732.198902985594</v>
      </c>
      <c r="K11489" s="6" t="n">
        <f aca="false">Sens!K11481+Sens!K11488</f>
        <v>783.522487388291</v>
      </c>
    </row>
    <row r="11490" customFormat="false" ht="15" hidden="false" customHeight="false" outlineLevel="0" collapsed="false">
      <c r="A11490" s="26" t="s">
        <v>1041</v>
      </c>
      <c r="B11490" s="31" t="s">
        <v>98</v>
      </c>
      <c r="C11490" s="31"/>
      <c r="D11490" s="27" t="n">
        <f aca="false">(Sens!D11469+Sens!D11474+Sens!D11475+Sens!D11477+Sens!D11479-Sens!D11481)+(Sens!D11482+Sens!D11484+Sens!D11486-Sens!D11488)+(Sens!D11481-Q!L5)+(Sens!D11488-Q!L12)+(Sens!D11469-Q!L6)+(Sens!D11474-Q!L7)</f>
        <v>0</v>
      </c>
      <c r="E11490" s="27" t="n">
        <f aca="false">(Sens!E11469+Sens!E11474+Sens!E11475+Sens!E11477+Sens!E11479-Sens!E11481)+(Sens!E11482+Sens!E11484+Sens!E11486-Sens!E11488)+(Sens!E11481-Q!M5)+(Sens!E11488-Q!M12)+(Sens!E11469-Q!M6)+(Sens!E11474-Q!M7)</f>
        <v>0</v>
      </c>
      <c r="F11490" s="27" t="n">
        <f aca="false">(Sens!F11469+Sens!F11474+Sens!F11475+Sens!F11477+Sens!F11479-Sens!F11481)+(Sens!F11482+Sens!F11484+Sens!F11486-Sens!F11488)</f>
        <v>0</v>
      </c>
      <c r="G11490" s="27" t="n">
        <f aca="false">(Sens!G11469+Sens!G11474+Sens!G11475+Sens!G11477+Sens!G11479-Sens!G11481)+(Sens!G11482+Sens!G11484+Sens!G11486-Sens!G11488)</f>
        <v>0</v>
      </c>
      <c r="H11490" s="27" t="n">
        <f aca="false">(Sens!H11469+Sens!H11474+Sens!H11475+Sens!H11477+Sens!H11479-Sens!H11481)+(Sens!H11482+Sens!H11484+Sens!H11486-Sens!H11488)</f>
        <v>0</v>
      </c>
      <c r="I11490" s="27" t="n">
        <f aca="false">(Sens!I11469+Sens!I11474+Sens!I11475+Sens!I11477+Sens!I11479-Sens!I11481)+(Sens!I11482+Sens!I11484+Sens!I11486-Sens!I11488)</f>
        <v>0</v>
      </c>
      <c r="J11490" s="27" t="n">
        <f aca="false">(Sens!J11469+Sens!J11474+Sens!J11475+Sens!J11477+Sens!J11479-Sens!J11481)+(Sens!J11482+Sens!J11484+Sens!J11486-Sens!J11488)</f>
        <v>0</v>
      </c>
      <c r="K11490" s="27" t="n">
        <f aca="false">(Sens!K11469+Sens!K11474+Sens!K11475+Sens!K11477+Sens!K11479-Sens!K11481)+(Sens!K11482+Sens!K11484+Sens!K11486-Sens!K11488)</f>
        <v>0</v>
      </c>
    </row>
    <row r="11491" customFormat="false" ht="17.15" hidden="false" customHeight="false" outlineLevel="0" collapsed="false">
      <c r="A11491" s="3" t="s">
        <v>1767</v>
      </c>
    </row>
    <row r="11492" customFormat="false" ht="15" hidden="false" customHeight="false" outlineLevel="0" collapsed="false">
      <c r="A11492" s="4" t="s">
        <v>43</v>
      </c>
      <c r="B11492" s="4" t="s">
        <v>65</v>
      </c>
      <c r="C11492" s="23" t="s">
        <v>938</v>
      </c>
      <c r="D11492" s="23" t="s">
        <v>939</v>
      </c>
      <c r="E11492" s="23" t="s">
        <v>940</v>
      </c>
      <c r="F11492" s="23" t="s">
        <v>941</v>
      </c>
      <c r="G11492" s="23" t="s">
        <v>942</v>
      </c>
      <c r="H11492" s="23" t="s">
        <v>943</v>
      </c>
      <c r="I11492" s="23" t="s">
        <v>944</v>
      </c>
      <c r="J11492" s="23" t="s">
        <v>945</v>
      </c>
      <c r="K11492" s="23" t="s">
        <v>946</v>
      </c>
      <c r="L11492" s="4" t="s">
        <v>47</v>
      </c>
    </row>
    <row r="11493" customFormat="false" ht="15" hidden="false" customHeight="false" outlineLevel="0" collapsed="false">
      <c r="A11493" s="0" t="s">
        <v>1025</v>
      </c>
      <c r="B11493" s="0" t="s">
        <v>98</v>
      </c>
      <c r="D11493" s="6" t="n">
        <f aca="false">Sens!D11469</f>
        <v>72.61</v>
      </c>
      <c r="E11493" s="6" t="n">
        <f aca="false">Sens!E11469</f>
        <v>101.938</v>
      </c>
      <c r="F11493" s="6" t="n">
        <f aca="false">Sens!F11469</f>
        <v>149.59001837225</v>
      </c>
      <c r="G11493" s="6" t="n">
        <f aca="false">Sens!G11469</f>
        <v>210.963087346352</v>
      </c>
      <c r="H11493" s="6" t="n">
        <f aca="false">Sens!H11469</f>
        <v>278.649709314524</v>
      </c>
      <c r="I11493" s="6" t="n">
        <f aca="false">Sens!I11469</f>
        <v>334.269404582332</v>
      </c>
      <c r="J11493" s="6" t="n">
        <f aca="false">Sens!J11469</f>
        <v>376.517293063672</v>
      </c>
      <c r="K11493" s="6" t="n">
        <f aca="false">Sens!K11469</f>
        <v>406.018092622804</v>
      </c>
    </row>
    <row r="11494" customFormat="false" ht="17.15" hidden="false" customHeight="false" outlineLevel="0" collapsed="false">
      <c r="A11494" s="0" t="s">
        <v>1021</v>
      </c>
      <c r="B11494" s="0" t="s">
        <v>98</v>
      </c>
      <c r="D11494" s="6" t="n">
        <f aca="false">Sens!D11466</f>
        <v>12.9359794422418</v>
      </c>
      <c r="E11494" s="6" t="n">
        <f aca="false">Sens!E11466</f>
        <v>27.8095064661409</v>
      </c>
      <c r="F11494" s="6" t="n">
        <f aca="false">Sens!F11466</f>
        <v>59.1034165651511</v>
      </c>
      <c r="G11494" s="6" t="n">
        <f aca="false">Sens!G11466</f>
        <v>103.451498789198</v>
      </c>
      <c r="H11494" s="6" t="n">
        <f aca="false">Sens!H11466</f>
        <v>153.816719989035</v>
      </c>
      <c r="I11494" s="6" t="n">
        <f aca="false">Sens!I11466</f>
        <v>192.699478690852</v>
      </c>
      <c r="J11494" s="6" t="n">
        <f aca="false">Sens!J11466</f>
        <v>219.794102584244</v>
      </c>
      <c r="K11494" s="6" t="n">
        <f aca="false">Sens!K11466</f>
        <v>236.757046905022</v>
      </c>
    </row>
    <row r="11495" customFormat="false" ht="17.15" hidden="false" customHeight="false" outlineLevel="0" collapsed="false">
      <c r="A11495" s="0" t="s">
        <v>1052</v>
      </c>
      <c r="B11495" s="0" t="s">
        <v>98</v>
      </c>
      <c r="D11495" s="6" t="n">
        <f aca="false">Sens!D11467</f>
        <v>59.6740205577583</v>
      </c>
      <c r="E11495" s="6" t="n">
        <f aca="false">Sens!E11467</f>
        <v>74.1284935338591</v>
      </c>
      <c r="F11495" s="6" t="n">
        <f aca="false">Sens!F11467</f>
        <v>90.4866018070994</v>
      </c>
      <c r="G11495" s="6" t="n">
        <f aca="false">Sens!G11467</f>
        <v>107.511588557154</v>
      </c>
      <c r="H11495" s="6" t="n">
        <f aca="false">Sens!H11467</f>
        <v>124.832989325489</v>
      </c>
      <c r="I11495" s="6" t="n">
        <f aca="false">Sens!I11467</f>
        <v>141.56992589148</v>
      </c>
      <c r="J11495" s="6" t="n">
        <f aca="false">Sens!J11467</f>
        <v>156.723190479428</v>
      </c>
      <c r="K11495" s="6" t="n">
        <f aca="false">Sens!K11467</f>
        <v>169.261045717783</v>
      </c>
    </row>
    <row r="11496" customFormat="false" ht="15" hidden="false" customHeight="false" outlineLevel="0" collapsed="false">
      <c r="A11496" s="0" t="s">
        <v>1032</v>
      </c>
      <c r="B11496" s="0" t="s">
        <v>98</v>
      </c>
      <c r="D11496" s="6" t="n">
        <f aca="false">Sens!D11474</f>
        <v>84.605</v>
      </c>
      <c r="E11496" s="6" t="n">
        <f aca="false">Sens!E11474</f>
        <v>100.299</v>
      </c>
      <c r="F11496" s="6" t="n">
        <f aca="false">Sens!F11474</f>
        <v>119.729653205718</v>
      </c>
      <c r="G11496" s="6" t="n">
        <f aca="false">Sens!G11474</f>
        <v>140.806092647576</v>
      </c>
      <c r="H11496" s="6" t="n">
        <f aca="false">Sens!H11474</f>
        <v>161.963437602768</v>
      </c>
      <c r="I11496" s="6" t="n">
        <f aca="false">Sens!I11474</f>
        <v>180.695354741933</v>
      </c>
      <c r="J11496" s="6" t="n">
        <f aca="false">Sens!J11474</f>
        <v>196.722117481571</v>
      </c>
      <c r="K11496" s="6" t="n">
        <f aca="false">Sens!K11474</f>
        <v>212.00016570528</v>
      </c>
    </row>
    <row r="11497" customFormat="false" ht="17.15" hidden="false" customHeight="false" outlineLevel="0" collapsed="false">
      <c r="A11497" s="0" t="s">
        <v>1053</v>
      </c>
      <c r="B11497" s="0" t="s">
        <v>98</v>
      </c>
      <c r="D11497" s="6" t="n">
        <f aca="false">Sens!D11472</f>
        <v>83.705</v>
      </c>
      <c r="E11497" s="6" t="n">
        <f aca="false">Sens!E11472</f>
        <v>95.049</v>
      </c>
      <c r="F11497" s="6" t="n">
        <f aca="false">Sens!F11472</f>
        <v>106.229653205718</v>
      </c>
      <c r="G11497" s="6" t="n">
        <f aca="false">Sens!G11472</f>
        <v>118.306092647576</v>
      </c>
      <c r="H11497" s="6" t="n">
        <f aca="false">Sens!H11472</f>
        <v>130.463437602768</v>
      </c>
      <c r="I11497" s="6" t="n">
        <f aca="false">Sens!I11472</f>
        <v>142.445354741933</v>
      </c>
      <c r="J11497" s="6" t="n">
        <f aca="false">Sens!J11472</f>
        <v>153.972117481571</v>
      </c>
      <c r="K11497" s="6" t="n">
        <f aca="false">Sens!K11472</f>
        <v>164.75016570528</v>
      </c>
    </row>
    <row r="11498" customFormat="false" ht="17.15" hidden="false" customHeight="false" outlineLevel="0" collapsed="false">
      <c r="A11498" s="0" t="s">
        <v>1054</v>
      </c>
      <c r="B11498" s="0" t="s">
        <v>98</v>
      </c>
      <c r="D11498" s="6" t="n">
        <f aca="false">Sens!D11471</f>
        <v>0.9</v>
      </c>
      <c r="E11498" s="6" t="n">
        <f aca="false">Sens!E11471</f>
        <v>5.25</v>
      </c>
      <c r="F11498" s="6" t="n">
        <f aca="false">Sens!F11471</f>
        <v>13.5</v>
      </c>
      <c r="G11498" s="6" t="n">
        <f aca="false">Sens!G11471</f>
        <v>22.5</v>
      </c>
      <c r="H11498" s="6" t="n">
        <f aca="false">Sens!H11471</f>
        <v>31.5</v>
      </c>
      <c r="I11498" s="6" t="n">
        <f aca="false">Sens!I11471</f>
        <v>38.25</v>
      </c>
      <c r="J11498" s="6" t="n">
        <f aca="false">Sens!J11471</f>
        <v>42.75</v>
      </c>
      <c r="K11498" s="6" t="n">
        <f aca="false">Sens!K11471</f>
        <v>47.25</v>
      </c>
    </row>
    <row r="11499" customFormat="false" ht="15" hidden="false" customHeight="false" outlineLevel="0" collapsed="false">
      <c r="A11499" s="0" t="s">
        <v>1033</v>
      </c>
      <c r="B11499" s="0" t="s">
        <v>98</v>
      </c>
      <c r="D11499" s="6" t="n">
        <f aca="false">Sens!D11475</f>
        <v>35.391</v>
      </c>
      <c r="E11499" s="6" t="n">
        <f aca="false">Sens!E11475</f>
        <v>37.285</v>
      </c>
      <c r="F11499" s="6" t="n">
        <f aca="false">Sens!F11475</f>
        <v>38.3851437782675</v>
      </c>
      <c r="G11499" s="6" t="n">
        <f aca="false">Sens!G11475</f>
        <v>40.0105353288615</v>
      </c>
      <c r="H11499" s="6" t="n">
        <f aca="false">Sens!H11475</f>
        <v>41.4812512033683</v>
      </c>
      <c r="I11499" s="6" t="n">
        <f aca="false">Sens!I11475</f>
        <v>42.7743107216329</v>
      </c>
      <c r="J11499" s="6" t="n">
        <f aca="false">Sens!J11475</f>
        <v>43.8687373064601</v>
      </c>
      <c r="K11499" s="6" t="n">
        <f aca="false">Sens!K11475</f>
        <v>44.7461120525893</v>
      </c>
    </row>
    <row r="11500" customFormat="false" ht="15" hidden="false" customHeight="false" outlineLevel="0" collapsed="false">
      <c r="A11500" s="0" t="s">
        <v>1035</v>
      </c>
      <c r="B11500" s="0" t="s">
        <v>98</v>
      </c>
      <c r="D11500" s="6" t="n">
        <f aca="false">Sens!D11477</f>
        <v>18.417</v>
      </c>
      <c r="E11500" s="6" t="n">
        <f aca="false">Sens!E11477</f>
        <v>20.345</v>
      </c>
      <c r="F11500" s="6" t="n">
        <f aca="false">Sens!F11477</f>
        <v>22.3161797133988</v>
      </c>
      <c r="G11500" s="6" t="n">
        <f aca="false">Sens!G11477</f>
        <v>24.3943499673233</v>
      </c>
      <c r="H11500" s="6" t="n">
        <f aca="false">Sens!H11477</f>
        <v>26.5250243109019</v>
      </c>
      <c r="I11500" s="6" t="n">
        <f aca="false">Sens!I11477</f>
        <v>28.6884573538181</v>
      </c>
      <c r="J11500" s="6" t="n">
        <f aca="false">Sens!J11477</f>
        <v>30.8624968052127</v>
      </c>
      <c r="K11500" s="6" t="n">
        <f aca="false">Sens!K11477</f>
        <v>33.0228715815776</v>
      </c>
    </row>
    <row r="11501" customFormat="false" ht="15" hidden="false" customHeight="false" outlineLevel="0" collapsed="false">
      <c r="A11501" s="0" t="s">
        <v>1036</v>
      </c>
      <c r="B11501" s="0" t="s">
        <v>98</v>
      </c>
      <c r="D11501" s="6" t="n">
        <f aca="false">Sens!D11479</f>
        <v>7.76</v>
      </c>
      <c r="E11501" s="6" t="n">
        <f aca="false">Sens!E11479</f>
        <v>8.26</v>
      </c>
      <c r="F11501" s="6" t="n">
        <f aca="false">Sens!F11479</f>
        <v>8.75372082474227</v>
      </c>
      <c r="G11501" s="6" t="n">
        <f aca="false">Sens!G11479</f>
        <v>9.33399324642364</v>
      </c>
      <c r="H11501" s="6" t="n">
        <f aca="false">Sens!H11479</f>
        <v>9.96139155535851</v>
      </c>
      <c r="I11501" s="6" t="n">
        <f aca="false">Sens!I11479</f>
        <v>10.6402039077391</v>
      </c>
      <c r="J11501" s="6" t="n">
        <f aca="false">Sens!J11479</f>
        <v>11.3751458271397</v>
      </c>
      <c r="K11501" s="6" t="n">
        <f aca="false">Sens!K11479</f>
        <v>12.1714060350394</v>
      </c>
    </row>
    <row r="11502" customFormat="false" ht="15" hidden="false" customHeight="false" outlineLevel="0" collapsed="false">
      <c r="A11502" s="0" t="s">
        <v>852</v>
      </c>
      <c r="B11502" s="0" t="s">
        <v>98</v>
      </c>
      <c r="D11502" s="6" t="n">
        <f aca="false">Sens!D11481</f>
        <v>218.783</v>
      </c>
      <c r="E11502" s="6" t="n">
        <f aca="false">Sens!E11481</f>
        <v>268.127</v>
      </c>
      <c r="F11502" s="6" t="n">
        <f aca="false">Sens!F11481</f>
        <v>338.774715894377</v>
      </c>
      <c r="G11502" s="6" t="n">
        <f aca="false">Sens!G11481</f>
        <v>425.508058536537</v>
      </c>
      <c r="H11502" s="6" t="n">
        <f aca="false">Sens!H11481</f>
        <v>518.580813986921</v>
      </c>
      <c r="I11502" s="6" t="n">
        <f aca="false">Sens!I11481</f>
        <v>597.067731307455</v>
      </c>
      <c r="J11502" s="6" t="n">
        <f aca="false">Sens!J11481</f>
        <v>659.345790484055</v>
      </c>
      <c r="K11502" s="6" t="n">
        <f aca="false">Sens!K11481</f>
        <v>707.958647997291</v>
      </c>
    </row>
    <row r="11503" customFormat="false" ht="15" hidden="false" customHeight="false" outlineLevel="0" collapsed="false">
      <c r="A11503" s="0" t="s">
        <v>1037</v>
      </c>
      <c r="B11503" s="0" t="s">
        <v>98</v>
      </c>
      <c r="D11503" s="6" t="n">
        <f aca="false">Sens!D11482</f>
        <v>22.171</v>
      </c>
      <c r="E11503" s="6" t="n">
        <f aca="false">Sens!E11482</f>
        <v>24.835</v>
      </c>
      <c r="F11503" s="6" t="n">
        <f aca="false">Sens!F11482</f>
        <v>27.5591895660247</v>
      </c>
      <c r="G11503" s="6" t="n">
        <f aca="false">Sens!G11482</f>
        <v>30.4098563144583</v>
      </c>
      <c r="H11503" s="6" t="n">
        <f aca="false">Sens!H11482</f>
        <v>33.3011792571777</v>
      </c>
      <c r="I11503" s="6" t="n">
        <f aca="false">Sens!I11482</f>
        <v>36.189023797112</v>
      </c>
      <c r="J11503" s="6" t="n">
        <f aca="false">Sens!J11482</f>
        <v>39.0247773769199</v>
      </c>
      <c r="K11503" s="6" t="n">
        <f aca="false">Sens!K11482</f>
        <v>41.7565117933043</v>
      </c>
    </row>
    <row r="11504" customFormat="false" ht="15" hidden="false" customHeight="false" outlineLevel="0" collapsed="false">
      <c r="A11504" s="0" t="s">
        <v>1038</v>
      </c>
      <c r="B11504" s="0" t="s">
        <v>98</v>
      </c>
      <c r="D11504" s="6" t="n">
        <f aca="false">Sens!D11484</f>
        <v>23.455</v>
      </c>
      <c r="E11504" s="6" t="n">
        <f aca="false">Sens!E11484</f>
        <v>21.79</v>
      </c>
      <c r="F11504" s="6" t="n">
        <f aca="false">Sens!F11484</f>
        <v>20.6435514375044</v>
      </c>
      <c r="G11504" s="6" t="n">
        <f aca="false">Sens!G11484</f>
        <v>19.5289786205326</v>
      </c>
      <c r="H11504" s="6" t="n">
        <f aca="false">Sens!H11484</f>
        <v>18.6405370670455</v>
      </c>
      <c r="I11504" s="6" t="n">
        <f aca="false">Sens!I11484</f>
        <v>17.950917993743</v>
      </c>
      <c r="J11504" s="6" t="n">
        <f aca="false">Sens!J11484</f>
        <v>17.4393557354192</v>
      </c>
      <c r="K11504" s="6" t="n">
        <f aca="false">Sens!K11484</f>
        <v>17.0905686207108</v>
      </c>
    </row>
    <row r="11505" customFormat="false" ht="15" hidden="false" customHeight="false" outlineLevel="0" collapsed="false">
      <c r="A11505" s="0" t="s">
        <v>1039</v>
      </c>
      <c r="B11505" s="0" t="s">
        <v>98</v>
      </c>
      <c r="D11505" s="6" t="n">
        <f aca="false">Sens!D11486</f>
        <v>17.315</v>
      </c>
      <c r="E11505" s="6" t="n">
        <f aca="false">Sens!E11486</f>
        <v>17.087</v>
      </c>
      <c r="F11505" s="6" t="n">
        <f aca="false">Sens!F11486</f>
        <v>15.9912273250553</v>
      </c>
      <c r="G11505" s="6" t="n">
        <f aca="false">Sens!G11486</f>
        <v>15.9574562664827</v>
      </c>
      <c r="H11505" s="6" t="n">
        <f aca="false">Sens!H11486</f>
        <v>16.0119687434196</v>
      </c>
      <c r="I11505" s="6" t="n">
        <f aca="false">Sens!I11486</f>
        <v>16.1551810001948</v>
      </c>
      <c r="J11505" s="6" t="n">
        <f aca="false">Sens!J11486</f>
        <v>16.3889793892005</v>
      </c>
      <c r="K11505" s="6" t="n">
        <f aca="false">Sens!K11486</f>
        <v>16.7167589769845</v>
      </c>
    </row>
    <row r="11506" customFormat="false" ht="15" hidden="false" customHeight="false" outlineLevel="0" collapsed="false">
      <c r="A11506" s="0" t="s">
        <v>866</v>
      </c>
      <c r="B11506" s="0" t="s">
        <v>98</v>
      </c>
      <c r="D11506" s="6" t="n">
        <f aca="false">Sens!D11488</f>
        <v>62.941</v>
      </c>
      <c r="E11506" s="6" t="n">
        <f aca="false">Sens!E11488</f>
        <v>63.712</v>
      </c>
      <c r="F11506" s="6" t="n">
        <f aca="false">Sens!F11488</f>
        <v>64.1939683285845</v>
      </c>
      <c r="G11506" s="6" t="n">
        <f aca="false">Sens!G11488</f>
        <v>65.8962912014735</v>
      </c>
      <c r="H11506" s="6" t="n">
        <f aca="false">Sens!H11488</f>
        <v>67.9536850676428</v>
      </c>
      <c r="I11506" s="6" t="n">
        <f aca="false">Sens!I11488</f>
        <v>70.2951227910498</v>
      </c>
      <c r="J11506" s="6" t="n">
        <f aca="false">Sens!J11488</f>
        <v>72.8531125015395</v>
      </c>
      <c r="K11506" s="6" t="n">
        <f aca="false">Sens!K11488</f>
        <v>75.5638393909996</v>
      </c>
    </row>
    <row r="11507" customFormat="false" ht="15" hidden="false" customHeight="false" outlineLevel="0" collapsed="false">
      <c r="A11507" s="1" t="s">
        <v>1055</v>
      </c>
      <c r="B11507" s="0" t="s">
        <v>98</v>
      </c>
      <c r="D11507" s="6" t="n">
        <f aca="false">Sens!D11489</f>
        <v>281.724</v>
      </c>
      <c r="E11507" s="6" t="n">
        <f aca="false">Sens!E11489</f>
        <v>331.839</v>
      </c>
      <c r="F11507" s="6" t="n">
        <f aca="false">Sens!F11489</f>
        <v>402.968684222962</v>
      </c>
      <c r="G11507" s="6" t="n">
        <f aca="false">Sens!G11489</f>
        <v>491.40434973801</v>
      </c>
      <c r="H11507" s="6" t="n">
        <f aca="false">Sens!H11489</f>
        <v>586.534499054564</v>
      </c>
      <c r="I11507" s="6" t="n">
        <f aca="false">Sens!I11489</f>
        <v>667.362854098505</v>
      </c>
      <c r="J11507" s="6" t="n">
        <f aca="false">Sens!J11489</f>
        <v>732.198902985594</v>
      </c>
      <c r="K11507" s="6" t="n">
        <f aca="false">Sens!K11489</f>
        <v>783.522487388291</v>
      </c>
    </row>
    <row r="11508" customFormat="false" ht="15" hidden="false" customHeight="false" outlineLevel="0" collapsed="false">
      <c r="A11508" s="1" t="s">
        <v>1056</v>
      </c>
      <c r="B11508" s="0" t="s">
        <v>168</v>
      </c>
      <c r="E11508" s="7" t="n">
        <f aca="false">Sens!E11507/Sens!D11507-1</f>
        <v>0.177886867998467</v>
      </c>
      <c r="F11508" s="7" t="n">
        <f aca="false">Sens!F11507/Sens!E11507-1</f>
        <v>0.214349983645568</v>
      </c>
      <c r="G11508" s="7" t="n">
        <f aca="false">Sens!G11507/Sens!F11507-1</f>
        <v>0.219460392277326</v>
      </c>
      <c r="H11508" s="7" t="n">
        <f aca="false">Sens!H11507/Sens!G11507-1</f>
        <v>0.193588333858403</v>
      </c>
      <c r="I11508" s="7" t="n">
        <f aca="false">Sens!I11507/Sens!H11507-1</f>
        <v>0.137806651056721</v>
      </c>
      <c r="J11508" s="7" t="n">
        <f aca="false">Sens!J11507/Sens!I11507-1</f>
        <v>0.0971526186824891</v>
      </c>
      <c r="K11508" s="7" t="n">
        <f aca="false">Sens!K11507/Sens!J11507-1</f>
        <v>0.0700951397132945</v>
      </c>
    </row>
    <row r="11509" customFormat="false" ht="17.15" hidden="false" customHeight="false" outlineLevel="0" collapsed="false">
      <c r="A11509" s="26" t="s">
        <v>1057</v>
      </c>
      <c r="B11509" s="31" t="s">
        <v>98</v>
      </c>
      <c r="C11509" s="31"/>
      <c r="D11509" s="27" t="n">
        <f aca="false">(Sens!D11502+Sens!D11506-Sens!D11507)+(Sens!D11494+Sens!D11495-Sens!D11493)+(Sens!D11497+Sens!D11498-Sens!D11496)+(Sens!D11507-Q!L18)</f>
        <v>0</v>
      </c>
      <c r="E11509" s="27" t="n">
        <f aca="false">(Sens!E11502+Sens!E11506-Sens!E11507)+(Sens!E11494+Sens!E11495-Sens!E11493)+(Sens!E11497+Sens!E11498-Sens!E11496)+(Sens!E11507-Q!M18)</f>
        <v>0</v>
      </c>
      <c r="F11509" s="27" t="n">
        <f aca="false">(Sens!F11502+Sens!F11506-Sens!F11507)+(Sens!F11494+Sens!F11495-Sens!F11493)+(Sens!F11497+Sens!F11498-Sens!F11496)</f>
        <v>0</v>
      </c>
      <c r="G11509" s="27" t="n">
        <f aca="false">(Sens!G11502+Sens!G11506-Sens!G11507)+(Sens!G11494+Sens!G11495-Sens!G11493)+(Sens!G11497+Sens!G11498-Sens!G11496)</f>
        <v>0</v>
      </c>
      <c r="H11509" s="27" t="n">
        <f aca="false">(Sens!H11502+Sens!H11506-Sens!H11507)+(Sens!H11494+Sens!H11495-Sens!H11493)+(Sens!H11497+Sens!H11498-Sens!H11496)</f>
        <v>0</v>
      </c>
      <c r="I11509" s="27" t="n">
        <f aca="false">(Sens!I11502+Sens!I11506-Sens!I11507)+(Sens!I11494+Sens!I11495-Sens!I11493)+(Sens!I11497+Sens!I11498-Sens!I11496)</f>
        <v>0</v>
      </c>
      <c r="J11509" s="27" t="n">
        <f aca="false">(Sens!J11502+Sens!J11506-Sens!J11507)+(Sens!J11494+Sens!J11495-Sens!J11493)+(Sens!J11497+Sens!J11498-Sens!J11496)</f>
        <v>0</v>
      </c>
      <c r="K11509" s="27" t="n">
        <f aca="false">(Sens!K11502+Sens!K11506-Sens!K11507)+(Sens!K11494+Sens!K11495-Sens!K11493)+(Sens!K11497+Sens!K11498-Sens!K11496)</f>
        <v>0</v>
      </c>
    </row>
    <row r="11510" customFormat="false" ht="17.15" hidden="false" customHeight="false" outlineLevel="0" collapsed="false">
      <c r="A11510" s="0" t="s">
        <v>1058</v>
      </c>
      <c r="B11510" s="0" t="s">
        <v>168</v>
      </c>
      <c r="E11510" s="7" t="n">
        <f aca="false">(Q!M21+Sens!E11446+Sens!E11447+Sens!E11448+Sens!E11462-Sens!E11444)/(Q!M5-Sens!E11444)</f>
        <v>0.570957350878296</v>
      </c>
      <c r="F11510" s="7" t="n">
        <f aca="false">Sens!$E$11510+dm_seg</f>
        <v>0.570957350878296</v>
      </c>
      <c r="G11510" s="7" t="n">
        <f aca="false">Sens!$E$11510+dm_seg</f>
        <v>0.570957350878296</v>
      </c>
      <c r="H11510" s="7" t="n">
        <f aca="false">Sens!$E$11510+dm_seg</f>
        <v>0.570957350878296</v>
      </c>
      <c r="I11510" s="7" t="n">
        <f aca="false">Sens!$E$11510+dm_seg</f>
        <v>0.570957350878296</v>
      </c>
      <c r="J11510" s="7" t="n">
        <f aca="false">Sens!$E$11510+dm_seg</f>
        <v>0.570957350878296</v>
      </c>
      <c r="K11510" s="7" t="n">
        <f aca="false">Sens!$E$11510+dm_seg</f>
        <v>0.570957350878296</v>
      </c>
      <c r="L11510" s="12" t="s">
        <v>1059</v>
      </c>
    </row>
    <row r="11511" customFormat="false" ht="17.15" hidden="false" customHeight="false" outlineLevel="0" collapsed="false">
      <c r="A11511" s="0" t="s">
        <v>880</v>
      </c>
      <c r="B11511" s="0" t="s">
        <v>98</v>
      </c>
      <c r="D11511" s="6" t="n">
        <f aca="false">Q!L21</f>
        <v>110.814</v>
      </c>
      <c r="E11511" s="6" t="n">
        <f aca="false">Q!M21</f>
        <v>136.365</v>
      </c>
      <c r="F11511" s="6" t="n">
        <f aca="false">Q!$I$21+(Sens!F11510*(Sens!F11481-Sens!F11444)+Sens!F11444-(Sens!F11446+Sens!F11447+Sens!F11448)-Sens!F11462-Sens!F11545)*(Sens!F11481-Q!$I$5)/Sens!F11481</f>
        <v>165.518688467427</v>
      </c>
      <c r="G11511" s="6" t="n">
        <f aca="false">(Sens!G11510*(Sens!G11481-Sens!G11444)+Sens!G11444-(Sens!G11446+Sens!G11447+Sens!G11448)-Sens!G11462-Sens!G11545)</f>
        <v>191.521800726735</v>
      </c>
      <c r="H11511" s="6" t="n">
        <f aca="false">(Sens!H11510*(Sens!H11481-Sens!H11444)+Sens!H11444-(Sens!H11446+Sens!H11447+Sens!H11448)-Sens!H11462-Sens!H11545)</f>
        <v>225.776219828289</v>
      </c>
      <c r="I11511" s="6" t="n">
        <f aca="false">(Sens!I11510*(Sens!I11481-Sens!I11444)+Sens!I11444-(Sens!I11446+Sens!I11447+Sens!I11448)-Sens!I11462-Sens!I11545)</f>
        <v>251.64150590218</v>
      </c>
      <c r="J11511" s="6" t="n">
        <f aca="false">(Sens!J11510*(Sens!J11481-Sens!J11444)+Sens!J11444-(Sens!J11446+Sens!J11447+Sens!J11448)-Sens!J11462-Sens!J11545)</f>
        <v>273.893531571644</v>
      </c>
      <c r="K11511" s="6" t="n">
        <f aca="false">(Sens!K11510*(Sens!K11481-Sens!K11444)+Sens!K11444-(Sens!K11446+Sens!K11447+Sens!K11448)-Sens!K11462-Sens!K11545)</f>
        <v>293.873853283842</v>
      </c>
      <c r="L11511" s="1" t="s">
        <v>1060</v>
      </c>
    </row>
    <row r="11512" customFormat="false" ht="17.15" hidden="false" customHeight="false" outlineLevel="0" collapsed="false">
      <c r="A11512" s="0" t="s">
        <v>1061</v>
      </c>
      <c r="B11512" s="0" t="s">
        <v>168</v>
      </c>
      <c r="E11512" s="7" t="n">
        <f aca="false">Q!M22/Q!M12</f>
        <v>0.296207935710698</v>
      </c>
      <c r="F11512" s="7" t="n">
        <f aca="false">Sens!$E$11512+dm_seg</f>
        <v>0.296207935710698</v>
      </c>
      <c r="G11512" s="7" t="n">
        <f aca="false">Sens!$E$11512+dm_seg</f>
        <v>0.296207935710698</v>
      </c>
      <c r="H11512" s="7" t="n">
        <f aca="false">Sens!$E$11512+dm_seg</f>
        <v>0.296207935710698</v>
      </c>
      <c r="I11512" s="7" t="n">
        <f aca="false">Sens!$E$11512+dm_seg</f>
        <v>0.296207935710698</v>
      </c>
      <c r="J11512" s="7" t="n">
        <f aca="false">Sens!$E$11512+dm_seg</f>
        <v>0.296207935710698</v>
      </c>
      <c r="K11512" s="7" t="n">
        <f aca="false">Sens!$E$11512+dm_seg</f>
        <v>0.296207935710698</v>
      </c>
      <c r="L11512" s="12" t="s">
        <v>1062</v>
      </c>
    </row>
    <row r="11513" customFormat="false" ht="17.15" hidden="false" customHeight="false" outlineLevel="0" collapsed="false">
      <c r="A11513" s="0" t="s">
        <v>882</v>
      </c>
      <c r="B11513" s="0" t="s">
        <v>98</v>
      </c>
      <c r="D11513" s="6" t="n">
        <f aca="false">Q!L22</f>
        <v>17.714</v>
      </c>
      <c r="E11513" s="6" t="n">
        <f aca="false">Q!M22</f>
        <v>18.872</v>
      </c>
      <c r="F11513" s="6" t="n">
        <f aca="false">Q!$I$22+(Sens!F11488-Q!$I$12)*Sens!F11512</f>
        <v>19.7852791671435</v>
      </c>
      <c r="G11513" s="6" t="n">
        <f aca="false">Sens!G11488*Sens!G11512</f>
        <v>19.5190043877795</v>
      </c>
      <c r="H11513" s="6" t="n">
        <f aca="false">Sens!H11488*Sens!H11512</f>
        <v>20.1284207778214</v>
      </c>
      <c r="I11513" s="6" t="n">
        <f aca="false">Sens!I11488*Sens!I11512</f>
        <v>20.8219732124669</v>
      </c>
      <c r="J11513" s="6" t="n">
        <f aca="false">Sens!J11488*Sens!J11512</f>
        <v>21.5796700641803</v>
      </c>
      <c r="K11513" s="6" t="n">
        <f aca="false">Sens!K11488*Sens!K11512</f>
        <v>22.3826088803827</v>
      </c>
      <c r="L11513" s="12" t="s">
        <v>1063</v>
      </c>
    </row>
    <row r="11514" customFormat="false" ht="15" hidden="false" customHeight="false" outlineLevel="0" collapsed="false">
      <c r="A11514" s="1" t="s">
        <v>1064</v>
      </c>
      <c r="B11514" s="0" t="s">
        <v>98</v>
      </c>
      <c r="D11514" s="6" t="n">
        <f aca="false">Sens!D11511+Sens!D11513</f>
        <v>128.528</v>
      </c>
      <c r="E11514" s="6" t="n">
        <f aca="false">Sens!E11511+Sens!E11513</f>
        <v>155.237</v>
      </c>
      <c r="F11514" s="6" t="n">
        <f aca="false">Sens!F11511+Sens!F11513</f>
        <v>185.303967634571</v>
      </c>
      <c r="G11514" s="6" t="n">
        <f aca="false">Sens!G11511+Sens!G11513</f>
        <v>211.040805114515</v>
      </c>
      <c r="H11514" s="6" t="n">
        <f aca="false">Sens!H11511+Sens!H11513</f>
        <v>245.90464060611</v>
      </c>
      <c r="I11514" s="6" t="n">
        <f aca="false">Sens!I11511+Sens!I11513</f>
        <v>272.463479114647</v>
      </c>
      <c r="J11514" s="6" t="n">
        <f aca="false">Sens!J11511+Sens!J11513</f>
        <v>295.473201635824</v>
      </c>
      <c r="K11514" s="6" t="n">
        <f aca="false">Sens!K11511+Sens!K11513</f>
        <v>316.256462164224</v>
      </c>
    </row>
    <row r="11515" customFormat="false" ht="15" hidden="false" customHeight="false" outlineLevel="0" collapsed="false">
      <c r="A11515" s="26" t="s">
        <v>1065</v>
      </c>
      <c r="B11515" s="31" t="s">
        <v>98</v>
      </c>
      <c r="C11515" s="31"/>
      <c r="D11515" s="27" t="n">
        <f aca="false">Sens!D11514-Q!L23</f>
        <v>0</v>
      </c>
      <c r="E11515" s="27" t="n">
        <f aca="false">Sens!E11514-Q!M23</f>
        <v>0</v>
      </c>
      <c r="F11515" s="31"/>
      <c r="G11515" s="31"/>
      <c r="H11515" s="31"/>
      <c r="I11515" s="31"/>
      <c r="J11515" s="31"/>
      <c r="K11515" s="31"/>
    </row>
    <row r="11516" customFormat="false" ht="15" hidden="false" customHeight="false" outlineLevel="0" collapsed="false">
      <c r="A11516" s="1" t="s">
        <v>1066</v>
      </c>
      <c r="B11516" s="0" t="s">
        <v>168</v>
      </c>
      <c r="D11516" s="7" t="n">
        <f aca="false">Sens!D11514/Sens!D11507</f>
        <v>0.456219562408598</v>
      </c>
      <c r="E11516" s="7" t="n">
        <f aca="false">Sens!E11514/Sens!E11507</f>
        <v>0.467808184089272</v>
      </c>
      <c r="F11516" s="7" t="n">
        <f aca="false">Sens!F11514/Sens!F11507</f>
        <v>0.459847067252607</v>
      </c>
      <c r="G11516" s="7" t="n">
        <f aca="false">Sens!G11514/Sens!G11507</f>
        <v>0.429464666373079</v>
      </c>
      <c r="H11516" s="7" t="n">
        <f aca="false">Sens!H11514/Sens!H11507</f>
        <v>0.419250088447456</v>
      </c>
      <c r="I11516" s="7" t="n">
        <f aca="false">Sens!I11514/Sens!I11507</f>
        <v>0.408268871186574</v>
      </c>
      <c r="J11516" s="7" t="n">
        <f aca="false">Sens!J11514/Sens!J11507</f>
        <v>0.403542262124418</v>
      </c>
      <c r="K11516" s="7" t="n">
        <f aca="false">Sens!K11514/Sens!K11507</f>
        <v>0.403634186963031</v>
      </c>
    </row>
    <row r="11517" customFormat="false" ht="17.15" hidden="false" customHeight="false" outlineLevel="0" collapsed="false">
      <c r="A11517" s="1" t="s">
        <v>1067</v>
      </c>
      <c r="B11517" s="0" t="s">
        <v>98</v>
      </c>
      <c r="F11517" s="6" t="n">
        <f aca="false">Sens!F11532</f>
        <v>8.88340674531245</v>
      </c>
      <c r="G11517" s="6" t="n">
        <f aca="false">Sens!G11532</f>
        <v>22.7060305170273</v>
      </c>
      <c r="H11517" s="6" t="n">
        <f aca="false">Sens!H11532</f>
        <v>38.0018452382075</v>
      </c>
      <c r="I11517" s="6" t="n">
        <f aca="false">Sens!I11532</f>
        <v>52.1381094705177</v>
      </c>
      <c r="J11517" s="6" t="n">
        <f aca="false">Sens!J11532</f>
        <v>62.0595818934393</v>
      </c>
      <c r="K11517" s="6" t="n">
        <f aca="false">Sens!K11532</f>
        <v>67.0801312706266</v>
      </c>
      <c r="L11517" s="1" t="s">
        <v>1068</v>
      </c>
    </row>
    <row r="11518" customFormat="false" ht="17.15" hidden="false" customHeight="false" outlineLevel="0" collapsed="false">
      <c r="A11518" s="1" t="s">
        <v>1069</v>
      </c>
      <c r="B11518" s="0" t="s">
        <v>98</v>
      </c>
      <c r="D11518" s="6" t="n">
        <f aca="false">Sens!D11514</f>
        <v>128.528</v>
      </c>
      <c r="E11518" s="6" t="n">
        <f aca="false">Sens!E11514</f>
        <v>155.237</v>
      </c>
      <c r="F11518" s="6" t="n">
        <f aca="false">Sens!F11514+Sens!F11517</f>
        <v>194.187374379883</v>
      </c>
      <c r="G11518" s="6" t="n">
        <f aca="false">Sens!G11514+Sens!G11517</f>
        <v>233.746835631542</v>
      </c>
      <c r="H11518" s="6" t="n">
        <f aca="false">Sens!H11514+Sens!H11517</f>
        <v>283.906485844318</v>
      </c>
      <c r="I11518" s="6" t="n">
        <f aca="false">Sens!I11514+Sens!I11517</f>
        <v>324.601588585164</v>
      </c>
      <c r="J11518" s="6" t="n">
        <f aca="false">Sens!J11514+Sens!J11517</f>
        <v>357.532783529263</v>
      </c>
      <c r="K11518" s="6" t="n">
        <f aca="false">Sens!K11514+Sens!K11517</f>
        <v>383.336593434851</v>
      </c>
    </row>
    <row r="11519" customFormat="false" ht="17.15" hidden="false" customHeight="false" outlineLevel="0" collapsed="false">
      <c r="A11519" s="1" t="s">
        <v>1070</v>
      </c>
      <c r="B11519" s="0" t="s">
        <v>98</v>
      </c>
      <c r="E11519" s="6" t="n">
        <f aca="false">Sens!E11462</f>
        <v>16.3054059770833</v>
      </c>
      <c r="F11519" s="6" t="n">
        <f aca="false">Sens!F11462</f>
        <v>34.5793144783516</v>
      </c>
      <c r="G11519" s="6" t="n">
        <f aca="false">Sens!G11462</f>
        <v>60.7344906522989</v>
      </c>
      <c r="H11519" s="6" t="n">
        <f aca="false">Sens!H11462</f>
        <v>89.1000906614457</v>
      </c>
      <c r="I11519" s="6" t="n">
        <f aca="false">Sens!I11462</f>
        <v>114.231009694548</v>
      </c>
      <c r="J11519" s="6" t="n">
        <f aca="false">Sens!J11462</f>
        <v>132.015673049596</v>
      </c>
      <c r="K11519" s="6" t="n">
        <f aca="false">Sens!K11462</f>
        <v>143.012669550934</v>
      </c>
    </row>
    <row r="11520" customFormat="false" ht="17.15" hidden="false" customHeight="false" outlineLevel="0" collapsed="false">
      <c r="A11520" s="1" t="s">
        <v>1071</v>
      </c>
      <c r="B11520" s="0" t="s">
        <v>98</v>
      </c>
      <c r="E11520" s="6" t="n">
        <f aca="false">Sens!E11544</f>
        <v>22.2285940229167</v>
      </c>
      <c r="F11520" s="6" t="n">
        <f aca="false">Sens!F11544</f>
        <v>23.580344216413</v>
      </c>
      <c r="G11520" s="6" t="n">
        <f aca="false">Sens!G11544</f>
        <v>25.3790034342937</v>
      </c>
      <c r="H11520" s="6" t="n">
        <f aca="false">Sens!H11544</f>
        <v>27.5931587866287</v>
      </c>
      <c r="I11520" s="6" t="n">
        <f aca="false">Sens!I11544</f>
        <v>30.1462173883245</v>
      </c>
      <c r="J11520" s="6" t="n">
        <f aca="false">Sens!J11544</f>
        <v>32.9458895460602</v>
      </c>
      <c r="K11520" s="6" t="n">
        <f aca="false">Sens!K11544</f>
        <v>35.9074608521905</v>
      </c>
    </row>
    <row r="11521" customFormat="false" ht="17.15" hidden="false" customHeight="false" outlineLevel="0" collapsed="false">
      <c r="A11521" s="1" t="s">
        <v>1072</v>
      </c>
      <c r="B11521" s="0" t="s">
        <v>98</v>
      </c>
      <c r="D11521" s="6" t="n">
        <f aca="false">Q!L27</f>
        <v>-4.901</v>
      </c>
      <c r="E11521" s="6" t="n">
        <f aca="false">Q!M27</f>
        <v>10.697</v>
      </c>
      <c r="F11521" s="6" t="n">
        <f aca="false">Q!$I$27+oie_f*(q_per_yr-1)/q_per_yr</f>
        <v>-0.862</v>
      </c>
      <c r="G11521" s="6" t="n">
        <f aca="false">oie_f</f>
        <v>-1.2</v>
      </c>
      <c r="H11521" s="6" t="n">
        <f aca="false">oie_f</f>
        <v>-1.2</v>
      </c>
      <c r="I11521" s="6" t="n">
        <f aca="false">oie_f</f>
        <v>-1.2</v>
      </c>
      <c r="J11521" s="6" t="n">
        <f aca="false">oie_f</f>
        <v>-1.2</v>
      </c>
      <c r="K11521" s="6" t="n">
        <f aca="false">oie_f</f>
        <v>-1.2</v>
      </c>
      <c r="L11521" s="12" t="s">
        <v>1073</v>
      </c>
    </row>
    <row r="11522" customFormat="false" ht="15" hidden="false" customHeight="false" outlineLevel="0" collapsed="false">
      <c r="A11522" s="1" t="s">
        <v>1074</v>
      </c>
      <c r="B11522" s="0" t="s">
        <v>98</v>
      </c>
      <c r="D11522" s="6" t="n">
        <f aca="false">Sens!D11514+Sens!D11521</f>
        <v>123.627</v>
      </c>
      <c r="E11522" s="6" t="n">
        <f aca="false">Sens!E11514+Sens!E11521</f>
        <v>165.934</v>
      </c>
      <c r="F11522" s="6" t="n">
        <f aca="false">Sens!F11514+Sens!F11521</f>
        <v>184.441967634571</v>
      </c>
      <c r="G11522" s="6" t="n">
        <f aca="false">Sens!G11514+Sens!G11521</f>
        <v>209.840805114515</v>
      </c>
      <c r="H11522" s="6" t="n">
        <f aca="false">Sens!H11514+Sens!H11521</f>
        <v>244.70464060611</v>
      </c>
      <c r="I11522" s="6" t="n">
        <f aca="false">Sens!I11514+Sens!I11521</f>
        <v>271.263479114647</v>
      </c>
      <c r="J11522" s="6" t="n">
        <f aca="false">Sens!J11514+Sens!J11521</f>
        <v>294.273201635824</v>
      </c>
      <c r="K11522" s="6" t="n">
        <f aca="false">Sens!K11514+Sens!K11521</f>
        <v>315.056462164224</v>
      </c>
    </row>
    <row r="11523" customFormat="false" ht="15" hidden="false" customHeight="false" outlineLevel="0" collapsed="false">
      <c r="A11523" s="1" t="s">
        <v>1075</v>
      </c>
      <c r="B11523" s="0" t="s">
        <v>98</v>
      </c>
      <c r="D11523" s="6" t="n">
        <f aca="false">Q!L29</f>
        <v>21.795</v>
      </c>
      <c r="E11523" s="6" t="n">
        <f aca="false">Q!M29</f>
        <v>32.185</v>
      </c>
      <c r="F11523" s="6" t="n">
        <f aca="false">Q!$I$29+(Sens!F11522-Q!$I$28)*tax_f</f>
        <v>37.0217935269141</v>
      </c>
      <c r="G11523" s="6" t="n">
        <f aca="false">Sens!G11522*tax_f</f>
        <v>41.9681610229029</v>
      </c>
      <c r="H11523" s="6" t="n">
        <f aca="false">Sens!H11522*tax_f</f>
        <v>48.9409281212221</v>
      </c>
      <c r="I11523" s="6" t="n">
        <f aca="false">Sens!I11522*tax_f</f>
        <v>54.2526958229293</v>
      </c>
      <c r="J11523" s="6" t="n">
        <f aca="false">Sens!J11522*tax_f</f>
        <v>58.8546403271648</v>
      </c>
      <c r="K11523" s="6" t="n">
        <f aca="false">Sens!K11522*tax_f</f>
        <v>63.0112924328449</v>
      </c>
    </row>
    <row r="11524" customFormat="false" ht="15" hidden="false" customHeight="false" outlineLevel="0" collapsed="false">
      <c r="A11524" s="1" t="s">
        <v>1076</v>
      </c>
      <c r="B11524" s="0" t="s">
        <v>98</v>
      </c>
      <c r="D11524" s="6" t="n">
        <f aca="false">Sens!D11522-Sens!D11523</f>
        <v>101.832</v>
      </c>
      <c r="E11524" s="6" t="n">
        <f aca="false">Sens!E11522-Sens!E11523</f>
        <v>133.749</v>
      </c>
      <c r="F11524" s="6" t="n">
        <f aca="false">Sens!F11522-Sens!F11523</f>
        <v>147.420174107657</v>
      </c>
      <c r="G11524" s="6" t="n">
        <f aca="false">Sens!G11522-Sens!G11523</f>
        <v>167.872644091612</v>
      </c>
      <c r="H11524" s="6" t="n">
        <f aca="false">Sens!H11522-Sens!H11523</f>
        <v>195.763712484888</v>
      </c>
      <c r="I11524" s="6" t="n">
        <f aca="false">Sens!I11522-Sens!I11523</f>
        <v>217.010783291717</v>
      </c>
      <c r="J11524" s="6" t="n">
        <f aca="false">Sens!J11522-Sens!J11523</f>
        <v>235.418561308659</v>
      </c>
      <c r="K11524" s="6" t="n">
        <f aca="false">Sens!K11522-Sens!K11523</f>
        <v>252.045169731379</v>
      </c>
    </row>
    <row r="11525" customFormat="false" ht="17.15" hidden="false" customHeight="false" outlineLevel="0" collapsed="false">
      <c r="A11525" s="1" t="s">
        <v>1077</v>
      </c>
      <c r="B11525" s="1" t="s">
        <v>81</v>
      </c>
      <c r="D11525" s="15" t="n">
        <f aca="false">Q!L31</f>
        <v>7.465</v>
      </c>
      <c r="E11525" s="15" t="n">
        <f aca="false">Q!M31</f>
        <v>7.453</v>
      </c>
      <c r="F11525" s="15" t="n">
        <f aca="false">Sens!F11569</f>
        <v>7.4706598522752</v>
      </c>
      <c r="G11525" s="15" t="n">
        <f aca="false">Sens!G11569</f>
        <v>7.51003704295414</v>
      </c>
      <c r="H11525" s="15" t="n">
        <f aca="false">Sens!H11569</f>
        <v>7.5349543203867</v>
      </c>
      <c r="I11525" s="15" t="n">
        <f aca="false">Sens!I11569</f>
        <v>7.54663568444217</v>
      </c>
      <c r="J11525" s="15" t="n">
        <f aca="false">Sens!J11569</f>
        <v>7.56078509560464</v>
      </c>
      <c r="K11525" s="15" t="n">
        <f aca="false">Sens!K11569</f>
        <v>7.57721973556989</v>
      </c>
    </row>
    <row r="11526" customFormat="false" ht="17.15" hidden="false" customHeight="false" outlineLevel="0" collapsed="false">
      <c r="A11526" s="0" t="s">
        <v>1078</v>
      </c>
      <c r="B11526" s="0" t="s">
        <v>75</v>
      </c>
      <c r="D11526" s="8" t="n">
        <f aca="false">Sens!D11524/Sens!D11525</f>
        <v>13.641259209645</v>
      </c>
      <c r="E11526" s="8" t="n">
        <f aca="false">Sens!E11524/Sens!E11525</f>
        <v>17.9456594659869</v>
      </c>
      <c r="F11526" s="8" t="n">
        <f aca="false">Sens!F11524/Sens!F11525</f>
        <v>19.733219959514</v>
      </c>
      <c r="G11526" s="8" t="n">
        <f aca="false">Sens!G11524/Sens!G11525</f>
        <v>22.3531046693183</v>
      </c>
      <c r="H11526" s="8" t="n">
        <f aca="false">Sens!H11524/Sens!H11525</f>
        <v>25.9807431022145</v>
      </c>
      <c r="I11526" s="8" t="n">
        <f aca="false">Sens!I11524/Sens!I11525</f>
        <v>28.7559638978065</v>
      </c>
      <c r="J11526" s="8" t="n">
        <f aca="false">Sens!J11524/Sens!J11525</f>
        <v>31.1367878245232</v>
      </c>
      <c r="K11526" s="8" t="n">
        <f aca="false">Sens!K11524/Sens!K11525</f>
        <v>33.2635423713792</v>
      </c>
      <c r="L11526" s="1" t="s">
        <v>1079</v>
      </c>
    </row>
    <row r="11527" customFormat="false" ht="17.15" hidden="false" customHeight="false" outlineLevel="0" collapsed="false">
      <c r="A11527" s="1" t="s">
        <v>1080</v>
      </c>
      <c r="B11527" s="0" t="s">
        <v>98</v>
      </c>
      <c r="D11527" s="6" t="n">
        <f aca="false">Sens!D11524</f>
        <v>101.832</v>
      </c>
      <c r="E11527" s="6" t="n">
        <f aca="false">Sens!E11524</f>
        <v>133.749</v>
      </c>
      <c r="F11527" s="6" t="n">
        <f aca="false">Sens!F11524+Sens!F11517*(1-tax_f)</f>
        <v>154.526899503907</v>
      </c>
      <c r="G11527" s="6" t="n">
        <f aca="false">Sens!G11524+Sens!G11517*(1-tax_f)</f>
        <v>186.037468505234</v>
      </c>
      <c r="H11527" s="6" t="n">
        <f aca="false">Sens!H11524+Sens!H11517*(1-tax_f)</f>
        <v>226.165188675454</v>
      </c>
      <c r="I11527" s="6" t="n">
        <f aca="false">Sens!I11524+Sens!I11517*(1-tax_f)</f>
        <v>258.721270868131</v>
      </c>
      <c r="J11527" s="6" t="n">
        <f aca="false">Sens!J11524+Sens!J11517*(1-tax_f)</f>
        <v>285.066226823411</v>
      </c>
      <c r="K11527" s="6" t="n">
        <f aca="false">Sens!K11524+Sens!K11517*(1-tax_f)</f>
        <v>305.709274747881</v>
      </c>
    </row>
    <row r="11528" customFormat="false" ht="17.15" hidden="false" customHeight="false" outlineLevel="0" collapsed="false">
      <c r="A11528" s="0" t="s">
        <v>1081</v>
      </c>
      <c r="B11528" s="0" t="s">
        <v>75</v>
      </c>
      <c r="D11528" s="8" t="n">
        <f aca="false">Sens!D11527/Sens!D11525</f>
        <v>13.641259209645</v>
      </c>
      <c r="E11528" s="8" t="n">
        <f aca="false">Sens!E11527/Sens!E11525</f>
        <v>17.9456594659869</v>
      </c>
      <c r="F11528" s="8" t="n">
        <f aca="false">Sens!F11527/Sens!F11525</f>
        <v>20.6845047906773</v>
      </c>
      <c r="G11528" s="8" t="n">
        <f aca="false">Sens!G11527/Sens!G11525</f>
        <v>24.7718443252916</v>
      </c>
      <c r="H11528" s="8" t="n">
        <f aca="false">Sens!H11527/Sens!H11525</f>
        <v>30.0154691135337</v>
      </c>
      <c r="I11528" s="8" t="n">
        <f aca="false">Sens!I11527/Sens!I11525</f>
        <v>34.2829946596601</v>
      </c>
      <c r="J11528" s="8" t="n">
        <f aca="false">Sens!J11527/Sens!J11525</f>
        <v>37.7032574287993</v>
      </c>
      <c r="K11528" s="8" t="n">
        <f aca="false">Sens!K11527/Sens!K11525</f>
        <v>40.3458373145474</v>
      </c>
      <c r="L11528" s="1" t="s">
        <v>1082</v>
      </c>
    </row>
    <row r="11529" customFormat="false" ht="17.15" hidden="false" customHeight="false" outlineLevel="0" collapsed="false">
      <c r="A11529" s="0" t="s">
        <v>1083</v>
      </c>
      <c r="B11529" s="0" t="s">
        <v>168</v>
      </c>
      <c r="E11529" s="7" t="n">
        <f aca="false">Sens!E11528/Sens!D11528-1</f>
        <v>0.315542736208578</v>
      </c>
      <c r="F11529" s="7" t="n">
        <f aca="false">Sens!F11528/Sens!E11528-1</f>
        <v>0.152618817373719</v>
      </c>
      <c r="G11529" s="7" t="n">
        <f aca="false">Sens!G11528/Sens!F11528-1</f>
        <v>0.197603934731693</v>
      </c>
      <c r="H11529" s="7" t="n">
        <f aca="false">Sens!H11528/Sens!G11528-1</f>
        <v>0.211676802073571</v>
      </c>
      <c r="I11529" s="7" t="n">
        <f aca="false">Sens!I11528/Sens!H11528-1</f>
        <v>0.142177539520854</v>
      </c>
      <c r="J11529" s="7" t="n">
        <f aca="false">Sens!J11528/Sens!I11528-1</f>
        <v>0.0997655777476088</v>
      </c>
      <c r="K11529" s="7" t="n">
        <f aca="false">Sens!K11528/Sens!J11528-1</f>
        <v>0.0700889012239456</v>
      </c>
    </row>
    <row r="11530" customFormat="false" ht="17.15" hidden="false" customHeight="false" outlineLevel="0" collapsed="false">
      <c r="A11530" s="0" t="s">
        <v>1003</v>
      </c>
      <c r="B11530" s="0" t="s">
        <v>98</v>
      </c>
      <c r="E11530" s="6" t="n">
        <f aca="false">Sens!E11471</f>
        <v>5.25</v>
      </c>
      <c r="F11530" s="6" t="n">
        <f aca="false">Sens!F11471</f>
        <v>13.5</v>
      </c>
      <c r="G11530" s="6" t="n">
        <f aca="false">Sens!G11471</f>
        <v>22.5</v>
      </c>
      <c r="H11530" s="6" t="n">
        <f aca="false">Sens!H11471</f>
        <v>31.5</v>
      </c>
      <c r="I11530" s="6" t="n">
        <f aca="false">Sens!I11471</f>
        <v>38.25</v>
      </c>
      <c r="J11530" s="6" t="n">
        <f aca="false">Sens!J11471</f>
        <v>42.75</v>
      </c>
      <c r="K11530" s="6" t="n">
        <f aca="false">Sens!K11471</f>
        <v>47.25</v>
      </c>
    </row>
    <row r="11531" customFormat="false" ht="17.15" hidden="false" customHeight="false" outlineLevel="0" collapsed="false">
      <c r="A11531" s="1" t="s">
        <v>1004</v>
      </c>
      <c r="B11531" s="0" t="s">
        <v>98</v>
      </c>
      <c r="F11531" s="6" t="n">
        <f aca="false">MAX(0,((Sens!E11431+Sens!F11431)/2-(shadow_base*(Sens!$D$11431+Sens!$E$11431)/2+(1-shadow_base)*Sens!$E$11431))*Sens!F11440/1000-(Sens!F11530-Sens!$E$11530)*Sens!F11510)</f>
        <v>8.88340674531245</v>
      </c>
      <c r="G11531" s="6" t="n">
        <f aca="false">MAX(0,((Sens!F11431+Sens!G11431)/2-(shadow_base*(Sens!$D$11431+Sens!$E$11431)/2+(1-shadow_base)*Sens!$E$11431))*Sens!G11440/1000-(Sens!G11530-Sens!$E$11530)*Sens!G11510)</f>
        <v>22.7060305170273</v>
      </c>
      <c r="H11531" s="6" t="n">
        <f aca="false">MAX(0,((Sens!G11431+Sens!H11431)/2-(shadow_base*(Sens!$D$11431+Sens!$E$11431)/2+(1-shadow_base)*Sens!$E$11431))*Sens!H11440/1000-(Sens!H11530-Sens!$E$11530)*Sens!H11510)</f>
        <v>38.0018452382075</v>
      </c>
      <c r="I11531" s="6" t="n">
        <f aca="false">MAX(0,((Sens!H11431+Sens!I11431)/2-(shadow_base*(Sens!$D$11431+Sens!$E$11431)/2+(1-shadow_base)*Sens!$E$11431))*Sens!I11440/1000-(Sens!I11530-Sens!$E$11530)*Sens!I11510)</f>
        <v>52.1381094705177</v>
      </c>
      <c r="J11531" s="6" t="n">
        <f aca="false">MAX(0,((Sens!I11431+Sens!J11431)/2-(shadow_base*(Sens!$D$11431+Sens!$E$11431)/2+(1-shadow_base)*Sens!$E$11431))*Sens!J11440/1000-(Sens!J11530-Sens!$E$11530)*Sens!J11510)</f>
        <v>62.0595818934393</v>
      </c>
      <c r="K11531" s="6" t="n">
        <f aca="false">MAX(0,((Sens!J11431+Sens!K11431)/2-(shadow_base*(Sens!$D$11431+Sens!$E$11431)/2+(1-shadow_base)*Sens!$E$11431))*Sens!K11440/1000-(Sens!K11530-Sens!$E$11530)*Sens!K11510)</f>
        <v>67.0801312706266</v>
      </c>
      <c r="L11531" s="1" t="s">
        <v>1005</v>
      </c>
    </row>
    <row r="11532" customFormat="false" ht="17.15" hidden="false" customHeight="false" outlineLevel="0" collapsed="false">
      <c r="A11532" s="1" t="s">
        <v>1006</v>
      </c>
      <c r="B11532" s="0" t="s">
        <v>98</v>
      </c>
      <c r="F11532" s="6" t="n">
        <f aca="false">IF(internal_ai_reading=2,1,0)*Sens!F11531</f>
        <v>8.88340674531245</v>
      </c>
      <c r="G11532" s="6" t="n">
        <f aca="false">IF(internal_ai_reading=2,1,0)*Sens!G11531</f>
        <v>22.7060305170273</v>
      </c>
      <c r="H11532" s="6" t="n">
        <f aca="false">IF(internal_ai_reading=2,1,0)*Sens!H11531</f>
        <v>38.0018452382075</v>
      </c>
      <c r="I11532" s="6" t="n">
        <f aca="false">IF(internal_ai_reading=2,1,0)*Sens!I11531</f>
        <v>52.1381094705177</v>
      </c>
      <c r="J11532" s="6" t="n">
        <f aca="false">IF(internal_ai_reading=2,1,0)*Sens!J11531</f>
        <v>62.0595818934393</v>
      </c>
      <c r="K11532" s="6" t="n">
        <f aca="false">IF(internal_ai_reading=2,1,0)*Sens!K11531</f>
        <v>67.0801312706266</v>
      </c>
    </row>
    <row r="11533" customFormat="false" ht="17.15" hidden="false" customHeight="false" outlineLevel="0" collapsed="false">
      <c r="A11533" s="0" t="s">
        <v>1007</v>
      </c>
      <c r="B11533" s="0" t="s">
        <v>98</v>
      </c>
      <c r="F11533" s="6" t="n">
        <f aca="false">Sens!F11450+Sens!F11530*Sens!F11510+Sens!F11532-Sens!F11451-Sens!F11462</f>
        <v>18.5068678152817</v>
      </c>
      <c r="G11533" s="6" t="n">
        <f aca="false">Sens!G11450+Sens!G11530*Sens!G11510+Sens!G11532-Sens!G11451-Sens!G11462</f>
        <v>43.1983864982792</v>
      </c>
      <c r="H11533" s="6" t="n">
        <f aca="false">Sens!H11450+Sens!H11530*Sens!H11510+Sens!H11532-Sens!H11451-Sens!H11462</f>
        <v>73.502598356074</v>
      </c>
      <c r="I11533" s="6" t="n">
        <f aca="false">Sens!I11450+Sens!I11530*Sens!I11510+Sens!I11532-Sens!I11451-Sens!I11462</f>
        <v>94.7454135378504</v>
      </c>
      <c r="J11533" s="6" t="n">
        <f aca="false">Sens!J11450+Sens!J11530*Sens!J11510+Sens!J11532-Sens!J11451-Sens!J11462</f>
        <v>109.399608126358</v>
      </c>
      <c r="K11533" s="6" t="n">
        <f aca="false">Sens!K11450+Sens!K11530*Sens!K11510+Sens!K11532-Sens!K11451-Sens!K11462</f>
        <v>118.898703181943</v>
      </c>
    </row>
    <row r="11534" customFormat="false" ht="17.15" hidden="false" customHeight="false" outlineLevel="0" collapsed="false">
      <c r="A11534" s="0" t="s">
        <v>1008</v>
      </c>
      <c r="B11534" s="0" t="s">
        <v>98</v>
      </c>
      <c r="E11534" s="6" t="n">
        <f aca="false">Sens!E11430*(cxit_open+self_build*tk_cxfac)/1000*ai_net_open</f>
        <v>126.6980382</v>
      </c>
      <c r="F11534" s="6" t="n">
        <f aca="false">Sens!E11534+Sens!F11459-Sens!F11462</f>
        <v>260.572627763768</v>
      </c>
      <c r="G11534" s="6" t="n">
        <f aca="false">Sens!F11534+Sens!G11459-Sens!G11462</f>
        <v>391.782612760517</v>
      </c>
      <c r="H11534" s="6" t="n">
        <f aca="false">Sens!G11534+Sens!H11459-Sens!H11462</f>
        <v>499.488526163584</v>
      </c>
      <c r="I11534" s="6" t="n">
        <f aca="false">Sens!H11534+Sens!I11459-Sens!I11462</f>
        <v>553.872350090646</v>
      </c>
      <c r="J11534" s="6" t="n">
        <f aca="false">Sens!I11534+Sens!J11459-Sens!J11462</f>
        <v>550.78660823699</v>
      </c>
      <c r="K11534" s="6" t="n">
        <f aca="false">Sens!J11534+Sens!K11459-Sens!K11462</f>
        <v>526.736791750789</v>
      </c>
      <c r="L11534" s="1" t="s">
        <v>1009</v>
      </c>
    </row>
    <row r="11535" customFormat="false" ht="17.15" hidden="false" customHeight="false" outlineLevel="0" collapsed="false">
      <c r="A11535" s="0" t="s">
        <v>1010</v>
      </c>
      <c r="B11535" s="0" t="s">
        <v>168</v>
      </c>
      <c r="F11535" s="7" t="n">
        <f aca="false">Sens!F11533*(1-tax_f)/((Sens!E11534+Sens!F11534)/2)</f>
        <v>0.0764607059271074</v>
      </c>
      <c r="G11535" s="7" t="n">
        <f aca="false">Sens!G11533*(1-tax_f)/((Sens!F11534+Sens!G11534)/2)</f>
        <v>0.105950583522098</v>
      </c>
      <c r="H11535" s="7" t="n">
        <f aca="false">Sens!H11533*(1-tax_f)/((Sens!G11534+Sens!H11534)/2)</f>
        <v>0.131951044114011</v>
      </c>
      <c r="I11535" s="7" t="n">
        <f aca="false">Sens!I11533*(1-tax_f)/((Sens!H11534+Sens!I11534)/2)</f>
        <v>0.143913320760143</v>
      </c>
      <c r="J11535" s="7" t="n">
        <f aca="false">Sens!J11533*(1-tax_f)/((Sens!I11534+Sens!J11534)/2)</f>
        <v>0.158455577336889</v>
      </c>
      <c r="K11535" s="7" t="n">
        <f aca="false">Sens!K11533*(1-tax_f)/((Sens!J11534+Sens!K11534)/2)</f>
        <v>0.176551084731214</v>
      </c>
    </row>
    <row r="11536" customFormat="false" ht="17.15" hidden="false" customHeight="false" outlineLevel="0" collapsed="false">
      <c r="A11536" s="1" t="s">
        <v>1011</v>
      </c>
      <c r="B11536" s="0" t="s">
        <v>168</v>
      </c>
      <c r="F11536" s="7" t="n">
        <f aca="false">(Sens!F11533-Sens!F11532)*(1-tax_f)/((Sens!E11534+Sens!F11534)/2)</f>
        <v>0.0397591118181705</v>
      </c>
      <c r="G11536" s="7" t="n">
        <f aca="false">(Sens!G11533-Sens!G11532)*(1-tax_f)/((Sens!F11534+Sens!G11534)/2)</f>
        <v>0.0502606057761598</v>
      </c>
      <c r="H11536" s="7" t="n">
        <f aca="false">(Sens!H11533-Sens!H11532)*(1-tax_f)/((Sens!G11534+Sens!H11534)/2)</f>
        <v>0.0637305557287023</v>
      </c>
      <c r="I11536" s="7" t="n">
        <f aca="false">(Sens!I11533-Sens!I11532)*(1-tax_f)/((Sens!H11534+Sens!I11534)/2)</f>
        <v>0.0647182632699936</v>
      </c>
      <c r="J11536" s="7" t="n">
        <f aca="false">(Sens!J11533-Sens!J11532)*(1-tax_f)/((Sens!I11534+Sens!J11534)/2)</f>
        <v>0.0685678067440289</v>
      </c>
      <c r="K11536" s="7" t="n">
        <f aca="false">(Sens!K11533-Sens!K11532)*(1-tax_f)/((Sens!J11534+Sens!K11534)/2)</f>
        <v>0.0769447002812616</v>
      </c>
    </row>
    <row r="11537" customFormat="false" ht="17.15" hidden="false" customHeight="false" outlineLevel="0" collapsed="false">
      <c r="A11537" s="1" t="s">
        <v>1012</v>
      </c>
      <c r="B11537" s="0" t="s">
        <v>168</v>
      </c>
      <c r="F11537" s="7" t="n">
        <f aca="false">(Sens!F11533-Sens!F11532+Sens!F11531)*(1-tax_f)/((Sens!E11534+Sens!F11534)/2)</f>
        <v>0.0764607059271074</v>
      </c>
      <c r="G11537" s="7" t="n">
        <f aca="false">(Sens!G11533-Sens!G11532+Sens!G11531)*(1-tax_f)/((Sens!F11534+Sens!G11534)/2)</f>
        <v>0.105950583522098</v>
      </c>
      <c r="H11537" s="7" t="n">
        <f aca="false">(Sens!H11533-Sens!H11532+Sens!H11531)*(1-tax_f)/((Sens!G11534+Sens!H11534)/2)</f>
        <v>0.131951044114011</v>
      </c>
      <c r="I11537" s="7" t="n">
        <f aca="false">(Sens!I11533-Sens!I11532+Sens!I11531)*(1-tax_f)/((Sens!H11534+Sens!I11534)/2)</f>
        <v>0.143913320760143</v>
      </c>
      <c r="J11537" s="7" t="n">
        <f aca="false">(Sens!J11533-Sens!J11532+Sens!J11531)*(1-tax_f)/((Sens!I11534+Sens!J11534)/2)</f>
        <v>0.158455577336889</v>
      </c>
      <c r="K11537" s="7" t="n">
        <f aca="false">(Sens!K11533-Sens!K11532+Sens!K11531)*(1-tax_f)/((Sens!J11534+Sens!K11534)/2)</f>
        <v>0.176551084731214</v>
      </c>
    </row>
    <row r="11538" customFormat="false" ht="17.15" hidden="false" customHeight="false" outlineLevel="0" collapsed="false">
      <c r="A11538" s="1" t="s">
        <v>1013</v>
      </c>
      <c r="B11538" s="0" t="s">
        <v>168</v>
      </c>
      <c r="F11538" s="7" t="n">
        <f aca="false">Sens!F11463*(1-tax_f)/(Sens!F11449*(Sens!E11534+Sens!F11534)/2)</f>
        <v>0.15471433083293</v>
      </c>
      <c r="G11538" s="7" t="n">
        <f aca="false">Sens!G11463*(1-tax_f)/(Sens!G11449*(Sens!F11534+Sens!G11534)/2)</f>
        <v>0.176916911437355</v>
      </c>
      <c r="H11538" s="7" t="n">
        <f aca="false">Sens!H11463*(1-tax_f)/(Sens!H11449*(Sens!G11534+Sens!H11534)/2)</f>
        <v>0.207487057996582</v>
      </c>
      <c r="I11538" s="7" t="n">
        <f aca="false">Sens!I11463*(1-tax_f)/(Sens!I11449*(Sens!H11534+Sens!I11534)/2)</f>
        <v>0.219873660070946</v>
      </c>
      <c r="J11538" s="7" t="n">
        <f aca="false">Sens!J11463*(1-tax_f)/(Sens!J11449*(Sens!I11534+Sens!J11534)/2)</f>
        <v>0.238959457974928</v>
      </c>
      <c r="K11538" s="7" t="n">
        <f aca="false">Sens!K11463*(1-tax_f)/(Sens!K11449*(Sens!J11534+Sens!K11534)/2)</f>
        <v>0.264604270651536</v>
      </c>
    </row>
    <row r="11539" customFormat="false" ht="17.15" hidden="false" customHeight="false" outlineLevel="0" collapsed="false">
      <c r="A11539" s="0" t="s">
        <v>1014</v>
      </c>
      <c r="B11539" s="0" t="s">
        <v>253</v>
      </c>
      <c r="F11539" s="7" t="n">
        <f aca="false">Sens!F11535-wacc</f>
        <v>-0.0264758850184899</v>
      </c>
      <c r="G11539" s="7" t="n">
        <f aca="false">Sens!G11535-wacc</f>
        <v>0.00301399257650095</v>
      </c>
      <c r="H11539" s="7" t="n">
        <f aca="false">Sens!H11535-wacc</f>
        <v>0.0290144531684132</v>
      </c>
      <c r="I11539" s="7" t="n">
        <f aca="false">Sens!I11535-wacc</f>
        <v>0.0409767298145461</v>
      </c>
      <c r="J11539" s="7" t="n">
        <f aca="false">Sens!J11535-wacc</f>
        <v>0.0555189863912922</v>
      </c>
      <c r="K11539" s="7" t="n">
        <f aca="false">Sens!K11535-wacc</f>
        <v>0.0736144937856168</v>
      </c>
    </row>
    <row r="11540" customFormat="false" ht="17.15" hidden="false" customHeight="false" outlineLevel="0" collapsed="false">
      <c r="A11540" s="0" t="s">
        <v>1015</v>
      </c>
      <c r="B11540" s="0" t="s">
        <v>98</v>
      </c>
      <c r="F11540" s="6" t="n">
        <f aca="false">Sens!F11533*(1-tax_f)-wacc*(Sens!E11534+Sens!F11534)/2</f>
        <v>-5.12666681154535</v>
      </c>
      <c r="G11540" s="6" t="n">
        <f aca="false">Sens!G11533*(1-tax_f)-wacc*(Sens!F11534+Sens!G11534)/2</f>
        <v>0.983096926090845</v>
      </c>
      <c r="H11540" s="6" t="n">
        <f aca="false">Sens!H11533*(1-tax_f)-wacc*(Sens!G11534+Sens!H11534)/2</f>
        <v>12.9298723603358</v>
      </c>
      <c r="I11540" s="6" t="n">
        <f aca="false">Sens!I11533*(1-tax_f)-wacc*(Sens!H11534+Sens!I11534)/2</f>
        <v>21.5816420117415</v>
      </c>
      <c r="J11540" s="6" t="n">
        <f aca="false">Sens!J11533*(1-tax_f)-wacc*(Sens!I11534+Sens!J11534)/2</f>
        <v>30.6647728372055</v>
      </c>
      <c r="K11540" s="6" t="n">
        <f aca="false">Sens!K11533*(1-tax_f)-wacc*(Sens!J11534+Sens!K11534)/2</f>
        <v>39.6606698161285</v>
      </c>
    </row>
    <row r="11541" customFormat="false" ht="17.15" hidden="false" customHeight="false" outlineLevel="0" collapsed="false">
      <c r="A11541" s="3" t="s">
        <v>1768</v>
      </c>
    </row>
    <row r="11542" customFormat="false" ht="15" hidden="false" customHeight="false" outlineLevel="0" collapsed="false">
      <c r="A11542" s="4" t="s">
        <v>43</v>
      </c>
      <c r="B11542" s="4" t="s">
        <v>65</v>
      </c>
      <c r="C11542" s="23" t="s">
        <v>938</v>
      </c>
      <c r="D11542" s="23" t="s">
        <v>939</v>
      </c>
      <c r="E11542" s="23" t="s">
        <v>940</v>
      </c>
      <c r="F11542" s="23" t="s">
        <v>941</v>
      </c>
      <c r="G11542" s="23" t="s">
        <v>942</v>
      </c>
      <c r="H11542" s="23" t="s">
        <v>943</v>
      </c>
      <c r="I11542" s="23" t="s">
        <v>944</v>
      </c>
      <c r="J11542" s="23" t="s">
        <v>945</v>
      </c>
      <c r="K11542" s="23" t="s">
        <v>946</v>
      </c>
      <c r="L11542" s="4" t="s">
        <v>47</v>
      </c>
    </row>
    <row r="11543" customFormat="false" ht="15" hidden="false" customHeight="false" outlineLevel="0" collapsed="false">
      <c r="A11543" s="1" t="s">
        <v>1076</v>
      </c>
      <c r="B11543" s="0" t="s">
        <v>98</v>
      </c>
      <c r="F11543" s="6" t="n">
        <f aca="false">Sens!F11524</f>
        <v>147.420174107657</v>
      </c>
      <c r="G11543" s="6" t="n">
        <f aca="false">Sens!G11524</f>
        <v>167.872644091612</v>
      </c>
      <c r="H11543" s="6" t="n">
        <f aca="false">Sens!H11524</f>
        <v>195.763712484888</v>
      </c>
      <c r="I11543" s="6" t="n">
        <f aca="false">Sens!I11524</f>
        <v>217.010783291717</v>
      </c>
      <c r="J11543" s="6" t="n">
        <f aca="false">Sens!J11524</f>
        <v>235.418561308659</v>
      </c>
      <c r="K11543" s="6" t="n">
        <f aca="false">Sens!K11524</f>
        <v>252.045169731379</v>
      </c>
    </row>
    <row r="11544" customFormat="false" ht="17.15" hidden="false" customHeight="false" outlineLevel="0" collapsed="false">
      <c r="A11544" s="1" t="s">
        <v>1098</v>
      </c>
      <c r="B11544" s="0" t="s">
        <v>98</v>
      </c>
      <c r="E11544" s="6" t="n">
        <f aca="false">Q!M38-Sens!E11462</f>
        <v>22.2285940229167</v>
      </c>
      <c r="F11544" s="6" t="n">
        <f aca="false">Sens!E11544*(1-1/life_nonai)+(Sens!F11552+Sens!F11553)/life_nonai</f>
        <v>23.580344216413</v>
      </c>
      <c r="G11544" s="6" t="n">
        <f aca="false">Sens!F11544*(1-1/life_nonai)+(Sens!G11552)/life_nonai</f>
        <v>25.3790034342937</v>
      </c>
      <c r="H11544" s="6" t="n">
        <f aca="false">Sens!G11544*(1-1/life_nonai)+(Sens!H11552)/life_nonai</f>
        <v>27.5931587866287</v>
      </c>
      <c r="I11544" s="6" t="n">
        <f aca="false">Sens!H11544*(1-1/life_nonai)+(Sens!I11552)/life_nonai</f>
        <v>30.1462173883245</v>
      </c>
      <c r="J11544" s="6" t="n">
        <f aca="false">Sens!I11544*(1-1/life_nonai)+(Sens!J11552)/life_nonai</f>
        <v>32.9458895460602</v>
      </c>
      <c r="K11544" s="6" t="n">
        <f aca="false">Sens!J11544*(1-1/life_nonai)+(Sens!K11552)/life_nonai</f>
        <v>35.9074608521905</v>
      </c>
      <c r="L11544" s="12" t="s">
        <v>1099</v>
      </c>
    </row>
    <row r="11545" customFormat="false" ht="17.15" hidden="false" customHeight="false" outlineLevel="0" collapsed="false">
      <c r="A11545" s="1" t="s">
        <v>1100</v>
      </c>
      <c r="B11545" s="0" t="s">
        <v>98</v>
      </c>
      <c r="F11545" s="6" t="n">
        <f aca="false">Sens!$F$11553/life_nonai*(1-1/life_nonai)^(Sens!F11425-2027)</f>
        <v>0.00508338452575643</v>
      </c>
      <c r="G11545" s="6" t="n">
        <f aca="false">Sens!$F$11553/life_nonai*(1-1/life_nonai)^(Sens!G11425-2027)</f>
        <v>0.00457504607318079</v>
      </c>
      <c r="H11545" s="6" t="n">
        <f aca="false">Sens!$F$11553/life_nonai*(1-1/life_nonai)^(Sens!H11425-2027)</f>
        <v>0.00411754146586271</v>
      </c>
      <c r="I11545" s="6" t="n">
        <f aca="false">Sens!$F$11553/life_nonai*(1-1/life_nonai)^(Sens!I11425-2027)</f>
        <v>0.00370578731927644</v>
      </c>
      <c r="J11545" s="6" t="n">
        <f aca="false">Sens!$F$11553/life_nonai*(1-1/life_nonai)^(Sens!J11425-2027)</f>
        <v>0.00333520858734879</v>
      </c>
      <c r="K11545" s="6" t="n">
        <f aca="false">Sens!$F$11553/life_nonai*(1-1/life_nonai)^(Sens!K11425-2027)</f>
        <v>0.00300168772861391</v>
      </c>
      <c r="L11545" s="1" t="s">
        <v>1101</v>
      </c>
    </row>
    <row r="11546" customFormat="false" ht="17.15" hidden="false" customHeight="false" outlineLevel="0" collapsed="false">
      <c r="A11546" s="1" t="s">
        <v>1102</v>
      </c>
      <c r="B11546" s="0" t="s">
        <v>98</v>
      </c>
      <c r="E11546" s="6" t="n">
        <f aca="false">Sens!E11462+Sens!E11544</f>
        <v>38.534</v>
      </c>
      <c r="F11546" s="6" t="n">
        <f aca="false">Sens!F11462+Sens!F11544</f>
        <v>58.1596586947647</v>
      </c>
      <c r="G11546" s="6" t="n">
        <f aca="false">Sens!G11462+Sens!G11544</f>
        <v>86.1134940865927</v>
      </c>
      <c r="H11546" s="6" t="n">
        <f aca="false">Sens!H11462+Sens!H11544</f>
        <v>116.693249448074</v>
      </c>
      <c r="I11546" s="6" t="n">
        <f aca="false">Sens!I11462+Sens!I11544</f>
        <v>144.377227082873</v>
      </c>
      <c r="J11546" s="6" t="n">
        <f aca="false">Sens!J11462+Sens!J11544</f>
        <v>164.961562595656</v>
      </c>
      <c r="K11546" s="6" t="n">
        <f aca="false">Sens!K11462+Sens!K11544</f>
        <v>178.920130403125</v>
      </c>
    </row>
    <row r="11547" customFormat="false" ht="17.15" hidden="false" customHeight="false" outlineLevel="0" collapsed="false">
      <c r="A11547" s="1" t="s">
        <v>1103</v>
      </c>
      <c r="B11547" s="0" t="s">
        <v>98</v>
      </c>
      <c r="F11547" s="6" t="n">
        <f aca="false">Sens!F11489*sbc_r</f>
        <v>15.0640115471233</v>
      </c>
      <c r="G11547" s="6" t="n">
        <f aca="false">Sens!G11489*sbc_r</f>
        <v>18.3699654305251</v>
      </c>
      <c r="H11547" s="6" t="n">
        <f aca="false">Sens!H11489*sbc_r</f>
        <v>21.9261764312569</v>
      </c>
      <c r="I11547" s="6" t="n">
        <f aca="false">Sens!I11489*sbc_r</f>
        <v>24.9477493757272</v>
      </c>
      <c r="J11547" s="6" t="n">
        <f aca="false">Sens!J11489*sbc_r</f>
        <v>27.3714885578136</v>
      </c>
      <c r="K11547" s="6" t="n">
        <f aca="false">Sens!K11489*sbc_r</f>
        <v>29.2900968724344</v>
      </c>
    </row>
    <row r="11548" customFormat="false" ht="17.15" hidden="false" customHeight="false" outlineLevel="0" collapsed="false">
      <c r="A11548" s="1" t="s">
        <v>1104</v>
      </c>
      <c r="B11548" s="0" t="s">
        <v>98</v>
      </c>
      <c r="F11548" s="6" t="n">
        <f aca="false">wc27-wc26q1</f>
        <v>-4.677</v>
      </c>
      <c r="G11548" s="6" t="n">
        <f aca="false">wc_f</f>
        <v>0</v>
      </c>
      <c r="H11548" s="6" t="n">
        <f aca="false">wc_f</f>
        <v>0</v>
      </c>
      <c r="I11548" s="6" t="n">
        <f aca="false">wc_f</f>
        <v>0</v>
      </c>
      <c r="J11548" s="6" t="n">
        <f aca="false">wc_f</f>
        <v>0</v>
      </c>
      <c r="K11548" s="6" t="n">
        <f aca="false">wc_f</f>
        <v>0</v>
      </c>
      <c r="L11548" s="12" t="s">
        <v>1105</v>
      </c>
    </row>
    <row r="11549" customFormat="false" ht="17.15" hidden="false" customHeight="false" outlineLevel="0" collapsed="false">
      <c r="A11549" s="0" t="s">
        <v>1106</v>
      </c>
      <c r="B11549" s="0" t="s">
        <v>98</v>
      </c>
      <c r="F11549" s="6" t="n">
        <f aca="false">Q!$I$35-Q!$I$26-Q!$I$38-Q!$I$39</f>
        <v>6.493</v>
      </c>
      <c r="L11549" s="1" t="s">
        <v>1107</v>
      </c>
    </row>
    <row r="11550" customFormat="false" ht="15" hidden="false" customHeight="false" outlineLevel="0" collapsed="false">
      <c r="A11550" s="1" t="s">
        <v>904</v>
      </c>
      <c r="B11550" s="0" t="s">
        <v>98</v>
      </c>
      <c r="E11550" s="6" t="n">
        <f aca="false">Q!M35</f>
        <v>182.935</v>
      </c>
      <c r="F11550" s="6" t="n">
        <f aca="false">Sens!F11543+Sens!F11546+Sens!F11547+Sens!F11548+Sens!F11549</f>
        <v>222.459844349544</v>
      </c>
      <c r="G11550" s="6" t="n">
        <f aca="false">Sens!G11543+Sens!G11546+Sens!G11547+Sens!G11548</f>
        <v>272.35610360873</v>
      </c>
      <c r="H11550" s="6" t="n">
        <f aca="false">Sens!H11543+Sens!H11546+Sens!H11547+Sens!H11548</f>
        <v>334.38313836422</v>
      </c>
      <c r="I11550" s="6" t="n">
        <f aca="false">Sens!I11543+Sens!I11546+Sens!I11547+Sens!I11548</f>
        <v>386.335759750317</v>
      </c>
      <c r="J11550" s="6" t="n">
        <f aca="false">Sens!J11543+Sens!J11546+Sens!J11547+Sens!J11548</f>
        <v>427.751612462129</v>
      </c>
      <c r="K11550" s="6" t="n">
        <f aca="false">Sens!K11543+Sens!K11546+Sens!K11547+Sens!K11548</f>
        <v>460.255397006938</v>
      </c>
    </row>
    <row r="11551" customFormat="false" ht="17.15" hidden="false" customHeight="false" outlineLevel="0" collapsed="false">
      <c r="A11551" s="0" t="s">
        <v>1108</v>
      </c>
      <c r="B11551" s="0" t="s">
        <v>98</v>
      </c>
      <c r="F11551" s="6" t="n">
        <f aca="false">Sens!F11459</f>
        <v>168.45390404212</v>
      </c>
      <c r="G11551" s="6" t="n">
        <f aca="false">Sens!G11459</f>
        <v>191.944475649048</v>
      </c>
      <c r="H11551" s="6" t="n">
        <f aca="false">Sens!H11459</f>
        <v>196.806004064512</v>
      </c>
      <c r="I11551" s="6" t="n">
        <f aca="false">Sens!I11459</f>
        <v>168.61483362161</v>
      </c>
      <c r="J11551" s="6" t="n">
        <f aca="false">Sens!J11459</f>
        <v>128.92993119594</v>
      </c>
      <c r="K11551" s="6" t="n">
        <f aca="false">Sens!K11459</f>
        <v>118.962853064733</v>
      </c>
    </row>
    <row r="11552" customFormat="false" ht="17.15" hidden="false" customHeight="false" outlineLevel="0" collapsed="false">
      <c r="A11552" s="1" t="s">
        <v>1109</v>
      </c>
      <c r="B11552" s="0" t="s">
        <v>98</v>
      </c>
      <c r="E11552" s="6" t="n">
        <f aca="false">Sens!E11467*cx_azo+Sens!E11474*cx_m365+Sens!E11475*cx_lic+(Sens!E11477+Sens!E11479)*cx_ind+Sens!E11482*cx_srch+(Sens!E11484+Sens!E11486)*cx_dev</f>
        <v>30.1846587067718</v>
      </c>
      <c r="F11552" s="6" t="n">
        <f aca="false">Sens!F11467*cx_azo+Sens!F11474*cx_m365+Sens!F11475*cx_lic+(Sens!F11477+Sens!F11479)*cx_ind+Sens!F11482*cx_srch+(Sens!F11484+Sens!F11486)*cx_dev</f>
        <v>35.6952621126228</v>
      </c>
      <c r="G11552" s="6" t="n">
        <f aca="false">Sens!G11467*cx_azo+Sens!G11474*cx_m365+Sens!G11475*cx_lic+(Sens!G11477+Sens!G11479)*cx_ind+Sens!G11482*cx_srch+(Sens!G11484+Sens!G11486)*cx_dev</f>
        <v>41.5669363952201</v>
      </c>
      <c r="H11552" s="6" t="n">
        <f aca="false">Sens!H11467*cx_azo+Sens!H11474*cx_m365+Sens!H11475*cx_lic+(Sens!H11477+Sens!H11479)*cx_ind+Sens!H11482*cx_srch+(Sens!H11484+Sens!H11486)*cx_dev</f>
        <v>47.5205569576432</v>
      </c>
      <c r="I11552" s="6" t="n">
        <f aca="false">Sens!I11467*cx_azo+Sens!I11474*cx_m365+Sens!I11475*cx_lic+(Sens!I11477+Sens!I11479)*cx_ind+Sens!I11482*cx_srch+(Sens!I11484+Sens!I11486)*cx_dev</f>
        <v>53.1237448035868</v>
      </c>
      <c r="J11552" s="6" t="n">
        <f aca="false">Sens!J11467*cx_azo+Sens!J11474*cx_m365+Sens!J11475*cx_lic+(Sens!J11477+Sens!J11479)*cx_ind+Sens!J11482*cx_srch+(Sens!J11484+Sens!J11486)*cx_dev</f>
        <v>58.1429389656817</v>
      </c>
      <c r="K11552" s="6" t="n">
        <f aca="false">Sens!K11467*cx_azo+Sens!K11474*cx_m365+Sens!K11475*cx_lic+(Sens!K11477+Sens!K11479)*cx_ind+Sens!K11482*cx_srch+(Sens!K11484+Sens!K11486)*cx_dev</f>
        <v>62.5616026073624</v>
      </c>
    </row>
    <row r="11553" customFormat="false" ht="17.15" hidden="false" customHeight="false" outlineLevel="0" collapsed="false">
      <c r="A11553" s="0" t="s">
        <v>1110</v>
      </c>
      <c r="B11553" s="0" t="s">
        <v>98</v>
      </c>
      <c r="F11553" s="6" t="n">
        <f aca="false">Sens!F11457</f>
        <v>0.0508338452575643</v>
      </c>
      <c r="L11553" s="1" t="s">
        <v>1111</v>
      </c>
    </row>
    <row r="11554" customFormat="false" ht="17.15" hidden="false" customHeight="false" outlineLevel="0" collapsed="false">
      <c r="A11554" s="1" t="s">
        <v>1112</v>
      </c>
      <c r="B11554" s="0" t="s">
        <v>98</v>
      </c>
      <c r="E11554" s="6" t="n">
        <f aca="false">Q!M43</f>
        <v>145.3</v>
      </c>
      <c r="F11554" s="6" t="n">
        <f aca="false">Sens!F11551+Sens!F11552+Sens!F11553</f>
        <v>204.2</v>
      </c>
      <c r="G11554" s="6" t="n">
        <f aca="false">Sens!G11551+Sens!G11552</f>
        <v>233.511412044268</v>
      </c>
      <c r="H11554" s="6" t="n">
        <f aca="false">Sens!H11551+Sens!H11552</f>
        <v>244.326561022156</v>
      </c>
      <c r="I11554" s="6" t="n">
        <f aca="false">Sens!I11551+Sens!I11552</f>
        <v>221.738578425197</v>
      </c>
      <c r="J11554" s="6" t="n">
        <f aca="false">Sens!J11551+Sens!J11552</f>
        <v>187.072870161622</v>
      </c>
      <c r="K11554" s="6" t="n">
        <f aca="false">Sens!K11551+Sens!K11552</f>
        <v>181.524455672095</v>
      </c>
      <c r="L11554" s="1" t="s">
        <v>1113</v>
      </c>
    </row>
    <row r="11555" customFormat="false" ht="15" hidden="false" customHeight="false" outlineLevel="0" collapsed="false">
      <c r="A11555" s="1" t="s">
        <v>1114</v>
      </c>
      <c r="B11555" s="0" t="s">
        <v>98</v>
      </c>
      <c r="E11555" s="6" t="n">
        <f aca="false">fl_liab</f>
        <v>66.594</v>
      </c>
      <c r="F11555" s="6" t="n">
        <f aca="false">Sens!E11555-Sens!F11556</f>
        <v>62.46973</v>
      </c>
      <c r="G11555" s="6" t="n">
        <f aca="false">Sens!F11555-Sens!G11556</f>
        <v>57.98686785</v>
      </c>
      <c r="H11555" s="6" t="n">
        <f aca="false">Sens!G11555-Sens!H11556</f>
        <v>53.92827690325</v>
      </c>
      <c r="I11555" s="6" t="n">
        <f aca="false">Sens!H11555-Sens!I11556</f>
        <v>49.7850493638962</v>
      </c>
      <c r="J11555" s="6" t="n">
        <f aca="false">Sens!I11555-Sens!J11556</f>
        <v>45.4823765852716</v>
      </c>
      <c r="K11555" s="6" t="n">
        <f aca="false">Sens!J11555-Sens!K11556</f>
        <v>40.9860835316088</v>
      </c>
    </row>
    <row r="11556" customFormat="false" ht="15" hidden="false" customHeight="false" outlineLevel="0" collapsed="false">
      <c r="A11556" s="1" t="s">
        <v>1115</v>
      </c>
      <c r="B11556" s="0" t="s">
        <v>98</v>
      </c>
      <c r="F11556" s="6" t="n">
        <f aca="false">fl_pay_27-Sens!E11555*fl_rate</f>
        <v>4.12427</v>
      </c>
      <c r="G11556" s="6" t="n">
        <f aca="false">fl_pay_28-Sens!F11555*fl_rate</f>
        <v>4.48286215</v>
      </c>
      <c r="H11556" s="6" t="n">
        <f aca="false">fl_pay_29-Sens!G11555*fl_rate</f>
        <v>4.05859094675</v>
      </c>
      <c r="I11556" s="6" t="n">
        <f aca="false">fl_pay_30-Sens!H11555*fl_rate</f>
        <v>4.14322753935375</v>
      </c>
      <c r="J11556" s="6" t="n">
        <f aca="false">fl_pay_31-Sens!I11555*fl_rate</f>
        <v>4.30267277862467</v>
      </c>
      <c r="K11556" s="6" t="n">
        <f aca="false">fl_pay_32-Sens!J11555*fl_rate</f>
        <v>4.49629305366278</v>
      </c>
    </row>
    <row r="11557" customFormat="false" ht="17.15" hidden="false" customHeight="false" outlineLevel="0" collapsed="false">
      <c r="A11557" s="1" t="s">
        <v>1116</v>
      </c>
      <c r="B11557" s="0" t="s">
        <v>98</v>
      </c>
      <c r="E11557" s="6" t="n">
        <f aca="false">Q!M35-Q!M36-Q!M44</f>
        <v>63.886</v>
      </c>
      <c r="F11557" s="6" t="n">
        <f aca="false">Sens!F11550-Sens!F11554-Sens!F11556</f>
        <v>14.1355743495445</v>
      </c>
      <c r="G11557" s="6" t="n">
        <f aca="false">Sens!G11550-Sens!G11554-Sens!G11556</f>
        <v>34.3618294144613</v>
      </c>
      <c r="H11557" s="6" t="n">
        <f aca="false">Sens!H11550-Sens!H11554-Sens!H11556</f>
        <v>85.9979863953141</v>
      </c>
      <c r="I11557" s="6" t="n">
        <f aca="false">Sens!I11550-Sens!I11554-Sens!I11556</f>
        <v>160.453953785766</v>
      </c>
      <c r="J11557" s="6" t="n">
        <f aca="false">Sens!J11550-Sens!J11554-Sens!J11556</f>
        <v>236.376069521882</v>
      </c>
      <c r="K11557" s="6" t="n">
        <f aca="false">Sens!K11550-Sens!K11554-Sens!K11556</f>
        <v>274.23464828118</v>
      </c>
      <c r="L11557" s="12" t="s">
        <v>1117</v>
      </c>
    </row>
    <row r="11558" customFormat="false" ht="15" hidden="false" customHeight="false" outlineLevel="0" collapsed="false">
      <c r="A11558" s="1" t="s">
        <v>1118</v>
      </c>
      <c r="B11558" s="0" t="s">
        <v>75</v>
      </c>
      <c r="F11558" s="8" t="n">
        <f aca="false">dps_27</f>
        <v>3.85</v>
      </c>
      <c r="G11558" s="8" t="n">
        <f aca="false">Sens!F11558*(1+dps_g)</f>
        <v>4.158</v>
      </c>
      <c r="H11558" s="8" t="n">
        <f aca="false">Sens!G11558*(1+dps_g)</f>
        <v>4.49064</v>
      </c>
      <c r="I11558" s="8" t="n">
        <f aca="false">Sens!H11558*(1+dps_g)</f>
        <v>4.8498912</v>
      </c>
      <c r="J11558" s="8" t="n">
        <f aca="false">Sens!I11558*(1+dps_g)</f>
        <v>5.237882496</v>
      </c>
      <c r="K11558" s="8" t="n">
        <f aca="false">Sens!J11558*(1+dps_g)</f>
        <v>5.65691309568</v>
      </c>
    </row>
    <row r="11559" customFormat="false" ht="17.15" hidden="false" customHeight="false" outlineLevel="0" collapsed="false">
      <c r="A11559" s="1" t="s">
        <v>1119</v>
      </c>
      <c r="B11559" s="0" t="s">
        <v>98</v>
      </c>
      <c r="E11559" s="6" t="n">
        <f aca="false">Q!M41</f>
        <v>26.445</v>
      </c>
      <c r="F11559" s="6" t="n">
        <f aca="false">Sens!F11558*Sens!E11568</f>
        <v>28.59395</v>
      </c>
      <c r="G11559" s="6" t="n">
        <f aca="false">Sens!G11558*Sens!F11568</f>
        <v>31.0449573315205</v>
      </c>
      <c r="H11559" s="6" t="n">
        <f aca="false">Sens!H11558*Sens!G11568</f>
        <v>33.705640855101</v>
      </c>
      <c r="I11559" s="6" t="n">
        <f aca="false">Sens!I11558*Sens!H11568</f>
        <v>36.4525304005818</v>
      </c>
      <c r="J11559" s="6" t="n">
        <f aca="false">Sens!J11558*Sens!I11568</f>
        <v>39.4366307180209</v>
      </c>
      <c r="K11559" s="6" t="n">
        <f aca="false">Sens!K11558*Sens!J11568</f>
        <v>42.6783154378409</v>
      </c>
      <c r="L11559" s="1" t="s">
        <v>1120</v>
      </c>
    </row>
    <row r="11560" customFormat="false" ht="15" hidden="false" customHeight="false" outlineLevel="0" collapsed="false">
      <c r="A11560" s="1" t="s">
        <v>1121</v>
      </c>
      <c r="B11560" s="0" t="s">
        <v>98</v>
      </c>
      <c r="E11560" s="6" t="n">
        <f aca="false">Sens!E11557-Sens!E11559</f>
        <v>37.441</v>
      </c>
      <c r="F11560" s="6" t="n">
        <f aca="false">Sens!F11557-Sens!F11559</f>
        <v>-14.4583756504555</v>
      </c>
      <c r="G11560" s="6" t="n">
        <f aca="false">Sens!G11557-Sens!G11559</f>
        <v>3.31687208294074</v>
      </c>
      <c r="H11560" s="6" t="n">
        <f aca="false">Sens!H11557-Sens!H11559</f>
        <v>52.2923455402131</v>
      </c>
      <c r="I11560" s="6" t="n">
        <f aca="false">Sens!I11557-Sens!I11559</f>
        <v>124.001423385185</v>
      </c>
      <c r="J11560" s="6" t="n">
        <f aca="false">Sens!J11557-Sens!J11559</f>
        <v>196.939438803862</v>
      </c>
      <c r="K11560" s="6" t="n">
        <f aca="false">Sens!K11557-Sens!K11559</f>
        <v>231.55633284334</v>
      </c>
    </row>
    <row r="11561" customFormat="false" ht="15" hidden="false" customHeight="false" outlineLevel="0" collapsed="false">
      <c r="A11561" s="1" t="s">
        <v>1122</v>
      </c>
      <c r="B11561" s="0" t="s">
        <v>98</v>
      </c>
      <c r="F11561" s="6" t="n">
        <f aca="false">debt_mat_27</f>
        <v>9.25</v>
      </c>
      <c r="G11561" s="6" t="n">
        <f aca="false">debt_mat_28</f>
        <v>0</v>
      </c>
      <c r="H11561" s="6" t="n">
        <f aca="false">debt_mat_29</f>
        <v>2.001</v>
      </c>
      <c r="I11561" s="6" t="n">
        <f aca="false">debt_mat_30</f>
        <v>0</v>
      </c>
      <c r="J11561" s="6" t="n">
        <f aca="false">debt_mat_31</f>
        <v>0.5</v>
      </c>
      <c r="K11561" s="6" t="n">
        <f aca="false">debt_mat_32</f>
        <v>0</v>
      </c>
    </row>
    <row r="11562" customFormat="false" ht="15" hidden="false" customHeight="false" outlineLevel="0" collapsed="false">
      <c r="A11562" s="1" t="s">
        <v>1123</v>
      </c>
      <c r="B11562" s="0" t="s">
        <v>98</v>
      </c>
      <c r="E11562" s="6" t="n">
        <f aca="false">Q!M40</f>
        <v>22.271</v>
      </c>
      <c r="F11562" s="6" t="n">
        <f aca="false">MAX(0,MIN(bb_target,Sens!E11564+Sens!F11560-Sens!F11561-min_cash))</f>
        <v>3.13462434954452</v>
      </c>
      <c r="G11562" s="6" t="n">
        <f aca="false">MAX(0,MIN(bb_target,Sens!F11564+Sens!G11560-Sens!G11561-min_cash))</f>
        <v>3.31687208294074</v>
      </c>
      <c r="H11562" s="6" t="n">
        <f aca="false">MAX(0,MIN(bb_target,Sens!G11564+Sens!H11560-Sens!H11561-min_cash))</f>
        <v>22.271</v>
      </c>
      <c r="I11562" s="6" t="n">
        <f aca="false">MAX(0,MIN(bb_target,Sens!H11564+Sens!I11560-Sens!I11561-min_cash))</f>
        <v>22.271</v>
      </c>
      <c r="J11562" s="6" t="n">
        <f aca="false">MAX(0,MIN(bb_target,Sens!I11564+Sens!J11560-Sens!J11561-min_cash))</f>
        <v>22.271</v>
      </c>
      <c r="K11562" s="6" t="n">
        <f aca="false">MAX(0,MIN(bb_target,Sens!J11564+Sens!K11560-Sens!K11561-min_cash))</f>
        <v>22.271</v>
      </c>
    </row>
    <row r="11563" customFormat="false" ht="15" hidden="false" customHeight="false" outlineLevel="0" collapsed="false">
      <c r="A11563" s="1" t="s">
        <v>1124</v>
      </c>
      <c r="B11563" s="0" t="s">
        <v>98</v>
      </c>
      <c r="F11563" s="6" t="n">
        <f aca="false">MAX(0,min_cash-(Sens!E11564+Sens!F11560-Sens!F11561-Sens!F11562))</f>
        <v>0</v>
      </c>
      <c r="G11563" s="6" t="n">
        <f aca="false">MAX(0,min_cash-(Sens!F11564+Sens!G11560-Sens!G11561-Sens!G11562))</f>
        <v>0</v>
      </c>
      <c r="H11563" s="6" t="n">
        <f aca="false">MAX(0,min_cash-(Sens!G11564+Sens!H11560-Sens!H11561-Sens!H11562))</f>
        <v>0</v>
      </c>
      <c r="I11563" s="6" t="n">
        <f aca="false">MAX(0,min_cash-(Sens!H11564+Sens!I11560-Sens!I11561-Sens!I11562))</f>
        <v>0</v>
      </c>
      <c r="J11563" s="6" t="n">
        <f aca="false">MAX(0,min_cash-(Sens!I11564+Sens!J11560-Sens!J11561-Sens!J11562))</f>
        <v>0</v>
      </c>
      <c r="K11563" s="6" t="n">
        <f aca="false">MAX(0,min_cash-(Sens!J11564+Sens!K11560-Sens!K11561-Sens!K11562))</f>
        <v>0</v>
      </c>
    </row>
    <row r="11564" customFormat="false" ht="15" hidden="false" customHeight="false" outlineLevel="0" collapsed="false">
      <c r="A11564" s="1" t="s">
        <v>1125</v>
      </c>
      <c r="B11564" s="0" t="s">
        <v>98</v>
      </c>
      <c r="E11564" s="6" t="n">
        <f aca="false">cash_open</f>
        <v>76.843</v>
      </c>
      <c r="F11564" s="6" t="n">
        <f aca="false">Sens!E11564+Sens!F11560-Sens!F11561-Sens!F11562+Sens!F11563</f>
        <v>50</v>
      </c>
      <c r="G11564" s="6" t="n">
        <f aca="false">Sens!F11564+Sens!G11560-Sens!G11561-Sens!G11562+Sens!G11563</f>
        <v>50</v>
      </c>
      <c r="H11564" s="6" t="n">
        <f aca="false">Sens!G11564+Sens!H11560-Sens!H11561-Sens!H11562+Sens!H11563</f>
        <v>78.0203455402131</v>
      </c>
      <c r="I11564" s="6" t="n">
        <f aca="false">Sens!H11564+Sens!I11560-Sens!I11561-Sens!I11562+Sens!I11563</f>
        <v>179.750768925398</v>
      </c>
      <c r="J11564" s="6" t="n">
        <f aca="false">Sens!I11564+Sens!J11560-Sens!J11561-Sens!J11562+Sens!J11563</f>
        <v>353.919207729259</v>
      </c>
      <c r="K11564" s="6" t="n">
        <f aca="false">Sens!J11564+Sens!K11560-Sens!K11561-Sens!K11562+Sens!K11563</f>
        <v>563.204540572599</v>
      </c>
    </row>
    <row r="11565" customFormat="false" ht="15" hidden="false" customHeight="false" outlineLevel="0" collapsed="false">
      <c r="A11565" s="1" t="s">
        <v>1126</v>
      </c>
      <c r="B11565" s="0" t="s">
        <v>98</v>
      </c>
      <c r="E11565" s="6" t="n">
        <f aca="false">debt_face</f>
        <v>46.136</v>
      </c>
      <c r="F11565" s="6" t="n">
        <f aca="false">Sens!E11565-Sens!F11561+Sens!F11563</f>
        <v>36.886</v>
      </c>
      <c r="G11565" s="6" t="n">
        <f aca="false">Sens!F11565-Sens!G11561+Sens!G11563</f>
        <v>36.886</v>
      </c>
      <c r="H11565" s="6" t="n">
        <f aca="false">Sens!G11565-Sens!H11561+Sens!H11563</f>
        <v>34.885</v>
      </c>
      <c r="I11565" s="6" t="n">
        <f aca="false">Sens!H11565-Sens!I11561+Sens!I11563</f>
        <v>34.885</v>
      </c>
      <c r="J11565" s="6" t="n">
        <f aca="false">Sens!I11565-Sens!J11561+Sens!J11563</f>
        <v>34.385</v>
      </c>
      <c r="K11565" s="6" t="n">
        <f aca="false">Sens!J11565-Sens!K11561+Sens!K11563</f>
        <v>34.385</v>
      </c>
    </row>
    <row r="11566" customFormat="false" ht="15" hidden="false" customHeight="false" outlineLevel="0" collapsed="false">
      <c r="A11566" s="1" t="s">
        <v>1127</v>
      </c>
      <c r="B11566" s="0" t="s">
        <v>98</v>
      </c>
      <c r="E11566" s="6" t="n">
        <f aca="false">Sens!E11564-Sens!E11565</f>
        <v>30.707</v>
      </c>
      <c r="F11566" s="6" t="n">
        <f aca="false">Sens!F11564-Sens!F11565</f>
        <v>13.114</v>
      </c>
      <c r="G11566" s="6" t="n">
        <f aca="false">Sens!G11564-Sens!G11565</f>
        <v>13.114</v>
      </c>
      <c r="H11566" s="6" t="n">
        <f aca="false">Sens!H11564-Sens!H11565</f>
        <v>43.1353455402131</v>
      </c>
      <c r="I11566" s="6" t="n">
        <f aca="false">Sens!I11564-Sens!I11565</f>
        <v>144.865768925398</v>
      </c>
      <c r="J11566" s="6" t="n">
        <f aca="false">Sens!J11564-Sens!J11565</f>
        <v>319.534207729259</v>
      </c>
      <c r="K11566" s="6" t="n">
        <f aca="false">Sens!K11564-Sens!K11565</f>
        <v>528.819540572599</v>
      </c>
    </row>
    <row r="11567" customFormat="false" ht="15" hidden="false" customHeight="false" outlineLevel="0" collapsed="false">
      <c r="A11567" s="1" t="s">
        <v>1128</v>
      </c>
      <c r="B11567" s="0" t="s">
        <v>75</v>
      </c>
      <c r="F11567" s="30" t="n">
        <f aca="false">px*(1+bb_g)^(Sens!F11425-base_fy-mid_yr)</f>
        <v>551.84177959629</v>
      </c>
      <c r="G11567" s="30" t="n">
        <f aca="false">px*(1+bb_g)^(Sens!G11425-base_fy-mid_yr)</f>
        <v>595.989121963993</v>
      </c>
      <c r="H11567" s="30" t="n">
        <f aca="false">px*(1+bb_g)^(Sens!H11425-base_fy-mid_yr)</f>
        <v>643.668251721112</v>
      </c>
      <c r="I11567" s="30" t="n">
        <f aca="false">px*(1+bb_g)^(Sens!I11425-base_fy-mid_yr)</f>
        <v>695.161711858801</v>
      </c>
      <c r="J11567" s="30" t="n">
        <f aca="false">px*(1+bb_g)^(Sens!J11425-base_fy-mid_yr)</f>
        <v>750.774648807506</v>
      </c>
      <c r="K11567" s="30" t="n">
        <f aca="false">px*(1+bb_g)^(Sens!K11425-base_fy-mid_yr)</f>
        <v>810.836620712106</v>
      </c>
    </row>
    <row r="11568" customFormat="false" ht="15" hidden="false" customHeight="false" outlineLevel="0" collapsed="false">
      <c r="A11568" s="1" t="s">
        <v>1129</v>
      </c>
      <c r="B11568" s="1" t="s">
        <v>81</v>
      </c>
      <c r="E11568" s="15" t="n">
        <f aca="false">sh_out26</f>
        <v>7.427</v>
      </c>
      <c r="F11568" s="15" t="n">
        <f aca="false">Sens!E11568+sh_iss-Sens!F11562/Sens!F11567</f>
        <v>7.46631970455039</v>
      </c>
      <c r="G11568" s="15" t="n">
        <f aca="false">Sens!F11568+sh_iss-Sens!G11562/Sens!G11567</f>
        <v>7.5057543813579</v>
      </c>
      <c r="H11568" s="15" t="n">
        <f aca="false">Sens!G11568+sh_iss-Sens!H11562/Sens!H11567</f>
        <v>7.5161542594155</v>
      </c>
      <c r="I11568" s="15" t="n">
        <f aca="false">Sens!H11568+sh_iss-Sens!I11562/Sens!I11567</f>
        <v>7.52911710946884</v>
      </c>
      <c r="J11568" s="15" t="n">
        <f aca="false">Sens!I11568+sh_iss-Sens!J11562/Sens!J11567</f>
        <v>7.54445308174044</v>
      </c>
      <c r="K11568" s="15" t="n">
        <f aca="false">Sens!J11568+sh_iss-Sens!K11562/Sens!K11567</f>
        <v>7.56198638939934</v>
      </c>
    </row>
    <row r="11569" customFormat="false" ht="15" hidden="false" customHeight="false" outlineLevel="0" collapsed="false">
      <c r="A11569" s="1" t="s">
        <v>1130</v>
      </c>
      <c r="B11569" s="1" t="s">
        <v>81</v>
      </c>
      <c r="E11569" s="15" t="n">
        <f aca="false">sh_dil26</f>
        <v>7.453</v>
      </c>
      <c r="F11569" s="15" t="n">
        <f aca="false">(Sens!E11568+Sens!F11568)/2+dil_gap</f>
        <v>7.4706598522752</v>
      </c>
      <c r="G11569" s="15" t="n">
        <f aca="false">(Sens!F11568+Sens!G11568)/2+dil_gap</f>
        <v>7.51003704295414</v>
      </c>
      <c r="H11569" s="15" t="n">
        <f aca="false">(Sens!G11568+Sens!H11568)/2+dil_gap</f>
        <v>7.5349543203867</v>
      </c>
      <c r="I11569" s="15" t="n">
        <f aca="false">(Sens!H11568+Sens!I11568)/2+dil_gap</f>
        <v>7.54663568444217</v>
      </c>
      <c r="J11569" s="15" t="n">
        <f aca="false">(Sens!I11568+Sens!J11568)/2+dil_gap</f>
        <v>7.56078509560464</v>
      </c>
      <c r="K11569" s="15" t="n">
        <f aca="false">(Sens!J11568+Sens!K11568)/2+dil_gap</f>
        <v>7.57721973556989</v>
      </c>
    </row>
    <row r="11570" customFormat="false" ht="17.15" hidden="false" customHeight="false" outlineLevel="0" collapsed="false">
      <c r="A11570" s="1" t="s">
        <v>1131</v>
      </c>
      <c r="B11570" s="0" t="s">
        <v>98</v>
      </c>
      <c r="C11570" s="6" t="n">
        <f aca="false">SUM(Sens!F11560:J11560)</f>
        <v>362.091704161745</v>
      </c>
    </row>
    <row r="11571" customFormat="false" ht="15" hidden="false" customHeight="false" outlineLevel="0" collapsed="false">
      <c r="A11571" s="26" t="s">
        <v>1096</v>
      </c>
      <c r="B11571" s="31" t="s">
        <v>98</v>
      </c>
      <c r="C11571" s="27" t="n">
        <f aca="false">Sens!$C$11570-(Sens!F11560+Sens!G11560+Sens!H11560+Sens!I11560+Sens!J11560)</f>
        <v>0</v>
      </c>
      <c r="D11571" s="31"/>
      <c r="E11571" s="31"/>
      <c r="F11571" s="31"/>
      <c r="G11571" s="31"/>
      <c r="H11571" s="31"/>
      <c r="I11571" s="31"/>
      <c r="J11571" s="31"/>
      <c r="K11571" s="31"/>
    </row>
    <row r="11572" customFormat="false" ht="17.15" hidden="false" customHeight="false" outlineLevel="0" collapsed="false">
      <c r="A11572" s="1" t="s">
        <v>1090</v>
      </c>
      <c r="B11572" s="1" t="s">
        <v>1132</v>
      </c>
      <c r="C11572" s="33" t="str">
        <f aca="false">IF(SUM(Sens!F11563:J11563)&gt;0.05,"需要舉債 "&amp;TEXT(SUM(Sens!F11563:J11563),"0.0")&amp;" 十億美元","不需舉債")&amp;"；"&amp;IF(SUM(Sens!F11562:J11562)&lt;COUNT(Sens!F11562:J11562)*bb_target-0.05,"回購較每年 "&amp;TEXT(bb_target,"0.0")&amp;" 的目標少 "&amp;TEXT(COUNT(Sens!F11562:J11562)*bb_target-SUM(Sens!F11562:J11562),"0.0")&amp;" 十億美元（"&amp;TEXT(COUNTIF(Sens!F11562:J11562,"&lt;"&amp;(bb_target-0.05)),"0")&amp;" 年減少）","回購不減")</f>
        <v>不需舉債；回購較每年 22.3 的目標少 38.1 十億美元（2 年減少）</v>
      </c>
    </row>
    <row r="11573" customFormat="false" ht="17.15" hidden="false" customHeight="false" outlineLevel="0" collapsed="false">
      <c r="A11573" s="3" t="s">
        <v>1769</v>
      </c>
    </row>
    <row r="11574" customFormat="false" ht="15" hidden="false" customHeight="false" outlineLevel="0" collapsed="false">
      <c r="A11574" s="4" t="s">
        <v>43</v>
      </c>
      <c r="B11574" s="4" t="s">
        <v>65</v>
      </c>
      <c r="C11574" s="23" t="s">
        <v>938</v>
      </c>
      <c r="D11574" s="23" t="s">
        <v>939</v>
      </c>
      <c r="E11574" s="23" t="s">
        <v>940</v>
      </c>
      <c r="F11574" s="23" t="s">
        <v>941</v>
      </c>
      <c r="G11574" s="23" t="s">
        <v>942</v>
      </c>
      <c r="H11574" s="23" t="s">
        <v>943</v>
      </c>
      <c r="I11574" s="23" t="s">
        <v>944</v>
      </c>
      <c r="J11574" s="23" t="s">
        <v>945</v>
      </c>
      <c r="K11574" s="23" t="s">
        <v>946</v>
      </c>
      <c r="L11574" s="4" t="s">
        <v>47</v>
      </c>
    </row>
    <row r="11575" customFormat="false" ht="17.15" hidden="false" customHeight="false" outlineLevel="0" collapsed="false">
      <c r="A11575" s="1" t="s">
        <v>1212</v>
      </c>
      <c r="B11575" s="1" t="s">
        <v>279</v>
      </c>
      <c r="F11575" s="8" t="n">
        <f aca="false">(1-v_off)*mid_yr</f>
        <v>0.373972602739726</v>
      </c>
      <c r="G11575" s="8" t="n">
        <f aca="false">Sens!G11425-base_fy-mid_yr-v_off</f>
        <v>1.24794520547945</v>
      </c>
      <c r="H11575" s="8" t="n">
        <f aca="false">Sens!H11425-base_fy-mid_yr-v_off</f>
        <v>2.24794520547945</v>
      </c>
      <c r="I11575" s="8" t="n">
        <f aca="false">Sens!I11425-base_fy-mid_yr-v_off</f>
        <v>3.24794520547945</v>
      </c>
      <c r="J11575" s="8" t="n">
        <f aca="false">Sens!J11425-base_fy-mid_yr-v_off</f>
        <v>4.24794520547945</v>
      </c>
      <c r="K11575" s="8" t="n">
        <f aca="false">Sens!K11425-base_fy-mid_yr-v_off</f>
        <v>5.24794520547945</v>
      </c>
      <c r="L11575" s="12" t="s">
        <v>1213</v>
      </c>
    </row>
    <row r="11576" customFormat="false" ht="15" hidden="false" customHeight="false" outlineLevel="0" collapsed="false">
      <c r="A11576" s="1" t="s">
        <v>1214</v>
      </c>
      <c r="B11576" s="1" t="s">
        <v>279</v>
      </c>
      <c r="F11576" s="8" t="n">
        <f aca="false">Sens!F11425-base_fy-v_off</f>
        <v>0.747945205479452</v>
      </c>
      <c r="G11576" s="8" t="n">
        <f aca="false">Sens!G11425-base_fy-v_off</f>
        <v>1.74794520547945</v>
      </c>
      <c r="H11576" s="8" t="n">
        <f aca="false">Sens!H11425-base_fy-v_off</f>
        <v>2.74794520547945</v>
      </c>
      <c r="I11576" s="8" t="n">
        <f aca="false">Sens!I11425-base_fy-v_off</f>
        <v>3.74794520547945</v>
      </c>
      <c r="J11576" s="8" t="n">
        <f aca="false">Sens!J11425-base_fy-v_off</f>
        <v>4.74794520547945</v>
      </c>
      <c r="K11576" s="8" t="n">
        <f aca="false">Sens!K11425-base_fy-v_off</f>
        <v>5.74794520547945</v>
      </c>
    </row>
    <row r="11577" customFormat="false" ht="15" hidden="false" customHeight="false" outlineLevel="0" collapsed="false">
      <c r="A11577" s="1" t="s">
        <v>1215</v>
      </c>
      <c r="B11577" s="0" t="s">
        <v>229</v>
      </c>
      <c r="F11577" s="15" t="n">
        <f aca="false">1/(1+wacc)^Sens!F11575</f>
        <v>0.964022703286649</v>
      </c>
      <c r="G11577" s="15" t="n">
        <f aca="false">1/(1+wacc)^Sens!G11575</f>
        <v>0.884910302296739</v>
      </c>
      <c r="H11577" s="15" t="n">
        <f aca="false">1/(1+wacc)^Sens!H11575</f>
        <v>0.802322009770358</v>
      </c>
      <c r="I11577" s="15" t="n">
        <f aca="false">1/(1+wacc)^Sens!I11575</f>
        <v>0.727441646561469</v>
      </c>
      <c r="J11577" s="15" t="n">
        <f aca="false">1/(1+wacc)^Sens!J11575</f>
        <v>0.659549834988973</v>
      </c>
      <c r="K11577" s="15" t="n">
        <f aca="false">1/(1+wacc)^Sens!K11575</f>
        <v>0.597994336576966</v>
      </c>
    </row>
    <row r="11578" customFormat="false" ht="17.15" hidden="false" customHeight="false" outlineLevel="0" collapsed="false">
      <c r="A11578" s="1" t="s">
        <v>1216</v>
      </c>
      <c r="B11578" s="0" t="s">
        <v>98</v>
      </c>
      <c r="F11578" s="6" t="n">
        <f aca="false">Q!$I$35-Q!$I$39-Q!$I$43</f>
        <v>9.666</v>
      </c>
      <c r="L11578" s="12" t="s">
        <v>1217</v>
      </c>
    </row>
    <row r="11579" customFormat="false" ht="17.15" hidden="false" customHeight="false" outlineLevel="0" collapsed="false">
      <c r="A11579" s="1" t="s">
        <v>1218</v>
      </c>
      <c r="B11579" s="0" t="s">
        <v>98</v>
      </c>
      <c r="F11579" s="6" t="n">
        <f aca="false">Sens!F11550-Sens!F11547-Sens!F11554+Sens!F11532*(1-tax_f)*(1-v_off)-Sens!F11578</f>
        <v>-1.15472601079453</v>
      </c>
      <c r="G11579" s="6" t="n">
        <f aca="false">Sens!G11550-Sens!G11547-Sens!G11554+Sens!G11532*(1-tax_f)</f>
        <v>38.639550547558</v>
      </c>
      <c r="H11579" s="6" t="n">
        <f aca="false">Sens!H11550-Sens!H11547-Sens!H11554+Sens!H11532*(1-tax_f)</f>
        <v>98.5318771013732</v>
      </c>
      <c r="I11579" s="6" t="n">
        <f aca="false">Sens!I11550-Sens!I11547-Sens!I11554+Sens!I11532*(1-tax_f)</f>
        <v>181.359919525807</v>
      </c>
      <c r="J11579" s="6" t="n">
        <f aca="false">Sens!J11550-Sens!J11547-Sens!J11554+Sens!J11532*(1-tax_f)</f>
        <v>262.954919257445</v>
      </c>
      <c r="K11579" s="6" t="n">
        <f aca="false">Sens!K11550-Sens!K11547-Sens!K11554+Sens!K11532*(1-tax_f)</f>
        <v>303.10494947891</v>
      </c>
      <c r="L11579" s="1" t="s">
        <v>1219</v>
      </c>
    </row>
    <row r="11580" customFormat="false" ht="15" hidden="false" customHeight="false" outlineLevel="0" collapsed="false">
      <c r="A11580" s="1" t="s">
        <v>1220</v>
      </c>
      <c r="B11580" s="0" t="s">
        <v>98</v>
      </c>
      <c r="F11580" s="6" t="n">
        <f aca="false">Sens!F11579*Sens!F11577</f>
        <v>-1.11318209048155</v>
      </c>
      <c r="G11580" s="6" t="n">
        <f aca="false">Sens!G11579*Sens!G11577</f>
        <v>34.1925363556497</v>
      </c>
      <c r="H11580" s="6" t="n">
        <f aca="false">Sens!H11579*Sens!H11577</f>
        <v>79.0542936624197</v>
      </c>
      <c r="I11580" s="6" t="n">
        <f aca="false">Sens!I11579*Sens!I11577</f>
        <v>131.928758480109</v>
      </c>
      <c r="J11580" s="6" t="n">
        <f aca="false">Sens!J11579*Sens!J11577</f>
        <v>173.431873605786</v>
      </c>
      <c r="K11580" s="6" t="n">
        <f aca="false">Sens!K11579*Sens!K11577</f>
        <v>181.255043176836</v>
      </c>
    </row>
    <row r="11581" customFormat="false" ht="17.15" hidden="false" customHeight="false" outlineLevel="0" collapsed="false">
      <c r="A11581" s="1" t="s">
        <v>1221</v>
      </c>
      <c r="B11581" s="0" t="s">
        <v>98</v>
      </c>
      <c r="C11581" s="6" t="n">
        <f aca="false">SUM(Sens!F11580:K11580)</f>
        <v>598.749323190318</v>
      </c>
    </row>
    <row r="11582" customFormat="false" ht="17.15" hidden="false" customHeight="false" outlineLevel="0" collapsed="false">
      <c r="A11582" s="1" t="s">
        <v>1222</v>
      </c>
      <c r="B11582" s="0" t="s">
        <v>98</v>
      </c>
      <c r="C11582" s="6" t="n">
        <f aca="false">Sens!K11518*(1+g_tv)*(1-tax_f)</f>
        <v>315.869352990317</v>
      </c>
    </row>
    <row r="11583" customFormat="false" ht="17.15" hidden="false" customHeight="false" outlineLevel="0" collapsed="false">
      <c r="A11583" s="1" t="s">
        <v>1223</v>
      </c>
      <c r="B11583" s="0" t="s">
        <v>98</v>
      </c>
      <c r="C11583" s="6" t="n">
        <f aca="false">Sens!$C$11582*(1-g_tv/(wacc+ronic_prem))</f>
        <v>223.811897981751</v>
      </c>
    </row>
    <row r="11584" customFormat="false" ht="17.15" hidden="false" customHeight="false" outlineLevel="0" collapsed="false">
      <c r="A11584" s="1" t="s">
        <v>1224</v>
      </c>
      <c r="B11584" s="0" t="s">
        <v>98</v>
      </c>
      <c r="C11584" s="6" t="n">
        <f aca="false">Sens!$C$11583/(wacc-g_tv)</f>
        <v>3068.58183361888</v>
      </c>
    </row>
    <row r="11585" customFormat="false" ht="15" hidden="false" customHeight="false" outlineLevel="0" collapsed="false">
      <c r="A11585" s="1" t="s">
        <v>1225</v>
      </c>
      <c r="B11585" s="0" t="s">
        <v>98</v>
      </c>
      <c r="C11585" s="6" t="n">
        <f aca="false">Sens!$C$11584/(1+wacc)^Sens!K11576</f>
        <v>1747.26793903927</v>
      </c>
    </row>
    <row r="11586" customFormat="false" ht="17.15" hidden="false" customHeight="false" outlineLevel="0" collapsed="false">
      <c r="A11586" s="0" t="s">
        <v>1226</v>
      </c>
      <c r="B11586" s="0" t="s">
        <v>98</v>
      </c>
      <c r="C11586" s="6" t="n">
        <f aca="false">Sens!$C$11581+Sens!$C$11585</f>
        <v>2346.01726222959</v>
      </c>
    </row>
    <row r="11587" customFormat="false" ht="15" hidden="false" customHeight="false" outlineLevel="0" collapsed="false">
      <c r="A11587" s="1" t="s">
        <v>1141</v>
      </c>
      <c r="B11587" s="0" t="s">
        <v>168</v>
      </c>
      <c r="C11587" s="7" t="n">
        <f aca="false">Sens!$C$11585/Sens!$C$11586</f>
        <v>0.744780512560558</v>
      </c>
    </row>
    <row r="11588" customFormat="false" ht="17.15" hidden="false" customHeight="false" outlineLevel="0" collapsed="false">
      <c r="A11588" s="1" t="s">
        <v>1227</v>
      </c>
      <c r="B11588" s="0" t="s">
        <v>98</v>
      </c>
      <c r="C11588" s="6" t="n">
        <f aca="false">Sens!$C$11586+cash_val-debt_val-fl_val+oai_v</f>
        <v>2461.86826222959</v>
      </c>
    </row>
    <row r="11589" customFormat="false" ht="17.15" hidden="false" customHeight="false" outlineLevel="0" collapsed="false">
      <c r="A11589" s="0" t="s">
        <v>1149</v>
      </c>
      <c r="B11589" s="0" t="s">
        <v>75</v>
      </c>
      <c r="C11589" s="5" t="n">
        <f aca="false">Sens!$C$11588/shd_val</f>
        <v>330.629635002631</v>
      </c>
    </row>
    <row r="11590" customFormat="false" ht="15" hidden="false" customHeight="false" outlineLevel="0" collapsed="false">
      <c r="A11590" s="1" t="s">
        <v>1228</v>
      </c>
      <c r="B11590" s="0" t="s">
        <v>75</v>
      </c>
      <c r="C11590" s="8" t="n">
        <f aca="false">div_rem27+Sens!G11558*roll_div_q/q_per_yr</f>
        <v>3.9795</v>
      </c>
    </row>
    <row r="11591" customFormat="false" ht="17.15" hidden="false" customHeight="false" outlineLevel="0" collapsed="false">
      <c r="A11591" s="0" t="s">
        <v>1229</v>
      </c>
      <c r="B11591" s="0" t="s">
        <v>75</v>
      </c>
      <c r="C11591" s="5" t="n">
        <f aca="false">Sens!$C$11589*(1+wacc)^t_roll-Sens!$C$11590</f>
        <v>363.533791991283</v>
      </c>
    </row>
    <row r="11592" customFormat="false" ht="17.15" hidden="false" customHeight="false" outlineLevel="0" collapsed="false">
      <c r="A11592" s="1" t="s">
        <v>1230</v>
      </c>
      <c r="B11592" s="0" t="s">
        <v>168</v>
      </c>
      <c r="F11592" s="7" t="n">
        <f aca="false">Sens!F11544/(Sens!F11489-Sens!F11444)</f>
        <v>0.0685743703544915</v>
      </c>
      <c r="G11592" s="7" t="n">
        <f aca="false">Sens!G11544/(Sens!G11489-Sens!G11444)</f>
        <v>0.0654177521114347</v>
      </c>
      <c r="H11592" s="7" t="n">
        <f aca="false">Sens!H11544/(Sens!H11489-Sens!H11444)</f>
        <v>0.0637671020733588</v>
      </c>
      <c r="I11592" s="7" t="n">
        <f aca="false">Sens!I11544/(Sens!I11489-Sens!I11444)</f>
        <v>0.0635107298144379</v>
      </c>
      <c r="J11592" s="7" t="n">
        <f aca="false">Sens!J11544/(Sens!J11489-Sens!J11444)</f>
        <v>0.0642966059651563</v>
      </c>
      <c r="K11592" s="7" t="n">
        <f aca="false">Sens!K11544/(Sens!K11489-Sens!K11444)</f>
        <v>0.065672513647631</v>
      </c>
    </row>
    <row r="11593" customFormat="false" ht="17.15" hidden="false" customHeight="false" outlineLevel="0" collapsed="false">
      <c r="A11593" s="0" t="s">
        <v>1231</v>
      </c>
      <c r="B11593" s="0" t="s">
        <v>98</v>
      </c>
      <c r="F11593" s="6" t="n">
        <f aca="false">Sens!F11474*(al_m365+Sens!F11592+sbc_r)</f>
        <v>84.5239815784877</v>
      </c>
      <c r="G11593" s="6" t="n">
        <f aca="false">Sens!G11474*(al_m365+Sens!G11592+sbc_r)</f>
        <v>98.9585695396834</v>
      </c>
      <c r="H11593" s="6" t="n">
        <f aca="false">Sens!H11474*(al_m365+Sens!H11592+sbc_r)</f>
        <v>113.560613776114</v>
      </c>
      <c r="I11593" s="6" t="n">
        <f aca="false">Sens!I11474*(al_m365+Sens!I11592+sbc_r)</f>
        <v>126.648166361487</v>
      </c>
      <c r="J11593" s="6" t="n">
        <f aca="false">Sens!J11474*(al_m365+Sens!J11592+sbc_r)</f>
        <v>138.035816462432</v>
      </c>
      <c r="K11593" s="6" t="n">
        <f aca="false">Sens!K11474*(al_m365+Sens!K11592+sbc_r)</f>
        <v>149.047797653571</v>
      </c>
      <c r="L11593" s="12" t="s">
        <v>1232</v>
      </c>
    </row>
    <row r="11594" customFormat="false" ht="17.15" hidden="false" customHeight="false" outlineLevel="0" collapsed="false">
      <c r="A11594" s="0" t="s">
        <v>1233</v>
      </c>
      <c r="B11594" s="0" t="s">
        <v>98</v>
      </c>
      <c r="F11594" s="6" t="n">
        <f aca="false">Sens!F11475*(al_lic+Sens!F11592+sbc_r)</f>
        <v>32.8560308428051</v>
      </c>
      <c r="G11594" s="6" t="n">
        <f aca="false">Sens!G11475*(al_lic+Sens!G11592+sbc_r)</f>
        <v>34.1209980618195</v>
      </c>
      <c r="H11594" s="6" t="n">
        <f aca="false">Sens!H11475*(al_lic+Sens!H11592+sbc_r)</f>
        <v>35.306754028183</v>
      </c>
      <c r="I11594" s="6" t="n">
        <f aca="false">Sens!I11475*(al_lic+Sens!I11592+sbc_r)</f>
        <v>36.3963750873235</v>
      </c>
      <c r="J11594" s="6" t="n">
        <f aca="false">Sens!J11475*(al_lic+Sens!J11592+sbc_r)</f>
        <v>37.3620907475601</v>
      </c>
      <c r="K11594" s="6" t="n">
        <f aca="false">Sens!K11475*(al_lic+Sens!K11592+sbc_r)</f>
        <v>38.1708990818454</v>
      </c>
    </row>
    <row r="11595" customFormat="false" ht="17.15" hidden="false" customHeight="false" outlineLevel="0" collapsed="false">
      <c r="A11595" s="0" t="s">
        <v>1234</v>
      </c>
      <c r="B11595" s="0" t="s">
        <v>98</v>
      </c>
      <c r="F11595" s="6" t="n">
        <f aca="false">Sens!F11477*(al_ind+Sens!F11592+sbc_r)</f>
        <v>9.05940839689351</v>
      </c>
      <c r="G11595" s="6" t="n">
        <f aca="false">Sens!G11477*(al_ind+Sens!G11592+sbc_r)</f>
        <v>9.8260524181065</v>
      </c>
      <c r="H11595" s="6" t="n">
        <f aca="false">Sens!H11477*(al_ind+Sens!H11592+sbc_r)</f>
        <v>10.6405052320013</v>
      </c>
      <c r="I11595" s="6" t="n">
        <f aca="false">Sens!I11477*(al_ind+Sens!I11592+sbc_r)</f>
        <v>11.5010107980071</v>
      </c>
      <c r="J11595" s="6" t="n">
        <f aca="false">Sens!J11477*(al_ind+Sens!J11592+sbc_r)</f>
        <v>12.3968227828694</v>
      </c>
      <c r="K11595" s="6" t="n">
        <f aca="false">Sens!K11477*(al_ind+Sens!K11592+sbc_r)</f>
        <v>13.3100368003767</v>
      </c>
    </row>
    <row r="11596" customFormat="false" ht="17.15" hidden="false" customHeight="false" outlineLevel="0" collapsed="false">
      <c r="A11596" s="0" t="s">
        <v>1235</v>
      </c>
      <c r="B11596" s="0" t="s">
        <v>98</v>
      </c>
      <c r="F11596" s="6" t="n">
        <f aca="false">Sens!F11479*(al_fro+Sens!F11592+sbc_r)</f>
        <v>3.55363386395912</v>
      </c>
      <c r="G11596" s="6" t="n">
        <f aca="false">Sens!G11479*(al_fro+Sens!G11592+sbc_r)</f>
        <v>3.75973563683666</v>
      </c>
      <c r="H11596" s="6" t="n">
        <f aca="false">Sens!H11479*(al_fro+Sens!H11592+sbc_r)</f>
        <v>3.99600911653987</v>
      </c>
      <c r="I11596" s="6" t="n">
        <f aca="false">Sens!I11479*(al_fro+Sens!I11592+sbc_r)</f>
        <v>4.2655866269372</v>
      </c>
      <c r="J11596" s="6" t="n">
        <f aca="false">Sens!J11479*(al_fro+Sens!J11592+sbc_r)</f>
        <v>4.56915938585142</v>
      </c>
      <c r="K11596" s="6" t="n">
        <f aca="false">Sens!K11479*(al_fro+Sens!K11592+sbc_r)</f>
        <v>4.90574727393115</v>
      </c>
    </row>
    <row r="11597" customFormat="false" ht="17.15" hidden="false" customHeight="false" outlineLevel="0" collapsed="false">
      <c r="A11597" s="0" t="s">
        <v>1236</v>
      </c>
      <c r="B11597" s="0" t="s">
        <v>98</v>
      </c>
      <c r="F11597" s="6" t="n">
        <f aca="false">Sens!F11482*(al_srch+Sens!F11592+sbc_r)</f>
        <v>11.1878447195028</v>
      </c>
      <c r="G11597" s="6" t="n">
        <f aca="false">Sens!G11482*(al_srch+Sens!G11592+sbc_r)</f>
        <v>12.2491004094478</v>
      </c>
      <c r="H11597" s="6" t="n">
        <f aca="false">Sens!H11482*(al_srch+Sens!H11592+sbc_r)</f>
        <v>13.3587576759421</v>
      </c>
      <c r="I11597" s="6" t="n">
        <f aca="false">Sens!I11482*(al_srch+Sens!I11592+sbc_r)</f>
        <v>14.507937750948</v>
      </c>
      <c r="J11597" s="6" t="n">
        <f aca="false">Sens!J11482*(al_srch+Sens!J11592+sbc_r)</f>
        <v>15.6754410485964</v>
      </c>
      <c r="K11597" s="6" t="n">
        <f aca="false">Sens!K11482*(al_srch+Sens!K11592+sbc_r)</f>
        <v>16.830175027368</v>
      </c>
    </row>
    <row r="11598" customFormat="false" ht="17.15" hidden="false" customHeight="false" outlineLevel="0" collapsed="false">
      <c r="A11598" s="0" t="s">
        <v>1237</v>
      </c>
      <c r="B11598" s="0" t="s">
        <v>98</v>
      </c>
      <c r="F11598" s="6" t="n">
        <f aca="false">Sens!F11450-Sens!F11451+Sens!F11532</f>
        <v>45.3782580567763</v>
      </c>
      <c r="G11598" s="6" t="n">
        <f aca="false">Sens!G11450-Sens!G11451+Sens!G11532</f>
        <v>91.0863367558165</v>
      </c>
      <c r="H11598" s="6" t="n">
        <f aca="false">Sens!H11450-Sens!H11451+Sens!H11532</f>
        <v>144.617532464853</v>
      </c>
      <c r="I11598" s="6" t="n">
        <f aca="false">Sens!I11450-Sens!I11451+Sens!I11532</f>
        <v>187.137304561304</v>
      </c>
      <c r="J11598" s="6" t="n">
        <f aca="false">Sens!J11450-Sens!J11451+Sens!J11532</f>
        <v>217.006854425907</v>
      </c>
      <c r="K11598" s="6" t="n">
        <f aca="false">Sens!K11450-Sens!K11451+Sens!K11532</f>
        <v>234.933637903877</v>
      </c>
    </row>
    <row r="11599" customFormat="false" ht="17.15" hidden="false" customHeight="false" outlineLevel="0" collapsed="false">
      <c r="A11599" s="0" t="s">
        <v>1238</v>
      </c>
      <c r="B11599" s="0" t="s">
        <v>98</v>
      </c>
      <c r="F11599" s="6" t="n">
        <f aca="false">Sens!F11511+Sens!F11532+Sens!F11462+Sens!F11592*(Sens!F11481-Sens!F11444)+sbc_r*Sens!F11481</f>
        <v>240.823967945635</v>
      </c>
      <c r="G11599" s="6" t="n">
        <f aca="false">Sens!G11511+Sens!G11532+Sens!G11462+Sens!G11592*(Sens!G11481-Sens!G11444)+sbc_r*Sens!G11481</f>
        <v>311.937129736273</v>
      </c>
      <c r="H11599" s="6" t="n">
        <f aca="false">Sens!H11511+Sens!H11532+Sens!H11462+Sens!H11592*(Sens!H11481-Sens!H11444)+sbc_r*Sens!H11481</f>
        <v>395.523996888719</v>
      </c>
      <c r="I11599" s="6" t="n">
        <f aca="false">Sens!I11511+Sens!I11532+Sens!I11462+Sens!I11592*(Sens!I11481-Sens!I11444)+sbc_r*Sens!I11481</f>
        <v>466.012283797931</v>
      </c>
      <c r="J11599" s="6" t="n">
        <f aca="false">Sens!J11511+Sens!J11532+Sens!J11462+Sens!J11592*(Sens!J11481-Sens!J11444)+sbc_r*Sens!J11481</f>
        <v>520.878518997514</v>
      </c>
      <c r="K11599" s="6" t="n">
        <f aca="false">Sens!K11511+Sens!K11532+Sens!K11462+Sens!K11592*(Sens!K11481-Sens!K11444)+sbc_r*Sens!K11481</f>
        <v>561.376972821732</v>
      </c>
    </row>
    <row r="11600" customFormat="false" ht="17.15" hidden="false" customHeight="false" outlineLevel="0" collapsed="false">
      <c r="A11600" s="0" t="s">
        <v>1239</v>
      </c>
      <c r="B11600" s="0" t="s">
        <v>98</v>
      </c>
      <c r="F11600" s="6" t="n">
        <f aca="false">Sens!F11599-Sens!F11593-Sens!F11594-Sens!F11595-Sens!F11596-Sens!F11598</f>
        <v>65.4526552067136</v>
      </c>
      <c r="G11600" s="6" t="n">
        <f aca="false">Sens!G11599-Sens!G11593-Sens!G11594-Sens!G11595-Sens!G11596-Sens!G11598</f>
        <v>74.1854373240104</v>
      </c>
      <c r="H11600" s="6" t="n">
        <f aca="false">Sens!H11599-Sens!H11593-Sens!H11594-Sens!H11595-Sens!H11596-Sens!H11598</f>
        <v>87.4025822710278</v>
      </c>
      <c r="I11600" s="6" t="n">
        <f aca="false">Sens!I11599-Sens!I11593-Sens!I11594-Sens!I11595-Sens!I11596-Sens!I11598</f>
        <v>100.063840362873</v>
      </c>
      <c r="J11600" s="6" t="n">
        <f aca="false">Sens!J11599-Sens!J11593-Sens!J11594-Sens!J11595-Sens!J11596-Sens!J11598</f>
        <v>111.507775192894</v>
      </c>
      <c r="K11600" s="6" t="n">
        <f aca="false">Sens!K11599-Sens!K11593-Sens!K11594-Sens!K11595-Sens!K11596-Sens!K11598</f>
        <v>121.00885410813</v>
      </c>
    </row>
    <row r="11601" customFormat="false" ht="17.15" hidden="false" customHeight="false" outlineLevel="0" collapsed="false">
      <c r="A11601" s="0" t="s">
        <v>1240</v>
      </c>
      <c r="B11601" s="0" t="s">
        <v>98</v>
      </c>
      <c r="F11601" s="6" t="n">
        <f aca="false">Sens!F11513+Sens!F11592*Sens!F11488+sbc_r*Sens!F11488</f>
        <v>26.5870766761356</v>
      </c>
      <c r="G11601" s="6" t="n">
        <f aca="false">Sens!G11513+Sens!G11592*Sens!G11488+sbc_r*Sens!G11488</f>
        <v>26.2931654123867</v>
      </c>
      <c r="H11601" s="6" t="n">
        <f aca="false">Sens!H11513+Sens!H11592*Sens!H11488+sbc_r*Sens!H11488</f>
        <v>27.0019148349298</v>
      </c>
      <c r="I11601" s="6" t="n">
        <f aca="false">Sens!I11513+Sens!I11592*Sens!I11488+sbc_r*Sens!I11488</f>
        <v>27.914281245833</v>
      </c>
      <c r="J11601" s="6" t="n">
        <f aca="false">Sens!J11513+Sens!J11592*Sens!J11488+sbc_r*Sens!J11488</f>
        <v>28.9873156852193</v>
      </c>
      <c r="K11601" s="6" t="n">
        <f aca="false">Sens!K11513+Sens!K11592*Sens!K11488+sbc_r*Sens!K11488</f>
        <v>30.1698478886779</v>
      </c>
    </row>
    <row r="11602" customFormat="false" ht="17.15" hidden="false" customHeight="false" outlineLevel="0" collapsed="false">
      <c r="A11602" s="0" t="s">
        <v>1241</v>
      </c>
      <c r="B11602" s="0" t="s">
        <v>98</v>
      </c>
      <c r="F11602" s="6" t="n">
        <f aca="false">(Sens!F11601-Sens!F11597)*Sens!F11484/(Sens!F11484+Sens!F11486)</f>
        <v>8.67740567112954</v>
      </c>
      <c r="G11602" s="6" t="n">
        <f aca="false">(Sens!G11601-Sens!G11597)*Sens!G11484/(Sens!G11484+Sens!G11486)</f>
        <v>7.72876300651211</v>
      </c>
      <c r="H11602" s="6" t="n">
        <f aca="false">(Sens!H11601-Sens!H11597)*Sens!H11484/(Sens!H11484+Sens!H11486)</f>
        <v>7.33902991387233</v>
      </c>
      <c r="I11602" s="6" t="n">
        <f aca="false">(Sens!I11601-Sens!I11597)*Sens!I11484/(Sens!I11484+Sens!I11486)</f>
        <v>7.05610374013768</v>
      </c>
      <c r="J11602" s="6" t="n">
        <f aca="false">(Sens!J11601-Sens!J11597)*Sens!J11484/(Sens!J11484+Sens!J11486)</f>
        <v>6.86260545894899</v>
      </c>
      <c r="K11602" s="6" t="n">
        <f aca="false">(Sens!K11601-Sens!K11597)*Sens!K11484/(Sens!K11484+Sens!K11486)</f>
        <v>6.74358521108286</v>
      </c>
    </row>
    <row r="11603" customFormat="false" ht="17.15" hidden="false" customHeight="false" outlineLevel="0" collapsed="false">
      <c r="A11603" s="0" t="s">
        <v>1242</v>
      </c>
      <c r="B11603" s="0" t="s">
        <v>98</v>
      </c>
      <c r="F11603" s="6" t="n">
        <f aca="false">Sens!F11601-Sens!F11597-Sens!F11602</f>
        <v>6.72182628550331</v>
      </c>
      <c r="G11603" s="6" t="n">
        <f aca="false">Sens!G11601-Sens!G11597-Sens!G11602</f>
        <v>6.31530199642681</v>
      </c>
      <c r="H11603" s="6" t="n">
        <f aca="false">Sens!H11601-Sens!H11597-Sens!H11602</f>
        <v>6.30412724511538</v>
      </c>
      <c r="I11603" s="6" t="n">
        <f aca="false">Sens!I11601-Sens!I11597-Sens!I11602</f>
        <v>6.35023975474733</v>
      </c>
      <c r="J11603" s="6" t="n">
        <f aca="false">Sens!J11601-Sens!J11597-Sens!J11602</f>
        <v>6.44926917767389</v>
      </c>
      <c r="K11603" s="6" t="n">
        <f aca="false">Sens!K11601-Sens!K11597-Sens!K11602</f>
        <v>6.59608765022708</v>
      </c>
    </row>
    <row r="11604" customFormat="false" ht="17.15" hidden="false" customHeight="false" outlineLevel="0" collapsed="false">
      <c r="A11604" s="0" t="s">
        <v>1243</v>
      </c>
      <c r="B11604" s="0" t="s">
        <v>98</v>
      </c>
      <c r="F11604" s="6" t="n">
        <f aca="false">Sens!F11598-tax_f*(Sens!F11598-Sens!F11462)-Sens!F11459</f>
        <v>-125.235434701028</v>
      </c>
      <c r="G11604" s="6" t="n">
        <f aca="false">Sens!G11598-tax_f*(Sens!G11598-Sens!G11462)-Sens!G11459</f>
        <v>-106.928508113935</v>
      </c>
      <c r="H11604" s="6" t="n">
        <f aca="false">Sens!H11598-tax_f*(Sens!H11598-Sens!H11462)-Sens!H11459</f>
        <v>-63.2919599603405</v>
      </c>
      <c r="I11604" s="6" t="n">
        <f aca="false">Sens!I11598-tax_f*(Sens!I11598-Sens!I11462)-Sens!I11459</f>
        <v>3.94121196634245</v>
      </c>
      <c r="J11604" s="6" t="n">
        <f aca="false">Sens!J11598-tax_f*(Sens!J11598-Sens!J11462)-Sens!J11459</f>
        <v>71.0786869547042</v>
      </c>
      <c r="K11604" s="6" t="n">
        <f aca="false">Sens!K11598-tax_f*(Sens!K11598-Sens!K11462)-Sens!K11459</f>
        <v>97.5865911685559</v>
      </c>
    </row>
    <row r="11605" customFormat="false" ht="17.15" hidden="false" customHeight="false" outlineLevel="0" collapsed="false">
      <c r="A11605" s="0" t="s">
        <v>1244</v>
      </c>
      <c r="B11605" s="0" t="s">
        <v>98</v>
      </c>
      <c r="G11605" s="6" t="n">
        <f aca="false">Sens!G11604/(1+wacc)^(Sens!G11575-Sens!F11576)</f>
        <v>-101.81651667568</v>
      </c>
      <c r="H11605" s="6" t="n">
        <f aca="false">Sens!H11604/(1+wacc)^(Sens!H11575-Sens!F11576)</f>
        <v>-54.6415143556151</v>
      </c>
      <c r="I11605" s="6" t="n">
        <f aca="false">Sens!I11604/(1+wacc)^(Sens!I11575-Sens!F11576)</f>
        <v>3.08498765169516</v>
      </c>
      <c r="J11605" s="6" t="n">
        <f aca="false">Sens!J11604/(1+wacc)^(Sens!J11575-Sens!F11576)</f>
        <v>50.4443451596971</v>
      </c>
      <c r="K11605" s="6" t="n">
        <f aca="false">Sens!K11604/(1+wacc)^(Sens!K11575-Sens!F11576)</f>
        <v>62.7932114544856</v>
      </c>
      <c r="L11605" s="1" t="s">
        <v>1245</v>
      </c>
    </row>
    <row r="11606" customFormat="false" ht="17.15" hidden="false" customHeight="false" outlineLevel="0" collapsed="false">
      <c r="A11606" s="0" t="s">
        <v>1246</v>
      </c>
      <c r="B11606" s="0" t="s">
        <v>98</v>
      </c>
      <c r="C11606" s="6" t="n">
        <f aca="false">(Sens!K11598-Sens!K11462)*(1-tax_f)*(1+g_tv)*(1-g_tv/(wacc+ronic_prem))/(wacc-g_tv)/(1+wacc)^(Sens!K11576-Sens!F11576)</f>
        <v>450.836735002813</v>
      </c>
    </row>
    <row r="11607" customFormat="false" ht="17.15" hidden="false" customHeight="false" outlineLevel="0" collapsed="false">
      <c r="A11607" s="1" t="s">
        <v>1247</v>
      </c>
      <c r="B11607" s="0" t="s">
        <v>98</v>
      </c>
      <c r="C11607" s="6" t="n">
        <f aca="false">(SUM(Sens!G11605:K11605)+Sens!$C$11606)*(1+wacc)^(t_roll-Sens!F11576)</f>
        <v>424.259738494477</v>
      </c>
      <c r="L11607" s="12" t="s">
        <v>1248</v>
      </c>
    </row>
    <row r="11608" customFormat="false" ht="17.15" hidden="false" customHeight="false" outlineLevel="0" collapsed="false">
      <c r="A11608" s="1" t="s">
        <v>1249</v>
      </c>
      <c r="B11608" s="0" t="s">
        <v>98</v>
      </c>
      <c r="C11608" s="6" t="n">
        <f aca="false">(w_ntm28*Sens!G11450+(1-w_ntm28)*Sens!H11450)*m_ai</f>
        <v>563.316843258668</v>
      </c>
    </row>
    <row r="11609" customFormat="false" ht="17.15" hidden="false" customHeight="false" outlineLevel="0" collapsed="false">
      <c r="A11609" s="1" t="s">
        <v>1250</v>
      </c>
      <c r="B11609" s="0" t="s">
        <v>98</v>
      </c>
      <c r="C11609" s="6" t="n">
        <f aca="false">(w_ntm28*Sens!G11600+(1-w_ntm28)*Sens!H11600)*m_cloud</f>
        <v>1085.29565664011</v>
      </c>
    </row>
    <row r="11610" customFormat="false" ht="17.15" hidden="false" customHeight="false" outlineLevel="0" collapsed="false">
      <c r="A11610" s="1" t="s">
        <v>1251</v>
      </c>
      <c r="B11610" s="0" t="s">
        <v>98</v>
      </c>
      <c r="C11610" s="6" t="n">
        <f aca="false">(w_ntm28*Sens!G11593+(1-w_ntm28)*Sens!H11593)*m_sw</f>
        <v>1120.59980946807</v>
      </c>
    </row>
    <row r="11611" customFormat="false" ht="17.15" hidden="false" customHeight="false" outlineLevel="0" collapsed="false">
      <c r="A11611" s="1" t="s">
        <v>1252</v>
      </c>
      <c r="B11611" s="0" t="s">
        <v>98</v>
      </c>
      <c r="C11611" s="6" t="n">
        <f aca="false">(w_ntm28*Sens!G11594+(1-w_ntm28)*Sens!H11594)*m_sw</f>
        <v>372.717024909862</v>
      </c>
    </row>
    <row r="11612" customFormat="false" ht="17.15" hidden="false" customHeight="false" outlineLevel="0" collapsed="false">
      <c r="A11612" s="1" t="s">
        <v>1253</v>
      </c>
      <c r="B11612" s="0" t="s">
        <v>98</v>
      </c>
      <c r="C11612" s="6" t="n">
        <f aca="false">(w_ntm28*Sens!G11595+(1-w_ntm28)*Sens!H11595)*m_sw</f>
        <v>109.01323144927</v>
      </c>
    </row>
    <row r="11613" customFormat="false" ht="17.15" hidden="false" customHeight="false" outlineLevel="0" collapsed="false">
      <c r="A11613" s="1" t="s">
        <v>1254</v>
      </c>
      <c r="B11613" s="0" t="s">
        <v>98</v>
      </c>
      <c r="C11613" s="6" t="n">
        <f aca="false">(w_ntm28*Sens!G11596+(1-w_ntm28)*Sens!H11596)*m_sw</f>
        <v>41.4440775619328</v>
      </c>
    </row>
    <row r="11614" customFormat="false" ht="17.15" hidden="false" customHeight="false" outlineLevel="0" collapsed="false">
      <c r="A11614" s="1" t="s">
        <v>1255</v>
      </c>
      <c r="B11614" s="0" t="s">
        <v>98</v>
      </c>
      <c r="C11614" s="6" t="n">
        <f aca="false">(w_ntm28*Sens!G11597+(1-w_ntm28)*Sens!H11597)*m_ads</f>
        <v>114.912804247142</v>
      </c>
    </row>
    <row r="11615" customFormat="false" ht="17.15" hidden="false" customHeight="false" outlineLevel="0" collapsed="false">
      <c r="A11615" s="1" t="s">
        <v>1256</v>
      </c>
      <c r="B11615" s="0" t="s">
        <v>98</v>
      </c>
      <c r="C11615" s="6" t="n">
        <f aca="false">(w_ntm28*Sens!G11602+(1-w_ntm28)*Sens!H11602)*m_game</f>
        <v>95.9959768401799</v>
      </c>
    </row>
    <row r="11616" customFormat="false" ht="17.15" hidden="false" customHeight="false" outlineLevel="0" collapsed="false">
      <c r="A11616" s="1" t="s">
        <v>1257</v>
      </c>
      <c r="B11616" s="0" t="s">
        <v>98</v>
      </c>
      <c r="C11616" s="6" t="n">
        <f aca="false">(w_ntm28*Sens!G11603+(1-w_ntm28)*Sens!H11603)*m_pc</f>
        <v>91.3292586878105</v>
      </c>
    </row>
    <row r="11617" customFormat="false" ht="17.15" hidden="false" customHeight="false" outlineLevel="0" collapsed="false">
      <c r="A11617" s="1" t="s">
        <v>1258</v>
      </c>
      <c r="B11617" s="0" t="s">
        <v>98</v>
      </c>
      <c r="C11617" s="6" t="n">
        <f aca="false">Sens!$C$11607+Sens!$C$11609+Sens!$C$11610+Sens!$C$11611+Sens!$C$11612+Sens!$C$11613+Sens!$C$11614+Sens!$C$11615+Sens!$C$11616</f>
        <v>3455.56757829885</v>
      </c>
    </row>
    <row r="11618" customFormat="false" ht="17.15" hidden="false" customHeight="false" outlineLevel="0" collapsed="false">
      <c r="A11618" s="1" t="s">
        <v>1259</v>
      </c>
      <c r="B11618" s="0" t="s">
        <v>98</v>
      </c>
      <c r="C11618" s="6" t="n">
        <f aca="false">(Sens!G11579-Sens!G11604)*t_stub</f>
        <v>48.2568084877827</v>
      </c>
      <c r="L11618" s="1" t="s">
        <v>1260</v>
      </c>
    </row>
    <row r="11619" customFormat="false" ht="17.15" hidden="false" customHeight="false" outlineLevel="0" collapsed="false">
      <c r="A11619" s="1" t="s">
        <v>1169</v>
      </c>
      <c r="B11619" s="0" t="s">
        <v>98</v>
      </c>
      <c r="C11619" s="6" t="n">
        <f aca="false">Sens!F11566+oai_v-Sens!F11555+Sens!$C$11618</f>
        <v>162.485078487783</v>
      </c>
      <c r="L11619" s="1" t="s">
        <v>1261</v>
      </c>
    </row>
    <row r="11620" customFormat="false" ht="17.15" hidden="false" customHeight="false" outlineLevel="0" collapsed="false">
      <c r="A11620" s="1" t="s">
        <v>1262</v>
      </c>
      <c r="B11620" s="0" t="s">
        <v>75</v>
      </c>
      <c r="C11620" s="5" t="n">
        <f aca="false">(Sens!$C$11617+Sens!$C$11619)/(Sens!F11568+dil_gap)-Sens!G11558*roll_div_q/q_per_yr</f>
        <v>481.990971261281</v>
      </c>
      <c r="L11620" s="1" t="s">
        <v>1263</v>
      </c>
    </row>
    <row r="11621" customFormat="false" ht="17.15" hidden="false" customHeight="false" outlineLevel="0" collapsed="false">
      <c r="A11621" s="1" t="s">
        <v>1264</v>
      </c>
      <c r="B11621" s="0" t="s">
        <v>75</v>
      </c>
      <c r="C11621" s="5" t="n">
        <f aca="false">w_dcf*Sens!$C$11591+(1-w_dcf)*Sens!$C$11620</f>
        <v>422.762381626282</v>
      </c>
    </row>
    <row r="11622" customFormat="false" ht="17.15" hidden="false" customHeight="false" outlineLevel="0" collapsed="false">
      <c r="A11622" s="3" t="s">
        <v>1770</v>
      </c>
    </row>
    <row r="11623" customFormat="false" ht="15" hidden="false" customHeight="false" outlineLevel="0" collapsed="false">
      <c r="A11623" s="4" t="s">
        <v>43</v>
      </c>
      <c r="B11623" s="4" t="s">
        <v>65</v>
      </c>
      <c r="C11623" s="23" t="s">
        <v>938</v>
      </c>
      <c r="D11623" s="23" t="s">
        <v>939</v>
      </c>
      <c r="E11623" s="23" t="s">
        <v>940</v>
      </c>
      <c r="F11623" s="23" t="s">
        <v>941</v>
      </c>
      <c r="G11623" s="23" t="s">
        <v>942</v>
      </c>
      <c r="H11623" s="23" t="s">
        <v>943</v>
      </c>
      <c r="I11623" s="23" t="s">
        <v>944</v>
      </c>
      <c r="J11623" s="23" t="s">
        <v>945</v>
      </c>
      <c r="K11623" s="23" t="s">
        <v>946</v>
      </c>
      <c r="L11623" s="4" t="s">
        <v>47</v>
      </c>
    </row>
    <row r="11624" customFormat="false" ht="17.15" hidden="false" customHeight="false" outlineLevel="0" collapsed="false">
      <c r="A11624" s="1" t="s">
        <v>947</v>
      </c>
      <c r="B11624" s="1" t="s">
        <v>279</v>
      </c>
      <c r="C11624" s="21" t="n">
        <v>2024</v>
      </c>
      <c r="D11624" s="21" t="n">
        <v>2025</v>
      </c>
      <c r="E11624" s="21" t="n">
        <v>2026</v>
      </c>
      <c r="F11624" s="21" t="n">
        <v>2027</v>
      </c>
      <c r="G11624" s="21" t="n">
        <v>2028</v>
      </c>
      <c r="H11624" s="21" t="n">
        <v>2029</v>
      </c>
      <c r="I11624" s="21" t="n">
        <v>2030</v>
      </c>
      <c r="J11624" s="21" t="n">
        <v>2031</v>
      </c>
      <c r="K11624" s="21" t="n">
        <v>2032</v>
      </c>
    </row>
    <row r="11625" customFormat="false" ht="17.15" hidden="false" customHeight="false" outlineLevel="0" collapsed="false">
      <c r="A11625" s="1" t="s">
        <v>948</v>
      </c>
      <c r="B11625" s="0" t="s">
        <v>456</v>
      </c>
      <c r="F11625" s="30" t="n">
        <f aca="false">pace</f>
        <v>2726.5351</v>
      </c>
      <c r="G11625" s="30" t="n">
        <f aca="false">pace</f>
        <v>2726.5351</v>
      </c>
      <c r="H11625" s="30" t="n">
        <f aca="false">pace</f>
        <v>2726.5351</v>
      </c>
      <c r="I11625" s="30" t="n">
        <f aca="false">pace+(g_tv*Sens!H11626-pace)*MIN(1,(Sens!I11624-pace_y0)/(pace_y1-pace_y0))</f>
        <v>1931.98611966667</v>
      </c>
      <c r="J11625" s="30" t="n">
        <f aca="false">pace+(g_tv*Sens!I11626-pace)*MIN(1,(Sens!J11624-pace_y0)/(pace_y1-pace_y0))</f>
        <v>1176.07686172667</v>
      </c>
      <c r="K11625" s="30" t="n">
        <f aca="false">pace+(g_tv*Sens!J11626-pace)*MIN(1,(Sens!K11624-pace_y0)/(pace_y1-pace_y0))</f>
        <v>436.1300484418</v>
      </c>
      <c r="L11625" s="12" t="s">
        <v>949</v>
      </c>
    </row>
    <row r="11626" customFormat="false" ht="17.15" hidden="false" customHeight="false" outlineLevel="0" collapsed="false">
      <c r="A11626" s="1" t="s">
        <v>950</v>
      </c>
      <c r="B11626" s="0" t="s">
        <v>456</v>
      </c>
      <c r="C11626" s="30" t="n">
        <f aca="false">mw_ext_24</f>
        <v>640</v>
      </c>
      <c r="D11626" s="30" t="n">
        <f aca="false">mw_ext_25</f>
        <v>1630</v>
      </c>
      <c r="E11626" s="30" t="n">
        <f aca="false">mw_ext_26</f>
        <v>3250</v>
      </c>
      <c r="F11626" s="30" t="n">
        <f aca="false">Sens!E11626+Sens!F11625</f>
        <v>5976.5351</v>
      </c>
      <c r="G11626" s="30" t="n">
        <f aca="false">Sens!F11626+Sens!G11625</f>
        <v>8703.0702</v>
      </c>
      <c r="H11626" s="30" t="n">
        <f aca="false">Sens!G11626+Sens!H11625</f>
        <v>11429.6053</v>
      </c>
      <c r="I11626" s="30" t="n">
        <f aca="false">Sens!H11626+Sens!I11625</f>
        <v>13361.5914196667</v>
      </c>
      <c r="J11626" s="30" t="n">
        <f aca="false">Sens!I11626+Sens!J11625</f>
        <v>14537.6682813933</v>
      </c>
      <c r="K11626" s="30" t="n">
        <f aca="false">Sens!J11626+Sens!K11625</f>
        <v>14973.7983298351</v>
      </c>
      <c r="L11626" s="1" t="s">
        <v>951</v>
      </c>
    </row>
    <row r="11627" customFormat="false" ht="17.15" hidden="false" customHeight="false" outlineLevel="0" collapsed="false">
      <c r="A11627" s="1" t="s">
        <v>952</v>
      </c>
      <c r="B11627" s="0" t="s">
        <v>456</v>
      </c>
      <c r="C11627" s="30" t="n">
        <f aca="false">rent_ext_24</f>
        <v>150</v>
      </c>
      <c r="D11627" s="30" t="n">
        <f aca="false">rent_ext_25</f>
        <v>400</v>
      </c>
      <c r="E11627" s="30" t="n">
        <f aca="false">rent_ext_26</f>
        <v>550</v>
      </c>
      <c r="F11627" s="30" t="n">
        <f aca="false">rent_ext_f</f>
        <v>756</v>
      </c>
      <c r="G11627" s="30" t="n">
        <f aca="false">rent_ext_f</f>
        <v>756</v>
      </c>
      <c r="H11627" s="30" t="n">
        <f aca="false">rent_ext_f</f>
        <v>756</v>
      </c>
      <c r="I11627" s="30" t="n">
        <f aca="false">rent_ext_f</f>
        <v>756</v>
      </c>
      <c r="J11627" s="30" t="n">
        <f aca="false">rent_ext_f</f>
        <v>756</v>
      </c>
      <c r="K11627" s="30" t="n">
        <f aca="false">rent_ext_f</f>
        <v>756</v>
      </c>
      <c r="L11627" s="1" t="s">
        <v>953</v>
      </c>
    </row>
    <row r="11628" customFormat="false" ht="17.15" hidden="false" customHeight="false" outlineLevel="0" collapsed="false">
      <c r="A11628" s="1" t="s">
        <v>954</v>
      </c>
      <c r="B11628" s="0" t="s">
        <v>456</v>
      </c>
      <c r="C11628" s="30" t="n">
        <f aca="false">Sens!C11626-Sens!C11627</f>
        <v>490</v>
      </c>
      <c r="D11628" s="30" t="n">
        <f aca="false">Sens!D11626-Sens!D11627</f>
        <v>1230</v>
      </c>
      <c r="E11628" s="30" t="n">
        <f aca="false">Sens!E11626-Sens!E11627</f>
        <v>2700</v>
      </c>
      <c r="F11628" s="30" t="n">
        <f aca="false">Sens!F11626-Sens!F11627</f>
        <v>5220.5351</v>
      </c>
      <c r="G11628" s="30" t="n">
        <f aca="false">Sens!G11626-Sens!G11627</f>
        <v>7947.0702</v>
      </c>
      <c r="H11628" s="30" t="n">
        <f aca="false">Sens!H11626-Sens!H11627</f>
        <v>10673.6053</v>
      </c>
      <c r="I11628" s="30" t="n">
        <f aca="false">Sens!I11626-Sens!I11627</f>
        <v>12605.5914196667</v>
      </c>
      <c r="J11628" s="30" t="n">
        <f aca="false">Sens!J11626-Sens!J11627</f>
        <v>13781.6682813933</v>
      </c>
      <c r="K11628" s="30" t="n">
        <f aca="false">Sens!K11626-Sens!K11627</f>
        <v>14217.7983298351</v>
      </c>
    </row>
    <row r="11629" customFormat="false" ht="17.15" hidden="false" customHeight="false" outlineLevel="0" collapsed="false">
      <c r="A11629" s="1" t="s">
        <v>955</v>
      </c>
      <c r="B11629" s="0" t="s">
        <v>456</v>
      </c>
      <c r="C11629" s="30" t="n">
        <f aca="false">Sens!C11628/ext_sh</f>
        <v>816.666666666667</v>
      </c>
      <c r="D11629" s="30" t="n">
        <f aca="false">Sens!D11628/ext_sh</f>
        <v>2050</v>
      </c>
      <c r="E11629" s="30" t="n">
        <f aca="false">Sens!E11628/ext_sh</f>
        <v>4500</v>
      </c>
      <c r="F11629" s="30" t="n">
        <f aca="false">Sens!F11628/ext_sh</f>
        <v>8700.89183333333</v>
      </c>
      <c r="G11629" s="30" t="n">
        <f aca="false">Sens!G11628/ext_sh</f>
        <v>13245.117</v>
      </c>
      <c r="H11629" s="30" t="n">
        <f aca="false">Sens!H11628/ext_sh</f>
        <v>17789.3421666667</v>
      </c>
      <c r="I11629" s="30" t="n">
        <f aca="false">Sens!I11628/ext_sh</f>
        <v>21009.3190327778</v>
      </c>
      <c r="J11629" s="30" t="n">
        <f aca="false">Sens!J11628/ext_sh</f>
        <v>22969.4471356556</v>
      </c>
      <c r="K11629" s="30" t="n">
        <f aca="false">Sens!K11628/ext_sh</f>
        <v>23696.3305497252</v>
      </c>
      <c r="L11629" s="1" t="s">
        <v>956</v>
      </c>
    </row>
    <row r="11630" customFormat="false" ht="17.15" hidden="false" customHeight="false" outlineLevel="0" collapsed="false">
      <c r="A11630" s="1" t="s">
        <v>957</v>
      </c>
      <c r="B11630" s="0" t="s">
        <v>456</v>
      </c>
      <c r="C11630" s="30" t="n">
        <f aca="false">Sens!C11629-Sens!C11628</f>
        <v>326.666666666667</v>
      </c>
      <c r="D11630" s="30" t="n">
        <f aca="false">Sens!D11629-Sens!D11628</f>
        <v>820</v>
      </c>
      <c r="E11630" s="30" t="n">
        <f aca="false">Sens!E11629-Sens!E11628</f>
        <v>1800</v>
      </c>
      <c r="F11630" s="30" t="n">
        <f aca="false">Sens!F11629-Sens!F11628</f>
        <v>3480.35673333333</v>
      </c>
      <c r="G11630" s="30" t="n">
        <f aca="false">Sens!G11629-Sens!G11628</f>
        <v>5298.0468</v>
      </c>
      <c r="H11630" s="30" t="n">
        <f aca="false">Sens!H11629-Sens!H11628</f>
        <v>7115.73686666667</v>
      </c>
      <c r="I11630" s="30" t="n">
        <f aca="false">Sens!I11629-Sens!I11628</f>
        <v>8403.72761311111</v>
      </c>
      <c r="J11630" s="30" t="n">
        <f aca="false">Sens!J11629-Sens!J11628</f>
        <v>9187.77885426222</v>
      </c>
      <c r="K11630" s="30" t="n">
        <f aca="false">Sens!K11629-Sens!K11628</f>
        <v>9478.53221989009</v>
      </c>
    </row>
    <row r="11631" customFormat="false" ht="17.15" hidden="false" customHeight="false" outlineLevel="0" collapsed="false">
      <c r="A11631" s="1" t="s">
        <v>958</v>
      </c>
      <c r="B11631" s="0" t="s">
        <v>456</v>
      </c>
      <c r="C11631" s="30" t="n">
        <f aca="false">Sens!C11629</f>
        <v>816.666666666667</v>
      </c>
      <c r="D11631" s="30" t="n">
        <f aca="false">Sens!D11629-Sens!C11629</f>
        <v>1233.33333333333</v>
      </c>
      <c r="E11631" s="30" t="n">
        <f aca="false">Sens!E11629-Sens!D11629</f>
        <v>2450</v>
      </c>
      <c r="F11631" s="30" t="n">
        <f aca="false">Sens!F11629-Sens!E11629</f>
        <v>4200.89183333333</v>
      </c>
      <c r="G11631" s="30" t="n">
        <f aca="false">Sens!G11629-Sens!F11629</f>
        <v>4544.22516666667</v>
      </c>
      <c r="H11631" s="30" t="n">
        <f aca="false">Sens!H11629-Sens!G11629</f>
        <v>4544.22516666667</v>
      </c>
      <c r="I11631" s="30" t="n">
        <f aca="false">Sens!I11629-Sens!H11629</f>
        <v>3219.97686611111</v>
      </c>
      <c r="J11631" s="30" t="n">
        <f aca="false">Sens!J11629-Sens!I11629</f>
        <v>1960.12810287778</v>
      </c>
      <c r="K11631" s="30" t="n">
        <f aca="false">Sens!K11629-Sens!J11629</f>
        <v>726.883414069667</v>
      </c>
    </row>
    <row r="11632" customFormat="false" ht="17.15" hidden="false" customHeight="false" outlineLevel="0" collapsed="false">
      <c r="A11632" s="1" t="s">
        <v>959</v>
      </c>
      <c r="B11632" s="0" t="s">
        <v>456</v>
      </c>
      <c r="D11632" s="30" t="n">
        <f aca="false">Sens!D11626-Sens!C11626</f>
        <v>990</v>
      </c>
      <c r="E11632" s="30" t="n">
        <f aca="false">Sens!E11626-Sens!D11626</f>
        <v>1620</v>
      </c>
      <c r="F11632" s="30" t="n">
        <f aca="false">Sens!F11626-Sens!E11626</f>
        <v>2726.5351</v>
      </c>
      <c r="G11632" s="30" t="n">
        <f aca="false">Sens!G11626-Sens!F11626</f>
        <v>2726.5351</v>
      </c>
      <c r="H11632" s="30" t="n">
        <f aca="false">Sens!H11626-Sens!G11626</f>
        <v>2726.5351</v>
      </c>
      <c r="I11632" s="30" t="n">
        <f aca="false">Sens!I11626-Sens!H11626</f>
        <v>1931.98611966667</v>
      </c>
      <c r="J11632" s="30" t="n">
        <f aca="false">Sens!J11626-Sens!I11626</f>
        <v>1176.07686172667</v>
      </c>
      <c r="K11632" s="30" t="n">
        <f aca="false">Sens!K11626-Sens!J11626</f>
        <v>436.130048441799</v>
      </c>
    </row>
    <row r="11633" customFormat="false" ht="17.15" hidden="false" customHeight="false" outlineLevel="0" collapsed="false">
      <c r="A11633" s="1" t="s">
        <v>960</v>
      </c>
      <c r="B11633" s="0" t="s">
        <v>456</v>
      </c>
      <c r="F11633" s="30" t="n">
        <f aca="false">Sens!F11652*ext_sh</f>
        <v>0</v>
      </c>
      <c r="G11633" s="30" t="n">
        <f aca="false">Sens!G11652*ext_sh</f>
        <v>0</v>
      </c>
      <c r="H11633" s="30" t="n">
        <f aca="false">Sens!H11652*ext_sh</f>
        <v>0</v>
      </c>
      <c r="I11633" s="30" t="n">
        <f aca="false">Sens!I11652*ext_sh</f>
        <v>490</v>
      </c>
      <c r="J11633" s="30" t="n">
        <f aca="false">Sens!J11652*ext_sh</f>
        <v>740</v>
      </c>
      <c r="K11633" s="30" t="n">
        <f aca="false">Sens!K11652*ext_sh</f>
        <v>1470</v>
      </c>
      <c r="L11633" s="1" t="s">
        <v>961</v>
      </c>
    </row>
    <row r="11634" customFormat="false" ht="17.15" hidden="false" customHeight="false" outlineLevel="0" collapsed="false">
      <c r="A11634" s="1" t="s">
        <v>962</v>
      </c>
      <c r="B11634" s="0" t="s">
        <v>456</v>
      </c>
      <c r="C11634" s="30" t="n">
        <f aca="false">mix_h*Sens!C11626</f>
        <v>128</v>
      </c>
      <c r="D11634" s="30" t="n">
        <f aca="false">mix_h*Sens!D11626</f>
        <v>326</v>
      </c>
      <c r="E11634" s="30" t="n">
        <f aca="false">mix_h*Sens!E11626</f>
        <v>650</v>
      </c>
      <c r="F11634" s="30" t="n">
        <f aca="false">Sens!E11634-Sens!F11633*mix_h</f>
        <v>650</v>
      </c>
      <c r="G11634" s="30" t="n">
        <f aca="false">Sens!F11634-Sens!G11633*mix_h</f>
        <v>650</v>
      </c>
      <c r="H11634" s="30" t="n">
        <f aca="false">Sens!G11634-Sens!H11633*mix_h</f>
        <v>650</v>
      </c>
      <c r="I11634" s="30" t="n">
        <f aca="false">Sens!H11634-Sens!I11633*mix_h</f>
        <v>552</v>
      </c>
      <c r="J11634" s="30" t="n">
        <f aca="false">Sens!I11634-Sens!J11633*mix_h</f>
        <v>404</v>
      </c>
      <c r="K11634" s="30" t="n">
        <f aca="false">Sens!J11634-Sens!K11633*mix_h</f>
        <v>110</v>
      </c>
    </row>
    <row r="11635" customFormat="false" ht="17.15" hidden="false" customHeight="false" outlineLevel="0" collapsed="false">
      <c r="A11635" s="1" t="s">
        <v>963</v>
      </c>
      <c r="B11635" s="0" t="s">
        <v>456</v>
      </c>
      <c r="C11635" s="30" t="n">
        <f aca="false">mix_g2*Sens!C11626</f>
        <v>288</v>
      </c>
      <c r="D11635" s="30" t="n">
        <f aca="false">mix_g2*Sens!D11626</f>
        <v>733.5</v>
      </c>
      <c r="E11635" s="30" t="n">
        <f aca="false">mix_g2*Sens!E11626</f>
        <v>1462.5</v>
      </c>
      <c r="F11635" s="30" t="n">
        <f aca="false">Sens!E11635-Sens!F11633*mix_g2</f>
        <v>1462.5</v>
      </c>
      <c r="G11635" s="30" t="n">
        <f aca="false">Sens!F11635-Sens!G11633*mix_g2</f>
        <v>1462.5</v>
      </c>
      <c r="H11635" s="30" t="n">
        <f aca="false">Sens!G11635-Sens!H11633*mix_g2</f>
        <v>1462.5</v>
      </c>
      <c r="I11635" s="30" t="n">
        <f aca="false">Sens!H11635-Sens!I11633*mix_g2</f>
        <v>1242</v>
      </c>
      <c r="J11635" s="30" t="n">
        <f aca="false">Sens!I11635-Sens!J11633*mix_g2</f>
        <v>909</v>
      </c>
      <c r="K11635" s="30" t="n">
        <f aca="false">Sens!J11635-Sens!K11633*mix_g2</f>
        <v>247.5</v>
      </c>
    </row>
    <row r="11636" customFormat="false" ht="17.15" hidden="false" customHeight="false" outlineLevel="0" collapsed="false">
      <c r="A11636" s="1" t="s">
        <v>964</v>
      </c>
      <c r="B11636" s="0" t="s">
        <v>456</v>
      </c>
      <c r="C11636" s="30" t="n">
        <f aca="false">mix_g3*Sens!C11626</f>
        <v>224</v>
      </c>
      <c r="D11636" s="30" t="n">
        <f aca="false">mix_g3*Sens!D11626</f>
        <v>570.5</v>
      </c>
      <c r="E11636" s="30" t="n">
        <f aca="false">mix_g3*Sens!E11626</f>
        <v>1137.5</v>
      </c>
      <c r="F11636" s="30" t="n">
        <f aca="false">Sens!E11636+(Sens!F11632+Sens!F11633)*(a_g3_27-nonnv*a_mai)-Sens!F11633*mix_g3</f>
        <v>2773.42106</v>
      </c>
      <c r="G11636" s="30" t="n">
        <f aca="false">Sens!F11636+(Sens!G11632+Sens!G11633)*(a_g3_28-nonnv*a_mai)-Sens!G11633*mix_g3</f>
        <v>3318.72808</v>
      </c>
      <c r="H11636" s="30" t="n">
        <f aca="false">Sens!G11636+(Sens!H11632+Sens!H11633)*(a_g3_29-nonnv*a_mai)-Sens!H11633*mix_g3</f>
        <v>3318.72808</v>
      </c>
      <c r="I11636" s="30" t="n">
        <f aca="false">Sens!H11636+(Sens!I11632+Sens!I11633)*(a_g3_29-nonnv*a_mai)-Sens!I11633*mix_g3</f>
        <v>3147.22808</v>
      </c>
      <c r="J11636" s="30" t="n">
        <f aca="false">Sens!I11636+(Sens!J11632+Sens!J11633)*(a_g3_29-nonnv*a_mai)-Sens!J11633*mix_g3</f>
        <v>2888.22808</v>
      </c>
      <c r="K11636" s="30" t="n">
        <f aca="false">Sens!J11636+(Sens!K11632+Sens!K11633)*(a_g3_29-nonnv*a_mai)-Sens!K11633*mix_g3</f>
        <v>2373.72808</v>
      </c>
    </row>
    <row r="11637" customFormat="false" ht="17.15" hidden="false" customHeight="false" outlineLevel="0" collapsed="false">
      <c r="A11637" s="1" t="s">
        <v>965</v>
      </c>
      <c r="B11637" s="0" t="s">
        <v>456</v>
      </c>
      <c r="C11637" s="30" t="n">
        <v>0</v>
      </c>
      <c r="D11637" s="30" t="n">
        <v>0</v>
      </c>
      <c r="E11637" s="30" t="n">
        <v>0</v>
      </c>
      <c r="F11637" s="30" t="n">
        <f aca="false">Sens!E11637+(Sens!F11632+Sens!F11633)*nonnv*a_mai</f>
        <v>272.65351</v>
      </c>
      <c r="G11637" s="30" t="n">
        <f aca="false">Sens!F11637+(Sens!G11632+Sens!G11633)*nonnv*a_mai</f>
        <v>545.30702</v>
      </c>
      <c r="H11637" s="30" t="n">
        <f aca="false">Sens!G11637+(Sens!H11632+Sens!H11633)*nonnv*a_mai</f>
        <v>817.96053</v>
      </c>
      <c r="I11637" s="30" t="n">
        <f aca="false">Sens!H11637+(Sens!I11632+Sens!I11633)*nonnv*a_mai</f>
        <v>1060.15914196667</v>
      </c>
      <c r="J11637" s="30" t="n">
        <f aca="false">Sens!I11637+(Sens!J11632+Sens!J11633)*nonnv*a_mai</f>
        <v>1251.76682813933</v>
      </c>
      <c r="K11637" s="30" t="n">
        <f aca="false">Sens!J11637+(Sens!K11632+Sens!K11633)*nonnv*a_mai</f>
        <v>1442.37983298351</v>
      </c>
      <c r="L11637" s="12" t="s">
        <v>966</v>
      </c>
    </row>
    <row r="11638" customFormat="false" ht="17.15" hidden="false" customHeight="false" outlineLevel="0" collapsed="false">
      <c r="A11638" s="1" t="s">
        <v>967</v>
      </c>
      <c r="B11638" s="0" t="s">
        <v>456</v>
      </c>
      <c r="C11638" s="30" t="n">
        <v>0</v>
      </c>
      <c r="D11638" s="30" t="n">
        <v>0</v>
      </c>
      <c r="E11638" s="30" t="n">
        <v>0</v>
      </c>
      <c r="F11638" s="30" t="n">
        <f aca="false">Sens!E11638+(Sens!F11632+Sens!F11633)*(1-a_g3_27)</f>
        <v>817.96053</v>
      </c>
      <c r="G11638" s="30" t="n">
        <f aca="false">Sens!F11638+(Sens!G11632+Sens!G11633)*(1-a_g3_28)</f>
        <v>2726.5351</v>
      </c>
      <c r="H11638" s="30" t="n">
        <f aca="false">Sens!G11638+(Sens!H11632+Sens!H11633)*(1-a_g3_29)</f>
        <v>5180.41669</v>
      </c>
      <c r="I11638" s="30" t="n">
        <f aca="false">Sens!H11638+(Sens!I11632+Sens!I11633)*(1-a_g3_29)</f>
        <v>7360.2041977</v>
      </c>
      <c r="J11638" s="30" t="n">
        <f aca="false">Sens!I11638+(Sens!J11632+Sens!J11633)*(1-a_g3_29)</f>
        <v>9084.673373254</v>
      </c>
      <c r="K11638" s="30" t="n">
        <f aca="false">Sens!J11638+(Sens!K11632+Sens!K11633)*(1-a_g3_29)</f>
        <v>10800.1904168516</v>
      </c>
    </row>
    <row r="11639" customFormat="false" ht="17.15" hidden="false" customHeight="false" outlineLevel="0" collapsed="false">
      <c r="A11639" s="1" t="s">
        <v>968</v>
      </c>
      <c r="B11639" s="0" t="s">
        <v>403</v>
      </c>
      <c r="C11639" s="15" t="n">
        <f aca="false">(Sens!C11634*tk_hold_h100+Sens!C11635*tk_hold_gb200+Sens!C11636*tk_hold_gb300+Sens!C11638*tk_hold_vr200+Sens!C11637*nv_hold_mai*tk_hold_vr200)/Sens!C11626</f>
        <v>9.7235358126469</v>
      </c>
      <c r="D11639" s="15" t="n">
        <f aca="false">(Sens!D11634*tk_hold_h100+Sens!D11635*tk_hold_gb200+Sens!D11636*tk_hold_gb300+Sens!D11638*tk_hold_vr200+Sens!D11637*nv_hold_mai*tk_hold_vr200)/Sens!D11626</f>
        <v>9.7235358126469</v>
      </c>
      <c r="E11639" s="15" t="n">
        <f aca="false">(Sens!E11634*tk_hold_h100+Sens!E11635*tk_hold_gb200+Sens!E11636*tk_hold_gb300+Sens!E11638*tk_hold_vr200+Sens!E11637*nv_hold_mai*tk_hold_vr200)/Sens!E11626</f>
        <v>9.7235358126469</v>
      </c>
      <c r="F11639" s="15" t="n">
        <f aca="false">(Sens!F11634*tk_hold_h100+Sens!F11635*tk_hold_gb200+Sens!F11636*tk_hold_gb300+Sens!F11638*tk_hold_vr200+Sens!F11637*nv_hold_mai*tk_hold_vr200)/Sens!F11626</f>
        <v>10.2195353876665</v>
      </c>
      <c r="G11639" s="15" t="n">
        <f aca="false">(Sens!G11634*tk_hold_h100+Sens!G11635*tk_hold_gb200+Sens!G11636*tk_hold_gb300+Sens!G11638*tk_hold_vr200+Sens!G11637*nv_hold_mai*tk_hold_vr200)/Sens!G11626</f>
        <v>10.5725598017306</v>
      </c>
      <c r="H11639" s="15" t="n">
        <f aca="false">(Sens!H11634*tk_hold_h100+Sens!H11635*tk_hold_gb200+Sens!H11636*tk_hold_gb300+Sens!H11638*tk_hold_vr200+Sens!H11637*nv_hold_mai*tk_hold_vr200)/Sens!H11626</f>
        <v>10.8210427149036</v>
      </c>
      <c r="I11639" s="15" t="n">
        <f aca="false">(Sens!I11634*tk_hold_h100+Sens!I11635*tk_hold_gb200+Sens!I11636*tk_hold_gb300+Sens!I11638*tk_hold_vr200+Sens!I11637*nv_hold_mai*tk_hold_vr200)/Sens!I11626</f>
        <v>11.0050618241982</v>
      </c>
      <c r="J11639" s="15" t="n">
        <f aca="false">(Sens!J11634*tk_hold_h100+Sens!J11635*tk_hold_gb200+Sens!J11636*tk_hold_gb300+Sens!J11638*tk_hold_vr200+Sens!J11637*nv_hold_mai*tk_hold_vr200)/Sens!J11626</f>
        <v>11.1505789658881</v>
      </c>
      <c r="K11639" s="15" t="n">
        <f aca="false">(Sens!K11634*tk_hold_h100+Sens!K11635*tk_hold_gb200+Sens!K11636*tk_hold_gb300+Sens!K11638*tk_hold_vr200+Sens!K11637*nv_hold_mai*tk_hold_vr200)/Sens!K11626</f>
        <v>11.3496914757183</v>
      </c>
      <c r="L11639" s="1" t="s">
        <v>969</v>
      </c>
    </row>
    <row r="11640" customFormat="false" ht="17.15" hidden="false" customHeight="false" outlineLevel="0" collapsed="false">
      <c r="A11640" s="1" t="s">
        <v>970</v>
      </c>
      <c r="B11640" s="0" t="s">
        <v>403</v>
      </c>
      <c r="C11640" s="15" t="n">
        <f aca="false">(Sens!C11634*tk_hold_h100+Sens!C11635*tk_hold_gb200+Sens!C11636*tk_hold_gb300+Sens!C11638*tk_hold_vr200+Sens!C11637*nv_out_mai*tk_hold_vr200)/Sens!C11626</f>
        <v>9.7235358126469</v>
      </c>
      <c r="D11640" s="15" t="n">
        <f aca="false">(Sens!D11634*tk_hold_h100+Sens!D11635*tk_hold_gb200+Sens!D11636*tk_hold_gb300+Sens!D11638*tk_hold_vr200+Sens!D11637*nv_out_mai*tk_hold_vr200)/Sens!D11626</f>
        <v>9.7235358126469</v>
      </c>
      <c r="E11640" s="15" t="n">
        <f aca="false">(Sens!E11634*tk_hold_h100+Sens!E11635*tk_hold_gb200+Sens!E11636*tk_hold_gb300+Sens!E11638*tk_hold_vr200+Sens!E11637*nv_out_mai*tk_hold_vr200)/Sens!E11626</f>
        <v>9.7235358126469</v>
      </c>
      <c r="F11640" s="15" t="n">
        <f aca="false">(Sens!F11634*tk_hold_h100+Sens!F11635*tk_hold_gb200+Sens!F11636*tk_hold_gb300+Sens!F11638*tk_hold_vr200+Sens!F11637*nv_out_mai*tk_hold_vr200)/Sens!F11626</f>
        <v>10.247422093969</v>
      </c>
      <c r="G11640" s="15" t="n">
        <f aca="false">(Sens!G11634*tk_hold_h100+Sens!G11635*tk_hold_gb200+Sens!G11636*tk_hold_gb300+Sens!G11638*tk_hold_vr200+Sens!G11637*nv_out_mai*tk_hold_vr200)/Sens!G11626</f>
        <v>10.6108602808053</v>
      </c>
      <c r="H11640" s="15" t="n">
        <f aca="false">(Sens!H11634*tk_hold_h100+Sens!H11635*tk_hold_gb200+Sens!H11636*tk_hold_gb300+Sens!H11638*tk_hold_vr200+Sens!H11637*nv_out_mai*tk_hold_vr200)/Sens!H11626</f>
        <v>10.8647885507393</v>
      </c>
      <c r="I11640" s="15" t="n">
        <f aca="false">(Sens!I11634*tk_hold_h100+Sens!I11635*tk_hold_gb200+Sens!I11636*tk_hold_gb300+Sens!I11638*tk_hold_vr200+Sens!I11637*nv_out_mai*tk_hold_vr200)/Sens!I11626</f>
        <v>11.0535625770025</v>
      </c>
      <c r="J11640" s="15" t="n">
        <f aca="false">(Sens!J11634*tk_hold_h100+Sens!J11635*tk_hold_gb200+Sens!J11636*tk_hold_gb300+Sens!J11638*tk_hold_vr200+Sens!J11637*nv_out_mai*tk_hold_vr200)/Sens!J11626</f>
        <v>11.2032127128058</v>
      </c>
      <c r="K11640" s="15" t="n">
        <f aca="false">(Sens!K11634*tk_hold_h100+Sens!K11635*tk_hold_gb200+Sens!K11636*tk_hold_gb300+Sens!K11638*tk_hold_vr200+Sens!K11637*nv_out_mai*tk_hold_vr200)/Sens!K11626</f>
        <v>11.4085735724225</v>
      </c>
      <c r="L11640" s="12" t="s">
        <v>971</v>
      </c>
    </row>
    <row r="11641" customFormat="false" ht="17.15" hidden="false" customHeight="false" outlineLevel="0" collapsed="false">
      <c r="A11641" s="0" t="s">
        <v>972</v>
      </c>
      <c r="B11641" s="0" t="s">
        <v>229</v>
      </c>
      <c r="C11641" s="15" t="n">
        <f aca="false">k_B</f>
        <v>1.17213932619116</v>
      </c>
      <c r="D11641" s="15" t="n">
        <f aca="false">k_B</f>
        <v>1.17213932619116</v>
      </c>
      <c r="E11641" s="15" t="n">
        <f aca="false">k_B</f>
        <v>1.17213932619116</v>
      </c>
      <c r="F11641" s="15" t="n">
        <f aca="false">(k_B+((ls_B*k_long+(1-ls_B)*k_spot)-k_B)*MIN(1,(Sens!F11624-base_fy)/k_ramp))</f>
        <v>1.17213932619116</v>
      </c>
      <c r="G11641" s="15" t="n">
        <f aca="false">(k_B+((ls_B*k_long+(1-ls_B)*k_spot)-k_B)*MIN(1,(Sens!G11624-base_fy)/k_ramp))</f>
        <v>1.17213932619116</v>
      </c>
      <c r="H11641" s="15" t="n">
        <f aca="false">(k_B+((ls_B*k_long+(1-ls_B)*k_spot)-k_B)*MIN(1,(Sens!H11624-base_fy)/k_ramp))</f>
        <v>1.17213932619116</v>
      </c>
      <c r="I11641" s="15" t="n">
        <f aca="false">(k_B+((ls_B*k_long+(1-ls_B)*k_spot)-k_B)*MIN(1,(Sens!I11624-base_fy)/k_ramp))</f>
        <v>1.17213932619116</v>
      </c>
      <c r="J11641" s="15" t="n">
        <f aca="false">(k_B+((ls_B*k_long+(1-ls_B)*k_spot)-k_B)*MIN(1,(Sens!J11624-base_fy)/k_ramp))</f>
        <v>1.17213932619116</v>
      </c>
      <c r="K11641" s="15" t="n">
        <f aca="false">(k_B+((ls_B*k_long+(1-ls_B)*k_spot)-k_B)*MIN(1,(Sens!K11624-base_fy)/k_ramp))</f>
        <v>1.17213932619116</v>
      </c>
      <c r="L11641" s="1" t="s">
        <v>973</v>
      </c>
    </row>
    <row r="11642" customFormat="false" ht="17.15" hidden="false" customHeight="false" outlineLevel="0" collapsed="false">
      <c r="A11642" s="1" t="s">
        <v>974</v>
      </c>
      <c r="B11642" s="0" t="s">
        <v>403</v>
      </c>
      <c r="C11642" s="15" t="n">
        <f aca="false">Sens!C11640*Sens!C11641*chip_f</f>
        <v>11.3973387156315</v>
      </c>
      <c r="D11642" s="15" t="n">
        <f aca="false">Sens!D11640*Sens!D11641*chip_f</f>
        <v>11.3973387156315</v>
      </c>
      <c r="E11642" s="15" t="n">
        <f aca="false">Sens!E11640*Sens!E11641*chip_f</f>
        <v>11.3973387156315</v>
      </c>
      <c r="F11642" s="15" t="n">
        <f aca="false">Sens!F11640*Sens!F11641*chip_f</f>
        <v>12.0114064284211</v>
      </c>
      <c r="G11642" s="15" t="n">
        <f aca="false">Sens!G11640*Sens!G11641*chip_f</f>
        <v>12.4374066198516</v>
      </c>
      <c r="H11642" s="15" t="n">
        <f aca="false">Sens!H11640*Sens!H11641*chip_f</f>
        <v>12.735045931073</v>
      </c>
      <c r="I11642" s="15" t="n">
        <f aca="false">Sens!I11640*Sens!I11641*chip_f</f>
        <v>12.9563153910195</v>
      </c>
      <c r="J11642" s="15" t="n">
        <f aca="false">Sens!J11640*Sens!J11641*chip_f</f>
        <v>13.1317262003643</v>
      </c>
      <c r="K11642" s="15" t="n">
        <f aca="false">Sens!K11640*Sens!K11641*chip_f</f>
        <v>13.3724377399815</v>
      </c>
      <c r="L11642" s="1" t="s">
        <v>975</v>
      </c>
    </row>
    <row r="11643" customFormat="false" ht="17.15" hidden="false" customHeight="false" outlineLevel="0" collapsed="false">
      <c r="A11643" s="0" t="s">
        <v>976</v>
      </c>
      <c r="B11643" s="0" t="s">
        <v>98</v>
      </c>
      <c r="D11643" s="6" t="n">
        <f aca="false">(Sens!C11626+Sens!D11626)/2*Sens!D11642/1000</f>
        <v>12.9359794422418</v>
      </c>
      <c r="E11643" s="6" t="n">
        <f aca="false">(Sens!D11626+Sens!E11626)/2*Sens!E11642/1000</f>
        <v>27.8095064661409</v>
      </c>
      <c r="F11643" s="6" t="n">
        <f aca="false">(Sens!E11626+Sens!F11626)/2*Sens!F11642/1000</f>
        <v>55.4118315060966</v>
      </c>
      <c r="G11643" s="6" t="n">
        <f aca="false">(Sens!F11626+Sens!G11626)/2*Sens!G11642/1000</f>
        <v>91.2881100675143</v>
      </c>
      <c r="H11643" s="6" t="n">
        <f aca="false">(Sens!G11626+Sens!H11626)/2*Sens!H11642/1000</f>
        <v>128.195273603944</v>
      </c>
      <c r="I11643" s="6" t="n">
        <f aca="false">(Sens!H11626+Sens!I11626)/2*Sens!I11642/1000</f>
        <v>160.601281810405</v>
      </c>
      <c r="J11643" s="6" t="n">
        <f aca="false">(Sens!I11626+Sens!J11626)/2*Sens!J11642/1000</f>
        <v>183.182719793589</v>
      </c>
      <c r="K11643" s="6" t="n">
        <f aca="false">(Sens!J11626+Sens!K11626)/2*Sens!K11642/1000</f>
        <v>197.320124937098</v>
      </c>
      <c r="L11643" s="12" t="s">
        <v>977</v>
      </c>
    </row>
    <row r="11644" customFormat="false" ht="17.15" hidden="false" customHeight="false" outlineLevel="0" collapsed="false">
      <c r="A11644" s="1" t="s">
        <v>978</v>
      </c>
      <c r="B11644" s="0" t="s">
        <v>403</v>
      </c>
      <c r="C11644" s="15" t="n">
        <f aca="false">(Sens!C11634*tk_opex_h100+Sens!C11635*tk_opex_gb200+Sens!C11636*tk_opex_gb300+(Sens!C11638+Sens!C11637)*tk_opex_vr200)/Sens!C11626</f>
        <v>1.88636041306092</v>
      </c>
      <c r="D11644" s="15" t="n">
        <f aca="false">(Sens!D11634*tk_opex_h100+Sens!D11635*tk_opex_gb200+Sens!D11636*tk_opex_gb300+(Sens!D11638+Sens!D11637)*tk_opex_vr200)/Sens!D11626</f>
        <v>1.88636041306092</v>
      </c>
      <c r="E11644" s="15" t="n">
        <f aca="false">(Sens!E11634*tk_opex_h100+Sens!E11635*tk_opex_gb200+Sens!E11636*tk_opex_gb300+(Sens!E11638+Sens!E11637)*tk_opex_vr200)/Sens!E11626</f>
        <v>1.88636041306092</v>
      </c>
      <c r="F11644" s="15" t="n">
        <f aca="false">(Sens!F11634*tk_opex_h100+Sens!F11635*tk_opex_gb200+Sens!F11636*tk_opex_gb300+(Sens!F11638+Sens!F11637)*tk_opex_vr200)/Sens!F11626</f>
        <v>1.95051159746876</v>
      </c>
      <c r="G11644" s="15" t="n">
        <f aca="false">(Sens!G11634*tk_opex_h100+Sens!G11635*tk_opex_gb200+Sens!G11636*tk_opex_gb300+(Sens!G11638+Sens!G11637)*tk_opex_vr200)/Sens!G11626</f>
        <v>1.98836003669956</v>
      </c>
      <c r="H11644" s="15" t="n">
        <f aca="false">(Sens!H11634*tk_opex_h100+Sens!H11635*tk_opex_gb200+Sens!H11636*tk_opex_gb300+(Sens!H11638+Sens!H11637)*tk_opex_vr200)/Sens!H11626</f>
        <v>2.01344013834343</v>
      </c>
      <c r="I11644" s="15" t="n">
        <f aca="false">(Sens!I11634*tk_opex_h100+Sens!I11635*tk_opex_gb200+Sens!I11636*tk_opex_gb300+(Sens!I11638+Sens!I11637)*tk_opex_vr200)/Sens!I11626</f>
        <v>2.03261166882178</v>
      </c>
      <c r="J11644" s="15" t="n">
        <f aca="false">(Sens!J11634*tk_opex_h100+Sens!J11635*tk_opex_gb200+Sens!J11636*tk_opex_gb300+(Sens!J11638+Sens!J11637)*tk_opex_vr200)/Sens!J11626</f>
        <v>2.04808073288745</v>
      </c>
      <c r="K11644" s="15" t="n">
        <f aca="false">(Sens!K11634*tk_opex_h100+Sens!K11635*tk_opex_gb200+Sens!K11636*tk_opex_gb300+(Sens!K11638+Sens!K11637)*tk_opex_vr200)/Sens!K11626</f>
        <v>2.06973825807449</v>
      </c>
      <c r="L11644" s="12" t="s">
        <v>979</v>
      </c>
    </row>
    <row r="11645" customFormat="false" ht="17.15" hidden="false" customHeight="false" outlineLevel="0" collapsed="false">
      <c r="A11645" s="0" t="s">
        <v>980</v>
      </c>
      <c r="B11645" s="0" t="s">
        <v>98</v>
      </c>
      <c r="D11645" s="6" t="n">
        <f aca="false">(Sens!C11629+Sens!D11629)/2*Sens!D11644/1000</f>
        <v>2.70378325872065</v>
      </c>
      <c r="E11645" s="6" t="n">
        <f aca="false">(Sens!D11629+Sens!E11629)/2*Sens!E11644/1000</f>
        <v>6.17783035277451</v>
      </c>
      <c r="F11645" s="6" t="n">
        <f aca="false">(Sens!E11629+Sens!F11629)/2*Sens!F11644/1000</f>
        <v>12.8742463089237</v>
      </c>
      <c r="G11645" s="6" t="n">
        <f aca="false">(Sens!F11629+Sens!G11629)/2*Sens!G11644/1000</f>
        <v>21.8182834646277</v>
      </c>
      <c r="H11645" s="6" t="n">
        <f aca="false">(Sens!G11629+Sens!H11629)/2*Sens!H11644/1000</f>
        <v>31.2430128789734</v>
      </c>
      <c r="I11645" s="6" t="n">
        <f aca="false">(Sens!H11629+Sens!I11629)/2*Sens!I11644/1000</f>
        <v>39.4313057443268</v>
      </c>
      <c r="J11645" s="6" t="n">
        <f aca="false">(Sens!I11629+Sens!J11629)/2*Sens!J11644/1000</f>
        <v>45.0360318228653</v>
      </c>
      <c r="K11645" s="6" t="n">
        <f aca="false">(Sens!J11629+Sens!K11629)/2*Sens!K11644/1000</f>
        <v>48.2929727091156</v>
      </c>
    </row>
    <row r="11646" customFormat="false" ht="17.15" hidden="false" customHeight="false" outlineLevel="0" collapsed="false">
      <c r="A11646" s="0" t="s">
        <v>981</v>
      </c>
      <c r="B11646" s="0" t="s">
        <v>98</v>
      </c>
      <c r="D11646" s="6" t="n">
        <f aca="false">(Sens!C11627+Sens!D11627)/2*rent_mw/1000</f>
        <v>2.44475</v>
      </c>
      <c r="E11646" s="6" t="n">
        <f aca="false">(Sens!D11627+Sens!E11627)/2*rent_mw/1000</f>
        <v>4.22275</v>
      </c>
      <c r="F11646" s="6" t="n">
        <f aca="false">(Sens!E11627+Sens!F11627)/2*rent_mw/1000</f>
        <v>5.80517</v>
      </c>
      <c r="G11646" s="6" t="n">
        <f aca="false">(Sens!F11627+Sens!G11627)/2*rent_mw/1000</f>
        <v>6.72084</v>
      </c>
      <c r="H11646" s="6" t="n">
        <f aca="false">(Sens!G11627+Sens!H11627)/2*rent_mw/1000</f>
        <v>6.72084</v>
      </c>
      <c r="I11646" s="6" t="n">
        <f aca="false">(Sens!H11627+Sens!I11627)/2*rent_mw/1000</f>
        <v>6.72084</v>
      </c>
      <c r="J11646" s="6" t="n">
        <f aca="false">(Sens!I11627+Sens!J11627)/2*rent_mw/1000</f>
        <v>6.72084</v>
      </c>
      <c r="K11646" s="6" t="n">
        <f aca="false">(Sens!J11627+Sens!K11627)/2*rent_mw/1000</f>
        <v>6.72084</v>
      </c>
    </row>
    <row r="11647" customFormat="false" ht="17.15" hidden="false" customHeight="false" outlineLevel="0" collapsed="false">
      <c r="A11647" s="0" t="s">
        <v>982</v>
      </c>
      <c r="B11647" s="0" t="s">
        <v>98</v>
      </c>
      <c r="D11647" s="6" t="n">
        <f aca="false">(Sens!C11629+Sens!D11629)/2*(1-self_build)*fac_rent/1000</f>
        <v>0.853242375631075</v>
      </c>
      <c r="E11647" s="6" t="n">
        <f aca="false">(Sens!D11629+Sens!E11629)/2*(1-self_build)*fac_rent/1000</f>
        <v>1.94955961408728</v>
      </c>
      <c r="F11647" s="6" t="n">
        <f aca="false">(Sens!E11629+Sens!F11629)/2*(1-self_build)*fac_rent/1000</f>
        <v>3.92914894476356</v>
      </c>
      <c r="G11647" s="6" t="n">
        <f aca="false">(Sens!F11629+Sens!G11629)/2*(1-self_build)*fac_rent/1000</f>
        <v>6.53206908578159</v>
      </c>
      <c r="H11647" s="6" t="n">
        <f aca="false">(Sens!G11629+Sens!H11629)/2*(1-self_build)*fac_rent/1000</f>
        <v>9.23717988341591</v>
      </c>
      <c r="I11647" s="6" t="n">
        <f aca="false">(Sens!H11629+Sens!I11629)/2*(1-self_build)*fac_rent/1000</f>
        <v>11.5481378557393</v>
      </c>
      <c r="J11647" s="6" t="n">
        <f aca="false">(Sens!I11629+Sens!J11629)/2*(1-self_build)*fac_rent/1000</f>
        <v>13.0899582289108</v>
      </c>
      <c r="K11647" s="6" t="n">
        <f aca="false">(Sens!J11629+Sens!K11629)/2*(1-self_build)*fac_rent/1000</f>
        <v>13.8897275626556</v>
      </c>
      <c r="L11647" s="12" t="s">
        <v>983</v>
      </c>
    </row>
    <row r="11648" customFormat="false" ht="17.15" hidden="false" customHeight="false" outlineLevel="0" collapsed="false">
      <c r="A11648" s="1" t="s">
        <v>984</v>
      </c>
      <c r="B11648" s="0" t="s">
        <v>168</v>
      </c>
      <c r="D11648" s="7" t="n">
        <f aca="false">(Sens!C11628+Sens!D11628)/(Sens!C11629+Sens!D11629)</f>
        <v>0.6</v>
      </c>
      <c r="E11648" s="7" t="n">
        <f aca="false">(Sens!D11628+Sens!E11628)/(Sens!D11629+Sens!E11629)</f>
        <v>0.6</v>
      </c>
      <c r="F11648" s="7" t="n">
        <f aca="false">(Sens!E11628+Sens!F11628)/(Sens!E11629+Sens!F11629)</f>
        <v>0.6</v>
      </c>
      <c r="G11648" s="7" t="n">
        <f aca="false">(Sens!F11628+Sens!G11628)/(Sens!F11629+Sens!G11629)</f>
        <v>0.6</v>
      </c>
      <c r="H11648" s="7" t="n">
        <f aca="false">(Sens!G11628+Sens!H11628)/(Sens!G11629+Sens!H11629)</f>
        <v>0.6</v>
      </c>
      <c r="I11648" s="7" t="n">
        <f aca="false">(Sens!H11628+Sens!I11628)/(Sens!H11629+Sens!I11629)</f>
        <v>0.6</v>
      </c>
      <c r="J11648" s="7" t="n">
        <f aca="false">(Sens!I11628+Sens!J11628)/(Sens!I11629+Sens!J11629)</f>
        <v>0.6</v>
      </c>
      <c r="K11648" s="7" t="n">
        <f aca="false">(Sens!J11628+Sens!K11628)/(Sens!J11629+Sens!K11629)</f>
        <v>0.6</v>
      </c>
    </row>
    <row r="11649" customFormat="false" ht="17.15" hidden="false" customHeight="false" outlineLevel="0" collapsed="false">
      <c r="A11649" s="0" t="s">
        <v>985</v>
      </c>
      <c r="B11649" s="0" t="s">
        <v>98</v>
      </c>
      <c r="D11649" s="6" t="n">
        <f aca="false">Sens!D11643-Sens!D11648*(Sens!D11645+Sens!D11647)-Sens!D11646</f>
        <v>8.35701406163072</v>
      </c>
      <c r="E11649" s="6" t="n">
        <f aca="false">Sens!E11643-Sens!E11648*(Sens!E11645+Sens!E11647)-Sens!E11646</f>
        <v>18.7103224860238</v>
      </c>
      <c r="F11649" s="6" t="n">
        <f aca="false">Sens!F11643-Sens!F11648*(Sens!F11645+Sens!F11647)-Sens!F11646</f>
        <v>39.5246243538843</v>
      </c>
      <c r="G11649" s="6" t="n">
        <f aca="false">Sens!G11643-Sens!G11648*(Sens!G11645+Sens!G11647)-Sens!G11646</f>
        <v>67.5570585372687</v>
      </c>
      <c r="H11649" s="6" t="n">
        <f aca="false">Sens!H11643-Sens!H11648*(Sens!H11645+Sens!H11647)-Sens!H11646</f>
        <v>97.1863179465102</v>
      </c>
      <c r="I11649" s="6" t="n">
        <f aca="false">Sens!I11643-Sens!I11648*(Sens!I11645+Sens!I11647)-Sens!I11646</f>
        <v>123.292775650365</v>
      </c>
      <c r="J11649" s="6" t="n">
        <f aca="false">Sens!J11643-Sens!J11648*(Sens!J11645+Sens!J11647)-Sens!J11646</f>
        <v>141.586285762524</v>
      </c>
      <c r="K11649" s="6" t="n">
        <f aca="false">Sens!K11643-Sens!K11648*(Sens!K11645+Sens!K11647)-Sens!K11646</f>
        <v>153.289664774035</v>
      </c>
    </row>
    <row r="11650" customFormat="false" ht="17.15" hidden="false" customHeight="false" outlineLevel="0" collapsed="false">
      <c r="A11650" s="1" t="s">
        <v>986</v>
      </c>
      <c r="B11650" s="0" t="s">
        <v>98</v>
      </c>
      <c r="D11650" s="6" t="n">
        <f aca="false">(1-Sens!D11648)*(Sens!D11645+Sens!D11647)</f>
        <v>1.42281025374069</v>
      </c>
      <c r="E11650" s="6" t="n">
        <f aca="false">(1-Sens!E11648)*(Sens!E11645+Sens!E11647)</f>
        <v>3.25095598674472</v>
      </c>
      <c r="F11650" s="6" t="n">
        <f aca="false">(1-Sens!F11648)*(Sens!F11645+Sens!F11647)</f>
        <v>6.72135810147489</v>
      </c>
      <c r="G11650" s="6" t="n">
        <f aca="false">(1-Sens!G11648)*(Sens!G11645+Sens!G11647)</f>
        <v>11.3401410201637</v>
      </c>
      <c r="H11650" s="6" t="n">
        <f aca="false">(1-Sens!H11648)*(Sens!H11645+Sens!H11647)</f>
        <v>16.1920771049557</v>
      </c>
      <c r="I11650" s="6" t="n">
        <f aca="false">(1-Sens!I11648)*(Sens!I11645+Sens!I11647)</f>
        <v>20.3917774400264</v>
      </c>
      <c r="J11650" s="6" t="n">
        <f aca="false">(1-Sens!J11648)*(Sens!J11645+Sens!J11647)</f>
        <v>23.2503960207104</v>
      </c>
      <c r="K11650" s="6" t="n">
        <f aca="false">(1-Sens!K11648)*(Sens!K11645+Sens!K11647)</f>
        <v>24.8730801087085</v>
      </c>
    </row>
    <row r="11651" customFormat="false" ht="17.15" hidden="false" customHeight="false" outlineLevel="0" collapsed="false">
      <c r="A11651" s="1" t="s">
        <v>987</v>
      </c>
      <c r="B11651" s="0" t="s">
        <v>414</v>
      </c>
      <c r="C11651" s="8" t="n">
        <f aca="false">cxit_open</f>
        <v>27.5918995</v>
      </c>
      <c r="D11651" s="8" t="n">
        <f aca="false">cxit_open</f>
        <v>27.5918995</v>
      </c>
      <c r="E11651" s="8" t="n">
        <f aca="false">cxit_open</f>
        <v>27.5918995</v>
      </c>
      <c r="F11651" s="8" t="n">
        <f aca="false">((a_g3_27-nonnv*a_mai)*tk_cxit_gb300+nonnv*a_mai*nv_hold_mai*tk_cxit_vr200+(1-a_g3_27)*tk_cxit_vr200)</f>
        <v>32.4975576</v>
      </c>
      <c r="G11651" s="8" t="n">
        <f aca="false">((a_g3_28-nonnv*a_mai)*tk_cxit_gb300+nonnv*a_mai*nv_hold_mai*tk_cxit_vr200+(1-a_g3_28)*tk_cxit_vr200)</f>
        <v>34.6372088</v>
      </c>
      <c r="H11651" s="8" t="n">
        <f aca="false">((a_g3_29-nonnv*a_mai)*tk_cxit_gb300+nonnv*a_mai*nv_hold_mai*tk_cxit_vr200+(1-a_g3_29)*tk_cxit_vr200)</f>
        <v>35.7070344</v>
      </c>
      <c r="I11651" s="8" t="n">
        <f aca="false">((a_g3_29-nonnv*a_mai)*tk_cxit_gb300+nonnv*a_mai*nv_hold_mai*tk_cxit_vr200+(1-a_g3_29)*tk_cxit_vr200)</f>
        <v>35.7070344</v>
      </c>
      <c r="J11651" s="8" t="n">
        <f aca="false">((a_g3_29-nonnv*a_mai)*tk_cxit_gb300+nonnv*a_mai*nv_hold_mai*tk_cxit_vr200+(1-a_g3_29)*tk_cxit_vr200)</f>
        <v>35.7070344</v>
      </c>
      <c r="K11651" s="8" t="n">
        <f aca="false">((a_g3_29-nonnv*a_mai)*tk_cxit_gb300+nonnv*a_mai*nv_hold_mai*tk_cxit_vr200+(1-a_g3_29)*tk_cxit_vr200)</f>
        <v>35.7070344</v>
      </c>
      <c r="L11651" s="12" t="s">
        <v>988</v>
      </c>
    </row>
    <row r="11652" customFormat="false" ht="17.15" hidden="false" customHeight="false" outlineLevel="0" collapsed="false">
      <c r="A11652" s="0" t="s">
        <v>989</v>
      </c>
      <c r="B11652" s="0" t="s">
        <v>456</v>
      </c>
      <c r="F11652" s="30" t="n">
        <f aca="false">Sens!C11631*IF(Sens!F11624-Sens!C11624=life_it,1,0)+Sens!D11631*IF(Sens!F11624-Sens!D11624=life_it,1,0)+Sens!E11631*IF(Sens!F11624-Sens!E11624=life_it,1,0)</f>
        <v>0</v>
      </c>
      <c r="G11652" s="30" t="n">
        <f aca="false">Sens!C11631*IF(Sens!G11624-Sens!C11624=life_it,1,0)+Sens!D11631*IF(Sens!G11624-Sens!D11624=life_it,1,0)+Sens!E11631*IF(Sens!G11624-Sens!E11624=life_it,1,0)+Sens!F11631*IF(Sens!G11624-Sens!F11624=life_it,1,0)</f>
        <v>0</v>
      </c>
      <c r="H11652" s="30" t="n">
        <f aca="false">Sens!C11631*IF(Sens!H11624-Sens!C11624=life_it,1,0)+Sens!D11631*IF(Sens!H11624-Sens!D11624=life_it,1,0)+Sens!E11631*IF(Sens!H11624-Sens!E11624=life_it,1,0)+Sens!F11631*IF(Sens!H11624-Sens!F11624=life_it,1,0)+Sens!G11631*IF(Sens!H11624-Sens!G11624=life_it,1,0)</f>
        <v>0</v>
      </c>
      <c r="I11652" s="30" t="n">
        <f aca="false">Sens!C11631*IF(Sens!I11624-Sens!C11624=life_it,1,0)+Sens!D11631*IF(Sens!I11624-Sens!D11624=life_it,1,0)+Sens!E11631*IF(Sens!I11624-Sens!E11624=life_it,1,0)+Sens!F11631*IF(Sens!I11624-Sens!F11624=life_it,1,0)+Sens!G11631*IF(Sens!I11624-Sens!G11624=life_it,1,0)+Sens!H11631*IF(Sens!I11624-Sens!H11624=life_it,1,0)</f>
        <v>816.666666666667</v>
      </c>
      <c r="J11652" s="30" t="n">
        <f aca="false">Sens!C11631*IF(Sens!J11624-Sens!C11624=life_it,1,0)+Sens!D11631*IF(Sens!J11624-Sens!D11624=life_it,1,0)+Sens!E11631*IF(Sens!J11624-Sens!E11624=life_it,1,0)+Sens!F11631*IF(Sens!J11624-Sens!F11624=life_it,1,0)+Sens!G11631*IF(Sens!J11624-Sens!G11624=life_it,1,0)+Sens!H11631*IF(Sens!J11624-Sens!H11624=life_it,1,0)+Sens!I11631*IF(Sens!J11624-Sens!I11624=life_it,1,0)</f>
        <v>1233.33333333333</v>
      </c>
      <c r="K11652" s="30" t="n">
        <f aca="false">Sens!C11631*IF(Sens!K11624-Sens!C11624=life_it,1,0)+Sens!D11631*IF(Sens!K11624-Sens!D11624=life_it,1,0)+Sens!E11631*IF(Sens!K11624-Sens!E11624=life_it,1,0)+Sens!F11631*IF(Sens!K11624-Sens!F11624=life_it,1,0)+Sens!G11631*IF(Sens!K11624-Sens!G11624=life_it,1,0)+Sens!H11631*IF(Sens!K11624-Sens!H11624=life_it,1,0)+Sens!I11631*IF(Sens!K11624-Sens!I11624=life_it,1,0)+Sens!J11631*IF(Sens!K11624-Sens!J11624=life_it,1,0)</f>
        <v>2450</v>
      </c>
      <c r="L11652" s="1" t="s">
        <v>990</v>
      </c>
    </row>
    <row r="11653" customFormat="false" ht="17.15" hidden="false" customHeight="false" outlineLevel="0" collapsed="false">
      <c r="A11653" s="0" t="s">
        <v>991</v>
      </c>
      <c r="B11653" s="0" t="s">
        <v>98</v>
      </c>
      <c r="C11653" s="6" t="n">
        <f aca="false">Sens!C11631*Sens!C11651/1000</f>
        <v>22.5333845916667</v>
      </c>
      <c r="D11653" s="6" t="n">
        <f aca="false">Sens!D11631*Sens!D11651/1000</f>
        <v>34.0300093833333</v>
      </c>
      <c r="E11653" s="6" t="n">
        <f aca="false">Sens!E11631*Sens!E11651/1000</f>
        <v>67.600153775</v>
      </c>
      <c r="F11653" s="6" t="n">
        <f aca="false">(Sens!F11631+Sens!F11652)*Sens!F11651/1000</f>
        <v>136.51872432512</v>
      </c>
      <c r="G11653" s="6" t="n">
        <f aca="false">(Sens!G11631+Sens!G11652)*Sens!G11651/1000</f>
        <v>157.399275932048</v>
      </c>
      <c r="H11653" s="6" t="n">
        <f aca="false">(Sens!H11631+Sens!H11652)*Sens!H11651/1000</f>
        <v>162.260804347512</v>
      </c>
      <c r="I11653" s="6" t="n">
        <f aca="false">(Sens!I11631+Sens!I11652)*Sens!I11651/1000</f>
        <v>144.136569485434</v>
      </c>
      <c r="J11653" s="6" t="n">
        <f aca="false">(Sens!J11631+Sens!J11652)*Sens!J11651/1000</f>
        <v>114.029037357864</v>
      </c>
      <c r="K11653" s="6" t="n">
        <f aca="false">(Sens!K11631+Sens!K11652)*Sens!K11651/1000</f>
        <v>113.437085350975</v>
      </c>
    </row>
    <row r="11654" customFormat="false" ht="17.15" hidden="false" customHeight="false" outlineLevel="0" collapsed="false">
      <c r="A11654" s="0" t="s">
        <v>992</v>
      </c>
      <c r="B11654" s="0" t="s">
        <v>98</v>
      </c>
      <c r="C11654" s="6" t="n">
        <f aca="false">Sens!C11631*self_build*tk_cxfac/1000</f>
        <v>6.2083</v>
      </c>
      <c r="D11654" s="6" t="n">
        <f aca="false">Sens!D11631*self_build*tk_cxfac/1000</f>
        <v>9.3758</v>
      </c>
      <c r="E11654" s="6" t="n">
        <f aca="false">Sens!E11631*self_build*tk_cxfac/1000</f>
        <v>18.6249</v>
      </c>
      <c r="F11654" s="6" t="n">
        <f aca="false">Sens!F11631*self_build*tk_cxfac/1000</f>
        <v>31.935179717</v>
      </c>
      <c r="G11654" s="6" t="n">
        <f aca="false">Sens!G11631*self_build*tk_cxfac/1000</f>
        <v>34.545199717</v>
      </c>
      <c r="H11654" s="6" t="n">
        <f aca="false">Sens!H11631*self_build*tk_cxfac/1000</f>
        <v>34.545199717</v>
      </c>
      <c r="I11654" s="6" t="n">
        <f aca="false">Sens!I11631*self_build*tk_cxfac/1000</f>
        <v>24.4782641361767</v>
      </c>
      <c r="J11654" s="6" t="n">
        <f aca="false">Sens!J11631*self_build*tk_cxfac/1000</f>
        <v>14.9008938380769</v>
      </c>
      <c r="K11654" s="6" t="n">
        <f aca="false">Sens!K11631*self_build*tk_cxfac/1000</f>
        <v>5.52576771375761</v>
      </c>
    </row>
    <row r="11655" customFormat="false" ht="17.15" hidden="false" customHeight="false" outlineLevel="0" collapsed="false">
      <c r="A11655" s="0" t="s">
        <v>993</v>
      </c>
      <c r="B11655" s="0" t="s">
        <v>98</v>
      </c>
      <c r="F11655" s="15" t="n">
        <f aca="false">capex_floor27-Sens!F11653-Sens!F11654-Sens!F11751</f>
        <v>0.00327585865768043</v>
      </c>
      <c r="L11655" s="12" t="s">
        <v>994</v>
      </c>
    </row>
    <row r="11656" customFormat="false" ht="17.15" hidden="false" customHeight="false" outlineLevel="0" collapsed="false">
      <c r="A11656" s="0" t="s">
        <v>995</v>
      </c>
      <c r="B11656" s="0" t="s">
        <v>98</v>
      </c>
      <c r="F11656" s="6" t="n">
        <f aca="false">MAX(0,Sens!F11655)</f>
        <v>0.00327585865768043</v>
      </c>
    </row>
    <row r="11657" customFormat="false" ht="17.15" hidden="false" customHeight="false" outlineLevel="0" collapsed="false">
      <c r="A11657" s="0" t="s">
        <v>996</v>
      </c>
      <c r="B11657" s="0" t="s">
        <v>98</v>
      </c>
      <c r="C11657" s="6" t="n">
        <f aca="false">Sens!C11653</f>
        <v>22.5333845916667</v>
      </c>
      <c r="D11657" s="6" t="n">
        <f aca="false">Sens!D11653</f>
        <v>34.0300093833333</v>
      </c>
      <c r="E11657" s="6" t="n">
        <f aca="false">Sens!E11653</f>
        <v>67.600153775</v>
      </c>
      <c r="F11657" s="6" t="n">
        <f aca="false">Sens!F11653</f>
        <v>136.51872432512</v>
      </c>
      <c r="G11657" s="6" t="n">
        <f aca="false">Sens!G11653</f>
        <v>157.399275932048</v>
      </c>
      <c r="H11657" s="6" t="n">
        <f aca="false">Sens!H11653</f>
        <v>162.260804347512</v>
      </c>
      <c r="I11657" s="6" t="n">
        <f aca="false">Sens!I11653</f>
        <v>144.136569485434</v>
      </c>
      <c r="J11657" s="6" t="n">
        <f aca="false">Sens!J11653</f>
        <v>114.029037357864</v>
      </c>
      <c r="K11657" s="6" t="n">
        <f aca="false">Sens!K11653</f>
        <v>113.437085350975</v>
      </c>
    </row>
    <row r="11658" customFormat="false" ht="17.15" hidden="false" customHeight="false" outlineLevel="0" collapsed="false">
      <c r="A11658" s="0" t="s">
        <v>997</v>
      </c>
      <c r="B11658" s="0" t="s">
        <v>98</v>
      </c>
      <c r="C11658" s="6" t="n">
        <f aca="false">Sens!C11657+Sens!C11654</f>
        <v>28.7416845916667</v>
      </c>
      <c r="D11658" s="6" t="n">
        <f aca="false">Sens!D11657+Sens!D11654</f>
        <v>43.4058093833333</v>
      </c>
      <c r="E11658" s="6" t="n">
        <f aca="false">Sens!E11657+Sens!E11654</f>
        <v>86.225053775</v>
      </c>
      <c r="F11658" s="6" t="n">
        <f aca="false">Sens!F11657+Sens!F11654</f>
        <v>168.45390404212</v>
      </c>
      <c r="G11658" s="6" t="n">
        <f aca="false">Sens!G11657+Sens!G11654</f>
        <v>191.944475649048</v>
      </c>
      <c r="H11658" s="6" t="n">
        <f aca="false">Sens!H11657+Sens!H11654</f>
        <v>196.806004064512</v>
      </c>
      <c r="I11658" s="6" t="n">
        <f aca="false">Sens!I11657+Sens!I11654</f>
        <v>168.61483362161</v>
      </c>
      <c r="J11658" s="6" t="n">
        <f aca="false">Sens!J11657+Sens!J11654</f>
        <v>128.92993119594</v>
      </c>
      <c r="K11658" s="6" t="n">
        <f aca="false">Sens!K11657+Sens!K11654</f>
        <v>118.962853064733</v>
      </c>
      <c r="L11658" s="12" t="s">
        <v>998</v>
      </c>
    </row>
    <row r="11659" customFormat="false" ht="17.15" hidden="false" customHeight="false" outlineLevel="0" collapsed="false">
      <c r="A11659" s="0" t="s">
        <v>999</v>
      </c>
      <c r="B11659" s="0" t="s">
        <v>98</v>
      </c>
      <c r="E11659" s="6" t="n">
        <f aca="false">(Sens!C11657*IF(2&lt;life_it,1,IF(2=life_it,0.5,0))+Sens!D11657*IF(1&lt;life_it,1,IF(1=life_it,0.5,0))+Sens!E11657*0.5)/life_it</f>
        <v>15.0605784770833</v>
      </c>
      <c r="F11659" s="6" t="n">
        <f aca="false">(Sens!C11657*IF(3&lt;life_it,1,IF(3=life_it,0.5,0))+Sens!D11657*IF(2&lt;life_it,1,IF(2=life_it,0.5,0))+Sens!E11657*IF(1&lt;life_it,1,IF(1=life_it,0.5,0))+Sens!F11657*0.5)/life_it</f>
        <v>32.0704849854266</v>
      </c>
      <c r="G11659" s="6" t="n">
        <f aca="false">(Sens!C11657*IF(4&lt;life_it,1,IF(4=life_it,0.5,0))+Sens!D11657*IF(3&lt;life_it,1,IF(3=life_it,0.5,0))+Sens!E11657*IF(2&lt;life_it,1,IF(2=life_it,0.5,0))+Sens!F11657*IF(1&lt;life_it,1,IF(1=life_it,0.5,0))+Sens!G11657*0.5)/life_it</f>
        <v>56.5636516735239</v>
      </c>
      <c r="H11659" s="6" t="n">
        <f aca="false">(Sens!C11657*IF(5&lt;life_it,1,IF(5=life_it,0.5,0))+Sens!D11657*IF(4&lt;life_it,1,IF(4=life_it,0.5,0))+Sens!E11657*IF(3&lt;life_it,1,IF(3=life_it,0.5,0))+Sens!F11657*IF(2&lt;life_it,1,IF(2=life_it,0.5,0))+Sens!G11657*IF(1&lt;life_it,1,IF(1=life_it,0.5,0))+Sens!H11657*0.5)/life_it</f>
        <v>83.2019916968207</v>
      </c>
      <c r="I11659" s="6" t="n">
        <f aca="false">(Sens!C11657*IF(6&lt;life_it,1,IF(6=life_it,0.5,0))+Sens!D11657*IF(5&lt;life_it,1,IF(5=life_it,0.5,0))+Sens!E11657*IF(4&lt;life_it,1,IF(4=life_it,0.5,0))+Sens!F11657*IF(3&lt;life_it,1,IF(3=life_it,0.5,0))+Sens!G11657*IF(2&lt;life_it,1,IF(2=life_it,0.5,0))+Sens!H11657*IF(1&lt;life_it,1,IF(1=life_it,0.5,0))+Sens!I11657*0.5)/life_it</f>
        <v>106.857324133594</v>
      </c>
      <c r="J11659" s="6" t="n">
        <f aca="false">(Sens!C11657*IF(7&lt;life_it,1,IF(7=life_it,0.5,0))+Sens!D11657*IF(6&lt;life_it,1,IF(6=life_it,0.5,0))+Sens!E11657*IF(5&lt;life_it,1,IF(5=life_it,0.5,0))+Sens!F11657*IF(4&lt;life_it,1,IF(4=life_it,0.5,0))+Sens!G11657*IF(3&lt;life_it,1,IF(3=life_it,0.5,0))+Sens!H11657*IF(2&lt;life_it,1,IF(2=life_it,0.5,0))+Sens!I11657*IF(1&lt;life_it,1,IF(1=life_it,0.5,0))+Sens!J11657*0.5)/life_it</f>
        <v>123.657508539285</v>
      </c>
      <c r="K11659" s="6" t="n">
        <f aca="false">(Sens!C11657*IF(8&lt;life_it,1,IF(8=life_it,0.5,0))+Sens!D11657*IF(7&lt;life_it,1,IF(7=life_it,0.5,0))+Sens!E11657*IF(6&lt;life_it,1,IF(6=life_it,0.5,0))+Sens!F11657*IF(5&lt;life_it,1,IF(5=life_it,0.5,0))+Sens!G11657*IF(4&lt;life_it,1,IF(4=life_it,0.5,0))+Sens!H11657*IF(3&lt;life_it,1,IF(3=life_it,0.5,0))+Sens!I11657*IF(2&lt;life_it,1,IF(2=life_it,0.5,0))+Sens!J11657*IF(1&lt;life_it,1,IF(1=life_it,0.5,0))+Sens!K11657*0.5)/life_it</f>
        <v>134.143838501827</v>
      </c>
    </row>
    <row r="11660" customFormat="false" ht="17.15" hidden="false" customHeight="false" outlineLevel="0" collapsed="false">
      <c r="A11660" s="0" t="s">
        <v>1000</v>
      </c>
      <c r="B11660" s="0" t="s">
        <v>98</v>
      </c>
      <c r="E11660" s="6" t="n">
        <f aca="false">(Sens!C11654*IF(2&lt;life_fac,1,IF(2=life_fac,0.5,0))+Sens!D11654*IF(1&lt;life_fac,1,IF(1=life_fac,0.5,0))+Sens!E11654*0.5)/life_fac</f>
        <v>1.2448275</v>
      </c>
      <c r="F11660" s="6" t="n">
        <f aca="false">(Sens!C11654*IF(3&lt;life_fac,1,IF(3=life_fac,0.5,0))+Sens!D11654*IF(2&lt;life_fac,1,IF(2=life_fac,0.5,0))+Sens!E11654*IF(1&lt;life_fac,1,IF(1=life_fac,0.5,0))+Sens!F11654*0.5)/life_fac</f>
        <v>2.508829492925</v>
      </c>
      <c r="G11660" s="6" t="n">
        <f aca="false">(Sens!C11654*IF(4&lt;life_fac,1,IF(4=life_fac,0.5,0))+Sens!D11654*IF(3&lt;life_fac,1,IF(3=life_fac,0.5,0))+Sens!E11654*IF(2&lt;life_fac,1,IF(2=life_fac,0.5,0))+Sens!F11654*IF(1&lt;life_fac,1,IF(1=life_fac,0.5,0))+Sens!G11654*0.5)/life_fac</f>
        <v>4.170838978775</v>
      </c>
      <c r="H11660" s="6" t="n">
        <f aca="false">(Sens!C11654*IF(5&lt;life_fac,1,IF(5=life_fac,0.5,0))+Sens!D11654*IF(4&lt;life_fac,1,IF(4=life_fac,0.5,0))+Sens!E11654*IF(3&lt;life_fac,1,IF(3=life_fac,0.5,0))+Sens!F11654*IF(2&lt;life_fac,1,IF(2=life_fac,0.5,0))+Sens!G11654*IF(1&lt;life_fac,1,IF(1=life_fac,0.5,0))+Sens!H11654*0.5)/life_fac</f>
        <v>5.898098964625</v>
      </c>
      <c r="I11660" s="6" t="n">
        <f aca="false">(Sens!C11654*IF(6&lt;life_fac,1,IF(6=life_fac,0.5,0))+Sens!D11654*IF(5&lt;life_fac,1,IF(5=life_fac,0.5,0))+Sens!E11654*IF(4&lt;life_fac,1,IF(4=life_fac,0.5,0))+Sens!F11654*IF(3&lt;life_fac,1,IF(3=life_fac,0.5,0))+Sens!G11654*IF(2&lt;life_fac,1,IF(2=life_fac,0.5,0))+Sens!H11654*IF(1&lt;life_fac,1,IF(1=life_fac,0.5,0))+Sens!I11654*0.5)/life_fac</f>
        <v>7.37368556095442</v>
      </c>
      <c r="J11660" s="6" t="n">
        <f aca="false">(Sens!C11654*IF(7&lt;life_fac,1,IF(7=life_fac,0.5,0))+Sens!D11654*IF(6&lt;life_fac,1,IF(6=life_fac,0.5,0))+Sens!E11654*IF(5&lt;life_fac,1,IF(5=life_fac,0.5,0))+Sens!F11654*IF(4&lt;life_fac,1,IF(4=life_fac,0.5,0))+Sens!G11654*IF(3&lt;life_fac,1,IF(3=life_fac,0.5,0))+Sens!H11654*IF(2&lt;life_fac,1,IF(2=life_fac,0.5,0))+Sens!I11654*IF(1&lt;life_fac,1,IF(1=life_fac,0.5,0))+Sens!J11654*0.5)/life_fac</f>
        <v>8.35816451031075</v>
      </c>
      <c r="K11660" s="6" t="n">
        <f aca="false">(Sens!C11654*IF(8&lt;life_fac,1,IF(8=life_fac,0.5,0))+Sens!D11654*IF(7&lt;life_fac,1,IF(7=life_fac,0.5,0))+Sens!E11654*IF(6&lt;life_fac,1,IF(6=life_fac,0.5,0))+Sens!F11654*IF(5&lt;life_fac,1,IF(5=life_fac,0.5,0))+Sens!G11654*IF(4&lt;life_fac,1,IF(4=life_fac,0.5,0))+Sens!H11654*IF(3&lt;life_fac,1,IF(3=life_fac,0.5,0))+Sens!I11654*IF(2&lt;life_fac,1,IF(2=life_fac,0.5,0))+Sens!J11654*IF(1&lt;life_fac,1,IF(1=life_fac,0.5,0))+Sens!K11654*0.5)/life_fac</f>
        <v>8.86883104910662</v>
      </c>
    </row>
    <row r="11661" customFormat="false" ht="17.15" hidden="false" customHeight="false" outlineLevel="0" collapsed="false">
      <c r="A11661" s="0" t="s">
        <v>1001</v>
      </c>
      <c r="B11661" s="0" t="s">
        <v>98</v>
      </c>
      <c r="E11661" s="6" t="n">
        <f aca="false">Sens!E11659+Sens!E11660</f>
        <v>16.3054059770833</v>
      </c>
      <c r="F11661" s="6" t="n">
        <f aca="false">Sens!F11659+Sens!F11660</f>
        <v>34.5793144783516</v>
      </c>
      <c r="G11661" s="6" t="n">
        <f aca="false">Sens!G11659+Sens!G11660</f>
        <v>60.7344906522989</v>
      </c>
      <c r="H11661" s="6" t="n">
        <f aca="false">Sens!H11659+Sens!H11660</f>
        <v>89.1000906614457</v>
      </c>
      <c r="I11661" s="6" t="n">
        <f aca="false">Sens!I11659+Sens!I11660</f>
        <v>114.231009694548</v>
      </c>
      <c r="J11661" s="6" t="n">
        <f aca="false">Sens!J11659+Sens!J11660</f>
        <v>132.015673049596</v>
      </c>
      <c r="K11661" s="6" t="n">
        <f aca="false">Sens!K11659+Sens!K11660</f>
        <v>143.012669550934</v>
      </c>
    </row>
    <row r="11662" customFormat="false" ht="17.15" hidden="false" customHeight="false" outlineLevel="0" collapsed="false">
      <c r="A11662" s="0" t="s">
        <v>1002</v>
      </c>
      <c r="B11662" s="0" t="s">
        <v>98</v>
      </c>
      <c r="E11662" s="6" t="n">
        <f aca="false">Sens!E11649-Sens!E11648*Sens!E11661</f>
        <v>8.92707889977379</v>
      </c>
      <c r="F11662" s="6" t="n">
        <f aca="false">Sens!F11649-Sens!F11648*Sens!F11661</f>
        <v>18.7770356668733</v>
      </c>
      <c r="G11662" s="6" t="n">
        <f aca="false">Sens!G11649-Sens!G11648*Sens!G11661</f>
        <v>31.1163641458894</v>
      </c>
      <c r="H11662" s="6" t="n">
        <f aca="false">Sens!H11649-Sens!H11648*Sens!H11661</f>
        <v>43.7262635496428</v>
      </c>
      <c r="I11662" s="6" t="n">
        <f aca="false">Sens!I11649-Sens!I11648*Sens!I11661</f>
        <v>54.7541698336361</v>
      </c>
      <c r="J11662" s="6" t="n">
        <f aca="false">Sens!J11649-Sens!J11648*Sens!J11661</f>
        <v>62.3768819327658</v>
      </c>
      <c r="K11662" s="6" t="n">
        <f aca="false">Sens!K11649-Sens!K11648*Sens!K11661</f>
        <v>67.4820630434748</v>
      </c>
    </row>
    <row r="11663" customFormat="false" ht="17.15" hidden="false" customHeight="false" outlineLevel="0" collapsed="false">
      <c r="A11663" s="3" t="s">
        <v>1771</v>
      </c>
    </row>
    <row r="11664" customFormat="false" ht="15" hidden="false" customHeight="false" outlineLevel="0" collapsed="false">
      <c r="A11664" s="4" t="s">
        <v>43</v>
      </c>
      <c r="B11664" s="4" t="s">
        <v>65</v>
      </c>
      <c r="C11664" s="23" t="s">
        <v>938</v>
      </c>
      <c r="D11664" s="23" t="s">
        <v>939</v>
      </c>
      <c r="E11664" s="23" t="s">
        <v>940</v>
      </c>
      <c r="F11664" s="23" t="s">
        <v>941</v>
      </c>
      <c r="G11664" s="23" t="s">
        <v>942</v>
      </c>
      <c r="H11664" s="23" t="s">
        <v>943</v>
      </c>
      <c r="I11664" s="23" t="s">
        <v>944</v>
      </c>
      <c r="J11664" s="23" t="s">
        <v>945</v>
      </c>
      <c r="K11664" s="23" t="s">
        <v>946</v>
      </c>
      <c r="L11664" s="4" t="s">
        <v>47</v>
      </c>
    </row>
    <row r="11665" customFormat="false" ht="17.15" hidden="false" customHeight="false" outlineLevel="0" collapsed="false">
      <c r="A11665" s="0" t="s">
        <v>1021</v>
      </c>
      <c r="B11665" s="0" t="s">
        <v>98</v>
      </c>
      <c r="D11665" s="6" t="n">
        <f aca="false">Sens!D11643</f>
        <v>12.9359794422418</v>
      </c>
      <c r="E11665" s="6" t="n">
        <f aca="false">Sens!E11643</f>
        <v>27.8095064661409</v>
      </c>
      <c r="F11665" s="6" t="n">
        <f aca="false">Sens!F11643</f>
        <v>55.4118315060966</v>
      </c>
      <c r="G11665" s="6" t="n">
        <f aca="false">Sens!G11643</f>
        <v>91.2881100675143</v>
      </c>
      <c r="H11665" s="6" t="n">
        <f aca="false">Sens!H11643</f>
        <v>128.195273603944</v>
      </c>
      <c r="I11665" s="6" t="n">
        <f aca="false">Sens!I11643</f>
        <v>160.601281810405</v>
      </c>
      <c r="J11665" s="6" t="n">
        <f aca="false">Sens!J11643</f>
        <v>183.182719793589</v>
      </c>
      <c r="K11665" s="6" t="n">
        <f aca="false">Sens!K11643</f>
        <v>197.320124937098</v>
      </c>
    </row>
    <row r="11666" customFormat="false" ht="17.15" hidden="false" customHeight="false" outlineLevel="0" collapsed="false">
      <c r="A11666" s="0" t="s">
        <v>1022</v>
      </c>
      <c r="B11666" s="0" t="s">
        <v>98</v>
      </c>
      <c r="D11666" s="6" t="n">
        <f aca="false">Q!L6-Sens!D11665</f>
        <v>59.6740205577583</v>
      </c>
      <c r="E11666" s="6" t="n">
        <f aca="false">Q!M6-Sens!E11665</f>
        <v>74.1284935338591</v>
      </c>
      <c r="F11666" s="6" t="n">
        <f aca="false">Q!$I$6+(Sens!F11665+Sens!E11666*(1+Sens!F11667))*(1-Q!$E$6/Q!M6)-Sens!F11665</f>
        <v>91.2972164940844</v>
      </c>
      <c r="G11666" s="6" t="n">
        <f aca="false">Sens!F11666*(1+Sens!G11667)</f>
        <v>108.474719793879</v>
      </c>
      <c r="H11666" s="6" t="n">
        <f aca="false">Sens!G11666*(1+Sens!H11667)</f>
        <v>125.951292505701</v>
      </c>
      <c r="I11666" s="6" t="n">
        <f aca="false">Sens!H11666*(1+Sens!I11667)</f>
        <v>142.838165154212</v>
      </c>
      <c r="J11666" s="6" t="n">
        <f aca="false">Sens!I11666*(1+Sens!J11667)</f>
        <v>158.12717866615</v>
      </c>
      <c r="K11666" s="6" t="n">
        <f aca="false">Sens!J11666*(1+Sens!K11667)</f>
        <v>170.777352959442</v>
      </c>
      <c r="L11666" s="12" t="s">
        <v>1023</v>
      </c>
    </row>
    <row r="11667" customFormat="false" ht="15" hidden="false" customHeight="false" outlineLevel="0" collapsed="false">
      <c r="A11667" s="1" t="s">
        <v>1024</v>
      </c>
      <c r="B11667" s="0" t="s">
        <v>168</v>
      </c>
      <c r="E11667" s="7" t="n">
        <f aca="false">Sens!E11666/Sens!D11666-1</f>
        <v>0.242223883039864</v>
      </c>
      <c r="F11667" s="7" t="n">
        <f aca="false">Sens!$E$11667+(glt_azo-Sens!$E$11667)*MIN(1,(Sens!F11624-base_fy)/n_conv)</f>
        <v>0.215186569199887</v>
      </c>
      <c r="G11667" s="7" t="n">
        <f aca="false">Sens!$E$11667+(glt_azo-Sens!$E$11667)*MIN(1,(Sens!G11624-base_fy)/n_conv)</f>
        <v>0.18814925535991</v>
      </c>
      <c r="H11667" s="7" t="n">
        <f aca="false">Sens!$E$11667+(glt_azo-Sens!$E$11667)*MIN(1,(Sens!H11624-base_fy)/n_conv)</f>
        <v>0.161111941519932</v>
      </c>
      <c r="I11667" s="7" t="n">
        <f aca="false">Sens!$E$11667+(glt_azo-Sens!$E$11667)*MIN(1,(Sens!I11624-base_fy)/n_conv)</f>
        <v>0.134074627679955</v>
      </c>
      <c r="J11667" s="7" t="n">
        <f aca="false">Sens!$E$11667+(glt_azo-Sens!$E$11667)*MIN(1,(Sens!J11624-base_fy)/n_conv)</f>
        <v>0.107037313839977</v>
      </c>
      <c r="K11667" s="7" t="n">
        <f aca="false">Sens!$E$11667+(glt_azo-Sens!$E$11667)*MIN(1,(Sens!K11624-base_fy)/n_conv)</f>
        <v>0.08</v>
      </c>
    </row>
    <row r="11668" customFormat="false" ht="15" hidden="false" customHeight="false" outlineLevel="0" collapsed="false">
      <c r="A11668" s="0" t="s">
        <v>1025</v>
      </c>
      <c r="B11668" s="0" t="s">
        <v>98</v>
      </c>
      <c r="D11668" s="6" t="n">
        <f aca="false">Sens!D11665+Sens!D11666</f>
        <v>72.61</v>
      </c>
      <c r="E11668" s="6" t="n">
        <f aca="false">Sens!E11665+Sens!E11666</f>
        <v>101.938</v>
      </c>
      <c r="F11668" s="6" t="n">
        <f aca="false">Sens!F11665+Sens!F11666</f>
        <v>146.709048000181</v>
      </c>
      <c r="G11668" s="6" t="n">
        <f aca="false">Sens!G11665+Sens!G11666</f>
        <v>199.762829861393</v>
      </c>
      <c r="H11668" s="6" t="n">
        <f aca="false">Sens!H11665+Sens!H11666</f>
        <v>254.146566109645</v>
      </c>
      <c r="I11668" s="6" t="n">
        <f aca="false">Sens!I11665+Sens!I11666</f>
        <v>303.439446964617</v>
      </c>
      <c r="J11668" s="6" t="n">
        <f aca="false">Sens!J11665+Sens!J11666</f>
        <v>341.309898459739</v>
      </c>
      <c r="K11668" s="6" t="n">
        <f aca="false">Sens!K11665+Sens!K11666</f>
        <v>368.09747789654</v>
      </c>
    </row>
    <row r="11669" customFormat="false" ht="17.15" hidden="false" customHeight="false" outlineLevel="0" collapsed="false">
      <c r="A11669" s="0" t="s">
        <v>1026</v>
      </c>
      <c r="B11669" s="1" t="s">
        <v>610</v>
      </c>
      <c r="C11669" s="30" t="n">
        <f aca="false">cop_s24</f>
        <v>1</v>
      </c>
      <c r="D11669" s="30" t="n">
        <f aca="false">cop_s25</f>
        <v>5</v>
      </c>
      <c r="E11669" s="30" t="n">
        <f aca="false">cop_s26</f>
        <v>30</v>
      </c>
      <c r="F11669" s="30" t="n">
        <f aca="false">Sens!E11669+cop_add_B</f>
        <v>50</v>
      </c>
      <c r="G11669" s="30" t="n">
        <f aca="false">Sens!F11669+cop_add_B</f>
        <v>70</v>
      </c>
      <c r="H11669" s="30" t="n">
        <f aca="false">Sens!G11669+cop_add_B</f>
        <v>90</v>
      </c>
      <c r="I11669" s="30" t="n">
        <f aca="false">Sens!H11669+cop_add_B*cop_tail</f>
        <v>100</v>
      </c>
      <c r="J11669" s="30" t="n">
        <f aca="false">Sens!I11669+cop_add_B*cop_tail</f>
        <v>110</v>
      </c>
      <c r="K11669" s="30" t="n">
        <f aca="false">Sens!J11669+cop_add_B*cop_tail</f>
        <v>120</v>
      </c>
      <c r="L11669" s="12" t="s">
        <v>1027</v>
      </c>
    </row>
    <row r="11670" customFormat="false" ht="17.15" hidden="false" customHeight="false" outlineLevel="0" collapsed="false">
      <c r="A11670" s="0" t="s">
        <v>1028</v>
      </c>
      <c r="B11670" s="0" t="s">
        <v>98</v>
      </c>
      <c r="D11670" s="6" t="n">
        <f aca="false">(Sens!C11669+Sens!D11669)/2*cop_px*12/1000</f>
        <v>0.9</v>
      </c>
      <c r="E11670" s="6" t="n">
        <f aca="false">(Sens!D11669+Sens!E11669)/2*cop_px*12/1000</f>
        <v>5.25</v>
      </c>
      <c r="F11670" s="6" t="n">
        <f aca="false">(Sens!E11669+Sens!F11669)/2*cop_px*12/1000</f>
        <v>12</v>
      </c>
      <c r="G11670" s="6" t="n">
        <f aca="false">(Sens!F11669+Sens!G11669)/2*cop_px*12/1000</f>
        <v>18</v>
      </c>
      <c r="H11670" s="6" t="n">
        <f aca="false">(Sens!G11669+Sens!H11669)/2*cop_px*12/1000</f>
        <v>24</v>
      </c>
      <c r="I11670" s="6" t="n">
        <f aca="false">(Sens!H11669+Sens!I11669)/2*cop_px*12/1000</f>
        <v>28.5</v>
      </c>
      <c r="J11670" s="6" t="n">
        <f aca="false">(Sens!I11669+Sens!J11669)/2*cop_px*12/1000</f>
        <v>31.5</v>
      </c>
      <c r="K11670" s="6" t="n">
        <f aca="false">(Sens!J11669+Sens!K11669)/2*cop_px*12/1000</f>
        <v>34.5</v>
      </c>
      <c r="L11670" s="1" t="s">
        <v>1029</v>
      </c>
    </row>
    <row r="11671" customFormat="false" ht="17.15" hidden="false" customHeight="false" outlineLevel="0" collapsed="false">
      <c r="A11671" s="0" t="s">
        <v>1030</v>
      </c>
      <c r="B11671" s="0" t="s">
        <v>98</v>
      </c>
      <c r="D11671" s="6" t="n">
        <f aca="false">Q!L7-Sens!D11670</f>
        <v>83.705</v>
      </c>
      <c r="E11671" s="6" t="n">
        <f aca="false">Q!M7-Sens!E11670</f>
        <v>95.049</v>
      </c>
      <c r="F11671" s="6" t="n">
        <f aca="false">Q!$I$7+(Sens!E11671*(1+Sens!F11672)+Sens!F11670)*(1-Q!$E$7/Q!M7)-Sens!F11670</f>
        <v>106.584003697747</v>
      </c>
      <c r="G11671" s="6" t="n">
        <f aca="false">Sens!F11671*(1+Sens!G11672)</f>
        <v>118.700726545688</v>
      </c>
      <c r="H11671" s="6" t="n">
        <f aca="false">Sens!G11671*(1+Sens!H11672)</f>
        <v>130.898624783666</v>
      </c>
      <c r="I11671" s="6" t="n">
        <f aca="false">Sens!H11671*(1+Sens!I11672)</f>
        <v>142.920510030657</v>
      </c>
      <c r="J11671" s="6" t="n">
        <f aca="false">Sens!I11671*(1+Sens!J11672)</f>
        <v>154.485722618572</v>
      </c>
      <c r="K11671" s="6" t="n">
        <f aca="false">Sens!J11671*(1+Sens!K11672)</f>
        <v>165.299723201872</v>
      </c>
      <c r="L11671" s="12" t="s">
        <v>1031</v>
      </c>
    </row>
    <row r="11672" customFormat="false" ht="15" hidden="false" customHeight="false" outlineLevel="0" collapsed="false">
      <c r="A11672" s="1" t="s">
        <v>1024</v>
      </c>
      <c r="B11672" s="0" t="s">
        <v>168</v>
      </c>
      <c r="E11672" s="7" t="n">
        <f aca="false">Sens!E11671/Sens!D11671-1</f>
        <v>0.135523564900544</v>
      </c>
      <c r="F11672" s="7" t="n">
        <f aca="false">Sens!$E$11672+(glt_m365b-Sens!$E$11672)*MIN(1,(Sens!F11624-base_fy)/n_conv)</f>
        <v>0.124602970750453</v>
      </c>
      <c r="G11672" s="7" t="n">
        <f aca="false">Sens!$E$11672+(glt_m365b-Sens!$E$11672)*MIN(1,(Sens!G11624-base_fy)/n_conv)</f>
        <v>0.113682376600363</v>
      </c>
      <c r="H11672" s="7" t="n">
        <f aca="false">Sens!$E$11672+(glt_m365b-Sens!$E$11672)*MIN(1,(Sens!H11624-base_fy)/n_conv)</f>
        <v>0.102761782450272</v>
      </c>
      <c r="I11672" s="7" t="n">
        <f aca="false">Sens!$E$11672+(glt_m365b-Sens!$E$11672)*MIN(1,(Sens!I11624-base_fy)/n_conv)</f>
        <v>0.0918411883001813</v>
      </c>
      <c r="J11672" s="7" t="n">
        <f aca="false">Sens!$E$11672+(glt_m365b-Sens!$E$11672)*MIN(1,(Sens!J11624-base_fy)/n_conv)</f>
        <v>0.0809205941500906</v>
      </c>
      <c r="K11672" s="7" t="n">
        <f aca="false">Sens!$E$11672+(glt_m365b-Sens!$E$11672)*MIN(1,(Sens!K11624-base_fy)/n_conv)</f>
        <v>0.07</v>
      </c>
    </row>
    <row r="11673" customFormat="false" ht="15" hidden="false" customHeight="false" outlineLevel="0" collapsed="false">
      <c r="A11673" s="0" t="s">
        <v>1032</v>
      </c>
      <c r="B11673" s="0" t="s">
        <v>98</v>
      </c>
      <c r="D11673" s="6" t="n">
        <f aca="false">Sens!D11671+Sens!D11670</f>
        <v>84.605</v>
      </c>
      <c r="E11673" s="6" t="n">
        <f aca="false">Sens!E11671+Sens!E11670</f>
        <v>100.299</v>
      </c>
      <c r="F11673" s="6" t="n">
        <f aca="false">Sens!F11671+Sens!F11670</f>
        <v>118.584003697747</v>
      </c>
      <c r="G11673" s="6" t="n">
        <f aca="false">Sens!G11671+Sens!G11670</f>
        <v>136.700726545688</v>
      </c>
      <c r="H11673" s="6" t="n">
        <f aca="false">Sens!H11671+Sens!H11670</f>
        <v>154.898624783666</v>
      </c>
      <c r="I11673" s="6" t="n">
        <f aca="false">Sens!I11671+Sens!I11670</f>
        <v>171.420510030657</v>
      </c>
      <c r="J11673" s="6" t="n">
        <f aca="false">Sens!J11671+Sens!J11670</f>
        <v>185.985722618572</v>
      </c>
      <c r="K11673" s="6" t="n">
        <f aca="false">Sens!K11671+Sens!K11670</f>
        <v>199.799723201872</v>
      </c>
    </row>
    <row r="11674" customFormat="false" ht="17.15" hidden="false" customHeight="false" outlineLevel="0" collapsed="false">
      <c r="A11674" s="0" t="s">
        <v>1033</v>
      </c>
      <c r="B11674" s="0" t="s">
        <v>98</v>
      </c>
      <c r="D11674" s="6" t="n">
        <f aca="false">Q!L8</f>
        <v>35.391</v>
      </c>
      <c r="E11674" s="6" t="n">
        <f aca="false">Q!M8</f>
        <v>37.285</v>
      </c>
      <c r="F11674" s="6" t="n">
        <f aca="false">Q!$I$8+(Q!M8-Q!$E$8)*(1+Sens!F11675)</f>
        <v>38.3851437782675</v>
      </c>
      <c r="G11674" s="6" t="n">
        <f aca="false">Sens!F11674*(1+Sens!G11675)</f>
        <v>40.0105353288615</v>
      </c>
      <c r="H11674" s="6" t="n">
        <f aca="false">Sens!G11674*(1+Sens!H11675)</f>
        <v>41.4812512033683</v>
      </c>
      <c r="I11674" s="6" t="n">
        <f aca="false">Sens!H11674*(1+Sens!I11675)</f>
        <v>42.7743107216329</v>
      </c>
      <c r="J11674" s="6" t="n">
        <f aca="false">Sens!I11674*(1+Sens!J11675)</f>
        <v>43.8687373064601</v>
      </c>
      <c r="K11674" s="6" t="n">
        <f aca="false">Sens!J11674*(1+Sens!K11675)</f>
        <v>44.7461120525893</v>
      </c>
      <c r="L11674" s="12" t="s">
        <v>1034</v>
      </c>
    </row>
    <row r="11675" customFormat="false" ht="15" hidden="false" customHeight="false" outlineLevel="0" collapsed="false">
      <c r="A11675" s="1" t="s">
        <v>1024</v>
      </c>
      <c r="B11675" s="0" t="s">
        <v>168</v>
      </c>
      <c r="E11675" s="7" t="n">
        <f aca="false">Sens!E11674/Sens!D11674-1</f>
        <v>0.0535164307309768</v>
      </c>
      <c r="F11675" s="7" t="n">
        <f aca="false">Sens!$E$11675+(glt_lic-Sens!$E$11675)*MIN(1,(Sens!F11624-base_fy)/n_conv)</f>
        <v>0.0479303589424807</v>
      </c>
      <c r="G11675" s="7" t="n">
        <f aca="false">Sens!$E$11675+(glt_lic-Sens!$E$11675)*MIN(1,(Sens!G11624-base_fy)/n_conv)</f>
        <v>0.0423442871539845</v>
      </c>
      <c r="H11675" s="7" t="n">
        <f aca="false">Sens!$E$11675+(glt_lic-Sens!$E$11675)*MIN(1,(Sens!H11624-base_fy)/n_conv)</f>
        <v>0.0367582153654884</v>
      </c>
      <c r="I11675" s="7" t="n">
        <f aca="false">Sens!$E$11675+(glt_lic-Sens!$E$11675)*MIN(1,(Sens!I11624-base_fy)/n_conv)</f>
        <v>0.0311721435769923</v>
      </c>
      <c r="J11675" s="7" t="n">
        <f aca="false">Sens!$E$11675+(glt_lic-Sens!$E$11675)*MIN(1,(Sens!J11624-base_fy)/n_conv)</f>
        <v>0.0255860717884961</v>
      </c>
      <c r="K11675" s="7" t="n">
        <f aca="false">Sens!$E$11675+(glt_lic-Sens!$E$11675)*MIN(1,(Sens!K11624-base_fy)/n_conv)</f>
        <v>0.02</v>
      </c>
    </row>
    <row r="11676" customFormat="false" ht="17.15" hidden="false" customHeight="false" outlineLevel="0" collapsed="false">
      <c r="A11676" s="0" t="s">
        <v>1035</v>
      </c>
      <c r="B11676" s="0" t="s">
        <v>98</v>
      </c>
      <c r="D11676" s="6" t="n">
        <f aca="false">Q!L9</f>
        <v>18.417</v>
      </c>
      <c r="E11676" s="6" t="n">
        <f aca="false">Q!M9</f>
        <v>20.345</v>
      </c>
      <c r="F11676" s="6" t="n">
        <f aca="false">Q!$I$9+(Q!M9-Q!$E$9)*(1+Sens!F11677)</f>
        <v>22.3161797133988</v>
      </c>
      <c r="G11676" s="6" t="n">
        <f aca="false">Sens!F11676*(1+Sens!G11677)</f>
        <v>24.3943499673233</v>
      </c>
      <c r="H11676" s="6" t="n">
        <f aca="false">Sens!G11676*(1+Sens!H11677)</f>
        <v>26.5250243109019</v>
      </c>
      <c r="I11676" s="6" t="n">
        <f aca="false">Sens!H11676*(1+Sens!I11677)</f>
        <v>28.6884573538181</v>
      </c>
      <c r="J11676" s="6" t="n">
        <f aca="false">Sens!I11676*(1+Sens!J11677)</f>
        <v>30.8624968052127</v>
      </c>
      <c r="K11676" s="6" t="n">
        <f aca="false">Sens!J11676*(1+Sens!K11677)</f>
        <v>33.0228715815776</v>
      </c>
      <c r="L11676" s="12" t="s">
        <v>1034</v>
      </c>
    </row>
    <row r="11677" customFormat="false" ht="15" hidden="false" customHeight="false" outlineLevel="0" collapsed="false">
      <c r="A11677" s="1" t="s">
        <v>1024</v>
      </c>
      <c r="B11677" s="0" t="s">
        <v>168</v>
      </c>
      <c r="E11677" s="7" t="n">
        <f aca="false">Sens!E11676/Sens!D11676-1</f>
        <v>0.104685888038225</v>
      </c>
      <c r="F11677" s="7" t="n">
        <f aca="false">Sens!$E$11677+(glt_ind-Sens!$E$11677)*MIN(1,(Sens!F11624-base_fy)/n_conv)</f>
        <v>0.0989049066985211</v>
      </c>
      <c r="G11677" s="7" t="n">
        <f aca="false">Sens!$E$11677+(glt_ind-Sens!$E$11677)*MIN(1,(Sens!G11624-base_fy)/n_conv)</f>
        <v>0.0931239253588169</v>
      </c>
      <c r="H11677" s="7" t="n">
        <f aca="false">Sens!$E$11677+(glt_ind-Sens!$E$11677)*MIN(1,(Sens!H11624-base_fy)/n_conv)</f>
        <v>0.0873429440191127</v>
      </c>
      <c r="I11677" s="7" t="n">
        <f aca="false">Sens!$E$11677+(glt_ind-Sens!$E$11677)*MIN(1,(Sens!I11624-base_fy)/n_conv)</f>
        <v>0.0815619626794085</v>
      </c>
      <c r="J11677" s="7" t="n">
        <f aca="false">Sens!$E$11677+(glt_ind-Sens!$E$11677)*MIN(1,(Sens!J11624-base_fy)/n_conv)</f>
        <v>0.0757809813397042</v>
      </c>
      <c r="K11677" s="7" t="n">
        <f aca="false">Sens!$E$11677+(glt_ind-Sens!$E$11677)*MIN(1,(Sens!K11624-base_fy)/n_conv)</f>
        <v>0.07</v>
      </c>
    </row>
    <row r="11678" customFormat="false" ht="17.15" hidden="false" customHeight="false" outlineLevel="0" collapsed="false">
      <c r="A11678" s="0" t="s">
        <v>1036</v>
      </c>
      <c r="B11678" s="0" t="s">
        <v>98</v>
      </c>
      <c r="D11678" s="6" t="n">
        <f aca="false">Q!L10</f>
        <v>7.76</v>
      </c>
      <c r="E11678" s="6" t="n">
        <f aca="false">Q!M10</f>
        <v>8.26</v>
      </c>
      <c r="F11678" s="6" t="n">
        <f aca="false">Q!$I$10+(Q!M10-Q!$E$10)*(1+Sens!F11679)</f>
        <v>8.75372082474227</v>
      </c>
      <c r="G11678" s="6" t="n">
        <f aca="false">Sens!F11678*(1+Sens!G11679)</f>
        <v>9.33399324642364</v>
      </c>
      <c r="H11678" s="6" t="n">
        <f aca="false">Sens!G11678*(1+Sens!H11679)</f>
        <v>9.96139155535851</v>
      </c>
      <c r="I11678" s="6" t="n">
        <f aca="false">Sens!H11678*(1+Sens!I11679)</f>
        <v>10.6402039077391</v>
      </c>
      <c r="J11678" s="6" t="n">
        <f aca="false">Sens!I11678*(1+Sens!J11679)</f>
        <v>11.3751458271397</v>
      </c>
      <c r="K11678" s="6" t="n">
        <f aca="false">Sens!J11678*(1+Sens!K11679)</f>
        <v>12.1714060350394</v>
      </c>
      <c r="L11678" s="12" t="s">
        <v>1034</v>
      </c>
    </row>
    <row r="11679" customFormat="false" ht="15" hidden="false" customHeight="false" outlineLevel="0" collapsed="false">
      <c r="A11679" s="1" t="s">
        <v>1024</v>
      </c>
      <c r="B11679" s="0" t="s">
        <v>168</v>
      </c>
      <c r="E11679" s="7" t="n">
        <f aca="false">Sens!E11678/Sens!D11678-1</f>
        <v>0.0644329896907216</v>
      </c>
      <c r="F11679" s="7" t="n">
        <f aca="false">Sens!$E$11679+(glt_fro-Sens!$E$11679)*MIN(1,(Sens!F11624-base_fy)/n_conv)</f>
        <v>0.065360824742268</v>
      </c>
      <c r="G11679" s="7" t="n">
        <f aca="false">Sens!$E$11679+(glt_fro-Sens!$E$11679)*MIN(1,(Sens!G11624-base_fy)/n_conv)</f>
        <v>0.0662886597938144</v>
      </c>
      <c r="H11679" s="7" t="n">
        <f aca="false">Sens!$E$11679+(glt_fro-Sens!$E$11679)*MIN(1,(Sens!H11624-base_fy)/n_conv)</f>
        <v>0.0672164948453608</v>
      </c>
      <c r="I11679" s="7" t="n">
        <f aca="false">Sens!$E$11679+(glt_fro-Sens!$E$11679)*MIN(1,(Sens!I11624-base_fy)/n_conv)</f>
        <v>0.0681443298969072</v>
      </c>
      <c r="J11679" s="7" t="n">
        <f aca="false">Sens!$E$11679+(glt_fro-Sens!$E$11679)*MIN(1,(Sens!J11624-base_fy)/n_conv)</f>
        <v>0.0690721649484536</v>
      </c>
      <c r="K11679" s="7" t="n">
        <f aca="false">Sens!$E$11679+(glt_fro-Sens!$E$11679)*MIN(1,(Sens!K11624-base_fy)/n_conv)</f>
        <v>0.07</v>
      </c>
    </row>
    <row r="11680" customFormat="false" ht="15" hidden="false" customHeight="false" outlineLevel="0" collapsed="false">
      <c r="A11680" s="0" t="s">
        <v>852</v>
      </c>
      <c r="B11680" s="0" t="s">
        <v>98</v>
      </c>
      <c r="D11680" s="6" t="n">
        <f aca="false">Sens!D11668+Sens!D11673+Sens!D11674+Sens!D11676+Sens!D11678</f>
        <v>218.783</v>
      </c>
      <c r="E11680" s="6" t="n">
        <f aca="false">Sens!E11668+Sens!E11673+Sens!E11674+Sens!E11676+Sens!E11678</f>
        <v>268.127</v>
      </c>
      <c r="F11680" s="6" t="n">
        <f aca="false">Sens!F11668+Sens!F11673+Sens!F11674+Sens!F11676+Sens!F11678</f>
        <v>334.748096014336</v>
      </c>
      <c r="G11680" s="6" t="n">
        <f aca="false">Sens!G11668+Sens!G11673+Sens!G11674+Sens!G11676+Sens!G11678</f>
        <v>410.20243494969</v>
      </c>
      <c r="H11680" s="6" t="n">
        <f aca="false">Sens!H11668+Sens!H11673+Sens!H11674+Sens!H11676+Sens!H11678</f>
        <v>487.012857962939</v>
      </c>
      <c r="I11680" s="6" t="n">
        <f aca="false">Sens!I11668+Sens!I11673+Sens!I11674+Sens!I11676+Sens!I11678</f>
        <v>556.962928978464</v>
      </c>
      <c r="J11680" s="6" t="n">
        <f aca="false">Sens!J11668+Sens!J11673+Sens!J11674+Sens!J11676+Sens!J11678</f>
        <v>613.402001017124</v>
      </c>
      <c r="K11680" s="6" t="n">
        <f aca="false">Sens!K11668+Sens!K11673+Sens!K11674+Sens!K11676+Sens!K11678</f>
        <v>657.837590767618</v>
      </c>
    </row>
    <row r="11681" customFormat="false" ht="17.15" hidden="false" customHeight="false" outlineLevel="0" collapsed="false">
      <c r="A11681" s="0" t="s">
        <v>1037</v>
      </c>
      <c r="B11681" s="0" t="s">
        <v>98</v>
      </c>
      <c r="D11681" s="6" t="n">
        <f aca="false">Q!L13</f>
        <v>22.171</v>
      </c>
      <c r="E11681" s="6" t="n">
        <f aca="false">Q!M13</f>
        <v>24.835</v>
      </c>
      <c r="F11681" s="6" t="n">
        <f aca="false">Q!$I$13+(Q!M13-Q!$E$13)*(1+Sens!F11682)</f>
        <v>27.5591895660247</v>
      </c>
      <c r="G11681" s="6" t="n">
        <f aca="false">Sens!F11681*(1+Sens!G11682)</f>
        <v>30.4098563144583</v>
      </c>
      <c r="H11681" s="6" t="n">
        <f aca="false">Sens!G11681*(1+Sens!H11682)</f>
        <v>33.3011792571777</v>
      </c>
      <c r="I11681" s="6" t="n">
        <f aca="false">Sens!H11681*(1+Sens!I11682)</f>
        <v>36.189023797112</v>
      </c>
      <c r="J11681" s="6" t="n">
        <f aca="false">Sens!I11681*(1+Sens!J11682)</f>
        <v>39.0247773769199</v>
      </c>
      <c r="K11681" s="6" t="n">
        <f aca="false">Sens!J11681*(1+Sens!K11682)</f>
        <v>41.7565117933043</v>
      </c>
      <c r="L11681" s="12" t="s">
        <v>1034</v>
      </c>
    </row>
    <row r="11682" customFormat="false" ht="15" hidden="false" customHeight="false" outlineLevel="0" collapsed="false">
      <c r="A11682" s="1" t="s">
        <v>1024</v>
      </c>
      <c r="B11682" s="0" t="s">
        <v>168</v>
      </c>
      <c r="E11682" s="7" t="n">
        <f aca="false">Sens!E11681/Sens!D11681-1</f>
        <v>0.120156961796942</v>
      </c>
      <c r="F11682" s="7" t="n">
        <f aca="false">Sens!$E$11682+(glt_srch-Sens!$E$11682)*MIN(1,(Sens!F11624-base_fy)/n_conv)</f>
        <v>0.111797468164118</v>
      </c>
      <c r="G11682" s="7" t="n">
        <f aca="false">Sens!$E$11682+(glt_srch-Sens!$E$11682)*MIN(1,(Sens!G11624-base_fy)/n_conv)</f>
        <v>0.103437974531295</v>
      </c>
      <c r="H11682" s="7" t="n">
        <f aca="false">Sens!$E$11682+(glt_srch-Sens!$E$11682)*MIN(1,(Sens!H11624-base_fy)/n_conv)</f>
        <v>0.095078480898471</v>
      </c>
      <c r="I11682" s="7" t="n">
        <f aca="false">Sens!$E$11682+(glt_srch-Sens!$E$11682)*MIN(1,(Sens!I11624-base_fy)/n_conv)</f>
        <v>0.0867189872656474</v>
      </c>
      <c r="J11682" s="7" t="n">
        <f aca="false">Sens!$E$11682+(glt_srch-Sens!$E$11682)*MIN(1,(Sens!J11624-base_fy)/n_conv)</f>
        <v>0.0783594936328237</v>
      </c>
      <c r="K11682" s="7" t="n">
        <f aca="false">Sens!$E$11682+(glt_srch-Sens!$E$11682)*MIN(1,(Sens!K11624-base_fy)/n_conv)</f>
        <v>0.07</v>
      </c>
    </row>
    <row r="11683" customFormat="false" ht="17.15" hidden="false" customHeight="false" outlineLevel="0" collapsed="false">
      <c r="A11683" s="0" t="s">
        <v>1038</v>
      </c>
      <c r="B11683" s="0" t="s">
        <v>98</v>
      </c>
      <c r="D11683" s="6" t="n">
        <f aca="false">Q!L14</f>
        <v>23.455</v>
      </c>
      <c r="E11683" s="6" t="n">
        <f aca="false">Q!M14</f>
        <v>21.79</v>
      </c>
      <c r="F11683" s="6" t="n">
        <f aca="false">Q!$I$14+(Q!M14-Q!$E$14)*(1+Sens!F11684)</f>
        <v>20.6435514375044</v>
      </c>
      <c r="G11683" s="6" t="n">
        <f aca="false">Sens!F11683*(1+Sens!G11684)</f>
        <v>19.5289786205326</v>
      </c>
      <c r="H11683" s="6" t="n">
        <f aca="false">Sens!G11683*(1+Sens!H11684)</f>
        <v>18.6405370670455</v>
      </c>
      <c r="I11683" s="6" t="n">
        <f aca="false">Sens!H11683*(1+Sens!I11684)</f>
        <v>17.950917993743</v>
      </c>
      <c r="J11683" s="6" t="n">
        <f aca="false">Sens!I11683*(1+Sens!J11684)</f>
        <v>17.4393557354192</v>
      </c>
      <c r="K11683" s="6" t="n">
        <f aca="false">Sens!J11683*(1+Sens!K11684)</f>
        <v>17.0905686207108</v>
      </c>
      <c r="L11683" s="12" t="s">
        <v>1034</v>
      </c>
    </row>
    <row r="11684" customFormat="false" ht="15" hidden="false" customHeight="false" outlineLevel="0" collapsed="false">
      <c r="A11684" s="1" t="s">
        <v>1024</v>
      </c>
      <c r="B11684" s="0" t="s">
        <v>168</v>
      </c>
      <c r="E11684" s="7" t="n">
        <f aca="false">Sens!E11683/Sens!D11683-1</f>
        <v>-0.0709869963760392</v>
      </c>
      <c r="F11684" s="7" t="n">
        <f aca="false">Sens!$E$11684+(glt_xbox_lo-Sens!$E$11684)*MIN(1,(Sens!F11624-base_fy)/n_conv)</f>
        <v>-0.0624891636466994</v>
      </c>
      <c r="G11684" s="7" t="n">
        <f aca="false">Sens!$E$11684+(glt_xbox_lo-Sens!$E$11684)*MIN(1,(Sens!G11624-base_fy)/n_conv)</f>
        <v>-0.0539913309173595</v>
      </c>
      <c r="H11684" s="7" t="n">
        <f aca="false">Sens!$E$11684+(glt_xbox_lo-Sens!$E$11684)*MIN(1,(Sens!H11624-base_fy)/n_conv)</f>
        <v>-0.0454934981880196</v>
      </c>
      <c r="I11684" s="7" t="n">
        <f aca="false">Sens!$E$11684+(glt_xbox_lo-Sens!$E$11684)*MIN(1,(Sens!I11624-base_fy)/n_conv)</f>
        <v>-0.0369956654586797</v>
      </c>
      <c r="J11684" s="7" t="n">
        <f aca="false">Sens!$E$11684+(glt_xbox_lo-Sens!$E$11684)*MIN(1,(Sens!J11624-base_fy)/n_conv)</f>
        <v>-0.0284978327293399</v>
      </c>
      <c r="K11684" s="7" t="n">
        <f aca="false">Sens!$E$11684+(glt_xbox_lo-Sens!$E$11684)*MIN(1,(Sens!K11624-base_fy)/n_conv)</f>
        <v>-0.02</v>
      </c>
    </row>
    <row r="11685" customFormat="false" ht="17.15" hidden="false" customHeight="false" outlineLevel="0" collapsed="false">
      <c r="A11685" s="0" t="s">
        <v>1039</v>
      </c>
      <c r="B11685" s="0" t="s">
        <v>98</v>
      </c>
      <c r="D11685" s="6" t="n">
        <f aca="false">Q!L15</f>
        <v>17.315</v>
      </c>
      <c r="E11685" s="6" t="n">
        <f aca="false">Q!M15</f>
        <v>17.087</v>
      </c>
      <c r="F11685" s="6" t="n">
        <f aca="false">Q!$I$15+(Q!M15-Q!$E$15)*(1+Sens!F11686)</f>
        <v>15.9912273250553</v>
      </c>
      <c r="G11685" s="6" t="n">
        <f aca="false">Sens!F11685*(1+Sens!G11686)</f>
        <v>15.9574562664827</v>
      </c>
      <c r="H11685" s="6" t="n">
        <f aca="false">Sens!G11685*(1+Sens!H11686)</f>
        <v>16.0119687434196</v>
      </c>
      <c r="I11685" s="6" t="n">
        <f aca="false">Sens!H11685*(1+Sens!I11686)</f>
        <v>16.1551810001948</v>
      </c>
      <c r="J11685" s="6" t="n">
        <f aca="false">Sens!I11685*(1+Sens!J11686)</f>
        <v>16.3889793892005</v>
      </c>
      <c r="K11685" s="6" t="n">
        <f aca="false">Sens!J11685*(1+Sens!K11686)</f>
        <v>16.7167589769845</v>
      </c>
      <c r="L11685" s="12" t="s">
        <v>1034</v>
      </c>
    </row>
    <row r="11686" customFormat="false" ht="15" hidden="false" customHeight="false" outlineLevel="0" collapsed="false">
      <c r="A11686" s="1" t="s">
        <v>1024</v>
      </c>
      <c r="B11686" s="0" t="s">
        <v>168</v>
      </c>
      <c r="E11686" s="7" t="n">
        <f aca="false">Sens!E11685/Sens!D11685-1</f>
        <v>-0.0131677736066995</v>
      </c>
      <c r="F11686" s="7" t="n">
        <f aca="false">Sens!$E$11686+(glt_win-Sens!$E$11686)*MIN(1,(Sens!F11624-base_fy)/n_conv)</f>
        <v>-0.00763981133891627</v>
      </c>
      <c r="G11686" s="7" t="n">
        <f aca="false">Sens!$E$11686+(glt_win-Sens!$E$11686)*MIN(1,(Sens!G11624-base_fy)/n_conv)</f>
        <v>-0.00211184907113301</v>
      </c>
      <c r="H11686" s="7" t="n">
        <f aca="false">Sens!$E$11686+(glt_win-Sens!$E$11686)*MIN(1,(Sens!H11624-base_fy)/n_conv)</f>
        <v>0.00341611319665024</v>
      </c>
      <c r="I11686" s="7" t="n">
        <f aca="false">Sens!$E$11686+(glt_win-Sens!$E$11686)*MIN(1,(Sens!I11624-base_fy)/n_conv)</f>
        <v>0.00894407546443349</v>
      </c>
      <c r="J11686" s="7" t="n">
        <f aca="false">Sens!$E$11686+(glt_win-Sens!$E$11686)*MIN(1,(Sens!J11624-base_fy)/n_conv)</f>
        <v>0.0144720377322168</v>
      </c>
      <c r="K11686" s="7" t="n">
        <f aca="false">Sens!$E$11686+(glt_win-Sens!$E$11686)*MIN(1,(Sens!K11624-base_fy)/n_conv)</f>
        <v>0.02</v>
      </c>
    </row>
    <row r="11687" customFormat="false" ht="15" hidden="false" customHeight="false" outlineLevel="0" collapsed="false">
      <c r="A11687" s="0" t="s">
        <v>866</v>
      </c>
      <c r="B11687" s="0" t="s">
        <v>98</v>
      </c>
      <c r="D11687" s="6" t="n">
        <f aca="false">Sens!D11681+Sens!D11683+Sens!D11685</f>
        <v>62.941</v>
      </c>
      <c r="E11687" s="6" t="n">
        <f aca="false">Sens!E11681+Sens!E11683+Sens!E11685</f>
        <v>63.712</v>
      </c>
      <c r="F11687" s="6" t="n">
        <f aca="false">Sens!F11681+Sens!F11683+Sens!F11685</f>
        <v>64.1939683285845</v>
      </c>
      <c r="G11687" s="6" t="n">
        <f aca="false">Sens!G11681+Sens!G11683+Sens!G11685</f>
        <v>65.8962912014735</v>
      </c>
      <c r="H11687" s="6" t="n">
        <f aca="false">Sens!H11681+Sens!H11683+Sens!H11685</f>
        <v>67.9536850676428</v>
      </c>
      <c r="I11687" s="6" t="n">
        <f aca="false">Sens!I11681+Sens!I11683+Sens!I11685</f>
        <v>70.2951227910498</v>
      </c>
      <c r="J11687" s="6" t="n">
        <f aca="false">Sens!J11681+Sens!J11683+Sens!J11685</f>
        <v>72.8531125015395</v>
      </c>
      <c r="K11687" s="6" t="n">
        <f aca="false">Sens!K11681+Sens!K11683+Sens!K11685</f>
        <v>75.5638393909996</v>
      </c>
    </row>
    <row r="11688" customFormat="false" ht="15" hidden="false" customHeight="false" outlineLevel="0" collapsed="false">
      <c r="A11688" s="1" t="s">
        <v>1040</v>
      </c>
      <c r="B11688" s="0" t="s">
        <v>98</v>
      </c>
      <c r="D11688" s="6" t="n">
        <f aca="false">Sens!D11680+Sens!D11687</f>
        <v>281.724</v>
      </c>
      <c r="E11688" s="6" t="n">
        <f aca="false">Sens!E11680+Sens!E11687</f>
        <v>331.839</v>
      </c>
      <c r="F11688" s="6" t="n">
        <f aca="false">Sens!F11680+Sens!F11687</f>
        <v>398.942064342921</v>
      </c>
      <c r="G11688" s="6" t="n">
        <f aca="false">Sens!G11680+Sens!G11687</f>
        <v>476.098726151163</v>
      </c>
      <c r="H11688" s="6" t="n">
        <f aca="false">Sens!H11680+Sens!H11687</f>
        <v>554.966543030582</v>
      </c>
      <c r="I11688" s="6" t="n">
        <f aca="false">Sens!I11680+Sens!I11687</f>
        <v>627.258051769514</v>
      </c>
      <c r="J11688" s="6" t="n">
        <f aca="false">Sens!J11680+Sens!J11687</f>
        <v>686.255113518663</v>
      </c>
      <c r="K11688" s="6" t="n">
        <f aca="false">Sens!K11680+Sens!K11687</f>
        <v>733.401430158618</v>
      </c>
    </row>
    <row r="11689" customFormat="false" ht="15" hidden="false" customHeight="false" outlineLevel="0" collapsed="false">
      <c r="A11689" s="26" t="s">
        <v>1041</v>
      </c>
      <c r="B11689" s="31" t="s">
        <v>98</v>
      </c>
      <c r="C11689" s="31"/>
      <c r="D11689" s="27" t="n">
        <f aca="false">(Sens!D11668+Sens!D11673+Sens!D11674+Sens!D11676+Sens!D11678-Sens!D11680)+(Sens!D11681+Sens!D11683+Sens!D11685-Sens!D11687)+(Sens!D11680-Q!L5)+(Sens!D11687-Q!L12)+(Sens!D11668-Q!L6)+(Sens!D11673-Q!L7)</f>
        <v>0</v>
      </c>
      <c r="E11689" s="27" t="n">
        <f aca="false">(Sens!E11668+Sens!E11673+Sens!E11674+Sens!E11676+Sens!E11678-Sens!E11680)+(Sens!E11681+Sens!E11683+Sens!E11685-Sens!E11687)+(Sens!E11680-Q!M5)+(Sens!E11687-Q!M12)+(Sens!E11668-Q!M6)+(Sens!E11673-Q!M7)</f>
        <v>0</v>
      </c>
      <c r="F11689" s="27" t="n">
        <f aca="false">(Sens!F11668+Sens!F11673+Sens!F11674+Sens!F11676+Sens!F11678-Sens!F11680)+(Sens!F11681+Sens!F11683+Sens!F11685-Sens!F11687)</f>
        <v>0</v>
      </c>
      <c r="G11689" s="27" t="n">
        <f aca="false">(Sens!G11668+Sens!G11673+Sens!G11674+Sens!G11676+Sens!G11678-Sens!G11680)+(Sens!G11681+Sens!G11683+Sens!G11685-Sens!G11687)</f>
        <v>0</v>
      </c>
      <c r="H11689" s="27" t="n">
        <f aca="false">(Sens!H11668+Sens!H11673+Sens!H11674+Sens!H11676+Sens!H11678-Sens!H11680)+(Sens!H11681+Sens!H11683+Sens!H11685-Sens!H11687)</f>
        <v>0</v>
      </c>
      <c r="I11689" s="27" t="n">
        <f aca="false">(Sens!I11668+Sens!I11673+Sens!I11674+Sens!I11676+Sens!I11678-Sens!I11680)+(Sens!I11681+Sens!I11683+Sens!I11685-Sens!I11687)</f>
        <v>0</v>
      </c>
      <c r="J11689" s="27" t="n">
        <f aca="false">(Sens!J11668+Sens!J11673+Sens!J11674+Sens!J11676+Sens!J11678-Sens!J11680)+(Sens!J11681+Sens!J11683+Sens!J11685-Sens!J11687)</f>
        <v>0</v>
      </c>
      <c r="K11689" s="27" t="n">
        <f aca="false">(Sens!K11668+Sens!K11673+Sens!K11674+Sens!K11676+Sens!K11678-Sens!K11680)+(Sens!K11681+Sens!K11683+Sens!K11685-Sens!K11687)</f>
        <v>0</v>
      </c>
    </row>
    <row r="11690" customFormat="false" ht="17.15" hidden="false" customHeight="false" outlineLevel="0" collapsed="false">
      <c r="A11690" s="3" t="s">
        <v>1772</v>
      </c>
    </row>
    <row r="11691" customFormat="false" ht="15" hidden="false" customHeight="false" outlineLevel="0" collapsed="false">
      <c r="A11691" s="4" t="s">
        <v>43</v>
      </c>
      <c r="B11691" s="4" t="s">
        <v>65</v>
      </c>
      <c r="C11691" s="23" t="s">
        <v>938</v>
      </c>
      <c r="D11691" s="23" t="s">
        <v>939</v>
      </c>
      <c r="E11691" s="23" t="s">
        <v>940</v>
      </c>
      <c r="F11691" s="23" t="s">
        <v>941</v>
      </c>
      <c r="G11691" s="23" t="s">
        <v>942</v>
      </c>
      <c r="H11691" s="23" t="s">
        <v>943</v>
      </c>
      <c r="I11691" s="23" t="s">
        <v>944</v>
      </c>
      <c r="J11691" s="23" t="s">
        <v>945</v>
      </c>
      <c r="K11691" s="23" t="s">
        <v>946</v>
      </c>
      <c r="L11691" s="4" t="s">
        <v>47</v>
      </c>
    </row>
    <row r="11692" customFormat="false" ht="15" hidden="false" customHeight="false" outlineLevel="0" collapsed="false">
      <c r="A11692" s="0" t="s">
        <v>1025</v>
      </c>
      <c r="B11692" s="0" t="s">
        <v>98</v>
      </c>
      <c r="D11692" s="6" t="n">
        <f aca="false">Sens!D11668</f>
        <v>72.61</v>
      </c>
      <c r="E11692" s="6" t="n">
        <f aca="false">Sens!E11668</f>
        <v>101.938</v>
      </c>
      <c r="F11692" s="6" t="n">
        <f aca="false">Sens!F11668</f>
        <v>146.709048000181</v>
      </c>
      <c r="G11692" s="6" t="n">
        <f aca="false">Sens!G11668</f>
        <v>199.762829861393</v>
      </c>
      <c r="H11692" s="6" t="n">
        <f aca="false">Sens!H11668</f>
        <v>254.146566109645</v>
      </c>
      <c r="I11692" s="6" t="n">
        <f aca="false">Sens!I11668</f>
        <v>303.439446964617</v>
      </c>
      <c r="J11692" s="6" t="n">
        <f aca="false">Sens!J11668</f>
        <v>341.309898459739</v>
      </c>
      <c r="K11692" s="6" t="n">
        <f aca="false">Sens!K11668</f>
        <v>368.09747789654</v>
      </c>
    </row>
    <row r="11693" customFormat="false" ht="17.15" hidden="false" customHeight="false" outlineLevel="0" collapsed="false">
      <c r="A11693" s="0" t="s">
        <v>1021</v>
      </c>
      <c r="B11693" s="0" t="s">
        <v>98</v>
      </c>
      <c r="D11693" s="6" t="n">
        <f aca="false">Sens!D11665</f>
        <v>12.9359794422418</v>
      </c>
      <c r="E11693" s="6" t="n">
        <f aca="false">Sens!E11665</f>
        <v>27.8095064661409</v>
      </c>
      <c r="F11693" s="6" t="n">
        <f aca="false">Sens!F11665</f>
        <v>55.4118315060966</v>
      </c>
      <c r="G11693" s="6" t="n">
        <f aca="false">Sens!G11665</f>
        <v>91.2881100675143</v>
      </c>
      <c r="H11693" s="6" t="n">
        <f aca="false">Sens!H11665</f>
        <v>128.195273603944</v>
      </c>
      <c r="I11693" s="6" t="n">
        <f aca="false">Sens!I11665</f>
        <v>160.601281810405</v>
      </c>
      <c r="J11693" s="6" t="n">
        <f aca="false">Sens!J11665</f>
        <v>183.182719793589</v>
      </c>
      <c r="K11693" s="6" t="n">
        <f aca="false">Sens!K11665</f>
        <v>197.320124937098</v>
      </c>
    </row>
    <row r="11694" customFormat="false" ht="17.15" hidden="false" customHeight="false" outlineLevel="0" collapsed="false">
      <c r="A11694" s="0" t="s">
        <v>1052</v>
      </c>
      <c r="B11694" s="0" t="s">
        <v>98</v>
      </c>
      <c r="D11694" s="6" t="n">
        <f aca="false">Sens!D11666</f>
        <v>59.6740205577583</v>
      </c>
      <c r="E11694" s="6" t="n">
        <f aca="false">Sens!E11666</f>
        <v>74.1284935338591</v>
      </c>
      <c r="F11694" s="6" t="n">
        <f aca="false">Sens!F11666</f>
        <v>91.2972164940844</v>
      </c>
      <c r="G11694" s="6" t="n">
        <f aca="false">Sens!G11666</f>
        <v>108.474719793879</v>
      </c>
      <c r="H11694" s="6" t="n">
        <f aca="false">Sens!H11666</f>
        <v>125.951292505701</v>
      </c>
      <c r="I11694" s="6" t="n">
        <f aca="false">Sens!I11666</f>
        <v>142.838165154212</v>
      </c>
      <c r="J11694" s="6" t="n">
        <f aca="false">Sens!J11666</f>
        <v>158.12717866615</v>
      </c>
      <c r="K11694" s="6" t="n">
        <f aca="false">Sens!K11666</f>
        <v>170.777352959442</v>
      </c>
    </row>
    <row r="11695" customFormat="false" ht="15" hidden="false" customHeight="false" outlineLevel="0" collapsed="false">
      <c r="A11695" s="0" t="s">
        <v>1032</v>
      </c>
      <c r="B11695" s="0" t="s">
        <v>98</v>
      </c>
      <c r="D11695" s="6" t="n">
        <f aca="false">Sens!D11673</f>
        <v>84.605</v>
      </c>
      <c r="E11695" s="6" t="n">
        <f aca="false">Sens!E11673</f>
        <v>100.299</v>
      </c>
      <c r="F11695" s="6" t="n">
        <f aca="false">Sens!F11673</f>
        <v>118.584003697747</v>
      </c>
      <c r="G11695" s="6" t="n">
        <f aca="false">Sens!G11673</f>
        <v>136.700726545688</v>
      </c>
      <c r="H11695" s="6" t="n">
        <f aca="false">Sens!H11673</f>
        <v>154.898624783666</v>
      </c>
      <c r="I11695" s="6" t="n">
        <f aca="false">Sens!I11673</f>
        <v>171.420510030657</v>
      </c>
      <c r="J11695" s="6" t="n">
        <f aca="false">Sens!J11673</f>
        <v>185.985722618572</v>
      </c>
      <c r="K11695" s="6" t="n">
        <f aca="false">Sens!K11673</f>
        <v>199.799723201872</v>
      </c>
    </row>
    <row r="11696" customFormat="false" ht="17.15" hidden="false" customHeight="false" outlineLevel="0" collapsed="false">
      <c r="A11696" s="0" t="s">
        <v>1053</v>
      </c>
      <c r="B11696" s="0" t="s">
        <v>98</v>
      </c>
      <c r="D11696" s="6" t="n">
        <f aca="false">Sens!D11671</f>
        <v>83.705</v>
      </c>
      <c r="E11696" s="6" t="n">
        <f aca="false">Sens!E11671</f>
        <v>95.049</v>
      </c>
      <c r="F11696" s="6" t="n">
        <f aca="false">Sens!F11671</f>
        <v>106.584003697747</v>
      </c>
      <c r="G11696" s="6" t="n">
        <f aca="false">Sens!G11671</f>
        <v>118.700726545688</v>
      </c>
      <c r="H11696" s="6" t="n">
        <f aca="false">Sens!H11671</f>
        <v>130.898624783666</v>
      </c>
      <c r="I11696" s="6" t="n">
        <f aca="false">Sens!I11671</f>
        <v>142.920510030657</v>
      </c>
      <c r="J11696" s="6" t="n">
        <f aca="false">Sens!J11671</f>
        <v>154.485722618572</v>
      </c>
      <c r="K11696" s="6" t="n">
        <f aca="false">Sens!K11671</f>
        <v>165.299723201872</v>
      </c>
    </row>
    <row r="11697" customFormat="false" ht="17.15" hidden="false" customHeight="false" outlineLevel="0" collapsed="false">
      <c r="A11697" s="0" t="s">
        <v>1054</v>
      </c>
      <c r="B11697" s="0" t="s">
        <v>98</v>
      </c>
      <c r="D11697" s="6" t="n">
        <f aca="false">Sens!D11670</f>
        <v>0.9</v>
      </c>
      <c r="E11697" s="6" t="n">
        <f aca="false">Sens!E11670</f>
        <v>5.25</v>
      </c>
      <c r="F11697" s="6" t="n">
        <f aca="false">Sens!F11670</f>
        <v>12</v>
      </c>
      <c r="G11697" s="6" t="n">
        <f aca="false">Sens!G11670</f>
        <v>18</v>
      </c>
      <c r="H11697" s="6" t="n">
        <f aca="false">Sens!H11670</f>
        <v>24</v>
      </c>
      <c r="I11697" s="6" t="n">
        <f aca="false">Sens!I11670</f>
        <v>28.5</v>
      </c>
      <c r="J11697" s="6" t="n">
        <f aca="false">Sens!J11670</f>
        <v>31.5</v>
      </c>
      <c r="K11697" s="6" t="n">
        <f aca="false">Sens!K11670</f>
        <v>34.5</v>
      </c>
    </row>
    <row r="11698" customFormat="false" ht="15" hidden="false" customHeight="false" outlineLevel="0" collapsed="false">
      <c r="A11698" s="0" t="s">
        <v>1033</v>
      </c>
      <c r="B11698" s="0" t="s">
        <v>98</v>
      </c>
      <c r="D11698" s="6" t="n">
        <f aca="false">Sens!D11674</f>
        <v>35.391</v>
      </c>
      <c r="E11698" s="6" t="n">
        <f aca="false">Sens!E11674</f>
        <v>37.285</v>
      </c>
      <c r="F11698" s="6" t="n">
        <f aca="false">Sens!F11674</f>
        <v>38.3851437782675</v>
      </c>
      <c r="G11698" s="6" t="n">
        <f aca="false">Sens!G11674</f>
        <v>40.0105353288615</v>
      </c>
      <c r="H11698" s="6" t="n">
        <f aca="false">Sens!H11674</f>
        <v>41.4812512033683</v>
      </c>
      <c r="I11698" s="6" t="n">
        <f aca="false">Sens!I11674</f>
        <v>42.7743107216329</v>
      </c>
      <c r="J11698" s="6" t="n">
        <f aca="false">Sens!J11674</f>
        <v>43.8687373064601</v>
      </c>
      <c r="K11698" s="6" t="n">
        <f aca="false">Sens!K11674</f>
        <v>44.7461120525893</v>
      </c>
    </row>
    <row r="11699" customFormat="false" ht="15" hidden="false" customHeight="false" outlineLevel="0" collapsed="false">
      <c r="A11699" s="0" t="s">
        <v>1035</v>
      </c>
      <c r="B11699" s="0" t="s">
        <v>98</v>
      </c>
      <c r="D11699" s="6" t="n">
        <f aca="false">Sens!D11676</f>
        <v>18.417</v>
      </c>
      <c r="E11699" s="6" t="n">
        <f aca="false">Sens!E11676</f>
        <v>20.345</v>
      </c>
      <c r="F11699" s="6" t="n">
        <f aca="false">Sens!F11676</f>
        <v>22.3161797133988</v>
      </c>
      <c r="G11699" s="6" t="n">
        <f aca="false">Sens!G11676</f>
        <v>24.3943499673233</v>
      </c>
      <c r="H11699" s="6" t="n">
        <f aca="false">Sens!H11676</f>
        <v>26.5250243109019</v>
      </c>
      <c r="I11699" s="6" t="n">
        <f aca="false">Sens!I11676</f>
        <v>28.6884573538181</v>
      </c>
      <c r="J11699" s="6" t="n">
        <f aca="false">Sens!J11676</f>
        <v>30.8624968052127</v>
      </c>
      <c r="K11699" s="6" t="n">
        <f aca="false">Sens!K11676</f>
        <v>33.0228715815776</v>
      </c>
    </row>
    <row r="11700" customFormat="false" ht="15" hidden="false" customHeight="false" outlineLevel="0" collapsed="false">
      <c r="A11700" s="0" t="s">
        <v>1036</v>
      </c>
      <c r="B11700" s="0" t="s">
        <v>98</v>
      </c>
      <c r="D11700" s="6" t="n">
        <f aca="false">Sens!D11678</f>
        <v>7.76</v>
      </c>
      <c r="E11700" s="6" t="n">
        <f aca="false">Sens!E11678</f>
        <v>8.26</v>
      </c>
      <c r="F11700" s="6" t="n">
        <f aca="false">Sens!F11678</f>
        <v>8.75372082474227</v>
      </c>
      <c r="G11700" s="6" t="n">
        <f aca="false">Sens!G11678</f>
        <v>9.33399324642364</v>
      </c>
      <c r="H11700" s="6" t="n">
        <f aca="false">Sens!H11678</f>
        <v>9.96139155535851</v>
      </c>
      <c r="I11700" s="6" t="n">
        <f aca="false">Sens!I11678</f>
        <v>10.6402039077391</v>
      </c>
      <c r="J11700" s="6" t="n">
        <f aca="false">Sens!J11678</f>
        <v>11.3751458271397</v>
      </c>
      <c r="K11700" s="6" t="n">
        <f aca="false">Sens!K11678</f>
        <v>12.1714060350394</v>
      </c>
    </row>
    <row r="11701" customFormat="false" ht="15" hidden="false" customHeight="false" outlineLevel="0" collapsed="false">
      <c r="A11701" s="0" t="s">
        <v>852</v>
      </c>
      <c r="B11701" s="0" t="s">
        <v>98</v>
      </c>
      <c r="D11701" s="6" t="n">
        <f aca="false">Sens!D11680</f>
        <v>218.783</v>
      </c>
      <c r="E11701" s="6" t="n">
        <f aca="false">Sens!E11680</f>
        <v>268.127</v>
      </c>
      <c r="F11701" s="6" t="n">
        <f aca="false">Sens!F11680</f>
        <v>334.748096014336</v>
      </c>
      <c r="G11701" s="6" t="n">
        <f aca="false">Sens!G11680</f>
        <v>410.20243494969</v>
      </c>
      <c r="H11701" s="6" t="n">
        <f aca="false">Sens!H11680</f>
        <v>487.012857962939</v>
      </c>
      <c r="I11701" s="6" t="n">
        <f aca="false">Sens!I11680</f>
        <v>556.962928978464</v>
      </c>
      <c r="J11701" s="6" t="n">
        <f aca="false">Sens!J11680</f>
        <v>613.402001017124</v>
      </c>
      <c r="K11701" s="6" t="n">
        <f aca="false">Sens!K11680</f>
        <v>657.837590767618</v>
      </c>
    </row>
    <row r="11702" customFormat="false" ht="15" hidden="false" customHeight="false" outlineLevel="0" collapsed="false">
      <c r="A11702" s="0" t="s">
        <v>1037</v>
      </c>
      <c r="B11702" s="0" t="s">
        <v>98</v>
      </c>
      <c r="D11702" s="6" t="n">
        <f aca="false">Sens!D11681</f>
        <v>22.171</v>
      </c>
      <c r="E11702" s="6" t="n">
        <f aca="false">Sens!E11681</f>
        <v>24.835</v>
      </c>
      <c r="F11702" s="6" t="n">
        <f aca="false">Sens!F11681</f>
        <v>27.5591895660247</v>
      </c>
      <c r="G11702" s="6" t="n">
        <f aca="false">Sens!G11681</f>
        <v>30.4098563144583</v>
      </c>
      <c r="H11702" s="6" t="n">
        <f aca="false">Sens!H11681</f>
        <v>33.3011792571777</v>
      </c>
      <c r="I11702" s="6" t="n">
        <f aca="false">Sens!I11681</f>
        <v>36.189023797112</v>
      </c>
      <c r="J11702" s="6" t="n">
        <f aca="false">Sens!J11681</f>
        <v>39.0247773769199</v>
      </c>
      <c r="K11702" s="6" t="n">
        <f aca="false">Sens!K11681</f>
        <v>41.7565117933043</v>
      </c>
    </row>
    <row r="11703" customFormat="false" ht="15" hidden="false" customHeight="false" outlineLevel="0" collapsed="false">
      <c r="A11703" s="0" t="s">
        <v>1038</v>
      </c>
      <c r="B11703" s="0" t="s">
        <v>98</v>
      </c>
      <c r="D11703" s="6" t="n">
        <f aca="false">Sens!D11683</f>
        <v>23.455</v>
      </c>
      <c r="E11703" s="6" t="n">
        <f aca="false">Sens!E11683</f>
        <v>21.79</v>
      </c>
      <c r="F11703" s="6" t="n">
        <f aca="false">Sens!F11683</f>
        <v>20.6435514375044</v>
      </c>
      <c r="G11703" s="6" t="n">
        <f aca="false">Sens!G11683</f>
        <v>19.5289786205326</v>
      </c>
      <c r="H11703" s="6" t="n">
        <f aca="false">Sens!H11683</f>
        <v>18.6405370670455</v>
      </c>
      <c r="I11703" s="6" t="n">
        <f aca="false">Sens!I11683</f>
        <v>17.950917993743</v>
      </c>
      <c r="J11703" s="6" t="n">
        <f aca="false">Sens!J11683</f>
        <v>17.4393557354192</v>
      </c>
      <c r="K11703" s="6" t="n">
        <f aca="false">Sens!K11683</f>
        <v>17.0905686207108</v>
      </c>
    </row>
    <row r="11704" customFormat="false" ht="15" hidden="false" customHeight="false" outlineLevel="0" collapsed="false">
      <c r="A11704" s="0" t="s">
        <v>1039</v>
      </c>
      <c r="B11704" s="0" t="s">
        <v>98</v>
      </c>
      <c r="D11704" s="6" t="n">
        <f aca="false">Sens!D11685</f>
        <v>17.315</v>
      </c>
      <c r="E11704" s="6" t="n">
        <f aca="false">Sens!E11685</f>
        <v>17.087</v>
      </c>
      <c r="F11704" s="6" t="n">
        <f aca="false">Sens!F11685</f>
        <v>15.9912273250553</v>
      </c>
      <c r="G11704" s="6" t="n">
        <f aca="false">Sens!G11685</f>
        <v>15.9574562664827</v>
      </c>
      <c r="H11704" s="6" t="n">
        <f aca="false">Sens!H11685</f>
        <v>16.0119687434196</v>
      </c>
      <c r="I11704" s="6" t="n">
        <f aca="false">Sens!I11685</f>
        <v>16.1551810001948</v>
      </c>
      <c r="J11704" s="6" t="n">
        <f aca="false">Sens!J11685</f>
        <v>16.3889793892005</v>
      </c>
      <c r="K11704" s="6" t="n">
        <f aca="false">Sens!K11685</f>
        <v>16.7167589769845</v>
      </c>
    </row>
    <row r="11705" customFormat="false" ht="15" hidden="false" customHeight="false" outlineLevel="0" collapsed="false">
      <c r="A11705" s="0" t="s">
        <v>866</v>
      </c>
      <c r="B11705" s="0" t="s">
        <v>98</v>
      </c>
      <c r="D11705" s="6" t="n">
        <f aca="false">Sens!D11687</f>
        <v>62.941</v>
      </c>
      <c r="E11705" s="6" t="n">
        <f aca="false">Sens!E11687</f>
        <v>63.712</v>
      </c>
      <c r="F11705" s="6" t="n">
        <f aca="false">Sens!F11687</f>
        <v>64.1939683285845</v>
      </c>
      <c r="G11705" s="6" t="n">
        <f aca="false">Sens!G11687</f>
        <v>65.8962912014735</v>
      </c>
      <c r="H11705" s="6" t="n">
        <f aca="false">Sens!H11687</f>
        <v>67.9536850676428</v>
      </c>
      <c r="I11705" s="6" t="n">
        <f aca="false">Sens!I11687</f>
        <v>70.2951227910498</v>
      </c>
      <c r="J11705" s="6" t="n">
        <f aca="false">Sens!J11687</f>
        <v>72.8531125015395</v>
      </c>
      <c r="K11705" s="6" t="n">
        <f aca="false">Sens!K11687</f>
        <v>75.5638393909996</v>
      </c>
    </row>
    <row r="11706" customFormat="false" ht="15" hidden="false" customHeight="false" outlineLevel="0" collapsed="false">
      <c r="A11706" s="1" t="s">
        <v>1055</v>
      </c>
      <c r="B11706" s="0" t="s">
        <v>98</v>
      </c>
      <c r="D11706" s="6" t="n">
        <f aca="false">Sens!D11688</f>
        <v>281.724</v>
      </c>
      <c r="E11706" s="6" t="n">
        <f aca="false">Sens!E11688</f>
        <v>331.839</v>
      </c>
      <c r="F11706" s="6" t="n">
        <f aca="false">Sens!F11688</f>
        <v>398.942064342921</v>
      </c>
      <c r="G11706" s="6" t="n">
        <f aca="false">Sens!G11688</f>
        <v>476.098726151163</v>
      </c>
      <c r="H11706" s="6" t="n">
        <f aca="false">Sens!H11688</f>
        <v>554.966543030582</v>
      </c>
      <c r="I11706" s="6" t="n">
        <f aca="false">Sens!I11688</f>
        <v>627.258051769514</v>
      </c>
      <c r="J11706" s="6" t="n">
        <f aca="false">Sens!J11688</f>
        <v>686.255113518663</v>
      </c>
      <c r="K11706" s="6" t="n">
        <f aca="false">Sens!K11688</f>
        <v>733.401430158618</v>
      </c>
    </row>
    <row r="11707" customFormat="false" ht="15" hidden="false" customHeight="false" outlineLevel="0" collapsed="false">
      <c r="A11707" s="1" t="s">
        <v>1056</v>
      </c>
      <c r="B11707" s="0" t="s">
        <v>168</v>
      </c>
      <c r="E11707" s="7" t="n">
        <f aca="false">Sens!E11706/Sens!D11706-1</f>
        <v>0.177886867998467</v>
      </c>
      <c r="F11707" s="7" t="n">
        <f aca="false">Sens!F11706/Sens!E11706-1</f>
        <v>0.202215726128999</v>
      </c>
      <c r="G11707" s="7" t="n">
        <f aca="false">Sens!G11706/Sens!F11706-1</f>
        <v>0.19340317480766</v>
      </c>
      <c r="H11707" s="7" t="n">
        <f aca="false">Sens!H11706/Sens!G11706-1</f>
        <v>0.165654332909048</v>
      </c>
      <c r="I11707" s="7" t="n">
        <f aca="false">Sens!I11706/Sens!H11706-1</f>
        <v>0.130262823312122</v>
      </c>
      <c r="J11707" s="7" t="n">
        <f aca="false">Sens!J11706/Sens!I11706-1</f>
        <v>0.0940554873432342</v>
      </c>
      <c r="K11707" s="7" t="n">
        <f aca="false">Sens!K11706/Sens!J11706-1</f>
        <v>0.0687008602358086</v>
      </c>
    </row>
    <row r="11708" customFormat="false" ht="17.15" hidden="false" customHeight="false" outlineLevel="0" collapsed="false">
      <c r="A11708" s="26" t="s">
        <v>1057</v>
      </c>
      <c r="B11708" s="31" t="s">
        <v>98</v>
      </c>
      <c r="C11708" s="31"/>
      <c r="D11708" s="27" t="n">
        <f aca="false">(Sens!D11701+Sens!D11705-Sens!D11706)+(Sens!D11693+Sens!D11694-Sens!D11692)+(Sens!D11696+Sens!D11697-Sens!D11695)+(Sens!D11706-Q!L18)</f>
        <v>0</v>
      </c>
      <c r="E11708" s="27" t="n">
        <f aca="false">(Sens!E11701+Sens!E11705-Sens!E11706)+(Sens!E11693+Sens!E11694-Sens!E11692)+(Sens!E11696+Sens!E11697-Sens!E11695)+(Sens!E11706-Q!M18)</f>
        <v>0</v>
      </c>
      <c r="F11708" s="27" t="n">
        <f aca="false">(Sens!F11701+Sens!F11705-Sens!F11706)+(Sens!F11693+Sens!F11694-Sens!F11692)+(Sens!F11696+Sens!F11697-Sens!F11695)</f>
        <v>0</v>
      </c>
      <c r="G11708" s="27" t="n">
        <f aca="false">(Sens!G11701+Sens!G11705-Sens!G11706)+(Sens!G11693+Sens!G11694-Sens!G11692)+(Sens!G11696+Sens!G11697-Sens!G11695)</f>
        <v>0</v>
      </c>
      <c r="H11708" s="27" t="n">
        <f aca="false">(Sens!H11701+Sens!H11705-Sens!H11706)+(Sens!H11693+Sens!H11694-Sens!H11692)+(Sens!H11696+Sens!H11697-Sens!H11695)</f>
        <v>0</v>
      </c>
      <c r="I11708" s="27" t="n">
        <f aca="false">(Sens!I11701+Sens!I11705-Sens!I11706)+(Sens!I11693+Sens!I11694-Sens!I11692)+(Sens!I11696+Sens!I11697-Sens!I11695)</f>
        <v>0</v>
      </c>
      <c r="J11708" s="27" t="n">
        <f aca="false">(Sens!J11701+Sens!J11705-Sens!J11706)+(Sens!J11693+Sens!J11694-Sens!J11692)+(Sens!J11696+Sens!J11697-Sens!J11695)</f>
        <v>0</v>
      </c>
      <c r="K11708" s="27" t="n">
        <f aca="false">(Sens!K11701+Sens!K11705-Sens!K11706)+(Sens!K11693+Sens!K11694-Sens!K11692)+(Sens!K11696+Sens!K11697-Sens!K11695)</f>
        <v>0</v>
      </c>
    </row>
    <row r="11709" customFormat="false" ht="17.15" hidden="false" customHeight="false" outlineLevel="0" collapsed="false">
      <c r="A11709" s="0" t="s">
        <v>1058</v>
      </c>
      <c r="B11709" s="0" t="s">
        <v>168</v>
      </c>
      <c r="E11709" s="7" t="n">
        <f aca="false">(Q!M21+Sens!E11645+Sens!E11646+Sens!E11647+Sens!E11661-Sens!E11643)/(Q!M5-Sens!E11643)</f>
        <v>0.570957350878296</v>
      </c>
      <c r="F11709" s="7" t="n">
        <f aca="false">Sens!$E$11709+dm_seg</f>
        <v>0.570957350878296</v>
      </c>
      <c r="G11709" s="7" t="n">
        <f aca="false">Sens!$E$11709+dm_seg</f>
        <v>0.570957350878296</v>
      </c>
      <c r="H11709" s="7" t="n">
        <f aca="false">Sens!$E$11709+dm_seg</f>
        <v>0.570957350878296</v>
      </c>
      <c r="I11709" s="7" t="n">
        <f aca="false">Sens!$E$11709+dm_seg</f>
        <v>0.570957350878296</v>
      </c>
      <c r="J11709" s="7" t="n">
        <f aca="false">Sens!$E$11709+dm_seg</f>
        <v>0.570957350878296</v>
      </c>
      <c r="K11709" s="7" t="n">
        <f aca="false">Sens!$E$11709+dm_seg</f>
        <v>0.570957350878296</v>
      </c>
      <c r="L11709" s="12" t="s">
        <v>1059</v>
      </c>
    </row>
    <row r="11710" customFormat="false" ht="17.15" hidden="false" customHeight="false" outlineLevel="0" collapsed="false">
      <c r="A11710" s="0" t="s">
        <v>880</v>
      </c>
      <c r="B11710" s="0" t="s">
        <v>98</v>
      </c>
      <c r="D11710" s="6" t="n">
        <f aca="false">Q!L21</f>
        <v>110.814</v>
      </c>
      <c r="E11710" s="6" t="n">
        <f aca="false">Q!M21</f>
        <v>136.365</v>
      </c>
      <c r="F11710" s="6" t="n">
        <f aca="false">Q!$I$21+(Sens!F11709*(Sens!F11680-Sens!F11643)+Sens!F11643-(Sens!F11645+Sens!F11646+Sens!F11647)-Sens!F11661-Sens!F11744)*(Sens!F11680-Q!$I$5)/Sens!F11680</f>
        <v>162.089636223038</v>
      </c>
      <c r="G11710" s="6" t="n">
        <f aca="false">(Sens!G11709*(Sens!G11680-Sens!G11643)+Sens!G11643-(Sens!G11645+Sens!G11646+Sens!G11647)-Sens!G11661-Sens!G11744)</f>
        <v>177.568610129394</v>
      </c>
      <c r="H11710" s="6" t="n">
        <f aca="false">(Sens!H11709*(Sens!H11680-Sens!H11643)+Sens!H11643-(Sens!H11645+Sens!H11646+Sens!H11647)-Sens!H11661-Sens!H11744)</f>
        <v>196.763422249719</v>
      </c>
      <c r="I11710" s="6" t="n">
        <f aca="false">(Sens!I11709*(Sens!I11680-Sens!I11643)+Sens!I11643-(Sens!I11645+Sens!I11646+Sens!I11647)-Sens!I11661-Sens!I11744)</f>
        <v>214.975345762527</v>
      </c>
      <c r="J11710" s="6" t="n">
        <f aca="false">(Sens!J11709*(Sens!J11680-Sens!J11643)+Sens!J11643-(Sens!J11645+Sens!J11646+Sens!J11647)-Sens!J11661-Sens!J11744)</f>
        <v>231.956862867284</v>
      </c>
      <c r="K11710" s="6" t="n">
        <f aca="false">(Sens!K11709*(Sens!K11680-Sens!K11643)+Sens!K11643-(Sens!K11645+Sens!K11646+Sens!K11647)-Sens!K11661-Sens!K11744)</f>
        <v>248.339554001995</v>
      </c>
      <c r="L11710" s="1" t="s">
        <v>1060</v>
      </c>
    </row>
    <row r="11711" customFormat="false" ht="17.15" hidden="false" customHeight="false" outlineLevel="0" collapsed="false">
      <c r="A11711" s="0" t="s">
        <v>1061</v>
      </c>
      <c r="B11711" s="0" t="s">
        <v>168</v>
      </c>
      <c r="E11711" s="7" t="n">
        <f aca="false">Q!M22/Q!M12</f>
        <v>0.296207935710698</v>
      </c>
      <c r="F11711" s="7" t="n">
        <f aca="false">Sens!$E$11711+dm_seg</f>
        <v>0.296207935710698</v>
      </c>
      <c r="G11711" s="7" t="n">
        <f aca="false">Sens!$E$11711+dm_seg</f>
        <v>0.296207935710698</v>
      </c>
      <c r="H11711" s="7" t="n">
        <f aca="false">Sens!$E$11711+dm_seg</f>
        <v>0.296207935710698</v>
      </c>
      <c r="I11711" s="7" t="n">
        <f aca="false">Sens!$E$11711+dm_seg</f>
        <v>0.296207935710698</v>
      </c>
      <c r="J11711" s="7" t="n">
        <f aca="false">Sens!$E$11711+dm_seg</f>
        <v>0.296207935710698</v>
      </c>
      <c r="K11711" s="7" t="n">
        <f aca="false">Sens!$E$11711+dm_seg</f>
        <v>0.296207935710698</v>
      </c>
      <c r="L11711" s="12" t="s">
        <v>1062</v>
      </c>
    </row>
    <row r="11712" customFormat="false" ht="17.15" hidden="false" customHeight="false" outlineLevel="0" collapsed="false">
      <c r="A11712" s="0" t="s">
        <v>882</v>
      </c>
      <c r="B11712" s="0" t="s">
        <v>98</v>
      </c>
      <c r="D11712" s="6" t="n">
        <f aca="false">Q!L22</f>
        <v>17.714</v>
      </c>
      <c r="E11712" s="6" t="n">
        <f aca="false">Q!M22</f>
        <v>18.872</v>
      </c>
      <c r="F11712" s="6" t="n">
        <f aca="false">Q!$I$22+(Sens!F11687-Q!$I$12)*Sens!F11711</f>
        <v>19.7852791671435</v>
      </c>
      <c r="G11712" s="6" t="n">
        <f aca="false">Sens!G11687*Sens!G11711</f>
        <v>19.5190043877795</v>
      </c>
      <c r="H11712" s="6" t="n">
        <f aca="false">Sens!H11687*Sens!H11711</f>
        <v>20.1284207778214</v>
      </c>
      <c r="I11712" s="6" t="n">
        <f aca="false">Sens!I11687*Sens!I11711</f>
        <v>20.8219732124669</v>
      </c>
      <c r="J11712" s="6" t="n">
        <f aca="false">Sens!J11687*Sens!J11711</f>
        <v>21.5796700641803</v>
      </c>
      <c r="K11712" s="6" t="n">
        <f aca="false">Sens!K11687*Sens!K11711</f>
        <v>22.3826088803827</v>
      </c>
      <c r="L11712" s="12" t="s">
        <v>1063</v>
      </c>
    </row>
    <row r="11713" customFormat="false" ht="15" hidden="false" customHeight="false" outlineLevel="0" collapsed="false">
      <c r="A11713" s="1" t="s">
        <v>1064</v>
      </c>
      <c r="B11713" s="0" t="s">
        <v>98</v>
      </c>
      <c r="D11713" s="6" t="n">
        <f aca="false">Sens!D11710+Sens!D11712</f>
        <v>128.528</v>
      </c>
      <c r="E11713" s="6" t="n">
        <f aca="false">Sens!E11710+Sens!E11712</f>
        <v>155.237</v>
      </c>
      <c r="F11713" s="6" t="n">
        <f aca="false">Sens!F11710+Sens!F11712</f>
        <v>181.874915390181</v>
      </c>
      <c r="G11713" s="6" t="n">
        <f aca="false">Sens!G11710+Sens!G11712</f>
        <v>197.087614517174</v>
      </c>
      <c r="H11713" s="6" t="n">
        <f aca="false">Sens!H11710+Sens!H11712</f>
        <v>216.89184302754</v>
      </c>
      <c r="I11713" s="6" t="n">
        <f aca="false">Sens!I11710+Sens!I11712</f>
        <v>235.797318974994</v>
      </c>
      <c r="J11713" s="6" t="n">
        <f aca="false">Sens!J11710+Sens!J11712</f>
        <v>253.536532931465</v>
      </c>
      <c r="K11713" s="6" t="n">
        <f aca="false">Sens!K11710+Sens!K11712</f>
        <v>270.722162882378</v>
      </c>
    </row>
    <row r="11714" customFormat="false" ht="15" hidden="false" customHeight="false" outlineLevel="0" collapsed="false">
      <c r="A11714" s="26" t="s">
        <v>1065</v>
      </c>
      <c r="B11714" s="31" t="s">
        <v>98</v>
      </c>
      <c r="C11714" s="31"/>
      <c r="D11714" s="27" t="n">
        <f aca="false">Sens!D11713-Q!L23</f>
        <v>0</v>
      </c>
      <c r="E11714" s="27" t="n">
        <f aca="false">Sens!E11713-Q!M23</f>
        <v>0</v>
      </c>
      <c r="F11714" s="31"/>
      <c r="G11714" s="31"/>
      <c r="H11714" s="31"/>
      <c r="I11714" s="31"/>
      <c r="J11714" s="31"/>
      <c r="K11714" s="31"/>
    </row>
    <row r="11715" customFormat="false" ht="15" hidden="false" customHeight="false" outlineLevel="0" collapsed="false">
      <c r="A11715" s="1" t="s">
        <v>1066</v>
      </c>
      <c r="B11715" s="0" t="s">
        <v>168</v>
      </c>
      <c r="D11715" s="7" t="n">
        <f aca="false">Sens!D11713/Sens!D11706</f>
        <v>0.456219562408598</v>
      </c>
      <c r="E11715" s="7" t="n">
        <f aca="false">Sens!E11713/Sens!E11706</f>
        <v>0.467808184089272</v>
      </c>
      <c r="F11715" s="7" t="n">
        <f aca="false">Sens!F11713/Sens!F11706</f>
        <v>0.455893052264967</v>
      </c>
      <c r="G11715" s="7" t="n">
        <f aca="false">Sens!G11713/Sens!G11706</f>
        <v>0.413963750985961</v>
      </c>
      <c r="H11715" s="7" t="n">
        <f aca="false">Sens!H11713/Sens!H11706</f>
        <v>0.390819673278193</v>
      </c>
      <c r="I11715" s="7" t="n">
        <f aca="false">Sens!I11713/Sens!I11706</f>
        <v>0.375917564246171</v>
      </c>
      <c r="J11715" s="7" t="n">
        <f aca="false">Sens!J11713/Sens!J11706</f>
        <v>0.369449389792517</v>
      </c>
      <c r="K11715" s="7" t="n">
        <f aca="false">Sens!K11713/Sens!K11706</f>
        <v>0.369132308378273</v>
      </c>
    </row>
    <row r="11716" customFormat="false" ht="17.15" hidden="false" customHeight="false" outlineLevel="0" collapsed="false">
      <c r="A11716" s="1" t="s">
        <v>1067</v>
      </c>
      <c r="B11716" s="0" t="s">
        <v>98</v>
      </c>
      <c r="F11716" s="6" t="n">
        <f aca="false">Sens!F11731</f>
        <v>9.7398427716299</v>
      </c>
      <c r="G11716" s="6" t="n">
        <f aca="false">Sens!G11731</f>
        <v>25.2753385959797</v>
      </c>
      <c r="H11716" s="6" t="n">
        <f aca="false">Sens!H11731</f>
        <v>42.2840253697948</v>
      </c>
      <c r="I11716" s="6" t="n">
        <f aca="false">Sens!I11731</f>
        <v>57.704943641581</v>
      </c>
      <c r="J11716" s="6" t="n">
        <f aca="false">Sens!J11731</f>
        <v>68.4828520908201</v>
      </c>
      <c r="K11716" s="6" t="n">
        <f aca="false">Sens!K11731</f>
        <v>74.3598374943249</v>
      </c>
      <c r="L11716" s="1" t="s">
        <v>1068</v>
      </c>
    </row>
    <row r="11717" customFormat="false" ht="17.15" hidden="false" customHeight="false" outlineLevel="0" collapsed="false">
      <c r="A11717" s="1" t="s">
        <v>1069</v>
      </c>
      <c r="B11717" s="0" t="s">
        <v>98</v>
      </c>
      <c r="D11717" s="6" t="n">
        <f aca="false">Sens!D11713</f>
        <v>128.528</v>
      </c>
      <c r="E11717" s="6" t="n">
        <f aca="false">Sens!E11713</f>
        <v>155.237</v>
      </c>
      <c r="F11717" s="6" t="n">
        <f aca="false">Sens!F11713+Sens!F11716</f>
        <v>191.614758161811</v>
      </c>
      <c r="G11717" s="6" t="n">
        <f aca="false">Sens!G11713+Sens!G11716</f>
        <v>222.362953113153</v>
      </c>
      <c r="H11717" s="6" t="n">
        <f aca="false">Sens!H11713+Sens!H11716</f>
        <v>259.175868397335</v>
      </c>
      <c r="I11717" s="6" t="n">
        <f aca="false">Sens!I11713+Sens!I11716</f>
        <v>293.502262616575</v>
      </c>
      <c r="J11717" s="6" t="n">
        <f aca="false">Sens!J11713+Sens!J11716</f>
        <v>322.019385022285</v>
      </c>
      <c r="K11717" s="6" t="n">
        <f aca="false">Sens!K11713+Sens!K11716</f>
        <v>345.082000376702</v>
      </c>
    </row>
    <row r="11718" customFormat="false" ht="17.15" hidden="false" customHeight="false" outlineLevel="0" collapsed="false">
      <c r="A11718" s="1" t="s">
        <v>1070</v>
      </c>
      <c r="B11718" s="0" t="s">
        <v>98</v>
      </c>
      <c r="E11718" s="6" t="n">
        <f aca="false">Sens!E11661</f>
        <v>16.3054059770833</v>
      </c>
      <c r="F11718" s="6" t="n">
        <f aca="false">Sens!F11661</f>
        <v>34.5793144783516</v>
      </c>
      <c r="G11718" s="6" t="n">
        <f aca="false">Sens!G11661</f>
        <v>60.7344906522989</v>
      </c>
      <c r="H11718" s="6" t="n">
        <f aca="false">Sens!H11661</f>
        <v>89.1000906614457</v>
      </c>
      <c r="I11718" s="6" t="n">
        <f aca="false">Sens!I11661</f>
        <v>114.231009694548</v>
      </c>
      <c r="J11718" s="6" t="n">
        <f aca="false">Sens!J11661</f>
        <v>132.015673049596</v>
      </c>
      <c r="K11718" s="6" t="n">
        <f aca="false">Sens!K11661</f>
        <v>143.012669550934</v>
      </c>
    </row>
    <row r="11719" customFormat="false" ht="17.15" hidden="false" customHeight="false" outlineLevel="0" collapsed="false">
      <c r="A11719" s="1" t="s">
        <v>1071</v>
      </c>
      <c r="B11719" s="0" t="s">
        <v>98</v>
      </c>
      <c r="E11719" s="6" t="n">
        <f aca="false">Sens!E11743</f>
        <v>22.2285940229167</v>
      </c>
      <c r="F11719" s="6" t="n">
        <f aca="false">Sens!F11743</f>
        <v>23.580344216413</v>
      </c>
      <c r="G11719" s="6" t="n">
        <f aca="false">Sens!G11743</f>
        <v>25.3572123980094</v>
      </c>
      <c r="H11719" s="6" t="n">
        <f aca="false">Sens!H11743</f>
        <v>27.525264789386</v>
      </c>
      <c r="I11719" s="6" t="n">
        <f aca="false">Sens!I11743</f>
        <v>30.017729128948</v>
      </c>
      <c r="J11719" s="6" t="n">
        <f aca="false">Sens!J11743</f>
        <v>32.7509659277258</v>
      </c>
      <c r="K11719" s="6" t="n">
        <f aca="false">Sens!K11743</f>
        <v>35.6403513154885</v>
      </c>
    </row>
    <row r="11720" customFormat="false" ht="17.15" hidden="false" customHeight="false" outlineLevel="0" collapsed="false">
      <c r="A11720" s="1" t="s">
        <v>1072</v>
      </c>
      <c r="B11720" s="0" t="s">
        <v>98</v>
      </c>
      <c r="D11720" s="6" t="n">
        <f aca="false">Q!L27</f>
        <v>-4.901</v>
      </c>
      <c r="E11720" s="6" t="n">
        <f aca="false">Q!M27</f>
        <v>10.697</v>
      </c>
      <c r="F11720" s="6" t="n">
        <f aca="false">Q!$I$27+oie_f*(q_per_yr-1)/q_per_yr</f>
        <v>-0.862</v>
      </c>
      <c r="G11720" s="6" t="n">
        <f aca="false">oie_f</f>
        <v>-1.2</v>
      </c>
      <c r="H11720" s="6" t="n">
        <f aca="false">oie_f</f>
        <v>-1.2</v>
      </c>
      <c r="I11720" s="6" t="n">
        <f aca="false">oie_f</f>
        <v>-1.2</v>
      </c>
      <c r="J11720" s="6" t="n">
        <f aca="false">oie_f</f>
        <v>-1.2</v>
      </c>
      <c r="K11720" s="6" t="n">
        <f aca="false">oie_f</f>
        <v>-1.2</v>
      </c>
      <c r="L11720" s="12" t="s">
        <v>1073</v>
      </c>
    </row>
    <row r="11721" customFormat="false" ht="15" hidden="false" customHeight="false" outlineLevel="0" collapsed="false">
      <c r="A11721" s="1" t="s">
        <v>1074</v>
      </c>
      <c r="B11721" s="0" t="s">
        <v>98</v>
      </c>
      <c r="D11721" s="6" t="n">
        <f aca="false">Sens!D11713+Sens!D11720</f>
        <v>123.627</v>
      </c>
      <c r="E11721" s="6" t="n">
        <f aca="false">Sens!E11713+Sens!E11720</f>
        <v>165.934</v>
      </c>
      <c r="F11721" s="6" t="n">
        <f aca="false">Sens!F11713+Sens!F11720</f>
        <v>181.012915390181</v>
      </c>
      <c r="G11721" s="6" t="n">
        <f aca="false">Sens!G11713+Sens!G11720</f>
        <v>195.887614517174</v>
      </c>
      <c r="H11721" s="6" t="n">
        <f aca="false">Sens!H11713+Sens!H11720</f>
        <v>215.69184302754</v>
      </c>
      <c r="I11721" s="6" t="n">
        <f aca="false">Sens!I11713+Sens!I11720</f>
        <v>234.597318974994</v>
      </c>
      <c r="J11721" s="6" t="n">
        <f aca="false">Sens!J11713+Sens!J11720</f>
        <v>252.336532931465</v>
      </c>
      <c r="K11721" s="6" t="n">
        <f aca="false">Sens!K11713+Sens!K11720</f>
        <v>269.522162882378</v>
      </c>
    </row>
    <row r="11722" customFormat="false" ht="15" hidden="false" customHeight="false" outlineLevel="0" collapsed="false">
      <c r="A11722" s="1" t="s">
        <v>1075</v>
      </c>
      <c r="B11722" s="0" t="s">
        <v>98</v>
      </c>
      <c r="D11722" s="6" t="n">
        <f aca="false">Q!L29</f>
        <v>21.795</v>
      </c>
      <c r="E11722" s="6" t="n">
        <f aca="false">Q!M29</f>
        <v>32.185</v>
      </c>
      <c r="F11722" s="6" t="n">
        <f aca="false">Q!$I$29+(Sens!F11721-Q!$I$28)*tax_f</f>
        <v>36.3359830780362</v>
      </c>
      <c r="G11722" s="6" t="n">
        <f aca="false">Sens!G11721*tax_f</f>
        <v>39.1775229034347</v>
      </c>
      <c r="H11722" s="6" t="n">
        <f aca="false">Sens!H11721*tax_f</f>
        <v>43.1383686055081</v>
      </c>
      <c r="I11722" s="6" t="n">
        <f aca="false">Sens!I11721*tax_f</f>
        <v>46.9194637949988</v>
      </c>
      <c r="J11722" s="6" t="n">
        <f aca="false">Sens!J11721*tax_f</f>
        <v>50.4673065862929</v>
      </c>
      <c r="K11722" s="6" t="n">
        <f aca="false">Sens!K11721*tax_f</f>
        <v>53.9044325764755</v>
      </c>
    </row>
    <row r="11723" customFormat="false" ht="15" hidden="false" customHeight="false" outlineLevel="0" collapsed="false">
      <c r="A11723" s="1" t="s">
        <v>1076</v>
      </c>
      <c r="B11723" s="0" t="s">
        <v>98</v>
      </c>
      <c r="D11723" s="6" t="n">
        <f aca="false">Sens!D11721-Sens!D11722</f>
        <v>101.832</v>
      </c>
      <c r="E11723" s="6" t="n">
        <f aca="false">Sens!E11721-Sens!E11722</f>
        <v>133.749</v>
      </c>
      <c r="F11723" s="6" t="n">
        <f aca="false">Sens!F11721-Sens!F11722</f>
        <v>144.676932312145</v>
      </c>
      <c r="G11723" s="6" t="n">
        <f aca="false">Sens!G11721-Sens!G11722</f>
        <v>156.710091613739</v>
      </c>
      <c r="H11723" s="6" t="n">
        <f aca="false">Sens!H11721-Sens!H11722</f>
        <v>172.553474422032</v>
      </c>
      <c r="I11723" s="6" t="n">
        <f aca="false">Sens!I11721-Sens!I11722</f>
        <v>187.677855179995</v>
      </c>
      <c r="J11723" s="6" t="n">
        <f aca="false">Sens!J11721-Sens!J11722</f>
        <v>201.869226345172</v>
      </c>
      <c r="K11723" s="6" t="n">
        <f aca="false">Sens!K11721-Sens!K11722</f>
        <v>215.617730305902</v>
      </c>
    </row>
    <row r="11724" customFormat="false" ht="17.15" hidden="false" customHeight="false" outlineLevel="0" collapsed="false">
      <c r="A11724" s="1" t="s">
        <v>1077</v>
      </c>
      <c r="B11724" s="1" t="s">
        <v>81</v>
      </c>
      <c r="D11724" s="15" t="n">
        <f aca="false">Q!L31</f>
        <v>7.465</v>
      </c>
      <c r="E11724" s="15" t="n">
        <f aca="false">Q!M31</f>
        <v>7.453</v>
      </c>
      <c r="F11724" s="15" t="n">
        <f aca="false">Sens!F11768</f>
        <v>7.47328176979485</v>
      </c>
      <c r="G11724" s="15" t="n">
        <f aca="false">Sens!G11768</f>
        <v>7.51806353958971</v>
      </c>
      <c r="H11724" s="15" t="n">
        <f aca="false">Sens!H11768</f>
        <v>7.54576347861851</v>
      </c>
      <c r="I11724" s="15" t="n">
        <f aca="false">Sens!I11768</f>
        <v>7.55744484267398</v>
      </c>
      <c r="J11724" s="15" t="n">
        <f aca="false">Sens!J11768</f>
        <v>7.57159425383645</v>
      </c>
      <c r="K11724" s="15" t="n">
        <f aca="false">Sens!K11768</f>
        <v>7.5880288938017</v>
      </c>
    </row>
    <row r="11725" customFormat="false" ht="17.15" hidden="false" customHeight="false" outlineLevel="0" collapsed="false">
      <c r="A11725" s="0" t="s">
        <v>1078</v>
      </c>
      <c r="B11725" s="0" t="s">
        <v>75</v>
      </c>
      <c r="D11725" s="8" t="n">
        <f aca="false">Sens!D11723/Sens!D11724</f>
        <v>13.641259209645</v>
      </c>
      <c r="E11725" s="8" t="n">
        <f aca="false">Sens!E11723/Sens!E11724</f>
        <v>17.9456594659869</v>
      </c>
      <c r="F11725" s="8" t="n">
        <f aca="false">Sens!F11723/Sens!F11724</f>
        <v>19.3592235337483</v>
      </c>
      <c r="G11725" s="8" t="n">
        <f aca="false">Sens!G11723/Sens!G11724</f>
        <v>20.8444755472619</v>
      </c>
      <c r="H11725" s="8" t="n">
        <f aca="false">Sens!H11723/Sens!H11724</f>
        <v>22.8675964878803</v>
      </c>
      <c r="I11725" s="8" t="n">
        <f aca="false">Sens!I11723/Sens!I11724</f>
        <v>24.8335064412579</v>
      </c>
      <c r="J11725" s="8" t="n">
        <f aca="false">Sens!J11723/Sens!J11724</f>
        <v>26.661389870817</v>
      </c>
      <c r="K11725" s="8" t="n">
        <f aca="false">Sens!K11723/Sens!K11724</f>
        <v>28.4155125558404</v>
      </c>
      <c r="L11725" s="1" t="s">
        <v>1079</v>
      </c>
    </row>
    <row r="11726" customFormat="false" ht="17.15" hidden="false" customHeight="false" outlineLevel="0" collapsed="false">
      <c r="A11726" s="1" t="s">
        <v>1080</v>
      </c>
      <c r="B11726" s="0" t="s">
        <v>98</v>
      </c>
      <c r="D11726" s="6" t="n">
        <f aca="false">Sens!D11723</f>
        <v>101.832</v>
      </c>
      <c r="E11726" s="6" t="n">
        <f aca="false">Sens!E11723</f>
        <v>133.749</v>
      </c>
      <c r="F11726" s="6" t="n">
        <f aca="false">Sens!F11723+Sens!F11716*(1-tax_f)</f>
        <v>152.468806529449</v>
      </c>
      <c r="G11726" s="6" t="n">
        <f aca="false">Sens!G11723+Sens!G11716*(1-tax_f)</f>
        <v>176.930362490523</v>
      </c>
      <c r="H11726" s="6" t="n">
        <f aca="false">Sens!H11723+Sens!H11716*(1-tax_f)</f>
        <v>206.380694717868</v>
      </c>
      <c r="I11726" s="6" t="n">
        <f aca="false">Sens!I11723+Sens!I11716*(1-tax_f)</f>
        <v>233.84181009326</v>
      </c>
      <c r="J11726" s="6" t="n">
        <f aca="false">Sens!J11723+Sens!J11716*(1-tax_f)</f>
        <v>256.655508017828</v>
      </c>
      <c r="K11726" s="6" t="n">
        <f aca="false">Sens!K11723+Sens!K11716*(1-tax_f)</f>
        <v>275.105600301362</v>
      </c>
    </row>
    <row r="11727" customFormat="false" ht="17.15" hidden="false" customHeight="false" outlineLevel="0" collapsed="false">
      <c r="A11727" s="0" t="s">
        <v>1081</v>
      </c>
      <c r="B11727" s="0" t="s">
        <v>75</v>
      </c>
      <c r="D11727" s="8" t="n">
        <f aca="false">Sens!D11726/Sens!D11724</f>
        <v>13.641259209645</v>
      </c>
      <c r="E11727" s="8" t="n">
        <f aca="false">Sens!E11726/Sens!E11724</f>
        <v>17.9456594659869</v>
      </c>
      <c r="F11727" s="8" t="n">
        <f aca="false">Sens!F11726/Sens!F11724</f>
        <v>20.4018543962426</v>
      </c>
      <c r="G11727" s="8" t="n">
        <f aca="false">Sens!G11726/Sens!G11724</f>
        <v>23.5340339382365</v>
      </c>
      <c r="H11727" s="8" t="n">
        <f aca="false">Sens!H11726/Sens!H11724</f>
        <v>27.350538524387</v>
      </c>
      <c r="I11727" s="8" t="n">
        <f aca="false">Sens!I11726/Sens!I11724</f>
        <v>30.9419142264652</v>
      </c>
      <c r="J11727" s="8" t="n">
        <f aca="false">Sens!J11726/Sens!J11724</f>
        <v>33.8971555280822</v>
      </c>
      <c r="K11727" s="8" t="n">
        <f aca="false">Sens!K11726/Sens!K11724</f>
        <v>36.2552125395941</v>
      </c>
      <c r="L11727" s="1" t="s">
        <v>1082</v>
      </c>
    </row>
    <row r="11728" customFormat="false" ht="17.15" hidden="false" customHeight="false" outlineLevel="0" collapsed="false">
      <c r="A11728" s="0" t="s">
        <v>1083</v>
      </c>
      <c r="B11728" s="0" t="s">
        <v>168</v>
      </c>
      <c r="E11728" s="7" t="n">
        <f aca="false">Sens!E11727/Sens!D11727-1</f>
        <v>0.315542736208578</v>
      </c>
      <c r="F11728" s="7" t="n">
        <f aca="false">Sens!F11727/Sens!E11727-1</f>
        <v>0.136868468662914</v>
      </c>
      <c r="G11728" s="7" t="n">
        <f aca="false">Sens!G11727/Sens!F11727-1</f>
        <v>0.153524257215106</v>
      </c>
      <c r="H11728" s="7" t="n">
        <f aca="false">Sens!H11727/Sens!G11727-1</f>
        <v>0.162169587932383</v>
      </c>
      <c r="I11728" s="7" t="n">
        <f aca="false">Sens!I11727/Sens!H11727-1</f>
        <v>0.131309140362116</v>
      </c>
      <c r="J11728" s="7" t="n">
        <f aca="false">Sens!J11727/Sens!I11727-1</f>
        <v>0.0955093236956015</v>
      </c>
      <c r="K11728" s="7" t="n">
        <f aca="false">Sens!K11727/Sens!J11727-1</f>
        <v>0.0695650409238136</v>
      </c>
    </row>
    <row r="11729" customFormat="false" ht="17.15" hidden="false" customHeight="false" outlineLevel="0" collapsed="false">
      <c r="A11729" s="0" t="s">
        <v>1003</v>
      </c>
      <c r="B11729" s="0" t="s">
        <v>98</v>
      </c>
      <c r="E11729" s="6" t="n">
        <f aca="false">Sens!E11670</f>
        <v>5.25</v>
      </c>
      <c r="F11729" s="6" t="n">
        <f aca="false">Sens!F11670</f>
        <v>12</v>
      </c>
      <c r="G11729" s="6" t="n">
        <f aca="false">Sens!G11670</f>
        <v>18</v>
      </c>
      <c r="H11729" s="6" t="n">
        <f aca="false">Sens!H11670</f>
        <v>24</v>
      </c>
      <c r="I11729" s="6" t="n">
        <f aca="false">Sens!I11670</f>
        <v>28.5</v>
      </c>
      <c r="J11729" s="6" t="n">
        <f aca="false">Sens!J11670</f>
        <v>31.5</v>
      </c>
      <c r="K11729" s="6" t="n">
        <f aca="false">Sens!K11670</f>
        <v>34.5</v>
      </c>
    </row>
    <row r="11730" customFormat="false" ht="17.15" hidden="false" customHeight="false" outlineLevel="0" collapsed="false">
      <c r="A11730" s="1" t="s">
        <v>1004</v>
      </c>
      <c r="B11730" s="0" t="s">
        <v>98</v>
      </c>
      <c r="F11730" s="6" t="n">
        <f aca="false">MAX(0,((Sens!E11630+Sens!F11630)/2-(shadow_base*(Sens!$D$11630+Sens!$E$11630)/2+(1-shadow_base)*Sens!$E$11630))*Sens!F11639/1000-(Sens!F11729-Sens!$E$11729)*Sens!F11709)</f>
        <v>9.7398427716299</v>
      </c>
      <c r="G11730" s="6" t="n">
        <f aca="false">MAX(0,((Sens!F11630+Sens!G11630)/2-(shadow_base*(Sens!$D$11630+Sens!$E$11630)/2+(1-shadow_base)*Sens!$E$11630))*Sens!G11639/1000-(Sens!G11729-Sens!$E$11729)*Sens!G11709)</f>
        <v>25.2753385959797</v>
      </c>
      <c r="H11730" s="6" t="n">
        <f aca="false">MAX(0,((Sens!G11630+Sens!H11630)/2-(shadow_base*(Sens!$D$11630+Sens!$E$11630)/2+(1-shadow_base)*Sens!$E$11630))*Sens!H11639/1000-(Sens!H11729-Sens!$E$11729)*Sens!H11709)</f>
        <v>42.2840253697948</v>
      </c>
      <c r="I11730" s="6" t="n">
        <f aca="false">MAX(0,((Sens!H11630+Sens!I11630)/2-(shadow_base*(Sens!$D$11630+Sens!$E$11630)/2+(1-shadow_base)*Sens!$E$11630))*Sens!I11639/1000-(Sens!I11729-Sens!$E$11729)*Sens!I11709)</f>
        <v>57.704943641581</v>
      </c>
      <c r="J11730" s="6" t="n">
        <f aca="false">MAX(0,((Sens!I11630+Sens!J11630)/2-(shadow_base*(Sens!$D$11630+Sens!$E$11630)/2+(1-shadow_base)*Sens!$E$11630))*Sens!J11639/1000-(Sens!J11729-Sens!$E$11729)*Sens!J11709)</f>
        <v>68.4828520908201</v>
      </c>
      <c r="K11730" s="6" t="n">
        <f aca="false">MAX(0,((Sens!J11630+Sens!K11630)/2-(shadow_base*(Sens!$D$11630+Sens!$E$11630)/2+(1-shadow_base)*Sens!$E$11630))*Sens!K11639/1000-(Sens!K11729-Sens!$E$11729)*Sens!K11709)</f>
        <v>74.3598374943249</v>
      </c>
      <c r="L11730" s="1" t="s">
        <v>1005</v>
      </c>
    </row>
    <row r="11731" customFormat="false" ht="17.15" hidden="false" customHeight="false" outlineLevel="0" collapsed="false">
      <c r="A11731" s="1" t="s">
        <v>1006</v>
      </c>
      <c r="B11731" s="0" t="s">
        <v>98</v>
      </c>
      <c r="F11731" s="6" t="n">
        <f aca="false">IF(internal_ai_reading=2,1,0)*Sens!F11730</f>
        <v>9.7398427716299</v>
      </c>
      <c r="G11731" s="6" t="n">
        <f aca="false">IF(internal_ai_reading=2,1,0)*Sens!G11730</f>
        <v>25.2753385959797</v>
      </c>
      <c r="H11731" s="6" t="n">
        <f aca="false">IF(internal_ai_reading=2,1,0)*Sens!H11730</f>
        <v>42.2840253697948</v>
      </c>
      <c r="I11731" s="6" t="n">
        <f aca="false">IF(internal_ai_reading=2,1,0)*Sens!I11730</f>
        <v>57.704943641581</v>
      </c>
      <c r="J11731" s="6" t="n">
        <f aca="false">IF(internal_ai_reading=2,1,0)*Sens!J11730</f>
        <v>68.4828520908201</v>
      </c>
      <c r="K11731" s="6" t="n">
        <f aca="false">IF(internal_ai_reading=2,1,0)*Sens!K11730</f>
        <v>74.3598374943249</v>
      </c>
    </row>
    <row r="11732" customFormat="false" ht="17.15" hidden="false" customHeight="false" outlineLevel="0" collapsed="false">
      <c r="A11732" s="0" t="s">
        <v>1007</v>
      </c>
      <c r="B11732" s="0" t="s">
        <v>98</v>
      </c>
      <c r="F11732" s="6" t="n">
        <f aca="false">Sens!F11649+Sens!F11729*Sens!F11709+Sens!F11731-Sens!F11650-Sens!F11661</f>
        <v>14.8152827562272</v>
      </c>
      <c r="G11732" s="6" t="n">
        <f aca="false">Sens!G11649+Sens!G11729*Sens!G11709+Sens!G11731-Sens!G11650-Sens!G11661</f>
        <v>31.0349977765951</v>
      </c>
      <c r="H11732" s="6" t="n">
        <f aca="false">Sens!H11649+Sens!H11729*Sens!H11709+Sens!H11731-Sens!H11650-Sens!H11661</f>
        <v>47.8811519709826</v>
      </c>
      <c r="I11732" s="6" t="n">
        <f aca="false">Sens!I11649+Sens!I11729*Sens!I11709+Sens!I11731-Sens!I11650-Sens!I11661</f>
        <v>62.6472166574028</v>
      </c>
      <c r="J11732" s="6" t="n">
        <f aca="false">Sens!J11649+Sens!J11729*Sens!J11709+Sens!J11731-Sens!J11650-Sens!J11661</f>
        <v>72.7882253357034</v>
      </c>
      <c r="K11732" s="6" t="n">
        <f aca="false">Sens!K11649+Sens!K11729*Sens!K11709+Sens!K11731-Sens!K11650-Sens!K11661</f>
        <v>79.4617812140187</v>
      </c>
    </row>
    <row r="11733" customFormat="false" ht="17.15" hidden="false" customHeight="false" outlineLevel="0" collapsed="false">
      <c r="A11733" s="0" t="s">
        <v>1008</v>
      </c>
      <c r="B11733" s="0" t="s">
        <v>98</v>
      </c>
      <c r="E11733" s="6" t="n">
        <f aca="false">Sens!E11629*(cxit_open+self_build*tk_cxfac)/1000*ai_net_open</f>
        <v>126.6980382</v>
      </c>
      <c r="F11733" s="6" t="n">
        <f aca="false">Sens!E11733+Sens!F11658-Sens!F11661</f>
        <v>260.572627763768</v>
      </c>
      <c r="G11733" s="6" t="n">
        <f aca="false">Sens!F11733+Sens!G11658-Sens!G11661</f>
        <v>391.782612760517</v>
      </c>
      <c r="H11733" s="6" t="n">
        <f aca="false">Sens!G11733+Sens!H11658-Sens!H11661</f>
        <v>499.488526163584</v>
      </c>
      <c r="I11733" s="6" t="n">
        <f aca="false">Sens!H11733+Sens!I11658-Sens!I11661</f>
        <v>553.872350090646</v>
      </c>
      <c r="J11733" s="6" t="n">
        <f aca="false">Sens!I11733+Sens!J11658-Sens!J11661</f>
        <v>550.78660823699</v>
      </c>
      <c r="K11733" s="6" t="n">
        <f aca="false">Sens!J11733+Sens!K11658-Sens!K11661</f>
        <v>526.736791750789</v>
      </c>
      <c r="L11733" s="1" t="s">
        <v>1009</v>
      </c>
    </row>
    <row r="11734" customFormat="false" ht="17.15" hidden="false" customHeight="false" outlineLevel="0" collapsed="false">
      <c r="A11734" s="0" t="s">
        <v>1010</v>
      </c>
      <c r="B11734" s="0" t="s">
        <v>168</v>
      </c>
      <c r="F11734" s="7" t="n">
        <f aca="false">Sens!F11732*(1-tax_f)/((Sens!E11733+Sens!F11733)/2)</f>
        <v>0.0612090057246454</v>
      </c>
      <c r="G11734" s="7" t="n">
        <f aca="false">Sens!G11732*(1-tax_f)/((Sens!F11733+Sens!G11733)/2)</f>
        <v>0.0761180310326695</v>
      </c>
      <c r="H11734" s="7" t="n">
        <f aca="false">Sens!H11732*(1-tax_f)/((Sens!G11733+Sens!H11733)/2)</f>
        <v>0.0859557095566361</v>
      </c>
      <c r="I11734" s="7" t="n">
        <f aca="false">Sens!I11732*(1-tax_f)/((Sens!H11733+Sens!I11733)/2)</f>
        <v>0.0951578408800258</v>
      </c>
      <c r="J11734" s="7" t="n">
        <f aca="false">Sens!J11732*(1-tax_f)/((Sens!I11733+Sens!J11733)/2)</f>
        <v>0.105427253958487</v>
      </c>
      <c r="K11734" s="7" t="n">
        <f aca="false">Sens!K11732*(1-tax_f)/((Sens!J11733+Sens!K11733)/2)</f>
        <v>0.117991729872291</v>
      </c>
    </row>
    <row r="11735" customFormat="false" ht="17.15" hidden="false" customHeight="false" outlineLevel="0" collapsed="false">
      <c r="A11735" s="1" t="s">
        <v>1011</v>
      </c>
      <c r="B11735" s="0" t="s">
        <v>168</v>
      </c>
      <c r="F11735" s="7" t="n">
        <f aca="false">(Sens!F11732-Sens!F11731)*(1-tax_f)/((Sens!E11733+Sens!F11733)/2)</f>
        <v>0.0209690655375262</v>
      </c>
      <c r="G11735" s="7" t="n">
        <f aca="false">(Sens!G11732-Sens!G11731)*(1-tax_f)/((Sens!F11733+Sens!G11733)/2)</f>
        <v>0.014126436206105</v>
      </c>
      <c r="H11735" s="7" t="n">
        <f aca="false">(Sens!H11732-Sens!H11731)*(1-tax_f)/((Sens!G11733+Sens!H11733)/2)</f>
        <v>0.010047899197893</v>
      </c>
      <c r="I11735" s="7" t="n">
        <f aca="false">(Sens!I11732-Sens!I11731)*(1-tax_f)/((Sens!H11733+Sens!I11733)/2)</f>
        <v>0.00750705385359908</v>
      </c>
      <c r="J11735" s="7" t="n">
        <f aca="false">(Sens!J11732-Sens!J11731)*(1-tax_f)/((Sens!I11733+Sens!J11733)/2)</f>
        <v>0.00623594924015468</v>
      </c>
      <c r="K11735" s="7" t="n">
        <f aca="false">(Sens!K11732-Sens!K11731)*(1-tax_f)/((Sens!J11733+Sens!K11733)/2)</f>
        <v>0.00757580758951754</v>
      </c>
    </row>
    <row r="11736" customFormat="false" ht="17.15" hidden="false" customHeight="false" outlineLevel="0" collapsed="false">
      <c r="A11736" s="1" t="s">
        <v>1012</v>
      </c>
      <c r="B11736" s="0" t="s">
        <v>168</v>
      </c>
      <c r="F11736" s="7" t="n">
        <f aca="false">(Sens!F11732-Sens!F11731+Sens!F11730)*(1-tax_f)/((Sens!E11733+Sens!F11733)/2)</f>
        <v>0.0612090057246454</v>
      </c>
      <c r="G11736" s="7" t="n">
        <f aca="false">(Sens!G11732-Sens!G11731+Sens!G11730)*(1-tax_f)/((Sens!F11733+Sens!G11733)/2)</f>
        <v>0.0761180310326695</v>
      </c>
      <c r="H11736" s="7" t="n">
        <f aca="false">(Sens!H11732-Sens!H11731+Sens!H11730)*(1-tax_f)/((Sens!G11733+Sens!H11733)/2)</f>
        <v>0.0859557095566361</v>
      </c>
      <c r="I11736" s="7" t="n">
        <f aca="false">(Sens!I11732-Sens!I11731+Sens!I11730)*(1-tax_f)/((Sens!H11733+Sens!I11733)/2)</f>
        <v>0.0951578408800258</v>
      </c>
      <c r="J11736" s="7" t="n">
        <f aca="false">(Sens!J11732-Sens!J11731+Sens!J11730)*(1-tax_f)/((Sens!I11733+Sens!J11733)/2)</f>
        <v>0.105427253958487</v>
      </c>
      <c r="K11736" s="7" t="n">
        <f aca="false">(Sens!K11732-Sens!K11731+Sens!K11730)*(1-tax_f)/((Sens!J11733+Sens!K11733)/2)</f>
        <v>0.117991729872291</v>
      </c>
    </row>
    <row r="11737" customFormat="false" ht="17.15" hidden="false" customHeight="false" outlineLevel="0" collapsed="false">
      <c r="A11737" s="1" t="s">
        <v>1013</v>
      </c>
      <c r="B11737" s="0" t="s">
        <v>168</v>
      </c>
      <c r="F11737" s="7" t="n">
        <f aca="false">Sens!F11662*(1-tax_f)/(Sens!F11648*(Sens!E11733+Sens!F11733)/2)</f>
        <v>0.129294830495493</v>
      </c>
      <c r="G11737" s="7" t="n">
        <f aca="false">Sens!G11662*(1-tax_f)/(Sens!G11648*(Sens!F11733+Sens!G11733)/2)</f>
        <v>0.12719599062164</v>
      </c>
      <c r="H11737" s="7" t="n">
        <f aca="false">Sens!H11662*(1-tax_f)/(Sens!H11648*(Sens!G11733+Sens!H11733)/2)</f>
        <v>0.130828167067624</v>
      </c>
      <c r="I11737" s="7" t="n">
        <f aca="false">Sens!I11662*(1-tax_f)/(Sens!I11648*(Sens!H11733+Sens!I11733)/2)</f>
        <v>0.138614526937417</v>
      </c>
      <c r="J11737" s="7" t="n">
        <f aca="false">Sens!J11662*(1-tax_f)/(Sens!J11648*(Sens!I11733+Sens!J11733)/2)</f>
        <v>0.150578919010924</v>
      </c>
      <c r="K11737" s="7" t="n">
        <f aca="false">Sens!K11662*(1-tax_f)/(Sens!K11648*(Sens!J11733+Sens!K11733)/2)</f>
        <v>0.167005345886664</v>
      </c>
    </row>
    <row r="11738" customFormat="false" ht="17.15" hidden="false" customHeight="false" outlineLevel="0" collapsed="false">
      <c r="A11738" s="0" t="s">
        <v>1014</v>
      </c>
      <c r="B11738" s="0" t="s">
        <v>253</v>
      </c>
      <c r="F11738" s="7" t="n">
        <f aca="false">Sens!F11734-wacc</f>
        <v>-0.0417275852209519</v>
      </c>
      <c r="G11738" s="7" t="n">
        <f aca="false">Sens!G11734-wacc</f>
        <v>-0.0268185599129278</v>
      </c>
      <c r="H11738" s="7" t="n">
        <f aca="false">Sens!H11734-wacc</f>
        <v>-0.0169808813889612</v>
      </c>
      <c r="I11738" s="7" t="n">
        <f aca="false">Sens!I11734-wacc</f>
        <v>-0.00777875006557149</v>
      </c>
      <c r="J11738" s="7" t="n">
        <f aca="false">Sens!J11734-wacc</f>
        <v>0.0024906630128898</v>
      </c>
      <c r="K11738" s="7" t="n">
        <f aca="false">Sens!K11734-wacc</f>
        <v>0.0150551389266932</v>
      </c>
    </row>
    <row r="11739" customFormat="false" ht="17.15" hidden="false" customHeight="false" outlineLevel="0" collapsed="false">
      <c r="A11739" s="0" t="s">
        <v>1015</v>
      </c>
      <c r="B11739" s="0" t="s">
        <v>98</v>
      </c>
      <c r="F11739" s="6" t="n">
        <f aca="false">Sens!F11732*(1-tax_f)-wacc*(Sens!E11733+Sens!F11733)/2</f>
        <v>-8.07993485878896</v>
      </c>
      <c r="G11739" s="6" t="n">
        <f aca="false">Sens!G11732*(1-tax_f)-wacc*(Sens!F11733+Sens!G11733)/2</f>
        <v>-8.74761405125648</v>
      </c>
      <c r="H11739" s="6" t="n">
        <f aca="false">Sens!H11732*(1-tax_f)-wacc*(Sens!G11733+Sens!H11733)/2</f>
        <v>-7.56728474773728</v>
      </c>
      <c r="I11739" s="6" t="n">
        <f aca="false">Sens!I11732*(1-tax_f)-wacc*(Sens!H11733+Sens!I11733)/2</f>
        <v>-4.09691549261652</v>
      </c>
      <c r="J11739" s="6" t="n">
        <f aca="false">Sens!J11732*(1-tax_f)-wacc*(Sens!I11733+Sens!J11733)/2</f>
        <v>1.37566660468201</v>
      </c>
      <c r="K11739" s="6" t="n">
        <f aca="false">Sens!K11732*(1-tax_f)-wacc*(Sens!J11733+Sens!K11733)/2</f>
        <v>8.11113224178941</v>
      </c>
    </row>
    <row r="11740" customFormat="false" ht="17.15" hidden="false" customHeight="false" outlineLevel="0" collapsed="false">
      <c r="A11740" s="3" t="s">
        <v>1773</v>
      </c>
    </row>
    <row r="11741" customFormat="false" ht="15" hidden="false" customHeight="false" outlineLevel="0" collapsed="false">
      <c r="A11741" s="4" t="s">
        <v>43</v>
      </c>
      <c r="B11741" s="4" t="s">
        <v>65</v>
      </c>
      <c r="C11741" s="23" t="s">
        <v>938</v>
      </c>
      <c r="D11741" s="23" t="s">
        <v>939</v>
      </c>
      <c r="E11741" s="23" t="s">
        <v>940</v>
      </c>
      <c r="F11741" s="23" t="s">
        <v>941</v>
      </c>
      <c r="G11741" s="23" t="s">
        <v>942</v>
      </c>
      <c r="H11741" s="23" t="s">
        <v>943</v>
      </c>
      <c r="I11741" s="23" t="s">
        <v>944</v>
      </c>
      <c r="J11741" s="23" t="s">
        <v>945</v>
      </c>
      <c r="K11741" s="23" t="s">
        <v>946</v>
      </c>
      <c r="L11741" s="4" t="s">
        <v>47</v>
      </c>
    </row>
    <row r="11742" customFormat="false" ht="15" hidden="false" customHeight="false" outlineLevel="0" collapsed="false">
      <c r="A11742" s="1" t="s">
        <v>1076</v>
      </c>
      <c r="B11742" s="0" t="s">
        <v>98</v>
      </c>
      <c r="F11742" s="6" t="n">
        <f aca="false">Sens!F11723</f>
        <v>144.676932312145</v>
      </c>
      <c r="G11742" s="6" t="n">
        <f aca="false">Sens!G11723</f>
        <v>156.710091613739</v>
      </c>
      <c r="H11742" s="6" t="n">
        <f aca="false">Sens!H11723</f>
        <v>172.553474422032</v>
      </c>
      <c r="I11742" s="6" t="n">
        <f aca="false">Sens!I11723</f>
        <v>187.677855179995</v>
      </c>
      <c r="J11742" s="6" t="n">
        <f aca="false">Sens!J11723</f>
        <v>201.869226345172</v>
      </c>
      <c r="K11742" s="6" t="n">
        <f aca="false">Sens!K11723</f>
        <v>215.617730305902</v>
      </c>
    </row>
    <row r="11743" customFormat="false" ht="17.15" hidden="false" customHeight="false" outlineLevel="0" collapsed="false">
      <c r="A11743" s="1" t="s">
        <v>1098</v>
      </c>
      <c r="B11743" s="0" t="s">
        <v>98</v>
      </c>
      <c r="E11743" s="6" t="n">
        <f aca="false">Q!M38-Sens!E11661</f>
        <v>22.2285940229167</v>
      </c>
      <c r="F11743" s="6" t="n">
        <f aca="false">Sens!E11743*(1-1/life_nonai)+(Sens!F11751+Sens!F11752)/life_nonai</f>
        <v>23.580344216413</v>
      </c>
      <c r="G11743" s="6" t="n">
        <f aca="false">Sens!F11743*(1-1/life_nonai)+(Sens!G11751)/life_nonai</f>
        <v>25.3572123980094</v>
      </c>
      <c r="H11743" s="6" t="n">
        <f aca="false">Sens!G11743*(1-1/life_nonai)+(Sens!H11751)/life_nonai</f>
        <v>27.525264789386</v>
      </c>
      <c r="I11743" s="6" t="n">
        <f aca="false">Sens!H11743*(1-1/life_nonai)+(Sens!I11751)/life_nonai</f>
        <v>30.017729128948</v>
      </c>
      <c r="J11743" s="6" t="n">
        <f aca="false">Sens!I11743*(1-1/life_nonai)+(Sens!J11751)/life_nonai</f>
        <v>32.7509659277258</v>
      </c>
      <c r="K11743" s="6" t="n">
        <f aca="false">Sens!J11743*(1-1/life_nonai)+(Sens!K11751)/life_nonai</f>
        <v>35.6403513154885</v>
      </c>
      <c r="L11743" s="12" t="s">
        <v>1099</v>
      </c>
    </row>
    <row r="11744" customFormat="false" ht="17.15" hidden="false" customHeight="false" outlineLevel="0" collapsed="false">
      <c r="A11744" s="1" t="s">
        <v>1100</v>
      </c>
      <c r="B11744" s="0" t="s">
        <v>98</v>
      </c>
      <c r="F11744" s="6" t="n">
        <f aca="false">Sens!$F$11752/life_nonai*(1-1/life_nonai)^(Sens!F11624-2027)</f>
        <v>0.000327585865768043</v>
      </c>
      <c r="G11744" s="6" t="n">
        <f aca="false">Sens!$F$11752/life_nonai*(1-1/life_nonai)^(Sens!G11624-2027)</f>
        <v>0.000294827279191239</v>
      </c>
      <c r="H11744" s="6" t="n">
        <f aca="false">Sens!$F$11752/life_nonai*(1-1/life_nonai)^(Sens!H11624-2027)</f>
        <v>0.000265344551272115</v>
      </c>
      <c r="I11744" s="6" t="n">
        <f aca="false">Sens!$F$11752/life_nonai*(1-1/life_nonai)^(Sens!I11624-2027)</f>
        <v>0.000238810096144903</v>
      </c>
      <c r="J11744" s="6" t="n">
        <f aca="false">Sens!$F$11752/life_nonai*(1-1/life_nonai)^(Sens!J11624-2027)</f>
        <v>0.000214929086530413</v>
      </c>
      <c r="K11744" s="6" t="n">
        <f aca="false">Sens!$F$11752/life_nonai*(1-1/life_nonai)^(Sens!K11624-2027)</f>
        <v>0.000193436177877372</v>
      </c>
      <c r="L11744" s="1" t="s">
        <v>1101</v>
      </c>
    </row>
    <row r="11745" customFormat="false" ht="17.15" hidden="false" customHeight="false" outlineLevel="0" collapsed="false">
      <c r="A11745" s="1" t="s">
        <v>1102</v>
      </c>
      <c r="B11745" s="0" t="s">
        <v>98</v>
      </c>
      <c r="E11745" s="6" t="n">
        <f aca="false">Sens!E11661+Sens!E11743</f>
        <v>38.534</v>
      </c>
      <c r="F11745" s="6" t="n">
        <f aca="false">Sens!F11661+Sens!F11743</f>
        <v>58.1596586947647</v>
      </c>
      <c r="G11745" s="6" t="n">
        <f aca="false">Sens!G11661+Sens!G11743</f>
        <v>86.0917030503083</v>
      </c>
      <c r="H11745" s="6" t="n">
        <f aca="false">Sens!H11661+Sens!H11743</f>
        <v>116.625355450832</v>
      </c>
      <c r="I11745" s="6" t="n">
        <f aca="false">Sens!I11661+Sens!I11743</f>
        <v>144.248738823496</v>
      </c>
      <c r="J11745" s="6" t="n">
        <f aca="false">Sens!J11661+Sens!J11743</f>
        <v>164.766638977322</v>
      </c>
      <c r="K11745" s="6" t="n">
        <f aca="false">Sens!K11661+Sens!K11743</f>
        <v>178.653020866423</v>
      </c>
    </row>
    <row r="11746" customFormat="false" ht="17.15" hidden="false" customHeight="false" outlineLevel="0" collapsed="false">
      <c r="A11746" s="1" t="s">
        <v>1103</v>
      </c>
      <c r="B11746" s="0" t="s">
        <v>98</v>
      </c>
      <c r="F11746" s="6" t="n">
        <f aca="false">Sens!F11688*sbc_r</f>
        <v>14.9134860826302</v>
      </c>
      <c r="G11746" s="6" t="n">
        <f aca="false">Sens!G11688*sbc_r</f>
        <v>17.7978016384608</v>
      </c>
      <c r="H11746" s="6" t="n">
        <f aca="false">Sens!H11688*sbc_r</f>
        <v>20.7460845961275</v>
      </c>
      <c r="I11746" s="6" t="n">
        <f aca="false">Sens!I11688*sbc_r</f>
        <v>23.4485281482912</v>
      </c>
      <c r="J11746" s="6" t="n">
        <f aca="false">Sens!J11688*sbc_r</f>
        <v>25.6539908907603</v>
      </c>
      <c r="K11746" s="6" t="n">
        <f aca="false">Sens!K11688*sbc_r</f>
        <v>27.4164421334372</v>
      </c>
    </row>
    <row r="11747" customFormat="false" ht="17.15" hidden="false" customHeight="false" outlineLevel="0" collapsed="false">
      <c r="A11747" s="1" t="s">
        <v>1104</v>
      </c>
      <c r="B11747" s="0" t="s">
        <v>98</v>
      </c>
      <c r="F11747" s="6" t="n">
        <f aca="false">wc27-wc26q1</f>
        <v>-4.677</v>
      </c>
      <c r="G11747" s="6" t="n">
        <f aca="false">wc_f</f>
        <v>0</v>
      </c>
      <c r="H11747" s="6" t="n">
        <f aca="false">wc_f</f>
        <v>0</v>
      </c>
      <c r="I11747" s="6" t="n">
        <f aca="false">wc_f</f>
        <v>0</v>
      </c>
      <c r="J11747" s="6" t="n">
        <f aca="false">wc_f</f>
        <v>0</v>
      </c>
      <c r="K11747" s="6" t="n">
        <f aca="false">wc_f</f>
        <v>0</v>
      </c>
      <c r="L11747" s="12" t="s">
        <v>1105</v>
      </c>
    </row>
    <row r="11748" customFormat="false" ht="17.15" hidden="false" customHeight="false" outlineLevel="0" collapsed="false">
      <c r="A11748" s="0" t="s">
        <v>1106</v>
      </c>
      <c r="B11748" s="0" t="s">
        <v>98</v>
      </c>
      <c r="F11748" s="6" t="n">
        <f aca="false">Q!$I$35-Q!$I$26-Q!$I$38-Q!$I$39</f>
        <v>6.493</v>
      </c>
      <c r="L11748" s="1" t="s">
        <v>1107</v>
      </c>
    </row>
    <row r="11749" customFormat="false" ht="15" hidden="false" customHeight="false" outlineLevel="0" collapsed="false">
      <c r="A11749" s="1" t="s">
        <v>904</v>
      </c>
      <c r="B11749" s="0" t="s">
        <v>98</v>
      </c>
      <c r="E11749" s="6" t="n">
        <f aca="false">Q!M35</f>
        <v>182.935</v>
      </c>
      <c r="F11749" s="6" t="n">
        <f aca="false">Sens!F11742+Sens!F11745+Sens!F11746+Sens!F11747+Sens!F11748</f>
        <v>219.56607708954</v>
      </c>
      <c r="G11749" s="6" t="n">
        <f aca="false">Sens!G11742+Sens!G11745+Sens!G11746+Sens!G11747</f>
        <v>260.599596302508</v>
      </c>
      <c r="H11749" s="6" t="n">
        <f aca="false">Sens!H11742+Sens!H11745+Sens!H11746+Sens!H11747</f>
        <v>309.924914468992</v>
      </c>
      <c r="I11749" s="6" t="n">
        <f aca="false">Sens!I11742+Sens!I11745+Sens!I11746+Sens!I11747</f>
        <v>355.375122151783</v>
      </c>
      <c r="J11749" s="6" t="n">
        <f aca="false">Sens!J11742+Sens!J11745+Sens!J11746+Sens!J11747</f>
        <v>392.289856213254</v>
      </c>
      <c r="K11749" s="6" t="n">
        <f aca="false">Sens!K11742+Sens!K11745+Sens!K11746+Sens!K11747</f>
        <v>421.687193305762</v>
      </c>
    </row>
    <row r="11750" customFormat="false" ht="17.15" hidden="false" customHeight="false" outlineLevel="0" collapsed="false">
      <c r="A11750" s="0" t="s">
        <v>1108</v>
      </c>
      <c r="B11750" s="0" t="s">
        <v>98</v>
      </c>
      <c r="F11750" s="6" t="n">
        <f aca="false">Sens!F11658</f>
        <v>168.45390404212</v>
      </c>
      <c r="G11750" s="6" t="n">
        <f aca="false">Sens!G11658</f>
        <v>191.944475649048</v>
      </c>
      <c r="H11750" s="6" t="n">
        <f aca="false">Sens!H11658</f>
        <v>196.806004064512</v>
      </c>
      <c r="I11750" s="6" t="n">
        <f aca="false">Sens!I11658</f>
        <v>168.61483362161</v>
      </c>
      <c r="J11750" s="6" t="n">
        <f aca="false">Sens!J11658</f>
        <v>128.92993119594</v>
      </c>
      <c r="K11750" s="6" t="n">
        <f aca="false">Sens!K11658</f>
        <v>118.962853064733</v>
      </c>
    </row>
    <row r="11751" customFormat="false" ht="17.15" hidden="false" customHeight="false" outlineLevel="0" collapsed="false">
      <c r="A11751" s="1" t="s">
        <v>1109</v>
      </c>
      <c r="B11751" s="0" t="s">
        <v>98</v>
      </c>
      <c r="E11751" s="6" t="n">
        <f aca="false">Sens!E11666*cx_azo+Sens!E11673*cx_m365+Sens!E11674*cx_lic+(Sens!E11676+Sens!E11678)*cx_ind+Sens!E11681*cx_srch+(Sens!E11683+Sens!E11685)*cx_dev</f>
        <v>30.1846587067718</v>
      </c>
      <c r="F11751" s="6" t="n">
        <f aca="false">Sens!F11666*cx_azo+Sens!F11673*cx_m365+Sens!F11674*cx_lic+(Sens!F11676+Sens!F11678)*cx_ind+Sens!F11681*cx_srch+(Sens!F11683+Sens!F11685)*cx_dev</f>
        <v>35.7428200992227</v>
      </c>
      <c r="G11751" s="6" t="n">
        <f aca="false">Sens!G11666*cx_azo+Sens!G11673*cx_m365+Sens!G11674*cx_lic+(Sens!G11676+Sens!G11678)*cx_ind+Sens!G11681*cx_srch+(Sens!G11683+Sens!G11685)*cx_dev</f>
        <v>41.3490260323763</v>
      </c>
      <c r="H11751" s="6" t="n">
        <f aca="false">Sens!H11666*cx_azo+Sens!H11673*cx_m365+Sens!H11674*cx_lic+(Sens!H11676+Sens!H11678)*cx_ind+Sens!H11681*cx_srch+(Sens!H11683+Sens!H11685)*cx_dev</f>
        <v>47.0377363117754</v>
      </c>
      <c r="I11751" s="6" t="n">
        <f aca="false">Sens!I11666*cx_azo+Sens!I11673*cx_m365+Sens!I11674*cx_lic+(Sens!I11676+Sens!I11678)*cx_ind+Sens!I11681*cx_srch+(Sens!I11683+Sens!I11685)*cx_dev</f>
        <v>52.4499081850058</v>
      </c>
      <c r="J11751" s="6" t="n">
        <f aca="false">Sens!J11666*cx_azo+Sens!J11673*cx_m365+Sens!J11674*cx_lic+(Sens!J11676+Sens!J11678)*cx_ind+Sens!J11681*cx_srch+(Sens!J11683+Sens!J11685)*cx_dev</f>
        <v>57.3500971167262</v>
      </c>
      <c r="K11751" s="6" t="n">
        <f aca="false">Sens!K11666*cx_azo+Sens!K11673*cx_m365+Sens!K11674*cx_lic+(Sens!K11676+Sens!K11678)*cx_ind+Sens!K11681*cx_srch+(Sens!K11683+Sens!K11685)*cx_dev</f>
        <v>61.6448198053534</v>
      </c>
    </row>
    <row r="11752" customFormat="false" ht="17.15" hidden="false" customHeight="false" outlineLevel="0" collapsed="false">
      <c r="A11752" s="0" t="s">
        <v>1110</v>
      </c>
      <c r="B11752" s="0" t="s">
        <v>98</v>
      </c>
      <c r="F11752" s="6" t="n">
        <f aca="false">Sens!F11656</f>
        <v>0.00327585865768043</v>
      </c>
      <c r="L11752" s="1" t="s">
        <v>1111</v>
      </c>
    </row>
    <row r="11753" customFormat="false" ht="17.15" hidden="false" customHeight="false" outlineLevel="0" collapsed="false">
      <c r="A11753" s="1" t="s">
        <v>1112</v>
      </c>
      <c r="B11753" s="0" t="s">
        <v>98</v>
      </c>
      <c r="E11753" s="6" t="n">
        <f aca="false">Q!M43</f>
        <v>145.3</v>
      </c>
      <c r="F11753" s="6" t="n">
        <f aca="false">Sens!F11750+Sens!F11751+Sens!F11752</f>
        <v>204.2</v>
      </c>
      <c r="G11753" s="6" t="n">
        <f aca="false">Sens!G11750+Sens!G11751</f>
        <v>233.293501681424</v>
      </c>
      <c r="H11753" s="6" t="n">
        <f aca="false">Sens!H11750+Sens!H11751</f>
        <v>243.843740376288</v>
      </c>
      <c r="I11753" s="6" t="n">
        <f aca="false">Sens!I11750+Sens!I11751</f>
        <v>221.064741806616</v>
      </c>
      <c r="J11753" s="6" t="n">
        <f aca="false">Sens!J11750+Sens!J11751</f>
        <v>186.280028312667</v>
      </c>
      <c r="K11753" s="6" t="n">
        <f aca="false">Sens!K11750+Sens!K11751</f>
        <v>180.607672870086</v>
      </c>
      <c r="L11753" s="1" t="s">
        <v>1113</v>
      </c>
    </row>
    <row r="11754" customFormat="false" ht="15" hidden="false" customHeight="false" outlineLevel="0" collapsed="false">
      <c r="A11754" s="1" t="s">
        <v>1114</v>
      </c>
      <c r="B11754" s="0" t="s">
        <v>98</v>
      </c>
      <c r="E11754" s="6" t="n">
        <f aca="false">fl_liab</f>
        <v>66.594</v>
      </c>
      <c r="F11754" s="6" t="n">
        <f aca="false">Sens!E11754-Sens!F11755</f>
        <v>62.46973</v>
      </c>
      <c r="G11754" s="6" t="n">
        <f aca="false">Sens!F11754-Sens!G11755</f>
        <v>57.98686785</v>
      </c>
      <c r="H11754" s="6" t="n">
        <f aca="false">Sens!G11754-Sens!H11755</f>
        <v>53.92827690325</v>
      </c>
      <c r="I11754" s="6" t="n">
        <f aca="false">Sens!H11754-Sens!I11755</f>
        <v>49.7850493638962</v>
      </c>
      <c r="J11754" s="6" t="n">
        <f aca="false">Sens!I11754-Sens!J11755</f>
        <v>45.4823765852716</v>
      </c>
      <c r="K11754" s="6" t="n">
        <f aca="false">Sens!J11754-Sens!K11755</f>
        <v>40.9860835316088</v>
      </c>
    </row>
    <row r="11755" customFormat="false" ht="15" hidden="false" customHeight="false" outlineLevel="0" collapsed="false">
      <c r="A11755" s="1" t="s">
        <v>1115</v>
      </c>
      <c r="B11755" s="0" t="s">
        <v>98</v>
      </c>
      <c r="F11755" s="6" t="n">
        <f aca="false">fl_pay_27-Sens!E11754*fl_rate</f>
        <v>4.12427</v>
      </c>
      <c r="G11755" s="6" t="n">
        <f aca="false">fl_pay_28-Sens!F11754*fl_rate</f>
        <v>4.48286215</v>
      </c>
      <c r="H11755" s="6" t="n">
        <f aca="false">fl_pay_29-Sens!G11754*fl_rate</f>
        <v>4.05859094675</v>
      </c>
      <c r="I11755" s="6" t="n">
        <f aca="false">fl_pay_30-Sens!H11754*fl_rate</f>
        <v>4.14322753935375</v>
      </c>
      <c r="J11755" s="6" t="n">
        <f aca="false">fl_pay_31-Sens!I11754*fl_rate</f>
        <v>4.30267277862467</v>
      </c>
      <c r="K11755" s="6" t="n">
        <f aca="false">fl_pay_32-Sens!J11754*fl_rate</f>
        <v>4.49629305366278</v>
      </c>
    </row>
    <row r="11756" customFormat="false" ht="17.15" hidden="false" customHeight="false" outlineLevel="0" collapsed="false">
      <c r="A11756" s="1" t="s">
        <v>1116</v>
      </c>
      <c r="B11756" s="0" t="s">
        <v>98</v>
      </c>
      <c r="E11756" s="6" t="n">
        <f aca="false">Q!M35-Q!M36-Q!M44</f>
        <v>63.886</v>
      </c>
      <c r="F11756" s="6" t="n">
        <f aca="false">Sens!F11749-Sens!F11753-Sens!F11755</f>
        <v>11.2418070895399</v>
      </c>
      <c r="G11756" s="6" t="n">
        <f aca="false">Sens!G11749-Sens!G11753-Sens!G11755</f>
        <v>22.8232324710835</v>
      </c>
      <c r="H11756" s="6" t="n">
        <f aca="false">Sens!H11749-Sens!H11753-Sens!H11755</f>
        <v>62.0225831459539</v>
      </c>
      <c r="I11756" s="6" t="n">
        <f aca="false">Sens!I11749-Sens!I11753-Sens!I11755</f>
        <v>130.167152805813</v>
      </c>
      <c r="J11756" s="6" t="n">
        <f aca="false">Sens!J11749-Sens!J11753-Sens!J11755</f>
        <v>201.707155121963</v>
      </c>
      <c r="K11756" s="6" t="n">
        <f aca="false">Sens!K11749-Sens!K11753-Sens!K11755</f>
        <v>236.583227382013</v>
      </c>
      <c r="L11756" s="12" t="s">
        <v>1117</v>
      </c>
    </row>
    <row r="11757" customFormat="false" ht="15" hidden="false" customHeight="false" outlineLevel="0" collapsed="false">
      <c r="A11757" s="1" t="s">
        <v>1118</v>
      </c>
      <c r="B11757" s="0" t="s">
        <v>75</v>
      </c>
      <c r="F11757" s="8" t="n">
        <f aca="false">dps_27</f>
        <v>3.85</v>
      </c>
      <c r="G11757" s="8" t="n">
        <f aca="false">Sens!F11757*(1+dps_g)</f>
        <v>4.158</v>
      </c>
      <c r="H11757" s="8" t="n">
        <f aca="false">Sens!G11757*(1+dps_g)</f>
        <v>4.49064</v>
      </c>
      <c r="I11757" s="8" t="n">
        <f aca="false">Sens!H11757*(1+dps_g)</f>
        <v>4.8498912</v>
      </c>
      <c r="J11757" s="8" t="n">
        <f aca="false">Sens!I11757*(1+dps_g)</f>
        <v>5.237882496</v>
      </c>
      <c r="K11757" s="8" t="n">
        <f aca="false">Sens!J11757*(1+dps_g)</f>
        <v>5.65691309568</v>
      </c>
    </row>
    <row r="11758" customFormat="false" ht="17.15" hidden="false" customHeight="false" outlineLevel="0" collapsed="false">
      <c r="A11758" s="1" t="s">
        <v>1119</v>
      </c>
      <c r="B11758" s="0" t="s">
        <v>98</v>
      </c>
      <c r="E11758" s="6" t="n">
        <f aca="false">Q!M41</f>
        <v>26.445</v>
      </c>
      <c r="F11758" s="6" t="n">
        <f aca="false">Sens!F11757*Sens!E11767</f>
        <v>28.59395</v>
      </c>
      <c r="G11758" s="6" t="n">
        <f aca="false">Sens!G11757*Sens!F11767</f>
        <v>31.066761197614</v>
      </c>
      <c r="H11758" s="6" t="n">
        <f aca="false">Sens!H11757*Sens!G11767</f>
        <v>33.7541808934231</v>
      </c>
      <c r="I11758" s="6" t="n">
        <f aca="false">Sens!I11757*Sens!H11767</f>
        <v>36.5049536419696</v>
      </c>
      <c r="J11758" s="6" t="n">
        <f aca="false">Sens!J11757*Sens!I11767</f>
        <v>39.4932478187198</v>
      </c>
      <c r="K11758" s="6" t="n">
        <f aca="false">Sens!K11757*Sens!J11767</f>
        <v>42.7394619065957</v>
      </c>
      <c r="L11758" s="1" t="s">
        <v>1120</v>
      </c>
    </row>
    <row r="11759" customFormat="false" ht="15" hidden="false" customHeight="false" outlineLevel="0" collapsed="false">
      <c r="A11759" s="1" t="s">
        <v>1121</v>
      </c>
      <c r="B11759" s="0" t="s">
        <v>98</v>
      </c>
      <c r="E11759" s="6" t="n">
        <f aca="false">Sens!E11756-Sens!E11758</f>
        <v>37.441</v>
      </c>
      <c r="F11759" s="6" t="n">
        <f aca="false">Sens!F11756-Sens!F11758</f>
        <v>-17.3521429104601</v>
      </c>
      <c r="G11759" s="6" t="n">
        <f aca="false">Sens!G11756-Sens!G11758</f>
        <v>-8.24352872653047</v>
      </c>
      <c r="H11759" s="6" t="n">
        <f aca="false">Sens!H11756-Sens!H11758</f>
        <v>28.2684022525307</v>
      </c>
      <c r="I11759" s="6" t="n">
        <f aca="false">Sens!I11756-Sens!I11758</f>
        <v>93.6621991638434</v>
      </c>
      <c r="J11759" s="6" t="n">
        <f aca="false">Sens!J11756-Sens!J11758</f>
        <v>162.213907303243</v>
      </c>
      <c r="K11759" s="6" t="n">
        <f aca="false">Sens!K11756-Sens!K11758</f>
        <v>193.843765475417</v>
      </c>
    </row>
    <row r="11760" customFormat="false" ht="15" hidden="false" customHeight="false" outlineLevel="0" collapsed="false">
      <c r="A11760" s="1" t="s">
        <v>1122</v>
      </c>
      <c r="B11760" s="0" t="s">
        <v>98</v>
      </c>
      <c r="F11760" s="6" t="n">
        <f aca="false">debt_mat_27</f>
        <v>9.25</v>
      </c>
      <c r="G11760" s="6" t="n">
        <f aca="false">debt_mat_28</f>
        <v>0</v>
      </c>
      <c r="H11760" s="6" t="n">
        <f aca="false">debt_mat_29</f>
        <v>2.001</v>
      </c>
      <c r="I11760" s="6" t="n">
        <f aca="false">debt_mat_30</f>
        <v>0</v>
      </c>
      <c r="J11760" s="6" t="n">
        <f aca="false">debt_mat_31</f>
        <v>0.5</v>
      </c>
      <c r="K11760" s="6" t="n">
        <f aca="false">debt_mat_32</f>
        <v>0</v>
      </c>
    </row>
    <row r="11761" customFormat="false" ht="15" hidden="false" customHeight="false" outlineLevel="0" collapsed="false">
      <c r="A11761" s="1" t="s">
        <v>1123</v>
      </c>
      <c r="B11761" s="0" t="s">
        <v>98</v>
      </c>
      <c r="E11761" s="6" t="n">
        <f aca="false">Q!M40</f>
        <v>22.271</v>
      </c>
      <c r="F11761" s="6" t="n">
        <f aca="false">MAX(0,MIN(bb_target,Sens!E11763+Sens!F11759-Sens!F11760-min_cash))</f>
        <v>0.240857089539887</v>
      </c>
      <c r="G11761" s="6" t="n">
        <f aca="false">MAX(0,MIN(bb_target,Sens!F11763+Sens!G11759-Sens!G11760-min_cash))</f>
        <v>0</v>
      </c>
      <c r="H11761" s="6" t="n">
        <f aca="false">MAX(0,MIN(bb_target,Sens!G11763+Sens!H11759-Sens!H11760-min_cash))</f>
        <v>22.271</v>
      </c>
      <c r="I11761" s="6" t="n">
        <f aca="false">MAX(0,MIN(bb_target,Sens!H11763+Sens!I11759-Sens!I11760-min_cash))</f>
        <v>22.271</v>
      </c>
      <c r="J11761" s="6" t="n">
        <f aca="false">MAX(0,MIN(bb_target,Sens!I11763+Sens!J11759-Sens!J11760-min_cash))</f>
        <v>22.271</v>
      </c>
      <c r="K11761" s="6" t="n">
        <f aca="false">MAX(0,MIN(bb_target,Sens!J11763+Sens!K11759-Sens!K11760-min_cash))</f>
        <v>22.271</v>
      </c>
    </row>
    <row r="11762" customFormat="false" ht="15" hidden="false" customHeight="false" outlineLevel="0" collapsed="false">
      <c r="A11762" s="1" t="s">
        <v>1124</v>
      </c>
      <c r="B11762" s="0" t="s">
        <v>98</v>
      </c>
      <c r="F11762" s="6" t="n">
        <f aca="false">MAX(0,min_cash-(Sens!E11763+Sens!F11759-Sens!F11760-Sens!F11761))</f>
        <v>0</v>
      </c>
      <c r="G11762" s="6" t="n">
        <f aca="false">MAX(0,min_cash-(Sens!F11763+Sens!G11759-Sens!G11760-Sens!G11761))</f>
        <v>8.24352872653047</v>
      </c>
      <c r="H11762" s="6" t="n">
        <f aca="false">MAX(0,min_cash-(Sens!G11763+Sens!H11759-Sens!H11760-Sens!H11761))</f>
        <v>0</v>
      </c>
      <c r="I11762" s="6" t="n">
        <f aca="false">MAX(0,min_cash-(Sens!H11763+Sens!I11759-Sens!I11760-Sens!I11761))</f>
        <v>0</v>
      </c>
      <c r="J11762" s="6" t="n">
        <f aca="false">MAX(0,min_cash-(Sens!I11763+Sens!J11759-Sens!J11760-Sens!J11761))</f>
        <v>0</v>
      </c>
      <c r="K11762" s="6" t="n">
        <f aca="false">MAX(0,min_cash-(Sens!J11763+Sens!K11759-Sens!K11760-Sens!K11761))</f>
        <v>0</v>
      </c>
    </row>
    <row r="11763" customFormat="false" ht="15" hidden="false" customHeight="false" outlineLevel="0" collapsed="false">
      <c r="A11763" s="1" t="s">
        <v>1125</v>
      </c>
      <c r="B11763" s="0" t="s">
        <v>98</v>
      </c>
      <c r="E11763" s="6" t="n">
        <f aca="false">cash_open</f>
        <v>76.843</v>
      </c>
      <c r="F11763" s="6" t="n">
        <f aca="false">Sens!E11763+Sens!F11759-Sens!F11760-Sens!F11761+Sens!F11762</f>
        <v>50</v>
      </c>
      <c r="G11763" s="6" t="n">
        <f aca="false">Sens!F11763+Sens!G11759-Sens!G11760-Sens!G11761+Sens!G11762</f>
        <v>50</v>
      </c>
      <c r="H11763" s="6" t="n">
        <f aca="false">Sens!G11763+Sens!H11759-Sens!H11760-Sens!H11761+Sens!H11762</f>
        <v>53.9964022525307</v>
      </c>
      <c r="I11763" s="6" t="n">
        <f aca="false">Sens!H11763+Sens!I11759-Sens!I11760-Sens!I11761+Sens!I11762</f>
        <v>125.387601416374</v>
      </c>
      <c r="J11763" s="6" t="n">
        <f aca="false">Sens!I11763+Sens!J11759-Sens!J11760-Sens!J11761+Sens!J11762</f>
        <v>264.830508719617</v>
      </c>
      <c r="K11763" s="6" t="n">
        <f aca="false">Sens!J11763+Sens!K11759-Sens!K11760-Sens!K11761+Sens!K11762</f>
        <v>436.403274195034</v>
      </c>
    </row>
    <row r="11764" customFormat="false" ht="15" hidden="false" customHeight="false" outlineLevel="0" collapsed="false">
      <c r="A11764" s="1" t="s">
        <v>1126</v>
      </c>
      <c r="B11764" s="0" t="s">
        <v>98</v>
      </c>
      <c r="E11764" s="6" t="n">
        <f aca="false">debt_face</f>
        <v>46.136</v>
      </c>
      <c r="F11764" s="6" t="n">
        <f aca="false">Sens!E11764-Sens!F11760+Sens!F11762</f>
        <v>36.886</v>
      </c>
      <c r="G11764" s="6" t="n">
        <f aca="false">Sens!F11764-Sens!G11760+Sens!G11762</f>
        <v>45.1295287265305</v>
      </c>
      <c r="H11764" s="6" t="n">
        <f aca="false">Sens!G11764-Sens!H11760+Sens!H11762</f>
        <v>43.1285287265305</v>
      </c>
      <c r="I11764" s="6" t="n">
        <f aca="false">Sens!H11764-Sens!I11760+Sens!I11762</f>
        <v>43.1285287265305</v>
      </c>
      <c r="J11764" s="6" t="n">
        <f aca="false">Sens!I11764-Sens!J11760+Sens!J11762</f>
        <v>42.6285287265305</v>
      </c>
      <c r="K11764" s="6" t="n">
        <f aca="false">Sens!J11764-Sens!K11760+Sens!K11762</f>
        <v>42.6285287265305</v>
      </c>
    </row>
    <row r="11765" customFormat="false" ht="15" hidden="false" customHeight="false" outlineLevel="0" collapsed="false">
      <c r="A11765" s="1" t="s">
        <v>1127</v>
      </c>
      <c r="B11765" s="0" t="s">
        <v>98</v>
      </c>
      <c r="E11765" s="6" t="n">
        <f aca="false">Sens!E11763-Sens!E11764</f>
        <v>30.707</v>
      </c>
      <c r="F11765" s="6" t="n">
        <f aca="false">Sens!F11763-Sens!F11764</f>
        <v>13.114</v>
      </c>
      <c r="G11765" s="6" t="n">
        <f aca="false">Sens!G11763-Sens!G11764</f>
        <v>4.87047127346953</v>
      </c>
      <c r="H11765" s="6" t="n">
        <f aca="false">Sens!H11763-Sens!H11764</f>
        <v>10.8678735260003</v>
      </c>
      <c r="I11765" s="6" t="n">
        <f aca="false">Sens!I11763-Sens!I11764</f>
        <v>82.2590726898436</v>
      </c>
      <c r="J11765" s="6" t="n">
        <f aca="false">Sens!J11763-Sens!J11764</f>
        <v>222.201979993086</v>
      </c>
      <c r="K11765" s="6" t="n">
        <f aca="false">Sens!K11763-Sens!K11764</f>
        <v>393.774745468504</v>
      </c>
    </row>
    <row r="11766" customFormat="false" ht="15" hidden="false" customHeight="false" outlineLevel="0" collapsed="false">
      <c r="A11766" s="1" t="s">
        <v>1128</v>
      </c>
      <c r="B11766" s="0" t="s">
        <v>75</v>
      </c>
      <c r="F11766" s="30" t="n">
        <f aca="false">px*(1+bb_g)^(Sens!F11624-base_fy-mid_yr)</f>
        <v>551.84177959629</v>
      </c>
      <c r="G11766" s="30" t="n">
        <f aca="false">px*(1+bb_g)^(Sens!G11624-base_fy-mid_yr)</f>
        <v>595.989121963993</v>
      </c>
      <c r="H11766" s="30" t="n">
        <f aca="false">px*(1+bb_g)^(Sens!H11624-base_fy-mid_yr)</f>
        <v>643.668251721112</v>
      </c>
      <c r="I11766" s="30" t="n">
        <f aca="false">px*(1+bb_g)^(Sens!I11624-base_fy-mid_yr)</f>
        <v>695.161711858801</v>
      </c>
      <c r="J11766" s="30" t="n">
        <f aca="false">px*(1+bb_g)^(Sens!J11624-base_fy-mid_yr)</f>
        <v>750.774648807506</v>
      </c>
      <c r="K11766" s="30" t="n">
        <f aca="false">px*(1+bb_g)^(Sens!K11624-base_fy-mid_yr)</f>
        <v>810.836620712106</v>
      </c>
    </row>
    <row r="11767" customFormat="false" ht="15" hidden="false" customHeight="false" outlineLevel="0" collapsed="false">
      <c r="A11767" s="1" t="s">
        <v>1129</v>
      </c>
      <c r="B11767" s="1" t="s">
        <v>81</v>
      </c>
      <c r="E11767" s="15" t="n">
        <f aca="false">sh_out26</f>
        <v>7.427</v>
      </c>
      <c r="F11767" s="15" t="n">
        <f aca="false">Sens!E11767+sh_iss-Sens!F11761/Sens!F11766</f>
        <v>7.47156353958971</v>
      </c>
      <c r="G11767" s="15" t="n">
        <f aca="false">Sens!F11767+sh_iss-Sens!G11761/Sens!G11766</f>
        <v>7.51656353958971</v>
      </c>
      <c r="H11767" s="15" t="n">
        <f aca="false">Sens!G11767+sh_iss-Sens!H11761/Sens!H11766</f>
        <v>7.52696341764731</v>
      </c>
      <c r="I11767" s="15" t="n">
        <f aca="false">Sens!H11767+sh_iss-Sens!I11761/Sens!I11766</f>
        <v>7.53992626770065</v>
      </c>
      <c r="J11767" s="15" t="n">
        <f aca="false">Sens!I11767+sh_iss-Sens!J11761/Sens!J11766</f>
        <v>7.55526223997225</v>
      </c>
      <c r="K11767" s="15" t="n">
        <f aca="false">Sens!J11767+sh_iss-Sens!K11761/Sens!K11766</f>
        <v>7.57279554763115</v>
      </c>
    </row>
    <row r="11768" customFormat="false" ht="15" hidden="false" customHeight="false" outlineLevel="0" collapsed="false">
      <c r="A11768" s="1" t="s">
        <v>1130</v>
      </c>
      <c r="B11768" s="1" t="s">
        <v>81</v>
      </c>
      <c r="E11768" s="15" t="n">
        <f aca="false">sh_dil26</f>
        <v>7.453</v>
      </c>
      <c r="F11768" s="15" t="n">
        <f aca="false">(Sens!E11767+Sens!F11767)/2+dil_gap</f>
        <v>7.47328176979485</v>
      </c>
      <c r="G11768" s="15" t="n">
        <f aca="false">(Sens!F11767+Sens!G11767)/2+dil_gap</f>
        <v>7.51806353958971</v>
      </c>
      <c r="H11768" s="15" t="n">
        <f aca="false">(Sens!G11767+Sens!H11767)/2+dil_gap</f>
        <v>7.54576347861851</v>
      </c>
      <c r="I11768" s="15" t="n">
        <f aca="false">(Sens!H11767+Sens!I11767)/2+dil_gap</f>
        <v>7.55744484267398</v>
      </c>
      <c r="J11768" s="15" t="n">
        <f aca="false">(Sens!I11767+Sens!J11767)/2+dil_gap</f>
        <v>7.57159425383645</v>
      </c>
      <c r="K11768" s="15" t="n">
        <f aca="false">(Sens!J11767+Sens!K11767)/2+dil_gap</f>
        <v>7.5880288938017</v>
      </c>
    </row>
    <row r="11769" customFormat="false" ht="17.15" hidden="false" customHeight="false" outlineLevel="0" collapsed="false">
      <c r="A11769" s="1" t="s">
        <v>1131</v>
      </c>
      <c r="B11769" s="0" t="s">
        <v>98</v>
      </c>
      <c r="C11769" s="6" t="n">
        <f aca="false">SUM(Sens!F11759:J11759)</f>
        <v>258.548837082626</v>
      </c>
    </row>
    <row r="11770" customFormat="false" ht="15" hidden="false" customHeight="false" outlineLevel="0" collapsed="false">
      <c r="A11770" s="26" t="s">
        <v>1096</v>
      </c>
      <c r="B11770" s="31" t="s">
        <v>98</v>
      </c>
      <c r="C11770" s="27" t="n">
        <f aca="false">Sens!$C$11769-(Sens!F11759+Sens!G11759+Sens!H11759+Sens!I11759+Sens!J11759)</f>
        <v>0</v>
      </c>
      <c r="D11770" s="31"/>
      <c r="E11770" s="31"/>
      <c r="F11770" s="31"/>
      <c r="G11770" s="31"/>
      <c r="H11770" s="31"/>
      <c r="I11770" s="31"/>
      <c r="J11770" s="31"/>
      <c r="K11770" s="31"/>
    </row>
    <row r="11771" customFormat="false" ht="17.15" hidden="false" customHeight="false" outlineLevel="0" collapsed="false">
      <c r="A11771" s="1" t="s">
        <v>1090</v>
      </c>
      <c r="B11771" s="1" t="s">
        <v>1132</v>
      </c>
      <c r="C11771" s="33" t="str">
        <f aca="false">IF(SUM(Sens!F11762:J11762)&gt;0.05,"需要舉債 "&amp;TEXT(SUM(Sens!F11762:J11762),"0.0")&amp;" 十億美元","不需舉債")&amp;"；"&amp;IF(SUM(Sens!F11761:J11761)&lt;COUNT(Sens!F11761:J11761)*bb_target-0.05,"回購較每年 "&amp;TEXT(bb_target,"0.0")&amp;" 的目標少 "&amp;TEXT(COUNT(Sens!F11761:J11761)*bb_target-SUM(Sens!F11761:J11761),"0.0")&amp;" 十億美元（"&amp;TEXT(COUNTIF(Sens!F11761:J11761,"&lt;"&amp;(bb_target-0.05)),"0")&amp;" 年減少）","回購不減")</f>
        <v>需要舉債 8.2 十億美元；回購較每年 22.3 的目標少 44.3 十億美元（2 年減少）</v>
      </c>
    </row>
    <row r="11772" customFormat="false" ht="17.15" hidden="false" customHeight="false" outlineLevel="0" collapsed="false">
      <c r="A11772" s="3" t="s">
        <v>1774</v>
      </c>
    </row>
    <row r="11773" customFormat="false" ht="15" hidden="false" customHeight="false" outlineLevel="0" collapsed="false">
      <c r="A11773" s="4" t="s">
        <v>43</v>
      </c>
      <c r="B11773" s="4" t="s">
        <v>65</v>
      </c>
      <c r="C11773" s="23" t="s">
        <v>938</v>
      </c>
      <c r="D11773" s="23" t="s">
        <v>939</v>
      </c>
      <c r="E11773" s="23" t="s">
        <v>940</v>
      </c>
      <c r="F11773" s="23" t="s">
        <v>941</v>
      </c>
      <c r="G11773" s="23" t="s">
        <v>942</v>
      </c>
      <c r="H11773" s="23" t="s">
        <v>943</v>
      </c>
      <c r="I11773" s="23" t="s">
        <v>944</v>
      </c>
      <c r="J11773" s="23" t="s">
        <v>945</v>
      </c>
      <c r="K11773" s="23" t="s">
        <v>946</v>
      </c>
      <c r="L11773" s="4" t="s">
        <v>47</v>
      </c>
    </row>
    <row r="11774" customFormat="false" ht="17.15" hidden="false" customHeight="false" outlineLevel="0" collapsed="false">
      <c r="A11774" s="1" t="s">
        <v>1212</v>
      </c>
      <c r="B11774" s="1" t="s">
        <v>279</v>
      </c>
      <c r="F11774" s="8" t="n">
        <f aca="false">(1-v_off)*mid_yr</f>
        <v>0.373972602739726</v>
      </c>
      <c r="G11774" s="8" t="n">
        <f aca="false">Sens!G11624-base_fy-mid_yr-v_off</f>
        <v>1.24794520547945</v>
      </c>
      <c r="H11774" s="8" t="n">
        <f aca="false">Sens!H11624-base_fy-mid_yr-v_off</f>
        <v>2.24794520547945</v>
      </c>
      <c r="I11774" s="8" t="n">
        <f aca="false">Sens!I11624-base_fy-mid_yr-v_off</f>
        <v>3.24794520547945</v>
      </c>
      <c r="J11774" s="8" t="n">
        <f aca="false">Sens!J11624-base_fy-mid_yr-v_off</f>
        <v>4.24794520547945</v>
      </c>
      <c r="K11774" s="8" t="n">
        <f aca="false">Sens!K11624-base_fy-mid_yr-v_off</f>
        <v>5.24794520547945</v>
      </c>
      <c r="L11774" s="12" t="s">
        <v>1213</v>
      </c>
    </row>
    <row r="11775" customFormat="false" ht="15" hidden="false" customHeight="false" outlineLevel="0" collapsed="false">
      <c r="A11775" s="1" t="s">
        <v>1214</v>
      </c>
      <c r="B11775" s="1" t="s">
        <v>279</v>
      </c>
      <c r="F11775" s="8" t="n">
        <f aca="false">Sens!F11624-base_fy-v_off</f>
        <v>0.747945205479452</v>
      </c>
      <c r="G11775" s="8" t="n">
        <f aca="false">Sens!G11624-base_fy-v_off</f>
        <v>1.74794520547945</v>
      </c>
      <c r="H11775" s="8" t="n">
        <f aca="false">Sens!H11624-base_fy-v_off</f>
        <v>2.74794520547945</v>
      </c>
      <c r="I11775" s="8" t="n">
        <f aca="false">Sens!I11624-base_fy-v_off</f>
        <v>3.74794520547945</v>
      </c>
      <c r="J11775" s="8" t="n">
        <f aca="false">Sens!J11624-base_fy-v_off</f>
        <v>4.74794520547945</v>
      </c>
      <c r="K11775" s="8" t="n">
        <f aca="false">Sens!K11624-base_fy-v_off</f>
        <v>5.74794520547945</v>
      </c>
    </row>
    <row r="11776" customFormat="false" ht="15" hidden="false" customHeight="false" outlineLevel="0" collapsed="false">
      <c r="A11776" s="1" t="s">
        <v>1215</v>
      </c>
      <c r="B11776" s="0" t="s">
        <v>229</v>
      </c>
      <c r="F11776" s="15" t="n">
        <f aca="false">1/(1+wacc)^Sens!F11774</f>
        <v>0.964022703286649</v>
      </c>
      <c r="G11776" s="15" t="n">
        <f aca="false">1/(1+wacc)^Sens!G11774</f>
        <v>0.884910302296739</v>
      </c>
      <c r="H11776" s="15" t="n">
        <f aca="false">1/(1+wacc)^Sens!H11774</f>
        <v>0.802322009770358</v>
      </c>
      <c r="I11776" s="15" t="n">
        <f aca="false">1/(1+wacc)^Sens!I11774</f>
        <v>0.727441646561469</v>
      </c>
      <c r="J11776" s="15" t="n">
        <f aca="false">1/(1+wacc)^Sens!J11774</f>
        <v>0.659549834988973</v>
      </c>
      <c r="K11776" s="15" t="n">
        <f aca="false">1/(1+wacc)^Sens!K11774</f>
        <v>0.597994336576966</v>
      </c>
    </row>
    <row r="11777" customFormat="false" ht="17.15" hidden="false" customHeight="false" outlineLevel="0" collapsed="false">
      <c r="A11777" s="1" t="s">
        <v>1216</v>
      </c>
      <c r="B11777" s="0" t="s">
        <v>98</v>
      </c>
      <c r="F11777" s="6" t="n">
        <f aca="false">Q!$I$35-Q!$I$39-Q!$I$43</f>
        <v>9.666</v>
      </c>
      <c r="L11777" s="12" t="s">
        <v>1217</v>
      </c>
    </row>
    <row r="11778" customFormat="false" ht="17.15" hidden="false" customHeight="false" outlineLevel="0" collapsed="false">
      <c r="A11778" s="1" t="s">
        <v>1218</v>
      </c>
      <c r="B11778" s="0" t="s">
        <v>98</v>
      </c>
      <c r="F11778" s="6" t="n">
        <f aca="false">Sens!F11749-Sens!F11746-Sens!F11753+Sens!F11731*(1-tax_f)*(1-v_off)-Sens!F11777</f>
        <v>-3.3855140305589</v>
      </c>
      <c r="G11778" s="6" t="n">
        <f aca="false">Sens!G11749-Sens!G11746-Sens!G11753+Sens!G11731*(1-tax_f)</f>
        <v>29.7285638594065</v>
      </c>
      <c r="H11778" s="6" t="n">
        <f aca="false">Sens!H11749-Sens!H11746-Sens!H11753+Sens!H11731*(1-tax_f)</f>
        <v>79.1623097924121</v>
      </c>
      <c r="I11778" s="6" t="n">
        <f aca="false">Sens!I11749-Sens!I11746-Sens!I11753+Sens!I11731*(1-tax_f)</f>
        <v>157.02580711014</v>
      </c>
      <c r="J11778" s="6" t="n">
        <f aca="false">Sens!J11749-Sens!J11746-Sens!J11753+Sens!J11731*(1-tax_f)</f>
        <v>235.142118682483</v>
      </c>
      <c r="K11778" s="6" t="n">
        <f aca="false">Sens!K11749-Sens!K11746-Sens!K11753+Sens!K11731*(1-tax_f)</f>
        <v>273.150948297698</v>
      </c>
      <c r="L11778" s="1" t="s">
        <v>1219</v>
      </c>
    </row>
    <row r="11779" customFormat="false" ht="15" hidden="false" customHeight="false" outlineLevel="0" collapsed="false">
      <c r="A11779" s="1" t="s">
        <v>1220</v>
      </c>
      <c r="B11779" s="0" t="s">
        <v>98</v>
      </c>
      <c r="F11779" s="6" t="n">
        <f aca="false">Sens!F11778*Sens!F11776</f>
        <v>-3.26371238775427</v>
      </c>
      <c r="G11779" s="6" t="n">
        <f aca="false">Sens!G11778*Sens!G11776</f>
        <v>26.3071124316753</v>
      </c>
      <c r="H11779" s="6" t="n">
        <f aca="false">Sens!H11778*Sens!H11776</f>
        <v>63.5136634907118</v>
      </c>
      <c r="I11779" s="6" t="n">
        <f aca="false">Sens!I11778*Sens!I11776</f>
        <v>114.227111676844</v>
      </c>
      <c r="J11779" s="6" t="n">
        <f aca="false">Sens!J11778*Sens!J11776</f>
        <v>155.087945575989</v>
      </c>
      <c r="K11779" s="6" t="n">
        <f aca="false">Sens!K11778*Sens!K11776</f>
        <v>163.342720112651</v>
      </c>
    </row>
    <row r="11780" customFormat="false" ht="17.15" hidden="false" customHeight="false" outlineLevel="0" collapsed="false">
      <c r="A11780" s="1" t="s">
        <v>1221</v>
      </c>
      <c r="B11780" s="0" t="s">
        <v>98</v>
      </c>
      <c r="C11780" s="6" t="n">
        <f aca="false">SUM(Sens!F11779:K11779)</f>
        <v>519.214840900117</v>
      </c>
    </row>
    <row r="11781" customFormat="false" ht="17.15" hidden="false" customHeight="false" outlineLevel="0" collapsed="false">
      <c r="A11781" s="1" t="s">
        <v>1222</v>
      </c>
      <c r="B11781" s="0" t="s">
        <v>98</v>
      </c>
      <c r="C11781" s="6" t="n">
        <f aca="false">Sens!K11717*(1+g_tv)*(1-tax_f)</f>
        <v>284.347568310403</v>
      </c>
    </row>
    <row r="11782" customFormat="false" ht="17.15" hidden="false" customHeight="false" outlineLevel="0" collapsed="false">
      <c r="A11782" s="1" t="s">
        <v>1223</v>
      </c>
      <c r="B11782" s="0" t="s">
        <v>98</v>
      </c>
      <c r="C11782" s="6" t="n">
        <f aca="false">Sens!$C$11781*(1-g_tv/(wacc+ronic_prem))</f>
        <v>201.476871205032</v>
      </c>
    </row>
    <row r="11783" customFormat="false" ht="17.15" hidden="false" customHeight="false" outlineLevel="0" collapsed="false">
      <c r="A11783" s="1" t="s">
        <v>1224</v>
      </c>
      <c r="B11783" s="0" t="s">
        <v>98</v>
      </c>
      <c r="C11783" s="6" t="n">
        <f aca="false">Sens!$C$11782/(wacc-g_tv)</f>
        <v>2762.35657017904</v>
      </c>
    </row>
    <row r="11784" customFormat="false" ht="15" hidden="false" customHeight="false" outlineLevel="0" collapsed="false">
      <c r="A11784" s="1" t="s">
        <v>1225</v>
      </c>
      <c r="B11784" s="0" t="s">
        <v>98</v>
      </c>
      <c r="C11784" s="6" t="n">
        <f aca="false">Sens!$C$11783/(1+wacc)^Sens!K11775</f>
        <v>1572.90153333672</v>
      </c>
    </row>
    <row r="11785" customFormat="false" ht="17.15" hidden="false" customHeight="false" outlineLevel="0" collapsed="false">
      <c r="A11785" s="0" t="s">
        <v>1226</v>
      </c>
      <c r="B11785" s="0" t="s">
        <v>98</v>
      </c>
      <c r="C11785" s="6" t="n">
        <f aca="false">Sens!$C$11780+Sens!$C$11784</f>
        <v>2092.11637423683</v>
      </c>
    </row>
    <row r="11786" customFormat="false" ht="15" hidden="false" customHeight="false" outlineLevel="0" collapsed="false">
      <c r="A11786" s="1" t="s">
        <v>1141</v>
      </c>
      <c r="B11786" s="0" t="s">
        <v>168</v>
      </c>
      <c r="C11786" s="7" t="n">
        <f aca="false">Sens!$C$11784/Sens!$C$11785</f>
        <v>0.751823155110328</v>
      </c>
    </row>
    <row r="11787" customFormat="false" ht="17.15" hidden="false" customHeight="false" outlineLevel="0" collapsed="false">
      <c r="A11787" s="1" t="s">
        <v>1227</v>
      </c>
      <c r="B11787" s="0" t="s">
        <v>98</v>
      </c>
      <c r="C11787" s="6" t="n">
        <f aca="false">Sens!$C$11785+cash_val-debt_val-fl_val+oai_v</f>
        <v>2207.96737423683</v>
      </c>
    </row>
    <row r="11788" customFormat="false" ht="17.15" hidden="false" customHeight="false" outlineLevel="0" collapsed="false">
      <c r="A11788" s="0" t="s">
        <v>1149</v>
      </c>
      <c r="B11788" s="0" t="s">
        <v>75</v>
      </c>
      <c r="C11788" s="5" t="n">
        <f aca="false">Sens!$C$11787/shd_val</f>
        <v>296.530670727482</v>
      </c>
    </row>
    <row r="11789" customFormat="false" ht="15" hidden="false" customHeight="false" outlineLevel="0" collapsed="false">
      <c r="A11789" s="1" t="s">
        <v>1228</v>
      </c>
      <c r="B11789" s="0" t="s">
        <v>75</v>
      </c>
      <c r="C11789" s="8" t="n">
        <f aca="false">div_rem27+Sens!G11757*roll_div_q/q_per_yr</f>
        <v>3.9795</v>
      </c>
    </row>
    <row r="11790" customFormat="false" ht="17.15" hidden="false" customHeight="false" outlineLevel="0" collapsed="false">
      <c r="A11790" s="0" t="s">
        <v>1229</v>
      </c>
      <c r="B11790" s="0" t="s">
        <v>75</v>
      </c>
      <c r="C11790" s="5" t="n">
        <f aca="false">Sens!$C$11788*(1+wacc)^t_roll-Sens!$C$11789</f>
        <v>325.630890110895</v>
      </c>
    </row>
    <row r="11791" customFormat="false" ht="17.15" hidden="false" customHeight="false" outlineLevel="0" collapsed="false">
      <c r="A11791" s="1" t="s">
        <v>1230</v>
      </c>
      <c r="B11791" s="0" t="s">
        <v>168</v>
      </c>
      <c r="F11791" s="7" t="n">
        <f aca="false">Sens!F11743/(Sens!F11688-Sens!F11643)</f>
        <v>0.0686412488987938</v>
      </c>
      <c r="G11791" s="7" t="n">
        <f aca="false">Sens!G11743/(Sens!G11688-Sens!G11643)</f>
        <v>0.0658953036589232</v>
      </c>
      <c r="H11791" s="7" t="n">
        <f aca="false">Sens!H11743/(Sens!H11688-Sens!H11643)</f>
        <v>0.0644965272061679</v>
      </c>
      <c r="I11791" s="7" t="n">
        <f aca="false">Sens!I11743/(Sens!I11688-Sens!I11643)</f>
        <v>0.0643250694328902</v>
      </c>
      <c r="J11791" s="7" t="n">
        <f aca="false">Sens!J11743/(Sens!J11688-Sens!J11643)</f>
        <v>0.0651018945508347</v>
      </c>
      <c r="K11791" s="7" t="n">
        <f aca="false">Sens!K11743/(Sens!K11688-Sens!K11643)</f>
        <v>0.0664831080068372</v>
      </c>
    </row>
    <row r="11792" customFormat="false" ht="17.15" hidden="false" customHeight="false" outlineLevel="0" collapsed="false">
      <c r="A11792" s="0" t="s">
        <v>1231</v>
      </c>
      <c r="B11792" s="0" t="s">
        <v>98</v>
      </c>
      <c r="F11792" s="6" t="n">
        <f aca="false">Sens!F11673*(al_m365+Sens!F11791+sbc_r)</f>
        <v>83.7231330641831</v>
      </c>
      <c r="G11792" s="6" t="n">
        <f aca="false">Sens!G11673*(al_m365+Sens!G11791+sbc_r)</f>
        <v>96.1385984981615</v>
      </c>
      <c r="H11792" s="6" t="n">
        <f aca="false">Sens!H11673*(al_m365+Sens!H11791+sbc_r)</f>
        <v>108.720109420714</v>
      </c>
      <c r="I11792" s="6" t="n">
        <f aca="false">Sens!I11673*(al_m365+Sens!I11791+sbc_r)</f>
        <v>120.287084209631</v>
      </c>
      <c r="J11792" s="6" t="n">
        <f aca="false">Sens!J11673*(al_m365+Sens!J11791+sbc_r)</f>
        <v>130.652083768434</v>
      </c>
      <c r="K11792" s="6" t="n">
        <f aca="false">Sens!K11673*(al_m365+Sens!K11791+sbc_r)</f>
        <v>140.63217086056</v>
      </c>
      <c r="L11792" s="12" t="s">
        <v>1232</v>
      </c>
    </row>
    <row r="11793" customFormat="false" ht="17.15" hidden="false" customHeight="false" outlineLevel="0" collapsed="false">
      <c r="A11793" s="0" t="s">
        <v>1233</v>
      </c>
      <c r="B11793" s="0" t="s">
        <v>98</v>
      </c>
      <c r="F11793" s="6" t="n">
        <f aca="false">Sens!F11674*(al_lic+Sens!F11791+sbc_r)</f>
        <v>32.8585979853438</v>
      </c>
      <c r="G11793" s="6" t="n">
        <f aca="false">Sens!G11674*(al_lic+Sens!G11791+sbc_r)</f>
        <v>34.1401051548816</v>
      </c>
      <c r="H11793" s="6" t="n">
        <f aca="false">Sens!H11674*(al_lic+Sens!H11791+sbc_r)</f>
        <v>35.3370114953511</v>
      </c>
      <c r="I11793" s="6" t="n">
        <f aca="false">Sens!I11674*(al_lic+Sens!I11791+sbc_r)</f>
        <v>36.4312079031962</v>
      </c>
      <c r="J11793" s="6" t="n">
        <f aca="false">Sens!J11674*(al_lic+Sens!J11791+sbc_r)</f>
        <v>37.3974177409811</v>
      </c>
      <c r="K11793" s="6" t="n">
        <f aca="false">Sens!K11674*(al_lic+Sens!K11791+sbc_r)</f>
        <v>38.2071700278716</v>
      </c>
    </row>
    <row r="11794" customFormat="false" ht="17.15" hidden="false" customHeight="false" outlineLevel="0" collapsed="false">
      <c r="A11794" s="0" t="s">
        <v>1234</v>
      </c>
      <c r="B11794" s="0" t="s">
        <v>98</v>
      </c>
      <c r="F11794" s="6" t="n">
        <f aca="false">Sens!F11676*(al_ind+Sens!F11791+sbc_r)</f>
        <v>9.06090087050713</v>
      </c>
      <c r="G11794" s="6" t="n">
        <f aca="false">Sens!G11676*(al_ind+Sens!G11791+sbc_r)</f>
        <v>9.83770197768337</v>
      </c>
      <c r="H11794" s="6" t="n">
        <f aca="false">Sens!H11676*(al_ind+Sens!H11791+sbc_r)</f>
        <v>10.659853251382</v>
      </c>
      <c r="I11794" s="6" t="n">
        <f aca="false">Sens!I11676*(al_ind+Sens!I11791+sbc_r)</f>
        <v>11.5243729454226</v>
      </c>
      <c r="J11794" s="6" t="n">
        <f aca="false">Sens!J11676*(al_ind+Sens!J11791+sbc_r)</f>
        <v>12.4216759992722</v>
      </c>
      <c r="K11794" s="6" t="n">
        <f aca="false">Sens!K11676*(al_ind+Sens!K11791+sbc_r)</f>
        <v>13.3368049538056</v>
      </c>
    </row>
    <row r="11795" customFormat="false" ht="17.15" hidden="false" customHeight="false" outlineLevel="0" collapsed="false">
      <c r="A11795" s="0" t="s">
        <v>1235</v>
      </c>
      <c r="B11795" s="0" t="s">
        <v>98</v>
      </c>
      <c r="F11795" s="6" t="n">
        <f aca="false">Sens!F11678*(al_fro+Sens!F11791+sbc_r)</f>
        <v>3.55421930006511</v>
      </c>
      <c r="G11795" s="6" t="n">
        <f aca="false">Sens!G11678*(al_fro+Sens!G11791+sbc_r)</f>
        <v>3.76419309975573</v>
      </c>
      <c r="H11795" s="6" t="n">
        <f aca="false">Sens!H11678*(al_fro+Sens!H11791+sbc_r)</f>
        <v>4.0032752058981</v>
      </c>
      <c r="I11795" s="6" t="n">
        <f aca="false">Sens!I11678*(al_fro+Sens!I11791+sbc_r)</f>
        <v>4.27425136652768</v>
      </c>
      <c r="J11795" s="6" t="n">
        <f aca="false">Sens!J11678*(al_fro+Sens!J11791+sbc_r)</f>
        <v>4.57831966094644</v>
      </c>
      <c r="K11795" s="6" t="n">
        <f aca="false">Sens!K11678*(al_fro+Sens!K11791+sbc_r)</f>
        <v>4.91561334700676</v>
      </c>
    </row>
    <row r="11796" customFormat="false" ht="17.15" hidden="false" customHeight="false" outlineLevel="0" collapsed="false">
      <c r="A11796" s="0" t="s">
        <v>1236</v>
      </c>
      <c r="B11796" s="0" t="s">
        <v>98</v>
      </c>
      <c r="F11796" s="6" t="n">
        <f aca="false">Sens!F11681*(al_srch+Sens!F11791+sbc_r)</f>
        <v>11.1896878379831</v>
      </c>
      <c r="G11796" s="6" t="n">
        <f aca="false">Sens!G11681*(al_srch+Sens!G11791+sbc_r)</f>
        <v>12.2636226833897</v>
      </c>
      <c r="H11796" s="6" t="n">
        <f aca="false">Sens!H11681*(al_srch+Sens!H11791+sbc_r)</f>
        <v>13.3830483930445</v>
      </c>
      <c r="I11796" s="6" t="n">
        <f aca="false">Sens!I11681*(al_srch+Sens!I11791+sbc_r)</f>
        <v>14.5374079067791</v>
      </c>
      <c r="J11796" s="6" t="n">
        <f aca="false">Sens!J11681*(al_srch+Sens!J11791+sbc_r)</f>
        <v>15.7068672563767</v>
      </c>
      <c r="K11796" s="6" t="n">
        <f aca="false">Sens!K11681*(al_srch+Sens!K11791+sbc_r)</f>
        <v>16.8640226202877</v>
      </c>
    </row>
    <row r="11797" customFormat="false" ht="17.15" hidden="false" customHeight="false" outlineLevel="0" collapsed="false">
      <c r="A11797" s="0" t="s">
        <v>1237</v>
      </c>
      <c r="B11797" s="0" t="s">
        <v>98</v>
      </c>
      <c r="F11797" s="6" t="n">
        <f aca="false">Sens!F11649-Sens!F11650+Sens!F11731</f>
        <v>42.5431090240393</v>
      </c>
      <c r="G11797" s="6" t="n">
        <f aca="false">Sens!G11649-Sens!G11650+Sens!G11731</f>
        <v>81.4922561130847</v>
      </c>
      <c r="H11797" s="6" t="n">
        <f aca="false">Sens!H11649-Sens!H11650+Sens!H11731</f>
        <v>123.278266211349</v>
      </c>
      <c r="I11797" s="6" t="n">
        <f aca="false">Sens!I11649-Sens!I11650+Sens!I11731</f>
        <v>160.60594185192</v>
      </c>
      <c r="J11797" s="6" t="n">
        <f aca="false">Sens!J11649-Sens!J11650+Sens!J11731</f>
        <v>186.818741832633</v>
      </c>
      <c r="K11797" s="6" t="n">
        <f aca="false">Sens!K11649-Sens!K11650+Sens!K11731</f>
        <v>202.776422159652</v>
      </c>
    </row>
    <row r="11798" customFormat="false" ht="17.15" hidden="false" customHeight="false" outlineLevel="0" collapsed="false">
      <c r="A11798" s="0" t="s">
        <v>1238</v>
      </c>
      <c r="B11798" s="0" t="s">
        <v>98</v>
      </c>
      <c r="F11798" s="6" t="n">
        <f aca="false">Sens!F11710+Sens!F11731+Sens!F11661+Sens!F11791*(Sens!F11680-Sens!F11643)+sbc_r*Sens!F11680</f>
        <v>238.096533063916</v>
      </c>
      <c r="G11798" s="6" t="n">
        <f aca="false">Sens!G11710+Sens!G11731+Sens!G11661+Sens!G11791*(Sens!G11680-Sens!G11643)+sbc_r*Sens!G11680</f>
        <v>299.927823513699</v>
      </c>
      <c r="H11798" s="6" t="n">
        <f aca="false">Sens!H11710+Sens!H11731+Sens!H11661+Sens!H11791*(Sens!H11680-Sens!H11643)+sbc_r*Sens!H11680</f>
        <v>369.495826483609</v>
      </c>
      <c r="I11798" s="6" t="n">
        <f aca="false">Sens!I11710+Sens!I11731+Sens!I11661+Sens!I11791*(Sens!I11680-Sens!I11643)+sbc_r*Sens!I11680</f>
        <v>433.228004239057</v>
      </c>
      <c r="J11798" s="6" t="n">
        <f aca="false">Sens!J11710+Sens!J11731+Sens!J11661+Sens!J11791*(Sens!J11680-Sens!J11643)+sbc_r*Sens!J11680</f>
        <v>483.394031425219</v>
      </c>
      <c r="K11798" s="6" t="n">
        <f aca="false">Sens!K11710+Sens!K11731+Sens!K11661+Sens!K11791*(Sens!K11680-Sens!K11643)+sbc_r*Sens!K11680</f>
        <v>520.920363865914</v>
      </c>
    </row>
    <row r="11799" customFormat="false" ht="17.15" hidden="false" customHeight="false" outlineLevel="0" collapsed="false">
      <c r="A11799" s="0" t="s">
        <v>1239</v>
      </c>
      <c r="B11799" s="0" t="s">
        <v>98</v>
      </c>
      <c r="F11799" s="6" t="n">
        <f aca="false">Sens!F11798-Sens!F11792-Sens!F11793-Sens!F11794-Sens!F11795-Sens!F11797</f>
        <v>66.356572819777</v>
      </c>
      <c r="G11799" s="6" t="n">
        <f aca="false">Sens!G11798-Sens!G11792-Sens!G11793-Sens!G11794-Sens!G11795-Sens!G11797</f>
        <v>74.5549686701316</v>
      </c>
      <c r="H11799" s="6" t="n">
        <f aca="false">Sens!H11798-Sens!H11792-Sens!H11793-Sens!H11794-Sens!H11795-Sens!H11797</f>
        <v>87.4973108989144</v>
      </c>
      <c r="I11799" s="6" t="n">
        <f aca="false">Sens!I11798-Sens!I11792-Sens!I11793-Sens!I11794-Sens!I11795-Sens!I11797</f>
        <v>100.10514596236</v>
      </c>
      <c r="J11799" s="6" t="n">
        <f aca="false">Sens!J11798-Sens!J11792-Sens!J11793-Sens!J11794-Sens!J11795-Sens!J11797</f>
        <v>111.525792422952</v>
      </c>
      <c r="K11799" s="6" t="n">
        <f aca="false">Sens!K11798-Sens!K11792-Sens!K11793-Sens!K11794-Sens!K11795-Sens!K11797</f>
        <v>121.052182517018</v>
      </c>
    </row>
    <row r="11800" customFormat="false" ht="17.15" hidden="false" customHeight="false" outlineLevel="0" collapsed="false">
      <c r="A11800" s="0" t="s">
        <v>1240</v>
      </c>
      <c r="B11800" s="0" t="s">
        <v>98</v>
      </c>
      <c r="F11800" s="6" t="n">
        <f aca="false">Sens!F11712+Sens!F11791*Sens!F11687+sbc_r*Sens!F11687</f>
        <v>26.5913698752904</v>
      </c>
      <c r="G11800" s="6" t="n">
        <f aca="false">Sens!G11712+Sens!G11791*Sens!G11687+sbc_r*Sens!G11687</f>
        <v>26.3246342882238</v>
      </c>
      <c r="H11800" s="6" t="n">
        <f aca="false">Sens!H11712+Sens!H11791*Sens!H11687+sbc_r*Sens!H11687</f>
        <v>27.0514819606852</v>
      </c>
      <c r="I11800" s="6" t="n">
        <f aca="false">Sens!I11712+Sens!I11791*Sens!I11687+sbc_r*Sens!I11687</f>
        <v>27.9715253493058</v>
      </c>
      <c r="J11800" s="6" t="n">
        <f aca="false">Sens!J11712+Sens!J11791*Sens!J11687+sbc_r*Sens!J11687</f>
        <v>29.045983465148</v>
      </c>
      <c r="K11800" s="6" t="n">
        <f aca="false">Sens!K11712+Sens!K11791*Sens!K11687+sbc_r*Sens!K11687</f>
        <v>30.2310995106482</v>
      </c>
    </row>
    <row r="11801" customFormat="false" ht="17.15" hidden="false" customHeight="false" outlineLevel="0" collapsed="false">
      <c r="A11801" s="0" t="s">
        <v>1241</v>
      </c>
      <c r="B11801" s="0" t="s">
        <v>98</v>
      </c>
      <c r="F11801" s="6" t="n">
        <f aca="false">(Sens!F11800-Sens!F11796)*Sens!F11683/(Sens!F11683+Sens!F11685)</f>
        <v>8.67878628179891</v>
      </c>
      <c r="G11801" s="6" t="n">
        <f aca="false">(Sens!G11800-Sens!G11796)*Sens!G11683/(Sens!G11683+Sens!G11685)</f>
        <v>7.73808910047321</v>
      </c>
      <c r="H11801" s="6" t="n">
        <f aca="false">(Sens!H11800-Sens!H11796)*Sens!H11683/(Sens!H11683+Sens!H11685)</f>
        <v>7.35262679009809</v>
      </c>
      <c r="I11801" s="6" t="n">
        <f aca="false">(Sens!I11800-Sens!I11796)*Sens!I11683/(Sens!I11683+Sens!I11685)</f>
        <v>7.07072188384758</v>
      </c>
      <c r="J11801" s="6" t="n">
        <f aca="false">(Sens!J11800-Sens!J11796)*Sens!J11683/(Sens!J11683+Sens!J11685)</f>
        <v>6.87664917306431</v>
      </c>
      <c r="K11801" s="6" t="n">
        <f aca="false">(Sens!K11800-Sens!K11796)*Sens!K11683/(Sens!K11683+Sens!K11685)</f>
        <v>6.75743872960244</v>
      </c>
    </row>
    <row r="11802" customFormat="false" ht="17.15" hidden="false" customHeight="false" outlineLevel="0" collapsed="false">
      <c r="A11802" s="0" t="s">
        <v>1242</v>
      </c>
      <c r="B11802" s="0" t="s">
        <v>98</v>
      </c>
      <c r="F11802" s="6" t="n">
        <f aca="false">Sens!F11800-Sens!F11796-Sens!F11801</f>
        <v>6.72289575550842</v>
      </c>
      <c r="G11802" s="6" t="n">
        <f aca="false">Sens!G11800-Sens!G11796-Sens!G11801</f>
        <v>6.32292250436085</v>
      </c>
      <c r="H11802" s="6" t="n">
        <f aca="false">Sens!H11800-Sens!H11796-Sens!H11801</f>
        <v>6.31580677754258</v>
      </c>
      <c r="I11802" s="6" t="n">
        <f aca="false">Sens!I11800-Sens!I11796-Sens!I11801</f>
        <v>6.36339555867906</v>
      </c>
      <c r="J11802" s="6" t="n">
        <f aca="false">Sens!J11800-Sens!J11796-Sens!J11801</f>
        <v>6.46246703570693</v>
      </c>
      <c r="K11802" s="6" t="n">
        <f aca="false">Sens!K11800-Sens!K11796-Sens!K11801</f>
        <v>6.60963816075803</v>
      </c>
    </row>
    <row r="11803" customFormat="false" ht="17.15" hidden="false" customHeight="false" outlineLevel="0" collapsed="false">
      <c r="A11803" s="0" t="s">
        <v>1243</v>
      </c>
      <c r="B11803" s="0" t="s">
        <v>98</v>
      </c>
      <c r="F11803" s="6" t="n">
        <f aca="false">Sens!F11797-tax_f*(Sens!F11797-Sens!F11661)-Sens!F11658</f>
        <v>-127.503553927218</v>
      </c>
      <c r="G11803" s="6" t="n">
        <f aca="false">Sens!G11797-tax_f*(Sens!G11797-Sens!G11661)-Sens!G11658</f>
        <v>-114.603772628121</v>
      </c>
      <c r="H11803" s="6" t="n">
        <f aca="false">Sens!H11797-tax_f*(Sens!H11797-Sens!H11661)-Sens!H11658</f>
        <v>-80.3633729631438</v>
      </c>
      <c r="I11803" s="6" t="n">
        <f aca="false">Sens!I11797-tax_f*(Sens!I11797-Sens!I11661)-Sens!I11658</f>
        <v>-17.2838782011649</v>
      </c>
      <c r="J11803" s="6" t="n">
        <f aca="false">Sens!J11797-tax_f*(Sens!J11797-Sens!J11661)-Sens!J11658</f>
        <v>46.9281968800854</v>
      </c>
      <c r="K11803" s="6" t="n">
        <f aca="false">Sens!K11797-tax_f*(Sens!K11797-Sens!K11661)-Sens!K11658</f>
        <v>71.8608185731755</v>
      </c>
    </row>
    <row r="11804" customFormat="false" ht="17.15" hidden="false" customHeight="false" outlineLevel="0" collapsed="false">
      <c r="A11804" s="0" t="s">
        <v>1244</v>
      </c>
      <c r="B11804" s="0" t="s">
        <v>98</v>
      </c>
      <c r="G11804" s="6" t="n">
        <f aca="false">Sens!G11803/(1+wacc)^(Sens!G11774-Sens!F11775)</f>
        <v>-109.124845494465</v>
      </c>
      <c r="H11804" s="6" t="n">
        <f aca="false">Sens!H11803/(1+wacc)^(Sens!H11774-Sens!F11775)</f>
        <v>-69.3796874071025</v>
      </c>
      <c r="I11804" s="6" t="n">
        <f aca="false">Sens!I11803/(1+wacc)^(Sens!I11774-Sens!F11775)</f>
        <v>-13.5289731380471</v>
      </c>
      <c r="J11804" s="6" t="n">
        <f aca="false">Sens!J11803/(1+wacc)^(Sens!J11774-Sens!F11775)</f>
        <v>33.3048099587126</v>
      </c>
      <c r="K11804" s="6" t="n">
        <f aca="false">Sens!K11803/(1+wacc)^(Sens!K11774-Sens!F11775)</f>
        <v>46.2396679904913</v>
      </c>
      <c r="L11804" s="1" t="s">
        <v>1245</v>
      </c>
    </row>
    <row r="11805" customFormat="false" ht="17.15" hidden="false" customHeight="false" outlineLevel="0" collapsed="false">
      <c r="A11805" s="0" t="s">
        <v>1246</v>
      </c>
      <c r="B11805" s="0" t="s">
        <v>98</v>
      </c>
      <c r="C11805" s="6" t="n">
        <f aca="false">(Sens!K11797-Sens!K11661)*(1-tax_f)*(1+g_tv)*(1-g_tv/(wacc+ronic_prem))/(wacc-g_tv)/(1+wacc)^(Sens!K11775-Sens!F11775)</f>
        <v>293.118051086843</v>
      </c>
    </row>
    <row r="11806" customFormat="false" ht="17.15" hidden="false" customHeight="false" outlineLevel="0" collapsed="false">
      <c r="A11806" s="1" t="s">
        <v>1247</v>
      </c>
      <c r="B11806" s="0" t="s">
        <v>98</v>
      </c>
      <c r="C11806" s="6" t="n">
        <f aca="false">(SUM(Sens!G11804:K11804)+Sens!$C$11805)*(1+wacc)^(t_roll-Sens!F11775)</f>
        <v>186.592133308255</v>
      </c>
      <c r="L11806" s="12" t="s">
        <v>1248</v>
      </c>
    </row>
    <row r="11807" customFormat="false" ht="17.15" hidden="false" customHeight="false" outlineLevel="0" collapsed="false">
      <c r="A11807" s="1" t="s">
        <v>1249</v>
      </c>
      <c r="B11807" s="0" t="s">
        <v>98</v>
      </c>
      <c r="C11807" s="6" t="n">
        <f aca="false">(w_ntm28*Sens!G11649+(1-w_ntm28)*Sens!H11649)*m_ai</f>
        <v>463.789109510335</v>
      </c>
    </row>
    <row r="11808" customFormat="false" ht="17.15" hidden="false" customHeight="false" outlineLevel="0" collapsed="false">
      <c r="A11808" s="1" t="s">
        <v>1250</v>
      </c>
      <c r="B11808" s="0" t="s">
        <v>98</v>
      </c>
      <c r="C11808" s="6" t="n">
        <f aca="false">(w_ntm28*Sens!G11799+(1-w_ntm28)*Sens!H11799)*m_cloud</f>
        <v>1089.15399675331</v>
      </c>
    </row>
    <row r="11809" customFormat="false" ht="17.15" hidden="false" customHeight="false" outlineLevel="0" collapsed="false">
      <c r="A11809" s="1" t="s">
        <v>1251</v>
      </c>
      <c r="B11809" s="0" t="s">
        <v>98</v>
      </c>
      <c r="C11809" s="6" t="n">
        <f aca="false">(w_ntm28*Sens!G11792+(1-w_ntm28)*Sens!H11792)*m_sw</f>
        <v>1082.96984502844</v>
      </c>
    </row>
    <row r="11810" customFormat="false" ht="17.15" hidden="false" customHeight="false" outlineLevel="0" collapsed="false">
      <c r="A11810" s="1" t="s">
        <v>1252</v>
      </c>
      <c r="B11810" s="0" t="s">
        <v>98</v>
      </c>
      <c r="C11810" s="6" t="n">
        <f aca="false">(w_ntm28*Sens!G11793+(1-w_ntm28)*Sens!H11793)*m_sw</f>
        <v>372.962972980251</v>
      </c>
    </row>
    <row r="11811" customFormat="false" ht="17.15" hidden="false" customHeight="false" outlineLevel="0" collapsed="false">
      <c r="A11811" s="1" t="s">
        <v>1253</v>
      </c>
      <c r="B11811" s="0" t="s">
        <v>98</v>
      </c>
      <c r="C11811" s="6" t="n">
        <f aca="false">(w_ntm28*Sens!G11794+(1-w_ntm28)*Sens!H11794)*m_sw</f>
        <v>109.166381497921</v>
      </c>
    </row>
    <row r="11812" customFormat="false" ht="17.15" hidden="false" customHeight="false" outlineLevel="0" collapsed="false">
      <c r="A11812" s="1" t="s">
        <v>1254</v>
      </c>
      <c r="B11812" s="0" t="s">
        <v>98</v>
      </c>
      <c r="C11812" s="6" t="n">
        <f aca="false">(w_ntm28*Sens!G11795+(1-w_ntm28)*Sens!H11795)*m_sw</f>
        <v>41.5021907090345</v>
      </c>
    </row>
    <row r="11813" customFormat="false" ht="17.15" hidden="false" customHeight="false" outlineLevel="0" collapsed="false">
      <c r="A11813" s="1" t="s">
        <v>1255</v>
      </c>
      <c r="B11813" s="0" t="s">
        <v>98</v>
      </c>
      <c r="C11813" s="6" t="n">
        <f aca="false">(w_ntm28*Sens!G11796+(1-w_ntm28)*Sens!H11796)*m_ads</f>
        <v>115.07435931909</v>
      </c>
    </row>
    <row r="11814" customFormat="false" ht="17.15" hidden="false" customHeight="false" outlineLevel="0" collapsed="false">
      <c r="A11814" s="1" t="s">
        <v>1256</v>
      </c>
      <c r="B11814" s="0" t="s">
        <v>98</v>
      </c>
      <c r="C11814" s="6" t="n">
        <f aca="false">(w_ntm28*Sens!G11801+(1-w_ntm28)*Sens!H11801)*m_game</f>
        <v>96.1314990989643</v>
      </c>
    </row>
    <row r="11815" customFormat="false" ht="17.15" hidden="false" customHeight="false" outlineLevel="0" collapsed="false">
      <c r="A11815" s="1" t="s">
        <v>1257</v>
      </c>
      <c r="B11815" s="0" t="s">
        <v>98</v>
      </c>
      <c r="C11815" s="6" t="n">
        <f aca="false">(w_ntm28*Sens!G11802+(1-w_ntm28)*Sens!H11802)*m_pc</f>
        <v>91.4588372735885</v>
      </c>
    </row>
    <row r="11816" customFormat="false" ht="17.15" hidden="false" customHeight="false" outlineLevel="0" collapsed="false">
      <c r="A11816" s="1" t="s">
        <v>1258</v>
      </c>
      <c r="B11816" s="0" t="s">
        <v>98</v>
      </c>
      <c r="C11816" s="6" t="n">
        <f aca="false">Sens!$C$11806+Sens!$C$11808+Sens!$C$11809+Sens!$C$11810+Sens!$C$11811+Sens!$C$11812+Sens!$C$11813+Sens!$C$11814+Sens!$C$11815</f>
        <v>3185.01221596886</v>
      </c>
    </row>
    <row r="11817" customFormat="false" ht="17.15" hidden="false" customHeight="false" outlineLevel="0" collapsed="false">
      <c r="A11817" s="1" t="s">
        <v>1259</v>
      </c>
      <c r="B11817" s="0" t="s">
        <v>98</v>
      </c>
      <c r="C11817" s="6" t="n">
        <f aca="false">(Sens!G11778-Sens!G11803)*t_stub</f>
        <v>47.8471581232624</v>
      </c>
      <c r="L11817" s="1" t="s">
        <v>1260</v>
      </c>
    </row>
    <row r="11818" customFormat="false" ht="17.15" hidden="false" customHeight="false" outlineLevel="0" collapsed="false">
      <c r="A11818" s="1" t="s">
        <v>1169</v>
      </c>
      <c r="B11818" s="0" t="s">
        <v>98</v>
      </c>
      <c r="C11818" s="6" t="n">
        <f aca="false">Sens!F11765+oai_v-Sens!F11754+Sens!$C$11817</f>
        <v>162.075428123262</v>
      </c>
      <c r="L11818" s="1" t="s">
        <v>1261</v>
      </c>
    </row>
    <row r="11819" customFormat="false" ht="17.15" hidden="false" customHeight="false" outlineLevel="0" collapsed="false">
      <c r="A11819" s="1" t="s">
        <v>1262</v>
      </c>
      <c r="B11819" s="0" t="s">
        <v>75</v>
      </c>
      <c r="C11819" s="5" t="n">
        <f aca="false">(Sens!$C$11816+Sens!$C$11818)/(Sens!F11767+dil_gap)-Sens!G11757*roll_div_q/q_per_yr</f>
        <v>445.502994959003</v>
      </c>
      <c r="L11819" s="1" t="s">
        <v>1263</v>
      </c>
    </row>
    <row r="11820" customFormat="false" ht="17.15" hidden="false" customHeight="false" outlineLevel="0" collapsed="false">
      <c r="A11820" s="1" t="s">
        <v>1264</v>
      </c>
      <c r="B11820" s="0" t="s">
        <v>75</v>
      </c>
      <c r="C11820" s="5" t="n">
        <f aca="false">w_dcf*Sens!$C$11790+(1-w_dcf)*Sens!$C$11819</f>
        <v>385.566942534949</v>
      </c>
    </row>
    <row r="11821" customFormat="false" ht="17.15" hidden="false" customHeight="false" outlineLevel="0" collapsed="false">
      <c r="A11821" s="3" t="s">
        <v>1775</v>
      </c>
    </row>
    <row r="11822" customFormat="false" ht="15" hidden="false" customHeight="false" outlineLevel="0" collapsed="false">
      <c r="A11822" s="4" t="s">
        <v>43</v>
      </c>
      <c r="B11822" s="4" t="s">
        <v>65</v>
      </c>
      <c r="C11822" s="23" t="s">
        <v>938</v>
      </c>
      <c r="D11822" s="23" t="s">
        <v>939</v>
      </c>
      <c r="E11822" s="23" t="s">
        <v>940</v>
      </c>
      <c r="F11822" s="23" t="s">
        <v>941</v>
      </c>
      <c r="G11822" s="23" t="s">
        <v>942</v>
      </c>
      <c r="H11822" s="23" t="s">
        <v>943</v>
      </c>
      <c r="I11822" s="23" t="s">
        <v>944</v>
      </c>
      <c r="J11822" s="23" t="s">
        <v>945</v>
      </c>
      <c r="K11822" s="23" t="s">
        <v>946</v>
      </c>
      <c r="L11822" s="4" t="s">
        <v>47</v>
      </c>
    </row>
    <row r="11823" customFormat="false" ht="17.15" hidden="false" customHeight="false" outlineLevel="0" collapsed="false">
      <c r="A11823" s="1" t="s">
        <v>947</v>
      </c>
      <c r="B11823" s="1" t="s">
        <v>279</v>
      </c>
      <c r="C11823" s="21" t="n">
        <v>2024</v>
      </c>
      <c r="D11823" s="21" t="n">
        <v>2025</v>
      </c>
      <c r="E11823" s="21" t="n">
        <v>2026</v>
      </c>
      <c r="F11823" s="21" t="n">
        <v>2027</v>
      </c>
      <c r="G11823" s="21" t="n">
        <v>2028</v>
      </c>
      <c r="H11823" s="21" t="n">
        <v>2029</v>
      </c>
      <c r="I11823" s="21" t="n">
        <v>2030</v>
      </c>
      <c r="J11823" s="21" t="n">
        <v>2031</v>
      </c>
      <c r="K11823" s="21" t="n">
        <v>2032</v>
      </c>
    </row>
    <row r="11824" customFormat="false" ht="17.15" hidden="false" customHeight="false" outlineLevel="0" collapsed="false">
      <c r="A11824" s="1" t="s">
        <v>948</v>
      </c>
      <c r="B11824" s="0" t="s">
        <v>456</v>
      </c>
      <c r="F11824" s="30" t="n">
        <f aca="false">pace</f>
        <v>2726.5351</v>
      </c>
      <c r="G11824" s="30" t="n">
        <f aca="false">pace</f>
        <v>2726.5351</v>
      </c>
      <c r="H11824" s="30" t="n">
        <f aca="false">pace</f>
        <v>2726.5351</v>
      </c>
      <c r="I11824" s="30" t="n">
        <f aca="false">pace+(g_tv*Sens!H11825-pace)*MIN(1,(Sens!I11823-pace_y0)/(pace_y1-pace_y0))</f>
        <v>1931.98611966667</v>
      </c>
      <c r="J11824" s="30" t="n">
        <f aca="false">pace+(g_tv*Sens!I11825-pace)*MIN(1,(Sens!J11823-pace_y0)/(pace_y1-pace_y0))</f>
        <v>1176.07686172667</v>
      </c>
      <c r="K11824" s="30" t="n">
        <f aca="false">pace+(g_tv*Sens!J11825-pace)*MIN(1,(Sens!K11823-pace_y0)/(pace_y1-pace_y0))</f>
        <v>436.1300484418</v>
      </c>
      <c r="L11824" s="12" t="s">
        <v>949</v>
      </c>
    </row>
    <row r="11825" customFormat="false" ht="17.15" hidden="false" customHeight="false" outlineLevel="0" collapsed="false">
      <c r="A11825" s="1" t="s">
        <v>950</v>
      </c>
      <c r="B11825" s="0" t="s">
        <v>456</v>
      </c>
      <c r="C11825" s="30" t="n">
        <f aca="false">mw_ext_24</f>
        <v>640</v>
      </c>
      <c r="D11825" s="30" t="n">
        <f aca="false">mw_ext_25</f>
        <v>1630</v>
      </c>
      <c r="E11825" s="30" t="n">
        <f aca="false">mw_ext_26</f>
        <v>3250</v>
      </c>
      <c r="F11825" s="30" t="n">
        <f aca="false">Sens!E11825+Sens!F11824</f>
        <v>5976.5351</v>
      </c>
      <c r="G11825" s="30" t="n">
        <f aca="false">Sens!F11825+Sens!G11824</f>
        <v>8703.0702</v>
      </c>
      <c r="H11825" s="30" t="n">
        <f aca="false">Sens!G11825+Sens!H11824</f>
        <v>11429.6053</v>
      </c>
      <c r="I11825" s="30" t="n">
        <f aca="false">Sens!H11825+Sens!I11824</f>
        <v>13361.5914196667</v>
      </c>
      <c r="J11825" s="30" t="n">
        <f aca="false">Sens!I11825+Sens!J11824</f>
        <v>14537.6682813933</v>
      </c>
      <c r="K11825" s="30" t="n">
        <f aca="false">Sens!J11825+Sens!K11824</f>
        <v>14973.7983298351</v>
      </c>
      <c r="L11825" s="1" t="s">
        <v>951</v>
      </c>
    </row>
    <row r="11826" customFormat="false" ht="17.15" hidden="false" customHeight="false" outlineLevel="0" collapsed="false">
      <c r="A11826" s="1" t="s">
        <v>952</v>
      </c>
      <c r="B11826" s="0" t="s">
        <v>456</v>
      </c>
      <c r="C11826" s="30" t="n">
        <f aca="false">rent_ext_24</f>
        <v>150</v>
      </c>
      <c r="D11826" s="30" t="n">
        <f aca="false">rent_ext_25</f>
        <v>400</v>
      </c>
      <c r="E11826" s="30" t="n">
        <f aca="false">rent_ext_26</f>
        <v>550</v>
      </c>
      <c r="F11826" s="30" t="n">
        <f aca="false">rent_ext_f</f>
        <v>756</v>
      </c>
      <c r="G11826" s="30" t="n">
        <f aca="false">rent_ext_f</f>
        <v>756</v>
      </c>
      <c r="H11826" s="30" t="n">
        <f aca="false">rent_ext_f</f>
        <v>756</v>
      </c>
      <c r="I11826" s="30" t="n">
        <f aca="false">rent_ext_f</f>
        <v>756</v>
      </c>
      <c r="J11826" s="30" t="n">
        <f aca="false">rent_ext_f</f>
        <v>756</v>
      </c>
      <c r="K11826" s="30" t="n">
        <f aca="false">rent_ext_f</f>
        <v>756</v>
      </c>
      <c r="L11826" s="1" t="s">
        <v>953</v>
      </c>
    </row>
    <row r="11827" customFormat="false" ht="17.15" hidden="false" customHeight="false" outlineLevel="0" collapsed="false">
      <c r="A11827" s="1" t="s">
        <v>954</v>
      </c>
      <c r="B11827" s="0" t="s">
        <v>456</v>
      </c>
      <c r="C11827" s="30" t="n">
        <f aca="false">Sens!C11825-Sens!C11826</f>
        <v>490</v>
      </c>
      <c r="D11827" s="30" t="n">
        <f aca="false">Sens!D11825-Sens!D11826</f>
        <v>1230</v>
      </c>
      <c r="E11827" s="30" t="n">
        <f aca="false">Sens!E11825-Sens!E11826</f>
        <v>2700</v>
      </c>
      <c r="F11827" s="30" t="n">
        <f aca="false">Sens!F11825-Sens!F11826</f>
        <v>5220.5351</v>
      </c>
      <c r="G11827" s="30" t="n">
        <f aca="false">Sens!G11825-Sens!G11826</f>
        <v>7947.0702</v>
      </c>
      <c r="H11827" s="30" t="n">
        <f aca="false">Sens!H11825-Sens!H11826</f>
        <v>10673.6053</v>
      </c>
      <c r="I11827" s="30" t="n">
        <f aca="false">Sens!I11825-Sens!I11826</f>
        <v>12605.5914196667</v>
      </c>
      <c r="J11827" s="30" t="n">
        <f aca="false">Sens!J11825-Sens!J11826</f>
        <v>13781.6682813933</v>
      </c>
      <c r="K11827" s="30" t="n">
        <f aca="false">Sens!K11825-Sens!K11826</f>
        <v>14217.7983298351</v>
      </c>
    </row>
    <row r="11828" customFormat="false" ht="17.15" hidden="false" customHeight="false" outlineLevel="0" collapsed="false">
      <c r="A11828" s="1" t="s">
        <v>955</v>
      </c>
      <c r="B11828" s="0" t="s">
        <v>456</v>
      </c>
      <c r="C11828" s="30" t="n">
        <f aca="false">Sens!C11827/ext_sh</f>
        <v>816.666666666667</v>
      </c>
      <c r="D11828" s="30" t="n">
        <f aca="false">Sens!D11827/ext_sh</f>
        <v>2050</v>
      </c>
      <c r="E11828" s="30" t="n">
        <f aca="false">Sens!E11827/ext_sh</f>
        <v>4500</v>
      </c>
      <c r="F11828" s="30" t="n">
        <f aca="false">Sens!F11827/ext_sh</f>
        <v>8700.89183333333</v>
      </c>
      <c r="G11828" s="30" t="n">
        <f aca="false">Sens!G11827/ext_sh</f>
        <v>13245.117</v>
      </c>
      <c r="H11828" s="30" t="n">
        <f aca="false">Sens!H11827/ext_sh</f>
        <v>17789.3421666667</v>
      </c>
      <c r="I11828" s="30" t="n">
        <f aca="false">Sens!I11827/ext_sh</f>
        <v>21009.3190327778</v>
      </c>
      <c r="J11828" s="30" t="n">
        <f aca="false">Sens!J11827/ext_sh</f>
        <v>22969.4471356556</v>
      </c>
      <c r="K11828" s="30" t="n">
        <f aca="false">Sens!K11827/ext_sh</f>
        <v>23696.3305497252</v>
      </c>
      <c r="L11828" s="1" t="s">
        <v>956</v>
      </c>
    </row>
    <row r="11829" customFormat="false" ht="17.15" hidden="false" customHeight="false" outlineLevel="0" collapsed="false">
      <c r="A11829" s="1" t="s">
        <v>957</v>
      </c>
      <c r="B11829" s="0" t="s">
        <v>456</v>
      </c>
      <c r="C11829" s="30" t="n">
        <f aca="false">Sens!C11828-Sens!C11827</f>
        <v>326.666666666667</v>
      </c>
      <c r="D11829" s="30" t="n">
        <f aca="false">Sens!D11828-Sens!D11827</f>
        <v>820</v>
      </c>
      <c r="E11829" s="30" t="n">
        <f aca="false">Sens!E11828-Sens!E11827</f>
        <v>1800</v>
      </c>
      <c r="F11829" s="30" t="n">
        <f aca="false">Sens!F11828-Sens!F11827</f>
        <v>3480.35673333333</v>
      </c>
      <c r="G11829" s="30" t="n">
        <f aca="false">Sens!G11828-Sens!G11827</f>
        <v>5298.0468</v>
      </c>
      <c r="H11829" s="30" t="n">
        <f aca="false">Sens!H11828-Sens!H11827</f>
        <v>7115.73686666667</v>
      </c>
      <c r="I11829" s="30" t="n">
        <f aca="false">Sens!I11828-Sens!I11827</f>
        <v>8403.72761311111</v>
      </c>
      <c r="J11829" s="30" t="n">
        <f aca="false">Sens!J11828-Sens!J11827</f>
        <v>9187.77885426222</v>
      </c>
      <c r="K11829" s="30" t="n">
        <f aca="false">Sens!K11828-Sens!K11827</f>
        <v>9478.53221989009</v>
      </c>
    </row>
    <row r="11830" customFormat="false" ht="17.15" hidden="false" customHeight="false" outlineLevel="0" collapsed="false">
      <c r="A11830" s="1" t="s">
        <v>958</v>
      </c>
      <c r="B11830" s="0" t="s">
        <v>456</v>
      </c>
      <c r="C11830" s="30" t="n">
        <f aca="false">Sens!C11828</f>
        <v>816.666666666667</v>
      </c>
      <c r="D11830" s="30" t="n">
        <f aca="false">Sens!D11828-Sens!C11828</f>
        <v>1233.33333333333</v>
      </c>
      <c r="E11830" s="30" t="n">
        <f aca="false">Sens!E11828-Sens!D11828</f>
        <v>2450</v>
      </c>
      <c r="F11830" s="30" t="n">
        <f aca="false">Sens!F11828-Sens!E11828</f>
        <v>4200.89183333333</v>
      </c>
      <c r="G11830" s="30" t="n">
        <f aca="false">Sens!G11828-Sens!F11828</f>
        <v>4544.22516666667</v>
      </c>
      <c r="H11830" s="30" t="n">
        <f aca="false">Sens!H11828-Sens!G11828</f>
        <v>4544.22516666667</v>
      </c>
      <c r="I11830" s="30" t="n">
        <f aca="false">Sens!I11828-Sens!H11828</f>
        <v>3219.97686611111</v>
      </c>
      <c r="J11830" s="30" t="n">
        <f aca="false">Sens!J11828-Sens!I11828</f>
        <v>1960.12810287778</v>
      </c>
      <c r="K11830" s="30" t="n">
        <f aca="false">Sens!K11828-Sens!J11828</f>
        <v>726.883414069667</v>
      </c>
    </row>
    <row r="11831" customFormat="false" ht="17.15" hidden="false" customHeight="false" outlineLevel="0" collapsed="false">
      <c r="A11831" s="1" t="s">
        <v>959</v>
      </c>
      <c r="B11831" s="0" t="s">
        <v>456</v>
      </c>
      <c r="D11831" s="30" t="n">
        <f aca="false">Sens!D11825-Sens!C11825</f>
        <v>990</v>
      </c>
      <c r="E11831" s="30" t="n">
        <f aca="false">Sens!E11825-Sens!D11825</f>
        <v>1620</v>
      </c>
      <c r="F11831" s="30" t="n">
        <f aca="false">Sens!F11825-Sens!E11825</f>
        <v>2726.5351</v>
      </c>
      <c r="G11831" s="30" t="n">
        <f aca="false">Sens!G11825-Sens!F11825</f>
        <v>2726.5351</v>
      </c>
      <c r="H11831" s="30" t="n">
        <f aca="false">Sens!H11825-Sens!G11825</f>
        <v>2726.5351</v>
      </c>
      <c r="I11831" s="30" t="n">
        <f aca="false">Sens!I11825-Sens!H11825</f>
        <v>1931.98611966667</v>
      </c>
      <c r="J11831" s="30" t="n">
        <f aca="false">Sens!J11825-Sens!I11825</f>
        <v>1176.07686172667</v>
      </c>
      <c r="K11831" s="30" t="n">
        <f aca="false">Sens!K11825-Sens!J11825</f>
        <v>436.130048441799</v>
      </c>
    </row>
    <row r="11832" customFormat="false" ht="17.15" hidden="false" customHeight="false" outlineLevel="0" collapsed="false">
      <c r="A11832" s="1" t="s">
        <v>960</v>
      </c>
      <c r="B11832" s="0" t="s">
        <v>456</v>
      </c>
      <c r="F11832" s="30" t="n">
        <f aca="false">Sens!F11851*ext_sh</f>
        <v>0</v>
      </c>
      <c r="G11832" s="30" t="n">
        <f aca="false">Sens!G11851*ext_sh</f>
        <v>0</v>
      </c>
      <c r="H11832" s="30" t="n">
        <f aca="false">Sens!H11851*ext_sh</f>
        <v>0</v>
      </c>
      <c r="I11832" s="30" t="n">
        <f aca="false">Sens!I11851*ext_sh</f>
        <v>490</v>
      </c>
      <c r="J11832" s="30" t="n">
        <f aca="false">Sens!J11851*ext_sh</f>
        <v>740</v>
      </c>
      <c r="K11832" s="30" t="n">
        <f aca="false">Sens!K11851*ext_sh</f>
        <v>1470</v>
      </c>
      <c r="L11832" s="1" t="s">
        <v>961</v>
      </c>
    </row>
    <row r="11833" customFormat="false" ht="17.15" hidden="false" customHeight="false" outlineLevel="0" collapsed="false">
      <c r="A11833" s="1" t="s">
        <v>962</v>
      </c>
      <c r="B11833" s="0" t="s">
        <v>456</v>
      </c>
      <c r="C11833" s="30" t="n">
        <f aca="false">mix_h*Sens!C11825</f>
        <v>128</v>
      </c>
      <c r="D11833" s="30" t="n">
        <f aca="false">mix_h*Sens!D11825</f>
        <v>326</v>
      </c>
      <c r="E11833" s="30" t="n">
        <f aca="false">mix_h*Sens!E11825</f>
        <v>650</v>
      </c>
      <c r="F11833" s="30" t="n">
        <f aca="false">Sens!E11833-Sens!F11832*mix_h</f>
        <v>650</v>
      </c>
      <c r="G11833" s="30" t="n">
        <f aca="false">Sens!F11833-Sens!G11832*mix_h</f>
        <v>650</v>
      </c>
      <c r="H11833" s="30" t="n">
        <f aca="false">Sens!G11833-Sens!H11832*mix_h</f>
        <v>650</v>
      </c>
      <c r="I11833" s="30" t="n">
        <f aca="false">Sens!H11833-Sens!I11832*mix_h</f>
        <v>552</v>
      </c>
      <c r="J11833" s="30" t="n">
        <f aca="false">Sens!I11833-Sens!J11832*mix_h</f>
        <v>404</v>
      </c>
      <c r="K11833" s="30" t="n">
        <f aca="false">Sens!J11833-Sens!K11832*mix_h</f>
        <v>110</v>
      </c>
    </row>
    <row r="11834" customFormat="false" ht="17.15" hidden="false" customHeight="false" outlineLevel="0" collapsed="false">
      <c r="A11834" s="1" t="s">
        <v>963</v>
      </c>
      <c r="B11834" s="0" t="s">
        <v>456</v>
      </c>
      <c r="C11834" s="30" t="n">
        <f aca="false">mix_g2*Sens!C11825</f>
        <v>288</v>
      </c>
      <c r="D11834" s="30" t="n">
        <f aca="false">mix_g2*Sens!D11825</f>
        <v>733.5</v>
      </c>
      <c r="E11834" s="30" t="n">
        <f aca="false">mix_g2*Sens!E11825</f>
        <v>1462.5</v>
      </c>
      <c r="F11834" s="30" t="n">
        <f aca="false">Sens!E11834-Sens!F11832*mix_g2</f>
        <v>1462.5</v>
      </c>
      <c r="G11834" s="30" t="n">
        <f aca="false">Sens!F11834-Sens!G11832*mix_g2</f>
        <v>1462.5</v>
      </c>
      <c r="H11834" s="30" t="n">
        <f aca="false">Sens!G11834-Sens!H11832*mix_g2</f>
        <v>1462.5</v>
      </c>
      <c r="I11834" s="30" t="n">
        <f aca="false">Sens!H11834-Sens!I11832*mix_g2</f>
        <v>1242</v>
      </c>
      <c r="J11834" s="30" t="n">
        <f aca="false">Sens!I11834-Sens!J11832*mix_g2</f>
        <v>909</v>
      </c>
      <c r="K11834" s="30" t="n">
        <f aca="false">Sens!J11834-Sens!K11832*mix_g2</f>
        <v>247.5</v>
      </c>
    </row>
    <row r="11835" customFormat="false" ht="17.15" hidden="false" customHeight="false" outlineLevel="0" collapsed="false">
      <c r="A11835" s="1" t="s">
        <v>964</v>
      </c>
      <c r="B11835" s="0" t="s">
        <v>456</v>
      </c>
      <c r="C11835" s="30" t="n">
        <f aca="false">mix_g3*Sens!C11825</f>
        <v>224</v>
      </c>
      <c r="D11835" s="30" t="n">
        <f aca="false">mix_g3*Sens!D11825</f>
        <v>570.5</v>
      </c>
      <c r="E11835" s="30" t="n">
        <f aca="false">mix_g3*Sens!E11825</f>
        <v>1137.5</v>
      </c>
      <c r="F11835" s="30" t="n">
        <f aca="false">Sens!E11835+(Sens!F11831+Sens!F11832)*(a_g3_27-nonnv*a_mai)-Sens!F11832*mix_g3</f>
        <v>2773.42106</v>
      </c>
      <c r="G11835" s="30" t="n">
        <f aca="false">Sens!F11835+(Sens!G11831+Sens!G11832)*(a_g3_28-nonnv*a_mai)-Sens!G11832*mix_g3</f>
        <v>3318.72808</v>
      </c>
      <c r="H11835" s="30" t="n">
        <f aca="false">Sens!G11835+(Sens!H11831+Sens!H11832)*(a_g3_29-nonnv*a_mai)-Sens!H11832*mix_g3</f>
        <v>3318.72808</v>
      </c>
      <c r="I11835" s="30" t="n">
        <f aca="false">Sens!H11835+(Sens!I11831+Sens!I11832)*(a_g3_29-nonnv*a_mai)-Sens!I11832*mix_g3</f>
        <v>3147.22808</v>
      </c>
      <c r="J11835" s="30" t="n">
        <f aca="false">Sens!I11835+(Sens!J11831+Sens!J11832)*(a_g3_29-nonnv*a_mai)-Sens!J11832*mix_g3</f>
        <v>2888.22808</v>
      </c>
      <c r="K11835" s="30" t="n">
        <f aca="false">Sens!J11835+(Sens!K11831+Sens!K11832)*(a_g3_29-nonnv*a_mai)-Sens!K11832*mix_g3</f>
        <v>2373.72808</v>
      </c>
    </row>
    <row r="11836" customFormat="false" ht="17.15" hidden="false" customHeight="false" outlineLevel="0" collapsed="false">
      <c r="A11836" s="1" t="s">
        <v>965</v>
      </c>
      <c r="B11836" s="0" t="s">
        <v>456</v>
      </c>
      <c r="C11836" s="30" t="n">
        <v>0</v>
      </c>
      <c r="D11836" s="30" t="n">
        <v>0</v>
      </c>
      <c r="E11836" s="30" t="n">
        <v>0</v>
      </c>
      <c r="F11836" s="30" t="n">
        <f aca="false">Sens!E11836+(Sens!F11831+Sens!F11832)*nonnv*a_mai</f>
        <v>272.65351</v>
      </c>
      <c r="G11836" s="30" t="n">
        <f aca="false">Sens!F11836+(Sens!G11831+Sens!G11832)*nonnv*a_mai</f>
        <v>545.30702</v>
      </c>
      <c r="H11836" s="30" t="n">
        <f aca="false">Sens!G11836+(Sens!H11831+Sens!H11832)*nonnv*a_mai</f>
        <v>817.96053</v>
      </c>
      <c r="I11836" s="30" t="n">
        <f aca="false">Sens!H11836+(Sens!I11831+Sens!I11832)*nonnv*a_mai</f>
        <v>1060.15914196667</v>
      </c>
      <c r="J11836" s="30" t="n">
        <f aca="false">Sens!I11836+(Sens!J11831+Sens!J11832)*nonnv*a_mai</f>
        <v>1251.76682813933</v>
      </c>
      <c r="K11836" s="30" t="n">
        <f aca="false">Sens!J11836+(Sens!K11831+Sens!K11832)*nonnv*a_mai</f>
        <v>1442.37983298351</v>
      </c>
      <c r="L11836" s="12" t="s">
        <v>966</v>
      </c>
    </row>
    <row r="11837" customFormat="false" ht="17.15" hidden="false" customHeight="false" outlineLevel="0" collapsed="false">
      <c r="A11837" s="1" t="s">
        <v>967</v>
      </c>
      <c r="B11837" s="0" t="s">
        <v>456</v>
      </c>
      <c r="C11837" s="30" t="n">
        <v>0</v>
      </c>
      <c r="D11837" s="30" t="n">
        <v>0</v>
      </c>
      <c r="E11837" s="30" t="n">
        <v>0</v>
      </c>
      <c r="F11837" s="30" t="n">
        <f aca="false">Sens!E11837+(Sens!F11831+Sens!F11832)*(1-a_g3_27)</f>
        <v>817.96053</v>
      </c>
      <c r="G11837" s="30" t="n">
        <f aca="false">Sens!F11837+(Sens!G11831+Sens!G11832)*(1-a_g3_28)</f>
        <v>2726.5351</v>
      </c>
      <c r="H11837" s="30" t="n">
        <f aca="false">Sens!G11837+(Sens!H11831+Sens!H11832)*(1-a_g3_29)</f>
        <v>5180.41669</v>
      </c>
      <c r="I11837" s="30" t="n">
        <f aca="false">Sens!H11837+(Sens!I11831+Sens!I11832)*(1-a_g3_29)</f>
        <v>7360.2041977</v>
      </c>
      <c r="J11837" s="30" t="n">
        <f aca="false">Sens!I11837+(Sens!J11831+Sens!J11832)*(1-a_g3_29)</f>
        <v>9084.673373254</v>
      </c>
      <c r="K11837" s="30" t="n">
        <f aca="false">Sens!J11837+(Sens!K11831+Sens!K11832)*(1-a_g3_29)</f>
        <v>10800.1904168516</v>
      </c>
    </row>
    <row r="11838" customFormat="false" ht="17.15" hidden="false" customHeight="false" outlineLevel="0" collapsed="false">
      <c r="A11838" s="1" t="s">
        <v>968</v>
      </c>
      <c r="B11838" s="0" t="s">
        <v>403</v>
      </c>
      <c r="C11838" s="15" t="n">
        <f aca="false">(Sens!C11833*tk_hold_h100+Sens!C11834*tk_hold_gb200+Sens!C11835*tk_hold_gb300+Sens!C11837*tk_hold_vr200+Sens!C11836*nv_hold_mai*tk_hold_vr200)/Sens!C11825</f>
        <v>9.7235358126469</v>
      </c>
      <c r="D11838" s="15" t="n">
        <f aca="false">(Sens!D11833*tk_hold_h100+Sens!D11834*tk_hold_gb200+Sens!D11835*tk_hold_gb300+Sens!D11837*tk_hold_vr200+Sens!D11836*nv_hold_mai*tk_hold_vr200)/Sens!D11825</f>
        <v>9.7235358126469</v>
      </c>
      <c r="E11838" s="15" t="n">
        <f aca="false">(Sens!E11833*tk_hold_h100+Sens!E11834*tk_hold_gb200+Sens!E11835*tk_hold_gb300+Sens!E11837*tk_hold_vr200+Sens!E11836*nv_hold_mai*tk_hold_vr200)/Sens!E11825</f>
        <v>9.7235358126469</v>
      </c>
      <c r="F11838" s="15" t="n">
        <f aca="false">(Sens!F11833*tk_hold_h100+Sens!F11834*tk_hold_gb200+Sens!F11835*tk_hold_gb300+Sens!F11837*tk_hold_vr200+Sens!F11836*nv_hold_mai*tk_hold_vr200)/Sens!F11825</f>
        <v>10.2195353876665</v>
      </c>
      <c r="G11838" s="15" t="n">
        <f aca="false">(Sens!G11833*tk_hold_h100+Sens!G11834*tk_hold_gb200+Sens!G11835*tk_hold_gb300+Sens!G11837*tk_hold_vr200+Sens!G11836*nv_hold_mai*tk_hold_vr200)/Sens!G11825</f>
        <v>10.5725598017306</v>
      </c>
      <c r="H11838" s="15" t="n">
        <f aca="false">(Sens!H11833*tk_hold_h100+Sens!H11834*tk_hold_gb200+Sens!H11835*tk_hold_gb300+Sens!H11837*tk_hold_vr200+Sens!H11836*nv_hold_mai*tk_hold_vr200)/Sens!H11825</f>
        <v>10.8210427149036</v>
      </c>
      <c r="I11838" s="15" t="n">
        <f aca="false">(Sens!I11833*tk_hold_h100+Sens!I11834*tk_hold_gb200+Sens!I11835*tk_hold_gb300+Sens!I11837*tk_hold_vr200+Sens!I11836*nv_hold_mai*tk_hold_vr200)/Sens!I11825</f>
        <v>11.0050618241982</v>
      </c>
      <c r="J11838" s="15" t="n">
        <f aca="false">(Sens!J11833*tk_hold_h100+Sens!J11834*tk_hold_gb200+Sens!J11835*tk_hold_gb300+Sens!J11837*tk_hold_vr200+Sens!J11836*nv_hold_mai*tk_hold_vr200)/Sens!J11825</f>
        <v>11.1505789658881</v>
      </c>
      <c r="K11838" s="15" t="n">
        <f aca="false">(Sens!K11833*tk_hold_h100+Sens!K11834*tk_hold_gb200+Sens!K11835*tk_hold_gb300+Sens!K11837*tk_hold_vr200+Sens!K11836*nv_hold_mai*tk_hold_vr200)/Sens!K11825</f>
        <v>11.3496914757183</v>
      </c>
      <c r="L11838" s="1" t="s">
        <v>969</v>
      </c>
    </row>
    <row r="11839" customFormat="false" ht="17.15" hidden="false" customHeight="false" outlineLevel="0" collapsed="false">
      <c r="A11839" s="1" t="s">
        <v>970</v>
      </c>
      <c r="B11839" s="0" t="s">
        <v>403</v>
      </c>
      <c r="C11839" s="15" t="n">
        <f aca="false">(Sens!C11833*tk_hold_h100+Sens!C11834*tk_hold_gb200+Sens!C11835*tk_hold_gb300+Sens!C11837*tk_hold_vr200+Sens!C11836*nv_out_mai*tk_hold_vr200)/Sens!C11825</f>
        <v>9.7235358126469</v>
      </c>
      <c r="D11839" s="15" t="n">
        <f aca="false">(Sens!D11833*tk_hold_h100+Sens!D11834*tk_hold_gb200+Sens!D11835*tk_hold_gb300+Sens!D11837*tk_hold_vr200+Sens!D11836*nv_out_mai*tk_hold_vr200)/Sens!D11825</f>
        <v>9.7235358126469</v>
      </c>
      <c r="E11839" s="15" t="n">
        <f aca="false">(Sens!E11833*tk_hold_h100+Sens!E11834*tk_hold_gb200+Sens!E11835*tk_hold_gb300+Sens!E11837*tk_hold_vr200+Sens!E11836*nv_out_mai*tk_hold_vr200)/Sens!E11825</f>
        <v>9.7235358126469</v>
      </c>
      <c r="F11839" s="15" t="n">
        <f aca="false">(Sens!F11833*tk_hold_h100+Sens!F11834*tk_hold_gb200+Sens!F11835*tk_hold_gb300+Sens!F11837*tk_hold_vr200+Sens!F11836*nv_out_mai*tk_hold_vr200)/Sens!F11825</f>
        <v>10.247422093969</v>
      </c>
      <c r="G11839" s="15" t="n">
        <f aca="false">(Sens!G11833*tk_hold_h100+Sens!G11834*tk_hold_gb200+Sens!G11835*tk_hold_gb300+Sens!G11837*tk_hold_vr200+Sens!G11836*nv_out_mai*tk_hold_vr200)/Sens!G11825</f>
        <v>10.6108602808053</v>
      </c>
      <c r="H11839" s="15" t="n">
        <f aca="false">(Sens!H11833*tk_hold_h100+Sens!H11834*tk_hold_gb200+Sens!H11835*tk_hold_gb300+Sens!H11837*tk_hold_vr200+Sens!H11836*nv_out_mai*tk_hold_vr200)/Sens!H11825</f>
        <v>10.8647885507393</v>
      </c>
      <c r="I11839" s="15" t="n">
        <f aca="false">(Sens!I11833*tk_hold_h100+Sens!I11834*tk_hold_gb200+Sens!I11835*tk_hold_gb300+Sens!I11837*tk_hold_vr200+Sens!I11836*nv_out_mai*tk_hold_vr200)/Sens!I11825</f>
        <v>11.0535625770025</v>
      </c>
      <c r="J11839" s="15" t="n">
        <f aca="false">(Sens!J11833*tk_hold_h100+Sens!J11834*tk_hold_gb200+Sens!J11835*tk_hold_gb300+Sens!J11837*tk_hold_vr200+Sens!J11836*nv_out_mai*tk_hold_vr200)/Sens!J11825</f>
        <v>11.2032127128058</v>
      </c>
      <c r="K11839" s="15" t="n">
        <f aca="false">(Sens!K11833*tk_hold_h100+Sens!K11834*tk_hold_gb200+Sens!K11835*tk_hold_gb300+Sens!K11837*tk_hold_vr200+Sens!K11836*nv_out_mai*tk_hold_vr200)/Sens!K11825</f>
        <v>11.4085735724225</v>
      </c>
      <c r="L11839" s="12" t="s">
        <v>971</v>
      </c>
    </row>
    <row r="11840" customFormat="false" ht="17.15" hidden="false" customHeight="false" outlineLevel="0" collapsed="false">
      <c r="A11840" s="0" t="s">
        <v>972</v>
      </c>
      <c r="B11840" s="0" t="s">
        <v>229</v>
      </c>
      <c r="C11840" s="15" t="n">
        <f aca="false">k_B</f>
        <v>1.17213932619116</v>
      </c>
      <c r="D11840" s="15" t="n">
        <f aca="false">k_B</f>
        <v>1.17213932619116</v>
      </c>
      <c r="E11840" s="15" t="n">
        <f aca="false">k_B</f>
        <v>1.17213932619116</v>
      </c>
      <c r="F11840" s="15" t="n">
        <f aca="false">(k_B+((ls_C*k_long+(1-ls_C)*k_spot)-k_B)*MIN(1,(Sens!F11823-base_fy)/k_ramp))</f>
        <v>1.07843258004497</v>
      </c>
      <c r="G11840" s="15" t="n">
        <f aca="false">(k_B+((ls_C*k_long+(1-ls_C)*k_spot)-k_B)*MIN(1,(Sens!G11823-base_fy)/k_ramp))</f>
        <v>0.984725833898784</v>
      </c>
      <c r="H11840" s="15" t="n">
        <f aca="false">(k_B+((ls_C*k_long+(1-ls_C)*k_spot)-k_B)*MIN(1,(Sens!H11823-base_fy)/k_ramp))</f>
        <v>0.891019087752599</v>
      </c>
      <c r="I11840" s="15" t="n">
        <f aca="false">(k_B+((ls_C*k_long+(1-ls_C)*k_spot)-k_B)*MIN(1,(Sens!I11823-base_fy)/k_ramp))</f>
        <v>0.891019087752599</v>
      </c>
      <c r="J11840" s="15" t="n">
        <f aca="false">(k_B+((ls_C*k_long+(1-ls_C)*k_spot)-k_B)*MIN(1,(Sens!J11823-base_fy)/k_ramp))</f>
        <v>0.891019087752599</v>
      </c>
      <c r="K11840" s="15" t="n">
        <f aca="false">(k_B+((ls_C*k_long+(1-ls_C)*k_spot)-k_B)*MIN(1,(Sens!K11823-base_fy)/k_ramp))</f>
        <v>0.891019087752599</v>
      </c>
      <c r="L11840" s="1" t="s">
        <v>973</v>
      </c>
    </row>
    <row r="11841" customFormat="false" ht="17.15" hidden="false" customHeight="false" outlineLevel="0" collapsed="false">
      <c r="A11841" s="1" t="s">
        <v>974</v>
      </c>
      <c r="B11841" s="0" t="s">
        <v>403</v>
      </c>
      <c r="C11841" s="15" t="n">
        <f aca="false">Sens!C11839*Sens!C11840*chip_f</f>
        <v>11.3973387156315</v>
      </c>
      <c r="D11841" s="15" t="n">
        <f aca="false">Sens!D11839*Sens!D11840*chip_f</f>
        <v>11.3973387156315</v>
      </c>
      <c r="E11841" s="15" t="n">
        <f aca="false">Sens!E11839*Sens!E11840*chip_f</f>
        <v>11.3973387156315</v>
      </c>
      <c r="F11841" s="15" t="n">
        <f aca="false">Sens!F11839*Sens!F11840*chip_f</f>
        <v>11.0511538476088</v>
      </c>
      <c r="G11841" s="15" t="n">
        <f aca="false">Sens!G11839*Sens!G11840*chip_f</f>
        <v>10.4487882383995</v>
      </c>
      <c r="H11841" s="15" t="n">
        <f aca="false">Sens!H11839*Sens!H11840*chip_f</f>
        <v>9.68073398310464</v>
      </c>
      <c r="I11841" s="15" t="n">
        <f aca="false">Sens!I11839*Sens!I11840*chip_f</f>
        <v>9.84893524377706</v>
      </c>
      <c r="J11841" s="15" t="n">
        <f aca="false">Sens!J11839*Sens!J11840*chip_f</f>
        <v>9.98227637126252</v>
      </c>
      <c r="K11841" s="15" t="n">
        <f aca="false">Sens!K11839*Sens!K11840*chip_f</f>
        <v>10.1652568170583</v>
      </c>
      <c r="L11841" s="1" t="s">
        <v>975</v>
      </c>
    </row>
    <row r="11842" customFormat="false" ht="17.15" hidden="false" customHeight="false" outlineLevel="0" collapsed="false">
      <c r="A11842" s="0" t="s">
        <v>976</v>
      </c>
      <c r="B11842" s="0" t="s">
        <v>98</v>
      </c>
      <c r="D11842" s="6" t="n">
        <f aca="false">(Sens!C11825+Sens!D11825)/2*Sens!D11841/1000</f>
        <v>12.9359794422418</v>
      </c>
      <c r="E11842" s="6" t="n">
        <f aca="false">(Sens!D11825+Sens!E11825)/2*Sens!E11841/1000</f>
        <v>27.8095064661409</v>
      </c>
      <c r="F11842" s="6" t="n">
        <f aca="false">(Sens!E11825+Sens!F11825)/2*Sens!F11841/1000</f>
        <v>50.9819294352312</v>
      </c>
      <c r="G11842" s="6" t="n">
        <f aca="false">(Sens!F11825+Sens!G11825)/2*Sens!G11841/1000</f>
        <v>76.6920436014933</v>
      </c>
      <c r="H11842" s="6" t="n">
        <f aca="false">(Sens!G11825+Sens!H11825)/2*Sens!H11841/1000</f>
        <v>97.4495379418341</v>
      </c>
      <c r="I11842" s="6" t="n">
        <f aca="false">(Sens!H11825+Sens!I11825)/2*Sens!I11841/1000</f>
        <v>122.083445553868</v>
      </c>
      <c r="J11842" s="6" t="n">
        <f aca="false">(Sens!I11825+Sens!J11825)/2*Sens!J11841/1000</f>
        <v>139.249060444804</v>
      </c>
      <c r="K11842" s="6" t="n">
        <f aca="false">(Sens!J11825+Sens!K11825)/2*Sens!K11841/1000</f>
        <v>149.995818575589</v>
      </c>
      <c r="L11842" s="12" t="s">
        <v>977</v>
      </c>
    </row>
    <row r="11843" customFormat="false" ht="17.15" hidden="false" customHeight="false" outlineLevel="0" collapsed="false">
      <c r="A11843" s="1" t="s">
        <v>978</v>
      </c>
      <c r="B11843" s="0" t="s">
        <v>403</v>
      </c>
      <c r="C11843" s="15" t="n">
        <f aca="false">(Sens!C11833*tk_opex_h100+Sens!C11834*tk_opex_gb200+Sens!C11835*tk_opex_gb300+(Sens!C11837+Sens!C11836)*tk_opex_vr200)/Sens!C11825</f>
        <v>1.88636041306092</v>
      </c>
      <c r="D11843" s="15" t="n">
        <f aca="false">(Sens!D11833*tk_opex_h100+Sens!D11834*tk_opex_gb200+Sens!D11835*tk_opex_gb300+(Sens!D11837+Sens!D11836)*tk_opex_vr200)/Sens!D11825</f>
        <v>1.88636041306092</v>
      </c>
      <c r="E11843" s="15" t="n">
        <f aca="false">(Sens!E11833*tk_opex_h100+Sens!E11834*tk_opex_gb200+Sens!E11835*tk_opex_gb300+(Sens!E11837+Sens!E11836)*tk_opex_vr200)/Sens!E11825</f>
        <v>1.88636041306092</v>
      </c>
      <c r="F11843" s="15" t="n">
        <f aca="false">(Sens!F11833*tk_opex_h100+Sens!F11834*tk_opex_gb200+Sens!F11835*tk_opex_gb300+(Sens!F11837+Sens!F11836)*tk_opex_vr200)/Sens!F11825</f>
        <v>1.95051159746876</v>
      </c>
      <c r="G11843" s="15" t="n">
        <f aca="false">(Sens!G11833*tk_opex_h100+Sens!G11834*tk_opex_gb200+Sens!G11835*tk_opex_gb300+(Sens!G11837+Sens!G11836)*tk_opex_vr200)/Sens!G11825</f>
        <v>1.98836003669956</v>
      </c>
      <c r="H11843" s="15" t="n">
        <f aca="false">(Sens!H11833*tk_opex_h100+Sens!H11834*tk_opex_gb200+Sens!H11835*tk_opex_gb300+(Sens!H11837+Sens!H11836)*tk_opex_vr200)/Sens!H11825</f>
        <v>2.01344013834343</v>
      </c>
      <c r="I11843" s="15" t="n">
        <f aca="false">(Sens!I11833*tk_opex_h100+Sens!I11834*tk_opex_gb200+Sens!I11835*tk_opex_gb300+(Sens!I11837+Sens!I11836)*tk_opex_vr200)/Sens!I11825</f>
        <v>2.03261166882178</v>
      </c>
      <c r="J11843" s="15" t="n">
        <f aca="false">(Sens!J11833*tk_opex_h100+Sens!J11834*tk_opex_gb200+Sens!J11835*tk_opex_gb300+(Sens!J11837+Sens!J11836)*tk_opex_vr200)/Sens!J11825</f>
        <v>2.04808073288745</v>
      </c>
      <c r="K11843" s="15" t="n">
        <f aca="false">(Sens!K11833*tk_opex_h100+Sens!K11834*tk_opex_gb200+Sens!K11835*tk_opex_gb300+(Sens!K11837+Sens!K11836)*tk_opex_vr200)/Sens!K11825</f>
        <v>2.06973825807449</v>
      </c>
      <c r="L11843" s="12" t="s">
        <v>979</v>
      </c>
    </row>
    <row r="11844" customFormat="false" ht="17.15" hidden="false" customHeight="false" outlineLevel="0" collapsed="false">
      <c r="A11844" s="0" t="s">
        <v>980</v>
      </c>
      <c r="B11844" s="0" t="s">
        <v>98</v>
      </c>
      <c r="D11844" s="6" t="n">
        <f aca="false">(Sens!C11828+Sens!D11828)/2*Sens!D11843/1000</f>
        <v>2.70378325872065</v>
      </c>
      <c r="E11844" s="6" t="n">
        <f aca="false">(Sens!D11828+Sens!E11828)/2*Sens!E11843/1000</f>
        <v>6.17783035277451</v>
      </c>
      <c r="F11844" s="6" t="n">
        <f aca="false">(Sens!E11828+Sens!F11828)/2*Sens!F11843/1000</f>
        <v>12.8742463089237</v>
      </c>
      <c r="G11844" s="6" t="n">
        <f aca="false">(Sens!F11828+Sens!G11828)/2*Sens!G11843/1000</f>
        <v>21.8182834646277</v>
      </c>
      <c r="H11844" s="6" t="n">
        <f aca="false">(Sens!G11828+Sens!H11828)/2*Sens!H11843/1000</f>
        <v>31.2430128789734</v>
      </c>
      <c r="I11844" s="6" t="n">
        <f aca="false">(Sens!H11828+Sens!I11828)/2*Sens!I11843/1000</f>
        <v>39.4313057443268</v>
      </c>
      <c r="J11844" s="6" t="n">
        <f aca="false">(Sens!I11828+Sens!J11828)/2*Sens!J11843/1000</f>
        <v>45.0360318228653</v>
      </c>
      <c r="K11844" s="6" t="n">
        <f aca="false">(Sens!J11828+Sens!K11828)/2*Sens!K11843/1000</f>
        <v>48.2929727091156</v>
      </c>
    </row>
    <row r="11845" customFormat="false" ht="17.15" hidden="false" customHeight="false" outlineLevel="0" collapsed="false">
      <c r="A11845" s="0" t="s">
        <v>981</v>
      </c>
      <c r="B11845" s="0" t="s">
        <v>98</v>
      </c>
      <c r="D11845" s="6" t="n">
        <f aca="false">(Sens!C11826+Sens!D11826)/2*rent_mw/1000</f>
        <v>2.44475</v>
      </c>
      <c r="E11845" s="6" t="n">
        <f aca="false">(Sens!D11826+Sens!E11826)/2*rent_mw/1000</f>
        <v>4.22275</v>
      </c>
      <c r="F11845" s="6" t="n">
        <f aca="false">(Sens!E11826+Sens!F11826)/2*rent_mw/1000</f>
        <v>5.80517</v>
      </c>
      <c r="G11845" s="6" t="n">
        <f aca="false">(Sens!F11826+Sens!G11826)/2*rent_mw/1000</f>
        <v>6.72084</v>
      </c>
      <c r="H11845" s="6" t="n">
        <f aca="false">(Sens!G11826+Sens!H11826)/2*rent_mw/1000</f>
        <v>6.72084</v>
      </c>
      <c r="I11845" s="6" t="n">
        <f aca="false">(Sens!H11826+Sens!I11826)/2*rent_mw/1000</f>
        <v>6.72084</v>
      </c>
      <c r="J11845" s="6" t="n">
        <f aca="false">(Sens!I11826+Sens!J11826)/2*rent_mw/1000</f>
        <v>6.72084</v>
      </c>
      <c r="K11845" s="6" t="n">
        <f aca="false">(Sens!J11826+Sens!K11826)/2*rent_mw/1000</f>
        <v>6.72084</v>
      </c>
    </row>
    <row r="11846" customFormat="false" ht="17.15" hidden="false" customHeight="false" outlineLevel="0" collapsed="false">
      <c r="A11846" s="0" t="s">
        <v>982</v>
      </c>
      <c r="B11846" s="0" t="s">
        <v>98</v>
      </c>
      <c r="D11846" s="6" t="n">
        <f aca="false">(Sens!C11828+Sens!D11828)/2*(1-self_build)*fac_rent/1000</f>
        <v>0.853242375631075</v>
      </c>
      <c r="E11846" s="6" t="n">
        <f aca="false">(Sens!D11828+Sens!E11828)/2*(1-self_build)*fac_rent/1000</f>
        <v>1.94955961408728</v>
      </c>
      <c r="F11846" s="6" t="n">
        <f aca="false">(Sens!E11828+Sens!F11828)/2*(1-self_build)*fac_rent/1000</f>
        <v>3.92914894476356</v>
      </c>
      <c r="G11846" s="6" t="n">
        <f aca="false">(Sens!F11828+Sens!G11828)/2*(1-self_build)*fac_rent/1000</f>
        <v>6.53206908578159</v>
      </c>
      <c r="H11846" s="6" t="n">
        <f aca="false">(Sens!G11828+Sens!H11828)/2*(1-self_build)*fac_rent/1000</f>
        <v>9.23717988341591</v>
      </c>
      <c r="I11846" s="6" t="n">
        <f aca="false">(Sens!H11828+Sens!I11828)/2*(1-self_build)*fac_rent/1000</f>
        <v>11.5481378557393</v>
      </c>
      <c r="J11846" s="6" t="n">
        <f aca="false">(Sens!I11828+Sens!J11828)/2*(1-self_build)*fac_rent/1000</f>
        <v>13.0899582289108</v>
      </c>
      <c r="K11846" s="6" t="n">
        <f aca="false">(Sens!J11828+Sens!K11828)/2*(1-self_build)*fac_rent/1000</f>
        <v>13.8897275626556</v>
      </c>
      <c r="L11846" s="12" t="s">
        <v>983</v>
      </c>
    </row>
    <row r="11847" customFormat="false" ht="17.15" hidden="false" customHeight="false" outlineLevel="0" collapsed="false">
      <c r="A11847" s="1" t="s">
        <v>984</v>
      </c>
      <c r="B11847" s="0" t="s">
        <v>168</v>
      </c>
      <c r="D11847" s="7" t="n">
        <f aca="false">(Sens!C11827+Sens!D11827)/(Sens!C11828+Sens!D11828)</f>
        <v>0.6</v>
      </c>
      <c r="E11847" s="7" t="n">
        <f aca="false">(Sens!D11827+Sens!E11827)/(Sens!D11828+Sens!E11828)</f>
        <v>0.6</v>
      </c>
      <c r="F11847" s="7" t="n">
        <f aca="false">(Sens!E11827+Sens!F11827)/(Sens!E11828+Sens!F11828)</f>
        <v>0.6</v>
      </c>
      <c r="G11847" s="7" t="n">
        <f aca="false">(Sens!F11827+Sens!G11827)/(Sens!F11828+Sens!G11828)</f>
        <v>0.6</v>
      </c>
      <c r="H11847" s="7" t="n">
        <f aca="false">(Sens!G11827+Sens!H11827)/(Sens!G11828+Sens!H11828)</f>
        <v>0.6</v>
      </c>
      <c r="I11847" s="7" t="n">
        <f aca="false">(Sens!H11827+Sens!I11827)/(Sens!H11828+Sens!I11828)</f>
        <v>0.6</v>
      </c>
      <c r="J11847" s="7" t="n">
        <f aca="false">(Sens!I11827+Sens!J11827)/(Sens!I11828+Sens!J11828)</f>
        <v>0.6</v>
      </c>
      <c r="K11847" s="7" t="n">
        <f aca="false">(Sens!J11827+Sens!K11827)/(Sens!J11828+Sens!K11828)</f>
        <v>0.6</v>
      </c>
    </row>
    <row r="11848" customFormat="false" ht="17.15" hidden="false" customHeight="false" outlineLevel="0" collapsed="false">
      <c r="A11848" s="0" t="s">
        <v>985</v>
      </c>
      <c r="B11848" s="0" t="s">
        <v>98</v>
      </c>
      <c r="D11848" s="6" t="n">
        <f aca="false">Sens!D11842-Sens!D11847*(Sens!D11844+Sens!D11846)-Sens!D11845</f>
        <v>8.35701406163072</v>
      </c>
      <c r="E11848" s="6" t="n">
        <f aca="false">Sens!E11842-Sens!E11847*(Sens!E11844+Sens!E11846)-Sens!E11845</f>
        <v>18.7103224860238</v>
      </c>
      <c r="F11848" s="6" t="n">
        <f aca="false">Sens!F11842-Sens!F11847*(Sens!F11844+Sens!F11846)-Sens!F11845</f>
        <v>35.0947222830189</v>
      </c>
      <c r="G11848" s="6" t="n">
        <f aca="false">Sens!G11842-Sens!G11847*(Sens!G11844+Sens!G11846)-Sens!G11845</f>
        <v>52.9609920712477</v>
      </c>
      <c r="H11848" s="6" t="n">
        <f aca="false">Sens!H11842-Sens!H11847*(Sens!H11844+Sens!H11846)-Sens!H11845</f>
        <v>66.4405822844005</v>
      </c>
      <c r="I11848" s="6" t="n">
        <f aca="false">Sens!I11842-Sens!I11847*(Sens!I11844+Sens!I11846)-Sens!I11845</f>
        <v>84.7749393938279</v>
      </c>
      <c r="J11848" s="6" t="n">
        <f aca="false">Sens!J11842-Sens!J11847*(Sens!J11844+Sens!J11846)-Sens!J11845</f>
        <v>97.6526264137382</v>
      </c>
      <c r="K11848" s="6" t="n">
        <f aca="false">Sens!K11842-Sens!K11847*(Sens!K11844+Sens!K11846)-Sens!K11845</f>
        <v>105.965358412527</v>
      </c>
    </row>
    <row r="11849" customFormat="false" ht="17.15" hidden="false" customHeight="false" outlineLevel="0" collapsed="false">
      <c r="A11849" s="1" t="s">
        <v>986</v>
      </c>
      <c r="B11849" s="0" t="s">
        <v>98</v>
      </c>
      <c r="D11849" s="6" t="n">
        <f aca="false">(1-Sens!D11847)*(Sens!D11844+Sens!D11846)</f>
        <v>1.42281025374069</v>
      </c>
      <c r="E11849" s="6" t="n">
        <f aca="false">(1-Sens!E11847)*(Sens!E11844+Sens!E11846)</f>
        <v>3.25095598674472</v>
      </c>
      <c r="F11849" s="6" t="n">
        <f aca="false">(1-Sens!F11847)*(Sens!F11844+Sens!F11846)</f>
        <v>6.72135810147489</v>
      </c>
      <c r="G11849" s="6" t="n">
        <f aca="false">(1-Sens!G11847)*(Sens!G11844+Sens!G11846)</f>
        <v>11.3401410201637</v>
      </c>
      <c r="H11849" s="6" t="n">
        <f aca="false">(1-Sens!H11847)*(Sens!H11844+Sens!H11846)</f>
        <v>16.1920771049557</v>
      </c>
      <c r="I11849" s="6" t="n">
        <f aca="false">(1-Sens!I11847)*(Sens!I11844+Sens!I11846)</f>
        <v>20.3917774400264</v>
      </c>
      <c r="J11849" s="6" t="n">
        <f aca="false">(1-Sens!J11847)*(Sens!J11844+Sens!J11846)</f>
        <v>23.2503960207104</v>
      </c>
      <c r="K11849" s="6" t="n">
        <f aca="false">(1-Sens!K11847)*(Sens!K11844+Sens!K11846)</f>
        <v>24.8730801087085</v>
      </c>
    </row>
    <row r="11850" customFormat="false" ht="17.15" hidden="false" customHeight="false" outlineLevel="0" collapsed="false">
      <c r="A11850" s="1" t="s">
        <v>987</v>
      </c>
      <c r="B11850" s="0" t="s">
        <v>414</v>
      </c>
      <c r="C11850" s="8" t="n">
        <f aca="false">cxit_open</f>
        <v>27.5918995</v>
      </c>
      <c r="D11850" s="8" t="n">
        <f aca="false">cxit_open</f>
        <v>27.5918995</v>
      </c>
      <c r="E11850" s="8" t="n">
        <f aca="false">cxit_open</f>
        <v>27.5918995</v>
      </c>
      <c r="F11850" s="8" t="n">
        <f aca="false">((a_g3_27-nonnv*a_mai)*tk_cxit_gb300+nonnv*a_mai*nv_hold_mai*tk_cxit_vr200+(1-a_g3_27)*tk_cxit_vr200)</f>
        <v>32.4975576</v>
      </c>
      <c r="G11850" s="8" t="n">
        <f aca="false">((a_g3_28-nonnv*a_mai)*tk_cxit_gb300+nonnv*a_mai*nv_hold_mai*tk_cxit_vr200+(1-a_g3_28)*tk_cxit_vr200)</f>
        <v>34.6372088</v>
      </c>
      <c r="H11850" s="8" t="n">
        <f aca="false">((a_g3_29-nonnv*a_mai)*tk_cxit_gb300+nonnv*a_mai*nv_hold_mai*tk_cxit_vr200+(1-a_g3_29)*tk_cxit_vr200)</f>
        <v>35.7070344</v>
      </c>
      <c r="I11850" s="8" t="n">
        <f aca="false">((a_g3_29-nonnv*a_mai)*tk_cxit_gb300+nonnv*a_mai*nv_hold_mai*tk_cxit_vr200+(1-a_g3_29)*tk_cxit_vr200)</f>
        <v>35.7070344</v>
      </c>
      <c r="J11850" s="8" t="n">
        <f aca="false">((a_g3_29-nonnv*a_mai)*tk_cxit_gb300+nonnv*a_mai*nv_hold_mai*tk_cxit_vr200+(1-a_g3_29)*tk_cxit_vr200)</f>
        <v>35.7070344</v>
      </c>
      <c r="K11850" s="8" t="n">
        <f aca="false">((a_g3_29-nonnv*a_mai)*tk_cxit_gb300+nonnv*a_mai*nv_hold_mai*tk_cxit_vr200+(1-a_g3_29)*tk_cxit_vr200)</f>
        <v>35.7070344</v>
      </c>
      <c r="L11850" s="12" t="s">
        <v>988</v>
      </c>
    </row>
    <row r="11851" customFormat="false" ht="17.15" hidden="false" customHeight="false" outlineLevel="0" collapsed="false">
      <c r="A11851" s="0" t="s">
        <v>989</v>
      </c>
      <c r="B11851" s="0" t="s">
        <v>456</v>
      </c>
      <c r="F11851" s="30" t="n">
        <f aca="false">Sens!C11830*IF(Sens!F11823-Sens!C11823=life_it,1,0)+Sens!D11830*IF(Sens!F11823-Sens!D11823=life_it,1,0)+Sens!E11830*IF(Sens!F11823-Sens!E11823=life_it,1,0)</f>
        <v>0</v>
      </c>
      <c r="G11851" s="30" t="n">
        <f aca="false">Sens!C11830*IF(Sens!G11823-Sens!C11823=life_it,1,0)+Sens!D11830*IF(Sens!G11823-Sens!D11823=life_it,1,0)+Sens!E11830*IF(Sens!G11823-Sens!E11823=life_it,1,0)+Sens!F11830*IF(Sens!G11823-Sens!F11823=life_it,1,0)</f>
        <v>0</v>
      </c>
      <c r="H11851" s="30" t="n">
        <f aca="false">Sens!C11830*IF(Sens!H11823-Sens!C11823=life_it,1,0)+Sens!D11830*IF(Sens!H11823-Sens!D11823=life_it,1,0)+Sens!E11830*IF(Sens!H11823-Sens!E11823=life_it,1,0)+Sens!F11830*IF(Sens!H11823-Sens!F11823=life_it,1,0)+Sens!G11830*IF(Sens!H11823-Sens!G11823=life_it,1,0)</f>
        <v>0</v>
      </c>
      <c r="I11851" s="30" t="n">
        <f aca="false">Sens!C11830*IF(Sens!I11823-Sens!C11823=life_it,1,0)+Sens!D11830*IF(Sens!I11823-Sens!D11823=life_it,1,0)+Sens!E11830*IF(Sens!I11823-Sens!E11823=life_it,1,0)+Sens!F11830*IF(Sens!I11823-Sens!F11823=life_it,1,0)+Sens!G11830*IF(Sens!I11823-Sens!G11823=life_it,1,0)+Sens!H11830*IF(Sens!I11823-Sens!H11823=life_it,1,0)</f>
        <v>816.666666666667</v>
      </c>
      <c r="J11851" s="30" t="n">
        <f aca="false">Sens!C11830*IF(Sens!J11823-Sens!C11823=life_it,1,0)+Sens!D11830*IF(Sens!J11823-Sens!D11823=life_it,1,0)+Sens!E11830*IF(Sens!J11823-Sens!E11823=life_it,1,0)+Sens!F11830*IF(Sens!J11823-Sens!F11823=life_it,1,0)+Sens!G11830*IF(Sens!J11823-Sens!G11823=life_it,1,0)+Sens!H11830*IF(Sens!J11823-Sens!H11823=life_it,1,0)+Sens!I11830*IF(Sens!J11823-Sens!I11823=life_it,1,0)</f>
        <v>1233.33333333333</v>
      </c>
      <c r="K11851" s="30" t="n">
        <f aca="false">Sens!C11830*IF(Sens!K11823-Sens!C11823=life_it,1,0)+Sens!D11830*IF(Sens!K11823-Sens!D11823=life_it,1,0)+Sens!E11830*IF(Sens!K11823-Sens!E11823=life_it,1,0)+Sens!F11830*IF(Sens!K11823-Sens!F11823=life_it,1,0)+Sens!G11830*IF(Sens!K11823-Sens!G11823=life_it,1,0)+Sens!H11830*IF(Sens!K11823-Sens!H11823=life_it,1,0)+Sens!I11830*IF(Sens!K11823-Sens!I11823=life_it,1,0)+Sens!J11830*IF(Sens!K11823-Sens!J11823=life_it,1,0)</f>
        <v>2450</v>
      </c>
      <c r="L11851" s="1" t="s">
        <v>990</v>
      </c>
    </row>
    <row r="11852" customFormat="false" ht="17.15" hidden="false" customHeight="false" outlineLevel="0" collapsed="false">
      <c r="A11852" s="0" t="s">
        <v>991</v>
      </c>
      <c r="B11852" s="0" t="s">
        <v>98</v>
      </c>
      <c r="C11852" s="6" t="n">
        <f aca="false">Sens!C11830*Sens!C11850/1000</f>
        <v>22.5333845916667</v>
      </c>
      <c r="D11852" s="6" t="n">
        <f aca="false">Sens!D11830*Sens!D11850/1000</f>
        <v>34.0300093833333</v>
      </c>
      <c r="E11852" s="6" t="n">
        <f aca="false">Sens!E11830*Sens!E11850/1000</f>
        <v>67.600153775</v>
      </c>
      <c r="F11852" s="6" t="n">
        <f aca="false">(Sens!F11830+Sens!F11851)*Sens!F11850/1000</f>
        <v>136.51872432512</v>
      </c>
      <c r="G11852" s="6" t="n">
        <f aca="false">(Sens!G11830+Sens!G11851)*Sens!G11850/1000</f>
        <v>157.399275932048</v>
      </c>
      <c r="H11852" s="6" t="n">
        <f aca="false">(Sens!H11830+Sens!H11851)*Sens!H11850/1000</f>
        <v>162.260804347512</v>
      </c>
      <c r="I11852" s="6" t="n">
        <f aca="false">(Sens!I11830+Sens!I11851)*Sens!I11850/1000</f>
        <v>144.136569485434</v>
      </c>
      <c r="J11852" s="6" t="n">
        <f aca="false">(Sens!J11830+Sens!J11851)*Sens!J11850/1000</f>
        <v>114.029037357864</v>
      </c>
      <c r="K11852" s="6" t="n">
        <f aca="false">(Sens!K11830+Sens!K11851)*Sens!K11850/1000</f>
        <v>113.437085350975</v>
      </c>
    </row>
    <row r="11853" customFormat="false" ht="17.15" hidden="false" customHeight="false" outlineLevel="0" collapsed="false">
      <c r="A11853" s="0" t="s">
        <v>992</v>
      </c>
      <c r="B11853" s="0" t="s">
        <v>98</v>
      </c>
      <c r="C11853" s="6" t="n">
        <f aca="false">Sens!C11830*self_build*tk_cxfac/1000</f>
        <v>6.2083</v>
      </c>
      <c r="D11853" s="6" t="n">
        <f aca="false">Sens!D11830*self_build*tk_cxfac/1000</f>
        <v>9.3758</v>
      </c>
      <c r="E11853" s="6" t="n">
        <f aca="false">Sens!E11830*self_build*tk_cxfac/1000</f>
        <v>18.6249</v>
      </c>
      <c r="F11853" s="6" t="n">
        <f aca="false">Sens!F11830*self_build*tk_cxfac/1000</f>
        <v>31.935179717</v>
      </c>
      <c r="G11853" s="6" t="n">
        <f aca="false">Sens!G11830*self_build*tk_cxfac/1000</f>
        <v>34.545199717</v>
      </c>
      <c r="H11853" s="6" t="n">
        <f aca="false">Sens!H11830*self_build*tk_cxfac/1000</f>
        <v>34.545199717</v>
      </c>
      <c r="I11853" s="6" t="n">
        <f aca="false">Sens!I11830*self_build*tk_cxfac/1000</f>
        <v>24.4782641361767</v>
      </c>
      <c r="J11853" s="6" t="n">
        <f aca="false">Sens!J11830*self_build*tk_cxfac/1000</f>
        <v>14.9008938380769</v>
      </c>
      <c r="K11853" s="6" t="n">
        <f aca="false">Sens!K11830*self_build*tk_cxfac/1000</f>
        <v>5.52576771375761</v>
      </c>
    </row>
    <row r="11854" customFormat="false" ht="17.15" hidden="false" customHeight="false" outlineLevel="0" collapsed="false">
      <c r="A11854" s="0" t="s">
        <v>993</v>
      </c>
      <c r="B11854" s="0" t="s">
        <v>98</v>
      </c>
      <c r="F11854" s="15" t="n">
        <f aca="false">capex_floor27-Sens!F11852-Sens!F11853-Sens!F11950</f>
        <v>-0.0767067154216008</v>
      </c>
      <c r="L11854" s="12" t="s">
        <v>994</v>
      </c>
    </row>
    <row r="11855" customFormat="false" ht="17.15" hidden="false" customHeight="false" outlineLevel="0" collapsed="false">
      <c r="A11855" s="0" t="s">
        <v>995</v>
      </c>
      <c r="B11855" s="0" t="s">
        <v>98</v>
      </c>
      <c r="F11855" s="6" t="n">
        <f aca="false">MAX(0,Sens!F11854)</f>
        <v>0</v>
      </c>
    </row>
    <row r="11856" customFormat="false" ht="17.15" hidden="false" customHeight="false" outlineLevel="0" collapsed="false">
      <c r="A11856" s="0" t="s">
        <v>996</v>
      </c>
      <c r="B11856" s="0" t="s">
        <v>98</v>
      </c>
      <c r="C11856" s="6" t="n">
        <f aca="false">Sens!C11852</f>
        <v>22.5333845916667</v>
      </c>
      <c r="D11856" s="6" t="n">
        <f aca="false">Sens!D11852</f>
        <v>34.0300093833333</v>
      </c>
      <c r="E11856" s="6" t="n">
        <f aca="false">Sens!E11852</f>
        <v>67.600153775</v>
      </c>
      <c r="F11856" s="6" t="n">
        <f aca="false">Sens!F11852</f>
        <v>136.51872432512</v>
      </c>
      <c r="G11856" s="6" t="n">
        <f aca="false">Sens!G11852</f>
        <v>157.399275932048</v>
      </c>
      <c r="H11856" s="6" t="n">
        <f aca="false">Sens!H11852</f>
        <v>162.260804347512</v>
      </c>
      <c r="I11856" s="6" t="n">
        <f aca="false">Sens!I11852</f>
        <v>144.136569485434</v>
      </c>
      <c r="J11856" s="6" t="n">
        <f aca="false">Sens!J11852</f>
        <v>114.029037357864</v>
      </c>
      <c r="K11856" s="6" t="n">
        <f aca="false">Sens!K11852</f>
        <v>113.437085350975</v>
      </c>
    </row>
    <row r="11857" customFormat="false" ht="17.15" hidden="false" customHeight="false" outlineLevel="0" collapsed="false">
      <c r="A11857" s="0" t="s">
        <v>997</v>
      </c>
      <c r="B11857" s="0" t="s">
        <v>98</v>
      </c>
      <c r="C11857" s="6" t="n">
        <f aca="false">Sens!C11856+Sens!C11853</f>
        <v>28.7416845916667</v>
      </c>
      <c r="D11857" s="6" t="n">
        <f aca="false">Sens!D11856+Sens!D11853</f>
        <v>43.4058093833333</v>
      </c>
      <c r="E11857" s="6" t="n">
        <f aca="false">Sens!E11856+Sens!E11853</f>
        <v>86.225053775</v>
      </c>
      <c r="F11857" s="6" t="n">
        <f aca="false">Sens!F11856+Sens!F11853</f>
        <v>168.45390404212</v>
      </c>
      <c r="G11857" s="6" t="n">
        <f aca="false">Sens!G11856+Sens!G11853</f>
        <v>191.944475649048</v>
      </c>
      <c r="H11857" s="6" t="n">
        <f aca="false">Sens!H11856+Sens!H11853</f>
        <v>196.806004064512</v>
      </c>
      <c r="I11857" s="6" t="n">
        <f aca="false">Sens!I11856+Sens!I11853</f>
        <v>168.61483362161</v>
      </c>
      <c r="J11857" s="6" t="n">
        <f aca="false">Sens!J11856+Sens!J11853</f>
        <v>128.92993119594</v>
      </c>
      <c r="K11857" s="6" t="n">
        <f aca="false">Sens!K11856+Sens!K11853</f>
        <v>118.962853064733</v>
      </c>
      <c r="L11857" s="12" t="s">
        <v>998</v>
      </c>
    </row>
    <row r="11858" customFormat="false" ht="17.15" hidden="false" customHeight="false" outlineLevel="0" collapsed="false">
      <c r="A11858" s="0" t="s">
        <v>999</v>
      </c>
      <c r="B11858" s="0" t="s">
        <v>98</v>
      </c>
      <c r="E11858" s="6" t="n">
        <f aca="false">(Sens!C11856*IF(2&lt;life_it,1,IF(2=life_it,0.5,0))+Sens!D11856*IF(1&lt;life_it,1,IF(1=life_it,0.5,0))+Sens!E11856*0.5)/life_it</f>
        <v>15.0605784770833</v>
      </c>
      <c r="F11858" s="6" t="n">
        <f aca="false">(Sens!C11856*IF(3&lt;life_it,1,IF(3=life_it,0.5,0))+Sens!D11856*IF(2&lt;life_it,1,IF(2=life_it,0.5,0))+Sens!E11856*IF(1&lt;life_it,1,IF(1=life_it,0.5,0))+Sens!F11856*0.5)/life_it</f>
        <v>32.0704849854266</v>
      </c>
      <c r="G11858" s="6" t="n">
        <f aca="false">(Sens!C11856*IF(4&lt;life_it,1,IF(4=life_it,0.5,0))+Sens!D11856*IF(3&lt;life_it,1,IF(3=life_it,0.5,0))+Sens!E11856*IF(2&lt;life_it,1,IF(2=life_it,0.5,0))+Sens!F11856*IF(1&lt;life_it,1,IF(1=life_it,0.5,0))+Sens!G11856*0.5)/life_it</f>
        <v>56.5636516735239</v>
      </c>
      <c r="H11858" s="6" t="n">
        <f aca="false">(Sens!C11856*IF(5&lt;life_it,1,IF(5=life_it,0.5,0))+Sens!D11856*IF(4&lt;life_it,1,IF(4=life_it,0.5,0))+Sens!E11856*IF(3&lt;life_it,1,IF(3=life_it,0.5,0))+Sens!F11856*IF(2&lt;life_it,1,IF(2=life_it,0.5,0))+Sens!G11856*IF(1&lt;life_it,1,IF(1=life_it,0.5,0))+Sens!H11856*0.5)/life_it</f>
        <v>83.2019916968207</v>
      </c>
      <c r="I11858" s="6" t="n">
        <f aca="false">(Sens!C11856*IF(6&lt;life_it,1,IF(6=life_it,0.5,0))+Sens!D11856*IF(5&lt;life_it,1,IF(5=life_it,0.5,0))+Sens!E11856*IF(4&lt;life_it,1,IF(4=life_it,0.5,0))+Sens!F11856*IF(3&lt;life_it,1,IF(3=life_it,0.5,0))+Sens!G11856*IF(2&lt;life_it,1,IF(2=life_it,0.5,0))+Sens!H11856*IF(1&lt;life_it,1,IF(1=life_it,0.5,0))+Sens!I11856*0.5)/life_it</f>
        <v>106.857324133594</v>
      </c>
      <c r="J11858" s="6" t="n">
        <f aca="false">(Sens!C11856*IF(7&lt;life_it,1,IF(7=life_it,0.5,0))+Sens!D11856*IF(6&lt;life_it,1,IF(6=life_it,0.5,0))+Sens!E11856*IF(5&lt;life_it,1,IF(5=life_it,0.5,0))+Sens!F11856*IF(4&lt;life_it,1,IF(4=life_it,0.5,0))+Sens!G11856*IF(3&lt;life_it,1,IF(3=life_it,0.5,0))+Sens!H11856*IF(2&lt;life_it,1,IF(2=life_it,0.5,0))+Sens!I11856*IF(1&lt;life_it,1,IF(1=life_it,0.5,0))+Sens!J11856*0.5)/life_it</f>
        <v>123.657508539285</v>
      </c>
      <c r="K11858" s="6" t="n">
        <f aca="false">(Sens!C11856*IF(8&lt;life_it,1,IF(8=life_it,0.5,0))+Sens!D11856*IF(7&lt;life_it,1,IF(7=life_it,0.5,0))+Sens!E11856*IF(6&lt;life_it,1,IF(6=life_it,0.5,0))+Sens!F11856*IF(5&lt;life_it,1,IF(5=life_it,0.5,0))+Sens!G11856*IF(4&lt;life_it,1,IF(4=life_it,0.5,0))+Sens!H11856*IF(3&lt;life_it,1,IF(3=life_it,0.5,0))+Sens!I11856*IF(2&lt;life_it,1,IF(2=life_it,0.5,0))+Sens!J11856*IF(1&lt;life_it,1,IF(1=life_it,0.5,0))+Sens!K11856*0.5)/life_it</f>
        <v>134.143838501827</v>
      </c>
    </row>
    <row r="11859" customFormat="false" ht="17.15" hidden="false" customHeight="false" outlineLevel="0" collapsed="false">
      <c r="A11859" s="0" t="s">
        <v>1000</v>
      </c>
      <c r="B11859" s="0" t="s">
        <v>98</v>
      </c>
      <c r="E11859" s="6" t="n">
        <f aca="false">(Sens!C11853*IF(2&lt;life_fac,1,IF(2=life_fac,0.5,0))+Sens!D11853*IF(1&lt;life_fac,1,IF(1=life_fac,0.5,0))+Sens!E11853*0.5)/life_fac</f>
        <v>1.2448275</v>
      </c>
      <c r="F11859" s="6" t="n">
        <f aca="false">(Sens!C11853*IF(3&lt;life_fac,1,IF(3=life_fac,0.5,0))+Sens!D11853*IF(2&lt;life_fac,1,IF(2=life_fac,0.5,0))+Sens!E11853*IF(1&lt;life_fac,1,IF(1=life_fac,0.5,0))+Sens!F11853*0.5)/life_fac</f>
        <v>2.508829492925</v>
      </c>
      <c r="G11859" s="6" t="n">
        <f aca="false">(Sens!C11853*IF(4&lt;life_fac,1,IF(4=life_fac,0.5,0))+Sens!D11853*IF(3&lt;life_fac,1,IF(3=life_fac,0.5,0))+Sens!E11853*IF(2&lt;life_fac,1,IF(2=life_fac,0.5,0))+Sens!F11853*IF(1&lt;life_fac,1,IF(1=life_fac,0.5,0))+Sens!G11853*0.5)/life_fac</f>
        <v>4.170838978775</v>
      </c>
      <c r="H11859" s="6" t="n">
        <f aca="false">(Sens!C11853*IF(5&lt;life_fac,1,IF(5=life_fac,0.5,0))+Sens!D11853*IF(4&lt;life_fac,1,IF(4=life_fac,0.5,0))+Sens!E11853*IF(3&lt;life_fac,1,IF(3=life_fac,0.5,0))+Sens!F11853*IF(2&lt;life_fac,1,IF(2=life_fac,0.5,0))+Sens!G11853*IF(1&lt;life_fac,1,IF(1=life_fac,0.5,0))+Sens!H11853*0.5)/life_fac</f>
        <v>5.898098964625</v>
      </c>
      <c r="I11859" s="6" t="n">
        <f aca="false">(Sens!C11853*IF(6&lt;life_fac,1,IF(6=life_fac,0.5,0))+Sens!D11853*IF(5&lt;life_fac,1,IF(5=life_fac,0.5,0))+Sens!E11853*IF(4&lt;life_fac,1,IF(4=life_fac,0.5,0))+Sens!F11853*IF(3&lt;life_fac,1,IF(3=life_fac,0.5,0))+Sens!G11853*IF(2&lt;life_fac,1,IF(2=life_fac,0.5,0))+Sens!H11853*IF(1&lt;life_fac,1,IF(1=life_fac,0.5,0))+Sens!I11853*0.5)/life_fac</f>
        <v>7.37368556095442</v>
      </c>
      <c r="J11859" s="6" t="n">
        <f aca="false">(Sens!C11853*IF(7&lt;life_fac,1,IF(7=life_fac,0.5,0))+Sens!D11853*IF(6&lt;life_fac,1,IF(6=life_fac,0.5,0))+Sens!E11853*IF(5&lt;life_fac,1,IF(5=life_fac,0.5,0))+Sens!F11853*IF(4&lt;life_fac,1,IF(4=life_fac,0.5,0))+Sens!G11853*IF(3&lt;life_fac,1,IF(3=life_fac,0.5,0))+Sens!H11853*IF(2&lt;life_fac,1,IF(2=life_fac,0.5,0))+Sens!I11853*IF(1&lt;life_fac,1,IF(1=life_fac,0.5,0))+Sens!J11853*0.5)/life_fac</f>
        <v>8.35816451031075</v>
      </c>
      <c r="K11859" s="6" t="n">
        <f aca="false">(Sens!C11853*IF(8&lt;life_fac,1,IF(8=life_fac,0.5,0))+Sens!D11853*IF(7&lt;life_fac,1,IF(7=life_fac,0.5,0))+Sens!E11853*IF(6&lt;life_fac,1,IF(6=life_fac,0.5,0))+Sens!F11853*IF(5&lt;life_fac,1,IF(5=life_fac,0.5,0))+Sens!G11853*IF(4&lt;life_fac,1,IF(4=life_fac,0.5,0))+Sens!H11853*IF(3&lt;life_fac,1,IF(3=life_fac,0.5,0))+Sens!I11853*IF(2&lt;life_fac,1,IF(2=life_fac,0.5,0))+Sens!J11853*IF(1&lt;life_fac,1,IF(1=life_fac,0.5,0))+Sens!K11853*0.5)/life_fac</f>
        <v>8.86883104910662</v>
      </c>
    </row>
    <row r="11860" customFormat="false" ht="17.15" hidden="false" customHeight="false" outlineLevel="0" collapsed="false">
      <c r="A11860" s="0" t="s">
        <v>1001</v>
      </c>
      <c r="B11860" s="0" t="s">
        <v>98</v>
      </c>
      <c r="E11860" s="6" t="n">
        <f aca="false">Sens!E11858+Sens!E11859</f>
        <v>16.3054059770833</v>
      </c>
      <c r="F11860" s="6" t="n">
        <f aca="false">Sens!F11858+Sens!F11859</f>
        <v>34.5793144783516</v>
      </c>
      <c r="G11860" s="6" t="n">
        <f aca="false">Sens!G11858+Sens!G11859</f>
        <v>60.7344906522989</v>
      </c>
      <c r="H11860" s="6" t="n">
        <f aca="false">Sens!H11858+Sens!H11859</f>
        <v>89.1000906614457</v>
      </c>
      <c r="I11860" s="6" t="n">
        <f aca="false">Sens!I11858+Sens!I11859</f>
        <v>114.231009694548</v>
      </c>
      <c r="J11860" s="6" t="n">
        <f aca="false">Sens!J11858+Sens!J11859</f>
        <v>132.015673049596</v>
      </c>
      <c r="K11860" s="6" t="n">
        <f aca="false">Sens!K11858+Sens!K11859</f>
        <v>143.012669550934</v>
      </c>
    </row>
    <row r="11861" customFormat="false" ht="17.15" hidden="false" customHeight="false" outlineLevel="0" collapsed="false">
      <c r="A11861" s="0" t="s">
        <v>1002</v>
      </c>
      <c r="B11861" s="0" t="s">
        <v>98</v>
      </c>
      <c r="E11861" s="6" t="n">
        <f aca="false">Sens!E11848-Sens!E11847*Sens!E11860</f>
        <v>8.92707889977379</v>
      </c>
      <c r="F11861" s="6" t="n">
        <f aca="false">Sens!F11848-Sens!F11847*Sens!F11860</f>
        <v>14.3471335960079</v>
      </c>
      <c r="G11861" s="6" t="n">
        <f aca="false">Sens!G11848-Sens!G11847*Sens!G11860</f>
        <v>16.5202976798683</v>
      </c>
      <c r="H11861" s="6" t="n">
        <f aca="false">Sens!H11848-Sens!H11847*Sens!H11860</f>
        <v>12.9805278875331</v>
      </c>
      <c r="I11861" s="6" t="n">
        <f aca="false">Sens!I11848-Sens!I11847*Sens!I11860</f>
        <v>16.2363335770989</v>
      </c>
      <c r="J11861" s="6" t="n">
        <f aca="false">Sens!J11848-Sens!J11847*Sens!J11860</f>
        <v>18.4432225839805</v>
      </c>
      <c r="K11861" s="6" t="n">
        <f aca="false">Sens!K11848-Sens!K11847*Sens!K11860</f>
        <v>20.1577566819661</v>
      </c>
    </row>
    <row r="11862" customFormat="false" ht="17.15" hidden="false" customHeight="false" outlineLevel="0" collapsed="false">
      <c r="A11862" s="3" t="s">
        <v>1776</v>
      </c>
    </row>
    <row r="11863" customFormat="false" ht="15" hidden="false" customHeight="false" outlineLevel="0" collapsed="false">
      <c r="A11863" s="4" t="s">
        <v>43</v>
      </c>
      <c r="B11863" s="4" t="s">
        <v>65</v>
      </c>
      <c r="C11863" s="23" t="s">
        <v>938</v>
      </c>
      <c r="D11863" s="23" t="s">
        <v>939</v>
      </c>
      <c r="E11863" s="23" t="s">
        <v>940</v>
      </c>
      <c r="F11863" s="23" t="s">
        <v>941</v>
      </c>
      <c r="G11863" s="23" t="s">
        <v>942</v>
      </c>
      <c r="H11863" s="23" t="s">
        <v>943</v>
      </c>
      <c r="I11863" s="23" t="s">
        <v>944</v>
      </c>
      <c r="J11863" s="23" t="s">
        <v>945</v>
      </c>
      <c r="K11863" s="23" t="s">
        <v>946</v>
      </c>
      <c r="L11863" s="4" t="s">
        <v>47</v>
      </c>
    </row>
    <row r="11864" customFormat="false" ht="17.15" hidden="false" customHeight="false" outlineLevel="0" collapsed="false">
      <c r="A11864" s="0" t="s">
        <v>1021</v>
      </c>
      <c r="B11864" s="0" t="s">
        <v>98</v>
      </c>
      <c r="D11864" s="6" t="n">
        <f aca="false">Sens!D11842</f>
        <v>12.9359794422418</v>
      </c>
      <c r="E11864" s="6" t="n">
        <f aca="false">Sens!E11842</f>
        <v>27.8095064661409</v>
      </c>
      <c r="F11864" s="6" t="n">
        <f aca="false">Sens!F11842</f>
        <v>50.9819294352312</v>
      </c>
      <c r="G11864" s="6" t="n">
        <f aca="false">Sens!G11842</f>
        <v>76.6920436014933</v>
      </c>
      <c r="H11864" s="6" t="n">
        <f aca="false">Sens!H11842</f>
        <v>97.4495379418341</v>
      </c>
      <c r="I11864" s="6" t="n">
        <f aca="false">Sens!I11842</f>
        <v>122.083445553868</v>
      </c>
      <c r="J11864" s="6" t="n">
        <f aca="false">Sens!J11842</f>
        <v>139.249060444804</v>
      </c>
      <c r="K11864" s="6" t="n">
        <f aca="false">Sens!K11842</f>
        <v>149.995818575589</v>
      </c>
    </row>
    <row r="11865" customFormat="false" ht="17.15" hidden="false" customHeight="false" outlineLevel="0" collapsed="false">
      <c r="A11865" s="0" t="s">
        <v>1022</v>
      </c>
      <c r="B11865" s="0" t="s">
        <v>98</v>
      </c>
      <c r="D11865" s="6" t="n">
        <f aca="false">Q!L6-Sens!D11864</f>
        <v>59.6740205577583</v>
      </c>
      <c r="E11865" s="6" t="n">
        <f aca="false">Q!M6-Sens!E11864</f>
        <v>74.1284935338591</v>
      </c>
      <c r="F11865" s="6" t="n">
        <f aca="false">Q!$I$6+(Sens!F11864+Sens!E11865*(1+Sens!F11866))*(1-Q!$E$6/Q!M6)-Sens!F11864</f>
        <v>92.2699541184664</v>
      </c>
      <c r="G11865" s="6" t="n">
        <f aca="false">Sens!F11865*(1+Sens!G11866)</f>
        <v>109.630477277949</v>
      </c>
      <c r="H11865" s="6" t="n">
        <f aca="false">Sens!G11865*(1+Sens!H11866)</f>
        <v>127.293256321956</v>
      </c>
      <c r="I11865" s="6" t="n">
        <f aca="false">Sens!H11865*(1+Sens!I11866)</f>
        <v>144.360052269491</v>
      </c>
      <c r="J11865" s="6" t="n">
        <f aca="false">Sens!I11865*(1+Sens!J11866)</f>
        <v>159.811964490216</v>
      </c>
      <c r="K11865" s="6" t="n">
        <f aca="false">Sens!J11865*(1+Sens!K11866)</f>
        <v>172.596921649434</v>
      </c>
      <c r="L11865" s="12" t="s">
        <v>1023</v>
      </c>
    </row>
    <row r="11866" customFormat="false" ht="15" hidden="false" customHeight="false" outlineLevel="0" collapsed="false">
      <c r="A11866" s="1" t="s">
        <v>1024</v>
      </c>
      <c r="B11866" s="0" t="s">
        <v>168</v>
      </c>
      <c r="E11866" s="7" t="n">
        <f aca="false">Sens!E11865/Sens!D11865-1</f>
        <v>0.242223883039864</v>
      </c>
      <c r="F11866" s="7" t="n">
        <f aca="false">Sens!$E$11866+(glt_azo-Sens!$E$11866)*MIN(1,(Sens!F11823-base_fy)/n_conv)</f>
        <v>0.215186569199887</v>
      </c>
      <c r="G11866" s="7" t="n">
        <f aca="false">Sens!$E$11866+(glt_azo-Sens!$E$11866)*MIN(1,(Sens!G11823-base_fy)/n_conv)</f>
        <v>0.18814925535991</v>
      </c>
      <c r="H11866" s="7" t="n">
        <f aca="false">Sens!$E$11866+(glt_azo-Sens!$E$11866)*MIN(1,(Sens!H11823-base_fy)/n_conv)</f>
        <v>0.161111941519932</v>
      </c>
      <c r="I11866" s="7" t="n">
        <f aca="false">Sens!$E$11866+(glt_azo-Sens!$E$11866)*MIN(1,(Sens!I11823-base_fy)/n_conv)</f>
        <v>0.134074627679955</v>
      </c>
      <c r="J11866" s="7" t="n">
        <f aca="false">Sens!$E$11866+(glt_azo-Sens!$E$11866)*MIN(1,(Sens!J11823-base_fy)/n_conv)</f>
        <v>0.107037313839977</v>
      </c>
      <c r="K11866" s="7" t="n">
        <f aca="false">Sens!$E$11866+(glt_azo-Sens!$E$11866)*MIN(1,(Sens!K11823-base_fy)/n_conv)</f>
        <v>0.08</v>
      </c>
    </row>
    <row r="11867" customFormat="false" ht="15" hidden="false" customHeight="false" outlineLevel="0" collapsed="false">
      <c r="A11867" s="0" t="s">
        <v>1025</v>
      </c>
      <c r="B11867" s="0" t="s">
        <v>98</v>
      </c>
      <c r="D11867" s="6" t="n">
        <f aca="false">Sens!D11864+Sens!D11865</f>
        <v>72.61</v>
      </c>
      <c r="E11867" s="6" t="n">
        <f aca="false">Sens!E11864+Sens!E11865</f>
        <v>101.938</v>
      </c>
      <c r="F11867" s="6" t="n">
        <f aca="false">Sens!F11864+Sens!F11865</f>
        <v>143.251883553698</v>
      </c>
      <c r="G11867" s="6" t="n">
        <f aca="false">Sens!G11864+Sens!G11865</f>
        <v>186.322520879442</v>
      </c>
      <c r="H11867" s="6" t="n">
        <f aca="false">Sens!H11864+Sens!H11865</f>
        <v>224.74279426379</v>
      </c>
      <c r="I11867" s="6" t="n">
        <f aca="false">Sens!I11864+Sens!I11865</f>
        <v>266.443497823359</v>
      </c>
      <c r="J11867" s="6" t="n">
        <f aca="false">Sens!J11864+Sens!J11865</f>
        <v>299.06102493502</v>
      </c>
      <c r="K11867" s="6" t="n">
        <f aca="false">Sens!K11864+Sens!K11865</f>
        <v>322.592740225023</v>
      </c>
    </row>
    <row r="11868" customFormat="false" ht="17.15" hidden="false" customHeight="false" outlineLevel="0" collapsed="false">
      <c r="A11868" s="0" t="s">
        <v>1026</v>
      </c>
      <c r="B11868" s="1" t="s">
        <v>610</v>
      </c>
      <c r="C11868" s="30" t="n">
        <f aca="false">cop_s24</f>
        <v>1</v>
      </c>
      <c r="D11868" s="30" t="n">
        <f aca="false">cop_s25</f>
        <v>5</v>
      </c>
      <c r="E11868" s="30" t="n">
        <f aca="false">cop_s26</f>
        <v>30</v>
      </c>
      <c r="F11868" s="30" t="n">
        <f aca="false">Sens!E11868+cop_add_C</f>
        <v>40</v>
      </c>
      <c r="G11868" s="30" t="n">
        <f aca="false">Sens!F11868+cop_add_C</f>
        <v>50</v>
      </c>
      <c r="H11868" s="30" t="n">
        <f aca="false">Sens!G11868+cop_add_C</f>
        <v>60</v>
      </c>
      <c r="I11868" s="30" t="n">
        <f aca="false">Sens!H11868+cop_add_C*cop_tail</f>
        <v>65</v>
      </c>
      <c r="J11868" s="30" t="n">
        <f aca="false">Sens!I11868+cop_add_C*cop_tail</f>
        <v>70</v>
      </c>
      <c r="K11868" s="30" t="n">
        <f aca="false">Sens!J11868+cop_add_C*cop_tail</f>
        <v>75</v>
      </c>
      <c r="L11868" s="12" t="s">
        <v>1027</v>
      </c>
    </row>
    <row r="11869" customFormat="false" ht="17.15" hidden="false" customHeight="false" outlineLevel="0" collapsed="false">
      <c r="A11869" s="0" t="s">
        <v>1028</v>
      </c>
      <c r="B11869" s="0" t="s">
        <v>98</v>
      </c>
      <c r="D11869" s="6" t="n">
        <f aca="false">(Sens!C11868+Sens!D11868)/2*cop_px*12/1000</f>
        <v>0.9</v>
      </c>
      <c r="E11869" s="6" t="n">
        <f aca="false">(Sens!D11868+Sens!E11868)/2*cop_px*12/1000</f>
        <v>5.25</v>
      </c>
      <c r="F11869" s="6" t="n">
        <f aca="false">(Sens!E11868+Sens!F11868)/2*cop_px*12/1000</f>
        <v>10.5</v>
      </c>
      <c r="G11869" s="6" t="n">
        <f aca="false">(Sens!F11868+Sens!G11868)/2*cop_px*12/1000</f>
        <v>13.5</v>
      </c>
      <c r="H11869" s="6" t="n">
        <f aca="false">(Sens!G11868+Sens!H11868)/2*cop_px*12/1000</f>
        <v>16.5</v>
      </c>
      <c r="I11869" s="6" t="n">
        <f aca="false">(Sens!H11868+Sens!I11868)/2*cop_px*12/1000</f>
        <v>18.75</v>
      </c>
      <c r="J11869" s="6" t="n">
        <f aca="false">(Sens!I11868+Sens!J11868)/2*cop_px*12/1000</f>
        <v>20.25</v>
      </c>
      <c r="K11869" s="6" t="n">
        <f aca="false">(Sens!J11868+Sens!K11868)/2*cop_px*12/1000</f>
        <v>21.75</v>
      </c>
      <c r="L11869" s="1" t="s">
        <v>1029</v>
      </c>
    </row>
    <row r="11870" customFormat="false" ht="17.15" hidden="false" customHeight="false" outlineLevel="0" collapsed="false">
      <c r="A11870" s="0" t="s">
        <v>1030</v>
      </c>
      <c r="B11870" s="0" t="s">
        <v>98</v>
      </c>
      <c r="D11870" s="6" t="n">
        <f aca="false">Q!L7-Sens!D11869</f>
        <v>83.705</v>
      </c>
      <c r="E11870" s="6" t="n">
        <f aca="false">Q!M7-Sens!E11869</f>
        <v>95.049</v>
      </c>
      <c r="F11870" s="6" t="n">
        <f aca="false">Q!$I$7+(Sens!E11870*(1+Sens!F11871)+Sens!F11869)*(1-Q!$E$7/Q!M7)-Sens!F11869</f>
        <v>106.938354189776</v>
      </c>
      <c r="G11870" s="6" t="n">
        <f aca="false">Sens!F11870*(1+Sens!G11871)</f>
        <v>119.095360443801</v>
      </c>
      <c r="H11870" s="6" t="n">
        <f aca="false">Sens!G11870*(1+Sens!H11871)</f>
        <v>131.333811964563</v>
      </c>
      <c r="I11870" s="6" t="n">
        <f aca="false">Sens!H11870*(1+Sens!I11871)</f>
        <v>143.395665319381</v>
      </c>
      <c r="J11870" s="6" t="n">
        <f aca="false">Sens!I11870*(1+Sens!J11871)</f>
        <v>154.999327755573</v>
      </c>
      <c r="K11870" s="6" t="n">
        <f aca="false">Sens!J11870*(1+Sens!K11871)</f>
        <v>165.849280698463</v>
      </c>
      <c r="L11870" s="12" t="s">
        <v>1031</v>
      </c>
    </row>
    <row r="11871" customFormat="false" ht="15" hidden="false" customHeight="false" outlineLevel="0" collapsed="false">
      <c r="A11871" s="1" t="s">
        <v>1024</v>
      </c>
      <c r="B11871" s="0" t="s">
        <v>168</v>
      </c>
      <c r="E11871" s="7" t="n">
        <f aca="false">Sens!E11870/Sens!D11870-1</f>
        <v>0.135523564900544</v>
      </c>
      <c r="F11871" s="7" t="n">
        <f aca="false">Sens!$E$11871+(glt_m365b-Sens!$E$11871)*MIN(1,(Sens!F11823-base_fy)/n_conv)</f>
        <v>0.124602970750453</v>
      </c>
      <c r="G11871" s="7" t="n">
        <f aca="false">Sens!$E$11871+(glt_m365b-Sens!$E$11871)*MIN(1,(Sens!G11823-base_fy)/n_conv)</f>
        <v>0.113682376600363</v>
      </c>
      <c r="H11871" s="7" t="n">
        <f aca="false">Sens!$E$11871+(glt_m365b-Sens!$E$11871)*MIN(1,(Sens!H11823-base_fy)/n_conv)</f>
        <v>0.102761782450272</v>
      </c>
      <c r="I11871" s="7" t="n">
        <f aca="false">Sens!$E$11871+(glt_m365b-Sens!$E$11871)*MIN(1,(Sens!I11823-base_fy)/n_conv)</f>
        <v>0.0918411883001813</v>
      </c>
      <c r="J11871" s="7" t="n">
        <f aca="false">Sens!$E$11871+(glt_m365b-Sens!$E$11871)*MIN(1,(Sens!J11823-base_fy)/n_conv)</f>
        <v>0.0809205941500906</v>
      </c>
      <c r="K11871" s="7" t="n">
        <f aca="false">Sens!$E$11871+(glt_m365b-Sens!$E$11871)*MIN(1,(Sens!K11823-base_fy)/n_conv)</f>
        <v>0.07</v>
      </c>
    </row>
    <row r="11872" customFormat="false" ht="15" hidden="false" customHeight="false" outlineLevel="0" collapsed="false">
      <c r="A11872" s="0" t="s">
        <v>1032</v>
      </c>
      <c r="B11872" s="0" t="s">
        <v>98</v>
      </c>
      <c r="D11872" s="6" t="n">
        <f aca="false">Sens!D11870+Sens!D11869</f>
        <v>84.605</v>
      </c>
      <c r="E11872" s="6" t="n">
        <f aca="false">Sens!E11870+Sens!E11869</f>
        <v>100.299</v>
      </c>
      <c r="F11872" s="6" t="n">
        <f aca="false">Sens!F11870+Sens!F11869</f>
        <v>117.438354189776</v>
      </c>
      <c r="G11872" s="6" t="n">
        <f aca="false">Sens!G11870+Sens!G11869</f>
        <v>132.595360443801</v>
      </c>
      <c r="H11872" s="6" t="n">
        <f aca="false">Sens!H11870+Sens!H11869</f>
        <v>147.833811964563</v>
      </c>
      <c r="I11872" s="6" t="n">
        <f aca="false">Sens!I11870+Sens!I11869</f>
        <v>162.145665319381</v>
      </c>
      <c r="J11872" s="6" t="n">
        <f aca="false">Sens!J11870+Sens!J11869</f>
        <v>175.249327755573</v>
      </c>
      <c r="K11872" s="6" t="n">
        <f aca="false">Sens!K11870+Sens!K11869</f>
        <v>187.599280698463</v>
      </c>
    </row>
    <row r="11873" customFormat="false" ht="17.15" hidden="false" customHeight="false" outlineLevel="0" collapsed="false">
      <c r="A11873" s="0" t="s">
        <v>1033</v>
      </c>
      <c r="B11873" s="0" t="s">
        <v>98</v>
      </c>
      <c r="D11873" s="6" t="n">
        <f aca="false">Q!L8</f>
        <v>35.391</v>
      </c>
      <c r="E11873" s="6" t="n">
        <f aca="false">Q!M8</f>
        <v>37.285</v>
      </c>
      <c r="F11873" s="6" t="n">
        <f aca="false">Q!$I$8+(Q!M8-Q!$E$8)*(1+Sens!F11874)</f>
        <v>38.3851437782675</v>
      </c>
      <c r="G11873" s="6" t="n">
        <f aca="false">Sens!F11873*(1+Sens!G11874)</f>
        <v>40.0105353288615</v>
      </c>
      <c r="H11873" s="6" t="n">
        <f aca="false">Sens!G11873*(1+Sens!H11874)</f>
        <v>41.4812512033683</v>
      </c>
      <c r="I11873" s="6" t="n">
        <f aca="false">Sens!H11873*(1+Sens!I11874)</f>
        <v>42.7743107216329</v>
      </c>
      <c r="J11873" s="6" t="n">
        <f aca="false">Sens!I11873*(1+Sens!J11874)</f>
        <v>43.8687373064601</v>
      </c>
      <c r="K11873" s="6" t="n">
        <f aca="false">Sens!J11873*(1+Sens!K11874)</f>
        <v>44.7461120525893</v>
      </c>
      <c r="L11873" s="12" t="s">
        <v>1034</v>
      </c>
    </row>
    <row r="11874" customFormat="false" ht="15" hidden="false" customHeight="false" outlineLevel="0" collapsed="false">
      <c r="A11874" s="1" t="s">
        <v>1024</v>
      </c>
      <c r="B11874" s="0" t="s">
        <v>168</v>
      </c>
      <c r="E11874" s="7" t="n">
        <f aca="false">Sens!E11873/Sens!D11873-1</f>
        <v>0.0535164307309768</v>
      </c>
      <c r="F11874" s="7" t="n">
        <f aca="false">Sens!$E$11874+(glt_lic-Sens!$E$11874)*MIN(1,(Sens!F11823-base_fy)/n_conv)</f>
        <v>0.0479303589424807</v>
      </c>
      <c r="G11874" s="7" t="n">
        <f aca="false">Sens!$E$11874+(glt_lic-Sens!$E$11874)*MIN(1,(Sens!G11823-base_fy)/n_conv)</f>
        <v>0.0423442871539845</v>
      </c>
      <c r="H11874" s="7" t="n">
        <f aca="false">Sens!$E$11874+(glt_lic-Sens!$E$11874)*MIN(1,(Sens!H11823-base_fy)/n_conv)</f>
        <v>0.0367582153654884</v>
      </c>
      <c r="I11874" s="7" t="n">
        <f aca="false">Sens!$E$11874+(glt_lic-Sens!$E$11874)*MIN(1,(Sens!I11823-base_fy)/n_conv)</f>
        <v>0.0311721435769923</v>
      </c>
      <c r="J11874" s="7" t="n">
        <f aca="false">Sens!$E$11874+(glt_lic-Sens!$E$11874)*MIN(1,(Sens!J11823-base_fy)/n_conv)</f>
        <v>0.0255860717884961</v>
      </c>
      <c r="K11874" s="7" t="n">
        <f aca="false">Sens!$E$11874+(glt_lic-Sens!$E$11874)*MIN(1,(Sens!K11823-base_fy)/n_conv)</f>
        <v>0.02</v>
      </c>
    </row>
    <row r="11875" customFormat="false" ht="17.15" hidden="false" customHeight="false" outlineLevel="0" collapsed="false">
      <c r="A11875" s="0" t="s">
        <v>1035</v>
      </c>
      <c r="B11875" s="0" t="s">
        <v>98</v>
      </c>
      <c r="D11875" s="6" t="n">
        <f aca="false">Q!L9</f>
        <v>18.417</v>
      </c>
      <c r="E11875" s="6" t="n">
        <f aca="false">Q!M9</f>
        <v>20.345</v>
      </c>
      <c r="F11875" s="6" t="n">
        <f aca="false">Q!$I$9+(Q!M9-Q!$E$9)*(1+Sens!F11876)</f>
        <v>22.3161797133988</v>
      </c>
      <c r="G11875" s="6" t="n">
        <f aca="false">Sens!F11875*(1+Sens!G11876)</f>
        <v>24.3943499673233</v>
      </c>
      <c r="H11875" s="6" t="n">
        <f aca="false">Sens!G11875*(1+Sens!H11876)</f>
        <v>26.5250243109019</v>
      </c>
      <c r="I11875" s="6" t="n">
        <f aca="false">Sens!H11875*(1+Sens!I11876)</f>
        <v>28.6884573538181</v>
      </c>
      <c r="J11875" s="6" t="n">
        <f aca="false">Sens!I11875*(1+Sens!J11876)</f>
        <v>30.8624968052127</v>
      </c>
      <c r="K11875" s="6" t="n">
        <f aca="false">Sens!J11875*(1+Sens!K11876)</f>
        <v>33.0228715815776</v>
      </c>
      <c r="L11875" s="12" t="s">
        <v>1034</v>
      </c>
    </row>
    <row r="11876" customFormat="false" ht="15" hidden="false" customHeight="false" outlineLevel="0" collapsed="false">
      <c r="A11876" s="1" t="s">
        <v>1024</v>
      </c>
      <c r="B11876" s="0" t="s">
        <v>168</v>
      </c>
      <c r="E11876" s="7" t="n">
        <f aca="false">Sens!E11875/Sens!D11875-1</f>
        <v>0.104685888038225</v>
      </c>
      <c r="F11876" s="7" t="n">
        <f aca="false">Sens!$E$11876+(glt_ind-Sens!$E$11876)*MIN(1,(Sens!F11823-base_fy)/n_conv)</f>
        <v>0.0989049066985211</v>
      </c>
      <c r="G11876" s="7" t="n">
        <f aca="false">Sens!$E$11876+(glt_ind-Sens!$E$11876)*MIN(1,(Sens!G11823-base_fy)/n_conv)</f>
        <v>0.0931239253588169</v>
      </c>
      <c r="H11876" s="7" t="n">
        <f aca="false">Sens!$E$11876+(glt_ind-Sens!$E$11876)*MIN(1,(Sens!H11823-base_fy)/n_conv)</f>
        <v>0.0873429440191127</v>
      </c>
      <c r="I11876" s="7" t="n">
        <f aca="false">Sens!$E$11876+(glt_ind-Sens!$E$11876)*MIN(1,(Sens!I11823-base_fy)/n_conv)</f>
        <v>0.0815619626794085</v>
      </c>
      <c r="J11876" s="7" t="n">
        <f aca="false">Sens!$E$11876+(glt_ind-Sens!$E$11876)*MIN(1,(Sens!J11823-base_fy)/n_conv)</f>
        <v>0.0757809813397042</v>
      </c>
      <c r="K11876" s="7" t="n">
        <f aca="false">Sens!$E$11876+(glt_ind-Sens!$E$11876)*MIN(1,(Sens!K11823-base_fy)/n_conv)</f>
        <v>0.07</v>
      </c>
    </row>
    <row r="11877" customFormat="false" ht="17.15" hidden="false" customHeight="false" outlineLevel="0" collapsed="false">
      <c r="A11877" s="0" t="s">
        <v>1036</v>
      </c>
      <c r="B11877" s="0" t="s">
        <v>98</v>
      </c>
      <c r="D11877" s="6" t="n">
        <f aca="false">Q!L10</f>
        <v>7.76</v>
      </c>
      <c r="E11877" s="6" t="n">
        <f aca="false">Q!M10</f>
        <v>8.26</v>
      </c>
      <c r="F11877" s="6" t="n">
        <f aca="false">Q!$I$10+(Q!M10-Q!$E$10)*(1+Sens!F11878)</f>
        <v>8.75372082474227</v>
      </c>
      <c r="G11877" s="6" t="n">
        <f aca="false">Sens!F11877*(1+Sens!G11878)</f>
        <v>9.33399324642364</v>
      </c>
      <c r="H11877" s="6" t="n">
        <f aca="false">Sens!G11877*(1+Sens!H11878)</f>
        <v>9.96139155535851</v>
      </c>
      <c r="I11877" s="6" t="n">
        <f aca="false">Sens!H11877*(1+Sens!I11878)</f>
        <v>10.6402039077391</v>
      </c>
      <c r="J11877" s="6" t="n">
        <f aca="false">Sens!I11877*(1+Sens!J11878)</f>
        <v>11.3751458271397</v>
      </c>
      <c r="K11877" s="6" t="n">
        <f aca="false">Sens!J11877*(1+Sens!K11878)</f>
        <v>12.1714060350394</v>
      </c>
      <c r="L11877" s="12" t="s">
        <v>1034</v>
      </c>
    </row>
    <row r="11878" customFormat="false" ht="15" hidden="false" customHeight="false" outlineLevel="0" collapsed="false">
      <c r="A11878" s="1" t="s">
        <v>1024</v>
      </c>
      <c r="B11878" s="0" t="s">
        <v>168</v>
      </c>
      <c r="E11878" s="7" t="n">
        <f aca="false">Sens!E11877/Sens!D11877-1</f>
        <v>0.0644329896907216</v>
      </c>
      <c r="F11878" s="7" t="n">
        <f aca="false">Sens!$E$11878+(glt_fro-Sens!$E$11878)*MIN(1,(Sens!F11823-base_fy)/n_conv)</f>
        <v>0.065360824742268</v>
      </c>
      <c r="G11878" s="7" t="n">
        <f aca="false">Sens!$E$11878+(glt_fro-Sens!$E$11878)*MIN(1,(Sens!G11823-base_fy)/n_conv)</f>
        <v>0.0662886597938144</v>
      </c>
      <c r="H11878" s="7" t="n">
        <f aca="false">Sens!$E$11878+(glt_fro-Sens!$E$11878)*MIN(1,(Sens!H11823-base_fy)/n_conv)</f>
        <v>0.0672164948453608</v>
      </c>
      <c r="I11878" s="7" t="n">
        <f aca="false">Sens!$E$11878+(glt_fro-Sens!$E$11878)*MIN(1,(Sens!I11823-base_fy)/n_conv)</f>
        <v>0.0681443298969072</v>
      </c>
      <c r="J11878" s="7" t="n">
        <f aca="false">Sens!$E$11878+(glt_fro-Sens!$E$11878)*MIN(1,(Sens!J11823-base_fy)/n_conv)</f>
        <v>0.0690721649484536</v>
      </c>
      <c r="K11878" s="7" t="n">
        <f aca="false">Sens!$E$11878+(glt_fro-Sens!$E$11878)*MIN(1,(Sens!K11823-base_fy)/n_conv)</f>
        <v>0.07</v>
      </c>
    </row>
    <row r="11879" customFormat="false" ht="15" hidden="false" customHeight="false" outlineLevel="0" collapsed="false">
      <c r="A11879" s="0" t="s">
        <v>852</v>
      </c>
      <c r="B11879" s="0" t="s">
        <v>98</v>
      </c>
      <c r="D11879" s="6" t="n">
        <f aca="false">Sens!D11867+Sens!D11872+Sens!D11873+Sens!D11875+Sens!D11877</f>
        <v>218.783</v>
      </c>
      <c r="E11879" s="6" t="n">
        <f aca="false">Sens!E11867+Sens!E11872+Sens!E11873+Sens!E11875+Sens!E11877</f>
        <v>268.127</v>
      </c>
      <c r="F11879" s="6" t="n">
        <f aca="false">Sens!F11867+Sens!F11872+Sens!F11873+Sens!F11875+Sens!F11877</f>
        <v>330.145282059882</v>
      </c>
      <c r="G11879" s="6" t="n">
        <f aca="false">Sens!G11867+Sens!G11872+Sens!G11873+Sens!G11875+Sens!G11877</f>
        <v>392.656759865851</v>
      </c>
      <c r="H11879" s="6" t="n">
        <f aca="false">Sens!H11867+Sens!H11872+Sens!H11873+Sens!H11875+Sens!H11877</f>
        <v>450.544273297982</v>
      </c>
      <c r="I11879" s="6" t="n">
        <f aca="false">Sens!I11867+Sens!I11872+Sens!I11873+Sens!I11875+Sens!I11877</f>
        <v>510.69213512593</v>
      </c>
      <c r="J11879" s="6" t="n">
        <f aca="false">Sens!J11867+Sens!J11872+Sens!J11873+Sens!J11875+Sens!J11877</f>
        <v>560.416732629406</v>
      </c>
      <c r="K11879" s="6" t="n">
        <f aca="false">Sens!K11867+Sens!K11872+Sens!K11873+Sens!K11875+Sens!K11877</f>
        <v>600.132410592692</v>
      </c>
    </row>
    <row r="11880" customFormat="false" ht="17.15" hidden="false" customHeight="false" outlineLevel="0" collapsed="false">
      <c r="A11880" s="0" t="s">
        <v>1037</v>
      </c>
      <c r="B11880" s="0" t="s">
        <v>98</v>
      </c>
      <c r="D11880" s="6" t="n">
        <f aca="false">Q!L13</f>
        <v>22.171</v>
      </c>
      <c r="E11880" s="6" t="n">
        <f aca="false">Q!M13</f>
        <v>24.835</v>
      </c>
      <c r="F11880" s="6" t="n">
        <f aca="false">Q!$I$13+(Q!M13-Q!$E$13)*(1+Sens!F11881)</f>
        <v>27.5591895660247</v>
      </c>
      <c r="G11880" s="6" t="n">
        <f aca="false">Sens!F11880*(1+Sens!G11881)</f>
        <v>30.4098563144583</v>
      </c>
      <c r="H11880" s="6" t="n">
        <f aca="false">Sens!G11880*(1+Sens!H11881)</f>
        <v>33.3011792571777</v>
      </c>
      <c r="I11880" s="6" t="n">
        <f aca="false">Sens!H11880*(1+Sens!I11881)</f>
        <v>36.189023797112</v>
      </c>
      <c r="J11880" s="6" t="n">
        <f aca="false">Sens!I11880*(1+Sens!J11881)</f>
        <v>39.0247773769199</v>
      </c>
      <c r="K11880" s="6" t="n">
        <f aca="false">Sens!J11880*(1+Sens!K11881)</f>
        <v>41.7565117933043</v>
      </c>
      <c r="L11880" s="12" t="s">
        <v>1034</v>
      </c>
    </row>
    <row r="11881" customFormat="false" ht="15" hidden="false" customHeight="false" outlineLevel="0" collapsed="false">
      <c r="A11881" s="1" t="s">
        <v>1024</v>
      </c>
      <c r="B11881" s="0" t="s">
        <v>168</v>
      </c>
      <c r="E11881" s="7" t="n">
        <f aca="false">Sens!E11880/Sens!D11880-1</f>
        <v>0.120156961796942</v>
      </c>
      <c r="F11881" s="7" t="n">
        <f aca="false">Sens!$E$11881+(glt_srch-Sens!$E$11881)*MIN(1,(Sens!F11823-base_fy)/n_conv)</f>
        <v>0.111797468164118</v>
      </c>
      <c r="G11881" s="7" t="n">
        <f aca="false">Sens!$E$11881+(glt_srch-Sens!$E$11881)*MIN(1,(Sens!G11823-base_fy)/n_conv)</f>
        <v>0.103437974531295</v>
      </c>
      <c r="H11881" s="7" t="n">
        <f aca="false">Sens!$E$11881+(glt_srch-Sens!$E$11881)*MIN(1,(Sens!H11823-base_fy)/n_conv)</f>
        <v>0.095078480898471</v>
      </c>
      <c r="I11881" s="7" t="n">
        <f aca="false">Sens!$E$11881+(glt_srch-Sens!$E$11881)*MIN(1,(Sens!I11823-base_fy)/n_conv)</f>
        <v>0.0867189872656474</v>
      </c>
      <c r="J11881" s="7" t="n">
        <f aca="false">Sens!$E$11881+(glt_srch-Sens!$E$11881)*MIN(1,(Sens!J11823-base_fy)/n_conv)</f>
        <v>0.0783594936328237</v>
      </c>
      <c r="K11881" s="7" t="n">
        <f aca="false">Sens!$E$11881+(glt_srch-Sens!$E$11881)*MIN(1,(Sens!K11823-base_fy)/n_conv)</f>
        <v>0.07</v>
      </c>
    </row>
    <row r="11882" customFormat="false" ht="17.15" hidden="false" customHeight="false" outlineLevel="0" collapsed="false">
      <c r="A11882" s="0" t="s">
        <v>1038</v>
      </c>
      <c r="B11882" s="0" t="s">
        <v>98</v>
      </c>
      <c r="D11882" s="6" t="n">
        <f aca="false">Q!L14</f>
        <v>23.455</v>
      </c>
      <c r="E11882" s="6" t="n">
        <f aca="false">Q!M14</f>
        <v>21.79</v>
      </c>
      <c r="F11882" s="6" t="n">
        <f aca="false">Q!$I$14+(Q!M14-Q!$E$14)*(1+Sens!F11883)</f>
        <v>20.6435514375044</v>
      </c>
      <c r="G11882" s="6" t="n">
        <f aca="false">Sens!F11882*(1+Sens!G11883)</f>
        <v>19.5289786205326</v>
      </c>
      <c r="H11882" s="6" t="n">
        <f aca="false">Sens!G11882*(1+Sens!H11883)</f>
        <v>18.6405370670455</v>
      </c>
      <c r="I11882" s="6" t="n">
        <f aca="false">Sens!H11882*(1+Sens!I11883)</f>
        <v>17.950917993743</v>
      </c>
      <c r="J11882" s="6" t="n">
        <f aca="false">Sens!I11882*(1+Sens!J11883)</f>
        <v>17.4393557354192</v>
      </c>
      <c r="K11882" s="6" t="n">
        <f aca="false">Sens!J11882*(1+Sens!K11883)</f>
        <v>17.0905686207108</v>
      </c>
      <c r="L11882" s="12" t="s">
        <v>1034</v>
      </c>
    </row>
    <row r="11883" customFormat="false" ht="15" hidden="false" customHeight="false" outlineLevel="0" collapsed="false">
      <c r="A11883" s="1" t="s">
        <v>1024</v>
      </c>
      <c r="B11883" s="0" t="s">
        <v>168</v>
      </c>
      <c r="E11883" s="7" t="n">
        <f aca="false">Sens!E11882/Sens!D11882-1</f>
        <v>-0.0709869963760392</v>
      </c>
      <c r="F11883" s="7" t="n">
        <f aca="false">Sens!$E$11883+(glt_xbox_lo-Sens!$E$11883)*MIN(1,(Sens!F11823-base_fy)/n_conv)</f>
        <v>-0.0624891636466994</v>
      </c>
      <c r="G11883" s="7" t="n">
        <f aca="false">Sens!$E$11883+(glt_xbox_lo-Sens!$E$11883)*MIN(1,(Sens!G11823-base_fy)/n_conv)</f>
        <v>-0.0539913309173595</v>
      </c>
      <c r="H11883" s="7" t="n">
        <f aca="false">Sens!$E$11883+(glt_xbox_lo-Sens!$E$11883)*MIN(1,(Sens!H11823-base_fy)/n_conv)</f>
        <v>-0.0454934981880196</v>
      </c>
      <c r="I11883" s="7" t="n">
        <f aca="false">Sens!$E$11883+(glt_xbox_lo-Sens!$E$11883)*MIN(1,(Sens!I11823-base_fy)/n_conv)</f>
        <v>-0.0369956654586797</v>
      </c>
      <c r="J11883" s="7" t="n">
        <f aca="false">Sens!$E$11883+(glt_xbox_lo-Sens!$E$11883)*MIN(1,(Sens!J11823-base_fy)/n_conv)</f>
        <v>-0.0284978327293399</v>
      </c>
      <c r="K11883" s="7" t="n">
        <f aca="false">Sens!$E$11883+(glt_xbox_lo-Sens!$E$11883)*MIN(1,(Sens!K11823-base_fy)/n_conv)</f>
        <v>-0.02</v>
      </c>
    </row>
    <row r="11884" customFormat="false" ht="17.15" hidden="false" customHeight="false" outlineLevel="0" collapsed="false">
      <c r="A11884" s="0" t="s">
        <v>1039</v>
      </c>
      <c r="B11884" s="0" t="s">
        <v>98</v>
      </c>
      <c r="D11884" s="6" t="n">
        <f aca="false">Q!L15</f>
        <v>17.315</v>
      </c>
      <c r="E11884" s="6" t="n">
        <f aca="false">Q!M15</f>
        <v>17.087</v>
      </c>
      <c r="F11884" s="6" t="n">
        <f aca="false">Q!$I$15+(Q!M15-Q!$E$15)*(1+Sens!F11885)</f>
        <v>15.9912273250553</v>
      </c>
      <c r="G11884" s="6" t="n">
        <f aca="false">Sens!F11884*(1+Sens!G11885)</f>
        <v>15.9574562664827</v>
      </c>
      <c r="H11884" s="6" t="n">
        <f aca="false">Sens!G11884*(1+Sens!H11885)</f>
        <v>16.0119687434196</v>
      </c>
      <c r="I11884" s="6" t="n">
        <f aca="false">Sens!H11884*(1+Sens!I11885)</f>
        <v>16.1551810001948</v>
      </c>
      <c r="J11884" s="6" t="n">
        <f aca="false">Sens!I11884*(1+Sens!J11885)</f>
        <v>16.3889793892005</v>
      </c>
      <c r="K11884" s="6" t="n">
        <f aca="false">Sens!J11884*(1+Sens!K11885)</f>
        <v>16.7167589769845</v>
      </c>
      <c r="L11884" s="12" t="s">
        <v>1034</v>
      </c>
    </row>
    <row r="11885" customFormat="false" ht="15" hidden="false" customHeight="false" outlineLevel="0" collapsed="false">
      <c r="A11885" s="1" t="s">
        <v>1024</v>
      </c>
      <c r="B11885" s="0" t="s">
        <v>168</v>
      </c>
      <c r="E11885" s="7" t="n">
        <f aca="false">Sens!E11884/Sens!D11884-1</f>
        <v>-0.0131677736066995</v>
      </c>
      <c r="F11885" s="7" t="n">
        <f aca="false">Sens!$E$11885+(glt_win-Sens!$E$11885)*MIN(1,(Sens!F11823-base_fy)/n_conv)</f>
        <v>-0.00763981133891627</v>
      </c>
      <c r="G11885" s="7" t="n">
        <f aca="false">Sens!$E$11885+(glt_win-Sens!$E$11885)*MIN(1,(Sens!G11823-base_fy)/n_conv)</f>
        <v>-0.00211184907113301</v>
      </c>
      <c r="H11885" s="7" t="n">
        <f aca="false">Sens!$E$11885+(glt_win-Sens!$E$11885)*MIN(1,(Sens!H11823-base_fy)/n_conv)</f>
        <v>0.00341611319665024</v>
      </c>
      <c r="I11885" s="7" t="n">
        <f aca="false">Sens!$E$11885+(glt_win-Sens!$E$11885)*MIN(1,(Sens!I11823-base_fy)/n_conv)</f>
        <v>0.00894407546443349</v>
      </c>
      <c r="J11885" s="7" t="n">
        <f aca="false">Sens!$E$11885+(glt_win-Sens!$E$11885)*MIN(1,(Sens!J11823-base_fy)/n_conv)</f>
        <v>0.0144720377322168</v>
      </c>
      <c r="K11885" s="7" t="n">
        <f aca="false">Sens!$E$11885+(glt_win-Sens!$E$11885)*MIN(1,(Sens!K11823-base_fy)/n_conv)</f>
        <v>0.02</v>
      </c>
    </row>
    <row r="11886" customFormat="false" ht="15" hidden="false" customHeight="false" outlineLevel="0" collapsed="false">
      <c r="A11886" s="0" t="s">
        <v>866</v>
      </c>
      <c r="B11886" s="0" t="s">
        <v>98</v>
      </c>
      <c r="D11886" s="6" t="n">
        <f aca="false">Sens!D11880+Sens!D11882+Sens!D11884</f>
        <v>62.941</v>
      </c>
      <c r="E11886" s="6" t="n">
        <f aca="false">Sens!E11880+Sens!E11882+Sens!E11884</f>
        <v>63.712</v>
      </c>
      <c r="F11886" s="6" t="n">
        <f aca="false">Sens!F11880+Sens!F11882+Sens!F11884</f>
        <v>64.1939683285845</v>
      </c>
      <c r="G11886" s="6" t="n">
        <f aca="false">Sens!G11880+Sens!G11882+Sens!G11884</f>
        <v>65.8962912014735</v>
      </c>
      <c r="H11886" s="6" t="n">
        <f aca="false">Sens!H11880+Sens!H11882+Sens!H11884</f>
        <v>67.9536850676428</v>
      </c>
      <c r="I11886" s="6" t="n">
        <f aca="false">Sens!I11880+Sens!I11882+Sens!I11884</f>
        <v>70.2951227910498</v>
      </c>
      <c r="J11886" s="6" t="n">
        <f aca="false">Sens!J11880+Sens!J11882+Sens!J11884</f>
        <v>72.8531125015395</v>
      </c>
      <c r="K11886" s="6" t="n">
        <f aca="false">Sens!K11880+Sens!K11882+Sens!K11884</f>
        <v>75.5638393909996</v>
      </c>
    </row>
    <row r="11887" customFormat="false" ht="15" hidden="false" customHeight="false" outlineLevel="0" collapsed="false">
      <c r="A11887" s="1" t="s">
        <v>1040</v>
      </c>
      <c r="B11887" s="0" t="s">
        <v>98</v>
      </c>
      <c r="D11887" s="6" t="n">
        <f aca="false">Sens!D11879+Sens!D11886</f>
        <v>281.724</v>
      </c>
      <c r="E11887" s="6" t="n">
        <f aca="false">Sens!E11879+Sens!E11886</f>
        <v>331.839</v>
      </c>
      <c r="F11887" s="6" t="n">
        <f aca="false">Sens!F11879+Sens!F11886</f>
        <v>394.339250388466</v>
      </c>
      <c r="G11887" s="6" t="n">
        <f aca="false">Sens!G11879+Sens!G11886</f>
        <v>458.553051067325</v>
      </c>
      <c r="H11887" s="6" t="n">
        <f aca="false">Sens!H11879+Sens!H11886</f>
        <v>518.497958365625</v>
      </c>
      <c r="I11887" s="6" t="n">
        <f aca="false">Sens!I11879+Sens!I11886</f>
        <v>580.98725791698</v>
      </c>
      <c r="J11887" s="6" t="n">
        <f aca="false">Sens!J11879+Sens!J11886</f>
        <v>633.269845130945</v>
      </c>
      <c r="K11887" s="6" t="n">
        <f aca="false">Sens!K11879+Sens!K11886</f>
        <v>675.696249983692</v>
      </c>
    </row>
    <row r="11888" customFormat="false" ht="15" hidden="false" customHeight="false" outlineLevel="0" collapsed="false">
      <c r="A11888" s="26" t="s">
        <v>1041</v>
      </c>
      <c r="B11888" s="31" t="s">
        <v>98</v>
      </c>
      <c r="C11888" s="31"/>
      <c r="D11888" s="27" t="n">
        <f aca="false">(Sens!D11867+Sens!D11872+Sens!D11873+Sens!D11875+Sens!D11877-Sens!D11879)+(Sens!D11880+Sens!D11882+Sens!D11884-Sens!D11886)+(Sens!D11879-Q!L5)+(Sens!D11886-Q!L12)+(Sens!D11867-Q!L6)+(Sens!D11872-Q!L7)</f>
        <v>0</v>
      </c>
      <c r="E11888" s="27" t="n">
        <f aca="false">(Sens!E11867+Sens!E11872+Sens!E11873+Sens!E11875+Sens!E11877-Sens!E11879)+(Sens!E11880+Sens!E11882+Sens!E11884-Sens!E11886)+(Sens!E11879-Q!M5)+(Sens!E11886-Q!M12)+(Sens!E11867-Q!M6)+(Sens!E11872-Q!M7)</f>
        <v>0</v>
      </c>
      <c r="F11888" s="27" t="n">
        <f aca="false">(Sens!F11867+Sens!F11872+Sens!F11873+Sens!F11875+Sens!F11877-Sens!F11879)+(Sens!F11880+Sens!F11882+Sens!F11884-Sens!F11886)</f>
        <v>0</v>
      </c>
      <c r="G11888" s="27" t="n">
        <f aca="false">(Sens!G11867+Sens!G11872+Sens!G11873+Sens!G11875+Sens!G11877-Sens!G11879)+(Sens!G11880+Sens!G11882+Sens!G11884-Sens!G11886)</f>
        <v>0</v>
      </c>
      <c r="H11888" s="27" t="n">
        <f aca="false">(Sens!H11867+Sens!H11872+Sens!H11873+Sens!H11875+Sens!H11877-Sens!H11879)+(Sens!H11880+Sens!H11882+Sens!H11884-Sens!H11886)</f>
        <v>0</v>
      </c>
      <c r="I11888" s="27" t="n">
        <f aca="false">(Sens!I11867+Sens!I11872+Sens!I11873+Sens!I11875+Sens!I11877-Sens!I11879)+(Sens!I11880+Sens!I11882+Sens!I11884-Sens!I11886)</f>
        <v>0</v>
      </c>
      <c r="J11888" s="27" t="n">
        <f aca="false">(Sens!J11867+Sens!J11872+Sens!J11873+Sens!J11875+Sens!J11877-Sens!J11879)+(Sens!J11880+Sens!J11882+Sens!J11884-Sens!J11886)</f>
        <v>0</v>
      </c>
      <c r="K11888" s="27" t="n">
        <f aca="false">(Sens!K11867+Sens!K11872+Sens!K11873+Sens!K11875+Sens!K11877-Sens!K11879)+(Sens!K11880+Sens!K11882+Sens!K11884-Sens!K11886)</f>
        <v>0</v>
      </c>
    </row>
    <row r="11889" customFormat="false" ht="17.15" hidden="false" customHeight="false" outlineLevel="0" collapsed="false">
      <c r="A11889" s="3" t="s">
        <v>1777</v>
      </c>
    </row>
    <row r="11890" customFormat="false" ht="15" hidden="false" customHeight="false" outlineLevel="0" collapsed="false">
      <c r="A11890" s="4" t="s">
        <v>43</v>
      </c>
      <c r="B11890" s="4" t="s">
        <v>65</v>
      </c>
      <c r="C11890" s="23" t="s">
        <v>938</v>
      </c>
      <c r="D11890" s="23" t="s">
        <v>939</v>
      </c>
      <c r="E11890" s="23" t="s">
        <v>940</v>
      </c>
      <c r="F11890" s="23" t="s">
        <v>941</v>
      </c>
      <c r="G11890" s="23" t="s">
        <v>942</v>
      </c>
      <c r="H11890" s="23" t="s">
        <v>943</v>
      </c>
      <c r="I11890" s="23" t="s">
        <v>944</v>
      </c>
      <c r="J11890" s="23" t="s">
        <v>945</v>
      </c>
      <c r="K11890" s="23" t="s">
        <v>946</v>
      </c>
      <c r="L11890" s="4" t="s">
        <v>47</v>
      </c>
    </row>
    <row r="11891" customFormat="false" ht="15" hidden="false" customHeight="false" outlineLevel="0" collapsed="false">
      <c r="A11891" s="0" t="s">
        <v>1025</v>
      </c>
      <c r="B11891" s="0" t="s">
        <v>98</v>
      </c>
      <c r="D11891" s="6" t="n">
        <f aca="false">Sens!D11867</f>
        <v>72.61</v>
      </c>
      <c r="E11891" s="6" t="n">
        <f aca="false">Sens!E11867</f>
        <v>101.938</v>
      </c>
      <c r="F11891" s="6" t="n">
        <f aca="false">Sens!F11867</f>
        <v>143.251883553698</v>
      </c>
      <c r="G11891" s="6" t="n">
        <f aca="false">Sens!G11867</f>
        <v>186.322520879442</v>
      </c>
      <c r="H11891" s="6" t="n">
        <f aca="false">Sens!H11867</f>
        <v>224.74279426379</v>
      </c>
      <c r="I11891" s="6" t="n">
        <f aca="false">Sens!I11867</f>
        <v>266.443497823359</v>
      </c>
      <c r="J11891" s="6" t="n">
        <f aca="false">Sens!J11867</f>
        <v>299.06102493502</v>
      </c>
      <c r="K11891" s="6" t="n">
        <f aca="false">Sens!K11867</f>
        <v>322.592740225023</v>
      </c>
    </row>
    <row r="11892" customFormat="false" ht="17.15" hidden="false" customHeight="false" outlineLevel="0" collapsed="false">
      <c r="A11892" s="0" t="s">
        <v>1021</v>
      </c>
      <c r="B11892" s="0" t="s">
        <v>98</v>
      </c>
      <c r="D11892" s="6" t="n">
        <f aca="false">Sens!D11864</f>
        <v>12.9359794422418</v>
      </c>
      <c r="E11892" s="6" t="n">
        <f aca="false">Sens!E11864</f>
        <v>27.8095064661409</v>
      </c>
      <c r="F11892" s="6" t="n">
        <f aca="false">Sens!F11864</f>
        <v>50.9819294352312</v>
      </c>
      <c r="G11892" s="6" t="n">
        <f aca="false">Sens!G11864</f>
        <v>76.6920436014933</v>
      </c>
      <c r="H11892" s="6" t="n">
        <f aca="false">Sens!H11864</f>
        <v>97.4495379418341</v>
      </c>
      <c r="I11892" s="6" t="n">
        <f aca="false">Sens!I11864</f>
        <v>122.083445553868</v>
      </c>
      <c r="J11892" s="6" t="n">
        <f aca="false">Sens!J11864</f>
        <v>139.249060444804</v>
      </c>
      <c r="K11892" s="6" t="n">
        <f aca="false">Sens!K11864</f>
        <v>149.995818575589</v>
      </c>
    </row>
    <row r="11893" customFormat="false" ht="17.15" hidden="false" customHeight="false" outlineLevel="0" collapsed="false">
      <c r="A11893" s="0" t="s">
        <v>1052</v>
      </c>
      <c r="B11893" s="0" t="s">
        <v>98</v>
      </c>
      <c r="D11893" s="6" t="n">
        <f aca="false">Sens!D11865</f>
        <v>59.6740205577583</v>
      </c>
      <c r="E11893" s="6" t="n">
        <f aca="false">Sens!E11865</f>
        <v>74.1284935338591</v>
      </c>
      <c r="F11893" s="6" t="n">
        <f aca="false">Sens!F11865</f>
        <v>92.2699541184664</v>
      </c>
      <c r="G11893" s="6" t="n">
        <f aca="false">Sens!G11865</f>
        <v>109.630477277949</v>
      </c>
      <c r="H11893" s="6" t="n">
        <f aca="false">Sens!H11865</f>
        <v>127.293256321956</v>
      </c>
      <c r="I11893" s="6" t="n">
        <f aca="false">Sens!I11865</f>
        <v>144.360052269491</v>
      </c>
      <c r="J11893" s="6" t="n">
        <f aca="false">Sens!J11865</f>
        <v>159.811964490216</v>
      </c>
      <c r="K11893" s="6" t="n">
        <f aca="false">Sens!K11865</f>
        <v>172.596921649434</v>
      </c>
    </row>
    <row r="11894" customFormat="false" ht="15" hidden="false" customHeight="false" outlineLevel="0" collapsed="false">
      <c r="A11894" s="0" t="s">
        <v>1032</v>
      </c>
      <c r="B11894" s="0" t="s">
        <v>98</v>
      </c>
      <c r="D11894" s="6" t="n">
        <f aca="false">Sens!D11872</f>
        <v>84.605</v>
      </c>
      <c r="E11894" s="6" t="n">
        <f aca="false">Sens!E11872</f>
        <v>100.299</v>
      </c>
      <c r="F11894" s="6" t="n">
        <f aca="false">Sens!F11872</f>
        <v>117.438354189776</v>
      </c>
      <c r="G11894" s="6" t="n">
        <f aca="false">Sens!G11872</f>
        <v>132.595360443801</v>
      </c>
      <c r="H11894" s="6" t="n">
        <f aca="false">Sens!H11872</f>
        <v>147.833811964563</v>
      </c>
      <c r="I11894" s="6" t="n">
        <f aca="false">Sens!I11872</f>
        <v>162.145665319381</v>
      </c>
      <c r="J11894" s="6" t="n">
        <f aca="false">Sens!J11872</f>
        <v>175.249327755573</v>
      </c>
      <c r="K11894" s="6" t="n">
        <f aca="false">Sens!K11872</f>
        <v>187.599280698463</v>
      </c>
    </row>
    <row r="11895" customFormat="false" ht="17.15" hidden="false" customHeight="false" outlineLevel="0" collapsed="false">
      <c r="A11895" s="0" t="s">
        <v>1053</v>
      </c>
      <c r="B11895" s="0" t="s">
        <v>98</v>
      </c>
      <c r="D11895" s="6" t="n">
        <f aca="false">Sens!D11870</f>
        <v>83.705</v>
      </c>
      <c r="E11895" s="6" t="n">
        <f aca="false">Sens!E11870</f>
        <v>95.049</v>
      </c>
      <c r="F11895" s="6" t="n">
        <f aca="false">Sens!F11870</f>
        <v>106.938354189776</v>
      </c>
      <c r="G11895" s="6" t="n">
        <f aca="false">Sens!G11870</f>
        <v>119.095360443801</v>
      </c>
      <c r="H11895" s="6" t="n">
        <f aca="false">Sens!H11870</f>
        <v>131.333811964563</v>
      </c>
      <c r="I11895" s="6" t="n">
        <f aca="false">Sens!I11870</f>
        <v>143.395665319381</v>
      </c>
      <c r="J11895" s="6" t="n">
        <f aca="false">Sens!J11870</f>
        <v>154.999327755573</v>
      </c>
      <c r="K11895" s="6" t="n">
        <f aca="false">Sens!K11870</f>
        <v>165.849280698463</v>
      </c>
    </row>
    <row r="11896" customFormat="false" ht="17.15" hidden="false" customHeight="false" outlineLevel="0" collapsed="false">
      <c r="A11896" s="0" t="s">
        <v>1054</v>
      </c>
      <c r="B11896" s="0" t="s">
        <v>98</v>
      </c>
      <c r="D11896" s="6" t="n">
        <f aca="false">Sens!D11869</f>
        <v>0.9</v>
      </c>
      <c r="E11896" s="6" t="n">
        <f aca="false">Sens!E11869</f>
        <v>5.25</v>
      </c>
      <c r="F11896" s="6" t="n">
        <f aca="false">Sens!F11869</f>
        <v>10.5</v>
      </c>
      <c r="G11896" s="6" t="n">
        <f aca="false">Sens!G11869</f>
        <v>13.5</v>
      </c>
      <c r="H11896" s="6" t="n">
        <f aca="false">Sens!H11869</f>
        <v>16.5</v>
      </c>
      <c r="I11896" s="6" t="n">
        <f aca="false">Sens!I11869</f>
        <v>18.75</v>
      </c>
      <c r="J11896" s="6" t="n">
        <f aca="false">Sens!J11869</f>
        <v>20.25</v>
      </c>
      <c r="K11896" s="6" t="n">
        <f aca="false">Sens!K11869</f>
        <v>21.75</v>
      </c>
    </row>
    <row r="11897" customFormat="false" ht="15" hidden="false" customHeight="false" outlineLevel="0" collapsed="false">
      <c r="A11897" s="0" t="s">
        <v>1033</v>
      </c>
      <c r="B11897" s="0" t="s">
        <v>98</v>
      </c>
      <c r="D11897" s="6" t="n">
        <f aca="false">Sens!D11873</f>
        <v>35.391</v>
      </c>
      <c r="E11897" s="6" t="n">
        <f aca="false">Sens!E11873</f>
        <v>37.285</v>
      </c>
      <c r="F11897" s="6" t="n">
        <f aca="false">Sens!F11873</f>
        <v>38.3851437782675</v>
      </c>
      <c r="G11897" s="6" t="n">
        <f aca="false">Sens!G11873</f>
        <v>40.0105353288615</v>
      </c>
      <c r="H11897" s="6" t="n">
        <f aca="false">Sens!H11873</f>
        <v>41.4812512033683</v>
      </c>
      <c r="I11897" s="6" t="n">
        <f aca="false">Sens!I11873</f>
        <v>42.7743107216329</v>
      </c>
      <c r="J11897" s="6" t="n">
        <f aca="false">Sens!J11873</f>
        <v>43.8687373064601</v>
      </c>
      <c r="K11897" s="6" t="n">
        <f aca="false">Sens!K11873</f>
        <v>44.7461120525893</v>
      </c>
    </row>
    <row r="11898" customFormat="false" ht="15" hidden="false" customHeight="false" outlineLevel="0" collapsed="false">
      <c r="A11898" s="0" t="s">
        <v>1035</v>
      </c>
      <c r="B11898" s="0" t="s">
        <v>98</v>
      </c>
      <c r="D11898" s="6" t="n">
        <f aca="false">Sens!D11875</f>
        <v>18.417</v>
      </c>
      <c r="E11898" s="6" t="n">
        <f aca="false">Sens!E11875</f>
        <v>20.345</v>
      </c>
      <c r="F11898" s="6" t="n">
        <f aca="false">Sens!F11875</f>
        <v>22.3161797133988</v>
      </c>
      <c r="G11898" s="6" t="n">
        <f aca="false">Sens!G11875</f>
        <v>24.3943499673233</v>
      </c>
      <c r="H11898" s="6" t="n">
        <f aca="false">Sens!H11875</f>
        <v>26.5250243109019</v>
      </c>
      <c r="I11898" s="6" t="n">
        <f aca="false">Sens!I11875</f>
        <v>28.6884573538181</v>
      </c>
      <c r="J11898" s="6" t="n">
        <f aca="false">Sens!J11875</f>
        <v>30.8624968052127</v>
      </c>
      <c r="K11898" s="6" t="n">
        <f aca="false">Sens!K11875</f>
        <v>33.0228715815776</v>
      </c>
    </row>
    <row r="11899" customFormat="false" ht="15" hidden="false" customHeight="false" outlineLevel="0" collapsed="false">
      <c r="A11899" s="0" t="s">
        <v>1036</v>
      </c>
      <c r="B11899" s="0" t="s">
        <v>98</v>
      </c>
      <c r="D11899" s="6" t="n">
        <f aca="false">Sens!D11877</f>
        <v>7.76</v>
      </c>
      <c r="E11899" s="6" t="n">
        <f aca="false">Sens!E11877</f>
        <v>8.26</v>
      </c>
      <c r="F11899" s="6" t="n">
        <f aca="false">Sens!F11877</f>
        <v>8.75372082474227</v>
      </c>
      <c r="G11899" s="6" t="n">
        <f aca="false">Sens!G11877</f>
        <v>9.33399324642364</v>
      </c>
      <c r="H11899" s="6" t="n">
        <f aca="false">Sens!H11877</f>
        <v>9.96139155535851</v>
      </c>
      <c r="I11899" s="6" t="n">
        <f aca="false">Sens!I11877</f>
        <v>10.6402039077391</v>
      </c>
      <c r="J11899" s="6" t="n">
        <f aca="false">Sens!J11877</f>
        <v>11.3751458271397</v>
      </c>
      <c r="K11899" s="6" t="n">
        <f aca="false">Sens!K11877</f>
        <v>12.1714060350394</v>
      </c>
    </row>
    <row r="11900" customFormat="false" ht="15" hidden="false" customHeight="false" outlineLevel="0" collapsed="false">
      <c r="A11900" s="0" t="s">
        <v>852</v>
      </c>
      <c r="B11900" s="0" t="s">
        <v>98</v>
      </c>
      <c r="D11900" s="6" t="n">
        <f aca="false">Sens!D11879</f>
        <v>218.783</v>
      </c>
      <c r="E11900" s="6" t="n">
        <f aca="false">Sens!E11879</f>
        <v>268.127</v>
      </c>
      <c r="F11900" s="6" t="n">
        <f aca="false">Sens!F11879</f>
        <v>330.145282059882</v>
      </c>
      <c r="G11900" s="6" t="n">
        <f aca="false">Sens!G11879</f>
        <v>392.656759865851</v>
      </c>
      <c r="H11900" s="6" t="n">
        <f aca="false">Sens!H11879</f>
        <v>450.544273297982</v>
      </c>
      <c r="I11900" s="6" t="n">
        <f aca="false">Sens!I11879</f>
        <v>510.69213512593</v>
      </c>
      <c r="J11900" s="6" t="n">
        <f aca="false">Sens!J11879</f>
        <v>560.416732629406</v>
      </c>
      <c r="K11900" s="6" t="n">
        <f aca="false">Sens!K11879</f>
        <v>600.132410592692</v>
      </c>
    </row>
    <row r="11901" customFormat="false" ht="15" hidden="false" customHeight="false" outlineLevel="0" collapsed="false">
      <c r="A11901" s="0" t="s">
        <v>1037</v>
      </c>
      <c r="B11901" s="0" t="s">
        <v>98</v>
      </c>
      <c r="D11901" s="6" t="n">
        <f aca="false">Sens!D11880</f>
        <v>22.171</v>
      </c>
      <c r="E11901" s="6" t="n">
        <f aca="false">Sens!E11880</f>
        <v>24.835</v>
      </c>
      <c r="F11901" s="6" t="n">
        <f aca="false">Sens!F11880</f>
        <v>27.5591895660247</v>
      </c>
      <c r="G11901" s="6" t="n">
        <f aca="false">Sens!G11880</f>
        <v>30.4098563144583</v>
      </c>
      <c r="H11901" s="6" t="n">
        <f aca="false">Sens!H11880</f>
        <v>33.3011792571777</v>
      </c>
      <c r="I11901" s="6" t="n">
        <f aca="false">Sens!I11880</f>
        <v>36.189023797112</v>
      </c>
      <c r="J11901" s="6" t="n">
        <f aca="false">Sens!J11880</f>
        <v>39.0247773769199</v>
      </c>
      <c r="K11901" s="6" t="n">
        <f aca="false">Sens!K11880</f>
        <v>41.7565117933043</v>
      </c>
    </row>
    <row r="11902" customFormat="false" ht="15" hidden="false" customHeight="false" outlineLevel="0" collapsed="false">
      <c r="A11902" s="0" t="s">
        <v>1038</v>
      </c>
      <c r="B11902" s="0" t="s">
        <v>98</v>
      </c>
      <c r="D11902" s="6" t="n">
        <f aca="false">Sens!D11882</f>
        <v>23.455</v>
      </c>
      <c r="E11902" s="6" t="n">
        <f aca="false">Sens!E11882</f>
        <v>21.79</v>
      </c>
      <c r="F11902" s="6" t="n">
        <f aca="false">Sens!F11882</f>
        <v>20.6435514375044</v>
      </c>
      <c r="G11902" s="6" t="n">
        <f aca="false">Sens!G11882</f>
        <v>19.5289786205326</v>
      </c>
      <c r="H11902" s="6" t="n">
        <f aca="false">Sens!H11882</f>
        <v>18.6405370670455</v>
      </c>
      <c r="I11902" s="6" t="n">
        <f aca="false">Sens!I11882</f>
        <v>17.950917993743</v>
      </c>
      <c r="J11902" s="6" t="n">
        <f aca="false">Sens!J11882</f>
        <v>17.4393557354192</v>
      </c>
      <c r="K11902" s="6" t="n">
        <f aca="false">Sens!K11882</f>
        <v>17.0905686207108</v>
      </c>
    </row>
    <row r="11903" customFormat="false" ht="15" hidden="false" customHeight="false" outlineLevel="0" collapsed="false">
      <c r="A11903" s="0" t="s">
        <v>1039</v>
      </c>
      <c r="B11903" s="0" t="s">
        <v>98</v>
      </c>
      <c r="D11903" s="6" t="n">
        <f aca="false">Sens!D11884</f>
        <v>17.315</v>
      </c>
      <c r="E11903" s="6" t="n">
        <f aca="false">Sens!E11884</f>
        <v>17.087</v>
      </c>
      <c r="F11903" s="6" t="n">
        <f aca="false">Sens!F11884</f>
        <v>15.9912273250553</v>
      </c>
      <c r="G11903" s="6" t="n">
        <f aca="false">Sens!G11884</f>
        <v>15.9574562664827</v>
      </c>
      <c r="H11903" s="6" t="n">
        <f aca="false">Sens!H11884</f>
        <v>16.0119687434196</v>
      </c>
      <c r="I11903" s="6" t="n">
        <f aca="false">Sens!I11884</f>
        <v>16.1551810001948</v>
      </c>
      <c r="J11903" s="6" t="n">
        <f aca="false">Sens!J11884</f>
        <v>16.3889793892005</v>
      </c>
      <c r="K11903" s="6" t="n">
        <f aca="false">Sens!K11884</f>
        <v>16.7167589769845</v>
      </c>
    </row>
    <row r="11904" customFormat="false" ht="15" hidden="false" customHeight="false" outlineLevel="0" collapsed="false">
      <c r="A11904" s="0" t="s">
        <v>866</v>
      </c>
      <c r="B11904" s="0" t="s">
        <v>98</v>
      </c>
      <c r="D11904" s="6" t="n">
        <f aca="false">Sens!D11886</f>
        <v>62.941</v>
      </c>
      <c r="E11904" s="6" t="n">
        <f aca="false">Sens!E11886</f>
        <v>63.712</v>
      </c>
      <c r="F11904" s="6" t="n">
        <f aca="false">Sens!F11886</f>
        <v>64.1939683285845</v>
      </c>
      <c r="G11904" s="6" t="n">
        <f aca="false">Sens!G11886</f>
        <v>65.8962912014735</v>
      </c>
      <c r="H11904" s="6" t="n">
        <f aca="false">Sens!H11886</f>
        <v>67.9536850676428</v>
      </c>
      <c r="I11904" s="6" t="n">
        <f aca="false">Sens!I11886</f>
        <v>70.2951227910498</v>
      </c>
      <c r="J11904" s="6" t="n">
        <f aca="false">Sens!J11886</f>
        <v>72.8531125015395</v>
      </c>
      <c r="K11904" s="6" t="n">
        <f aca="false">Sens!K11886</f>
        <v>75.5638393909996</v>
      </c>
    </row>
    <row r="11905" customFormat="false" ht="15" hidden="false" customHeight="false" outlineLevel="0" collapsed="false">
      <c r="A11905" s="1" t="s">
        <v>1055</v>
      </c>
      <c r="B11905" s="0" t="s">
        <v>98</v>
      </c>
      <c r="D11905" s="6" t="n">
        <f aca="false">Sens!D11887</f>
        <v>281.724</v>
      </c>
      <c r="E11905" s="6" t="n">
        <f aca="false">Sens!E11887</f>
        <v>331.839</v>
      </c>
      <c r="F11905" s="6" t="n">
        <f aca="false">Sens!F11887</f>
        <v>394.339250388466</v>
      </c>
      <c r="G11905" s="6" t="n">
        <f aca="false">Sens!G11887</f>
        <v>458.553051067325</v>
      </c>
      <c r="H11905" s="6" t="n">
        <f aca="false">Sens!H11887</f>
        <v>518.497958365625</v>
      </c>
      <c r="I11905" s="6" t="n">
        <f aca="false">Sens!I11887</f>
        <v>580.98725791698</v>
      </c>
      <c r="J11905" s="6" t="n">
        <f aca="false">Sens!J11887</f>
        <v>633.269845130945</v>
      </c>
      <c r="K11905" s="6" t="n">
        <f aca="false">Sens!K11887</f>
        <v>675.696249983692</v>
      </c>
    </row>
    <row r="11906" customFormat="false" ht="15" hidden="false" customHeight="false" outlineLevel="0" collapsed="false">
      <c r="A11906" s="1" t="s">
        <v>1056</v>
      </c>
      <c r="B11906" s="0" t="s">
        <v>168</v>
      </c>
      <c r="E11906" s="7" t="n">
        <f aca="false">Sens!E11905/Sens!D11905-1</f>
        <v>0.177886867998467</v>
      </c>
      <c r="F11906" s="7" t="n">
        <f aca="false">Sens!F11905/Sens!E11905-1</f>
        <v>0.188345102258825</v>
      </c>
      <c r="G11906" s="7" t="n">
        <f aca="false">Sens!G11905/Sens!F11905-1</f>
        <v>0.16283897840654</v>
      </c>
      <c r="H11906" s="7" t="n">
        <f aca="false">Sens!H11905/Sens!G11905-1</f>
        <v>0.130726220573111</v>
      </c>
      <c r="I11906" s="7" t="n">
        <f aca="false">Sens!I11905/Sens!H11905-1</f>
        <v>0.120519856526205</v>
      </c>
      <c r="J11906" s="7" t="n">
        <f aca="false">Sens!J11905/Sens!I11905-1</f>
        <v>0.0899892149122419</v>
      </c>
      <c r="K11906" s="7" t="n">
        <f aca="false">Sens!K11905/Sens!J11905-1</f>
        <v>0.0669957762539188</v>
      </c>
    </row>
    <row r="11907" customFormat="false" ht="17.15" hidden="false" customHeight="false" outlineLevel="0" collapsed="false">
      <c r="A11907" s="26" t="s">
        <v>1057</v>
      </c>
      <c r="B11907" s="31" t="s">
        <v>98</v>
      </c>
      <c r="C11907" s="31"/>
      <c r="D11907" s="27" t="n">
        <f aca="false">(Sens!D11900+Sens!D11904-Sens!D11905)+(Sens!D11892+Sens!D11893-Sens!D11891)+(Sens!D11895+Sens!D11896-Sens!D11894)+(Sens!D11905-Q!L18)</f>
        <v>0</v>
      </c>
      <c r="E11907" s="27" t="n">
        <f aca="false">(Sens!E11900+Sens!E11904-Sens!E11905)+(Sens!E11892+Sens!E11893-Sens!E11891)+(Sens!E11895+Sens!E11896-Sens!E11894)+(Sens!E11905-Q!M18)</f>
        <v>0</v>
      </c>
      <c r="F11907" s="27" t="n">
        <f aca="false">(Sens!F11900+Sens!F11904-Sens!F11905)+(Sens!F11892+Sens!F11893-Sens!F11891)+(Sens!F11895+Sens!F11896-Sens!F11894)</f>
        <v>0</v>
      </c>
      <c r="G11907" s="27" t="n">
        <f aca="false">(Sens!G11900+Sens!G11904-Sens!G11905)+(Sens!G11892+Sens!G11893-Sens!G11891)+(Sens!G11895+Sens!G11896-Sens!G11894)</f>
        <v>0</v>
      </c>
      <c r="H11907" s="27" t="n">
        <f aca="false">(Sens!H11900+Sens!H11904-Sens!H11905)+(Sens!H11892+Sens!H11893-Sens!H11891)+(Sens!H11895+Sens!H11896-Sens!H11894)</f>
        <v>0</v>
      </c>
      <c r="I11907" s="27" t="n">
        <f aca="false">(Sens!I11900+Sens!I11904-Sens!I11905)+(Sens!I11892+Sens!I11893-Sens!I11891)+(Sens!I11895+Sens!I11896-Sens!I11894)</f>
        <v>0</v>
      </c>
      <c r="J11907" s="27" t="n">
        <f aca="false">(Sens!J11900+Sens!J11904-Sens!J11905)+(Sens!J11892+Sens!J11893-Sens!J11891)+(Sens!J11895+Sens!J11896-Sens!J11894)</f>
        <v>0</v>
      </c>
      <c r="K11907" s="27" t="n">
        <f aca="false">(Sens!K11900+Sens!K11904-Sens!K11905)+(Sens!K11892+Sens!K11893-Sens!K11891)+(Sens!K11895+Sens!K11896-Sens!K11894)</f>
        <v>0</v>
      </c>
    </row>
    <row r="11908" customFormat="false" ht="17.15" hidden="false" customHeight="false" outlineLevel="0" collapsed="false">
      <c r="A11908" s="0" t="s">
        <v>1058</v>
      </c>
      <c r="B11908" s="0" t="s">
        <v>168</v>
      </c>
      <c r="E11908" s="7" t="n">
        <f aca="false">(Q!M21+Sens!E11844+Sens!E11845+Sens!E11846+Sens!E11860-Sens!E11842)/(Q!M5-Sens!E11842)</f>
        <v>0.570957350878296</v>
      </c>
      <c r="F11908" s="7" t="n">
        <f aca="false">Sens!$E$11908+dm_seg</f>
        <v>0.570957350878296</v>
      </c>
      <c r="G11908" s="7" t="n">
        <f aca="false">Sens!$E$11908+dm_seg</f>
        <v>0.570957350878296</v>
      </c>
      <c r="H11908" s="7" t="n">
        <f aca="false">Sens!$E$11908+dm_seg</f>
        <v>0.570957350878296</v>
      </c>
      <c r="I11908" s="7" t="n">
        <f aca="false">Sens!$E$11908+dm_seg</f>
        <v>0.570957350878296</v>
      </c>
      <c r="J11908" s="7" t="n">
        <f aca="false">Sens!$E$11908+dm_seg</f>
        <v>0.570957350878296</v>
      </c>
      <c r="K11908" s="7" t="n">
        <f aca="false">Sens!$E$11908+dm_seg</f>
        <v>0.570957350878296</v>
      </c>
      <c r="L11908" s="12" t="s">
        <v>1059</v>
      </c>
    </row>
    <row r="11909" customFormat="false" ht="17.15" hidden="false" customHeight="false" outlineLevel="0" collapsed="false">
      <c r="A11909" s="0" t="s">
        <v>880</v>
      </c>
      <c r="B11909" s="0" t="s">
        <v>98</v>
      </c>
      <c r="D11909" s="6" t="n">
        <f aca="false">Q!L21</f>
        <v>110.814</v>
      </c>
      <c r="E11909" s="6" t="n">
        <f aca="false">Q!M21</f>
        <v>136.365</v>
      </c>
      <c r="F11909" s="6" t="n">
        <f aca="false">Q!$I$21+(Sens!F11908*(Sens!F11879-Sens!F11842)+Sens!F11842-(Sens!F11844+Sens!F11845+Sens!F11846)-Sens!F11860-Sens!F11943)*(Sens!F11879-Q!$I$5)/Sens!F11879</f>
        <v>158.110234156687</v>
      </c>
      <c r="G11909" s="6" t="n">
        <f aca="false">(Sens!G11908*(Sens!G11879-Sens!G11842)+Sens!G11842-(Sens!G11844+Sens!G11845+Sens!G11846)-Sens!G11860-Sens!G11943)</f>
        <v>161.288737768095</v>
      </c>
      <c r="H11909" s="6" t="n">
        <f aca="false">(Sens!H11908*(Sens!H11879-Sens!H11842)+Sens!H11842-(Sens!H11844+Sens!H11845+Sens!H11846)-Sens!H11860-Sens!H11943)</f>
        <v>162.750449226018</v>
      </c>
      <c r="I11909" s="6" t="n">
        <f aca="false">(Sens!I11908*(Sens!I11879-Sens!I11842)+Sens!I11842-(Sens!I11844+Sens!I11845+Sens!I11846)-Sens!I11860-Sens!I11943)</f>
        <v>172.031140185604</v>
      </c>
      <c r="J11909" s="6" t="n">
        <f aca="false">(Sens!J11908*(Sens!J11879-Sens!J11842)+Sens!J11842-(Sens!J11844+Sens!J11845+Sens!J11846)-Sens!J11860-Sens!J11943)</f>
        <v>182.855335729531</v>
      </c>
      <c r="K11909" s="6" t="n">
        <f aca="false">(Sens!K11908*(Sens!K11879-Sens!K11842)+Sens!K11842-(Sens!K11844+Sens!K11845+Sens!K11846)-Sens!K11860-Sens!K11943)</f>
        <v>195.088404864353</v>
      </c>
      <c r="L11909" s="1" t="s">
        <v>1060</v>
      </c>
    </row>
    <row r="11910" customFormat="false" ht="17.15" hidden="false" customHeight="false" outlineLevel="0" collapsed="false">
      <c r="A11910" s="0" t="s">
        <v>1061</v>
      </c>
      <c r="B11910" s="0" t="s">
        <v>168</v>
      </c>
      <c r="E11910" s="7" t="n">
        <f aca="false">Q!M22/Q!M12</f>
        <v>0.296207935710698</v>
      </c>
      <c r="F11910" s="7" t="n">
        <f aca="false">Sens!$E$11910+dm_seg</f>
        <v>0.296207935710698</v>
      </c>
      <c r="G11910" s="7" t="n">
        <f aca="false">Sens!$E$11910+dm_seg</f>
        <v>0.296207935710698</v>
      </c>
      <c r="H11910" s="7" t="n">
        <f aca="false">Sens!$E$11910+dm_seg</f>
        <v>0.296207935710698</v>
      </c>
      <c r="I11910" s="7" t="n">
        <f aca="false">Sens!$E$11910+dm_seg</f>
        <v>0.296207935710698</v>
      </c>
      <c r="J11910" s="7" t="n">
        <f aca="false">Sens!$E$11910+dm_seg</f>
        <v>0.296207935710698</v>
      </c>
      <c r="K11910" s="7" t="n">
        <f aca="false">Sens!$E$11910+dm_seg</f>
        <v>0.296207935710698</v>
      </c>
      <c r="L11910" s="12" t="s">
        <v>1062</v>
      </c>
    </row>
    <row r="11911" customFormat="false" ht="17.15" hidden="false" customHeight="false" outlineLevel="0" collapsed="false">
      <c r="A11911" s="0" t="s">
        <v>882</v>
      </c>
      <c r="B11911" s="0" t="s">
        <v>98</v>
      </c>
      <c r="D11911" s="6" t="n">
        <f aca="false">Q!L22</f>
        <v>17.714</v>
      </c>
      <c r="E11911" s="6" t="n">
        <f aca="false">Q!M22</f>
        <v>18.872</v>
      </c>
      <c r="F11911" s="6" t="n">
        <f aca="false">Q!$I$22+(Sens!F11886-Q!$I$12)*Sens!F11910</f>
        <v>19.7852791671435</v>
      </c>
      <c r="G11911" s="6" t="n">
        <f aca="false">Sens!G11886*Sens!G11910</f>
        <v>19.5190043877795</v>
      </c>
      <c r="H11911" s="6" t="n">
        <f aca="false">Sens!H11886*Sens!H11910</f>
        <v>20.1284207778214</v>
      </c>
      <c r="I11911" s="6" t="n">
        <f aca="false">Sens!I11886*Sens!I11910</f>
        <v>20.8219732124669</v>
      </c>
      <c r="J11911" s="6" t="n">
        <f aca="false">Sens!J11886*Sens!J11910</f>
        <v>21.5796700641803</v>
      </c>
      <c r="K11911" s="6" t="n">
        <f aca="false">Sens!K11886*Sens!K11910</f>
        <v>22.3826088803827</v>
      </c>
      <c r="L11911" s="12" t="s">
        <v>1063</v>
      </c>
    </row>
    <row r="11912" customFormat="false" ht="15" hidden="false" customHeight="false" outlineLevel="0" collapsed="false">
      <c r="A11912" s="1" t="s">
        <v>1064</v>
      </c>
      <c r="B11912" s="0" t="s">
        <v>98</v>
      </c>
      <c r="D11912" s="6" t="n">
        <f aca="false">Sens!D11909+Sens!D11911</f>
        <v>128.528</v>
      </c>
      <c r="E11912" s="6" t="n">
        <f aca="false">Sens!E11909+Sens!E11911</f>
        <v>155.237</v>
      </c>
      <c r="F11912" s="6" t="n">
        <f aca="false">Sens!F11909+Sens!F11911</f>
        <v>177.89551332383</v>
      </c>
      <c r="G11912" s="6" t="n">
        <f aca="false">Sens!G11909+Sens!G11911</f>
        <v>180.807742155875</v>
      </c>
      <c r="H11912" s="6" t="n">
        <f aca="false">Sens!H11909+Sens!H11911</f>
        <v>182.87887000384</v>
      </c>
      <c r="I11912" s="6" t="n">
        <f aca="false">Sens!I11909+Sens!I11911</f>
        <v>192.853113398071</v>
      </c>
      <c r="J11912" s="6" t="n">
        <f aca="false">Sens!J11909+Sens!J11911</f>
        <v>204.435005793711</v>
      </c>
      <c r="K11912" s="6" t="n">
        <f aca="false">Sens!K11909+Sens!K11911</f>
        <v>217.471013744736</v>
      </c>
    </row>
    <row r="11913" customFormat="false" ht="15" hidden="false" customHeight="false" outlineLevel="0" collapsed="false">
      <c r="A11913" s="26" t="s">
        <v>1065</v>
      </c>
      <c r="B11913" s="31" t="s">
        <v>98</v>
      </c>
      <c r="C11913" s="31"/>
      <c r="D11913" s="27" t="n">
        <f aca="false">Sens!D11912-Q!L23</f>
        <v>0</v>
      </c>
      <c r="E11913" s="27" t="n">
        <f aca="false">Sens!E11912-Q!M23</f>
        <v>0</v>
      </c>
      <c r="F11913" s="31"/>
      <c r="G11913" s="31"/>
      <c r="H11913" s="31"/>
      <c r="I11913" s="31"/>
      <c r="J11913" s="31"/>
      <c r="K11913" s="31"/>
    </row>
    <row r="11914" customFormat="false" ht="15" hidden="false" customHeight="false" outlineLevel="0" collapsed="false">
      <c r="A11914" s="1" t="s">
        <v>1066</v>
      </c>
      <c r="B11914" s="0" t="s">
        <v>168</v>
      </c>
      <c r="D11914" s="7" t="n">
        <f aca="false">Sens!D11912/Sens!D11905</f>
        <v>0.456219562408598</v>
      </c>
      <c r="E11914" s="7" t="n">
        <f aca="false">Sens!E11912/Sens!E11905</f>
        <v>0.467808184089272</v>
      </c>
      <c r="F11914" s="7" t="n">
        <f aca="false">Sens!F11912/Sens!F11905</f>
        <v>0.451123019452373</v>
      </c>
      <c r="G11914" s="7" t="n">
        <f aca="false">Sens!G11912/Sens!G11905</f>
        <v>0.39430059779349</v>
      </c>
      <c r="H11914" s="7" t="n">
        <f aca="false">Sens!H11912/Sens!H11905</f>
        <v>0.352708949096537</v>
      </c>
      <c r="I11914" s="7" t="n">
        <f aca="false">Sens!I11912/Sens!I11905</f>
        <v>0.331940349414046</v>
      </c>
      <c r="J11914" s="7" t="n">
        <f aca="false">Sens!J11912/Sens!J11905</f>
        <v>0.322824475798999</v>
      </c>
      <c r="K11914" s="7" t="n">
        <f aca="false">Sens!K11912/Sens!K11905</f>
        <v>0.32184730009969</v>
      </c>
    </row>
    <row r="11915" customFormat="false" ht="17.15" hidden="false" customHeight="false" outlineLevel="0" collapsed="false">
      <c r="A11915" s="1" t="s">
        <v>1067</v>
      </c>
      <c r="B11915" s="0" t="s">
        <v>98</v>
      </c>
      <c r="F11915" s="6" t="n">
        <f aca="false">Sens!F11930</f>
        <v>10.5962787979473</v>
      </c>
      <c r="G11915" s="6" t="n">
        <f aca="false">Sens!G11930</f>
        <v>27.844646674932</v>
      </c>
      <c r="H11915" s="6" t="n">
        <f aca="false">Sens!H11930</f>
        <v>46.566205501382</v>
      </c>
      <c r="I11915" s="6" t="n">
        <f aca="false">Sens!I11930</f>
        <v>63.2717778126444</v>
      </c>
      <c r="J11915" s="6" t="n">
        <f aca="false">Sens!J11930</f>
        <v>74.9061222882009</v>
      </c>
      <c r="K11915" s="6" t="n">
        <f aca="false">Sens!K11930</f>
        <v>81.6395437180232</v>
      </c>
      <c r="L11915" s="1" t="s">
        <v>1068</v>
      </c>
    </row>
    <row r="11916" customFormat="false" ht="17.15" hidden="false" customHeight="false" outlineLevel="0" collapsed="false">
      <c r="A11916" s="1" t="s">
        <v>1069</v>
      </c>
      <c r="B11916" s="0" t="s">
        <v>98</v>
      </c>
      <c r="D11916" s="6" t="n">
        <f aca="false">Sens!D11912</f>
        <v>128.528</v>
      </c>
      <c r="E11916" s="6" t="n">
        <f aca="false">Sens!E11912</f>
        <v>155.237</v>
      </c>
      <c r="F11916" s="6" t="n">
        <f aca="false">Sens!F11912+Sens!F11915</f>
        <v>188.491792121778</v>
      </c>
      <c r="G11916" s="6" t="n">
        <f aca="false">Sens!G11912+Sens!G11915</f>
        <v>208.652388830807</v>
      </c>
      <c r="H11916" s="6" t="n">
        <f aca="false">Sens!H11912+Sens!H11915</f>
        <v>229.445075505222</v>
      </c>
      <c r="I11916" s="6" t="n">
        <f aca="false">Sens!I11912+Sens!I11915</f>
        <v>256.124891210716</v>
      </c>
      <c r="J11916" s="6" t="n">
        <f aca="false">Sens!J11912+Sens!J11915</f>
        <v>279.341128081912</v>
      </c>
      <c r="K11916" s="6" t="n">
        <f aca="false">Sens!K11912+Sens!K11915</f>
        <v>299.110557462759</v>
      </c>
    </row>
    <row r="11917" customFormat="false" ht="17.15" hidden="false" customHeight="false" outlineLevel="0" collapsed="false">
      <c r="A11917" s="1" t="s">
        <v>1070</v>
      </c>
      <c r="B11917" s="0" t="s">
        <v>98</v>
      </c>
      <c r="E11917" s="6" t="n">
        <f aca="false">Sens!E11860</f>
        <v>16.3054059770833</v>
      </c>
      <c r="F11917" s="6" t="n">
        <f aca="false">Sens!F11860</f>
        <v>34.5793144783516</v>
      </c>
      <c r="G11917" s="6" t="n">
        <f aca="false">Sens!G11860</f>
        <v>60.7344906522989</v>
      </c>
      <c r="H11917" s="6" t="n">
        <f aca="false">Sens!H11860</f>
        <v>89.1000906614457</v>
      </c>
      <c r="I11917" s="6" t="n">
        <f aca="false">Sens!I11860</f>
        <v>114.231009694548</v>
      </c>
      <c r="J11917" s="6" t="n">
        <f aca="false">Sens!J11860</f>
        <v>132.015673049596</v>
      </c>
      <c r="K11917" s="6" t="n">
        <f aca="false">Sens!K11860</f>
        <v>143.012669550934</v>
      </c>
    </row>
    <row r="11918" customFormat="false" ht="17.15" hidden="false" customHeight="false" outlineLevel="0" collapsed="false">
      <c r="A11918" s="1" t="s">
        <v>1071</v>
      </c>
      <c r="B11918" s="0" t="s">
        <v>98</v>
      </c>
      <c r="E11918" s="6" t="n">
        <f aca="false">Sens!E11942</f>
        <v>22.2285940229167</v>
      </c>
      <c r="F11918" s="6" t="n">
        <f aca="false">Sens!F11942</f>
        <v>23.5880148879552</v>
      </c>
      <c r="G11918" s="6" t="n">
        <f aca="false">Sens!G11942</f>
        <v>25.3461774910598</v>
      </c>
      <c r="H11918" s="6" t="n">
        <f aca="false">Sens!H11942</f>
        <v>27.4715245212655</v>
      </c>
      <c r="I11918" s="6" t="n">
        <f aca="false">Sens!I11942</f>
        <v>29.9070521828323</v>
      </c>
      <c r="J11918" s="6" t="n">
        <f aca="false">Sens!J11942</f>
        <v>32.577688444073</v>
      </c>
      <c r="K11918" s="6" t="n">
        <f aca="false">Sens!K11942</f>
        <v>35.3987885289668</v>
      </c>
    </row>
    <row r="11919" customFormat="false" ht="17.15" hidden="false" customHeight="false" outlineLevel="0" collapsed="false">
      <c r="A11919" s="1" t="s">
        <v>1072</v>
      </c>
      <c r="B11919" s="0" t="s">
        <v>98</v>
      </c>
      <c r="D11919" s="6" t="n">
        <f aca="false">Q!L27</f>
        <v>-4.901</v>
      </c>
      <c r="E11919" s="6" t="n">
        <f aca="false">Q!M27</f>
        <v>10.697</v>
      </c>
      <c r="F11919" s="6" t="n">
        <f aca="false">Q!$I$27+oie_f*(q_per_yr-1)/q_per_yr</f>
        <v>-0.862</v>
      </c>
      <c r="G11919" s="6" t="n">
        <f aca="false">oie_f</f>
        <v>-1.2</v>
      </c>
      <c r="H11919" s="6" t="n">
        <f aca="false">oie_f</f>
        <v>-1.2</v>
      </c>
      <c r="I11919" s="6" t="n">
        <f aca="false">oie_f</f>
        <v>-1.2</v>
      </c>
      <c r="J11919" s="6" t="n">
        <f aca="false">oie_f</f>
        <v>-1.2</v>
      </c>
      <c r="K11919" s="6" t="n">
        <f aca="false">oie_f</f>
        <v>-1.2</v>
      </c>
      <c r="L11919" s="12" t="s">
        <v>1073</v>
      </c>
    </row>
    <row r="11920" customFormat="false" ht="15" hidden="false" customHeight="false" outlineLevel="0" collapsed="false">
      <c r="A11920" s="1" t="s">
        <v>1074</v>
      </c>
      <c r="B11920" s="0" t="s">
        <v>98</v>
      </c>
      <c r="D11920" s="6" t="n">
        <f aca="false">Sens!D11912+Sens!D11919</f>
        <v>123.627</v>
      </c>
      <c r="E11920" s="6" t="n">
        <f aca="false">Sens!E11912+Sens!E11919</f>
        <v>165.934</v>
      </c>
      <c r="F11920" s="6" t="n">
        <f aca="false">Sens!F11912+Sens!F11919</f>
        <v>177.03351332383</v>
      </c>
      <c r="G11920" s="6" t="n">
        <f aca="false">Sens!G11912+Sens!G11919</f>
        <v>179.607742155875</v>
      </c>
      <c r="H11920" s="6" t="n">
        <f aca="false">Sens!H11912+Sens!H11919</f>
        <v>181.67887000384</v>
      </c>
      <c r="I11920" s="6" t="n">
        <f aca="false">Sens!I11912+Sens!I11919</f>
        <v>191.653113398071</v>
      </c>
      <c r="J11920" s="6" t="n">
        <f aca="false">Sens!J11912+Sens!J11919</f>
        <v>203.235005793711</v>
      </c>
      <c r="K11920" s="6" t="n">
        <f aca="false">Sens!K11912+Sens!K11919</f>
        <v>216.271013744736</v>
      </c>
    </row>
    <row r="11921" customFormat="false" ht="15" hidden="false" customHeight="false" outlineLevel="0" collapsed="false">
      <c r="A11921" s="1" t="s">
        <v>1075</v>
      </c>
      <c r="B11921" s="0" t="s">
        <v>98</v>
      </c>
      <c r="D11921" s="6" t="n">
        <f aca="false">Q!L29</f>
        <v>21.795</v>
      </c>
      <c r="E11921" s="6" t="n">
        <f aca="false">Q!M29</f>
        <v>32.185</v>
      </c>
      <c r="F11921" s="6" t="n">
        <f aca="false">Q!$I$29+(Sens!F11920-Q!$I$28)*tax_f</f>
        <v>35.5401026647661</v>
      </c>
      <c r="G11921" s="6" t="n">
        <f aca="false">Sens!G11920*tax_f</f>
        <v>35.921548431175</v>
      </c>
      <c r="H11921" s="6" t="n">
        <f aca="false">Sens!H11920*tax_f</f>
        <v>36.3357740007679</v>
      </c>
      <c r="I11921" s="6" t="n">
        <f aca="false">Sens!I11920*tax_f</f>
        <v>38.3306226796142</v>
      </c>
      <c r="J11921" s="6" t="n">
        <f aca="false">Sens!J11920*tax_f</f>
        <v>40.6470011587422</v>
      </c>
      <c r="K11921" s="6" t="n">
        <f aca="false">Sens!K11920*tax_f</f>
        <v>43.2542027489472</v>
      </c>
    </row>
    <row r="11922" customFormat="false" ht="15" hidden="false" customHeight="false" outlineLevel="0" collapsed="false">
      <c r="A11922" s="1" t="s">
        <v>1076</v>
      </c>
      <c r="B11922" s="0" t="s">
        <v>98</v>
      </c>
      <c r="D11922" s="6" t="n">
        <f aca="false">Sens!D11920-Sens!D11921</f>
        <v>101.832</v>
      </c>
      <c r="E11922" s="6" t="n">
        <f aca="false">Sens!E11920-Sens!E11921</f>
        <v>133.749</v>
      </c>
      <c r="F11922" s="6" t="n">
        <f aca="false">Sens!F11920-Sens!F11921</f>
        <v>141.493410659064</v>
      </c>
      <c r="G11922" s="6" t="n">
        <f aca="false">Sens!G11920-Sens!G11921</f>
        <v>143.6861937247</v>
      </c>
      <c r="H11922" s="6" t="n">
        <f aca="false">Sens!H11920-Sens!H11921</f>
        <v>145.343096003072</v>
      </c>
      <c r="I11922" s="6" t="n">
        <f aca="false">Sens!I11920-Sens!I11921</f>
        <v>153.322490718457</v>
      </c>
      <c r="J11922" s="6" t="n">
        <f aca="false">Sens!J11920-Sens!J11921</f>
        <v>162.588004634969</v>
      </c>
      <c r="K11922" s="6" t="n">
        <f aca="false">Sens!K11920-Sens!K11921</f>
        <v>173.016810995789</v>
      </c>
    </row>
    <row r="11923" customFormat="false" ht="17.15" hidden="false" customHeight="false" outlineLevel="0" collapsed="false">
      <c r="A11923" s="1" t="s">
        <v>1077</v>
      </c>
      <c r="B11923" s="1" t="s">
        <v>81</v>
      </c>
      <c r="D11923" s="15" t="n">
        <f aca="false">Q!L31</f>
        <v>7.465</v>
      </c>
      <c r="E11923" s="15" t="n">
        <f aca="false">Q!M31</f>
        <v>7.453</v>
      </c>
      <c r="F11923" s="15" t="n">
        <f aca="false">Sens!F11967</f>
        <v>7.4735</v>
      </c>
      <c r="G11923" s="15" t="n">
        <f aca="false">Sens!G11967</f>
        <v>7.5185</v>
      </c>
      <c r="H11923" s="15" t="n">
        <f aca="false">Sens!H11967</f>
        <v>7.5635</v>
      </c>
      <c r="I11923" s="15" t="n">
        <f aca="false">Sens!I11967</f>
        <v>7.59248142502667</v>
      </c>
      <c r="J11923" s="15" t="n">
        <f aca="false">Sens!J11967</f>
        <v>7.60663083618914</v>
      </c>
      <c r="K11923" s="15" t="n">
        <f aca="false">Sens!K11967</f>
        <v>7.62306547615439</v>
      </c>
    </row>
    <row r="11924" customFormat="false" ht="17.15" hidden="false" customHeight="false" outlineLevel="0" collapsed="false">
      <c r="A11924" s="0" t="s">
        <v>1078</v>
      </c>
      <c r="B11924" s="0" t="s">
        <v>75</v>
      </c>
      <c r="D11924" s="8" t="n">
        <f aca="false">Sens!D11922/Sens!D11923</f>
        <v>13.641259209645</v>
      </c>
      <c r="E11924" s="8" t="n">
        <f aca="false">Sens!E11922/Sens!E11923</f>
        <v>17.9456594659869</v>
      </c>
      <c r="F11924" s="8" t="n">
        <f aca="false">Sens!F11922/Sens!F11923</f>
        <v>18.9326835698219</v>
      </c>
      <c r="G11924" s="8" t="n">
        <f aca="false">Sens!G11922/Sens!G11923</f>
        <v>19.1110186506218</v>
      </c>
      <c r="H11924" s="8" t="n">
        <f aca="false">Sens!H11922/Sens!H11923</f>
        <v>19.2163807765019</v>
      </c>
      <c r="I11924" s="8" t="n">
        <f aca="false">Sens!I11922/Sens!I11923</f>
        <v>20.1939895714553</v>
      </c>
      <c r="J11924" s="8" t="n">
        <f aca="false">Sens!J11922/Sens!J11923</f>
        <v>21.3745097055905</v>
      </c>
      <c r="K11924" s="8" t="n">
        <f aca="false">Sens!K11922/Sens!K11923</f>
        <v>22.696487592426</v>
      </c>
      <c r="L11924" s="1" t="s">
        <v>1079</v>
      </c>
    </row>
    <row r="11925" customFormat="false" ht="17.15" hidden="false" customHeight="false" outlineLevel="0" collapsed="false">
      <c r="A11925" s="1" t="s">
        <v>1080</v>
      </c>
      <c r="B11925" s="0" t="s">
        <v>98</v>
      </c>
      <c r="D11925" s="6" t="n">
        <f aca="false">Sens!D11922</f>
        <v>101.832</v>
      </c>
      <c r="E11925" s="6" t="n">
        <f aca="false">Sens!E11922</f>
        <v>133.749</v>
      </c>
      <c r="F11925" s="6" t="n">
        <f aca="false">Sens!F11922+Sens!F11915*(1-tax_f)</f>
        <v>149.970433697422</v>
      </c>
      <c r="G11925" s="6" t="n">
        <f aca="false">Sens!G11922+Sens!G11915*(1-tax_f)</f>
        <v>165.961911064645</v>
      </c>
      <c r="H11925" s="6" t="n">
        <f aca="false">Sens!H11922+Sens!H11915*(1-tax_f)</f>
        <v>182.596060404177</v>
      </c>
      <c r="I11925" s="6" t="n">
        <f aca="false">Sens!I11922+Sens!I11915*(1-tax_f)</f>
        <v>203.939912968572</v>
      </c>
      <c r="J11925" s="6" t="n">
        <f aca="false">Sens!J11922+Sens!J11915*(1-tax_f)</f>
        <v>222.512902465529</v>
      </c>
      <c r="K11925" s="6" t="n">
        <f aca="false">Sens!K11922+Sens!K11915*(1-tax_f)</f>
        <v>238.328445970208</v>
      </c>
    </row>
    <row r="11926" customFormat="false" ht="17.15" hidden="false" customHeight="false" outlineLevel="0" collapsed="false">
      <c r="A11926" s="0" t="s">
        <v>1081</v>
      </c>
      <c r="B11926" s="0" t="s">
        <v>75</v>
      </c>
      <c r="D11926" s="8" t="n">
        <f aca="false">Sens!D11925/Sens!D11923</f>
        <v>13.641259209645</v>
      </c>
      <c r="E11926" s="8" t="n">
        <f aca="false">Sens!E11925/Sens!E11923</f>
        <v>17.9456594659869</v>
      </c>
      <c r="F11926" s="8" t="n">
        <f aca="false">Sens!F11925/Sens!F11923</f>
        <v>20.0669610888368</v>
      </c>
      <c r="G11926" s="8" t="n">
        <f aca="false">Sens!G11925/Sens!G11923</f>
        <v>22.0738060869383</v>
      </c>
      <c r="H11926" s="8" t="n">
        <f aca="false">Sens!H11925/Sens!H11923</f>
        <v>24.1417413107923</v>
      </c>
      <c r="I11926" s="8" t="n">
        <f aca="false">Sens!I11925/Sens!I11923</f>
        <v>26.8607720654195</v>
      </c>
      <c r="J11926" s="8" t="n">
        <f aca="false">Sens!J11925/Sens!J11923</f>
        <v>29.2524913141449</v>
      </c>
      <c r="K11926" s="8" t="n">
        <f aca="false">Sens!K11925/Sens!K11923</f>
        <v>31.2641215946156</v>
      </c>
      <c r="L11926" s="1" t="s">
        <v>1082</v>
      </c>
    </row>
    <row r="11927" customFormat="false" ht="17.15" hidden="false" customHeight="false" outlineLevel="0" collapsed="false">
      <c r="A11927" s="0" t="s">
        <v>1083</v>
      </c>
      <c r="B11927" s="0" t="s">
        <v>168</v>
      </c>
      <c r="E11927" s="7" t="n">
        <f aca="false">Sens!E11926/Sens!D11926-1</f>
        <v>0.315542736208578</v>
      </c>
      <c r="F11927" s="7" t="n">
        <f aca="false">Sens!F11926/Sens!E11926-1</f>
        <v>0.118206947305034</v>
      </c>
      <c r="G11927" s="7" t="n">
        <f aca="false">Sens!G11926/Sens!F11926-1</f>
        <v>0.100007419619597</v>
      </c>
      <c r="H11927" s="7" t="n">
        <f aca="false">Sens!H11926/Sens!G11926-1</f>
        <v>0.0936827666107685</v>
      </c>
      <c r="I11927" s="7" t="n">
        <f aca="false">Sens!I11926/Sens!H11926-1</f>
        <v>0.112627781054537</v>
      </c>
      <c r="J11927" s="7" t="n">
        <f aca="false">Sens!J11926/Sens!I11926-1</f>
        <v>0.0890413441170044</v>
      </c>
      <c r="K11927" s="7" t="n">
        <f aca="false">Sens!K11926/Sens!J11926-1</f>
        <v>0.0687678276310795</v>
      </c>
    </row>
    <row r="11928" customFormat="false" ht="17.15" hidden="false" customHeight="false" outlineLevel="0" collapsed="false">
      <c r="A11928" s="0" t="s">
        <v>1003</v>
      </c>
      <c r="B11928" s="0" t="s">
        <v>98</v>
      </c>
      <c r="E11928" s="6" t="n">
        <f aca="false">Sens!E11869</f>
        <v>5.25</v>
      </c>
      <c r="F11928" s="6" t="n">
        <f aca="false">Sens!F11869</f>
        <v>10.5</v>
      </c>
      <c r="G11928" s="6" t="n">
        <f aca="false">Sens!G11869</f>
        <v>13.5</v>
      </c>
      <c r="H11928" s="6" t="n">
        <f aca="false">Sens!H11869</f>
        <v>16.5</v>
      </c>
      <c r="I11928" s="6" t="n">
        <f aca="false">Sens!I11869</f>
        <v>18.75</v>
      </c>
      <c r="J11928" s="6" t="n">
        <f aca="false">Sens!J11869</f>
        <v>20.25</v>
      </c>
      <c r="K11928" s="6" t="n">
        <f aca="false">Sens!K11869</f>
        <v>21.75</v>
      </c>
    </row>
    <row r="11929" customFormat="false" ht="17.15" hidden="false" customHeight="false" outlineLevel="0" collapsed="false">
      <c r="A11929" s="1" t="s">
        <v>1004</v>
      </c>
      <c r="B11929" s="0" t="s">
        <v>98</v>
      </c>
      <c r="F11929" s="6" t="n">
        <f aca="false">MAX(0,((Sens!E11829+Sens!F11829)/2-(shadow_base*(Sens!$D$11829+Sens!$E$11829)/2+(1-shadow_base)*Sens!$E$11829))*Sens!F11838/1000-(Sens!F11928-Sens!$E$11928)*Sens!F11908)</f>
        <v>10.5962787979473</v>
      </c>
      <c r="G11929" s="6" t="n">
        <f aca="false">MAX(0,((Sens!F11829+Sens!G11829)/2-(shadow_base*(Sens!$D$11829+Sens!$E$11829)/2+(1-shadow_base)*Sens!$E$11829))*Sens!G11838/1000-(Sens!G11928-Sens!$E$11928)*Sens!G11908)</f>
        <v>27.844646674932</v>
      </c>
      <c r="H11929" s="6" t="n">
        <f aca="false">MAX(0,((Sens!G11829+Sens!H11829)/2-(shadow_base*(Sens!$D$11829+Sens!$E$11829)/2+(1-shadow_base)*Sens!$E$11829))*Sens!H11838/1000-(Sens!H11928-Sens!$E$11928)*Sens!H11908)</f>
        <v>46.566205501382</v>
      </c>
      <c r="I11929" s="6" t="n">
        <f aca="false">MAX(0,((Sens!H11829+Sens!I11829)/2-(shadow_base*(Sens!$D$11829+Sens!$E$11829)/2+(1-shadow_base)*Sens!$E$11829))*Sens!I11838/1000-(Sens!I11928-Sens!$E$11928)*Sens!I11908)</f>
        <v>63.2717778126444</v>
      </c>
      <c r="J11929" s="6" t="n">
        <f aca="false">MAX(0,((Sens!I11829+Sens!J11829)/2-(shadow_base*(Sens!$D$11829+Sens!$E$11829)/2+(1-shadow_base)*Sens!$E$11829))*Sens!J11838/1000-(Sens!J11928-Sens!$E$11928)*Sens!J11908)</f>
        <v>74.9061222882009</v>
      </c>
      <c r="K11929" s="6" t="n">
        <f aca="false">MAX(0,((Sens!J11829+Sens!K11829)/2-(shadow_base*(Sens!$D$11829+Sens!$E$11829)/2+(1-shadow_base)*Sens!$E$11829))*Sens!K11838/1000-(Sens!K11928-Sens!$E$11928)*Sens!K11908)</f>
        <v>81.6395437180232</v>
      </c>
      <c r="L11929" s="1" t="s">
        <v>1005</v>
      </c>
    </row>
    <row r="11930" customFormat="false" ht="17.15" hidden="false" customHeight="false" outlineLevel="0" collapsed="false">
      <c r="A11930" s="1" t="s">
        <v>1006</v>
      </c>
      <c r="B11930" s="0" t="s">
        <v>98</v>
      </c>
      <c r="F11930" s="6" t="n">
        <f aca="false">IF(internal_ai_reading=2,1,0)*Sens!F11929</f>
        <v>10.5962787979473</v>
      </c>
      <c r="G11930" s="6" t="n">
        <f aca="false">IF(internal_ai_reading=2,1,0)*Sens!G11929</f>
        <v>27.844646674932</v>
      </c>
      <c r="H11930" s="6" t="n">
        <f aca="false">IF(internal_ai_reading=2,1,0)*Sens!H11929</f>
        <v>46.566205501382</v>
      </c>
      <c r="I11930" s="6" t="n">
        <f aca="false">IF(internal_ai_reading=2,1,0)*Sens!I11929</f>
        <v>63.2717778126444</v>
      </c>
      <c r="J11930" s="6" t="n">
        <f aca="false">IF(internal_ai_reading=2,1,0)*Sens!J11929</f>
        <v>74.9061222882009</v>
      </c>
      <c r="K11930" s="6" t="n">
        <f aca="false">IF(internal_ai_reading=2,1,0)*Sens!K11929</f>
        <v>81.6395437180232</v>
      </c>
    </row>
    <row r="11931" customFormat="false" ht="17.15" hidden="false" customHeight="false" outlineLevel="0" collapsed="false">
      <c r="A11931" s="0" t="s">
        <v>1007</v>
      </c>
      <c r="B11931" s="0" t="s">
        <v>98</v>
      </c>
      <c r="F11931" s="6" t="n">
        <f aca="false">Sens!F11848+Sens!F11928*Sens!F11908+Sens!F11930-Sens!F11849-Sens!F11860</f>
        <v>10.3853806853618</v>
      </c>
      <c r="G11931" s="6" t="n">
        <f aca="false">Sens!G11848+Sens!G11928*Sens!G11908+Sens!G11930-Sens!G11849-Sens!G11860</f>
        <v>16.4389313105741</v>
      </c>
      <c r="H11931" s="6" t="n">
        <f aca="false">Sens!H11848+Sens!H11928*Sens!H11908+Sens!H11930-Sens!H11849-Sens!H11860</f>
        <v>17.135416308873</v>
      </c>
      <c r="I11931" s="6" t="n">
        <f aca="false">Sens!I11848+Sens!I11928*Sens!I11908+Sens!I11930-Sens!I11849-Sens!I11860</f>
        <v>24.1293804008657</v>
      </c>
      <c r="J11931" s="6" t="n">
        <f aca="false">Sens!J11848+Sens!J11928*Sens!J11908+Sens!J11930-Sens!J11849-Sens!J11860</f>
        <v>28.8545659869181</v>
      </c>
      <c r="K11931" s="6" t="n">
        <f aca="false">Sens!K11848+Sens!K11928*Sens!K11908+Sens!K11930-Sens!K11849-Sens!K11860</f>
        <v>32.13747485251</v>
      </c>
    </row>
    <row r="11932" customFormat="false" ht="17.15" hidden="false" customHeight="false" outlineLevel="0" collapsed="false">
      <c r="A11932" s="0" t="s">
        <v>1008</v>
      </c>
      <c r="B11932" s="0" t="s">
        <v>98</v>
      </c>
      <c r="E11932" s="6" t="n">
        <f aca="false">Sens!E11828*(cxit_open+self_build*tk_cxfac)/1000*ai_net_open</f>
        <v>126.6980382</v>
      </c>
      <c r="F11932" s="6" t="n">
        <f aca="false">Sens!E11932+Sens!F11857-Sens!F11860</f>
        <v>260.572627763768</v>
      </c>
      <c r="G11932" s="6" t="n">
        <f aca="false">Sens!F11932+Sens!G11857-Sens!G11860</f>
        <v>391.782612760517</v>
      </c>
      <c r="H11932" s="6" t="n">
        <f aca="false">Sens!G11932+Sens!H11857-Sens!H11860</f>
        <v>499.488526163584</v>
      </c>
      <c r="I11932" s="6" t="n">
        <f aca="false">Sens!H11932+Sens!I11857-Sens!I11860</f>
        <v>553.872350090646</v>
      </c>
      <c r="J11932" s="6" t="n">
        <f aca="false">Sens!I11932+Sens!J11857-Sens!J11860</f>
        <v>550.78660823699</v>
      </c>
      <c r="K11932" s="6" t="n">
        <f aca="false">Sens!J11932+Sens!K11857-Sens!K11860</f>
        <v>526.736791750789</v>
      </c>
      <c r="L11932" s="1" t="s">
        <v>1009</v>
      </c>
    </row>
    <row r="11933" customFormat="false" ht="17.15" hidden="false" customHeight="false" outlineLevel="0" collapsed="false">
      <c r="A11933" s="0" t="s">
        <v>1010</v>
      </c>
      <c r="B11933" s="0" t="s">
        <v>168</v>
      </c>
      <c r="F11933" s="7" t="n">
        <f aca="false">Sens!F11931*(1-tax_f)/((Sens!E11932+Sens!F11932)/2)</f>
        <v>0.0429069654816909</v>
      </c>
      <c r="G11933" s="7" t="n">
        <f aca="false">Sens!G11931*(1-tax_f)/((Sens!F11932+Sens!G11932)/2)</f>
        <v>0.0403189680453549</v>
      </c>
      <c r="H11933" s="7" t="n">
        <f aca="false">Sens!H11931*(1-tax_f)/((Sens!G11932+Sens!H11932)/2)</f>
        <v>0.0307613080877867</v>
      </c>
      <c r="I11933" s="7" t="n">
        <f aca="false">Sens!I11931*(1-tax_f)/((Sens!H11932+Sens!I11932)/2)</f>
        <v>0.0366512650238846</v>
      </c>
      <c r="J11933" s="7" t="n">
        <f aca="false">Sens!J11931*(1-tax_f)/((Sens!I11932+Sens!J11932)/2)</f>
        <v>0.0417932659044041</v>
      </c>
      <c r="K11933" s="7" t="n">
        <f aca="false">Sens!K11931*(1-tax_f)/((Sens!J11932+Sens!K11932)/2)</f>
        <v>0.0477205040415821</v>
      </c>
    </row>
    <row r="11934" customFormat="false" ht="17.15" hidden="false" customHeight="false" outlineLevel="0" collapsed="false">
      <c r="A11934" s="1" t="s">
        <v>1011</v>
      </c>
      <c r="B11934" s="0" t="s">
        <v>168</v>
      </c>
      <c r="F11934" s="7" t="n">
        <f aca="false">(Sens!F11931-Sens!F11930)*(1-tax_f)/((Sens!E11932+Sens!F11932)/2)</f>
        <v>-0.000871320783610466</v>
      </c>
      <c r="G11934" s="7" t="n">
        <f aca="false">(Sens!G11931-Sens!G11930)*(1-tax_f)/((Sens!F11932+Sens!G11932)/2)</f>
        <v>-0.0279742438618356</v>
      </c>
      <c r="H11934" s="7" t="n">
        <f aca="false">(Sens!H11931-Sens!H11930)*(1-tax_f)/((Sens!G11932+Sens!H11932)/2)</f>
        <v>-0.0528338242443913</v>
      </c>
      <c r="I11934" s="7" t="n">
        <f aca="false">(Sens!I11931-Sens!I11930)*(1-tax_f)/((Sens!H11932+Sens!I11932)/2)</f>
        <v>-0.059455251538819</v>
      </c>
      <c r="J11934" s="7" t="n">
        <f aca="false">(Sens!J11931-Sens!J11930)*(1-tax_f)/((Sens!I11932+Sens!J11932)/2)</f>
        <v>-0.0667015729394002</v>
      </c>
      <c r="K11934" s="7" t="n">
        <f aca="false">(Sens!K11931-Sens!K11930)*(1-tax_f)/((Sens!J11932+Sens!K11932)/2)</f>
        <v>-0.0735049560740113</v>
      </c>
    </row>
    <row r="11935" customFormat="false" ht="17.15" hidden="false" customHeight="false" outlineLevel="0" collapsed="false">
      <c r="A11935" s="1" t="s">
        <v>1012</v>
      </c>
      <c r="B11935" s="0" t="s">
        <v>168</v>
      </c>
      <c r="F11935" s="7" t="n">
        <f aca="false">(Sens!F11931-Sens!F11930+Sens!F11929)*(1-tax_f)/((Sens!E11932+Sens!F11932)/2)</f>
        <v>0.0429069654816909</v>
      </c>
      <c r="G11935" s="7" t="n">
        <f aca="false">(Sens!G11931-Sens!G11930+Sens!G11929)*(1-tax_f)/((Sens!F11932+Sens!G11932)/2)</f>
        <v>0.0403189680453549</v>
      </c>
      <c r="H11935" s="7" t="n">
        <f aca="false">(Sens!H11931-Sens!H11930+Sens!H11929)*(1-tax_f)/((Sens!G11932+Sens!H11932)/2)</f>
        <v>0.0307613080877867</v>
      </c>
      <c r="I11935" s="7" t="n">
        <f aca="false">(Sens!I11931-Sens!I11930+Sens!I11929)*(1-tax_f)/((Sens!H11932+Sens!I11932)/2)</f>
        <v>0.0366512650238846</v>
      </c>
      <c r="J11935" s="7" t="n">
        <f aca="false">(Sens!J11931-Sens!J11930+Sens!J11929)*(1-tax_f)/((Sens!I11932+Sens!J11932)/2)</f>
        <v>0.0417932659044041</v>
      </c>
      <c r="K11935" s="7" t="n">
        <f aca="false">(Sens!K11931-Sens!K11930+Sens!K11929)*(1-tax_f)/((Sens!J11932+Sens!K11932)/2)</f>
        <v>0.0477205040415821</v>
      </c>
    </row>
    <row r="11936" customFormat="false" ht="17.15" hidden="false" customHeight="false" outlineLevel="0" collapsed="false">
      <c r="A11936" s="1" t="s">
        <v>1013</v>
      </c>
      <c r="B11936" s="0" t="s">
        <v>168</v>
      </c>
      <c r="F11936" s="7" t="n">
        <f aca="false">Sens!F11861*(1-tax_f)/(Sens!F11847*(Sens!E11932+Sens!F11932)/2)</f>
        <v>0.098791430090569</v>
      </c>
      <c r="G11936" s="7" t="n">
        <f aca="false">Sens!G11861*(1-tax_f)/(Sens!G11847*(Sens!F11932+Sens!G11932)/2)</f>
        <v>0.0675308856427828</v>
      </c>
      <c r="H11936" s="7" t="n">
        <f aca="false">Sens!H11861*(1-tax_f)/(Sens!H11847*(Sens!G11932+Sens!H11932)/2)</f>
        <v>0.0388374979528754</v>
      </c>
      <c r="I11936" s="7" t="n">
        <f aca="false">Sens!I11861*(1-tax_f)/(Sens!I11847*(Sens!H11932+Sens!I11932)/2)</f>
        <v>0.0411035671771815</v>
      </c>
      <c r="J11936" s="7" t="n">
        <f aca="false">Sens!J11861*(1-tax_f)/(Sens!J11847*(Sens!I11932+Sens!J11932)/2)</f>
        <v>0.0445222722541192</v>
      </c>
      <c r="K11936" s="7" t="n">
        <f aca="false">Sens!K11861*(1-tax_f)/(Sens!K11847*(Sens!J11932+Sens!K11932)/2)</f>
        <v>0.0498866361688162</v>
      </c>
    </row>
    <row r="11937" customFormat="false" ht="17.15" hidden="false" customHeight="false" outlineLevel="0" collapsed="false">
      <c r="A11937" s="0" t="s">
        <v>1014</v>
      </c>
      <c r="B11937" s="0" t="s">
        <v>253</v>
      </c>
      <c r="F11937" s="7" t="n">
        <f aca="false">Sens!F11933-wacc</f>
        <v>-0.0600296254639064</v>
      </c>
      <c r="G11937" s="7" t="n">
        <f aca="false">Sens!G11933-wacc</f>
        <v>-0.0626176229002424</v>
      </c>
      <c r="H11937" s="7" t="n">
        <f aca="false">Sens!H11933-wacc</f>
        <v>-0.0721752828578106</v>
      </c>
      <c r="I11937" s="7" t="n">
        <f aca="false">Sens!I11933-wacc</f>
        <v>-0.0662853259217127</v>
      </c>
      <c r="J11937" s="7" t="n">
        <f aca="false">Sens!J11933-wacc</f>
        <v>-0.0611433250411932</v>
      </c>
      <c r="K11937" s="7" t="n">
        <f aca="false">Sens!K11933-wacc</f>
        <v>-0.0552160869040152</v>
      </c>
    </row>
    <row r="11938" customFormat="false" ht="17.15" hidden="false" customHeight="false" outlineLevel="0" collapsed="false">
      <c r="A11938" s="0" t="s">
        <v>1015</v>
      </c>
      <c r="B11938" s="0" t="s">
        <v>98</v>
      </c>
      <c r="F11938" s="6" t="n">
        <f aca="false">Sens!F11931*(1-tax_f)-wacc*(Sens!E11932+Sens!F11932)/2</f>
        <v>-11.6238565154813</v>
      </c>
      <c r="G11938" s="6" t="n">
        <f aca="false">Sens!G11931*(1-tax_f)-wacc*(Sens!F11932+Sens!G11932)/2</f>
        <v>-20.4244672240733</v>
      </c>
      <c r="H11938" s="6" t="n">
        <f aca="false">Sens!H11931*(1-tax_f)-wacc*(Sens!G11932+Sens!H11932)/2</f>
        <v>-32.163873277425</v>
      </c>
      <c r="I11938" s="6" t="n">
        <f aca="false">Sens!I11931*(1-tax_f)-wacc*(Sens!H11932+Sens!I11932)/2</f>
        <v>-34.9111844978462</v>
      </c>
      <c r="J11938" s="6" t="n">
        <f aca="false">Sens!J11931*(1-tax_f)-wacc*(Sens!I11932+Sens!J11932)/2</f>
        <v>-33.7712608743463</v>
      </c>
      <c r="K11938" s="6" t="n">
        <f aca="false">Sens!K11931*(1-tax_f)-wacc*(Sens!J11932+Sens!K11932)/2</f>
        <v>-29.7483128474176</v>
      </c>
    </row>
    <row r="11939" customFormat="false" ht="17.15" hidden="false" customHeight="false" outlineLevel="0" collapsed="false">
      <c r="A11939" s="3" t="s">
        <v>1778</v>
      </c>
    </row>
    <row r="11940" customFormat="false" ht="15" hidden="false" customHeight="false" outlineLevel="0" collapsed="false">
      <c r="A11940" s="4" t="s">
        <v>43</v>
      </c>
      <c r="B11940" s="4" t="s">
        <v>65</v>
      </c>
      <c r="C11940" s="23" t="s">
        <v>938</v>
      </c>
      <c r="D11940" s="23" t="s">
        <v>939</v>
      </c>
      <c r="E11940" s="23" t="s">
        <v>940</v>
      </c>
      <c r="F11940" s="23" t="s">
        <v>941</v>
      </c>
      <c r="G11940" s="23" t="s">
        <v>942</v>
      </c>
      <c r="H11940" s="23" t="s">
        <v>943</v>
      </c>
      <c r="I11940" s="23" t="s">
        <v>944</v>
      </c>
      <c r="J11940" s="23" t="s">
        <v>945</v>
      </c>
      <c r="K11940" s="23" t="s">
        <v>946</v>
      </c>
      <c r="L11940" s="4" t="s">
        <v>47</v>
      </c>
    </row>
    <row r="11941" customFormat="false" ht="15" hidden="false" customHeight="false" outlineLevel="0" collapsed="false">
      <c r="A11941" s="1" t="s">
        <v>1076</v>
      </c>
      <c r="B11941" s="0" t="s">
        <v>98</v>
      </c>
      <c r="F11941" s="6" t="n">
        <f aca="false">Sens!F11922</f>
        <v>141.493410659064</v>
      </c>
      <c r="G11941" s="6" t="n">
        <f aca="false">Sens!G11922</f>
        <v>143.6861937247</v>
      </c>
      <c r="H11941" s="6" t="n">
        <f aca="false">Sens!H11922</f>
        <v>145.343096003072</v>
      </c>
      <c r="I11941" s="6" t="n">
        <f aca="false">Sens!I11922</f>
        <v>153.322490718457</v>
      </c>
      <c r="J11941" s="6" t="n">
        <f aca="false">Sens!J11922</f>
        <v>162.588004634969</v>
      </c>
      <c r="K11941" s="6" t="n">
        <f aca="false">Sens!K11922</f>
        <v>173.016810995789</v>
      </c>
    </row>
    <row r="11942" customFormat="false" ht="17.15" hidden="false" customHeight="false" outlineLevel="0" collapsed="false">
      <c r="A11942" s="1" t="s">
        <v>1098</v>
      </c>
      <c r="B11942" s="0" t="s">
        <v>98</v>
      </c>
      <c r="E11942" s="6" t="n">
        <f aca="false">Q!M38-Sens!E11860</f>
        <v>22.2285940229167</v>
      </c>
      <c r="F11942" s="6" t="n">
        <f aca="false">Sens!E11942*(1-1/life_nonai)+(Sens!F11950+Sens!F11951)/life_nonai</f>
        <v>23.5880148879552</v>
      </c>
      <c r="G11942" s="6" t="n">
        <f aca="false">Sens!F11942*(1-1/life_nonai)+(Sens!G11950)/life_nonai</f>
        <v>25.3461774910598</v>
      </c>
      <c r="H11942" s="6" t="n">
        <f aca="false">Sens!G11942*(1-1/life_nonai)+(Sens!H11950)/life_nonai</f>
        <v>27.4715245212655</v>
      </c>
      <c r="I11942" s="6" t="n">
        <f aca="false">Sens!H11942*(1-1/life_nonai)+(Sens!I11950)/life_nonai</f>
        <v>29.9070521828323</v>
      </c>
      <c r="J11942" s="6" t="n">
        <f aca="false">Sens!I11942*(1-1/life_nonai)+(Sens!J11950)/life_nonai</f>
        <v>32.577688444073</v>
      </c>
      <c r="K11942" s="6" t="n">
        <f aca="false">Sens!J11942*(1-1/life_nonai)+(Sens!K11950)/life_nonai</f>
        <v>35.3987885289668</v>
      </c>
      <c r="L11942" s="12" t="s">
        <v>1099</v>
      </c>
    </row>
    <row r="11943" customFormat="false" ht="17.15" hidden="false" customHeight="false" outlineLevel="0" collapsed="false">
      <c r="A11943" s="1" t="s">
        <v>1100</v>
      </c>
      <c r="B11943" s="0" t="s">
        <v>98</v>
      </c>
      <c r="F11943" s="6" t="n">
        <f aca="false">Sens!$F$11951/life_nonai*(1-1/life_nonai)^(Sens!F11823-2027)</f>
        <v>0</v>
      </c>
      <c r="G11943" s="6" t="n">
        <f aca="false">Sens!$F$11951/life_nonai*(1-1/life_nonai)^(Sens!G11823-2027)</f>
        <v>0</v>
      </c>
      <c r="H11943" s="6" t="n">
        <f aca="false">Sens!$F$11951/life_nonai*(1-1/life_nonai)^(Sens!H11823-2027)</f>
        <v>0</v>
      </c>
      <c r="I11943" s="6" t="n">
        <f aca="false">Sens!$F$11951/life_nonai*(1-1/life_nonai)^(Sens!I11823-2027)</f>
        <v>0</v>
      </c>
      <c r="J11943" s="6" t="n">
        <f aca="false">Sens!$F$11951/life_nonai*(1-1/life_nonai)^(Sens!J11823-2027)</f>
        <v>0</v>
      </c>
      <c r="K11943" s="6" t="n">
        <f aca="false">Sens!$F$11951/life_nonai*(1-1/life_nonai)^(Sens!K11823-2027)</f>
        <v>0</v>
      </c>
      <c r="L11943" s="1" t="s">
        <v>1101</v>
      </c>
    </row>
    <row r="11944" customFormat="false" ht="17.15" hidden="false" customHeight="false" outlineLevel="0" collapsed="false">
      <c r="A11944" s="1" t="s">
        <v>1102</v>
      </c>
      <c r="B11944" s="0" t="s">
        <v>98</v>
      </c>
      <c r="E11944" s="6" t="n">
        <f aca="false">Sens!E11860+Sens!E11942</f>
        <v>38.534</v>
      </c>
      <c r="F11944" s="6" t="n">
        <f aca="false">Sens!F11860+Sens!F11942</f>
        <v>58.1673293663068</v>
      </c>
      <c r="G11944" s="6" t="n">
        <f aca="false">Sens!G11860+Sens!G11942</f>
        <v>86.0806681433588</v>
      </c>
      <c r="H11944" s="6" t="n">
        <f aca="false">Sens!H11860+Sens!H11942</f>
        <v>116.571615182711</v>
      </c>
      <c r="I11944" s="6" t="n">
        <f aca="false">Sens!I11860+Sens!I11942</f>
        <v>144.138061877381</v>
      </c>
      <c r="J11944" s="6" t="n">
        <f aca="false">Sens!J11860+Sens!J11942</f>
        <v>164.593361493669</v>
      </c>
      <c r="K11944" s="6" t="n">
        <f aca="false">Sens!K11860+Sens!K11942</f>
        <v>178.411458079901</v>
      </c>
    </row>
    <row r="11945" customFormat="false" ht="17.15" hidden="false" customHeight="false" outlineLevel="0" collapsed="false">
      <c r="A11945" s="1" t="s">
        <v>1103</v>
      </c>
      <c r="B11945" s="0" t="s">
        <v>98</v>
      </c>
      <c r="F11945" s="6" t="n">
        <f aca="false">Sens!F11887*sbc_r</f>
        <v>14.7414209935207</v>
      </c>
      <c r="G11945" s="6" t="n">
        <f aca="false">Sens!G11887*sbc_r</f>
        <v>17.1418989283664</v>
      </c>
      <c r="H11945" s="6" t="n">
        <f aca="false">Sens!H11887*sbc_r</f>
        <v>19.3827945887179</v>
      </c>
      <c r="I11945" s="6" t="n">
        <f aca="false">Sens!I11887*sbc_r</f>
        <v>21.7188062116271</v>
      </c>
      <c r="J11945" s="6" t="n">
        <f aca="false">Sens!J11887*sbc_r</f>
        <v>23.6732645314426</v>
      </c>
      <c r="K11945" s="6" t="n">
        <f aca="false">Sens!K11887*sbc_r</f>
        <v>25.2592732651909</v>
      </c>
    </row>
    <row r="11946" customFormat="false" ht="17.15" hidden="false" customHeight="false" outlineLevel="0" collapsed="false">
      <c r="A11946" s="1" t="s">
        <v>1104</v>
      </c>
      <c r="B11946" s="0" t="s">
        <v>98</v>
      </c>
      <c r="F11946" s="6" t="n">
        <f aca="false">wc27-wc26q1</f>
        <v>-4.677</v>
      </c>
      <c r="G11946" s="6" t="n">
        <f aca="false">wc_f</f>
        <v>0</v>
      </c>
      <c r="H11946" s="6" t="n">
        <f aca="false">wc_f</f>
        <v>0</v>
      </c>
      <c r="I11946" s="6" t="n">
        <f aca="false">wc_f</f>
        <v>0</v>
      </c>
      <c r="J11946" s="6" t="n">
        <f aca="false">wc_f</f>
        <v>0</v>
      </c>
      <c r="K11946" s="6" t="n">
        <f aca="false">wc_f</f>
        <v>0</v>
      </c>
      <c r="L11946" s="12" t="s">
        <v>1105</v>
      </c>
    </row>
    <row r="11947" customFormat="false" ht="17.15" hidden="false" customHeight="false" outlineLevel="0" collapsed="false">
      <c r="A11947" s="0" t="s">
        <v>1106</v>
      </c>
      <c r="B11947" s="0" t="s">
        <v>98</v>
      </c>
      <c r="F11947" s="6" t="n">
        <f aca="false">Q!$I$35-Q!$I$26-Q!$I$38-Q!$I$39</f>
        <v>6.493</v>
      </c>
      <c r="L11947" s="1" t="s">
        <v>1107</v>
      </c>
    </row>
    <row r="11948" customFormat="false" ht="15" hidden="false" customHeight="false" outlineLevel="0" collapsed="false">
      <c r="A11948" s="1" t="s">
        <v>904</v>
      </c>
      <c r="B11948" s="0" t="s">
        <v>98</v>
      </c>
      <c r="E11948" s="6" t="n">
        <f aca="false">Q!M35</f>
        <v>182.935</v>
      </c>
      <c r="F11948" s="6" t="n">
        <f aca="false">Sens!F11941+Sens!F11944+Sens!F11945+Sens!F11946+Sens!F11947</f>
        <v>216.218161018892</v>
      </c>
      <c r="G11948" s="6" t="n">
        <f aca="false">Sens!G11941+Sens!G11944+Sens!G11945+Sens!G11946</f>
        <v>246.908760796425</v>
      </c>
      <c r="H11948" s="6" t="n">
        <f aca="false">Sens!H11941+Sens!H11944+Sens!H11945+Sens!H11946</f>
        <v>281.297505774501</v>
      </c>
      <c r="I11948" s="6" t="n">
        <f aca="false">Sens!I11941+Sens!I11944+Sens!I11945+Sens!I11946</f>
        <v>319.179358807465</v>
      </c>
      <c r="J11948" s="6" t="n">
        <f aca="false">Sens!J11941+Sens!J11944+Sens!J11945+Sens!J11946</f>
        <v>350.85463066008</v>
      </c>
      <c r="K11948" s="6" t="n">
        <f aca="false">Sens!K11941+Sens!K11944+Sens!K11945+Sens!K11946</f>
        <v>376.687542340881</v>
      </c>
    </row>
    <row r="11949" customFormat="false" ht="17.15" hidden="false" customHeight="false" outlineLevel="0" collapsed="false">
      <c r="A11949" s="0" t="s">
        <v>1108</v>
      </c>
      <c r="B11949" s="0" t="s">
        <v>98</v>
      </c>
      <c r="F11949" s="6" t="n">
        <f aca="false">Sens!F11857</f>
        <v>168.45390404212</v>
      </c>
      <c r="G11949" s="6" t="n">
        <f aca="false">Sens!G11857</f>
        <v>191.944475649048</v>
      </c>
      <c r="H11949" s="6" t="n">
        <f aca="false">Sens!H11857</f>
        <v>196.806004064512</v>
      </c>
      <c r="I11949" s="6" t="n">
        <f aca="false">Sens!I11857</f>
        <v>168.61483362161</v>
      </c>
      <c r="J11949" s="6" t="n">
        <f aca="false">Sens!J11857</f>
        <v>128.92993119594</v>
      </c>
      <c r="K11949" s="6" t="n">
        <f aca="false">Sens!K11857</f>
        <v>118.962853064733</v>
      </c>
    </row>
    <row r="11950" customFormat="false" ht="17.15" hidden="false" customHeight="false" outlineLevel="0" collapsed="false">
      <c r="A11950" s="1" t="s">
        <v>1109</v>
      </c>
      <c r="B11950" s="0" t="s">
        <v>98</v>
      </c>
      <c r="E11950" s="6" t="n">
        <f aca="false">Sens!E11865*cx_azo+Sens!E11872*cx_m365+Sens!E11873*cx_lic+(Sens!E11875+Sens!E11877)*cx_ind+Sens!E11880*cx_srch+(Sens!E11882+Sens!E11884)*cx_dev</f>
        <v>30.1846587067718</v>
      </c>
      <c r="F11950" s="6" t="n">
        <f aca="false">Sens!F11865*cx_azo+Sens!F11872*cx_m365+Sens!F11873*cx_lic+(Sens!F11875+Sens!F11877)*cx_ind+Sens!F11880*cx_srch+(Sens!F11882+Sens!F11884)*cx_dev</f>
        <v>35.822802673302</v>
      </c>
      <c r="G11950" s="6" t="n">
        <f aca="false">Sens!G11865*cx_azo+Sens!G11872*cx_m365+Sens!G11873*cx_lic+(Sens!G11875+Sens!G11877)*cx_ind+Sens!G11880*cx_srch+(Sens!G11882+Sens!G11884)*cx_dev</f>
        <v>41.1696409190015</v>
      </c>
      <c r="H11950" s="6" t="n">
        <f aca="false">Sens!H11865*cx_azo+Sens!H11872*cx_m365+Sens!H11873*cx_lic+(Sens!H11875+Sens!H11877)*cx_ind+Sens!H11880*cx_srch+(Sens!H11882+Sens!H11884)*cx_dev</f>
        <v>46.5996477931161</v>
      </c>
      <c r="I11950" s="6" t="n">
        <f aca="false">Sens!I11865*cx_azo+Sens!I11872*cx_m365+Sens!I11873*cx_lic+(Sens!I11875+Sens!I11877)*cx_ind+Sens!I11880*cx_srch+(Sens!I11882+Sens!I11884)*cx_dev</f>
        <v>51.826801136934</v>
      </c>
      <c r="J11950" s="6" t="n">
        <f aca="false">Sens!J11865*cx_azo+Sens!J11872*cx_m365+Sens!J11873*cx_lic+(Sens!J11875+Sens!J11877)*cx_ind+Sens!J11880*cx_srch+(Sens!J11882+Sens!J11884)*cx_dev</f>
        <v>56.6134147952396</v>
      </c>
      <c r="K11950" s="6" t="n">
        <f aca="false">Sens!K11865*cx_azo+Sens!K11872*cx_m365+Sens!K11873*cx_lic+(Sens!K11875+Sens!K11877)*cx_ind+Sens!K11880*cx_srch+(Sens!K11882+Sens!K11884)*cx_dev</f>
        <v>60.7886892930109</v>
      </c>
    </row>
    <row r="11951" customFormat="false" ht="17.15" hidden="false" customHeight="false" outlineLevel="0" collapsed="false">
      <c r="A11951" s="0" t="s">
        <v>1110</v>
      </c>
      <c r="B11951" s="0" t="s">
        <v>98</v>
      </c>
      <c r="F11951" s="6" t="n">
        <f aca="false">Sens!F11855</f>
        <v>0</v>
      </c>
      <c r="L11951" s="1" t="s">
        <v>1111</v>
      </c>
    </row>
    <row r="11952" customFormat="false" ht="17.15" hidden="false" customHeight="false" outlineLevel="0" collapsed="false">
      <c r="A11952" s="1" t="s">
        <v>1112</v>
      </c>
      <c r="B11952" s="0" t="s">
        <v>98</v>
      </c>
      <c r="E11952" s="6" t="n">
        <f aca="false">Q!M43</f>
        <v>145.3</v>
      </c>
      <c r="F11952" s="6" t="n">
        <f aca="false">Sens!F11949+Sens!F11950+Sens!F11951</f>
        <v>204.276706715422</v>
      </c>
      <c r="G11952" s="6" t="n">
        <f aca="false">Sens!G11949+Sens!G11950</f>
        <v>233.11411656805</v>
      </c>
      <c r="H11952" s="6" t="n">
        <f aca="false">Sens!H11949+Sens!H11950</f>
        <v>243.405651857628</v>
      </c>
      <c r="I11952" s="6" t="n">
        <f aca="false">Sens!I11949+Sens!I11950</f>
        <v>220.441634758544</v>
      </c>
      <c r="J11952" s="6" t="n">
        <f aca="false">Sens!J11949+Sens!J11950</f>
        <v>185.54334599118</v>
      </c>
      <c r="K11952" s="6" t="n">
        <f aca="false">Sens!K11949+Sens!K11950</f>
        <v>179.751542357744</v>
      </c>
      <c r="L11952" s="1" t="s">
        <v>1113</v>
      </c>
    </row>
    <row r="11953" customFormat="false" ht="15" hidden="false" customHeight="false" outlineLevel="0" collapsed="false">
      <c r="A11953" s="1" t="s">
        <v>1114</v>
      </c>
      <c r="B11953" s="0" t="s">
        <v>98</v>
      </c>
      <c r="E11953" s="6" t="n">
        <f aca="false">fl_liab</f>
        <v>66.594</v>
      </c>
      <c r="F11953" s="6" t="n">
        <f aca="false">Sens!E11953-Sens!F11954</f>
        <v>62.46973</v>
      </c>
      <c r="G11953" s="6" t="n">
        <f aca="false">Sens!F11953-Sens!G11954</f>
        <v>57.98686785</v>
      </c>
      <c r="H11953" s="6" t="n">
        <f aca="false">Sens!G11953-Sens!H11954</f>
        <v>53.92827690325</v>
      </c>
      <c r="I11953" s="6" t="n">
        <f aca="false">Sens!H11953-Sens!I11954</f>
        <v>49.7850493638962</v>
      </c>
      <c r="J11953" s="6" t="n">
        <f aca="false">Sens!I11953-Sens!J11954</f>
        <v>45.4823765852716</v>
      </c>
      <c r="K11953" s="6" t="n">
        <f aca="false">Sens!J11953-Sens!K11954</f>
        <v>40.9860835316088</v>
      </c>
    </row>
    <row r="11954" customFormat="false" ht="15" hidden="false" customHeight="false" outlineLevel="0" collapsed="false">
      <c r="A11954" s="1" t="s">
        <v>1115</v>
      </c>
      <c r="B11954" s="0" t="s">
        <v>98</v>
      </c>
      <c r="F11954" s="6" t="n">
        <f aca="false">fl_pay_27-Sens!E11953*fl_rate</f>
        <v>4.12427</v>
      </c>
      <c r="G11954" s="6" t="n">
        <f aca="false">fl_pay_28-Sens!F11953*fl_rate</f>
        <v>4.48286215</v>
      </c>
      <c r="H11954" s="6" t="n">
        <f aca="false">fl_pay_29-Sens!G11953*fl_rate</f>
        <v>4.05859094675</v>
      </c>
      <c r="I11954" s="6" t="n">
        <f aca="false">fl_pay_30-Sens!H11953*fl_rate</f>
        <v>4.14322753935375</v>
      </c>
      <c r="J11954" s="6" t="n">
        <f aca="false">fl_pay_31-Sens!I11953*fl_rate</f>
        <v>4.30267277862467</v>
      </c>
      <c r="K11954" s="6" t="n">
        <f aca="false">fl_pay_32-Sens!J11953*fl_rate</f>
        <v>4.49629305366278</v>
      </c>
    </row>
    <row r="11955" customFormat="false" ht="17.15" hidden="false" customHeight="false" outlineLevel="0" collapsed="false">
      <c r="A11955" s="1" t="s">
        <v>1116</v>
      </c>
      <c r="B11955" s="0" t="s">
        <v>98</v>
      </c>
      <c r="E11955" s="6" t="n">
        <f aca="false">Q!M35-Q!M36-Q!M44</f>
        <v>63.886</v>
      </c>
      <c r="F11955" s="6" t="n">
        <f aca="false">Sens!F11948-Sens!F11952-Sens!F11954</f>
        <v>7.81718430347029</v>
      </c>
      <c r="G11955" s="6" t="n">
        <f aca="false">Sens!G11948-Sens!G11952-Sens!G11954</f>
        <v>9.31178207837526</v>
      </c>
      <c r="H11955" s="6" t="n">
        <f aca="false">Sens!H11948-Sens!H11952-Sens!H11954</f>
        <v>33.8332629701224</v>
      </c>
      <c r="I11955" s="6" t="n">
        <f aca="false">Sens!I11948-Sens!I11952-Sens!I11954</f>
        <v>94.5944965095665</v>
      </c>
      <c r="J11955" s="6" t="n">
        <f aca="false">Sens!J11948-Sens!J11952-Sens!J11954</f>
        <v>161.008611890276</v>
      </c>
      <c r="K11955" s="6" t="n">
        <f aca="false">Sens!K11948-Sens!K11952-Sens!K11954</f>
        <v>192.439706929474</v>
      </c>
      <c r="L11955" s="12" t="s">
        <v>1117</v>
      </c>
    </row>
    <row r="11956" customFormat="false" ht="15" hidden="false" customHeight="false" outlineLevel="0" collapsed="false">
      <c r="A11956" s="1" t="s">
        <v>1118</v>
      </c>
      <c r="B11956" s="0" t="s">
        <v>75</v>
      </c>
      <c r="F11956" s="8" t="n">
        <f aca="false">dps_27</f>
        <v>3.85</v>
      </c>
      <c r="G11956" s="8" t="n">
        <f aca="false">Sens!F11956*(1+dps_g)</f>
        <v>4.158</v>
      </c>
      <c r="H11956" s="8" t="n">
        <f aca="false">Sens!G11956*(1+dps_g)</f>
        <v>4.49064</v>
      </c>
      <c r="I11956" s="8" t="n">
        <f aca="false">Sens!H11956*(1+dps_g)</f>
        <v>4.8498912</v>
      </c>
      <c r="J11956" s="8" t="n">
        <f aca="false">Sens!I11956*(1+dps_g)</f>
        <v>5.237882496</v>
      </c>
      <c r="K11956" s="8" t="n">
        <f aca="false">Sens!J11956*(1+dps_g)</f>
        <v>5.65691309568</v>
      </c>
    </row>
    <row r="11957" customFormat="false" ht="17.15" hidden="false" customHeight="false" outlineLevel="0" collapsed="false">
      <c r="A11957" s="1" t="s">
        <v>1119</v>
      </c>
      <c r="B11957" s="0" t="s">
        <v>98</v>
      </c>
      <c r="E11957" s="6" t="n">
        <f aca="false">Q!M41</f>
        <v>26.445</v>
      </c>
      <c r="F11957" s="6" t="n">
        <f aca="false">Sens!F11956*Sens!E11966</f>
        <v>28.59395</v>
      </c>
      <c r="G11957" s="6" t="n">
        <f aca="false">Sens!G11956*Sens!F11966</f>
        <v>31.068576</v>
      </c>
      <c r="H11957" s="6" t="n">
        <f aca="false">Sens!H11956*Sens!G11966</f>
        <v>33.75614088</v>
      </c>
      <c r="I11957" s="6" t="n">
        <f aca="false">Sens!I11956*Sens!H11966</f>
        <v>36.6748772544</v>
      </c>
      <c r="J11957" s="6" t="n">
        <f aca="false">Sens!J11956*Sens!I11966</f>
        <v>39.6767653201446</v>
      </c>
      <c r="K11957" s="6" t="n">
        <f aca="false">Sens!K11956*Sens!J11966</f>
        <v>42.9376608081345</v>
      </c>
      <c r="L11957" s="1" t="s">
        <v>1120</v>
      </c>
    </row>
    <row r="11958" customFormat="false" ht="15" hidden="false" customHeight="false" outlineLevel="0" collapsed="false">
      <c r="A11958" s="1" t="s">
        <v>1121</v>
      </c>
      <c r="B11958" s="0" t="s">
        <v>98</v>
      </c>
      <c r="E11958" s="6" t="n">
        <f aca="false">Sens!E11955-Sens!E11957</f>
        <v>37.441</v>
      </c>
      <c r="F11958" s="6" t="n">
        <f aca="false">Sens!F11955-Sens!F11957</f>
        <v>-20.7767656965297</v>
      </c>
      <c r="G11958" s="6" t="n">
        <f aca="false">Sens!G11955-Sens!G11957</f>
        <v>-21.7567939216247</v>
      </c>
      <c r="H11958" s="6" t="n">
        <f aca="false">Sens!H11955-Sens!H11957</f>
        <v>0.0771220901224012</v>
      </c>
      <c r="I11958" s="6" t="n">
        <f aca="false">Sens!I11955-Sens!I11957</f>
        <v>57.9196192551665</v>
      </c>
      <c r="J11958" s="6" t="n">
        <f aca="false">Sens!J11955-Sens!J11957</f>
        <v>121.331846570131</v>
      </c>
      <c r="K11958" s="6" t="n">
        <f aca="false">Sens!K11955-Sens!K11957</f>
        <v>149.50204612134</v>
      </c>
    </row>
    <row r="11959" customFormat="false" ht="15" hidden="false" customHeight="false" outlineLevel="0" collapsed="false">
      <c r="A11959" s="1" t="s">
        <v>1122</v>
      </c>
      <c r="B11959" s="0" t="s">
        <v>98</v>
      </c>
      <c r="F11959" s="6" t="n">
        <f aca="false">debt_mat_27</f>
        <v>9.25</v>
      </c>
      <c r="G11959" s="6" t="n">
        <f aca="false">debt_mat_28</f>
        <v>0</v>
      </c>
      <c r="H11959" s="6" t="n">
        <f aca="false">debt_mat_29</f>
        <v>2.001</v>
      </c>
      <c r="I11959" s="6" t="n">
        <f aca="false">debt_mat_30</f>
        <v>0</v>
      </c>
      <c r="J11959" s="6" t="n">
        <f aca="false">debt_mat_31</f>
        <v>0.5</v>
      </c>
      <c r="K11959" s="6" t="n">
        <f aca="false">debt_mat_32</f>
        <v>0</v>
      </c>
    </row>
    <row r="11960" customFormat="false" ht="15" hidden="false" customHeight="false" outlineLevel="0" collapsed="false">
      <c r="A11960" s="1" t="s">
        <v>1123</v>
      </c>
      <c r="B11960" s="0" t="s">
        <v>98</v>
      </c>
      <c r="E11960" s="6" t="n">
        <f aca="false">Q!M40</f>
        <v>22.271</v>
      </c>
      <c r="F11960" s="6" t="n">
        <f aca="false">MAX(0,MIN(bb_target,Sens!E11962+Sens!F11958-Sens!F11959-min_cash))</f>
        <v>0</v>
      </c>
      <c r="G11960" s="6" t="n">
        <f aca="false">MAX(0,MIN(bb_target,Sens!F11962+Sens!G11958-Sens!G11959-min_cash))</f>
        <v>0</v>
      </c>
      <c r="H11960" s="6" t="n">
        <f aca="false">MAX(0,MIN(bb_target,Sens!G11962+Sens!H11958-Sens!H11959-min_cash))</f>
        <v>0</v>
      </c>
      <c r="I11960" s="6" t="n">
        <f aca="false">MAX(0,MIN(bb_target,Sens!H11962+Sens!I11958-Sens!I11959-min_cash))</f>
        <v>22.271</v>
      </c>
      <c r="J11960" s="6" t="n">
        <f aca="false">MAX(0,MIN(bb_target,Sens!I11962+Sens!J11958-Sens!J11959-min_cash))</f>
        <v>22.271</v>
      </c>
      <c r="K11960" s="6" t="n">
        <f aca="false">MAX(0,MIN(bb_target,Sens!J11962+Sens!K11958-Sens!K11959-min_cash))</f>
        <v>22.271</v>
      </c>
    </row>
    <row r="11961" customFormat="false" ht="15" hidden="false" customHeight="false" outlineLevel="0" collapsed="false">
      <c r="A11961" s="1" t="s">
        <v>1124</v>
      </c>
      <c r="B11961" s="0" t="s">
        <v>98</v>
      </c>
      <c r="F11961" s="6" t="n">
        <f aca="false">MAX(0,min_cash-(Sens!E11962+Sens!F11958-Sens!F11959-Sens!F11960))</f>
        <v>3.1837656965297</v>
      </c>
      <c r="G11961" s="6" t="n">
        <f aca="false">MAX(0,min_cash-(Sens!F11962+Sens!G11958-Sens!G11959-Sens!G11960))</f>
        <v>21.7567939216247</v>
      </c>
      <c r="H11961" s="6" t="n">
        <f aca="false">MAX(0,min_cash-(Sens!G11962+Sens!H11958-Sens!H11959-Sens!H11960))</f>
        <v>1.9238779098776</v>
      </c>
      <c r="I11961" s="6" t="n">
        <f aca="false">MAX(0,min_cash-(Sens!H11962+Sens!I11958-Sens!I11959-Sens!I11960))</f>
        <v>0</v>
      </c>
      <c r="J11961" s="6" t="n">
        <f aca="false">MAX(0,min_cash-(Sens!I11962+Sens!J11958-Sens!J11959-Sens!J11960))</f>
        <v>0</v>
      </c>
      <c r="K11961" s="6" t="n">
        <f aca="false">MAX(0,min_cash-(Sens!J11962+Sens!K11958-Sens!K11959-Sens!K11960))</f>
        <v>0</v>
      </c>
    </row>
    <row r="11962" customFormat="false" ht="15" hidden="false" customHeight="false" outlineLevel="0" collapsed="false">
      <c r="A11962" s="1" t="s">
        <v>1125</v>
      </c>
      <c r="B11962" s="0" t="s">
        <v>98</v>
      </c>
      <c r="E11962" s="6" t="n">
        <f aca="false">cash_open</f>
        <v>76.843</v>
      </c>
      <c r="F11962" s="6" t="n">
        <f aca="false">Sens!E11962+Sens!F11958-Sens!F11959-Sens!F11960+Sens!F11961</f>
        <v>50</v>
      </c>
      <c r="G11962" s="6" t="n">
        <f aca="false">Sens!F11962+Sens!G11958-Sens!G11959-Sens!G11960+Sens!G11961</f>
        <v>50</v>
      </c>
      <c r="H11962" s="6" t="n">
        <f aca="false">Sens!G11962+Sens!H11958-Sens!H11959-Sens!H11960+Sens!H11961</f>
        <v>50</v>
      </c>
      <c r="I11962" s="6" t="n">
        <f aca="false">Sens!H11962+Sens!I11958-Sens!I11959-Sens!I11960+Sens!I11961</f>
        <v>85.6486192551665</v>
      </c>
      <c r="J11962" s="6" t="n">
        <f aca="false">Sens!I11962+Sens!J11958-Sens!J11959-Sens!J11960+Sens!J11961</f>
        <v>184.209465825298</v>
      </c>
      <c r="K11962" s="6" t="n">
        <f aca="false">Sens!J11962+Sens!K11958-Sens!K11959-Sens!K11960+Sens!K11961</f>
        <v>311.440511946638</v>
      </c>
    </row>
    <row r="11963" customFormat="false" ht="15" hidden="false" customHeight="false" outlineLevel="0" collapsed="false">
      <c r="A11963" s="1" t="s">
        <v>1126</v>
      </c>
      <c r="B11963" s="0" t="s">
        <v>98</v>
      </c>
      <c r="E11963" s="6" t="n">
        <f aca="false">debt_face</f>
        <v>46.136</v>
      </c>
      <c r="F11963" s="6" t="n">
        <f aca="false">Sens!E11963-Sens!F11959+Sens!F11961</f>
        <v>40.0697656965297</v>
      </c>
      <c r="G11963" s="6" t="n">
        <f aca="false">Sens!F11963-Sens!G11959+Sens!G11961</f>
        <v>61.8265596181545</v>
      </c>
      <c r="H11963" s="6" t="n">
        <f aca="false">Sens!G11963-Sens!H11959+Sens!H11961</f>
        <v>61.7494375280321</v>
      </c>
      <c r="I11963" s="6" t="n">
        <f aca="false">Sens!H11963-Sens!I11959+Sens!I11961</f>
        <v>61.7494375280321</v>
      </c>
      <c r="J11963" s="6" t="n">
        <f aca="false">Sens!I11963-Sens!J11959+Sens!J11961</f>
        <v>61.2494375280321</v>
      </c>
      <c r="K11963" s="6" t="n">
        <f aca="false">Sens!J11963-Sens!K11959+Sens!K11961</f>
        <v>61.2494375280321</v>
      </c>
    </row>
    <row r="11964" customFormat="false" ht="15" hidden="false" customHeight="false" outlineLevel="0" collapsed="false">
      <c r="A11964" s="1" t="s">
        <v>1127</v>
      </c>
      <c r="B11964" s="0" t="s">
        <v>98</v>
      </c>
      <c r="E11964" s="6" t="n">
        <f aca="false">Sens!E11962-Sens!E11963</f>
        <v>30.707</v>
      </c>
      <c r="F11964" s="6" t="n">
        <f aca="false">Sens!F11962-Sens!F11963</f>
        <v>9.93023430347029</v>
      </c>
      <c r="G11964" s="6" t="n">
        <f aca="false">Sens!G11962-Sens!G11963</f>
        <v>-11.8265596181544</v>
      </c>
      <c r="H11964" s="6" t="n">
        <f aca="false">Sens!H11962-Sens!H11963</f>
        <v>-11.749437528032</v>
      </c>
      <c r="I11964" s="6" t="n">
        <f aca="false">Sens!I11962-Sens!I11963</f>
        <v>23.8991817271345</v>
      </c>
      <c r="J11964" s="6" t="n">
        <f aca="false">Sens!J11962-Sens!J11963</f>
        <v>122.960028297266</v>
      </c>
      <c r="K11964" s="6" t="n">
        <f aca="false">Sens!K11962-Sens!K11963</f>
        <v>250.191074418606</v>
      </c>
    </row>
    <row r="11965" customFormat="false" ht="15" hidden="false" customHeight="false" outlineLevel="0" collapsed="false">
      <c r="A11965" s="1" t="s">
        <v>1128</v>
      </c>
      <c r="B11965" s="0" t="s">
        <v>75</v>
      </c>
      <c r="F11965" s="30" t="n">
        <f aca="false">px*(1+bb_g)^(Sens!F11823-base_fy-mid_yr)</f>
        <v>551.84177959629</v>
      </c>
      <c r="G11965" s="30" t="n">
        <f aca="false">px*(1+bb_g)^(Sens!G11823-base_fy-mid_yr)</f>
        <v>595.989121963993</v>
      </c>
      <c r="H11965" s="30" t="n">
        <f aca="false">px*(1+bb_g)^(Sens!H11823-base_fy-mid_yr)</f>
        <v>643.668251721112</v>
      </c>
      <c r="I11965" s="30" t="n">
        <f aca="false">px*(1+bb_g)^(Sens!I11823-base_fy-mid_yr)</f>
        <v>695.161711858801</v>
      </c>
      <c r="J11965" s="30" t="n">
        <f aca="false">px*(1+bb_g)^(Sens!J11823-base_fy-mid_yr)</f>
        <v>750.774648807506</v>
      </c>
      <c r="K11965" s="30" t="n">
        <f aca="false">px*(1+bb_g)^(Sens!K11823-base_fy-mid_yr)</f>
        <v>810.836620712106</v>
      </c>
    </row>
    <row r="11966" customFormat="false" ht="15" hidden="false" customHeight="false" outlineLevel="0" collapsed="false">
      <c r="A11966" s="1" t="s">
        <v>1129</v>
      </c>
      <c r="B11966" s="1" t="s">
        <v>81</v>
      </c>
      <c r="E11966" s="15" t="n">
        <f aca="false">sh_out26</f>
        <v>7.427</v>
      </c>
      <c r="F11966" s="15" t="n">
        <f aca="false">Sens!E11966+sh_iss-Sens!F11960/Sens!F11965</f>
        <v>7.472</v>
      </c>
      <c r="G11966" s="15" t="n">
        <f aca="false">Sens!F11966+sh_iss-Sens!G11960/Sens!G11965</f>
        <v>7.517</v>
      </c>
      <c r="H11966" s="15" t="n">
        <f aca="false">Sens!G11966+sh_iss-Sens!H11960/Sens!H11965</f>
        <v>7.562</v>
      </c>
      <c r="I11966" s="15" t="n">
        <f aca="false">Sens!H11966+sh_iss-Sens!I11960/Sens!I11965</f>
        <v>7.57496285005334</v>
      </c>
      <c r="J11966" s="15" t="n">
        <f aca="false">Sens!I11966+sh_iss-Sens!J11960/Sens!J11965</f>
        <v>7.59029882232494</v>
      </c>
      <c r="K11966" s="15" t="n">
        <f aca="false">Sens!J11966+sh_iss-Sens!K11960/Sens!K11965</f>
        <v>7.60783212998384</v>
      </c>
    </row>
    <row r="11967" customFormat="false" ht="15" hidden="false" customHeight="false" outlineLevel="0" collapsed="false">
      <c r="A11967" s="1" t="s">
        <v>1130</v>
      </c>
      <c r="B11967" s="1" t="s">
        <v>81</v>
      </c>
      <c r="E11967" s="15" t="n">
        <f aca="false">sh_dil26</f>
        <v>7.453</v>
      </c>
      <c r="F11967" s="15" t="n">
        <f aca="false">(Sens!E11966+Sens!F11966)/2+dil_gap</f>
        <v>7.4735</v>
      </c>
      <c r="G11967" s="15" t="n">
        <f aca="false">(Sens!F11966+Sens!G11966)/2+dil_gap</f>
        <v>7.5185</v>
      </c>
      <c r="H11967" s="15" t="n">
        <f aca="false">(Sens!G11966+Sens!H11966)/2+dil_gap</f>
        <v>7.5635</v>
      </c>
      <c r="I11967" s="15" t="n">
        <f aca="false">(Sens!H11966+Sens!I11966)/2+dil_gap</f>
        <v>7.59248142502667</v>
      </c>
      <c r="J11967" s="15" t="n">
        <f aca="false">(Sens!I11966+Sens!J11966)/2+dil_gap</f>
        <v>7.60663083618914</v>
      </c>
      <c r="K11967" s="15" t="n">
        <f aca="false">(Sens!J11966+Sens!K11966)/2+dil_gap</f>
        <v>7.62306547615439</v>
      </c>
    </row>
    <row r="11968" customFormat="false" ht="17.15" hidden="false" customHeight="false" outlineLevel="0" collapsed="false">
      <c r="A11968" s="1" t="s">
        <v>1131</v>
      </c>
      <c r="B11968" s="0" t="s">
        <v>98</v>
      </c>
      <c r="C11968" s="6" t="n">
        <f aca="false">SUM(Sens!F11958:J11958)</f>
        <v>136.795028297266</v>
      </c>
    </row>
    <row r="11969" customFormat="false" ht="15" hidden="false" customHeight="false" outlineLevel="0" collapsed="false">
      <c r="A11969" s="26" t="s">
        <v>1096</v>
      </c>
      <c r="B11969" s="31" t="s">
        <v>98</v>
      </c>
      <c r="C11969" s="27" t="n">
        <f aca="false">Sens!$C$11968-(Sens!F11958+Sens!G11958+Sens!H11958+Sens!I11958+Sens!J11958)</f>
        <v>0</v>
      </c>
      <c r="D11969" s="31"/>
      <c r="E11969" s="31"/>
      <c r="F11969" s="31"/>
      <c r="G11969" s="31"/>
      <c r="H11969" s="31"/>
      <c r="I11969" s="31"/>
      <c r="J11969" s="31"/>
      <c r="K11969" s="31"/>
    </row>
    <row r="11970" customFormat="false" ht="17.15" hidden="false" customHeight="false" outlineLevel="0" collapsed="false">
      <c r="A11970" s="1" t="s">
        <v>1090</v>
      </c>
      <c r="B11970" s="1" t="s">
        <v>1132</v>
      </c>
      <c r="C11970" s="33" t="str">
        <f aca="false">IF(SUM(Sens!F11961:J11961)&gt;0.05,"需要舉債 "&amp;TEXT(SUM(Sens!F11961:J11961),"0.0")&amp;" 十億美元","不需舉債")&amp;"；"&amp;IF(SUM(Sens!F11960:J11960)&lt;COUNT(Sens!F11960:J11960)*bb_target-0.05,"回購較每年 "&amp;TEXT(bb_target,"0.0")&amp;" 的目標少 "&amp;TEXT(COUNT(Sens!F11960:J11960)*bb_target-SUM(Sens!F11960:J11960),"0.0")&amp;" 十億美元（"&amp;TEXT(COUNTIF(Sens!F11960:J11960,"&lt;"&amp;(bb_target-0.05)),"0")&amp;" 年減少）","回購不減")</f>
        <v>需要舉債 26.9 十億美元；回購較每年 22.3 的目標少 66.8 十億美元（3 年減少）</v>
      </c>
    </row>
    <row r="11971" customFormat="false" ht="17.15" hidden="false" customHeight="false" outlineLevel="0" collapsed="false">
      <c r="A11971" s="3" t="s">
        <v>1779</v>
      </c>
    </row>
    <row r="11972" customFormat="false" ht="15" hidden="false" customHeight="false" outlineLevel="0" collapsed="false">
      <c r="A11972" s="4" t="s">
        <v>43</v>
      </c>
      <c r="B11972" s="4" t="s">
        <v>65</v>
      </c>
      <c r="C11972" s="23" t="s">
        <v>938</v>
      </c>
      <c r="D11972" s="23" t="s">
        <v>939</v>
      </c>
      <c r="E11972" s="23" t="s">
        <v>940</v>
      </c>
      <c r="F11972" s="23" t="s">
        <v>941</v>
      </c>
      <c r="G11972" s="23" t="s">
        <v>942</v>
      </c>
      <c r="H11972" s="23" t="s">
        <v>943</v>
      </c>
      <c r="I11972" s="23" t="s">
        <v>944</v>
      </c>
      <c r="J11972" s="23" t="s">
        <v>945</v>
      </c>
      <c r="K11972" s="23" t="s">
        <v>946</v>
      </c>
      <c r="L11972" s="4" t="s">
        <v>47</v>
      </c>
    </row>
    <row r="11973" customFormat="false" ht="17.15" hidden="false" customHeight="false" outlineLevel="0" collapsed="false">
      <c r="A11973" s="1" t="s">
        <v>1212</v>
      </c>
      <c r="B11973" s="1" t="s">
        <v>279</v>
      </c>
      <c r="F11973" s="8" t="n">
        <f aca="false">(1-v_off)*mid_yr</f>
        <v>0.373972602739726</v>
      </c>
      <c r="G11973" s="8" t="n">
        <f aca="false">Sens!G11823-base_fy-mid_yr-v_off</f>
        <v>1.24794520547945</v>
      </c>
      <c r="H11973" s="8" t="n">
        <f aca="false">Sens!H11823-base_fy-mid_yr-v_off</f>
        <v>2.24794520547945</v>
      </c>
      <c r="I11973" s="8" t="n">
        <f aca="false">Sens!I11823-base_fy-mid_yr-v_off</f>
        <v>3.24794520547945</v>
      </c>
      <c r="J11973" s="8" t="n">
        <f aca="false">Sens!J11823-base_fy-mid_yr-v_off</f>
        <v>4.24794520547945</v>
      </c>
      <c r="K11973" s="8" t="n">
        <f aca="false">Sens!K11823-base_fy-mid_yr-v_off</f>
        <v>5.24794520547945</v>
      </c>
      <c r="L11973" s="12" t="s">
        <v>1213</v>
      </c>
    </row>
    <row r="11974" customFormat="false" ht="15" hidden="false" customHeight="false" outlineLevel="0" collapsed="false">
      <c r="A11974" s="1" t="s">
        <v>1214</v>
      </c>
      <c r="B11974" s="1" t="s">
        <v>279</v>
      </c>
      <c r="F11974" s="8" t="n">
        <f aca="false">Sens!F11823-base_fy-v_off</f>
        <v>0.747945205479452</v>
      </c>
      <c r="G11974" s="8" t="n">
        <f aca="false">Sens!G11823-base_fy-v_off</f>
        <v>1.74794520547945</v>
      </c>
      <c r="H11974" s="8" t="n">
        <f aca="false">Sens!H11823-base_fy-v_off</f>
        <v>2.74794520547945</v>
      </c>
      <c r="I11974" s="8" t="n">
        <f aca="false">Sens!I11823-base_fy-v_off</f>
        <v>3.74794520547945</v>
      </c>
      <c r="J11974" s="8" t="n">
        <f aca="false">Sens!J11823-base_fy-v_off</f>
        <v>4.74794520547945</v>
      </c>
      <c r="K11974" s="8" t="n">
        <f aca="false">Sens!K11823-base_fy-v_off</f>
        <v>5.74794520547945</v>
      </c>
    </row>
    <row r="11975" customFormat="false" ht="15" hidden="false" customHeight="false" outlineLevel="0" collapsed="false">
      <c r="A11975" s="1" t="s">
        <v>1215</v>
      </c>
      <c r="B11975" s="0" t="s">
        <v>229</v>
      </c>
      <c r="F11975" s="15" t="n">
        <f aca="false">1/(1+wacc)^Sens!F11973</f>
        <v>0.964022703286649</v>
      </c>
      <c r="G11975" s="15" t="n">
        <f aca="false">1/(1+wacc)^Sens!G11973</f>
        <v>0.884910302296739</v>
      </c>
      <c r="H11975" s="15" t="n">
        <f aca="false">1/(1+wacc)^Sens!H11973</f>
        <v>0.802322009770358</v>
      </c>
      <c r="I11975" s="15" t="n">
        <f aca="false">1/(1+wacc)^Sens!I11973</f>
        <v>0.727441646561469</v>
      </c>
      <c r="J11975" s="15" t="n">
        <f aca="false">1/(1+wacc)^Sens!J11973</f>
        <v>0.659549834988973</v>
      </c>
      <c r="K11975" s="15" t="n">
        <f aca="false">1/(1+wacc)^Sens!K11973</f>
        <v>0.597994336576966</v>
      </c>
    </row>
    <row r="11976" customFormat="false" ht="17.15" hidden="false" customHeight="false" outlineLevel="0" collapsed="false">
      <c r="A11976" s="1" t="s">
        <v>1216</v>
      </c>
      <c r="B11976" s="0" t="s">
        <v>98</v>
      </c>
      <c r="F11976" s="6" t="n">
        <f aca="false">Q!$I$35-Q!$I$39-Q!$I$43</f>
        <v>9.666</v>
      </c>
      <c r="L11976" s="12" t="s">
        <v>1217</v>
      </c>
    </row>
    <row r="11977" customFormat="false" ht="17.15" hidden="false" customHeight="false" outlineLevel="0" collapsed="false">
      <c r="A11977" s="1" t="s">
        <v>1218</v>
      </c>
      <c r="B11977" s="0" t="s">
        <v>98</v>
      </c>
      <c r="F11977" s="6" t="n">
        <f aca="false">Sens!F11948-Sens!F11945-Sens!F11952+Sens!F11930*(1-tax_f)*(1-v_off)-Sens!F11976</f>
        <v>-6.12561795177181</v>
      </c>
      <c r="G11977" s="6" t="n">
        <f aca="false">Sens!G11948-Sens!G11945-Sens!G11952+Sens!G11930*(1-tax_f)</f>
        <v>18.9284626399545</v>
      </c>
      <c r="H11977" s="6" t="n">
        <f aca="false">Sens!H11948-Sens!H11945-Sens!H11952+Sens!H11930*(1-tax_f)</f>
        <v>55.76202372926</v>
      </c>
      <c r="I11977" s="6" t="n">
        <f aca="false">Sens!I11948-Sens!I11945-Sens!I11952+Sens!I11930*(1-tax_f)</f>
        <v>127.636340087409</v>
      </c>
      <c r="J11977" s="6" t="n">
        <f aca="false">Sens!J11948-Sens!J11945-Sens!J11952+Sens!J11930*(1-tax_f)</f>
        <v>201.562917968019</v>
      </c>
      <c r="K11977" s="6" t="n">
        <f aca="false">Sens!K11948-Sens!K11945-Sens!K11952+Sens!K11930*(1-tax_f)</f>
        <v>236.988361692365</v>
      </c>
      <c r="L11977" s="1" t="s">
        <v>1219</v>
      </c>
    </row>
    <row r="11978" customFormat="false" ht="15" hidden="false" customHeight="false" outlineLevel="0" collapsed="false">
      <c r="A11978" s="1" t="s">
        <v>1220</v>
      </c>
      <c r="B11978" s="0" t="s">
        <v>98</v>
      </c>
      <c r="F11978" s="6" t="n">
        <f aca="false">Sens!F11977*Sens!F11975</f>
        <v>-5.90523477716828</v>
      </c>
      <c r="G11978" s="6" t="n">
        <f aca="false">Sens!G11977*Sens!G11975</f>
        <v>16.7499915967347</v>
      </c>
      <c r="H11978" s="6" t="n">
        <f aca="false">Sens!H11977*Sens!H11975</f>
        <v>44.7390989473223</v>
      </c>
      <c r="I11978" s="6" t="n">
        <f aca="false">Sens!I11977*Sens!I11975</f>
        <v>92.8479893942642</v>
      </c>
      <c r="J11978" s="6" t="n">
        <f aca="false">Sens!J11977*Sens!J11975</f>
        <v>132.940789285703</v>
      </c>
      <c r="K11978" s="6" t="n">
        <f aca="false">Sens!K11977*Sens!K11975</f>
        <v>141.717698126688</v>
      </c>
    </row>
    <row r="11979" customFormat="false" ht="17.15" hidden="false" customHeight="false" outlineLevel="0" collapsed="false">
      <c r="A11979" s="1" t="s">
        <v>1221</v>
      </c>
      <c r="B11979" s="0" t="s">
        <v>98</v>
      </c>
      <c r="C11979" s="6" t="n">
        <f aca="false">SUM(Sens!F11978:K11978)</f>
        <v>423.090332573543</v>
      </c>
    </row>
    <row r="11980" customFormat="false" ht="17.15" hidden="false" customHeight="false" outlineLevel="0" collapsed="false">
      <c r="A11980" s="1" t="s">
        <v>1222</v>
      </c>
      <c r="B11980" s="0" t="s">
        <v>98</v>
      </c>
      <c r="C11980" s="6" t="n">
        <f aca="false">Sens!K11916*(1+g_tv)*(1-tax_f)</f>
        <v>246.467099349314</v>
      </c>
    </row>
    <row r="11981" customFormat="false" ht="17.15" hidden="false" customHeight="false" outlineLevel="0" collapsed="false">
      <c r="A11981" s="1" t="s">
        <v>1223</v>
      </c>
      <c r="B11981" s="0" t="s">
        <v>98</v>
      </c>
      <c r="C11981" s="6" t="n">
        <f aca="false">Sens!$C$11980*(1-g_tv/(wacc+ronic_prem))</f>
        <v>174.636344973669</v>
      </c>
    </row>
    <row r="11982" customFormat="false" ht="17.15" hidden="false" customHeight="false" outlineLevel="0" collapsed="false">
      <c r="A11982" s="1" t="s">
        <v>1224</v>
      </c>
      <c r="B11982" s="0" t="s">
        <v>98</v>
      </c>
      <c r="C11982" s="6" t="n">
        <f aca="false">Sens!$C$11981/(wacc-g_tv)</f>
        <v>2394.35847918816</v>
      </c>
    </row>
    <row r="11983" customFormat="false" ht="15" hidden="false" customHeight="false" outlineLevel="0" collapsed="false">
      <c r="A11983" s="1" t="s">
        <v>1225</v>
      </c>
      <c r="B11983" s="0" t="s">
        <v>98</v>
      </c>
      <c r="C11983" s="6" t="n">
        <f aca="false">Sens!$C$11982/(1+wacc)^Sens!K11974</f>
        <v>1363.36132848654</v>
      </c>
    </row>
    <row r="11984" customFormat="false" ht="17.15" hidden="false" customHeight="false" outlineLevel="0" collapsed="false">
      <c r="A11984" s="0" t="s">
        <v>1226</v>
      </c>
      <c r="B11984" s="0" t="s">
        <v>98</v>
      </c>
      <c r="C11984" s="6" t="n">
        <f aca="false">Sens!$C$11979+Sens!$C$11983</f>
        <v>1786.45166106008</v>
      </c>
    </row>
    <row r="11985" customFormat="false" ht="15" hidden="false" customHeight="false" outlineLevel="0" collapsed="false">
      <c r="A11985" s="1" t="s">
        <v>1141</v>
      </c>
      <c r="B11985" s="0" t="s">
        <v>168</v>
      </c>
      <c r="C11985" s="7" t="n">
        <f aca="false">Sens!$C$11983/Sens!$C$11984</f>
        <v>0.763167209168996</v>
      </c>
    </row>
    <row r="11986" customFormat="false" ht="17.15" hidden="false" customHeight="false" outlineLevel="0" collapsed="false">
      <c r="A11986" s="1" t="s">
        <v>1227</v>
      </c>
      <c r="B11986" s="0" t="s">
        <v>98</v>
      </c>
      <c r="C11986" s="6" t="n">
        <f aca="false">Sens!$C$11984+cash_val-debt_val-fl_val+oai_v</f>
        <v>1902.30266106008</v>
      </c>
    </row>
    <row r="11987" customFormat="false" ht="17.15" hidden="false" customHeight="false" outlineLevel="0" collapsed="false">
      <c r="A11987" s="0" t="s">
        <v>1149</v>
      </c>
      <c r="B11987" s="0" t="s">
        <v>75</v>
      </c>
      <c r="C11987" s="5" t="n">
        <f aca="false">Sens!$C$11986/shd_val</f>
        <v>255.47980943595</v>
      </c>
    </row>
    <row r="11988" customFormat="false" ht="15" hidden="false" customHeight="false" outlineLevel="0" collapsed="false">
      <c r="A11988" s="1" t="s">
        <v>1228</v>
      </c>
      <c r="B11988" s="0" t="s">
        <v>75</v>
      </c>
      <c r="C11988" s="8" t="n">
        <f aca="false">div_rem27+Sens!G11956*roll_div_q/q_per_yr</f>
        <v>3.9795</v>
      </c>
    </row>
    <row r="11989" customFormat="false" ht="17.15" hidden="false" customHeight="false" outlineLevel="0" collapsed="false">
      <c r="A11989" s="0" t="s">
        <v>1229</v>
      </c>
      <c r="B11989" s="0" t="s">
        <v>75</v>
      </c>
      <c r="C11989" s="5" t="n">
        <f aca="false">Sens!$C$11987*(1+wacc)^t_roll-Sens!$C$11988</f>
        <v>280.000566706254</v>
      </c>
    </row>
    <row r="11990" customFormat="false" ht="17.15" hidden="false" customHeight="false" outlineLevel="0" collapsed="false">
      <c r="A11990" s="1" t="s">
        <v>1230</v>
      </c>
      <c r="B11990" s="0" t="s">
        <v>168</v>
      </c>
      <c r="F11990" s="7" t="n">
        <f aca="false">Sens!F11942/(Sens!F11887-Sens!F11842)</f>
        <v>0.0686981562602764</v>
      </c>
      <c r="G11990" s="7" t="n">
        <f aca="false">Sens!G11942/(Sens!G11887-Sens!G11842)</f>
        <v>0.0663754009849455</v>
      </c>
      <c r="H11990" s="7" t="n">
        <f aca="false">Sens!H11942/(Sens!H11887-Sens!H11842)</f>
        <v>0.0652455232906824</v>
      </c>
      <c r="I11990" s="7" t="n">
        <f aca="false">Sens!I11942/(Sens!I11887-Sens!I11842)</f>
        <v>0.0651706335339137</v>
      </c>
      <c r="J11990" s="7" t="n">
        <f aca="false">Sens!J11942/(Sens!J11887-Sens!J11842)</f>
        <v>0.0659439631973584</v>
      </c>
      <c r="K11990" s="7" t="n">
        <f aca="false">Sens!K11942/(Sens!K11887-Sens!K11842)</f>
        <v>0.0673364266301822</v>
      </c>
    </row>
    <row r="11991" customFormat="false" ht="17.15" hidden="false" customHeight="false" outlineLevel="0" collapsed="false">
      <c r="A11991" s="0" t="s">
        <v>1231</v>
      </c>
      <c r="B11991" s="0" t="s">
        <v>98</v>
      </c>
      <c r="F11991" s="6" t="n">
        <f aca="false">Sens!F11872*(al_m365+Sens!F11990+sbc_r)</f>
        <v>82.9209603118361</v>
      </c>
      <c r="G11991" s="6" t="n">
        <f aca="false">Sens!G11872*(al_m365+Sens!G11990+sbc_r)</f>
        <v>93.315043967192</v>
      </c>
      <c r="H11991" s="6" t="n">
        <f aca="false">Sens!H11872*(al_m365+Sens!H11990+sbc_r)</f>
        <v>103.872191809651</v>
      </c>
      <c r="I11991" s="6" t="n">
        <f aca="false">Sens!I11872*(al_m365+Sens!I11990+sbc_r)</f>
        <v>113.915959225268</v>
      </c>
      <c r="J11991" s="6" t="n">
        <f aca="false">Sens!J11872*(al_m365+Sens!J11990+sbc_r)</f>
        <v>123.257504962904</v>
      </c>
      <c r="K11991" s="6" t="n">
        <f aca="false">Sens!K11872*(al_m365+Sens!K11990+sbc_r)</f>
        <v>132.204779889024</v>
      </c>
      <c r="L11991" s="12" t="s">
        <v>1232</v>
      </c>
    </row>
    <row r="11992" customFormat="false" ht="17.15" hidden="false" customHeight="false" outlineLevel="0" collapsed="false">
      <c r="A11992" s="0" t="s">
        <v>1233</v>
      </c>
      <c r="B11992" s="0" t="s">
        <v>98</v>
      </c>
      <c r="F11992" s="6" t="n">
        <f aca="false">Sens!F11873*(al_lic+Sens!F11990+sbc_r)</f>
        <v>32.8607823825964</v>
      </c>
      <c r="G11992" s="6" t="n">
        <f aca="false">Sens!G11873*(al_lic+Sens!G11990+sbc_r)</f>
        <v>34.1593141059057</v>
      </c>
      <c r="H11992" s="6" t="n">
        <f aca="false">Sens!H11873*(al_lic+Sens!H11990+sbc_r)</f>
        <v>35.3680807900832</v>
      </c>
      <c r="I11992" s="6" t="n">
        <f aca="false">Sens!I11873*(al_lic+Sens!I11990+sbc_r)</f>
        <v>36.4673763247884</v>
      </c>
      <c r="J11992" s="6" t="n">
        <f aca="false">Sens!J11873*(al_lic+Sens!J11990+sbc_r)</f>
        <v>37.4343582292295</v>
      </c>
      <c r="K11992" s="6" t="n">
        <f aca="false">Sens!K11873*(al_lic+Sens!K11990+sbc_r)</f>
        <v>38.2453527186083</v>
      </c>
    </row>
    <row r="11993" customFormat="false" ht="17.15" hidden="false" customHeight="false" outlineLevel="0" collapsed="false">
      <c r="A11993" s="0" t="s">
        <v>1234</v>
      </c>
      <c r="B11993" s="0" t="s">
        <v>98</v>
      </c>
      <c r="F11993" s="6" t="n">
        <f aca="false">Sens!F11875*(al_ind+Sens!F11990+sbc_r)</f>
        <v>9.062170825413</v>
      </c>
      <c r="G11993" s="6" t="n">
        <f aca="false">Sens!G11875*(al_ind+Sens!G11990+sbc_r)</f>
        <v>9.84941363987274</v>
      </c>
      <c r="H11993" s="6" t="n">
        <f aca="false">Sens!H11875*(al_ind+Sens!H11990+sbc_r)</f>
        <v>10.6797203907326</v>
      </c>
      <c r="I11993" s="6" t="n">
        <f aca="false">Sens!I11875*(al_ind+Sens!I11990+sbc_r)</f>
        <v>11.5486308750747</v>
      </c>
      <c r="J11993" s="6" t="n">
        <f aca="false">Sens!J11875*(al_ind+Sens!J11990+sbc_r)</f>
        <v>12.4476643401853</v>
      </c>
      <c r="K11993" s="6" t="n">
        <f aca="false">Sens!K11875*(al_ind+Sens!K11990+sbc_r)</f>
        <v>13.3649839851225</v>
      </c>
    </row>
    <row r="11994" customFormat="false" ht="17.15" hidden="false" customHeight="false" outlineLevel="0" collapsed="false">
      <c r="A11994" s="0" t="s">
        <v>1235</v>
      </c>
      <c r="B11994" s="0" t="s">
        <v>98</v>
      </c>
      <c r="F11994" s="6" t="n">
        <f aca="false">Sens!F11877*(al_fro+Sens!F11990+sbc_r)</f>
        <v>3.5547174512204</v>
      </c>
      <c r="G11994" s="6" t="n">
        <f aca="false">Sens!G11877*(al_fro+Sens!G11990+sbc_r)</f>
        <v>3.76867432495445</v>
      </c>
      <c r="H11994" s="6" t="n">
        <f aca="false">Sens!H11877*(al_fro+Sens!H11990+sbc_r)</f>
        <v>4.01073624916938</v>
      </c>
      <c r="I11994" s="6" t="n">
        <f aca="false">Sens!I11877*(al_fro+Sens!I11990+sbc_r)</f>
        <v>4.28324834097964</v>
      </c>
      <c r="J11994" s="6" t="n">
        <f aca="false">Sens!J11877*(al_fro+Sens!J11990+sbc_r)</f>
        <v>4.58789831459711</v>
      </c>
      <c r="K11994" s="6" t="n">
        <f aca="false">Sens!K11877*(al_fro+Sens!K11990+sbc_r)</f>
        <v>4.92599943444875</v>
      </c>
    </row>
    <row r="11995" customFormat="false" ht="17.15" hidden="false" customHeight="false" outlineLevel="0" collapsed="false">
      <c r="A11995" s="0" t="s">
        <v>1236</v>
      </c>
      <c r="B11995" s="0" t="s">
        <v>98</v>
      </c>
      <c r="F11995" s="6" t="n">
        <f aca="false">Sens!F11880*(al_srch+Sens!F11990+sbc_r)</f>
        <v>11.1912561587459</v>
      </c>
      <c r="G11995" s="6" t="n">
        <f aca="false">Sens!G11880*(al_srch+Sens!G11990+sbc_r)</f>
        <v>12.278222374091</v>
      </c>
      <c r="H11995" s="6" t="n">
        <f aca="false">Sens!H11880*(al_srch+Sens!H11990+sbc_r)</f>
        <v>13.4079908459178</v>
      </c>
      <c r="I11995" s="6" t="n">
        <f aca="false">Sens!I11880*(al_srch+Sens!I11990+sbc_r)</f>
        <v>14.568008046153</v>
      </c>
      <c r="J11995" s="6" t="n">
        <f aca="false">Sens!J11880*(al_srch+Sens!J11990+sbc_r)</f>
        <v>15.7397287978434</v>
      </c>
      <c r="K11995" s="6" t="n">
        <f aca="false">Sens!K11880*(al_srch+Sens!K11990+sbc_r)</f>
        <v>16.8996542294469</v>
      </c>
    </row>
    <row r="11996" customFormat="false" ht="17.15" hidden="false" customHeight="false" outlineLevel="0" collapsed="false">
      <c r="A11996" s="0" t="s">
        <v>1237</v>
      </c>
      <c r="B11996" s="0" t="s">
        <v>98</v>
      </c>
      <c r="F11996" s="6" t="n">
        <f aca="false">Sens!F11848-Sens!F11849+Sens!F11930</f>
        <v>38.9696429794913</v>
      </c>
      <c r="G11996" s="6" t="n">
        <f aca="false">Sens!G11848-Sens!G11849+Sens!G11930</f>
        <v>69.465497726016</v>
      </c>
      <c r="H11996" s="6" t="n">
        <f aca="false">Sens!H11848-Sens!H11849+Sens!H11930</f>
        <v>96.8147106808268</v>
      </c>
      <c r="I11996" s="6" t="n">
        <f aca="false">Sens!I11848-Sens!I11849+Sens!I11930</f>
        <v>127.654939766446</v>
      </c>
      <c r="J11996" s="6" t="n">
        <f aca="false">Sens!J11848-Sens!J11849+Sens!J11930</f>
        <v>149.308352681229</v>
      </c>
      <c r="K11996" s="6" t="n">
        <f aca="false">Sens!K11848-Sens!K11849+Sens!K11930</f>
        <v>162.731822021841</v>
      </c>
    </row>
    <row r="11997" customFormat="false" ht="17.15" hidden="false" customHeight="false" outlineLevel="0" collapsed="false">
      <c r="A11997" s="0" t="s">
        <v>1238</v>
      </c>
      <c r="B11997" s="0" t="s">
        <v>98</v>
      </c>
      <c r="F11997" s="6" t="n">
        <f aca="false">Sens!F11909+Sens!F11930+Sens!F11860+Sens!F11990*(Sens!F11879-Sens!F11842)+sbc_r*Sens!F11879</f>
        <v>234.805519496954</v>
      </c>
      <c r="G11997" s="6" t="n">
        <f aca="false">Sens!G11909+Sens!G11930+Sens!G11860+Sens!G11990*(Sens!G11879-Sens!G11842)+sbc_r*Sens!G11879</f>
        <v>285.518684981108</v>
      </c>
      <c r="H11997" s="6" t="n">
        <f aca="false">Sens!H11909+Sens!H11930+Sens!H11860+Sens!H11990*(Sens!H11879-Sens!H11842)+sbc_r*Sens!H11879</f>
        <v>338.297106271922</v>
      </c>
      <c r="I11997" s="6" t="n">
        <f aca="false">Sens!I11909+Sens!I11930+Sens!I11860+Sens!I11990*(Sens!I11879-Sens!I11842)+sbc_r*Sens!I11879</f>
        <v>393.950794918108</v>
      </c>
      <c r="J11997" s="6" t="n">
        <f aca="false">Sens!J11909+Sens!J11930+Sens!J11860+Sens!J11990*(Sens!J11879-Sens!J11842)+sbc_r*Sens!J11879</f>
        <v>438.500423320036</v>
      </c>
      <c r="K11997" s="6" t="n">
        <f aca="false">Sens!K11909+Sens!K11930+Sens!K11860+Sens!K11990*(Sens!K11879-Sens!K11842)+sbc_r*Sens!K11879</f>
        <v>472.485709265799</v>
      </c>
    </row>
    <row r="11998" customFormat="false" ht="17.15" hidden="false" customHeight="false" outlineLevel="0" collapsed="false">
      <c r="A11998" s="0" t="s">
        <v>1239</v>
      </c>
      <c r="B11998" s="0" t="s">
        <v>98</v>
      </c>
      <c r="F11998" s="6" t="n">
        <f aca="false">Sens!F11997-Sens!F11991-Sens!F11992-Sens!F11993-Sens!F11994-Sens!F11996</f>
        <v>67.437245546397</v>
      </c>
      <c r="G11998" s="6" t="n">
        <f aca="false">Sens!G11997-Sens!G11991-Sens!G11992-Sens!G11993-Sens!G11994-Sens!G11996</f>
        <v>74.9607412171666</v>
      </c>
      <c r="H11998" s="6" t="n">
        <f aca="false">Sens!H11997-Sens!H11991-Sens!H11992-Sens!H11993-Sens!H11994-Sens!H11996</f>
        <v>87.5516663514584</v>
      </c>
      <c r="I11998" s="6" t="n">
        <f aca="false">Sens!I11997-Sens!I11991-Sens!I11992-Sens!I11993-Sens!I11994-Sens!I11996</f>
        <v>100.080640385551</v>
      </c>
      <c r="J11998" s="6" t="n">
        <f aca="false">Sens!J11997-Sens!J11991-Sens!J11992-Sens!J11993-Sens!J11994-Sens!J11996</f>
        <v>111.464644791892</v>
      </c>
      <c r="K11998" s="6" t="n">
        <f aca="false">Sens!K11997-Sens!K11991-Sens!K11992-Sens!K11993-Sens!K11994-Sens!K11996</f>
        <v>121.012771216755</v>
      </c>
    </row>
    <row r="11999" customFormat="false" ht="17.15" hidden="false" customHeight="false" outlineLevel="0" collapsed="false">
      <c r="A11999" s="0" t="s">
        <v>1240</v>
      </c>
      <c r="B11999" s="0" t="s">
        <v>98</v>
      </c>
      <c r="F11999" s="6" t="n">
        <f aca="false">Sens!F11911+Sens!F11990*Sens!F11886+sbc_r*Sens!F11886</f>
        <v>26.5950229846511</v>
      </c>
      <c r="G11999" s="6" t="n">
        <f aca="false">Sens!G11911+Sens!G11990*Sens!G11886+sbc_r*Sens!G11886</f>
        <v>26.3562709214244</v>
      </c>
      <c r="H11999" s="6" t="n">
        <f aca="false">Sens!H11911+Sens!H11990*Sens!H11886+sbc_r*Sens!H11886</f>
        <v>27.1023790047292</v>
      </c>
      <c r="I11999" s="6" t="n">
        <f aca="false">Sens!I11911+Sens!I11990*Sens!I11886+sbc_r*Sens!I11886</f>
        <v>28.0309643816149</v>
      </c>
      <c r="J11999" s="6" t="n">
        <f aca="false">Sens!J11911+Sens!J11990*Sens!J11886+sbc_r*Sens!J11886</f>
        <v>29.1073307869872</v>
      </c>
      <c r="K11999" s="6" t="n">
        <f aca="false">Sens!K11911+Sens!K11990*Sens!K11886+sbc_r*Sens!K11886</f>
        <v>30.295579542052</v>
      </c>
    </row>
    <row r="12000" customFormat="false" ht="17.15" hidden="false" customHeight="false" outlineLevel="0" collapsed="false">
      <c r="A12000" s="0" t="s">
        <v>1241</v>
      </c>
      <c r="B12000" s="0" t="s">
        <v>98</v>
      </c>
      <c r="F12000" s="6" t="n">
        <f aca="false">(Sens!F11999-Sens!F11995)*Sens!F11882/(Sens!F11882+Sens!F11884)</f>
        <v>8.67996105184285</v>
      </c>
      <c r="G12000" s="6" t="n">
        <f aca="false">(Sens!G11999-Sens!G11995)*Sens!G11882/(Sens!G11882+Sens!G11884)</f>
        <v>7.74746491088888</v>
      </c>
      <c r="H12000" s="6" t="n">
        <f aca="false">(Sens!H11999-Sens!H11995)*Sens!H11882/(Sens!H11882+Sens!H11884)</f>
        <v>7.36658847937456</v>
      </c>
      <c r="I12000" s="6" t="n">
        <f aca="false">(Sens!I11999-Sens!I11995)*Sens!I11882/(Sens!I11882+Sens!I11884)</f>
        <v>7.0859005356835</v>
      </c>
      <c r="J12000" s="6" t="n">
        <f aca="false">(Sens!J11999-Sens!J11995)*Sens!J11882/(Sens!J11882+Sens!J11884)</f>
        <v>6.89133430774468</v>
      </c>
      <c r="K12000" s="6" t="n">
        <f aca="false">(Sens!K11999-Sens!K11995)*Sens!K11882/(Sens!K11882+Sens!K11884)</f>
        <v>6.77202243009005</v>
      </c>
    </row>
    <row r="12001" customFormat="false" ht="17.15" hidden="false" customHeight="false" outlineLevel="0" collapsed="false">
      <c r="A12001" s="0" t="s">
        <v>1242</v>
      </c>
      <c r="B12001" s="0" t="s">
        <v>98</v>
      </c>
      <c r="F12001" s="6" t="n">
        <f aca="false">Sens!F11999-Sens!F11995-Sens!F12000</f>
        <v>6.72380577406235</v>
      </c>
      <c r="G12001" s="6" t="n">
        <f aca="false">Sens!G11999-Sens!G11995-Sens!G12000</f>
        <v>6.3305836364445</v>
      </c>
      <c r="H12001" s="6" t="n">
        <f aca="false">Sens!H11999-Sens!H11995-Sens!H12000</f>
        <v>6.32779967943677</v>
      </c>
      <c r="I12001" s="6" t="n">
        <f aca="false">Sens!I11999-Sens!I11995-Sens!I12000</f>
        <v>6.37705579977836</v>
      </c>
      <c r="J12001" s="6" t="n">
        <f aca="false">Sens!J11999-Sens!J11995-Sens!J12000</f>
        <v>6.4762676813991</v>
      </c>
      <c r="K12001" s="6" t="n">
        <f aca="false">Sens!K11999-Sens!K11995-Sens!K12000</f>
        <v>6.62390288251506</v>
      </c>
    </row>
    <row r="12002" customFormat="false" ht="17.15" hidden="false" customHeight="false" outlineLevel="0" collapsed="false">
      <c r="A12002" s="0" t="s">
        <v>1243</v>
      </c>
      <c r="B12002" s="0" t="s">
        <v>98</v>
      </c>
      <c r="F12002" s="6" t="n">
        <f aca="false">Sens!F11996-tax_f*(Sens!F11996-Sens!F11860)-Sens!F11857</f>
        <v>-130.362326762856</v>
      </c>
      <c r="G12002" s="6" t="n">
        <f aca="false">Sens!G11996-tax_f*(Sens!G11996-Sens!G11860)-Sens!G11857</f>
        <v>-124.225179337776</v>
      </c>
      <c r="H12002" s="6" t="n">
        <f aca="false">Sens!H11996-tax_f*(Sens!H11996-Sens!H11860)-Sens!H11857</f>
        <v>-101.534217387562</v>
      </c>
      <c r="I12002" s="6" t="n">
        <f aca="false">Sens!I11996-tax_f*(Sens!I11996-Sens!I11860)-Sens!I11857</f>
        <v>-43.6446798695439</v>
      </c>
      <c r="J12002" s="6" t="n">
        <f aca="false">Sens!J11996-tax_f*(Sens!J11996-Sens!J11860)-Sens!J11857</f>
        <v>16.9198855589618</v>
      </c>
      <c r="K12002" s="6" t="n">
        <f aca="false">Sens!K11996-tax_f*(Sens!K11996-Sens!K11860)-Sens!K11857</f>
        <v>39.8251384629271</v>
      </c>
    </row>
    <row r="12003" customFormat="false" ht="17.15" hidden="false" customHeight="false" outlineLevel="0" collapsed="false">
      <c r="A12003" s="0" t="s">
        <v>1244</v>
      </c>
      <c r="B12003" s="0" t="s">
        <v>98</v>
      </c>
      <c r="G12003" s="6" t="n">
        <f aca="false">Sens!G12002/(1+wacc)^(Sens!G11973-Sens!F11974)</f>
        <v>-118.286276192192</v>
      </c>
      <c r="H12003" s="6" t="n">
        <f aca="false">Sens!H12002/(1+wacc)^(Sens!H11973-Sens!F11974)</f>
        <v>-87.6570009910427</v>
      </c>
      <c r="I12003" s="6" t="n">
        <f aca="false">Sens!I12002/(1+wacc)^(Sens!I11973-Sens!F11974)</f>
        <v>-34.1629172979204</v>
      </c>
      <c r="J12003" s="6" t="n">
        <f aca="false">Sens!J12002/(1+wacc)^(Sens!J11973-Sens!F11974)</f>
        <v>12.0079954170053</v>
      </c>
      <c r="K12003" s="6" t="n">
        <f aca="false">Sens!K12002/(1+wacc)^(Sens!K11973-Sens!F11974)</f>
        <v>25.6259421582556</v>
      </c>
      <c r="L12003" s="1" t="s">
        <v>1245</v>
      </c>
    </row>
    <row r="12004" customFormat="false" ht="17.15" hidden="false" customHeight="false" outlineLevel="0" collapsed="false">
      <c r="A12004" s="0" t="s">
        <v>1246</v>
      </c>
      <c r="B12004" s="0" t="s">
        <v>98</v>
      </c>
      <c r="C12004" s="6" t="n">
        <f aca="false">(Sens!K11996-Sens!K11860)*(1-tax_f)*(1+g_tv)*(1-g_tv/(wacc+ronic_prem))/(wacc-g_tv)/(1+wacc)^(Sens!K11974-Sens!F11974)</f>
        <v>96.7148026864948</v>
      </c>
    </row>
    <row r="12005" customFormat="false" ht="17.15" hidden="false" customHeight="false" outlineLevel="0" collapsed="false">
      <c r="A12005" s="1" t="s">
        <v>1247</v>
      </c>
      <c r="B12005" s="0" t="s">
        <v>98</v>
      </c>
      <c r="C12005" s="6" t="n">
        <f aca="false">(SUM(Sens!G12003:K12003)+Sens!$C$12004)*(1+wacc)^(t_roll-Sens!F11974)</f>
        <v>-109.248827617462</v>
      </c>
      <c r="L12005" s="12" t="s">
        <v>1248</v>
      </c>
    </row>
    <row r="12006" customFormat="false" ht="17.15" hidden="false" customHeight="false" outlineLevel="0" collapsed="false">
      <c r="A12006" s="1" t="s">
        <v>1249</v>
      </c>
      <c r="B12006" s="0" t="s">
        <v>98</v>
      </c>
      <c r="C12006" s="6" t="n">
        <f aca="false">(w_ntm28*Sens!G11848+(1-w_ntm28)*Sens!H11848)*m_ai</f>
        <v>344.355829012336</v>
      </c>
    </row>
    <row r="12007" customFormat="false" ht="17.15" hidden="false" customHeight="false" outlineLevel="0" collapsed="false">
      <c r="A12007" s="1" t="s">
        <v>1250</v>
      </c>
      <c r="B12007" s="0" t="s">
        <v>98</v>
      </c>
      <c r="C12007" s="6" t="n">
        <f aca="false">(w_ntm28*Sens!G11998+(1-w_ntm28)*Sens!H11998)*m_cloud</f>
        <v>1093.16508812182</v>
      </c>
    </row>
    <row r="12008" customFormat="false" ht="17.15" hidden="false" customHeight="false" outlineLevel="0" collapsed="false">
      <c r="A12008" s="1" t="s">
        <v>1251</v>
      </c>
      <c r="B12008" s="0" t="s">
        <v>98</v>
      </c>
      <c r="C12008" s="6" t="n">
        <f aca="false">(w_ntm28*Sens!G11991+(1-w_ntm28)*Sens!H11991)*m_sw</f>
        <v>1045.28758060958</v>
      </c>
    </row>
    <row r="12009" customFormat="false" ht="17.15" hidden="false" customHeight="false" outlineLevel="0" collapsed="false">
      <c r="A12009" s="1" t="s">
        <v>1252</v>
      </c>
      <c r="B12009" s="0" t="s">
        <v>98</v>
      </c>
      <c r="C12009" s="6" t="n">
        <f aca="false">(w_ntm28*Sens!G11992+(1-w_ntm28)*Sens!H11992)*m_sw</f>
        <v>373.212541994998</v>
      </c>
    </row>
    <row r="12010" customFormat="false" ht="17.15" hidden="false" customHeight="false" outlineLevel="0" collapsed="false">
      <c r="A12010" s="1" t="s">
        <v>1253</v>
      </c>
      <c r="B12010" s="0" t="s">
        <v>98</v>
      </c>
      <c r="C12010" s="6" t="n">
        <f aca="false">(w_ntm28*Sens!G11993+(1-w_ntm28)*Sens!H11993)*m_sw</f>
        <v>109.321824979432</v>
      </c>
    </row>
    <row r="12011" customFormat="false" ht="17.15" hidden="false" customHeight="false" outlineLevel="0" collapsed="false">
      <c r="A12011" s="1" t="s">
        <v>1254</v>
      </c>
      <c r="B12011" s="0" t="s">
        <v>98</v>
      </c>
      <c r="C12011" s="6" t="n">
        <f aca="false">(w_ntm28*Sens!G11994+(1-w_ntm28)*Sens!H11994)*m_sw</f>
        <v>41.5611683363096</v>
      </c>
    </row>
    <row r="12012" customFormat="false" ht="17.15" hidden="false" customHeight="false" outlineLevel="0" collapsed="false">
      <c r="A12012" s="1" t="s">
        <v>1255</v>
      </c>
      <c r="B12012" s="0" t="s">
        <v>98</v>
      </c>
      <c r="C12012" s="6" t="n">
        <f aca="false">(w_ntm28*Sens!G11995+(1-w_ntm28)*Sens!H11995)*m_ads</f>
        <v>115.238339782493</v>
      </c>
    </row>
    <row r="12013" customFormat="false" ht="17.15" hidden="false" customHeight="false" outlineLevel="0" collapsed="false">
      <c r="A12013" s="1" t="s">
        <v>1256</v>
      </c>
      <c r="B12013" s="0" t="s">
        <v>98</v>
      </c>
      <c r="C12013" s="6" t="n">
        <f aca="false">(w_ntm28*Sens!G12000+(1-w_ntm28)*Sens!H12000)*m_game</f>
        <v>96.2689576612304</v>
      </c>
    </row>
    <row r="12014" customFormat="false" ht="17.15" hidden="false" customHeight="false" outlineLevel="0" collapsed="false">
      <c r="A12014" s="1" t="s">
        <v>1257</v>
      </c>
      <c r="B12014" s="0" t="s">
        <v>98</v>
      </c>
      <c r="C12014" s="6" t="n">
        <f aca="false">(w_ntm28*Sens!G12001+(1-w_ntm28)*Sens!H12001)*m_pc</f>
        <v>91.5903012112746</v>
      </c>
    </row>
    <row r="12015" customFormat="false" ht="17.15" hidden="false" customHeight="false" outlineLevel="0" collapsed="false">
      <c r="A12015" s="1" t="s">
        <v>1258</v>
      </c>
      <c r="B12015" s="0" t="s">
        <v>98</v>
      </c>
      <c r="C12015" s="6" t="n">
        <f aca="false">Sens!$C$12005+Sens!$C$12007+Sens!$C$12008+Sens!$C$12009+Sens!$C$12010+Sens!$C$12011+Sens!$C$12012+Sens!$C$12013+Sens!$C$12014</f>
        <v>2856.39697507967</v>
      </c>
    </row>
    <row r="12016" customFormat="false" ht="17.15" hidden="false" customHeight="false" outlineLevel="0" collapsed="false">
      <c r="A12016" s="1" t="s">
        <v>1259</v>
      </c>
      <c r="B12016" s="0" t="s">
        <v>98</v>
      </c>
      <c r="C12016" s="6" t="n">
        <f aca="false">(Sens!G11977-Sens!G12002)*t_stub</f>
        <v>47.4564128200146</v>
      </c>
      <c r="L12016" s="1" t="s">
        <v>1260</v>
      </c>
    </row>
    <row r="12017" customFormat="false" ht="17.15" hidden="false" customHeight="false" outlineLevel="0" collapsed="false">
      <c r="A12017" s="1" t="s">
        <v>1169</v>
      </c>
      <c r="B12017" s="0" t="s">
        <v>98</v>
      </c>
      <c r="C12017" s="6" t="n">
        <f aca="false">Sens!F11964+oai_v-Sens!F11953+Sens!$C$12016</f>
        <v>158.500917123485</v>
      </c>
      <c r="L12017" s="1" t="s">
        <v>1261</v>
      </c>
    </row>
    <row r="12018" customFormat="false" ht="17.15" hidden="false" customHeight="false" outlineLevel="0" collapsed="false">
      <c r="A12018" s="1" t="s">
        <v>1262</v>
      </c>
      <c r="B12018" s="0" t="s">
        <v>75</v>
      </c>
      <c r="C12018" s="5" t="n">
        <f aca="false">(Sens!$C$12015+Sens!$C$12017)/(Sens!F11966+dil_gap)-Sens!G11956*roll_div_q/q_per_yr</f>
        <v>401.161392769899</v>
      </c>
      <c r="L12018" s="1" t="s">
        <v>1263</v>
      </c>
    </row>
    <row r="12019" customFormat="false" ht="17.15" hidden="false" customHeight="false" outlineLevel="0" collapsed="false">
      <c r="A12019" s="1" t="s">
        <v>1264</v>
      </c>
      <c r="B12019" s="0" t="s">
        <v>75</v>
      </c>
      <c r="C12019" s="5" t="n">
        <f aca="false">w_dcf*Sens!$C$11989+(1-w_dcf)*Sens!$C$12018</f>
        <v>340.580979738076</v>
      </c>
    </row>
    <row r="12020" customFormat="false" ht="17.15" hidden="false" customHeight="false" outlineLevel="0" collapsed="false">
      <c r="A12020" s="3" t="s">
        <v>1780</v>
      </c>
    </row>
    <row r="12021" customFormat="false" ht="15" hidden="false" customHeight="false" outlineLevel="0" collapsed="false">
      <c r="A12021" s="4" t="s">
        <v>43</v>
      </c>
      <c r="B12021" s="4" t="s">
        <v>65</v>
      </c>
      <c r="C12021" s="23" t="s">
        <v>938</v>
      </c>
      <c r="D12021" s="23" t="s">
        <v>939</v>
      </c>
      <c r="E12021" s="23" t="s">
        <v>940</v>
      </c>
      <c r="F12021" s="23" t="s">
        <v>941</v>
      </c>
      <c r="G12021" s="23" t="s">
        <v>942</v>
      </c>
      <c r="H12021" s="23" t="s">
        <v>943</v>
      </c>
      <c r="I12021" s="23" t="s">
        <v>944</v>
      </c>
      <c r="J12021" s="23" t="s">
        <v>945</v>
      </c>
      <c r="K12021" s="23" t="s">
        <v>946</v>
      </c>
      <c r="L12021" s="4" t="s">
        <v>47</v>
      </c>
    </row>
    <row r="12022" customFormat="false" ht="17.15" hidden="false" customHeight="false" outlineLevel="0" collapsed="false">
      <c r="A12022" s="1" t="s">
        <v>947</v>
      </c>
      <c r="B12022" s="1" t="s">
        <v>279</v>
      </c>
      <c r="C12022" s="21" t="n">
        <v>2024</v>
      </c>
      <c r="D12022" s="21" t="n">
        <v>2025</v>
      </c>
      <c r="E12022" s="21" t="n">
        <v>2026</v>
      </c>
      <c r="F12022" s="21" t="n">
        <v>2027</v>
      </c>
      <c r="G12022" s="21" t="n">
        <v>2028</v>
      </c>
      <c r="H12022" s="21" t="n">
        <v>2029</v>
      </c>
      <c r="I12022" s="21" t="n">
        <v>2030</v>
      </c>
      <c r="J12022" s="21" t="n">
        <v>2031</v>
      </c>
      <c r="K12022" s="21" t="n">
        <v>2032</v>
      </c>
    </row>
    <row r="12023" customFormat="false" ht="17.15" hidden="false" customHeight="false" outlineLevel="0" collapsed="false">
      <c r="A12023" s="1" t="s">
        <v>948</v>
      </c>
      <c r="B12023" s="0" t="s">
        <v>456</v>
      </c>
      <c r="F12023" s="30" t="n">
        <f aca="false">pace</f>
        <v>2726.5351</v>
      </c>
      <c r="G12023" s="30" t="n">
        <f aca="false">pace</f>
        <v>2726.5351</v>
      </c>
      <c r="H12023" s="30" t="n">
        <f aca="false">pace</f>
        <v>2726.5351</v>
      </c>
      <c r="I12023" s="30" t="n">
        <f aca="false">pace+(g_tv*Sens!H12024-pace)*MIN(1,(Sens!I12022-pace_y0)/(pace_y1-pace_y0))</f>
        <v>1931.98611966667</v>
      </c>
      <c r="J12023" s="30" t="n">
        <f aca="false">pace+(g_tv*Sens!I12024-pace)*MIN(1,(Sens!J12022-pace_y0)/(pace_y1-pace_y0))</f>
        <v>1176.07686172667</v>
      </c>
      <c r="K12023" s="30" t="n">
        <f aca="false">pace+(g_tv*Sens!J12024-pace)*MIN(1,(Sens!K12022-pace_y0)/(pace_y1-pace_y0))</f>
        <v>436.1300484418</v>
      </c>
      <c r="L12023" s="12" t="s">
        <v>949</v>
      </c>
    </row>
    <row r="12024" customFormat="false" ht="17.15" hidden="false" customHeight="false" outlineLevel="0" collapsed="false">
      <c r="A12024" s="1" t="s">
        <v>950</v>
      </c>
      <c r="B12024" s="0" t="s">
        <v>456</v>
      </c>
      <c r="C12024" s="30" t="n">
        <f aca="false">mw_ext_24</f>
        <v>640</v>
      </c>
      <c r="D12024" s="30" t="n">
        <f aca="false">mw_ext_25</f>
        <v>1630</v>
      </c>
      <c r="E12024" s="30" t="n">
        <f aca="false">mw_ext_26</f>
        <v>3250</v>
      </c>
      <c r="F12024" s="30" t="n">
        <f aca="false">Sens!E12024+Sens!F12023</f>
        <v>5976.5351</v>
      </c>
      <c r="G12024" s="30" t="n">
        <f aca="false">Sens!F12024+Sens!G12023</f>
        <v>8703.0702</v>
      </c>
      <c r="H12024" s="30" t="n">
        <f aca="false">Sens!G12024+Sens!H12023</f>
        <v>11429.6053</v>
      </c>
      <c r="I12024" s="30" t="n">
        <f aca="false">Sens!H12024+Sens!I12023</f>
        <v>13361.5914196667</v>
      </c>
      <c r="J12024" s="30" t="n">
        <f aca="false">Sens!I12024+Sens!J12023</f>
        <v>14537.6682813933</v>
      </c>
      <c r="K12024" s="30" t="n">
        <f aca="false">Sens!J12024+Sens!K12023</f>
        <v>14973.7983298351</v>
      </c>
      <c r="L12024" s="1" t="s">
        <v>951</v>
      </c>
    </row>
    <row r="12025" customFormat="false" ht="17.15" hidden="false" customHeight="false" outlineLevel="0" collapsed="false">
      <c r="A12025" s="1" t="s">
        <v>952</v>
      </c>
      <c r="B12025" s="0" t="s">
        <v>456</v>
      </c>
      <c r="C12025" s="30" t="n">
        <f aca="false">rent_ext_24</f>
        <v>150</v>
      </c>
      <c r="D12025" s="30" t="n">
        <f aca="false">rent_ext_25</f>
        <v>400</v>
      </c>
      <c r="E12025" s="30" t="n">
        <f aca="false">rent_ext_26</f>
        <v>550</v>
      </c>
      <c r="F12025" s="30" t="n">
        <f aca="false">rent_ext_f</f>
        <v>756</v>
      </c>
      <c r="G12025" s="30" t="n">
        <f aca="false">rent_ext_f</f>
        <v>756</v>
      </c>
      <c r="H12025" s="30" t="n">
        <f aca="false">rent_ext_f</f>
        <v>756</v>
      </c>
      <c r="I12025" s="30" t="n">
        <f aca="false">rent_ext_f</f>
        <v>756</v>
      </c>
      <c r="J12025" s="30" t="n">
        <f aca="false">rent_ext_f</f>
        <v>756</v>
      </c>
      <c r="K12025" s="30" t="n">
        <f aca="false">rent_ext_f</f>
        <v>756</v>
      </c>
      <c r="L12025" s="1" t="s">
        <v>953</v>
      </c>
    </row>
    <row r="12026" customFormat="false" ht="17.15" hidden="false" customHeight="false" outlineLevel="0" collapsed="false">
      <c r="A12026" s="1" t="s">
        <v>954</v>
      </c>
      <c r="B12026" s="0" t="s">
        <v>456</v>
      </c>
      <c r="C12026" s="30" t="n">
        <f aca="false">Sens!C12024-Sens!C12025</f>
        <v>490</v>
      </c>
      <c r="D12026" s="30" t="n">
        <f aca="false">Sens!D12024-Sens!D12025</f>
        <v>1230</v>
      </c>
      <c r="E12026" s="30" t="n">
        <f aca="false">Sens!E12024-Sens!E12025</f>
        <v>2700</v>
      </c>
      <c r="F12026" s="30" t="n">
        <f aca="false">Sens!F12024-Sens!F12025</f>
        <v>5220.5351</v>
      </c>
      <c r="G12026" s="30" t="n">
        <f aca="false">Sens!G12024-Sens!G12025</f>
        <v>7947.0702</v>
      </c>
      <c r="H12026" s="30" t="n">
        <f aca="false">Sens!H12024-Sens!H12025</f>
        <v>10673.6053</v>
      </c>
      <c r="I12026" s="30" t="n">
        <f aca="false">Sens!I12024-Sens!I12025</f>
        <v>12605.5914196667</v>
      </c>
      <c r="J12026" s="30" t="n">
        <f aca="false">Sens!J12024-Sens!J12025</f>
        <v>13781.6682813933</v>
      </c>
      <c r="K12026" s="30" t="n">
        <f aca="false">Sens!K12024-Sens!K12025</f>
        <v>14217.7983298351</v>
      </c>
    </row>
    <row r="12027" customFormat="false" ht="17.15" hidden="false" customHeight="false" outlineLevel="0" collapsed="false">
      <c r="A12027" s="1" t="s">
        <v>955</v>
      </c>
      <c r="B12027" s="0" t="s">
        <v>456</v>
      </c>
      <c r="C12027" s="30" t="n">
        <f aca="false">Sens!C12026/ext_sh</f>
        <v>816.666666666667</v>
      </c>
      <c r="D12027" s="30" t="n">
        <f aca="false">Sens!D12026/ext_sh</f>
        <v>2050</v>
      </c>
      <c r="E12027" s="30" t="n">
        <f aca="false">Sens!E12026/ext_sh</f>
        <v>4500</v>
      </c>
      <c r="F12027" s="30" t="n">
        <f aca="false">Sens!F12026/ext_sh</f>
        <v>8700.89183333333</v>
      </c>
      <c r="G12027" s="30" t="n">
        <f aca="false">Sens!G12026/ext_sh</f>
        <v>13245.117</v>
      </c>
      <c r="H12027" s="30" t="n">
        <f aca="false">Sens!H12026/ext_sh</f>
        <v>17789.3421666667</v>
      </c>
      <c r="I12027" s="30" t="n">
        <f aca="false">Sens!I12026/ext_sh</f>
        <v>21009.3190327778</v>
      </c>
      <c r="J12027" s="30" t="n">
        <f aca="false">Sens!J12026/ext_sh</f>
        <v>22969.4471356556</v>
      </c>
      <c r="K12027" s="30" t="n">
        <f aca="false">Sens!K12026/ext_sh</f>
        <v>23696.3305497252</v>
      </c>
      <c r="L12027" s="1" t="s">
        <v>956</v>
      </c>
    </row>
    <row r="12028" customFormat="false" ht="17.15" hidden="false" customHeight="false" outlineLevel="0" collapsed="false">
      <c r="A12028" s="1" t="s">
        <v>957</v>
      </c>
      <c r="B12028" s="0" t="s">
        <v>456</v>
      </c>
      <c r="C12028" s="30" t="n">
        <f aca="false">Sens!C12027-Sens!C12026</f>
        <v>326.666666666667</v>
      </c>
      <c r="D12028" s="30" t="n">
        <f aca="false">Sens!D12027-Sens!D12026</f>
        <v>820</v>
      </c>
      <c r="E12028" s="30" t="n">
        <f aca="false">Sens!E12027-Sens!E12026</f>
        <v>1800</v>
      </c>
      <c r="F12028" s="30" t="n">
        <f aca="false">Sens!F12027-Sens!F12026</f>
        <v>3480.35673333333</v>
      </c>
      <c r="G12028" s="30" t="n">
        <f aca="false">Sens!G12027-Sens!G12026</f>
        <v>5298.0468</v>
      </c>
      <c r="H12028" s="30" t="n">
        <f aca="false">Sens!H12027-Sens!H12026</f>
        <v>7115.73686666667</v>
      </c>
      <c r="I12028" s="30" t="n">
        <f aca="false">Sens!I12027-Sens!I12026</f>
        <v>8403.72761311111</v>
      </c>
      <c r="J12028" s="30" t="n">
        <f aca="false">Sens!J12027-Sens!J12026</f>
        <v>9187.77885426222</v>
      </c>
      <c r="K12028" s="30" t="n">
        <f aca="false">Sens!K12027-Sens!K12026</f>
        <v>9478.53221989009</v>
      </c>
    </row>
    <row r="12029" customFormat="false" ht="17.15" hidden="false" customHeight="false" outlineLevel="0" collapsed="false">
      <c r="A12029" s="1" t="s">
        <v>958</v>
      </c>
      <c r="B12029" s="0" t="s">
        <v>456</v>
      </c>
      <c r="C12029" s="30" t="n">
        <f aca="false">Sens!C12027</f>
        <v>816.666666666667</v>
      </c>
      <c r="D12029" s="30" t="n">
        <f aca="false">Sens!D12027-Sens!C12027</f>
        <v>1233.33333333333</v>
      </c>
      <c r="E12029" s="30" t="n">
        <f aca="false">Sens!E12027-Sens!D12027</f>
        <v>2450</v>
      </c>
      <c r="F12029" s="30" t="n">
        <f aca="false">Sens!F12027-Sens!E12027</f>
        <v>4200.89183333333</v>
      </c>
      <c r="G12029" s="30" t="n">
        <f aca="false">Sens!G12027-Sens!F12027</f>
        <v>4544.22516666667</v>
      </c>
      <c r="H12029" s="30" t="n">
        <f aca="false">Sens!H12027-Sens!G12027</f>
        <v>4544.22516666667</v>
      </c>
      <c r="I12029" s="30" t="n">
        <f aca="false">Sens!I12027-Sens!H12027</f>
        <v>3219.97686611111</v>
      </c>
      <c r="J12029" s="30" t="n">
        <f aca="false">Sens!J12027-Sens!I12027</f>
        <v>1960.12810287778</v>
      </c>
      <c r="K12029" s="30" t="n">
        <f aca="false">Sens!K12027-Sens!J12027</f>
        <v>726.883414069667</v>
      </c>
    </row>
    <row r="12030" customFormat="false" ht="17.15" hidden="false" customHeight="false" outlineLevel="0" collapsed="false">
      <c r="A12030" s="1" t="s">
        <v>959</v>
      </c>
      <c r="B12030" s="0" t="s">
        <v>456</v>
      </c>
      <c r="D12030" s="30" t="n">
        <f aca="false">Sens!D12024-Sens!C12024</f>
        <v>990</v>
      </c>
      <c r="E12030" s="30" t="n">
        <f aca="false">Sens!E12024-Sens!D12024</f>
        <v>1620</v>
      </c>
      <c r="F12030" s="30" t="n">
        <f aca="false">Sens!F12024-Sens!E12024</f>
        <v>2726.5351</v>
      </c>
      <c r="G12030" s="30" t="n">
        <f aca="false">Sens!G12024-Sens!F12024</f>
        <v>2726.5351</v>
      </c>
      <c r="H12030" s="30" t="n">
        <f aca="false">Sens!H12024-Sens!G12024</f>
        <v>2726.5351</v>
      </c>
      <c r="I12030" s="30" t="n">
        <f aca="false">Sens!I12024-Sens!H12024</f>
        <v>1931.98611966667</v>
      </c>
      <c r="J12030" s="30" t="n">
        <f aca="false">Sens!J12024-Sens!I12024</f>
        <v>1176.07686172667</v>
      </c>
      <c r="K12030" s="30" t="n">
        <f aca="false">Sens!K12024-Sens!J12024</f>
        <v>436.130048441799</v>
      </c>
    </row>
    <row r="12031" customFormat="false" ht="17.15" hidden="false" customHeight="false" outlineLevel="0" collapsed="false">
      <c r="A12031" s="1" t="s">
        <v>960</v>
      </c>
      <c r="B12031" s="0" t="s">
        <v>456</v>
      </c>
      <c r="F12031" s="30" t="n">
        <f aca="false">Sens!F12050*ext_sh</f>
        <v>0</v>
      </c>
      <c r="G12031" s="30" t="n">
        <f aca="false">Sens!G12050*ext_sh</f>
        <v>0</v>
      </c>
      <c r="H12031" s="30" t="n">
        <f aca="false">Sens!H12050*ext_sh</f>
        <v>0</v>
      </c>
      <c r="I12031" s="30" t="n">
        <f aca="false">Sens!I12050*ext_sh</f>
        <v>490</v>
      </c>
      <c r="J12031" s="30" t="n">
        <f aca="false">Sens!J12050*ext_sh</f>
        <v>740</v>
      </c>
      <c r="K12031" s="30" t="n">
        <f aca="false">Sens!K12050*ext_sh</f>
        <v>1470</v>
      </c>
      <c r="L12031" s="1" t="s">
        <v>961</v>
      </c>
    </row>
    <row r="12032" customFormat="false" ht="17.15" hidden="false" customHeight="false" outlineLevel="0" collapsed="false">
      <c r="A12032" s="1" t="s">
        <v>962</v>
      </c>
      <c r="B12032" s="0" t="s">
        <v>456</v>
      </c>
      <c r="C12032" s="30" t="n">
        <f aca="false">mix_h*Sens!C12024</f>
        <v>128</v>
      </c>
      <c r="D12032" s="30" t="n">
        <f aca="false">mix_h*Sens!D12024</f>
        <v>326</v>
      </c>
      <c r="E12032" s="30" t="n">
        <f aca="false">mix_h*Sens!E12024</f>
        <v>650</v>
      </c>
      <c r="F12032" s="30" t="n">
        <f aca="false">Sens!E12032-Sens!F12031*mix_h</f>
        <v>650</v>
      </c>
      <c r="G12032" s="30" t="n">
        <f aca="false">Sens!F12032-Sens!G12031*mix_h</f>
        <v>650</v>
      </c>
      <c r="H12032" s="30" t="n">
        <f aca="false">Sens!G12032-Sens!H12031*mix_h</f>
        <v>650</v>
      </c>
      <c r="I12032" s="30" t="n">
        <f aca="false">Sens!H12032-Sens!I12031*mix_h</f>
        <v>552</v>
      </c>
      <c r="J12032" s="30" t="n">
        <f aca="false">Sens!I12032-Sens!J12031*mix_h</f>
        <v>404</v>
      </c>
      <c r="K12032" s="30" t="n">
        <f aca="false">Sens!J12032-Sens!K12031*mix_h</f>
        <v>110</v>
      </c>
    </row>
    <row r="12033" customFormat="false" ht="17.15" hidden="false" customHeight="false" outlineLevel="0" collapsed="false">
      <c r="A12033" s="1" t="s">
        <v>963</v>
      </c>
      <c r="B12033" s="0" t="s">
        <v>456</v>
      </c>
      <c r="C12033" s="30" t="n">
        <f aca="false">mix_g2*Sens!C12024</f>
        <v>288</v>
      </c>
      <c r="D12033" s="30" t="n">
        <f aca="false">mix_g2*Sens!D12024</f>
        <v>733.5</v>
      </c>
      <c r="E12033" s="30" t="n">
        <f aca="false">mix_g2*Sens!E12024</f>
        <v>1462.5</v>
      </c>
      <c r="F12033" s="30" t="n">
        <f aca="false">Sens!E12033-Sens!F12031*mix_g2</f>
        <v>1462.5</v>
      </c>
      <c r="G12033" s="30" t="n">
        <f aca="false">Sens!F12033-Sens!G12031*mix_g2</f>
        <v>1462.5</v>
      </c>
      <c r="H12033" s="30" t="n">
        <f aca="false">Sens!G12033-Sens!H12031*mix_g2</f>
        <v>1462.5</v>
      </c>
      <c r="I12033" s="30" t="n">
        <f aca="false">Sens!H12033-Sens!I12031*mix_g2</f>
        <v>1242</v>
      </c>
      <c r="J12033" s="30" t="n">
        <f aca="false">Sens!I12033-Sens!J12031*mix_g2</f>
        <v>909</v>
      </c>
      <c r="K12033" s="30" t="n">
        <f aca="false">Sens!J12033-Sens!K12031*mix_g2</f>
        <v>247.5</v>
      </c>
    </row>
    <row r="12034" customFormat="false" ht="17.15" hidden="false" customHeight="false" outlineLevel="0" collapsed="false">
      <c r="A12034" s="1" t="s">
        <v>964</v>
      </c>
      <c r="B12034" s="0" t="s">
        <v>456</v>
      </c>
      <c r="C12034" s="30" t="n">
        <f aca="false">mix_g3*Sens!C12024</f>
        <v>224</v>
      </c>
      <c r="D12034" s="30" t="n">
        <f aca="false">mix_g3*Sens!D12024</f>
        <v>570.5</v>
      </c>
      <c r="E12034" s="30" t="n">
        <f aca="false">mix_g3*Sens!E12024</f>
        <v>1137.5</v>
      </c>
      <c r="F12034" s="30" t="n">
        <f aca="false">Sens!E12034+(Sens!F12030+Sens!F12031)*(a_g3_27-nonnv*a_mai)-Sens!F12031*mix_g3</f>
        <v>2773.42106</v>
      </c>
      <c r="G12034" s="30" t="n">
        <f aca="false">Sens!F12034+(Sens!G12030+Sens!G12031)*(a_g3_28-nonnv*a_mai)-Sens!G12031*mix_g3</f>
        <v>3318.72808</v>
      </c>
      <c r="H12034" s="30" t="n">
        <f aca="false">Sens!G12034+(Sens!H12030+Sens!H12031)*(a_g3_29-nonnv*a_mai)-Sens!H12031*mix_g3</f>
        <v>3318.72808</v>
      </c>
      <c r="I12034" s="30" t="n">
        <f aca="false">Sens!H12034+(Sens!I12030+Sens!I12031)*(a_g3_29-nonnv*a_mai)-Sens!I12031*mix_g3</f>
        <v>3147.22808</v>
      </c>
      <c r="J12034" s="30" t="n">
        <f aca="false">Sens!I12034+(Sens!J12030+Sens!J12031)*(a_g3_29-nonnv*a_mai)-Sens!J12031*mix_g3</f>
        <v>2888.22808</v>
      </c>
      <c r="K12034" s="30" t="n">
        <f aca="false">Sens!J12034+(Sens!K12030+Sens!K12031)*(a_g3_29-nonnv*a_mai)-Sens!K12031*mix_g3</f>
        <v>2373.72808</v>
      </c>
    </row>
    <row r="12035" customFormat="false" ht="17.15" hidden="false" customHeight="false" outlineLevel="0" collapsed="false">
      <c r="A12035" s="1" t="s">
        <v>965</v>
      </c>
      <c r="B12035" s="0" t="s">
        <v>456</v>
      </c>
      <c r="C12035" s="30" t="n">
        <v>0</v>
      </c>
      <c r="D12035" s="30" t="n">
        <v>0</v>
      </c>
      <c r="E12035" s="30" t="n">
        <v>0</v>
      </c>
      <c r="F12035" s="30" t="n">
        <f aca="false">Sens!E12035+(Sens!F12030+Sens!F12031)*nonnv*a_mai</f>
        <v>272.65351</v>
      </c>
      <c r="G12035" s="30" t="n">
        <f aca="false">Sens!F12035+(Sens!G12030+Sens!G12031)*nonnv*a_mai</f>
        <v>545.30702</v>
      </c>
      <c r="H12035" s="30" t="n">
        <f aca="false">Sens!G12035+(Sens!H12030+Sens!H12031)*nonnv*a_mai</f>
        <v>817.96053</v>
      </c>
      <c r="I12035" s="30" t="n">
        <f aca="false">Sens!H12035+(Sens!I12030+Sens!I12031)*nonnv*a_mai</f>
        <v>1060.15914196667</v>
      </c>
      <c r="J12035" s="30" t="n">
        <f aca="false">Sens!I12035+(Sens!J12030+Sens!J12031)*nonnv*a_mai</f>
        <v>1251.76682813933</v>
      </c>
      <c r="K12035" s="30" t="n">
        <f aca="false">Sens!J12035+(Sens!K12030+Sens!K12031)*nonnv*a_mai</f>
        <v>1442.37983298351</v>
      </c>
      <c r="L12035" s="12" t="s">
        <v>966</v>
      </c>
    </row>
    <row r="12036" customFormat="false" ht="17.15" hidden="false" customHeight="false" outlineLevel="0" collapsed="false">
      <c r="A12036" s="1" t="s">
        <v>967</v>
      </c>
      <c r="B12036" s="0" t="s">
        <v>456</v>
      </c>
      <c r="C12036" s="30" t="n">
        <v>0</v>
      </c>
      <c r="D12036" s="30" t="n">
        <v>0</v>
      </c>
      <c r="E12036" s="30" t="n">
        <v>0</v>
      </c>
      <c r="F12036" s="30" t="n">
        <f aca="false">Sens!E12036+(Sens!F12030+Sens!F12031)*(1-a_g3_27)</f>
        <v>817.96053</v>
      </c>
      <c r="G12036" s="30" t="n">
        <f aca="false">Sens!F12036+(Sens!G12030+Sens!G12031)*(1-a_g3_28)</f>
        <v>2726.5351</v>
      </c>
      <c r="H12036" s="30" t="n">
        <f aca="false">Sens!G12036+(Sens!H12030+Sens!H12031)*(1-a_g3_29)</f>
        <v>5180.41669</v>
      </c>
      <c r="I12036" s="30" t="n">
        <f aca="false">Sens!H12036+(Sens!I12030+Sens!I12031)*(1-a_g3_29)</f>
        <v>7360.2041977</v>
      </c>
      <c r="J12036" s="30" t="n">
        <f aca="false">Sens!I12036+(Sens!J12030+Sens!J12031)*(1-a_g3_29)</f>
        <v>9084.673373254</v>
      </c>
      <c r="K12036" s="30" t="n">
        <f aca="false">Sens!J12036+(Sens!K12030+Sens!K12031)*(1-a_g3_29)</f>
        <v>10800.1904168516</v>
      </c>
    </row>
    <row r="12037" customFormat="false" ht="17.15" hidden="false" customHeight="false" outlineLevel="0" collapsed="false">
      <c r="A12037" s="1" t="s">
        <v>968</v>
      </c>
      <c r="B12037" s="0" t="s">
        <v>403</v>
      </c>
      <c r="C12037" s="15" t="n">
        <f aca="false">(Sens!C12032*tk_hold_h100+Sens!C12033*tk_hold_gb200+Sens!C12034*tk_hold_gb300+Sens!C12036*tk_hold_vr200+Sens!C12035*nv_hold_mai*tk_hold_vr200)/Sens!C12024</f>
        <v>9.7235358126469</v>
      </c>
      <c r="D12037" s="15" t="n">
        <f aca="false">(Sens!D12032*tk_hold_h100+Sens!D12033*tk_hold_gb200+Sens!D12034*tk_hold_gb300+Sens!D12036*tk_hold_vr200+Sens!D12035*nv_hold_mai*tk_hold_vr200)/Sens!D12024</f>
        <v>9.7235358126469</v>
      </c>
      <c r="E12037" s="15" t="n">
        <f aca="false">(Sens!E12032*tk_hold_h100+Sens!E12033*tk_hold_gb200+Sens!E12034*tk_hold_gb300+Sens!E12036*tk_hold_vr200+Sens!E12035*nv_hold_mai*tk_hold_vr200)/Sens!E12024</f>
        <v>9.7235358126469</v>
      </c>
      <c r="F12037" s="15" t="n">
        <f aca="false">(Sens!F12032*tk_hold_h100+Sens!F12033*tk_hold_gb200+Sens!F12034*tk_hold_gb300+Sens!F12036*tk_hold_vr200+Sens!F12035*nv_hold_mai*tk_hold_vr200)/Sens!F12024</f>
        <v>10.2195353876665</v>
      </c>
      <c r="G12037" s="15" t="n">
        <f aca="false">(Sens!G12032*tk_hold_h100+Sens!G12033*tk_hold_gb200+Sens!G12034*tk_hold_gb300+Sens!G12036*tk_hold_vr200+Sens!G12035*nv_hold_mai*tk_hold_vr200)/Sens!G12024</f>
        <v>10.5725598017306</v>
      </c>
      <c r="H12037" s="15" t="n">
        <f aca="false">(Sens!H12032*tk_hold_h100+Sens!H12033*tk_hold_gb200+Sens!H12034*tk_hold_gb300+Sens!H12036*tk_hold_vr200+Sens!H12035*nv_hold_mai*tk_hold_vr200)/Sens!H12024</f>
        <v>10.8210427149036</v>
      </c>
      <c r="I12037" s="15" t="n">
        <f aca="false">(Sens!I12032*tk_hold_h100+Sens!I12033*tk_hold_gb200+Sens!I12034*tk_hold_gb300+Sens!I12036*tk_hold_vr200+Sens!I12035*nv_hold_mai*tk_hold_vr200)/Sens!I12024</f>
        <v>11.0050618241982</v>
      </c>
      <c r="J12037" s="15" t="n">
        <f aca="false">(Sens!J12032*tk_hold_h100+Sens!J12033*tk_hold_gb200+Sens!J12034*tk_hold_gb300+Sens!J12036*tk_hold_vr200+Sens!J12035*nv_hold_mai*tk_hold_vr200)/Sens!J12024</f>
        <v>11.1505789658881</v>
      </c>
      <c r="K12037" s="15" t="n">
        <f aca="false">(Sens!K12032*tk_hold_h100+Sens!K12033*tk_hold_gb200+Sens!K12034*tk_hold_gb300+Sens!K12036*tk_hold_vr200+Sens!K12035*nv_hold_mai*tk_hold_vr200)/Sens!K12024</f>
        <v>11.3496914757183</v>
      </c>
      <c r="L12037" s="1" t="s">
        <v>969</v>
      </c>
    </row>
    <row r="12038" customFormat="false" ht="17.15" hidden="false" customHeight="false" outlineLevel="0" collapsed="false">
      <c r="A12038" s="1" t="s">
        <v>970</v>
      </c>
      <c r="B12038" s="0" t="s">
        <v>403</v>
      </c>
      <c r="C12038" s="15" t="n">
        <f aca="false">(Sens!C12032*tk_hold_h100+Sens!C12033*tk_hold_gb200+Sens!C12034*tk_hold_gb300+Sens!C12036*tk_hold_vr200+Sens!C12035*nv_out_mai*tk_hold_vr200)/Sens!C12024</f>
        <v>9.7235358126469</v>
      </c>
      <c r="D12038" s="15" t="n">
        <f aca="false">(Sens!D12032*tk_hold_h100+Sens!D12033*tk_hold_gb200+Sens!D12034*tk_hold_gb300+Sens!D12036*tk_hold_vr200+Sens!D12035*nv_out_mai*tk_hold_vr200)/Sens!D12024</f>
        <v>9.7235358126469</v>
      </c>
      <c r="E12038" s="15" t="n">
        <f aca="false">(Sens!E12032*tk_hold_h100+Sens!E12033*tk_hold_gb200+Sens!E12034*tk_hold_gb300+Sens!E12036*tk_hold_vr200+Sens!E12035*nv_out_mai*tk_hold_vr200)/Sens!E12024</f>
        <v>9.7235358126469</v>
      </c>
      <c r="F12038" s="15" t="n">
        <f aca="false">(Sens!F12032*tk_hold_h100+Sens!F12033*tk_hold_gb200+Sens!F12034*tk_hold_gb300+Sens!F12036*tk_hold_vr200+Sens!F12035*nv_out_mai*tk_hold_vr200)/Sens!F12024</f>
        <v>10.247422093969</v>
      </c>
      <c r="G12038" s="15" t="n">
        <f aca="false">(Sens!G12032*tk_hold_h100+Sens!G12033*tk_hold_gb200+Sens!G12034*tk_hold_gb300+Sens!G12036*tk_hold_vr200+Sens!G12035*nv_out_mai*tk_hold_vr200)/Sens!G12024</f>
        <v>10.6108602808053</v>
      </c>
      <c r="H12038" s="15" t="n">
        <f aca="false">(Sens!H12032*tk_hold_h100+Sens!H12033*tk_hold_gb200+Sens!H12034*tk_hold_gb300+Sens!H12036*tk_hold_vr200+Sens!H12035*nv_out_mai*tk_hold_vr200)/Sens!H12024</f>
        <v>10.8647885507393</v>
      </c>
      <c r="I12038" s="15" t="n">
        <f aca="false">(Sens!I12032*tk_hold_h100+Sens!I12033*tk_hold_gb200+Sens!I12034*tk_hold_gb300+Sens!I12036*tk_hold_vr200+Sens!I12035*nv_out_mai*tk_hold_vr200)/Sens!I12024</f>
        <v>11.0535625770025</v>
      </c>
      <c r="J12038" s="15" t="n">
        <f aca="false">(Sens!J12032*tk_hold_h100+Sens!J12033*tk_hold_gb200+Sens!J12034*tk_hold_gb300+Sens!J12036*tk_hold_vr200+Sens!J12035*nv_out_mai*tk_hold_vr200)/Sens!J12024</f>
        <v>11.2032127128058</v>
      </c>
      <c r="K12038" s="15" t="n">
        <f aca="false">(Sens!K12032*tk_hold_h100+Sens!K12033*tk_hold_gb200+Sens!K12034*tk_hold_gb300+Sens!K12036*tk_hold_vr200+Sens!K12035*nv_out_mai*tk_hold_vr200)/Sens!K12024</f>
        <v>11.4085735724225</v>
      </c>
      <c r="L12038" s="12" t="s">
        <v>971</v>
      </c>
    </row>
    <row r="12039" customFormat="false" ht="17.15" hidden="false" customHeight="false" outlineLevel="0" collapsed="false">
      <c r="A12039" s="0" t="s">
        <v>972</v>
      </c>
      <c r="B12039" s="0" t="s">
        <v>229</v>
      </c>
      <c r="C12039" s="15" t="n">
        <f aca="false">k_B</f>
        <v>1.17213932619116</v>
      </c>
      <c r="D12039" s="15" t="n">
        <f aca="false">k_B</f>
        <v>1.17213932619116</v>
      </c>
      <c r="E12039" s="15" t="n">
        <f aca="false">k_B</f>
        <v>1.17213932619116</v>
      </c>
      <c r="F12039" s="15" t="n">
        <f aca="false">(k_B+((ls_A*k_long+(1-ls_A)*k_spot)-k_B)*MIN(1,(Sens!F12022-base_fy)/k_ramp))</f>
        <v>1.25022828131298</v>
      </c>
      <c r="G12039" s="15" t="n">
        <f aca="false">(k_B+((ls_A*k_long+(1-ls_A)*k_spot)-k_B)*MIN(1,(Sens!G12022-base_fy)/k_ramp))</f>
        <v>1.3283172364348</v>
      </c>
      <c r="H12039" s="15" t="n">
        <f aca="false">(k_B+((ls_A*k_long+(1-ls_A)*k_spot)-k_B)*MIN(1,(Sens!H12022-base_fy)/k_ramp))</f>
        <v>1.40640619155662</v>
      </c>
      <c r="I12039" s="15" t="n">
        <f aca="false">(k_B+((ls_A*k_long+(1-ls_A)*k_spot)-k_B)*MIN(1,(Sens!I12022-base_fy)/k_ramp))</f>
        <v>1.40640619155662</v>
      </c>
      <c r="J12039" s="15" t="n">
        <f aca="false">(k_B+((ls_A*k_long+(1-ls_A)*k_spot)-k_B)*MIN(1,(Sens!J12022-base_fy)/k_ramp))</f>
        <v>1.40640619155662</v>
      </c>
      <c r="K12039" s="15" t="n">
        <f aca="false">(k_B+((ls_A*k_long+(1-ls_A)*k_spot)-k_B)*MIN(1,(Sens!K12022-base_fy)/k_ramp))</f>
        <v>1.40640619155662</v>
      </c>
      <c r="L12039" s="1" t="s">
        <v>973</v>
      </c>
    </row>
    <row r="12040" customFormat="false" ht="17.15" hidden="false" customHeight="false" outlineLevel="0" collapsed="false">
      <c r="A12040" s="1" t="s">
        <v>974</v>
      </c>
      <c r="B12040" s="0" t="s">
        <v>403</v>
      </c>
      <c r="C12040" s="15" t="n">
        <f aca="false">Sens!C12038*Sens!C12039*chip_f</f>
        <v>11.3973387156315</v>
      </c>
      <c r="D12040" s="15" t="n">
        <f aca="false">Sens!D12038*Sens!D12039*chip_f</f>
        <v>11.3973387156315</v>
      </c>
      <c r="E12040" s="15" t="n">
        <f aca="false">Sens!E12038*Sens!E12039*chip_f</f>
        <v>11.3973387156315</v>
      </c>
      <c r="F12040" s="15" t="n">
        <f aca="false">Sens!F12038*Sens!F12039*chip_f</f>
        <v>12.8116169124314</v>
      </c>
      <c r="G12040" s="15" t="n">
        <f aca="false">Sens!G12038*Sens!G12039*chip_f</f>
        <v>14.094588604395</v>
      </c>
      <c r="H12040" s="15" t="n">
        <f aca="false">Sens!H12038*Sens!H12039*chip_f</f>
        <v>15.2803058877132</v>
      </c>
      <c r="I12040" s="15" t="n">
        <f aca="false">Sens!I12038*Sens!I12039*chip_f</f>
        <v>15.5457988470549</v>
      </c>
      <c r="J12040" s="15" t="n">
        <f aca="false">Sens!J12038*Sens!J12039*chip_f</f>
        <v>15.7562677246158</v>
      </c>
      <c r="K12040" s="15" t="n">
        <f aca="false">Sens!K12038*Sens!K12039*chip_f</f>
        <v>16.0450885090842</v>
      </c>
      <c r="L12040" s="1" t="s">
        <v>975</v>
      </c>
    </row>
    <row r="12041" customFormat="false" ht="17.15" hidden="false" customHeight="false" outlineLevel="0" collapsed="false">
      <c r="A12041" s="0" t="s">
        <v>976</v>
      </c>
      <c r="B12041" s="0" t="s">
        <v>98</v>
      </c>
      <c r="D12041" s="6" t="n">
        <f aca="false">(Sens!C12024+Sens!D12024)/2*Sens!D12040/1000</f>
        <v>12.9359794422418</v>
      </c>
      <c r="E12041" s="6" t="n">
        <f aca="false">(Sens!D12024+Sens!E12024)/2*Sens!E12040/1000</f>
        <v>27.8095064661409</v>
      </c>
      <c r="F12041" s="6" t="n">
        <f aca="false">(Sens!E12024+Sens!F12024)/2*Sens!F12040/1000</f>
        <v>59.1034165651511</v>
      </c>
      <c r="G12041" s="6" t="n">
        <f aca="false">(Sens!F12024+Sens!G12024)/2*Sens!G12040/1000</f>
        <v>103.451498789198</v>
      </c>
      <c r="H12041" s="6" t="n">
        <f aca="false">(Sens!G12024+Sens!H12024)/2*Sens!H12040/1000</f>
        <v>153.816719989035</v>
      </c>
      <c r="I12041" s="6" t="n">
        <f aca="false">(Sens!H12024+Sens!I12024)/2*Sens!I12040/1000</f>
        <v>192.699478690852</v>
      </c>
      <c r="J12041" s="6" t="n">
        <f aca="false">(Sens!I12024+Sens!J12024)/2*Sens!J12040/1000</f>
        <v>219.794102584244</v>
      </c>
      <c r="K12041" s="6" t="n">
        <f aca="false">(Sens!J12024+Sens!K12024)/2*Sens!K12040/1000</f>
        <v>236.757046905022</v>
      </c>
      <c r="L12041" s="12" t="s">
        <v>977</v>
      </c>
    </row>
    <row r="12042" customFormat="false" ht="17.15" hidden="false" customHeight="false" outlineLevel="0" collapsed="false">
      <c r="A12042" s="1" t="s">
        <v>978</v>
      </c>
      <c r="B12042" s="0" t="s">
        <v>403</v>
      </c>
      <c r="C12042" s="15" t="n">
        <f aca="false">(Sens!C12032*tk_opex_h100+Sens!C12033*tk_opex_gb200+Sens!C12034*tk_opex_gb300+(Sens!C12036+Sens!C12035)*tk_opex_vr200)/Sens!C12024</f>
        <v>1.88636041306092</v>
      </c>
      <c r="D12042" s="15" t="n">
        <f aca="false">(Sens!D12032*tk_opex_h100+Sens!D12033*tk_opex_gb200+Sens!D12034*tk_opex_gb300+(Sens!D12036+Sens!D12035)*tk_opex_vr200)/Sens!D12024</f>
        <v>1.88636041306092</v>
      </c>
      <c r="E12042" s="15" t="n">
        <f aca="false">(Sens!E12032*tk_opex_h100+Sens!E12033*tk_opex_gb200+Sens!E12034*tk_opex_gb300+(Sens!E12036+Sens!E12035)*tk_opex_vr200)/Sens!E12024</f>
        <v>1.88636041306092</v>
      </c>
      <c r="F12042" s="15" t="n">
        <f aca="false">(Sens!F12032*tk_opex_h100+Sens!F12033*tk_opex_gb200+Sens!F12034*tk_opex_gb300+(Sens!F12036+Sens!F12035)*tk_opex_vr200)/Sens!F12024</f>
        <v>1.95051159746876</v>
      </c>
      <c r="G12042" s="15" t="n">
        <f aca="false">(Sens!G12032*tk_opex_h100+Sens!G12033*tk_opex_gb200+Sens!G12034*tk_opex_gb300+(Sens!G12036+Sens!G12035)*tk_opex_vr200)/Sens!G12024</f>
        <v>1.98836003669956</v>
      </c>
      <c r="H12042" s="15" t="n">
        <f aca="false">(Sens!H12032*tk_opex_h100+Sens!H12033*tk_opex_gb200+Sens!H12034*tk_opex_gb300+(Sens!H12036+Sens!H12035)*tk_opex_vr200)/Sens!H12024</f>
        <v>2.01344013834343</v>
      </c>
      <c r="I12042" s="15" t="n">
        <f aca="false">(Sens!I12032*tk_opex_h100+Sens!I12033*tk_opex_gb200+Sens!I12034*tk_opex_gb300+(Sens!I12036+Sens!I12035)*tk_opex_vr200)/Sens!I12024</f>
        <v>2.03261166882178</v>
      </c>
      <c r="J12042" s="15" t="n">
        <f aca="false">(Sens!J12032*tk_opex_h100+Sens!J12033*tk_opex_gb200+Sens!J12034*tk_opex_gb300+(Sens!J12036+Sens!J12035)*tk_opex_vr200)/Sens!J12024</f>
        <v>2.04808073288745</v>
      </c>
      <c r="K12042" s="15" t="n">
        <f aca="false">(Sens!K12032*tk_opex_h100+Sens!K12033*tk_opex_gb200+Sens!K12034*tk_opex_gb300+(Sens!K12036+Sens!K12035)*tk_opex_vr200)/Sens!K12024</f>
        <v>2.06973825807449</v>
      </c>
      <c r="L12042" s="12" t="s">
        <v>979</v>
      </c>
    </row>
    <row r="12043" customFormat="false" ht="17.15" hidden="false" customHeight="false" outlineLevel="0" collapsed="false">
      <c r="A12043" s="0" t="s">
        <v>980</v>
      </c>
      <c r="B12043" s="0" t="s">
        <v>98</v>
      </c>
      <c r="D12043" s="6" t="n">
        <f aca="false">(Sens!C12027+Sens!D12027)/2*Sens!D12042/1000</f>
        <v>2.70378325872065</v>
      </c>
      <c r="E12043" s="6" t="n">
        <f aca="false">(Sens!D12027+Sens!E12027)/2*Sens!E12042/1000</f>
        <v>6.17783035277451</v>
      </c>
      <c r="F12043" s="6" t="n">
        <f aca="false">(Sens!E12027+Sens!F12027)/2*Sens!F12042/1000</f>
        <v>12.8742463089237</v>
      </c>
      <c r="G12043" s="6" t="n">
        <f aca="false">(Sens!F12027+Sens!G12027)/2*Sens!G12042/1000</f>
        <v>21.8182834646277</v>
      </c>
      <c r="H12043" s="6" t="n">
        <f aca="false">(Sens!G12027+Sens!H12027)/2*Sens!H12042/1000</f>
        <v>31.2430128789734</v>
      </c>
      <c r="I12043" s="6" t="n">
        <f aca="false">(Sens!H12027+Sens!I12027)/2*Sens!I12042/1000</f>
        <v>39.4313057443268</v>
      </c>
      <c r="J12043" s="6" t="n">
        <f aca="false">(Sens!I12027+Sens!J12027)/2*Sens!J12042/1000</f>
        <v>45.0360318228653</v>
      </c>
      <c r="K12043" s="6" t="n">
        <f aca="false">(Sens!J12027+Sens!K12027)/2*Sens!K12042/1000</f>
        <v>48.2929727091156</v>
      </c>
    </row>
    <row r="12044" customFormat="false" ht="17.15" hidden="false" customHeight="false" outlineLevel="0" collapsed="false">
      <c r="A12044" s="0" t="s">
        <v>981</v>
      </c>
      <c r="B12044" s="0" t="s">
        <v>98</v>
      </c>
      <c r="D12044" s="6" t="n">
        <f aca="false">(Sens!C12025+Sens!D12025)/2*rent_mw/1000</f>
        <v>2.44475</v>
      </c>
      <c r="E12044" s="6" t="n">
        <f aca="false">(Sens!D12025+Sens!E12025)/2*rent_mw/1000</f>
        <v>4.22275</v>
      </c>
      <c r="F12044" s="6" t="n">
        <f aca="false">(Sens!E12025+Sens!F12025)/2*rent_mw/1000</f>
        <v>5.80517</v>
      </c>
      <c r="G12044" s="6" t="n">
        <f aca="false">(Sens!F12025+Sens!G12025)/2*rent_mw/1000</f>
        <v>6.72084</v>
      </c>
      <c r="H12044" s="6" t="n">
        <f aca="false">(Sens!G12025+Sens!H12025)/2*rent_mw/1000</f>
        <v>6.72084</v>
      </c>
      <c r="I12044" s="6" t="n">
        <f aca="false">(Sens!H12025+Sens!I12025)/2*rent_mw/1000</f>
        <v>6.72084</v>
      </c>
      <c r="J12044" s="6" t="n">
        <f aca="false">(Sens!I12025+Sens!J12025)/2*rent_mw/1000</f>
        <v>6.72084</v>
      </c>
      <c r="K12044" s="6" t="n">
        <f aca="false">(Sens!J12025+Sens!K12025)/2*rent_mw/1000</f>
        <v>6.72084</v>
      </c>
    </row>
    <row r="12045" customFormat="false" ht="17.15" hidden="false" customHeight="false" outlineLevel="0" collapsed="false">
      <c r="A12045" s="0" t="s">
        <v>982</v>
      </c>
      <c r="B12045" s="0" t="s">
        <v>98</v>
      </c>
      <c r="D12045" s="6" t="n">
        <f aca="false">(Sens!C12027+Sens!D12027)/2*(1-self_build)*fac_rent/1000</f>
        <v>0.853242375631075</v>
      </c>
      <c r="E12045" s="6" t="n">
        <f aca="false">(Sens!D12027+Sens!E12027)/2*(1-self_build)*fac_rent/1000</f>
        <v>1.94955961408728</v>
      </c>
      <c r="F12045" s="6" t="n">
        <f aca="false">(Sens!E12027+Sens!F12027)/2*(1-self_build)*fac_rent/1000</f>
        <v>3.92914894476356</v>
      </c>
      <c r="G12045" s="6" t="n">
        <f aca="false">(Sens!F12027+Sens!G12027)/2*(1-self_build)*fac_rent/1000</f>
        <v>6.53206908578159</v>
      </c>
      <c r="H12045" s="6" t="n">
        <f aca="false">(Sens!G12027+Sens!H12027)/2*(1-self_build)*fac_rent/1000</f>
        <v>9.23717988341591</v>
      </c>
      <c r="I12045" s="6" t="n">
        <f aca="false">(Sens!H12027+Sens!I12027)/2*(1-self_build)*fac_rent/1000</f>
        <v>11.5481378557393</v>
      </c>
      <c r="J12045" s="6" t="n">
        <f aca="false">(Sens!I12027+Sens!J12027)/2*(1-self_build)*fac_rent/1000</f>
        <v>13.0899582289108</v>
      </c>
      <c r="K12045" s="6" t="n">
        <f aca="false">(Sens!J12027+Sens!K12027)/2*(1-self_build)*fac_rent/1000</f>
        <v>13.8897275626556</v>
      </c>
      <c r="L12045" s="12" t="s">
        <v>983</v>
      </c>
    </row>
    <row r="12046" customFormat="false" ht="17.15" hidden="false" customHeight="false" outlineLevel="0" collapsed="false">
      <c r="A12046" s="1" t="s">
        <v>984</v>
      </c>
      <c r="B12046" s="0" t="s">
        <v>168</v>
      </c>
      <c r="D12046" s="7" t="n">
        <f aca="false">(Sens!C12026+Sens!D12026)/(Sens!C12027+Sens!D12027)</f>
        <v>0.6</v>
      </c>
      <c r="E12046" s="7" t="n">
        <f aca="false">(Sens!D12026+Sens!E12026)/(Sens!D12027+Sens!E12027)</f>
        <v>0.6</v>
      </c>
      <c r="F12046" s="7" t="n">
        <f aca="false">(Sens!E12026+Sens!F12026)/(Sens!E12027+Sens!F12027)</f>
        <v>0.6</v>
      </c>
      <c r="G12046" s="7" t="n">
        <f aca="false">(Sens!F12026+Sens!G12026)/(Sens!F12027+Sens!G12027)</f>
        <v>0.6</v>
      </c>
      <c r="H12046" s="7" t="n">
        <f aca="false">(Sens!G12026+Sens!H12026)/(Sens!G12027+Sens!H12027)</f>
        <v>0.6</v>
      </c>
      <c r="I12046" s="7" t="n">
        <f aca="false">(Sens!H12026+Sens!I12026)/(Sens!H12027+Sens!I12027)</f>
        <v>0.6</v>
      </c>
      <c r="J12046" s="7" t="n">
        <f aca="false">(Sens!I12026+Sens!J12026)/(Sens!I12027+Sens!J12027)</f>
        <v>0.6</v>
      </c>
      <c r="K12046" s="7" t="n">
        <f aca="false">(Sens!J12026+Sens!K12026)/(Sens!J12027+Sens!K12027)</f>
        <v>0.6</v>
      </c>
    </row>
    <row r="12047" customFormat="false" ht="17.15" hidden="false" customHeight="false" outlineLevel="0" collapsed="false">
      <c r="A12047" s="0" t="s">
        <v>985</v>
      </c>
      <c r="B12047" s="0" t="s">
        <v>98</v>
      </c>
      <c r="D12047" s="6" t="n">
        <f aca="false">Sens!D12041-Sens!D12046*(Sens!D12043+Sens!D12045)-Sens!D12044</f>
        <v>8.35701406163072</v>
      </c>
      <c r="E12047" s="6" t="n">
        <f aca="false">Sens!E12041-Sens!E12046*(Sens!E12043+Sens!E12045)-Sens!E12044</f>
        <v>18.7103224860238</v>
      </c>
      <c r="F12047" s="6" t="n">
        <f aca="false">Sens!F12041-Sens!F12046*(Sens!F12043+Sens!F12045)-Sens!F12044</f>
        <v>43.2162094129388</v>
      </c>
      <c r="G12047" s="6" t="n">
        <f aca="false">Sens!G12041-Sens!G12046*(Sens!G12043+Sens!G12045)-Sens!G12044</f>
        <v>79.7204472589529</v>
      </c>
      <c r="H12047" s="6" t="n">
        <f aca="false">Sens!H12041-Sens!H12046*(Sens!H12043+Sens!H12045)-Sens!H12044</f>
        <v>122.807764331602</v>
      </c>
      <c r="I12047" s="6" t="n">
        <f aca="false">Sens!I12041-Sens!I12046*(Sens!I12043+Sens!I12045)-Sens!I12044</f>
        <v>155.390972530813</v>
      </c>
      <c r="J12047" s="6" t="n">
        <f aca="false">Sens!J12041-Sens!J12046*(Sens!J12043+Sens!J12045)-Sens!J12044</f>
        <v>178.197668553178</v>
      </c>
      <c r="K12047" s="6" t="n">
        <f aca="false">Sens!K12041-Sens!K12046*(Sens!K12043+Sens!K12045)-Sens!K12044</f>
        <v>192.726586741959</v>
      </c>
    </row>
    <row r="12048" customFormat="false" ht="17.15" hidden="false" customHeight="false" outlineLevel="0" collapsed="false">
      <c r="A12048" s="1" t="s">
        <v>986</v>
      </c>
      <c r="B12048" s="0" t="s">
        <v>98</v>
      </c>
      <c r="D12048" s="6" t="n">
        <f aca="false">(1-Sens!D12046)*(Sens!D12043+Sens!D12045)</f>
        <v>1.42281025374069</v>
      </c>
      <c r="E12048" s="6" t="n">
        <f aca="false">(1-Sens!E12046)*(Sens!E12043+Sens!E12045)</f>
        <v>3.25095598674472</v>
      </c>
      <c r="F12048" s="6" t="n">
        <f aca="false">(1-Sens!F12046)*(Sens!F12043+Sens!F12045)</f>
        <v>6.72135810147489</v>
      </c>
      <c r="G12048" s="6" t="n">
        <f aca="false">(1-Sens!G12046)*(Sens!G12043+Sens!G12045)</f>
        <v>11.3401410201637</v>
      </c>
      <c r="H12048" s="6" t="n">
        <f aca="false">(1-Sens!H12046)*(Sens!H12043+Sens!H12045)</f>
        <v>16.1920771049557</v>
      </c>
      <c r="I12048" s="6" t="n">
        <f aca="false">(1-Sens!I12046)*(Sens!I12043+Sens!I12045)</f>
        <v>20.3917774400264</v>
      </c>
      <c r="J12048" s="6" t="n">
        <f aca="false">(1-Sens!J12046)*(Sens!J12043+Sens!J12045)</f>
        <v>23.2503960207104</v>
      </c>
      <c r="K12048" s="6" t="n">
        <f aca="false">(1-Sens!K12046)*(Sens!K12043+Sens!K12045)</f>
        <v>24.8730801087085</v>
      </c>
    </row>
    <row r="12049" customFormat="false" ht="17.15" hidden="false" customHeight="false" outlineLevel="0" collapsed="false">
      <c r="A12049" s="1" t="s">
        <v>987</v>
      </c>
      <c r="B12049" s="0" t="s">
        <v>414</v>
      </c>
      <c r="C12049" s="8" t="n">
        <f aca="false">cxit_open</f>
        <v>27.5918995</v>
      </c>
      <c r="D12049" s="8" t="n">
        <f aca="false">cxit_open</f>
        <v>27.5918995</v>
      </c>
      <c r="E12049" s="8" t="n">
        <f aca="false">cxit_open</f>
        <v>27.5918995</v>
      </c>
      <c r="F12049" s="8" t="n">
        <f aca="false">((a_g3_27-nonnv*a_mai)*tk_cxit_gb300+nonnv*a_mai*nv_hold_mai*tk_cxit_vr200+(1-a_g3_27)*tk_cxit_vr200)</f>
        <v>32.4975576</v>
      </c>
      <c r="G12049" s="8" t="n">
        <f aca="false">((a_g3_28-nonnv*a_mai)*tk_cxit_gb300+nonnv*a_mai*nv_hold_mai*tk_cxit_vr200+(1-a_g3_28)*tk_cxit_vr200)</f>
        <v>34.6372088</v>
      </c>
      <c r="H12049" s="8" t="n">
        <f aca="false">((a_g3_29-nonnv*a_mai)*tk_cxit_gb300+nonnv*a_mai*nv_hold_mai*tk_cxit_vr200+(1-a_g3_29)*tk_cxit_vr200)</f>
        <v>35.7070344</v>
      </c>
      <c r="I12049" s="8" t="n">
        <f aca="false">((a_g3_29-nonnv*a_mai)*tk_cxit_gb300+nonnv*a_mai*nv_hold_mai*tk_cxit_vr200+(1-a_g3_29)*tk_cxit_vr200)</f>
        <v>35.7070344</v>
      </c>
      <c r="J12049" s="8" t="n">
        <f aca="false">((a_g3_29-nonnv*a_mai)*tk_cxit_gb300+nonnv*a_mai*nv_hold_mai*tk_cxit_vr200+(1-a_g3_29)*tk_cxit_vr200)</f>
        <v>35.7070344</v>
      </c>
      <c r="K12049" s="8" t="n">
        <f aca="false">((a_g3_29-nonnv*a_mai)*tk_cxit_gb300+nonnv*a_mai*nv_hold_mai*tk_cxit_vr200+(1-a_g3_29)*tk_cxit_vr200)</f>
        <v>35.7070344</v>
      </c>
      <c r="L12049" s="12" t="s">
        <v>988</v>
      </c>
    </row>
    <row r="12050" customFormat="false" ht="17.15" hidden="false" customHeight="false" outlineLevel="0" collapsed="false">
      <c r="A12050" s="0" t="s">
        <v>989</v>
      </c>
      <c r="B12050" s="0" t="s">
        <v>456</v>
      </c>
      <c r="F12050" s="30" t="n">
        <f aca="false">Sens!C12029*IF(Sens!F12022-Sens!C12022=life_it,1,0)+Sens!D12029*IF(Sens!F12022-Sens!D12022=life_it,1,0)+Sens!E12029*IF(Sens!F12022-Sens!E12022=life_it,1,0)</f>
        <v>0</v>
      </c>
      <c r="G12050" s="30" t="n">
        <f aca="false">Sens!C12029*IF(Sens!G12022-Sens!C12022=life_it,1,0)+Sens!D12029*IF(Sens!G12022-Sens!D12022=life_it,1,0)+Sens!E12029*IF(Sens!G12022-Sens!E12022=life_it,1,0)+Sens!F12029*IF(Sens!G12022-Sens!F12022=life_it,1,0)</f>
        <v>0</v>
      </c>
      <c r="H12050" s="30" t="n">
        <f aca="false">Sens!C12029*IF(Sens!H12022-Sens!C12022=life_it,1,0)+Sens!D12029*IF(Sens!H12022-Sens!D12022=life_it,1,0)+Sens!E12029*IF(Sens!H12022-Sens!E12022=life_it,1,0)+Sens!F12029*IF(Sens!H12022-Sens!F12022=life_it,1,0)+Sens!G12029*IF(Sens!H12022-Sens!G12022=life_it,1,0)</f>
        <v>0</v>
      </c>
      <c r="I12050" s="30" t="n">
        <f aca="false">Sens!C12029*IF(Sens!I12022-Sens!C12022=life_it,1,0)+Sens!D12029*IF(Sens!I12022-Sens!D12022=life_it,1,0)+Sens!E12029*IF(Sens!I12022-Sens!E12022=life_it,1,0)+Sens!F12029*IF(Sens!I12022-Sens!F12022=life_it,1,0)+Sens!G12029*IF(Sens!I12022-Sens!G12022=life_it,1,0)+Sens!H12029*IF(Sens!I12022-Sens!H12022=life_it,1,0)</f>
        <v>816.666666666667</v>
      </c>
      <c r="J12050" s="30" t="n">
        <f aca="false">Sens!C12029*IF(Sens!J12022-Sens!C12022=life_it,1,0)+Sens!D12029*IF(Sens!J12022-Sens!D12022=life_it,1,0)+Sens!E12029*IF(Sens!J12022-Sens!E12022=life_it,1,0)+Sens!F12029*IF(Sens!J12022-Sens!F12022=life_it,1,0)+Sens!G12029*IF(Sens!J12022-Sens!G12022=life_it,1,0)+Sens!H12029*IF(Sens!J12022-Sens!H12022=life_it,1,0)+Sens!I12029*IF(Sens!J12022-Sens!I12022=life_it,1,0)</f>
        <v>1233.33333333333</v>
      </c>
      <c r="K12050" s="30" t="n">
        <f aca="false">Sens!C12029*IF(Sens!K12022-Sens!C12022=life_it,1,0)+Sens!D12029*IF(Sens!K12022-Sens!D12022=life_it,1,0)+Sens!E12029*IF(Sens!K12022-Sens!E12022=life_it,1,0)+Sens!F12029*IF(Sens!K12022-Sens!F12022=life_it,1,0)+Sens!G12029*IF(Sens!K12022-Sens!G12022=life_it,1,0)+Sens!H12029*IF(Sens!K12022-Sens!H12022=life_it,1,0)+Sens!I12029*IF(Sens!K12022-Sens!I12022=life_it,1,0)+Sens!J12029*IF(Sens!K12022-Sens!J12022=life_it,1,0)</f>
        <v>2450</v>
      </c>
      <c r="L12050" s="1" t="s">
        <v>990</v>
      </c>
    </row>
    <row r="12051" customFormat="false" ht="17.15" hidden="false" customHeight="false" outlineLevel="0" collapsed="false">
      <c r="A12051" s="0" t="s">
        <v>991</v>
      </c>
      <c r="B12051" s="0" t="s">
        <v>98</v>
      </c>
      <c r="C12051" s="6" t="n">
        <f aca="false">Sens!C12029*Sens!C12049/1000</f>
        <v>22.5333845916667</v>
      </c>
      <c r="D12051" s="6" t="n">
        <f aca="false">Sens!D12029*Sens!D12049/1000</f>
        <v>34.0300093833333</v>
      </c>
      <c r="E12051" s="6" t="n">
        <f aca="false">Sens!E12029*Sens!E12049/1000</f>
        <v>67.600153775</v>
      </c>
      <c r="F12051" s="6" t="n">
        <f aca="false">(Sens!F12029+Sens!F12050)*Sens!F12049/1000</f>
        <v>136.51872432512</v>
      </c>
      <c r="G12051" s="6" t="n">
        <f aca="false">(Sens!G12029+Sens!G12050)*Sens!G12049/1000</f>
        <v>157.399275932048</v>
      </c>
      <c r="H12051" s="6" t="n">
        <f aca="false">(Sens!H12029+Sens!H12050)*Sens!H12049/1000</f>
        <v>162.260804347512</v>
      </c>
      <c r="I12051" s="6" t="n">
        <f aca="false">(Sens!I12029+Sens!I12050)*Sens!I12049/1000</f>
        <v>144.136569485434</v>
      </c>
      <c r="J12051" s="6" t="n">
        <f aca="false">(Sens!J12029+Sens!J12050)*Sens!J12049/1000</f>
        <v>114.029037357864</v>
      </c>
      <c r="K12051" s="6" t="n">
        <f aca="false">(Sens!K12029+Sens!K12050)*Sens!K12049/1000</f>
        <v>113.437085350975</v>
      </c>
    </row>
    <row r="12052" customFormat="false" ht="17.15" hidden="false" customHeight="false" outlineLevel="0" collapsed="false">
      <c r="A12052" s="0" t="s">
        <v>992</v>
      </c>
      <c r="B12052" s="0" t="s">
        <v>98</v>
      </c>
      <c r="C12052" s="6" t="n">
        <f aca="false">Sens!C12029*self_build*tk_cxfac/1000</f>
        <v>6.2083</v>
      </c>
      <c r="D12052" s="6" t="n">
        <f aca="false">Sens!D12029*self_build*tk_cxfac/1000</f>
        <v>9.3758</v>
      </c>
      <c r="E12052" s="6" t="n">
        <f aca="false">Sens!E12029*self_build*tk_cxfac/1000</f>
        <v>18.6249</v>
      </c>
      <c r="F12052" s="6" t="n">
        <f aca="false">Sens!F12029*self_build*tk_cxfac/1000</f>
        <v>31.935179717</v>
      </c>
      <c r="G12052" s="6" t="n">
        <f aca="false">Sens!G12029*self_build*tk_cxfac/1000</f>
        <v>34.545199717</v>
      </c>
      <c r="H12052" s="6" t="n">
        <f aca="false">Sens!H12029*self_build*tk_cxfac/1000</f>
        <v>34.545199717</v>
      </c>
      <c r="I12052" s="6" t="n">
        <f aca="false">Sens!I12029*self_build*tk_cxfac/1000</f>
        <v>24.4782641361767</v>
      </c>
      <c r="J12052" s="6" t="n">
        <f aca="false">Sens!J12029*self_build*tk_cxfac/1000</f>
        <v>14.9008938380769</v>
      </c>
      <c r="K12052" s="6" t="n">
        <f aca="false">Sens!K12029*self_build*tk_cxfac/1000</f>
        <v>5.52576771375761</v>
      </c>
    </row>
    <row r="12053" customFormat="false" ht="17.15" hidden="false" customHeight="false" outlineLevel="0" collapsed="false">
      <c r="A12053" s="0" t="s">
        <v>993</v>
      </c>
      <c r="B12053" s="0" t="s">
        <v>98</v>
      </c>
      <c r="F12053" s="15" t="n">
        <f aca="false">capex_floor27-Sens!F12051-Sens!F12052-Sens!F12149</f>
        <v>0.0451351452575608</v>
      </c>
      <c r="L12053" s="12" t="s">
        <v>994</v>
      </c>
    </row>
    <row r="12054" customFormat="false" ht="17.15" hidden="false" customHeight="false" outlineLevel="0" collapsed="false">
      <c r="A12054" s="0" t="s">
        <v>995</v>
      </c>
      <c r="B12054" s="0" t="s">
        <v>98</v>
      </c>
      <c r="F12054" s="6" t="n">
        <f aca="false">MAX(0,Sens!F12053)</f>
        <v>0.0451351452575608</v>
      </c>
    </row>
    <row r="12055" customFormat="false" ht="17.15" hidden="false" customHeight="false" outlineLevel="0" collapsed="false">
      <c r="A12055" s="0" t="s">
        <v>996</v>
      </c>
      <c r="B12055" s="0" t="s">
        <v>98</v>
      </c>
      <c r="C12055" s="6" t="n">
        <f aca="false">Sens!C12051</f>
        <v>22.5333845916667</v>
      </c>
      <c r="D12055" s="6" t="n">
        <f aca="false">Sens!D12051</f>
        <v>34.0300093833333</v>
      </c>
      <c r="E12055" s="6" t="n">
        <f aca="false">Sens!E12051</f>
        <v>67.600153775</v>
      </c>
      <c r="F12055" s="6" t="n">
        <f aca="false">Sens!F12051</f>
        <v>136.51872432512</v>
      </c>
      <c r="G12055" s="6" t="n">
        <f aca="false">Sens!G12051</f>
        <v>157.399275932048</v>
      </c>
      <c r="H12055" s="6" t="n">
        <f aca="false">Sens!H12051</f>
        <v>162.260804347512</v>
      </c>
      <c r="I12055" s="6" t="n">
        <f aca="false">Sens!I12051</f>
        <v>144.136569485434</v>
      </c>
      <c r="J12055" s="6" t="n">
        <f aca="false">Sens!J12051</f>
        <v>114.029037357864</v>
      </c>
      <c r="K12055" s="6" t="n">
        <f aca="false">Sens!K12051</f>
        <v>113.437085350975</v>
      </c>
    </row>
    <row r="12056" customFormat="false" ht="17.15" hidden="false" customHeight="false" outlineLevel="0" collapsed="false">
      <c r="A12056" s="0" t="s">
        <v>997</v>
      </c>
      <c r="B12056" s="0" t="s">
        <v>98</v>
      </c>
      <c r="C12056" s="6" t="n">
        <f aca="false">Sens!C12055+Sens!C12052</f>
        <v>28.7416845916667</v>
      </c>
      <c r="D12056" s="6" t="n">
        <f aca="false">Sens!D12055+Sens!D12052</f>
        <v>43.4058093833333</v>
      </c>
      <c r="E12056" s="6" t="n">
        <f aca="false">Sens!E12055+Sens!E12052</f>
        <v>86.225053775</v>
      </c>
      <c r="F12056" s="6" t="n">
        <f aca="false">Sens!F12055+Sens!F12052</f>
        <v>168.45390404212</v>
      </c>
      <c r="G12056" s="6" t="n">
        <f aca="false">Sens!G12055+Sens!G12052</f>
        <v>191.944475649048</v>
      </c>
      <c r="H12056" s="6" t="n">
        <f aca="false">Sens!H12055+Sens!H12052</f>
        <v>196.806004064512</v>
      </c>
      <c r="I12056" s="6" t="n">
        <f aca="false">Sens!I12055+Sens!I12052</f>
        <v>168.61483362161</v>
      </c>
      <c r="J12056" s="6" t="n">
        <f aca="false">Sens!J12055+Sens!J12052</f>
        <v>128.92993119594</v>
      </c>
      <c r="K12056" s="6" t="n">
        <f aca="false">Sens!K12055+Sens!K12052</f>
        <v>118.962853064733</v>
      </c>
      <c r="L12056" s="12" t="s">
        <v>998</v>
      </c>
    </row>
    <row r="12057" customFormat="false" ht="17.15" hidden="false" customHeight="false" outlineLevel="0" collapsed="false">
      <c r="A12057" s="0" t="s">
        <v>999</v>
      </c>
      <c r="B12057" s="0" t="s">
        <v>98</v>
      </c>
      <c r="E12057" s="6" t="n">
        <f aca="false">(Sens!C12055*IF(2&lt;life_it,1,IF(2=life_it,0.5,0))+Sens!D12055*IF(1&lt;life_it,1,IF(1=life_it,0.5,0))+Sens!E12055*0.5)/life_it</f>
        <v>15.0605784770833</v>
      </c>
      <c r="F12057" s="6" t="n">
        <f aca="false">(Sens!C12055*IF(3&lt;life_it,1,IF(3=life_it,0.5,0))+Sens!D12055*IF(2&lt;life_it,1,IF(2=life_it,0.5,0))+Sens!E12055*IF(1&lt;life_it,1,IF(1=life_it,0.5,0))+Sens!F12055*0.5)/life_it</f>
        <v>32.0704849854266</v>
      </c>
      <c r="G12057" s="6" t="n">
        <f aca="false">(Sens!C12055*IF(4&lt;life_it,1,IF(4=life_it,0.5,0))+Sens!D12055*IF(3&lt;life_it,1,IF(3=life_it,0.5,0))+Sens!E12055*IF(2&lt;life_it,1,IF(2=life_it,0.5,0))+Sens!F12055*IF(1&lt;life_it,1,IF(1=life_it,0.5,0))+Sens!G12055*0.5)/life_it</f>
        <v>56.5636516735239</v>
      </c>
      <c r="H12057" s="6" t="n">
        <f aca="false">(Sens!C12055*IF(5&lt;life_it,1,IF(5=life_it,0.5,0))+Sens!D12055*IF(4&lt;life_it,1,IF(4=life_it,0.5,0))+Sens!E12055*IF(3&lt;life_it,1,IF(3=life_it,0.5,0))+Sens!F12055*IF(2&lt;life_it,1,IF(2=life_it,0.5,0))+Sens!G12055*IF(1&lt;life_it,1,IF(1=life_it,0.5,0))+Sens!H12055*0.5)/life_it</f>
        <v>83.2019916968207</v>
      </c>
      <c r="I12057" s="6" t="n">
        <f aca="false">(Sens!C12055*IF(6&lt;life_it,1,IF(6=life_it,0.5,0))+Sens!D12055*IF(5&lt;life_it,1,IF(5=life_it,0.5,0))+Sens!E12055*IF(4&lt;life_it,1,IF(4=life_it,0.5,0))+Sens!F12055*IF(3&lt;life_it,1,IF(3=life_it,0.5,0))+Sens!G12055*IF(2&lt;life_it,1,IF(2=life_it,0.5,0))+Sens!H12055*IF(1&lt;life_it,1,IF(1=life_it,0.5,0))+Sens!I12055*0.5)/life_it</f>
        <v>106.857324133594</v>
      </c>
      <c r="J12057" s="6" t="n">
        <f aca="false">(Sens!C12055*IF(7&lt;life_it,1,IF(7=life_it,0.5,0))+Sens!D12055*IF(6&lt;life_it,1,IF(6=life_it,0.5,0))+Sens!E12055*IF(5&lt;life_it,1,IF(5=life_it,0.5,0))+Sens!F12055*IF(4&lt;life_it,1,IF(4=life_it,0.5,0))+Sens!G12055*IF(3&lt;life_it,1,IF(3=life_it,0.5,0))+Sens!H12055*IF(2&lt;life_it,1,IF(2=life_it,0.5,0))+Sens!I12055*IF(1&lt;life_it,1,IF(1=life_it,0.5,0))+Sens!J12055*0.5)/life_it</f>
        <v>123.657508539285</v>
      </c>
      <c r="K12057" s="6" t="n">
        <f aca="false">(Sens!C12055*IF(8&lt;life_it,1,IF(8=life_it,0.5,0))+Sens!D12055*IF(7&lt;life_it,1,IF(7=life_it,0.5,0))+Sens!E12055*IF(6&lt;life_it,1,IF(6=life_it,0.5,0))+Sens!F12055*IF(5&lt;life_it,1,IF(5=life_it,0.5,0))+Sens!G12055*IF(4&lt;life_it,1,IF(4=life_it,0.5,0))+Sens!H12055*IF(3&lt;life_it,1,IF(3=life_it,0.5,0))+Sens!I12055*IF(2&lt;life_it,1,IF(2=life_it,0.5,0))+Sens!J12055*IF(1&lt;life_it,1,IF(1=life_it,0.5,0))+Sens!K12055*0.5)/life_it</f>
        <v>134.143838501827</v>
      </c>
    </row>
    <row r="12058" customFormat="false" ht="17.15" hidden="false" customHeight="false" outlineLevel="0" collapsed="false">
      <c r="A12058" s="0" t="s">
        <v>1000</v>
      </c>
      <c r="B12058" s="0" t="s">
        <v>98</v>
      </c>
      <c r="E12058" s="6" t="n">
        <f aca="false">(Sens!C12052*IF(2&lt;life_fac,1,IF(2=life_fac,0.5,0))+Sens!D12052*IF(1&lt;life_fac,1,IF(1=life_fac,0.5,0))+Sens!E12052*0.5)/life_fac</f>
        <v>1.2448275</v>
      </c>
      <c r="F12058" s="6" t="n">
        <f aca="false">(Sens!C12052*IF(3&lt;life_fac,1,IF(3=life_fac,0.5,0))+Sens!D12052*IF(2&lt;life_fac,1,IF(2=life_fac,0.5,0))+Sens!E12052*IF(1&lt;life_fac,1,IF(1=life_fac,0.5,0))+Sens!F12052*0.5)/life_fac</f>
        <v>2.508829492925</v>
      </c>
      <c r="G12058" s="6" t="n">
        <f aca="false">(Sens!C12052*IF(4&lt;life_fac,1,IF(4=life_fac,0.5,0))+Sens!D12052*IF(3&lt;life_fac,1,IF(3=life_fac,0.5,0))+Sens!E12052*IF(2&lt;life_fac,1,IF(2=life_fac,0.5,0))+Sens!F12052*IF(1&lt;life_fac,1,IF(1=life_fac,0.5,0))+Sens!G12052*0.5)/life_fac</f>
        <v>4.170838978775</v>
      </c>
      <c r="H12058" s="6" t="n">
        <f aca="false">(Sens!C12052*IF(5&lt;life_fac,1,IF(5=life_fac,0.5,0))+Sens!D12052*IF(4&lt;life_fac,1,IF(4=life_fac,0.5,0))+Sens!E12052*IF(3&lt;life_fac,1,IF(3=life_fac,0.5,0))+Sens!F12052*IF(2&lt;life_fac,1,IF(2=life_fac,0.5,0))+Sens!G12052*IF(1&lt;life_fac,1,IF(1=life_fac,0.5,0))+Sens!H12052*0.5)/life_fac</f>
        <v>5.898098964625</v>
      </c>
      <c r="I12058" s="6" t="n">
        <f aca="false">(Sens!C12052*IF(6&lt;life_fac,1,IF(6=life_fac,0.5,0))+Sens!D12052*IF(5&lt;life_fac,1,IF(5=life_fac,0.5,0))+Sens!E12052*IF(4&lt;life_fac,1,IF(4=life_fac,0.5,0))+Sens!F12052*IF(3&lt;life_fac,1,IF(3=life_fac,0.5,0))+Sens!G12052*IF(2&lt;life_fac,1,IF(2=life_fac,0.5,0))+Sens!H12052*IF(1&lt;life_fac,1,IF(1=life_fac,0.5,0))+Sens!I12052*0.5)/life_fac</f>
        <v>7.37368556095442</v>
      </c>
      <c r="J12058" s="6" t="n">
        <f aca="false">(Sens!C12052*IF(7&lt;life_fac,1,IF(7=life_fac,0.5,0))+Sens!D12052*IF(6&lt;life_fac,1,IF(6=life_fac,0.5,0))+Sens!E12052*IF(5&lt;life_fac,1,IF(5=life_fac,0.5,0))+Sens!F12052*IF(4&lt;life_fac,1,IF(4=life_fac,0.5,0))+Sens!G12052*IF(3&lt;life_fac,1,IF(3=life_fac,0.5,0))+Sens!H12052*IF(2&lt;life_fac,1,IF(2=life_fac,0.5,0))+Sens!I12052*IF(1&lt;life_fac,1,IF(1=life_fac,0.5,0))+Sens!J12052*0.5)/life_fac</f>
        <v>8.35816451031075</v>
      </c>
      <c r="K12058" s="6" t="n">
        <f aca="false">(Sens!C12052*IF(8&lt;life_fac,1,IF(8=life_fac,0.5,0))+Sens!D12052*IF(7&lt;life_fac,1,IF(7=life_fac,0.5,0))+Sens!E12052*IF(6&lt;life_fac,1,IF(6=life_fac,0.5,0))+Sens!F12052*IF(5&lt;life_fac,1,IF(5=life_fac,0.5,0))+Sens!G12052*IF(4&lt;life_fac,1,IF(4=life_fac,0.5,0))+Sens!H12052*IF(3&lt;life_fac,1,IF(3=life_fac,0.5,0))+Sens!I12052*IF(2&lt;life_fac,1,IF(2=life_fac,0.5,0))+Sens!J12052*IF(1&lt;life_fac,1,IF(1=life_fac,0.5,0))+Sens!K12052*0.5)/life_fac</f>
        <v>8.86883104910662</v>
      </c>
    </row>
    <row r="12059" customFormat="false" ht="17.15" hidden="false" customHeight="false" outlineLevel="0" collapsed="false">
      <c r="A12059" s="0" t="s">
        <v>1001</v>
      </c>
      <c r="B12059" s="0" t="s">
        <v>98</v>
      </c>
      <c r="E12059" s="6" t="n">
        <f aca="false">Sens!E12057+Sens!E12058</f>
        <v>16.3054059770833</v>
      </c>
      <c r="F12059" s="6" t="n">
        <f aca="false">Sens!F12057+Sens!F12058</f>
        <v>34.5793144783516</v>
      </c>
      <c r="G12059" s="6" t="n">
        <f aca="false">Sens!G12057+Sens!G12058</f>
        <v>60.7344906522989</v>
      </c>
      <c r="H12059" s="6" t="n">
        <f aca="false">Sens!H12057+Sens!H12058</f>
        <v>89.1000906614457</v>
      </c>
      <c r="I12059" s="6" t="n">
        <f aca="false">Sens!I12057+Sens!I12058</f>
        <v>114.231009694548</v>
      </c>
      <c r="J12059" s="6" t="n">
        <f aca="false">Sens!J12057+Sens!J12058</f>
        <v>132.015673049596</v>
      </c>
      <c r="K12059" s="6" t="n">
        <f aca="false">Sens!K12057+Sens!K12058</f>
        <v>143.012669550934</v>
      </c>
    </row>
    <row r="12060" customFormat="false" ht="17.15" hidden="false" customHeight="false" outlineLevel="0" collapsed="false">
      <c r="A12060" s="0" t="s">
        <v>1002</v>
      </c>
      <c r="B12060" s="0" t="s">
        <v>98</v>
      </c>
      <c r="E12060" s="6" t="n">
        <f aca="false">Sens!E12047-Sens!E12046*Sens!E12059</f>
        <v>8.92707889977379</v>
      </c>
      <c r="F12060" s="6" t="n">
        <f aca="false">Sens!F12047-Sens!F12046*Sens!F12059</f>
        <v>22.4686207259278</v>
      </c>
      <c r="G12060" s="6" t="n">
        <f aca="false">Sens!G12047-Sens!G12046*Sens!G12059</f>
        <v>43.2797528675735</v>
      </c>
      <c r="H12060" s="6" t="n">
        <f aca="false">Sens!H12047-Sens!H12046*Sens!H12059</f>
        <v>69.3477099347341</v>
      </c>
      <c r="I12060" s="6" t="n">
        <f aca="false">Sens!I12047-Sens!I12046*Sens!I12059</f>
        <v>86.8523667140836</v>
      </c>
      <c r="J12060" s="6" t="n">
        <f aca="false">Sens!J12047-Sens!J12046*Sens!J12059</f>
        <v>98.9882647234202</v>
      </c>
      <c r="K12060" s="6" t="n">
        <f aca="false">Sens!K12047-Sens!K12046*Sens!K12059</f>
        <v>106.918985011399</v>
      </c>
    </row>
    <row r="12061" customFormat="false" ht="17.15" hidden="false" customHeight="false" outlineLevel="0" collapsed="false">
      <c r="A12061" s="3" t="s">
        <v>1781</v>
      </c>
    </row>
    <row r="12062" customFormat="false" ht="15" hidden="false" customHeight="false" outlineLevel="0" collapsed="false">
      <c r="A12062" s="4" t="s">
        <v>43</v>
      </c>
      <c r="B12062" s="4" t="s">
        <v>65</v>
      </c>
      <c r="C12062" s="23" t="s">
        <v>938</v>
      </c>
      <c r="D12062" s="23" t="s">
        <v>939</v>
      </c>
      <c r="E12062" s="23" t="s">
        <v>940</v>
      </c>
      <c r="F12062" s="23" t="s">
        <v>941</v>
      </c>
      <c r="G12062" s="23" t="s">
        <v>942</v>
      </c>
      <c r="H12062" s="23" t="s">
        <v>943</v>
      </c>
      <c r="I12062" s="23" t="s">
        <v>944</v>
      </c>
      <c r="J12062" s="23" t="s">
        <v>945</v>
      </c>
      <c r="K12062" s="23" t="s">
        <v>946</v>
      </c>
      <c r="L12062" s="4" t="s">
        <v>47</v>
      </c>
    </row>
    <row r="12063" customFormat="false" ht="17.15" hidden="false" customHeight="false" outlineLevel="0" collapsed="false">
      <c r="A12063" s="0" t="s">
        <v>1021</v>
      </c>
      <c r="B12063" s="0" t="s">
        <v>98</v>
      </c>
      <c r="D12063" s="6" t="n">
        <f aca="false">Sens!D12041</f>
        <v>12.9359794422418</v>
      </c>
      <c r="E12063" s="6" t="n">
        <f aca="false">Sens!E12041</f>
        <v>27.8095064661409</v>
      </c>
      <c r="F12063" s="6" t="n">
        <f aca="false">Sens!F12041</f>
        <v>59.1034165651511</v>
      </c>
      <c r="G12063" s="6" t="n">
        <f aca="false">Sens!G12041</f>
        <v>103.451498789198</v>
      </c>
      <c r="H12063" s="6" t="n">
        <f aca="false">Sens!H12041</f>
        <v>153.816719989035</v>
      </c>
      <c r="I12063" s="6" t="n">
        <f aca="false">Sens!I12041</f>
        <v>192.699478690852</v>
      </c>
      <c r="J12063" s="6" t="n">
        <f aca="false">Sens!J12041</f>
        <v>219.794102584244</v>
      </c>
      <c r="K12063" s="6" t="n">
        <f aca="false">Sens!K12041</f>
        <v>236.757046905022</v>
      </c>
    </row>
    <row r="12064" customFormat="false" ht="17.15" hidden="false" customHeight="false" outlineLevel="0" collapsed="false">
      <c r="A12064" s="0" t="s">
        <v>1022</v>
      </c>
      <c r="B12064" s="0" t="s">
        <v>98</v>
      </c>
      <c r="D12064" s="6" t="n">
        <f aca="false">Q!L6-Sens!D12063</f>
        <v>59.6740205577583</v>
      </c>
      <c r="E12064" s="6" t="n">
        <f aca="false">Q!M6-Sens!E12063</f>
        <v>74.1284935338591</v>
      </c>
      <c r="F12064" s="6" t="n">
        <f aca="false">Q!$I$6+(Sens!F12063+Sens!E12064*(1+Sens!F12065))*(1-Q!$E$6/Q!M6)-Sens!F12063</f>
        <v>90.4866018070994</v>
      </c>
      <c r="G12064" s="6" t="n">
        <f aca="false">Sens!F12064*(1+Sens!G12065)</f>
        <v>107.511588557154</v>
      </c>
      <c r="H12064" s="6" t="n">
        <f aca="false">Sens!G12064*(1+Sens!H12065)</f>
        <v>124.832989325489</v>
      </c>
      <c r="I12064" s="6" t="n">
        <f aca="false">Sens!H12064*(1+Sens!I12065)</f>
        <v>141.56992589148</v>
      </c>
      <c r="J12064" s="6" t="n">
        <f aca="false">Sens!I12064*(1+Sens!J12065)</f>
        <v>156.723190479428</v>
      </c>
      <c r="K12064" s="6" t="n">
        <f aca="false">Sens!J12064*(1+Sens!K12065)</f>
        <v>169.261045717783</v>
      </c>
      <c r="L12064" s="12" t="s">
        <v>1023</v>
      </c>
    </row>
    <row r="12065" customFormat="false" ht="15" hidden="false" customHeight="false" outlineLevel="0" collapsed="false">
      <c r="A12065" s="1" t="s">
        <v>1024</v>
      </c>
      <c r="B12065" s="0" t="s">
        <v>168</v>
      </c>
      <c r="E12065" s="7" t="n">
        <f aca="false">Sens!E12064/Sens!D12064-1</f>
        <v>0.242223883039864</v>
      </c>
      <c r="F12065" s="7" t="n">
        <f aca="false">Sens!$E$12065+(glt_azo-Sens!$E$12065)*MIN(1,(Sens!F12022-base_fy)/n_conv)</f>
        <v>0.215186569199887</v>
      </c>
      <c r="G12065" s="7" t="n">
        <f aca="false">Sens!$E$12065+(glt_azo-Sens!$E$12065)*MIN(1,(Sens!G12022-base_fy)/n_conv)</f>
        <v>0.18814925535991</v>
      </c>
      <c r="H12065" s="7" t="n">
        <f aca="false">Sens!$E$12065+(glt_azo-Sens!$E$12065)*MIN(1,(Sens!H12022-base_fy)/n_conv)</f>
        <v>0.161111941519932</v>
      </c>
      <c r="I12065" s="7" t="n">
        <f aca="false">Sens!$E$12065+(glt_azo-Sens!$E$12065)*MIN(1,(Sens!I12022-base_fy)/n_conv)</f>
        <v>0.134074627679955</v>
      </c>
      <c r="J12065" s="7" t="n">
        <f aca="false">Sens!$E$12065+(glt_azo-Sens!$E$12065)*MIN(1,(Sens!J12022-base_fy)/n_conv)</f>
        <v>0.107037313839977</v>
      </c>
      <c r="K12065" s="7" t="n">
        <f aca="false">Sens!$E$12065+(glt_azo-Sens!$E$12065)*MIN(1,(Sens!K12022-base_fy)/n_conv)</f>
        <v>0.08</v>
      </c>
    </row>
    <row r="12066" customFormat="false" ht="15" hidden="false" customHeight="false" outlineLevel="0" collapsed="false">
      <c r="A12066" s="0" t="s">
        <v>1025</v>
      </c>
      <c r="B12066" s="0" t="s">
        <v>98</v>
      </c>
      <c r="D12066" s="6" t="n">
        <f aca="false">Sens!D12063+Sens!D12064</f>
        <v>72.61</v>
      </c>
      <c r="E12066" s="6" t="n">
        <f aca="false">Sens!E12063+Sens!E12064</f>
        <v>101.938</v>
      </c>
      <c r="F12066" s="6" t="n">
        <f aca="false">Sens!F12063+Sens!F12064</f>
        <v>149.59001837225</v>
      </c>
      <c r="G12066" s="6" t="n">
        <f aca="false">Sens!G12063+Sens!G12064</f>
        <v>210.963087346352</v>
      </c>
      <c r="H12066" s="6" t="n">
        <f aca="false">Sens!H12063+Sens!H12064</f>
        <v>278.649709314524</v>
      </c>
      <c r="I12066" s="6" t="n">
        <f aca="false">Sens!I12063+Sens!I12064</f>
        <v>334.269404582332</v>
      </c>
      <c r="J12066" s="6" t="n">
        <f aca="false">Sens!J12063+Sens!J12064</f>
        <v>376.517293063672</v>
      </c>
      <c r="K12066" s="6" t="n">
        <f aca="false">Sens!K12063+Sens!K12064</f>
        <v>406.018092622804</v>
      </c>
    </row>
    <row r="12067" customFormat="false" ht="17.15" hidden="false" customHeight="false" outlineLevel="0" collapsed="false">
      <c r="A12067" s="0" t="s">
        <v>1026</v>
      </c>
      <c r="B12067" s="1" t="s">
        <v>610</v>
      </c>
      <c r="C12067" s="30" t="n">
        <f aca="false">cop_s24</f>
        <v>1</v>
      </c>
      <c r="D12067" s="30" t="n">
        <f aca="false">cop_s25</f>
        <v>5</v>
      </c>
      <c r="E12067" s="30" t="n">
        <f aca="false">cop_s26</f>
        <v>30</v>
      </c>
      <c r="F12067" s="30" t="n">
        <f aca="false">Sens!E12067+cop_add_A</f>
        <v>60</v>
      </c>
      <c r="G12067" s="30" t="n">
        <f aca="false">Sens!F12067+cop_add_A</f>
        <v>90</v>
      </c>
      <c r="H12067" s="30" t="n">
        <f aca="false">Sens!G12067+cop_add_A</f>
        <v>120</v>
      </c>
      <c r="I12067" s="30" t="n">
        <f aca="false">Sens!H12067+cop_add_A*cop_tail</f>
        <v>135</v>
      </c>
      <c r="J12067" s="30" t="n">
        <f aca="false">Sens!I12067+cop_add_A*cop_tail</f>
        <v>150</v>
      </c>
      <c r="K12067" s="30" t="n">
        <f aca="false">Sens!J12067+cop_add_A*cop_tail</f>
        <v>165</v>
      </c>
      <c r="L12067" s="12" t="s">
        <v>1027</v>
      </c>
    </row>
    <row r="12068" customFormat="false" ht="17.15" hidden="false" customHeight="false" outlineLevel="0" collapsed="false">
      <c r="A12068" s="0" t="s">
        <v>1028</v>
      </c>
      <c r="B12068" s="0" t="s">
        <v>98</v>
      </c>
      <c r="D12068" s="6" t="n">
        <f aca="false">(Sens!C12067+Sens!D12067)/2*cop_px*12/1000</f>
        <v>0.9</v>
      </c>
      <c r="E12068" s="6" t="n">
        <f aca="false">(Sens!D12067+Sens!E12067)/2*cop_px*12/1000</f>
        <v>5.25</v>
      </c>
      <c r="F12068" s="6" t="n">
        <f aca="false">(Sens!E12067+Sens!F12067)/2*cop_px*12/1000</f>
        <v>13.5</v>
      </c>
      <c r="G12068" s="6" t="n">
        <f aca="false">(Sens!F12067+Sens!G12067)/2*cop_px*12/1000</f>
        <v>22.5</v>
      </c>
      <c r="H12068" s="6" t="n">
        <f aca="false">(Sens!G12067+Sens!H12067)/2*cop_px*12/1000</f>
        <v>31.5</v>
      </c>
      <c r="I12068" s="6" t="n">
        <f aca="false">(Sens!H12067+Sens!I12067)/2*cop_px*12/1000</f>
        <v>38.25</v>
      </c>
      <c r="J12068" s="6" t="n">
        <f aca="false">(Sens!I12067+Sens!J12067)/2*cop_px*12/1000</f>
        <v>42.75</v>
      </c>
      <c r="K12068" s="6" t="n">
        <f aca="false">(Sens!J12067+Sens!K12067)/2*cop_px*12/1000</f>
        <v>47.25</v>
      </c>
      <c r="L12068" s="1" t="s">
        <v>1029</v>
      </c>
    </row>
    <row r="12069" customFormat="false" ht="17.15" hidden="false" customHeight="false" outlineLevel="0" collapsed="false">
      <c r="A12069" s="0" t="s">
        <v>1030</v>
      </c>
      <c r="B12069" s="0" t="s">
        <v>98</v>
      </c>
      <c r="D12069" s="6" t="n">
        <f aca="false">Q!L7-Sens!D12068</f>
        <v>83.705</v>
      </c>
      <c r="E12069" s="6" t="n">
        <f aca="false">Q!M7-Sens!E12068</f>
        <v>95.049</v>
      </c>
      <c r="F12069" s="6" t="n">
        <f aca="false">Q!$I$7+(Sens!E12069*(1+Sens!F12070)+Sens!F12068)*(1-Q!$E$7/Q!M7)-Sens!F12068</f>
        <v>106.229653205718</v>
      </c>
      <c r="G12069" s="6" t="n">
        <f aca="false">Sens!F12069*(1+Sens!G12070)</f>
        <v>118.306092647576</v>
      </c>
      <c r="H12069" s="6" t="n">
        <f aca="false">Sens!G12069*(1+Sens!H12070)</f>
        <v>130.463437602768</v>
      </c>
      <c r="I12069" s="6" t="n">
        <f aca="false">Sens!H12069*(1+Sens!I12070)</f>
        <v>142.445354741933</v>
      </c>
      <c r="J12069" s="6" t="n">
        <f aca="false">Sens!I12069*(1+Sens!J12070)</f>
        <v>153.972117481571</v>
      </c>
      <c r="K12069" s="6" t="n">
        <f aca="false">Sens!J12069*(1+Sens!K12070)</f>
        <v>164.75016570528</v>
      </c>
      <c r="L12069" s="12" t="s">
        <v>1031</v>
      </c>
    </row>
    <row r="12070" customFormat="false" ht="15" hidden="false" customHeight="false" outlineLevel="0" collapsed="false">
      <c r="A12070" s="1" t="s">
        <v>1024</v>
      </c>
      <c r="B12070" s="0" t="s">
        <v>168</v>
      </c>
      <c r="E12070" s="7" t="n">
        <f aca="false">Sens!E12069/Sens!D12069-1</f>
        <v>0.135523564900544</v>
      </c>
      <c r="F12070" s="7" t="n">
        <f aca="false">Sens!$E$12070+(glt_m365b-Sens!$E$12070)*MIN(1,(Sens!F12022-base_fy)/n_conv)</f>
        <v>0.124602970750453</v>
      </c>
      <c r="G12070" s="7" t="n">
        <f aca="false">Sens!$E$12070+(glt_m365b-Sens!$E$12070)*MIN(1,(Sens!G12022-base_fy)/n_conv)</f>
        <v>0.113682376600363</v>
      </c>
      <c r="H12070" s="7" t="n">
        <f aca="false">Sens!$E$12070+(glt_m365b-Sens!$E$12070)*MIN(1,(Sens!H12022-base_fy)/n_conv)</f>
        <v>0.102761782450272</v>
      </c>
      <c r="I12070" s="7" t="n">
        <f aca="false">Sens!$E$12070+(glt_m365b-Sens!$E$12070)*MIN(1,(Sens!I12022-base_fy)/n_conv)</f>
        <v>0.0918411883001813</v>
      </c>
      <c r="J12070" s="7" t="n">
        <f aca="false">Sens!$E$12070+(glt_m365b-Sens!$E$12070)*MIN(1,(Sens!J12022-base_fy)/n_conv)</f>
        <v>0.0809205941500906</v>
      </c>
      <c r="K12070" s="7" t="n">
        <f aca="false">Sens!$E$12070+(glt_m365b-Sens!$E$12070)*MIN(1,(Sens!K12022-base_fy)/n_conv)</f>
        <v>0.07</v>
      </c>
    </row>
    <row r="12071" customFormat="false" ht="15" hidden="false" customHeight="false" outlineLevel="0" collapsed="false">
      <c r="A12071" s="0" t="s">
        <v>1032</v>
      </c>
      <c r="B12071" s="0" t="s">
        <v>98</v>
      </c>
      <c r="D12071" s="6" t="n">
        <f aca="false">Sens!D12069+Sens!D12068</f>
        <v>84.605</v>
      </c>
      <c r="E12071" s="6" t="n">
        <f aca="false">Sens!E12069+Sens!E12068</f>
        <v>100.299</v>
      </c>
      <c r="F12071" s="6" t="n">
        <f aca="false">Sens!F12069+Sens!F12068</f>
        <v>119.729653205718</v>
      </c>
      <c r="G12071" s="6" t="n">
        <f aca="false">Sens!G12069+Sens!G12068</f>
        <v>140.806092647576</v>
      </c>
      <c r="H12071" s="6" t="n">
        <f aca="false">Sens!H12069+Sens!H12068</f>
        <v>161.963437602768</v>
      </c>
      <c r="I12071" s="6" t="n">
        <f aca="false">Sens!I12069+Sens!I12068</f>
        <v>180.695354741933</v>
      </c>
      <c r="J12071" s="6" t="n">
        <f aca="false">Sens!J12069+Sens!J12068</f>
        <v>196.722117481571</v>
      </c>
      <c r="K12071" s="6" t="n">
        <f aca="false">Sens!K12069+Sens!K12068</f>
        <v>212.00016570528</v>
      </c>
    </row>
    <row r="12072" customFormat="false" ht="17.15" hidden="false" customHeight="false" outlineLevel="0" collapsed="false">
      <c r="A12072" s="0" t="s">
        <v>1033</v>
      </c>
      <c r="B12072" s="0" t="s">
        <v>98</v>
      </c>
      <c r="D12072" s="6" t="n">
        <f aca="false">Q!L8</f>
        <v>35.391</v>
      </c>
      <c r="E12072" s="6" t="n">
        <f aca="false">Q!M8</f>
        <v>37.285</v>
      </c>
      <c r="F12072" s="6" t="n">
        <f aca="false">Q!$I$8+(Q!M8-Q!$E$8)*(1+Sens!F12073)</f>
        <v>38.3851437782675</v>
      </c>
      <c r="G12072" s="6" t="n">
        <f aca="false">Sens!F12072*(1+Sens!G12073)</f>
        <v>40.0105353288615</v>
      </c>
      <c r="H12072" s="6" t="n">
        <f aca="false">Sens!G12072*(1+Sens!H12073)</f>
        <v>41.4812512033683</v>
      </c>
      <c r="I12072" s="6" t="n">
        <f aca="false">Sens!H12072*(1+Sens!I12073)</f>
        <v>42.7743107216329</v>
      </c>
      <c r="J12072" s="6" t="n">
        <f aca="false">Sens!I12072*(1+Sens!J12073)</f>
        <v>43.8687373064601</v>
      </c>
      <c r="K12072" s="6" t="n">
        <f aca="false">Sens!J12072*(1+Sens!K12073)</f>
        <v>44.7461120525893</v>
      </c>
      <c r="L12072" s="12" t="s">
        <v>1034</v>
      </c>
    </row>
    <row r="12073" customFormat="false" ht="15" hidden="false" customHeight="false" outlineLevel="0" collapsed="false">
      <c r="A12073" s="1" t="s">
        <v>1024</v>
      </c>
      <c r="B12073" s="0" t="s">
        <v>168</v>
      </c>
      <c r="E12073" s="7" t="n">
        <f aca="false">Sens!E12072/Sens!D12072-1</f>
        <v>0.0535164307309768</v>
      </c>
      <c r="F12073" s="7" t="n">
        <f aca="false">Sens!$E$12073+(glt_lic-Sens!$E$12073)*MIN(1,(Sens!F12022-base_fy)/n_conv)</f>
        <v>0.0479303589424807</v>
      </c>
      <c r="G12073" s="7" t="n">
        <f aca="false">Sens!$E$12073+(glt_lic-Sens!$E$12073)*MIN(1,(Sens!G12022-base_fy)/n_conv)</f>
        <v>0.0423442871539845</v>
      </c>
      <c r="H12073" s="7" t="n">
        <f aca="false">Sens!$E$12073+(glt_lic-Sens!$E$12073)*MIN(1,(Sens!H12022-base_fy)/n_conv)</f>
        <v>0.0367582153654884</v>
      </c>
      <c r="I12073" s="7" t="n">
        <f aca="false">Sens!$E$12073+(glt_lic-Sens!$E$12073)*MIN(1,(Sens!I12022-base_fy)/n_conv)</f>
        <v>0.0311721435769923</v>
      </c>
      <c r="J12073" s="7" t="n">
        <f aca="false">Sens!$E$12073+(glt_lic-Sens!$E$12073)*MIN(1,(Sens!J12022-base_fy)/n_conv)</f>
        <v>0.0255860717884961</v>
      </c>
      <c r="K12073" s="7" t="n">
        <f aca="false">Sens!$E$12073+(glt_lic-Sens!$E$12073)*MIN(1,(Sens!K12022-base_fy)/n_conv)</f>
        <v>0.02</v>
      </c>
    </row>
    <row r="12074" customFormat="false" ht="17.15" hidden="false" customHeight="false" outlineLevel="0" collapsed="false">
      <c r="A12074" s="0" t="s">
        <v>1035</v>
      </c>
      <c r="B12074" s="0" t="s">
        <v>98</v>
      </c>
      <c r="D12074" s="6" t="n">
        <f aca="false">Q!L9</f>
        <v>18.417</v>
      </c>
      <c r="E12074" s="6" t="n">
        <f aca="false">Q!M9</f>
        <v>20.345</v>
      </c>
      <c r="F12074" s="6" t="n">
        <f aca="false">Q!$I$9+(Q!M9-Q!$E$9)*(1+Sens!F12075)</f>
        <v>22.3161797133988</v>
      </c>
      <c r="G12074" s="6" t="n">
        <f aca="false">Sens!F12074*(1+Sens!G12075)</f>
        <v>24.3943499673233</v>
      </c>
      <c r="H12074" s="6" t="n">
        <f aca="false">Sens!G12074*(1+Sens!H12075)</f>
        <v>26.5250243109019</v>
      </c>
      <c r="I12074" s="6" t="n">
        <f aca="false">Sens!H12074*(1+Sens!I12075)</f>
        <v>28.6884573538181</v>
      </c>
      <c r="J12074" s="6" t="n">
        <f aca="false">Sens!I12074*(1+Sens!J12075)</f>
        <v>30.8624968052127</v>
      </c>
      <c r="K12074" s="6" t="n">
        <f aca="false">Sens!J12074*(1+Sens!K12075)</f>
        <v>33.0228715815776</v>
      </c>
      <c r="L12074" s="12" t="s">
        <v>1034</v>
      </c>
    </row>
    <row r="12075" customFormat="false" ht="15" hidden="false" customHeight="false" outlineLevel="0" collapsed="false">
      <c r="A12075" s="1" t="s">
        <v>1024</v>
      </c>
      <c r="B12075" s="0" t="s">
        <v>168</v>
      </c>
      <c r="E12075" s="7" t="n">
        <f aca="false">Sens!E12074/Sens!D12074-1</f>
        <v>0.104685888038225</v>
      </c>
      <c r="F12075" s="7" t="n">
        <f aca="false">Sens!$E$12075+(glt_ind-Sens!$E$12075)*MIN(1,(Sens!F12022-base_fy)/n_conv)</f>
        <v>0.0989049066985211</v>
      </c>
      <c r="G12075" s="7" t="n">
        <f aca="false">Sens!$E$12075+(glt_ind-Sens!$E$12075)*MIN(1,(Sens!G12022-base_fy)/n_conv)</f>
        <v>0.0931239253588169</v>
      </c>
      <c r="H12075" s="7" t="n">
        <f aca="false">Sens!$E$12075+(glt_ind-Sens!$E$12075)*MIN(1,(Sens!H12022-base_fy)/n_conv)</f>
        <v>0.0873429440191127</v>
      </c>
      <c r="I12075" s="7" t="n">
        <f aca="false">Sens!$E$12075+(glt_ind-Sens!$E$12075)*MIN(1,(Sens!I12022-base_fy)/n_conv)</f>
        <v>0.0815619626794085</v>
      </c>
      <c r="J12075" s="7" t="n">
        <f aca="false">Sens!$E$12075+(glt_ind-Sens!$E$12075)*MIN(1,(Sens!J12022-base_fy)/n_conv)</f>
        <v>0.0757809813397042</v>
      </c>
      <c r="K12075" s="7" t="n">
        <f aca="false">Sens!$E$12075+(glt_ind-Sens!$E$12075)*MIN(1,(Sens!K12022-base_fy)/n_conv)</f>
        <v>0.07</v>
      </c>
    </row>
    <row r="12076" customFormat="false" ht="17.15" hidden="false" customHeight="false" outlineLevel="0" collapsed="false">
      <c r="A12076" s="0" t="s">
        <v>1036</v>
      </c>
      <c r="B12076" s="0" t="s">
        <v>98</v>
      </c>
      <c r="D12076" s="6" t="n">
        <f aca="false">Q!L10</f>
        <v>7.76</v>
      </c>
      <c r="E12076" s="6" t="n">
        <f aca="false">Q!M10</f>
        <v>8.26</v>
      </c>
      <c r="F12076" s="6" t="n">
        <f aca="false">Q!$I$10+(Q!M10-Q!$E$10)*(1+Sens!F12077)</f>
        <v>8.75372082474227</v>
      </c>
      <c r="G12076" s="6" t="n">
        <f aca="false">Sens!F12076*(1+Sens!G12077)</f>
        <v>9.33399324642364</v>
      </c>
      <c r="H12076" s="6" t="n">
        <f aca="false">Sens!G12076*(1+Sens!H12077)</f>
        <v>9.96139155535851</v>
      </c>
      <c r="I12076" s="6" t="n">
        <f aca="false">Sens!H12076*(1+Sens!I12077)</f>
        <v>10.6402039077391</v>
      </c>
      <c r="J12076" s="6" t="n">
        <f aca="false">Sens!I12076*(1+Sens!J12077)</f>
        <v>11.3751458271397</v>
      </c>
      <c r="K12076" s="6" t="n">
        <f aca="false">Sens!J12076*(1+Sens!K12077)</f>
        <v>12.1714060350394</v>
      </c>
      <c r="L12076" s="12" t="s">
        <v>1034</v>
      </c>
    </row>
    <row r="12077" customFormat="false" ht="15" hidden="false" customHeight="false" outlineLevel="0" collapsed="false">
      <c r="A12077" s="1" t="s">
        <v>1024</v>
      </c>
      <c r="B12077" s="0" t="s">
        <v>168</v>
      </c>
      <c r="E12077" s="7" t="n">
        <f aca="false">Sens!E12076/Sens!D12076-1</f>
        <v>0.0644329896907216</v>
      </c>
      <c r="F12077" s="7" t="n">
        <f aca="false">Sens!$E$12077+(glt_fro-Sens!$E$12077)*MIN(1,(Sens!F12022-base_fy)/n_conv)</f>
        <v>0.065360824742268</v>
      </c>
      <c r="G12077" s="7" t="n">
        <f aca="false">Sens!$E$12077+(glt_fro-Sens!$E$12077)*MIN(1,(Sens!G12022-base_fy)/n_conv)</f>
        <v>0.0662886597938144</v>
      </c>
      <c r="H12077" s="7" t="n">
        <f aca="false">Sens!$E$12077+(glt_fro-Sens!$E$12077)*MIN(1,(Sens!H12022-base_fy)/n_conv)</f>
        <v>0.0672164948453608</v>
      </c>
      <c r="I12077" s="7" t="n">
        <f aca="false">Sens!$E$12077+(glt_fro-Sens!$E$12077)*MIN(1,(Sens!I12022-base_fy)/n_conv)</f>
        <v>0.0681443298969072</v>
      </c>
      <c r="J12077" s="7" t="n">
        <f aca="false">Sens!$E$12077+(glt_fro-Sens!$E$12077)*MIN(1,(Sens!J12022-base_fy)/n_conv)</f>
        <v>0.0690721649484536</v>
      </c>
      <c r="K12077" s="7" t="n">
        <f aca="false">Sens!$E$12077+(glt_fro-Sens!$E$12077)*MIN(1,(Sens!K12022-base_fy)/n_conv)</f>
        <v>0.07</v>
      </c>
    </row>
    <row r="12078" customFormat="false" ht="15" hidden="false" customHeight="false" outlineLevel="0" collapsed="false">
      <c r="A12078" s="0" t="s">
        <v>852</v>
      </c>
      <c r="B12078" s="0" t="s">
        <v>98</v>
      </c>
      <c r="D12078" s="6" t="n">
        <f aca="false">Sens!D12066+Sens!D12071+Sens!D12072+Sens!D12074+Sens!D12076</f>
        <v>218.783</v>
      </c>
      <c r="E12078" s="6" t="n">
        <f aca="false">Sens!E12066+Sens!E12071+Sens!E12072+Sens!E12074+Sens!E12076</f>
        <v>268.127</v>
      </c>
      <c r="F12078" s="6" t="n">
        <f aca="false">Sens!F12066+Sens!F12071+Sens!F12072+Sens!F12074+Sens!F12076</f>
        <v>338.774715894377</v>
      </c>
      <c r="G12078" s="6" t="n">
        <f aca="false">Sens!G12066+Sens!G12071+Sens!G12072+Sens!G12074+Sens!G12076</f>
        <v>425.508058536537</v>
      </c>
      <c r="H12078" s="6" t="n">
        <f aca="false">Sens!H12066+Sens!H12071+Sens!H12072+Sens!H12074+Sens!H12076</f>
        <v>518.580813986921</v>
      </c>
      <c r="I12078" s="6" t="n">
        <f aca="false">Sens!I12066+Sens!I12071+Sens!I12072+Sens!I12074+Sens!I12076</f>
        <v>597.067731307455</v>
      </c>
      <c r="J12078" s="6" t="n">
        <f aca="false">Sens!J12066+Sens!J12071+Sens!J12072+Sens!J12074+Sens!J12076</f>
        <v>659.345790484055</v>
      </c>
      <c r="K12078" s="6" t="n">
        <f aca="false">Sens!K12066+Sens!K12071+Sens!K12072+Sens!K12074+Sens!K12076</f>
        <v>707.958647997291</v>
      </c>
    </row>
    <row r="12079" customFormat="false" ht="17.15" hidden="false" customHeight="false" outlineLevel="0" collapsed="false">
      <c r="A12079" s="0" t="s">
        <v>1037</v>
      </c>
      <c r="B12079" s="0" t="s">
        <v>98</v>
      </c>
      <c r="D12079" s="6" t="n">
        <f aca="false">Q!L13</f>
        <v>22.171</v>
      </c>
      <c r="E12079" s="6" t="n">
        <f aca="false">Q!M13</f>
        <v>24.835</v>
      </c>
      <c r="F12079" s="6" t="n">
        <f aca="false">Q!$I$13+(Q!M13-Q!$E$13)*(1+Sens!F12080)</f>
        <v>27.5591895660247</v>
      </c>
      <c r="G12079" s="6" t="n">
        <f aca="false">Sens!F12079*(1+Sens!G12080)</f>
        <v>30.4098563144583</v>
      </c>
      <c r="H12079" s="6" t="n">
        <f aca="false">Sens!G12079*(1+Sens!H12080)</f>
        <v>33.3011792571777</v>
      </c>
      <c r="I12079" s="6" t="n">
        <f aca="false">Sens!H12079*(1+Sens!I12080)</f>
        <v>36.189023797112</v>
      </c>
      <c r="J12079" s="6" t="n">
        <f aca="false">Sens!I12079*(1+Sens!J12080)</f>
        <v>39.0247773769199</v>
      </c>
      <c r="K12079" s="6" t="n">
        <f aca="false">Sens!J12079*(1+Sens!K12080)</f>
        <v>41.7565117933043</v>
      </c>
      <c r="L12079" s="12" t="s">
        <v>1034</v>
      </c>
    </row>
    <row r="12080" customFormat="false" ht="15" hidden="false" customHeight="false" outlineLevel="0" collapsed="false">
      <c r="A12080" s="1" t="s">
        <v>1024</v>
      </c>
      <c r="B12080" s="0" t="s">
        <v>168</v>
      </c>
      <c r="E12080" s="7" t="n">
        <f aca="false">Sens!E12079/Sens!D12079-1</f>
        <v>0.120156961796942</v>
      </c>
      <c r="F12080" s="7" t="n">
        <f aca="false">Sens!$E$12080+(glt_srch-Sens!$E$12080)*MIN(1,(Sens!F12022-base_fy)/n_conv)</f>
        <v>0.111797468164118</v>
      </c>
      <c r="G12080" s="7" t="n">
        <f aca="false">Sens!$E$12080+(glt_srch-Sens!$E$12080)*MIN(1,(Sens!G12022-base_fy)/n_conv)</f>
        <v>0.103437974531295</v>
      </c>
      <c r="H12080" s="7" t="n">
        <f aca="false">Sens!$E$12080+(glt_srch-Sens!$E$12080)*MIN(1,(Sens!H12022-base_fy)/n_conv)</f>
        <v>0.095078480898471</v>
      </c>
      <c r="I12080" s="7" t="n">
        <f aca="false">Sens!$E$12080+(glt_srch-Sens!$E$12080)*MIN(1,(Sens!I12022-base_fy)/n_conv)</f>
        <v>0.0867189872656474</v>
      </c>
      <c r="J12080" s="7" t="n">
        <f aca="false">Sens!$E$12080+(glt_srch-Sens!$E$12080)*MIN(1,(Sens!J12022-base_fy)/n_conv)</f>
        <v>0.0783594936328237</v>
      </c>
      <c r="K12080" s="7" t="n">
        <f aca="false">Sens!$E$12080+(glt_srch-Sens!$E$12080)*MIN(1,(Sens!K12022-base_fy)/n_conv)</f>
        <v>0.07</v>
      </c>
    </row>
    <row r="12081" customFormat="false" ht="17.15" hidden="false" customHeight="false" outlineLevel="0" collapsed="false">
      <c r="A12081" s="0" t="s">
        <v>1038</v>
      </c>
      <c r="B12081" s="0" t="s">
        <v>98</v>
      </c>
      <c r="D12081" s="6" t="n">
        <f aca="false">Q!L14</f>
        <v>23.455</v>
      </c>
      <c r="E12081" s="6" t="n">
        <f aca="false">Q!M14</f>
        <v>21.79</v>
      </c>
      <c r="F12081" s="6" t="n">
        <f aca="false">Q!$I$14+(Q!M14-Q!$E$14)*(1+Sens!F12082)</f>
        <v>20.8335081041711</v>
      </c>
      <c r="G12081" s="6" t="n">
        <f aca="false">Sens!F12081*(1+Sens!G12082)</f>
        <v>20.1947944630466</v>
      </c>
      <c r="H12081" s="6" t="n">
        <f aca="false">Sens!G12081*(1+Sens!H12082)</f>
        <v>19.9828804239412</v>
      </c>
      <c r="I12081" s="6" t="n">
        <f aca="false">Sens!H12081*(1+Sens!I12082)</f>
        <v>20.1761348846602</v>
      </c>
      <c r="J12081" s="6" t="n">
        <f aca="false">Sens!I12081*(1+Sens!J12082)</f>
        <v>20.7780999691978</v>
      </c>
      <c r="K12081" s="6" t="n">
        <f aca="false">Sens!J12081*(1+Sens!K12082)</f>
        <v>21.8170049676577</v>
      </c>
      <c r="L12081" s="12" t="s">
        <v>1034</v>
      </c>
    </row>
    <row r="12082" customFormat="false" ht="15" hidden="false" customHeight="false" outlineLevel="0" collapsed="false">
      <c r="A12082" s="1" t="s">
        <v>1024</v>
      </c>
      <c r="B12082" s="0" t="s">
        <v>168</v>
      </c>
      <c r="E12082" s="7" t="n">
        <f aca="false">Sens!E12081/Sens!D12081-1</f>
        <v>-0.0709869963760392</v>
      </c>
      <c r="F12082" s="7" t="n">
        <f aca="false">Sens!$E$12082+(glt_xbox_hi-Sens!$E$12082)*MIN(1,(Sens!F12022-base_fy)/n_conv)</f>
        <v>-0.0508224969800327</v>
      </c>
      <c r="G12082" s="7" t="n">
        <f aca="false">Sens!$E$12082+(glt_xbox_hi-Sens!$E$12082)*MIN(1,(Sens!G12022-base_fy)/n_conv)</f>
        <v>-0.0306579975840262</v>
      </c>
      <c r="H12082" s="7" t="n">
        <f aca="false">Sens!$E$12082+(glt_xbox_hi-Sens!$E$12082)*MIN(1,(Sens!H12022-base_fy)/n_conv)</f>
        <v>-0.0104934981880196</v>
      </c>
      <c r="I12082" s="7" t="n">
        <f aca="false">Sens!$E$12082+(glt_xbox_hi-Sens!$E$12082)*MIN(1,(Sens!I12022-base_fy)/n_conv)</f>
        <v>0.00967100120798692</v>
      </c>
      <c r="J12082" s="7" t="n">
        <f aca="false">Sens!$E$12082+(glt_xbox_hi-Sens!$E$12082)*MIN(1,(Sens!J12022-base_fy)/n_conv)</f>
        <v>0.0298355006039935</v>
      </c>
      <c r="K12082" s="7" t="n">
        <f aca="false">Sens!$E$12082+(glt_xbox_hi-Sens!$E$12082)*MIN(1,(Sens!K12022-base_fy)/n_conv)</f>
        <v>0.05</v>
      </c>
    </row>
    <row r="12083" customFormat="false" ht="17.15" hidden="false" customHeight="false" outlineLevel="0" collapsed="false">
      <c r="A12083" s="0" t="s">
        <v>1039</v>
      </c>
      <c r="B12083" s="0" t="s">
        <v>98</v>
      </c>
      <c r="D12083" s="6" t="n">
        <f aca="false">Q!L15</f>
        <v>17.315</v>
      </c>
      <c r="E12083" s="6" t="n">
        <f aca="false">Q!M15</f>
        <v>17.087</v>
      </c>
      <c r="F12083" s="6" t="n">
        <f aca="false">Q!$I$15+(Q!M15-Q!$E$15)*(1+Sens!F12084)</f>
        <v>15.9912273250553</v>
      </c>
      <c r="G12083" s="6" t="n">
        <f aca="false">Sens!F12083*(1+Sens!G12084)</f>
        <v>15.9574562664827</v>
      </c>
      <c r="H12083" s="6" t="n">
        <f aca="false">Sens!G12083*(1+Sens!H12084)</f>
        <v>16.0119687434196</v>
      </c>
      <c r="I12083" s="6" t="n">
        <f aca="false">Sens!H12083*(1+Sens!I12084)</f>
        <v>16.1551810001948</v>
      </c>
      <c r="J12083" s="6" t="n">
        <f aca="false">Sens!I12083*(1+Sens!J12084)</f>
        <v>16.3889793892005</v>
      </c>
      <c r="K12083" s="6" t="n">
        <f aca="false">Sens!J12083*(1+Sens!K12084)</f>
        <v>16.7167589769845</v>
      </c>
      <c r="L12083" s="12" t="s">
        <v>1034</v>
      </c>
    </row>
    <row r="12084" customFormat="false" ht="15" hidden="false" customHeight="false" outlineLevel="0" collapsed="false">
      <c r="A12084" s="1" t="s">
        <v>1024</v>
      </c>
      <c r="B12084" s="0" t="s">
        <v>168</v>
      </c>
      <c r="E12084" s="7" t="n">
        <f aca="false">Sens!E12083/Sens!D12083-1</f>
        <v>-0.0131677736066995</v>
      </c>
      <c r="F12084" s="7" t="n">
        <f aca="false">Sens!$E$12084+(glt_win-Sens!$E$12084)*MIN(1,(Sens!F12022-base_fy)/n_conv)</f>
        <v>-0.00763981133891627</v>
      </c>
      <c r="G12084" s="7" t="n">
        <f aca="false">Sens!$E$12084+(glt_win-Sens!$E$12084)*MIN(1,(Sens!G12022-base_fy)/n_conv)</f>
        <v>-0.00211184907113301</v>
      </c>
      <c r="H12084" s="7" t="n">
        <f aca="false">Sens!$E$12084+(glt_win-Sens!$E$12084)*MIN(1,(Sens!H12022-base_fy)/n_conv)</f>
        <v>0.00341611319665024</v>
      </c>
      <c r="I12084" s="7" t="n">
        <f aca="false">Sens!$E$12084+(glt_win-Sens!$E$12084)*MIN(1,(Sens!I12022-base_fy)/n_conv)</f>
        <v>0.00894407546443349</v>
      </c>
      <c r="J12084" s="7" t="n">
        <f aca="false">Sens!$E$12084+(glt_win-Sens!$E$12084)*MIN(1,(Sens!J12022-base_fy)/n_conv)</f>
        <v>0.0144720377322168</v>
      </c>
      <c r="K12084" s="7" t="n">
        <f aca="false">Sens!$E$12084+(glt_win-Sens!$E$12084)*MIN(1,(Sens!K12022-base_fy)/n_conv)</f>
        <v>0.02</v>
      </c>
    </row>
    <row r="12085" customFormat="false" ht="15" hidden="false" customHeight="false" outlineLevel="0" collapsed="false">
      <c r="A12085" s="0" t="s">
        <v>866</v>
      </c>
      <c r="B12085" s="0" t="s">
        <v>98</v>
      </c>
      <c r="D12085" s="6" t="n">
        <f aca="false">Sens!D12079+Sens!D12081+Sens!D12083</f>
        <v>62.941</v>
      </c>
      <c r="E12085" s="6" t="n">
        <f aca="false">Sens!E12079+Sens!E12081+Sens!E12083</f>
        <v>63.712</v>
      </c>
      <c r="F12085" s="6" t="n">
        <f aca="false">Sens!F12079+Sens!F12081+Sens!F12083</f>
        <v>64.3839249952511</v>
      </c>
      <c r="G12085" s="6" t="n">
        <f aca="false">Sens!G12079+Sens!G12081+Sens!G12083</f>
        <v>66.5621070439876</v>
      </c>
      <c r="H12085" s="6" t="n">
        <f aca="false">Sens!H12079+Sens!H12081+Sens!H12083</f>
        <v>69.2960284245385</v>
      </c>
      <c r="I12085" s="6" t="n">
        <f aca="false">Sens!I12079+Sens!I12081+Sens!I12083</f>
        <v>72.520339681967</v>
      </c>
      <c r="J12085" s="6" t="n">
        <f aca="false">Sens!J12079+Sens!J12081+Sens!J12083</f>
        <v>76.1918567353181</v>
      </c>
      <c r="K12085" s="6" t="n">
        <f aca="false">Sens!K12079+Sens!K12081+Sens!K12083</f>
        <v>80.2902757379464</v>
      </c>
    </row>
    <row r="12086" customFormat="false" ht="15" hidden="false" customHeight="false" outlineLevel="0" collapsed="false">
      <c r="A12086" s="1" t="s">
        <v>1040</v>
      </c>
      <c r="B12086" s="0" t="s">
        <v>98</v>
      </c>
      <c r="D12086" s="6" t="n">
        <f aca="false">Sens!D12078+Sens!D12085</f>
        <v>281.724</v>
      </c>
      <c r="E12086" s="6" t="n">
        <f aca="false">Sens!E12078+Sens!E12085</f>
        <v>331.839</v>
      </c>
      <c r="F12086" s="6" t="n">
        <f aca="false">Sens!F12078+Sens!F12085</f>
        <v>403.158640889628</v>
      </c>
      <c r="G12086" s="6" t="n">
        <f aca="false">Sens!G12078+Sens!G12085</f>
        <v>492.070165580525</v>
      </c>
      <c r="H12086" s="6" t="n">
        <f aca="false">Sens!H12078+Sens!H12085</f>
        <v>587.876842411459</v>
      </c>
      <c r="I12086" s="6" t="n">
        <f aca="false">Sens!I12078+Sens!I12085</f>
        <v>669.588070989422</v>
      </c>
      <c r="J12086" s="6" t="n">
        <f aca="false">Sens!J12078+Sens!J12085</f>
        <v>735.537647219373</v>
      </c>
      <c r="K12086" s="6" t="n">
        <f aca="false">Sens!K12078+Sens!K12085</f>
        <v>788.248923735237</v>
      </c>
    </row>
    <row r="12087" customFormat="false" ht="15" hidden="false" customHeight="false" outlineLevel="0" collapsed="false">
      <c r="A12087" s="26" t="s">
        <v>1041</v>
      </c>
      <c r="B12087" s="31" t="s">
        <v>98</v>
      </c>
      <c r="C12087" s="31"/>
      <c r="D12087" s="27" t="n">
        <f aca="false">(Sens!D12066+Sens!D12071+Sens!D12072+Sens!D12074+Sens!D12076-Sens!D12078)+(Sens!D12079+Sens!D12081+Sens!D12083-Sens!D12085)+(Sens!D12078-Q!L5)+(Sens!D12085-Q!L12)+(Sens!D12066-Q!L6)+(Sens!D12071-Q!L7)</f>
        <v>0</v>
      </c>
      <c r="E12087" s="27" t="n">
        <f aca="false">(Sens!E12066+Sens!E12071+Sens!E12072+Sens!E12074+Sens!E12076-Sens!E12078)+(Sens!E12079+Sens!E12081+Sens!E12083-Sens!E12085)+(Sens!E12078-Q!M5)+(Sens!E12085-Q!M12)+(Sens!E12066-Q!M6)+(Sens!E12071-Q!M7)</f>
        <v>0</v>
      </c>
      <c r="F12087" s="27" t="n">
        <f aca="false">(Sens!F12066+Sens!F12071+Sens!F12072+Sens!F12074+Sens!F12076-Sens!F12078)+(Sens!F12079+Sens!F12081+Sens!F12083-Sens!F12085)</f>
        <v>0</v>
      </c>
      <c r="G12087" s="27" t="n">
        <f aca="false">(Sens!G12066+Sens!G12071+Sens!G12072+Sens!G12074+Sens!G12076-Sens!G12078)+(Sens!G12079+Sens!G12081+Sens!G12083-Sens!G12085)</f>
        <v>0</v>
      </c>
      <c r="H12087" s="27" t="n">
        <f aca="false">(Sens!H12066+Sens!H12071+Sens!H12072+Sens!H12074+Sens!H12076-Sens!H12078)+(Sens!H12079+Sens!H12081+Sens!H12083-Sens!H12085)</f>
        <v>0</v>
      </c>
      <c r="I12087" s="27" t="n">
        <f aca="false">(Sens!I12066+Sens!I12071+Sens!I12072+Sens!I12074+Sens!I12076-Sens!I12078)+(Sens!I12079+Sens!I12081+Sens!I12083-Sens!I12085)</f>
        <v>0</v>
      </c>
      <c r="J12087" s="27" t="n">
        <f aca="false">(Sens!J12066+Sens!J12071+Sens!J12072+Sens!J12074+Sens!J12076-Sens!J12078)+(Sens!J12079+Sens!J12081+Sens!J12083-Sens!J12085)</f>
        <v>0</v>
      </c>
      <c r="K12087" s="27" t="n">
        <f aca="false">(Sens!K12066+Sens!K12071+Sens!K12072+Sens!K12074+Sens!K12076-Sens!K12078)+(Sens!K12079+Sens!K12081+Sens!K12083-Sens!K12085)</f>
        <v>0</v>
      </c>
    </row>
    <row r="12088" customFormat="false" ht="17.15" hidden="false" customHeight="false" outlineLevel="0" collapsed="false">
      <c r="A12088" s="3" t="s">
        <v>1782</v>
      </c>
    </row>
    <row r="12089" customFormat="false" ht="15" hidden="false" customHeight="false" outlineLevel="0" collapsed="false">
      <c r="A12089" s="4" t="s">
        <v>43</v>
      </c>
      <c r="B12089" s="4" t="s">
        <v>65</v>
      </c>
      <c r="C12089" s="23" t="s">
        <v>938</v>
      </c>
      <c r="D12089" s="23" t="s">
        <v>939</v>
      </c>
      <c r="E12089" s="23" t="s">
        <v>940</v>
      </c>
      <c r="F12089" s="23" t="s">
        <v>941</v>
      </c>
      <c r="G12089" s="23" t="s">
        <v>942</v>
      </c>
      <c r="H12089" s="23" t="s">
        <v>943</v>
      </c>
      <c r="I12089" s="23" t="s">
        <v>944</v>
      </c>
      <c r="J12089" s="23" t="s">
        <v>945</v>
      </c>
      <c r="K12089" s="23" t="s">
        <v>946</v>
      </c>
      <c r="L12089" s="4" t="s">
        <v>47</v>
      </c>
    </row>
    <row r="12090" customFormat="false" ht="15" hidden="false" customHeight="false" outlineLevel="0" collapsed="false">
      <c r="A12090" s="0" t="s">
        <v>1025</v>
      </c>
      <c r="B12090" s="0" t="s">
        <v>98</v>
      </c>
      <c r="D12090" s="6" t="n">
        <f aca="false">Sens!D12066</f>
        <v>72.61</v>
      </c>
      <c r="E12090" s="6" t="n">
        <f aca="false">Sens!E12066</f>
        <v>101.938</v>
      </c>
      <c r="F12090" s="6" t="n">
        <f aca="false">Sens!F12066</f>
        <v>149.59001837225</v>
      </c>
      <c r="G12090" s="6" t="n">
        <f aca="false">Sens!G12066</f>
        <v>210.963087346352</v>
      </c>
      <c r="H12090" s="6" t="n">
        <f aca="false">Sens!H12066</f>
        <v>278.649709314524</v>
      </c>
      <c r="I12090" s="6" t="n">
        <f aca="false">Sens!I12066</f>
        <v>334.269404582332</v>
      </c>
      <c r="J12090" s="6" t="n">
        <f aca="false">Sens!J12066</f>
        <v>376.517293063672</v>
      </c>
      <c r="K12090" s="6" t="n">
        <f aca="false">Sens!K12066</f>
        <v>406.018092622804</v>
      </c>
    </row>
    <row r="12091" customFormat="false" ht="17.15" hidden="false" customHeight="false" outlineLevel="0" collapsed="false">
      <c r="A12091" s="0" t="s">
        <v>1021</v>
      </c>
      <c r="B12091" s="0" t="s">
        <v>98</v>
      </c>
      <c r="D12091" s="6" t="n">
        <f aca="false">Sens!D12063</f>
        <v>12.9359794422418</v>
      </c>
      <c r="E12091" s="6" t="n">
        <f aca="false">Sens!E12063</f>
        <v>27.8095064661409</v>
      </c>
      <c r="F12091" s="6" t="n">
        <f aca="false">Sens!F12063</f>
        <v>59.1034165651511</v>
      </c>
      <c r="G12091" s="6" t="n">
        <f aca="false">Sens!G12063</f>
        <v>103.451498789198</v>
      </c>
      <c r="H12091" s="6" t="n">
        <f aca="false">Sens!H12063</f>
        <v>153.816719989035</v>
      </c>
      <c r="I12091" s="6" t="n">
        <f aca="false">Sens!I12063</f>
        <v>192.699478690852</v>
      </c>
      <c r="J12091" s="6" t="n">
        <f aca="false">Sens!J12063</f>
        <v>219.794102584244</v>
      </c>
      <c r="K12091" s="6" t="n">
        <f aca="false">Sens!K12063</f>
        <v>236.757046905022</v>
      </c>
    </row>
    <row r="12092" customFormat="false" ht="17.15" hidden="false" customHeight="false" outlineLevel="0" collapsed="false">
      <c r="A12092" s="0" t="s">
        <v>1052</v>
      </c>
      <c r="B12092" s="0" t="s">
        <v>98</v>
      </c>
      <c r="D12092" s="6" t="n">
        <f aca="false">Sens!D12064</f>
        <v>59.6740205577583</v>
      </c>
      <c r="E12092" s="6" t="n">
        <f aca="false">Sens!E12064</f>
        <v>74.1284935338591</v>
      </c>
      <c r="F12092" s="6" t="n">
        <f aca="false">Sens!F12064</f>
        <v>90.4866018070994</v>
      </c>
      <c r="G12092" s="6" t="n">
        <f aca="false">Sens!G12064</f>
        <v>107.511588557154</v>
      </c>
      <c r="H12092" s="6" t="n">
        <f aca="false">Sens!H12064</f>
        <v>124.832989325489</v>
      </c>
      <c r="I12092" s="6" t="n">
        <f aca="false">Sens!I12064</f>
        <v>141.56992589148</v>
      </c>
      <c r="J12092" s="6" t="n">
        <f aca="false">Sens!J12064</f>
        <v>156.723190479428</v>
      </c>
      <c r="K12092" s="6" t="n">
        <f aca="false">Sens!K12064</f>
        <v>169.261045717783</v>
      </c>
    </row>
    <row r="12093" customFormat="false" ht="15" hidden="false" customHeight="false" outlineLevel="0" collapsed="false">
      <c r="A12093" s="0" t="s">
        <v>1032</v>
      </c>
      <c r="B12093" s="0" t="s">
        <v>98</v>
      </c>
      <c r="D12093" s="6" t="n">
        <f aca="false">Sens!D12071</f>
        <v>84.605</v>
      </c>
      <c r="E12093" s="6" t="n">
        <f aca="false">Sens!E12071</f>
        <v>100.299</v>
      </c>
      <c r="F12093" s="6" t="n">
        <f aca="false">Sens!F12071</f>
        <v>119.729653205718</v>
      </c>
      <c r="G12093" s="6" t="n">
        <f aca="false">Sens!G12071</f>
        <v>140.806092647576</v>
      </c>
      <c r="H12093" s="6" t="n">
        <f aca="false">Sens!H12071</f>
        <v>161.963437602768</v>
      </c>
      <c r="I12093" s="6" t="n">
        <f aca="false">Sens!I12071</f>
        <v>180.695354741933</v>
      </c>
      <c r="J12093" s="6" t="n">
        <f aca="false">Sens!J12071</f>
        <v>196.722117481571</v>
      </c>
      <c r="K12093" s="6" t="n">
        <f aca="false">Sens!K12071</f>
        <v>212.00016570528</v>
      </c>
    </row>
    <row r="12094" customFormat="false" ht="17.15" hidden="false" customHeight="false" outlineLevel="0" collapsed="false">
      <c r="A12094" s="0" t="s">
        <v>1053</v>
      </c>
      <c r="B12094" s="0" t="s">
        <v>98</v>
      </c>
      <c r="D12094" s="6" t="n">
        <f aca="false">Sens!D12069</f>
        <v>83.705</v>
      </c>
      <c r="E12094" s="6" t="n">
        <f aca="false">Sens!E12069</f>
        <v>95.049</v>
      </c>
      <c r="F12094" s="6" t="n">
        <f aca="false">Sens!F12069</f>
        <v>106.229653205718</v>
      </c>
      <c r="G12094" s="6" t="n">
        <f aca="false">Sens!G12069</f>
        <v>118.306092647576</v>
      </c>
      <c r="H12094" s="6" t="n">
        <f aca="false">Sens!H12069</f>
        <v>130.463437602768</v>
      </c>
      <c r="I12094" s="6" t="n">
        <f aca="false">Sens!I12069</f>
        <v>142.445354741933</v>
      </c>
      <c r="J12094" s="6" t="n">
        <f aca="false">Sens!J12069</f>
        <v>153.972117481571</v>
      </c>
      <c r="K12094" s="6" t="n">
        <f aca="false">Sens!K12069</f>
        <v>164.75016570528</v>
      </c>
    </row>
    <row r="12095" customFormat="false" ht="17.15" hidden="false" customHeight="false" outlineLevel="0" collapsed="false">
      <c r="A12095" s="0" t="s">
        <v>1054</v>
      </c>
      <c r="B12095" s="0" t="s">
        <v>98</v>
      </c>
      <c r="D12095" s="6" t="n">
        <f aca="false">Sens!D12068</f>
        <v>0.9</v>
      </c>
      <c r="E12095" s="6" t="n">
        <f aca="false">Sens!E12068</f>
        <v>5.25</v>
      </c>
      <c r="F12095" s="6" t="n">
        <f aca="false">Sens!F12068</f>
        <v>13.5</v>
      </c>
      <c r="G12095" s="6" t="n">
        <f aca="false">Sens!G12068</f>
        <v>22.5</v>
      </c>
      <c r="H12095" s="6" t="n">
        <f aca="false">Sens!H12068</f>
        <v>31.5</v>
      </c>
      <c r="I12095" s="6" t="n">
        <f aca="false">Sens!I12068</f>
        <v>38.25</v>
      </c>
      <c r="J12095" s="6" t="n">
        <f aca="false">Sens!J12068</f>
        <v>42.75</v>
      </c>
      <c r="K12095" s="6" t="n">
        <f aca="false">Sens!K12068</f>
        <v>47.25</v>
      </c>
    </row>
    <row r="12096" customFormat="false" ht="15" hidden="false" customHeight="false" outlineLevel="0" collapsed="false">
      <c r="A12096" s="0" t="s">
        <v>1033</v>
      </c>
      <c r="B12096" s="0" t="s">
        <v>98</v>
      </c>
      <c r="D12096" s="6" t="n">
        <f aca="false">Sens!D12072</f>
        <v>35.391</v>
      </c>
      <c r="E12096" s="6" t="n">
        <f aca="false">Sens!E12072</f>
        <v>37.285</v>
      </c>
      <c r="F12096" s="6" t="n">
        <f aca="false">Sens!F12072</f>
        <v>38.3851437782675</v>
      </c>
      <c r="G12096" s="6" t="n">
        <f aca="false">Sens!G12072</f>
        <v>40.0105353288615</v>
      </c>
      <c r="H12096" s="6" t="n">
        <f aca="false">Sens!H12072</f>
        <v>41.4812512033683</v>
      </c>
      <c r="I12096" s="6" t="n">
        <f aca="false">Sens!I12072</f>
        <v>42.7743107216329</v>
      </c>
      <c r="J12096" s="6" t="n">
        <f aca="false">Sens!J12072</f>
        <v>43.8687373064601</v>
      </c>
      <c r="K12096" s="6" t="n">
        <f aca="false">Sens!K12072</f>
        <v>44.7461120525893</v>
      </c>
    </row>
    <row r="12097" customFormat="false" ht="15" hidden="false" customHeight="false" outlineLevel="0" collapsed="false">
      <c r="A12097" s="0" t="s">
        <v>1035</v>
      </c>
      <c r="B12097" s="0" t="s">
        <v>98</v>
      </c>
      <c r="D12097" s="6" t="n">
        <f aca="false">Sens!D12074</f>
        <v>18.417</v>
      </c>
      <c r="E12097" s="6" t="n">
        <f aca="false">Sens!E12074</f>
        <v>20.345</v>
      </c>
      <c r="F12097" s="6" t="n">
        <f aca="false">Sens!F12074</f>
        <v>22.3161797133988</v>
      </c>
      <c r="G12097" s="6" t="n">
        <f aca="false">Sens!G12074</f>
        <v>24.3943499673233</v>
      </c>
      <c r="H12097" s="6" t="n">
        <f aca="false">Sens!H12074</f>
        <v>26.5250243109019</v>
      </c>
      <c r="I12097" s="6" t="n">
        <f aca="false">Sens!I12074</f>
        <v>28.6884573538181</v>
      </c>
      <c r="J12097" s="6" t="n">
        <f aca="false">Sens!J12074</f>
        <v>30.8624968052127</v>
      </c>
      <c r="K12097" s="6" t="n">
        <f aca="false">Sens!K12074</f>
        <v>33.0228715815776</v>
      </c>
    </row>
    <row r="12098" customFormat="false" ht="15" hidden="false" customHeight="false" outlineLevel="0" collapsed="false">
      <c r="A12098" s="0" t="s">
        <v>1036</v>
      </c>
      <c r="B12098" s="0" t="s">
        <v>98</v>
      </c>
      <c r="D12098" s="6" t="n">
        <f aca="false">Sens!D12076</f>
        <v>7.76</v>
      </c>
      <c r="E12098" s="6" t="n">
        <f aca="false">Sens!E12076</f>
        <v>8.26</v>
      </c>
      <c r="F12098" s="6" t="n">
        <f aca="false">Sens!F12076</f>
        <v>8.75372082474227</v>
      </c>
      <c r="G12098" s="6" t="n">
        <f aca="false">Sens!G12076</f>
        <v>9.33399324642364</v>
      </c>
      <c r="H12098" s="6" t="n">
        <f aca="false">Sens!H12076</f>
        <v>9.96139155535851</v>
      </c>
      <c r="I12098" s="6" t="n">
        <f aca="false">Sens!I12076</f>
        <v>10.6402039077391</v>
      </c>
      <c r="J12098" s="6" t="n">
        <f aca="false">Sens!J12076</f>
        <v>11.3751458271397</v>
      </c>
      <c r="K12098" s="6" t="n">
        <f aca="false">Sens!K12076</f>
        <v>12.1714060350394</v>
      </c>
    </row>
    <row r="12099" customFormat="false" ht="15" hidden="false" customHeight="false" outlineLevel="0" collapsed="false">
      <c r="A12099" s="0" t="s">
        <v>852</v>
      </c>
      <c r="B12099" s="0" t="s">
        <v>98</v>
      </c>
      <c r="D12099" s="6" t="n">
        <f aca="false">Sens!D12078</f>
        <v>218.783</v>
      </c>
      <c r="E12099" s="6" t="n">
        <f aca="false">Sens!E12078</f>
        <v>268.127</v>
      </c>
      <c r="F12099" s="6" t="n">
        <f aca="false">Sens!F12078</f>
        <v>338.774715894377</v>
      </c>
      <c r="G12099" s="6" t="n">
        <f aca="false">Sens!G12078</f>
        <v>425.508058536537</v>
      </c>
      <c r="H12099" s="6" t="n">
        <f aca="false">Sens!H12078</f>
        <v>518.580813986921</v>
      </c>
      <c r="I12099" s="6" t="n">
        <f aca="false">Sens!I12078</f>
        <v>597.067731307455</v>
      </c>
      <c r="J12099" s="6" t="n">
        <f aca="false">Sens!J12078</f>
        <v>659.345790484055</v>
      </c>
      <c r="K12099" s="6" t="n">
        <f aca="false">Sens!K12078</f>
        <v>707.958647997291</v>
      </c>
    </row>
    <row r="12100" customFormat="false" ht="15" hidden="false" customHeight="false" outlineLevel="0" collapsed="false">
      <c r="A12100" s="0" t="s">
        <v>1037</v>
      </c>
      <c r="B12100" s="0" t="s">
        <v>98</v>
      </c>
      <c r="D12100" s="6" t="n">
        <f aca="false">Sens!D12079</f>
        <v>22.171</v>
      </c>
      <c r="E12100" s="6" t="n">
        <f aca="false">Sens!E12079</f>
        <v>24.835</v>
      </c>
      <c r="F12100" s="6" t="n">
        <f aca="false">Sens!F12079</f>
        <v>27.5591895660247</v>
      </c>
      <c r="G12100" s="6" t="n">
        <f aca="false">Sens!G12079</f>
        <v>30.4098563144583</v>
      </c>
      <c r="H12100" s="6" t="n">
        <f aca="false">Sens!H12079</f>
        <v>33.3011792571777</v>
      </c>
      <c r="I12100" s="6" t="n">
        <f aca="false">Sens!I12079</f>
        <v>36.189023797112</v>
      </c>
      <c r="J12100" s="6" t="n">
        <f aca="false">Sens!J12079</f>
        <v>39.0247773769199</v>
      </c>
      <c r="K12100" s="6" t="n">
        <f aca="false">Sens!K12079</f>
        <v>41.7565117933043</v>
      </c>
    </row>
    <row r="12101" customFormat="false" ht="15" hidden="false" customHeight="false" outlineLevel="0" collapsed="false">
      <c r="A12101" s="0" t="s">
        <v>1038</v>
      </c>
      <c r="B12101" s="0" t="s">
        <v>98</v>
      </c>
      <c r="D12101" s="6" t="n">
        <f aca="false">Sens!D12081</f>
        <v>23.455</v>
      </c>
      <c r="E12101" s="6" t="n">
        <f aca="false">Sens!E12081</f>
        <v>21.79</v>
      </c>
      <c r="F12101" s="6" t="n">
        <f aca="false">Sens!F12081</f>
        <v>20.8335081041711</v>
      </c>
      <c r="G12101" s="6" t="n">
        <f aca="false">Sens!G12081</f>
        <v>20.1947944630466</v>
      </c>
      <c r="H12101" s="6" t="n">
        <f aca="false">Sens!H12081</f>
        <v>19.9828804239412</v>
      </c>
      <c r="I12101" s="6" t="n">
        <f aca="false">Sens!I12081</f>
        <v>20.1761348846602</v>
      </c>
      <c r="J12101" s="6" t="n">
        <f aca="false">Sens!J12081</f>
        <v>20.7780999691978</v>
      </c>
      <c r="K12101" s="6" t="n">
        <f aca="false">Sens!K12081</f>
        <v>21.8170049676577</v>
      </c>
    </row>
    <row r="12102" customFormat="false" ht="15" hidden="false" customHeight="false" outlineLevel="0" collapsed="false">
      <c r="A12102" s="0" t="s">
        <v>1039</v>
      </c>
      <c r="B12102" s="0" t="s">
        <v>98</v>
      </c>
      <c r="D12102" s="6" t="n">
        <f aca="false">Sens!D12083</f>
        <v>17.315</v>
      </c>
      <c r="E12102" s="6" t="n">
        <f aca="false">Sens!E12083</f>
        <v>17.087</v>
      </c>
      <c r="F12102" s="6" t="n">
        <f aca="false">Sens!F12083</f>
        <v>15.9912273250553</v>
      </c>
      <c r="G12102" s="6" t="n">
        <f aca="false">Sens!G12083</f>
        <v>15.9574562664827</v>
      </c>
      <c r="H12102" s="6" t="n">
        <f aca="false">Sens!H12083</f>
        <v>16.0119687434196</v>
      </c>
      <c r="I12102" s="6" t="n">
        <f aca="false">Sens!I12083</f>
        <v>16.1551810001948</v>
      </c>
      <c r="J12102" s="6" t="n">
        <f aca="false">Sens!J12083</f>
        <v>16.3889793892005</v>
      </c>
      <c r="K12102" s="6" t="n">
        <f aca="false">Sens!K12083</f>
        <v>16.7167589769845</v>
      </c>
    </row>
    <row r="12103" customFormat="false" ht="15" hidden="false" customHeight="false" outlineLevel="0" collapsed="false">
      <c r="A12103" s="0" t="s">
        <v>866</v>
      </c>
      <c r="B12103" s="0" t="s">
        <v>98</v>
      </c>
      <c r="D12103" s="6" t="n">
        <f aca="false">Sens!D12085</f>
        <v>62.941</v>
      </c>
      <c r="E12103" s="6" t="n">
        <f aca="false">Sens!E12085</f>
        <v>63.712</v>
      </c>
      <c r="F12103" s="6" t="n">
        <f aca="false">Sens!F12085</f>
        <v>64.3839249952511</v>
      </c>
      <c r="G12103" s="6" t="n">
        <f aca="false">Sens!G12085</f>
        <v>66.5621070439876</v>
      </c>
      <c r="H12103" s="6" t="n">
        <f aca="false">Sens!H12085</f>
        <v>69.2960284245385</v>
      </c>
      <c r="I12103" s="6" t="n">
        <f aca="false">Sens!I12085</f>
        <v>72.520339681967</v>
      </c>
      <c r="J12103" s="6" t="n">
        <f aca="false">Sens!J12085</f>
        <v>76.1918567353181</v>
      </c>
      <c r="K12103" s="6" t="n">
        <f aca="false">Sens!K12085</f>
        <v>80.2902757379464</v>
      </c>
    </row>
    <row r="12104" customFormat="false" ht="15" hidden="false" customHeight="false" outlineLevel="0" collapsed="false">
      <c r="A12104" s="1" t="s">
        <v>1055</v>
      </c>
      <c r="B12104" s="0" t="s">
        <v>98</v>
      </c>
      <c r="D12104" s="6" t="n">
        <f aca="false">Sens!D12086</f>
        <v>281.724</v>
      </c>
      <c r="E12104" s="6" t="n">
        <f aca="false">Sens!E12086</f>
        <v>331.839</v>
      </c>
      <c r="F12104" s="6" t="n">
        <f aca="false">Sens!F12086</f>
        <v>403.158640889628</v>
      </c>
      <c r="G12104" s="6" t="n">
        <f aca="false">Sens!G12086</f>
        <v>492.070165580525</v>
      </c>
      <c r="H12104" s="6" t="n">
        <f aca="false">Sens!H12086</f>
        <v>587.876842411459</v>
      </c>
      <c r="I12104" s="6" t="n">
        <f aca="false">Sens!I12086</f>
        <v>669.588070989422</v>
      </c>
      <c r="J12104" s="6" t="n">
        <f aca="false">Sens!J12086</f>
        <v>735.537647219373</v>
      </c>
      <c r="K12104" s="6" t="n">
        <f aca="false">Sens!K12086</f>
        <v>788.248923735237</v>
      </c>
    </row>
    <row r="12105" customFormat="false" ht="15" hidden="false" customHeight="false" outlineLevel="0" collapsed="false">
      <c r="A12105" s="1" t="s">
        <v>1056</v>
      </c>
      <c r="B12105" s="0" t="s">
        <v>168</v>
      </c>
      <c r="E12105" s="7" t="n">
        <f aca="false">Sens!E12104/Sens!D12104-1</f>
        <v>0.177886867998467</v>
      </c>
      <c r="F12105" s="7" t="n">
        <f aca="false">Sens!F12104/Sens!E12104-1</f>
        <v>0.214922419877194</v>
      </c>
      <c r="G12105" s="7" t="n">
        <f aca="false">Sens!G12104/Sens!F12104-1</f>
        <v>0.220537316265131</v>
      </c>
      <c r="H12105" s="7" t="n">
        <f aca="false">Sens!H12104/Sens!G12104-1</f>
        <v>0.194701251025667</v>
      </c>
      <c r="I12105" s="7" t="n">
        <f aca="false">Sens!I12104/Sens!H12104-1</f>
        <v>0.138993786934666</v>
      </c>
      <c r="J12105" s="7" t="n">
        <f aca="false">Sens!J12104/Sens!I12104-1</f>
        <v>0.0984927585888742</v>
      </c>
      <c r="K12105" s="7" t="n">
        <f aca="false">Sens!K12104/Sens!J12104-1</f>
        <v>0.0716636010612566</v>
      </c>
    </row>
    <row r="12106" customFormat="false" ht="17.15" hidden="false" customHeight="false" outlineLevel="0" collapsed="false">
      <c r="A12106" s="26" t="s">
        <v>1057</v>
      </c>
      <c r="B12106" s="31" t="s">
        <v>98</v>
      </c>
      <c r="C12106" s="31"/>
      <c r="D12106" s="27" t="n">
        <f aca="false">(Sens!D12099+Sens!D12103-Sens!D12104)+(Sens!D12091+Sens!D12092-Sens!D12090)+(Sens!D12094+Sens!D12095-Sens!D12093)+(Sens!D12104-Q!L18)</f>
        <v>0</v>
      </c>
      <c r="E12106" s="27" t="n">
        <f aca="false">(Sens!E12099+Sens!E12103-Sens!E12104)+(Sens!E12091+Sens!E12092-Sens!E12090)+(Sens!E12094+Sens!E12095-Sens!E12093)+(Sens!E12104-Q!M18)</f>
        <v>0</v>
      </c>
      <c r="F12106" s="27" t="n">
        <f aca="false">(Sens!F12099+Sens!F12103-Sens!F12104)+(Sens!F12091+Sens!F12092-Sens!F12090)+(Sens!F12094+Sens!F12095-Sens!F12093)</f>
        <v>0</v>
      </c>
      <c r="G12106" s="27" t="n">
        <f aca="false">(Sens!G12099+Sens!G12103-Sens!G12104)+(Sens!G12091+Sens!G12092-Sens!G12090)+(Sens!G12094+Sens!G12095-Sens!G12093)</f>
        <v>0</v>
      </c>
      <c r="H12106" s="27" t="n">
        <f aca="false">(Sens!H12099+Sens!H12103-Sens!H12104)+(Sens!H12091+Sens!H12092-Sens!H12090)+(Sens!H12094+Sens!H12095-Sens!H12093)</f>
        <v>0</v>
      </c>
      <c r="I12106" s="27" t="n">
        <f aca="false">(Sens!I12099+Sens!I12103-Sens!I12104)+(Sens!I12091+Sens!I12092-Sens!I12090)+(Sens!I12094+Sens!I12095-Sens!I12093)</f>
        <v>0</v>
      </c>
      <c r="J12106" s="27" t="n">
        <f aca="false">(Sens!J12099+Sens!J12103-Sens!J12104)+(Sens!J12091+Sens!J12092-Sens!J12090)+(Sens!J12094+Sens!J12095-Sens!J12093)</f>
        <v>0</v>
      </c>
      <c r="K12106" s="27" t="n">
        <f aca="false">(Sens!K12099+Sens!K12103-Sens!K12104)+(Sens!K12091+Sens!K12092-Sens!K12090)+(Sens!K12094+Sens!K12095-Sens!K12093)</f>
        <v>0</v>
      </c>
    </row>
    <row r="12107" customFormat="false" ht="17.15" hidden="false" customHeight="false" outlineLevel="0" collapsed="false">
      <c r="A12107" s="0" t="s">
        <v>1058</v>
      </c>
      <c r="B12107" s="0" t="s">
        <v>168</v>
      </c>
      <c r="E12107" s="7" t="n">
        <f aca="false">(Q!M21+Sens!E12043+Sens!E12044+Sens!E12045+Sens!E12059-Sens!E12041)/(Q!M5-Sens!E12041)</f>
        <v>0.570957350878296</v>
      </c>
      <c r="F12107" s="7" t="n">
        <f aca="false">Sens!$E$12107+dm_seg</f>
        <v>0.570957350878296</v>
      </c>
      <c r="G12107" s="7" t="n">
        <f aca="false">Sens!$E$12107+dm_seg</f>
        <v>0.570957350878296</v>
      </c>
      <c r="H12107" s="7" t="n">
        <f aca="false">Sens!$E$12107+dm_seg</f>
        <v>0.570957350878296</v>
      </c>
      <c r="I12107" s="7" t="n">
        <f aca="false">Sens!$E$12107+dm_seg</f>
        <v>0.570957350878296</v>
      </c>
      <c r="J12107" s="7" t="n">
        <f aca="false">Sens!$E$12107+dm_seg</f>
        <v>0.570957350878296</v>
      </c>
      <c r="K12107" s="7" t="n">
        <f aca="false">Sens!$E$12107+dm_seg</f>
        <v>0.570957350878296</v>
      </c>
      <c r="L12107" s="12" t="s">
        <v>1059</v>
      </c>
    </row>
    <row r="12108" customFormat="false" ht="17.15" hidden="false" customHeight="false" outlineLevel="0" collapsed="false">
      <c r="A12108" s="0" t="s">
        <v>880</v>
      </c>
      <c r="B12108" s="0" t="s">
        <v>98</v>
      </c>
      <c r="D12108" s="6" t="n">
        <f aca="false">Q!L21</f>
        <v>110.814</v>
      </c>
      <c r="E12108" s="6" t="n">
        <f aca="false">Q!M21</f>
        <v>136.365</v>
      </c>
      <c r="F12108" s="6" t="n">
        <f aca="false">Q!$I$21+(Sens!F12107*(Sens!F12078-Sens!F12041)+Sens!F12041-(Sens!F12043+Sens!F12044+Sens!F12045)-Sens!F12059-Sens!F12142)*(Sens!F12078-Q!$I$5)/Sens!F12078</f>
        <v>165.519129156693</v>
      </c>
      <c r="G12108" s="6" t="n">
        <f aca="false">(Sens!G12107*(Sens!G12078-Sens!G12041)+Sens!G12041-(Sens!G12043+Sens!G12044+Sens!G12045)-Sens!G12059-Sens!G12142)</f>
        <v>191.522313609735</v>
      </c>
      <c r="H12108" s="6" t="n">
        <f aca="false">(Sens!H12107*(Sens!H12078-Sens!H12041)+Sens!H12041-(Sens!H12043+Sens!H12044+Sens!H12045)-Sens!H12059-Sens!H12142)</f>
        <v>225.776681422989</v>
      </c>
      <c r="I12108" s="6" t="n">
        <f aca="false">(Sens!I12107*(Sens!I12078-Sens!I12041)+Sens!I12041-(Sens!I12043+Sens!I12044+Sens!I12045)-Sens!I12059-Sens!I12142)</f>
        <v>251.64192133741</v>
      </c>
      <c r="J12108" s="6" t="n">
        <f aca="false">(Sens!J12107*(Sens!J12078-Sens!J12041)+Sens!J12041-(Sens!J12043+Sens!J12044+Sens!J12045)-Sens!J12059-Sens!J12142)</f>
        <v>273.893905463351</v>
      </c>
      <c r="K12108" s="6" t="n">
        <f aca="false">(Sens!K12107*(Sens!K12078-Sens!K12041)+Sens!K12041-(Sens!K12043+Sens!K12044+Sens!K12045)-Sens!K12059-Sens!K12142)</f>
        <v>293.874189786378</v>
      </c>
      <c r="L12108" s="1" t="s">
        <v>1060</v>
      </c>
    </row>
    <row r="12109" customFormat="false" ht="17.15" hidden="false" customHeight="false" outlineLevel="0" collapsed="false">
      <c r="A12109" s="0" t="s">
        <v>1061</v>
      </c>
      <c r="B12109" s="0" t="s">
        <v>168</v>
      </c>
      <c r="E12109" s="7" t="n">
        <f aca="false">Q!M22/Q!M12</f>
        <v>0.296207935710698</v>
      </c>
      <c r="F12109" s="7" t="n">
        <f aca="false">Sens!$E$12109+dm_seg</f>
        <v>0.296207935710698</v>
      </c>
      <c r="G12109" s="7" t="n">
        <f aca="false">Sens!$E$12109+dm_seg</f>
        <v>0.296207935710698</v>
      </c>
      <c r="H12109" s="7" t="n">
        <f aca="false">Sens!$E$12109+dm_seg</f>
        <v>0.296207935710698</v>
      </c>
      <c r="I12109" s="7" t="n">
        <f aca="false">Sens!$E$12109+dm_seg</f>
        <v>0.296207935710698</v>
      </c>
      <c r="J12109" s="7" t="n">
        <f aca="false">Sens!$E$12109+dm_seg</f>
        <v>0.296207935710698</v>
      </c>
      <c r="K12109" s="7" t="n">
        <f aca="false">Sens!$E$12109+dm_seg</f>
        <v>0.296207935710698</v>
      </c>
      <c r="L12109" s="12" t="s">
        <v>1062</v>
      </c>
    </row>
    <row r="12110" customFormat="false" ht="17.15" hidden="false" customHeight="false" outlineLevel="0" collapsed="false">
      <c r="A12110" s="0" t="s">
        <v>882</v>
      </c>
      <c r="B12110" s="0" t="s">
        <v>98</v>
      </c>
      <c r="D12110" s="6" t="n">
        <f aca="false">Q!L22</f>
        <v>17.714</v>
      </c>
      <c r="E12110" s="6" t="n">
        <f aca="false">Q!M22</f>
        <v>18.872</v>
      </c>
      <c r="F12110" s="6" t="n">
        <f aca="false">Q!$I$22+(Sens!F12085-Q!$I$12)*Sens!F12109</f>
        <v>19.8415458392513</v>
      </c>
      <c r="G12110" s="6" t="n">
        <f aca="false">Sens!G12085*Sens!G12109</f>
        <v>19.7162243240541</v>
      </c>
      <c r="H12110" s="6" t="n">
        <f aca="false">Sens!H12085*Sens!H12109</f>
        <v>20.5260335325824</v>
      </c>
      <c r="I12110" s="6" t="n">
        <f aca="false">Sens!I12085*Sens!I12109</f>
        <v>21.4811001142341</v>
      </c>
      <c r="J12110" s="6" t="n">
        <f aca="false">Sens!J12085*Sens!J12109</f>
        <v>22.5686326015338</v>
      </c>
      <c r="K12110" s="6" t="n">
        <f aca="false">Sens!K12085*Sens!K12109</f>
        <v>23.7826168339799</v>
      </c>
      <c r="L12110" s="12" t="s">
        <v>1063</v>
      </c>
    </row>
    <row r="12111" customFormat="false" ht="15" hidden="false" customHeight="false" outlineLevel="0" collapsed="false">
      <c r="A12111" s="1" t="s">
        <v>1064</v>
      </c>
      <c r="B12111" s="0" t="s">
        <v>98</v>
      </c>
      <c r="D12111" s="6" t="n">
        <f aca="false">Sens!D12108+Sens!D12110</f>
        <v>128.528</v>
      </c>
      <c r="E12111" s="6" t="n">
        <f aca="false">Sens!E12108+Sens!E12110</f>
        <v>155.237</v>
      </c>
      <c r="F12111" s="6" t="n">
        <f aca="false">Sens!F12108+Sens!F12110</f>
        <v>185.360674995944</v>
      </c>
      <c r="G12111" s="6" t="n">
        <f aca="false">Sens!G12108+Sens!G12110</f>
        <v>211.238537933789</v>
      </c>
      <c r="H12111" s="6" t="n">
        <f aca="false">Sens!H12108+Sens!H12110</f>
        <v>246.302714955571</v>
      </c>
      <c r="I12111" s="6" t="n">
        <f aca="false">Sens!I12108+Sens!I12110</f>
        <v>273.123021451644</v>
      </c>
      <c r="J12111" s="6" t="n">
        <f aca="false">Sens!J12108+Sens!J12110</f>
        <v>296.462538064885</v>
      </c>
      <c r="K12111" s="6" t="n">
        <f aca="false">Sens!K12108+Sens!K12110</f>
        <v>317.656806620358</v>
      </c>
    </row>
    <row r="12112" customFormat="false" ht="15" hidden="false" customHeight="false" outlineLevel="0" collapsed="false">
      <c r="A12112" s="26" t="s">
        <v>1065</v>
      </c>
      <c r="B12112" s="31" t="s">
        <v>98</v>
      </c>
      <c r="C12112" s="31"/>
      <c r="D12112" s="27" t="n">
        <f aca="false">Sens!D12111-Q!L23</f>
        <v>0</v>
      </c>
      <c r="E12112" s="27" t="n">
        <f aca="false">Sens!E12111-Q!M23</f>
        <v>0</v>
      </c>
      <c r="F12112" s="31"/>
      <c r="G12112" s="31"/>
      <c r="H12112" s="31"/>
      <c r="I12112" s="31"/>
      <c r="J12112" s="31"/>
      <c r="K12112" s="31"/>
    </row>
    <row r="12113" customFormat="false" ht="15" hidden="false" customHeight="false" outlineLevel="0" collapsed="false">
      <c r="A12113" s="1" t="s">
        <v>1066</v>
      </c>
      <c r="B12113" s="0" t="s">
        <v>168</v>
      </c>
      <c r="D12113" s="7" t="n">
        <f aca="false">Sens!D12111/Sens!D12104</f>
        <v>0.456219562408598</v>
      </c>
      <c r="E12113" s="7" t="n">
        <f aca="false">Sens!E12111/Sens!E12104</f>
        <v>0.467808184089272</v>
      </c>
      <c r="F12113" s="7" t="n">
        <f aca="false">Sens!F12111/Sens!F12104</f>
        <v>0.459771058328103</v>
      </c>
      <c r="G12113" s="7" t="n">
        <f aca="false">Sens!G12111/Sens!G12104</f>
        <v>0.429285400151376</v>
      </c>
      <c r="H12113" s="7" t="n">
        <f aca="false">Sens!H12111/Sens!H12104</f>
        <v>0.418969922246371</v>
      </c>
      <c r="I12113" s="7" t="n">
        <f aca="false">Sens!I12111/Sens!I12104</f>
        <v>0.407897083722028</v>
      </c>
      <c r="J12113" s="7" t="n">
        <f aca="false">Sens!J12111/Sens!J12104</f>
        <v>0.403055559678871</v>
      </c>
      <c r="K12113" s="7" t="n">
        <f aca="false">Sens!K12111/Sens!K12104</f>
        <v>0.402990473003239</v>
      </c>
    </row>
    <row r="12114" customFormat="false" ht="17.15" hidden="false" customHeight="false" outlineLevel="0" collapsed="false">
      <c r="A12114" s="1" t="s">
        <v>1067</v>
      </c>
      <c r="B12114" s="0" t="s">
        <v>98</v>
      </c>
      <c r="F12114" s="6" t="n">
        <f aca="false">Sens!F12129</f>
        <v>8.88340674531245</v>
      </c>
      <c r="G12114" s="6" t="n">
        <f aca="false">Sens!G12129</f>
        <v>22.7060305170273</v>
      </c>
      <c r="H12114" s="6" t="n">
        <f aca="false">Sens!H12129</f>
        <v>38.0018452382075</v>
      </c>
      <c r="I12114" s="6" t="n">
        <f aca="false">Sens!I12129</f>
        <v>52.1381094705177</v>
      </c>
      <c r="J12114" s="6" t="n">
        <f aca="false">Sens!J12129</f>
        <v>62.0595818934393</v>
      </c>
      <c r="K12114" s="6" t="n">
        <f aca="false">Sens!K12129</f>
        <v>67.0801312706266</v>
      </c>
      <c r="L12114" s="1" t="s">
        <v>1068</v>
      </c>
    </row>
    <row r="12115" customFormat="false" ht="17.15" hidden="false" customHeight="false" outlineLevel="0" collapsed="false">
      <c r="A12115" s="1" t="s">
        <v>1069</v>
      </c>
      <c r="B12115" s="0" t="s">
        <v>98</v>
      </c>
      <c r="D12115" s="6" t="n">
        <f aca="false">Sens!D12111</f>
        <v>128.528</v>
      </c>
      <c r="E12115" s="6" t="n">
        <f aca="false">Sens!E12111</f>
        <v>155.237</v>
      </c>
      <c r="F12115" s="6" t="n">
        <f aca="false">Sens!F12111+Sens!F12114</f>
        <v>194.244081741256</v>
      </c>
      <c r="G12115" s="6" t="n">
        <f aca="false">Sens!G12111+Sens!G12114</f>
        <v>233.944568450816</v>
      </c>
      <c r="H12115" s="6" t="n">
        <f aca="false">Sens!H12111+Sens!H12114</f>
        <v>284.304560193779</v>
      </c>
      <c r="I12115" s="6" t="n">
        <f aca="false">Sens!I12111+Sens!I12114</f>
        <v>325.261130922161</v>
      </c>
      <c r="J12115" s="6" t="n">
        <f aca="false">Sens!J12111+Sens!J12114</f>
        <v>358.522119958324</v>
      </c>
      <c r="K12115" s="6" t="n">
        <f aca="false">Sens!K12111+Sens!K12114</f>
        <v>384.736937890984</v>
      </c>
    </row>
    <row r="12116" customFormat="false" ht="17.15" hidden="false" customHeight="false" outlineLevel="0" collapsed="false">
      <c r="A12116" s="1" t="s">
        <v>1070</v>
      </c>
      <c r="B12116" s="0" t="s">
        <v>98</v>
      </c>
      <c r="E12116" s="6" t="n">
        <f aca="false">Sens!E12059</f>
        <v>16.3054059770833</v>
      </c>
      <c r="F12116" s="6" t="n">
        <f aca="false">Sens!F12059</f>
        <v>34.5793144783516</v>
      </c>
      <c r="G12116" s="6" t="n">
        <f aca="false">Sens!G12059</f>
        <v>60.7344906522989</v>
      </c>
      <c r="H12116" s="6" t="n">
        <f aca="false">Sens!H12059</f>
        <v>89.1000906614457</v>
      </c>
      <c r="I12116" s="6" t="n">
        <f aca="false">Sens!I12059</f>
        <v>114.231009694548</v>
      </c>
      <c r="J12116" s="6" t="n">
        <f aca="false">Sens!J12059</f>
        <v>132.015673049596</v>
      </c>
      <c r="K12116" s="6" t="n">
        <f aca="false">Sens!K12059</f>
        <v>143.012669550934</v>
      </c>
    </row>
    <row r="12117" customFormat="false" ht="17.15" hidden="false" customHeight="false" outlineLevel="0" collapsed="false">
      <c r="A12117" s="1" t="s">
        <v>1071</v>
      </c>
      <c r="B12117" s="0" t="s">
        <v>98</v>
      </c>
      <c r="E12117" s="6" t="n">
        <f aca="false">Sens!E12141</f>
        <v>22.2285940229167</v>
      </c>
      <c r="F12117" s="6" t="n">
        <f aca="false">Sens!F12141</f>
        <v>23.580344216413</v>
      </c>
      <c r="G12117" s="6" t="n">
        <f aca="false">Sens!G12141</f>
        <v>25.3810008818213</v>
      </c>
      <c r="H12117" s="6" t="n">
        <f aca="false">Sens!H12141</f>
        <v>27.5989835194742</v>
      </c>
      <c r="I12117" s="6" t="n">
        <f aca="false">Sens!I12141</f>
        <v>30.1581352985582</v>
      </c>
      <c r="J12117" s="6" t="n">
        <f aca="false">Sens!J12141</f>
        <v>32.9666318979719</v>
      </c>
      <c r="K12117" s="6" t="n">
        <f aca="false">Sens!K12141</f>
        <v>35.9403082779518</v>
      </c>
    </row>
    <row r="12118" customFormat="false" ht="17.15" hidden="false" customHeight="false" outlineLevel="0" collapsed="false">
      <c r="A12118" s="1" t="s">
        <v>1072</v>
      </c>
      <c r="B12118" s="0" t="s">
        <v>98</v>
      </c>
      <c r="D12118" s="6" t="n">
        <f aca="false">Q!L27</f>
        <v>-4.901</v>
      </c>
      <c r="E12118" s="6" t="n">
        <f aca="false">Q!M27</f>
        <v>10.697</v>
      </c>
      <c r="F12118" s="6" t="n">
        <f aca="false">Q!$I$27+oie_f*(q_per_yr-1)/q_per_yr</f>
        <v>-0.862</v>
      </c>
      <c r="G12118" s="6" t="n">
        <f aca="false">oie_f</f>
        <v>-1.2</v>
      </c>
      <c r="H12118" s="6" t="n">
        <f aca="false">oie_f</f>
        <v>-1.2</v>
      </c>
      <c r="I12118" s="6" t="n">
        <f aca="false">oie_f</f>
        <v>-1.2</v>
      </c>
      <c r="J12118" s="6" t="n">
        <f aca="false">oie_f</f>
        <v>-1.2</v>
      </c>
      <c r="K12118" s="6" t="n">
        <f aca="false">oie_f</f>
        <v>-1.2</v>
      </c>
      <c r="L12118" s="12" t="s">
        <v>1073</v>
      </c>
    </row>
    <row r="12119" customFormat="false" ht="15" hidden="false" customHeight="false" outlineLevel="0" collapsed="false">
      <c r="A12119" s="1" t="s">
        <v>1074</v>
      </c>
      <c r="B12119" s="0" t="s">
        <v>98</v>
      </c>
      <c r="D12119" s="6" t="n">
        <f aca="false">Sens!D12111+Sens!D12118</f>
        <v>123.627</v>
      </c>
      <c r="E12119" s="6" t="n">
        <f aca="false">Sens!E12111+Sens!E12118</f>
        <v>165.934</v>
      </c>
      <c r="F12119" s="6" t="n">
        <f aca="false">Sens!F12111+Sens!F12118</f>
        <v>184.498674995944</v>
      </c>
      <c r="G12119" s="6" t="n">
        <f aca="false">Sens!G12111+Sens!G12118</f>
        <v>210.038537933789</v>
      </c>
      <c r="H12119" s="6" t="n">
        <f aca="false">Sens!H12111+Sens!H12118</f>
        <v>245.102714955571</v>
      </c>
      <c r="I12119" s="6" t="n">
        <f aca="false">Sens!I12111+Sens!I12118</f>
        <v>271.923021451644</v>
      </c>
      <c r="J12119" s="6" t="n">
        <f aca="false">Sens!J12111+Sens!J12118</f>
        <v>295.262538064885</v>
      </c>
      <c r="K12119" s="6" t="n">
        <f aca="false">Sens!K12111+Sens!K12118</f>
        <v>316.456806620358</v>
      </c>
    </row>
    <row r="12120" customFormat="false" ht="15" hidden="false" customHeight="false" outlineLevel="0" collapsed="false">
      <c r="A12120" s="1" t="s">
        <v>1075</v>
      </c>
      <c r="B12120" s="0" t="s">
        <v>98</v>
      </c>
      <c r="D12120" s="6" t="n">
        <f aca="false">Q!L29</f>
        <v>21.795</v>
      </c>
      <c r="E12120" s="6" t="n">
        <f aca="false">Q!M29</f>
        <v>32.185</v>
      </c>
      <c r="F12120" s="6" t="n">
        <f aca="false">Q!$I$29+(Sens!F12119-Q!$I$28)*tax_f</f>
        <v>37.0331349991888</v>
      </c>
      <c r="G12120" s="6" t="n">
        <f aca="false">Sens!G12119*tax_f</f>
        <v>42.0077075867578</v>
      </c>
      <c r="H12120" s="6" t="n">
        <f aca="false">Sens!H12119*tax_f</f>
        <v>49.0205429911143</v>
      </c>
      <c r="I12120" s="6" t="n">
        <f aca="false">Sens!I12119*tax_f</f>
        <v>54.3846042903288</v>
      </c>
      <c r="J12120" s="6" t="n">
        <f aca="false">Sens!J12119*tax_f</f>
        <v>59.0525076129769</v>
      </c>
      <c r="K12120" s="6" t="n">
        <f aca="false">Sens!K12119*tax_f</f>
        <v>63.2913613240715</v>
      </c>
    </row>
    <row r="12121" customFormat="false" ht="15" hidden="false" customHeight="false" outlineLevel="0" collapsed="false">
      <c r="A12121" s="1" t="s">
        <v>1076</v>
      </c>
      <c r="B12121" s="0" t="s">
        <v>98</v>
      </c>
      <c r="D12121" s="6" t="n">
        <f aca="false">Sens!D12119-Sens!D12120</f>
        <v>101.832</v>
      </c>
      <c r="E12121" s="6" t="n">
        <f aca="false">Sens!E12119-Sens!E12120</f>
        <v>133.749</v>
      </c>
      <c r="F12121" s="6" t="n">
        <f aca="false">Sens!F12119-Sens!F12120</f>
        <v>147.465539996755</v>
      </c>
      <c r="G12121" s="6" t="n">
        <f aca="false">Sens!G12119-Sens!G12120</f>
        <v>168.030830347031</v>
      </c>
      <c r="H12121" s="6" t="n">
        <f aca="false">Sens!H12119-Sens!H12120</f>
        <v>196.082171964457</v>
      </c>
      <c r="I12121" s="6" t="n">
        <f aca="false">Sens!I12119-Sens!I12120</f>
        <v>217.538417161315</v>
      </c>
      <c r="J12121" s="6" t="n">
        <f aca="false">Sens!J12119-Sens!J12120</f>
        <v>236.210030451908</v>
      </c>
      <c r="K12121" s="6" t="n">
        <f aca="false">Sens!K12119-Sens!K12120</f>
        <v>253.165445296286</v>
      </c>
    </row>
    <row r="12122" customFormat="false" ht="17.15" hidden="false" customHeight="false" outlineLevel="0" collapsed="false">
      <c r="A12122" s="1" t="s">
        <v>1077</v>
      </c>
      <c r="B12122" s="1" t="s">
        <v>81</v>
      </c>
      <c r="D12122" s="15" t="n">
        <f aca="false">Q!L31</f>
        <v>7.465</v>
      </c>
      <c r="E12122" s="15" t="n">
        <f aca="false">Q!M31</f>
        <v>7.453</v>
      </c>
      <c r="F12122" s="15" t="n">
        <f aca="false">Sens!F12166</f>
        <v>7.47061231422852</v>
      </c>
      <c r="G12122" s="15" t="n">
        <f aca="false">Sens!G12166</f>
        <v>7.5098031266823</v>
      </c>
      <c r="H12122" s="15" t="n">
        <f aca="false">Sens!H12166</f>
        <v>7.53458156393636</v>
      </c>
      <c r="I12122" s="15" t="n">
        <f aca="false">Sens!I12166</f>
        <v>7.54626292799183</v>
      </c>
      <c r="J12122" s="15" t="n">
        <f aca="false">Sens!J12166</f>
        <v>7.5604123391543</v>
      </c>
      <c r="K12122" s="15" t="n">
        <f aca="false">Sens!K12166</f>
        <v>7.57684697911955</v>
      </c>
    </row>
    <row r="12123" customFormat="false" ht="17.15" hidden="false" customHeight="false" outlineLevel="0" collapsed="false">
      <c r="A12123" s="0" t="s">
        <v>1078</v>
      </c>
      <c r="B12123" s="0" t="s">
        <v>75</v>
      </c>
      <c r="D12123" s="8" t="n">
        <f aca="false">Sens!D12121/Sens!D12122</f>
        <v>13.641259209645</v>
      </c>
      <c r="E12123" s="8" t="n">
        <f aca="false">Sens!E12121/Sens!E12122</f>
        <v>17.9456594659869</v>
      </c>
      <c r="F12123" s="8" t="n">
        <f aca="false">Sens!F12121/Sens!F12122</f>
        <v>19.7394181084584</v>
      </c>
      <c r="G12123" s="8" t="n">
        <f aca="false">Sens!G12121/Sens!G12122</f>
        <v>22.3748648949289</v>
      </c>
      <c r="H12123" s="8" t="n">
        <f aca="false">Sens!H12121/Sens!H12122</f>
        <v>26.0242948198992</v>
      </c>
      <c r="I12123" s="8" t="n">
        <f aca="false">Sens!I12121/Sens!I12122</f>
        <v>28.8273042215884</v>
      </c>
      <c r="J12123" s="8" t="n">
        <f aca="false">Sens!J12121/Sens!J12122</f>
        <v>31.2430089597904</v>
      </c>
      <c r="K12123" s="8" t="n">
        <f aca="false">Sens!K12121/Sens!K12122</f>
        <v>33.4130339432703</v>
      </c>
      <c r="L12123" s="1" t="s">
        <v>1079</v>
      </c>
    </row>
    <row r="12124" customFormat="false" ht="17.15" hidden="false" customHeight="false" outlineLevel="0" collapsed="false">
      <c r="A12124" s="1" t="s">
        <v>1080</v>
      </c>
      <c r="B12124" s="0" t="s">
        <v>98</v>
      </c>
      <c r="D12124" s="6" t="n">
        <f aca="false">Sens!D12121</f>
        <v>101.832</v>
      </c>
      <c r="E12124" s="6" t="n">
        <f aca="false">Sens!E12121</f>
        <v>133.749</v>
      </c>
      <c r="F12124" s="6" t="n">
        <f aca="false">Sens!F12121+Sens!F12114*(1-tax_f)</f>
        <v>154.572265393005</v>
      </c>
      <c r="G12124" s="6" t="n">
        <f aca="false">Sens!G12121+Sens!G12114*(1-tax_f)</f>
        <v>186.195654760653</v>
      </c>
      <c r="H12124" s="6" t="n">
        <f aca="false">Sens!H12121+Sens!H12114*(1-tax_f)</f>
        <v>226.483648155023</v>
      </c>
      <c r="I12124" s="6" t="n">
        <f aca="false">Sens!I12121+Sens!I12114*(1-tax_f)</f>
        <v>259.248904737729</v>
      </c>
      <c r="J12124" s="6" t="n">
        <f aca="false">Sens!J12121+Sens!J12114*(1-tax_f)</f>
        <v>285.857695966659</v>
      </c>
      <c r="K12124" s="6" t="n">
        <f aca="false">Sens!K12121+Sens!K12114*(1-tax_f)</f>
        <v>306.829550312788</v>
      </c>
    </row>
    <row r="12125" customFormat="false" ht="17.15" hidden="false" customHeight="false" outlineLevel="0" collapsed="false">
      <c r="A12125" s="0" t="s">
        <v>1081</v>
      </c>
      <c r="B12125" s="0" t="s">
        <v>75</v>
      </c>
      <c r="D12125" s="8" t="n">
        <f aca="false">Sens!D12124/Sens!D12122</f>
        <v>13.641259209645</v>
      </c>
      <c r="E12125" s="8" t="n">
        <f aca="false">Sens!E12124/Sens!E12122</f>
        <v>17.9456594659869</v>
      </c>
      <c r="F12125" s="8" t="n">
        <f aca="false">Sens!F12124/Sens!F12122</f>
        <v>20.6907089929706</v>
      </c>
      <c r="G12125" s="8" t="n">
        <f aca="false">Sens!G12124/Sens!G12122</f>
        <v>24.7936798901027</v>
      </c>
      <c r="H12125" s="8" t="n">
        <f aca="false">Sens!H12124/Sens!H12122</f>
        <v>30.0592204401991</v>
      </c>
      <c r="I12125" s="8" t="n">
        <f aca="false">Sens!I12124/Sens!I12122</f>
        <v>34.3546079975667</v>
      </c>
      <c r="J12125" s="8" t="n">
        <f aca="false">Sens!J12124/Sens!J12122</f>
        <v>37.8098023154429</v>
      </c>
      <c r="K12125" s="8" t="n">
        <f aca="false">Sens!K12124/Sens!K12122</f>
        <v>40.4956773125227</v>
      </c>
      <c r="L12125" s="1" t="s">
        <v>1082</v>
      </c>
    </row>
    <row r="12126" customFormat="false" ht="17.15" hidden="false" customHeight="false" outlineLevel="0" collapsed="false">
      <c r="A12126" s="0" t="s">
        <v>1083</v>
      </c>
      <c r="B12126" s="0" t="s">
        <v>168</v>
      </c>
      <c r="E12126" s="7" t="n">
        <f aca="false">Sens!E12125/Sens!D12125-1</f>
        <v>0.315542736208578</v>
      </c>
      <c r="F12126" s="7" t="n">
        <f aca="false">Sens!F12125/Sens!E12125-1</f>
        <v>0.152964538984291</v>
      </c>
      <c r="G12126" s="7" t="n">
        <f aca="false">Sens!G12125/Sens!F12125-1</f>
        <v>0.198300159676791</v>
      </c>
      <c r="H12126" s="7" t="n">
        <f aca="false">Sens!H12125/Sens!G12125-1</f>
        <v>0.212374305606743</v>
      </c>
      <c r="I12126" s="7" t="n">
        <f aca="false">Sens!I12125/Sens!H12125-1</f>
        <v>0.142897503476944</v>
      </c>
      <c r="J12126" s="7" t="n">
        <f aca="false">Sens!J12125/Sens!I12125-1</f>
        <v>0.100574406732305</v>
      </c>
      <c r="K12126" s="7" t="n">
        <f aca="false">Sens!K12125/Sens!J12125-1</f>
        <v>0.071036472887952</v>
      </c>
    </row>
    <row r="12127" customFormat="false" ht="17.15" hidden="false" customHeight="false" outlineLevel="0" collapsed="false">
      <c r="A12127" s="0" t="s">
        <v>1003</v>
      </c>
      <c r="B12127" s="0" t="s">
        <v>98</v>
      </c>
      <c r="E12127" s="6" t="n">
        <f aca="false">Sens!E12068</f>
        <v>5.25</v>
      </c>
      <c r="F12127" s="6" t="n">
        <f aca="false">Sens!F12068</f>
        <v>13.5</v>
      </c>
      <c r="G12127" s="6" t="n">
        <f aca="false">Sens!G12068</f>
        <v>22.5</v>
      </c>
      <c r="H12127" s="6" t="n">
        <f aca="false">Sens!H12068</f>
        <v>31.5</v>
      </c>
      <c r="I12127" s="6" t="n">
        <f aca="false">Sens!I12068</f>
        <v>38.25</v>
      </c>
      <c r="J12127" s="6" t="n">
        <f aca="false">Sens!J12068</f>
        <v>42.75</v>
      </c>
      <c r="K12127" s="6" t="n">
        <f aca="false">Sens!K12068</f>
        <v>47.25</v>
      </c>
    </row>
    <row r="12128" customFormat="false" ht="17.15" hidden="false" customHeight="false" outlineLevel="0" collapsed="false">
      <c r="A12128" s="1" t="s">
        <v>1004</v>
      </c>
      <c r="B12128" s="0" t="s">
        <v>98</v>
      </c>
      <c r="F12128" s="6" t="n">
        <f aca="false">MAX(0,((Sens!E12028+Sens!F12028)/2-(shadow_base*(Sens!$D$12028+Sens!$E$12028)/2+(1-shadow_base)*Sens!$E$12028))*Sens!F12037/1000-(Sens!F12127-Sens!$E$12127)*Sens!F12107)</f>
        <v>8.88340674531245</v>
      </c>
      <c r="G12128" s="6" t="n">
        <f aca="false">MAX(0,((Sens!F12028+Sens!G12028)/2-(shadow_base*(Sens!$D$12028+Sens!$E$12028)/2+(1-shadow_base)*Sens!$E$12028))*Sens!G12037/1000-(Sens!G12127-Sens!$E$12127)*Sens!G12107)</f>
        <v>22.7060305170273</v>
      </c>
      <c r="H12128" s="6" t="n">
        <f aca="false">MAX(0,((Sens!G12028+Sens!H12028)/2-(shadow_base*(Sens!$D$12028+Sens!$E$12028)/2+(1-shadow_base)*Sens!$E$12028))*Sens!H12037/1000-(Sens!H12127-Sens!$E$12127)*Sens!H12107)</f>
        <v>38.0018452382075</v>
      </c>
      <c r="I12128" s="6" t="n">
        <f aca="false">MAX(0,((Sens!H12028+Sens!I12028)/2-(shadow_base*(Sens!$D$12028+Sens!$E$12028)/2+(1-shadow_base)*Sens!$E$12028))*Sens!I12037/1000-(Sens!I12127-Sens!$E$12127)*Sens!I12107)</f>
        <v>52.1381094705177</v>
      </c>
      <c r="J12128" s="6" t="n">
        <f aca="false">MAX(0,((Sens!I12028+Sens!J12028)/2-(shadow_base*(Sens!$D$12028+Sens!$E$12028)/2+(1-shadow_base)*Sens!$E$12028))*Sens!J12037/1000-(Sens!J12127-Sens!$E$12127)*Sens!J12107)</f>
        <v>62.0595818934393</v>
      </c>
      <c r="K12128" s="6" t="n">
        <f aca="false">MAX(0,((Sens!J12028+Sens!K12028)/2-(shadow_base*(Sens!$D$12028+Sens!$E$12028)/2+(1-shadow_base)*Sens!$E$12028))*Sens!K12037/1000-(Sens!K12127-Sens!$E$12127)*Sens!K12107)</f>
        <v>67.0801312706266</v>
      </c>
      <c r="L12128" s="1" t="s">
        <v>1005</v>
      </c>
    </row>
    <row r="12129" customFormat="false" ht="17.15" hidden="false" customHeight="false" outlineLevel="0" collapsed="false">
      <c r="A12129" s="1" t="s">
        <v>1006</v>
      </c>
      <c r="B12129" s="0" t="s">
        <v>98</v>
      </c>
      <c r="F12129" s="6" t="n">
        <f aca="false">IF(internal_ai_reading=2,1,0)*Sens!F12128</f>
        <v>8.88340674531245</v>
      </c>
      <c r="G12129" s="6" t="n">
        <f aca="false">IF(internal_ai_reading=2,1,0)*Sens!G12128</f>
        <v>22.7060305170273</v>
      </c>
      <c r="H12129" s="6" t="n">
        <f aca="false">IF(internal_ai_reading=2,1,0)*Sens!H12128</f>
        <v>38.0018452382075</v>
      </c>
      <c r="I12129" s="6" t="n">
        <f aca="false">IF(internal_ai_reading=2,1,0)*Sens!I12128</f>
        <v>52.1381094705177</v>
      </c>
      <c r="J12129" s="6" t="n">
        <f aca="false">IF(internal_ai_reading=2,1,0)*Sens!J12128</f>
        <v>62.0595818934393</v>
      </c>
      <c r="K12129" s="6" t="n">
        <f aca="false">IF(internal_ai_reading=2,1,0)*Sens!K12128</f>
        <v>67.0801312706266</v>
      </c>
    </row>
    <row r="12130" customFormat="false" ht="17.15" hidden="false" customHeight="false" outlineLevel="0" collapsed="false">
      <c r="A12130" s="0" t="s">
        <v>1007</v>
      </c>
      <c r="B12130" s="0" t="s">
        <v>98</v>
      </c>
      <c r="F12130" s="6" t="n">
        <f aca="false">Sens!F12047+Sens!F12127*Sens!F12107+Sens!F12129-Sens!F12048-Sens!F12059</f>
        <v>18.5068678152817</v>
      </c>
      <c r="G12130" s="6" t="n">
        <f aca="false">Sens!G12047+Sens!G12127*Sens!G12107+Sens!G12129-Sens!G12048-Sens!G12059</f>
        <v>43.1983864982792</v>
      </c>
      <c r="H12130" s="6" t="n">
        <f aca="false">Sens!H12047+Sens!H12127*Sens!H12107+Sens!H12129-Sens!H12048-Sens!H12059</f>
        <v>73.502598356074</v>
      </c>
      <c r="I12130" s="6" t="n">
        <f aca="false">Sens!I12047+Sens!I12127*Sens!I12107+Sens!I12129-Sens!I12048-Sens!I12059</f>
        <v>94.7454135378504</v>
      </c>
      <c r="J12130" s="6" t="n">
        <f aca="false">Sens!J12047+Sens!J12127*Sens!J12107+Sens!J12129-Sens!J12048-Sens!J12059</f>
        <v>109.399608126358</v>
      </c>
      <c r="K12130" s="6" t="n">
        <f aca="false">Sens!K12047+Sens!K12127*Sens!K12107+Sens!K12129-Sens!K12048-Sens!K12059</f>
        <v>118.898703181943</v>
      </c>
    </row>
    <row r="12131" customFormat="false" ht="17.15" hidden="false" customHeight="false" outlineLevel="0" collapsed="false">
      <c r="A12131" s="0" t="s">
        <v>1008</v>
      </c>
      <c r="B12131" s="0" t="s">
        <v>98</v>
      </c>
      <c r="E12131" s="6" t="n">
        <f aca="false">Sens!E12027*(cxit_open+self_build*tk_cxfac)/1000*ai_net_open</f>
        <v>126.6980382</v>
      </c>
      <c r="F12131" s="6" t="n">
        <f aca="false">Sens!E12131+Sens!F12056-Sens!F12059</f>
        <v>260.572627763768</v>
      </c>
      <c r="G12131" s="6" t="n">
        <f aca="false">Sens!F12131+Sens!G12056-Sens!G12059</f>
        <v>391.782612760517</v>
      </c>
      <c r="H12131" s="6" t="n">
        <f aca="false">Sens!G12131+Sens!H12056-Sens!H12059</f>
        <v>499.488526163584</v>
      </c>
      <c r="I12131" s="6" t="n">
        <f aca="false">Sens!H12131+Sens!I12056-Sens!I12059</f>
        <v>553.872350090646</v>
      </c>
      <c r="J12131" s="6" t="n">
        <f aca="false">Sens!I12131+Sens!J12056-Sens!J12059</f>
        <v>550.78660823699</v>
      </c>
      <c r="K12131" s="6" t="n">
        <f aca="false">Sens!J12131+Sens!K12056-Sens!K12059</f>
        <v>526.736791750789</v>
      </c>
      <c r="L12131" s="1" t="s">
        <v>1009</v>
      </c>
    </row>
    <row r="12132" customFormat="false" ht="17.15" hidden="false" customHeight="false" outlineLevel="0" collapsed="false">
      <c r="A12132" s="0" t="s">
        <v>1010</v>
      </c>
      <c r="B12132" s="0" t="s">
        <v>168</v>
      </c>
      <c r="F12132" s="7" t="n">
        <f aca="false">Sens!F12130*(1-tax_f)/((Sens!E12131+Sens!F12131)/2)</f>
        <v>0.0764607059271074</v>
      </c>
      <c r="G12132" s="7" t="n">
        <f aca="false">Sens!G12130*(1-tax_f)/((Sens!F12131+Sens!G12131)/2)</f>
        <v>0.105950583522098</v>
      </c>
      <c r="H12132" s="7" t="n">
        <f aca="false">Sens!H12130*(1-tax_f)/((Sens!G12131+Sens!H12131)/2)</f>
        <v>0.131951044114011</v>
      </c>
      <c r="I12132" s="7" t="n">
        <f aca="false">Sens!I12130*(1-tax_f)/((Sens!H12131+Sens!I12131)/2)</f>
        <v>0.143913320760143</v>
      </c>
      <c r="J12132" s="7" t="n">
        <f aca="false">Sens!J12130*(1-tax_f)/((Sens!I12131+Sens!J12131)/2)</f>
        <v>0.158455577336889</v>
      </c>
      <c r="K12132" s="7" t="n">
        <f aca="false">Sens!K12130*(1-tax_f)/((Sens!J12131+Sens!K12131)/2)</f>
        <v>0.176551084731214</v>
      </c>
    </row>
    <row r="12133" customFormat="false" ht="17.15" hidden="false" customHeight="false" outlineLevel="0" collapsed="false">
      <c r="A12133" s="1" t="s">
        <v>1011</v>
      </c>
      <c r="B12133" s="0" t="s">
        <v>168</v>
      </c>
      <c r="F12133" s="7" t="n">
        <f aca="false">(Sens!F12130-Sens!F12129)*(1-tax_f)/((Sens!E12131+Sens!F12131)/2)</f>
        <v>0.0397591118181705</v>
      </c>
      <c r="G12133" s="7" t="n">
        <f aca="false">(Sens!G12130-Sens!G12129)*(1-tax_f)/((Sens!F12131+Sens!G12131)/2)</f>
        <v>0.0502606057761598</v>
      </c>
      <c r="H12133" s="7" t="n">
        <f aca="false">(Sens!H12130-Sens!H12129)*(1-tax_f)/((Sens!G12131+Sens!H12131)/2)</f>
        <v>0.0637305557287023</v>
      </c>
      <c r="I12133" s="7" t="n">
        <f aca="false">(Sens!I12130-Sens!I12129)*(1-tax_f)/((Sens!H12131+Sens!I12131)/2)</f>
        <v>0.0647182632699936</v>
      </c>
      <c r="J12133" s="7" t="n">
        <f aca="false">(Sens!J12130-Sens!J12129)*(1-tax_f)/((Sens!I12131+Sens!J12131)/2)</f>
        <v>0.0685678067440289</v>
      </c>
      <c r="K12133" s="7" t="n">
        <f aca="false">(Sens!K12130-Sens!K12129)*(1-tax_f)/((Sens!J12131+Sens!K12131)/2)</f>
        <v>0.0769447002812616</v>
      </c>
    </row>
    <row r="12134" customFormat="false" ht="17.15" hidden="false" customHeight="false" outlineLevel="0" collapsed="false">
      <c r="A12134" s="1" t="s">
        <v>1012</v>
      </c>
      <c r="B12134" s="0" t="s">
        <v>168</v>
      </c>
      <c r="F12134" s="7" t="n">
        <f aca="false">(Sens!F12130-Sens!F12129+Sens!F12128)*(1-tax_f)/((Sens!E12131+Sens!F12131)/2)</f>
        <v>0.0764607059271074</v>
      </c>
      <c r="G12134" s="7" t="n">
        <f aca="false">(Sens!G12130-Sens!G12129+Sens!G12128)*(1-tax_f)/((Sens!F12131+Sens!G12131)/2)</f>
        <v>0.105950583522098</v>
      </c>
      <c r="H12134" s="7" t="n">
        <f aca="false">(Sens!H12130-Sens!H12129+Sens!H12128)*(1-tax_f)/((Sens!G12131+Sens!H12131)/2)</f>
        <v>0.131951044114011</v>
      </c>
      <c r="I12134" s="7" t="n">
        <f aca="false">(Sens!I12130-Sens!I12129+Sens!I12128)*(1-tax_f)/((Sens!H12131+Sens!I12131)/2)</f>
        <v>0.143913320760143</v>
      </c>
      <c r="J12134" s="7" t="n">
        <f aca="false">(Sens!J12130-Sens!J12129+Sens!J12128)*(1-tax_f)/((Sens!I12131+Sens!J12131)/2)</f>
        <v>0.158455577336889</v>
      </c>
      <c r="K12134" s="7" t="n">
        <f aca="false">(Sens!K12130-Sens!K12129+Sens!K12128)*(1-tax_f)/((Sens!J12131+Sens!K12131)/2)</f>
        <v>0.176551084731214</v>
      </c>
    </row>
    <row r="12135" customFormat="false" ht="17.15" hidden="false" customHeight="false" outlineLevel="0" collapsed="false">
      <c r="A12135" s="1" t="s">
        <v>1013</v>
      </c>
      <c r="B12135" s="0" t="s">
        <v>168</v>
      </c>
      <c r="F12135" s="7" t="n">
        <f aca="false">Sens!F12060*(1-tax_f)/(Sens!F12046*(Sens!E12131+Sens!F12131)/2)</f>
        <v>0.15471433083293</v>
      </c>
      <c r="G12135" s="7" t="n">
        <f aca="false">Sens!G12060*(1-tax_f)/(Sens!G12046*(Sens!F12131+Sens!G12131)/2)</f>
        <v>0.176916911437355</v>
      </c>
      <c r="H12135" s="7" t="n">
        <f aca="false">Sens!H12060*(1-tax_f)/(Sens!H12046*(Sens!G12131+Sens!H12131)/2)</f>
        <v>0.207487057996582</v>
      </c>
      <c r="I12135" s="7" t="n">
        <f aca="false">Sens!I12060*(1-tax_f)/(Sens!I12046*(Sens!H12131+Sens!I12131)/2)</f>
        <v>0.219873660070946</v>
      </c>
      <c r="J12135" s="7" t="n">
        <f aca="false">Sens!J12060*(1-tax_f)/(Sens!J12046*(Sens!I12131+Sens!J12131)/2)</f>
        <v>0.238959457974928</v>
      </c>
      <c r="K12135" s="7" t="n">
        <f aca="false">Sens!K12060*(1-tax_f)/(Sens!K12046*(Sens!J12131+Sens!K12131)/2)</f>
        <v>0.264604270651536</v>
      </c>
    </row>
    <row r="12136" customFormat="false" ht="17.15" hidden="false" customHeight="false" outlineLevel="0" collapsed="false">
      <c r="A12136" s="0" t="s">
        <v>1014</v>
      </c>
      <c r="B12136" s="0" t="s">
        <v>253</v>
      </c>
      <c r="F12136" s="7" t="n">
        <f aca="false">Sens!F12132-wacc</f>
        <v>-0.0264758850184899</v>
      </c>
      <c r="G12136" s="7" t="n">
        <f aca="false">Sens!G12132-wacc</f>
        <v>0.00301399257650095</v>
      </c>
      <c r="H12136" s="7" t="n">
        <f aca="false">Sens!H12132-wacc</f>
        <v>0.0290144531684132</v>
      </c>
      <c r="I12136" s="7" t="n">
        <f aca="false">Sens!I12132-wacc</f>
        <v>0.0409767298145461</v>
      </c>
      <c r="J12136" s="7" t="n">
        <f aca="false">Sens!J12132-wacc</f>
        <v>0.0555189863912922</v>
      </c>
      <c r="K12136" s="7" t="n">
        <f aca="false">Sens!K12132-wacc</f>
        <v>0.0736144937856168</v>
      </c>
    </row>
    <row r="12137" customFormat="false" ht="17.15" hidden="false" customHeight="false" outlineLevel="0" collapsed="false">
      <c r="A12137" s="0" t="s">
        <v>1015</v>
      </c>
      <c r="B12137" s="0" t="s">
        <v>98</v>
      </c>
      <c r="F12137" s="6" t="n">
        <f aca="false">Sens!F12130*(1-tax_f)-wacc*(Sens!E12131+Sens!F12131)/2</f>
        <v>-5.12666681154535</v>
      </c>
      <c r="G12137" s="6" t="n">
        <f aca="false">Sens!G12130*(1-tax_f)-wacc*(Sens!F12131+Sens!G12131)/2</f>
        <v>0.983096926090845</v>
      </c>
      <c r="H12137" s="6" t="n">
        <f aca="false">Sens!H12130*(1-tax_f)-wacc*(Sens!G12131+Sens!H12131)/2</f>
        <v>12.9298723603358</v>
      </c>
      <c r="I12137" s="6" t="n">
        <f aca="false">Sens!I12130*(1-tax_f)-wacc*(Sens!H12131+Sens!I12131)/2</f>
        <v>21.5816420117415</v>
      </c>
      <c r="J12137" s="6" t="n">
        <f aca="false">Sens!J12130*(1-tax_f)-wacc*(Sens!I12131+Sens!J12131)/2</f>
        <v>30.6647728372055</v>
      </c>
      <c r="K12137" s="6" t="n">
        <f aca="false">Sens!K12130*(1-tax_f)-wacc*(Sens!J12131+Sens!K12131)/2</f>
        <v>39.6606698161285</v>
      </c>
    </row>
    <row r="12138" customFormat="false" ht="17.15" hidden="false" customHeight="false" outlineLevel="0" collapsed="false">
      <c r="A12138" s="3" t="s">
        <v>1783</v>
      </c>
    </row>
    <row r="12139" customFormat="false" ht="15" hidden="false" customHeight="false" outlineLevel="0" collapsed="false">
      <c r="A12139" s="4" t="s">
        <v>43</v>
      </c>
      <c r="B12139" s="4" t="s">
        <v>65</v>
      </c>
      <c r="C12139" s="23" t="s">
        <v>938</v>
      </c>
      <c r="D12139" s="23" t="s">
        <v>939</v>
      </c>
      <c r="E12139" s="23" t="s">
        <v>940</v>
      </c>
      <c r="F12139" s="23" t="s">
        <v>941</v>
      </c>
      <c r="G12139" s="23" t="s">
        <v>942</v>
      </c>
      <c r="H12139" s="23" t="s">
        <v>943</v>
      </c>
      <c r="I12139" s="23" t="s">
        <v>944</v>
      </c>
      <c r="J12139" s="23" t="s">
        <v>945</v>
      </c>
      <c r="K12139" s="23" t="s">
        <v>946</v>
      </c>
      <c r="L12139" s="4" t="s">
        <v>47</v>
      </c>
    </row>
    <row r="12140" customFormat="false" ht="15" hidden="false" customHeight="false" outlineLevel="0" collapsed="false">
      <c r="A12140" s="1" t="s">
        <v>1076</v>
      </c>
      <c r="B12140" s="0" t="s">
        <v>98</v>
      </c>
      <c r="F12140" s="6" t="n">
        <f aca="false">Sens!F12121</f>
        <v>147.465539996755</v>
      </c>
      <c r="G12140" s="6" t="n">
        <f aca="false">Sens!G12121</f>
        <v>168.030830347031</v>
      </c>
      <c r="H12140" s="6" t="n">
        <f aca="false">Sens!H12121</f>
        <v>196.082171964457</v>
      </c>
      <c r="I12140" s="6" t="n">
        <f aca="false">Sens!I12121</f>
        <v>217.538417161315</v>
      </c>
      <c r="J12140" s="6" t="n">
        <f aca="false">Sens!J12121</f>
        <v>236.210030451908</v>
      </c>
      <c r="K12140" s="6" t="n">
        <f aca="false">Sens!K12121</f>
        <v>253.165445296286</v>
      </c>
    </row>
    <row r="12141" customFormat="false" ht="17.15" hidden="false" customHeight="false" outlineLevel="0" collapsed="false">
      <c r="A12141" s="1" t="s">
        <v>1098</v>
      </c>
      <c r="B12141" s="0" t="s">
        <v>98</v>
      </c>
      <c r="E12141" s="6" t="n">
        <f aca="false">Q!M38-Sens!E12059</f>
        <v>22.2285940229167</v>
      </c>
      <c r="F12141" s="6" t="n">
        <f aca="false">Sens!E12141*(1-1/life_nonai)+(Sens!F12149+Sens!F12150)/life_nonai</f>
        <v>23.580344216413</v>
      </c>
      <c r="G12141" s="6" t="n">
        <f aca="false">Sens!F12141*(1-1/life_nonai)+(Sens!G12149)/life_nonai</f>
        <v>25.3810008818213</v>
      </c>
      <c r="H12141" s="6" t="n">
        <f aca="false">Sens!G12141*(1-1/life_nonai)+(Sens!H12149)/life_nonai</f>
        <v>27.5989835194742</v>
      </c>
      <c r="I12141" s="6" t="n">
        <f aca="false">Sens!H12141*(1-1/life_nonai)+(Sens!I12149)/life_nonai</f>
        <v>30.1581352985582</v>
      </c>
      <c r="J12141" s="6" t="n">
        <f aca="false">Sens!I12141*(1-1/life_nonai)+(Sens!J12149)/life_nonai</f>
        <v>32.9666318979719</v>
      </c>
      <c r="K12141" s="6" t="n">
        <f aca="false">Sens!J12141*(1-1/life_nonai)+(Sens!K12149)/life_nonai</f>
        <v>35.9403082779518</v>
      </c>
      <c r="L12141" s="12" t="s">
        <v>1099</v>
      </c>
    </row>
    <row r="12142" customFormat="false" ht="17.15" hidden="false" customHeight="false" outlineLevel="0" collapsed="false">
      <c r="A12142" s="1" t="s">
        <v>1100</v>
      </c>
      <c r="B12142" s="0" t="s">
        <v>98</v>
      </c>
      <c r="F12142" s="6" t="n">
        <f aca="false">Sens!$F$12150/life_nonai*(1-1/life_nonai)^(Sens!F12022-2027)</f>
        <v>0.00451351452575608</v>
      </c>
      <c r="G12142" s="6" t="n">
        <f aca="false">Sens!$F$12150/life_nonai*(1-1/life_nonai)^(Sens!G12022-2027)</f>
        <v>0.00406216307318047</v>
      </c>
      <c r="H12142" s="6" t="n">
        <f aca="false">Sens!$F$12150/life_nonai*(1-1/life_nonai)^(Sens!H12022-2027)</f>
        <v>0.00365594676586242</v>
      </c>
      <c r="I12142" s="6" t="n">
        <f aca="false">Sens!$F$12150/life_nonai*(1-1/life_nonai)^(Sens!I12022-2027)</f>
        <v>0.00329035208927618</v>
      </c>
      <c r="J12142" s="6" t="n">
        <f aca="false">Sens!$F$12150/life_nonai*(1-1/life_nonai)^(Sens!J12022-2027)</f>
        <v>0.00296131688034856</v>
      </c>
      <c r="K12142" s="6" t="n">
        <f aca="false">Sens!$F$12150/life_nonai*(1-1/life_nonai)^(Sens!K12022-2027)</f>
        <v>0.00266518519231371</v>
      </c>
      <c r="L12142" s="1" t="s">
        <v>1101</v>
      </c>
    </row>
    <row r="12143" customFormat="false" ht="17.15" hidden="false" customHeight="false" outlineLevel="0" collapsed="false">
      <c r="A12143" s="1" t="s">
        <v>1102</v>
      </c>
      <c r="B12143" s="0" t="s">
        <v>98</v>
      </c>
      <c r="E12143" s="6" t="n">
        <f aca="false">Sens!E12059+Sens!E12141</f>
        <v>38.534</v>
      </c>
      <c r="F12143" s="6" t="n">
        <f aca="false">Sens!F12059+Sens!F12141</f>
        <v>58.1596586947647</v>
      </c>
      <c r="G12143" s="6" t="n">
        <f aca="false">Sens!G12059+Sens!G12141</f>
        <v>86.1154915341202</v>
      </c>
      <c r="H12143" s="6" t="n">
        <f aca="false">Sens!H12059+Sens!H12141</f>
        <v>116.69907418092</v>
      </c>
      <c r="I12143" s="6" t="n">
        <f aca="false">Sens!I12059+Sens!I12141</f>
        <v>144.389144993107</v>
      </c>
      <c r="J12143" s="6" t="n">
        <f aca="false">Sens!J12059+Sens!J12141</f>
        <v>164.982304947568</v>
      </c>
      <c r="K12143" s="6" t="n">
        <f aca="false">Sens!K12059+Sens!K12141</f>
        <v>178.952977828886</v>
      </c>
    </row>
    <row r="12144" customFormat="false" ht="17.15" hidden="false" customHeight="false" outlineLevel="0" collapsed="false">
      <c r="A12144" s="1" t="s">
        <v>1103</v>
      </c>
      <c r="B12144" s="0" t="s">
        <v>98</v>
      </c>
      <c r="F12144" s="6" t="n">
        <f aca="false">Sens!F12086*sbc_r</f>
        <v>15.0711126185766</v>
      </c>
      <c r="G12144" s="6" t="n">
        <f aca="false">Sens!G12086*sbc_r</f>
        <v>18.394855348607</v>
      </c>
      <c r="H12144" s="6" t="n">
        <f aca="false">Sens!H12086*sbc_r</f>
        <v>21.976356697417</v>
      </c>
      <c r="I12144" s="6" t="n">
        <f aca="false">Sens!I12086*sbc_r</f>
        <v>25.030933737818</v>
      </c>
      <c r="J12144" s="6" t="n">
        <f aca="false">Sens!J12086*sbc_r</f>
        <v>27.496299451711</v>
      </c>
      <c r="K12144" s="6" t="n">
        <f aca="false">Sens!K12086*sbc_r</f>
        <v>29.4667832862793</v>
      </c>
    </row>
    <row r="12145" customFormat="false" ht="17.15" hidden="false" customHeight="false" outlineLevel="0" collapsed="false">
      <c r="A12145" s="1" t="s">
        <v>1104</v>
      </c>
      <c r="B12145" s="0" t="s">
        <v>98</v>
      </c>
      <c r="F12145" s="6" t="n">
        <f aca="false">wc27-wc26q1</f>
        <v>-4.677</v>
      </c>
      <c r="G12145" s="6" t="n">
        <f aca="false">wc_f</f>
        <v>0</v>
      </c>
      <c r="H12145" s="6" t="n">
        <f aca="false">wc_f</f>
        <v>0</v>
      </c>
      <c r="I12145" s="6" t="n">
        <f aca="false">wc_f</f>
        <v>0</v>
      </c>
      <c r="J12145" s="6" t="n">
        <f aca="false">wc_f</f>
        <v>0</v>
      </c>
      <c r="K12145" s="6" t="n">
        <f aca="false">wc_f</f>
        <v>0</v>
      </c>
      <c r="L12145" s="12" t="s">
        <v>1105</v>
      </c>
    </row>
    <row r="12146" customFormat="false" ht="17.15" hidden="false" customHeight="false" outlineLevel="0" collapsed="false">
      <c r="A12146" s="0" t="s">
        <v>1106</v>
      </c>
      <c r="B12146" s="0" t="s">
        <v>98</v>
      </c>
      <c r="F12146" s="6" t="n">
        <f aca="false">Q!$I$35-Q!$I$26-Q!$I$38-Q!$I$39</f>
        <v>6.493</v>
      </c>
      <c r="L12146" s="1" t="s">
        <v>1107</v>
      </c>
    </row>
    <row r="12147" customFormat="false" ht="15" hidden="false" customHeight="false" outlineLevel="0" collapsed="false">
      <c r="A12147" s="1" t="s">
        <v>904</v>
      </c>
      <c r="B12147" s="0" t="s">
        <v>98</v>
      </c>
      <c r="E12147" s="6" t="n">
        <f aca="false">Q!M35</f>
        <v>182.935</v>
      </c>
      <c r="F12147" s="6" t="n">
        <f aca="false">Sens!F12140+Sens!F12143+Sens!F12144+Sens!F12145+Sens!F12146</f>
        <v>222.512311310096</v>
      </c>
      <c r="G12147" s="6" t="n">
        <f aca="false">Sens!G12140+Sens!G12143+Sens!G12144+Sens!G12145</f>
        <v>272.541177229759</v>
      </c>
      <c r="H12147" s="6" t="n">
        <f aca="false">Sens!H12140+Sens!H12143+Sens!H12144+Sens!H12145</f>
        <v>334.757602842794</v>
      </c>
      <c r="I12147" s="6" t="n">
        <f aca="false">Sens!I12140+Sens!I12143+Sens!I12144+Sens!I12145</f>
        <v>386.95849589224</v>
      </c>
      <c r="J12147" s="6" t="n">
        <f aca="false">Sens!J12140+Sens!J12143+Sens!J12144+Sens!J12145</f>
        <v>428.688634851187</v>
      </c>
      <c r="K12147" s="6" t="n">
        <f aca="false">Sens!K12140+Sens!K12143+Sens!K12144+Sens!K12145</f>
        <v>461.585206411451</v>
      </c>
    </row>
    <row r="12148" customFormat="false" ht="17.15" hidden="false" customHeight="false" outlineLevel="0" collapsed="false">
      <c r="A12148" s="0" t="s">
        <v>1108</v>
      </c>
      <c r="B12148" s="0" t="s">
        <v>98</v>
      </c>
      <c r="F12148" s="6" t="n">
        <f aca="false">Sens!F12056</f>
        <v>168.45390404212</v>
      </c>
      <c r="G12148" s="6" t="n">
        <f aca="false">Sens!G12056</f>
        <v>191.944475649048</v>
      </c>
      <c r="H12148" s="6" t="n">
        <f aca="false">Sens!H12056</f>
        <v>196.806004064512</v>
      </c>
      <c r="I12148" s="6" t="n">
        <f aca="false">Sens!I12056</f>
        <v>168.61483362161</v>
      </c>
      <c r="J12148" s="6" t="n">
        <f aca="false">Sens!J12056</f>
        <v>128.92993119594</v>
      </c>
      <c r="K12148" s="6" t="n">
        <f aca="false">Sens!K12056</f>
        <v>118.962853064733</v>
      </c>
    </row>
    <row r="12149" customFormat="false" ht="17.15" hidden="false" customHeight="false" outlineLevel="0" collapsed="false">
      <c r="A12149" s="1" t="s">
        <v>1109</v>
      </c>
      <c r="B12149" s="0" t="s">
        <v>98</v>
      </c>
      <c r="E12149" s="6" t="n">
        <f aca="false">Sens!E12064*cx_azo+Sens!E12071*cx_m365+Sens!E12072*cx_lic+(Sens!E12074+Sens!E12076)*cx_ind+Sens!E12079*cx_srch+(Sens!E12081+Sens!E12083)*cx_dev</f>
        <v>30.1846587067718</v>
      </c>
      <c r="F12149" s="6" t="n">
        <f aca="false">Sens!F12064*cx_azo+Sens!F12071*cx_m365+Sens!F12072*cx_lic+(Sens!F12074+Sens!F12076)*cx_ind+Sens!F12079*cx_srch+(Sens!F12081+Sens!F12083)*cx_dev</f>
        <v>35.7009608126228</v>
      </c>
      <c r="G12149" s="6" t="n">
        <f aca="false">Sens!G12064*cx_azo+Sens!G12071*cx_m365+Sens!G12072*cx_lic+(Sens!G12074+Sens!G12076)*cx_ind+Sens!G12079*cx_srch+(Sens!G12081+Sens!G12083)*cx_dev</f>
        <v>41.5869108704955</v>
      </c>
      <c r="H12149" s="6" t="n">
        <f aca="false">Sens!H12064*cx_azo+Sens!H12071*cx_m365+Sens!H12072*cx_lic+(Sens!H12074+Sens!H12076)*cx_ind+Sens!H12079*cx_srch+(Sens!H12081+Sens!H12083)*cx_dev</f>
        <v>47.56082725835</v>
      </c>
      <c r="I12149" s="6" t="n">
        <f aca="false">Sens!I12064*cx_azo+Sens!I12071*cx_m365+Sens!I12072*cx_lic+(Sens!I12074+Sens!I12076)*cx_ind+Sens!I12079*cx_srch+(Sens!I12081+Sens!I12083)*cx_dev</f>
        <v>53.1905013103144</v>
      </c>
      <c r="J12149" s="6" t="n">
        <f aca="false">Sens!J12064*cx_azo+Sens!J12071*cx_m365+Sens!J12072*cx_lic+(Sens!J12074+Sens!J12076)*cx_ind+Sens!J12079*cx_srch+(Sens!J12081+Sens!J12083)*cx_dev</f>
        <v>58.2431012926951</v>
      </c>
      <c r="K12149" s="6" t="n">
        <f aca="false">Sens!K12064*cx_azo+Sens!K12071*cx_m365+Sens!K12072*cx_lic+(Sens!K12074+Sens!K12076)*cx_ind+Sens!K12079*cx_srch+(Sens!K12081+Sens!K12083)*cx_dev</f>
        <v>62.7033956977708</v>
      </c>
    </row>
    <row r="12150" customFormat="false" ht="17.15" hidden="false" customHeight="false" outlineLevel="0" collapsed="false">
      <c r="A12150" s="0" t="s">
        <v>1110</v>
      </c>
      <c r="B12150" s="0" t="s">
        <v>98</v>
      </c>
      <c r="F12150" s="6" t="n">
        <f aca="false">Sens!F12054</f>
        <v>0.0451351452575608</v>
      </c>
      <c r="L12150" s="1" t="s">
        <v>1111</v>
      </c>
    </row>
    <row r="12151" customFormat="false" ht="17.15" hidden="false" customHeight="false" outlineLevel="0" collapsed="false">
      <c r="A12151" s="1" t="s">
        <v>1112</v>
      </c>
      <c r="B12151" s="0" t="s">
        <v>98</v>
      </c>
      <c r="E12151" s="6" t="n">
        <f aca="false">Q!M43</f>
        <v>145.3</v>
      </c>
      <c r="F12151" s="6" t="n">
        <f aca="false">Sens!F12148+Sens!F12149+Sens!F12150</f>
        <v>204.2</v>
      </c>
      <c r="G12151" s="6" t="n">
        <f aca="false">Sens!G12148+Sens!G12149</f>
        <v>233.531386519544</v>
      </c>
      <c r="H12151" s="6" t="n">
        <f aca="false">Sens!H12148+Sens!H12149</f>
        <v>244.366831322862</v>
      </c>
      <c r="I12151" s="6" t="n">
        <f aca="false">Sens!I12148+Sens!I12149</f>
        <v>221.805334931925</v>
      </c>
      <c r="J12151" s="6" t="n">
        <f aca="false">Sens!J12148+Sens!J12149</f>
        <v>187.173032488635</v>
      </c>
      <c r="K12151" s="6" t="n">
        <f aca="false">Sens!K12148+Sens!K12149</f>
        <v>181.666248762503</v>
      </c>
      <c r="L12151" s="1" t="s">
        <v>1113</v>
      </c>
    </row>
    <row r="12152" customFormat="false" ht="15" hidden="false" customHeight="false" outlineLevel="0" collapsed="false">
      <c r="A12152" s="1" t="s">
        <v>1114</v>
      </c>
      <c r="B12152" s="0" t="s">
        <v>98</v>
      </c>
      <c r="E12152" s="6" t="n">
        <f aca="false">fl_liab</f>
        <v>66.594</v>
      </c>
      <c r="F12152" s="6" t="n">
        <f aca="false">Sens!E12152-Sens!F12153</f>
        <v>62.46973</v>
      </c>
      <c r="G12152" s="6" t="n">
        <f aca="false">Sens!F12152-Sens!G12153</f>
        <v>57.98686785</v>
      </c>
      <c r="H12152" s="6" t="n">
        <f aca="false">Sens!G12152-Sens!H12153</f>
        <v>53.92827690325</v>
      </c>
      <c r="I12152" s="6" t="n">
        <f aca="false">Sens!H12152-Sens!I12153</f>
        <v>49.7850493638962</v>
      </c>
      <c r="J12152" s="6" t="n">
        <f aca="false">Sens!I12152-Sens!J12153</f>
        <v>45.4823765852716</v>
      </c>
      <c r="K12152" s="6" t="n">
        <f aca="false">Sens!J12152-Sens!K12153</f>
        <v>40.9860835316088</v>
      </c>
    </row>
    <row r="12153" customFormat="false" ht="15" hidden="false" customHeight="false" outlineLevel="0" collapsed="false">
      <c r="A12153" s="1" t="s">
        <v>1115</v>
      </c>
      <c r="B12153" s="0" t="s">
        <v>98</v>
      </c>
      <c r="F12153" s="6" t="n">
        <f aca="false">fl_pay_27-Sens!E12152*fl_rate</f>
        <v>4.12427</v>
      </c>
      <c r="G12153" s="6" t="n">
        <f aca="false">fl_pay_28-Sens!F12152*fl_rate</f>
        <v>4.48286215</v>
      </c>
      <c r="H12153" s="6" t="n">
        <f aca="false">fl_pay_29-Sens!G12152*fl_rate</f>
        <v>4.05859094675</v>
      </c>
      <c r="I12153" s="6" t="n">
        <f aca="false">fl_pay_30-Sens!H12152*fl_rate</f>
        <v>4.14322753935375</v>
      </c>
      <c r="J12153" s="6" t="n">
        <f aca="false">fl_pay_31-Sens!I12152*fl_rate</f>
        <v>4.30267277862467</v>
      </c>
      <c r="K12153" s="6" t="n">
        <f aca="false">fl_pay_32-Sens!J12152*fl_rate</f>
        <v>4.49629305366278</v>
      </c>
    </row>
    <row r="12154" customFormat="false" ht="17.15" hidden="false" customHeight="false" outlineLevel="0" collapsed="false">
      <c r="A12154" s="1" t="s">
        <v>1116</v>
      </c>
      <c r="B12154" s="0" t="s">
        <v>98</v>
      </c>
      <c r="E12154" s="6" t="n">
        <f aca="false">Q!M35-Q!M36-Q!M44</f>
        <v>63.886</v>
      </c>
      <c r="F12154" s="6" t="n">
        <f aca="false">Sens!F12147-Sens!F12151-Sens!F12153</f>
        <v>14.1880413100964</v>
      </c>
      <c r="G12154" s="6" t="n">
        <f aca="false">Sens!G12147-Sens!G12151-Sens!G12153</f>
        <v>34.5269285602149</v>
      </c>
      <c r="H12154" s="6" t="n">
        <f aca="false">Sens!H12147-Sens!H12151-Sens!H12153</f>
        <v>86.3321805731816</v>
      </c>
      <c r="I12154" s="6" t="n">
        <f aca="false">Sens!I12147-Sens!I12151-Sens!I12153</f>
        <v>161.009933420961</v>
      </c>
      <c r="J12154" s="6" t="n">
        <f aca="false">Sens!J12147-Sens!J12151-Sens!J12153</f>
        <v>237.212929583927</v>
      </c>
      <c r="K12154" s="6" t="n">
        <f aca="false">Sens!K12147-Sens!K12151-Sens!K12153</f>
        <v>275.422664595285</v>
      </c>
      <c r="L12154" s="12" t="s">
        <v>1117</v>
      </c>
    </row>
    <row r="12155" customFormat="false" ht="15" hidden="false" customHeight="false" outlineLevel="0" collapsed="false">
      <c r="A12155" s="1" t="s">
        <v>1118</v>
      </c>
      <c r="B12155" s="0" t="s">
        <v>75</v>
      </c>
      <c r="F12155" s="8" t="n">
        <f aca="false">dps_27</f>
        <v>3.85</v>
      </c>
      <c r="G12155" s="8" t="n">
        <f aca="false">Sens!F12155*(1+dps_g)</f>
        <v>4.158</v>
      </c>
      <c r="H12155" s="8" t="n">
        <f aca="false">Sens!G12155*(1+dps_g)</f>
        <v>4.49064</v>
      </c>
      <c r="I12155" s="8" t="n">
        <f aca="false">Sens!H12155*(1+dps_g)</f>
        <v>4.8498912</v>
      </c>
      <c r="J12155" s="8" t="n">
        <f aca="false">Sens!I12155*(1+dps_g)</f>
        <v>5.237882496</v>
      </c>
      <c r="K12155" s="8" t="n">
        <f aca="false">Sens!J12155*(1+dps_g)</f>
        <v>5.65691309568</v>
      </c>
    </row>
    <row r="12156" customFormat="false" ht="17.15" hidden="false" customHeight="false" outlineLevel="0" collapsed="false">
      <c r="A12156" s="1" t="s">
        <v>1119</v>
      </c>
      <c r="B12156" s="0" t="s">
        <v>98</v>
      </c>
      <c r="E12156" s="6" t="n">
        <f aca="false">Q!M41</f>
        <v>26.445</v>
      </c>
      <c r="F12156" s="6" t="n">
        <f aca="false">Sens!F12155*Sens!E12165</f>
        <v>28.59395</v>
      </c>
      <c r="G12156" s="6" t="n">
        <f aca="false">Sens!G12155*Sens!F12165</f>
        <v>31.0445620051244</v>
      </c>
      <c r="H12156" s="6" t="n">
        <f aca="false">Sens!H12155*Sens!G12165</f>
        <v>33.7039669400749</v>
      </c>
      <c r="I12156" s="6" t="n">
        <f aca="false">Sens!I12155*Sens!H12165</f>
        <v>36.4507225723535</v>
      </c>
      <c r="J12156" s="6" t="n">
        <f aca="false">Sens!J12155*Sens!I12165</f>
        <v>39.4346782635344</v>
      </c>
      <c r="K12156" s="6" t="n">
        <f aca="false">Sens!K12155*Sens!J12165</f>
        <v>42.6762067869954</v>
      </c>
      <c r="L12156" s="1" t="s">
        <v>1120</v>
      </c>
    </row>
    <row r="12157" customFormat="false" ht="15" hidden="false" customHeight="false" outlineLevel="0" collapsed="false">
      <c r="A12157" s="1" t="s">
        <v>1121</v>
      </c>
      <c r="B12157" s="0" t="s">
        <v>98</v>
      </c>
      <c r="E12157" s="6" t="n">
        <f aca="false">Sens!E12154-Sens!E12156</f>
        <v>37.441</v>
      </c>
      <c r="F12157" s="6" t="n">
        <f aca="false">Sens!F12154-Sens!F12156</f>
        <v>-14.4059086899036</v>
      </c>
      <c r="G12157" s="6" t="n">
        <f aca="false">Sens!G12154-Sens!G12156</f>
        <v>3.48236655509052</v>
      </c>
      <c r="H12157" s="6" t="n">
        <f aca="false">Sens!H12154-Sens!H12156</f>
        <v>52.6282136331067</v>
      </c>
      <c r="I12157" s="6" t="n">
        <f aca="false">Sens!I12154-Sens!I12156</f>
        <v>124.559210848608</v>
      </c>
      <c r="J12157" s="6" t="n">
        <f aca="false">Sens!J12154-Sens!J12156</f>
        <v>197.778251320392</v>
      </c>
      <c r="K12157" s="6" t="n">
        <f aca="false">Sens!K12154-Sens!K12156</f>
        <v>232.74645780829</v>
      </c>
    </row>
    <row r="12158" customFormat="false" ht="15" hidden="false" customHeight="false" outlineLevel="0" collapsed="false">
      <c r="A12158" s="1" t="s">
        <v>1122</v>
      </c>
      <c r="B12158" s="0" t="s">
        <v>98</v>
      </c>
      <c r="F12158" s="6" t="n">
        <f aca="false">debt_mat_27</f>
        <v>9.25</v>
      </c>
      <c r="G12158" s="6" t="n">
        <f aca="false">debt_mat_28</f>
        <v>0</v>
      </c>
      <c r="H12158" s="6" t="n">
        <f aca="false">debt_mat_29</f>
        <v>2.001</v>
      </c>
      <c r="I12158" s="6" t="n">
        <f aca="false">debt_mat_30</f>
        <v>0</v>
      </c>
      <c r="J12158" s="6" t="n">
        <f aca="false">debt_mat_31</f>
        <v>0.5</v>
      </c>
      <c r="K12158" s="6" t="n">
        <f aca="false">debt_mat_32</f>
        <v>0</v>
      </c>
    </row>
    <row r="12159" customFormat="false" ht="15" hidden="false" customHeight="false" outlineLevel="0" collapsed="false">
      <c r="A12159" s="1" t="s">
        <v>1123</v>
      </c>
      <c r="B12159" s="0" t="s">
        <v>98</v>
      </c>
      <c r="E12159" s="6" t="n">
        <f aca="false">Q!M40</f>
        <v>22.271</v>
      </c>
      <c r="F12159" s="6" t="n">
        <f aca="false">MAX(0,MIN(bb_target,Sens!E12161+Sens!F12157-Sens!F12158-min_cash))</f>
        <v>3.18709131009636</v>
      </c>
      <c r="G12159" s="6" t="n">
        <f aca="false">MAX(0,MIN(bb_target,Sens!F12161+Sens!G12157-Sens!G12158-min_cash))</f>
        <v>3.48236655509052</v>
      </c>
      <c r="H12159" s="6" t="n">
        <f aca="false">MAX(0,MIN(bb_target,Sens!G12161+Sens!H12157-Sens!H12158-min_cash))</f>
        <v>22.271</v>
      </c>
      <c r="I12159" s="6" t="n">
        <f aca="false">MAX(0,MIN(bb_target,Sens!H12161+Sens!I12157-Sens!I12158-min_cash))</f>
        <v>22.271</v>
      </c>
      <c r="J12159" s="6" t="n">
        <f aca="false">MAX(0,MIN(bb_target,Sens!I12161+Sens!J12157-Sens!J12158-min_cash))</f>
        <v>22.271</v>
      </c>
      <c r="K12159" s="6" t="n">
        <f aca="false">MAX(0,MIN(bb_target,Sens!J12161+Sens!K12157-Sens!K12158-min_cash))</f>
        <v>22.271</v>
      </c>
    </row>
    <row r="12160" customFormat="false" ht="15" hidden="false" customHeight="false" outlineLevel="0" collapsed="false">
      <c r="A12160" s="1" t="s">
        <v>1124</v>
      </c>
      <c r="B12160" s="0" t="s">
        <v>98</v>
      </c>
      <c r="F12160" s="6" t="n">
        <f aca="false">MAX(0,min_cash-(Sens!E12161+Sens!F12157-Sens!F12158-Sens!F12159))</f>
        <v>0</v>
      </c>
      <c r="G12160" s="6" t="n">
        <f aca="false">MAX(0,min_cash-(Sens!F12161+Sens!G12157-Sens!G12158-Sens!G12159))</f>
        <v>0</v>
      </c>
      <c r="H12160" s="6" t="n">
        <f aca="false">MAX(0,min_cash-(Sens!G12161+Sens!H12157-Sens!H12158-Sens!H12159))</f>
        <v>0</v>
      </c>
      <c r="I12160" s="6" t="n">
        <f aca="false">MAX(0,min_cash-(Sens!H12161+Sens!I12157-Sens!I12158-Sens!I12159))</f>
        <v>0</v>
      </c>
      <c r="J12160" s="6" t="n">
        <f aca="false">MAX(0,min_cash-(Sens!I12161+Sens!J12157-Sens!J12158-Sens!J12159))</f>
        <v>0</v>
      </c>
      <c r="K12160" s="6" t="n">
        <f aca="false">MAX(0,min_cash-(Sens!J12161+Sens!K12157-Sens!K12158-Sens!K12159))</f>
        <v>0</v>
      </c>
    </row>
    <row r="12161" customFormat="false" ht="15" hidden="false" customHeight="false" outlineLevel="0" collapsed="false">
      <c r="A12161" s="1" t="s">
        <v>1125</v>
      </c>
      <c r="B12161" s="0" t="s">
        <v>98</v>
      </c>
      <c r="E12161" s="6" t="n">
        <f aca="false">cash_open</f>
        <v>76.843</v>
      </c>
      <c r="F12161" s="6" t="n">
        <f aca="false">Sens!E12161+Sens!F12157-Sens!F12158-Sens!F12159+Sens!F12160</f>
        <v>50</v>
      </c>
      <c r="G12161" s="6" t="n">
        <f aca="false">Sens!F12161+Sens!G12157-Sens!G12158-Sens!G12159+Sens!G12160</f>
        <v>50</v>
      </c>
      <c r="H12161" s="6" t="n">
        <f aca="false">Sens!G12161+Sens!H12157-Sens!H12158-Sens!H12159+Sens!H12160</f>
        <v>78.3562136331067</v>
      </c>
      <c r="I12161" s="6" t="n">
        <f aca="false">Sens!H12161+Sens!I12157-Sens!I12158-Sens!I12159+Sens!I12160</f>
        <v>180.644424481714</v>
      </c>
      <c r="J12161" s="6" t="n">
        <f aca="false">Sens!I12161+Sens!J12157-Sens!J12158-Sens!J12159+Sens!J12160</f>
        <v>355.651675802106</v>
      </c>
      <c r="K12161" s="6" t="n">
        <f aca="false">Sens!J12161+Sens!K12157-Sens!K12158-Sens!K12159+Sens!K12160</f>
        <v>566.127133610396</v>
      </c>
    </row>
    <row r="12162" customFormat="false" ht="15" hidden="false" customHeight="false" outlineLevel="0" collapsed="false">
      <c r="A12162" s="1" t="s">
        <v>1126</v>
      </c>
      <c r="B12162" s="0" t="s">
        <v>98</v>
      </c>
      <c r="E12162" s="6" t="n">
        <f aca="false">debt_face</f>
        <v>46.136</v>
      </c>
      <c r="F12162" s="6" t="n">
        <f aca="false">Sens!E12162-Sens!F12158+Sens!F12160</f>
        <v>36.886</v>
      </c>
      <c r="G12162" s="6" t="n">
        <f aca="false">Sens!F12162-Sens!G12158+Sens!G12160</f>
        <v>36.886</v>
      </c>
      <c r="H12162" s="6" t="n">
        <f aca="false">Sens!G12162-Sens!H12158+Sens!H12160</f>
        <v>34.885</v>
      </c>
      <c r="I12162" s="6" t="n">
        <f aca="false">Sens!H12162-Sens!I12158+Sens!I12160</f>
        <v>34.885</v>
      </c>
      <c r="J12162" s="6" t="n">
        <f aca="false">Sens!I12162-Sens!J12158+Sens!J12160</f>
        <v>34.385</v>
      </c>
      <c r="K12162" s="6" t="n">
        <f aca="false">Sens!J12162-Sens!K12158+Sens!K12160</f>
        <v>34.385</v>
      </c>
    </row>
    <row r="12163" customFormat="false" ht="15" hidden="false" customHeight="false" outlineLevel="0" collapsed="false">
      <c r="A12163" s="1" t="s">
        <v>1127</v>
      </c>
      <c r="B12163" s="0" t="s">
        <v>98</v>
      </c>
      <c r="E12163" s="6" t="n">
        <f aca="false">Sens!E12161-Sens!E12162</f>
        <v>30.707</v>
      </c>
      <c r="F12163" s="6" t="n">
        <f aca="false">Sens!F12161-Sens!F12162</f>
        <v>13.114</v>
      </c>
      <c r="G12163" s="6" t="n">
        <f aca="false">Sens!G12161-Sens!G12162</f>
        <v>13.114</v>
      </c>
      <c r="H12163" s="6" t="n">
        <f aca="false">Sens!H12161-Sens!H12162</f>
        <v>43.4712136331067</v>
      </c>
      <c r="I12163" s="6" t="n">
        <f aca="false">Sens!I12161-Sens!I12162</f>
        <v>145.759424481714</v>
      </c>
      <c r="J12163" s="6" t="n">
        <f aca="false">Sens!J12161-Sens!J12162</f>
        <v>321.266675802106</v>
      </c>
      <c r="K12163" s="6" t="n">
        <f aca="false">Sens!K12161-Sens!K12162</f>
        <v>531.742133610396</v>
      </c>
    </row>
    <row r="12164" customFormat="false" ht="15" hidden="false" customHeight="false" outlineLevel="0" collapsed="false">
      <c r="A12164" s="1" t="s">
        <v>1128</v>
      </c>
      <c r="B12164" s="0" t="s">
        <v>75</v>
      </c>
      <c r="F12164" s="30" t="n">
        <f aca="false">px*(1+bb_g)^(Sens!F12022-base_fy-mid_yr)</f>
        <v>551.84177959629</v>
      </c>
      <c r="G12164" s="30" t="n">
        <f aca="false">px*(1+bb_g)^(Sens!G12022-base_fy-mid_yr)</f>
        <v>595.989121963993</v>
      </c>
      <c r="H12164" s="30" t="n">
        <f aca="false">px*(1+bb_g)^(Sens!H12022-base_fy-mid_yr)</f>
        <v>643.668251721112</v>
      </c>
      <c r="I12164" s="30" t="n">
        <f aca="false">px*(1+bb_g)^(Sens!I12022-base_fy-mid_yr)</f>
        <v>695.161711858801</v>
      </c>
      <c r="J12164" s="30" t="n">
        <f aca="false">px*(1+bb_g)^(Sens!J12022-base_fy-mid_yr)</f>
        <v>750.774648807506</v>
      </c>
      <c r="K12164" s="30" t="n">
        <f aca="false">px*(1+bb_g)^(Sens!K12022-base_fy-mid_yr)</f>
        <v>810.836620712106</v>
      </c>
    </row>
    <row r="12165" customFormat="false" ht="15" hidden="false" customHeight="false" outlineLevel="0" collapsed="false">
      <c r="A12165" s="1" t="s">
        <v>1129</v>
      </c>
      <c r="B12165" s="1" t="s">
        <v>81</v>
      </c>
      <c r="E12165" s="15" t="n">
        <f aca="false">sh_out26</f>
        <v>7.427</v>
      </c>
      <c r="F12165" s="15" t="n">
        <f aca="false">Sens!E12165+sh_iss-Sens!F12159/Sens!F12164</f>
        <v>7.46622462845704</v>
      </c>
      <c r="G12165" s="15" t="n">
        <f aca="false">Sens!F12165+sh_iss-Sens!G12159/Sens!G12164</f>
        <v>7.50538162490756</v>
      </c>
      <c r="H12165" s="15" t="n">
        <f aca="false">Sens!G12165+sh_iss-Sens!H12159/Sens!H12164</f>
        <v>7.51578150296516</v>
      </c>
      <c r="I12165" s="15" t="n">
        <f aca="false">Sens!H12165+sh_iss-Sens!I12159/Sens!I12164</f>
        <v>7.52874435301849</v>
      </c>
      <c r="J12165" s="15" t="n">
        <f aca="false">Sens!I12165+sh_iss-Sens!J12159/Sens!J12164</f>
        <v>7.5440803252901</v>
      </c>
      <c r="K12165" s="15" t="n">
        <f aca="false">Sens!J12165+sh_iss-Sens!K12159/Sens!K12164</f>
        <v>7.561613632949</v>
      </c>
    </row>
    <row r="12166" customFormat="false" ht="15" hidden="false" customHeight="false" outlineLevel="0" collapsed="false">
      <c r="A12166" s="1" t="s">
        <v>1130</v>
      </c>
      <c r="B12166" s="1" t="s">
        <v>81</v>
      </c>
      <c r="E12166" s="15" t="n">
        <f aca="false">sh_dil26</f>
        <v>7.453</v>
      </c>
      <c r="F12166" s="15" t="n">
        <f aca="false">(Sens!E12165+Sens!F12165)/2+dil_gap</f>
        <v>7.47061231422852</v>
      </c>
      <c r="G12166" s="15" t="n">
        <f aca="false">(Sens!F12165+Sens!G12165)/2+dil_gap</f>
        <v>7.5098031266823</v>
      </c>
      <c r="H12166" s="15" t="n">
        <f aca="false">(Sens!G12165+Sens!H12165)/2+dil_gap</f>
        <v>7.53458156393636</v>
      </c>
      <c r="I12166" s="15" t="n">
        <f aca="false">(Sens!H12165+Sens!I12165)/2+dil_gap</f>
        <v>7.54626292799183</v>
      </c>
      <c r="J12166" s="15" t="n">
        <f aca="false">(Sens!I12165+Sens!J12165)/2+dil_gap</f>
        <v>7.5604123391543</v>
      </c>
      <c r="K12166" s="15" t="n">
        <f aca="false">(Sens!J12165+Sens!K12165)/2+dil_gap</f>
        <v>7.57684697911955</v>
      </c>
    </row>
    <row r="12167" customFormat="false" ht="17.15" hidden="false" customHeight="false" outlineLevel="0" collapsed="false">
      <c r="A12167" s="1" t="s">
        <v>1131</v>
      </c>
      <c r="B12167" s="0" t="s">
        <v>98</v>
      </c>
      <c r="C12167" s="6" t="n">
        <f aca="false">SUM(Sens!F12157:J12157)</f>
        <v>364.042133667293</v>
      </c>
    </row>
    <row r="12168" customFormat="false" ht="15" hidden="false" customHeight="false" outlineLevel="0" collapsed="false">
      <c r="A12168" s="26" t="s">
        <v>1096</v>
      </c>
      <c r="B12168" s="31" t="s">
        <v>98</v>
      </c>
      <c r="C12168" s="27" t="n">
        <f aca="false">Sens!$C$12167-(Sens!F12157+Sens!G12157+Sens!H12157+Sens!I12157+Sens!J12157)</f>
        <v>0</v>
      </c>
      <c r="D12168" s="31"/>
      <c r="E12168" s="31"/>
      <c r="F12168" s="31"/>
      <c r="G12168" s="31"/>
      <c r="H12168" s="31"/>
      <c r="I12168" s="31"/>
      <c r="J12168" s="31"/>
      <c r="K12168" s="31"/>
    </row>
    <row r="12169" customFormat="false" ht="17.15" hidden="false" customHeight="false" outlineLevel="0" collapsed="false">
      <c r="A12169" s="1" t="s">
        <v>1090</v>
      </c>
      <c r="B12169" s="1" t="s">
        <v>1132</v>
      </c>
      <c r="C12169" s="33" t="str">
        <f aca="false">IF(SUM(Sens!F12160:J12160)&gt;0.05,"需要舉債 "&amp;TEXT(SUM(Sens!F12160:J12160),"0.0")&amp;" 十億美元","不需舉債")&amp;"；"&amp;IF(SUM(Sens!F12159:J12159)&lt;COUNT(Sens!F12159:J12159)*bb_target-0.05,"回購較每年 "&amp;TEXT(bb_target,"0.0")&amp;" 的目標少 "&amp;TEXT(COUNT(Sens!F12159:J12159)*bb_target-SUM(Sens!F12159:J12159),"0.0")&amp;" 十億美元（"&amp;TEXT(COUNTIF(Sens!F12159:J12159,"&lt;"&amp;(bb_target-0.05)),"0")&amp;" 年減少）","回購不減")</f>
        <v>不需舉債；回購較每年 22.3 的目標少 37.9 十億美元（2 年減少）</v>
      </c>
    </row>
    <row r="12170" customFormat="false" ht="17.15" hidden="false" customHeight="false" outlineLevel="0" collapsed="false">
      <c r="A12170" s="3" t="s">
        <v>1784</v>
      </c>
    </row>
    <row r="12171" customFormat="false" ht="15" hidden="false" customHeight="false" outlineLevel="0" collapsed="false">
      <c r="A12171" s="4" t="s">
        <v>43</v>
      </c>
      <c r="B12171" s="4" t="s">
        <v>65</v>
      </c>
      <c r="C12171" s="23" t="s">
        <v>938</v>
      </c>
      <c r="D12171" s="23" t="s">
        <v>939</v>
      </c>
      <c r="E12171" s="23" t="s">
        <v>940</v>
      </c>
      <c r="F12171" s="23" t="s">
        <v>941</v>
      </c>
      <c r="G12171" s="23" t="s">
        <v>942</v>
      </c>
      <c r="H12171" s="23" t="s">
        <v>943</v>
      </c>
      <c r="I12171" s="23" t="s">
        <v>944</v>
      </c>
      <c r="J12171" s="23" t="s">
        <v>945</v>
      </c>
      <c r="K12171" s="23" t="s">
        <v>946</v>
      </c>
      <c r="L12171" s="4" t="s">
        <v>47</v>
      </c>
    </row>
    <row r="12172" customFormat="false" ht="17.15" hidden="false" customHeight="false" outlineLevel="0" collapsed="false">
      <c r="A12172" s="1" t="s">
        <v>1212</v>
      </c>
      <c r="B12172" s="1" t="s">
        <v>279</v>
      </c>
      <c r="F12172" s="8" t="n">
        <f aca="false">(1-v_off)*mid_yr</f>
        <v>0.373972602739726</v>
      </c>
      <c r="G12172" s="8" t="n">
        <f aca="false">Sens!G12022-base_fy-mid_yr-v_off</f>
        <v>1.24794520547945</v>
      </c>
      <c r="H12172" s="8" t="n">
        <f aca="false">Sens!H12022-base_fy-mid_yr-v_off</f>
        <v>2.24794520547945</v>
      </c>
      <c r="I12172" s="8" t="n">
        <f aca="false">Sens!I12022-base_fy-mid_yr-v_off</f>
        <v>3.24794520547945</v>
      </c>
      <c r="J12172" s="8" t="n">
        <f aca="false">Sens!J12022-base_fy-mid_yr-v_off</f>
        <v>4.24794520547945</v>
      </c>
      <c r="K12172" s="8" t="n">
        <f aca="false">Sens!K12022-base_fy-mid_yr-v_off</f>
        <v>5.24794520547945</v>
      </c>
      <c r="L12172" s="12" t="s">
        <v>1213</v>
      </c>
    </row>
    <row r="12173" customFormat="false" ht="15" hidden="false" customHeight="false" outlineLevel="0" collapsed="false">
      <c r="A12173" s="1" t="s">
        <v>1214</v>
      </c>
      <c r="B12173" s="1" t="s">
        <v>279</v>
      </c>
      <c r="F12173" s="8" t="n">
        <f aca="false">Sens!F12022-base_fy-v_off</f>
        <v>0.747945205479452</v>
      </c>
      <c r="G12173" s="8" t="n">
        <f aca="false">Sens!G12022-base_fy-v_off</f>
        <v>1.74794520547945</v>
      </c>
      <c r="H12173" s="8" t="n">
        <f aca="false">Sens!H12022-base_fy-v_off</f>
        <v>2.74794520547945</v>
      </c>
      <c r="I12173" s="8" t="n">
        <f aca="false">Sens!I12022-base_fy-v_off</f>
        <v>3.74794520547945</v>
      </c>
      <c r="J12173" s="8" t="n">
        <f aca="false">Sens!J12022-base_fy-v_off</f>
        <v>4.74794520547945</v>
      </c>
      <c r="K12173" s="8" t="n">
        <f aca="false">Sens!K12022-base_fy-v_off</f>
        <v>5.74794520547945</v>
      </c>
    </row>
    <row r="12174" customFormat="false" ht="15" hidden="false" customHeight="false" outlineLevel="0" collapsed="false">
      <c r="A12174" s="1" t="s">
        <v>1215</v>
      </c>
      <c r="B12174" s="0" t="s">
        <v>229</v>
      </c>
      <c r="F12174" s="15" t="n">
        <f aca="false">1/(1+wacc)^Sens!F12172</f>
        <v>0.964022703286649</v>
      </c>
      <c r="G12174" s="15" t="n">
        <f aca="false">1/(1+wacc)^Sens!G12172</f>
        <v>0.884910302296739</v>
      </c>
      <c r="H12174" s="15" t="n">
        <f aca="false">1/(1+wacc)^Sens!H12172</f>
        <v>0.802322009770358</v>
      </c>
      <c r="I12174" s="15" t="n">
        <f aca="false">1/(1+wacc)^Sens!I12172</f>
        <v>0.727441646561469</v>
      </c>
      <c r="J12174" s="15" t="n">
        <f aca="false">1/(1+wacc)^Sens!J12172</f>
        <v>0.659549834988973</v>
      </c>
      <c r="K12174" s="15" t="n">
        <f aca="false">1/(1+wacc)^Sens!K12172</f>
        <v>0.597994336576966</v>
      </c>
    </row>
    <row r="12175" customFormat="false" ht="17.15" hidden="false" customHeight="false" outlineLevel="0" collapsed="false">
      <c r="A12175" s="1" t="s">
        <v>1216</v>
      </c>
      <c r="B12175" s="0" t="s">
        <v>98</v>
      </c>
      <c r="F12175" s="6" t="n">
        <f aca="false">Q!$I$35-Q!$I$39-Q!$I$43</f>
        <v>9.666</v>
      </c>
      <c r="L12175" s="12" t="s">
        <v>1217</v>
      </c>
    </row>
    <row r="12176" customFormat="false" ht="17.15" hidden="false" customHeight="false" outlineLevel="0" collapsed="false">
      <c r="A12176" s="1" t="s">
        <v>1218</v>
      </c>
      <c r="B12176" s="0" t="s">
        <v>98</v>
      </c>
      <c r="F12176" s="6" t="n">
        <f aca="false">Sens!F12147-Sens!F12144-Sens!F12151+Sens!F12129*(1-tax_f)*(1-v_off)-Sens!F12175</f>
        <v>-1.10936012169601</v>
      </c>
      <c r="G12176" s="6" t="n">
        <f aca="false">Sens!G12147-Sens!G12144-Sens!G12151+Sens!G12129*(1-tax_f)</f>
        <v>38.7797597752298</v>
      </c>
      <c r="H12176" s="6" t="n">
        <f aca="false">Sens!H12147-Sens!H12144-Sens!H12151+Sens!H12129*(1-tax_f)</f>
        <v>98.8158910130806</v>
      </c>
      <c r="I12176" s="6" t="n">
        <f aca="false">Sens!I12147-Sens!I12144-Sens!I12151+Sens!I12129*(1-tax_f)</f>
        <v>181.832714798911</v>
      </c>
      <c r="J12176" s="6" t="n">
        <f aca="false">Sens!J12147-Sens!J12144-Sens!J12151+Sens!J12129*(1-tax_f)</f>
        <v>263.666968425592</v>
      </c>
      <c r="K12176" s="6" t="n">
        <f aca="false">Sens!K12147-Sens!K12144-Sens!K12151+Sens!K12129*(1-tax_f)</f>
        <v>304.11627937917</v>
      </c>
      <c r="L12176" s="1" t="s">
        <v>1219</v>
      </c>
    </row>
    <row r="12177" customFormat="false" ht="15" hidden="false" customHeight="false" outlineLevel="0" collapsed="false">
      <c r="A12177" s="1" t="s">
        <v>1220</v>
      </c>
      <c r="B12177" s="0" t="s">
        <v>98</v>
      </c>
      <c r="F12177" s="6" t="n">
        <f aca="false">Sens!F12176*Sens!F12174</f>
        <v>-1.06944834343579</v>
      </c>
      <c r="G12177" s="6" t="n">
        <f aca="false">Sens!G12176*Sens!G12174</f>
        <v>34.3166089456935</v>
      </c>
      <c r="H12177" s="6" t="n">
        <f aca="false">Sens!H12176*Sens!H12174</f>
        <v>79.2821642748635</v>
      </c>
      <c r="I12177" s="6" t="n">
        <f aca="false">Sens!I12176*Sens!I12174</f>
        <v>132.272689452062</v>
      </c>
      <c r="J12177" s="6" t="n">
        <f aca="false">Sens!J12176*Sens!J12174</f>
        <v>173.901505517142</v>
      </c>
      <c r="K12177" s="6" t="n">
        <f aca="false">Sens!K12176*Sens!K12174</f>
        <v>181.859812729602</v>
      </c>
    </row>
    <row r="12178" customFormat="false" ht="17.15" hidden="false" customHeight="false" outlineLevel="0" collapsed="false">
      <c r="A12178" s="1" t="s">
        <v>1221</v>
      </c>
      <c r="B12178" s="0" t="s">
        <v>98</v>
      </c>
      <c r="C12178" s="6" t="n">
        <f aca="false">SUM(Sens!F12177:K12177)</f>
        <v>600.563332575926</v>
      </c>
    </row>
    <row r="12179" customFormat="false" ht="17.15" hidden="false" customHeight="false" outlineLevel="0" collapsed="false">
      <c r="A12179" s="1" t="s">
        <v>1222</v>
      </c>
      <c r="B12179" s="0" t="s">
        <v>98</v>
      </c>
      <c r="C12179" s="6" t="n">
        <f aca="false">Sens!K12115*(1+g_tv)*(1-tax_f)</f>
        <v>317.023236822171</v>
      </c>
    </row>
    <row r="12180" customFormat="false" ht="17.15" hidden="false" customHeight="false" outlineLevel="0" collapsed="false">
      <c r="A12180" s="1" t="s">
        <v>1223</v>
      </c>
      <c r="B12180" s="0" t="s">
        <v>98</v>
      </c>
      <c r="C12180" s="6" t="n">
        <f aca="false">Sens!$C$12179*(1-g_tv/(wacc+ronic_prem))</f>
        <v>224.629492116835</v>
      </c>
    </row>
    <row r="12181" customFormat="false" ht="17.15" hidden="false" customHeight="false" outlineLevel="0" collapsed="false">
      <c r="A12181" s="1" t="s">
        <v>1224</v>
      </c>
      <c r="B12181" s="0" t="s">
        <v>98</v>
      </c>
      <c r="C12181" s="6" t="n">
        <f aca="false">Sens!$C$12180/(wacc-g_tv)</f>
        <v>3079.79149017787</v>
      </c>
    </row>
    <row r="12182" customFormat="false" ht="15" hidden="false" customHeight="false" outlineLevel="0" collapsed="false">
      <c r="A12182" s="1" t="s">
        <v>1225</v>
      </c>
      <c r="B12182" s="0" t="s">
        <v>98</v>
      </c>
      <c r="C12182" s="6" t="n">
        <f aca="false">Sens!$C$12181/(1+wacc)^Sens!K12173</f>
        <v>1753.65078120388</v>
      </c>
    </row>
    <row r="12183" customFormat="false" ht="17.15" hidden="false" customHeight="false" outlineLevel="0" collapsed="false">
      <c r="A12183" s="0" t="s">
        <v>1226</v>
      </c>
      <c r="B12183" s="0" t="s">
        <v>98</v>
      </c>
      <c r="C12183" s="6" t="n">
        <f aca="false">Sens!$C$12178+Sens!$C$12182</f>
        <v>2354.21411377981</v>
      </c>
    </row>
    <row r="12184" customFormat="false" ht="15" hidden="false" customHeight="false" outlineLevel="0" collapsed="false">
      <c r="A12184" s="1" t="s">
        <v>1141</v>
      </c>
      <c r="B12184" s="0" t="s">
        <v>168</v>
      </c>
      <c r="C12184" s="7" t="n">
        <f aca="false">Sens!$C$12182/Sens!$C$12183</f>
        <v>0.744898593097086</v>
      </c>
    </row>
    <row r="12185" customFormat="false" ht="17.15" hidden="false" customHeight="false" outlineLevel="0" collapsed="false">
      <c r="A12185" s="1" t="s">
        <v>1227</v>
      </c>
      <c r="B12185" s="0" t="s">
        <v>98</v>
      </c>
      <c r="C12185" s="6" t="n">
        <f aca="false">Sens!$C$12183+cash_val-debt_val-fl_val+oai_v</f>
        <v>2470.06511377981</v>
      </c>
    </row>
    <row r="12186" customFormat="false" ht="17.15" hidden="false" customHeight="false" outlineLevel="0" collapsed="false">
      <c r="A12186" s="0" t="s">
        <v>1149</v>
      </c>
      <c r="B12186" s="0" t="s">
        <v>75</v>
      </c>
      <c r="C12186" s="5" t="n">
        <f aca="false">Sens!$C$12185/shd_val</f>
        <v>331.730474587672</v>
      </c>
    </row>
    <row r="12187" customFormat="false" ht="15" hidden="false" customHeight="false" outlineLevel="0" collapsed="false">
      <c r="A12187" s="1" t="s">
        <v>1228</v>
      </c>
      <c r="B12187" s="0" t="s">
        <v>75</v>
      </c>
      <c r="C12187" s="8" t="n">
        <f aca="false">div_rem27+Sens!G12155*roll_div_q/q_per_yr</f>
        <v>3.9795</v>
      </c>
    </row>
    <row r="12188" customFormat="false" ht="17.15" hidden="false" customHeight="false" outlineLevel="0" collapsed="false">
      <c r="A12188" s="0" t="s">
        <v>1229</v>
      </c>
      <c r="B12188" s="0" t="s">
        <v>75</v>
      </c>
      <c r="C12188" s="5" t="n">
        <f aca="false">Sens!$C$12186*(1+wacc)^t_roll-Sens!$C$12187</f>
        <v>364.757436628732</v>
      </c>
    </row>
    <row r="12189" customFormat="false" ht="17.15" hidden="false" customHeight="false" outlineLevel="0" collapsed="false">
      <c r="A12189" s="1" t="s">
        <v>1230</v>
      </c>
      <c r="B12189" s="0" t="s">
        <v>168</v>
      </c>
      <c r="F12189" s="7" t="n">
        <f aca="false">Sens!F12141/(Sens!F12086-Sens!F12041)</f>
        <v>0.0685365096917538</v>
      </c>
      <c r="G12189" s="7" t="n">
        <f aca="false">Sens!G12141/(Sens!G12086-Sens!G12041)</f>
        <v>0.0653108125026067</v>
      </c>
      <c r="H12189" s="7" t="n">
        <f aca="false">Sens!H12141/(Sens!H12086-Sens!H12041)</f>
        <v>0.0635833196688246</v>
      </c>
      <c r="I12189" s="7" t="n">
        <f aca="false">Sens!I12141/(Sens!I12086-Sens!I12041)</f>
        <v>0.0632393724353902</v>
      </c>
      <c r="J12189" s="7" t="n">
        <f aca="false">Sens!J12141/(Sens!J12086-Sens!J12041)</f>
        <v>0.0639205904579855</v>
      </c>
      <c r="K12189" s="7" t="n">
        <f aca="false">Sens!K12141/(Sens!K12086-Sens!K12041)</f>
        <v>0.0651692432616129</v>
      </c>
    </row>
    <row r="12190" customFormat="false" ht="17.15" hidden="false" customHeight="false" outlineLevel="0" collapsed="false">
      <c r="A12190" s="0" t="s">
        <v>1231</v>
      </c>
      <c r="B12190" s="0" t="s">
        <v>98</v>
      </c>
      <c r="F12190" s="6" t="n">
        <f aca="false">Sens!F12071*(al_m365+Sens!F12189+sbc_r)</f>
        <v>84.519448534468</v>
      </c>
      <c r="G12190" s="6" t="n">
        <f aca="false">Sens!G12071*(al_m365+Sens!G12189+sbc_r)</f>
        <v>98.9435117912151</v>
      </c>
      <c r="H12190" s="6" t="n">
        <f aca="false">Sens!H12071*(al_m365+Sens!H12189+sbc_r)</f>
        <v>113.530847746105</v>
      </c>
      <c r="I12190" s="6" t="n">
        <f aca="false">Sens!I12071*(al_m365+Sens!I12189+sbc_r)</f>
        <v>126.599133343618</v>
      </c>
      <c r="J12190" s="6" t="n">
        <f aca="false">Sens!J12071*(al_m365+Sens!J12189+sbc_r)</f>
        <v>137.961845895656</v>
      </c>
      <c r="K12190" s="6" t="n">
        <f aca="false">Sens!K12071*(al_m365+Sens!K12189+sbc_r)</f>
        <v>148.941104248341</v>
      </c>
      <c r="L12190" s="12" t="s">
        <v>1232</v>
      </c>
    </row>
    <row r="12191" customFormat="false" ht="17.15" hidden="false" customHeight="false" outlineLevel="0" collapsed="false">
      <c r="A12191" s="0" t="s">
        <v>1233</v>
      </c>
      <c r="B12191" s="0" t="s">
        <v>98</v>
      </c>
      <c r="F12191" s="6" t="n">
        <f aca="false">Sens!F12072*(al_lic+Sens!F12189+sbc_r)</f>
        <v>32.8545775558224</v>
      </c>
      <c r="G12191" s="6" t="n">
        <f aca="false">Sens!G12072*(al_lic+Sens!G12189+sbc_r)</f>
        <v>34.1167193508224</v>
      </c>
      <c r="H12191" s="6" t="n">
        <f aca="false">Sens!H12072*(al_lic+Sens!H12189+sbc_r)</f>
        <v>35.2991305040937</v>
      </c>
      <c r="I12191" s="6" t="n">
        <f aca="false">Sens!I12072*(al_lic+Sens!I12189+sbc_r)</f>
        <v>36.3847679624756</v>
      </c>
      <c r="J12191" s="6" t="n">
        <f aca="false">Sens!J12072*(al_lic+Sens!J12189+sbc_r)</f>
        <v>37.3455954220529</v>
      </c>
      <c r="K12191" s="6" t="n">
        <f aca="false">Sens!K12072*(al_lic+Sens!K12189+sbc_r)</f>
        <v>38.1483796887598</v>
      </c>
    </row>
    <row r="12192" customFormat="false" ht="17.15" hidden="false" customHeight="false" outlineLevel="0" collapsed="false">
      <c r="A12192" s="0" t="s">
        <v>1234</v>
      </c>
      <c r="B12192" s="0" t="s">
        <v>98</v>
      </c>
      <c r="F12192" s="6" t="n">
        <f aca="false">Sens!F12074*(al_ind+Sens!F12189+sbc_r)</f>
        <v>9.05856349153979</v>
      </c>
      <c r="G12192" s="6" t="n">
        <f aca="false">Sens!G12074*(al_ind+Sens!G12189+sbc_r)</f>
        <v>9.82344369586338</v>
      </c>
      <c r="H12192" s="6" t="n">
        <f aca="false">Sens!H12074*(al_ind+Sens!H12189+sbc_r)</f>
        <v>10.6356303992531</v>
      </c>
      <c r="I12192" s="6" t="n">
        <f aca="false">Sens!I12074*(al_ind+Sens!I12189+sbc_r)</f>
        <v>11.4932259734106</v>
      </c>
      <c r="J12192" s="6" t="n">
        <f aca="false">Sens!J12074*(al_ind+Sens!J12189+sbc_r)</f>
        <v>12.3852180054807</v>
      </c>
      <c r="K12192" s="6" t="n">
        <f aca="false">Sens!K12074*(al_ind+Sens!K12189+sbc_r)</f>
        <v>13.2934173670485</v>
      </c>
    </row>
    <row r="12193" customFormat="false" ht="17.15" hidden="false" customHeight="false" outlineLevel="0" collapsed="false">
      <c r="A12193" s="0" t="s">
        <v>1235</v>
      </c>
      <c r="B12193" s="0" t="s">
        <v>98</v>
      </c>
      <c r="F12193" s="6" t="n">
        <f aca="false">Sens!F12076*(al_fro+Sens!F12189+sbc_r)</f>
        <v>3.55330244228728</v>
      </c>
      <c r="G12193" s="6" t="n">
        <f aca="false">Sens!G12076*(al_fro+Sens!G12189+sbc_r)</f>
        <v>3.75873746325008</v>
      </c>
      <c r="H12193" s="6" t="n">
        <f aca="false">Sens!H12076*(al_fro+Sens!H12189+sbc_r)</f>
        <v>3.99417838804732</v>
      </c>
      <c r="I12193" s="6" t="n">
        <f aca="false">Sens!I12076*(al_fro+Sens!I12189+sbc_r)</f>
        <v>4.26269932909226</v>
      </c>
      <c r="J12193" s="6" t="n">
        <f aca="false">Sens!J12076*(al_fro+Sens!J12189+sbc_r)</f>
        <v>4.56488215462409</v>
      </c>
      <c r="K12193" s="6" t="n">
        <f aca="false">Sens!K12076*(al_fro+Sens!K12189+sbc_r)</f>
        <v>4.89962176571751</v>
      </c>
    </row>
    <row r="12194" customFormat="false" ht="17.15" hidden="false" customHeight="false" outlineLevel="0" collapsed="false">
      <c r="A12194" s="0" t="s">
        <v>1236</v>
      </c>
      <c r="B12194" s="0" t="s">
        <v>98</v>
      </c>
      <c r="F12194" s="6" t="n">
        <f aca="false">Sens!F12079*(al_srch+Sens!F12189+sbc_r)</f>
        <v>11.1868013103213</v>
      </c>
      <c r="G12194" s="6" t="n">
        <f aca="false">Sens!G12079*(al_srch+Sens!G12189+sbc_r)</f>
        <v>12.245848391309</v>
      </c>
      <c r="H12194" s="6" t="n">
        <f aca="false">Sens!H12079*(al_srch+Sens!H12189+sbc_r)</f>
        <v>13.3526375051444</v>
      </c>
      <c r="I12194" s="6" t="n">
        <f aca="false">Sens!I12079*(al_srch+Sens!I12189+sbc_r)</f>
        <v>14.4981175923001</v>
      </c>
      <c r="J12194" s="6" t="n">
        <f aca="false">Sens!J12079*(al_srch+Sens!J12189+sbc_r)</f>
        <v>15.6607671271388</v>
      </c>
      <c r="K12194" s="6" t="n">
        <f aca="false">Sens!K12079*(al_srch+Sens!K12189+sbc_r)</f>
        <v>16.809160211559</v>
      </c>
    </row>
    <row r="12195" customFormat="false" ht="17.15" hidden="false" customHeight="false" outlineLevel="0" collapsed="false">
      <c r="A12195" s="0" t="s">
        <v>1237</v>
      </c>
      <c r="B12195" s="0" t="s">
        <v>98</v>
      </c>
      <c r="F12195" s="6" t="n">
        <f aca="false">Sens!F12047-Sens!F12048+Sens!F12129</f>
        <v>45.3782580567763</v>
      </c>
      <c r="G12195" s="6" t="n">
        <f aca="false">Sens!G12047-Sens!G12048+Sens!G12129</f>
        <v>91.0863367558165</v>
      </c>
      <c r="H12195" s="6" t="n">
        <f aca="false">Sens!H12047-Sens!H12048+Sens!H12129</f>
        <v>144.617532464853</v>
      </c>
      <c r="I12195" s="6" t="n">
        <f aca="false">Sens!I12047-Sens!I12048+Sens!I12129</f>
        <v>187.137304561304</v>
      </c>
      <c r="J12195" s="6" t="n">
        <f aca="false">Sens!J12047-Sens!J12048+Sens!J12129</f>
        <v>217.006854425907</v>
      </c>
      <c r="K12195" s="6" t="n">
        <f aca="false">Sens!K12047-Sens!K12048+Sens!K12129</f>
        <v>234.933637903877</v>
      </c>
    </row>
    <row r="12196" customFormat="false" ht="17.15" hidden="false" customHeight="false" outlineLevel="0" collapsed="false">
      <c r="A12196" s="0" t="s">
        <v>1238</v>
      </c>
      <c r="B12196" s="0" t="s">
        <v>98</v>
      </c>
      <c r="F12196" s="6" t="n">
        <f aca="false">Sens!F12108+Sens!F12129+Sens!F12059+Sens!F12189*(Sens!F12078-Sens!F12041)+sbc_r*Sens!F12078</f>
        <v>240.813820094159</v>
      </c>
      <c r="G12196" s="6" t="n">
        <f aca="false">Sens!G12108+Sens!G12129+Sens!G12059+Sens!G12189*(Sens!G12078-Sens!G12041)+sbc_r*Sens!G12078</f>
        <v>311.903202016753</v>
      </c>
      <c r="H12196" s="6" t="n">
        <f aca="false">Sens!H12108+Sens!H12129+Sens!H12059+Sens!H12189*(Sens!H12078-Sens!H12041)+sbc_r*Sens!H12078</f>
        <v>395.457421261137</v>
      </c>
      <c r="I12196" s="6" t="n">
        <f aca="false">Sens!I12108+Sens!I12129+Sens!I12059+Sens!I12189*(Sens!I12078-Sens!I12041)+sbc_r*Sens!I12078</f>
        <v>465.902970923961</v>
      </c>
      <c r="J12196" s="6" t="n">
        <f aca="false">Sens!J12108+Sens!J12129+Sens!J12059+Sens!J12189*(Sens!J12078-Sens!J12041)+sbc_r*Sens!J12078</f>
        <v>520.713614638368</v>
      </c>
      <c r="K12196" s="6" t="n">
        <f aca="false">Sens!K12108+Sens!K12129+Sens!K12059+Sens!K12189*(Sens!K12078-Sens!K12041)+sbc_r*Sens!K12078</f>
        <v>561.140167512594</v>
      </c>
    </row>
    <row r="12197" customFormat="false" ht="17.15" hidden="false" customHeight="false" outlineLevel="0" collapsed="false">
      <c r="A12197" s="0" t="s">
        <v>1239</v>
      </c>
      <c r="B12197" s="0" t="s">
        <v>98</v>
      </c>
      <c r="F12197" s="6" t="n">
        <f aca="false">Sens!F12196-Sens!F12190-Sens!F12191-Sens!F12192-Sens!F12193-Sens!F12195</f>
        <v>65.4496700132658</v>
      </c>
      <c r="G12197" s="6" t="n">
        <f aca="false">Sens!G12196-Sens!G12190-Sens!G12191-Sens!G12192-Sens!G12193-Sens!G12195</f>
        <v>74.1744529597857</v>
      </c>
      <c r="H12197" s="6" t="n">
        <f aca="false">Sens!H12196-Sens!H12190-Sens!H12191-Sens!H12192-Sens!H12193-Sens!H12195</f>
        <v>87.3801017587843</v>
      </c>
      <c r="I12197" s="6" t="n">
        <f aca="false">Sens!I12196-Sens!I12190-Sens!I12191-Sens!I12192-Sens!I12193-Sens!I12195</f>
        <v>100.025839754061</v>
      </c>
      <c r="J12197" s="6" t="n">
        <f aca="false">Sens!J12196-Sens!J12190-Sens!J12191-Sens!J12192-Sens!J12193-Sens!J12195</f>
        <v>111.449218734647</v>
      </c>
      <c r="K12197" s="6" t="n">
        <f aca="false">Sens!K12196-Sens!K12190-Sens!K12191-Sens!K12192-Sens!K12193-Sens!K12195</f>
        <v>120.92400653885</v>
      </c>
    </row>
    <row r="12198" customFormat="false" ht="17.15" hidden="false" customHeight="false" outlineLevel="0" collapsed="false">
      <c r="A12198" s="0" t="s">
        <v>1240</v>
      </c>
      <c r="B12198" s="0" t="s">
        <v>98</v>
      </c>
      <c r="F12198" s="6" t="n">
        <f aca="false">Sens!F12110+Sens!F12189*Sens!F12085+sbc_r*Sens!F12085</f>
        <v>26.6610329604381</v>
      </c>
      <c r="G12198" s="6" t="n">
        <f aca="false">Sens!G12110+Sens!G12189*Sens!G12085+sbc_r*Sens!G12085</f>
        <v>26.5517133167906</v>
      </c>
      <c r="H12198" s="6" t="n">
        <f aca="false">Sens!H12110+Sens!H12189*Sens!H12085+sbc_r*Sens!H12085</f>
        <v>27.5225698109791</v>
      </c>
      <c r="I12198" s="6" t="n">
        <f aca="false">Sens!I12110+Sens!I12189*Sens!I12085+sbc_r*Sens!I12085</f>
        <v>28.7782387291248</v>
      </c>
      <c r="J12198" s="6" t="n">
        <f aca="false">Sens!J12110+Sens!J12189*Sens!J12085+sbc_r*Sens!J12085</f>
        <v>30.2871097192354</v>
      </c>
      <c r="K12198" s="6" t="n">
        <f aca="false">Sens!K12110+Sens!K12189*Sens!K12085+sbc_r*Sens!K12085</f>
        <v>32.0165314935553</v>
      </c>
    </row>
    <row r="12199" customFormat="false" ht="17.15" hidden="false" customHeight="false" outlineLevel="0" collapsed="false">
      <c r="A12199" s="0" t="s">
        <v>1241</v>
      </c>
      <c r="B12199" s="0" t="s">
        <v>98</v>
      </c>
      <c r="F12199" s="6" t="n">
        <f aca="false">(Sens!F12198-Sens!F12194)*Sens!F12081/(Sens!F12081+Sens!F12083)</f>
        <v>8.75451043248138</v>
      </c>
      <c r="G12199" s="6" t="n">
        <f aca="false">(Sens!G12198-Sens!G12194)*Sens!G12081/(Sens!G12081+Sens!G12083)</f>
        <v>7.99131439831022</v>
      </c>
      <c r="H12199" s="6" t="n">
        <f aca="false">(Sens!H12198-Sens!H12194)*Sens!H12081/(Sens!H12081+Sens!H12083)</f>
        <v>7.86657172992392</v>
      </c>
      <c r="I12199" s="6" t="n">
        <f aca="false">(Sens!I12198-Sens!I12194)*Sens!I12081/(Sens!I12081+Sens!I12083)</f>
        <v>7.930283921975</v>
      </c>
      <c r="J12199" s="6" t="n">
        <f aca="false">(Sens!J12198-Sens!J12194)*Sens!J12081/(Sens!J12081+Sens!J12083)</f>
        <v>8.17679553541907</v>
      </c>
      <c r="K12199" s="6" t="n">
        <f aca="false">(Sens!K12198-Sens!K12194)*Sens!K12081/(Sens!K12081+Sens!K12083)</f>
        <v>8.61009309344826</v>
      </c>
    </row>
    <row r="12200" customFormat="false" ht="17.15" hidden="false" customHeight="false" outlineLevel="0" collapsed="false">
      <c r="A12200" s="0" t="s">
        <v>1242</v>
      </c>
      <c r="B12200" s="0" t="s">
        <v>98</v>
      </c>
      <c r="F12200" s="6" t="n">
        <f aca="false">Sens!F12198-Sens!F12194-Sens!F12199</f>
        <v>6.71972121763543</v>
      </c>
      <c r="G12200" s="6" t="n">
        <f aca="false">Sens!G12198-Sens!G12194-Sens!G12199</f>
        <v>6.31455052717136</v>
      </c>
      <c r="H12200" s="6" t="n">
        <f aca="false">Sens!H12198-Sens!H12194-Sens!H12199</f>
        <v>6.30336057591074</v>
      </c>
      <c r="I12200" s="6" t="n">
        <f aca="false">Sens!I12198-Sens!I12194-Sens!I12199</f>
        <v>6.34983721484962</v>
      </c>
      <c r="J12200" s="6" t="n">
        <f aca="false">Sens!J12198-Sens!J12194-Sens!J12199</f>
        <v>6.44954705667746</v>
      </c>
      <c r="K12200" s="6" t="n">
        <f aca="false">Sens!K12198-Sens!K12194-Sens!K12199</f>
        <v>6.59727818854809</v>
      </c>
    </row>
    <row r="12201" customFormat="false" ht="17.15" hidden="false" customHeight="false" outlineLevel="0" collapsed="false">
      <c r="A12201" s="0" t="s">
        <v>1243</v>
      </c>
      <c r="B12201" s="0" t="s">
        <v>98</v>
      </c>
      <c r="F12201" s="6" t="n">
        <f aca="false">Sens!F12195-tax_f*(Sens!F12195-Sens!F12059)-Sens!F12056</f>
        <v>-125.235434701028</v>
      </c>
      <c r="G12201" s="6" t="n">
        <f aca="false">Sens!G12195-tax_f*(Sens!G12195-Sens!G12059)-Sens!G12056</f>
        <v>-106.928508113935</v>
      </c>
      <c r="H12201" s="6" t="n">
        <f aca="false">Sens!H12195-tax_f*(Sens!H12195-Sens!H12059)-Sens!H12056</f>
        <v>-63.2919599603405</v>
      </c>
      <c r="I12201" s="6" t="n">
        <f aca="false">Sens!I12195-tax_f*(Sens!I12195-Sens!I12059)-Sens!I12056</f>
        <v>3.94121196634245</v>
      </c>
      <c r="J12201" s="6" t="n">
        <f aca="false">Sens!J12195-tax_f*(Sens!J12195-Sens!J12059)-Sens!J12056</f>
        <v>71.0786869547042</v>
      </c>
      <c r="K12201" s="6" t="n">
        <f aca="false">Sens!K12195-tax_f*(Sens!K12195-Sens!K12059)-Sens!K12056</f>
        <v>97.5865911685559</v>
      </c>
    </row>
    <row r="12202" customFormat="false" ht="17.15" hidden="false" customHeight="false" outlineLevel="0" collapsed="false">
      <c r="A12202" s="0" t="s">
        <v>1244</v>
      </c>
      <c r="B12202" s="0" t="s">
        <v>98</v>
      </c>
      <c r="G12202" s="6" t="n">
        <f aca="false">Sens!G12201/(1+wacc)^(Sens!G12172-Sens!F12173)</f>
        <v>-101.81651667568</v>
      </c>
      <c r="H12202" s="6" t="n">
        <f aca="false">Sens!H12201/(1+wacc)^(Sens!H12172-Sens!F12173)</f>
        <v>-54.6415143556151</v>
      </c>
      <c r="I12202" s="6" t="n">
        <f aca="false">Sens!I12201/(1+wacc)^(Sens!I12172-Sens!F12173)</f>
        <v>3.08498765169516</v>
      </c>
      <c r="J12202" s="6" t="n">
        <f aca="false">Sens!J12201/(1+wacc)^(Sens!J12172-Sens!F12173)</f>
        <v>50.4443451596971</v>
      </c>
      <c r="K12202" s="6" t="n">
        <f aca="false">Sens!K12201/(1+wacc)^(Sens!K12172-Sens!F12173)</f>
        <v>62.7932114544856</v>
      </c>
      <c r="L12202" s="1" t="s">
        <v>1245</v>
      </c>
    </row>
    <row r="12203" customFormat="false" ht="17.15" hidden="false" customHeight="false" outlineLevel="0" collapsed="false">
      <c r="A12203" s="0" t="s">
        <v>1246</v>
      </c>
      <c r="B12203" s="0" t="s">
        <v>98</v>
      </c>
      <c r="C12203" s="6" t="n">
        <f aca="false">(Sens!K12195-Sens!K12059)*(1-tax_f)*(1+g_tv)*(1-g_tv/(wacc+ronic_prem))/(wacc-g_tv)/(1+wacc)^(Sens!K12173-Sens!F12173)</f>
        <v>450.836735002813</v>
      </c>
    </row>
    <row r="12204" customFormat="false" ht="17.15" hidden="false" customHeight="false" outlineLevel="0" collapsed="false">
      <c r="A12204" s="1" t="s">
        <v>1247</v>
      </c>
      <c r="B12204" s="0" t="s">
        <v>98</v>
      </c>
      <c r="C12204" s="6" t="n">
        <f aca="false">(SUM(Sens!G12202:K12202)+Sens!$C$12203)*(1+wacc)^(t_roll-Sens!F12173)</f>
        <v>424.259738494477</v>
      </c>
      <c r="L12204" s="12" t="s">
        <v>1248</v>
      </c>
    </row>
    <row r="12205" customFormat="false" ht="17.15" hidden="false" customHeight="false" outlineLevel="0" collapsed="false">
      <c r="A12205" s="1" t="s">
        <v>1249</v>
      </c>
      <c r="B12205" s="0" t="s">
        <v>98</v>
      </c>
      <c r="C12205" s="6" t="n">
        <f aca="false">(w_ntm28*Sens!G12047+(1-w_ntm28)*Sens!H12047)*m_ai</f>
        <v>563.316843258668</v>
      </c>
    </row>
    <row r="12206" customFormat="false" ht="17.15" hidden="false" customHeight="false" outlineLevel="0" collapsed="false">
      <c r="A12206" s="1" t="s">
        <v>1250</v>
      </c>
      <c r="B12206" s="0" t="s">
        <v>98</v>
      </c>
      <c r="C12206" s="6" t="n">
        <f aca="false">(w_ntm28*Sens!G12197+(1-w_ntm28)*Sens!H12197)*m_cloud</f>
        <v>1085.09161926933</v>
      </c>
    </row>
    <row r="12207" customFormat="false" ht="17.15" hidden="false" customHeight="false" outlineLevel="0" collapsed="false">
      <c r="A12207" s="1" t="s">
        <v>1251</v>
      </c>
      <c r="B12207" s="0" t="s">
        <v>98</v>
      </c>
      <c r="C12207" s="6" t="n">
        <f aca="false">(w_ntm28*Sens!G12190+(1-w_ntm28)*Sens!H12190)*m_sw</f>
        <v>1120.38496131098</v>
      </c>
    </row>
    <row r="12208" customFormat="false" ht="17.15" hidden="false" customHeight="false" outlineLevel="0" collapsed="false">
      <c r="A12208" s="1" t="s">
        <v>1252</v>
      </c>
      <c r="B12208" s="0" t="s">
        <v>98</v>
      </c>
      <c r="C12208" s="6" t="n">
        <f aca="false">(w_ntm28*Sens!G12191+(1-w_ntm28)*Sens!H12191)*m_sw</f>
        <v>372.658938453648</v>
      </c>
    </row>
    <row r="12209" customFormat="false" ht="17.15" hidden="false" customHeight="false" outlineLevel="0" collapsed="false">
      <c r="A12209" s="1" t="s">
        <v>1253</v>
      </c>
      <c r="B12209" s="0" t="s">
        <v>98</v>
      </c>
      <c r="C12209" s="6" t="n">
        <f aca="false">(w_ntm28*Sens!G12192+(1-w_ntm28)*Sens!H12192)*m_sw</f>
        <v>108.977011004621</v>
      </c>
    </row>
    <row r="12210" customFormat="false" ht="17.15" hidden="false" customHeight="false" outlineLevel="0" collapsed="false">
      <c r="A12210" s="1" t="s">
        <v>1254</v>
      </c>
      <c r="B12210" s="0" t="s">
        <v>98</v>
      </c>
      <c r="C12210" s="6" t="n">
        <f aca="false">(w_ntm28*Sens!G12193+(1-w_ntm28)*Sens!H12193)*m_sw</f>
        <v>41.4303411470385</v>
      </c>
    </row>
    <row r="12211" customFormat="false" ht="17.15" hidden="false" customHeight="false" outlineLevel="0" collapsed="false">
      <c r="A12211" s="1" t="s">
        <v>1255</v>
      </c>
      <c r="B12211" s="0" t="s">
        <v>98</v>
      </c>
      <c r="C12211" s="6" t="n">
        <f aca="false">(w_ntm28*Sens!G12194+(1-w_ntm28)*Sens!H12194)*m_ads</f>
        <v>114.874588048236</v>
      </c>
    </row>
    <row r="12212" customFormat="false" ht="17.15" hidden="false" customHeight="false" outlineLevel="0" collapsed="false">
      <c r="A12212" s="1" t="s">
        <v>1256</v>
      </c>
      <c r="B12212" s="0" t="s">
        <v>98</v>
      </c>
      <c r="C12212" s="6" t="n">
        <f aca="false">(w_ntm28*Sens!G12199+(1-w_ntm28)*Sens!H12199)*m_game</f>
        <v>100.41232828023</v>
      </c>
    </row>
    <row r="12213" customFormat="false" ht="17.15" hidden="false" customHeight="false" outlineLevel="0" collapsed="false">
      <c r="A12213" s="1" t="s">
        <v>1257</v>
      </c>
      <c r="B12213" s="0" t="s">
        <v>98</v>
      </c>
      <c r="C12213" s="6" t="n">
        <f aca="false">(w_ntm28*Sens!G12200+(1-w_ntm28)*Sens!H12200)*m_pc</f>
        <v>91.3183126175698</v>
      </c>
    </row>
    <row r="12214" customFormat="false" ht="17.15" hidden="false" customHeight="false" outlineLevel="0" collapsed="false">
      <c r="A12214" s="1" t="s">
        <v>1258</v>
      </c>
      <c r="B12214" s="0" t="s">
        <v>98</v>
      </c>
      <c r="C12214" s="6" t="n">
        <f aca="false">Sens!$C$12204+Sens!$C$12206+Sens!$C$12207+Sens!$C$12208+Sens!$C$12209+Sens!$C$12210+Sens!$C$12211+Sens!$C$12212+Sens!$C$12213</f>
        <v>3459.40783862613</v>
      </c>
    </row>
    <row r="12215" customFormat="false" ht="17.15" hidden="false" customHeight="false" outlineLevel="0" collapsed="false">
      <c r="A12215" s="1" t="s">
        <v>1259</v>
      </c>
      <c r="B12215" s="0" t="s">
        <v>98</v>
      </c>
      <c r="C12215" s="6" t="n">
        <f aca="false">(Sens!G12176-Sens!G12201)*t_stub</f>
        <v>48.303288807093</v>
      </c>
      <c r="L12215" s="1" t="s">
        <v>1260</v>
      </c>
    </row>
    <row r="12216" customFormat="false" ht="17.15" hidden="false" customHeight="false" outlineLevel="0" collapsed="false">
      <c r="A12216" s="1" t="s">
        <v>1169</v>
      </c>
      <c r="B12216" s="0" t="s">
        <v>98</v>
      </c>
      <c r="C12216" s="6" t="n">
        <f aca="false">Sens!F12163+oai_v-Sens!F12152+Sens!$C$12215</f>
        <v>162.531558807093</v>
      </c>
      <c r="L12216" s="1" t="s">
        <v>1261</v>
      </c>
    </row>
    <row r="12217" customFormat="false" ht="17.15" hidden="false" customHeight="false" outlineLevel="0" collapsed="false">
      <c r="A12217" s="1" t="s">
        <v>1262</v>
      </c>
      <c r="B12217" s="0" t="s">
        <v>75</v>
      </c>
      <c r="C12217" s="5" t="n">
        <f aca="false">(Sens!$C$12214+Sens!$C$12216)/(Sens!F12165+dil_gap)-Sens!G12155*roll_div_q/q_per_yr</f>
        <v>482.516010961936</v>
      </c>
      <c r="L12217" s="1" t="s">
        <v>1263</v>
      </c>
    </row>
    <row r="12218" customFormat="false" ht="17.15" hidden="false" customHeight="false" outlineLevel="0" collapsed="false">
      <c r="A12218" s="1" t="s">
        <v>1264</v>
      </c>
      <c r="B12218" s="0" t="s">
        <v>75</v>
      </c>
      <c r="C12218" s="5" t="n">
        <f aca="false">w_dcf*Sens!$C$12188+(1-w_dcf)*Sens!$C$12217</f>
        <v>423.636723795334</v>
      </c>
    </row>
    <row r="12219" customFormat="false" ht="17.15" hidden="false" customHeight="false" outlineLevel="0" collapsed="false">
      <c r="A12219" s="3" t="s">
        <v>1785</v>
      </c>
    </row>
    <row r="12220" customFormat="false" ht="15" hidden="false" customHeight="false" outlineLevel="0" collapsed="false">
      <c r="A12220" s="4" t="s">
        <v>43</v>
      </c>
      <c r="B12220" s="4" t="s">
        <v>65</v>
      </c>
      <c r="C12220" s="23" t="s">
        <v>938</v>
      </c>
      <c r="D12220" s="23" t="s">
        <v>939</v>
      </c>
      <c r="E12220" s="23" t="s">
        <v>940</v>
      </c>
      <c r="F12220" s="23" t="s">
        <v>941</v>
      </c>
      <c r="G12220" s="23" t="s">
        <v>942</v>
      </c>
      <c r="H12220" s="23" t="s">
        <v>943</v>
      </c>
      <c r="I12220" s="23" t="s">
        <v>944</v>
      </c>
      <c r="J12220" s="23" t="s">
        <v>945</v>
      </c>
      <c r="K12220" s="23" t="s">
        <v>946</v>
      </c>
      <c r="L12220" s="4" t="s">
        <v>47</v>
      </c>
    </row>
    <row r="12221" customFormat="false" ht="17.15" hidden="false" customHeight="false" outlineLevel="0" collapsed="false">
      <c r="A12221" s="1" t="s">
        <v>947</v>
      </c>
      <c r="B12221" s="1" t="s">
        <v>279</v>
      </c>
      <c r="C12221" s="21" t="n">
        <v>2024</v>
      </c>
      <c r="D12221" s="21" t="n">
        <v>2025</v>
      </c>
      <c r="E12221" s="21" t="n">
        <v>2026</v>
      </c>
      <c r="F12221" s="21" t="n">
        <v>2027</v>
      </c>
      <c r="G12221" s="21" t="n">
        <v>2028</v>
      </c>
      <c r="H12221" s="21" t="n">
        <v>2029</v>
      </c>
      <c r="I12221" s="21" t="n">
        <v>2030</v>
      </c>
      <c r="J12221" s="21" t="n">
        <v>2031</v>
      </c>
      <c r="K12221" s="21" t="n">
        <v>2032</v>
      </c>
    </row>
    <row r="12222" customFormat="false" ht="17.15" hidden="false" customHeight="false" outlineLevel="0" collapsed="false">
      <c r="A12222" s="1" t="s">
        <v>948</v>
      </c>
      <c r="B12222" s="0" t="s">
        <v>456</v>
      </c>
      <c r="F12222" s="30" t="n">
        <f aca="false">pace</f>
        <v>2726.5351</v>
      </c>
      <c r="G12222" s="30" t="n">
        <f aca="false">pace</f>
        <v>2726.5351</v>
      </c>
      <c r="H12222" s="30" t="n">
        <f aca="false">pace</f>
        <v>2726.5351</v>
      </c>
      <c r="I12222" s="30" t="n">
        <f aca="false">pace+(g_tv*Sens!H12223-pace)*MIN(1,(Sens!I12221-pace_y0)/(pace_y1-pace_y0))</f>
        <v>1931.98611966667</v>
      </c>
      <c r="J12222" s="30" t="n">
        <f aca="false">pace+(g_tv*Sens!I12223-pace)*MIN(1,(Sens!J12221-pace_y0)/(pace_y1-pace_y0))</f>
        <v>1176.07686172667</v>
      </c>
      <c r="K12222" s="30" t="n">
        <f aca="false">pace+(g_tv*Sens!J12223-pace)*MIN(1,(Sens!K12221-pace_y0)/(pace_y1-pace_y0))</f>
        <v>436.1300484418</v>
      </c>
      <c r="L12222" s="12" t="s">
        <v>949</v>
      </c>
    </row>
    <row r="12223" customFormat="false" ht="17.15" hidden="false" customHeight="false" outlineLevel="0" collapsed="false">
      <c r="A12223" s="1" t="s">
        <v>950</v>
      </c>
      <c r="B12223" s="0" t="s">
        <v>456</v>
      </c>
      <c r="C12223" s="30" t="n">
        <f aca="false">mw_ext_24</f>
        <v>640</v>
      </c>
      <c r="D12223" s="30" t="n">
        <f aca="false">mw_ext_25</f>
        <v>1630</v>
      </c>
      <c r="E12223" s="30" t="n">
        <f aca="false">mw_ext_26</f>
        <v>3250</v>
      </c>
      <c r="F12223" s="30" t="n">
        <f aca="false">Sens!E12223+Sens!F12222</f>
        <v>5976.5351</v>
      </c>
      <c r="G12223" s="30" t="n">
        <f aca="false">Sens!F12223+Sens!G12222</f>
        <v>8703.0702</v>
      </c>
      <c r="H12223" s="30" t="n">
        <f aca="false">Sens!G12223+Sens!H12222</f>
        <v>11429.6053</v>
      </c>
      <c r="I12223" s="30" t="n">
        <f aca="false">Sens!H12223+Sens!I12222</f>
        <v>13361.5914196667</v>
      </c>
      <c r="J12223" s="30" t="n">
        <f aca="false">Sens!I12223+Sens!J12222</f>
        <v>14537.6682813933</v>
      </c>
      <c r="K12223" s="30" t="n">
        <f aca="false">Sens!J12223+Sens!K12222</f>
        <v>14973.7983298351</v>
      </c>
      <c r="L12223" s="1" t="s">
        <v>951</v>
      </c>
    </row>
    <row r="12224" customFormat="false" ht="17.15" hidden="false" customHeight="false" outlineLevel="0" collapsed="false">
      <c r="A12224" s="1" t="s">
        <v>952</v>
      </c>
      <c r="B12224" s="0" t="s">
        <v>456</v>
      </c>
      <c r="C12224" s="30" t="n">
        <f aca="false">rent_ext_24</f>
        <v>150</v>
      </c>
      <c r="D12224" s="30" t="n">
        <f aca="false">rent_ext_25</f>
        <v>400</v>
      </c>
      <c r="E12224" s="30" t="n">
        <f aca="false">rent_ext_26</f>
        <v>550</v>
      </c>
      <c r="F12224" s="30" t="n">
        <f aca="false">rent_ext_f</f>
        <v>756</v>
      </c>
      <c r="G12224" s="30" t="n">
        <f aca="false">rent_ext_f</f>
        <v>756</v>
      </c>
      <c r="H12224" s="30" t="n">
        <f aca="false">rent_ext_f</f>
        <v>756</v>
      </c>
      <c r="I12224" s="30" t="n">
        <f aca="false">rent_ext_f</f>
        <v>756</v>
      </c>
      <c r="J12224" s="30" t="n">
        <f aca="false">rent_ext_f</f>
        <v>756</v>
      </c>
      <c r="K12224" s="30" t="n">
        <f aca="false">rent_ext_f</f>
        <v>756</v>
      </c>
      <c r="L12224" s="1" t="s">
        <v>953</v>
      </c>
    </row>
    <row r="12225" customFormat="false" ht="17.15" hidden="false" customHeight="false" outlineLevel="0" collapsed="false">
      <c r="A12225" s="1" t="s">
        <v>954</v>
      </c>
      <c r="B12225" s="0" t="s">
        <v>456</v>
      </c>
      <c r="C12225" s="30" t="n">
        <f aca="false">Sens!C12223-Sens!C12224</f>
        <v>490</v>
      </c>
      <c r="D12225" s="30" t="n">
        <f aca="false">Sens!D12223-Sens!D12224</f>
        <v>1230</v>
      </c>
      <c r="E12225" s="30" t="n">
        <f aca="false">Sens!E12223-Sens!E12224</f>
        <v>2700</v>
      </c>
      <c r="F12225" s="30" t="n">
        <f aca="false">Sens!F12223-Sens!F12224</f>
        <v>5220.5351</v>
      </c>
      <c r="G12225" s="30" t="n">
        <f aca="false">Sens!G12223-Sens!G12224</f>
        <v>7947.0702</v>
      </c>
      <c r="H12225" s="30" t="n">
        <f aca="false">Sens!H12223-Sens!H12224</f>
        <v>10673.6053</v>
      </c>
      <c r="I12225" s="30" t="n">
        <f aca="false">Sens!I12223-Sens!I12224</f>
        <v>12605.5914196667</v>
      </c>
      <c r="J12225" s="30" t="n">
        <f aca="false">Sens!J12223-Sens!J12224</f>
        <v>13781.6682813933</v>
      </c>
      <c r="K12225" s="30" t="n">
        <f aca="false">Sens!K12223-Sens!K12224</f>
        <v>14217.7983298351</v>
      </c>
    </row>
    <row r="12226" customFormat="false" ht="17.15" hidden="false" customHeight="false" outlineLevel="0" collapsed="false">
      <c r="A12226" s="1" t="s">
        <v>955</v>
      </c>
      <c r="B12226" s="0" t="s">
        <v>456</v>
      </c>
      <c r="C12226" s="30" t="n">
        <f aca="false">Sens!C12225/ext_sh</f>
        <v>816.666666666667</v>
      </c>
      <c r="D12226" s="30" t="n">
        <f aca="false">Sens!D12225/ext_sh</f>
        <v>2050</v>
      </c>
      <c r="E12226" s="30" t="n">
        <f aca="false">Sens!E12225/ext_sh</f>
        <v>4500</v>
      </c>
      <c r="F12226" s="30" t="n">
        <f aca="false">Sens!F12225/ext_sh</f>
        <v>8700.89183333333</v>
      </c>
      <c r="G12226" s="30" t="n">
        <f aca="false">Sens!G12225/ext_sh</f>
        <v>13245.117</v>
      </c>
      <c r="H12226" s="30" t="n">
        <f aca="false">Sens!H12225/ext_sh</f>
        <v>17789.3421666667</v>
      </c>
      <c r="I12226" s="30" t="n">
        <f aca="false">Sens!I12225/ext_sh</f>
        <v>21009.3190327778</v>
      </c>
      <c r="J12226" s="30" t="n">
        <f aca="false">Sens!J12225/ext_sh</f>
        <v>22969.4471356556</v>
      </c>
      <c r="K12226" s="30" t="n">
        <f aca="false">Sens!K12225/ext_sh</f>
        <v>23696.3305497252</v>
      </c>
      <c r="L12226" s="1" t="s">
        <v>956</v>
      </c>
    </row>
    <row r="12227" customFormat="false" ht="17.15" hidden="false" customHeight="false" outlineLevel="0" collapsed="false">
      <c r="A12227" s="1" t="s">
        <v>957</v>
      </c>
      <c r="B12227" s="0" t="s">
        <v>456</v>
      </c>
      <c r="C12227" s="30" t="n">
        <f aca="false">Sens!C12226-Sens!C12225</f>
        <v>326.666666666667</v>
      </c>
      <c r="D12227" s="30" t="n">
        <f aca="false">Sens!D12226-Sens!D12225</f>
        <v>820</v>
      </c>
      <c r="E12227" s="30" t="n">
        <f aca="false">Sens!E12226-Sens!E12225</f>
        <v>1800</v>
      </c>
      <c r="F12227" s="30" t="n">
        <f aca="false">Sens!F12226-Sens!F12225</f>
        <v>3480.35673333333</v>
      </c>
      <c r="G12227" s="30" t="n">
        <f aca="false">Sens!G12226-Sens!G12225</f>
        <v>5298.0468</v>
      </c>
      <c r="H12227" s="30" t="n">
        <f aca="false">Sens!H12226-Sens!H12225</f>
        <v>7115.73686666667</v>
      </c>
      <c r="I12227" s="30" t="n">
        <f aca="false">Sens!I12226-Sens!I12225</f>
        <v>8403.72761311111</v>
      </c>
      <c r="J12227" s="30" t="n">
        <f aca="false">Sens!J12226-Sens!J12225</f>
        <v>9187.77885426222</v>
      </c>
      <c r="K12227" s="30" t="n">
        <f aca="false">Sens!K12226-Sens!K12225</f>
        <v>9478.53221989009</v>
      </c>
    </row>
    <row r="12228" customFormat="false" ht="17.15" hidden="false" customHeight="false" outlineLevel="0" collapsed="false">
      <c r="A12228" s="1" t="s">
        <v>958</v>
      </c>
      <c r="B12228" s="0" t="s">
        <v>456</v>
      </c>
      <c r="C12228" s="30" t="n">
        <f aca="false">Sens!C12226</f>
        <v>816.666666666667</v>
      </c>
      <c r="D12228" s="30" t="n">
        <f aca="false">Sens!D12226-Sens!C12226</f>
        <v>1233.33333333333</v>
      </c>
      <c r="E12228" s="30" t="n">
        <f aca="false">Sens!E12226-Sens!D12226</f>
        <v>2450</v>
      </c>
      <c r="F12228" s="30" t="n">
        <f aca="false">Sens!F12226-Sens!E12226</f>
        <v>4200.89183333333</v>
      </c>
      <c r="G12228" s="30" t="n">
        <f aca="false">Sens!G12226-Sens!F12226</f>
        <v>4544.22516666667</v>
      </c>
      <c r="H12228" s="30" t="n">
        <f aca="false">Sens!H12226-Sens!G12226</f>
        <v>4544.22516666667</v>
      </c>
      <c r="I12228" s="30" t="n">
        <f aca="false">Sens!I12226-Sens!H12226</f>
        <v>3219.97686611111</v>
      </c>
      <c r="J12228" s="30" t="n">
        <f aca="false">Sens!J12226-Sens!I12226</f>
        <v>1960.12810287778</v>
      </c>
      <c r="K12228" s="30" t="n">
        <f aca="false">Sens!K12226-Sens!J12226</f>
        <v>726.883414069667</v>
      </c>
    </row>
    <row r="12229" customFormat="false" ht="17.15" hidden="false" customHeight="false" outlineLevel="0" collapsed="false">
      <c r="A12229" s="1" t="s">
        <v>959</v>
      </c>
      <c r="B12229" s="0" t="s">
        <v>456</v>
      </c>
      <c r="D12229" s="30" t="n">
        <f aca="false">Sens!D12223-Sens!C12223</f>
        <v>990</v>
      </c>
      <c r="E12229" s="30" t="n">
        <f aca="false">Sens!E12223-Sens!D12223</f>
        <v>1620</v>
      </c>
      <c r="F12229" s="30" t="n">
        <f aca="false">Sens!F12223-Sens!E12223</f>
        <v>2726.5351</v>
      </c>
      <c r="G12229" s="30" t="n">
        <f aca="false">Sens!G12223-Sens!F12223</f>
        <v>2726.5351</v>
      </c>
      <c r="H12229" s="30" t="n">
        <f aca="false">Sens!H12223-Sens!G12223</f>
        <v>2726.5351</v>
      </c>
      <c r="I12229" s="30" t="n">
        <f aca="false">Sens!I12223-Sens!H12223</f>
        <v>1931.98611966667</v>
      </c>
      <c r="J12229" s="30" t="n">
        <f aca="false">Sens!J12223-Sens!I12223</f>
        <v>1176.07686172667</v>
      </c>
      <c r="K12229" s="30" t="n">
        <f aca="false">Sens!K12223-Sens!J12223</f>
        <v>436.130048441799</v>
      </c>
    </row>
    <row r="12230" customFormat="false" ht="17.15" hidden="false" customHeight="false" outlineLevel="0" collapsed="false">
      <c r="A12230" s="1" t="s">
        <v>960</v>
      </c>
      <c r="B12230" s="0" t="s">
        <v>456</v>
      </c>
      <c r="F12230" s="30" t="n">
        <f aca="false">Sens!F12249*ext_sh</f>
        <v>0</v>
      </c>
      <c r="G12230" s="30" t="n">
        <f aca="false">Sens!G12249*ext_sh</f>
        <v>0</v>
      </c>
      <c r="H12230" s="30" t="n">
        <f aca="false">Sens!H12249*ext_sh</f>
        <v>0</v>
      </c>
      <c r="I12230" s="30" t="n">
        <f aca="false">Sens!I12249*ext_sh</f>
        <v>490</v>
      </c>
      <c r="J12230" s="30" t="n">
        <f aca="false">Sens!J12249*ext_sh</f>
        <v>740</v>
      </c>
      <c r="K12230" s="30" t="n">
        <f aca="false">Sens!K12249*ext_sh</f>
        <v>1470</v>
      </c>
      <c r="L12230" s="1" t="s">
        <v>961</v>
      </c>
    </row>
    <row r="12231" customFormat="false" ht="17.15" hidden="false" customHeight="false" outlineLevel="0" collapsed="false">
      <c r="A12231" s="1" t="s">
        <v>962</v>
      </c>
      <c r="B12231" s="0" t="s">
        <v>456</v>
      </c>
      <c r="C12231" s="30" t="n">
        <f aca="false">mix_h*Sens!C12223</f>
        <v>128</v>
      </c>
      <c r="D12231" s="30" t="n">
        <f aca="false">mix_h*Sens!D12223</f>
        <v>326</v>
      </c>
      <c r="E12231" s="30" t="n">
        <f aca="false">mix_h*Sens!E12223</f>
        <v>650</v>
      </c>
      <c r="F12231" s="30" t="n">
        <f aca="false">Sens!E12231-Sens!F12230*mix_h</f>
        <v>650</v>
      </c>
      <c r="G12231" s="30" t="n">
        <f aca="false">Sens!F12231-Sens!G12230*mix_h</f>
        <v>650</v>
      </c>
      <c r="H12231" s="30" t="n">
        <f aca="false">Sens!G12231-Sens!H12230*mix_h</f>
        <v>650</v>
      </c>
      <c r="I12231" s="30" t="n">
        <f aca="false">Sens!H12231-Sens!I12230*mix_h</f>
        <v>552</v>
      </c>
      <c r="J12231" s="30" t="n">
        <f aca="false">Sens!I12231-Sens!J12230*mix_h</f>
        <v>404</v>
      </c>
      <c r="K12231" s="30" t="n">
        <f aca="false">Sens!J12231-Sens!K12230*mix_h</f>
        <v>110</v>
      </c>
    </row>
    <row r="12232" customFormat="false" ht="17.15" hidden="false" customHeight="false" outlineLevel="0" collapsed="false">
      <c r="A12232" s="1" t="s">
        <v>963</v>
      </c>
      <c r="B12232" s="0" t="s">
        <v>456</v>
      </c>
      <c r="C12232" s="30" t="n">
        <f aca="false">mix_g2*Sens!C12223</f>
        <v>288</v>
      </c>
      <c r="D12232" s="30" t="n">
        <f aca="false">mix_g2*Sens!D12223</f>
        <v>733.5</v>
      </c>
      <c r="E12232" s="30" t="n">
        <f aca="false">mix_g2*Sens!E12223</f>
        <v>1462.5</v>
      </c>
      <c r="F12232" s="30" t="n">
        <f aca="false">Sens!E12232-Sens!F12230*mix_g2</f>
        <v>1462.5</v>
      </c>
      <c r="G12232" s="30" t="n">
        <f aca="false">Sens!F12232-Sens!G12230*mix_g2</f>
        <v>1462.5</v>
      </c>
      <c r="H12232" s="30" t="n">
        <f aca="false">Sens!G12232-Sens!H12230*mix_g2</f>
        <v>1462.5</v>
      </c>
      <c r="I12232" s="30" t="n">
        <f aca="false">Sens!H12232-Sens!I12230*mix_g2</f>
        <v>1242</v>
      </c>
      <c r="J12232" s="30" t="n">
        <f aca="false">Sens!I12232-Sens!J12230*mix_g2</f>
        <v>909</v>
      </c>
      <c r="K12232" s="30" t="n">
        <f aca="false">Sens!J12232-Sens!K12230*mix_g2</f>
        <v>247.5</v>
      </c>
    </row>
    <row r="12233" customFormat="false" ht="17.15" hidden="false" customHeight="false" outlineLevel="0" collapsed="false">
      <c r="A12233" s="1" t="s">
        <v>964</v>
      </c>
      <c r="B12233" s="0" t="s">
        <v>456</v>
      </c>
      <c r="C12233" s="30" t="n">
        <f aca="false">mix_g3*Sens!C12223</f>
        <v>224</v>
      </c>
      <c r="D12233" s="30" t="n">
        <f aca="false">mix_g3*Sens!D12223</f>
        <v>570.5</v>
      </c>
      <c r="E12233" s="30" t="n">
        <f aca="false">mix_g3*Sens!E12223</f>
        <v>1137.5</v>
      </c>
      <c r="F12233" s="30" t="n">
        <f aca="false">Sens!E12233+(Sens!F12229+Sens!F12230)*(a_g3_27-nonnv*a_mai)-Sens!F12230*mix_g3</f>
        <v>2773.42106</v>
      </c>
      <c r="G12233" s="30" t="n">
        <f aca="false">Sens!F12233+(Sens!G12229+Sens!G12230)*(a_g3_28-nonnv*a_mai)-Sens!G12230*mix_g3</f>
        <v>3318.72808</v>
      </c>
      <c r="H12233" s="30" t="n">
        <f aca="false">Sens!G12233+(Sens!H12229+Sens!H12230)*(a_g3_29-nonnv*a_mai)-Sens!H12230*mix_g3</f>
        <v>3318.72808</v>
      </c>
      <c r="I12233" s="30" t="n">
        <f aca="false">Sens!H12233+(Sens!I12229+Sens!I12230)*(a_g3_29-nonnv*a_mai)-Sens!I12230*mix_g3</f>
        <v>3147.22808</v>
      </c>
      <c r="J12233" s="30" t="n">
        <f aca="false">Sens!I12233+(Sens!J12229+Sens!J12230)*(a_g3_29-nonnv*a_mai)-Sens!J12230*mix_g3</f>
        <v>2888.22808</v>
      </c>
      <c r="K12233" s="30" t="n">
        <f aca="false">Sens!J12233+(Sens!K12229+Sens!K12230)*(a_g3_29-nonnv*a_mai)-Sens!K12230*mix_g3</f>
        <v>2373.72808</v>
      </c>
    </row>
    <row r="12234" customFormat="false" ht="17.15" hidden="false" customHeight="false" outlineLevel="0" collapsed="false">
      <c r="A12234" s="1" t="s">
        <v>965</v>
      </c>
      <c r="B12234" s="0" t="s">
        <v>456</v>
      </c>
      <c r="C12234" s="30" t="n">
        <v>0</v>
      </c>
      <c r="D12234" s="30" t="n">
        <v>0</v>
      </c>
      <c r="E12234" s="30" t="n">
        <v>0</v>
      </c>
      <c r="F12234" s="30" t="n">
        <f aca="false">Sens!E12234+(Sens!F12229+Sens!F12230)*nonnv*a_mai</f>
        <v>272.65351</v>
      </c>
      <c r="G12234" s="30" t="n">
        <f aca="false">Sens!F12234+(Sens!G12229+Sens!G12230)*nonnv*a_mai</f>
        <v>545.30702</v>
      </c>
      <c r="H12234" s="30" t="n">
        <f aca="false">Sens!G12234+(Sens!H12229+Sens!H12230)*nonnv*a_mai</f>
        <v>817.96053</v>
      </c>
      <c r="I12234" s="30" t="n">
        <f aca="false">Sens!H12234+(Sens!I12229+Sens!I12230)*nonnv*a_mai</f>
        <v>1060.15914196667</v>
      </c>
      <c r="J12234" s="30" t="n">
        <f aca="false">Sens!I12234+(Sens!J12229+Sens!J12230)*nonnv*a_mai</f>
        <v>1251.76682813933</v>
      </c>
      <c r="K12234" s="30" t="n">
        <f aca="false">Sens!J12234+(Sens!K12229+Sens!K12230)*nonnv*a_mai</f>
        <v>1442.37983298351</v>
      </c>
      <c r="L12234" s="12" t="s">
        <v>966</v>
      </c>
    </row>
    <row r="12235" customFormat="false" ht="17.15" hidden="false" customHeight="false" outlineLevel="0" collapsed="false">
      <c r="A12235" s="1" t="s">
        <v>967</v>
      </c>
      <c r="B12235" s="0" t="s">
        <v>456</v>
      </c>
      <c r="C12235" s="30" t="n">
        <v>0</v>
      </c>
      <c r="D12235" s="30" t="n">
        <v>0</v>
      </c>
      <c r="E12235" s="30" t="n">
        <v>0</v>
      </c>
      <c r="F12235" s="30" t="n">
        <f aca="false">Sens!E12235+(Sens!F12229+Sens!F12230)*(1-a_g3_27)</f>
        <v>817.96053</v>
      </c>
      <c r="G12235" s="30" t="n">
        <f aca="false">Sens!F12235+(Sens!G12229+Sens!G12230)*(1-a_g3_28)</f>
        <v>2726.5351</v>
      </c>
      <c r="H12235" s="30" t="n">
        <f aca="false">Sens!G12235+(Sens!H12229+Sens!H12230)*(1-a_g3_29)</f>
        <v>5180.41669</v>
      </c>
      <c r="I12235" s="30" t="n">
        <f aca="false">Sens!H12235+(Sens!I12229+Sens!I12230)*(1-a_g3_29)</f>
        <v>7360.2041977</v>
      </c>
      <c r="J12235" s="30" t="n">
        <f aca="false">Sens!I12235+(Sens!J12229+Sens!J12230)*(1-a_g3_29)</f>
        <v>9084.673373254</v>
      </c>
      <c r="K12235" s="30" t="n">
        <f aca="false">Sens!J12235+(Sens!K12229+Sens!K12230)*(1-a_g3_29)</f>
        <v>10800.1904168516</v>
      </c>
    </row>
    <row r="12236" customFormat="false" ht="17.15" hidden="false" customHeight="false" outlineLevel="0" collapsed="false">
      <c r="A12236" s="1" t="s">
        <v>968</v>
      </c>
      <c r="B12236" s="0" t="s">
        <v>403</v>
      </c>
      <c r="C12236" s="15" t="n">
        <f aca="false">(Sens!C12231*tk_hold_h100+Sens!C12232*tk_hold_gb200+Sens!C12233*tk_hold_gb300+Sens!C12235*tk_hold_vr200+Sens!C12234*nv_hold_mai*tk_hold_vr200)/Sens!C12223</f>
        <v>9.7235358126469</v>
      </c>
      <c r="D12236" s="15" t="n">
        <f aca="false">(Sens!D12231*tk_hold_h100+Sens!D12232*tk_hold_gb200+Sens!D12233*tk_hold_gb300+Sens!D12235*tk_hold_vr200+Sens!D12234*nv_hold_mai*tk_hold_vr200)/Sens!D12223</f>
        <v>9.7235358126469</v>
      </c>
      <c r="E12236" s="15" t="n">
        <f aca="false">(Sens!E12231*tk_hold_h100+Sens!E12232*tk_hold_gb200+Sens!E12233*tk_hold_gb300+Sens!E12235*tk_hold_vr200+Sens!E12234*nv_hold_mai*tk_hold_vr200)/Sens!E12223</f>
        <v>9.7235358126469</v>
      </c>
      <c r="F12236" s="15" t="n">
        <f aca="false">(Sens!F12231*tk_hold_h100+Sens!F12232*tk_hold_gb200+Sens!F12233*tk_hold_gb300+Sens!F12235*tk_hold_vr200+Sens!F12234*nv_hold_mai*tk_hold_vr200)/Sens!F12223</f>
        <v>10.2195353876665</v>
      </c>
      <c r="G12236" s="15" t="n">
        <f aca="false">(Sens!G12231*tk_hold_h100+Sens!G12232*tk_hold_gb200+Sens!G12233*tk_hold_gb300+Sens!G12235*tk_hold_vr200+Sens!G12234*nv_hold_mai*tk_hold_vr200)/Sens!G12223</f>
        <v>10.5725598017306</v>
      </c>
      <c r="H12236" s="15" t="n">
        <f aca="false">(Sens!H12231*tk_hold_h100+Sens!H12232*tk_hold_gb200+Sens!H12233*tk_hold_gb300+Sens!H12235*tk_hold_vr200+Sens!H12234*nv_hold_mai*tk_hold_vr200)/Sens!H12223</f>
        <v>10.8210427149036</v>
      </c>
      <c r="I12236" s="15" t="n">
        <f aca="false">(Sens!I12231*tk_hold_h100+Sens!I12232*tk_hold_gb200+Sens!I12233*tk_hold_gb300+Sens!I12235*tk_hold_vr200+Sens!I12234*nv_hold_mai*tk_hold_vr200)/Sens!I12223</f>
        <v>11.0050618241982</v>
      </c>
      <c r="J12236" s="15" t="n">
        <f aca="false">(Sens!J12231*tk_hold_h100+Sens!J12232*tk_hold_gb200+Sens!J12233*tk_hold_gb300+Sens!J12235*tk_hold_vr200+Sens!J12234*nv_hold_mai*tk_hold_vr200)/Sens!J12223</f>
        <v>11.1505789658881</v>
      </c>
      <c r="K12236" s="15" t="n">
        <f aca="false">(Sens!K12231*tk_hold_h100+Sens!K12232*tk_hold_gb200+Sens!K12233*tk_hold_gb300+Sens!K12235*tk_hold_vr200+Sens!K12234*nv_hold_mai*tk_hold_vr200)/Sens!K12223</f>
        <v>11.3496914757183</v>
      </c>
      <c r="L12236" s="1" t="s">
        <v>969</v>
      </c>
    </row>
    <row r="12237" customFormat="false" ht="17.15" hidden="false" customHeight="false" outlineLevel="0" collapsed="false">
      <c r="A12237" s="1" t="s">
        <v>970</v>
      </c>
      <c r="B12237" s="0" t="s">
        <v>403</v>
      </c>
      <c r="C12237" s="15" t="n">
        <f aca="false">(Sens!C12231*tk_hold_h100+Sens!C12232*tk_hold_gb200+Sens!C12233*tk_hold_gb300+Sens!C12235*tk_hold_vr200+Sens!C12234*nv_out_mai*tk_hold_vr200)/Sens!C12223</f>
        <v>9.7235358126469</v>
      </c>
      <c r="D12237" s="15" t="n">
        <f aca="false">(Sens!D12231*tk_hold_h100+Sens!D12232*tk_hold_gb200+Sens!D12233*tk_hold_gb300+Sens!D12235*tk_hold_vr200+Sens!D12234*nv_out_mai*tk_hold_vr200)/Sens!D12223</f>
        <v>9.7235358126469</v>
      </c>
      <c r="E12237" s="15" t="n">
        <f aca="false">(Sens!E12231*tk_hold_h100+Sens!E12232*tk_hold_gb200+Sens!E12233*tk_hold_gb300+Sens!E12235*tk_hold_vr200+Sens!E12234*nv_out_mai*tk_hold_vr200)/Sens!E12223</f>
        <v>9.7235358126469</v>
      </c>
      <c r="F12237" s="15" t="n">
        <f aca="false">(Sens!F12231*tk_hold_h100+Sens!F12232*tk_hold_gb200+Sens!F12233*tk_hold_gb300+Sens!F12235*tk_hold_vr200+Sens!F12234*nv_out_mai*tk_hold_vr200)/Sens!F12223</f>
        <v>10.247422093969</v>
      </c>
      <c r="G12237" s="15" t="n">
        <f aca="false">(Sens!G12231*tk_hold_h100+Sens!G12232*tk_hold_gb200+Sens!G12233*tk_hold_gb300+Sens!G12235*tk_hold_vr200+Sens!G12234*nv_out_mai*tk_hold_vr200)/Sens!G12223</f>
        <v>10.6108602808053</v>
      </c>
      <c r="H12237" s="15" t="n">
        <f aca="false">(Sens!H12231*tk_hold_h100+Sens!H12232*tk_hold_gb200+Sens!H12233*tk_hold_gb300+Sens!H12235*tk_hold_vr200+Sens!H12234*nv_out_mai*tk_hold_vr200)/Sens!H12223</f>
        <v>10.8647885507393</v>
      </c>
      <c r="I12237" s="15" t="n">
        <f aca="false">(Sens!I12231*tk_hold_h100+Sens!I12232*tk_hold_gb200+Sens!I12233*tk_hold_gb300+Sens!I12235*tk_hold_vr200+Sens!I12234*nv_out_mai*tk_hold_vr200)/Sens!I12223</f>
        <v>11.0535625770025</v>
      </c>
      <c r="J12237" s="15" t="n">
        <f aca="false">(Sens!J12231*tk_hold_h100+Sens!J12232*tk_hold_gb200+Sens!J12233*tk_hold_gb300+Sens!J12235*tk_hold_vr200+Sens!J12234*nv_out_mai*tk_hold_vr200)/Sens!J12223</f>
        <v>11.2032127128058</v>
      </c>
      <c r="K12237" s="15" t="n">
        <f aca="false">(Sens!K12231*tk_hold_h100+Sens!K12232*tk_hold_gb200+Sens!K12233*tk_hold_gb300+Sens!K12235*tk_hold_vr200+Sens!K12234*nv_out_mai*tk_hold_vr200)/Sens!K12223</f>
        <v>11.4085735724225</v>
      </c>
      <c r="L12237" s="12" t="s">
        <v>971</v>
      </c>
    </row>
    <row r="12238" customFormat="false" ht="17.15" hidden="false" customHeight="false" outlineLevel="0" collapsed="false">
      <c r="A12238" s="0" t="s">
        <v>972</v>
      </c>
      <c r="B12238" s="0" t="s">
        <v>229</v>
      </c>
      <c r="C12238" s="15" t="n">
        <f aca="false">k_B</f>
        <v>1.17213932619116</v>
      </c>
      <c r="D12238" s="15" t="n">
        <f aca="false">k_B</f>
        <v>1.17213932619116</v>
      </c>
      <c r="E12238" s="15" t="n">
        <f aca="false">k_B</f>
        <v>1.17213932619116</v>
      </c>
      <c r="F12238" s="15" t="n">
        <f aca="false">(k_B+((ls_B*k_long+(1-ls_B)*k_spot)-k_B)*MIN(1,(Sens!F12221-base_fy)/k_ramp))</f>
        <v>1.17213932619116</v>
      </c>
      <c r="G12238" s="15" t="n">
        <f aca="false">(k_B+((ls_B*k_long+(1-ls_B)*k_spot)-k_B)*MIN(1,(Sens!G12221-base_fy)/k_ramp))</f>
        <v>1.17213932619116</v>
      </c>
      <c r="H12238" s="15" t="n">
        <f aca="false">(k_B+((ls_B*k_long+(1-ls_B)*k_spot)-k_B)*MIN(1,(Sens!H12221-base_fy)/k_ramp))</f>
        <v>1.17213932619116</v>
      </c>
      <c r="I12238" s="15" t="n">
        <f aca="false">(k_B+((ls_B*k_long+(1-ls_B)*k_spot)-k_B)*MIN(1,(Sens!I12221-base_fy)/k_ramp))</f>
        <v>1.17213932619116</v>
      </c>
      <c r="J12238" s="15" t="n">
        <f aca="false">(k_B+((ls_B*k_long+(1-ls_B)*k_spot)-k_B)*MIN(1,(Sens!J12221-base_fy)/k_ramp))</f>
        <v>1.17213932619116</v>
      </c>
      <c r="K12238" s="15" t="n">
        <f aca="false">(k_B+((ls_B*k_long+(1-ls_B)*k_spot)-k_B)*MIN(1,(Sens!K12221-base_fy)/k_ramp))</f>
        <v>1.17213932619116</v>
      </c>
      <c r="L12238" s="1" t="s">
        <v>973</v>
      </c>
    </row>
    <row r="12239" customFormat="false" ht="17.15" hidden="false" customHeight="false" outlineLevel="0" collapsed="false">
      <c r="A12239" s="1" t="s">
        <v>974</v>
      </c>
      <c r="B12239" s="0" t="s">
        <v>403</v>
      </c>
      <c r="C12239" s="15" t="n">
        <f aca="false">Sens!C12237*Sens!C12238*chip_f</f>
        <v>11.3973387156315</v>
      </c>
      <c r="D12239" s="15" t="n">
        <f aca="false">Sens!D12237*Sens!D12238*chip_f</f>
        <v>11.3973387156315</v>
      </c>
      <c r="E12239" s="15" t="n">
        <f aca="false">Sens!E12237*Sens!E12238*chip_f</f>
        <v>11.3973387156315</v>
      </c>
      <c r="F12239" s="15" t="n">
        <f aca="false">Sens!F12237*Sens!F12238*chip_f</f>
        <v>12.0114064284211</v>
      </c>
      <c r="G12239" s="15" t="n">
        <f aca="false">Sens!G12237*Sens!G12238*chip_f</f>
        <v>12.4374066198516</v>
      </c>
      <c r="H12239" s="15" t="n">
        <f aca="false">Sens!H12237*Sens!H12238*chip_f</f>
        <v>12.735045931073</v>
      </c>
      <c r="I12239" s="15" t="n">
        <f aca="false">Sens!I12237*Sens!I12238*chip_f</f>
        <v>12.9563153910195</v>
      </c>
      <c r="J12239" s="15" t="n">
        <f aca="false">Sens!J12237*Sens!J12238*chip_f</f>
        <v>13.1317262003643</v>
      </c>
      <c r="K12239" s="15" t="n">
        <f aca="false">Sens!K12237*Sens!K12238*chip_f</f>
        <v>13.3724377399815</v>
      </c>
      <c r="L12239" s="1" t="s">
        <v>975</v>
      </c>
    </row>
    <row r="12240" customFormat="false" ht="17.15" hidden="false" customHeight="false" outlineLevel="0" collapsed="false">
      <c r="A12240" s="0" t="s">
        <v>976</v>
      </c>
      <c r="B12240" s="0" t="s">
        <v>98</v>
      </c>
      <c r="D12240" s="6" t="n">
        <f aca="false">(Sens!C12223+Sens!D12223)/2*Sens!D12239/1000</f>
        <v>12.9359794422418</v>
      </c>
      <c r="E12240" s="6" t="n">
        <f aca="false">(Sens!D12223+Sens!E12223)/2*Sens!E12239/1000</f>
        <v>27.8095064661409</v>
      </c>
      <c r="F12240" s="6" t="n">
        <f aca="false">(Sens!E12223+Sens!F12223)/2*Sens!F12239/1000</f>
        <v>55.4118315060966</v>
      </c>
      <c r="G12240" s="6" t="n">
        <f aca="false">(Sens!F12223+Sens!G12223)/2*Sens!G12239/1000</f>
        <v>91.2881100675143</v>
      </c>
      <c r="H12240" s="6" t="n">
        <f aca="false">(Sens!G12223+Sens!H12223)/2*Sens!H12239/1000</f>
        <v>128.195273603944</v>
      </c>
      <c r="I12240" s="6" t="n">
        <f aca="false">(Sens!H12223+Sens!I12223)/2*Sens!I12239/1000</f>
        <v>160.601281810405</v>
      </c>
      <c r="J12240" s="6" t="n">
        <f aca="false">(Sens!I12223+Sens!J12223)/2*Sens!J12239/1000</f>
        <v>183.182719793589</v>
      </c>
      <c r="K12240" s="6" t="n">
        <f aca="false">(Sens!J12223+Sens!K12223)/2*Sens!K12239/1000</f>
        <v>197.320124937098</v>
      </c>
      <c r="L12240" s="12" t="s">
        <v>977</v>
      </c>
    </row>
    <row r="12241" customFormat="false" ht="17.15" hidden="false" customHeight="false" outlineLevel="0" collapsed="false">
      <c r="A12241" s="1" t="s">
        <v>978</v>
      </c>
      <c r="B12241" s="0" t="s">
        <v>403</v>
      </c>
      <c r="C12241" s="15" t="n">
        <f aca="false">(Sens!C12231*tk_opex_h100+Sens!C12232*tk_opex_gb200+Sens!C12233*tk_opex_gb300+(Sens!C12235+Sens!C12234)*tk_opex_vr200)/Sens!C12223</f>
        <v>1.88636041306092</v>
      </c>
      <c r="D12241" s="15" t="n">
        <f aca="false">(Sens!D12231*tk_opex_h100+Sens!D12232*tk_opex_gb200+Sens!D12233*tk_opex_gb300+(Sens!D12235+Sens!D12234)*tk_opex_vr200)/Sens!D12223</f>
        <v>1.88636041306092</v>
      </c>
      <c r="E12241" s="15" t="n">
        <f aca="false">(Sens!E12231*tk_opex_h100+Sens!E12232*tk_opex_gb200+Sens!E12233*tk_opex_gb300+(Sens!E12235+Sens!E12234)*tk_opex_vr200)/Sens!E12223</f>
        <v>1.88636041306092</v>
      </c>
      <c r="F12241" s="15" t="n">
        <f aca="false">(Sens!F12231*tk_opex_h100+Sens!F12232*tk_opex_gb200+Sens!F12233*tk_opex_gb300+(Sens!F12235+Sens!F12234)*tk_opex_vr200)/Sens!F12223</f>
        <v>1.95051159746876</v>
      </c>
      <c r="G12241" s="15" t="n">
        <f aca="false">(Sens!G12231*tk_opex_h100+Sens!G12232*tk_opex_gb200+Sens!G12233*tk_opex_gb300+(Sens!G12235+Sens!G12234)*tk_opex_vr200)/Sens!G12223</f>
        <v>1.98836003669956</v>
      </c>
      <c r="H12241" s="15" t="n">
        <f aca="false">(Sens!H12231*tk_opex_h100+Sens!H12232*tk_opex_gb200+Sens!H12233*tk_opex_gb300+(Sens!H12235+Sens!H12234)*tk_opex_vr200)/Sens!H12223</f>
        <v>2.01344013834343</v>
      </c>
      <c r="I12241" s="15" t="n">
        <f aca="false">(Sens!I12231*tk_opex_h100+Sens!I12232*tk_opex_gb200+Sens!I12233*tk_opex_gb300+(Sens!I12235+Sens!I12234)*tk_opex_vr200)/Sens!I12223</f>
        <v>2.03261166882178</v>
      </c>
      <c r="J12241" s="15" t="n">
        <f aca="false">(Sens!J12231*tk_opex_h100+Sens!J12232*tk_opex_gb200+Sens!J12233*tk_opex_gb300+(Sens!J12235+Sens!J12234)*tk_opex_vr200)/Sens!J12223</f>
        <v>2.04808073288745</v>
      </c>
      <c r="K12241" s="15" t="n">
        <f aca="false">(Sens!K12231*tk_opex_h100+Sens!K12232*tk_opex_gb200+Sens!K12233*tk_opex_gb300+(Sens!K12235+Sens!K12234)*tk_opex_vr200)/Sens!K12223</f>
        <v>2.06973825807449</v>
      </c>
      <c r="L12241" s="12" t="s">
        <v>979</v>
      </c>
    </row>
    <row r="12242" customFormat="false" ht="17.15" hidden="false" customHeight="false" outlineLevel="0" collapsed="false">
      <c r="A12242" s="0" t="s">
        <v>980</v>
      </c>
      <c r="B12242" s="0" t="s">
        <v>98</v>
      </c>
      <c r="D12242" s="6" t="n">
        <f aca="false">(Sens!C12226+Sens!D12226)/2*Sens!D12241/1000</f>
        <v>2.70378325872065</v>
      </c>
      <c r="E12242" s="6" t="n">
        <f aca="false">(Sens!D12226+Sens!E12226)/2*Sens!E12241/1000</f>
        <v>6.17783035277451</v>
      </c>
      <c r="F12242" s="6" t="n">
        <f aca="false">(Sens!E12226+Sens!F12226)/2*Sens!F12241/1000</f>
        <v>12.8742463089237</v>
      </c>
      <c r="G12242" s="6" t="n">
        <f aca="false">(Sens!F12226+Sens!G12226)/2*Sens!G12241/1000</f>
        <v>21.8182834646277</v>
      </c>
      <c r="H12242" s="6" t="n">
        <f aca="false">(Sens!G12226+Sens!H12226)/2*Sens!H12241/1000</f>
        <v>31.2430128789734</v>
      </c>
      <c r="I12242" s="6" t="n">
        <f aca="false">(Sens!H12226+Sens!I12226)/2*Sens!I12241/1000</f>
        <v>39.4313057443268</v>
      </c>
      <c r="J12242" s="6" t="n">
        <f aca="false">(Sens!I12226+Sens!J12226)/2*Sens!J12241/1000</f>
        <v>45.0360318228653</v>
      </c>
      <c r="K12242" s="6" t="n">
        <f aca="false">(Sens!J12226+Sens!K12226)/2*Sens!K12241/1000</f>
        <v>48.2929727091156</v>
      </c>
    </row>
    <row r="12243" customFormat="false" ht="17.15" hidden="false" customHeight="false" outlineLevel="0" collapsed="false">
      <c r="A12243" s="0" t="s">
        <v>981</v>
      </c>
      <c r="B12243" s="0" t="s">
        <v>98</v>
      </c>
      <c r="D12243" s="6" t="n">
        <f aca="false">(Sens!C12224+Sens!D12224)/2*rent_mw/1000</f>
        <v>2.44475</v>
      </c>
      <c r="E12243" s="6" t="n">
        <f aca="false">(Sens!D12224+Sens!E12224)/2*rent_mw/1000</f>
        <v>4.22275</v>
      </c>
      <c r="F12243" s="6" t="n">
        <f aca="false">(Sens!E12224+Sens!F12224)/2*rent_mw/1000</f>
        <v>5.80517</v>
      </c>
      <c r="G12243" s="6" t="n">
        <f aca="false">(Sens!F12224+Sens!G12224)/2*rent_mw/1000</f>
        <v>6.72084</v>
      </c>
      <c r="H12243" s="6" t="n">
        <f aca="false">(Sens!G12224+Sens!H12224)/2*rent_mw/1000</f>
        <v>6.72084</v>
      </c>
      <c r="I12243" s="6" t="n">
        <f aca="false">(Sens!H12224+Sens!I12224)/2*rent_mw/1000</f>
        <v>6.72084</v>
      </c>
      <c r="J12243" s="6" t="n">
        <f aca="false">(Sens!I12224+Sens!J12224)/2*rent_mw/1000</f>
        <v>6.72084</v>
      </c>
      <c r="K12243" s="6" t="n">
        <f aca="false">(Sens!J12224+Sens!K12224)/2*rent_mw/1000</f>
        <v>6.72084</v>
      </c>
    </row>
    <row r="12244" customFormat="false" ht="17.15" hidden="false" customHeight="false" outlineLevel="0" collapsed="false">
      <c r="A12244" s="0" t="s">
        <v>982</v>
      </c>
      <c r="B12244" s="0" t="s">
        <v>98</v>
      </c>
      <c r="D12244" s="6" t="n">
        <f aca="false">(Sens!C12226+Sens!D12226)/2*(1-self_build)*fac_rent/1000</f>
        <v>0.853242375631075</v>
      </c>
      <c r="E12244" s="6" t="n">
        <f aca="false">(Sens!D12226+Sens!E12226)/2*(1-self_build)*fac_rent/1000</f>
        <v>1.94955961408728</v>
      </c>
      <c r="F12244" s="6" t="n">
        <f aca="false">(Sens!E12226+Sens!F12226)/2*(1-self_build)*fac_rent/1000</f>
        <v>3.92914894476356</v>
      </c>
      <c r="G12244" s="6" t="n">
        <f aca="false">(Sens!F12226+Sens!G12226)/2*(1-self_build)*fac_rent/1000</f>
        <v>6.53206908578159</v>
      </c>
      <c r="H12244" s="6" t="n">
        <f aca="false">(Sens!G12226+Sens!H12226)/2*(1-self_build)*fac_rent/1000</f>
        <v>9.23717988341591</v>
      </c>
      <c r="I12244" s="6" t="n">
        <f aca="false">(Sens!H12226+Sens!I12226)/2*(1-self_build)*fac_rent/1000</f>
        <v>11.5481378557393</v>
      </c>
      <c r="J12244" s="6" t="n">
        <f aca="false">(Sens!I12226+Sens!J12226)/2*(1-self_build)*fac_rent/1000</f>
        <v>13.0899582289108</v>
      </c>
      <c r="K12244" s="6" t="n">
        <f aca="false">(Sens!J12226+Sens!K12226)/2*(1-self_build)*fac_rent/1000</f>
        <v>13.8897275626556</v>
      </c>
      <c r="L12244" s="12" t="s">
        <v>983</v>
      </c>
    </row>
    <row r="12245" customFormat="false" ht="17.15" hidden="false" customHeight="false" outlineLevel="0" collapsed="false">
      <c r="A12245" s="1" t="s">
        <v>984</v>
      </c>
      <c r="B12245" s="0" t="s">
        <v>168</v>
      </c>
      <c r="D12245" s="7" t="n">
        <f aca="false">(Sens!C12225+Sens!D12225)/(Sens!C12226+Sens!D12226)</f>
        <v>0.6</v>
      </c>
      <c r="E12245" s="7" t="n">
        <f aca="false">(Sens!D12225+Sens!E12225)/(Sens!D12226+Sens!E12226)</f>
        <v>0.6</v>
      </c>
      <c r="F12245" s="7" t="n">
        <f aca="false">(Sens!E12225+Sens!F12225)/(Sens!E12226+Sens!F12226)</f>
        <v>0.6</v>
      </c>
      <c r="G12245" s="7" t="n">
        <f aca="false">(Sens!F12225+Sens!G12225)/(Sens!F12226+Sens!G12226)</f>
        <v>0.6</v>
      </c>
      <c r="H12245" s="7" t="n">
        <f aca="false">(Sens!G12225+Sens!H12225)/(Sens!G12226+Sens!H12226)</f>
        <v>0.6</v>
      </c>
      <c r="I12245" s="7" t="n">
        <f aca="false">(Sens!H12225+Sens!I12225)/(Sens!H12226+Sens!I12226)</f>
        <v>0.6</v>
      </c>
      <c r="J12245" s="7" t="n">
        <f aca="false">(Sens!I12225+Sens!J12225)/(Sens!I12226+Sens!J12226)</f>
        <v>0.6</v>
      </c>
      <c r="K12245" s="7" t="n">
        <f aca="false">(Sens!J12225+Sens!K12225)/(Sens!J12226+Sens!K12226)</f>
        <v>0.6</v>
      </c>
    </row>
    <row r="12246" customFormat="false" ht="17.15" hidden="false" customHeight="false" outlineLevel="0" collapsed="false">
      <c r="A12246" s="0" t="s">
        <v>985</v>
      </c>
      <c r="B12246" s="0" t="s">
        <v>98</v>
      </c>
      <c r="D12246" s="6" t="n">
        <f aca="false">Sens!D12240-Sens!D12245*(Sens!D12242+Sens!D12244)-Sens!D12243</f>
        <v>8.35701406163072</v>
      </c>
      <c r="E12246" s="6" t="n">
        <f aca="false">Sens!E12240-Sens!E12245*(Sens!E12242+Sens!E12244)-Sens!E12243</f>
        <v>18.7103224860238</v>
      </c>
      <c r="F12246" s="6" t="n">
        <f aca="false">Sens!F12240-Sens!F12245*(Sens!F12242+Sens!F12244)-Sens!F12243</f>
        <v>39.5246243538843</v>
      </c>
      <c r="G12246" s="6" t="n">
        <f aca="false">Sens!G12240-Sens!G12245*(Sens!G12242+Sens!G12244)-Sens!G12243</f>
        <v>67.5570585372687</v>
      </c>
      <c r="H12246" s="6" t="n">
        <f aca="false">Sens!H12240-Sens!H12245*(Sens!H12242+Sens!H12244)-Sens!H12243</f>
        <v>97.1863179465102</v>
      </c>
      <c r="I12246" s="6" t="n">
        <f aca="false">Sens!I12240-Sens!I12245*(Sens!I12242+Sens!I12244)-Sens!I12243</f>
        <v>123.292775650365</v>
      </c>
      <c r="J12246" s="6" t="n">
        <f aca="false">Sens!J12240-Sens!J12245*(Sens!J12242+Sens!J12244)-Sens!J12243</f>
        <v>141.586285762524</v>
      </c>
      <c r="K12246" s="6" t="n">
        <f aca="false">Sens!K12240-Sens!K12245*(Sens!K12242+Sens!K12244)-Sens!K12243</f>
        <v>153.289664774035</v>
      </c>
    </row>
    <row r="12247" customFormat="false" ht="17.15" hidden="false" customHeight="false" outlineLevel="0" collapsed="false">
      <c r="A12247" s="1" t="s">
        <v>986</v>
      </c>
      <c r="B12247" s="0" t="s">
        <v>98</v>
      </c>
      <c r="D12247" s="6" t="n">
        <f aca="false">(1-Sens!D12245)*(Sens!D12242+Sens!D12244)</f>
        <v>1.42281025374069</v>
      </c>
      <c r="E12247" s="6" t="n">
        <f aca="false">(1-Sens!E12245)*(Sens!E12242+Sens!E12244)</f>
        <v>3.25095598674472</v>
      </c>
      <c r="F12247" s="6" t="n">
        <f aca="false">(1-Sens!F12245)*(Sens!F12242+Sens!F12244)</f>
        <v>6.72135810147489</v>
      </c>
      <c r="G12247" s="6" t="n">
        <f aca="false">(1-Sens!G12245)*(Sens!G12242+Sens!G12244)</f>
        <v>11.3401410201637</v>
      </c>
      <c r="H12247" s="6" t="n">
        <f aca="false">(1-Sens!H12245)*(Sens!H12242+Sens!H12244)</f>
        <v>16.1920771049557</v>
      </c>
      <c r="I12247" s="6" t="n">
        <f aca="false">(1-Sens!I12245)*(Sens!I12242+Sens!I12244)</f>
        <v>20.3917774400264</v>
      </c>
      <c r="J12247" s="6" t="n">
        <f aca="false">(1-Sens!J12245)*(Sens!J12242+Sens!J12244)</f>
        <v>23.2503960207104</v>
      </c>
      <c r="K12247" s="6" t="n">
        <f aca="false">(1-Sens!K12245)*(Sens!K12242+Sens!K12244)</f>
        <v>24.8730801087085</v>
      </c>
    </row>
    <row r="12248" customFormat="false" ht="17.15" hidden="false" customHeight="false" outlineLevel="0" collapsed="false">
      <c r="A12248" s="1" t="s">
        <v>987</v>
      </c>
      <c r="B12248" s="0" t="s">
        <v>414</v>
      </c>
      <c r="C12248" s="8" t="n">
        <f aca="false">cxit_open</f>
        <v>27.5918995</v>
      </c>
      <c r="D12248" s="8" t="n">
        <f aca="false">cxit_open</f>
        <v>27.5918995</v>
      </c>
      <c r="E12248" s="8" t="n">
        <f aca="false">cxit_open</f>
        <v>27.5918995</v>
      </c>
      <c r="F12248" s="8" t="n">
        <f aca="false">((a_g3_27-nonnv*a_mai)*tk_cxit_gb300+nonnv*a_mai*nv_hold_mai*tk_cxit_vr200+(1-a_g3_27)*tk_cxit_vr200)</f>
        <v>32.4975576</v>
      </c>
      <c r="G12248" s="8" t="n">
        <f aca="false">((a_g3_28-nonnv*a_mai)*tk_cxit_gb300+nonnv*a_mai*nv_hold_mai*tk_cxit_vr200+(1-a_g3_28)*tk_cxit_vr200)</f>
        <v>34.6372088</v>
      </c>
      <c r="H12248" s="8" t="n">
        <f aca="false">((a_g3_29-nonnv*a_mai)*tk_cxit_gb300+nonnv*a_mai*nv_hold_mai*tk_cxit_vr200+(1-a_g3_29)*tk_cxit_vr200)</f>
        <v>35.7070344</v>
      </c>
      <c r="I12248" s="8" t="n">
        <f aca="false">((a_g3_29-nonnv*a_mai)*tk_cxit_gb300+nonnv*a_mai*nv_hold_mai*tk_cxit_vr200+(1-a_g3_29)*tk_cxit_vr200)</f>
        <v>35.7070344</v>
      </c>
      <c r="J12248" s="8" t="n">
        <f aca="false">((a_g3_29-nonnv*a_mai)*tk_cxit_gb300+nonnv*a_mai*nv_hold_mai*tk_cxit_vr200+(1-a_g3_29)*tk_cxit_vr200)</f>
        <v>35.7070344</v>
      </c>
      <c r="K12248" s="8" t="n">
        <f aca="false">((a_g3_29-nonnv*a_mai)*tk_cxit_gb300+nonnv*a_mai*nv_hold_mai*tk_cxit_vr200+(1-a_g3_29)*tk_cxit_vr200)</f>
        <v>35.7070344</v>
      </c>
      <c r="L12248" s="12" t="s">
        <v>988</v>
      </c>
    </row>
    <row r="12249" customFormat="false" ht="17.15" hidden="false" customHeight="false" outlineLevel="0" collapsed="false">
      <c r="A12249" s="0" t="s">
        <v>989</v>
      </c>
      <c r="B12249" s="0" t="s">
        <v>456</v>
      </c>
      <c r="F12249" s="30" t="n">
        <f aca="false">Sens!C12228*IF(Sens!F12221-Sens!C12221=life_it,1,0)+Sens!D12228*IF(Sens!F12221-Sens!D12221=life_it,1,0)+Sens!E12228*IF(Sens!F12221-Sens!E12221=life_it,1,0)</f>
        <v>0</v>
      </c>
      <c r="G12249" s="30" t="n">
        <f aca="false">Sens!C12228*IF(Sens!G12221-Sens!C12221=life_it,1,0)+Sens!D12228*IF(Sens!G12221-Sens!D12221=life_it,1,0)+Sens!E12228*IF(Sens!G12221-Sens!E12221=life_it,1,0)+Sens!F12228*IF(Sens!G12221-Sens!F12221=life_it,1,0)</f>
        <v>0</v>
      </c>
      <c r="H12249" s="30" t="n">
        <f aca="false">Sens!C12228*IF(Sens!H12221-Sens!C12221=life_it,1,0)+Sens!D12228*IF(Sens!H12221-Sens!D12221=life_it,1,0)+Sens!E12228*IF(Sens!H12221-Sens!E12221=life_it,1,0)+Sens!F12228*IF(Sens!H12221-Sens!F12221=life_it,1,0)+Sens!G12228*IF(Sens!H12221-Sens!G12221=life_it,1,0)</f>
        <v>0</v>
      </c>
      <c r="I12249" s="30" t="n">
        <f aca="false">Sens!C12228*IF(Sens!I12221-Sens!C12221=life_it,1,0)+Sens!D12228*IF(Sens!I12221-Sens!D12221=life_it,1,0)+Sens!E12228*IF(Sens!I12221-Sens!E12221=life_it,1,0)+Sens!F12228*IF(Sens!I12221-Sens!F12221=life_it,1,0)+Sens!G12228*IF(Sens!I12221-Sens!G12221=life_it,1,0)+Sens!H12228*IF(Sens!I12221-Sens!H12221=life_it,1,0)</f>
        <v>816.666666666667</v>
      </c>
      <c r="J12249" s="30" t="n">
        <f aca="false">Sens!C12228*IF(Sens!J12221-Sens!C12221=life_it,1,0)+Sens!D12228*IF(Sens!J12221-Sens!D12221=life_it,1,0)+Sens!E12228*IF(Sens!J12221-Sens!E12221=life_it,1,0)+Sens!F12228*IF(Sens!J12221-Sens!F12221=life_it,1,0)+Sens!G12228*IF(Sens!J12221-Sens!G12221=life_it,1,0)+Sens!H12228*IF(Sens!J12221-Sens!H12221=life_it,1,0)+Sens!I12228*IF(Sens!J12221-Sens!I12221=life_it,1,0)</f>
        <v>1233.33333333333</v>
      </c>
      <c r="K12249" s="30" t="n">
        <f aca="false">Sens!C12228*IF(Sens!K12221-Sens!C12221=life_it,1,0)+Sens!D12228*IF(Sens!K12221-Sens!D12221=life_it,1,0)+Sens!E12228*IF(Sens!K12221-Sens!E12221=life_it,1,0)+Sens!F12228*IF(Sens!K12221-Sens!F12221=life_it,1,0)+Sens!G12228*IF(Sens!K12221-Sens!G12221=life_it,1,0)+Sens!H12228*IF(Sens!K12221-Sens!H12221=life_it,1,0)+Sens!I12228*IF(Sens!K12221-Sens!I12221=life_it,1,0)+Sens!J12228*IF(Sens!K12221-Sens!J12221=life_it,1,0)</f>
        <v>2450</v>
      </c>
      <c r="L12249" s="1" t="s">
        <v>990</v>
      </c>
    </row>
    <row r="12250" customFormat="false" ht="17.15" hidden="false" customHeight="false" outlineLevel="0" collapsed="false">
      <c r="A12250" s="0" t="s">
        <v>991</v>
      </c>
      <c r="B12250" s="0" t="s">
        <v>98</v>
      </c>
      <c r="C12250" s="6" t="n">
        <f aca="false">Sens!C12228*Sens!C12248/1000</f>
        <v>22.5333845916667</v>
      </c>
      <c r="D12250" s="6" t="n">
        <f aca="false">Sens!D12228*Sens!D12248/1000</f>
        <v>34.0300093833333</v>
      </c>
      <c r="E12250" s="6" t="n">
        <f aca="false">Sens!E12228*Sens!E12248/1000</f>
        <v>67.600153775</v>
      </c>
      <c r="F12250" s="6" t="n">
        <f aca="false">(Sens!F12228+Sens!F12249)*Sens!F12248/1000</f>
        <v>136.51872432512</v>
      </c>
      <c r="G12250" s="6" t="n">
        <f aca="false">(Sens!G12228+Sens!G12249)*Sens!G12248/1000</f>
        <v>157.399275932048</v>
      </c>
      <c r="H12250" s="6" t="n">
        <f aca="false">(Sens!H12228+Sens!H12249)*Sens!H12248/1000</f>
        <v>162.260804347512</v>
      </c>
      <c r="I12250" s="6" t="n">
        <f aca="false">(Sens!I12228+Sens!I12249)*Sens!I12248/1000</f>
        <v>144.136569485434</v>
      </c>
      <c r="J12250" s="6" t="n">
        <f aca="false">(Sens!J12228+Sens!J12249)*Sens!J12248/1000</f>
        <v>114.029037357864</v>
      </c>
      <c r="K12250" s="6" t="n">
        <f aca="false">(Sens!K12228+Sens!K12249)*Sens!K12248/1000</f>
        <v>113.437085350975</v>
      </c>
    </row>
    <row r="12251" customFormat="false" ht="17.15" hidden="false" customHeight="false" outlineLevel="0" collapsed="false">
      <c r="A12251" s="0" t="s">
        <v>992</v>
      </c>
      <c r="B12251" s="0" t="s">
        <v>98</v>
      </c>
      <c r="C12251" s="6" t="n">
        <f aca="false">Sens!C12228*self_build*tk_cxfac/1000</f>
        <v>6.2083</v>
      </c>
      <c r="D12251" s="6" t="n">
        <f aca="false">Sens!D12228*self_build*tk_cxfac/1000</f>
        <v>9.3758</v>
      </c>
      <c r="E12251" s="6" t="n">
        <f aca="false">Sens!E12228*self_build*tk_cxfac/1000</f>
        <v>18.6249</v>
      </c>
      <c r="F12251" s="6" t="n">
        <f aca="false">Sens!F12228*self_build*tk_cxfac/1000</f>
        <v>31.935179717</v>
      </c>
      <c r="G12251" s="6" t="n">
        <f aca="false">Sens!G12228*self_build*tk_cxfac/1000</f>
        <v>34.545199717</v>
      </c>
      <c r="H12251" s="6" t="n">
        <f aca="false">Sens!H12228*self_build*tk_cxfac/1000</f>
        <v>34.545199717</v>
      </c>
      <c r="I12251" s="6" t="n">
        <f aca="false">Sens!I12228*self_build*tk_cxfac/1000</f>
        <v>24.4782641361767</v>
      </c>
      <c r="J12251" s="6" t="n">
        <f aca="false">Sens!J12228*self_build*tk_cxfac/1000</f>
        <v>14.9008938380769</v>
      </c>
      <c r="K12251" s="6" t="n">
        <f aca="false">Sens!K12228*self_build*tk_cxfac/1000</f>
        <v>5.52576771375761</v>
      </c>
    </row>
    <row r="12252" customFormat="false" ht="17.15" hidden="false" customHeight="false" outlineLevel="0" collapsed="false">
      <c r="A12252" s="0" t="s">
        <v>993</v>
      </c>
      <c r="B12252" s="0" t="s">
        <v>98</v>
      </c>
      <c r="F12252" s="15" t="n">
        <f aca="false">capex_floor27-Sens!F12250-Sens!F12251-Sens!F12348</f>
        <v>-0.00242284134232307</v>
      </c>
      <c r="L12252" s="12" t="s">
        <v>994</v>
      </c>
    </row>
    <row r="12253" customFormat="false" ht="17.15" hidden="false" customHeight="false" outlineLevel="0" collapsed="false">
      <c r="A12253" s="0" t="s">
        <v>995</v>
      </c>
      <c r="B12253" s="0" t="s">
        <v>98</v>
      </c>
      <c r="F12253" s="6" t="n">
        <f aca="false">MAX(0,Sens!F12252)</f>
        <v>0</v>
      </c>
    </row>
    <row r="12254" customFormat="false" ht="17.15" hidden="false" customHeight="false" outlineLevel="0" collapsed="false">
      <c r="A12254" s="0" t="s">
        <v>996</v>
      </c>
      <c r="B12254" s="0" t="s">
        <v>98</v>
      </c>
      <c r="C12254" s="6" t="n">
        <f aca="false">Sens!C12250</f>
        <v>22.5333845916667</v>
      </c>
      <c r="D12254" s="6" t="n">
        <f aca="false">Sens!D12250</f>
        <v>34.0300093833333</v>
      </c>
      <c r="E12254" s="6" t="n">
        <f aca="false">Sens!E12250</f>
        <v>67.600153775</v>
      </c>
      <c r="F12254" s="6" t="n">
        <f aca="false">Sens!F12250</f>
        <v>136.51872432512</v>
      </c>
      <c r="G12254" s="6" t="n">
        <f aca="false">Sens!G12250</f>
        <v>157.399275932048</v>
      </c>
      <c r="H12254" s="6" t="n">
        <f aca="false">Sens!H12250</f>
        <v>162.260804347512</v>
      </c>
      <c r="I12254" s="6" t="n">
        <f aca="false">Sens!I12250</f>
        <v>144.136569485434</v>
      </c>
      <c r="J12254" s="6" t="n">
        <f aca="false">Sens!J12250</f>
        <v>114.029037357864</v>
      </c>
      <c r="K12254" s="6" t="n">
        <f aca="false">Sens!K12250</f>
        <v>113.437085350975</v>
      </c>
    </row>
    <row r="12255" customFormat="false" ht="17.15" hidden="false" customHeight="false" outlineLevel="0" collapsed="false">
      <c r="A12255" s="0" t="s">
        <v>997</v>
      </c>
      <c r="B12255" s="0" t="s">
        <v>98</v>
      </c>
      <c r="C12255" s="6" t="n">
        <f aca="false">Sens!C12254+Sens!C12251</f>
        <v>28.7416845916667</v>
      </c>
      <c r="D12255" s="6" t="n">
        <f aca="false">Sens!D12254+Sens!D12251</f>
        <v>43.4058093833333</v>
      </c>
      <c r="E12255" s="6" t="n">
        <f aca="false">Sens!E12254+Sens!E12251</f>
        <v>86.225053775</v>
      </c>
      <c r="F12255" s="6" t="n">
        <f aca="false">Sens!F12254+Sens!F12251</f>
        <v>168.45390404212</v>
      </c>
      <c r="G12255" s="6" t="n">
        <f aca="false">Sens!G12254+Sens!G12251</f>
        <v>191.944475649048</v>
      </c>
      <c r="H12255" s="6" t="n">
        <f aca="false">Sens!H12254+Sens!H12251</f>
        <v>196.806004064512</v>
      </c>
      <c r="I12255" s="6" t="n">
        <f aca="false">Sens!I12254+Sens!I12251</f>
        <v>168.61483362161</v>
      </c>
      <c r="J12255" s="6" t="n">
        <f aca="false">Sens!J12254+Sens!J12251</f>
        <v>128.92993119594</v>
      </c>
      <c r="K12255" s="6" t="n">
        <f aca="false">Sens!K12254+Sens!K12251</f>
        <v>118.962853064733</v>
      </c>
      <c r="L12255" s="12" t="s">
        <v>998</v>
      </c>
    </row>
    <row r="12256" customFormat="false" ht="17.15" hidden="false" customHeight="false" outlineLevel="0" collapsed="false">
      <c r="A12256" s="0" t="s">
        <v>999</v>
      </c>
      <c r="B12256" s="0" t="s">
        <v>98</v>
      </c>
      <c r="E12256" s="6" t="n">
        <f aca="false">(Sens!C12254*IF(2&lt;life_it,1,IF(2=life_it,0.5,0))+Sens!D12254*IF(1&lt;life_it,1,IF(1=life_it,0.5,0))+Sens!E12254*0.5)/life_it</f>
        <v>15.0605784770833</v>
      </c>
      <c r="F12256" s="6" t="n">
        <f aca="false">(Sens!C12254*IF(3&lt;life_it,1,IF(3=life_it,0.5,0))+Sens!D12254*IF(2&lt;life_it,1,IF(2=life_it,0.5,0))+Sens!E12254*IF(1&lt;life_it,1,IF(1=life_it,0.5,0))+Sens!F12254*0.5)/life_it</f>
        <v>32.0704849854266</v>
      </c>
      <c r="G12256" s="6" t="n">
        <f aca="false">(Sens!C12254*IF(4&lt;life_it,1,IF(4=life_it,0.5,0))+Sens!D12254*IF(3&lt;life_it,1,IF(3=life_it,0.5,0))+Sens!E12254*IF(2&lt;life_it,1,IF(2=life_it,0.5,0))+Sens!F12254*IF(1&lt;life_it,1,IF(1=life_it,0.5,0))+Sens!G12254*0.5)/life_it</f>
        <v>56.5636516735239</v>
      </c>
      <c r="H12256" s="6" t="n">
        <f aca="false">(Sens!C12254*IF(5&lt;life_it,1,IF(5=life_it,0.5,0))+Sens!D12254*IF(4&lt;life_it,1,IF(4=life_it,0.5,0))+Sens!E12254*IF(3&lt;life_it,1,IF(3=life_it,0.5,0))+Sens!F12254*IF(2&lt;life_it,1,IF(2=life_it,0.5,0))+Sens!G12254*IF(1&lt;life_it,1,IF(1=life_it,0.5,0))+Sens!H12254*0.5)/life_it</f>
        <v>83.2019916968207</v>
      </c>
      <c r="I12256" s="6" t="n">
        <f aca="false">(Sens!C12254*IF(6&lt;life_it,1,IF(6=life_it,0.5,0))+Sens!D12254*IF(5&lt;life_it,1,IF(5=life_it,0.5,0))+Sens!E12254*IF(4&lt;life_it,1,IF(4=life_it,0.5,0))+Sens!F12254*IF(3&lt;life_it,1,IF(3=life_it,0.5,0))+Sens!G12254*IF(2&lt;life_it,1,IF(2=life_it,0.5,0))+Sens!H12254*IF(1&lt;life_it,1,IF(1=life_it,0.5,0))+Sens!I12254*0.5)/life_it</f>
        <v>106.857324133594</v>
      </c>
      <c r="J12256" s="6" t="n">
        <f aca="false">(Sens!C12254*IF(7&lt;life_it,1,IF(7=life_it,0.5,0))+Sens!D12254*IF(6&lt;life_it,1,IF(6=life_it,0.5,0))+Sens!E12254*IF(5&lt;life_it,1,IF(5=life_it,0.5,0))+Sens!F12254*IF(4&lt;life_it,1,IF(4=life_it,0.5,0))+Sens!G12254*IF(3&lt;life_it,1,IF(3=life_it,0.5,0))+Sens!H12254*IF(2&lt;life_it,1,IF(2=life_it,0.5,0))+Sens!I12254*IF(1&lt;life_it,1,IF(1=life_it,0.5,0))+Sens!J12254*0.5)/life_it</f>
        <v>123.657508539285</v>
      </c>
      <c r="K12256" s="6" t="n">
        <f aca="false">(Sens!C12254*IF(8&lt;life_it,1,IF(8=life_it,0.5,0))+Sens!D12254*IF(7&lt;life_it,1,IF(7=life_it,0.5,0))+Sens!E12254*IF(6&lt;life_it,1,IF(6=life_it,0.5,0))+Sens!F12254*IF(5&lt;life_it,1,IF(5=life_it,0.5,0))+Sens!G12254*IF(4&lt;life_it,1,IF(4=life_it,0.5,0))+Sens!H12254*IF(3&lt;life_it,1,IF(3=life_it,0.5,0))+Sens!I12254*IF(2&lt;life_it,1,IF(2=life_it,0.5,0))+Sens!J12254*IF(1&lt;life_it,1,IF(1=life_it,0.5,0))+Sens!K12254*0.5)/life_it</f>
        <v>134.143838501827</v>
      </c>
    </row>
    <row r="12257" customFormat="false" ht="17.15" hidden="false" customHeight="false" outlineLevel="0" collapsed="false">
      <c r="A12257" s="0" t="s">
        <v>1000</v>
      </c>
      <c r="B12257" s="0" t="s">
        <v>98</v>
      </c>
      <c r="E12257" s="6" t="n">
        <f aca="false">(Sens!C12251*IF(2&lt;life_fac,1,IF(2=life_fac,0.5,0))+Sens!D12251*IF(1&lt;life_fac,1,IF(1=life_fac,0.5,0))+Sens!E12251*0.5)/life_fac</f>
        <v>1.2448275</v>
      </c>
      <c r="F12257" s="6" t="n">
        <f aca="false">(Sens!C12251*IF(3&lt;life_fac,1,IF(3=life_fac,0.5,0))+Sens!D12251*IF(2&lt;life_fac,1,IF(2=life_fac,0.5,0))+Sens!E12251*IF(1&lt;life_fac,1,IF(1=life_fac,0.5,0))+Sens!F12251*0.5)/life_fac</f>
        <v>2.508829492925</v>
      </c>
      <c r="G12257" s="6" t="n">
        <f aca="false">(Sens!C12251*IF(4&lt;life_fac,1,IF(4=life_fac,0.5,0))+Sens!D12251*IF(3&lt;life_fac,1,IF(3=life_fac,0.5,0))+Sens!E12251*IF(2&lt;life_fac,1,IF(2=life_fac,0.5,0))+Sens!F12251*IF(1&lt;life_fac,1,IF(1=life_fac,0.5,0))+Sens!G12251*0.5)/life_fac</f>
        <v>4.170838978775</v>
      </c>
      <c r="H12257" s="6" t="n">
        <f aca="false">(Sens!C12251*IF(5&lt;life_fac,1,IF(5=life_fac,0.5,0))+Sens!D12251*IF(4&lt;life_fac,1,IF(4=life_fac,0.5,0))+Sens!E12251*IF(3&lt;life_fac,1,IF(3=life_fac,0.5,0))+Sens!F12251*IF(2&lt;life_fac,1,IF(2=life_fac,0.5,0))+Sens!G12251*IF(1&lt;life_fac,1,IF(1=life_fac,0.5,0))+Sens!H12251*0.5)/life_fac</f>
        <v>5.898098964625</v>
      </c>
      <c r="I12257" s="6" t="n">
        <f aca="false">(Sens!C12251*IF(6&lt;life_fac,1,IF(6=life_fac,0.5,0))+Sens!D12251*IF(5&lt;life_fac,1,IF(5=life_fac,0.5,0))+Sens!E12251*IF(4&lt;life_fac,1,IF(4=life_fac,0.5,0))+Sens!F12251*IF(3&lt;life_fac,1,IF(3=life_fac,0.5,0))+Sens!G12251*IF(2&lt;life_fac,1,IF(2=life_fac,0.5,0))+Sens!H12251*IF(1&lt;life_fac,1,IF(1=life_fac,0.5,0))+Sens!I12251*0.5)/life_fac</f>
        <v>7.37368556095442</v>
      </c>
      <c r="J12257" s="6" t="n">
        <f aca="false">(Sens!C12251*IF(7&lt;life_fac,1,IF(7=life_fac,0.5,0))+Sens!D12251*IF(6&lt;life_fac,1,IF(6=life_fac,0.5,0))+Sens!E12251*IF(5&lt;life_fac,1,IF(5=life_fac,0.5,0))+Sens!F12251*IF(4&lt;life_fac,1,IF(4=life_fac,0.5,0))+Sens!G12251*IF(3&lt;life_fac,1,IF(3=life_fac,0.5,0))+Sens!H12251*IF(2&lt;life_fac,1,IF(2=life_fac,0.5,0))+Sens!I12251*IF(1&lt;life_fac,1,IF(1=life_fac,0.5,0))+Sens!J12251*0.5)/life_fac</f>
        <v>8.35816451031075</v>
      </c>
      <c r="K12257" s="6" t="n">
        <f aca="false">(Sens!C12251*IF(8&lt;life_fac,1,IF(8=life_fac,0.5,0))+Sens!D12251*IF(7&lt;life_fac,1,IF(7=life_fac,0.5,0))+Sens!E12251*IF(6&lt;life_fac,1,IF(6=life_fac,0.5,0))+Sens!F12251*IF(5&lt;life_fac,1,IF(5=life_fac,0.5,0))+Sens!G12251*IF(4&lt;life_fac,1,IF(4=life_fac,0.5,0))+Sens!H12251*IF(3&lt;life_fac,1,IF(3=life_fac,0.5,0))+Sens!I12251*IF(2&lt;life_fac,1,IF(2=life_fac,0.5,0))+Sens!J12251*IF(1&lt;life_fac,1,IF(1=life_fac,0.5,0))+Sens!K12251*0.5)/life_fac</f>
        <v>8.86883104910662</v>
      </c>
    </row>
    <row r="12258" customFormat="false" ht="17.15" hidden="false" customHeight="false" outlineLevel="0" collapsed="false">
      <c r="A12258" s="0" t="s">
        <v>1001</v>
      </c>
      <c r="B12258" s="0" t="s">
        <v>98</v>
      </c>
      <c r="E12258" s="6" t="n">
        <f aca="false">Sens!E12256+Sens!E12257</f>
        <v>16.3054059770833</v>
      </c>
      <c r="F12258" s="6" t="n">
        <f aca="false">Sens!F12256+Sens!F12257</f>
        <v>34.5793144783516</v>
      </c>
      <c r="G12258" s="6" t="n">
        <f aca="false">Sens!G12256+Sens!G12257</f>
        <v>60.7344906522989</v>
      </c>
      <c r="H12258" s="6" t="n">
        <f aca="false">Sens!H12256+Sens!H12257</f>
        <v>89.1000906614457</v>
      </c>
      <c r="I12258" s="6" t="n">
        <f aca="false">Sens!I12256+Sens!I12257</f>
        <v>114.231009694548</v>
      </c>
      <c r="J12258" s="6" t="n">
        <f aca="false">Sens!J12256+Sens!J12257</f>
        <v>132.015673049596</v>
      </c>
      <c r="K12258" s="6" t="n">
        <f aca="false">Sens!K12256+Sens!K12257</f>
        <v>143.012669550934</v>
      </c>
    </row>
    <row r="12259" customFormat="false" ht="17.15" hidden="false" customHeight="false" outlineLevel="0" collapsed="false">
      <c r="A12259" s="0" t="s">
        <v>1002</v>
      </c>
      <c r="B12259" s="0" t="s">
        <v>98</v>
      </c>
      <c r="E12259" s="6" t="n">
        <f aca="false">Sens!E12246-Sens!E12245*Sens!E12258</f>
        <v>8.92707889977379</v>
      </c>
      <c r="F12259" s="6" t="n">
        <f aca="false">Sens!F12246-Sens!F12245*Sens!F12258</f>
        <v>18.7770356668733</v>
      </c>
      <c r="G12259" s="6" t="n">
        <f aca="false">Sens!G12246-Sens!G12245*Sens!G12258</f>
        <v>31.1163641458894</v>
      </c>
      <c r="H12259" s="6" t="n">
        <f aca="false">Sens!H12246-Sens!H12245*Sens!H12258</f>
        <v>43.7262635496428</v>
      </c>
      <c r="I12259" s="6" t="n">
        <f aca="false">Sens!I12246-Sens!I12245*Sens!I12258</f>
        <v>54.7541698336361</v>
      </c>
      <c r="J12259" s="6" t="n">
        <f aca="false">Sens!J12246-Sens!J12245*Sens!J12258</f>
        <v>62.3768819327658</v>
      </c>
      <c r="K12259" s="6" t="n">
        <f aca="false">Sens!K12246-Sens!K12245*Sens!K12258</f>
        <v>67.4820630434748</v>
      </c>
    </row>
    <row r="12260" customFormat="false" ht="17.15" hidden="false" customHeight="false" outlineLevel="0" collapsed="false">
      <c r="A12260" s="3" t="s">
        <v>1786</v>
      </c>
    </row>
    <row r="12261" customFormat="false" ht="15" hidden="false" customHeight="false" outlineLevel="0" collapsed="false">
      <c r="A12261" s="4" t="s">
        <v>43</v>
      </c>
      <c r="B12261" s="4" t="s">
        <v>65</v>
      </c>
      <c r="C12261" s="23" t="s">
        <v>938</v>
      </c>
      <c r="D12261" s="23" t="s">
        <v>939</v>
      </c>
      <c r="E12261" s="23" t="s">
        <v>940</v>
      </c>
      <c r="F12261" s="23" t="s">
        <v>941</v>
      </c>
      <c r="G12261" s="23" t="s">
        <v>942</v>
      </c>
      <c r="H12261" s="23" t="s">
        <v>943</v>
      </c>
      <c r="I12261" s="23" t="s">
        <v>944</v>
      </c>
      <c r="J12261" s="23" t="s">
        <v>945</v>
      </c>
      <c r="K12261" s="23" t="s">
        <v>946</v>
      </c>
      <c r="L12261" s="4" t="s">
        <v>47</v>
      </c>
    </row>
    <row r="12262" customFormat="false" ht="17.15" hidden="false" customHeight="false" outlineLevel="0" collapsed="false">
      <c r="A12262" s="0" t="s">
        <v>1021</v>
      </c>
      <c r="B12262" s="0" t="s">
        <v>98</v>
      </c>
      <c r="D12262" s="6" t="n">
        <f aca="false">Sens!D12240</f>
        <v>12.9359794422418</v>
      </c>
      <c r="E12262" s="6" t="n">
        <f aca="false">Sens!E12240</f>
        <v>27.8095064661409</v>
      </c>
      <c r="F12262" s="6" t="n">
        <f aca="false">Sens!F12240</f>
        <v>55.4118315060966</v>
      </c>
      <c r="G12262" s="6" t="n">
        <f aca="false">Sens!G12240</f>
        <v>91.2881100675143</v>
      </c>
      <c r="H12262" s="6" t="n">
        <f aca="false">Sens!H12240</f>
        <v>128.195273603944</v>
      </c>
      <c r="I12262" s="6" t="n">
        <f aca="false">Sens!I12240</f>
        <v>160.601281810405</v>
      </c>
      <c r="J12262" s="6" t="n">
        <f aca="false">Sens!J12240</f>
        <v>183.182719793589</v>
      </c>
      <c r="K12262" s="6" t="n">
        <f aca="false">Sens!K12240</f>
        <v>197.320124937098</v>
      </c>
    </row>
    <row r="12263" customFormat="false" ht="17.15" hidden="false" customHeight="false" outlineLevel="0" collapsed="false">
      <c r="A12263" s="0" t="s">
        <v>1022</v>
      </c>
      <c r="B12263" s="0" t="s">
        <v>98</v>
      </c>
      <c r="D12263" s="6" t="n">
        <f aca="false">Q!L6-Sens!D12262</f>
        <v>59.6740205577583</v>
      </c>
      <c r="E12263" s="6" t="n">
        <f aca="false">Q!M6-Sens!E12262</f>
        <v>74.1284935338591</v>
      </c>
      <c r="F12263" s="6" t="n">
        <f aca="false">Q!$I$6+(Sens!F12262+Sens!E12263*(1+Sens!F12264))*(1-Q!$E$6/Q!M6)-Sens!F12262</f>
        <v>91.2972164940844</v>
      </c>
      <c r="G12263" s="6" t="n">
        <f aca="false">Sens!F12263*(1+Sens!G12264)</f>
        <v>108.474719793879</v>
      </c>
      <c r="H12263" s="6" t="n">
        <f aca="false">Sens!G12263*(1+Sens!H12264)</f>
        <v>125.951292505701</v>
      </c>
      <c r="I12263" s="6" t="n">
        <f aca="false">Sens!H12263*(1+Sens!I12264)</f>
        <v>142.838165154212</v>
      </c>
      <c r="J12263" s="6" t="n">
        <f aca="false">Sens!I12263*(1+Sens!J12264)</f>
        <v>158.12717866615</v>
      </c>
      <c r="K12263" s="6" t="n">
        <f aca="false">Sens!J12263*(1+Sens!K12264)</f>
        <v>170.777352959442</v>
      </c>
      <c r="L12263" s="12" t="s">
        <v>1023</v>
      </c>
    </row>
    <row r="12264" customFormat="false" ht="15" hidden="false" customHeight="false" outlineLevel="0" collapsed="false">
      <c r="A12264" s="1" t="s">
        <v>1024</v>
      </c>
      <c r="B12264" s="0" t="s">
        <v>168</v>
      </c>
      <c r="E12264" s="7" t="n">
        <f aca="false">Sens!E12263/Sens!D12263-1</f>
        <v>0.242223883039864</v>
      </c>
      <c r="F12264" s="7" t="n">
        <f aca="false">Sens!$E$12264+(glt_azo-Sens!$E$12264)*MIN(1,(Sens!F12221-base_fy)/n_conv)</f>
        <v>0.215186569199887</v>
      </c>
      <c r="G12264" s="7" t="n">
        <f aca="false">Sens!$E$12264+(glt_azo-Sens!$E$12264)*MIN(1,(Sens!G12221-base_fy)/n_conv)</f>
        <v>0.18814925535991</v>
      </c>
      <c r="H12264" s="7" t="n">
        <f aca="false">Sens!$E$12264+(glt_azo-Sens!$E$12264)*MIN(1,(Sens!H12221-base_fy)/n_conv)</f>
        <v>0.161111941519932</v>
      </c>
      <c r="I12264" s="7" t="n">
        <f aca="false">Sens!$E$12264+(glt_azo-Sens!$E$12264)*MIN(1,(Sens!I12221-base_fy)/n_conv)</f>
        <v>0.134074627679955</v>
      </c>
      <c r="J12264" s="7" t="n">
        <f aca="false">Sens!$E$12264+(glt_azo-Sens!$E$12264)*MIN(1,(Sens!J12221-base_fy)/n_conv)</f>
        <v>0.107037313839977</v>
      </c>
      <c r="K12264" s="7" t="n">
        <f aca="false">Sens!$E$12264+(glt_azo-Sens!$E$12264)*MIN(1,(Sens!K12221-base_fy)/n_conv)</f>
        <v>0.08</v>
      </c>
    </row>
    <row r="12265" customFormat="false" ht="15" hidden="false" customHeight="false" outlineLevel="0" collapsed="false">
      <c r="A12265" s="0" t="s">
        <v>1025</v>
      </c>
      <c r="B12265" s="0" t="s">
        <v>98</v>
      </c>
      <c r="D12265" s="6" t="n">
        <f aca="false">Sens!D12262+Sens!D12263</f>
        <v>72.61</v>
      </c>
      <c r="E12265" s="6" t="n">
        <f aca="false">Sens!E12262+Sens!E12263</f>
        <v>101.938</v>
      </c>
      <c r="F12265" s="6" t="n">
        <f aca="false">Sens!F12262+Sens!F12263</f>
        <v>146.709048000181</v>
      </c>
      <c r="G12265" s="6" t="n">
        <f aca="false">Sens!G12262+Sens!G12263</f>
        <v>199.762829861393</v>
      </c>
      <c r="H12265" s="6" t="n">
        <f aca="false">Sens!H12262+Sens!H12263</f>
        <v>254.146566109645</v>
      </c>
      <c r="I12265" s="6" t="n">
        <f aca="false">Sens!I12262+Sens!I12263</f>
        <v>303.439446964617</v>
      </c>
      <c r="J12265" s="6" t="n">
        <f aca="false">Sens!J12262+Sens!J12263</f>
        <v>341.309898459739</v>
      </c>
      <c r="K12265" s="6" t="n">
        <f aca="false">Sens!K12262+Sens!K12263</f>
        <v>368.09747789654</v>
      </c>
    </row>
    <row r="12266" customFormat="false" ht="17.15" hidden="false" customHeight="false" outlineLevel="0" collapsed="false">
      <c r="A12266" s="0" t="s">
        <v>1026</v>
      </c>
      <c r="B12266" s="1" t="s">
        <v>610</v>
      </c>
      <c r="C12266" s="30" t="n">
        <f aca="false">cop_s24</f>
        <v>1</v>
      </c>
      <c r="D12266" s="30" t="n">
        <f aca="false">cop_s25</f>
        <v>5</v>
      </c>
      <c r="E12266" s="30" t="n">
        <f aca="false">cop_s26</f>
        <v>30</v>
      </c>
      <c r="F12266" s="30" t="n">
        <f aca="false">Sens!E12266+cop_add_B</f>
        <v>50</v>
      </c>
      <c r="G12266" s="30" t="n">
        <f aca="false">Sens!F12266+cop_add_B</f>
        <v>70</v>
      </c>
      <c r="H12266" s="30" t="n">
        <f aca="false">Sens!G12266+cop_add_B</f>
        <v>90</v>
      </c>
      <c r="I12266" s="30" t="n">
        <f aca="false">Sens!H12266+cop_add_B*cop_tail</f>
        <v>100</v>
      </c>
      <c r="J12266" s="30" t="n">
        <f aca="false">Sens!I12266+cop_add_B*cop_tail</f>
        <v>110</v>
      </c>
      <c r="K12266" s="30" t="n">
        <f aca="false">Sens!J12266+cop_add_B*cop_tail</f>
        <v>120</v>
      </c>
      <c r="L12266" s="12" t="s">
        <v>1027</v>
      </c>
    </row>
    <row r="12267" customFormat="false" ht="17.15" hidden="false" customHeight="false" outlineLevel="0" collapsed="false">
      <c r="A12267" s="0" t="s">
        <v>1028</v>
      </c>
      <c r="B12267" s="0" t="s">
        <v>98</v>
      </c>
      <c r="D12267" s="6" t="n">
        <f aca="false">(Sens!C12266+Sens!D12266)/2*cop_px*12/1000</f>
        <v>0.9</v>
      </c>
      <c r="E12267" s="6" t="n">
        <f aca="false">(Sens!D12266+Sens!E12266)/2*cop_px*12/1000</f>
        <v>5.25</v>
      </c>
      <c r="F12267" s="6" t="n">
        <f aca="false">(Sens!E12266+Sens!F12266)/2*cop_px*12/1000</f>
        <v>12</v>
      </c>
      <c r="G12267" s="6" t="n">
        <f aca="false">(Sens!F12266+Sens!G12266)/2*cop_px*12/1000</f>
        <v>18</v>
      </c>
      <c r="H12267" s="6" t="n">
        <f aca="false">(Sens!G12266+Sens!H12266)/2*cop_px*12/1000</f>
        <v>24</v>
      </c>
      <c r="I12267" s="6" t="n">
        <f aca="false">(Sens!H12266+Sens!I12266)/2*cop_px*12/1000</f>
        <v>28.5</v>
      </c>
      <c r="J12267" s="6" t="n">
        <f aca="false">(Sens!I12266+Sens!J12266)/2*cop_px*12/1000</f>
        <v>31.5</v>
      </c>
      <c r="K12267" s="6" t="n">
        <f aca="false">(Sens!J12266+Sens!K12266)/2*cop_px*12/1000</f>
        <v>34.5</v>
      </c>
      <c r="L12267" s="1" t="s">
        <v>1029</v>
      </c>
    </row>
    <row r="12268" customFormat="false" ht="17.15" hidden="false" customHeight="false" outlineLevel="0" collapsed="false">
      <c r="A12268" s="0" t="s">
        <v>1030</v>
      </c>
      <c r="B12268" s="0" t="s">
        <v>98</v>
      </c>
      <c r="D12268" s="6" t="n">
        <f aca="false">Q!L7-Sens!D12267</f>
        <v>83.705</v>
      </c>
      <c r="E12268" s="6" t="n">
        <f aca="false">Q!M7-Sens!E12267</f>
        <v>95.049</v>
      </c>
      <c r="F12268" s="6" t="n">
        <f aca="false">Q!$I$7+(Sens!E12268*(1+Sens!F12269)+Sens!F12267)*(1-Q!$E$7/Q!M7)-Sens!F12267</f>
        <v>106.584003697747</v>
      </c>
      <c r="G12268" s="6" t="n">
        <f aca="false">Sens!F12268*(1+Sens!G12269)</f>
        <v>118.700726545688</v>
      </c>
      <c r="H12268" s="6" t="n">
        <f aca="false">Sens!G12268*(1+Sens!H12269)</f>
        <v>130.898624783666</v>
      </c>
      <c r="I12268" s="6" t="n">
        <f aca="false">Sens!H12268*(1+Sens!I12269)</f>
        <v>142.920510030657</v>
      </c>
      <c r="J12268" s="6" t="n">
        <f aca="false">Sens!I12268*(1+Sens!J12269)</f>
        <v>154.485722618572</v>
      </c>
      <c r="K12268" s="6" t="n">
        <f aca="false">Sens!J12268*(1+Sens!K12269)</f>
        <v>165.299723201872</v>
      </c>
      <c r="L12268" s="12" t="s">
        <v>1031</v>
      </c>
    </row>
    <row r="12269" customFormat="false" ht="15" hidden="false" customHeight="false" outlineLevel="0" collapsed="false">
      <c r="A12269" s="1" t="s">
        <v>1024</v>
      </c>
      <c r="B12269" s="0" t="s">
        <v>168</v>
      </c>
      <c r="E12269" s="7" t="n">
        <f aca="false">Sens!E12268/Sens!D12268-1</f>
        <v>0.135523564900544</v>
      </c>
      <c r="F12269" s="7" t="n">
        <f aca="false">Sens!$E$12269+(glt_m365b-Sens!$E$12269)*MIN(1,(Sens!F12221-base_fy)/n_conv)</f>
        <v>0.124602970750453</v>
      </c>
      <c r="G12269" s="7" t="n">
        <f aca="false">Sens!$E$12269+(glt_m365b-Sens!$E$12269)*MIN(1,(Sens!G12221-base_fy)/n_conv)</f>
        <v>0.113682376600363</v>
      </c>
      <c r="H12269" s="7" t="n">
        <f aca="false">Sens!$E$12269+(glt_m365b-Sens!$E$12269)*MIN(1,(Sens!H12221-base_fy)/n_conv)</f>
        <v>0.102761782450272</v>
      </c>
      <c r="I12269" s="7" t="n">
        <f aca="false">Sens!$E$12269+(glt_m365b-Sens!$E$12269)*MIN(1,(Sens!I12221-base_fy)/n_conv)</f>
        <v>0.0918411883001813</v>
      </c>
      <c r="J12269" s="7" t="n">
        <f aca="false">Sens!$E$12269+(glt_m365b-Sens!$E$12269)*MIN(1,(Sens!J12221-base_fy)/n_conv)</f>
        <v>0.0809205941500906</v>
      </c>
      <c r="K12269" s="7" t="n">
        <f aca="false">Sens!$E$12269+(glt_m365b-Sens!$E$12269)*MIN(1,(Sens!K12221-base_fy)/n_conv)</f>
        <v>0.07</v>
      </c>
    </row>
    <row r="12270" customFormat="false" ht="15" hidden="false" customHeight="false" outlineLevel="0" collapsed="false">
      <c r="A12270" s="0" t="s">
        <v>1032</v>
      </c>
      <c r="B12270" s="0" t="s">
        <v>98</v>
      </c>
      <c r="D12270" s="6" t="n">
        <f aca="false">Sens!D12268+Sens!D12267</f>
        <v>84.605</v>
      </c>
      <c r="E12270" s="6" t="n">
        <f aca="false">Sens!E12268+Sens!E12267</f>
        <v>100.299</v>
      </c>
      <c r="F12270" s="6" t="n">
        <f aca="false">Sens!F12268+Sens!F12267</f>
        <v>118.584003697747</v>
      </c>
      <c r="G12270" s="6" t="n">
        <f aca="false">Sens!G12268+Sens!G12267</f>
        <v>136.700726545688</v>
      </c>
      <c r="H12270" s="6" t="n">
        <f aca="false">Sens!H12268+Sens!H12267</f>
        <v>154.898624783666</v>
      </c>
      <c r="I12270" s="6" t="n">
        <f aca="false">Sens!I12268+Sens!I12267</f>
        <v>171.420510030657</v>
      </c>
      <c r="J12270" s="6" t="n">
        <f aca="false">Sens!J12268+Sens!J12267</f>
        <v>185.985722618572</v>
      </c>
      <c r="K12270" s="6" t="n">
        <f aca="false">Sens!K12268+Sens!K12267</f>
        <v>199.799723201872</v>
      </c>
    </row>
    <row r="12271" customFormat="false" ht="17.15" hidden="false" customHeight="false" outlineLevel="0" collapsed="false">
      <c r="A12271" s="0" t="s">
        <v>1033</v>
      </c>
      <c r="B12271" s="0" t="s">
        <v>98</v>
      </c>
      <c r="D12271" s="6" t="n">
        <f aca="false">Q!L8</f>
        <v>35.391</v>
      </c>
      <c r="E12271" s="6" t="n">
        <f aca="false">Q!M8</f>
        <v>37.285</v>
      </c>
      <c r="F12271" s="6" t="n">
        <f aca="false">Q!$I$8+(Q!M8-Q!$E$8)*(1+Sens!F12272)</f>
        <v>38.3851437782675</v>
      </c>
      <c r="G12271" s="6" t="n">
        <f aca="false">Sens!F12271*(1+Sens!G12272)</f>
        <v>40.0105353288615</v>
      </c>
      <c r="H12271" s="6" t="n">
        <f aca="false">Sens!G12271*(1+Sens!H12272)</f>
        <v>41.4812512033683</v>
      </c>
      <c r="I12271" s="6" t="n">
        <f aca="false">Sens!H12271*(1+Sens!I12272)</f>
        <v>42.7743107216329</v>
      </c>
      <c r="J12271" s="6" t="n">
        <f aca="false">Sens!I12271*(1+Sens!J12272)</f>
        <v>43.8687373064601</v>
      </c>
      <c r="K12271" s="6" t="n">
        <f aca="false">Sens!J12271*(1+Sens!K12272)</f>
        <v>44.7461120525893</v>
      </c>
      <c r="L12271" s="12" t="s">
        <v>1034</v>
      </c>
    </row>
    <row r="12272" customFormat="false" ht="15" hidden="false" customHeight="false" outlineLevel="0" collapsed="false">
      <c r="A12272" s="1" t="s">
        <v>1024</v>
      </c>
      <c r="B12272" s="0" t="s">
        <v>168</v>
      </c>
      <c r="E12272" s="7" t="n">
        <f aca="false">Sens!E12271/Sens!D12271-1</f>
        <v>0.0535164307309768</v>
      </c>
      <c r="F12272" s="7" t="n">
        <f aca="false">Sens!$E$12272+(glt_lic-Sens!$E$12272)*MIN(1,(Sens!F12221-base_fy)/n_conv)</f>
        <v>0.0479303589424807</v>
      </c>
      <c r="G12272" s="7" t="n">
        <f aca="false">Sens!$E$12272+(glt_lic-Sens!$E$12272)*MIN(1,(Sens!G12221-base_fy)/n_conv)</f>
        <v>0.0423442871539845</v>
      </c>
      <c r="H12272" s="7" t="n">
        <f aca="false">Sens!$E$12272+(glt_lic-Sens!$E$12272)*MIN(1,(Sens!H12221-base_fy)/n_conv)</f>
        <v>0.0367582153654884</v>
      </c>
      <c r="I12272" s="7" t="n">
        <f aca="false">Sens!$E$12272+(glt_lic-Sens!$E$12272)*MIN(1,(Sens!I12221-base_fy)/n_conv)</f>
        <v>0.0311721435769923</v>
      </c>
      <c r="J12272" s="7" t="n">
        <f aca="false">Sens!$E$12272+(glt_lic-Sens!$E$12272)*MIN(1,(Sens!J12221-base_fy)/n_conv)</f>
        <v>0.0255860717884961</v>
      </c>
      <c r="K12272" s="7" t="n">
        <f aca="false">Sens!$E$12272+(glt_lic-Sens!$E$12272)*MIN(1,(Sens!K12221-base_fy)/n_conv)</f>
        <v>0.02</v>
      </c>
    </row>
    <row r="12273" customFormat="false" ht="17.15" hidden="false" customHeight="false" outlineLevel="0" collapsed="false">
      <c r="A12273" s="0" t="s">
        <v>1035</v>
      </c>
      <c r="B12273" s="0" t="s">
        <v>98</v>
      </c>
      <c r="D12273" s="6" t="n">
        <f aca="false">Q!L9</f>
        <v>18.417</v>
      </c>
      <c r="E12273" s="6" t="n">
        <f aca="false">Q!M9</f>
        <v>20.345</v>
      </c>
      <c r="F12273" s="6" t="n">
        <f aca="false">Q!$I$9+(Q!M9-Q!$E$9)*(1+Sens!F12274)</f>
        <v>22.3161797133988</v>
      </c>
      <c r="G12273" s="6" t="n">
        <f aca="false">Sens!F12273*(1+Sens!G12274)</f>
        <v>24.3943499673233</v>
      </c>
      <c r="H12273" s="6" t="n">
        <f aca="false">Sens!G12273*(1+Sens!H12274)</f>
        <v>26.5250243109019</v>
      </c>
      <c r="I12273" s="6" t="n">
        <f aca="false">Sens!H12273*(1+Sens!I12274)</f>
        <v>28.6884573538181</v>
      </c>
      <c r="J12273" s="6" t="n">
        <f aca="false">Sens!I12273*(1+Sens!J12274)</f>
        <v>30.8624968052127</v>
      </c>
      <c r="K12273" s="6" t="n">
        <f aca="false">Sens!J12273*(1+Sens!K12274)</f>
        <v>33.0228715815776</v>
      </c>
      <c r="L12273" s="12" t="s">
        <v>1034</v>
      </c>
    </row>
    <row r="12274" customFormat="false" ht="15" hidden="false" customHeight="false" outlineLevel="0" collapsed="false">
      <c r="A12274" s="1" t="s">
        <v>1024</v>
      </c>
      <c r="B12274" s="0" t="s">
        <v>168</v>
      </c>
      <c r="E12274" s="7" t="n">
        <f aca="false">Sens!E12273/Sens!D12273-1</f>
        <v>0.104685888038225</v>
      </c>
      <c r="F12274" s="7" t="n">
        <f aca="false">Sens!$E$12274+(glt_ind-Sens!$E$12274)*MIN(1,(Sens!F12221-base_fy)/n_conv)</f>
        <v>0.0989049066985211</v>
      </c>
      <c r="G12274" s="7" t="n">
        <f aca="false">Sens!$E$12274+(glt_ind-Sens!$E$12274)*MIN(1,(Sens!G12221-base_fy)/n_conv)</f>
        <v>0.0931239253588169</v>
      </c>
      <c r="H12274" s="7" t="n">
        <f aca="false">Sens!$E$12274+(glt_ind-Sens!$E$12274)*MIN(1,(Sens!H12221-base_fy)/n_conv)</f>
        <v>0.0873429440191127</v>
      </c>
      <c r="I12274" s="7" t="n">
        <f aca="false">Sens!$E$12274+(glt_ind-Sens!$E$12274)*MIN(1,(Sens!I12221-base_fy)/n_conv)</f>
        <v>0.0815619626794085</v>
      </c>
      <c r="J12274" s="7" t="n">
        <f aca="false">Sens!$E$12274+(glt_ind-Sens!$E$12274)*MIN(1,(Sens!J12221-base_fy)/n_conv)</f>
        <v>0.0757809813397042</v>
      </c>
      <c r="K12274" s="7" t="n">
        <f aca="false">Sens!$E$12274+(glt_ind-Sens!$E$12274)*MIN(1,(Sens!K12221-base_fy)/n_conv)</f>
        <v>0.07</v>
      </c>
    </row>
    <row r="12275" customFormat="false" ht="17.15" hidden="false" customHeight="false" outlineLevel="0" collapsed="false">
      <c r="A12275" s="0" t="s">
        <v>1036</v>
      </c>
      <c r="B12275" s="0" t="s">
        <v>98</v>
      </c>
      <c r="D12275" s="6" t="n">
        <f aca="false">Q!L10</f>
        <v>7.76</v>
      </c>
      <c r="E12275" s="6" t="n">
        <f aca="false">Q!M10</f>
        <v>8.26</v>
      </c>
      <c r="F12275" s="6" t="n">
        <f aca="false">Q!$I$10+(Q!M10-Q!$E$10)*(1+Sens!F12276)</f>
        <v>8.75372082474227</v>
      </c>
      <c r="G12275" s="6" t="n">
        <f aca="false">Sens!F12275*(1+Sens!G12276)</f>
        <v>9.33399324642364</v>
      </c>
      <c r="H12275" s="6" t="n">
        <f aca="false">Sens!G12275*(1+Sens!H12276)</f>
        <v>9.96139155535851</v>
      </c>
      <c r="I12275" s="6" t="n">
        <f aca="false">Sens!H12275*(1+Sens!I12276)</f>
        <v>10.6402039077391</v>
      </c>
      <c r="J12275" s="6" t="n">
        <f aca="false">Sens!I12275*(1+Sens!J12276)</f>
        <v>11.3751458271397</v>
      </c>
      <c r="K12275" s="6" t="n">
        <f aca="false">Sens!J12275*(1+Sens!K12276)</f>
        <v>12.1714060350394</v>
      </c>
      <c r="L12275" s="12" t="s">
        <v>1034</v>
      </c>
    </row>
    <row r="12276" customFormat="false" ht="15" hidden="false" customHeight="false" outlineLevel="0" collapsed="false">
      <c r="A12276" s="1" t="s">
        <v>1024</v>
      </c>
      <c r="B12276" s="0" t="s">
        <v>168</v>
      </c>
      <c r="E12276" s="7" t="n">
        <f aca="false">Sens!E12275/Sens!D12275-1</f>
        <v>0.0644329896907216</v>
      </c>
      <c r="F12276" s="7" t="n">
        <f aca="false">Sens!$E$12276+(glt_fro-Sens!$E$12276)*MIN(1,(Sens!F12221-base_fy)/n_conv)</f>
        <v>0.065360824742268</v>
      </c>
      <c r="G12276" s="7" t="n">
        <f aca="false">Sens!$E$12276+(glt_fro-Sens!$E$12276)*MIN(1,(Sens!G12221-base_fy)/n_conv)</f>
        <v>0.0662886597938144</v>
      </c>
      <c r="H12276" s="7" t="n">
        <f aca="false">Sens!$E$12276+(glt_fro-Sens!$E$12276)*MIN(1,(Sens!H12221-base_fy)/n_conv)</f>
        <v>0.0672164948453608</v>
      </c>
      <c r="I12276" s="7" t="n">
        <f aca="false">Sens!$E$12276+(glt_fro-Sens!$E$12276)*MIN(1,(Sens!I12221-base_fy)/n_conv)</f>
        <v>0.0681443298969072</v>
      </c>
      <c r="J12276" s="7" t="n">
        <f aca="false">Sens!$E$12276+(glt_fro-Sens!$E$12276)*MIN(1,(Sens!J12221-base_fy)/n_conv)</f>
        <v>0.0690721649484536</v>
      </c>
      <c r="K12276" s="7" t="n">
        <f aca="false">Sens!$E$12276+(glt_fro-Sens!$E$12276)*MIN(1,(Sens!K12221-base_fy)/n_conv)</f>
        <v>0.07</v>
      </c>
    </row>
    <row r="12277" customFormat="false" ht="15" hidden="false" customHeight="false" outlineLevel="0" collapsed="false">
      <c r="A12277" s="0" t="s">
        <v>852</v>
      </c>
      <c r="B12277" s="0" t="s">
        <v>98</v>
      </c>
      <c r="D12277" s="6" t="n">
        <f aca="false">Sens!D12265+Sens!D12270+Sens!D12271+Sens!D12273+Sens!D12275</f>
        <v>218.783</v>
      </c>
      <c r="E12277" s="6" t="n">
        <f aca="false">Sens!E12265+Sens!E12270+Sens!E12271+Sens!E12273+Sens!E12275</f>
        <v>268.127</v>
      </c>
      <c r="F12277" s="6" t="n">
        <f aca="false">Sens!F12265+Sens!F12270+Sens!F12271+Sens!F12273+Sens!F12275</f>
        <v>334.748096014336</v>
      </c>
      <c r="G12277" s="6" t="n">
        <f aca="false">Sens!G12265+Sens!G12270+Sens!G12271+Sens!G12273+Sens!G12275</f>
        <v>410.20243494969</v>
      </c>
      <c r="H12277" s="6" t="n">
        <f aca="false">Sens!H12265+Sens!H12270+Sens!H12271+Sens!H12273+Sens!H12275</f>
        <v>487.012857962939</v>
      </c>
      <c r="I12277" s="6" t="n">
        <f aca="false">Sens!I12265+Sens!I12270+Sens!I12271+Sens!I12273+Sens!I12275</f>
        <v>556.962928978464</v>
      </c>
      <c r="J12277" s="6" t="n">
        <f aca="false">Sens!J12265+Sens!J12270+Sens!J12271+Sens!J12273+Sens!J12275</f>
        <v>613.402001017124</v>
      </c>
      <c r="K12277" s="6" t="n">
        <f aca="false">Sens!K12265+Sens!K12270+Sens!K12271+Sens!K12273+Sens!K12275</f>
        <v>657.837590767618</v>
      </c>
    </row>
    <row r="12278" customFormat="false" ht="17.15" hidden="false" customHeight="false" outlineLevel="0" collapsed="false">
      <c r="A12278" s="0" t="s">
        <v>1037</v>
      </c>
      <c r="B12278" s="0" t="s">
        <v>98</v>
      </c>
      <c r="D12278" s="6" t="n">
        <f aca="false">Q!L13</f>
        <v>22.171</v>
      </c>
      <c r="E12278" s="6" t="n">
        <f aca="false">Q!M13</f>
        <v>24.835</v>
      </c>
      <c r="F12278" s="6" t="n">
        <f aca="false">Q!$I$13+(Q!M13-Q!$E$13)*(1+Sens!F12279)</f>
        <v>27.5591895660247</v>
      </c>
      <c r="G12278" s="6" t="n">
        <f aca="false">Sens!F12278*(1+Sens!G12279)</f>
        <v>30.4098563144583</v>
      </c>
      <c r="H12278" s="6" t="n">
        <f aca="false">Sens!G12278*(1+Sens!H12279)</f>
        <v>33.3011792571777</v>
      </c>
      <c r="I12278" s="6" t="n">
        <f aca="false">Sens!H12278*(1+Sens!I12279)</f>
        <v>36.189023797112</v>
      </c>
      <c r="J12278" s="6" t="n">
        <f aca="false">Sens!I12278*(1+Sens!J12279)</f>
        <v>39.0247773769199</v>
      </c>
      <c r="K12278" s="6" t="n">
        <f aca="false">Sens!J12278*(1+Sens!K12279)</f>
        <v>41.7565117933043</v>
      </c>
      <c r="L12278" s="12" t="s">
        <v>1034</v>
      </c>
    </row>
    <row r="12279" customFormat="false" ht="15" hidden="false" customHeight="false" outlineLevel="0" collapsed="false">
      <c r="A12279" s="1" t="s">
        <v>1024</v>
      </c>
      <c r="B12279" s="0" t="s">
        <v>168</v>
      </c>
      <c r="E12279" s="7" t="n">
        <f aca="false">Sens!E12278/Sens!D12278-1</f>
        <v>0.120156961796942</v>
      </c>
      <c r="F12279" s="7" t="n">
        <f aca="false">Sens!$E$12279+(glt_srch-Sens!$E$12279)*MIN(1,(Sens!F12221-base_fy)/n_conv)</f>
        <v>0.111797468164118</v>
      </c>
      <c r="G12279" s="7" t="n">
        <f aca="false">Sens!$E$12279+(glt_srch-Sens!$E$12279)*MIN(1,(Sens!G12221-base_fy)/n_conv)</f>
        <v>0.103437974531295</v>
      </c>
      <c r="H12279" s="7" t="n">
        <f aca="false">Sens!$E$12279+(glt_srch-Sens!$E$12279)*MIN(1,(Sens!H12221-base_fy)/n_conv)</f>
        <v>0.095078480898471</v>
      </c>
      <c r="I12279" s="7" t="n">
        <f aca="false">Sens!$E$12279+(glt_srch-Sens!$E$12279)*MIN(1,(Sens!I12221-base_fy)/n_conv)</f>
        <v>0.0867189872656474</v>
      </c>
      <c r="J12279" s="7" t="n">
        <f aca="false">Sens!$E$12279+(glt_srch-Sens!$E$12279)*MIN(1,(Sens!J12221-base_fy)/n_conv)</f>
        <v>0.0783594936328237</v>
      </c>
      <c r="K12279" s="7" t="n">
        <f aca="false">Sens!$E$12279+(glt_srch-Sens!$E$12279)*MIN(1,(Sens!K12221-base_fy)/n_conv)</f>
        <v>0.07</v>
      </c>
    </row>
    <row r="12280" customFormat="false" ht="17.15" hidden="false" customHeight="false" outlineLevel="0" collapsed="false">
      <c r="A12280" s="0" t="s">
        <v>1038</v>
      </c>
      <c r="B12280" s="0" t="s">
        <v>98</v>
      </c>
      <c r="D12280" s="6" t="n">
        <f aca="false">Q!L14</f>
        <v>23.455</v>
      </c>
      <c r="E12280" s="6" t="n">
        <f aca="false">Q!M14</f>
        <v>21.79</v>
      </c>
      <c r="F12280" s="6" t="n">
        <f aca="false">Q!$I$14+(Q!M14-Q!$E$14)*(1+Sens!F12281)</f>
        <v>20.8335081041711</v>
      </c>
      <c r="G12280" s="6" t="n">
        <f aca="false">Sens!F12280*(1+Sens!G12281)</f>
        <v>20.1947944630466</v>
      </c>
      <c r="H12280" s="6" t="n">
        <f aca="false">Sens!G12280*(1+Sens!H12281)</f>
        <v>19.9828804239412</v>
      </c>
      <c r="I12280" s="6" t="n">
        <f aca="false">Sens!H12280*(1+Sens!I12281)</f>
        <v>20.1761348846602</v>
      </c>
      <c r="J12280" s="6" t="n">
        <f aca="false">Sens!I12280*(1+Sens!J12281)</f>
        <v>20.7780999691978</v>
      </c>
      <c r="K12280" s="6" t="n">
        <f aca="false">Sens!J12280*(1+Sens!K12281)</f>
        <v>21.8170049676577</v>
      </c>
      <c r="L12280" s="12" t="s">
        <v>1034</v>
      </c>
    </row>
    <row r="12281" customFormat="false" ht="15" hidden="false" customHeight="false" outlineLevel="0" collapsed="false">
      <c r="A12281" s="1" t="s">
        <v>1024</v>
      </c>
      <c r="B12281" s="0" t="s">
        <v>168</v>
      </c>
      <c r="E12281" s="7" t="n">
        <f aca="false">Sens!E12280/Sens!D12280-1</f>
        <v>-0.0709869963760392</v>
      </c>
      <c r="F12281" s="7" t="n">
        <f aca="false">Sens!$E$12281+(glt_xbox_hi-Sens!$E$12281)*MIN(1,(Sens!F12221-base_fy)/n_conv)</f>
        <v>-0.0508224969800327</v>
      </c>
      <c r="G12281" s="7" t="n">
        <f aca="false">Sens!$E$12281+(glt_xbox_hi-Sens!$E$12281)*MIN(1,(Sens!G12221-base_fy)/n_conv)</f>
        <v>-0.0306579975840262</v>
      </c>
      <c r="H12281" s="7" t="n">
        <f aca="false">Sens!$E$12281+(glt_xbox_hi-Sens!$E$12281)*MIN(1,(Sens!H12221-base_fy)/n_conv)</f>
        <v>-0.0104934981880196</v>
      </c>
      <c r="I12281" s="7" t="n">
        <f aca="false">Sens!$E$12281+(glt_xbox_hi-Sens!$E$12281)*MIN(1,(Sens!I12221-base_fy)/n_conv)</f>
        <v>0.00967100120798692</v>
      </c>
      <c r="J12281" s="7" t="n">
        <f aca="false">Sens!$E$12281+(glt_xbox_hi-Sens!$E$12281)*MIN(1,(Sens!J12221-base_fy)/n_conv)</f>
        <v>0.0298355006039935</v>
      </c>
      <c r="K12281" s="7" t="n">
        <f aca="false">Sens!$E$12281+(glt_xbox_hi-Sens!$E$12281)*MIN(1,(Sens!K12221-base_fy)/n_conv)</f>
        <v>0.05</v>
      </c>
    </row>
    <row r="12282" customFormat="false" ht="17.15" hidden="false" customHeight="false" outlineLevel="0" collapsed="false">
      <c r="A12282" s="0" t="s">
        <v>1039</v>
      </c>
      <c r="B12282" s="0" t="s">
        <v>98</v>
      </c>
      <c r="D12282" s="6" t="n">
        <f aca="false">Q!L15</f>
        <v>17.315</v>
      </c>
      <c r="E12282" s="6" t="n">
        <f aca="false">Q!M15</f>
        <v>17.087</v>
      </c>
      <c r="F12282" s="6" t="n">
        <f aca="false">Q!$I$15+(Q!M15-Q!$E$15)*(1+Sens!F12283)</f>
        <v>15.9912273250553</v>
      </c>
      <c r="G12282" s="6" t="n">
        <f aca="false">Sens!F12282*(1+Sens!G12283)</f>
        <v>15.9574562664827</v>
      </c>
      <c r="H12282" s="6" t="n">
        <f aca="false">Sens!G12282*(1+Sens!H12283)</f>
        <v>16.0119687434196</v>
      </c>
      <c r="I12282" s="6" t="n">
        <f aca="false">Sens!H12282*(1+Sens!I12283)</f>
        <v>16.1551810001948</v>
      </c>
      <c r="J12282" s="6" t="n">
        <f aca="false">Sens!I12282*(1+Sens!J12283)</f>
        <v>16.3889793892005</v>
      </c>
      <c r="K12282" s="6" t="n">
        <f aca="false">Sens!J12282*(1+Sens!K12283)</f>
        <v>16.7167589769845</v>
      </c>
      <c r="L12282" s="12" t="s">
        <v>1034</v>
      </c>
    </row>
    <row r="12283" customFormat="false" ht="15" hidden="false" customHeight="false" outlineLevel="0" collapsed="false">
      <c r="A12283" s="1" t="s">
        <v>1024</v>
      </c>
      <c r="B12283" s="0" t="s">
        <v>168</v>
      </c>
      <c r="E12283" s="7" t="n">
        <f aca="false">Sens!E12282/Sens!D12282-1</f>
        <v>-0.0131677736066995</v>
      </c>
      <c r="F12283" s="7" t="n">
        <f aca="false">Sens!$E$12283+(glt_win-Sens!$E$12283)*MIN(1,(Sens!F12221-base_fy)/n_conv)</f>
        <v>-0.00763981133891627</v>
      </c>
      <c r="G12283" s="7" t="n">
        <f aca="false">Sens!$E$12283+(glt_win-Sens!$E$12283)*MIN(1,(Sens!G12221-base_fy)/n_conv)</f>
        <v>-0.00211184907113301</v>
      </c>
      <c r="H12283" s="7" t="n">
        <f aca="false">Sens!$E$12283+(glt_win-Sens!$E$12283)*MIN(1,(Sens!H12221-base_fy)/n_conv)</f>
        <v>0.00341611319665024</v>
      </c>
      <c r="I12283" s="7" t="n">
        <f aca="false">Sens!$E$12283+(glt_win-Sens!$E$12283)*MIN(1,(Sens!I12221-base_fy)/n_conv)</f>
        <v>0.00894407546443349</v>
      </c>
      <c r="J12283" s="7" t="n">
        <f aca="false">Sens!$E$12283+(glt_win-Sens!$E$12283)*MIN(1,(Sens!J12221-base_fy)/n_conv)</f>
        <v>0.0144720377322168</v>
      </c>
      <c r="K12283" s="7" t="n">
        <f aca="false">Sens!$E$12283+(glt_win-Sens!$E$12283)*MIN(1,(Sens!K12221-base_fy)/n_conv)</f>
        <v>0.02</v>
      </c>
    </row>
    <row r="12284" customFormat="false" ht="15" hidden="false" customHeight="false" outlineLevel="0" collapsed="false">
      <c r="A12284" s="0" t="s">
        <v>866</v>
      </c>
      <c r="B12284" s="0" t="s">
        <v>98</v>
      </c>
      <c r="D12284" s="6" t="n">
        <f aca="false">Sens!D12278+Sens!D12280+Sens!D12282</f>
        <v>62.941</v>
      </c>
      <c r="E12284" s="6" t="n">
        <f aca="false">Sens!E12278+Sens!E12280+Sens!E12282</f>
        <v>63.712</v>
      </c>
      <c r="F12284" s="6" t="n">
        <f aca="false">Sens!F12278+Sens!F12280+Sens!F12282</f>
        <v>64.3839249952511</v>
      </c>
      <c r="G12284" s="6" t="n">
        <f aca="false">Sens!G12278+Sens!G12280+Sens!G12282</f>
        <v>66.5621070439876</v>
      </c>
      <c r="H12284" s="6" t="n">
        <f aca="false">Sens!H12278+Sens!H12280+Sens!H12282</f>
        <v>69.2960284245385</v>
      </c>
      <c r="I12284" s="6" t="n">
        <f aca="false">Sens!I12278+Sens!I12280+Sens!I12282</f>
        <v>72.520339681967</v>
      </c>
      <c r="J12284" s="6" t="n">
        <f aca="false">Sens!J12278+Sens!J12280+Sens!J12282</f>
        <v>76.1918567353181</v>
      </c>
      <c r="K12284" s="6" t="n">
        <f aca="false">Sens!K12278+Sens!K12280+Sens!K12282</f>
        <v>80.2902757379464</v>
      </c>
    </row>
    <row r="12285" customFormat="false" ht="15" hidden="false" customHeight="false" outlineLevel="0" collapsed="false">
      <c r="A12285" s="1" t="s">
        <v>1040</v>
      </c>
      <c r="B12285" s="0" t="s">
        <v>98</v>
      </c>
      <c r="D12285" s="6" t="n">
        <f aca="false">Sens!D12277+Sens!D12284</f>
        <v>281.724</v>
      </c>
      <c r="E12285" s="6" t="n">
        <f aca="false">Sens!E12277+Sens!E12284</f>
        <v>331.839</v>
      </c>
      <c r="F12285" s="6" t="n">
        <f aca="false">Sens!F12277+Sens!F12284</f>
        <v>399.132021009588</v>
      </c>
      <c r="G12285" s="6" t="n">
        <f aca="false">Sens!G12277+Sens!G12284</f>
        <v>476.764541993678</v>
      </c>
      <c r="H12285" s="6" t="n">
        <f aca="false">Sens!H12277+Sens!H12284</f>
        <v>556.308886387478</v>
      </c>
      <c r="I12285" s="6" t="n">
        <f aca="false">Sens!I12277+Sens!I12284</f>
        <v>629.483268660431</v>
      </c>
      <c r="J12285" s="6" t="n">
        <f aca="false">Sens!J12277+Sens!J12284</f>
        <v>689.593857752442</v>
      </c>
      <c r="K12285" s="6" t="n">
        <f aca="false">Sens!K12277+Sens!K12284</f>
        <v>738.127866505565</v>
      </c>
    </row>
    <row r="12286" customFormat="false" ht="15" hidden="false" customHeight="false" outlineLevel="0" collapsed="false">
      <c r="A12286" s="26" t="s">
        <v>1041</v>
      </c>
      <c r="B12286" s="31" t="s">
        <v>98</v>
      </c>
      <c r="C12286" s="31"/>
      <c r="D12286" s="27" t="n">
        <f aca="false">(Sens!D12265+Sens!D12270+Sens!D12271+Sens!D12273+Sens!D12275-Sens!D12277)+(Sens!D12278+Sens!D12280+Sens!D12282-Sens!D12284)+(Sens!D12277-Q!L5)+(Sens!D12284-Q!L12)+(Sens!D12265-Q!L6)+(Sens!D12270-Q!L7)</f>
        <v>0</v>
      </c>
      <c r="E12286" s="27" t="n">
        <f aca="false">(Sens!E12265+Sens!E12270+Sens!E12271+Sens!E12273+Sens!E12275-Sens!E12277)+(Sens!E12278+Sens!E12280+Sens!E12282-Sens!E12284)+(Sens!E12277-Q!M5)+(Sens!E12284-Q!M12)+(Sens!E12265-Q!M6)+(Sens!E12270-Q!M7)</f>
        <v>0</v>
      </c>
      <c r="F12286" s="27" t="n">
        <f aca="false">(Sens!F12265+Sens!F12270+Sens!F12271+Sens!F12273+Sens!F12275-Sens!F12277)+(Sens!F12278+Sens!F12280+Sens!F12282-Sens!F12284)</f>
        <v>0</v>
      </c>
      <c r="G12286" s="27" t="n">
        <f aca="false">(Sens!G12265+Sens!G12270+Sens!G12271+Sens!G12273+Sens!G12275-Sens!G12277)+(Sens!G12278+Sens!G12280+Sens!G12282-Sens!G12284)</f>
        <v>0</v>
      </c>
      <c r="H12286" s="27" t="n">
        <f aca="false">(Sens!H12265+Sens!H12270+Sens!H12271+Sens!H12273+Sens!H12275-Sens!H12277)+(Sens!H12278+Sens!H12280+Sens!H12282-Sens!H12284)</f>
        <v>0</v>
      </c>
      <c r="I12286" s="27" t="n">
        <f aca="false">(Sens!I12265+Sens!I12270+Sens!I12271+Sens!I12273+Sens!I12275-Sens!I12277)+(Sens!I12278+Sens!I12280+Sens!I12282-Sens!I12284)</f>
        <v>0</v>
      </c>
      <c r="J12286" s="27" t="n">
        <f aca="false">(Sens!J12265+Sens!J12270+Sens!J12271+Sens!J12273+Sens!J12275-Sens!J12277)+(Sens!J12278+Sens!J12280+Sens!J12282-Sens!J12284)</f>
        <v>0</v>
      </c>
      <c r="K12286" s="27" t="n">
        <f aca="false">(Sens!K12265+Sens!K12270+Sens!K12271+Sens!K12273+Sens!K12275-Sens!K12277)+(Sens!K12278+Sens!K12280+Sens!K12282-Sens!K12284)</f>
        <v>0</v>
      </c>
    </row>
    <row r="12287" customFormat="false" ht="17.15" hidden="false" customHeight="false" outlineLevel="0" collapsed="false">
      <c r="A12287" s="3" t="s">
        <v>1787</v>
      </c>
    </row>
    <row r="12288" customFormat="false" ht="15" hidden="false" customHeight="false" outlineLevel="0" collapsed="false">
      <c r="A12288" s="4" t="s">
        <v>43</v>
      </c>
      <c r="B12288" s="4" t="s">
        <v>65</v>
      </c>
      <c r="C12288" s="23" t="s">
        <v>938</v>
      </c>
      <c r="D12288" s="23" t="s">
        <v>939</v>
      </c>
      <c r="E12288" s="23" t="s">
        <v>940</v>
      </c>
      <c r="F12288" s="23" t="s">
        <v>941</v>
      </c>
      <c r="G12288" s="23" t="s">
        <v>942</v>
      </c>
      <c r="H12288" s="23" t="s">
        <v>943</v>
      </c>
      <c r="I12288" s="23" t="s">
        <v>944</v>
      </c>
      <c r="J12288" s="23" t="s">
        <v>945</v>
      </c>
      <c r="K12288" s="23" t="s">
        <v>946</v>
      </c>
      <c r="L12288" s="4" t="s">
        <v>47</v>
      </c>
    </row>
    <row r="12289" customFormat="false" ht="15" hidden="false" customHeight="false" outlineLevel="0" collapsed="false">
      <c r="A12289" s="0" t="s">
        <v>1025</v>
      </c>
      <c r="B12289" s="0" t="s">
        <v>98</v>
      </c>
      <c r="D12289" s="6" t="n">
        <f aca="false">Sens!D12265</f>
        <v>72.61</v>
      </c>
      <c r="E12289" s="6" t="n">
        <f aca="false">Sens!E12265</f>
        <v>101.938</v>
      </c>
      <c r="F12289" s="6" t="n">
        <f aca="false">Sens!F12265</f>
        <v>146.709048000181</v>
      </c>
      <c r="G12289" s="6" t="n">
        <f aca="false">Sens!G12265</f>
        <v>199.762829861393</v>
      </c>
      <c r="H12289" s="6" t="n">
        <f aca="false">Sens!H12265</f>
        <v>254.146566109645</v>
      </c>
      <c r="I12289" s="6" t="n">
        <f aca="false">Sens!I12265</f>
        <v>303.439446964617</v>
      </c>
      <c r="J12289" s="6" t="n">
        <f aca="false">Sens!J12265</f>
        <v>341.309898459739</v>
      </c>
      <c r="K12289" s="6" t="n">
        <f aca="false">Sens!K12265</f>
        <v>368.09747789654</v>
      </c>
    </row>
    <row r="12290" customFormat="false" ht="17.15" hidden="false" customHeight="false" outlineLevel="0" collapsed="false">
      <c r="A12290" s="0" t="s">
        <v>1021</v>
      </c>
      <c r="B12290" s="0" t="s">
        <v>98</v>
      </c>
      <c r="D12290" s="6" t="n">
        <f aca="false">Sens!D12262</f>
        <v>12.9359794422418</v>
      </c>
      <c r="E12290" s="6" t="n">
        <f aca="false">Sens!E12262</f>
        <v>27.8095064661409</v>
      </c>
      <c r="F12290" s="6" t="n">
        <f aca="false">Sens!F12262</f>
        <v>55.4118315060966</v>
      </c>
      <c r="G12290" s="6" t="n">
        <f aca="false">Sens!G12262</f>
        <v>91.2881100675143</v>
      </c>
      <c r="H12290" s="6" t="n">
        <f aca="false">Sens!H12262</f>
        <v>128.195273603944</v>
      </c>
      <c r="I12290" s="6" t="n">
        <f aca="false">Sens!I12262</f>
        <v>160.601281810405</v>
      </c>
      <c r="J12290" s="6" t="n">
        <f aca="false">Sens!J12262</f>
        <v>183.182719793589</v>
      </c>
      <c r="K12290" s="6" t="n">
        <f aca="false">Sens!K12262</f>
        <v>197.320124937098</v>
      </c>
    </row>
    <row r="12291" customFormat="false" ht="17.15" hidden="false" customHeight="false" outlineLevel="0" collapsed="false">
      <c r="A12291" s="0" t="s">
        <v>1052</v>
      </c>
      <c r="B12291" s="0" t="s">
        <v>98</v>
      </c>
      <c r="D12291" s="6" t="n">
        <f aca="false">Sens!D12263</f>
        <v>59.6740205577583</v>
      </c>
      <c r="E12291" s="6" t="n">
        <f aca="false">Sens!E12263</f>
        <v>74.1284935338591</v>
      </c>
      <c r="F12291" s="6" t="n">
        <f aca="false">Sens!F12263</f>
        <v>91.2972164940844</v>
      </c>
      <c r="G12291" s="6" t="n">
        <f aca="false">Sens!G12263</f>
        <v>108.474719793879</v>
      </c>
      <c r="H12291" s="6" t="n">
        <f aca="false">Sens!H12263</f>
        <v>125.951292505701</v>
      </c>
      <c r="I12291" s="6" t="n">
        <f aca="false">Sens!I12263</f>
        <v>142.838165154212</v>
      </c>
      <c r="J12291" s="6" t="n">
        <f aca="false">Sens!J12263</f>
        <v>158.12717866615</v>
      </c>
      <c r="K12291" s="6" t="n">
        <f aca="false">Sens!K12263</f>
        <v>170.777352959442</v>
      </c>
    </row>
    <row r="12292" customFormat="false" ht="15" hidden="false" customHeight="false" outlineLevel="0" collapsed="false">
      <c r="A12292" s="0" t="s">
        <v>1032</v>
      </c>
      <c r="B12292" s="0" t="s">
        <v>98</v>
      </c>
      <c r="D12292" s="6" t="n">
        <f aca="false">Sens!D12270</f>
        <v>84.605</v>
      </c>
      <c r="E12292" s="6" t="n">
        <f aca="false">Sens!E12270</f>
        <v>100.299</v>
      </c>
      <c r="F12292" s="6" t="n">
        <f aca="false">Sens!F12270</f>
        <v>118.584003697747</v>
      </c>
      <c r="G12292" s="6" t="n">
        <f aca="false">Sens!G12270</f>
        <v>136.700726545688</v>
      </c>
      <c r="H12292" s="6" t="n">
        <f aca="false">Sens!H12270</f>
        <v>154.898624783666</v>
      </c>
      <c r="I12292" s="6" t="n">
        <f aca="false">Sens!I12270</f>
        <v>171.420510030657</v>
      </c>
      <c r="J12292" s="6" t="n">
        <f aca="false">Sens!J12270</f>
        <v>185.985722618572</v>
      </c>
      <c r="K12292" s="6" t="n">
        <f aca="false">Sens!K12270</f>
        <v>199.799723201872</v>
      </c>
    </row>
    <row r="12293" customFormat="false" ht="17.15" hidden="false" customHeight="false" outlineLevel="0" collapsed="false">
      <c r="A12293" s="0" t="s">
        <v>1053</v>
      </c>
      <c r="B12293" s="0" t="s">
        <v>98</v>
      </c>
      <c r="D12293" s="6" t="n">
        <f aca="false">Sens!D12268</f>
        <v>83.705</v>
      </c>
      <c r="E12293" s="6" t="n">
        <f aca="false">Sens!E12268</f>
        <v>95.049</v>
      </c>
      <c r="F12293" s="6" t="n">
        <f aca="false">Sens!F12268</f>
        <v>106.584003697747</v>
      </c>
      <c r="G12293" s="6" t="n">
        <f aca="false">Sens!G12268</f>
        <v>118.700726545688</v>
      </c>
      <c r="H12293" s="6" t="n">
        <f aca="false">Sens!H12268</f>
        <v>130.898624783666</v>
      </c>
      <c r="I12293" s="6" t="n">
        <f aca="false">Sens!I12268</f>
        <v>142.920510030657</v>
      </c>
      <c r="J12293" s="6" t="n">
        <f aca="false">Sens!J12268</f>
        <v>154.485722618572</v>
      </c>
      <c r="K12293" s="6" t="n">
        <f aca="false">Sens!K12268</f>
        <v>165.299723201872</v>
      </c>
    </row>
    <row r="12294" customFormat="false" ht="17.15" hidden="false" customHeight="false" outlineLevel="0" collapsed="false">
      <c r="A12294" s="0" t="s">
        <v>1054</v>
      </c>
      <c r="B12294" s="0" t="s">
        <v>98</v>
      </c>
      <c r="D12294" s="6" t="n">
        <f aca="false">Sens!D12267</f>
        <v>0.9</v>
      </c>
      <c r="E12294" s="6" t="n">
        <f aca="false">Sens!E12267</f>
        <v>5.25</v>
      </c>
      <c r="F12294" s="6" t="n">
        <f aca="false">Sens!F12267</f>
        <v>12</v>
      </c>
      <c r="G12294" s="6" t="n">
        <f aca="false">Sens!G12267</f>
        <v>18</v>
      </c>
      <c r="H12294" s="6" t="n">
        <f aca="false">Sens!H12267</f>
        <v>24</v>
      </c>
      <c r="I12294" s="6" t="n">
        <f aca="false">Sens!I12267</f>
        <v>28.5</v>
      </c>
      <c r="J12294" s="6" t="n">
        <f aca="false">Sens!J12267</f>
        <v>31.5</v>
      </c>
      <c r="K12294" s="6" t="n">
        <f aca="false">Sens!K12267</f>
        <v>34.5</v>
      </c>
    </row>
    <row r="12295" customFormat="false" ht="15" hidden="false" customHeight="false" outlineLevel="0" collapsed="false">
      <c r="A12295" s="0" t="s">
        <v>1033</v>
      </c>
      <c r="B12295" s="0" t="s">
        <v>98</v>
      </c>
      <c r="D12295" s="6" t="n">
        <f aca="false">Sens!D12271</f>
        <v>35.391</v>
      </c>
      <c r="E12295" s="6" t="n">
        <f aca="false">Sens!E12271</f>
        <v>37.285</v>
      </c>
      <c r="F12295" s="6" t="n">
        <f aca="false">Sens!F12271</f>
        <v>38.3851437782675</v>
      </c>
      <c r="G12295" s="6" t="n">
        <f aca="false">Sens!G12271</f>
        <v>40.0105353288615</v>
      </c>
      <c r="H12295" s="6" t="n">
        <f aca="false">Sens!H12271</f>
        <v>41.4812512033683</v>
      </c>
      <c r="I12295" s="6" t="n">
        <f aca="false">Sens!I12271</f>
        <v>42.7743107216329</v>
      </c>
      <c r="J12295" s="6" t="n">
        <f aca="false">Sens!J12271</f>
        <v>43.8687373064601</v>
      </c>
      <c r="K12295" s="6" t="n">
        <f aca="false">Sens!K12271</f>
        <v>44.7461120525893</v>
      </c>
    </row>
    <row r="12296" customFormat="false" ht="15" hidden="false" customHeight="false" outlineLevel="0" collapsed="false">
      <c r="A12296" s="0" t="s">
        <v>1035</v>
      </c>
      <c r="B12296" s="0" t="s">
        <v>98</v>
      </c>
      <c r="D12296" s="6" t="n">
        <f aca="false">Sens!D12273</f>
        <v>18.417</v>
      </c>
      <c r="E12296" s="6" t="n">
        <f aca="false">Sens!E12273</f>
        <v>20.345</v>
      </c>
      <c r="F12296" s="6" t="n">
        <f aca="false">Sens!F12273</f>
        <v>22.3161797133988</v>
      </c>
      <c r="G12296" s="6" t="n">
        <f aca="false">Sens!G12273</f>
        <v>24.3943499673233</v>
      </c>
      <c r="H12296" s="6" t="n">
        <f aca="false">Sens!H12273</f>
        <v>26.5250243109019</v>
      </c>
      <c r="I12296" s="6" t="n">
        <f aca="false">Sens!I12273</f>
        <v>28.6884573538181</v>
      </c>
      <c r="J12296" s="6" t="n">
        <f aca="false">Sens!J12273</f>
        <v>30.8624968052127</v>
      </c>
      <c r="K12296" s="6" t="n">
        <f aca="false">Sens!K12273</f>
        <v>33.0228715815776</v>
      </c>
    </row>
    <row r="12297" customFormat="false" ht="15" hidden="false" customHeight="false" outlineLevel="0" collapsed="false">
      <c r="A12297" s="0" t="s">
        <v>1036</v>
      </c>
      <c r="B12297" s="0" t="s">
        <v>98</v>
      </c>
      <c r="D12297" s="6" t="n">
        <f aca="false">Sens!D12275</f>
        <v>7.76</v>
      </c>
      <c r="E12297" s="6" t="n">
        <f aca="false">Sens!E12275</f>
        <v>8.26</v>
      </c>
      <c r="F12297" s="6" t="n">
        <f aca="false">Sens!F12275</f>
        <v>8.75372082474227</v>
      </c>
      <c r="G12297" s="6" t="n">
        <f aca="false">Sens!G12275</f>
        <v>9.33399324642364</v>
      </c>
      <c r="H12297" s="6" t="n">
        <f aca="false">Sens!H12275</f>
        <v>9.96139155535851</v>
      </c>
      <c r="I12297" s="6" t="n">
        <f aca="false">Sens!I12275</f>
        <v>10.6402039077391</v>
      </c>
      <c r="J12297" s="6" t="n">
        <f aca="false">Sens!J12275</f>
        <v>11.3751458271397</v>
      </c>
      <c r="K12297" s="6" t="n">
        <f aca="false">Sens!K12275</f>
        <v>12.1714060350394</v>
      </c>
    </row>
    <row r="12298" customFormat="false" ht="15" hidden="false" customHeight="false" outlineLevel="0" collapsed="false">
      <c r="A12298" s="0" t="s">
        <v>852</v>
      </c>
      <c r="B12298" s="0" t="s">
        <v>98</v>
      </c>
      <c r="D12298" s="6" t="n">
        <f aca="false">Sens!D12277</f>
        <v>218.783</v>
      </c>
      <c r="E12298" s="6" t="n">
        <f aca="false">Sens!E12277</f>
        <v>268.127</v>
      </c>
      <c r="F12298" s="6" t="n">
        <f aca="false">Sens!F12277</f>
        <v>334.748096014336</v>
      </c>
      <c r="G12298" s="6" t="n">
        <f aca="false">Sens!G12277</f>
        <v>410.20243494969</v>
      </c>
      <c r="H12298" s="6" t="n">
        <f aca="false">Sens!H12277</f>
        <v>487.012857962939</v>
      </c>
      <c r="I12298" s="6" t="n">
        <f aca="false">Sens!I12277</f>
        <v>556.962928978464</v>
      </c>
      <c r="J12298" s="6" t="n">
        <f aca="false">Sens!J12277</f>
        <v>613.402001017124</v>
      </c>
      <c r="K12298" s="6" t="n">
        <f aca="false">Sens!K12277</f>
        <v>657.837590767618</v>
      </c>
    </row>
    <row r="12299" customFormat="false" ht="15" hidden="false" customHeight="false" outlineLevel="0" collapsed="false">
      <c r="A12299" s="0" t="s">
        <v>1037</v>
      </c>
      <c r="B12299" s="0" t="s">
        <v>98</v>
      </c>
      <c r="D12299" s="6" t="n">
        <f aca="false">Sens!D12278</f>
        <v>22.171</v>
      </c>
      <c r="E12299" s="6" t="n">
        <f aca="false">Sens!E12278</f>
        <v>24.835</v>
      </c>
      <c r="F12299" s="6" t="n">
        <f aca="false">Sens!F12278</f>
        <v>27.5591895660247</v>
      </c>
      <c r="G12299" s="6" t="n">
        <f aca="false">Sens!G12278</f>
        <v>30.4098563144583</v>
      </c>
      <c r="H12299" s="6" t="n">
        <f aca="false">Sens!H12278</f>
        <v>33.3011792571777</v>
      </c>
      <c r="I12299" s="6" t="n">
        <f aca="false">Sens!I12278</f>
        <v>36.189023797112</v>
      </c>
      <c r="J12299" s="6" t="n">
        <f aca="false">Sens!J12278</f>
        <v>39.0247773769199</v>
      </c>
      <c r="K12299" s="6" t="n">
        <f aca="false">Sens!K12278</f>
        <v>41.7565117933043</v>
      </c>
    </row>
    <row r="12300" customFormat="false" ht="15" hidden="false" customHeight="false" outlineLevel="0" collapsed="false">
      <c r="A12300" s="0" t="s">
        <v>1038</v>
      </c>
      <c r="B12300" s="0" t="s">
        <v>98</v>
      </c>
      <c r="D12300" s="6" t="n">
        <f aca="false">Sens!D12280</f>
        <v>23.455</v>
      </c>
      <c r="E12300" s="6" t="n">
        <f aca="false">Sens!E12280</f>
        <v>21.79</v>
      </c>
      <c r="F12300" s="6" t="n">
        <f aca="false">Sens!F12280</f>
        <v>20.8335081041711</v>
      </c>
      <c r="G12300" s="6" t="n">
        <f aca="false">Sens!G12280</f>
        <v>20.1947944630466</v>
      </c>
      <c r="H12300" s="6" t="n">
        <f aca="false">Sens!H12280</f>
        <v>19.9828804239412</v>
      </c>
      <c r="I12300" s="6" t="n">
        <f aca="false">Sens!I12280</f>
        <v>20.1761348846602</v>
      </c>
      <c r="J12300" s="6" t="n">
        <f aca="false">Sens!J12280</f>
        <v>20.7780999691978</v>
      </c>
      <c r="K12300" s="6" t="n">
        <f aca="false">Sens!K12280</f>
        <v>21.8170049676577</v>
      </c>
    </row>
    <row r="12301" customFormat="false" ht="15" hidden="false" customHeight="false" outlineLevel="0" collapsed="false">
      <c r="A12301" s="0" t="s">
        <v>1039</v>
      </c>
      <c r="B12301" s="0" t="s">
        <v>98</v>
      </c>
      <c r="D12301" s="6" t="n">
        <f aca="false">Sens!D12282</f>
        <v>17.315</v>
      </c>
      <c r="E12301" s="6" t="n">
        <f aca="false">Sens!E12282</f>
        <v>17.087</v>
      </c>
      <c r="F12301" s="6" t="n">
        <f aca="false">Sens!F12282</f>
        <v>15.9912273250553</v>
      </c>
      <c r="G12301" s="6" t="n">
        <f aca="false">Sens!G12282</f>
        <v>15.9574562664827</v>
      </c>
      <c r="H12301" s="6" t="n">
        <f aca="false">Sens!H12282</f>
        <v>16.0119687434196</v>
      </c>
      <c r="I12301" s="6" t="n">
        <f aca="false">Sens!I12282</f>
        <v>16.1551810001948</v>
      </c>
      <c r="J12301" s="6" t="n">
        <f aca="false">Sens!J12282</f>
        <v>16.3889793892005</v>
      </c>
      <c r="K12301" s="6" t="n">
        <f aca="false">Sens!K12282</f>
        <v>16.7167589769845</v>
      </c>
    </row>
    <row r="12302" customFormat="false" ht="15" hidden="false" customHeight="false" outlineLevel="0" collapsed="false">
      <c r="A12302" s="0" t="s">
        <v>866</v>
      </c>
      <c r="B12302" s="0" t="s">
        <v>98</v>
      </c>
      <c r="D12302" s="6" t="n">
        <f aca="false">Sens!D12284</f>
        <v>62.941</v>
      </c>
      <c r="E12302" s="6" t="n">
        <f aca="false">Sens!E12284</f>
        <v>63.712</v>
      </c>
      <c r="F12302" s="6" t="n">
        <f aca="false">Sens!F12284</f>
        <v>64.3839249952511</v>
      </c>
      <c r="G12302" s="6" t="n">
        <f aca="false">Sens!G12284</f>
        <v>66.5621070439876</v>
      </c>
      <c r="H12302" s="6" t="n">
        <f aca="false">Sens!H12284</f>
        <v>69.2960284245385</v>
      </c>
      <c r="I12302" s="6" t="n">
        <f aca="false">Sens!I12284</f>
        <v>72.520339681967</v>
      </c>
      <c r="J12302" s="6" t="n">
        <f aca="false">Sens!J12284</f>
        <v>76.1918567353181</v>
      </c>
      <c r="K12302" s="6" t="n">
        <f aca="false">Sens!K12284</f>
        <v>80.2902757379464</v>
      </c>
    </row>
    <row r="12303" customFormat="false" ht="15" hidden="false" customHeight="false" outlineLevel="0" collapsed="false">
      <c r="A12303" s="1" t="s">
        <v>1055</v>
      </c>
      <c r="B12303" s="0" t="s">
        <v>98</v>
      </c>
      <c r="D12303" s="6" t="n">
        <f aca="false">Sens!D12285</f>
        <v>281.724</v>
      </c>
      <c r="E12303" s="6" t="n">
        <f aca="false">Sens!E12285</f>
        <v>331.839</v>
      </c>
      <c r="F12303" s="6" t="n">
        <f aca="false">Sens!F12285</f>
        <v>399.132021009588</v>
      </c>
      <c r="G12303" s="6" t="n">
        <f aca="false">Sens!G12285</f>
        <v>476.764541993678</v>
      </c>
      <c r="H12303" s="6" t="n">
        <f aca="false">Sens!H12285</f>
        <v>556.308886387478</v>
      </c>
      <c r="I12303" s="6" t="n">
        <f aca="false">Sens!I12285</f>
        <v>629.483268660431</v>
      </c>
      <c r="J12303" s="6" t="n">
        <f aca="false">Sens!J12285</f>
        <v>689.593857752442</v>
      </c>
      <c r="K12303" s="6" t="n">
        <f aca="false">Sens!K12285</f>
        <v>738.127866505565</v>
      </c>
    </row>
    <row r="12304" customFormat="false" ht="15" hidden="false" customHeight="false" outlineLevel="0" collapsed="false">
      <c r="A12304" s="1" t="s">
        <v>1056</v>
      </c>
      <c r="B12304" s="0" t="s">
        <v>168</v>
      </c>
      <c r="E12304" s="7" t="n">
        <f aca="false">Sens!E12303/Sens!D12303-1</f>
        <v>0.177886867998467</v>
      </c>
      <c r="F12304" s="7" t="n">
        <f aca="false">Sens!F12303/Sens!E12303-1</f>
        <v>0.202788162360625</v>
      </c>
      <c r="G12304" s="7" t="n">
        <f aca="false">Sens!G12303/Sens!F12303-1</f>
        <v>0.194503364545199</v>
      </c>
      <c r="H12304" s="7" t="n">
        <f aca="false">Sens!H12303/Sens!G12303-1</f>
        <v>0.166841988838287</v>
      </c>
      <c r="I12304" s="7" t="n">
        <f aca="false">Sens!I12303/Sens!H12303-1</f>
        <v>0.131535526509613</v>
      </c>
      <c r="J12304" s="7" t="n">
        <f aca="false">Sens!J12303/Sens!I12303-1</f>
        <v>0.0954919567916852</v>
      </c>
      <c r="K12304" s="7" t="n">
        <f aca="false">Sens!K12303/Sens!J12303-1</f>
        <v>0.0703805699652071</v>
      </c>
    </row>
    <row r="12305" customFormat="false" ht="17.15" hidden="false" customHeight="false" outlineLevel="0" collapsed="false">
      <c r="A12305" s="26" t="s">
        <v>1057</v>
      </c>
      <c r="B12305" s="31" t="s">
        <v>98</v>
      </c>
      <c r="C12305" s="31"/>
      <c r="D12305" s="27" t="n">
        <f aca="false">(Sens!D12298+Sens!D12302-Sens!D12303)+(Sens!D12290+Sens!D12291-Sens!D12289)+(Sens!D12293+Sens!D12294-Sens!D12292)+(Sens!D12303-Q!L18)</f>
        <v>0</v>
      </c>
      <c r="E12305" s="27" t="n">
        <f aca="false">(Sens!E12298+Sens!E12302-Sens!E12303)+(Sens!E12290+Sens!E12291-Sens!E12289)+(Sens!E12293+Sens!E12294-Sens!E12292)+(Sens!E12303-Q!M18)</f>
        <v>0</v>
      </c>
      <c r="F12305" s="27" t="n">
        <f aca="false">(Sens!F12298+Sens!F12302-Sens!F12303)+(Sens!F12290+Sens!F12291-Sens!F12289)+(Sens!F12293+Sens!F12294-Sens!F12292)</f>
        <v>0</v>
      </c>
      <c r="G12305" s="27" t="n">
        <f aca="false">(Sens!G12298+Sens!G12302-Sens!G12303)+(Sens!G12290+Sens!G12291-Sens!G12289)+(Sens!G12293+Sens!G12294-Sens!G12292)</f>
        <v>0</v>
      </c>
      <c r="H12305" s="27" t="n">
        <f aca="false">(Sens!H12298+Sens!H12302-Sens!H12303)+(Sens!H12290+Sens!H12291-Sens!H12289)+(Sens!H12293+Sens!H12294-Sens!H12292)</f>
        <v>0</v>
      </c>
      <c r="I12305" s="27" t="n">
        <f aca="false">(Sens!I12298+Sens!I12302-Sens!I12303)+(Sens!I12290+Sens!I12291-Sens!I12289)+(Sens!I12293+Sens!I12294-Sens!I12292)</f>
        <v>0</v>
      </c>
      <c r="J12305" s="27" t="n">
        <f aca="false">(Sens!J12298+Sens!J12302-Sens!J12303)+(Sens!J12290+Sens!J12291-Sens!J12289)+(Sens!J12293+Sens!J12294-Sens!J12292)</f>
        <v>0</v>
      </c>
      <c r="K12305" s="27" t="n">
        <f aca="false">(Sens!K12298+Sens!K12302-Sens!K12303)+(Sens!K12290+Sens!K12291-Sens!K12289)+(Sens!K12293+Sens!K12294-Sens!K12292)</f>
        <v>0</v>
      </c>
    </row>
    <row r="12306" customFormat="false" ht="17.15" hidden="false" customHeight="false" outlineLevel="0" collapsed="false">
      <c r="A12306" s="0" t="s">
        <v>1058</v>
      </c>
      <c r="B12306" s="0" t="s">
        <v>168</v>
      </c>
      <c r="E12306" s="7" t="n">
        <f aca="false">(Q!M21+Sens!E12242+Sens!E12243+Sens!E12244+Sens!E12258-Sens!E12240)/(Q!M5-Sens!E12240)</f>
        <v>0.570957350878296</v>
      </c>
      <c r="F12306" s="7" t="n">
        <f aca="false">Sens!$E$12306+dm_seg</f>
        <v>0.570957350878296</v>
      </c>
      <c r="G12306" s="7" t="n">
        <f aca="false">Sens!$E$12306+dm_seg</f>
        <v>0.570957350878296</v>
      </c>
      <c r="H12306" s="7" t="n">
        <f aca="false">Sens!$E$12306+dm_seg</f>
        <v>0.570957350878296</v>
      </c>
      <c r="I12306" s="7" t="n">
        <f aca="false">Sens!$E$12306+dm_seg</f>
        <v>0.570957350878296</v>
      </c>
      <c r="J12306" s="7" t="n">
        <f aca="false">Sens!$E$12306+dm_seg</f>
        <v>0.570957350878296</v>
      </c>
      <c r="K12306" s="7" t="n">
        <f aca="false">Sens!$E$12306+dm_seg</f>
        <v>0.570957350878296</v>
      </c>
      <c r="L12306" s="12" t="s">
        <v>1059</v>
      </c>
    </row>
    <row r="12307" customFormat="false" ht="17.15" hidden="false" customHeight="false" outlineLevel="0" collapsed="false">
      <c r="A12307" s="0" t="s">
        <v>880</v>
      </c>
      <c r="B12307" s="0" t="s">
        <v>98</v>
      </c>
      <c r="D12307" s="6" t="n">
        <f aca="false">Q!L21</f>
        <v>110.814</v>
      </c>
      <c r="E12307" s="6" t="n">
        <f aca="false">Q!M21</f>
        <v>136.365</v>
      </c>
      <c r="F12307" s="6" t="n">
        <f aca="false">Q!$I$21+(Sens!F12306*(Sens!F12277-Sens!F12240)+Sens!F12240-(Sens!F12242+Sens!F12243+Sens!F12244)-Sens!F12258-Sens!F12341)*(Sens!F12277-Q!$I$5)/Sens!F12277</f>
        <v>162.089888657</v>
      </c>
      <c r="G12307" s="6" t="n">
        <f aca="false">(Sens!G12306*(Sens!G12277-Sens!G12240)+Sens!G12240-(Sens!G12242+Sens!G12243+Sens!G12244)-Sens!G12258-Sens!G12341)</f>
        <v>177.568904956673</v>
      </c>
      <c r="H12307" s="6" t="n">
        <f aca="false">(Sens!H12306*(Sens!H12277-Sens!H12240)+Sens!H12240-(Sens!H12242+Sens!H12243+Sens!H12244)-Sens!H12258-Sens!H12341)</f>
        <v>196.76368759427</v>
      </c>
      <c r="I12307" s="6" t="n">
        <f aca="false">(Sens!I12306*(Sens!I12277-Sens!I12240)+Sens!I12240-(Sens!I12242+Sens!I12243+Sens!I12244)-Sens!I12258-Sens!I12341)</f>
        <v>214.975584572623</v>
      </c>
      <c r="J12307" s="6" t="n">
        <f aca="false">(Sens!J12306*(Sens!J12277-Sens!J12240)+Sens!J12240-(Sens!J12242+Sens!J12243+Sens!J12244)-Sens!J12258-Sens!J12341)</f>
        <v>231.957077796371</v>
      </c>
      <c r="K12307" s="6" t="n">
        <f aca="false">(Sens!K12306*(Sens!K12277-Sens!K12240)+Sens!K12240-(Sens!K12242+Sens!K12243+Sens!K12244)-Sens!K12258-Sens!K12341)</f>
        <v>248.339747438173</v>
      </c>
      <c r="L12307" s="1" t="s">
        <v>1060</v>
      </c>
    </row>
    <row r="12308" customFormat="false" ht="17.15" hidden="false" customHeight="false" outlineLevel="0" collapsed="false">
      <c r="A12308" s="0" t="s">
        <v>1061</v>
      </c>
      <c r="B12308" s="0" t="s">
        <v>168</v>
      </c>
      <c r="E12308" s="7" t="n">
        <f aca="false">Q!M22/Q!M12</f>
        <v>0.296207935710698</v>
      </c>
      <c r="F12308" s="7" t="n">
        <f aca="false">Sens!$E$12308+dm_seg</f>
        <v>0.296207935710698</v>
      </c>
      <c r="G12308" s="7" t="n">
        <f aca="false">Sens!$E$12308+dm_seg</f>
        <v>0.296207935710698</v>
      </c>
      <c r="H12308" s="7" t="n">
        <f aca="false">Sens!$E$12308+dm_seg</f>
        <v>0.296207935710698</v>
      </c>
      <c r="I12308" s="7" t="n">
        <f aca="false">Sens!$E$12308+dm_seg</f>
        <v>0.296207935710698</v>
      </c>
      <c r="J12308" s="7" t="n">
        <f aca="false">Sens!$E$12308+dm_seg</f>
        <v>0.296207935710698</v>
      </c>
      <c r="K12308" s="7" t="n">
        <f aca="false">Sens!$E$12308+dm_seg</f>
        <v>0.296207935710698</v>
      </c>
      <c r="L12308" s="12" t="s">
        <v>1062</v>
      </c>
    </row>
    <row r="12309" customFormat="false" ht="17.15" hidden="false" customHeight="false" outlineLevel="0" collapsed="false">
      <c r="A12309" s="0" t="s">
        <v>882</v>
      </c>
      <c r="B12309" s="0" t="s">
        <v>98</v>
      </c>
      <c r="D12309" s="6" t="n">
        <f aca="false">Q!L22</f>
        <v>17.714</v>
      </c>
      <c r="E12309" s="6" t="n">
        <f aca="false">Q!M22</f>
        <v>18.872</v>
      </c>
      <c r="F12309" s="6" t="n">
        <f aca="false">Q!$I$22+(Sens!F12284-Q!$I$12)*Sens!F12308</f>
        <v>19.8415458392513</v>
      </c>
      <c r="G12309" s="6" t="n">
        <f aca="false">Sens!G12284*Sens!G12308</f>
        <v>19.7162243240541</v>
      </c>
      <c r="H12309" s="6" t="n">
        <f aca="false">Sens!H12284*Sens!H12308</f>
        <v>20.5260335325824</v>
      </c>
      <c r="I12309" s="6" t="n">
        <f aca="false">Sens!I12284*Sens!I12308</f>
        <v>21.4811001142341</v>
      </c>
      <c r="J12309" s="6" t="n">
        <f aca="false">Sens!J12284*Sens!J12308</f>
        <v>22.5686326015338</v>
      </c>
      <c r="K12309" s="6" t="n">
        <f aca="false">Sens!K12284*Sens!K12308</f>
        <v>23.7826168339799</v>
      </c>
      <c r="L12309" s="12" t="s">
        <v>1063</v>
      </c>
    </row>
    <row r="12310" customFormat="false" ht="15" hidden="false" customHeight="false" outlineLevel="0" collapsed="false">
      <c r="A12310" s="1" t="s">
        <v>1064</v>
      </c>
      <c r="B12310" s="0" t="s">
        <v>98</v>
      </c>
      <c r="D12310" s="6" t="n">
        <f aca="false">Sens!D12307+Sens!D12309</f>
        <v>128.528</v>
      </c>
      <c r="E12310" s="6" t="n">
        <f aca="false">Sens!E12307+Sens!E12309</f>
        <v>155.237</v>
      </c>
      <c r="F12310" s="6" t="n">
        <f aca="false">Sens!F12307+Sens!F12309</f>
        <v>181.931434496251</v>
      </c>
      <c r="G12310" s="6" t="n">
        <f aca="false">Sens!G12307+Sens!G12309</f>
        <v>197.285129280727</v>
      </c>
      <c r="H12310" s="6" t="n">
        <f aca="false">Sens!H12307+Sens!H12309</f>
        <v>217.289721126853</v>
      </c>
      <c r="I12310" s="6" t="n">
        <f aca="false">Sens!I12307+Sens!I12309</f>
        <v>236.456684686857</v>
      </c>
      <c r="J12310" s="6" t="n">
        <f aca="false">Sens!J12307+Sens!J12309</f>
        <v>254.525710397905</v>
      </c>
      <c r="K12310" s="6" t="n">
        <f aca="false">Sens!K12307+Sens!K12309</f>
        <v>272.122364272153</v>
      </c>
    </row>
    <row r="12311" customFormat="false" ht="15" hidden="false" customHeight="false" outlineLevel="0" collapsed="false">
      <c r="A12311" s="26" t="s">
        <v>1065</v>
      </c>
      <c r="B12311" s="31" t="s">
        <v>98</v>
      </c>
      <c r="C12311" s="31"/>
      <c r="D12311" s="27" t="n">
        <f aca="false">Sens!D12310-Q!L23</f>
        <v>0</v>
      </c>
      <c r="E12311" s="27" t="n">
        <f aca="false">Sens!E12310-Q!M23</f>
        <v>0</v>
      </c>
      <c r="F12311" s="31"/>
      <c r="G12311" s="31"/>
      <c r="H12311" s="31"/>
      <c r="I12311" s="31"/>
      <c r="J12311" s="31"/>
      <c r="K12311" s="31"/>
    </row>
    <row r="12312" customFormat="false" ht="15" hidden="false" customHeight="false" outlineLevel="0" collapsed="false">
      <c r="A12312" s="1" t="s">
        <v>1066</v>
      </c>
      <c r="B12312" s="0" t="s">
        <v>168</v>
      </c>
      <c r="D12312" s="7" t="n">
        <f aca="false">Sens!D12310/Sens!D12303</f>
        <v>0.456219562408598</v>
      </c>
      <c r="E12312" s="7" t="n">
        <f aca="false">Sens!E12310/Sens!E12303</f>
        <v>0.467808184089272</v>
      </c>
      <c r="F12312" s="7" t="n">
        <f aca="false">Sens!F12310/Sens!F12303</f>
        <v>0.455817686679369</v>
      </c>
      <c r="G12312" s="7" t="n">
        <f aca="false">Sens!G12310/Sens!G12303</f>
        <v>0.413799919884444</v>
      </c>
      <c r="H12312" s="7" t="n">
        <f aca="false">Sens!H12310/Sens!H12303</f>
        <v>0.390591857228589</v>
      </c>
      <c r="I12312" s="7" t="n">
        <f aca="false">Sens!I12310/Sens!I12303</f>
        <v>0.375636170902601</v>
      </c>
      <c r="J12312" s="7" t="n">
        <f aca="false">Sens!J12310/Sens!J12303</f>
        <v>0.369095094941053</v>
      </c>
      <c r="K12312" s="7" t="n">
        <f aca="false">Sens!K12310/Sens!K12303</f>
        <v>0.368665615566624</v>
      </c>
    </row>
    <row r="12313" customFormat="false" ht="17.15" hidden="false" customHeight="false" outlineLevel="0" collapsed="false">
      <c r="A12313" s="1" t="s">
        <v>1067</v>
      </c>
      <c r="B12313" s="0" t="s">
        <v>98</v>
      </c>
      <c r="F12313" s="6" t="n">
        <f aca="false">Sens!F12328</f>
        <v>9.7398427716299</v>
      </c>
      <c r="G12313" s="6" t="n">
        <f aca="false">Sens!G12328</f>
        <v>25.2753385959797</v>
      </c>
      <c r="H12313" s="6" t="n">
        <f aca="false">Sens!H12328</f>
        <v>42.2840253697948</v>
      </c>
      <c r="I12313" s="6" t="n">
        <f aca="false">Sens!I12328</f>
        <v>57.704943641581</v>
      </c>
      <c r="J12313" s="6" t="n">
        <f aca="false">Sens!J12328</f>
        <v>68.4828520908201</v>
      </c>
      <c r="K12313" s="6" t="n">
        <f aca="false">Sens!K12328</f>
        <v>74.3598374943249</v>
      </c>
      <c r="L12313" s="1" t="s">
        <v>1068</v>
      </c>
    </row>
    <row r="12314" customFormat="false" ht="17.15" hidden="false" customHeight="false" outlineLevel="0" collapsed="false">
      <c r="A12314" s="1" t="s">
        <v>1069</v>
      </c>
      <c r="B12314" s="0" t="s">
        <v>98</v>
      </c>
      <c r="D12314" s="6" t="n">
        <f aca="false">Sens!D12310</f>
        <v>128.528</v>
      </c>
      <c r="E12314" s="6" t="n">
        <f aca="false">Sens!E12310</f>
        <v>155.237</v>
      </c>
      <c r="F12314" s="6" t="n">
        <f aca="false">Sens!F12310+Sens!F12313</f>
        <v>191.671277267881</v>
      </c>
      <c r="G12314" s="6" t="n">
        <f aca="false">Sens!G12310+Sens!G12313</f>
        <v>222.560467876707</v>
      </c>
      <c r="H12314" s="6" t="n">
        <f aca="false">Sens!H12310+Sens!H12313</f>
        <v>259.573746496648</v>
      </c>
      <c r="I12314" s="6" t="n">
        <f aca="false">Sens!I12310+Sens!I12313</f>
        <v>294.161628328438</v>
      </c>
      <c r="J12314" s="6" t="n">
        <f aca="false">Sens!J12310+Sens!J12313</f>
        <v>323.008562488725</v>
      </c>
      <c r="K12314" s="6" t="n">
        <f aca="false">Sens!K12310+Sens!K12313</f>
        <v>346.482201766477</v>
      </c>
    </row>
    <row r="12315" customFormat="false" ht="17.15" hidden="false" customHeight="false" outlineLevel="0" collapsed="false">
      <c r="A12315" s="1" t="s">
        <v>1070</v>
      </c>
      <c r="B12315" s="0" t="s">
        <v>98</v>
      </c>
      <c r="E12315" s="6" t="n">
        <f aca="false">Sens!E12258</f>
        <v>16.3054059770833</v>
      </c>
      <c r="F12315" s="6" t="n">
        <f aca="false">Sens!F12258</f>
        <v>34.5793144783516</v>
      </c>
      <c r="G12315" s="6" t="n">
        <f aca="false">Sens!G12258</f>
        <v>60.7344906522989</v>
      </c>
      <c r="H12315" s="6" t="n">
        <f aca="false">Sens!H12258</f>
        <v>89.1000906614457</v>
      </c>
      <c r="I12315" s="6" t="n">
        <f aca="false">Sens!I12258</f>
        <v>114.231009694548</v>
      </c>
      <c r="J12315" s="6" t="n">
        <f aca="false">Sens!J12258</f>
        <v>132.015673049596</v>
      </c>
      <c r="K12315" s="6" t="n">
        <f aca="false">Sens!K12258</f>
        <v>143.012669550934</v>
      </c>
    </row>
    <row r="12316" customFormat="false" ht="17.15" hidden="false" customHeight="false" outlineLevel="0" collapsed="false">
      <c r="A12316" s="1" t="s">
        <v>1071</v>
      </c>
      <c r="B12316" s="0" t="s">
        <v>98</v>
      </c>
      <c r="E12316" s="6" t="n">
        <f aca="false">Sens!E12340</f>
        <v>22.2285940229167</v>
      </c>
      <c r="F12316" s="6" t="n">
        <f aca="false">Sens!F12340</f>
        <v>23.5805865005473</v>
      </c>
      <c r="G12316" s="6" t="n">
        <f aca="false">Sens!G12340</f>
        <v>25.3594279012577</v>
      </c>
      <c r="H12316" s="6" t="n">
        <f aca="false">Sens!H12340</f>
        <v>27.5312857723802</v>
      </c>
      <c r="I12316" s="6" t="n">
        <f aca="false">Sens!I12340</f>
        <v>30.0298236643155</v>
      </c>
      <c r="J12316" s="6" t="n">
        <f aca="false">Sens!J12340</f>
        <v>32.7718672422579</v>
      </c>
      <c r="K12316" s="6" t="n">
        <f aca="false">Sens!K12340</f>
        <v>35.6733418076083</v>
      </c>
    </row>
    <row r="12317" customFormat="false" ht="17.15" hidden="false" customHeight="false" outlineLevel="0" collapsed="false">
      <c r="A12317" s="1" t="s">
        <v>1072</v>
      </c>
      <c r="B12317" s="0" t="s">
        <v>98</v>
      </c>
      <c r="D12317" s="6" t="n">
        <f aca="false">Q!L27</f>
        <v>-4.901</v>
      </c>
      <c r="E12317" s="6" t="n">
        <f aca="false">Q!M27</f>
        <v>10.697</v>
      </c>
      <c r="F12317" s="6" t="n">
        <f aca="false">Q!$I$27+oie_f*(q_per_yr-1)/q_per_yr</f>
        <v>-0.862</v>
      </c>
      <c r="G12317" s="6" t="n">
        <f aca="false">oie_f</f>
        <v>-1.2</v>
      </c>
      <c r="H12317" s="6" t="n">
        <f aca="false">oie_f</f>
        <v>-1.2</v>
      </c>
      <c r="I12317" s="6" t="n">
        <f aca="false">oie_f</f>
        <v>-1.2</v>
      </c>
      <c r="J12317" s="6" t="n">
        <f aca="false">oie_f</f>
        <v>-1.2</v>
      </c>
      <c r="K12317" s="6" t="n">
        <f aca="false">oie_f</f>
        <v>-1.2</v>
      </c>
      <c r="L12317" s="12" t="s">
        <v>1073</v>
      </c>
    </row>
    <row r="12318" customFormat="false" ht="15" hidden="false" customHeight="false" outlineLevel="0" collapsed="false">
      <c r="A12318" s="1" t="s">
        <v>1074</v>
      </c>
      <c r="B12318" s="0" t="s">
        <v>98</v>
      </c>
      <c r="D12318" s="6" t="n">
        <f aca="false">Sens!D12310+Sens!D12317</f>
        <v>123.627</v>
      </c>
      <c r="E12318" s="6" t="n">
        <f aca="false">Sens!E12310+Sens!E12317</f>
        <v>165.934</v>
      </c>
      <c r="F12318" s="6" t="n">
        <f aca="false">Sens!F12310+Sens!F12317</f>
        <v>181.069434496251</v>
      </c>
      <c r="G12318" s="6" t="n">
        <f aca="false">Sens!G12310+Sens!G12317</f>
        <v>196.085129280727</v>
      </c>
      <c r="H12318" s="6" t="n">
        <f aca="false">Sens!H12310+Sens!H12317</f>
        <v>216.089721126853</v>
      </c>
      <c r="I12318" s="6" t="n">
        <f aca="false">Sens!I12310+Sens!I12317</f>
        <v>235.256684686857</v>
      </c>
      <c r="J12318" s="6" t="n">
        <f aca="false">Sens!J12310+Sens!J12317</f>
        <v>253.325710397905</v>
      </c>
      <c r="K12318" s="6" t="n">
        <f aca="false">Sens!K12310+Sens!K12317</f>
        <v>270.922364272153</v>
      </c>
    </row>
    <row r="12319" customFormat="false" ht="15" hidden="false" customHeight="false" outlineLevel="0" collapsed="false">
      <c r="A12319" s="1" t="s">
        <v>1075</v>
      </c>
      <c r="B12319" s="0" t="s">
        <v>98</v>
      </c>
      <c r="D12319" s="6" t="n">
        <f aca="false">Q!L29</f>
        <v>21.795</v>
      </c>
      <c r="E12319" s="6" t="n">
        <f aca="false">Q!M29</f>
        <v>32.185</v>
      </c>
      <c r="F12319" s="6" t="n">
        <f aca="false">Q!$I$29+(Sens!F12318-Q!$I$28)*tax_f</f>
        <v>36.3472868992503</v>
      </c>
      <c r="G12319" s="6" t="n">
        <f aca="false">Sens!G12318*tax_f</f>
        <v>39.2170258561455</v>
      </c>
      <c r="H12319" s="6" t="n">
        <f aca="false">Sens!H12318*tax_f</f>
        <v>43.2179442253706</v>
      </c>
      <c r="I12319" s="6" t="n">
        <f aca="false">Sens!I12318*tax_f</f>
        <v>47.0513369373715</v>
      </c>
      <c r="J12319" s="6" t="n">
        <f aca="false">Sens!J12318*tax_f</f>
        <v>50.6651420795809</v>
      </c>
      <c r="K12319" s="6" t="n">
        <f aca="false">Sens!K12318*tax_f</f>
        <v>54.1844728544305</v>
      </c>
    </row>
    <row r="12320" customFormat="false" ht="15" hidden="false" customHeight="false" outlineLevel="0" collapsed="false">
      <c r="A12320" s="1" t="s">
        <v>1076</v>
      </c>
      <c r="B12320" s="0" t="s">
        <v>98</v>
      </c>
      <c r="D12320" s="6" t="n">
        <f aca="false">Sens!D12318-Sens!D12319</f>
        <v>101.832</v>
      </c>
      <c r="E12320" s="6" t="n">
        <f aca="false">Sens!E12318-Sens!E12319</f>
        <v>133.749</v>
      </c>
      <c r="F12320" s="6" t="n">
        <f aca="false">Sens!F12318-Sens!F12319</f>
        <v>144.722147597001</v>
      </c>
      <c r="G12320" s="6" t="n">
        <f aca="false">Sens!G12318-Sens!G12319</f>
        <v>156.868103424582</v>
      </c>
      <c r="H12320" s="6" t="n">
        <f aca="false">Sens!H12318-Sens!H12319</f>
        <v>172.871776901482</v>
      </c>
      <c r="I12320" s="6" t="n">
        <f aca="false">Sens!I12318-Sens!I12319</f>
        <v>188.205347749486</v>
      </c>
      <c r="J12320" s="6" t="n">
        <f aca="false">Sens!J12318-Sens!J12319</f>
        <v>202.660568318324</v>
      </c>
      <c r="K12320" s="6" t="n">
        <f aca="false">Sens!K12318-Sens!K12319</f>
        <v>216.737891417722</v>
      </c>
    </row>
    <row r="12321" customFormat="false" ht="17.15" hidden="false" customHeight="false" outlineLevel="0" collapsed="false">
      <c r="A12321" s="1" t="s">
        <v>1077</v>
      </c>
      <c r="B12321" s="1" t="s">
        <v>81</v>
      </c>
      <c r="D12321" s="15" t="n">
        <f aca="false">Q!L31</f>
        <v>7.465</v>
      </c>
      <c r="E12321" s="15" t="n">
        <f aca="false">Q!M31</f>
        <v>7.453</v>
      </c>
      <c r="F12321" s="15" t="n">
        <f aca="false">Sens!F12365</f>
        <v>7.47323634391287</v>
      </c>
      <c r="G12321" s="15" t="n">
        <f aca="false">Sens!G12365</f>
        <v>7.51797268782575</v>
      </c>
      <c r="H12321" s="15" t="n">
        <f aca="false">Sens!H12365</f>
        <v>7.54567262685455</v>
      </c>
      <c r="I12321" s="15" t="n">
        <f aca="false">Sens!I12365</f>
        <v>7.55735399091002</v>
      </c>
      <c r="J12321" s="15" t="n">
        <f aca="false">Sens!J12365</f>
        <v>7.57150340207249</v>
      </c>
      <c r="K12321" s="15" t="n">
        <f aca="false">Sens!K12365</f>
        <v>7.58793804203774</v>
      </c>
    </row>
    <row r="12322" customFormat="false" ht="17.15" hidden="false" customHeight="false" outlineLevel="0" collapsed="false">
      <c r="A12322" s="0" t="s">
        <v>1078</v>
      </c>
      <c r="B12322" s="0" t="s">
        <v>75</v>
      </c>
      <c r="D12322" s="8" t="n">
        <f aca="false">Sens!D12320/Sens!D12321</f>
        <v>13.641259209645</v>
      </c>
      <c r="E12322" s="8" t="n">
        <f aca="false">Sens!E12320/Sens!E12321</f>
        <v>17.9456594659869</v>
      </c>
      <c r="F12322" s="8" t="n">
        <f aca="false">Sens!F12320/Sens!F12321</f>
        <v>19.3653915033586</v>
      </c>
      <c r="G12322" s="8" t="n">
        <f aca="false">Sens!G12320/Sens!G12321</f>
        <v>20.8657453196933</v>
      </c>
      <c r="H12322" s="8" t="n">
        <f aca="false">Sens!H12320/Sens!H12321</f>
        <v>22.9100552661459</v>
      </c>
      <c r="I12322" s="8" t="n">
        <f aca="false">Sens!I12320/Sens!I12321</f>
        <v>24.9036035596399</v>
      </c>
      <c r="J12322" s="8" t="n">
        <f aca="false">Sens!J12320/Sens!J12321</f>
        <v>26.7662256168109</v>
      </c>
      <c r="K12322" s="8" t="n">
        <f aca="false">Sens!K12320/Sens!K12321</f>
        <v>28.5634766937972</v>
      </c>
      <c r="L12322" s="1" t="s">
        <v>1079</v>
      </c>
    </row>
    <row r="12323" customFormat="false" ht="17.15" hidden="false" customHeight="false" outlineLevel="0" collapsed="false">
      <c r="A12323" s="1" t="s">
        <v>1080</v>
      </c>
      <c r="B12323" s="0" t="s">
        <v>98</v>
      </c>
      <c r="D12323" s="6" t="n">
        <f aca="false">Sens!D12320</f>
        <v>101.832</v>
      </c>
      <c r="E12323" s="6" t="n">
        <f aca="false">Sens!E12320</f>
        <v>133.749</v>
      </c>
      <c r="F12323" s="6" t="n">
        <f aca="false">Sens!F12320+Sens!F12313*(1-tax_f)</f>
        <v>152.514021814305</v>
      </c>
      <c r="G12323" s="6" t="n">
        <f aca="false">Sens!G12320+Sens!G12313*(1-tax_f)</f>
        <v>177.088374301366</v>
      </c>
      <c r="H12323" s="6" t="n">
        <f aca="false">Sens!H12320+Sens!H12313*(1-tax_f)</f>
        <v>206.698997197318</v>
      </c>
      <c r="I12323" s="6" t="n">
        <f aca="false">Sens!I12320+Sens!I12313*(1-tax_f)</f>
        <v>234.369302662751</v>
      </c>
      <c r="J12323" s="6" t="n">
        <f aca="false">Sens!J12320+Sens!J12313*(1-tax_f)</f>
        <v>257.44684999098</v>
      </c>
      <c r="K12323" s="6" t="n">
        <f aca="false">Sens!K12320+Sens!K12313*(1-tax_f)</f>
        <v>276.225761413182</v>
      </c>
    </row>
    <row r="12324" customFormat="false" ht="17.15" hidden="false" customHeight="false" outlineLevel="0" collapsed="false">
      <c r="A12324" s="0" t="s">
        <v>1081</v>
      </c>
      <c r="B12324" s="0" t="s">
        <v>75</v>
      </c>
      <c r="D12324" s="8" t="n">
        <f aca="false">Sens!D12323/Sens!D12321</f>
        <v>13.641259209645</v>
      </c>
      <c r="E12324" s="8" t="n">
        <f aca="false">Sens!E12323/Sens!E12321</f>
        <v>17.9456594659869</v>
      </c>
      <c r="F12324" s="8" t="n">
        <f aca="false">Sens!F12323/Sens!F12321</f>
        <v>20.4080287034587</v>
      </c>
      <c r="G12324" s="8" t="n">
        <f aca="false">Sens!G12323/Sens!G12321</f>
        <v>23.5553362129307</v>
      </c>
      <c r="H12324" s="8" t="n">
        <f aca="false">Sens!H12323/Sens!H12321</f>
        <v>27.3930512783831</v>
      </c>
      <c r="I12324" s="8" t="n">
        <f aca="false">Sens!I12323/Sens!I12321</f>
        <v>31.0120847779064</v>
      </c>
      <c r="J12324" s="8" t="n">
        <f aca="false">Sens!J12323/Sens!J12321</f>
        <v>34.0020780972654</v>
      </c>
      <c r="K12324" s="8" t="n">
        <f aca="false">Sens!K12323/Sens!K12321</f>
        <v>36.4032705437064</v>
      </c>
      <c r="L12324" s="1" t="s">
        <v>1082</v>
      </c>
    </row>
    <row r="12325" customFormat="false" ht="17.15" hidden="false" customHeight="false" outlineLevel="0" collapsed="false">
      <c r="A12325" s="0" t="s">
        <v>1083</v>
      </c>
      <c r="B12325" s="0" t="s">
        <v>168</v>
      </c>
      <c r="E12325" s="7" t="n">
        <f aca="false">Sens!E12324/Sens!D12324-1</f>
        <v>0.315542736208578</v>
      </c>
      <c r="F12325" s="7" t="n">
        <f aca="false">Sens!F12324/Sens!E12324-1</f>
        <v>0.137212524406747</v>
      </c>
      <c r="G12325" s="7" t="n">
        <f aca="false">Sens!G12324/Sens!F12324-1</f>
        <v>0.154219084812367</v>
      </c>
      <c r="H12325" s="7" t="n">
        <f aca="false">Sens!H12324/Sens!G12324-1</f>
        <v>0.16292338308233</v>
      </c>
      <c r="I12325" s="7" t="n">
        <f aca="false">Sens!I12324/Sens!H12324-1</f>
        <v>0.132115019343583</v>
      </c>
      <c r="J12325" s="7" t="n">
        <f aca="false">Sens!J12324/Sens!I12324-1</f>
        <v>0.0964138122532532</v>
      </c>
      <c r="K12325" s="7" t="n">
        <f aca="false">Sens!K12324/Sens!J12324-1</f>
        <v>0.0706189909796748</v>
      </c>
    </row>
    <row r="12326" customFormat="false" ht="17.15" hidden="false" customHeight="false" outlineLevel="0" collapsed="false">
      <c r="A12326" s="0" t="s">
        <v>1003</v>
      </c>
      <c r="B12326" s="0" t="s">
        <v>98</v>
      </c>
      <c r="E12326" s="6" t="n">
        <f aca="false">Sens!E12267</f>
        <v>5.25</v>
      </c>
      <c r="F12326" s="6" t="n">
        <f aca="false">Sens!F12267</f>
        <v>12</v>
      </c>
      <c r="G12326" s="6" t="n">
        <f aca="false">Sens!G12267</f>
        <v>18</v>
      </c>
      <c r="H12326" s="6" t="n">
        <f aca="false">Sens!H12267</f>
        <v>24</v>
      </c>
      <c r="I12326" s="6" t="n">
        <f aca="false">Sens!I12267</f>
        <v>28.5</v>
      </c>
      <c r="J12326" s="6" t="n">
        <f aca="false">Sens!J12267</f>
        <v>31.5</v>
      </c>
      <c r="K12326" s="6" t="n">
        <f aca="false">Sens!K12267</f>
        <v>34.5</v>
      </c>
    </row>
    <row r="12327" customFormat="false" ht="17.15" hidden="false" customHeight="false" outlineLevel="0" collapsed="false">
      <c r="A12327" s="1" t="s">
        <v>1004</v>
      </c>
      <c r="B12327" s="0" t="s">
        <v>98</v>
      </c>
      <c r="F12327" s="6" t="n">
        <f aca="false">MAX(0,((Sens!E12227+Sens!F12227)/2-(shadow_base*(Sens!$D$12227+Sens!$E$12227)/2+(1-shadow_base)*Sens!$E$12227))*Sens!F12236/1000-(Sens!F12326-Sens!$E$12326)*Sens!F12306)</f>
        <v>9.7398427716299</v>
      </c>
      <c r="G12327" s="6" t="n">
        <f aca="false">MAX(0,((Sens!F12227+Sens!G12227)/2-(shadow_base*(Sens!$D$12227+Sens!$E$12227)/2+(1-shadow_base)*Sens!$E$12227))*Sens!G12236/1000-(Sens!G12326-Sens!$E$12326)*Sens!G12306)</f>
        <v>25.2753385959797</v>
      </c>
      <c r="H12327" s="6" t="n">
        <f aca="false">MAX(0,((Sens!G12227+Sens!H12227)/2-(shadow_base*(Sens!$D$12227+Sens!$E$12227)/2+(1-shadow_base)*Sens!$E$12227))*Sens!H12236/1000-(Sens!H12326-Sens!$E$12326)*Sens!H12306)</f>
        <v>42.2840253697948</v>
      </c>
      <c r="I12327" s="6" t="n">
        <f aca="false">MAX(0,((Sens!H12227+Sens!I12227)/2-(shadow_base*(Sens!$D$12227+Sens!$E$12227)/2+(1-shadow_base)*Sens!$E$12227))*Sens!I12236/1000-(Sens!I12326-Sens!$E$12326)*Sens!I12306)</f>
        <v>57.704943641581</v>
      </c>
      <c r="J12327" s="6" t="n">
        <f aca="false">MAX(0,((Sens!I12227+Sens!J12227)/2-(shadow_base*(Sens!$D$12227+Sens!$E$12227)/2+(1-shadow_base)*Sens!$E$12227))*Sens!J12236/1000-(Sens!J12326-Sens!$E$12326)*Sens!J12306)</f>
        <v>68.4828520908201</v>
      </c>
      <c r="K12327" s="6" t="n">
        <f aca="false">MAX(0,((Sens!J12227+Sens!K12227)/2-(shadow_base*(Sens!$D$12227+Sens!$E$12227)/2+(1-shadow_base)*Sens!$E$12227))*Sens!K12236/1000-(Sens!K12326-Sens!$E$12326)*Sens!K12306)</f>
        <v>74.3598374943249</v>
      </c>
      <c r="L12327" s="1" t="s">
        <v>1005</v>
      </c>
    </row>
    <row r="12328" customFormat="false" ht="17.15" hidden="false" customHeight="false" outlineLevel="0" collapsed="false">
      <c r="A12328" s="1" t="s">
        <v>1006</v>
      </c>
      <c r="B12328" s="0" t="s">
        <v>98</v>
      </c>
      <c r="F12328" s="6" t="n">
        <f aca="false">IF(internal_ai_reading=2,1,0)*Sens!F12327</f>
        <v>9.7398427716299</v>
      </c>
      <c r="G12328" s="6" t="n">
        <f aca="false">IF(internal_ai_reading=2,1,0)*Sens!G12327</f>
        <v>25.2753385959797</v>
      </c>
      <c r="H12328" s="6" t="n">
        <f aca="false">IF(internal_ai_reading=2,1,0)*Sens!H12327</f>
        <v>42.2840253697948</v>
      </c>
      <c r="I12328" s="6" t="n">
        <f aca="false">IF(internal_ai_reading=2,1,0)*Sens!I12327</f>
        <v>57.704943641581</v>
      </c>
      <c r="J12328" s="6" t="n">
        <f aca="false">IF(internal_ai_reading=2,1,0)*Sens!J12327</f>
        <v>68.4828520908201</v>
      </c>
      <c r="K12328" s="6" t="n">
        <f aca="false">IF(internal_ai_reading=2,1,0)*Sens!K12327</f>
        <v>74.3598374943249</v>
      </c>
    </row>
    <row r="12329" customFormat="false" ht="17.15" hidden="false" customHeight="false" outlineLevel="0" collapsed="false">
      <c r="A12329" s="0" t="s">
        <v>1007</v>
      </c>
      <c r="B12329" s="0" t="s">
        <v>98</v>
      </c>
      <c r="F12329" s="6" t="n">
        <f aca="false">Sens!F12246+Sens!F12326*Sens!F12306+Sens!F12328-Sens!F12247-Sens!F12258</f>
        <v>14.8152827562272</v>
      </c>
      <c r="G12329" s="6" t="n">
        <f aca="false">Sens!G12246+Sens!G12326*Sens!G12306+Sens!G12328-Sens!G12247-Sens!G12258</f>
        <v>31.0349977765951</v>
      </c>
      <c r="H12329" s="6" t="n">
        <f aca="false">Sens!H12246+Sens!H12326*Sens!H12306+Sens!H12328-Sens!H12247-Sens!H12258</f>
        <v>47.8811519709826</v>
      </c>
      <c r="I12329" s="6" t="n">
        <f aca="false">Sens!I12246+Sens!I12326*Sens!I12306+Sens!I12328-Sens!I12247-Sens!I12258</f>
        <v>62.6472166574028</v>
      </c>
      <c r="J12329" s="6" t="n">
        <f aca="false">Sens!J12246+Sens!J12326*Sens!J12306+Sens!J12328-Sens!J12247-Sens!J12258</f>
        <v>72.7882253357034</v>
      </c>
      <c r="K12329" s="6" t="n">
        <f aca="false">Sens!K12246+Sens!K12326*Sens!K12306+Sens!K12328-Sens!K12247-Sens!K12258</f>
        <v>79.4617812140187</v>
      </c>
    </row>
    <row r="12330" customFormat="false" ht="17.15" hidden="false" customHeight="false" outlineLevel="0" collapsed="false">
      <c r="A12330" s="0" t="s">
        <v>1008</v>
      </c>
      <c r="B12330" s="0" t="s">
        <v>98</v>
      </c>
      <c r="E12330" s="6" t="n">
        <f aca="false">Sens!E12226*(cxit_open+self_build*tk_cxfac)/1000*ai_net_open</f>
        <v>126.6980382</v>
      </c>
      <c r="F12330" s="6" t="n">
        <f aca="false">Sens!E12330+Sens!F12255-Sens!F12258</f>
        <v>260.572627763768</v>
      </c>
      <c r="G12330" s="6" t="n">
        <f aca="false">Sens!F12330+Sens!G12255-Sens!G12258</f>
        <v>391.782612760517</v>
      </c>
      <c r="H12330" s="6" t="n">
        <f aca="false">Sens!G12330+Sens!H12255-Sens!H12258</f>
        <v>499.488526163584</v>
      </c>
      <c r="I12330" s="6" t="n">
        <f aca="false">Sens!H12330+Sens!I12255-Sens!I12258</f>
        <v>553.872350090646</v>
      </c>
      <c r="J12330" s="6" t="n">
        <f aca="false">Sens!I12330+Sens!J12255-Sens!J12258</f>
        <v>550.78660823699</v>
      </c>
      <c r="K12330" s="6" t="n">
        <f aca="false">Sens!J12330+Sens!K12255-Sens!K12258</f>
        <v>526.736791750789</v>
      </c>
      <c r="L12330" s="1" t="s">
        <v>1009</v>
      </c>
    </row>
    <row r="12331" customFormat="false" ht="17.15" hidden="false" customHeight="false" outlineLevel="0" collapsed="false">
      <c r="A12331" s="0" t="s">
        <v>1010</v>
      </c>
      <c r="B12331" s="0" t="s">
        <v>168</v>
      </c>
      <c r="F12331" s="7" t="n">
        <f aca="false">Sens!F12329*(1-tax_f)/((Sens!E12330+Sens!F12330)/2)</f>
        <v>0.0612090057246454</v>
      </c>
      <c r="G12331" s="7" t="n">
        <f aca="false">Sens!G12329*(1-tax_f)/((Sens!F12330+Sens!G12330)/2)</f>
        <v>0.0761180310326695</v>
      </c>
      <c r="H12331" s="7" t="n">
        <f aca="false">Sens!H12329*(1-tax_f)/((Sens!G12330+Sens!H12330)/2)</f>
        <v>0.0859557095566361</v>
      </c>
      <c r="I12331" s="7" t="n">
        <f aca="false">Sens!I12329*(1-tax_f)/((Sens!H12330+Sens!I12330)/2)</f>
        <v>0.0951578408800258</v>
      </c>
      <c r="J12331" s="7" t="n">
        <f aca="false">Sens!J12329*(1-tax_f)/((Sens!I12330+Sens!J12330)/2)</f>
        <v>0.105427253958487</v>
      </c>
      <c r="K12331" s="7" t="n">
        <f aca="false">Sens!K12329*(1-tax_f)/((Sens!J12330+Sens!K12330)/2)</f>
        <v>0.117991729872291</v>
      </c>
    </row>
    <row r="12332" customFormat="false" ht="17.15" hidden="false" customHeight="false" outlineLevel="0" collapsed="false">
      <c r="A12332" s="1" t="s">
        <v>1011</v>
      </c>
      <c r="B12332" s="0" t="s">
        <v>168</v>
      </c>
      <c r="F12332" s="7" t="n">
        <f aca="false">(Sens!F12329-Sens!F12328)*(1-tax_f)/((Sens!E12330+Sens!F12330)/2)</f>
        <v>0.0209690655375262</v>
      </c>
      <c r="G12332" s="7" t="n">
        <f aca="false">(Sens!G12329-Sens!G12328)*(1-tax_f)/((Sens!F12330+Sens!G12330)/2)</f>
        <v>0.014126436206105</v>
      </c>
      <c r="H12332" s="7" t="n">
        <f aca="false">(Sens!H12329-Sens!H12328)*(1-tax_f)/((Sens!G12330+Sens!H12330)/2)</f>
        <v>0.010047899197893</v>
      </c>
      <c r="I12332" s="7" t="n">
        <f aca="false">(Sens!I12329-Sens!I12328)*(1-tax_f)/((Sens!H12330+Sens!I12330)/2)</f>
        <v>0.00750705385359908</v>
      </c>
      <c r="J12332" s="7" t="n">
        <f aca="false">(Sens!J12329-Sens!J12328)*(1-tax_f)/((Sens!I12330+Sens!J12330)/2)</f>
        <v>0.00623594924015468</v>
      </c>
      <c r="K12332" s="7" t="n">
        <f aca="false">(Sens!K12329-Sens!K12328)*(1-tax_f)/((Sens!J12330+Sens!K12330)/2)</f>
        <v>0.00757580758951754</v>
      </c>
    </row>
    <row r="12333" customFormat="false" ht="17.15" hidden="false" customHeight="false" outlineLevel="0" collapsed="false">
      <c r="A12333" s="1" t="s">
        <v>1012</v>
      </c>
      <c r="B12333" s="0" t="s">
        <v>168</v>
      </c>
      <c r="F12333" s="7" t="n">
        <f aca="false">(Sens!F12329-Sens!F12328+Sens!F12327)*(1-tax_f)/((Sens!E12330+Sens!F12330)/2)</f>
        <v>0.0612090057246454</v>
      </c>
      <c r="G12333" s="7" t="n">
        <f aca="false">(Sens!G12329-Sens!G12328+Sens!G12327)*(1-tax_f)/((Sens!F12330+Sens!G12330)/2)</f>
        <v>0.0761180310326695</v>
      </c>
      <c r="H12333" s="7" t="n">
        <f aca="false">(Sens!H12329-Sens!H12328+Sens!H12327)*(1-tax_f)/((Sens!G12330+Sens!H12330)/2)</f>
        <v>0.0859557095566361</v>
      </c>
      <c r="I12333" s="7" t="n">
        <f aca="false">(Sens!I12329-Sens!I12328+Sens!I12327)*(1-tax_f)/((Sens!H12330+Sens!I12330)/2)</f>
        <v>0.0951578408800258</v>
      </c>
      <c r="J12333" s="7" t="n">
        <f aca="false">(Sens!J12329-Sens!J12328+Sens!J12327)*(1-tax_f)/((Sens!I12330+Sens!J12330)/2)</f>
        <v>0.105427253958487</v>
      </c>
      <c r="K12333" s="7" t="n">
        <f aca="false">(Sens!K12329-Sens!K12328+Sens!K12327)*(1-tax_f)/((Sens!J12330+Sens!K12330)/2)</f>
        <v>0.117991729872291</v>
      </c>
    </row>
    <row r="12334" customFormat="false" ht="17.15" hidden="false" customHeight="false" outlineLevel="0" collapsed="false">
      <c r="A12334" s="1" t="s">
        <v>1013</v>
      </c>
      <c r="B12334" s="0" t="s">
        <v>168</v>
      </c>
      <c r="F12334" s="7" t="n">
        <f aca="false">Sens!F12259*(1-tax_f)/(Sens!F12245*(Sens!E12330+Sens!F12330)/2)</f>
        <v>0.129294830495493</v>
      </c>
      <c r="G12334" s="7" t="n">
        <f aca="false">Sens!G12259*(1-tax_f)/(Sens!G12245*(Sens!F12330+Sens!G12330)/2)</f>
        <v>0.12719599062164</v>
      </c>
      <c r="H12334" s="7" t="n">
        <f aca="false">Sens!H12259*(1-tax_f)/(Sens!H12245*(Sens!G12330+Sens!H12330)/2)</f>
        <v>0.130828167067624</v>
      </c>
      <c r="I12334" s="7" t="n">
        <f aca="false">Sens!I12259*(1-tax_f)/(Sens!I12245*(Sens!H12330+Sens!I12330)/2)</f>
        <v>0.138614526937417</v>
      </c>
      <c r="J12334" s="7" t="n">
        <f aca="false">Sens!J12259*(1-tax_f)/(Sens!J12245*(Sens!I12330+Sens!J12330)/2)</f>
        <v>0.150578919010924</v>
      </c>
      <c r="K12334" s="7" t="n">
        <f aca="false">Sens!K12259*(1-tax_f)/(Sens!K12245*(Sens!J12330+Sens!K12330)/2)</f>
        <v>0.167005345886664</v>
      </c>
    </row>
    <row r="12335" customFormat="false" ht="17.15" hidden="false" customHeight="false" outlineLevel="0" collapsed="false">
      <c r="A12335" s="0" t="s">
        <v>1014</v>
      </c>
      <c r="B12335" s="0" t="s">
        <v>253</v>
      </c>
      <c r="F12335" s="7" t="n">
        <f aca="false">Sens!F12331-wacc</f>
        <v>-0.0417275852209519</v>
      </c>
      <c r="G12335" s="7" t="n">
        <f aca="false">Sens!G12331-wacc</f>
        <v>-0.0268185599129278</v>
      </c>
      <c r="H12335" s="7" t="n">
        <f aca="false">Sens!H12331-wacc</f>
        <v>-0.0169808813889612</v>
      </c>
      <c r="I12335" s="7" t="n">
        <f aca="false">Sens!I12331-wacc</f>
        <v>-0.00777875006557149</v>
      </c>
      <c r="J12335" s="7" t="n">
        <f aca="false">Sens!J12331-wacc</f>
        <v>0.0024906630128898</v>
      </c>
      <c r="K12335" s="7" t="n">
        <f aca="false">Sens!K12331-wacc</f>
        <v>0.0150551389266932</v>
      </c>
    </row>
    <row r="12336" customFormat="false" ht="17.15" hidden="false" customHeight="false" outlineLevel="0" collapsed="false">
      <c r="A12336" s="0" t="s">
        <v>1015</v>
      </c>
      <c r="B12336" s="0" t="s">
        <v>98</v>
      </c>
      <c r="F12336" s="6" t="n">
        <f aca="false">Sens!F12329*(1-tax_f)-wacc*(Sens!E12330+Sens!F12330)/2</f>
        <v>-8.07993485878896</v>
      </c>
      <c r="G12336" s="6" t="n">
        <f aca="false">Sens!G12329*(1-tax_f)-wacc*(Sens!F12330+Sens!G12330)/2</f>
        <v>-8.74761405125648</v>
      </c>
      <c r="H12336" s="6" t="n">
        <f aca="false">Sens!H12329*(1-tax_f)-wacc*(Sens!G12330+Sens!H12330)/2</f>
        <v>-7.56728474773728</v>
      </c>
      <c r="I12336" s="6" t="n">
        <f aca="false">Sens!I12329*(1-tax_f)-wacc*(Sens!H12330+Sens!I12330)/2</f>
        <v>-4.09691549261652</v>
      </c>
      <c r="J12336" s="6" t="n">
        <f aca="false">Sens!J12329*(1-tax_f)-wacc*(Sens!I12330+Sens!J12330)/2</f>
        <v>1.37566660468201</v>
      </c>
      <c r="K12336" s="6" t="n">
        <f aca="false">Sens!K12329*(1-tax_f)-wacc*(Sens!J12330+Sens!K12330)/2</f>
        <v>8.11113224178941</v>
      </c>
    </row>
    <row r="12337" customFormat="false" ht="17.15" hidden="false" customHeight="false" outlineLevel="0" collapsed="false">
      <c r="A12337" s="3" t="s">
        <v>1788</v>
      </c>
    </row>
    <row r="12338" customFormat="false" ht="15" hidden="false" customHeight="false" outlineLevel="0" collapsed="false">
      <c r="A12338" s="4" t="s">
        <v>43</v>
      </c>
      <c r="B12338" s="4" t="s">
        <v>65</v>
      </c>
      <c r="C12338" s="23" t="s">
        <v>938</v>
      </c>
      <c r="D12338" s="23" t="s">
        <v>939</v>
      </c>
      <c r="E12338" s="23" t="s">
        <v>940</v>
      </c>
      <c r="F12338" s="23" t="s">
        <v>941</v>
      </c>
      <c r="G12338" s="23" t="s">
        <v>942</v>
      </c>
      <c r="H12338" s="23" t="s">
        <v>943</v>
      </c>
      <c r="I12338" s="23" t="s">
        <v>944</v>
      </c>
      <c r="J12338" s="23" t="s">
        <v>945</v>
      </c>
      <c r="K12338" s="23" t="s">
        <v>946</v>
      </c>
      <c r="L12338" s="4" t="s">
        <v>47</v>
      </c>
    </row>
    <row r="12339" customFormat="false" ht="15" hidden="false" customHeight="false" outlineLevel="0" collapsed="false">
      <c r="A12339" s="1" t="s">
        <v>1076</v>
      </c>
      <c r="B12339" s="0" t="s">
        <v>98</v>
      </c>
      <c r="F12339" s="6" t="n">
        <f aca="false">Sens!F12320</f>
        <v>144.722147597001</v>
      </c>
      <c r="G12339" s="6" t="n">
        <f aca="false">Sens!G12320</f>
        <v>156.868103424582</v>
      </c>
      <c r="H12339" s="6" t="n">
        <f aca="false">Sens!H12320</f>
        <v>172.871776901482</v>
      </c>
      <c r="I12339" s="6" t="n">
        <f aca="false">Sens!I12320</f>
        <v>188.205347749486</v>
      </c>
      <c r="J12339" s="6" t="n">
        <f aca="false">Sens!J12320</f>
        <v>202.660568318324</v>
      </c>
      <c r="K12339" s="6" t="n">
        <f aca="false">Sens!K12320</f>
        <v>216.737891417722</v>
      </c>
    </row>
    <row r="12340" customFormat="false" ht="17.15" hidden="false" customHeight="false" outlineLevel="0" collapsed="false">
      <c r="A12340" s="1" t="s">
        <v>1098</v>
      </c>
      <c r="B12340" s="0" t="s">
        <v>98</v>
      </c>
      <c r="E12340" s="6" t="n">
        <f aca="false">Q!M38-Sens!E12258</f>
        <v>22.2285940229167</v>
      </c>
      <c r="F12340" s="6" t="n">
        <f aca="false">Sens!E12340*(1-1/life_nonai)+(Sens!F12348+Sens!F12349)/life_nonai</f>
        <v>23.5805865005473</v>
      </c>
      <c r="G12340" s="6" t="n">
        <f aca="false">Sens!F12340*(1-1/life_nonai)+(Sens!G12348)/life_nonai</f>
        <v>25.3594279012577</v>
      </c>
      <c r="H12340" s="6" t="n">
        <f aca="false">Sens!G12340*(1-1/life_nonai)+(Sens!H12348)/life_nonai</f>
        <v>27.5312857723802</v>
      </c>
      <c r="I12340" s="6" t="n">
        <f aca="false">Sens!H12340*(1-1/life_nonai)+(Sens!I12348)/life_nonai</f>
        <v>30.0298236643155</v>
      </c>
      <c r="J12340" s="6" t="n">
        <f aca="false">Sens!I12340*(1-1/life_nonai)+(Sens!J12348)/life_nonai</f>
        <v>32.7718672422579</v>
      </c>
      <c r="K12340" s="6" t="n">
        <f aca="false">Sens!J12340*(1-1/life_nonai)+(Sens!K12348)/life_nonai</f>
        <v>35.6733418076083</v>
      </c>
      <c r="L12340" s="12" t="s">
        <v>1099</v>
      </c>
    </row>
    <row r="12341" customFormat="false" ht="17.15" hidden="false" customHeight="false" outlineLevel="0" collapsed="false">
      <c r="A12341" s="1" t="s">
        <v>1100</v>
      </c>
      <c r="B12341" s="0" t="s">
        <v>98</v>
      </c>
      <c r="F12341" s="6" t="n">
        <f aca="false">Sens!$F$12349/life_nonai*(1-1/life_nonai)^(Sens!F12221-2027)</f>
        <v>0</v>
      </c>
      <c r="G12341" s="6" t="n">
        <f aca="false">Sens!$F$12349/life_nonai*(1-1/life_nonai)^(Sens!G12221-2027)</f>
        <v>0</v>
      </c>
      <c r="H12341" s="6" t="n">
        <f aca="false">Sens!$F$12349/life_nonai*(1-1/life_nonai)^(Sens!H12221-2027)</f>
        <v>0</v>
      </c>
      <c r="I12341" s="6" t="n">
        <f aca="false">Sens!$F$12349/life_nonai*(1-1/life_nonai)^(Sens!I12221-2027)</f>
        <v>0</v>
      </c>
      <c r="J12341" s="6" t="n">
        <f aca="false">Sens!$F$12349/life_nonai*(1-1/life_nonai)^(Sens!J12221-2027)</f>
        <v>0</v>
      </c>
      <c r="K12341" s="6" t="n">
        <f aca="false">Sens!$F$12349/life_nonai*(1-1/life_nonai)^(Sens!K12221-2027)</f>
        <v>0</v>
      </c>
      <c r="L12341" s="1" t="s">
        <v>1101</v>
      </c>
    </row>
    <row r="12342" customFormat="false" ht="17.15" hidden="false" customHeight="false" outlineLevel="0" collapsed="false">
      <c r="A12342" s="1" t="s">
        <v>1102</v>
      </c>
      <c r="B12342" s="0" t="s">
        <v>98</v>
      </c>
      <c r="E12342" s="6" t="n">
        <f aca="false">Sens!E12258+Sens!E12340</f>
        <v>38.534</v>
      </c>
      <c r="F12342" s="6" t="n">
        <f aca="false">Sens!F12258+Sens!F12340</f>
        <v>58.1599009788989</v>
      </c>
      <c r="G12342" s="6" t="n">
        <f aca="false">Sens!G12258+Sens!G12340</f>
        <v>86.0939185535567</v>
      </c>
      <c r="H12342" s="6" t="n">
        <f aca="false">Sens!H12258+Sens!H12340</f>
        <v>116.631376433826</v>
      </c>
      <c r="I12342" s="6" t="n">
        <f aca="false">Sens!I12258+Sens!I12340</f>
        <v>144.260833358864</v>
      </c>
      <c r="J12342" s="6" t="n">
        <f aca="false">Sens!J12258+Sens!J12340</f>
        <v>164.787540291854</v>
      </c>
      <c r="K12342" s="6" t="n">
        <f aca="false">Sens!K12258+Sens!K12340</f>
        <v>178.686011358542</v>
      </c>
    </row>
    <row r="12343" customFormat="false" ht="17.15" hidden="false" customHeight="false" outlineLevel="0" collapsed="false">
      <c r="A12343" s="1" t="s">
        <v>1103</v>
      </c>
      <c r="B12343" s="0" t="s">
        <v>98</v>
      </c>
      <c r="F12343" s="6" t="n">
        <f aca="false">Sens!F12285*sbc_r</f>
        <v>14.9205871540836</v>
      </c>
      <c r="G12343" s="6" t="n">
        <f aca="false">Sens!G12285*sbc_r</f>
        <v>17.8226915565427</v>
      </c>
      <c r="H12343" s="6" t="n">
        <f aca="false">Sens!H12285*sbc_r</f>
        <v>20.7962648622876</v>
      </c>
      <c r="I12343" s="6" t="n">
        <f aca="false">Sens!I12285*sbc_r</f>
        <v>23.531712510382</v>
      </c>
      <c r="J12343" s="6" t="n">
        <f aca="false">Sens!J12285*sbc_r</f>
        <v>25.7788017846577</v>
      </c>
      <c r="K12343" s="6" t="n">
        <f aca="false">Sens!K12285*sbc_r</f>
        <v>27.593128547282</v>
      </c>
    </row>
    <row r="12344" customFormat="false" ht="17.15" hidden="false" customHeight="false" outlineLevel="0" collapsed="false">
      <c r="A12344" s="1" t="s">
        <v>1104</v>
      </c>
      <c r="B12344" s="0" t="s">
        <v>98</v>
      </c>
      <c r="F12344" s="6" t="n">
        <f aca="false">wc27-wc26q1</f>
        <v>-4.677</v>
      </c>
      <c r="G12344" s="6" t="n">
        <f aca="false">wc_f</f>
        <v>0</v>
      </c>
      <c r="H12344" s="6" t="n">
        <f aca="false">wc_f</f>
        <v>0</v>
      </c>
      <c r="I12344" s="6" t="n">
        <f aca="false">wc_f</f>
        <v>0</v>
      </c>
      <c r="J12344" s="6" t="n">
        <f aca="false">wc_f</f>
        <v>0</v>
      </c>
      <c r="K12344" s="6" t="n">
        <f aca="false">wc_f</f>
        <v>0</v>
      </c>
      <c r="L12344" s="12" t="s">
        <v>1105</v>
      </c>
    </row>
    <row r="12345" customFormat="false" ht="17.15" hidden="false" customHeight="false" outlineLevel="0" collapsed="false">
      <c r="A12345" s="0" t="s">
        <v>1106</v>
      </c>
      <c r="B12345" s="0" t="s">
        <v>98</v>
      </c>
      <c r="F12345" s="6" t="n">
        <f aca="false">Q!$I$35-Q!$I$26-Q!$I$38-Q!$I$39</f>
        <v>6.493</v>
      </c>
      <c r="L12345" s="1" t="s">
        <v>1107</v>
      </c>
    </row>
    <row r="12346" customFormat="false" ht="15" hidden="false" customHeight="false" outlineLevel="0" collapsed="false">
      <c r="A12346" s="1" t="s">
        <v>904</v>
      </c>
      <c r="B12346" s="0" t="s">
        <v>98</v>
      </c>
      <c r="E12346" s="6" t="n">
        <f aca="false">Q!M35</f>
        <v>182.935</v>
      </c>
      <c r="F12346" s="6" t="n">
        <f aca="false">Sens!F12339+Sens!F12342+Sens!F12343+Sens!F12344+Sens!F12345</f>
        <v>219.618635729984</v>
      </c>
      <c r="G12346" s="6" t="n">
        <f aca="false">Sens!G12339+Sens!G12342+Sens!G12343+Sens!G12344</f>
        <v>260.784713534681</v>
      </c>
      <c r="H12346" s="6" t="n">
        <f aca="false">Sens!H12339+Sens!H12342+Sens!H12343+Sens!H12344</f>
        <v>310.299418197596</v>
      </c>
      <c r="I12346" s="6" t="n">
        <f aca="false">Sens!I12339+Sens!I12342+Sens!I12343+Sens!I12344</f>
        <v>355.997893618732</v>
      </c>
      <c r="J12346" s="6" t="n">
        <f aca="false">Sens!J12339+Sens!J12342+Sens!J12343+Sens!J12344</f>
        <v>393.226910394835</v>
      </c>
      <c r="K12346" s="6" t="n">
        <f aca="false">Sens!K12339+Sens!K12342+Sens!K12343+Sens!K12344</f>
        <v>423.017031323546</v>
      </c>
    </row>
    <row r="12347" customFormat="false" ht="17.15" hidden="false" customHeight="false" outlineLevel="0" collapsed="false">
      <c r="A12347" s="0" t="s">
        <v>1108</v>
      </c>
      <c r="B12347" s="0" t="s">
        <v>98</v>
      </c>
      <c r="F12347" s="6" t="n">
        <f aca="false">Sens!F12255</f>
        <v>168.45390404212</v>
      </c>
      <c r="G12347" s="6" t="n">
        <f aca="false">Sens!G12255</f>
        <v>191.944475649048</v>
      </c>
      <c r="H12347" s="6" t="n">
        <f aca="false">Sens!H12255</f>
        <v>196.806004064512</v>
      </c>
      <c r="I12347" s="6" t="n">
        <f aca="false">Sens!I12255</f>
        <v>168.61483362161</v>
      </c>
      <c r="J12347" s="6" t="n">
        <f aca="false">Sens!J12255</f>
        <v>128.92993119594</v>
      </c>
      <c r="K12347" s="6" t="n">
        <f aca="false">Sens!K12255</f>
        <v>118.962853064733</v>
      </c>
    </row>
    <row r="12348" customFormat="false" ht="17.15" hidden="false" customHeight="false" outlineLevel="0" collapsed="false">
      <c r="A12348" s="1" t="s">
        <v>1109</v>
      </c>
      <c r="B12348" s="0" t="s">
        <v>98</v>
      </c>
      <c r="E12348" s="6" t="n">
        <f aca="false">Sens!E12263*cx_azo+Sens!E12270*cx_m365+Sens!E12271*cx_lic+(Sens!E12273+Sens!E12275)*cx_ind+Sens!E12278*cx_srch+(Sens!E12280+Sens!E12282)*cx_dev</f>
        <v>30.1846587067718</v>
      </c>
      <c r="F12348" s="6" t="n">
        <f aca="false">Sens!F12263*cx_azo+Sens!F12270*cx_m365+Sens!F12271*cx_lic+(Sens!F12273+Sens!F12275)*cx_ind+Sens!F12278*cx_srch+(Sens!F12280+Sens!F12282)*cx_dev</f>
        <v>35.7485187992227</v>
      </c>
      <c r="G12348" s="6" t="n">
        <f aca="false">Sens!G12263*cx_azo+Sens!G12270*cx_m365+Sens!G12271*cx_lic+(Sens!G12273+Sens!G12275)*cx_ind+Sens!G12278*cx_srch+(Sens!G12280+Sens!G12282)*cx_dev</f>
        <v>41.3690005076517</v>
      </c>
      <c r="H12348" s="6" t="n">
        <f aca="false">Sens!H12263*cx_azo+Sens!H12270*cx_m365+Sens!H12271*cx_lic+(Sens!H12273+Sens!H12275)*cx_ind+Sens!H12278*cx_srch+(Sens!H12280+Sens!H12282)*cx_dev</f>
        <v>47.0780066124822</v>
      </c>
      <c r="I12348" s="6" t="n">
        <f aca="false">Sens!I12263*cx_azo+Sens!I12270*cx_m365+Sens!I12271*cx_lic+(Sens!I12273+Sens!I12275)*cx_ind+Sens!I12278*cx_srch+(Sens!I12280+Sens!I12282)*cx_dev</f>
        <v>52.5166646917333</v>
      </c>
      <c r="J12348" s="6" t="n">
        <f aca="false">Sens!J12263*cx_azo+Sens!J12270*cx_m365+Sens!J12271*cx_lic+(Sens!J12273+Sens!J12275)*cx_ind+Sens!J12278*cx_srch+(Sens!J12280+Sens!J12282)*cx_dev</f>
        <v>57.4502594437396</v>
      </c>
      <c r="K12348" s="6" t="n">
        <f aca="false">Sens!K12263*cx_azo+Sens!K12270*cx_m365+Sens!K12271*cx_lic+(Sens!K12273+Sens!K12275)*cx_ind+Sens!K12278*cx_srch+(Sens!K12280+Sens!K12282)*cx_dev</f>
        <v>61.7866128957619</v>
      </c>
    </row>
    <row r="12349" customFormat="false" ht="17.15" hidden="false" customHeight="false" outlineLevel="0" collapsed="false">
      <c r="A12349" s="0" t="s">
        <v>1110</v>
      </c>
      <c r="B12349" s="0" t="s">
        <v>98</v>
      </c>
      <c r="F12349" s="6" t="n">
        <f aca="false">Sens!F12253</f>
        <v>0</v>
      </c>
      <c r="L12349" s="1" t="s">
        <v>1111</v>
      </c>
    </row>
    <row r="12350" customFormat="false" ht="17.15" hidden="false" customHeight="false" outlineLevel="0" collapsed="false">
      <c r="A12350" s="1" t="s">
        <v>1112</v>
      </c>
      <c r="B12350" s="0" t="s">
        <v>98</v>
      </c>
      <c r="E12350" s="6" t="n">
        <f aca="false">Q!M43</f>
        <v>145.3</v>
      </c>
      <c r="F12350" s="6" t="n">
        <f aca="false">Sens!F12347+Sens!F12348+Sens!F12349</f>
        <v>204.202422841342</v>
      </c>
      <c r="G12350" s="6" t="n">
        <f aca="false">Sens!G12347+Sens!G12348</f>
        <v>233.3134761567</v>
      </c>
      <c r="H12350" s="6" t="n">
        <f aca="false">Sens!H12347+Sens!H12348</f>
        <v>243.884010676995</v>
      </c>
      <c r="I12350" s="6" t="n">
        <f aca="false">Sens!I12347+Sens!I12348</f>
        <v>221.131498313344</v>
      </c>
      <c r="J12350" s="6" t="n">
        <f aca="false">Sens!J12347+Sens!J12348</f>
        <v>186.38019063968</v>
      </c>
      <c r="K12350" s="6" t="n">
        <f aca="false">Sens!K12347+Sens!K12348</f>
        <v>180.749465960495</v>
      </c>
      <c r="L12350" s="1" t="s">
        <v>1113</v>
      </c>
    </row>
    <row r="12351" customFormat="false" ht="15" hidden="false" customHeight="false" outlineLevel="0" collapsed="false">
      <c r="A12351" s="1" t="s">
        <v>1114</v>
      </c>
      <c r="B12351" s="0" t="s">
        <v>98</v>
      </c>
      <c r="E12351" s="6" t="n">
        <f aca="false">fl_liab</f>
        <v>66.594</v>
      </c>
      <c r="F12351" s="6" t="n">
        <f aca="false">Sens!E12351-Sens!F12352</f>
        <v>62.46973</v>
      </c>
      <c r="G12351" s="6" t="n">
        <f aca="false">Sens!F12351-Sens!G12352</f>
        <v>57.98686785</v>
      </c>
      <c r="H12351" s="6" t="n">
        <f aca="false">Sens!G12351-Sens!H12352</f>
        <v>53.92827690325</v>
      </c>
      <c r="I12351" s="6" t="n">
        <f aca="false">Sens!H12351-Sens!I12352</f>
        <v>49.7850493638962</v>
      </c>
      <c r="J12351" s="6" t="n">
        <f aca="false">Sens!I12351-Sens!J12352</f>
        <v>45.4823765852716</v>
      </c>
      <c r="K12351" s="6" t="n">
        <f aca="false">Sens!J12351-Sens!K12352</f>
        <v>40.9860835316088</v>
      </c>
    </row>
    <row r="12352" customFormat="false" ht="15" hidden="false" customHeight="false" outlineLevel="0" collapsed="false">
      <c r="A12352" s="1" t="s">
        <v>1115</v>
      </c>
      <c r="B12352" s="0" t="s">
        <v>98</v>
      </c>
      <c r="F12352" s="6" t="n">
        <f aca="false">fl_pay_27-Sens!E12351*fl_rate</f>
        <v>4.12427</v>
      </c>
      <c r="G12352" s="6" t="n">
        <f aca="false">fl_pay_28-Sens!F12351*fl_rate</f>
        <v>4.48286215</v>
      </c>
      <c r="H12352" s="6" t="n">
        <f aca="false">fl_pay_29-Sens!G12351*fl_rate</f>
        <v>4.05859094675</v>
      </c>
      <c r="I12352" s="6" t="n">
        <f aca="false">fl_pay_30-Sens!H12351*fl_rate</f>
        <v>4.14322753935375</v>
      </c>
      <c r="J12352" s="6" t="n">
        <f aca="false">fl_pay_31-Sens!I12351*fl_rate</f>
        <v>4.30267277862467</v>
      </c>
      <c r="K12352" s="6" t="n">
        <f aca="false">fl_pay_32-Sens!J12351*fl_rate</f>
        <v>4.49629305366278</v>
      </c>
    </row>
    <row r="12353" customFormat="false" ht="17.15" hidden="false" customHeight="false" outlineLevel="0" collapsed="false">
      <c r="A12353" s="1" t="s">
        <v>1116</v>
      </c>
      <c r="B12353" s="0" t="s">
        <v>98</v>
      </c>
      <c r="E12353" s="6" t="n">
        <f aca="false">Q!M35-Q!M36-Q!M44</f>
        <v>63.886</v>
      </c>
      <c r="F12353" s="6" t="n">
        <f aca="false">Sens!F12346-Sens!F12350-Sens!F12352</f>
        <v>11.2919428886412</v>
      </c>
      <c r="G12353" s="6" t="n">
        <f aca="false">Sens!G12346-Sens!G12350-Sens!G12352</f>
        <v>22.9883752279813</v>
      </c>
      <c r="H12353" s="6" t="n">
        <f aca="false">Sens!H12346-Sens!H12350-Sens!H12352</f>
        <v>62.3568165738512</v>
      </c>
      <c r="I12353" s="6" t="n">
        <f aca="false">Sens!I12346-Sens!I12350-Sens!I12352</f>
        <v>130.723167766034</v>
      </c>
      <c r="J12353" s="6" t="n">
        <f aca="false">Sens!J12346-Sens!J12350-Sens!J12352</f>
        <v>202.544046976531</v>
      </c>
      <c r="K12353" s="6" t="n">
        <f aca="false">Sens!K12346-Sens!K12350-Sens!K12352</f>
        <v>237.771272309389</v>
      </c>
      <c r="L12353" s="12" t="s">
        <v>1117</v>
      </c>
    </row>
    <row r="12354" customFormat="false" ht="15" hidden="false" customHeight="false" outlineLevel="0" collapsed="false">
      <c r="A12354" s="1" t="s">
        <v>1118</v>
      </c>
      <c r="B12354" s="0" t="s">
        <v>75</v>
      </c>
      <c r="F12354" s="8" t="n">
        <f aca="false">dps_27</f>
        <v>3.85</v>
      </c>
      <c r="G12354" s="8" t="n">
        <f aca="false">Sens!F12354*(1+dps_g)</f>
        <v>4.158</v>
      </c>
      <c r="H12354" s="8" t="n">
        <f aca="false">Sens!G12354*(1+dps_g)</f>
        <v>4.49064</v>
      </c>
      <c r="I12354" s="8" t="n">
        <f aca="false">Sens!H12354*(1+dps_g)</f>
        <v>4.8498912</v>
      </c>
      <c r="J12354" s="8" t="n">
        <f aca="false">Sens!I12354*(1+dps_g)</f>
        <v>5.237882496</v>
      </c>
      <c r="K12354" s="8" t="n">
        <f aca="false">Sens!J12354*(1+dps_g)</f>
        <v>5.65691309568</v>
      </c>
    </row>
    <row r="12355" customFormat="false" ht="17.15" hidden="false" customHeight="false" outlineLevel="0" collapsed="false">
      <c r="A12355" s="1" t="s">
        <v>1119</v>
      </c>
      <c r="B12355" s="0" t="s">
        <v>98</v>
      </c>
      <c r="E12355" s="6" t="n">
        <f aca="false">Q!M41</f>
        <v>26.445</v>
      </c>
      <c r="F12355" s="6" t="n">
        <f aca="false">Sens!F12354*Sens!E12364</f>
        <v>28.59395</v>
      </c>
      <c r="G12355" s="6" t="n">
        <f aca="false">Sens!G12354*Sens!F12364</f>
        <v>31.0663834359795</v>
      </c>
      <c r="H12355" s="6" t="n">
        <f aca="false">Sens!H12354*Sens!G12364</f>
        <v>33.7537729108578</v>
      </c>
      <c r="I12355" s="6" t="n">
        <f aca="false">Sens!I12354*Sens!H12364</f>
        <v>36.5045130207991</v>
      </c>
      <c r="J12355" s="6" t="n">
        <f aca="false">Sens!J12354*Sens!I12364</f>
        <v>39.4927719478557</v>
      </c>
      <c r="K12355" s="6" t="n">
        <f aca="false">Sens!K12354*Sens!J12364</f>
        <v>42.7389479660624</v>
      </c>
      <c r="L12355" s="1" t="s">
        <v>1120</v>
      </c>
    </row>
    <row r="12356" customFormat="false" ht="15" hidden="false" customHeight="false" outlineLevel="0" collapsed="false">
      <c r="A12356" s="1" t="s">
        <v>1121</v>
      </c>
      <c r="B12356" s="0" t="s">
        <v>98</v>
      </c>
      <c r="E12356" s="6" t="n">
        <f aca="false">Sens!E12353-Sens!E12355</f>
        <v>37.441</v>
      </c>
      <c r="F12356" s="6" t="n">
        <f aca="false">Sens!F12353-Sens!F12355</f>
        <v>-17.3020071113588</v>
      </c>
      <c r="G12356" s="6" t="n">
        <f aca="false">Sens!G12353-Sens!G12355</f>
        <v>-8.07800820799812</v>
      </c>
      <c r="H12356" s="6" t="n">
        <f aca="false">Sens!H12353-Sens!H12355</f>
        <v>28.6030436629933</v>
      </c>
      <c r="I12356" s="6" t="n">
        <f aca="false">Sens!I12353-Sens!I12355</f>
        <v>94.2186547452353</v>
      </c>
      <c r="J12356" s="6" t="n">
        <f aca="false">Sens!J12353-Sens!J12355</f>
        <v>163.051275028675</v>
      </c>
      <c r="K12356" s="6" t="n">
        <f aca="false">Sens!K12353-Sens!K12355</f>
        <v>195.032324343327</v>
      </c>
    </row>
    <row r="12357" customFormat="false" ht="15" hidden="false" customHeight="false" outlineLevel="0" collapsed="false">
      <c r="A12357" s="1" t="s">
        <v>1122</v>
      </c>
      <c r="B12357" s="0" t="s">
        <v>98</v>
      </c>
      <c r="F12357" s="6" t="n">
        <f aca="false">debt_mat_27</f>
        <v>9.25</v>
      </c>
      <c r="G12357" s="6" t="n">
        <f aca="false">debt_mat_28</f>
        <v>0</v>
      </c>
      <c r="H12357" s="6" t="n">
        <f aca="false">debt_mat_29</f>
        <v>2.001</v>
      </c>
      <c r="I12357" s="6" t="n">
        <f aca="false">debt_mat_30</f>
        <v>0</v>
      </c>
      <c r="J12357" s="6" t="n">
        <f aca="false">debt_mat_31</f>
        <v>0.5</v>
      </c>
      <c r="K12357" s="6" t="n">
        <f aca="false">debt_mat_32</f>
        <v>0</v>
      </c>
    </row>
    <row r="12358" customFormat="false" ht="15" hidden="false" customHeight="false" outlineLevel="0" collapsed="false">
      <c r="A12358" s="1" t="s">
        <v>1123</v>
      </c>
      <c r="B12358" s="0" t="s">
        <v>98</v>
      </c>
      <c r="E12358" s="6" t="n">
        <f aca="false">Q!M40</f>
        <v>22.271</v>
      </c>
      <c r="F12358" s="6" t="n">
        <f aca="false">MAX(0,MIN(bb_target,Sens!E12360+Sens!F12356-Sens!F12357-min_cash))</f>
        <v>0.290992888641213</v>
      </c>
      <c r="G12358" s="6" t="n">
        <f aca="false">MAX(0,MIN(bb_target,Sens!F12360+Sens!G12356-Sens!G12357-min_cash))</f>
        <v>0</v>
      </c>
      <c r="H12358" s="6" t="n">
        <f aca="false">MAX(0,MIN(bb_target,Sens!G12360+Sens!H12356-Sens!H12357-min_cash))</f>
        <v>22.271</v>
      </c>
      <c r="I12358" s="6" t="n">
        <f aca="false">MAX(0,MIN(bb_target,Sens!H12360+Sens!I12356-Sens!I12357-min_cash))</f>
        <v>22.271</v>
      </c>
      <c r="J12358" s="6" t="n">
        <f aca="false">MAX(0,MIN(bb_target,Sens!I12360+Sens!J12356-Sens!J12357-min_cash))</f>
        <v>22.271</v>
      </c>
      <c r="K12358" s="6" t="n">
        <f aca="false">MAX(0,MIN(bb_target,Sens!J12360+Sens!K12356-Sens!K12357-min_cash))</f>
        <v>22.271</v>
      </c>
    </row>
    <row r="12359" customFormat="false" ht="15" hidden="false" customHeight="false" outlineLevel="0" collapsed="false">
      <c r="A12359" s="1" t="s">
        <v>1124</v>
      </c>
      <c r="B12359" s="0" t="s">
        <v>98</v>
      </c>
      <c r="F12359" s="6" t="n">
        <f aca="false">MAX(0,min_cash-(Sens!E12360+Sens!F12356-Sens!F12357-Sens!F12358))</f>
        <v>0</v>
      </c>
      <c r="G12359" s="6" t="n">
        <f aca="false">MAX(0,min_cash-(Sens!F12360+Sens!G12356-Sens!G12357-Sens!G12358))</f>
        <v>8.07800820799812</v>
      </c>
      <c r="H12359" s="6" t="n">
        <f aca="false">MAX(0,min_cash-(Sens!G12360+Sens!H12356-Sens!H12357-Sens!H12358))</f>
        <v>0</v>
      </c>
      <c r="I12359" s="6" t="n">
        <f aca="false">MAX(0,min_cash-(Sens!H12360+Sens!I12356-Sens!I12357-Sens!I12358))</f>
        <v>0</v>
      </c>
      <c r="J12359" s="6" t="n">
        <f aca="false">MAX(0,min_cash-(Sens!I12360+Sens!J12356-Sens!J12357-Sens!J12358))</f>
        <v>0</v>
      </c>
      <c r="K12359" s="6" t="n">
        <f aca="false">MAX(0,min_cash-(Sens!J12360+Sens!K12356-Sens!K12357-Sens!K12358))</f>
        <v>0</v>
      </c>
    </row>
    <row r="12360" customFormat="false" ht="15" hidden="false" customHeight="false" outlineLevel="0" collapsed="false">
      <c r="A12360" s="1" t="s">
        <v>1125</v>
      </c>
      <c r="B12360" s="0" t="s">
        <v>98</v>
      </c>
      <c r="E12360" s="6" t="n">
        <f aca="false">cash_open</f>
        <v>76.843</v>
      </c>
      <c r="F12360" s="6" t="n">
        <f aca="false">Sens!E12360+Sens!F12356-Sens!F12357-Sens!F12358+Sens!F12359</f>
        <v>50</v>
      </c>
      <c r="G12360" s="6" t="n">
        <f aca="false">Sens!F12360+Sens!G12356-Sens!G12357-Sens!G12358+Sens!G12359</f>
        <v>50</v>
      </c>
      <c r="H12360" s="6" t="n">
        <f aca="false">Sens!G12360+Sens!H12356-Sens!H12357-Sens!H12358+Sens!H12359</f>
        <v>54.3310436629933</v>
      </c>
      <c r="I12360" s="6" t="n">
        <f aca="false">Sens!H12360+Sens!I12356-Sens!I12357-Sens!I12358+Sens!I12359</f>
        <v>126.278698408229</v>
      </c>
      <c r="J12360" s="6" t="n">
        <f aca="false">Sens!I12360+Sens!J12356-Sens!J12357-Sens!J12358+Sens!J12359</f>
        <v>266.558973436904</v>
      </c>
      <c r="K12360" s="6" t="n">
        <f aca="false">Sens!J12360+Sens!K12356-Sens!K12357-Sens!K12358+Sens!K12359</f>
        <v>439.320297780231</v>
      </c>
    </row>
    <row r="12361" customFormat="false" ht="15" hidden="false" customHeight="false" outlineLevel="0" collapsed="false">
      <c r="A12361" s="1" t="s">
        <v>1126</v>
      </c>
      <c r="B12361" s="0" t="s">
        <v>98</v>
      </c>
      <c r="E12361" s="6" t="n">
        <f aca="false">debt_face</f>
        <v>46.136</v>
      </c>
      <c r="F12361" s="6" t="n">
        <f aca="false">Sens!E12361-Sens!F12357+Sens!F12359</f>
        <v>36.886</v>
      </c>
      <c r="G12361" s="6" t="n">
        <f aca="false">Sens!F12361-Sens!G12357+Sens!G12359</f>
        <v>44.9640082079981</v>
      </c>
      <c r="H12361" s="6" t="n">
        <f aca="false">Sens!G12361-Sens!H12357+Sens!H12359</f>
        <v>42.9630082079981</v>
      </c>
      <c r="I12361" s="6" t="n">
        <f aca="false">Sens!H12361-Sens!I12357+Sens!I12359</f>
        <v>42.9630082079981</v>
      </c>
      <c r="J12361" s="6" t="n">
        <f aca="false">Sens!I12361-Sens!J12357+Sens!J12359</f>
        <v>42.4630082079981</v>
      </c>
      <c r="K12361" s="6" t="n">
        <f aca="false">Sens!J12361-Sens!K12357+Sens!K12359</f>
        <v>42.4630082079981</v>
      </c>
    </row>
    <row r="12362" customFormat="false" ht="15" hidden="false" customHeight="false" outlineLevel="0" collapsed="false">
      <c r="A12362" s="1" t="s">
        <v>1127</v>
      </c>
      <c r="B12362" s="0" t="s">
        <v>98</v>
      </c>
      <c r="E12362" s="6" t="n">
        <f aca="false">Sens!E12360-Sens!E12361</f>
        <v>30.707</v>
      </c>
      <c r="F12362" s="6" t="n">
        <f aca="false">Sens!F12360-Sens!F12361</f>
        <v>13.114</v>
      </c>
      <c r="G12362" s="6" t="n">
        <f aca="false">Sens!G12360-Sens!G12361</f>
        <v>5.03599179200187</v>
      </c>
      <c r="H12362" s="6" t="n">
        <f aca="false">Sens!H12360-Sens!H12361</f>
        <v>11.3680354549952</v>
      </c>
      <c r="I12362" s="6" t="n">
        <f aca="false">Sens!I12360-Sens!I12361</f>
        <v>83.3156902002305</v>
      </c>
      <c r="J12362" s="6" t="n">
        <f aca="false">Sens!J12360-Sens!J12361</f>
        <v>224.095965228906</v>
      </c>
      <c r="K12362" s="6" t="n">
        <f aca="false">Sens!K12360-Sens!K12361</f>
        <v>396.857289572232</v>
      </c>
    </row>
    <row r="12363" customFormat="false" ht="15" hidden="false" customHeight="false" outlineLevel="0" collapsed="false">
      <c r="A12363" s="1" t="s">
        <v>1128</v>
      </c>
      <c r="B12363" s="0" t="s">
        <v>75</v>
      </c>
      <c r="F12363" s="30" t="n">
        <f aca="false">px*(1+bb_g)^(Sens!F12221-base_fy-mid_yr)</f>
        <v>551.84177959629</v>
      </c>
      <c r="G12363" s="30" t="n">
        <f aca="false">px*(1+bb_g)^(Sens!G12221-base_fy-mid_yr)</f>
        <v>595.989121963993</v>
      </c>
      <c r="H12363" s="30" t="n">
        <f aca="false">px*(1+bb_g)^(Sens!H12221-base_fy-mid_yr)</f>
        <v>643.668251721112</v>
      </c>
      <c r="I12363" s="30" t="n">
        <f aca="false">px*(1+bb_g)^(Sens!I12221-base_fy-mid_yr)</f>
        <v>695.161711858801</v>
      </c>
      <c r="J12363" s="30" t="n">
        <f aca="false">px*(1+bb_g)^(Sens!J12221-base_fy-mid_yr)</f>
        <v>750.774648807506</v>
      </c>
      <c r="K12363" s="30" t="n">
        <f aca="false">px*(1+bb_g)^(Sens!K12221-base_fy-mid_yr)</f>
        <v>810.836620712106</v>
      </c>
    </row>
    <row r="12364" customFormat="false" ht="15" hidden="false" customHeight="false" outlineLevel="0" collapsed="false">
      <c r="A12364" s="1" t="s">
        <v>1129</v>
      </c>
      <c r="B12364" s="1" t="s">
        <v>81</v>
      </c>
      <c r="E12364" s="15" t="n">
        <f aca="false">sh_out26</f>
        <v>7.427</v>
      </c>
      <c r="F12364" s="15" t="n">
        <f aca="false">Sens!E12364+sh_iss-Sens!F12358/Sens!F12363</f>
        <v>7.47147268782575</v>
      </c>
      <c r="G12364" s="15" t="n">
        <f aca="false">Sens!F12364+sh_iss-Sens!G12358/Sens!G12363</f>
        <v>7.51647268782575</v>
      </c>
      <c r="H12364" s="15" t="n">
        <f aca="false">Sens!G12364+sh_iss-Sens!H12358/Sens!H12363</f>
        <v>7.52687256588335</v>
      </c>
      <c r="I12364" s="15" t="n">
        <f aca="false">Sens!H12364+sh_iss-Sens!I12358/Sens!I12363</f>
        <v>7.53983541593669</v>
      </c>
      <c r="J12364" s="15" t="n">
        <f aca="false">Sens!I12364+sh_iss-Sens!J12358/Sens!J12363</f>
        <v>7.5551713882083</v>
      </c>
      <c r="K12364" s="15" t="n">
        <f aca="false">Sens!J12364+sh_iss-Sens!K12358/Sens!K12363</f>
        <v>7.57270469586719</v>
      </c>
    </row>
    <row r="12365" customFormat="false" ht="15" hidden="false" customHeight="false" outlineLevel="0" collapsed="false">
      <c r="A12365" s="1" t="s">
        <v>1130</v>
      </c>
      <c r="B12365" s="1" t="s">
        <v>81</v>
      </c>
      <c r="E12365" s="15" t="n">
        <f aca="false">sh_dil26</f>
        <v>7.453</v>
      </c>
      <c r="F12365" s="15" t="n">
        <f aca="false">(Sens!E12364+Sens!F12364)/2+dil_gap</f>
        <v>7.47323634391287</v>
      </c>
      <c r="G12365" s="15" t="n">
        <f aca="false">(Sens!F12364+Sens!G12364)/2+dil_gap</f>
        <v>7.51797268782575</v>
      </c>
      <c r="H12365" s="15" t="n">
        <f aca="false">(Sens!G12364+Sens!H12364)/2+dil_gap</f>
        <v>7.54567262685455</v>
      </c>
      <c r="I12365" s="15" t="n">
        <f aca="false">(Sens!H12364+Sens!I12364)/2+dil_gap</f>
        <v>7.55735399091002</v>
      </c>
      <c r="J12365" s="15" t="n">
        <f aca="false">(Sens!I12364+Sens!J12364)/2+dil_gap</f>
        <v>7.57150340207249</v>
      </c>
      <c r="K12365" s="15" t="n">
        <f aca="false">(Sens!J12364+Sens!K12364)/2+dil_gap</f>
        <v>7.58793804203774</v>
      </c>
    </row>
    <row r="12366" customFormat="false" ht="17.15" hidden="false" customHeight="false" outlineLevel="0" collapsed="false">
      <c r="A12366" s="1" t="s">
        <v>1131</v>
      </c>
      <c r="B12366" s="0" t="s">
        <v>98</v>
      </c>
      <c r="C12366" s="6" t="n">
        <f aca="false">SUM(Sens!F12356:J12356)</f>
        <v>260.492958117547</v>
      </c>
    </row>
    <row r="12367" customFormat="false" ht="15" hidden="false" customHeight="false" outlineLevel="0" collapsed="false">
      <c r="A12367" s="26" t="s">
        <v>1096</v>
      </c>
      <c r="B12367" s="31" t="s">
        <v>98</v>
      </c>
      <c r="C12367" s="27" t="n">
        <f aca="false">Sens!$C$12366-(Sens!F12356+Sens!G12356+Sens!H12356+Sens!I12356+Sens!J12356)</f>
        <v>0</v>
      </c>
      <c r="D12367" s="31"/>
      <c r="E12367" s="31"/>
      <c r="F12367" s="31"/>
      <c r="G12367" s="31"/>
      <c r="H12367" s="31"/>
      <c r="I12367" s="31"/>
      <c r="J12367" s="31"/>
      <c r="K12367" s="31"/>
    </row>
    <row r="12368" customFormat="false" ht="17.15" hidden="false" customHeight="false" outlineLevel="0" collapsed="false">
      <c r="A12368" s="1" t="s">
        <v>1090</v>
      </c>
      <c r="B12368" s="1" t="s">
        <v>1132</v>
      </c>
      <c r="C12368" s="33" t="str">
        <f aca="false">IF(SUM(Sens!F12359:J12359)&gt;0.05,"需要舉債 "&amp;TEXT(SUM(Sens!F12359:J12359),"0.0")&amp;" 十億美元","不需舉債")&amp;"；"&amp;IF(SUM(Sens!F12358:J12358)&lt;COUNT(Sens!F12358:J12358)*bb_target-0.05,"回購較每年 "&amp;TEXT(bb_target,"0.0")&amp;" 的目標少 "&amp;TEXT(COUNT(Sens!F12358:J12358)*bb_target-SUM(Sens!F12358:J12358),"0.0")&amp;" 十億美元（"&amp;TEXT(COUNTIF(Sens!F12358:J12358,"&lt;"&amp;(bb_target-0.05)),"0")&amp;" 年減少）","回購不減")</f>
        <v>需要舉債 8.1 十億美元；回購較每年 22.3 的目標少 44.3 十億美元（2 年減少）</v>
      </c>
    </row>
    <row r="12369" customFormat="false" ht="17.15" hidden="false" customHeight="false" outlineLevel="0" collapsed="false">
      <c r="A12369" s="3" t="s">
        <v>1789</v>
      </c>
    </row>
    <row r="12370" customFormat="false" ht="15" hidden="false" customHeight="false" outlineLevel="0" collapsed="false">
      <c r="A12370" s="4" t="s">
        <v>43</v>
      </c>
      <c r="B12370" s="4" t="s">
        <v>65</v>
      </c>
      <c r="C12370" s="23" t="s">
        <v>938</v>
      </c>
      <c r="D12370" s="23" t="s">
        <v>939</v>
      </c>
      <c r="E12370" s="23" t="s">
        <v>940</v>
      </c>
      <c r="F12370" s="23" t="s">
        <v>941</v>
      </c>
      <c r="G12370" s="23" t="s">
        <v>942</v>
      </c>
      <c r="H12370" s="23" t="s">
        <v>943</v>
      </c>
      <c r="I12370" s="23" t="s">
        <v>944</v>
      </c>
      <c r="J12370" s="23" t="s">
        <v>945</v>
      </c>
      <c r="K12370" s="23" t="s">
        <v>946</v>
      </c>
      <c r="L12370" s="4" t="s">
        <v>47</v>
      </c>
    </row>
    <row r="12371" customFormat="false" ht="17.15" hidden="false" customHeight="false" outlineLevel="0" collapsed="false">
      <c r="A12371" s="1" t="s">
        <v>1212</v>
      </c>
      <c r="B12371" s="1" t="s">
        <v>279</v>
      </c>
      <c r="F12371" s="8" t="n">
        <f aca="false">(1-v_off)*mid_yr</f>
        <v>0.373972602739726</v>
      </c>
      <c r="G12371" s="8" t="n">
        <f aca="false">Sens!G12221-base_fy-mid_yr-v_off</f>
        <v>1.24794520547945</v>
      </c>
      <c r="H12371" s="8" t="n">
        <f aca="false">Sens!H12221-base_fy-mid_yr-v_off</f>
        <v>2.24794520547945</v>
      </c>
      <c r="I12371" s="8" t="n">
        <f aca="false">Sens!I12221-base_fy-mid_yr-v_off</f>
        <v>3.24794520547945</v>
      </c>
      <c r="J12371" s="8" t="n">
        <f aca="false">Sens!J12221-base_fy-mid_yr-v_off</f>
        <v>4.24794520547945</v>
      </c>
      <c r="K12371" s="8" t="n">
        <f aca="false">Sens!K12221-base_fy-mid_yr-v_off</f>
        <v>5.24794520547945</v>
      </c>
      <c r="L12371" s="12" t="s">
        <v>1213</v>
      </c>
    </row>
    <row r="12372" customFormat="false" ht="15" hidden="false" customHeight="false" outlineLevel="0" collapsed="false">
      <c r="A12372" s="1" t="s">
        <v>1214</v>
      </c>
      <c r="B12372" s="1" t="s">
        <v>279</v>
      </c>
      <c r="F12372" s="8" t="n">
        <f aca="false">Sens!F12221-base_fy-v_off</f>
        <v>0.747945205479452</v>
      </c>
      <c r="G12372" s="8" t="n">
        <f aca="false">Sens!G12221-base_fy-v_off</f>
        <v>1.74794520547945</v>
      </c>
      <c r="H12372" s="8" t="n">
        <f aca="false">Sens!H12221-base_fy-v_off</f>
        <v>2.74794520547945</v>
      </c>
      <c r="I12372" s="8" t="n">
        <f aca="false">Sens!I12221-base_fy-v_off</f>
        <v>3.74794520547945</v>
      </c>
      <c r="J12372" s="8" t="n">
        <f aca="false">Sens!J12221-base_fy-v_off</f>
        <v>4.74794520547945</v>
      </c>
      <c r="K12372" s="8" t="n">
        <f aca="false">Sens!K12221-base_fy-v_off</f>
        <v>5.74794520547945</v>
      </c>
    </row>
    <row r="12373" customFormat="false" ht="15" hidden="false" customHeight="false" outlineLevel="0" collapsed="false">
      <c r="A12373" s="1" t="s">
        <v>1215</v>
      </c>
      <c r="B12373" s="0" t="s">
        <v>229</v>
      </c>
      <c r="F12373" s="15" t="n">
        <f aca="false">1/(1+wacc)^Sens!F12371</f>
        <v>0.964022703286649</v>
      </c>
      <c r="G12373" s="15" t="n">
        <f aca="false">1/(1+wacc)^Sens!G12371</f>
        <v>0.884910302296739</v>
      </c>
      <c r="H12373" s="15" t="n">
        <f aca="false">1/(1+wacc)^Sens!H12371</f>
        <v>0.802322009770358</v>
      </c>
      <c r="I12373" s="15" t="n">
        <f aca="false">1/(1+wacc)^Sens!I12371</f>
        <v>0.727441646561469</v>
      </c>
      <c r="J12373" s="15" t="n">
        <f aca="false">1/(1+wacc)^Sens!J12371</f>
        <v>0.659549834988973</v>
      </c>
      <c r="K12373" s="15" t="n">
        <f aca="false">1/(1+wacc)^Sens!K12371</f>
        <v>0.597994336576966</v>
      </c>
    </row>
    <row r="12374" customFormat="false" ht="17.15" hidden="false" customHeight="false" outlineLevel="0" collapsed="false">
      <c r="A12374" s="1" t="s">
        <v>1216</v>
      </c>
      <c r="B12374" s="0" t="s">
        <v>98</v>
      </c>
      <c r="F12374" s="6" t="n">
        <f aca="false">Q!$I$35-Q!$I$39-Q!$I$43</f>
        <v>9.666</v>
      </c>
      <c r="L12374" s="12" t="s">
        <v>1217</v>
      </c>
    </row>
    <row r="12375" customFormat="false" ht="17.15" hidden="false" customHeight="false" outlineLevel="0" collapsed="false">
      <c r="A12375" s="1" t="s">
        <v>1218</v>
      </c>
      <c r="B12375" s="0" t="s">
        <v>98</v>
      </c>
      <c r="F12375" s="6" t="n">
        <f aca="false">Sens!F12346-Sens!F12343-Sens!F12350+Sens!F12328*(1-tax_f)*(1-v_off)-Sens!F12374</f>
        <v>-3.34247930291092</v>
      </c>
      <c r="G12375" s="6" t="n">
        <f aca="false">Sens!G12346-Sens!G12343-Sens!G12350+Sens!G12328*(1-tax_f)</f>
        <v>29.8688166982224</v>
      </c>
      <c r="H12375" s="6" t="n">
        <f aca="false">Sens!H12346-Sens!H12343-Sens!H12350+Sens!H12328*(1-tax_f)</f>
        <v>79.4463629541494</v>
      </c>
      <c r="I12375" s="6" t="n">
        <f aca="false">Sens!I12346-Sens!I12343-Sens!I12350+Sens!I12328*(1-tax_f)</f>
        <v>157.498637708271</v>
      </c>
      <c r="J12375" s="6" t="n">
        <f aca="false">Sens!J12346-Sens!J12343-Sens!J12350+Sens!J12328*(1-tax_f)</f>
        <v>235.854199643154</v>
      </c>
      <c r="K12375" s="6" t="n">
        <f aca="false">Sens!K12346-Sens!K12343-Sens!K12350+Sens!K12328*(1-tax_f)</f>
        <v>274.16230681123</v>
      </c>
      <c r="L12375" s="1" t="s">
        <v>1219</v>
      </c>
    </row>
    <row r="12376" customFormat="false" ht="15" hidden="false" customHeight="false" outlineLevel="0" collapsed="false">
      <c r="A12376" s="1" t="s">
        <v>1220</v>
      </c>
      <c r="B12376" s="0" t="s">
        <v>98</v>
      </c>
      <c r="F12376" s="6" t="n">
        <f aca="false">Sens!F12375*Sens!F12373</f>
        <v>-3.22222593327186</v>
      </c>
      <c r="G12376" s="6" t="n">
        <f aca="false">Sens!G12375*Sens!G12373</f>
        <v>26.4312236136699</v>
      </c>
      <c r="H12376" s="6" t="n">
        <f aca="false">Sens!H12375*Sens!H12373</f>
        <v>63.7415655943184</v>
      </c>
      <c r="I12376" s="6" t="n">
        <f aca="false">Sens!I12375*Sens!I12373</f>
        <v>114.571068345693</v>
      </c>
      <c r="J12376" s="6" t="n">
        <f aca="false">Sens!J12375*Sens!J12373</f>
        <v>155.557598456098</v>
      </c>
      <c r="K12376" s="6" t="n">
        <f aca="false">Sens!K12375*Sens!K12373</f>
        <v>163.947506775992</v>
      </c>
    </row>
    <row r="12377" customFormat="false" ht="17.15" hidden="false" customHeight="false" outlineLevel="0" collapsed="false">
      <c r="A12377" s="1" t="s">
        <v>1221</v>
      </c>
      <c r="B12377" s="0" t="s">
        <v>98</v>
      </c>
      <c r="C12377" s="6" t="n">
        <f aca="false">SUM(Sens!F12376:K12376)</f>
        <v>521.026736852499</v>
      </c>
    </row>
    <row r="12378" customFormat="false" ht="17.15" hidden="false" customHeight="false" outlineLevel="0" collapsed="false">
      <c r="A12378" s="1" t="s">
        <v>1222</v>
      </c>
      <c r="B12378" s="0" t="s">
        <v>98</v>
      </c>
      <c r="C12378" s="6" t="n">
        <f aca="false">Sens!K12314*(1+g_tv)*(1-tax_f)</f>
        <v>285.501334255577</v>
      </c>
    </row>
    <row r="12379" customFormat="false" ht="17.15" hidden="false" customHeight="false" outlineLevel="0" collapsed="false">
      <c r="A12379" s="1" t="s">
        <v>1223</v>
      </c>
      <c r="B12379" s="0" t="s">
        <v>98</v>
      </c>
      <c r="C12379" s="6" t="n">
        <f aca="false">Sens!$C$12378*(1-g_tv/(wacc+ronic_prem))</f>
        <v>202.294381810513</v>
      </c>
    </row>
    <row r="12380" customFormat="false" ht="17.15" hidden="false" customHeight="false" outlineLevel="0" collapsed="false">
      <c r="A12380" s="1" t="s">
        <v>1224</v>
      </c>
      <c r="B12380" s="0" t="s">
        <v>98</v>
      </c>
      <c r="C12380" s="6" t="n">
        <f aca="false">Sens!$C$12379/(wacc-g_tv)</f>
        <v>2773.56508150213</v>
      </c>
    </row>
    <row r="12381" customFormat="false" ht="15" hidden="false" customHeight="false" outlineLevel="0" collapsed="false">
      <c r="A12381" s="1" t="s">
        <v>1225</v>
      </c>
      <c r="B12381" s="0" t="s">
        <v>98</v>
      </c>
      <c r="C12381" s="6" t="n">
        <f aca="false">Sens!$C$12380/(1+wacc)^Sens!K12372</f>
        <v>1579.28372339749</v>
      </c>
    </row>
    <row r="12382" customFormat="false" ht="17.15" hidden="false" customHeight="false" outlineLevel="0" collapsed="false">
      <c r="A12382" s="0" t="s">
        <v>1226</v>
      </c>
      <c r="B12382" s="0" t="s">
        <v>98</v>
      </c>
      <c r="C12382" s="6" t="n">
        <f aca="false">Sens!$C$12377+Sens!$C$12381</f>
        <v>2100.31046024999</v>
      </c>
    </row>
    <row r="12383" customFormat="false" ht="15" hidden="false" customHeight="false" outlineLevel="0" collapsed="false">
      <c r="A12383" s="1" t="s">
        <v>1141</v>
      </c>
      <c r="B12383" s="0" t="s">
        <v>168</v>
      </c>
      <c r="C12383" s="7" t="n">
        <f aca="false">Sens!$C$12381/Sens!$C$12382</f>
        <v>0.751928704487581</v>
      </c>
    </row>
    <row r="12384" customFormat="false" ht="17.15" hidden="false" customHeight="false" outlineLevel="0" collapsed="false">
      <c r="A12384" s="1" t="s">
        <v>1227</v>
      </c>
      <c r="B12384" s="0" t="s">
        <v>98</v>
      </c>
      <c r="C12384" s="6" t="n">
        <f aca="false">Sens!$C$12382+cash_val-debt_val-fl_val+oai_v</f>
        <v>2216.16146024999</v>
      </c>
    </row>
    <row r="12385" customFormat="false" ht="17.15" hidden="false" customHeight="false" outlineLevel="0" collapsed="false">
      <c r="A12385" s="0" t="s">
        <v>1149</v>
      </c>
      <c r="B12385" s="0" t="s">
        <v>75</v>
      </c>
      <c r="C12385" s="5" t="n">
        <f aca="false">Sens!$C$12384/shd_val</f>
        <v>297.631138900079</v>
      </c>
    </row>
    <row r="12386" customFormat="false" ht="15" hidden="false" customHeight="false" outlineLevel="0" collapsed="false">
      <c r="A12386" s="1" t="s">
        <v>1228</v>
      </c>
      <c r="B12386" s="0" t="s">
        <v>75</v>
      </c>
      <c r="C12386" s="8" t="n">
        <f aca="false">div_rem27+Sens!G12354*roll_div_q/q_per_yr</f>
        <v>3.9795</v>
      </c>
    </row>
    <row r="12387" customFormat="false" ht="17.15" hidden="false" customHeight="false" outlineLevel="0" collapsed="false">
      <c r="A12387" s="0" t="s">
        <v>1229</v>
      </c>
      <c r="B12387" s="0" t="s">
        <v>75</v>
      </c>
      <c r="C12387" s="5" t="n">
        <f aca="false">Sens!$C$12385*(1+wacc)^t_roll-Sens!$C$12386</f>
        <v>326.854121902684</v>
      </c>
    </row>
    <row r="12388" customFormat="false" ht="17.15" hidden="false" customHeight="false" outlineLevel="0" collapsed="false">
      <c r="A12388" s="1" t="s">
        <v>1230</v>
      </c>
      <c r="B12388" s="0" t="s">
        <v>168</v>
      </c>
      <c r="F12388" s="7" t="n">
        <f aca="false">Sens!F12340/(Sens!F12285-Sens!F12240)</f>
        <v>0.068604019259415</v>
      </c>
      <c r="G12388" s="7" t="n">
        <f aca="false">Sens!G12340/(Sens!G12285-Sens!G12240)</f>
        <v>0.0657872331507812</v>
      </c>
      <c r="H12388" s="7" t="n">
        <f aca="false">Sens!H12340/(Sens!H12285-Sens!H12240)</f>
        <v>0.0643083633649854</v>
      </c>
      <c r="I12388" s="7" t="n">
        <f aca="false">Sens!I12340/(Sens!I12285-Sens!I12240)</f>
        <v>0.0640455903756453</v>
      </c>
      <c r="J12388" s="7" t="n">
        <f aca="false">Sens!J12340/(Sens!J12285-Sens!J12240)</f>
        <v>0.0647139543066699</v>
      </c>
      <c r="K12388" s="7" t="n">
        <f aca="false">Sens!K12340/(Sens!K12285-Sens!K12240)</f>
        <v>0.0659630753512282</v>
      </c>
    </row>
    <row r="12389" customFormat="false" ht="17.15" hidden="false" customHeight="false" outlineLevel="0" collapsed="false">
      <c r="A12389" s="0" t="s">
        <v>1231</v>
      </c>
      <c r="B12389" s="0" t="s">
        <v>98</v>
      </c>
      <c r="F12389" s="6" t="n">
        <f aca="false">Sens!F12270*(al_m365+Sens!F12388+sbc_r)</f>
        <v>83.7187182244893</v>
      </c>
      <c r="G12389" s="6" t="n">
        <f aca="false">Sens!G12270*(al_m365+Sens!G12388+sbc_r)</f>
        <v>96.1238251811804</v>
      </c>
      <c r="H12389" s="6" t="n">
        <f aca="false">Sens!H12270*(al_m365+Sens!H12388+sbc_r)</f>
        <v>108.690963100481</v>
      </c>
      <c r="I12389" s="6" t="n">
        <f aca="false">Sens!I12270*(al_m365+Sens!I12388+sbc_r)</f>
        <v>120.239175767095</v>
      </c>
      <c r="J12389" s="6" t="n">
        <f aca="false">Sens!J12270*(al_m365+Sens!J12388+sbc_r)</f>
        <v>130.57993242179</v>
      </c>
      <c r="K12389" s="6" t="n">
        <f aca="false">Sens!K12270*(al_m365+Sens!K12388+sbc_r)</f>
        <v>140.528268479914</v>
      </c>
      <c r="L12389" s="12" t="s">
        <v>1232</v>
      </c>
    </row>
    <row r="12390" customFormat="false" ht="17.15" hidden="false" customHeight="false" outlineLevel="0" collapsed="false">
      <c r="A12390" s="0" t="s">
        <v>1233</v>
      </c>
      <c r="B12390" s="0" t="s">
        <v>98</v>
      </c>
      <c r="F12390" s="6" t="n">
        <f aca="false">Sens!F12271*(al_lic+Sens!F12388+sbc_r)</f>
        <v>32.8571689202835</v>
      </c>
      <c r="G12390" s="6" t="n">
        <f aca="false">Sens!G12271*(al_lic+Sens!G12388+sbc_r)</f>
        <v>34.1357811959976</v>
      </c>
      <c r="H12390" s="6" t="n">
        <f aca="false">Sens!H12271*(al_lic+Sens!H12388+sbc_r)</f>
        <v>35.3292062237876</v>
      </c>
      <c r="I12390" s="6" t="n">
        <f aca="false">Sens!I12271*(al_lic+Sens!I12388+sbc_r)</f>
        <v>36.4192533791614</v>
      </c>
      <c r="J12390" s="6" t="n">
        <f aca="false">Sens!J12271*(al_lic+Sens!J12388+sbc_r)</f>
        <v>37.3803992923193</v>
      </c>
      <c r="K12390" s="6" t="n">
        <f aca="false">Sens!K12271*(al_lic+Sens!K12388+sbc_r)</f>
        <v>38.1839005883927</v>
      </c>
    </row>
    <row r="12391" customFormat="false" ht="17.15" hidden="false" customHeight="false" outlineLevel="0" collapsed="false">
      <c r="A12391" s="0" t="s">
        <v>1234</v>
      </c>
      <c r="B12391" s="0" t="s">
        <v>98</v>
      </c>
      <c r="F12391" s="6" t="n">
        <f aca="false">Sens!F12273*(al_ind+Sens!F12388+sbc_r)</f>
        <v>9.06007004718409</v>
      </c>
      <c r="G12391" s="6" t="n">
        <f aca="false">Sens!G12273*(al_ind+Sens!G12388+sbc_r)</f>
        <v>9.83506566788661</v>
      </c>
      <c r="H12391" s="6" t="n">
        <f aca="false">Sens!H12273*(al_ind+Sens!H12388+sbc_r)</f>
        <v>10.6548622009202</v>
      </c>
      <c r="I12391" s="6" t="n">
        <f aca="false">Sens!I12273*(al_ind+Sens!I12388+sbc_r)</f>
        <v>11.5163551224075</v>
      </c>
      <c r="J12391" s="6" t="n">
        <f aca="false">Sens!J12273*(al_ind+Sens!J12388+sbc_r)</f>
        <v>12.409703194726</v>
      </c>
      <c r="K12391" s="6" t="n">
        <f aca="false">Sens!K12273*(al_ind+Sens!K12388+sbc_r)</f>
        <v>13.3196319822012</v>
      </c>
    </row>
    <row r="12392" customFormat="false" ht="17.15" hidden="false" customHeight="false" outlineLevel="0" collapsed="false">
      <c r="A12392" s="0" t="s">
        <v>1235</v>
      </c>
      <c r="B12392" s="0" t="s">
        <v>98</v>
      </c>
      <c r="F12392" s="6" t="n">
        <f aca="false">Sens!F12275*(al_fro+Sens!F12388+sbc_r)</f>
        <v>3.55389340219558</v>
      </c>
      <c r="G12392" s="6" t="n">
        <f aca="false">Sens!G12275*(al_fro+Sens!G12388+sbc_r)</f>
        <v>3.7631843703626</v>
      </c>
      <c r="H12392" s="6" t="n">
        <f aca="false">Sens!H12275*(al_fro+Sens!H12388+sbc_r)</f>
        <v>4.00140083219952</v>
      </c>
      <c r="I12392" s="6" t="n">
        <f aca="false">Sens!I12275*(al_fro+Sens!I12388+sbc_r)</f>
        <v>4.27127765237066</v>
      </c>
      <c r="J12392" s="6" t="n">
        <f aca="false">Sens!J12275*(al_fro+Sens!J12388+sbc_r)</f>
        <v>4.57390678409685</v>
      </c>
      <c r="K12392" s="6" t="n">
        <f aca="false">Sens!K12275*(al_fro+Sens!K12388+sbc_r)</f>
        <v>4.90928381840386</v>
      </c>
    </row>
    <row r="12393" customFormat="false" ht="17.15" hidden="false" customHeight="false" outlineLevel="0" collapsed="false">
      <c r="A12393" s="0" t="s">
        <v>1236</v>
      </c>
      <c r="B12393" s="0" t="s">
        <v>98</v>
      </c>
      <c r="F12393" s="6" t="n">
        <f aca="false">Sens!F12278*(al_srch+Sens!F12388+sbc_r)</f>
        <v>11.188661819294</v>
      </c>
      <c r="G12393" s="6" t="n">
        <f aca="false">Sens!G12278*(al_srch+Sens!G12388+sbc_r)</f>
        <v>12.2603362747653</v>
      </c>
      <c r="H12393" s="6" t="n">
        <f aca="false">Sens!H12278*(al_srch+Sens!H12388+sbc_r)</f>
        <v>13.3767823152396</v>
      </c>
      <c r="I12393" s="6" t="n">
        <f aca="false">Sens!I12278*(al_srch+Sens!I12388+sbc_r)</f>
        <v>14.5272938325257</v>
      </c>
      <c r="J12393" s="6" t="n">
        <f aca="false">Sens!J12278*(al_srch+Sens!J12388+sbc_r)</f>
        <v>15.6917279747126</v>
      </c>
      <c r="K12393" s="6" t="n">
        <f aca="false">Sens!K12278*(al_srch+Sens!K12388+sbc_r)</f>
        <v>16.8423078705709</v>
      </c>
    </row>
    <row r="12394" customFormat="false" ht="17.15" hidden="false" customHeight="false" outlineLevel="0" collapsed="false">
      <c r="A12394" s="0" t="s">
        <v>1237</v>
      </c>
      <c r="B12394" s="0" t="s">
        <v>98</v>
      </c>
      <c r="F12394" s="6" t="n">
        <f aca="false">Sens!F12246-Sens!F12247+Sens!F12328</f>
        <v>42.5431090240393</v>
      </c>
      <c r="G12394" s="6" t="n">
        <f aca="false">Sens!G12246-Sens!G12247+Sens!G12328</f>
        <v>81.4922561130847</v>
      </c>
      <c r="H12394" s="6" t="n">
        <f aca="false">Sens!H12246-Sens!H12247+Sens!H12328</f>
        <v>123.278266211349</v>
      </c>
      <c r="I12394" s="6" t="n">
        <f aca="false">Sens!I12246-Sens!I12247+Sens!I12328</f>
        <v>160.60594185192</v>
      </c>
      <c r="J12394" s="6" t="n">
        <f aca="false">Sens!J12246-Sens!J12247+Sens!J12328</f>
        <v>186.818741832633</v>
      </c>
      <c r="K12394" s="6" t="n">
        <f aca="false">Sens!K12246-Sens!K12247+Sens!K12328</f>
        <v>202.776422159652</v>
      </c>
    </row>
    <row r="12395" customFormat="false" ht="17.15" hidden="false" customHeight="false" outlineLevel="0" collapsed="false">
      <c r="A12395" s="0" t="s">
        <v>1238</v>
      </c>
      <c r="B12395" s="0" t="s">
        <v>98</v>
      </c>
      <c r="F12395" s="6" t="n">
        <f aca="false">Sens!F12307+Sens!F12328+Sens!F12258+Sens!F12388*(Sens!F12277-Sens!F12240)+sbc_r*Sens!F12277</f>
        <v>238.086385909485</v>
      </c>
      <c r="G12395" s="6" t="n">
        <f aca="false">Sens!G12307+Sens!G12328+Sens!G12258+Sens!G12388*(Sens!G12277-Sens!G12240)+sbc_r*Sens!G12277</f>
        <v>299.893653107834</v>
      </c>
      <c r="H12395" s="6" t="n">
        <f aca="false">Sens!H12307+Sens!H12328+Sens!H12258+Sens!H12388*(Sens!H12277-Sens!H12240)+sbc_r*Sens!H12277</f>
        <v>369.428575333204</v>
      </c>
      <c r="I12395" s="6" t="n">
        <f aca="false">Sens!I12307+Sens!I12328+Sens!I12258+Sens!I12388*(Sens!I12277-Sens!I12240)+sbc_r*Sens!I12277</f>
        <v>433.117468269674</v>
      </c>
      <c r="J12395" s="6" t="n">
        <f aca="false">Sens!J12307+Sens!J12328+Sens!J12258+Sens!J12388*(Sens!J12277-Sens!J12240)+sbc_r*Sens!J12277</f>
        <v>483.227346981303</v>
      </c>
      <c r="K12395" s="6" t="n">
        <f aca="false">Sens!K12307+Sens!K12328+Sens!K12258+Sens!K12388*(Sens!K12277-Sens!K12240)+sbc_r*Sens!K12277</f>
        <v>520.681073181382</v>
      </c>
    </row>
    <row r="12396" customFormat="false" ht="17.15" hidden="false" customHeight="false" outlineLevel="0" collapsed="false">
      <c r="A12396" s="0" t="s">
        <v>1239</v>
      </c>
      <c r="B12396" s="0" t="s">
        <v>98</v>
      </c>
      <c r="F12396" s="6" t="n">
        <f aca="false">Sens!F12395-Sens!F12389-Sens!F12390-Sens!F12391-Sens!F12392-Sens!F12394</f>
        <v>66.3534262912931</v>
      </c>
      <c r="G12396" s="6" t="n">
        <f aca="false">Sens!G12395-Sens!G12389-Sens!G12390-Sens!G12391-Sens!G12392-Sens!G12394</f>
        <v>74.5435405793222</v>
      </c>
      <c r="H12396" s="6" t="n">
        <f aca="false">Sens!H12395-Sens!H12389-Sens!H12390-Sens!H12391-Sens!H12392-Sens!H12394</f>
        <v>87.4738767644659</v>
      </c>
      <c r="I12396" s="6" t="n">
        <f aca="false">Sens!I12395-Sens!I12389-Sens!I12390-Sens!I12391-Sens!I12392-Sens!I12394</f>
        <v>100.06546449672</v>
      </c>
      <c r="J12396" s="6" t="n">
        <f aca="false">Sens!J12395-Sens!J12389-Sens!J12390-Sens!J12391-Sens!J12392-Sens!J12394</f>
        <v>111.464663455738</v>
      </c>
      <c r="K12396" s="6" t="n">
        <f aca="false">Sens!K12395-Sens!K12389-Sens!K12390-Sens!K12391-Sens!K12392-Sens!K12394</f>
        <v>120.963566152819</v>
      </c>
    </row>
    <row r="12397" customFormat="false" ht="17.15" hidden="false" customHeight="false" outlineLevel="0" collapsed="false">
      <c r="A12397" s="0" t="s">
        <v>1240</v>
      </c>
      <c r="B12397" s="0" t="s">
        <v>98</v>
      </c>
      <c r="F12397" s="6" t="n">
        <f aca="false">Sens!F12309+Sens!F12388*Sens!F12284+sbc_r*Sens!F12284</f>
        <v>26.6653794913789</v>
      </c>
      <c r="G12397" s="6" t="n">
        <f aca="false">Sens!G12309+Sens!G12388*Sens!G12284+sbc_r*Sens!G12284</f>
        <v>26.5834248789724</v>
      </c>
      <c r="H12397" s="6" t="n">
        <f aca="false">Sens!H12309+Sens!H12388*Sens!H12284+sbc_r*Sens!H12284</f>
        <v>27.5728124595573</v>
      </c>
      <c r="I12397" s="6" t="n">
        <f aca="false">Sens!I12309+Sens!I12388*Sens!I12284+sbc_r*Sens!I12284</f>
        <v>28.8367059280098</v>
      </c>
      <c r="J12397" s="6" t="n">
        <f aca="false">Sens!J12309+Sens!J12388*Sens!J12284+sbc_r*Sens!J12284</f>
        <v>30.3475575839333</v>
      </c>
      <c r="K12397" s="6" t="n">
        <f aca="false">Sens!K12309+Sens!K12388*Sens!K12284+sbc_r*Sens!K12284</f>
        <v>32.0802684909202</v>
      </c>
    </row>
    <row r="12398" customFormat="false" ht="17.15" hidden="false" customHeight="false" outlineLevel="0" collapsed="false">
      <c r="A12398" s="0" t="s">
        <v>1241</v>
      </c>
      <c r="B12398" s="0" t="s">
        <v>98</v>
      </c>
      <c r="F12398" s="6" t="n">
        <f aca="false">(Sens!F12397-Sens!F12393)*Sens!F12280/(Sens!F12280+Sens!F12282)</f>
        <v>8.75591689360636</v>
      </c>
      <c r="G12398" s="6" t="n">
        <f aca="false">(Sens!G12397-Sens!G12393)*Sens!G12280/(Sens!G12280+Sens!G12282)</f>
        <v>8.00093561537806</v>
      </c>
      <c r="H12398" s="6" t="n">
        <f aca="false">(Sens!H12397-Sens!H12393)*Sens!H12280/(Sens!H12280+Sens!H12282)</f>
        <v>7.88106019140643</v>
      </c>
      <c r="I12398" s="6" t="n">
        <f aca="false">(Sens!I12397-Sens!I12393)*Sens!I12280/(Sens!I12280+Sens!I12282)</f>
        <v>7.94655028388402</v>
      </c>
      <c r="J12398" s="6" t="n">
        <f aca="false">(Sens!J12397-Sens!J12393)*Sens!J12280/(Sens!J12280+Sens!J12282)</f>
        <v>8.19328012877898</v>
      </c>
      <c r="K12398" s="6" t="n">
        <f aca="false">(Sens!K12397-Sens!K12393)*Sens!K12280/(Sens!K12280+Sens!K12282)</f>
        <v>8.62741213209088</v>
      </c>
    </row>
    <row r="12399" customFormat="false" ht="17.15" hidden="false" customHeight="false" outlineLevel="0" collapsed="false">
      <c r="A12399" s="0" t="s">
        <v>1242</v>
      </c>
      <c r="B12399" s="0" t="s">
        <v>98</v>
      </c>
      <c r="F12399" s="6" t="n">
        <f aca="false">Sens!F12397-Sens!F12393-Sens!F12398</f>
        <v>6.72080077847852</v>
      </c>
      <c r="G12399" s="6" t="n">
        <f aca="false">Sens!G12397-Sens!G12393-Sens!G12398</f>
        <v>6.32215298882906</v>
      </c>
      <c r="H12399" s="6" t="n">
        <f aca="false">Sens!H12397-Sens!H12393-Sens!H12398</f>
        <v>6.31496995291128</v>
      </c>
      <c r="I12399" s="6" t="n">
        <f aca="false">Sens!I12397-Sens!I12393-Sens!I12398</f>
        <v>6.36286181160005</v>
      </c>
      <c r="J12399" s="6" t="n">
        <f aca="false">Sens!J12397-Sens!J12393-Sens!J12398</f>
        <v>6.46254948044168</v>
      </c>
      <c r="K12399" s="6" t="n">
        <f aca="false">Sens!K12397-Sens!K12393-Sens!K12398</f>
        <v>6.61054848825838</v>
      </c>
    </row>
    <row r="12400" customFormat="false" ht="17.15" hidden="false" customHeight="false" outlineLevel="0" collapsed="false">
      <c r="A12400" s="0" t="s">
        <v>1243</v>
      </c>
      <c r="B12400" s="0" t="s">
        <v>98</v>
      </c>
      <c r="F12400" s="6" t="n">
        <f aca="false">Sens!F12394-tax_f*(Sens!F12394-Sens!F12258)-Sens!F12255</f>
        <v>-127.503553927218</v>
      </c>
      <c r="G12400" s="6" t="n">
        <f aca="false">Sens!G12394-tax_f*(Sens!G12394-Sens!G12258)-Sens!G12255</f>
        <v>-114.603772628121</v>
      </c>
      <c r="H12400" s="6" t="n">
        <f aca="false">Sens!H12394-tax_f*(Sens!H12394-Sens!H12258)-Sens!H12255</f>
        <v>-80.3633729631438</v>
      </c>
      <c r="I12400" s="6" t="n">
        <f aca="false">Sens!I12394-tax_f*(Sens!I12394-Sens!I12258)-Sens!I12255</f>
        <v>-17.2838782011649</v>
      </c>
      <c r="J12400" s="6" t="n">
        <f aca="false">Sens!J12394-tax_f*(Sens!J12394-Sens!J12258)-Sens!J12255</f>
        <v>46.9281968800854</v>
      </c>
      <c r="K12400" s="6" t="n">
        <f aca="false">Sens!K12394-tax_f*(Sens!K12394-Sens!K12258)-Sens!K12255</f>
        <v>71.8608185731755</v>
      </c>
    </row>
    <row r="12401" customFormat="false" ht="17.15" hidden="false" customHeight="false" outlineLevel="0" collapsed="false">
      <c r="A12401" s="0" t="s">
        <v>1244</v>
      </c>
      <c r="B12401" s="0" t="s">
        <v>98</v>
      </c>
      <c r="G12401" s="6" t="n">
        <f aca="false">Sens!G12400/(1+wacc)^(Sens!G12371-Sens!F12372)</f>
        <v>-109.124845494465</v>
      </c>
      <c r="H12401" s="6" t="n">
        <f aca="false">Sens!H12400/(1+wacc)^(Sens!H12371-Sens!F12372)</f>
        <v>-69.3796874071025</v>
      </c>
      <c r="I12401" s="6" t="n">
        <f aca="false">Sens!I12400/(1+wacc)^(Sens!I12371-Sens!F12372)</f>
        <v>-13.5289731380471</v>
      </c>
      <c r="J12401" s="6" t="n">
        <f aca="false">Sens!J12400/(1+wacc)^(Sens!J12371-Sens!F12372)</f>
        <v>33.3048099587126</v>
      </c>
      <c r="K12401" s="6" t="n">
        <f aca="false">Sens!K12400/(1+wacc)^(Sens!K12371-Sens!F12372)</f>
        <v>46.2396679904913</v>
      </c>
      <c r="L12401" s="1" t="s">
        <v>1245</v>
      </c>
    </row>
    <row r="12402" customFormat="false" ht="17.15" hidden="false" customHeight="false" outlineLevel="0" collapsed="false">
      <c r="A12402" s="0" t="s">
        <v>1246</v>
      </c>
      <c r="B12402" s="0" t="s">
        <v>98</v>
      </c>
      <c r="C12402" s="6" t="n">
        <f aca="false">(Sens!K12394-Sens!K12258)*(1-tax_f)*(1+g_tv)*(1-g_tv/(wacc+ronic_prem))/(wacc-g_tv)/(1+wacc)^(Sens!K12372-Sens!F12372)</f>
        <v>293.118051086843</v>
      </c>
    </row>
    <row r="12403" customFormat="false" ht="17.15" hidden="false" customHeight="false" outlineLevel="0" collapsed="false">
      <c r="A12403" s="1" t="s">
        <v>1247</v>
      </c>
      <c r="B12403" s="0" t="s">
        <v>98</v>
      </c>
      <c r="C12403" s="6" t="n">
        <f aca="false">(SUM(Sens!G12401:K12401)+Sens!$C$12402)*(1+wacc)^(t_roll-Sens!F12372)</f>
        <v>186.592133308255</v>
      </c>
      <c r="L12403" s="12" t="s">
        <v>1248</v>
      </c>
    </row>
    <row r="12404" customFormat="false" ht="17.15" hidden="false" customHeight="false" outlineLevel="0" collapsed="false">
      <c r="A12404" s="1" t="s">
        <v>1249</v>
      </c>
      <c r="B12404" s="0" t="s">
        <v>98</v>
      </c>
      <c r="C12404" s="6" t="n">
        <f aca="false">(w_ntm28*Sens!G12246+(1-w_ntm28)*Sens!H12246)*m_ai</f>
        <v>463.789109510335</v>
      </c>
    </row>
    <row r="12405" customFormat="false" ht="17.15" hidden="false" customHeight="false" outlineLevel="0" collapsed="false">
      <c r="A12405" s="1" t="s">
        <v>1250</v>
      </c>
      <c r="B12405" s="0" t="s">
        <v>98</v>
      </c>
      <c r="C12405" s="6" t="n">
        <f aca="false">(w_ntm28*Sens!G12396+(1-w_ntm28)*Sens!H12396)*m_cloud</f>
        <v>1088.94151033895</v>
      </c>
    </row>
    <row r="12406" customFormat="false" ht="17.15" hidden="false" customHeight="false" outlineLevel="0" collapsed="false">
      <c r="A12406" s="1" t="s">
        <v>1251</v>
      </c>
      <c r="B12406" s="0" t="s">
        <v>98</v>
      </c>
      <c r="C12406" s="6" t="n">
        <f aca="false">(w_ntm28*Sens!G12389+(1-w_ntm28)*Sens!H12389)*m_sw</f>
        <v>1082.75925919898</v>
      </c>
    </row>
    <row r="12407" customFormat="false" ht="17.15" hidden="false" customHeight="false" outlineLevel="0" collapsed="false">
      <c r="A12407" s="1" t="s">
        <v>1252</v>
      </c>
      <c r="B12407" s="0" t="s">
        <v>98</v>
      </c>
      <c r="C12407" s="6" t="n">
        <f aca="false">(w_ntm28*Sens!G12390+(1-w_ntm28)*Sens!H12390)*m_sw</f>
        <v>372.903913179831</v>
      </c>
    </row>
    <row r="12408" customFormat="false" ht="17.15" hidden="false" customHeight="false" outlineLevel="0" collapsed="false">
      <c r="A12408" s="1" t="s">
        <v>1253</v>
      </c>
      <c r="B12408" s="0" t="s">
        <v>98</v>
      </c>
      <c r="C12408" s="6" t="n">
        <f aca="false">(w_ntm28*Sens!G12391+(1-w_ntm28)*Sens!H12391)*m_sw</f>
        <v>109.129548409919</v>
      </c>
    </row>
    <row r="12409" customFormat="false" ht="17.15" hidden="false" customHeight="false" outlineLevel="0" collapsed="false">
      <c r="A12409" s="1" t="s">
        <v>1254</v>
      </c>
      <c r="B12409" s="0" t="s">
        <v>98</v>
      </c>
      <c r="C12409" s="6" t="n">
        <f aca="false">(w_ntm28*Sens!G12392+(1-w_ntm28)*Sens!H12392)*m_sw</f>
        <v>41.4882228013973</v>
      </c>
    </row>
    <row r="12410" customFormat="false" ht="17.15" hidden="false" customHeight="false" outlineLevel="0" collapsed="false">
      <c r="A12410" s="1" t="s">
        <v>1255</v>
      </c>
      <c r="B12410" s="0" t="s">
        <v>98</v>
      </c>
      <c r="C12410" s="6" t="n">
        <f aca="false">(w_ntm28*Sens!G12393+(1-w_ntm28)*Sens!H12393)*m_ads</f>
        <v>115.035495823239</v>
      </c>
    </row>
    <row r="12411" customFormat="false" ht="17.15" hidden="false" customHeight="false" outlineLevel="0" collapsed="false">
      <c r="A12411" s="1" t="s">
        <v>1256</v>
      </c>
      <c r="B12411" s="0" t="s">
        <v>98</v>
      </c>
      <c r="C12411" s="6" t="n">
        <f aca="false">(w_ntm28*Sens!G12398+(1-w_ntm28)*Sens!H12398)*m_game</f>
        <v>100.554054650796</v>
      </c>
    </row>
    <row r="12412" customFormat="false" ht="17.15" hidden="false" customHeight="false" outlineLevel="0" collapsed="false">
      <c r="A12412" s="1" t="s">
        <v>1257</v>
      </c>
      <c r="B12412" s="0" t="s">
        <v>98</v>
      </c>
      <c r="C12412" s="6" t="n">
        <f aca="false">(w_ntm28*Sens!G12399+(1-w_ntm28)*Sens!H12399)*m_pc</f>
        <v>91.4473821769383</v>
      </c>
    </row>
    <row r="12413" customFormat="false" ht="17.15" hidden="false" customHeight="false" outlineLevel="0" collapsed="false">
      <c r="A12413" s="1" t="s">
        <v>1258</v>
      </c>
      <c r="B12413" s="0" t="s">
        <v>98</v>
      </c>
      <c r="C12413" s="6" t="n">
        <f aca="false">Sens!$C$12403+Sens!$C$12405+Sens!$C$12406+Sens!$C$12407+Sens!$C$12408+Sens!$C$12409+Sens!$C$12410+Sens!$C$12411+Sens!$C$12412</f>
        <v>3188.85151988831</v>
      </c>
    </row>
    <row r="12414" customFormat="false" ht="17.15" hidden="false" customHeight="false" outlineLevel="0" collapsed="false">
      <c r="A12414" s="1" t="s">
        <v>1259</v>
      </c>
      <c r="B12414" s="0" t="s">
        <v>98</v>
      </c>
      <c r="C12414" s="6" t="n">
        <f aca="false">(Sens!G12375-Sens!G12400)*t_stub</f>
        <v>47.8936528999658</v>
      </c>
      <c r="L12414" s="1" t="s">
        <v>1260</v>
      </c>
    </row>
    <row r="12415" customFormat="false" ht="17.15" hidden="false" customHeight="false" outlineLevel="0" collapsed="false">
      <c r="A12415" s="1" t="s">
        <v>1169</v>
      </c>
      <c r="B12415" s="0" t="s">
        <v>98</v>
      </c>
      <c r="C12415" s="6" t="n">
        <f aca="false">Sens!F12362+oai_v-Sens!F12351+Sens!$C$12414</f>
        <v>162.121922899966</v>
      </c>
      <c r="L12415" s="1" t="s">
        <v>1261</v>
      </c>
    </row>
    <row r="12416" customFormat="false" ht="17.15" hidden="false" customHeight="false" outlineLevel="0" collapsed="false">
      <c r="A12416" s="1" t="s">
        <v>1262</v>
      </c>
      <c r="B12416" s="0" t="s">
        <v>75</v>
      </c>
      <c r="C12416" s="5" t="n">
        <f aca="false">(Sens!$C$12413+Sens!$C$12415)/(Sens!F12364+dil_gap)-Sens!G12354*roll_div_q/q_per_yr</f>
        <v>446.026826881688</v>
      </c>
      <c r="L12416" s="1" t="s">
        <v>1263</v>
      </c>
    </row>
    <row r="12417" customFormat="false" ht="17.15" hidden="false" customHeight="false" outlineLevel="0" collapsed="false">
      <c r="A12417" s="1" t="s">
        <v>1264</v>
      </c>
      <c r="B12417" s="0" t="s">
        <v>75</v>
      </c>
      <c r="C12417" s="5" t="n">
        <f aca="false">w_dcf*Sens!$C$12387+(1-w_dcf)*Sens!$C$12416</f>
        <v>386.440474392186</v>
      </c>
    </row>
    <row r="12418" customFormat="false" ht="17.15" hidden="false" customHeight="false" outlineLevel="0" collapsed="false">
      <c r="A12418" s="3" t="s">
        <v>1790</v>
      </c>
    </row>
    <row r="12419" customFormat="false" ht="15" hidden="false" customHeight="false" outlineLevel="0" collapsed="false">
      <c r="A12419" s="4" t="s">
        <v>43</v>
      </c>
      <c r="B12419" s="4" t="s">
        <v>65</v>
      </c>
      <c r="C12419" s="23" t="s">
        <v>938</v>
      </c>
      <c r="D12419" s="23" t="s">
        <v>939</v>
      </c>
      <c r="E12419" s="23" t="s">
        <v>940</v>
      </c>
      <c r="F12419" s="23" t="s">
        <v>941</v>
      </c>
      <c r="G12419" s="23" t="s">
        <v>942</v>
      </c>
      <c r="H12419" s="23" t="s">
        <v>943</v>
      </c>
      <c r="I12419" s="23" t="s">
        <v>944</v>
      </c>
      <c r="J12419" s="23" t="s">
        <v>945</v>
      </c>
      <c r="K12419" s="23" t="s">
        <v>946</v>
      </c>
      <c r="L12419" s="4" t="s">
        <v>47</v>
      </c>
    </row>
    <row r="12420" customFormat="false" ht="17.15" hidden="false" customHeight="false" outlineLevel="0" collapsed="false">
      <c r="A12420" s="1" t="s">
        <v>947</v>
      </c>
      <c r="B12420" s="1" t="s">
        <v>279</v>
      </c>
      <c r="C12420" s="21" t="n">
        <v>2024</v>
      </c>
      <c r="D12420" s="21" t="n">
        <v>2025</v>
      </c>
      <c r="E12420" s="21" t="n">
        <v>2026</v>
      </c>
      <c r="F12420" s="21" t="n">
        <v>2027</v>
      </c>
      <c r="G12420" s="21" t="n">
        <v>2028</v>
      </c>
      <c r="H12420" s="21" t="n">
        <v>2029</v>
      </c>
      <c r="I12420" s="21" t="n">
        <v>2030</v>
      </c>
      <c r="J12420" s="21" t="n">
        <v>2031</v>
      </c>
      <c r="K12420" s="21" t="n">
        <v>2032</v>
      </c>
    </row>
    <row r="12421" customFormat="false" ht="17.15" hidden="false" customHeight="false" outlineLevel="0" collapsed="false">
      <c r="A12421" s="1" t="s">
        <v>948</v>
      </c>
      <c r="B12421" s="0" t="s">
        <v>456</v>
      </c>
      <c r="F12421" s="30" t="n">
        <f aca="false">pace</f>
        <v>2726.5351</v>
      </c>
      <c r="G12421" s="30" t="n">
        <f aca="false">pace</f>
        <v>2726.5351</v>
      </c>
      <c r="H12421" s="30" t="n">
        <f aca="false">pace</f>
        <v>2726.5351</v>
      </c>
      <c r="I12421" s="30" t="n">
        <f aca="false">pace+(g_tv*Sens!H12422-pace)*MIN(1,(Sens!I12420-pace_y0)/(pace_y1-pace_y0))</f>
        <v>1931.98611966667</v>
      </c>
      <c r="J12421" s="30" t="n">
        <f aca="false">pace+(g_tv*Sens!I12422-pace)*MIN(1,(Sens!J12420-pace_y0)/(pace_y1-pace_y0))</f>
        <v>1176.07686172667</v>
      </c>
      <c r="K12421" s="30" t="n">
        <f aca="false">pace+(g_tv*Sens!J12422-pace)*MIN(1,(Sens!K12420-pace_y0)/(pace_y1-pace_y0))</f>
        <v>436.1300484418</v>
      </c>
      <c r="L12421" s="12" t="s">
        <v>949</v>
      </c>
    </row>
    <row r="12422" customFormat="false" ht="17.15" hidden="false" customHeight="false" outlineLevel="0" collapsed="false">
      <c r="A12422" s="1" t="s">
        <v>950</v>
      </c>
      <c r="B12422" s="0" t="s">
        <v>456</v>
      </c>
      <c r="C12422" s="30" t="n">
        <f aca="false">mw_ext_24</f>
        <v>640</v>
      </c>
      <c r="D12422" s="30" t="n">
        <f aca="false">mw_ext_25</f>
        <v>1630</v>
      </c>
      <c r="E12422" s="30" t="n">
        <f aca="false">mw_ext_26</f>
        <v>3250</v>
      </c>
      <c r="F12422" s="30" t="n">
        <f aca="false">Sens!E12422+Sens!F12421</f>
        <v>5976.5351</v>
      </c>
      <c r="G12422" s="30" t="n">
        <f aca="false">Sens!F12422+Sens!G12421</f>
        <v>8703.0702</v>
      </c>
      <c r="H12422" s="30" t="n">
        <f aca="false">Sens!G12422+Sens!H12421</f>
        <v>11429.6053</v>
      </c>
      <c r="I12422" s="30" t="n">
        <f aca="false">Sens!H12422+Sens!I12421</f>
        <v>13361.5914196667</v>
      </c>
      <c r="J12422" s="30" t="n">
        <f aca="false">Sens!I12422+Sens!J12421</f>
        <v>14537.6682813933</v>
      </c>
      <c r="K12422" s="30" t="n">
        <f aca="false">Sens!J12422+Sens!K12421</f>
        <v>14973.7983298351</v>
      </c>
      <c r="L12422" s="1" t="s">
        <v>951</v>
      </c>
    </row>
    <row r="12423" customFormat="false" ht="17.15" hidden="false" customHeight="false" outlineLevel="0" collapsed="false">
      <c r="A12423" s="1" t="s">
        <v>952</v>
      </c>
      <c r="B12423" s="0" t="s">
        <v>456</v>
      </c>
      <c r="C12423" s="30" t="n">
        <f aca="false">rent_ext_24</f>
        <v>150</v>
      </c>
      <c r="D12423" s="30" t="n">
        <f aca="false">rent_ext_25</f>
        <v>400</v>
      </c>
      <c r="E12423" s="30" t="n">
        <f aca="false">rent_ext_26</f>
        <v>550</v>
      </c>
      <c r="F12423" s="30" t="n">
        <f aca="false">rent_ext_f</f>
        <v>756</v>
      </c>
      <c r="G12423" s="30" t="n">
        <f aca="false">rent_ext_f</f>
        <v>756</v>
      </c>
      <c r="H12423" s="30" t="n">
        <f aca="false">rent_ext_f</f>
        <v>756</v>
      </c>
      <c r="I12423" s="30" t="n">
        <f aca="false">rent_ext_f</f>
        <v>756</v>
      </c>
      <c r="J12423" s="30" t="n">
        <f aca="false">rent_ext_f</f>
        <v>756</v>
      </c>
      <c r="K12423" s="30" t="n">
        <f aca="false">rent_ext_f</f>
        <v>756</v>
      </c>
      <c r="L12423" s="1" t="s">
        <v>953</v>
      </c>
    </row>
    <row r="12424" customFormat="false" ht="17.15" hidden="false" customHeight="false" outlineLevel="0" collapsed="false">
      <c r="A12424" s="1" t="s">
        <v>954</v>
      </c>
      <c r="B12424" s="0" t="s">
        <v>456</v>
      </c>
      <c r="C12424" s="30" t="n">
        <f aca="false">Sens!C12422-Sens!C12423</f>
        <v>490</v>
      </c>
      <c r="D12424" s="30" t="n">
        <f aca="false">Sens!D12422-Sens!D12423</f>
        <v>1230</v>
      </c>
      <c r="E12424" s="30" t="n">
        <f aca="false">Sens!E12422-Sens!E12423</f>
        <v>2700</v>
      </c>
      <c r="F12424" s="30" t="n">
        <f aca="false">Sens!F12422-Sens!F12423</f>
        <v>5220.5351</v>
      </c>
      <c r="G12424" s="30" t="n">
        <f aca="false">Sens!G12422-Sens!G12423</f>
        <v>7947.0702</v>
      </c>
      <c r="H12424" s="30" t="n">
        <f aca="false">Sens!H12422-Sens!H12423</f>
        <v>10673.6053</v>
      </c>
      <c r="I12424" s="30" t="n">
        <f aca="false">Sens!I12422-Sens!I12423</f>
        <v>12605.5914196667</v>
      </c>
      <c r="J12424" s="30" t="n">
        <f aca="false">Sens!J12422-Sens!J12423</f>
        <v>13781.6682813933</v>
      </c>
      <c r="K12424" s="30" t="n">
        <f aca="false">Sens!K12422-Sens!K12423</f>
        <v>14217.7983298351</v>
      </c>
    </row>
    <row r="12425" customFormat="false" ht="17.15" hidden="false" customHeight="false" outlineLevel="0" collapsed="false">
      <c r="A12425" s="1" t="s">
        <v>955</v>
      </c>
      <c r="B12425" s="0" t="s">
        <v>456</v>
      </c>
      <c r="C12425" s="30" t="n">
        <f aca="false">Sens!C12424/ext_sh</f>
        <v>816.666666666667</v>
      </c>
      <c r="D12425" s="30" t="n">
        <f aca="false">Sens!D12424/ext_sh</f>
        <v>2050</v>
      </c>
      <c r="E12425" s="30" t="n">
        <f aca="false">Sens!E12424/ext_sh</f>
        <v>4500</v>
      </c>
      <c r="F12425" s="30" t="n">
        <f aca="false">Sens!F12424/ext_sh</f>
        <v>8700.89183333333</v>
      </c>
      <c r="G12425" s="30" t="n">
        <f aca="false">Sens!G12424/ext_sh</f>
        <v>13245.117</v>
      </c>
      <c r="H12425" s="30" t="n">
        <f aca="false">Sens!H12424/ext_sh</f>
        <v>17789.3421666667</v>
      </c>
      <c r="I12425" s="30" t="n">
        <f aca="false">Sens!I12424/ext_sh</f>
        <v>21009.3190327778</v>
      </c>
      <c r="J12425" s="30" t="n">
        <f aca="false">Sens!J12424/ext_sh</f>
        <v>22969.4471356556</v>
      </c>
      <c r="K12425" s="30" t="n">
        <f aca="false">Sens!K12424/ext_sh</f>
        <v>23696.3305497252</v>
      </c>
      <c r="L12425" s="1" t="s">
        <v>956</v>
      </c>
    </row>
    <row r="12426" customFormat="false" ht="17.15" hidden="false" customHeight="false" outlineLevel="0" collapsed="false">
      <c r="A12426" s="1" t="s">
        <v>957</v>
      </c>
      <c r="B12426" s="0" t="s">
        <v>456</v>
      </c>
      <c r="C12426" s="30" t="n">
        <f aca="false">Sens!C12425-Sens!C12424</f>
        <v>326.666666666667</v>
      </c>
      <c r="D12426" s="30" t="n">
        <f aca="false">Sens!D12425-Sens!D12424</f>
        <v>820</v>
      </c>
      <c r="E12426" s="30" t="n">
        <f aca="false">Sens!E12425-Sens!E12424</f>
        <v>1800</v>
      </c>
      <c r="F12426" s="30" t="n">
        <f aca="false">Sens!F12425-Sens!F12424</f>
        <v>3480.35673333333</v>
      </c>
      <c r="G12426" s="30" t="n">
        <f aca="false">Sens!G12425-Sens!G12424</f>
        <v>5298.0468</v>
      </c>
      <c r="H12426" s="30" t="n">
        <f aca="false">Sens!H12425-Sens!H12424</f>
        <v>7115.73686666667</v>
      </c>
      <c r="I12426" s="30" t="n">
        <f aca="false">Sens!I12425-Sens!I12424</f>
        <v>8403.72761311111</v>
      </c>
      <c r="J12426" s="30" t="n">
        <f aca="false">Sens!J12425-Sens!J12424</f>
        <v>9187.77885426222</v>
      </c>
      <c r="K12426" s="30" t="n">
        <f aca="false">Sens!K12425-Sens!K12424</f>
        <v>9478.53221989009</v>
      </c>
    </row>
    <row r="12427" customFormat="false" ht="17.15" hidden="false" customHeight="false" outlineLevel="0" collapsed="false">
      <c r="A12427" s="1" t="s">
        <v>958</v>
      </c>
      <c r="B12427" s="0" t="s">
        <v>456</v>
      </c>
      <c r="C12427" s="30" t="n">
        <f aca="false">Sens!C12425</f>
        <v>816.666666666667</v>
      </c>
      <c r="D12427" s="30" t="n">
        <f aca="false">Sens!D12425-Sens!C12425</f>
        <v>1233.33333333333</v>
      </c>
      <c r="E12427" s="30" t="n">
        <f aca="false">Sens!E12425-Sens!D12425</f>
        <v>2450</v>
      </c>
      <c r="F12427" s="30" t="n">
        <f aca="false">Sens!F12425-Sens!E12425</f>
        <v>4200.89183333333</v>
      </c>
      <c r="G12427" s="30" t="n">
        <f aca="false">Sens!G12425-Sens!F12425</f>
        <v>4544.22516666667</v>
      </c>
      <c r="H12427" s="30" t="n">
        <f aca="false">Sens!H12425-Sens!G12425</f>
        <v>4544.22516666667</v>
      </c>
      <c r="I12427" s="30" t="n">
        <f aca="false">Sens!I12425-Sens!H12425</f>
        <v>3219.97686611111</v>
      </c>
      <c r="J12427" s="30" t="n">
        <f aca="false">Sens!J12425-Sens!I12425</f>
        <v>1960.12810287778</v>
      </c>
      <c r="K12427" s="30" t="n">
        <f aca="false">Sens!K12425-Sens!J12425</f>
        <v>726.883414069667</v>
      </c>
    </row>
    <row r="12428" customFormat="false" ht="17.15" hidden="false" customHeight="false" outlineLevel="0" collapsed="false">
      <c r="A12428" s="1" t="s">
        <v>959</v>
      </c>
      <c r="B12428" s="0" t="s">
        <v>456</v>
      </c>
      <c r="D12428" s="30" t="n">
        <f aca="false">Sens!D12422-Sens!C12422</f>
        <v>990</v>
      </c>
      <c r="E12428" s="30" t="n">
        <f aca="false">Sens!E12422-Sens!D12422</f>
        <v>1620</v>
      </c>
      <c r="F12428" s="30" t="n">
        <f aca="false">Sens!F12422-Sens!E12422</f>
        <v>2726.5351</v>
      </c>
      <c r="G12428" s="30" t="n">
        <f aca="false">Sens!G12422-Sens!F12422</f>
        <v>2726.5351</v>
      </c>
      <c r="H12428" s="30" t="n">
        <f aca="false">Sens!H12422-Sens!G12422</f>
        <v>2726.5351</v>
      </c>
      <c r="I12428" s="30" t="n">
        <f aca="false">Sens!I12422-Sens!H12422</f>
        <v>1931.98611966667</v>
      </c>
      <c r="J12428" s="30" t="n">
        <f aca="false">Sens!J12422-Sens!I12422</f>
        <v>1176.07686172667</v>
      </c>
      <c r="K12428" s="30" t="n">
        <f aca="false">Sens!K12422-Sens!J12422</f>
        <v>436.130048441799</v>
      </c>
    </row>
    <row r="12429" customFormat="false" ht="17.15" hidden="false" customHeight="false" outlineLevel="0" collapsed="false">
      <c r="A12429" s="1" t="s">
        <v>960</v>
      </c>
      <c r="B12429" s="0" t="s">
        <v>456</v>
      </c>
      <c r="F12429" s="30" t="n">
        <f aca="false">Sens!F12448*ext_sh</f>
        <v>0</v>
      </c>
      <c r="G12429" s="30" t="n">
        <f aca="false">Sens!G12448*ext_sh</f>
        <v>0</v>
      </c>
      <c r="H12429" s="30" t="n">
        <f aca="false">Sens!H12448*ext_sh</f>
        <v>0</v>
      </c>
      <c r="I12429" s="30" t="n">
        <f aca="false">Sens!I12448*ext_sh</f>
        <v>490</v>
      </c>
      <c r="J12429" s="30" t="n">
        <f aca="false">Sens!J12448*ext_sh</f>
        <v>740</v>
      </c>
      <c r="K12429" s="30" t="n">
        <f aca="false">Sens!K12448*ext_sh</f>
        <v>1470</v>
      </c>
      <c r="L12429" s="1" t="s">
        <v>961</v>
      </c>
    </row>
    <row r="12430" customFormat="false" ht="17.15" hidden="false" customHeight="false" outlineLevel="0" collapsed="false">
      <c r="A12430" s="1" t="s">
        <v>962</v>
      </c>
      <c r="B12430" s="0" t="s">
        <v>456</v>
      </c>
      <c r="C12430" s="30" t="n">
        <f aca="false">mix_h*Sens!C12422</f>
        <v>128</v>
      </c>
      <c r="D12430" s="30" t="n">
        <f aca="false">mix_h*Sens!D12422</f>
        <v>326</v>
      </c>
      <c r="E12430" s="30" t="n">
        <f aca="false">mix_h*Sens!E12422</f>
        <v>650</v>
      </c>
      <c r="F12430" s="30" t="n">
        <f aca="false">Sens!E12430-Sens!F12429*mix_h</f>
        <v>650</v>
      </c>
      <c r="G12430" s="30" t="n">
        <f aca="false">Sens!F12430-Sens!G12429*mix_h</f>
        <v>650</v>
      </c>
      <c r="H12430" s="30" t="n">
        <f aca="false">Sens!G12430-Sens!H12429*mix_h</f>
        <v>650</v>
      </c>
      <c r="I12430" s="30" t="n">
        <f aca="false">Sens!H12430-Sens!I12429*mix_h</f>
        <v>552</v>
      </c>
      <c r="J12430" s="30" t="n">
        <f aca="false">Sens!I12430-Sens!J12429*mix_h</f>
        <v>404</v>
      </c>
      <c r="K12430" s="30" t="n">
        <f aca="false">Sens!J12430-Sens!K12429*mix_h</f>
        <v>110</v>
      </c>
    </row>
    <row r="12431" customFormat="false" ht="17.15" hidden="false" customHeight="false" outlineLevel="0" collapsed="false">
      <c r="A12431" s="1" t="s">
        <v>963</v>
      </c>
      <c r="B12431" s="0" t="s">
        <v>456</v>
      </c>
      <c r="C12431" s="30" t="n">
        <f aca="false">mix_g2*Sens!C12422</f>
        <v>288</v>
      </c>
      <c r="D12431" s="30" t="n">
        <f aca="false">mix_g2*Sens!D12422</f>
        <v>733.5</v>
      </c>
      <c r="E12431" s="30" t="n">
        <f aca="false">mix_g2*Sens!E12422</f>
        <v>1462.5</v>
      </c>
      <c r="F12431" s="30" t="n">
        <f aca="false">Sens!E12431-Sens!F12429*mix_g2</f>
        <v>1462.5</v>
      </c>
      <c r="G12431" s="30" t="n">
        <f aca="false">Sens!F12431-Sens!G12429*mix_g2</f>
        <v>1462.5</v>
      </c>
      <c r="H12431" s="30" t="n">
        <f aca="false">Sens!G12431-Sens!H12429*mix_g2</f>
        <v>1462.5</v>
      </c>
      <c r="I12431" s="30" t="n">
        <f aca="false">Sens!H12431-Sens!I12429*mix_g2</f>
        <v>1242</v>
      </c>
      <c r="J12431" s="30" t="n">
        <f aca="false">Sens!I12431-Sens!J12429*mix_g2</f>
        <v>909</v>
      </c>
      <c r="K12431" s="30" t="n">
        <f aca="false">Sens!J12431-Sens!K12429*mix_g2</f>
        <v>247.5</v>
      </c>
    </row>
    <row r="12432" customFormat="false" ht="17.15" hidden="false" customHeight="false" outlineLevel="0" collapsed="false">
      <c r="A12432" s="1" t="s">
        <v>964</v>
      </c>
      <c r="B12432" s="0" t="s">
        <v>456</v>
      </c>
      <c r="C12432" s="30" t="n">
        <f aca="false">mix_g3*Sens!C12422</f>
        <v>224</v>
      </c>
      <c r="D12432" s="30" t="n">
        <f aca="false">mix_g3*Sens!D12422</f>
        <v>570.5</v>
      </c>
      <c r="E12432" s="30" t="n">
        <f aca="false">mix_g3*Sens!E12422</f>
        <v>1137.5</v>
      </c>
      <c r="F12432" s="30" t="n">
        <f aca="false">Sens!E12432+(Sens!F12428+Sens!F12429)*(a_g3_27-nonnv*a_mai)-Sens!F12429*mix_g3</f>
        <v>2773.42106</v>
      </c>
      <c r="G12432" s="30" t="n">
        <f aca="false">Sens!F12432+(Sens!G12428+Sens!G12429)*(a_g3_28-nonnv*a_mai)-Sens!G12429*mix_g3</f>
        <v>3318.72808</v>
      </c>
      <c r="H12432" s="30" t="n">
        <f aca="false">Sens!G12432+(Sens!H12428+Sens!H12429)*(a_g3_29-nonnv*a_mai)-Sens!H12429*mix_g3</f>
        <v>3318.72808</v>
      </c>
      <c r="I12432" s="30" t="n">
        <f aca="false">Sens!H12432+(Sens!I12428+Sens!I12429)*(a_g3_29-nonnv*a_mai)-Sens!I12429*mix_g3</f>
        <v>3147.22808</v>
      </c>
      <c r="J12432" s="30" t="n">
        <f aca="false">Sens!I12432+(Sens!J12428+Sens!J12429)*(a_g3_29-nonnv*a_mai)-Sens!J12429*mix_g3</f>
        <v>2888.22808</v>
      </c>
      <c r="K12432" s="30" t="n">
        <f aca="false">Sens!J12432+(Sens!K12428+Sens!K12429)*(a_g3_29-nonnv*a_mai)-Sens!K12429*mix_g3</f>
        <v>2373.72808</v>
      </c>
    </row>
    <row r="12433" customFormat="false" ht="17.15" hidden="false" customHeight="false" outlineLevel="0" collapsed="false">
      <c r="A12433" s="1" t="s">
        <v>965</v>
      </c>
      <c r="B12433" s="0" t="s">
        <v>456</v>
      </c>
      <c r="C12433" s="30" t="n">
        <v>0</v>
      </c>
      <c r="D12433" s="30" t="n">
        <v>0</v>
      </c>
      <c r="E12433" s="30" t="n">
        <v>0</v>
      </c>
      <c r="F12433" s="30" t="n">
        <f aca="false">Sens!E12433+(Sens!F12428+Sens!F12429)*nonnv*a_mai</f>
        <v>272.65351</v>
      </c>
      <c r="G12433" s="30" t="n">
        <f aca="false">Sens!F12433+(Sens!G12428+Sens!G12429)*nonnv*a_mai</f>
        <v>545.30702</v>
      </c>
      <c r="H12433" s="30" t="n">
        <f aca="false">Sens!G12433+(Sens!H12428+Sens!H12429)*nonnv*a_mai</f>
        <v>817.96053</v>
      </c>
      <c r="I12433" s="30" t="n">
        <f aca="false">Sens!H12433+(Sens!I12428+Sens!I12429)*nonnv*a_mai</f>
        <v>1060.15914196667</v>
      </c>
      <c r="J12433" s="30" t="n">
        <f aca="false">Sens!I12433+(Sens!J12428+Sens!J12429)*nonnv*a_mai</f>
        <v>1251.76682813933</v>
      </c>
      <c r="K12433" s="30" t="n">
        <f aca="false">Sens!J12433+(Sens!K12428+Sens!K12429)*nonnv*a_mai</f>
        <v>1442.37983298351</v>
      </c>
      <c r="L12433" s="12" t="s">
        <v>966</v>
      </c>
    </row>
    <row r="12434" customFormat="false" ht="17.15" hidden="false" customHeight="false" outlineLevel="0" collapsed="false">
      <c r="A12434" s="1" t="s">
        <v>967</v>
      </c>
      <c r="B12434" s="0" t="s">
        <v>456</v>
      </c>
      <c r="C12434" s="30" t="n">
        <v>0</v>
      </c>
      <c r="D12434" s="30" t="n">
        <v>0</v>
      </c>
      <c r="E12434" s="30" t="n">
        <v>0</v>
      </c>
      <c r="F12434" s="30" t="n">
        <f aca="false">Sens!E12434+(Sens!F12428+Sens!F12429)*(1-a_g3_27)</f>
        <v>817.96053</v>
      </c>
      <c r="G12434" s="30" t="n">
        <f aca="false">Sens!F12434+(Sens!G12428+Sens!G12429)*(1-a_g3_28)</f>
        <v>2726.5351</v>
      </c>
      <c r="H12434" s="30" t="n">
        <f aca="false">Sens!G12434+(Sens!H12428+Sens!H12429)*(1-a_g3_29)</f>
        <v>5180.41669</v>
      </c>
      <c r="I12434" s="30" t="n">
        <f aca="false">Sens!H12434+(Sens!I12428+Sens!I12429)*(1-a_g3_29)</f>
        <v>7360.2041977</v>
      </c>
      <c r="J12434" s="30" t="n">
        <f aca="false">Sens!I12434+(Sens!J12428+Sens!J12429)*(1-a_g3_29)</f>
        <v>9084.673373254</v>
      </c>
      <c r="K12434" s="30" t="n">
        <f aca="false">Sens!J12434+(Sens!K12428+Sens!K12429)*(1-a_g3_29)</f>
        <v>10800.1904168516</v>
      </c>
    </row>
    <row r="12435" customFormat="false" ht="17.15" hidden="false" customHeight="false" outlineLevel="0" collapsed="false">
      <c r="A12435" s="1" t="s">
        <v>968</v>
      </c>
      <c r="B12435" s="0" t="s">
        <v>403</v>
      </c>
      <c r="C12435" s="15" t="n">
        <f aca="false">(Sens!C12430*tk_hold_h100+Sens!C12431*tk_hold_gb200+Sens!C12432*tk_hold_gb300+Sens!C12434*tk_hold_vr200+Sens!C12433*nv_hold_mai*tk_hold_vr200)/Sens!C12422</f>
        <v>9.7235358126469</v>
      </c>
      <c r="D12435" s="15" t="n">
        <f aca="false">(Sens!D12430*tk_hold_h100+Sens!D12431*tk_hold_gb200+Sens!D12432*tk_hold_gb300+Sens!D12434*tk_hold_vr200+Sens!D12433*nv_hold_mai*tk_hold_vr200)/Sens!D12422</f>
        <v>9.7235358126469</v>
      </c>
      <c r="E12435" s="15" t="n">
        <f aca="false">(Sens!E12430*tk_hold_h100+Sens!E12431*tk_hold_gb200+Sens!E12432*tk_hold_gb300+Sens!E12434*tk_hold_vr200+Sens!E12433*nv_hold_mai*tk_hold_vr200)/Sens!E12422</f>
        <v>9.7235358126469</v>
      </c>
      <c r="F12435" s="15" t="n">
        <f aca="false">(Sens!F12430*tk_hold_h100+Sens!F12431*tk_hold_gb200+Sens!F12432*tk_hold_gb300+Sens!F12434*tk_hold_vr200+Sens!F12433*nv_hold_mai*tk_hold_vr200)/Sens!F12422</f>
        <v>10.2195353876665</v>
      </c>
      <c r="G12435" s="15" t="n">
        <f aca="false">(Sens!G12430*tk_hold_h100+Sens!G12431*tk_hold_gb200+Sens!G12432*tk_hold_gb300+Sens!G12434*tk_hold_vr200+Sens!G12433*nv_hold_mai*tk_hold_vr200)/Sens!G12422</f>
        <v>10.5725598017306</v>
      </c>
      <c r="H12435" s="15" t="n">
        <f aca="false">(Sens!H12430*tk_hold_h100+Sens!H12431*tk_hold_gb200+Sens!H12432*tk_hold_gb300+Sens!H12434*tk_hold_vr200+Sens!H12433*nv_hold_mai*tk_hold_vr200)/Sens!H12422</f>
        <v>10.8210427149036</v>
      </c>
      <c r="I12435" s="15" t="n">
        <f aca="false">(Sens!I12430*tk_hold_h100+Sens!I12431*tk_hold_gb200+Sens!I12432*tk_hold_gb300+Sens!I12434*tk_hold_vr200+Sens!I12433*nv_hold_mai*tk_hold_vr200)/Sens!I12422</f>
        <v>11.0050618241982</v>
      </c>
      <c r="J12435" s="15" t="n">
        <f aca="false">(Sens!J12430*tk_hold_h100+Sens!J12431*tk_hold_gb200+Sens!J12432*tk_hold_gb300+Sens!J12434*tk_hold_vr200+Sens!J12433*nv_hold_mai*tk_hold_vr200)/Sens!J12422</f>
        <v>11.1505789658881</v>
      </c>
      <c r="K12435" s="15" t="n">
        <f aca="false">(Sens!K12430*tk_hold_h100+Sens!K12431*tk_hold_gb200+Sens!K12432*tk_hold_gb300+Sens!K12434*tk_hold_vr200+Sens!K12433*nv_hold_mai*tk_hold_vr200)/Sens!K12422</f>
        <v>11.3496914757183</v>
      </c>
      <c r="L12435" s="1" t="s">
        <v>969</v>
      </c>
    </row>
    <row r="12436" customFormat="false" ht="17.15" hidden="false" customHeight="false" outlineLevel="0" collapsed="false">
      <c r="A12436" s="1" t="s">
        <v>970</v>
      </c>
      <c r="B12436" s="0" t="s">
        <v>403</v>
      </c>
      <c r="C12436" s="15" t="n">
        <f aca="false">(Sens!C12430*tk_hold_h100+Sens!C12431*tk_hold_gb200+Sens!C12432*tk_hold_gb300+Sens!C12434*tk_hold_vr200+Sens!C12433*nv_out_mai*tk_hold_vr200)/Sens!C12422</f>
        <v>9.7235358126469</v>
      </c>
      <c r="D12436" s="15" t="n">
        <f aca="false">(Sens!D12430*tk_hold_h100+Sens!D12431*tk_hold_gb200+Sens!D12432*tk_hold_gb300+Sens!D12434*tk_hold_vr200+Sens!D12433*nv_out_mai*tk_hold_vr200)/Sens!D12422</f>
        <v>9.7235358126469</v>
      </c>
      <c r="E12436" s="15" t="n">
        <f aca="false">(Sens!E12430*tk_hold_h100+Sens!E12431*tk_hold_gb200+Sens!E12432*tk_hold_gb300+Sens!E12434*tk_hold_vr200+Sens!E12433*nv_out_mai*tk_hold_vr200)/Sens!E12422</f>
        <v>9.7235358126469</v>
      </c>
      <c r="F12436" s="15" t="n">
        <f aca="false">(Sens!F12430*tk_hold_h100+Sens!F12431*tk_hold_gb200+Sens!F12432*tk_hold_gb300+Sens!F12434*tk_hold_vr200+Sens!F12433*nv_out_mai*tk_hold_vr200)/Sens!F12422</f>
        <v>10.247422093969</v>
      </c>
      <c r="G12436" s="15" t="n">
        <f aca="false">(Sens!G12430*tk_hold_h100+Sens!G12431*tk_hold_gb200+Sens!G12432*tk_hold_gb300+Sens!G12434*tk_hold_vr200+Sens!G12433*nv_out_mai*tk_hold_vr200)/Sens!G12422</f>
        <v>10.6108602808053</v>
      </c>
      <c r="H12436" s="15" t="n">
        <f aca="false">(Sens!H12430*tk_hold_h100+Sens!H12431*tk_hold_gb200+Sens!H12432*tk_hold_gb300+Sens!H12434*tk_hold_vr200+Sens!H12433*nv_out_mai*tk_hold_vr200)/Sens!H12422</f>
        <v>10.8647885507393</v>
      </c>
      <c r="I12436" s="15" t="n">
        <f aca="false">(Sens!I12430*tk_hold_h100+Sens!I12431*tk_hold_gb200+Sens!I12432*tk_hold_gb300+Sens!I12434*tk_hold_vr200+Sens!I12433*nv_out_mai*tk_hold_vr200)/Sens!I12422</f>
        <v>11.0535625770025</v>
      </c>
      <c r="J12436" s="15" t="n">
        <f aca="false">(Sens!J12430*tk_hold_h100+Sens!J12431*tk_hold_gb200+Sens!J12432*tk_hold_gb300+Sens!J12434*tk_hold_vr200+Sens!J12433*nv_out_mai*tk_hold_vr200)/Sens!J12422</f>
        <v>11.2032127128058</v>
      </c>
      <c r="K12436" s="15" t="n">
        <f aca="false">(Sens!K12430*tk_hold_h100+Sens!K12431*tk_hold_gb200+Sens!K12432*tk_hold_gb300+Sens!K12434*tk_hold_vr200+Sens!K12433*nv_out_mai*tk_hold_vr200)/Sens!K12422</f>
        <v>11.4085735724225</v>
      </c>
      <c r="L12436" s="12" t="s">
        <v>971</v>
      </c>
    </row>
    <row r="12437" customFormat="false" ht="17.15" hidden="false" customHeight="false" outlineLevel="0" collapsed="false">
      <c r="A12437" s="0" t="s">
        <v>972</v>
      </c>
      <c r="B12437" s="0" t="s">
        <v>229</v>
      </c>
      <c r="C12437" s="15" t="n">
        <f aca="false">k_B</f>
        <v>1.17213932619116</v>
      </c>
      <c r="D12437" s="15" t="n">
        <f aca="false">k_B</f>
        <v>1.17213932619116</v>
      </c>
      <c r="E12437" s="15" t="n">
        <f aca="false">k_B</f>
        <v>1.17213932619116</v>
      </c>
      <c r="F12437" s="15" t="n">
        <f aca="false">(k_B+((ls_C*k_long+(1-ls_C)*k_spot)-k_B)*MIN(1,(Sens!F12420-base_fy)/k_ramp))</f>
        <v>1.07843258004497</v>
      </c>
      <c r="G12437" s="15" t="n">
        <f aca="false">(k_B+((ls_C*k_long+(1-ls_C)*k_spot)-k_B)*MIN(1,(Sens!G12420-base_fy)/k_ramp))</f>
        <v>0.984725833898784</v>
      </c>
      <c r="H12437" s="15" t="n">
        <f aca="false">(k_B+((ls_C*k_long+(1-ls_C)*k_spot)-k_B)*MIN(1,(Sens!H12420-base_fy)/k_ramp))</f>
        <v>0.891019087752599</v>
      </c>
      <c r="I12437" s="15" t="n">
        <f aca="false">(k_B+((ls_C*k_long+(1-ls_C)*k_spot)-k_B)*MIN(1,(Sens!I12420-base_fy)/k_ramp))</f>
        <v>0.891019087752599</v>
      </c>
      <c r="J12437" s="15" t="n">
        <f aca="false">(k_B+((ls_C*k_long+(1-ls_C)*k_spot)-k_B)*MIN(1,(Sens!J12420-base_fy)/k_ramp))</f>
        <v>0.891019087752599</v>
      </c>
      <c r="K12437" s="15" t="n">
        <f aca="false">(k_B+((ls_C*k_long+(1-ls_C)*k_spot)-k_B)*MIN(1,(Sens!K12420-base_fy)/k_ramp))</f>
        <v>0.891019087752599</v>
      </c>
      <c r="L12437" s="1" t="s">
        <v>973</v>
      </c>
    </row>
    <row r="12438" customFormat="false" ht="17.15" hidden="false" customHeight="false" outlineLevel="0" collapsed="false">
      <c r="A12438" s="1" t="s">
        <v>974</v>
      </c>
      <c r="B12438" s="0" t="s">
        <v>403</v>
      </c>
      <c r="C12438" s="15" t="n">
        <f aca="false">Sens!C12436*Sens!C12437*chip_f</f>
        <v>11.3973387156315</v>
      </c>
      <c r="D12438" s="15" t="n">
        <f aca="false">Sens!D12436*Sens!D12437*chip_f</f>
        <v>11.3973387156315</v>
      </c>
      <c r="E12438" s="15" t="n">
        <f aca="false">Sens!E12436*Sens!E12437*chip_f</f>
        <v>11.3973387156315</v>
      </c>
      <c r="F12438" s="15" t="n">
        <f aca="false">Sens!F12436*Sens!F12437*chip_f</f>
        <v>11.0511538476088</v>
      </c>
      <c r="G12438" s="15" t="n">
        <f aca="false">Sens!G12436*Sens!G12437*chip_f</f>
        <v>10.4487882383995</v>
      </c>
      <c r="H12438" s="15" t="n">
        <f aca="false">Sens!H12436*Sens!H12437*chip_f</f>
        <v>9.68073398310464</v>
      </c>
      <c r="I12438" s="15" t="n">
        <f aca="false">Sens!I12436*Sens!I12437*chip_f</f>
        <v>9.84893524377706</v>
      </c>
      <c r="J12438" s="15" t="n">
        <f aca="false">Sens!J12436*Sens!J12437*chip_f</f>
        <v>9.98227637126252</v>
      </c>
      <c r="K12438" s="15" t="n">
        <f aca="false">Sens!K12436*Sens!K12437*chip_f</f>
        <v>10.1652568170583</v>
      </c>
      <c r="L12438" s="1" t="s">
        <v>975</v>
      </c>
    </row>
    <row r="12439" customFormat="false" ht="17.15" hidden="false" customHeight="false" outlineLevel="0" collapsed="false">
      <c r="A12439" s="0" t="s">
        <v>976</v>
      </c>
      <c r="B12439" s="0" t="s">
        <v>98</v>
      </c>
      <c r="D12439" s="6" t="n">
        <f aca="false">(Sens!C12422+Sens!D12422)/2*Sens!D12438/1000</f>
        <v>12.9359794422418</v>
      </c>
      <c r="E12439" s="6" t="n">
        <f aca="false">(Sens!D12422+Sens!E12422)/2*Sens!E12438/1000</f>
        <v>27.8095064661409</v>
      </c>
      <c r="F12439" s="6" t="n">
        <f aca="false">(Sens!E12422+Sens!F12422)/2*Sens!F12438/1000</f>
        <v>50.9819294352312</v>
      </c>
      <c r="G12439" s="6" t="n">
        <f aca="false">(Sens!F12422+Sens!G12422)/2*Sens!G12438/1000</f>
        <v>76.6920436014933</v>
      </c>
      <c r="H12439" s="6" t="n">
        <f aca="false">(Sens!G12422+Sens!H12422)/2*Sens!H12438/1000</f>
        <v>97.4495379418341</v>
      </c>
      <c r="I12439" s="6" t="n">
        <f aca="false">(Sens!H12422+Sens!I12422)/2*Sens!I12438/1000</f>
        <v>122.083445553868</v>
      </c>
      <c r="J12439" s="6" t="n">
        <f aca="false">(Sens!I12422+Sens!J12422)/2*Sens!J12438/1000</f>
        <v>139.249060444804</v>
      </c>
      <c r="K12439" s="6" t="n">
        <f aca="false">(Sens!J12422+Sens!K12422)/2*Sens!K12438/1000</f>
        <v>149.995818575589</v>
      </c>
      <c r="L12439" s="12" t="s">
        <v>977</v>
      </c>
    </row>
    <row r="12440" customFormat="false" ht="17.15" hidden="false" customHeight="false" outlineLevel="0" collapsed="false">
      <c r="A12440" s="1" t="s">
        <v>978</v>
      </c>
      <c r="B12440" s="0" t="s">
        <v>403</v>
      </c>
      <c r="C12440" s="15" t="n">
        <f aca="false">(Sens!C12430*tk_opex_h100+Sens!C12431*tk_opex_gb200+Sens!C12432*tk_opex_gb300+(Sens!C12434+Sens!C12433)*tk_opex_vr200)/Sens!C12422</f>
        <v>1.88636041306092</v>
      </c>
      <c r="D12440" s="15" t="n">
        <f aca="false">(Sens!D12430*tk_opex_h100+Sens!D12431*tk_opex_gb200+Sens!D12432*tk_opex_gb300+(Sens!D12434+Sens!D12433)*tk_opex_vr200)/Sens!D12422</f>
        <v>1.88636041306092</v>
      </c>
      <c r="E12440" s="15" t="n">
        <f aca="false">(Sens!E12430*tk_opex_h100+Sens!E12431*tk_opex_gb200+Sens!E12432*tk_opex_gb300+(Sens!E12434+Sens!E12433)*tk_opex_vr200)/Sens!E12422</f>
        <v>1.88636041306092</v>
      </c>
      <c r="F12440" s="15" t="n">
        <f aca="false">(Sens!F12430*tk_opex_h100+Sens!F12431*tk_opex_gb200+Sens!F12432*tk_opex_gb300+(Sens!F12434+Sens!F12433)*tk_opex_vr200)/Sens!F12422</f>
        <v>1.95051159746876</v>
      </c>
      <c r="G12440" s="15" t="n">
        <f aca="false">(Sens!G12430*tk_opex_h100+Sens!G12431*tk_opex_gb200+Sens!G12432*tk_opex_gb300+(Sens!G12434+Sens!G12433)*tk_opex_vr200)/Sens!G12422</f>
        <v>1.98836003669956</v>
      </c>
      <c r="H12440" s="15" t="n">
        <f aca="false">(Sens!H12430*tk_opex_h100+Sens!H12431*tk_opex_gb200+Sens!H12432*tk_opex_gb300+(Sens!H12434+Sens!H12433)*tk_opex_vr200)/Sens!H12422</f>
        <v>2.01344013834343</v>
      </c>
      <c r="I12440" s="15" t="n">
        <f aca="false">(Sens!I12430*tk_opex_h100+Sens!I12431*tk_opex_gb200+Sens!I12432*tk_opex_gb300+(Sens!I12434+Sens!I12433)*tk_opex_vr200)/Sens!I12422</f>
        <v>2.03261166882178</v>
      </c>
      <c r="J12440" s="15" t="n">
        <f aca="false">(Sens!J12430*tk_opex_h100+Sens!J12431*tk_opex_gb200+Sens!J12432*tk_opex_gb300+(Sens!J12434+Sens!J12433)*tk_opex_vr200)/Sens!J12422</f>
        <v>2.04808073288745</v>
      </c>
      <c r="K12440" s="15" t="n">
        <f aca="false">(Sens!K12430*tk_opex_h100+Sens!K12431*tk_opex_gb200+Sens!K12432*tk_opex_gb300+(Sens!K12434+Sens!K12433)*tk_opex_vr200)/Sens!K12422</f>
        <v>2.06973825807449</v>
      </c>
      <c r="L12440" s="12" t="s">
        <v>979</v>
      </c>
    </row>
    <row r="12441" customFormat="false" ht="17.15" hidden="false" customHeight="false" outlineLevel="0" collapsed="false">
      <c r="A12441" s="0" t="s">
        <v>980</v>
      </c>
      <c r="B12441" s="0" t="s">
        <v>98</v>
      </c>
      <c r="D12441" s="6" t="n">
        <f aca="false">(Sens!C12425+Sens!D12425)/2*Sens!D12440/1000</f>
        <v>2.70378325872065</v>
      </c>
      <c r="E12441" s="6" t="n">
        <f aca="false">(Sens!D12425+Sens!E12425)/2*Sens!E12440/1000</f>
        <v>6.17783035277451</v>
      </c>
      <c r="F12441" s="6" t="n">
        <f aca="false">(Sens!E12425+Sens!F12425)/2*Sens!F12440/1000</f>
        <v>12.8742463089237</v>
      </c>
      <c r="G12441" s="6" t="n">
        <f aca="false">(Sens!F12425+Sens!G12425)/2*Sens!G12440/1000</f>
        <v>21.8182834646277</v>
      </c>
      <c r="H12441" s="6" t="n">
        <f aca="false">(Sens!G12425+Sens!H12425)/2*Sens!H12440/1000</f>
        <v>31.2430128789734</v>
      </c>
      <c r="I12441" s="6" t="n">
        <f aca="false">(Sens!H12425+Sens!I12425)/2*Sens!I12440/1000</f>
        <v>39.4313057443268</v>
      </c>
      <c r="J12441" s="6" t="n">
        <f aca="false">(Sens!I12425+Sens!J12425)/2*Sens!J12440/1000</f>
        <v>45.0360318228653</v>
      </c>
      <c r="K12441" s="6" t="n">
        <f aca="false">(Sens!J12425+Sens!K12425)/2*Sens!K12440/1000</f>
        <v>48.2929727091156</v>
      </c>
    </row>
    <row r="12442" customFormat="false" ht="17.15" hidden="false" customHeight="false" outlineLevel="0" collapsed="false">
      <c r="A12442" s="0" t="s">
        <v>981</v>
      </c>
      <c r="B12442" s="0" t="s">
        <v>98</v>
      </c>
      <c r="D12442" s="6" t="n">
        <f aca="false">(Sens!C12423+Sens!D12423)/2*rent_mw/1000</f>
        <v>2.44475</v>
      </c>
      <c r="E12442" s="6" t="n">
        <f aca="false">(Sens!D12423+Sens!E12423)/2*rent_mw/1000</f>
        <v>4.22275</v>
      </c>
      <c r="F12442" s="6" t="n">
        <f aca="false">(Sens!E12423+Sens!F12423)/2*rent_mw/1000</f>
        <v>5.80517</v>
      </c>
      <c r="G12442" s="6" t="n">
        <f aca="false">(Sens!F12423+Sens!G12423)/2*rent_mw/1000</f>
        <v>6.72084</v>
      </c>
      <c r="H12442" s="6" t="n">
        <f aca="false">(Sens!G12423+Sens!H12423)/2*rent_mw/1000</f>
        <v>6.72084</v>
      </c>
      <c r="I12442" s="6" t="n">
        <f aca="false">(Sens!H12423+Sens!I12423)/2*rent_mw/1000</f>
        <v>6.72084</v>
      </c>
      <c r="J12442" s="6" t="n">
        <f aca="false">(Sens!I12423+Sens!J12423)/2*rent_mw/1000</f>
        <v>6.72084</v>
      </c>
      <c r="K12442" s="6" t="n">
        <f aca="false">(Sens!J12423+Sens!K12423)/2*rent_mw/1000</f>
        <v>6.72084</v>
      </c>
    </row>
    <row r="12443" customFormat="false" ht="17.15" hidden="false" customHeight="false" outlineLevel="0" collapsed="false">
      <c r="A12443" s="0" t="s">
        <v>982</v>
      </c>
      <c r="B12443" s="0" t="s">
        <v>98</v>
      </c>
      <c r="D12443" s="6" t="n">
        <f aca="false">(Sens!C12425+Sens!D12425)/2*(1-self_build)*fac_rent/1000</f>
        <v>0.853242375631075</v>
      </c>
      <c r="E12443" s="6" t="n">
        <f aca="false">(Sens!D12425+Sens!E12425)/2*(1-self_build)*fac_rent/1000</f>
        <v>1.94955961408728</v>
      </c>
      <c r="F12443" s="6" t="n">
        <f aca="false">(Sens!E12425+Sens!F12425)/2*(1-self_build)*fac_rent/1000</f>
        <v>3.92914894476356</v>
      </c>
      <c r="G12443" s="6" t="n">
        <f aca="false">(Sens!F12425+Sens!G12425)/2*(1-self_build)*fac_rent/1000</f>
        <v>6.53206908578159</v>
      </c>
      <c r="H12443" s="6" t="n">
        <f aca="false">(Sens!G12425+Sens!H12425)/2*(1-self_build)*fac_rent/1000</f>
        <v>9.23717988341591</v>
      </c>
      <c r="I12443" s="6" t="n">
        <f aca="false">(Sens!H12425+Sens!I12425)/2*(1-self_build)*fac_rent/1000</f>
        <v>11.5481378557393</v>
      </c>
      <c r="J12443" s="6" t="n">
        <f aca="false">(Sens!I12425+Sens!J12425)/2*(1-self_build)*fac_rent/1000</f>
        <v>13.0899582289108</v>
      </c>
      <c r="K12443" s="6" t="n">
        <f aca="false">(Sens!J12425+Sens!K12425)/2*(1-self_build)*fac_rent/1000</f>
        <v>13.8897275626556</v>
      </c>
      <c r="L12443" s="12" t="s">
        <v>983</v>
      </c>
    </row>
    <row r="12444" customFormat="false" ht="17.15" hidden="false" customHeight="false" outlineLevel="0" collapsed="false">
      <c r="A12444" s="1" t="s">
        <v>984</v>
      </c>
      <c r="B12444" s="0" t="s">
        <v>168</v>
      </c>
      <c r="D12444" s="7" t="n">
        <f aca="false">(Sens!C12424+Sens!D12424)/(Sens!C12425+Sens!D12425)</f>
        <v>0.6</v>
      </c>
      <c r="E12444" s="7" t="n">
        <f aca="false">(Sens!D12424+Sens!E12424)/(Sens!D12425+Sens!E12425)</f>
        <v>0.6</v>
      </c>
      <c r="F12444" s="7" t="n">
        <f aca="false">(Sens!E12424+Sens!F12424)/(Sens!E12425+Sens!F12425)</f>
        <v>0.6</v>
      </c>
      <c r="G12444" s="7" t="n">
        <f aca="false">(Sens!F12424+Sens!G12424)/(Sens!F12425+Sens!G12425)</f>
        <v>0.6</v>
      </c>
      <c r="H12444" s="7" t="n">
        <f aca="false">(Sens!G12424+Sens!H12424)/(Sens!G12425+Sens!H12425)</f>
        <v>0.6</v>
      </c>
      <c r="I12444" s="7" t="n">
        <f aca="false">(Sens!H12424+Sens!I12424)/(Sens!H12425+Sens!I12425)</f>
        <v>0.6</v>
      </c>
      <c r="J12444" s="7" t="n">
        <f aca="false">(Sens!I12424+Sens!J12424)/(Sens!I12425+Sens!J12425)</f>
        <v>0.6</v>
      </c>
      <c r="K12444" s="7" t="n">
        <f aca="false">(Sens!J12424+Sens!K12424)/(Sens!J12425+Sens!K12425)</f>
        <v>0.6</v>
      </c>
    </row>
    <row r="12445" customFormat="false" ht="17.15" hidden="false" customHeight="false" outlineLevel="0" collapsed="false">
      <c r="A12445" s="0" t="s">
        <v>985</v>
      </c>
      <c r="B12445" s="0" t="s">
        <v>98</v>
      </c>
      <c r="D12445" s="6" t="n">
        <f aca="false">Sens!D12439-Sens!D12444*(Sens!D12441+Sens!D12443)-Sens!D12442</f>
        <v>8.35701406163072</v>
      </c>
      <c r="E12445" s="6" t="n">
        <f aca="false">Sens!E12439-Sens!E12444*(Sens!E12441+Sens!E12443)-Sens!E12442</f>
        <v>18.7103224860238</v>
      </c>
      <c r="F12445" s="6" t="n">
        <f aca="false">Sens!F12439-Sens!F12444*(Sens!F12441+Sens!F12443)-Sens!F12442</f>
        <v>35.0947222830189</v>
      </c>
      <c r="G12445" s="6" t="n">
        <f aca="false">Sens!G12439-Sens!G12444*(Sens!G12441+Sens!G12443)-Sens!G12442</f>
        <v>52.9609920712477</v>
      </c>
      <c r="H12445" s="6" t="n">
        <f aca="false">Sens!H12439-Sens!H12444*(Sens!H12441+Sens!H12443)-Sens!H12442</f>
        <v>66.4405822844005</v>
      </c>
      <c r="I12445" s="6" t="n">
        <f aca="false">Sens!I12439-Sens!I12444*(Sens!I12441+Sens!I12443)-Sens!I12442</f>
        <v>84.7749393938279</v>
      </c>
      <c r="J12445" s="6" t="n">
        <f aca="false">Sens!J12439-Sens!J12444*(Sens!J12441+Sens!J12443)-Sens!J12442</f>
        <v>97.6526264137382</v>
      </c>
      <c r="K12445" s="6" t="n">
        <f aca="false">Sens!K12439-Sens!K12444*(Sens!K12441+Sens!K12443)-Sens!K12442</f>
        <v>105.965358412527</v>
      </c>
    </row>
    <row r="12446" customFormat="false" ht="17.15" hidden="false" customHeight="false" outlineLevel="0" collapsed="false">
      <c r="A12446" s="1" t="s">
        <v>986</v>
      </c>
      <c r="B12446" s="0" t="s">
        <v>98</v>
      </c>
      <c r="D12446" s="6" t="n">
        <f aca="false">(1-Sens!D12444)*(Sens!D12441+Sens!D12443)</f>
        <v>1.42281025374069</v>
      </c>
      <c r="E12446" s="6" t="n">
        <f aca="false">(1-Sens!E12444)*(Sens!E12441+Sens!E12443)</f>
        <v>3.25095598674472</v>
      </c>
      <c r="F12446" s="6" t="n">
        <f aca="false">(1-Sens!F12444)*(Sens!F12441+Sens!F12443)</f>
        <v>6.72135810147489</v>
      </c>
      <c r="G12446" s="6" t="n">
        <f aca="false">(1-Sens!G12444)*(Sens!G12441+Sens!G12443)</f>
        <v>11.3401410201637</v>
      </c>
      <c r="H12446" s="6" t="n">
        <f aca="false">(1-Sens!H12444)*(Sens!H12441+Sens!H12443)</f>
        <v>16.1920771049557</v>
      </c>
      <c r="I12446" s="6" t="n">
        <f aca="false">(1-Sens!I12444)*(Sens!I12441+Sens!I12443)</f>
        <v>20.3917774400264</v>
      </c>
      <c r="J12446" s="6" t="n">
        <f aca="false">(1-Sens!J12444)*(Sens!J12441+Sens!J12443)</f>
        <v>23.2503960207104</v>
      </c>
      <c r="K12446" s="6" t="n">
        <f aca="false">(1-Sens!K12444)*(Sens!K12441+Sens!K12443)</f>
        <v>24.8730801087085</v>
      </c>
    </row>
    <row r="12447" customFormat="false" ht="17.15" hidden="false" customHeight="false" outlineLevel="0" collapsed="false">
      <c r="A12447" s="1" t="s">
        <v>987</v>
      </c>
      <c r="B12447" s="0" t="s">
        <v>414</v>
      </c>
      <c r="C12447" s="8" t="n">
        <f aca="false">cxit_open</f>
        <v>27.5918995</v>
      </c>
      <c r="D12447" s="8" t="n">
        <f aca="false">cxit_open</f>
        <v>27.5918995</v>
      </c>
      <c r="E12447" s="8" t="n">
        <f aca="false">cxit_open</f>
        <v>27.5918995</v>
      </c>
      <c r="F12447" s="8" t="n">
        <f aca="false">((a_g3_27-nonnv*a_mai)*tk_cxit_gb300+nonnv*a_mai*nv_hold_mai*tk_cxit_vr200+(1-a_g3_27)*tk_cxit_vr200)</f>
        <v>32.4975576</v>
      </c>
      <c r="G12447" s="8" t="n">
        <f aca="false">((a_g3_28-nonnv*a_mai)*tk_cxit_gb300+nonnv*a_mai*nv_hold_mai*tk_cxit_vr200+(1-a_g3_28)*tk_cxit_vr200)</f>
        <v>34.6372088</v>
      </c>
      <c r="H12447" s="8" t="n">
        <f aca="false">((a_g3_29-nonnv*a_mai)*tk_cxit_gb300+nonnv*a_mai*nv_hold_mai*tk_cxit_vr200+(1-a_g3_29)*tk_cxit_vr200)</f>
        <v>35.7070344</v>
      </c>
      <c r="I12447" s="8" t="n">
        <f aca="false">((a_g3_29-nonnv*a_mai)*tk_cxit_gb300+nonnv*a_mai*nv_hold_mai*tk_cxit_vr200+(1-a_g3_29)*tk_cxit_vr200)</f>
        <v>35.7070344</v>
      </c>
      <c r="J12447" s="8" t="n">
        <f aca="false">((a_g3_29-nonnv*a_mai)*tk_cxit_gb300+nonnv*a_mai*nv_hold_mai*tk_cxit_vr200+(1-a_g3_29)*tk_cxit_vr200)</f>
        <v>35.7070344</v>
      </c>
      <c r="K12447" s="8" t="n">
        <f aca="false">((a_g3_29-nonnv*a_mai)*tk_cxit_gb300+nonnv*a_mai*nv_hold_mai*tk_cxit_vr200+(1-a_g3_29)*tk_cxit_vr200)</f>
        <v>35.7070344</v>
      </c>
      <c r="L12447" s="12" t="s">
        <v>988</v>
      </c>
    </row>
    <row r="12448" customFormat="false" ht="17.15" hidden="false" customHeight="false" outlineLevel="0" collapsed="false">
      <c r="A12448" s="0" t="s">
        <v>989</v>
      </c>
      <c r="B12448" s="0" t="s">
        <v>456</v>
      </c>
      <c r="F12448" s="30" t="n">
        <f aca="false">Sens!C12427*IF(Sens!F12420-Sens!C12420=life_it,1,0)+Sens!D12427*IF(Sens!F12420-Sens!D12420=life_it,1,0)+Sens!E12427*IF(Sens!F12420-Sens!E12420=life_it,1,0)</f>
        <v>0</v>
      </c>
      <c r="G12448" s="30" t="n">
        <f aca="false">Sens!C12427*IF(Sens!G12420-Sens!C12420=life_it,1,0)+Sens!D12427*IF(Sens!G12420-Sens!D12420=life_it,1,0)+Sens!E12427*IF(Sens!G12420-Sens!E12420=life_it,1,0)+Sens!F12427*IF(Sens!G12420-Sens!F12420=life_it,1,0)</f>
        <v>0</v>
      </c>
      <c r="H12448" s="30" t="n">
        <f aca="false">Sens!C12427*IF(Sens!H12420-Sens!C12420=life_it,1,0)+Sens!D12427*IF(Sens!H12420-Sens!D12420=life_it,1,0)+Sens!E12427*IF(Sens!H12420-Sens!E12420=life_it,1,0)+Sens!F12427*IF(Sens!H12420-Sens!F12420=life_it,1,0)+Sens!G12427*IF(Sens!H12420-Sens!G12420=life_it,1,0)</f>
        <v>0</v>
      </c>
      <c r="I12448" s="30" t="n">
        <f aca="false">Sens!C12427*IF(Sens!I12420-Sens!C12420=life_it,1,0)+Sens!D12427*IF(Sens!I12420-Sens!D12420=life_it,1,0)+Sens!E12427*IF(Sens!I12420-Sens!E12420=life_it,1,0)+Sens!F12427*IF(Sens!I12420-Sens!F12420=life_it,1,0)+Sens!G12427*IF(Sens!I12420-Sens!G12420=life_it,1,0)+Sens!H12427*IF(Sens!I12420-Sens!H12420=life_it,1,0)</f>
        <v>816.666666666667</v>
      </c>
      <c r="J12448" s="30" t="n">
        <f aca="false">Sens!C12427*IF(Sens!J12420-Sens!C12420=life_it,1,0)+Sens!D12427*IF(Sens!J12420-Sens!D12420=life_it,1,0)+Sens!E12427*IF(Sens!J12420-Sens!E12420=life_it,1,0)+Sens!F12427*IF(Sens!J12420-Sens!F12420=life_it,1,0)+Sens!G12427*IF(Sens!J12420-Sens!G12420=life_it,1,0)+Sens!H12427*IF(Sens!J12420-Sens!H12420=life_it,1,0)+Sens!I12427*IF(Sens!J12420-Sens!I12420=life_it,1,0)</f>
        <v>1233.33333333333</v>
      </c>
      <c r="K12448" s="30" t="n">
        <f aca="false">Sens!C12427*IF(Sens!K12420-Sens!C12420=life_it,1,0)+Sens!D12427*IF(Sens!K12420-Sens!D12420=life_it,1,0)+Sens!E12427*IF(Sens!K12420-Sens!E12420=life_it,1,0)+Sens!F12427*IF(Sens!K12420-Sens!F12420=life_it,1,0)+Sens!G12427*IF(Sens!K12420-Sens!G12420=life_it,1,0)+Sens!H12427*IF(Sens!K12420-Sens!H12420=life_it,1,0)+Sens!I12427*IF(Sens!K12420-Sens!I12420=life_it,1,0)+Sens!J12427*IF(Sens!K12420-Sens!J12420=life_it,1,0)</f>
        <v>2450</v>
      </c>
      <c r="L12448" s="1" t="s">
        <v>990</v>
      </c>
    </row>
    <row r="12449" customFormat="false" ht="17.15" hidden="false" customHeight="false" outlineLevel="0" collapsed="false">
      <c r="A12449" s="0" t="s">
        <v>991</v>
      </c>
      <c r="B12449" s="0" t="s">
        <v>98</v>
      </c>
      <c r="C12449" s="6" t="n">
        <f aca="false">Sens!C12427*Sens!C12447/1000</f>
        <v>22.5333845916667</v>
      </c>
      <c r="D12449" s="6" t="n">
        <f aca="false">Sens!D12427*Sens!D12447/1000</f>
        <v>34.0300093833333</v>
      </c>
      <c r="E12449" s="6" t="n">
        <f aca="false">Sens!E12427*Sens!E12447/1000</f>
        <v>67.600153775</v>
      </c>
      <c r="F12449" s="6" t="n">
        <f aca="false">(Sens!F12427+Sens!F12448)*Sens!F12447/1000</f>
        <v>136.51872432512</v>
      </c>
      <c r="G12449" s="6" t="n">
        <f aca="false">(Sens!G12427+Sens!G12448)*Sens!G12447/1000</f>
        <v>157.399275932048</v>
      </c>
      <c r="H12449" s="6" t="n">
        <f aca="false">(Sens!H12427+Sens!H12448)*Sens!H12447/1000</f>
        <v>162.260804347512</v>
      </c>
      <c r="I12449" s="6" t="n">
        <f aca="false">(Sens!I12427+Sens!I12448)*Sens!I12447/1000</f>
        <v>144.136569485434</v>
      </c>
      <c r="J12449" s="6" t="n">
        <f aca="false">(Sens!J12427+Sens!J12448)*Sens!J12447/1000</f>
        <v>114.029037357864</v>
      </c>
      <c r="K12449" s="6" t="n">
        <f aca="false">(Sens!K12427+Sens!K12448)*Sens!K12447/1000</f>
        <v>113.437085350975</v>
      </c>
    </row>
    <row r="12450" customFormat="false" ht="17.15" hidden="false" customHeight="false" outlineLevel="0" collapsed="false">
      <c r="A12450" s="0" t="s">
        <v>992</v>
      </c>
      <c r="B12450" s="0" t="s">
        <v>98</v>
      </c>
      <c r="C12450" s="6" t="n">
        <f aca="false">Sens!C12427*self_build*tk_cxfac/1000</f>
        <v>6.2083</v>
      </c>
      <c r="D12450" s="6" t="n">
        <f aca="false">Sens!D12427*self_build*tk_cxfac/1000</f>
        <v>9.3758</v>
      </c>
      <c r="E12450" s="6" t="n">
        <f aca="false">Sens!E12427*self_build*tk_cxfac/1000</f>
        <v>18.6249</v>
      </c>
      <c r="F12450" s="6" t="n">
        <f aca="false">Sens!F12427*self_build*tk_cxfac/1000</f>
        <v>31.935179717</v>
      </c>
      <c r="G12450" s="6" t="n">
        <f aca="false">Sens!G12427*self_build*tk_cxfac/1000</f>
        <v>34.545199717</v>
      </c>
      <c r="H12450" s="6" t="n">
        <f aca="false">Sens!H12427*self_build*tk_cxfac/1000</f>
        <v>34.545199717</v>
      </c>
      <c r="I12450" s="6" t="n">
        <f aca="false">Sens!I12427*self_build*tk_cxfac/1000</f>
        <v>24.4782641361767</v>
      </c>
      <c r="J12450" s="6" t="n">
        <f aca="false">Sens!J12427*self_build*tk_cxfac/1000</f>
        <v>14.9008938380769</v>
      </c>
      <c r="K12450" s="6" t="n">
        <f aca="false">Sens!K12427*self_build*tk_cxfac/1000</f>
        <v>5.52576771375761</v>
      </c>
    </row>
    <row r="12451" customFormat="false" ht="17.15" hidden="false" customHeight="false" outlineLevel="0" collapsed="false">
      <c r="A12451" s="0" t="s">
        <v>993</v>
      </c>
      <c r="B12451" s="0" t="s">
        <v>98</v>
      </c>
      <c r="F12451" s="15" t="n">
        <f aca="false">capex_floor27-Sens!F12449-Sens!F12450-Sens!F12547</f>
        <v>-0.0824054154216043</v>
      </c>
      <c r="L12451" s="12" t="s">
        <v>994</v>
      </c>
    </row>
    <row r="12452" customFormat="false" ht="17.15" hidden="false" customHeight="false" outlineLevel="0" collapsed="false">
      <c r="A12452" s="0" t="s">
        <v>995</v>
      </c>
      <c r="B12452" s="0" t="s">
        <v>98</v>
      </c>
      <c r="F12452" s="6" t="n">
        <f aca="false">MAX(0,Sens!F12451)</f>
        <v>0</v>
      </c>
    </row>
    <row r="12453" customFormat="false" ht="17.15" hidden="false" customHeight="false" outlineLevel="0" collapsed="false">
      <c r="A12453" s="0" t="s">
        <v>996</v>
      </c>
      <c r="B12453" s="0" t="s">
        <v>98</v>
      </c>
      <c r="C12453" s="6" t="n">
        <f aca="false">Sens!C12449</f>
        <v>22.5333845916667</v>
      </c>
      <c r="D12453" s="6" t="n">
        <f aca="false">Sens!D12449</f>
        <v>34.0300093833333</v>
      </c>
      <c r="E12453" s="6" t="n">
        <f aca="false">Sens!E12449</f>
        <v>67.600153775</v>
      </c>
      <c r="F12453" s="6" t="n">
        <f aca="false">Sens!F12449</f>
        <v>136.51872432512</v>
      </c>
      <c r="G12453" s="6" t="n">
        <f aca="false">Sens!G12449</f>
        <v>157.399275932048</v>
      </c>
      <c r="H12453" s="6" t="n">
        <f aca="false">Sens!H12449</f>
        <v>162.260804347512</v>
      </c>
      <c r="I12453" s="6" t="n">
        <f aca="false">Sens!I12449</f>
        <v>144.136569485434</v>
      </c>
      <c r="J12453" s="6" t="n">
        <f aca="false">Sens!J12449</f>
        <v>114.029037357864</v>
      </c>
      <c r="K12453" s="6" t="n">
        <f aca="false">Sens!K12449</f>
        <v>113.437085350975</v>
      </c>
    </row>
    <row r="12454" customFormat="false" ht="17.15" hidden="false" customHeight="false" outlineLevel="0" collapsed="false">
      <c r="A12454" s="0" t="s">
        <v>997</v>
      </c>
      <c r="B12454" s="0" t="s">
        <v>98</v>
      </c>
      <c r="C12454" s="6" t="n">
        <f aca="false">Sens!C12453+Sens!C12450</f>
        <v>28.7416845916667</v>
      </c>
      <c r="D12454" s="6" t="n">
        <f aca="false">Sens!D12453+Sens!D12450</f>
        <v>43.4058093833333</v>
      </c>
      <c r="E12454" s="6" t="n">
        <f aca="false">Sens!E12453+Sens!E12450</f>
        <v>86.225053775</v>
      </c>
      <c r="F12454" s="6" t="n">
        <f aca="false">Sens!F12453+Sens!F12450</f>
        <v>168.45390404212</v>
      </c>
      <c r="G12454" s="6" t="n">
        <f aca="false">Sens!G12453+Sens!G12450</f>
        <v>191.944475649048</v>
      </c>
      <c r="H12454" s="6" t="n">
        <f aca="false">Sens!H12453+Sens!H12450</f>
        <v>196.806004064512</v>
      </c>
      <c r="I12454" s="6" t="n">
        <f aca="false">Sens!I12453+Sens!I12450</f>
        <v>168.61483362161</v>
      </c>
      <c r="J12454" s="6" t="n">
        <f aca="false">Sens!J12453+Sens!J12450</f>
        <v>128.92993119594</v>
      </c>
      <c r="K12454" s="6" t="n">
        <f aca="false">Sens!K12453+Sens!K12450</f>
        <v>118.962853064733</v>
      </c>
      <c r="L12454" s="12" t="s">
        <v>998</v>
      </c>
    </row>
    <row r="12455" customFormat="false" ht="17.15" hidden="false" customHeight="false" outlineLevel="0" collapsed="false">
      <c r="A12455" s="0" t="s">
        <v>999</v>
      </c>
      <c r="B12455" s="0" t="s">
        <v>98</v>
      </c>
      <c r="E12455" s="6" t="n">
        <f aca="false">(Sens!C12453*IF(2&lt;life_it,1,IF(2=life_it,0.5,0))+Sens!D12453*IF(1&lt;life_it,1,IF(1=life_it,0.5,0))+Sens!E12453*0.5)/life_it</f>
        <v>15.0605784770833</v>
      </c>
      <c r="F12455" s="6" t="n">
        <f aca="false">(Sens!C12453*IF(3&lt;life_it,1,IF(3=life_it,0.5,0))+Sens!D12453*IF(2&lt;life_it,1,IF(2=life_it,0.5,0))+Sens!E12453*IF(1&lt;life_it,1,IF(1=life_it,0.5,0))+Sens!F12453*0.5)/life_it</f>
        <v>32.0704849854266</v>
      </c>
      <c r="G12455" s="6" t="n">
        <f aca="false">(Sens!C12453*IF(4&lt;life_it,1,IF(4=life_it,0.5,0))+Sens!D12453*IF(3&lt;life_it,1,IF(3=life_it,0.5,0))+Sens!E12453*IF(2&lt;life_it,1,IF(2=life_it,0.5,0))+Sens!F12453*IF(1&lt;life_it,1,IF(1=life_it,0.5,0))+Sens!G12453*0.5)/life_it</f>
        <v>56.5636516735239</v>
      </c>
      <c r="H12455" s="6" t="n">
        <f aca="false">(Sens!C12453*IF(5&lt;life_it,1,IF(5=life_it,0.5,0))+Sens!D12453*IF(4&lt;life_it,1,IF(4=life_it,0.5,0))+Sens!E12453*IF(3&lt;life_it,1,IF(3=life_it,0.5,0))+Sens!F12453*IF(2&lt;life_it,1,IF(2=life_it,0.5,0))+Sens!G12453*IF(1&lt;life_it,1,IF(1=life_it,0.5,0))+Sens!H12453*0.5)/life_it</f>
        <v>83.2019916968207</v>
      </c>
      <c r="I12455" s="6" t="n">
        <f aca="false">(Sens!C12453*IF(6&lt;life_it,1,IF(6=life_it,0.5,0))+Sens!D12453*IF(5&lt;life_it,1,IF(5=life_it,0.5,0))+Sens!E12453*IF(4&lt;life_it,1,IF(4=life_it,0.5,0))+Sens!F12453*IF(3&lt;life_it,1,IF(3=life_it,0.5,0))+Sens!G12453*IF(2&lt;life_it,1,IF(2=life_it,0.5,0))+Sens!H12453*IF(1&lt;life_it,1,IF(1=life_it,0.5,0))+Sens!I12453*0.5)/life_it</f>
        <v>106.857324133594</v>
      </c>
      <c r="J12455" s="6" t="n">
        <f aca="false">(Sens!C12453*IF(7&lt;life_it,1,IF(7=life_it,0.5,0))+Sens!D12453*IF(6&lt;life_it,1,IF(6=life_it,0.5,0))+Sens!E12453*IF(5&lt;life_it,1,IF(5=life_it,0.5,0))+Sens!F12453*IF(4&lt;life_it,1,IF(4=life_it,0.5,0))+Sens!G12453*IF(3&lt;life_it,1,IF(3=life_it,0.5,0))+Sens!H12453*IF(2&lt;life_it,1,IF(2=life_it,0.5,0))+Sens!I12453*IF(1&lt;life_it,1,IF(1=life_it,0.5,0))+Sens!J12453*0.5)/life_it</f>
        <v>123.657508539285</v>
      </c>
      <c r="K12455" s="6" t="n">
        <f aca="false">(Sens!C12453*IF(8&lt;life_it,1,IF(8=life_it,0.5,0))+Sens!D12453*IF(7&lt;life_it,1,IF(7=life_it,0.5,0))+Sens!E12453*IF(6&lt;life_it,1,IF(6=life_it,0.5,0))+Sens!F12453*IF(5&lt;life_it,1,IF(5=life_it,0.5,0))+Sens!G12453*IF(4&lt;life_it,1,IF(4=life_it,0.5,0))+Sens!H12453*IF(3&lt;life_it,1,IF(3=life_it,0.5,0))+Sens!I12453*IF(2&lt;life_it,1,IF(2=life_it,0.5,0))+Sens!J12453*IF(1&lt;life_it,1,IF(1=life_it,0.5,0))+Sens!K12453*0.5)/life_it</f>
        <v>134.143838501827</v>
      </c>
    </row>
    <row r="12456" customFormat="false" ht="17.15" hidden="false" customHeight="false" outlineLevel="0" collapsed="false">
      <c r="A12456" s="0" t="s">
        <v>1000</v>
      </c>
      <c r="B12456" s="0" t="s">
        <v>98</v>
      </c>
      <c r="E12456" s="6" t="n">
        <f aca="false">(Sens!C12450*IF(2&lt;life_fac,1,IF(2=life_fac,0.5,0))+Sens!D12450*IF(1&lt;life_fac,1,IF(1=life_fac,0.5,0))+Sens!E12450*0.5)/life_fac</f>
        <v>1.2448275</v>
      </c>
      <c r="F12456" s="6" t="n">
        <f aca="false">(Sens!C12450*IF(3&lt;life_fac,1,IF(3=life_fac,0.5,0))+Sens!D12450*IF(2&lt;life_fac,1,IF(2=life_fac,0.5,0))+Sens!E12450*IF(1&lt;life_fac,1,IF(1=life_fac,0.5,0))+Sens!F12450*0.5)/life_fac</f>
        <v>2.508829492925</v>
      </c>
      <c r="G12456" s="6" t="n">
        <f aca="false">(Sens!C12450*IF(4&lt;life_fac,1,IF(4=life_fac,0.5,0))+Sens!D12450*IF(3&lt;life_fac,1,IF(3=life_fac,0.5,0))+Sens!E12450*IF(2&lt;life_fac,1,IF(2=life_fac,0.5,0))+Sens!F12450*IF(1&lt;life_fac,1,IF(1=life_fac,0.5,0))+Sens!G12450*0.5)/life_fac</f>
        <v>4.170838978775</v>
      </c>
      <c r="H12456" s="6" t="n">
        <f aca="false">(Sens!C12450*IF(5&lt;life_fac,1,IF(5=life_fac,0.5,0))+Sens!D12450*IF(4&lt;life_fac,1,IF(4=life_fac,0.5,0))+Sens!E12450*IF(3&lt;life_fac,1,IF(3=life_fac,0.5,0))+Sens!F12450*IF(2&lt;life_fac,1,IF(2=life_fac,0.5,0))+Sens!G12450*IF(1&lt;life_fac,1,IF(1=life_fac,0.5,0))+Sens!H12450*0.5)/life_fac</f>
        <v>5.898098964625</v>
      </c>
      <c r="I12456" s="6" t="n">
        <f aca="false">(Sens!C12450*IF(6&lt;life_fac,1,IF(6=life_fac,0.5,0))+Sens!D12450*IF(5&lt;life_fac,1,IF(5=life_fac,0.5,0))+Sens!E12450*IF(4&lt;life_fac,1,IF(4=life_fac,0.5,0))+Sens!F12450*IF(3&lt;life_fac,1,IF(3=life_fac,0.5,0))+Sens!G12450*IF(2&lt;life_fac,1,IF(2=life_fac,0.5,0))+Sens!H12450*IF(1&lt;life_fac,1,IF(1=life_fac,0.5,0))+Sens!I12450*0.5)/life_fac</f>
        <v>7.37368556095442</v>
      </c>
      <c r="J12456" s="6" t="n">
        <f aca="false">(Sens!C12450*IF(7&lt;life_fac,1,IF(7=life_fac,0.5,0))+Sens!D12450*IF(6&lt;life_fac,1,IF(6=life_fac,0.5,0))+Sens!E12450*IF(5&lt;life_fac,1,IF(5=life_fac,0.5,0))+Sens!F12450*IF(4&lt;life_fac,1,IF(4=life_fac,0.5,0))+Sens!G12450*IF(3&lt;life_fac,1,IF(3=life_fac,0.5,0))+Sens!H12450*IF(2&lt;life_fac,1,IF(2=life_fac,0.5,0))+Sens!I12450*IF(1&lt;life_fac,1,IF(1=life_fac,0.5,0))+Sens!J12450*0.5)/life_fac</f>
        <v>8.35816451031075</v>
      </c>
      <c r="K12456" s="6" t="n">
        <f aca="false">(Sens!C12450*IF(8&lt;life_fac,1,IF(8=life_fac,0.5,0))+Sens!D12450*IF(7&lt;life_fac,1,IF(7=life_fac,0.5,0))+Sens!E12450*IF(6&lt;life_fac,1,IF(6=life_fac,0.5,0))+Sens!F12450*IF(5&lt;life_fac,1,IF(5=life_fac,0.5,0))+Sens!G12450*IF(4&lt;life_fac,1,IF(4=life_fac,0.5,0))+Sens!H12450*IF(3&lt;life_fac,1,IF(3=life_fac,0.5,0))+Sens!I12450*IF(2&lt;life_fac,1,IF(2=life_fac,0.5,0))+Sens!J12450*IF(1&lt;life_fac,1,IF(1=life_fac,0.5,0))+Sens!K12450*0.5)/life_fac</f>
        <v>8.86883104910662</v>
      </c>
    </row>
    <row r="12457" customFormat="false" ht="17.15" hidden="false" customHeight="false" outlineLevel="0" collapsed="false">
      <c r="A12457" s="0" t="s">
        <v>1001</v>
      </c>
      <c r="B12457" s="0" t="s">
        <v>98</v>
      </c>
      <c r="E12457" s="6" t="n">
        <f aca="false">Sens!E12455+Sens!E12456</f>
        <v>16.3054059770833</v>
      </c>
      <c r="F12457" s="6" t="n">
        <f aca="false">Sens!F12455+Sens!F12456</f>
        <v>34.5793144783516</v>
      </c>
      <c r="G12457" s="6" t="n">
        <f aca="false">Sens!G12455+Sens!G12456</f>
        <v>60.7344906522989</v>
      </c>
      <c r="H12457" s="6" t="n">
        <f aca="false">Sens!H12455+Sens!H12456</f>
        <v>89.1000906614457</v>
      </c>
      <c r="I12457" s="6" t="n">
        <f aca="false">Sens!I12455+Sens!I12456</f>
        <v>114.231009694548</v>
      </c>
      <c r="J12457" s="6" t="n">
        <f aca="false">Sens!J12455+Sens!J12456</f>
        <v>132.015673049596</v>
      </c>
      <c r="K12457" s="6" t="n">
        <f aca="false">Sens!K12455+Sens!K12456</f>
        <v>143.012669550934</v>
      </c>
    </row>
    <row r="12458" customFormat="false" ht="17.15" hidden="false" customHeight="false" outlineLevel="0" collapsed="false">
      <c r="A12458" s="0" t="s">
        <v>1002</v>
      </c>
      <c r="B12458" s="0" t="s">
        <v>98</v>
      </c>
      <c r="E12458" s="6" t="n">
        <f aca="false">Sens!E12445-Sens!E12444*Sens!E12457</f>
        <v>8.92707889977379</v>
      </c>
      <c r="F12458" s="6" t="n">
        <f aca="false">Sens!F12445-Sens!F12444*Sens!F12457</f>
        <v>14.3471335960079</v>
      </c>
      <c r="G12458" s="6" t="n">
        <f aca="false">Sens!G12445-Sens!G12444*Sens!G12457</f>
        <v>16.5202976798683</v>
      </c>
      <c r="H12458" s="6" t="n">
        <f aca="false">Sens!H12445-Sens!H12444*Sens!H12457</f>
        <v>12.9805278875331</v>
      </c>
      <c r="I12458" s="6" t="n">
        <f aca="false">Sens!I12445-Sens!I12444*Sens!I12457</f>
        <v>16.2363335770989</v>
      </c>
      <c r="J12458" s="6" t="n">
        <f aca="false">Sens!J12445-Sens!J12444*Sens!J12457</f>
        <v>18.4432225839805</v>
      </c>
      <c r="K12458" s="6" t="n">
        <f aca="false">Sens!K12445-Sens!K12444*Sens!K12457</f>
        <v>20.1577566819661</v>
      </c>
    </row>
    <row r="12459" customFormat="false" ht="17.15" hidden="false" customHeight="false" outlineLevel="0" collapsed="false">
      <c r="A12459" s="3" t="s">
        <v>1791</v>
      </c>
    </row>
    <row r="12460" customFormat="false" ht="15" hidden="false" customHeight="false" outlineLevel="0" collapsed="false">
      <c r="A12460" s="4" t="s">
        <v>43</v>
      </c>
      <c r="B12460" s="4" t="s">
        <v>65</v>
      </c>
      <c r="C12460" s="23" t="s">
        <v>938</v>
      </c>
      <c r="D12460" s="23" t="s">
        <v>939</v>
      </c>
      <c r="E12460" s="23" t="s">
        <v>940</v>
      </c>
      <c r="F12460" s="23" t="s">
        <v>941</v>
      </c>
      <c r="G12460" s="23" t="s">
        <v>942</v>
      </c>
      <c r="H12460" s="23" t="s">
        <v>943</v>
      </c>
      <c r="I12460" s="23" t="s">
        <v>944</v>
      </c>
      <c r="J12460" s="23" t="s">
        <v>945</v>
      </c>
      <c r="K12460" s="23" t="s">
        <v>946</v>
      </c>
      <c r="L12460" s="4" t="s">
        <v>47</v>
      </c>
    </row>
    <row r="12461" customFormat="false" ht="17.15" hidden="false" customHeight="false" outlineLevel="0" collapsed="false">
      <c r="A12461" s="0" t="s">
        <v>1021</v>
      </c>
      <c r="B12461" s="0" t="s">
        <v>98</v>
      </c>
      <c r="D12461" s="6" t="n">
        <f aca="false">Sens!D12439</f>
        <v>12.9359794422418</v>
      </c>
      <c r="E12461" s="6" t="n">
        <f aca="false">Sens!E12439</f>
        <v>27.8095064661409</v>
      </c>
      <c r="F12461" s="6" t="n">
        <f aca="false">Sens!F12439</f>
        <v>50.9819294352312</v>
      </c>
      <c r="G12461" s="6" t="n">
        <f aca="false">Sens!G12439</f>
        <v>76.6920436014933</v>
      </c>
      <c r="H12461" s="6" t="n">
        <f aca="false">Sens!H12439</f>
        <v>97.4495379418341</v>
      </c>
      <c r="I12461" s="6" t="n">
        <f aca="false">Sens!I12439</f>
        <v>122.083445553868</v>
      </c>
      <c r="J12461" s="6" t="n">
        <f aca="false">Sens!J12439</f>
        <v>139.249060444804</v>
      </c>
      <c r="K12461" s="6" t="n">
        <f aca="false">Sens!K12439</f>
        <v>149.995818575589</v>
      </c>
    </row>
    <row r="12462" customFormat="false" ht="17.15" hidden="false" customHeight="false" outlineLevel="0" collapsed="false">
      <c r="A12462" s="0" t="s">
        <v>1022</v>
      </c>
      <c r="B12462" s="0" t="s">
        <v>98</v>
      </c>
      <c r="D12462" s="6" t="n">
        <f aca="false">Q!L6-Sens!D12461</f>
        <v>59.6740205577583</v>
      </c>
      <c r="E12462" s="6" t="n">
        <f aca="false">Q!M6-Sens!E12461</f>
        <v>74.1284935338591</v>
      </c>
      <c r="F12462" s="6" t="n">
        <f aca="false">Q!$I$6+(Sens!F12461+Sens!E12462*(1+Sens!F12463))*(1-Q!$E$6/Q!M6)-Sens!F12461</f>
        <v>92.2699541184664</v>
      </c>
      <c r="G12462" s="6" t="n">
        <f aca="false">Sens!F12462*(1+Sens!G12463)</f>
        <v>109.630477277949</v>
      </c>
      <c r="H12462" s="6" t="n">
        <f aca="false">Sens!G12462*(1+Sens!H12463)</f>
        <v>127.293256321956</v>
      </c>
      <c r="I12462" s="6" t="n">
        <f aca="false">Sens!H12462*(1+Sens!I12463)</f>
        <v>144.360052269491</v>
      </c>
      <c r="J12462" s="6" t="n">
        <f aca="false">Sens!I12462*(1+Sens!J12463)</f>
        <v>159.811964490216</v>
      </c>
      <c r="K12462" s="6" t="n">
        <f aca="false">Sens!J12462*(1+Sens!K12463)</f>
        <v>172.596921649434</v>
      </c>
      <c r="L12462" s="12" t="s">
        <v>1023</v>
      </c>
    </row>
    <row r="12463" customFormat="false" ht="15" hidden="false" customHeight="false" outlineLevel="0" collapsed="false">
      <c r="A12463" s="1" t="s">
        <v>1024</v>
      </c>
      <c r="B12463" s="0" t="s">
        <v>168</v>
      </c>
      <c r="E12463" s="7" t="n">
        <f aca="false">Sens!E12462/Sens!D12462-1</f>
        <v>0.242223883039864</v>
      </c>
      <c r="F12463" s="7" t="n">
        <f aca="false">Sens!$E$12463+(glt_azo-Sens!$E$12463)*MIN(1,(Sens!F12420-base_fy)/n_conv)</f>
        <v>0.215186569199887</v>
      </c>
      <c r="G12463" s="7" t="n">
        <f aca="false">Sens!$E$12463+(glt_azo-Sens!$E$12463)*MIN(1,(Sens!G12420-base_fy)/n_conv)</f>
        <v>0.18814925535991</v>
      </c>
      <c r="H12463" s="7" t="n">
        <f aca="false">Sens!$E$12463+(glt_azo-Sens!$E$12463)*MIN(1,(Sens!H12420-base_fy)/n_conv)</f>
        <v>0.161111941519932</v>
      </c>
      <c r="I12463" s="7" t="n">
        <f aca="false">Sens!$E$12463+(glt_azo-Sens!$E$12463)*MIN(1,(Sens!I12420-base_fy)/n_conv)</f>
        <v>0.134074627679955</v>
      </c>
      <c r="J12463" s="7" t="n">
        <f aca="false">Sens!$E$12463+(glt_azo-Sens!$E$12463)*MIN(1,(Sens!J12420-base_fy)/n_conv)</f>
        <v>0.107037313839977</v>
      </c>
      <c r="K12463" s="7" t="n">
        <f aca="false">Sens!$E$12463+(glt_azo-Sens!$E$12463)*MIN(1,(Sens!K12420-base_fy)/n_conv)</f>
        <v>0.08</v>
      </c>
    </row>
    <row r="12464" customFormat="false" ht="15" hidden="false" customHeight="false" outlineLevel="0" collapsed="false">
      <c r="A12464" s="0" t="s">
        <v>1025</v>
      </c>
      <c r="B12464" s="0" t="s">
        <v>98</v>
      </c>
      <c r="D12464" s="6" t="n">
        <f aca="false">Sens!D12461+Sens!D12462</f>
        <v>72.61</v>
      </c>
      <c r="E12464" s="6" t="n">
        <f aca="false">Sens!E12461+Sens!E12462</f>
        <v>101.938</v>
      </c>
      <c r="F12464" s="6" t="n">
        <f aca="false">Sens!F12461+Sens!F12462</f>
        <v>143.251883553698</v>
      </c>
      <c r="G12464" s="6" t="n">
        <f aca="false">Sens!G12461+Sens!G12462</f>
        <v>186.322520879442</v>
      </c>
      <c r="H12464" s="6" t="n">
        <f aca="false">Sens!H12461+Sens!H12462</f>
        <v>224.74279426379</v>
      </c>
      <c r="I12464" s="6" t="n">
        <f aca="false">Sens!I12461+Sens!I12462</f>
        <v>266.443497823359</v>
      </c>
      <c r="J12464" s="6" t="n">
        <f aca="false">Sens!J12461+Sens!J12462</f>
        <v>299.06102493502</v>
      </c>
      <c r="K12464" s="6" t="n">
        <f aca="false">Sens!K12461+Sens!K12462</f>
        <v>322.592740225023</v>
      </c>
    </row>
    <row r="12465" customFormat="false" ht="17.15" hidden="false" customHeight="false" outlineLevel="0" collapsed="false">
      <c r="A12465" s="0" t="s">
        <v>1026</v>
      </c>
      <c r="B12465" s="1" t="s">
        <v>610</v>
      </c>
      <c r="C12465" s="30" t="n">
        <f aca="false">cop_s24</f>
        <v>1</v>
      </c>
      <c r="D12465" s="30" t="n">
        <f aca="false">cop_s25</f>
        <v>5</v>
      </c>
      <c r="E12465" s="30" t="n">
        <f aca="false">cop_s26</f>
        <v>30</v>
      </c>
      <c r="F12465" s="30" t="n">
        <f aca="false">Sens!E12465+cop_add_C</f>
        <v>40</v>
      </c>
      <c r="G12465" s="30" t="n">
        <f aca="false">Sens!F12465+cop_add_C</f>
        <v>50</v>
      </c>
      <c r="H12465" s="30" t="n">
        <f aca="false">Sens!G12465+cop_add_C</f>
        <v>60</v>
      </c>
      <c r="I12465" s="30" t="n">
        <f aca="false">Sens!H12465+cop_add_C*cop_tail</f>
        <v>65</v>
      </c>
      <c r="J12465" s="30" t="n">
        <f aca="false">Sens!I12465+cop_add_C*cop_tail</f>
        <v>70</v>
      </c>
      <c r="K12465" s="30" t="n">
        <f aca="false">Sens!J12465+cop_add_C*cop_tail</f>
        <v>75</v>
      </c>
      <c r="L12465" s="12" t="s">
        <v>1027</v>
      </c>
    </row>
    <row r="12466" customFormat="false" ht="17.15" hidden="false" customHeight="false" outlineLevel="0" collapsed="false">
      <c r="A12466" s="0" t="s">
        <v>1028</v>
      </c>
      <c r="B12466" s="0" t="s">
        <v>98</v>
      </c>
      <c r="D12466" s="6" t="n">
        <f aca="false">(Sens!C12465+Sens!D12465)/2*cop_px*12/1000</f>
        <v>0.9</v>
      </c>
      <c r="E12466" s="6" t="n">
        <f aca="false">(Sens!D12465+Sens!E12465)/2*cop_px*12/1000</f>
        <v>5.25</v>
      </c>
      <c r="F12466" s="6" t="n">
        <f aca="false">(Sens!E12465+Sens!F12465)/2*cop_px*12/1000</f>
        <v>10.5</v>
      </c>
      <c r="G12466" s="6" t="n">
        <f aca="false">(Sens!F12465+Sens!G12465)/2*cop_px*12/1000</f>
        <v>13.5</v>
      </c>
      <c r="H12466" s="6" t="n">
        <f aca="false">(Sens!G12465+Sens!H12465)/2*cop_px*12/1000</f>
        <v>16.5</v>
      </c>
      <c r="I12466" s="6" t="n">
        <f aca="false">(Sens!H12465+Sens!I12465)/2*cop_px*12/1000</f>
        <v>18.75</v>
      </c>
      <c r="J12466" s="6" t="n">
        <f aca="false">(Sens!I12465+Sens!J12465)/2*cop_px*12/1000</f>
        <v>20.25</v>
      </c>
      <c r="K12466" s="6" t="n">
        <f aca="false">(Sens!J12465+Sens!K12465)/2*cop_px*12/1000</f>
        <v>21.75</v>
      </c>
      <c r="L12466" s="1" t="s">
        <v>1029</v>
      </c>
    </row>
    <row r="12467" customFormat="false" ht="17.15" hidden="false" customHeight="false" outlineLevel="0" collapsed="false">
      <c r="A12467" s="0" t="s">
        <v>1030</v>
      </c>
      <c r="B12467" s="0" t="s">
        <v>98</v>
      </c>
      <c r="D12467" s="6" t="n">
        <f aca="false">Q!L7-Sens!D12466</f>
        <v>83.705</v>
      </c>
      <c r="E12467" s="6" t="n">
        <f aca="false">Q!M7-Sens!E12466</f>
        <v>95.049</v>
      </c>
      <c r="F12467" s="6" t="n">
        <f aca="false">Q!$I$7+(Sens!E12467*(1+Sens!F12468)+Sens!F12466)*(1-Q!$E$7/Q!M7)-Sens!F12466</f>
        <v>106.938354189776</v>
      </c>
      <c r="G12467" s="6" t="n">
        <f aca="false">Sens!F12467*(1+Sens!G12468)</f>
        <v>119.095360443801</v>
      </c>
      <c r="H12467" s="6" t="n">
        <f aca="false">Sens!G12467*(1+Sens!H12468)</f>
        <v>131.333811964563</v>
      </c>
      <c r="I12467" s="6" t="n">
        <f aca="false">Sens!H12467*(1+Sens!I12468)</f>
        <v>143.395665319381</v>
      </c>
      <c r="J12467" s="6" t="n">
        <f aca="false">Sens!I12467*(1+Sens!J12468)</f>
        <v>154.999327755573</v>
      </c>
      <c r="K12467" s="6" t="n">
        <f aca="false">Sens!J12467*(1+Sens!K12468)</f>
        <v>165.849280698463</v>
      </c>
      <c r="L12467" s="12" t="s">
        <v>1031</v>
      </c>
    </row>
    <row r="12468" customFormat="false" ht="15" hidden="false" customHeight="false" outlineLevel="0" collapsed="false">
      <c r="A12468" s="1" t="s">
        <v>1024</v>
      </c>
      <c r="B12468" s="0" t="s">
        <v>168</v>
      </c>
      <c r="E12468" s="7" t="n">
        <f aca="false">Sens!E12467/Sens!D12467-1</f>
        <v>0.135523564900544</v>
      </c>
      <c r="F12468" s="7" t="n">
        <f aca="false">Sens!$E$12468+(glt_m365b-Sens!$E$12468)*MIN(1,(Sens!F12420-base_fy)/n_conv)</f>
        <v>0.124602970750453</v>
      </c>
      <c r="G12468" s="7" t="n">
        <f aca="false">Sens!$E$12468+(glt_m365b-Sens!$E$12468)*MIN(1,(Sens!G12420-base_fy)/n_conv)</f>
        <v>0.113682376600363</v>
      </c>
      <c r="H12468" s="7" t="n">
        <f aca="false">Sens!$E$12468+(glt_m365b-Sens!$E$12468)*MIN(1,(Sens!H12420-base_fy)/n_conv)</f>
        <v>0.102761782450272</v>
      </c>
      <c r="I12468" s="7" t="n">
        <f aca="false">Sens!$E$12468+(glt_m365b-Sens!$E$12468)*MIN(1,(Sens!I12420-base_fy)/n_conv)</f>
        <v>0.0918411883001813</v>
      </c>
      <c r="J12468" s="7" t="n">
        <f aca="false">Sens!$E$12468+(glt_m365b-Sens!$E$12468)*MIN(1,(Sens!J12420-base_fy)/n_conv)</f>
        <v>0.0809205941500906</v>
      </c>
      <c r="K12468" s="7" t="n">
        <f aca="false">Sens!$E$12468+(glt_m365b-Sens!$E$12468)*MIN(1,(Sens!K12420-base_fy)/n_conv)</f>
        <v>0.07</v>
      </c>
    </row>
    <row r="12469" customFormat="false" ht="15" hidden="false" customHeight="false" outlineLevel="0" collapsed="false">
      <c r="A12469" s="0" t="s">
        <v>1032</v>
      </c>
      <c r="B12469" s="0" t="s">
        <v>98</v>
      </c>
      <c r="D12469" s="6" t="n">
        <f aca="false">Sens!D12467+Sens!D12466</f>
        <v>84.605</v>
      </c>
      <c r="E12469" s="6" t="n">
        <f aca="false">Sens!E12467+Sens!E12466</f>
        <v>100.299</v>
      </c>
      <c r="F12469" s="6" t="n">
        <f aca="false">Sens!F12467+Sens!F12466</f>
        <v>117.438354189776</v>
      </c>
      <c r="G12469" s="6" t="n">
        <f aca="false">Sens!G12467+Sens!G12466</f>
        <v>132.595360443801</v>
      </c>
      <c r="H12469" s="6" t="n">
        <f aca="false">Sens!H12467+Sens!H12466</f>
        <v>147.833811964563</v>
      </c>
      <c r="I12469" s="6" t="n">
        <f aca="false">Sens!I12467+Sens!I12466</f>
        <v>162.145665319381</v>
      </c>
      <c r="J12469" s="6" t="n">
        <f aca="false">Sens!J12467+Sens!J12466</f>
        <v>175.249327755573</v>
      </c>
      <c r="K12469" s="6" t="n">
        <f aca="false">Sens!K12467+Sens!K12466</f>
        <v>187.599280698463</v>
      </c>
    </row>
    <row r="12470" customFormat="false" ht="17.15" hidden="false" customHeight="false" outlineLevel="0" collapsed="false">
      <c r="A12470" s="0" t="s">
        <v>1033</v>
      </c>
      <c r="B12470" s="0" t="s">
        <v>98</v>
      </c>
      <c r="D12470" s="6" t="n">
        <f aca="false">Q!L8</f>
        <v>35.391</v>
      </c>
      <c r="E12470" s="6" t="n">
        <f aca="false">Q!M8</f>
        <v>37.285</v>
      </c>
      <c r="F12470" s="6" t="n">
        <f aca="false">Q!$I$8+(Q!M8-Q!$E$8)*(1+Sens!F12471)</f>
        <v>38.3851437782675</v>
      </c>
      <c r="G12470" s="6" t="n">
        <f aca="false">Sens!F12470*(1+Sens!G12471)</f>
        <v>40.0105353288615</v>
      </c>
      <c r="H12470" s="6" t="n">
        <f aca="false">Sens!G12470*(1+Sens!H12471)</f>
        <v>41.4812512033683</v>
      </c>
      <c r="I12470" s="6" t="n">
        <f aca="false">Sens!H12470*(1+Sens!I12471)</f>
        <v>42.7743107216329</v>
      </c>
      <c r="J12470" s="6" t="n">
        <f aca="false">Sens!I12470*(1+Sens!J12471)</f>
        <v>43.8687373064601</v>
      </c>
      <c r="K12470" s="6" t="n">
        <f aca="false">Sens!J12470*(1+Sens!K12471)</f>
        <v>44.7461120525893</v>
      </c>
      <c r="L12470" s="12" t="s">
        <v>1034</v>
      </c>
    </row>
    <row r="12471" customFormat="false" ht="15" hidden="false" customHeight="false" outlineLevel="0" collapsed="false">
      <c r="A12471" s="1" t="s">
        <v>1024</v>
      </c>
      <c r="B12471" s="0" t="s">
        <v>168</v>
      </c>
      <c r="E12471" s="7" t="n">
        <f aca="false">Sens!E12470/Sens!D12470-1</f>
        <v>0.0535164307309768</v>
      </c>
      <c r="F12471" s="7" t="n">
        <f aca="false">Sens!$E$12471+(glt_lic-Sens!$E$12471)*MIN(1,(Sens!F12420-base_fy)/n_conv)</f>
        <v>0.0479303589424807</v>
      </c>
      <c r="G12471" s="7" t="n">
        <f aca="false">Sens!$E$12471+(glt_lic-Sens!$E$12471)*MIN(1,(Sens!G12420-base_fy)/n_conv)</f>
        <v>0.0423442871539845</v>
      </c>
      <c r="H12471" s="7" t="n">
        <f aca="false">Sens!$E$12471+(glt_lic-Sens!$E$12471)*MIN(1,(Sens!H12420-base_fy)/n_conv)</f>
        <v>0.0367582153654884</v>
      </c>
      <c r="I12471" s="7" t="n">
        <f aca="false">Sens!$E$12471+(glt_lic-Sens!$E$12471)*MIN(1,(Sens!I12420-base_fy)/n_conv)</f>
        <v>0.0311721435769923</v>
      </c>
      <c r="J12471" s="7" t="n">
        <f aca="false">Sens!$E$12471+(glt_lic-Sens!$E$12471)*MIN(1,(Sens!J12420-base_fy)/n_conv)</f>
        <v>0.0255860717884961</v>
      </c>
      <c r="K12471" s="7" t="n">
        <f aca="false">Sens!$E$12471+(glt_lic-Sens!$E$12471)*MIN(1,(Sens!K12420-base_fy)/n_conv)</f>
        <v>0.02</v>
      </c>
    </row>
    <row r="12472" customFormat="false" ht="17.15" hidden="false" customHeight="false" outlineLevel="0" collapsed="false">
      <c r="A12472" s="0" t="s">
        <v>1035</v>
      </c>
      <c r="B12472" s="0" t="s">
        <v>98</v>
      </c>
      <c r="D12472" s="6" t="n">
        <f aca="false">Q!L9</f>
        <v>18.417</v>
      </c>
      <c r="E12472" s="6" t="n">
        <f aca="false">Q!M9</f>
        <v>20.345</v>
      </c>
      <c r="F12472" s="6" t="n">
        <f aca="false">Q!$I$9+(Q!M9-Q!$E$9)*(1+Sens!F12473)</f>
        <v>22.3161797133988</v>
      </c>
      <c r="G12472" s="6" t="n">
        <f aca="false">Sens!F12472*(1+Sens!G12473)</f>
        <v>24.3943499673233</v>
      </c>
      <c r="H12472" s="6" t="n">
        <f aca="false">Sens!G12472*(1+Sens!H12473)</f>
        <v>26.5250243109019</v>
      </c>
      <c r="I12472" s="6" t="n">
        <f aca="false">Sens!H12472*(1+Sens!I12473)</f>
        <v>28.6884573538181</v>
      </c>
      <c r="J12472" s="6" t="n">
        <f aca="false">Sens!I12472*(1+Sens!J12473)</f>
        <v>30.8624968052127</v>
      </c>
      <c r="K12472" s="6" t="n">
        <f aca="false">Sens!J12472*(1+Sens!K12473)</f>
        <v>33.0228715815776</v>
      </c>
      <c r="L12472" s="12" t="s">
        <v>1034</v>
      </c>
    </row>
    <row r="12473" customFormat="false" ht="15" hidden="false" customHeight="false" outlineLevel="0" collapsed="false">
      <c r="A12473" s="1" t="s">
        <v>1024</v>
      </c>
      <c r="B12473" s="0" t="s">
        <v>168</v>
      </c>
      <c r="E12473" s="7" t="n">
        <f aca="false">Sens!E12472/Sens!D12472-1</f>
        <v>0.104685888038225</v>
      </c>
      <c r="F12473" s="7" t="n">
        <f aca="false">Sens!$E$12473+(glt_ind-Sens!$E$12473)*MIN(1,(Sens!F12420-base_fy)/n_conv)</f>
        <v>0.0989049066985211</v>
      </c>
      <c r="G12473" s="7" t="n">
        <f aca="false">Sens!$E$12473+(glt_ind-Sens!$E$12473)*MIN(1,(Sens!G12420-base_fy)/n_conv)</f>
        <v>0.0931239253588169</v>
      </c>
      <c r="H12473" s="7" t="n">
        <f aca="false">Sens!$E$12473+(glt_ind-Sens!$E$12473)*MIN(1,(Sens!H12420-base_fy)/n_conv)</f>
        <v>0.0873429440191127</v>
      </c>
      <c r="I12473" s="7" t="n">
        <f aca="false">Sens!$E$12473+(glt_ind-Sens!$E$12473)*MIN(1,(Sens!I12420-base_fy)/n_conv)</f>
        <v>0.0815619626794085</v>
      </c>
      <c r="J12473" s="7" t="n">
        <f aca="false">Sens!$E$12473+(glt_ind-Sens!$E$12473)*MIN(1,(Sens!J12420-base_fy)/n_conv)</f>
        <v>0.0757809813397042</v>
      </c>
      <c r="K12473" s="7" t="n">
        <f aca="false">Sens!$E$12473+(glt_ind-Sens!$E$12473)*MIN(1,(Sens!K12420-base_fy)/n_conv)</f>
        <v>0.07</v>
      </c>
    </row>
    <row r="12474" customFormat="false" ht="17.15" hidden="false" customHeight="false" outlineLevel="0" collapsed="false">
      <c r="A12474" s="0" t="s">
        <v>1036</v>
      </c>
      <c r="B12474" s="0" t="s">
        <v>98</v>
      </c>
      <c r="D12474" s="6" t="n">
        <f aca="false">Q!L10</f>
        <v>7.76</v>
      </c>
      <c r="E12474" s="6" t="n">
        <f aca="false">Q!M10</f>
        <v>8.26</v>
      </c>
      <c r="F12474" s="6" t="n">
        <f aca="false">Q!$I$10+(Q!M10-Q!$E$10)*(1+Sens!F12475)</f>
        <v>8.75372082474227</v>
      </c>
      <c r="G12474" s="6" t="n">
        <f aca="false">Sens!F12474*(1+Sens!G12475)</f>
        <v>9.33399324642364</v>
      </c>
      <c r="H12474" s="6" t="n">
        <f aca="false">Sens!G12474*(1+Sens!H12475)</f>
        <v>9.96139155535851</v>
      </c>
      <c r="I12474" s="6" t="n">
        <f aca="false">Sens!H12474*(1+Sens!I12475)</f>
        <v>10.6402039077391</v>
      </c>
      <c r="J12474" s="6" t="n">
        <f aca="false">Sens!I12474*(1+Sens!J12475)</f>
        <v>11.3751458271397</v>
      </c>
      <c r="K12474" s="6" t="n">
        <f aca="false">Sens!J12474*(1+Sens!K12475)</f>
        <v>12.1714060350394</v>
      </c>
      <c r="L12474" s="12" t="s">
        <v>1034</v>
      </c>
    </row>
    <row r="12475" customFormat="false" ht="15" hidden="false" customHeight="false" outlineLevel="0" collapsed="false">
      <c r="A12475" s="1" t="s">
        <v>1024</v>
      </c>
      <c r="B12475" s="0" t="s">
        <v>168</v>
      </c>
      <c r="E12475" s="7" t="n">
        <f aca="false">Sens!E12474/Sens!D12474-1</f>
        <v>0.0644329896907216</v>
      </c>
      <c r="F12475" s="7" t="n">
        <f aca="false">Sens!$E$12475+(glt_fro-Sens!$E$12475)*MIN(1,(Sens!F12420-base_fy)/n_conv)</f>
        <v>0.065360824742268</v>
      </c>
      <c r="G12475" s="7" t="n">
        <f aca="false">Sens!$E$12475+(glt_fro-Sens!$E$12475)*MIN(1,(Sens!G12420-base_fy)/n_conv)</f>
        <v>0.0662886597938144</v>
      </c>
      <c r="H12475" s="7" t="n">
        <f aca="false">Sens!$E$12475+(glt_fro-Sens!$E$12475)*MIN(1,(Sens!H12420-base_fy)/n_conv)</f>
        <v>0.0672164948453608</v>
      </c>
      <c r="I12475" s="7" t="n">
        <f aca="false">Sens!$E$12475+(glt_fro-Sens!$E$12475)*MIN(1,(Sens!I12420-base_fy)/n_conv)</f>
        <v>0.0681443298969072</v>
      </c>
      <c r="J12475" s="7" t="n">
        <f aca="false">Sens!$E$12475+(glt_fro-Sens!$E$12475)*MIN(1,(Sens!J12420-base_fy)/n_conv)</f>
        <v>0.0690721649484536</v>
      </c>
      <c r="K12475" s="7" t="n">
        <f aca="false">Sens!$E$12475+(glt_fro-Sens!$E$12475)*MIN(1,(Sens!K12420-base_fy)/n_conv)</f>
        <v>0.07</v>
      </c>
    </row>
    <row r="12476" customFormat="false" ht="15" hidden="false" customHeight="false" outlineLevel="0" collapsed="false">
      <c r="A12476" s="0" t="s">
        <v>852</v>
      </c>
      <c r="B12476" s="0" t="s">
        <v>98</v>
      </c>
      <c r="D12476" s="6" t="n">
        <f aca="false">Sens!D12464+Sens!D12469+Sens!D12470+Sens!D12472+Sens!D12474</f>
        <v>218.783</v>
      </c>
      <c r="E12476" s="6" t="n">
        <f aca="false">Sens!E12464+Sens!E12469+Sens!E12470+Sens!E12472+Sens!E12474</f>
        <v>268.127</v>
      </c>
      <c r="F12476" s="6" t="n">
        <f aca="false">Sens!F12464+Sens!F12469+Sens!F12470+Sens!F12472+Sens!F12474</f>
        <v>330.145282059882</v>
      </c>
      <c r="G12476" s="6" t="n">
        <f aca="false">Sens!G12464+Sens!G12469+Sens!G12470+Sens!G12472+Sens!G12474</f>
        <v>392.656759865851</v>
      </c>
      <c r="H12476" s="6" t="n">
        <f aca="false">Sens!H12464+Sens!H12469+Sens!H12470+Sens!H12472+Sens!H12474</f>
        <v>450.544273297982</v>
      </c>
      <c r="I12476" s="6" t="n">
        <f aca="false">Sens!I12464+Sens!I12469+Sens!I12470+Sens!I12472+Sens!I12474</f>
        <v>510.69213512593</v>
      </c>
      <c r="J12476" s="6" t="n">
        <f aca="false">Sens!J12464+Sens!J12469+Sens!J12470+Sens!J12472+Sens!J12474</f>
        <v>560.416732629406</v>
      </c>
      <c r="K12476" s="6" t="n">
        <f aca="false">Sens!K12464+Sens!K12469+Sens!K12470+Sens!K12472+Sens!K12474</f>
        <v>600.132410592692</v>
      </c>
    </row>
    <row r="12477" customFormat="false" ht="17.15" hidden="false" customHeight="false" outlineLevel="0" collapsed="false">
      <c r="A12477" s="0" t="s">
        <v>1037</v>
      </c>
      <c r="B12477" s="0" t="s">
        <v>98</v>
      </c>
      <c r="D12477" s="6" t="n">
        <f aca="false">Q!L13</f>
        <v>22.171</v>
      </c>
      <c r="E12477" s="6" t="n">
        <f aca="false">Q!M13</f>
        <v>24.835</v>
      </c>
      <c r="F12477" s="6" t="n">
        <f aca="false">Q!$I$13+(Q!M13-Q!$E$13)*(1+Sens!F12478)</f>
        <v>27.5591895660247</v>
      </c>
      <c r="G12477" s="6" t="n">
        <f aca="false">Sens!F12477*(1+Sens!G12478)</f>
        <v>30.4098563144583</v>
      </c>
      <c r="H12477" s="6" t="n">
        <f aca="false">Sens!G12477*(1+Sens!H12478)</f>
        <v>33.3011792571777</v>
      </c>
      <c r="I12477" s="6" t="n">
        <f aca="false">Sens!H12477*(1+Sens!I12478)</f>
        <v>36.189023797112</v>
      </c>
      <c r="J12477" s="6" t="n">
        <f aca="false">Sens!I12477*(1+Sens!J12478)</f>
        <v>39.0247773769199</v>
      </c>
      <c r="K12477" s="6" t="n">
        <f aca="false">Sens!J12477*(1+Sens!K12478)</f>
        <v>41.7565117933043</v>
      </c>
      <c r="L12477" s="12" t="s">
        <v>1034</v>
      </c>
    </row>
    <row r="12478" customFormat="false" ht="15" hidden="false" customHeight="false" outlineLevel="0" collapsed="false">
      <c r="A12478" s="1" t="s">
        <v>1024</v>
      </c>
      <c r="B12478" s="0" t="s">
        <v>168</v>
      </c>
      <c r="E12478" s="7" t="n">
        <f aca="false">Sens!E12477/Sens!D12477-1</f>
        <v>0.120156961796942</v>
      </c>
      <c r="F12478" s="7" t="n">
        <f aca="false">Sens!$E$12478+(glt_srch-Sens!$E$12478)*MIN(1,(Sens!F12420-base_fy)/n_conv)</f>
        <v>0.111797468164118</v>
      </c>
      <c r="G12478" s="7" t="n">
        <f aca="false">Sens!$E$12478+(glt_srch-Sens!$E$12478)*MIN(1,(Sens!G12420-base_fy)/n_conv)</f>
        <v>0.103437974531295</v>
      </c>
      <c r="H12478" s="7" t="n">
        <f aca="false">Sens!$E$12478+(glt_srch-Sens!$E$12478)*MIN(1,(Sens!H12420-base_fy)/n_conv)</f>
        <v>0.095078480898471</v>
      </c>
      <c r="I12478" s="7" t="n">
        <f aca="false">Sens!$E$12478+(glt_srch-Sens!$E$12478)*MIN(1,(Sens!I12420-base_fy)/n_conv)</f>
        <v>0.0867189872656474</v>
      </c>
      <c r="J12478" s="7" t="n">
        <f aca="false">Sens!$E$12478+(glt_srch-Sens!$E$12478)*MIN(1,(Sens!J12420-base_fy)/n_conv)</f>
        <v>0.0783594936328237</v>
      </c>
      <c r="K12478" s="7" t="n">
        <f aca="false">Sens!$E$12478+(glt_srch-Sens!$E$12478)*MIN(1,(Sens!K12420-base_fy)/n_conv)</f>
        <v>0.07</v>
      </c>
    </row>
    <row r="12479" customFormat="false" ht="17.15" hidden="false" customHeight="false" outlineLevel="0" collapsed="false">
      <c r="A12479" s="0" t="s">
        <v>1038</v>
      </c>
      <c r="B12479" s="0" t="s">
        <v>98</v>
      </c>
      <c r="D12479" s="6" t="n">
        <f aca="false">Q!L14</f>
        <v>23.455</v>
      </c>
      <c r="E12479" s="6" t="n">
        <f aca="false">Q!M14</f>
        <v>21.79</v>
      </c>
      <c r="F12479" s="6" t="n">
        <f aca="false">Q!$I$14+(Q!M14-Q!$E$14)*(1+Sens!F12480)</f>
        <v>20.8335081041711</v>
      </c>
      <c r="G12479" s="6" t="n">
        <f aca="false">Sens!F12479*(1+Sens!G12480)</f>
        <v>20.1947944630466</v>
      </c>
      <c r="H12479" s="6" t="n">
        <f aca="false">Sens!G12479*(1+Sens!H12480)</f>
        <v>19.9828804239412</v>
      </c>
      <c r="I12479" s="6" t="n">
        <f aca="false">Sens!H12479*(1+Sens!I12480)</f>
        <v>20.1761348846602</v>
      </c>
      <c r="J12479" s="6" t="n">
        <f aca="false">Sens!I12479*(1+Sens!J12480)</f>
        <v>20.7780999691978</v>
      </c>
      <c r="K12479" s="6" t="n">
        <f aca="false">Sens!J12479*(1+Sens!K12480)</f>
        <v>21.8170049676577</v>
      </c>
      <c r="L12479" s="12" t="s">
        <v>1034</v>
      </c>
    </row>
    <row r="12480" customFormat="false" ht="15" hidden="false" customHeight="false" outlineLevel="0" collapsed="false">
      <c r="A12480" s="1" t="s">
        <v>1024</v>
      </c>
      <c r="B12480" s="0" t="s">
        <v>168</v>
      </c>
      <c r="E12480" s="7" t="n">
        <f aca="false">Sens!E12479/Sens!D12479-1</f>
        <v>-0.0709869963760392</v>
      </c>
      <c r="F12480" s="7" t="n">
        <f aca="false">Sens!$E$12480+(glt_xbox_hi-Sens!$E$12480)*MIN(1,(Sens!F12420-base_fy)/n_conv)</f>
        <v>-0.0508224969800327</v>
      </c>
      <c r="G12480" s="7" t="n">
        <f aca="false">Sens!$E$12480+(glt_xbox_hi-Sens!$E$12480)*MIN(1,(Sens!G12420-base_fy)/n_conv)</f>
        <v>-0.0306579975840262</v>
      </c>
      <c r="H12480" s="7" t="n">
        <f aca="false">Sens!$E$12480+(glt_xbox_hi-Sens!$E$12480)*MIN(1,(Sens!H12420-base_fy)/n_conv)</f>
        <v>-0.0104934981880196</v>
      </c>
      <c r="I12480" s="7" t="n">
        <f aca="false">Sens!$E$12480+(glt_xbox_hi-Sens!$E$12480)*MIN(1,(Sens!I12420-base_fy)/n_conv)</f>
        <v>0.00967100120798692</v>
      </c>
      <c r="J12480" s="7" t="n">
        <f aca="false">Sens!$E$12480+(glt_xbox_hi-Sens!$E$12480)*MIN(1,(Sens!J12420-base_fy)/n_conv)</f>
        <v>0.0298355006039935</v>
      </c>
      <c r="K12480" s="7" t="n">
        <f aca="false">Sens!$E$12480+(glt_xbox_hi-Sens!$E$12480)*MIN(1,(Sens!K12420-base_fy)/n_conv)</f>
        <v>0.05</v>
      </c>
    </row>
    <row r="12481" customFormat="false" ht="17.15" hidden="false" customHeight="false" outlineLevel="0" collapsed="false">
      <c r="A12481" s="0" t="s">
        <v>1039</v>
      </c>
      <c r="B12481" s="0" t="s">
        <v>98</v>
      </c>
      <c r="D12481" s="6" t="n">
        <f aca="false">Q!L15</f>
        <v>17.315</v>
      </c>
      <c r="E12481" s="6" t="n">
        <f aca="false">Q!M15</f>
        <v>17.087</v>
      </c>
      <c r="F12481" s="6" t="n">
        <f aca="false">Q!$I$15+(Q!M15-Q!$E$15)*(1+Sens!F12482)</f>
        <v>15.9912273250553</v>
      </c>
      <c r="G12481" s="6" t="n">
        <f aca="false">Sens!F12481*(1+Sens!G12482)</f>
        <v>15.9574562664827</v>
      </c>
      <c r="H12481" s="6" t="n">
        <f aca="false">Sens!G12481*(1+Sens!H12482)</f>
        <v>16.0119687434196</v>
      </c>
      <c r="I12481" s="6" t="n">
        <f aca="false">Sens!H12481*(1+Sens!I12482)</f>
        <v>16.1551810001948</v>
      </c>
      <c r="J12481" s="6" t="n">
        <f aca="false">Sens!I12481*(1+Sens!J12482)</f>
        <v>16.3889793892005</v>
      </c>
      <c r="K12481" s="6" t="n">
        <f aca="false">Sens!J12481*(1+Sens!K12482)</f>
        <v>16.7167589769845</v>
      </c>
      <c r="L12481" s="12" t="s">
        <v>1034</v>
      </c>
    </row>
    <row r="12482" customFormat="false" ht="15" hidden="false" customHeight="false" outlineLevel="0" collapsed="false">
      <c r="A12482" s="1" t="s">
        <v>1024</v>
      </c>
      <c r="B12482" s="0" t="s">
        <v>168</v>
      </c>
      <c r="E12482" s="7" t="n">
        <f aca="false">Sens!E12481/Sens!D12481-1</f>
        <v>-0.0131677736066995</v>
      </c>
      <c r="F12482" s="7" t="n">
        <f aca="false">Sens!$E$12482+(glt_win-Sens!$E$12482)*MIN(1,(Sens!F12420-base_fy)/n_conv)</f>
        <v>-0.00763981133891627</v>
      </c>
      <c r="G12482" s="7" t="n">
        <f aca="false">Sens!$E$12482+(glt_win-Sens!$E$12482)*MIN(1,(Sens!G12420-base_fy)/n_conv)</f>
        <v>-0.00211184907113301</v>
      </c>
      <c r="H12482" s="7" t="n">
        <f aca="false">Sens!$E$12482+(glt_win-Sens!$E$12482)*MIN(1,(Sens!H12420-base_fy)/n_conv)</f>
        <v>0.00341611319665024</v>
      </c>
      <c r="I12482" s="7" t="n">
        <f aca="false">Sens!$E$12482+(glt_win-Sens!$E$12482)*MIN(1,(Sens!I12420-base_fy)/n_conv)</f>
        <v>0.00894407546443349</v>
      </c>
      <c r="J12482" s="7" t="n">
        <f aca="false">Sens!$E$12482+(glt_win-Sens!$E$12482)*MIN(1,(Sens!J12420-base_fy)/n_conv)</f>
        <v>0.0144720377322168</v>
      </c>
      <c r="K12482" s="7" t="n">
        <f aca="false">Sens!$E$12482+(glt_win-Sens!$E$12482)*MIN(1,(Sens!K12420-base_fy)/n_conv)</f>
        <v>0.02</v>
      </c>
    </row>
    <row r="12483" customFormat="false" ht="15" hidden="false" customHeight="false" outlineLevel="0" collapsed="false">
      <c r="A12483" s="0" t="s">
        <v>866</v>
      </c>
      <c r="B12483" s="0" t="s">
        <v>98</v>
      </c>
      <c r="D12483" s="6" t="n">
        <f aca="false">Sens!D12477+Sens!D12479+Sens!D12481</f>
        <v>62.941</v>
      </c>
      <c r="E12483" s="6" t="n">
        <f aca="false">Sens!E12477+Sens!E12479+Sens!E12481</f>
        <v>63.712</v>
      </c>
      <c r="F12483" s="6" t="n">
        <f aca="false">Sens!F12477+Sens!F12479+Sens!F12481</f>
        <v>64.3839249952511</v>
      </c>
      <c r="G12483" s="6" t="n">
        <f aca="false">Sens!G12477+Sens!G12479+Sens!G12481</f>
        <v>66.5621070439876</v>
      </c>
      <c r="H12483" s="6" t="n">
        <f aca="false">Sens!H12477+Sens!H12479+Sens!H12481</f>
        <v>69.2960284245385</v>
      </c>
      <c r="I12483" s="6" t="n">
        <f aca="false">Sens!I12477+Sens!I12479+Sens!I12481</f>
        <v>72.520339681967</v>
      </c>
      <c r="J12483" s="6" t="n">
        <f aca="false">Sens!J12477+Sens!J12479+Sens!J12481</f>
        <v>76.1918567353181</v>
      </c>
      <c r="K12483" s="6" t="n">
        <f aca="false">Sens!K12477+Sens!K12479+Sens!K12481</f>
        <v>80.2902757379464</v>
      </c>
    </row>
    <row r="12484" customFormat="false" ht="15" hidden="false" customHeight="false" outlineLevel="0" collapsed="false">
      <c r="A12484" s="1" t="s">
        <v>1040</v>
      </c>
      <c r="B12484" s="0" t="s">
        <v>98</v>
      </c>
      <c r="D12484" s="6" t="n">
        <f aca="false">Sens!D12476+Sens!D12483</f>
        <v>281.724</v>
      </c>
      <c r="E12484" s="6" t="n">
        <f aca="false">Sens!E12476+Sens!E12483</f>
        <v>331.839</v>
      </c>
      <c r="F12484" s="6" t="n">
        <f aca="false">Sens!F12476+Sens!F12483</f>
        <v>394.529207055133</v>
      </c>
      <c r="G12484" s="6" t="n">
        <f aca="false">Sens!G12476+Sens!G12483</f>
        <v>459.218866909839</v>
      </c>
      <c r="H12484" s="6" t="n">
        <f aca="false">Sens!H12476+Sens!H12483</f>
        <v>519.84030172252</v>
      </c>
      <c r="I12484" s="6" t="n">
        <f aca="false">Sens!I12476+Sens!I12483</f>
        <v>583.212474807897</v>
      </c>
      <c r="J12484" s="6" t="n">
        <f aca="false">Sens!J12476+Sens!J12483</f>
        <v>636.608589364724</v>
      </c>
      <c r="K12484" s="6" t="n">
        <f aca="false">Sens!K12476+Sens!K12483</f>
        <v>680.422686330639</v>
      </c>
    </row>
    <row r="12485" customFormat="false" ht="15" hidden="false" customHeight="false" outlineLevel="0" collapsed="false">
      <c r="A12485" s="26" t="s">
        <v>1041</v>
      </c>
      <c r="B12485" s="31" t="s">
        <v>98</v>
      </c>
      <c r="C12485" s="31"/>
      <c r="D12485" s="27" t="n">
        <f aca="false">(Sens!D12464+Sens!D12469+Sens!D12470+Sens!D12472+Sens!D12474-Sens!D12476)+(Sens!D12477+Sens!D12479+Sens!D12481-Sens!D12483)+(Sens!D12476-Q!L5)+(Sens!D12483-Q!L12)+(Sens!D12464-Q!L6)+(Sens!D12469-Q!L7)</f>
        <v>0</v>
      </c>
      <c r="E12485" s="27" t="n">
        <f aca="false">(Sens!E12464+Sens!E12469+Sens!E12470+Sens!E12472+Sens!E12474-Sens!E12476)+(Sens!E12477+Sens!E12479+Sens!E12481-Sens!E12483)+(Sens!E12476-Q!M5)+(Sens!E12483-Q!M12)+(Sens!E12464-Q!M6)+(Sens!E12469-Q!M7)</f>
        <v>0</v>
      </c>
      <c r="F12485" s="27" t="n">
        <f aca="false">(Sens!F12464+Sens!F12469+Sens!F12470+Sens!F12472+Sens!F12474-Sens!F12476)+(Sens!F12477+Sens!F12479+Sens!F12481-Sens!F12483)</f>
        <v>0</v>
      </c>
      <c r="G12485" s="27" t="n">
        <f aca="false">(Sens!G12464+Sens!G12469+Sens!G12470+Sens!G12472+Sens!G12474-Sens!G12476)+(Sens!G12477+Sens!G12479+Sens!G12481-Sens!G12483)</f>
        <v>0</v>
      </c>
      <c r="H12485" s="27" t="n">
        <f aca="false">(Sens!H12464+Sens!H12469+Sens!H12470+Sens!H12472+Sens!H12474-Sens!H12476)+(Sens!H12477+Sens!H12479+Sens!H12481-Sens!H12483)</f>
        <v>0</v>
      </c>
      <c r="I12485" s="27" t="n">
        <f aca="false">(Sens!I12464+Sens!I12469+Sens!I12470+Sens!I12472+Sens!I12474-Sens!I12476)+(Sens!I12477+Sens!I12479+Sens!I12481-Sens!I12483)</f>
        <v>0</v>
      </c>
      <c r="J12485" s="27" t="n">
        <f aca="false">(Sens!J12464+Sens!J12469+Sens!J12470+Sens!J12472+Sens!J12474-Sens!J12476)+(Sens!J12477+Sens!J12479+Sens!J12481-Sens!J12483)</f>
        <v>0</v>
      </c>
      <c r="K12485" s="27" t="n">
        <f aca="false">(Sens!K12464+Sens!K12469+Sens!K12470+Sens!K12472+Sens!K12474-Sens!K12476)+(Sens!K12477+Sens!K12479+Sens!K12481-Sens!K12483)</f>
        <v>0</v>
      </c>
    </row>
    <row r="12486" customFormat="false" ht="17.15" hidden="false" customHeight="false" outlineLevel="0" collapsed="false">
      <c r="A12486" s="3" t="s">
        <v>1792</v>
      </c>
    </row>
    <row r="12487" customFormat="false" ht="15" hidden="false" customHeight="false" outlineLevel="0" collapsed="false">
      <c r="A12487" s="4" t="s">
        <v>43</v>
      </c>
      <c r="B12487" s="4" t="s">
        <v>65</v>
      </c>
      <c r="C12487" s="23" t="s">
        <v>938</v>
      </c>
      <c r="D12487" s="23" t="s">
        <v>939</v>
      </c>
      <c r="E12487" s="23" t="s">
        <v>940</v>
      </c>
      <c r="F12487" s="23" t="s">
        <v>941</v>
      </c>
      <c r="G12487" s="23" t="s">
        <v>942</v>
      </c>
      <c r="H12487" s="23" t="s">
        <v>943</v>
      </c>
      <c r="I12487" s="23" t="s">
        <v>944</v>
      </c>
      <c r="J12487" s="23" t="s">
        <v>945</v>
      </c>
      <c r="K12487" s="23" t="s">
        <v>946</v>
      </c>
      <c r="L12487" s="4" t="s">
        <v>47</v>
      </c>
    </row>
    <row r="12488" customFormat="false" ht="15" hidden="false" customHeight="false" outlineLevel="0" collapsed="false">
      <c r="A12488" s="0" t="s">
        <v>1025</v>
      </c>
      <c r="B12488" s="0" t="s">
        <v>98</v>
      </c>
      <c r="D12488" s="6" t="n">
        <f aca="false">Sens!D12464</f>
        <v>72.61</v>
      </c>
      <c r="E12488" s="6" t="n">
        <f aca="false">Sens!E12464</f>
        <v>101.938</v>
      </c>
      <c r="F12488" s="6" t="n">
        <f aca="false">Sens!F12464</f>
        <v>143.251883553698</v>
      </c>
      <c r="G12488" s="6" t="n">
        <f aca="false">Sens!G12464</f>
        <v>186.322520879442</v>
      </c>
      <c r="H12488" s="6" t="n">
        <f aca="false">Sens!H12464</f>
        <v>224.74279426379</v>
      </c>
      <c r="I12488" s="6" t="n">
        <f aca="false">Sens!I12464</f>
        <v>266.443497823359</v>
      </c>
      <c r="J12488" s="6" t="n">
        <f aca="false">Sens!J12464</f>
        <v>299.06102493502</v>
      </c>
      <c r="K12488" s="6" t="n">
        <f aca="false">Sens!K12464</f>
        <v>322.592740225023</v>
      </c>
    </row>
    <row r="12489" customFormat="false" ht="17.15" hidden="false" customHeight="false" outlineLevel="0" collapsed="false">
      <c r="A12489" s="0" t="s">
        <v>1021</v>
      </c>
      <c r="B12489" s="0" t="s">
        <v>98</v>
      </c>
      <c r="D12489" s="6" t="n">
        <f aca="false">Sens!D12461</f>
        <v>12.9359794422418</v>
      </c>
      <c r="E12489" s="6" t="n">
        <f aca="false">Sens!E12461</f>
        <v>27.8095064661409</v>
      </c>
      <c r="F12489" s="6" t="n">
        <f aca="false">Sens!F12461</f>
        <v>50.9819294352312</v>
      </c>
      <c r="G12489" s="6" t="n">
        <f aca="false">Sens!G12461</f>
        <v>76.6920436014933</v>
      </c>
      <c r="H12489" s="6" t="n">
        <f aca="false">Sens!H12461</f>
        <v>97.4495379418341</v>
      </c>
      <c r="I12489" s="6" t="n">
        <f aca="false">Sens!I12461</f>
        <v>122.083445553868</v>
      </c>
      <c r="J12489" s="6" t="n">
        <f aca="false">Sens!J12461</f>
        <v>139.249060444804</v>
      </c>
      <c r="K12489" s="6" t="n">
        <f aca="false">Sens!K12461</f>
        <v>149.995818575589</v>
      </c>
    </row>
    <row r="12490" customFormat="false" ht="17.15" hidden="false" customHeight="false" outlineLevel="0" collapsed="false">
      <c r="A12490" s="0" t="s">
        <v>1052</v>
      </c>
      <c r="B12490" s="0" t="s">
        <v>98</v>
      </c>
      <c r="D12490" s="6" t="n">
        <f aca="false">Sens!D12462</f>
        <v>59.6740205577583</v>
      </c>
      <c r="E12490" s="6" t="n">
        <f aca="false">Sens!E12462</f>
        <v>74.1284935338591</v>
      </c>
      <c r="F12490" s="6" t="n">
        <f aca="false">Sens!F12462</f>
        <v>92.2699541184664</v>
      </c>
      <c r="G12490" s="6" t="n">
        <f aca="false">Sens!G12462</f>
        <v>109.630477277949</v>
      </c>
      <c r="H12490" s="6" t="n">
        <f aca="false">Sens!H12462</f>
        <v>127.293256321956</v>
      </c>
      <c r="I12490" s="6" t="n">
        <f aca="false">Sens!I12462</f>
        <v>144.360052269491</v>
      </c>
      <c r="J12490" s="6" t="n">
        <f aca="false">Sens!J12462</f>
        <v>159.811964490216</v>
      </c>
      <c r="K12490" s="6" t="n">
        <f aca="false">Sens!K12462</f>
        <v>172.596921649434</v>
      </c>
    </row>
    <row r="12491" customFormat="false" ht="15" hidden="false" customHeight="false" outlineLevel="0" collapsed="false">
      <c r="A12491" s="0" t="s">
        <v>1032</v>
      </c>
      <c r="B12491" s="0" t="s">
        <v>98</v>
      </c>
      <c r="D12491" s="6" t="n">
        <f aca="false">Sens!D12469</f>
        <v>84.605</v>
      </c>
      <c r="E12491" s="6" t="n">
        <f aca="false">Sens!E12469</f>
        <v>100.299</v>
      </c>
      <c r="F12491" s="6" t="n">
        <f aca="false">Sens!F12469</f>
        <v>117.438354189776</v>
      </c>
      <c r="G12491" s="6" t="n">
        <f aca="false">Sens!G12469</f>
        <v>132.595360443801</v>
      </c>
      <c r="H12491" s="6" t="n">
        <f aca="false">Sens!H12469</f>
        <v>147.833811964563</v>
      </c>
      <c r="I12491" s="6" t="n">
        <f aca="false">Sens!I12469</f>
        <v>162.145665319381</v>
      </c>
      <c r="J12491" s="6" t="n">
        <f aca="false">Sens!J12469</f>
        <v>175.249327755573</v>
      </c>
      <c r="K12491" s="6" t="n">
        <f aca="false">Sens!K12469</f>
        <v>187.599280698463</v>
      </c>
    </row>
    <row r="12492" customFormat="false" ht="17.15" hidden="false" customHeight="false" outlineLevel="0" collapsed="false">
      <c r="A12492" s="0" t="s">
        <v>1053</v>
      </c>
      <c r="B12492" s="0" t="s">
        <v>98</v>
      </c>
      <c r="D12492" s="6" t="n">
        <f aca="false">Sens!D12467</f>
        <v>83.705</v>
      </c>
      <c r="E12492" s="6" t="n">
        <f aca="false">Sens!E12467</f>
        <v>95.049</v>
      </c>
      <c r="F12492" s="6" t="n">
        <f aca="false">Sens!F12467</f>
        <v>106.938354189776</v>
      </c>
      <c r="G12492" s="6" t="n">
        <f aca="false">Sens!G12467</f>
        <v>119.095360443801</v>
      </c>
      <c r="H12492" s="6" t="n">
        <f aca="false">Sens!H12467</f>
        <v>131.333811964563</v>
      </c>
      <c r="I12492" s="6" t="n">
        <f aca="false">Sens!I12467</f>
        <v>143.395665319381</v>
      </c>
      <c r="J12492" s="6" t="n">
        <f aca="false">Sens!J12467</f>
        <v>154.999327755573</v>
      </c>
      <c r="K12492" s="6" t="n">
        <f aca="false">Sens!K12467</f>
        <v>165.849280698463</v>
      </c>
    </row>
    <row r="12493" customFormat="false" ht="17.15" hidden="false" customHeight="false" outlineLevel="0" collapsed="false">
      <c r="A12493" s="0" t="s">
        <v>1054</v>
      </c>
      <c r="B12493" s="0" t="s">
        <v>98</v>
      </c>
      <c r="D12493" s="6" t="n">
        <f aca="false">Sens!D12466</f>
        <v>0.9</v>
      </c>
      <c r="E12493" s="6" t="n">
        <f aca="false">Sens!E12466</f>
        <v>5.25</v>
      </c>
      <c r="F12493" s="6" t="n">
        <f aca="false">Sens!F12466</f>
        <v>10.5</v>
      </c>
      <c r="G12493" s="6" t="n">
        <f aca="false">Sens!G12466</f>
        <v>13.5</v>
      </c>
      <c r="H12493" s="6" t="n">
        <f aca="false">Sens!H12466</f>
        <v>16.5</v>
      </c>
      <c r="I12493" s="6" t="n">
        <f aca="false">Sens!I12466</f>
        <v>18.75</v>
      </c>
      <c r="J12493" s="6" t="n">
        <f aca="false">Sens!J12466</f>
        <v>20.25</v>
      </c>
      <c r="K12493" s="6" t="n">
        <f aca="false">Sens!K12466</f>
        <v>21.75</v>
      </c>
    </row>
    <row r="12494" customFormat="false" ht="15" hidden="false" customHeight="false" outlineLevel="0" collapsed="false">
      <c r="A12494" s="0" t="s">
        <v>1033</v>
      </c>
      <c r="B12494" s="0" t="s">
        <v>98</v>
      </c>
      <c r="D12494" s="6" t="n">
        <f aca="false">Sens!D12470</f>
        <v>35.391</v>
      </c>
      <c r="E12494" s="6" t="n">
        <f aca="false">Sens!E12470</f>
        <v>37.285</v>
      </c>
      <c r="F12494" s="6" t="n">
        <f aca="false">Sens!F12470</f>
        <v>38.3851437782675</v>
      </c>
      <c r="G12494" s="6" t="n">
        <f aca="false">Sens!G12470</f>
        <v>40.0105353288615</v>
      </c>
      <c r="H12494" s="6" t="n">
        <f aca="false">Sens!H12470</f>
        <v>41.4812512033683</v>
      </c>
      <c r="I12494" s="6" t="n">
        <f aca="false">Sens!I12470</f>
        <v>42.7743107216329</v>
      </c>
      <c r="J12494" s="6" t="n">
        <f aca="false">Sens!J12470</f>
        <v>43.8687373064601</v>
      </c>
      <c r="K12494" s="6" t="n">
        <f aca="false">Sens!K12470</f>
        <v>44.7461120525893</v>
      </c>
    </row>
    <row r="12495" customFormat="false" ht="15" hidden="false" customHeight="false" outlineLevel="0" collapsed="false">
      <c r="A12495" s="0" t="s">
        <v>1035</v>
      </c>
      <c r="B12495" s="0" t="s">
        <v>98</v>
      </c>
      <c r="D12495" s="6" t="n">
        <f aca="false">Sens!D12472</f>
        <v>18.417</v>
      </c>
      <c r="E12495" s="6" t="n">
        <f aca="false">Sens!E12472</f>
        <v>20.345</v>
      </c>
      <c r="F12495" s="6" t="n">
        <f aca="false">Sens!F12472</f>
        <v>22.3161797133988</v>
      </c>
      <c r="G12495" s="6" t="n">
        <f aca="false">Sens!G12472</f>
        <v>24.3943499673233</v>
      </c>
      <c r="H12495" s="6" t="n">
        <f aca="false">Sens!H12472</f>
        <v>26.5250243109019</v>
      </c>
      <c r="I12495" s="6" t="n">
        <f aca="false">Sens!I12472</f>
        <v>28.6884573538181</v>
      </c>
      <c r="J12495" s="6" t="n">
        <f aca="false">Sens!J12472</f>
        <v>30.8624968052127</v>
      </c>
      <c r="K12495" s="6" t="n">
        <f aca="false">Sens!K12472</f>
        <v>33.0228715815776</v>
      </c>
    </row>
    <row r="12496" customFormat="false" ht="15" hidden="false" customHeight="false" outlineLevel="0" collapsed="false">
      <c r="A12496" s="0" t="s">
        <v>1036</v>
      </c>
      <c r="B12496" s="0" t="s">
        <v>98</v>
      </c>
      <c r="D12496" s="6" t="n">
        <f aca="false">Sens!D12474</f>
        <v>7.76</v>
      </c>
      <c r="E12496" s="6" t="n">
        <f aca="false">Sens!E12474</f>
        <v>8.26</v>
      </c>
      <c r="F12496" s="6" t="n">
        <f aca="false">Sens!F12474</f>
        <v>8.75372082474227</v>
      </c>
      <c r="G12496" s="6" t="n">
        <f aca="false">Sens!G12474</f>
        <v>9.33399324642364</v>
      </c>
      <c r="H12496" s="6" t="n">
        <f aca="false">Sens!H12474</f>
        <v>9.96139155535851</v>
      </c>
      <c r="I12496" s="6" t="n">
        <f aca="false">Sens!I12474</f>
        <v>10.6402039077391</v>
      </c>
      <c r="J12496" s="6" t="n">
        <f aca="false">Sens!J12474</f>
        <v>11.3751458271397</v>
      </c>
      <c r="K12496" s="6" t="n">
        <f aca="false">Sens!K12474</f>
        <v>12.1714060350394</v>
      </c>
    </row>
    <row r="12497" customFormat="false" ht="15" hidden="false" customHeight="false" outlineLevel="0" collapsed="false">
      <c r="A12497" s="0" t="s">
        <v>852</v>
      </c>
      <c r="B12497" s="0" t="s">
        <v>98</v>
      </c>
      <c r="D12497" s="6" t="n">
        <f aca="false">Sens!D12476</f>
        <v>218.783</v>
      </c>
      <c r="E12497" s="6" t="n">
        <f aca="false">Sens!E12476</f>
        <v>268.127</v>
      </c>
      <c r="F12497" s="6" t="n">
        <f aca="false">Sens!F12476</f>
        <v>330.145282059882</v>
      </c>
      <c r="G12497" s="6" t="n">
        <f aca="false">Sens!G12476</f>
        <v>392.656759865851</v>
      </c>
      <c r="H12497" s="6" t="n">
        <f aca="false">Sens!H12476</f>
        <v>450.544273297982</v>
      </c>
      <c r="I12497" s="6" t="n">
        <f aca="false">Sens!I12476</f>
        <v>510.69213512593</v>
      </c>
      <c r="J12497" s="6" t="n">
        <f aca="false">Sens!J12476</f>
        <v>560.416732629406</v>
      </c>
      <c r="K12497" s="6" t="n">
        <f aca="false">Sens!K12476</f>
        <v>600.132410592692</v>
      </c>
    </row>
    <row r="12498" customFormat="false" ht="15" hidden="false" customHeight="false" outlineLevel="0" collapsed="false">
      <c r="A12498" s="0" t="s">
        <v>1037</v>
      </c>
      <c r="B12498" s="0" t="s">
        <v>98</v>
      </c>
      <c r="D12498" s="6" t="n">
        <f aca="false">Sens!D12477</f>
        <v>22.171</v>
      </c>
      <c r="E12498" s="6" t="n">
        <f aca="false">Sens!E12477</f>
        <v>24.835</v>
      </c>
      <c r="F12498" s="6" t="n">
        <f aca="false">Sens!F12477</f>
        <v>27.5591895660247</v>
      </c>
      <c r="G12498" s="6" t="n">
        <f aca="false">Sens!G12477</f>
        <v>30.4098563144583</v>
      </c>
      <c r="H12498" s="6" t="n">
        <f aca="false">Sens!H12477</f>
        <v>33.3011792571777</v>
      </c>
      <c r="I12498" s="6" t="n">
        <f aca="false">Sens!I12477</f>
        <v>36.189023797112</v>
      </c>
      <c r="J12498" s="6" t="n">
        <f aca="false">Sens!J12477</f>
        <v>39.0247773769199</v>
      </c>
      <c r="K12498" s="6" t="n">
        <f aca="false">Sens!K12477</f>
        <v>41.7565117933043</v>
      </c>
    </row>
    <row r="12499" customFormat="false" ht="15" hidden="false" customHeight="false" outlineLevel="0" collapsed="false">
      <c r="A12499" s="0" t="s">
        <v>1038</v>
      </c>
      <c r="B12499" s="0" t="s">
        <v>98</v>
      </c>
      <c r="D12499" s="6" t="n">
        <f aca="false">Sens!D12479</f>
        <v>23.455</v>
      </c>
      <c r="E12499" s="6" t="n">
        <f aca="false">Sens!E12479</f>
        <v>21.79</v>
      </c>
      <c r="F12499" s="6" t="n">
        <f aca="false">Sens!F12479</f>
        <v>20.8335081041711</v>
      </c>
      <c r="G12499" s="6" t="n">
        <f aca="false">Sens!G12479</f>
        <v>20.1947944630466</v>
      </c>
      <c r="H12499" s="6" t="n">
        <f aca="false">Sens!H12479</f>
        <v>19.9828804239412</v>
      </c>
      <c r="I12499" s="6" t="n">
        <f aca="false">Sens!I12479</f>
        <v>20.1761348846602</v>
      </c>
      <c r="J12499" s="6" t="n">
        <f aca="false">Sens!J12479</f>
        <v>20.7780999691978</v>
      </c>
      <c r="K12499" s="6" t="n">
        <f aca="false">Sens!K12479</f>
        <v>21.8170049676577</v>
      </c>
    </row>
    <row r="12500" customFormat="false" ht="15" hidden="false" customHeight="false" outlineLevel="0" collapsed="false">
      <c r="A12500" s="0" t="s">
        <v>1039</v>
      </c>
      <c r="B12500" s="0" t="s">
        <v>98</v>
      </c>
      <c r="D12500" s="6" t="n">
        <f aca="false">Sens!D12481</f>
        <v>17.315</v>
      </c>
      <c r="E12500" s="6" t="n">
        <f aca="false">Sens!E12481</f>
        <v>17.087</v>
      </c>
      <c r="F12500" s="6" t="n">
        <f aca="false">Sens!F12481</f>
        <v>15.9912273250553</v>
      </c>
      <c r="G12500" s="6" t="n">
        <f aca="false">Sens!G12481</f>
        <v>15.9574562664827</v>
      </c>
      <c r="H12500" s="6" t="n">
        <f aca="false">Sens!H12481</f>
        <v>16.0119687434196</v>
      </c>
      <c r="I12500" s="6" t="n">
        <f aca="false">Sens!I12481</f>
        <v>16.1551810001948</v>
      </c>
      <c r="J12500" s="6" t="n">
        <f aca="false">Sens!J12481</f>
        <v>16.3889793892005</v>
      </c>
      <c r="K12500" s="6" t="n">
        <f aca="false">Sens!K12481</f>
        <v>16.7167589769845</v>
      </c>
    </row>
    <row r="12501" customFormat="false" ht="15" hidden="false" customHeight="false" outlineLevel="0" collapsed="false">
      <c r="A12501" s="0" t="s">
        <v>866</v>
      </c>
      <c r="B12501" s="0" t="s">
        <v>98</v>
      </c>
      <c r="D12501" s="6" t="n">
        <f aca="false">Sens!D12483</f>
        <v>62.941</v>
      </c>
      <c r="E12501" s="6" t="n">
        <f aca="false">Sens!E12483</f>
        <v>63.712</v>
      </c>
      <c r="F12501" s="6" t="n">
        <f aca="false">Sens!F12483</f>
        <v>64.3839249952511</v>
      </c>
      <c r="G12501" s="6" t="n">
        <f aca="false">Sens!G12483</f>
        <v>66.5621070439876</v>
      </c>
      <c r="H12501" s="6" t="n">
        <f aca="false">Sens!H12483</f>
        <v>69.2960284245385</v>
      </c>
      <c r="I12501" s="6" t="n">
        <f aca="false">Sens!I12483</f>
        <v>72.520339681967</v>
      </c>
      <c r="J12501" s="6" t="n">
        <f aca="false">Sens!J12483</f>
        <v>76.1918567353181</v>
      </c>
      <c r="K12501" s="6" t="n">
        <f aca="false">Sens!K12483</f>
        <v>80.2902757379464</v>
      </c>
    </row>
    <row r="12502" customFormat="false" ht="15" hidden="false" customHeight="false" outlineLevel="0" collapsed="false">
      <c r="A12502" s="1" t="s">
        <v>1055</v>
      </c>
      <c r="B12502" s="0" t="s">
        <v>98</v>
      </c>
      <c r="D12502" s="6" t="n">
        <f aca="false">Sens!D12484</f>
        <v>281.724</v>
      </c>
      <c r="E12502" s="6" t="n">
        <f aca="false">Sens!E12484</f>
        <v>331.839</v>
      </c>
      <c r="F12502" s="6" t="n">
        <f aca="false">Sens!F12484</f>
        <v>394.529207055133</v>
      </c>
      <c r="G12502" s="6" t="n">
        <f aca="false">Sens!G12484</f>
        <v>459.218866909839</v>
      </c>
      <c r="H12502" s="6" t="n">
        <f aca="false">Sens!H12484</f>
        <v>519.84030172252</v>
      </c>
      <c r="I12502" s="6" t="n">
        <f aca="false">Sens!I12484</f>
        <v>583.212474807897</v>
      </c>
      <c r="J12502" s="6" t="n">
        <f aca="false">Sens!J12484</f>
        <v>636.608589364724</v>
      </c>
      <c r="K12502" s="6" t="n">
        <f aca="false">Sens!K12484</f>
        <v>680.422686330639</v>
      </c>
    </row>
    <row r="12503" customFormat="false" ht="15" hidden="false" customHeight="false" outlineLevel="0" collapsed="false">
      <c r="A12503" s="1" t="s">
        <v>1056</v>
      </c>
      <c r="B12503" s="0" t="s">
        <v>168</v>
      </c>
      <c r="E12503" s="7" t="n">
        <f aca="false">Sens!E12502/Sens!D12502-1</f>
        <v>0.177886867998467</v>
      </c>
      <c r="F12503" s="7" t="n">
        <f aca="false">Sens!F12502/Sens!E12502-1</f>
        <v>0.188917538490452</v>
      </c>
      <c r="G12503" s="7" t="n">
        <f aca="false">Sens!G12502/Sens!F12502-1</f>
        <v>0.163966719568282</v>
      </c>
      <c r="H12503" s="7" t="n">
        <f aca="false">Sens!H12502/Sens!G12502-1</f>
        <v>0.132009895892592</v>
      </c>
      <c r="I12503" s="7" t="n">
        <f aca="false">Sens!I12502/Sens!H12502-1</f>
        <v>0.121907002737936</v>
      </c>
      <c r="J12503" s="7" t="n">
        <f aca="false">Sens!J12502/Sens!I12502-1</f>
        <v>0.0915551653356088</v>
      </c>
      <c r="K12503" s="7" t="n">
        <f aca="false">Sens!K12502/Sens!J12502-1</f>
        <v>0.0688242315574745</v>
      </c>
    </row>
    <row r="12504" customFormat="false" ht="17.15" hidden="false" customHeight="false" outlineLevel="0" collapsed="false">
      <c r="A12504" s="26" t="s">
        <v>1057</v>
      </c>
      <c r="B12504" s="31" t="s">
        <v>98</v>
      </c>
      <c r="C12504" s="31"/>
      <c r="D12504" s="27" t="n">
        <f aca="false">(Sens!D12497+Sens!D12501-Sens!D12502)+(Sens!D12489+Sens!D12490-Sens!D12488)+(Sens!D12492+Sens!D12493-Sens!D12491)+(Sens!D12502-Q!L18)</f>
        <v>0</v>
      </c>
      <c r="E12504" s="27" t="n">
        <f aca="false">(Sens!E12497+Sens!E12501-Sens!E12502)+(Sens!E12489+Sens!E12490-Sens!E12488)+(Sens!E12492+Sens!E12493-Sens!E12491)+(Sens!E12502-Q!M18)</f>
        <v>0</v>
      </c>
      <c r="F12504" s="27" t="n">
        <f aca="false">(Sens!F12497+Sens!F12501-Sens!F12502)+(Sens!F12489+Sens!F12490-Sens!F12488)+(Sens!F12492+Sens!F12493-Sens!F12491)</f>
        <v>0</v>
      </c>
      <c r="G12504" s="27" t="n">
        <f aca="false">(Sens!G12497+Sens!G12501-Sens!G12502)+(Sens!G12489+Sens!G12490-Sens!G12488)+(Sens!G12492+Sens!G12493-Sens!G12491)</f>
        <v>0</v>
      </c>
      <c r="H12504" s="27" t="n">
        <f aca="false">(Sens!H12497+Sens!H12501-Sens!H12502)+(Sens!H12489+Sens!H12490-Sens!H12488)+(Sens!H12492+Sens!H12493-Sens!H12491)</f>
        <v>0</v>
      </c>
      <c r="I12504" s="27" t="n">
        <f aca="false">(Sens!I12497+Sens!I12501-Sens!I12502)+(Sens!I12489+Sens!I12490-Sens!I12488)+(Sens!I12492+Sens!I12493-Sens!I12491)</f>
        <v>0</v>
      </c>
      <c r="J12504" s="27" t="n">
        <f aca="false">(Sens!J12497+Sens!J12501-Sens!J12502)+(Sens!J12489+Sens!J12490-Sens!J12488)+(Sens!J12492+Sens!J12493-Sens!J12491)</f>
        <v>0</v>
      </c>
      <c r="K12504" s="27" t="n">
        <f aca="false">(Sens!K12497+Sens!K12501-Sens!K12502)+(Sens!K12489+Sens!K12490-Sens!K12488)+(Sens!K12492+Sens!K12493-Sens!K12491)</f>
        <v>0</v>
      </c>
    </row>
    <row r="12505" customFormat="false" ht="17.15" hidden="false" customHeight="false" outlineLevel="0" collapsed="false">
      <c r="A12505" s="0" t="s">
        <v>1058</v>
      </c>
      <c r="B12505" s="0" t="s">
        <v>168</v>
      </c>
      <c r="E12505" s="7" t="n">
        <f aca="false">(Q!M21+Sens!E12441+Sens!E12442+Sens!E12443+Sens!E12457-Sens!E12439)/(Q!M5-Sens!E12439)</f>
        <v>0.570957350878296</v>
      </c>
      <c r="F12505" s="7" t="n">
        <f aca="false">Sens!$E$12505+dm_seg</f>
        <v>0.570957350878296</v>
      </c>
      <c r="G12505" s="7" t="n">
        <f aca="false">Sens!$E$12505+dm_seg</f>
        <v>0.570957350878296</v>
      </c>
      <c r="H12505" s="7" t="n">
        <f aca="false">Sens!$E$12505+dm_seg</f>
        <v>0.570957350878296</v>
      </c>
      <c r="I12505" s="7" t="n">
        <f aca="false">Sens!$E$12505+dm_seg</f>
        <v>0.570957350878296</v>
      </c>
      <c r="J12505" s="7" t="n">
        <f aca="false">Sens!$E$12505+dm_seg</f>
        <v>0.570957350878296</v>
      </c>
      <c r="K12505" s="7" t="n">
        <f aca="false">Sens!$E$12505+dm_seg</f>
        <v>0.570957350878296</v>
      </c>
      <c r="L12505" s="12" t="s">
        <v>1059</v>
      </c>
    </row>
    <row r="12506" customFormat="false" ht="17.15" hidden="false" customHeight="false" outlineLevel="0" collapsed="false">
      <c r="A12506" s="0" t="s">
        <v>880</v>
      </c>
      <c r="B12506" s="0" t="s">
        <v>98</v>
      </c>
      <c r="D12506" s="6" t="n">
        <f aca="false">Q!L21</f>
        <v>110.814</v>
      </c>
      <c r="E12506" s="6" t="n">
        <f aca="false">Q!M21</f>
        <v>136.365</v>
      </c>
      <c r="F12506" s="6" t="n">
        <f aca="false">Q!$I$21+(Sens!F12505*(Sens!F12476-Sens!F12439)+Sens!F12439-(Sens!F12441+Sens!F12442+Sens!F12443)-Sens!F12457-Sens!F12540)*(Sens!F12476-Q!$I$5)/Sens!F12476</f>
        <v>158.110234156687</v>
      </c>
      <c r="G12506" s="6" t="n">
        <f aca="false">(Sens!G12505*(Sens!G12476-Sens!G12439)+Sens!G12439-(Sens!G12441+Sens!G12442+Sens!G12443)-Sens!G12457-Sens!G12540)</f>
        <v>161.288737768095</v>
      </c>
      <c r="H12506" s="6" t="n">
        <f aca="false">(Sens!H12505*(Sens!H12476-Sens!H12439)+Sens!H12439-(Sens!H12441+Sens!H12442+Sens!H12443)-Sens!H12457-Sens!H12540)</f>
        <v>162.750449226018</v>
      </c>
      <c r="I12506" s="6" t="n">
        <f aca="false">(Sens!I12505*(Sens!I12476-Sens!I12439)+Sens!I12439-(Sens!I12441+Sens!I12442+Sens!I12443)-Sens!I12457-Sens!I12540)</f>
        <v>172.031140185604</v>
      </c>
      <c r="J12506" s="6" t="n">
        <f aca="false">(Sens!J12505*(Sens!J12476-Sens!J12439)+Sens!J12439-(Sens!J12441+Sens!J12442+Sens!J12443)-Sens!J12457-Sens!J12540)</f>
        <v>182.855335729531</v>
      </c>
      <c r="K12506" s="6" t="n">
        <f aca="false">(Sens!K12505*(Sens!K12476-Sens!K12439)+Sens!K12439-(Sens!K12441+Sens!K12442+Sens!K12443)-Sens!K12457-Sens!K12540)</f>
        <v>195.088404864353</v>
      </c>
      <c r="L12506" s="1" t="s">
        <v>1060</v>
      </c>
    </row>
    <row r="12507" customFormat="false" ht="17.15" hidden="false" customHeight="false" outlineLevel="0" collapsed="false">
      <c r="A12507" s="0" t="s">
        <v>1061</v>
      </c>
      <c r="B12507" s="0" t="s">
        <v>168</v>
      </c>
      <c r="E12507" s="7" t="n">
        <f aca="false">Q!M22/Q!M12</f>
        <v>0.296207935710698</v>
      </c>
      <c r="F12507" s="7" t="n">
        <f aca="false">Sens!$E$12507+dm_seg</f>
        <v>0.296207935710698</v>
      </c>
      <c r="G12507" s="7" t="n">
        <f aca="false">Sens!$E$12507+dm_seg</f>
        <v>0.296207935710698</v>
      </c>
      <c r="H12507" s="7" t="n">
        <f aca="false">Sens!$E$12507+dm_seg</f>
        <v>0.296207935710698</v>
      </c>
      <c r="I12507" s="7" t="n">
        <f aca="false">Sens!$E$12507+dm_seg</f>
        <v>0.296207935710698</v>
      </c>
      <c r="J12507" s="7" t="n">
        <f aca="false">Sens!$E$12507+dm_seg</f>
        <v>0.296207935710698</v>
      </c>
      <c r="K12507" s="7" t="n">
        <f aca="false">Sens!$E$12507+dm_seg</f>
        <v>0.296207935710698</v>
      </c>
      <c r="L12507" s="12" t="s">
        <v>1062</v>
      </c>
    </row>
    <row r="12508" customFormat="false" ht="17.15" hidden="false" customHeight="false" outlineLevel="0" collapsed="false">
      <c r="A12508" s="0" t="s">
        <v>882</v>
      </c>
      <c r="B12508" s="0" t="s">
        <v>98</v>
      </c>
      <c r="D12508" s="6" t="n">
        <f aca="false">Q!L22</f>
        <v>17.714</v>
      </c>
      <c r="E12508" s="6" t="n">
        <f aca="false">Q!M22</f>
        <v>18.872</v>
      </c>
      <c r="F12508" s="6" t="n">
        <f aca="false">Q!$I$22+(Sens!F12483-Q!$I$12)*Sens!F12507</f>
        <v>19.8415458392513</v>
      </c>
      <c r="G12508" s="6" t="n">
        <f aca="false">Sens!G12483*Sens!G12507</f>
        <v>19.7162243240541</v>
      </c>
      <c r="H12508" s="6" t="n">
        <f aca="false">Sens!H12483*Sens!H12507</f>
        <v>20.5260335325824</v>
      </c>
      <c r="I12508" s="6" t="n">
        <f aca="false">Sens!I12483*Sens!I12507</f>
        <v>21.4811001142341</v>
      </c>
      <c r="J12508" s="6" t="n">
        <f aca="false">Sens!J12483*Sens!J12507</f>
        <v>22.5686326015338</v>
      </c>
      <c r="K12508" s="6" t="n">
        <f aca="false">Sens!K12483*Sens!K12507</f>
        <v>23.7826168339799</v>
      </c>
      <c r="L12508" s="12" t="s">
        <v>1063</v>
      </c>
    </row>
    <row r="12509" customFormat="false" ht="15" hidden="false" customHeight="false" outlineLevel="0" collapsed="false">
      <c r="A12509" s="1" t="s">
        <v>1064</v>
      </c>
      <c r="B12509" s="0" t="s">
        <v>98</v>
      </c>
      <c r="D12509" s="6" t="n">
        <f aca="false">Sens!D12506+Sens!D12508</f>
        <v>128.528</v>
      </c>
      <c r="E12509" s="6" t="n">
        <f aca="false">Sens!E12506+Sens!E12508</f>
        <v>155.237</v>
      </c>
      <c r="F12509" s="6" t="n">
        <f aca="false">Sens!F12506+Sens!F12508</f>
        <v>177.951779995938</v>
      </c>
      <c r="G12509" s="6" t="n">
        <f aca="false">Sens!G12506+Sens!G12508</f>
        <v>181.004962092149</v>
      </c>
      <c r="H12509" s="6" t="n">
        <f aca="false">Sens!H12506+Sens!H12508</f>
        <v>183.276482758601</v>
      </c>
      <c r="I12509" s="6" t="n">
        <f aca="false">Sens!I12506+Sens!I12508</f>
        <v>193.512240299838</v>
      </c>
      <c r="J12509" s="6" t="n">
        <f aca="false">Sens!J12506+Sens!J12508</f>
        <v>205.423968331064</v>
      </c>
      <c r="K12509" s="6" t="n">
        <f aca="false">Sens!K12506+Sens!K12508</f>
        <v>218.871021698333</v>
      </c>
    </row>
    <row r="12510" customFormat="false" ht="15" hidden="false" customHeight="false" outlineLevel="0" collapsed="false">
      <c r="A12510" s="26" t="s">
        <v>1065</v>
      </c>
      <c r="B12510" s="31" t="s">
        <v>98</v>
      </c>
      <c r="C12510" s="31"/>
      <c r="D12510" s="27" t="n">
        <f aca="false">Sens!D12509-Q!L23</f>
        <v>0</v>
      </c>
      <c r="E12510" s="27" t="n">
        <f aca="false">Sens!E12509-Q!M23</f>
        <v>0</v>
      </c>
      <c r="F12510" s="31"/>
      <c r="G12510" s="31"/>
      <c r="H12510" s="31"/>
      <c r="I12510" s="31"/>
      <c r="J12510" s="31"/>
      <c r="K12510" s="31"/>
    </row>
    <row r="12511" customFormat="false" ht="15" hidden="false" customHeight="false" outlineLevel="0" collapsed="false">
      <c r="A12511" s="1" t="s">
        <v>1066</v>
      </c>
      <c r="B12511" s="0" t="s">
        <v>168</v>
      </c>
      <c r="D12511" s="7" t="n">
        <f aca="false">Sens!D12509/Sens!D12502</f>
        <v>0.456219562408598</v>
      </c>
      <c r="E12511" s="7" t="n">
        <f aca="false">Sens!E12509/Sens!E12502</f>
        <v>0.467808184089272</v>
      </c>
      <c r="F12511" s="7" t="n">
        <f aca="false">Sens!F12509/Sens!F12502</f>
        <v>0.451048431431011</v>
      </c>
      <c r="G12511" s="7" t="n">
        <f aca="false">Sens!G12509/Sens!G12502</f>
        <v>0.394158374437362</v>
      </c>
      <c r="H12511" s="7" t="n">
        <f aca="false">Sens!H12509/Sens!H12502</f>
        <v>0.352563050904872</v>
      </c>
      <c r="I12511" s="7" t="n">
        <f aca="false">Sens!I12509/Sens!I12502</f>
        <v>0.331804014246401</v>
      </c>
      <c r="J12511" s="7" t="n">
        <f aca="false">Sens!J12509/Sens!J12502</f>
        <v>0.322684883243656</v>
      </c>
      <c r="K12511" s="7" t="n">
        <f aca="false">Sens!K12509/Sens!K12502</f>
        <v>0.321669200770853</v>
      </c>
    </row>
    <row r="12512" customFormat="false" ht="17.15" hidden="false" customHeight="false" outlineLevel="0" collapsed="false">
      <c r="A12512" s="1" t="s">
        <v>1067</v>
      </c>
      <c r="B12512" s="0" t="s">
        <v>98</v>
      </c>
      <c r="F12512" s="6" t="n">
        <f aca="false">Sens!F12527</f>
        <v>10.5962787979473</v>
      </c>
      <c r="G12512" s="6" t="n">
        <f aca="false">Sens!G12527</f>
        <v>27.844646674932</v>
      </c>
      <c r="H12512" s="6" t="n">
        <f aca="false">Sens!H12527</f>
        <v>46.566205501382</v>
      </c>
      <c r="I12512" s="6" t="n">
        <f aca="false">Sens!I12527</f>
        <v>63.2717778126444</v>
      </c>
      <c r="J12512" s="6" t="n">
        <f aca="false">Sens!J12527</f>
        <v>74.9061222882009</v>
      </c>
      <c r="K12512" s="6" t="n">
        <f aca="false">Sens!K12527</f>
        <v>81.6395437180232</v>
      </c>
      <c r="L12512" s="1" t="s">
        <v>1068</v>
      </c>
    </row>
    <row r="12513" customFormat="false" ht="17.15" hidden="false" customHeight="false" outlineLevel="0" collapsed="false">
      <c r="A12513" s="1" t="s">
        <v>1069</v>
      </c>
      <c r="B12513" s="0" t="s">
        <v>98</v>
      </c>
      <c r="D12513" s="6" t="n">
        <f aca="false">Sens!D12509</f>
        <v>128.528</v>
      </c>
      <c r="E12513" s="6" t="n">
        <f aca="false">Sens!E12509</f>
        <v>155.237</v>
      </c>
      <c r="F12513" s="6" t="n">
        <f aca="false">Sens!F12509+Sens!F12512</f>
        <v>188.548058793886</v>
      </c>
      <c r="G12513" s="6" t="n">
        <f aca="false">Sens!G12509+Sens!G12512</f>
        <v>208.849608767081</v>
      </c>
      <c r="H12513" s="6" t="n">
        <f aca="false">Sens!H12509+Sens!H12512</f>
        <v>229.842688259983</v>
      </c>
      <c r="I12513" s="6" t="n">
        <f aca="false">Sens!I12509+Sens!I12512</f>
        <v>256.784018112483</v>
      </c>
      <c r="J12513" s="6" t="n">
        <f aca="false">Sens!J12509+Sens!J12512</f>
        <v>280.330090619265</v>
      </c>
      <c r="K12513" s="6" t="n">
        <f aca="false">Sens!K12509+Sens!K12512</f>
        <v>300.510565416357</v>
      </c>
    </row>
    <row r="12514" customFormat="false" ht="17.15" hidden="false" customHeight="false" outlineLevel="0" collapsed="false">
      <c r="A12514" s="1" t="s">
        <v>1070</v>
      </c>
      <c r="B12514" s="0" t="s">
        <v>98</v>
      </c>
      <c r="E12514" s="6" t="n">
        <f aca="false">Sens!E12457</f>
        <v>16.3054059770833</v>
      </c>
      <c r="F12514" s="6" t="n">
        <f aca="false">Sens!F12457</f>
        <v>34.5793144783516</v>
      </c>
      <c r="G12514" s="6" t="n">
        <f aca="false">Sens!G12457</f>
        <v>60.7344906522989</v>
      </c>
      <c r="H12514" s="6" t="n">
        <f aca="false">Sens!H12457</f>
        <v>89.1000906614457</v>
      </c>
      <c r="I12514" s="6" t="n">
        <f aca="false">Sens!I12457</f>
        <v>114.231009694548</v>
      </c>
      <c r="J12514" s="6" t="n">
        <f aca="false">Sens!J12457</f>
        <v>132.015673049596</v>
      </c>
      <c r="K12514" s="6" t="n">
        <f aca="false">Sens!K12457</f>
        <v>143.012669550934</v>
      </c>
    </row>
    <row r="12515" customFormat="false" ht="17.15" hidden="false" customHeight="false" outlineLevel="0" collapsed="false">
      <c r="A12515" s="1" t="s">
        <v>1071</v>
      </c>
      <c r="B12515" s="0" t="s">
        <v>98</v>
      </c>
      <c r="E12515" s="6" t="n">
        <f aca="false">Sens!E12539</f>
        <v>22.2285940229167</v>
      </c>
      <c r="F12515" s="6" t="n">
        <f aca="false">Sens!F12539</f>
        <v>23.5885847579552</v>
      </c>
      <c r="G12515" s="6" t="n">
        <f aca="false">Sens!G12539</f>
        <v>25.3486878215874</v>
      </c>
      <c r="H12515" s="6" t="n">
        <f aca="false">Sens!H12539</f>
        <v>27.4778108488109</v>
      </c>
      <c r="I12515" s="6" t="n">
        <f aca="false">Sens!I12539</f>
        <v>29.919385528296</v>
      </c>
      <c r="J12515" s="6" t="n">
        <f aca="false">Sens!J12539</f>
        <v>32.5988046876917</v>
      </c>
      <c r="K12515" s="6" t="n">
        <f aca="false">Sens!K12539</f>
        <v>35.4319724572644</v>
      </c>
    </row>
    <row r="12516" customFormat="false" ht="17.15" hidden="false" customHeight="false" outlineLevel="0" collapsed="false">
      <c r="A12516" s="1" t="s">
        <v>1072</v>
      </c>
      <c r="B12516" s="0" t="s">
        <v>98</v>
      </c>
      <c r="D12516" s="6" t="n">
        <f aca="false">Q!L27</f>
        <v>-4.901</v>
      </c>
      <c r="E12516" s="6" t="n">
        <f aca="false">Q!M27</f>
        <v>10.697</v>
      </c>
      <c r="F12516" s="6" t="n">
        <f aca="false">Q!$I$27+oie_f*(q_per_yr-1)/q_per_yr</f>
        <v>-0.862</v>
      </c>
      <c r="G12516" s="6" t="n">
        <f aca="false">oie_f</f>
        <v>-1.2</v>
      </c>
      <c r="H12516" s="6" t="n">
        <f aca="false">oie_f</f>
        <v>-1.2</v>
      </c>
      <c r="I12516" s="6" t="n">
        <f aca="false">oie_f</f>
        <v>-1.2</v>
      </c>
      <c r="J12516" s="6" t="n">
        <f aca="false">oie_f</f>
        <v>-1.2</v>
      </c>
      <c r="K12516" s="6" t="n">
        <f aca="false">oie_f</f>
        <v>-1.2</v>
      </c>
      <c r="L12516" s="12" t="s">
        <v>1073</v>
      </c>
    </row>
    <row r="12517" customFormat="false" ht="15" hidden="false" customHeight="false" outlineLevel="0" collapsed="false">
      <c r="A12517" s="1" t="s">
        <v>1074</v>
      </c>
      <c r="B12517" s="0" t="s">
        <v>98</v>
      </c>
      <c r="D12517" s="6" t="n">
        <f aca="false">Sens!D12509+Sens!D12516</f>
        <v>123.627</v>
      </c>
      <c r="E12517" s="6" t="n">
        <f aca="false">Sens!E12509+Sens!E12516</f>
        <v>165.934</v>
      </c>
      <c r="F12517" s="6" t="n">
        <f aca="false">Sens!F12509+Sens!F12516</f>
        <v>177.089779995938</v>
      </c>
      <c r="G12517" s="6" t="n">
        <f aca="false">Sens!G12509+Sens!G12516</f>
        <v>179.804962092149</v>
      </c>
      <c r="H12517" s="6" t="n">
        <f aca="false">Sens!H12509+Sens!H12516</f>
        <v>182.076482758601</v>
      </c>
      <c r="I12517" s="6" t="n">
        <f aca="false">Sens!I12509+Sens!I12516</f>
        <v>192.312240299838</v>
      </c>
      <c r="J12517" s="6" t="n">
        <f aca="false">Sens!J12509+Sens!J12516</f>
        <v>204.223968331064</v>
      </c>
      <c r="K12517" s="6" t="n">
        <f aca="false">Sens!K12509+Sens!K12516</f>
        <v>217.671021698333</v>
      </c>
    </row>
    <row r="12518" customFormat="false" ht="15" hidden="false" customHeight="false" outlineLevel="0" collapsed="false">
      <c r="A12518" s="1" t="s">
        <v>1075</v>
      </c>
      <c r="B12518" s="0" t="s">
        <v>98</v>
      </c>
      <c r="D12518" s="6" t="n">
        <f aca="false">Q!L29</f>
        <v>21.795</v>
      </c>
      <c r="E12518" s="6" t="n">
        <f aca="false">Q!M29</f>
        <v>32.185</v>
      </c>
      <c r="F12518" s="6" t="n">
        <f aca="false">Q!$I$29+(Sens!F12517-Q!$I$28)*tax_f</f>
        <v>35.5513559991876</v>
      </c>
      <c r="G12518" s="6" t="n">
        <f aca="false">Sens!G12517*tax_f</f>
        <v>35.9609924184299</v>
      </c>
      <c r="H12518" s="6" t="n">
        <f aca="false">Sens!H12517*tax_f</f>
        <v>36.4152965517202</v>
      </c>
      <c r="I12518" s="6" t="n">
        <f aca="false">Sens!I12517*tax_f</f>
        <v>38.4624480599676</v>
      </c>
      <c r="J12518" s="6" t="n">
        <f aca="false">Sens!J12517*tax_f</f>
        <v>40.8447936662129</v>
      </c>
      <c r="K12518" s="6" t="n">
        <f aca="false">Sens!K12517*tax_f</f>
        <v>43.5342043396667</v>
      </c>
    </row>
    <row r="12519" customFormat="false" ht="15" hidden="false" customHeight="false" outlineLevel="0" collapsed="false">
      <c r="A12519" s="1" t="s">
        <v>1076</v>
      </c>
      <c r="B12519" s="0" t="s">
        <v>98</v>
      </c>
      <c r="D12519" s="6" t="n">
        <f aca="false">Sens!D12517-Sens!D12518</f>
        <v>101.832</v>
      </c>
      <c r="E12519" s="6" t="n">
        <f aca="false">Sens!E12517-Sens!E12518</f>
        <v>133.749</v>
      </c>
      <c r="F12519" s="6" t="n">
        <f aca="false">Sens!F12517-Sens!F12518</f>
        <v>141.538423996751</v>
      </c>
      <c r="G12519" s="6" t="n">
        <f aca="false">Sens!G12517-Sens!G12518</f>
        <v>143.843969673719</v>
      </c>
      <c r="H12519" s="6" t="n">
        <f aca="false">Sens!H12517-Sens!H12518</f>
        <v>145.661186206881</v>
      </c>
      <c r="I12519" s="6" t="n">
        <f aca="false">Sens!I12517-Sens!I12518</f>
        <v>153.849792239871</v>
      </c>
      <c r="J12519" s="6" t="n">
        <f aca="false">Sens!J12517-Sens!J12518</f>
        <v>163.379174664852</v>
      </c>
      <c r="K12519" s="6" t="n">
        <f aca="false">Sens!K12517-Sens!K12518</f>
        <v>174.136817358667</v>
      </c>
    </row>
    <row r="12520" customFormat="false" ht="17.15" hidden="false" customHeight="false" outlineLevel="0" collapsed="false">
      <c r="A12520" s="1" t="s">
        <v>1077</v>
      </c>
      <c r="B12520" s="1" t="s">
        <v>81</v>
      </c>
      <c r="D12520" s="15" t="n">
        <f aca="false">Q!L31</f>
        <v>7.465</v>
      </c>
      <c r="E12520" s="15" t="n">
        <f aca="false">Q!M31</f>
        <v>7.453</v>
      </c>
      <c r="F12520" s="15" t="n">
        <f aca="false">Sens!F12564</f>
        <v>7.4735</v>
      </c>
      <c r="G12520" s="15" t="n">
        <f aca="false">Sens!G12564</f>
        <v>7.5185</v>
      </c>
      <c r="H12520" s="15" t="n">
        <f aca="false">Sens!H12564</f>
        <v>7.5635</v>
      </c>
      <c r="I12520" s="15" t="n">
        <f aca="false">Sens!I12564</f>
        <v>7.59248142502667</v>
      </c>
      <c r="J12520" s="15" t="n">
        <f aca="false">Sens!J12564</f>
        <v>7.60663083618914</v>
      </c>
      <c r="K12520" s="15" t="n">
        <f aca="false">Sens!K12564</f>
        <v>7.62306547615439</v>
      </c>
    </row>
    <row r="12521" customFormat="false" ht="17.15" hidden="false" customHeight="false" outlineLevel="0" collapsed="false">
      <c r="A12521" s="0" t="s">
        <v>1078</v>
      </c>
      <c r="B12521" s="0" t="s">
        <v>75</v>
      </c>
      <c r="D12521" s="8" t="n">
        <f aca="false">Sens!D12519/Sens!D12520</f>
        <v>13.641259209645</v>
      </c>
      <c r="E12521" s="8" t="n">
        <f aca="false">Sens!E12519/Sens!E12520</f>
        <v>17.9456594659869</v>
      </c>
      <c r="F12521" s="8" t="n">
        <f aca="false">Sens!F12519/Sens!F12520</f>
        <v>18.9387066296582</v>
      </c>
      <c r="G12521" s="8" t="n">
        <f aca="false">Sens!G12519/Sens!G12520</f>
        <v>19.1320036807501</v>
      </c>
      <c r="H12521" s="8" t="n">
        <f aca="false">Sens!H12519/Sens!H12520</f>
        <v>19.2584367299373</v>
      </c>
      <c r="I12521" s="8" t="n">
        <f aca="false">Sens!I12519/Sens!I12520</f>
        <v>20.2634400569943</v>
      </c>
      <c r="J12521" s="8" t="n">
        <f aca="false">Sens!J12519/Sens!J12520</f>
        <v>21.4785202783291</v>
      </c>
      <c r="K12521" s="8" t="n">
        <f aca="false">Sens!K12519/Sens!K12520</f>
        <v>22.8434109484408</v>
      </c>
      <c r="L12521" s="1" t="s">
        <v>1079</v>
      </c>
    </row>
    <row r="12522" customFormat="false" ht="17.15" hidden="false" customHeight="false" outlineLevel="0" collapsed="false">
      <c r="A12522" s="1" t="s">
        <v>1080</v>
      </c>
      <c r="B12522" s="0" t="s">
        <v>98</v>
      </c>
      <c r="D12522" s="6" t="n">
        <f aca="false">Sens!D12519</f>
        <v>101.832</v>
      </c>
      <c r="E12522" s="6" t="n">
        <f aca="false">Sens!E12519</f>
        <v>133.749</v>
      </c>
      <c r="F12522" s="6" t="n">
        <f aca="false">Sens!F12519+Sens!F12512*(1-tax_f)</f>
        <v>150.015447035108</v>
      </c>
      <c r="G12522" s="6" t="n">
        <f aca="false">Sens!G12519+Sens!G12512*(1-tax_f)</f>
        <v>166.119687013665</v>
      </c>
      <c r="H12522" s="6" t="n">
        <f aca="false">Sens!H12519+Sens!H12512*(1-tax_f)</f>
        <v>182.914150607986</v>
      </c>
      <c r="I12522" s="6" t="n">
        <f aca="false">Sens!I12519+Sens!I12512*(1-tax_f)</f>
        <v>204.467214489986</v>
      </c>
      <c r="J12522" s="6" t="n">
        <f aca="false">Sens!J12519+Sens!J12512*(1-tax_f)</f>
        <v>223.304072495412</v>
      </c>
      <c r="K12522" s="6" t="n">
        <f aca="false">Sens!K12519+Sens!K12512*(1-tax_f)</f>
        <v>239.448452333085</v>
      </c>
    </row>
    <row r="12523" customFormat="false" ht="17.15" hidden="false" customHeight="false" outlineLevel="0" collapsed="false">
      <c r="A12523" s="0" t="s">
        <v>1081</v>
      </c>
      <c r="B12523" s="0" t="s">
        <v>75</v>
      </c>
      <c r="D12523" s="8" t="n">
        <f aca="false">Sens!D12522/Sens!D12520</f>
        <v>13.641259209645</v>
      </c>
      <c r="E12523" s="8" t="n">
        <f aca="false">Sens!E12522/Sens!E12520</f>
        <v>17.9456594659869</v>
      </c>
      <c r="F12523" s="8" t="n">
        <f aca="false">Sens!F12522/Sens!F12520</f>
        <v>20.0729841486731</v>
      </c>
      <c r="G12523" s="8" t="n">
        <f aca="false">Sens!G12522/Sens!G12520</f>
        <v>22.0947911170666</v>
      </c>
      <c r="H12523" s="8" t="n">
        <f aca="false">Sens!H12522/Sens!H12520</f>
        <v>24.1837972642277</v>
      </c>
      <c r="I12523" s="8" t="n">
        <f aca="false">Sens!I12522/Sens!I12520</f>
        <v>26.9302225509584</v>
      </c>
      <c r="J12523" s="8" t="n">
        <f aca="false">Sens!J12522/Sens!J12520</f>
        <v>29.3565018868834</v>
      </c>
      <c r="K12523" s="8" t="n">
        <f aca="false">Sens!K12522/Sens!K12520</f>
        <v>31.4110449506305</v>
      </c>
      <c r="L12523" s="1" t="s">
        <v>1082</v>
      </c>
    </row>
    <row r="12524" customFormat="false" ht="17.15" hidden="false" customHeight="false" outlineLevel="0" collapsed="false">
      <c r="A12524" s="0" t="s">
        <v>1083</v>
      </c>
      <c r="B12524" s="0" t="s">
        <v>168</v>
      </c>
      <c r="E12524" s="7" t="n">
        <f aca="false">Sens!E12523/Sens!D12523-1</f>
        <v>0.315542736208578</v>
      </c>
      <c r="F12524" s="7" t="n">
        <f aca="false">Sens!F12523/Sens!E12523-1</f>
        <v>0.118542574972977</v>
      </c>
      <c r="G12524" s="7" t="n">
        <f aca="false">Sens!G12523/Sens!F12523-1</f>
        <v>0.100722790065428</v>
      </c>
      <c r="H12524" s="7" t="n">
        <f aca="false">Sens!H12523/Sens!G12523-1</f>
        <v>0.0945474494912748</v>
      </c>
      <c r="I12524" s="7" t="n">
        <f aca="false">Sens!I12523/Sens!H12523-1</f>
        <v>0.113564683689819</v>
      </c>
      <c r="J12524" s="7" t="n">
        <f aca="false">Sens!J12523/Sens!I12523-1</f>
        <v>0.0900950347266505</v>
      </c>
      <c r="K12524" s="7" t="n">
        <f aca="false">Sens!K12523/Sens!J12523-1</f>
        <v>0.0699859633025637</v>
      </c>
    </row>
    <row r="12525" customFormat="false" ht="17.15" hidden="false" customHeight="false" outlineLevel="0" collapsed="false">
      <c r="A12525" s="0" t="s">
        <v>1003</v>
      </c>
      <c r="B12525" s="0" t="s">
        <v>98</v>
      </c>
      <c r="E12525" s="6" t="n">
        <f aca="false">Sens!E12466</f>
        <v>5.25</v>
      </c>
      <c r="F12525" s="6" t="n">
        <f aca="false">Sens!F12466</f>
        <v>10.5</v>
      </c>
      <c r="G12525" s="6" t="n">
        <f aca="false">Sens!G12466</f>
        <v>13.5</v>
      </c>
      <c r="H12525" s="6" t="n">
        <f aca="false">Sens!H12466</f>
        <v>16.5</v>
      </c>
      <c r="I12525" s="6" t="n">
        <f aca="false">Sens!I12466</f>
        <v>18.75</v>
      </c>
      <c r="J12525" s="6" t="n">
        <f aca="false">Sens!J12466</f>
        <v>20.25</v>
      </c>
      <c r="K12525" s="6" t="n">
        <f aca="false">Sens!K12466</f>
        <v>21.75</v>
      </c>
    </row>
    <row r="12526" customFormat="false" ht="17.15" hidden="false" customHeight="false" outlineLevel="0" collapsed="false">
      <c r="A12526" s="1" t="s">
        <v>1004</v>
      </c>
      <c r="B12526" s="0" t="s">
        <v>98</v>
      </c>
      <c r="F12526" s="6" t="n">
        <f aca="false">MAX(0,((Sens!E12426+Sens!F12426)/2-(shadow_base*(Sens!$D$12426+Sens!$E$12426)/2+(1-shadow_base)*Sens!$E$12426))*Sens!F12435/1000-(Sens!F12525-Sens!$E$12525)*Sens!F12505)</f>
        <v>10.5962787979473</v>
      </c>
      <c r="G12526" s="6" t="n">
        <f aca="false">MAX(0,((Sens!F12426+Sens!G12426)/2-(shadow_base*(Sens!$D$12426+Sens!$E$12426)/2+(1-shadow_base)*Sens!$E$12426))*Sens!G12435/1000-(Sens!G12525-Sens!$E$12525)*Sens!G12505)</f>
        <v>27.844646674932</v>
      </c>
      <c r="H12526" s="6" t="n">
        <f aca="false">MAX(0,((Sens!G12426+Sens!H12426)/2-(shadow_base*(Sens!$D$12426+Sens!$E$12426)/2+(1-shadow_base)*Sens!$E$12426))*Sens!H12435/1000-(Sens!H12525-Sens!$E$12525)*Sens!H12505)</f>
        <v>46.566205501382</v>
      </c>
      <c r="I12526" s="6" t="n">
        <f aca="false">MAX(0,((Sens!H12426+Sens!I12426)/2-(shadow_base*(Sens!$D$12426+Sens!$E$12426)/2+(1-shadow_base)*Sens!$E$12426))*Sens!I12435/1000-(Sens!I12525-Sens!$E$12525)*Sens!I12505)</f>
        <v>63.2717778126444</v>
      </c>
      <c r="J12526" s="6" t="n">
        <f aca="false">MAX(0,((Sens!I12426+Sens!J12426)/2-(shadow_base*(Sens!$D$12426+Sens!$E$12426)/2+(1-shadow_base)*Sens!$E$12426))*Sens!J12435/1000-(Sens!J12525-Sens!$E$12525)*Sens!J12505)</f>
        <v>74.9061222882009</v>
      </c>
      <c r="K12526" s="6" t="n">
        <f aca="false">MAX(0,((Sens!J12426+Sens!K12426)/2-(shadow_base*(Sens!$D$12426+Sens!$E$12426)/2+(1-shadow_base)*Sens!$E$12426))*Sens!K12435/1000-(Sens!K12525-Sens!$E$12525)*Sens!K12505)</f>
        <v>81.6395437180232</v>
      </c>
      <c r="L12526" s="1" t="s">
        <v>1005</v>
      </c>
    </row>
    <row r="12527" customFormat="false" ht="17.15" hidden="false" customHeight="false" outlineLevel="0" collapsed="false">
      <c r="A12527" s="1" t="s">
        <v>1006</v>
      </c>
      <c r="B12527" s="0" t="s">
        <v>98</v>
      </c>
      <c r="F12527" s="6" t="n">
        <f aca="false">IF(internal_ai_reading=2,1,0)*Sens!F12526</f>
        <v>10.5962787979473</v>
      </c>
      <c r="G12527" s="6" t="n">
        <f aca="false">IF(internal_ai_reading=2,1,0)*Sens!G12526</f>
        <v>27.844646674932</v>
      </c>
      <c r="H12527" s="6" t="n">
        <f aca="false">IF(internal_ai_reading=2,1,0)*Sens!H12526</f>
        <v>46.566205501382</v>
      </c>
      <c r="I12527" s="6" t="n">
        <f aca="false">IF(internal_ai_reading=2,1,0)*Sens!I12526</f>
        <v>63.2717778126444</v>
      </c>
      <c r="J12527" s="6" t="n">
        <f aca="false">IF(internal_ai_reading=2,1,0)*Sens!J12526</f>
        <v>74.9061222882009</v>
      </c>
      <c r="K12527" s="6" t="n">
        <f aca="false">IF(internal_ai_reading=2,1,0)*Sens!K12526</f>
        <v>81.6395437180232</v>
      </c>
    </row>
    <row r="12528" customFormat="false" ht="17.15" hidden="false" customHeight="false" outlineLevel="0" collapsed="false">
      <c r="A12528" s="0" t="s">
        <v>1007</v>
      </c>
      <c r="B12528" s="0" t="s">
        <v>98</v>
      </c>
      <c r="F12528" s="6" t="n">
        <f aca="false">Sens!F12445+Sens!F12525*Sens!F12505+Sens!F12527-Sens!F12446-Sens!F12457</f>
        <v>10.3853806853618</v>
      </c>
      <c r="G12528" s="6" t="n">
        <f aca="false">Sens!G12445+Sens!G12525*Sens!G12505+Sens!G12527-Sens!G12446-Sens!G12457</f>
        <v>16.4389313105741</v>
      </c>
      <c r="H12528" s="6" t="n">
        <f aca="false">Sens!H12445+Sens!H12525*Sens!H12505+Sens!H12527-Sens!H12446-Sens!H12457</f>
        <v>17.135416308873</v>
      </c>
      <c r="I12528" s="6" t="n">
        <f aca="false">Sens!I12445+Sens!I12525*Sens!I12505+Sens!I12527-Sens!I12446-Sens!I12457</f>
        <v>24.1293804008657</v>
      </c>
      <c r="J12528" s="6" t="n">
        <f aca="false">Sens!J12445+Sens!J12525*Sens!J12505+Sens!J12527-Sens!J12446-Sens!J12457</f>
        <v>28.8545659869181</v>
      </c>
      <c r="K12528" s="6" t="n">
        <f aca="false">Sens!K12445+Sens!K12525*Sens!K12505+Sens!K12527-Sens!K12446-Sens!K12457</f>
        <v>32.13747485251</v>
      </c>
    </row>
    <row r="12529" customFormat="false" ht="17.15" hidden="false" customHeight="false" outlineLevel="0" collapsed="false">
      <c r="A12529" s="0" t="s">
        <v>1008</v>
      </c>
      <c r="B12529" s="0" t="s">
        <v>98</v>
      </c>
      <c r="E12529" s="6" t="n">
        <f aca="false">Sens!E12425*(cxit_open+self_build*tk_cxfac)/1000*ai_net_open</f>
        <v>126.6980382</v>
      </c>
      <c r="F12529" s="6" t="n">
        <f aca="false">Sens!E12529+Sens!F12454-Sens!F12457</f>
        <v>260.572627763768</v>
      </c>
      <c r="G12529" s="6" t="n">
        <f aca="false">Sens!F12529+Sens!G12454-Sens!G12457</f>
        <v>391.782612760517</v>
      </c>
      <c r="H12529" s="6" t="n">
        <f aca="false">Sens!G12529+Sens!H12454-Sens!H12457</f>
        <v>499.488526163584</v>
      </c>
      <c r="I12529" s="6" t="n">
        <f aca="false">Sens!H12529+Sens!I12454-Sens!I12457</f>
        <v>553.872350090646</v>
      </c>
      <c r="J12529" s="6" t="n">
        <f aca="false">Sens!I12529+Sens!J12454-Sens!J12457</f>
        <v>550.78660823699</v>
      </c>
      <c r="K12529" s="6" t="n">
        <f aca="false">Sens!J12529+Sens!K12454-Sens!K12457</f>
        <v>526.736791750789</v>
      </c>
      <c r="L12529" s="1" t="s">
        <v>1009</v>
      </c>
    </row>
    <row r="12530" customFormat="false" ht="17.15" hidden="false" customHeight="false" outlineLevel="0" collapsed="false">
      <c r="A12530" s="0" t="s">
        <v>1010</v>
      </c>
      <c r="B12530" s="0" t="s">
        <v>168</v>
      </c>
      <c r="F12530" s="7" t="n">
        <f aca="false">Sens!F12528*(1-tax_f)/((Sens!E12529+Sens!F12529)/2)</f>
        <v>0.0429069654816909</v>
      </c>
      <c r="G12530" s="7" t="n">
        <f aca="false">Sens!G12528*(1-tax_f)/((Sens!F12529+Sens!G12529)/2)</f>
        <v>0.0403189680453549</v>
      </c>
      <c r="H12530" s="7" t="n">
        <f aca="false">Sens!H12528*(1-tax_f)/((Sens!G12529+Sens!H12529)/2)</f>
        <v>0.0307613080877867</v>
      </c>
      <c r="I12530" s="7" t="n">
        <f aca="false">Sens!I12528*(1-tax_f)/((Sens!H12529+Sens!I12529)/2)</f>
        <v>0.0366512650238846</v>
      </c>
      <c r="J12530" s="7" t="n">
        <f aca="false">Sens!J12528*(1-tax_f)/((Sens!I12529+Sens!J12529)/2)</f>
        <v>0.0417932659044041</v>
      </c>
      <c r="K12530" s="7" t="n">
        <f aca="false">Sens!K12528*(1-tax_f)/((Sens!J12529+Sens!K12529)/2)</f>
        <v>0.0477205040415821</v>
      </c>
    </row>
    <row r="12531" customFormat="false" ht="17.15" hidden="false" customHeight="false" outlineLevel="0" collapsed="false">
      <c r="A12531" s="1" t="s">
        <v>1011</v>
      </c>
      <c r="B12531" s="0" t="s">
        <v>168</v>
      </c>
      <c r="F12531" s="7" t="n">
        <f aca="false">(Sens!F12528-Sens!F12527)*(1-tax_f)/((Sens!E12529+Sens!F12529)/2)</f>
        <v>-0.000871320783610466</v>
      </c>
      <c r="G12531" s="7" t="n">
        <f aca="false">(Sens!G12528-Sens!G12527)*(1-tax_f)/((Sens!F12529+Sens!G12529)/2)</f>
        <v>-0.0279742438618356</v>
      </c>
      <c r="H12531" s="7" t="n">
        <f aca="false">(Sens!H12528-Sens!H12527)*(1-tax_f)/((Sens!G12529+Sens!H12529)/2)</f>
        <v>-0.0528338242443913</v>
      </c>
      <c r="I12531" s="7" t="n">
        <f aca="false">(Sens!I12528-Sens!I12527)*(1-tax_f)/((Sens!H12529+Sens!I12529)/2)</f>
        <v>-0.059455251538819</v>
      </c>
      <c r="J12531" s="7" t="n">
        <f aca="false">(Sens!J12528-Sens!J12527)*(1-tax_f)/((Sens!I12529+Sens!J12529)/2)</f>
        <v>-0.0667015729394002</v>
      </c>
      <c r="K12531" s="7" t="n">
        <f aca="false">(Sens!K12528-Sens!K12527)*(1-tax_f)/((Sens!J12529+Sens!K12529)/2)</f>
        <v>-0.0735049560740113</v>
      </c>
    </row>
    <row r="12532" customFormat="false" ht="17.15" hidden="false" customHeight="false" outlineLevel="0" collapsed="false">
      <c r="A12532" s="1" t="s">
        <v>1012</v>
      </c>
      <c r="B12532" s="0" t="s">
        <v>168</v>
      </c>
      <c r="F12532" s="7" t="n">
        <f aca="false">(Sens!F12528-Sens!F12527+Sens!F12526)*(1-tax_f)/((Sens!E12529+Sens!F12529)/2)</f>
        <v>0.0429069654816909</v>
      </c>
      <c r="G12532" s="7" t="n">
        <f aca="false">(Sens!G12528-Sens!G12527+Sens!G12526)*(1-tax_f)/((Sens!F12529+Sens!G12529)/2)</f>
        <v>0.0403189680453549</v>
      </c>
      <c r="H12532" s="7" t="n">
        <f aca="false">(Sens!H12528-Sens!H12527+Sens!H12526)*(1-tax_f)/((Sens!G12529+Sens!H12529)/2)</f>
        <v>0.0307613080877867</v>
      </c>
      <c r="I12532" s="7" t="n">
        <f aca="false">(Sens!I12528-Sens!I12527+Sens!I12526)*(1-tax_f)/((Sens!H12529+Sens!I12529)/2)</f>
        <v>0.0366512650238846</v>
      </c>
      <c r="J12532" s="7" t="n">
        <f aca="false">(Sens!J12528-Sens!J12527+Sens!J12526)*(1-tax_f)/((Sens!I12529+Sens!J12529)/2)</f>
        <v>0.0417932659044041</v>
      </c>
      <c r="K12532" s="7" t="n">
        <f aca="false">(Sens!K12528-Sens!K12527+Sens!K12526)*(1-tax_f)/((Sens!J12529+Sens!K12529)/2)</f>
        <v>0.0477205040415821</v>
      </c>
    </row>
    <row r="12533" customFormat="false" ht="17.15" hidden="false" customHeight="false" outlineLevel="0" collapsed="false">
      <c r="A12533" s="1" t="s">
        <v>1013</v>
      </c>
      <c r="B12533" s="0" t="s">
        <v>168</v>
      </c>
      <c r="F12533" s="7" t="n">
        <f aca="false">Sens!F12458*(1-tax_f)/(Sens!F12444*(Sens!E12529+Sens!F12529)/2)</f>
        <v>0.098791430090569</v>
      </c>
      <c r="G12533" s="7" t="n">
        <f aca="false">Sens!G12458*(1-tax_f)/(Sens!G12444*(Sens!F12529+Sens!G12529)/2)</f>
        <v>0.0675308856427828</v>
      </c>
      <c r="H12533" s="7" t="n">
        <f aca="false">Sens!H12458*(1-tax_f)/(Sens!H12444*(Sens!G12529+Sens!H12529)/2)</f>
        <v>0.0388374979528754</v>
      </c>
      <c r="I12533" s="7" t="n">
        <f aca="false">Sens!I12458*(1-tax_f)/(Sens!I12444*(Sens!H12529+Sens!I12529)/2)</f>
        <v>0.0411035671771815</v>
      </c>
      <c r="J12533" s="7" t="n">
        <f aca="false">Sens!J12458*(1-tax_f)/(Sens!J12444*(Sens!I12529+Sens!J12529)/2)</f>
        <v>0.0445222722541192</v>
      </c>
      <c r="K12533" s="7" t="n">
        <f aca="false">Sens!K12458*(1-tax_f)/(Sens!K12444*(Sens!J12529+Sens!K12529)/2)</f>
        <v>0.0498866361688162</v>
      </c>
    </row>
    <row r="12534" customFormat="false" ht="17.15" hidden="false" customHeight="false" outlineLevel="0" collapsed="false">
      <c r="A12534" s="0" t="s">
        <v>1014</v>
      </c>
      <c r="B12534" s="0" t="s">
        <v>253</v>
      </c>
      <c r="F12534" s="7" t="n">
        <f aca="false">Sens!F12530-wacc</f>
        <v>-0.0600296254639064</v>
      </c>
      <c r="G12534" s="7" t="n">
        <f aca="false">Sens!G12530-wacc</f>
        <v>-0.0626176229002424</v>
      </c>
      <c r="H12534" s="7" t="n">
        <f aca="false">Sens!H12530-wacc</f>
        <v>-0.0721752828578106</v>
      </c>
      <c r="I12534" s="7" t="n">
        <f aca="false">Sens!I12530-wacc</f>
        <v>-0.0662853259217127</v>
      </c>
      <c r="J12534" s="7" t="n">
        <f aca="false">Sens!J12530-wacc</f>
        <v>-0.0611433250411932</v>
      </c>
      <c r="K12534" s="7" t="n">
        <f aca="false">Sens!K12530-wacc</f>
        <v>-0.0552160869040152</v>
      </c>
    </row>
    <row r="12535" customFormat="false" ht="17.15" hidden="false" customHeight="false" outlineLevel="0" collapsed="false">
      <c r="A12535" s="0" t="s">
        <v>1015</v>
      </c>
      <c r="B12535" s="0" t="s">
        <v>98</v>
      </c>
      <c r="F12535" s="6" t="n">
        <f aca="false">Sens!F12528*(1-tax_f)-wacc*(Sens!E12529+Sens!F12529)/2</f>
        <v>-11.6238565154813</v>
      </c>
      <c r="G12535" s="6" t="n">
        <f aca="false">Sens!G12528*(1-tax_f)-wacc*(Sens!F12529+Sens!G12529)/2</f>
        <v>-20.4244672240733</v>
      </c>
      <c r="H12535" s="6" t="n">
        <f aca="false">Sens!H12528*(1-tax_f)-wacc*(Sens!G12529+Sens!H12529)/2</f>
        <v>-32.163873277425</v>
      </c>
      <c r="I12535" s="6" t="n">
        <f aca="false">Sens!I12528*(1-tax_f)-wacc*(Sens!H12529+Sens!I12529)/2</f>
        <v>-34.9111844978462</v>
      </c>
      <c r="J12535" s="6" t="n">
        <f aca="false">Sens!J12528*(1-tax_f)-wacc*(Sens!I12529+Sens!J12529)/2</f>
        <v>-33.7712608743463</v>
      </c>
      <c r="K12535" s="6" t="n">
        <f aca="false">Sens!K12528*(1-tax_f)-wacc*(Sens!J12529+Sens!K12529)/2</f>
        <v>-29.7483128474176</v>
      </c>
    </row>
    <row r="12536" customFormat="false" ht="17.15" hidden="false" customHeight="false" outlineLevel="0" collapsed="false">
      <c r="A12536" s="3" t="s">
        <v>1793</v>
      </c>
    </row>
    <row r="12537" customFormat="false" ht="15" hidden="false" customHeight="false" outlineLevel="0" collapsed="false">
      <c r="A12537" s="4" t="s">
        <v>43</v>
      </c>
      <c r="B12537" s="4" t="s">
        <v>65</v>
      </c>
      <c r="C12537" s="23" t="s">
        <v>938</v>
      </c>
      <c r="D12537" s="23" t="s">
        <v>939</v>
      </c>
      <c r="E12537" s="23" t="s">
        <v>940</v>
      </c>
      <c r="F12537" s="23" t="s">
        <v>941</v>
      </c>
      <c r="G12537" s="23" t="s">
        <v>942</v>
      </c>
      <c r="H12537" s="23" t="s">
        <v>943</v>
      </c>
      <c r="I12537" s="23" t="s">
        <v>944</v>
      </c>
      <c r="J12537" s="23" t="s">
        <v>945</v>
      </c>
      <c r="K12537" s="23" t="s">
        <v>946</v>
      </c>
      <c r="L12537" s="4" t="s">
        <v>47</v>
      </c>
    </row>
    <row r="12538" customFormat="false" ht="15" hidden="false" customHeight="false" outlineLevel="0" collapsed="false">
      <c r="A12538" s="1" t="s">
        <v>1076</v>
      </c>
      <c r="B12538" s="0" t="s">
        <v>98</v>
      </c>
      <c r="F12538" s="6" t="n">
        <f aca="false">Sens!F12519</f>
        <v>141.538423996751</v>
      </c>
      <c r="G12538" s="6" t="n">
        <f aca="false">Sens!G12519</f>
        <v>143.843969673719</v>
      </c>
      <c r="H12538" s="6" t="n">
        <f aca="false">Sens!H12519</f>
        <v>145.661186206881</v>
      </c>
      <c r="I12538" s="6" t="n">
        <f aca="false">Sens!I12519</f>
        <v>153.849792239871</v>
      </c>
      <c r="J12538" s="6" t="n">
        <f aca="false">Sens!J12519</f>
        <v>163.379174664852</v>
      </c>
      <c r="K12538" s="6" t="n">
        <f aca="false">Sens!K12519</f>
        <v>174.136817358667</v>
      </c>
    </row>
    <row r="12539" customFormat="false" ht="17.15" hidden="false" customHeight="false" outlineLevel="0" collapsed="false">
      <c r="A12539" s="1" t="s">
        <v>1098</v>
      </c>
      <c r="B12539" s="0" t="s">
        <v>98</v>
      </c>
      <c r="E12539" s="6" t="n">
        <f aca="false">Q!M38-Sens!E12457</f>
        <v>22.2285940229167</v>
      </c>
      <c r="F12539" s="6" t="n">
        <f aca="false">Sens!E12539*(1-1/life_nonai)+(Sens!F12547+Sens!F12548)/life_nonai</f>
        <v>23.5885847579552</v>
      </c>
      <c r="G12539" s="6" t="n">
        <f aca="false">Sens!F12539*(1-1/life_nonai)+(Sens!G12547)/life_nonai</f>
        <v>25.3486878215874</v>
      </c>
      <c r="H12539" s="6" t="n">
        <f aca="false">Sens!G12539*(1-1/life_nonai)+(Sens!H12547)/life_nonai</f>
        <v>27.4778108488109</v>
      </c>
      <c r="I12539" s="6" t="n">
        <f aca="false">Sens!H12539*(1-1/life_nonai)+(Sens!I12547)/life_nonai</f>
        <v>29.919385528296</v>
      </c>
      <c r="J12539" s="6" t="n">
        <f aca="false">Sens!I12539*(1-1/life_nonai)+(Sens!J12547)/life_nonai</f>
        <v>32.5988046876917</v>
      </c>
      <c r="K12539" s="6" t="n">
        <f aca="false">Sens!J12539*(1-1/life_nonai)+(Sens!K12547)/life_nonai</f>
        <v>35.4319724572644</v>
      </c>
      <c r="L12539" s="12" t="s">
        <v>1099</v>
      </c>
    </row>
    <row r="12540" customFormat="false" ht="17.15" hidden="false" customHeight="false" outlineLevel="0" collapsed="false">
      <c r="A12540" s="1" t="s">
        <v>1100</v>
      </c>
      <c r="B12540" s="0" t="s">
        <v>98</v>
      </c>
      <c r="F12540" s="6" t="n">
        <f aca="false">Sens!$F$12548/life_nonai*(1-1/life_nonai)^(Sens!F12420-2027)</f>
        <v>0</v>
      </c>
      <c r="G12540" s="6" t="n">
        <f aca="false">Sens!$F$12548/life_nonai*(1-1/life_nonai)^(Sens!G12420-2027)</f>
        <v>0</v>
      </c>
      <c r="H12540" s="6" t="n">
        <f aca="false">Sens!$F$12548/life_nonai*(1-1/life_nonai)^(Sens!H12420-2027)</f>
        <v>0</v>
      </c>
      <c r="I12540" s="6" t="n">
        <f aca="false">Sens!$F$12548/life_nonai*(1-1/life_nonai)^(Sens!I12420-2027)</f>
        <v>0</v>
      </c>
      <c r="J12540" s="6" t="n">
        <f aca="false">Sens!$F$12548/life_nonai*(1-1/life_nonai)^(Sens!J12420-2027)</f>
        <v>0</v>
      </c>
      <c r="K12540" s="6" t="n">
        <f aca="false">Sens!$F$12548/life_nonai*(1-1/life_nonai)^(Sens!K12420-2027)</f>
        <v>0</v>
      </c>
      <c r="L12540" s="1" t="s">
        <v>1101</v>
      </c>
    </row>
    <row r="12541" customFormat="false" ht="17.15" hidden="false" customHeight="false" outlineLevel="0" collapsed="false">
      <c r="A12541" s="1" t="s">
        <v>1102</v>
      </c>
      <c r="B12541" s="0" t="s">
        <v>98</v>
      </c>
      <c r="E12541" s="6" t="n">
        <f aca="false">Sens!E12457+Sens!E12539</f>
        <v>38.534</v>
      </c>
      <c r="F12541" s="6" t="n">
        <f aca="false">Sens!F12457+Sens!F12539</f>
        <v>58.1678992363068</v>
      </c>
      <c r="G12541" s="6" t="n">
        <f aca="false">Sens!G12457+Sens!G12539</f>
        <v>86.0831784738863</v>
      </c>
      <c r="H12541" s="6" t="n">
        <f aca="false">Sens!H12457+Sens!H12539</f>
        <v>116.577901510257</v>
      </c>
      <c r="I12541" s="6" t="n">
        <f aca="false">Sens!I12457+Sens!I12539</f>
        <v>144.150395222844</v>
      </c>
      <c r="J12541" s="6" t="n">
        <f aca="false">Sens!J12457+Sens!J12539</f>
        <v>164.614477737288</v>
      </c>
      <c r="K12541" s="6" t="n">
        <f aca="false">Sens!K12457+Sens!K12539</f>
        <v>178.444642008199</v>
      </c>
    </row>
    <row r="12542" customFormat="false" ht="17.15" hidden="false" customHeight="false" outlineLevel="0" collapsed="false">
      <c r="A12542" s="1" t="s">
        <v>1103</v>
      </c>
      <c r="B12542" s="0" t="s">
        <v>98</v>
      </c>
      <c r="F12542" s="6" t="n">
        <f aca="false">Sens!F12484*sbc_r</f>
        <v>14.748522064974</v>
      </c>
      <c r="G12542" s="6" t="n">
        <f aca="false">Sens!G12484*sbc_r</f>
        <v>17.1667888464483</v>
      </c>
      <c r="H12542" s="6" t="n">
        <f aca="false">Sens!H12484*sbc_r</f>
        <v>19.432974854878</v>
      </c>
      <c r="I12542" s="6" t="n">
        <f aca="false">Sens!I12484*sbc_r</f>
        <v>21.8019905737179</v>
      </c>
      <c r="J12542" s="6" t="n">
        <f aca="false">Sens!J12484*sbc_r</f>
        <v>23.79807542534</v>
      </c>
      <c r="K12542" s="6" t="n">
        <f aca="false">Sens!K12484*sbc_r</f>
        <v>25.4359596790358</v>
      </c>
    </row>
    <row r="12543" customFormat="false" ht="17.15" hidden="false" customHeight="false" outlineLevel="0" collapsed="false">
      <c r="A12543" s="1" t="s">
        <v>1104</v>
      </c>
      <c r="B12543" s="0" t="s">
        <v>98</v>
      </c>
      <c r="F12543" s="6" t="n">
        <f aca="false">wc27-wc26q1</f>
        <v>-4.677</v>
      </c>
      <c r="G12543" s="6" t="n">
        <f aca="false">wc_f</f>
        <v>0</v>
      </c>
      <c r="H12543" s="6" t="n">
        <f aca="false">wc_f</f>
        <v>0</v>
      </c>
      <c r="I12543" s="6" t="n">
        <f aca="false">wc_f</f>
        <v>0</v>
      </c>
      <c r="J12543" s="6" t="n">
        <f aca="false">wc_f</f>
        <v>0</v>
      </c>
      <c r="K12543" s="6" t="n">
        <f aca="false">wc_f</f>
        <v>0</v>
      </c>
      <c r="L12543" s="12" t="s">
        <v>1105</v>
      </c>
    </row>
    <row r="12544" customFormat="false" ht="17.15" hidden="false" customHeight="false" outlineLevel="0" collapsed="false">
      <c r="A12544" s="0" t="s">
        <v>1106</v>
      </c>
      <c r="B12544" s="0" t="s">
        <v>98</v>
      </c>
      <c r="F12544" s="6" t="n">
        <f aca="false">Q!$I$35-Q!$I$26-Q!$I$38-Q!$I$39</f>
        <v>6.493</v>
      </c>
      <c r="L12544" s="1" t="s">
        <v>1107</v>
      </c>
    </row>
    <row r="12545" customFormat="false" ht="15" hidden="false" customHeight="false" outlineLevel="0" collapsed="false">
      <c r="A12545" s="1" t="s">
        <v>904</v>
      </c>
      <c r="B12545" s="0" t="s">
        <v>98</v>
      </c>
      <c r="E12545" s="6" t="n">
        <f aca="false">Q!M35</f>
        <v>182.935</v>
      </c>
      <c r="F12545" s="6" t="n">
        <f aca="false">Sens!F12538+Sens!F12541+Sens!F12542+Sens!F12543+Sens!F12544</f>
        <v>216.270845298031</v>
      </c>
      <c r="G12545" s="6" t="n">
        <f aca="false">Sens!G12538+Sens!G12541+Sens!G12542+Sens!G12543</f>
        <v>247.093936994054</v>
      </c>
      <c r="H12545" s="6" t="n">
        <f aca="false">Sens!H12538+Sens!H12541+Sens!H12542+Sens!H12543</f>
        <v>281.672062572015</v>
      </c>
      <c r="I12545" s="6" t="n">
        <f aca="false">Sens!I12538+Sens!I12541+Sens!I12542+Sens!I12543</f>
        <v>319.802178036433</v>
      </c>
      <c r="J12545" s="6" t="n">
        <f aca="false">Sens!J12538+Sens!J12541+Sens!J12542+Sens!J12543</f>
        <v>351.791727827479</v>
      </c>
      <c r="K12545" s="6" t="n">
        <f aca="false">Sens!K12538+Sens!K12541+Sens!K12542+Sens!K12543</f>
        <v>378.017419045901</v>
      </c>
    </row>
    <row r="12546" customFormat="false" ht="17.15" hidden="false" customHeight="false" outlineLevel="0" collapsed="false">
      <c r="A12546" s="0" t="s">
        <v>1108</v>
      </c>
      <c r="B12546" s="0" t="s">
        <v>98</v>
      </c>
      <c r="F12546" s="6" t="n">
        <f aca="false">Sens!F12454</f>
        <v>168.45390404212</v>
      </c>
      <c r="G12546" s="6" t="n">
        <f aca="false">Sens!G12454</f>
        <v>191.944475649048</v>
      </c>
      <c r="H12546" s="6" t="n">
        <f aca="false">Sens!H12454</f>
        <v>196.806004064512</v>
      </c>
      <c r="I12546" s="6" t="n">
        <f aca="false">Sens!I12454</f>
        <v>168.61483362161</v>
      </c>
      <c r="J12546" s="6" t="n">
        <f aca="false">Sens!J12454</f>
        <v>128.92993119594</v>
      </c>
      <c r="K12546" s="6" t="n">
        <f aca="false">Sens!K12454</f>
        <v>118.962853064733</v>
      </c>
    </row>
    <row r="12547" customFormat="false" ht="17.15" hidden="false" customHeight="false" outlineLevel="0" collapsed="false">
      <c r="A12547" s="1" t="s">
        <v>1109</v>
      </c>
      <c r="B12547" s="0" t="s">
        <v>98</v>
      </c>
      <c r="E12547" s="6" t="n">
        <f aca="false">Sens!E12462*cx_azo+Sens!E12469*cx_m365+Sens!E12470*cx_lic+(Sens!E12472+Sens!E12474)*cx_ind+Sens!E12477*cx_srch+(Sens!E12479+Sens!E12481)*cx_dev</f>
        <v>30.1846587067718</v>
      </c>
      <c r="F12547" s="6" t="n">
        <f aca="false">Sens!F12462*cx_azo+Sens!F12469*cx_m365+Sens!F12470*cx_lic+(Sens!F12472+Sens!F12474)*cx_ind+Sens!F12477*cx_srch+(Sens!F12479+Sens!F12481)*cx_dev</f>
        <v>35.828501373302</v>
      </c>
      <c r="G12547" s="6" t="n">
        <f aca="false">Sens!G12462*cx_azo+Sens!G12469*cx_m365+Sens!G12470*cx_lic+(Sens!G12472+Sens!G12474)*cx_ind+Sens!G12477*cx_srch+(Sens!G12479+Sens!G12481)*cx_dev</f>
        <v>41.189615394277</v>
      </c>
      <c r="H12547" s="6" t="n">
        <f aca="false">Sens!H12462*cx_azo+Sens!H12469*cx_m365+Sens!H12470*cx_lic+(Sens!H12472+Sens!H12474)*cx_ind+Sens!H12477*cx_srch+(Sens!H12479+Sens!H12481)*cx_dev</f>
        <v>46.6399180938229</v>
      </c>
      <c r="I12547" s="6" t="n">
        <f aca="false">Sens!I12462*cx_azo+Sens!I12469*cx_m365+Sens!I12470*cx_lic+(Sens!I12472+Sens!I12474)*cx_ind+Sens!I12477*cx_srch+(Sens!I12479+Sens!I12481)*cx_dev</f>
        <v>51.8935576436615</v>
      </c>
      <c r="J12547" s="6" t="n">
        <f aca="false">Sens!J12462*cx_azo+Sens!J12469*cx_m365+Sens!J12470*cx_lic+(Sens!J12472+Sens!J12474)*cx_ind+Sens!J12477*cx_srch+(Sens!J12479+Sens!J12481)*cx_dev</f>
        <v>56.7135771222529</v>
      </c>
      <c r="K12547" s="6" t="n">
        <f aca="false">Sens!K12462*cx_azo+Sens!K12469*cx_m365+Sens!K12470*cx_lic+(Sens!K12472+Sens!K12474)*cx_ind+Sens!K12477*cx_srch+(Sens!K12479+Sens!K12481)*cx_dev</f>
        <v>60.9304823834193</v>
      </c>
    </row>
    <row r="12548" customFormat="false" ht="17.15" hidden="false" customHeight="false" outlineLevel="0" collapsed="false">
      <c r="A12548" s="0" t="s">
        <v>1110</v>
      </c>
      <c r="B12548" s="0" t="s">
        <v>98</v>
      </c>
      <c r="F12548" s="6" t="n">
        <f aca="false">Sens!F12452</f>
        <v>0</v>
      </c>
      <c r="L12548" s="1" t="s">
        <v>1111</v>
      </c>
    </row>
    <row r="12549" customFormat="false" ht="17.15" hidden="false" customHeight="false" outlineLevel="0" collapsed="false">
      <c r="A12549" s="1" t="s">
        <v>1112</v>
      </c>
      <c r="B12549" s="0" t="s">
        <v>98</v>
      </c>
      <c r="E12549" s="6" t="n">
        <f aca="false">Q!M43</f>
        <v>145.3</v>
      </c>
      <c r="F12549" s="6" t="n">
        <f aca="false">Sens!F12546+Sens!F12547+Sens!F12548</f>
        <v>204.282405415422</v>
      </c>
      <c r="G12549" s="6" t="n">
        <f aca="false">Sens!G12546+Sens!G12547</f>
        <v>233.134091043325</v>
      </c>
      <c r="H12549" s="6" t="n">
        <f aca="false">Sens!H12546+Sens!H12547</f>
        <v>243.445922158335</v>
      </c>
      <c r="I12549" s="6" t="n">
        <f aca="false">Sens!I12546+Sens!I12547</f>
        <v>220.508391265272</v>
      </c>
      <c r="J12549" s="6" t="n">
        <f aca="false">Sens!J12546+Sens!J12547</f>
        <v>185.643508318193</v>
      </c>
      <c r="K12549" s="6" t="n">
        <f aca="false">Sens!K12546+Sens!K12547</f>
        <v>179.893335448152</v>
      </c>
      <c r="L12549" s="1" t="s">
        <v>1113</v>
      </c>
    </row>
    <row r="12550" customFormat="false" ht="15" hidden="false" customHeight="false" outlineLevel="0" collapsed="false">
      <c r="A12550" s="1" t="s">
        <v>1114</v>
      </c>
      <c r="B12550" s="0" t="s">
        <v>98</v>
      </c>
      <c r="E12550" s="6" t="n">
        <f aca="false">fl_liab</f>
        <v>66.594</v>
      </c>
      <c r="F12550" s="6" t="n">
        <f aca="false">Sens!E12550-Sens!F12551</f>
        <v>62.46973</v>
      </c>
      <c r="G12550" s="6" t="n">
        <f aca="false">Sens!F12550-Sens!G12551</f>
        <v>57.98686785</v>
      </c>
      <c r="H12550" s="6" t="n">
        <f aca="false">Sens!G12550-Sens!H12551</f>
        <v>53.92827690325</v>
      </c>
      <c r="I12550" s="6" t="n">
        <f aca="false">Sens!H12550-Sens!I12551</f>
        <v>49.7850493638962</v>
      </c>
      <c r="J12550" s="6" t="n">
        <f aca="false">Sens!I12550-Sens!J12551</f>
        <v>45.4823765852716</v>
      </c>
      <c r="K12550" s="6" t="n">
        <f aca="false">Sens!J12550-Sens!K12551</f>
        <v>40.9860835316088</v>
      </c>
    </row>
    <row r="12551" customFormat="false" ht="15" hidden="false" customHeight="false" outlineLevel="0" collapsed="false">
      <c r="A12551" s="1" t="s">
        <v>1115</v>
      </c>
      <c r="B12551" s="0" t="s">
        <v>98</v>
      </c>
      <c r="F12551" s="6" t="n">
        <f aca="false">fl_pay_27-Sens!E12550*fl_rate</f>
        <v>4.12427</v>
      </c>
      <c r="G12551" s="6" t="n">
        <f aca="false">fl_pay_28-Sens!F12550*fl_rate</f>
        <v>4.48286215</v>
      </c>
      <c r="H12551" s="6" t="n">
        <f aca="false">fl_pay_29-Sens!G12550*fl_rate</f>
        <v>4.05859094675</v>
      </c>
      <c r="I12551" s="6" t="n">
        <f aca="false">fl_pay_30-Sens!H12550*fl_rate</f>
        <v>4.14322753935375</v>
      </c>
      <c r="J12551" s="6" t="n">
        <f aca="false">fl_pay_31-Sens!I12550*fl_rate</f>
        <v>4.30267277862467</v>
      </c>
      <c r="K12551" s="6" t="n">
        <f aca="false">fl_pay_32-Sens!J12550*fl_rate</f>
        <v>4.49629305366278</v>
      </c>
    </row>
    <row r="12552" customFormat="false" ht="17.15" hidden="false" customHeight="false" outlineLevel="0" collapsed="false">
      <c r="A12552" s="1" t="s">
        <v>1116</v>
      </c>
      <c r="B12552" s="0" t="s">
        <v>98</v>
      </c>
      <c r="E12552" s="6" t="n">
        <f aca="false">Q!M35-Q!M36-Q!M44</f>
        <v>63.886</v>
      </c>
      <c r="F12552" s="6" t="n">
        <f aca="false">Sens!F12545-Sens!F12549-Sens!F12551</f>
        <v>7.86416988260987</v>
      </c>
      <c r="G12552" s="6" t="n">
        <f aca="false">Sens!G12545-Sens!G12549-Sens!G12551</f>
        <v>9.47698380072892</v>
      </c>
      <c r="H12552" s="6" t="n">
        <f aca="false">Sens!H12545-Sens!H12549-Sens!H12551</f>
        <v>34.16754946693</v>
      </c>
      <c r="I12552" s="6" t="n">
        <f aca="false">Sens!I12545-Sens!I12549-Sens!I12551</f>
        <v>95.1505592318072</v>
      </c>
      <c r="J12552" s="6" t="n">
        <f aca="false">Sens!J12545-Sens!J12549-Sens!J12551</f>
        <v>161.845546730661</v>
      </c>
      <c r="K12552" s="6" t="n">
        <f aca="false">Sens!K12545-Sens!K12549-Sens!K12551</f>
        <v>193.627790544086</v>
      </c>
      <c r="L12552" s="12" t="s">
        <v>1117</v>
      </c>
    </row>
    <row r="12553" customFormat="false" ht="15" hidden="false" customHeight="false" outlineLevel="0" collapsed="false">
      <c r="A12553" s="1" t="s">
        <v>1118</v>
      </c>
      <c r="B12553" s="0" t="s">
        <v>75</v>
      </c>
      <c r="F12553" s="8" t="n">
        <f aca="false">dps_27</f>
        <v>3.85</v>
      </c>
      <c r="G12553" s="8" t="n">
        <f aca="false">Sens!F12553*(1+dps_g)</f>
        <v>4.158</v>
      </c>
      <c r="H12553" s="8" t="n">
        <f aca="false">Sens!G12553*(1+dps_g)</f>
        <v>4.49064</v>
      </c>
      <c r="I12553" s="8" t="n">
        <f aca="false">Sens!H12553*(1+dps_g)</f>
        <v>4.8498912</v>
      </c>
      <c r="J12553" s="8" t="n">
        <f aca="false">Sens!I12553*(1+dps_g)</f>
        <v>5.237882496</v>
      </c>
      <c r="K12553" s="8" t="n">
        <f aca="false">Sens!J12553*(1+dps_g)</f>
        <v>5.65691309568</v>
      </c>
    </row>
    <row r="12554" customFormat="false" ht="17.15" hidden="false" customHeight="false" outlineLevel="0" collapsed="false">
      <c r="A12554" s="1" t="s">
        <v>1119</v>
      </c>
      <c r="B12554" s="0" t="s">
        <v>98</v>
      </c>
      <c r="E12554" s="6" t="n">
        <f aca="false">Q!M41</f>
        <v>26.445</v>
      </c>
      <c r="F12554" s="6" t="n">
        <f aca="false">Sens!F12553*Sens!E12563</f>
        <v>28.59395</v>
      </c>
      <c r="G12554" s="6" t="n">
        <f aca="false">Sens!G12553*Sens!F12563</f>
        <v>31.068576</v>
      </c>
      <c r="H12554" s="6" t="n">
        <f aca="false">Sens!H12553*Sens!G12563</f>
        <v>33.75614088</v>
      </c>
      <c r="I12554" s="6" t="n">
        <f aca="false">Sens!I12553*Sens!H12563</f>
        <v>36.6748772544</v>
      </c>
      <c r="J12554" s="6" t="n">
        <f aca="false">Sens!J12553*Sens!I12563</f>
        <v>39.6767653201446</v>
      </c>
      <c r="K12554" s="6" t="n">
        <f aca="false">Sens!K12553*Sens!J12563</f>
        <v>42.9376608081345</v>
      </c>
      <c r="L12554" s="1" t="s">
        <v>1120</v>
      </c>
    </row>
    <row r="12555" customFormat="false" ht="15" hidden="false" customHeight="false" outlineLevel="0" collapsed="false">
      <c r="A12555" s="1" t="s">
        <v>1121</v>
      </c>
      <c r="B12555" s="0" t="s">
        <v>98</v>
      </c>
      <c r="E12555" s="6" t="n">
        <f aca="false">Sens!E12552-Sens!E12554</f>
        <v>37.441</v>
      </c>
      <c r="F12555" s="6" t="n">
        <f aca="false">Sens!F12552-Sens!F12554</f>
        <v>-20.7297801173901</v>
      </c>
      <c r="G12555" s="6" t="n">
        <f aca="false">Sens!G12552-Sens!G12554</f>
        <v>-21.5915921992711</v>
      </c>
      <c r="H12555" s="6" t="n">
        <f aca="false">Sens!H12552-Sens!H12554</f>
        <v>0.411408586929952</v>
      </c>
      <c r="I12555" s="6" t="n">
        <f aca="false">Sens!I12552-Sens!I12554</f>
        <v>58.4756819774072</v>
      </c>
      <c r="J12555" s="6" t="n">
        <f aca="false">Sens!J12552-Sens!J12554</f>
        <v>122.168781410517</v>
      </c>
      <c r="K12555" s="6" t="n">
        <f aca="false">Sens!K12552-Sens!K12554</f>
        <v>150.690129735952</v>
      </c>
    </row>
    <row r="12556" customFormat="false" ht="15" hidden="false" customHeight="false" outlineLevel="0" collapsed="false">
      <c r="A12556" s="1" t="s">
        <v>1122</v>
      </c>
      <c r="B12556" s="0" t="s">
        <v>98</v>
      </c>
      <c r="F12556" s="6" t="n">
        <f aca="false">debt_mat_27</f>
        <v>9.25</v>
      </c>
      <c r="G12556" s="6" t="n">
        <f aca="false">debt_mat_28</f>
        <v>0</v>
      </c>
      <c r="H12556" s="6" t="n">
        <f aca="false">debt_mat_29</f>
        <v>2.001</v>
      </c>
      <c r="I12556" s="6" t="n">
        <f aca="false">debt_mat_30</f>
        <v>0</v>
      </c>
      <c r="J12556" s="6" t="n">
        <f aca="false">debt_mat_31</f>
        <v>0.5</v>
      </c>
      <c r="K12556" s="6" t="n">
        <f aca="false">debt_mat_32</f>
        <v>0</v>
      </c>
    </row>
    <row r="12557" customFormat="false" ht="15" hidden="false" customHeight="false" outlineLevel="0" collapsed="false">
      <c r="A12557" s="1" t="s">
        <v>1123</v>
      </c>
      <c r="B12557" s="0" t="s">
        <v>98</v>
      </c>
      <c r="E12557" s="6" t="n">
        <f aca="false">Q!M40</f>
        <v>22.271</v>
      </c>
      <c r="F12557" s="6" t="n">
        <f aca="false">MAX(0,MIN(bb_target,Sens!E12559+Sens!F12555-Sens!F12556-min_cash))</f>
        <v>0</v>
      </c>
      <c r="G12557" s="6" t="n">
        <f aca="false">MAX(0,MIN(bb_target,Sens!F12559+Sens!G12555-Sens!G12556-min_cash))</f>
        <v>0</v>
      </c>
      <c r="H12557" s="6" t="n">
        <f aca="false">MAX(0,MIN(bb_target,Sens!G12559+Sens!H12555-Sens!H12556-min_cash))</f>
        <v>0</v>
      </c>
      <c r="I12557" s="6" t="n">
        <f aca="false">MAX(0,MIN(bb_target,Sens!H12559+Sens!I12555-Sens!I12556-min_cash))</f>
        <v>22.271</v>
      </c>
      <c r="J12557" s="6" t="n">
        <f aca="false">MAX(0,MIN(bb_target,Sens!I12559+Sens!J12555-Sens!J12556-min_cash))</f>
        <v>22.271</v>
      </c>
      <c r="K12557" s="6" t="n">
        <f aca="false">MAX(0,MIN(bb_target,Sens!J12559+Sens!K12555-Sens!K12556-min_cash))</f>
        <v>22.271</v>
      </c>
    </row>
    <row r="12558" customFormat="false" ht="15" hidden="false" customHeight="false" outlineLevel="0" collapsed="false">
      <c r="A12558" s="1" t="s">
        <v>1124</v>
      </c>
      <c r="B12558" s="0" t="s">
        <v>98</v>
      </c>
      <c r="F12558" s="6" t="n">
        <f aca="false">MAX(0,min_cash-(Sens!E12559+Sens!F12555-Sens!F12556-Sens!F12557))</f>
        <v>3.13678011739013</v>
      </c>
      <c r="G12558" s="6" t="n">
        <f aca="false">MAX(0,min_cash-(Sens!F12559+Sens!G12555-Sens!G12556-Sens!G12557))</f>
        <v>21.5915921992711</v>
      </c>
      <c r="H12558" s="6" t="n">
        <f aca="false">MAX(0,min_cash-(Sens!G12559+Sens!H12555-Sens!H12556-Sens!H12557))</f>
        <v>1.58959141307005</v>
      </c>
      <c r="I12558" s="6" t="n">
        <f aca="false">MAX(0,min_cash-(Sens!H12559+Sens!I12555-Sens!I12556-Sens!I12557))</f>
        <v>0</v>
      </c>
      <c r="J12558" s="6" t="n">
        <f aca="false">MAX(0,min_cash-(Sens!I12559+Sens!J12555-Sens!J12556-Sens!J12557))</f>
        <v>0</v>
      </c>
      <c r="K12558" s="6" t="n">
        <f aca="false">MAX(0,min_cash-(Sens!J12559+Sens!K12555-Sens!K12556-Sens!K12557))</f>
        <v>0</v>
      </c>
    </row>
    <row r="12559" customFormat="false" ht="15" hidden="false" customHeight="false" outlineLevel="0" collapsed="false">
      <c r="A12559" s="1" t="s">
        <v>1125</v>
      </c>
      <c r="B12559" s="0" t="s">
        <v>98</v>
      </c>
      <c r="E12559" s="6" t="n">
        <f aca="false">cash_open</f>
        <v>76.843</v>
      </c>
      <c r="F12559" s="6" t="n">
        <f aca="false">Sens!E12559+Sens!F12555-Sens!F12556-Sens!F12557+Sens!F12558</f>
        <v>50</v>
      </c>
      <c r="G12559" s="6" t="n">
        <f aca="false">Sens!F12559+Sens!G12555-Sens!G12556-Sens!G12557+Sens!G12558</f>
        <v>50</v>
      </c>
      <c r="H12559" s="6" t="n">
        <f aca="false">Sens!G12559+Sens!H12555-Sens!H12556-Sens!H12557+Sens!H12558</f>
        <v>50</v>
      </c>
      <c r="I12559" s="6" t="n">
        <f aca="false">Sens!H12559+Sens!I12555-Sens!I12556-Sens!I12557+Sens!I12558</f>
        <v>86.2046819774072</v>
      </c>
      <c r="J12559" s="6" t="n">
        <f aca="false">Sens!I12559+Sens!J12555-Sens!J12556-Sens!J12557+Sens!J12558</f>
        <v>185.602463387924</v>
      </c>
      <c r="K12559" s="6" t="n">
        <f aca="false">Sens!J12559+Sens!K12555-Sens!K12556-Sens!K12557+Sens!K12558</f>
        <v>314.021593123876</v>
      </c>
    </row>
    <row r="12560" customFormat="false" ht="15" hidden="false" customHeight="false" outlineLevel="0" collapsed="false">
      <c r="A12560" s="1" t="s">
        <v>1126</v>
      </c>
      <c r="B12560" s="0" t="s">
        <v>98</v>
      </c>
      <c r="E12560" s="6" t="n">
        <f aca="false">debt_face</f>
        <v>46.136</v>
      </c>
      <c r="F12560" s="6" t="n">
        <f aca="false">Sens!E12560-Sens!F12556+Sens!F12558</f>
        <v>40.0227801173901</v>
      </c>
      <c r="G12560" s="6" t="n">
        <f aca="false">Sens!F12560-Sens!G12556+Sens!G12558</f>
        <v>61.6143723166612</v>
      </c>
      <c r="H12560" s="6" t="n">
        <f aca="false">Sens!G12560-Sens!H12556+Sens!H12558</f>
        <v>61.2029637297313</v>
      </c>
      <c r="I12560" s="6" t="n">
        <f aca="false">Sens!H12560-Sens!I12556+Sens!I12558</f>
        <v>61.2029637297313</v>
      </c>
      <c r="J12560" s="6" t="n">
        <f aca="false">Sens!I12560-Sens!J12556+Sens!J12558</f>
        <v>60.7029637297313</v>
      </c>
      <c r="K12560" s="6" t="n">
        <f aca="false">Sens!J12560-Sens!K12556+Sens!K12558</f>
        <v>60.7029637297313</v>
      </c>
    </row>
    <row r="12561" customFormat="false" ht="15" hidden="false" customHeight="false" outlineLevel="0" collapsed="false">
      <c r="A12561" s="1" t="s">
        <v>1127</v>
      </c>
      <c r="B12561" s="0" t="s">
        <v>98</v>
      </c>
      <c r="E12561" s="6" t="n">
        <f aca="false">Sens!E12559-Sens!E12560</f>
        <v>30.707</v>
      </c>
      <c r="F12561" s="6" t="n">
        <f aca="false">Sens!F12559-Sens!F12560</f>
        <v>9.97721988260987</v>
      </c>
      <c r="G12561" s="6" t="n">
        <f aca="false">Sens!G12559-Sens!G12560</f>
        <v>-11.6143723166612</v>
      </c>
      <c r="H12561" s="6" t="n">
        <f aca="false">Sens!H12559-Sens!H12560</f>
        <v>-11.2029637297313</v>
      </c>
      <c r="I12561" s="6" t="n">
        <f aca="false">Sens!I12559-Sens!I12560</f>
        <v>25.001718247676</v>
      </c>
      <c r="J12561" s="6" t="n">
        <f aca="false">Sens!J12559-Sens!J12560</f>
        <v>124.899499658193</v>
      </c>
      <c r="K12561" s="6" t="n">
        <f aca="false">Sens!K12559-Sens!K12560</f>
        <v>253.318629394144</v>
      </c>
    </row>
    <row r="12562" customFormat="false" ht="15" hidden="false" customHeight="false" outlineLevel="0" collapsed="false">
      <c r="A12562" s="1" t="s">
        <v>1128</v>
      </c>
      <c r="B12562" s="0" t="s">
        <v>75</v>
      </c>
      <c r="F12562" s="30" t="n">
        <f aca="false">px*(1+bb_g)^(Sens!F12420-base_fy-mid_yr)</f>
        <v>551.84177959629</v>
      </c>
      <c r="G12562" s="30" t="n">
        <f aca="false">px*(1+bb_g)^(Sens!G12420-base_fy-mid_yr)</f>
        <v>595.989121963993</v>
      </c>
      <c r="H12562" s="30" t="n">
        <f aca="false">px*(1+bb_g)^(Sens!H12420-base_fy-mid_yr)</f>
        <v>643.668251721112</v>
      </c>
      <c r="I12562" s="30" t="n">
        <f aca="false">px*(1+bb_g)^(Sens!I12420-base_fy-mid_yr)</f>
        <v>695.161711858801</v>
      </c>
      <c r="J12562" s="30" t="n">
        <f aca="false">px*(1+bb_g)^(Sens!J12420-base_fy-mid_yr)</f>
        <v>750.774648807506</v>
      </c>
      <c r="K12562" s="30" t="n">
        <f aca="false">px*(1+bb_g)^(Sens!K12420-base_fy-mid_yr)</f>
        <v>810.836620712106</v>
      </c>
    </row>
    <row r="12563" customFormat="false" ht="15" hidden="false" customHeight="false" outlineLevel="0" collapsed="false">
      <c r="A12563" s="1" t="s">
        <v>1129</v>
      </c>
      <c r="B12563" s="1" t="s">
        <v>81</v>
      </c>
      <c r="E12563" s="15" t="n">
        <f aca="false">sh_out26</f>
        <v>7.427</v>
      </c>
      <c r="F12563" s="15" t="n">
        <f aca="false">Sens!E12563+sh_iss-Sens!F12557/Sens!F12562</f>
        <v>7.472</v>
      </c>
      <c r="G12563" s="15" t="n">
        <f aca="false">Sens!F12563+sh_iss-Sens!G12557/Sens!G12562</f>
        <v>7.517</v>
      </c>
      <c r="H12563" s="15" t="n">
        <f aca="false">Sens!G12563+sh_iss-Sens!H12557/Sens!H12562</f>
        <v>7.562</v>
      </c>
      <c r="I12563" s="15" t="n">
        <f aca="false">Sens!H12563+sh_iss-Sens!I12557/Sens!I12562</f>
        <v>7.57496285005334</v>
      </c>
      <c r="J12563" s="15" t="n">
        <f aca="false">Sens!I12563+sh_iss-Sens!J12557/Sens!J12562</f>
        <v>7.59029882232494</v>
      </c>
      <c r="K12563" s="15" t="n">
        <f aca="false">Sens!J12563+sh_iss-Sens!K12557/Sens!K12562</f>
        <v>7.60783212998384</v>
      </c>
    </row>
    <row r="12564" customFormat="false" ht="15" hidden="false" customHeight="false" outlineLevel="0" collapsed="false">
      <c r="A12564" s="1" t="s">
        <v>1130</v>
      </c>
      <c r="B12564" s="1" t="s">
        <v>81</v>
      </c>
      <c r="E12564" s="15" t="n">
        <f aca="false">sh_dil26</f>
        <v>7.453</v>
      </c>
      <c r="F12564" s="15" t="n">
        <f aca="false">(Sens!E12563+Sens!F12563)/2+dil_gap</f>
        <v>7.4735</v>
      </c>
      <c r="G12564" s="15" t="n">
        <f aca="false">(Sens!F12563+Sens!G12563)/2+dil_gap</f>
        <v>7.5185</v>
      </c>
      <c r="H12564" s="15" t="n">
        <f aca="false">(Sens!G12563+Sens!H12563)/2+dil_gap</f>
        <v>7.5635</v>
      </c>
      <c r="I12564" s="15" t="n">
        <f aca="false">(Sens!H12563+Sens!I12563)/2+dil_gap</f>
        <v>7.59248142502667</v>
      </c>
      <c r="J12564" s="15" t="n">
        <f aca="false">(Sens!I12563+Sens!J12563)/2+dil_gap</f>
        <v>7.60663083618914</v>
      </c>
      <c r="K12564" s="15" t="n">
        <f aca="false">(Sens!J12563+Sens!K12563)/2+dil_gap</f>
        <v>7.62306547615439</v>
      </c>
    </row>
    <row r="12565" customFormat="false" ht="17.15" hidden="false" customHeight="false" outlineLevel="0" collapsed="false">
      <c r="A12565" s="1" t="s">
        <v>1131</v>
      </c>
      <c r="B12565" s="0" t="s">
        <v>98</v>
      </c>
      <c r="C12565" s="6" t="n">
        <f aca="false">SUM(Sens!F12555:J12555)</f>
        <v>138.734499658193</v>
      </c>
    </row>
    <row r="12566" customFormat="false" ht="15" hidden="false" customHeight="false" outlineLevel="0" collapsed="false">
      <c r="A12566" s="26" t="s">
        <v>1096</v>
      </c>
      <c r="B12566" s="31" t="s">
        <v>98</v>
      </c>
      <c r="C12566" s="27" t="n">
        <f aca="false">Sens!$C$12565-(Sens!F12555+Sens!G12555+Sens!H12555+Sens!I12555+Sens!J12555)</f>
        <v>0</v>
      </c>
      <c r="D12566" s="31"/>
      <c r="E12566" s="31"/>
      <c r="F12566" s="31"/>
      <c r="G12566" s="31"/>
      <c r="H12566" s="31"/>
      <c r="I12566" s="31"/>
      <c r="J12566" s="31"/>
      <c r="K12566" s="31"/>
    </row>
    <row r="12567" customFormat="false" ht="17.15" hidden="false" customHeight="false" outlineLevel="0" collapsed="false">
      <c r="A12567" s="1" t="s">
        <v>1090</v>
      </c>
      <c r="B12567" s="1" t="s">
        <v>1132</v>
      </c>
      <c r="C12567" s="33" t="str">
        <f aca="false">IF(SUM(Sens!F12558:J12558)&gt;0.05,"需要舉債 "&amp;TEXT(SUM(Sens!F12558:J12558),"0.0")&amp;" 十億美元","不需舉債")&amp;"；"&amp;IF(SUM(Sens!F12557:J12557)&lt;COUNT(Sens!F12557:J12557)*bb_target-0.05,"回購較每年 "&amp;TEXT(bb_target,"0.0")&amp;" 的目標少 "&amp;TEXT(COUNT(Sens!F12557:J12557)*bb_target-SUM(Sens!F12557:J12557),"0.0")&amp;" 十億美元（"&amp;TEXT(COUNTIF(Sens!F12557:J12557,"&lt;"&amp;(bb_target-0.05)),"0")&amp;" 年減少）","回購不減")</f>
        <v>需要舉債 26.3 十億美元；回購較每年 22.3 的目標少 66.8 十億美元（3 年減少）</v>
      </c>
    </row>
    <row r="12568" customFormat="false" ht="17.15" hidden="false" customHeight="false" outlineLevel="0" collapsed="false">
      <c r="A12568" s="3" t="s">
        <v>1794</v>
      </c>
    </row>
    <row r="12569" customFormat="false" ht="15" hidden="false" customHeight="false" outlineLevel="0" collapsed="false">
      <c r="A12569" s="4" t="s">
        <v>43</v>
      </c>
      <c r="B12569" s="4" t="s">
        <v>65</v>
      </c>
      <c r="C12569" s="23" t="s">
        <v>938</v>
      </c>
      <c r="D12569" s="23" t="s">
        <v>939</v>
      </c>
      <c r="E12569" s="23" t="s">
        <v>940</v>
      </c>
      <c r="F12569" s="23" t="s">
        <v>941</v>
      </c>
      <c r="G12569" s="23" t="s">
        <v>942</v>
      </c>
      <c r="H12569" s="23" t="s">
        <v>943</v>
      </c>
      <c r="I12569" s="23" t="s">
        <v>944</v>
      </c>
      <c r="J12569" s="23" t="s">
        <v>945</v>
      </c>
      <c r="K12569" s="23" t="s">
        <v>946</v>
      </c>
      <c r="L12569" s="4" t="s">
        <v>47</v>
      </c>
    </row>
    <row r="12570" customFormat="false" ht="17.15" hidden="false" customHeight="false" outlineLevel="0" collapsed="false">
      <c r="A12570" s="1" t="s">
        <v>1212</v>
      </c>
      <c r="B12570" s="1" t="s">
        <v>279</v>
      </c>
      <c r="F12570" s="8" t="n">
        <f aca="false">(1-v_off)*mid_yr</f>
        <v>0.373972602739726</v>
      </c>
      <c r="G12570" s="8" t="n">
        <f aca="false">Sens!G12420-base_fy-mid_yr-v_off</f>
        <v>1.24794520547945</v>
      </c>
      <c r="H12570" s="8" t="n">
        <f aca="false">Sens!H12420-base_fy-mid_yr-v_off</f>
        <v>2.24794520547945</v>
      </c>
      <c r="I12570" s="8" t="n">
        <f aca="false">Sens!I12420-base_fy-mid_yr-v_off</f>
        <v>3.24794520547945</v>
      </c>
      <c r="J12570" s="8" t="n">
        <f aca="false">Sens!J12420-base_fy-mid_yr-v_off</f>
        <v>4.24794520547945</v>
      </c>
      <c r="K12570" s="8" t="n">
        <f aca="false">Sens!K12420-base_fy-mid_yr-v_off</f>
        <v>5.24794520547945</v>
      </c>
      <c r="L12570" s="12" t="s">
        <v>1213</v>
      </c>
    </row>
    <row r="12571" customFormat="false" ht="15" hidden="false" customHeight="false" outlineLevel="0" collapsed="false">
      <c r="A12571" s="1" t="s">
        <v>1214</v>
      </c>
      <c r="B12571" s="1" t="s">
        <v>279</v>
      </c>
      <c r="F12571" s="8" t="n">
        <f aca="false">Sens!F12420-base_fy-v_off</f>
        <v>0.747945205479452</v>
      </c>
      <c r="G12571" s="8" t="n">
        <f aca="false">Sens!G12420-base_fy-v_off</f>
        <v>1.74794520547945</v>
      </c>
      <c r="H12571" s="8" t="n">
        <f aca="false">Sens!H12420-base_fy-v_off</f>
        <v>2.74794520547945</v>
      </c>
      <c r="I12571" s="8" t="n">
        <f aca="false">Sens!I12420-base_fy-v_off</f>
        <v>3.74794520547945</v>
      </c>
      <c r="J12571" s="8" t="n">
        <f aca="false">Sens!J12420-base_fy-v_off</f>
        <v>4.74794520547945</v>
      </c>
      <c r="K12571" s="8" t="n">
        <f aca="false">Sens!K12420-base_fy-v_off</f>
        <v>5.74794520547945</v>
      </c>
    </row>
    <row r="12572" customFormat="false" ht="15" hidden="false" customHeight="false" outlineLevel="0" collapsed="false">
      <c r="A12572" s="1" t="s">
        <v>1215</v>
      </c>
      <c r="B12572" s="0" t="s">
        <v>229</v>
      </c>
      <c r="F12572" s="15" t="n">
        <f aca="false">1/(1+wacc)^Sens!F12570</f>
        <v>0.964022703286649</v>
      </c>
      <c r="G12572" s="15" t="n">
        <f aca="false">1/(1+wacc)^Sens!G12570</f>
        <v>0.884910302296739</v>
      </c>
      <c r="H12572" s="15" t="n">
        <f aca="false">1/(1+wacc)^Sens!H12570</f>
        <v>0.802322009770358</v>
      </c>
      <c r="I12572" s="15" t="n">
        <f aca="false">1/(1+wacc)^Sens!I12570</f>
        <v>0.727441646561469</v>
      </c>
      <c r="J12572" s="15" t="n">
        <f aca="false">1/(1+wacc)^Sens!J12570</f>
        <v>0.659549834988973</v>
      </c>
      <c r="K12572" s="15" t="n">
        <f aca="false">1/(1+wacc)^Sens!K12570</f>
        <v>0.597994336576966</v>
      </c>
    </row>
    <row r="12573" customFormat="false" ht="17.15" hidden="false" customHeight="false" outlineLevel="0" collapsed="false">
      <c r="A12573" s="1" t="s">
        <v>1216</v>
      </c>
      <c r="B12573" s="0" t="s">
        <v>98</v>
      </c>
      <c r="F12573" s="6" t="n">
        <f aca="false">Q!$I$35-Q!$I$39-Q!$I$43</f>
        <v>9.666</v>
      </c>
      <c r="L12573" s="12" t="s">
        <v>1217</v>
      </c>
    </row>
    <row r="12574" customFormat="false" ht="17.15" hidden="false" customHeight="false" outlineLevel="0" collapsed="false">
      <c r="A12574" s="1" t="s">
        <v>1218</v>
      </c>
      <c r="B12574" s="0" t="s">
        <v>98</v>
      </c>
      <c r="F12574" s="6" t="n">
        <f aca="false">Sens!F12545-Sens!F12542-Sens!F12549+Sens!F12527*(1-tax_f)*(1-v_off)-Sens!F12573</f>
        <v>-6.08573344408555</v>
      </c>
      <c r="G12574" s="6" t="n">
        <f aca="false">Sens!G12545-Sens!G12542-Sens!G12549+Sens!G12527*(1-tax_f)</f>
        <v>19.0687744442263</v>
      </c>
      <c r="H12574" s="6" t="n">
        <f aca="false">Sens!H12545-Sens!H12542-Sens!H12549+Sens!H12527*(1-tax_f)</f>
        <v>56.0461299599075</v>
      </c>
      <c r="I12574" s="6" t="n">
        <f aca="false">Sens!I12545-Sens!I12542-Sens!I12549+Sens!I12527*(1-tax_f)</f>
        <v>128.109218447559</v>
      </c>
      <c r="J12574" s="6" t="n">
        <f aca="false">Sens!J12545-Sens!J12542-Sens!J12549+Sens!J12527*(1-tax_f)</f>
        <v>202.275041914507</v>
      </c>
      <c r="K12574" s="6" t="n">
        <f aca="false">Sens!K12545-Sens!K12542-Sens!K12549+Sens!K12527*(1-tax_f)</f>
        <v>237.999758893132</v>
      </c>
      <c r="L12574" s="1" t="s">
        <v>1219</v>
      </c>
    </row>
    <row r="12575" customFormat="false" ht="15" hidden="false" customHeight="false" outlineLevel="0" collapsed="false">
      <c r="A12575" s="1" t="s">
        <v>1220</v>
      </c>
      <c r="B12575" s="0" t="s">
        <v>98</v>
      </c>
      <c r="F12575" s="6" t="n">
        <f aca="false">Sens!F12574*Sens!F12572</f>
        <v>-5.86678520624933</v>
      </c>
      <c r="G12575" s="6" t="n">
        <f aca="false">Sens!G12574*Sens!G12572</f>
        <v>16.8741549578686</v>
      </c>
      <c r="H12575" s="6" t="n">
        <f aca="false">Sens!H12574*Sens!H12572</f>
        <v>44.9670436292837</v>
      </c>
      <c r="I12575" s="6" t="n">
        <f aca="false">Sens!I12574*Sens!I12572</f>
        <v>93.1919808071949</v>
      </c>
      <c r="J12575" s="6" t="n">
        <f aca="false">Sens!J12574*Sens!J12572</f>
        <v>133.4104705171</v>
      </c>
      <c r="K12575" s="6" t="n">
        <f aca="false">Sens!K12574*Sens!K12572</f>
        <v>142.322507924776</v>
      </c>
    </row>
    <row r="12576" customFormat="false" ht="17.15" hidden="false" customHeight="false" outlineLevel="0" collapsed="false">
      <c r="A12576" s="1" t="s">
        <v>1221</v>
      </c>
      <c r="B12576" s="0" t="s">
        <v>98</v>
      </c>
      <c r="C12576" s="6" t="n">
        <f aca="false">SUM(Sens!F12575:K12575)</f>
        <v>424.899372629974</v>
      </c>
    </row>
    <row r="12577" customFormat="false" ht="17.15" hidden="false" customHeight="false" outlineLevel="0" collapsed="false">
      <c r="A12577" s="1" t="s">
        <v>1222</v>
      </c>
      <c r="B12577" s="0" t="s">
        <v>98</v>
      </c>
      <c r="C12577" s="6" t="n">
        <f aca="false">Sens!K12513*(1+g_tv)*(1-tax_f)</f>
        <v>247.620705903078</v>
      </c>
    </row>
    <row r="12578" customFormat="false" ht="17.15" hidden="false" customHeight="false" outlineLevel="0" collapsed="false">
      <c r="A12578" s="1" t="s">
        <v>1223</v>
      </c>
      <c r="B12578" s="0" t="s">
        <v>98</v>
      </c>
      <c r="C12578" s="6" t="n">
        <f aca="false">Sens!$C$12577*(1-g_tv/(wacc+ronic_prem))</f>
        <v>175.453742641021</v>
      </c>
    </row>
    <row r="12579" customFormat="false" ht="17.15" hidden="false" customHeight="false" outlineLevel="0" collapsed="false">
      <c r="A12579" s="1" t="s">
        <v>1224</v>
      </c>
      <c r="B12579" s="0" t="s">
        <v>98</v>
      </c>
      <c r="C12579" s="6" t="n">
        <f aca="false">Sens!$C$12578/(wacc-g_tv)</f>
        <v>2405.56544206857</v>
      </c>
    </row>
    <row r="12580" customFormat="false" ht="15" hidden="false" customHeight="false" outlineLevel="0" collapsed="false">
      <c r="A12580" s="1" t="s">
        <v>1225</v>
      </c>
      <c r="B12580" s="0" t="s">
        <v>98</v>
      </c>
      <c r="C12580" s="6" t="n">
        <f aca="false">Sens!$C$12579/(1+wacc)^Sens!K12571</f>
        <v>1369.74263685525</v>
      </c>
    </row>
    <row r="12581" customFormat="false" ht="17.15" hidden="false" customHeight="false" outlineLevel="0" collapsed="false">
      <c r="A12581" s="0" t="s">
        <v>1226</v>
      </c>
      <c r="B12581" s="0" t="s">
        <v>98</v>
      </c>
      <c r="C12581" s="6" t="n">
        <f aca="false">Sens!$C$12576+Sens!$C$12580</f>
        <v>1794.64200948523</v>
      </c>
    </row>
    <row r="12582" customFormat="false" ht="15" hidden="false" customHeight="false" outlineLevel="0" collapsed="false">
      <c r="A12582" s="1" t="s">
        <v>1141</v>
      </c>
      <c r="B12582" s="0" t="s">
        <v>168</v>
      </c>
      <c r="C12582" s="7" t="n">
        <f aca="false">Sens!$C$12580/Sens!$C$12581</f>
        <v>0.763240038746306</v>
      </c>
    </row>
    <row r="12583" customFormat="false" ht="17.15" hidden="false" customHeight="false" outlineLevel="0" collapsed="false">
      <c r="A12583" s="1" t="s">
        <v>1227</v>
      </c>
      <c r="B12583" s="0" t="s">
        <v>98</v>
      </c>
      <c r="C12583" s="6" t="n">
        <f aca="false">Sens!$C$12581+cash_val-debt_val-fl_val+oai_v</f>
        <v>1910.49300948523</v>
      </c>
    </row>
    <row r="12584" customFormat="false" ht="17.15" hidden="false" customHeight="false" outlineLevel="0" collapsed="false">
      <c r="A12584" s="0" t="s">
        <v>1149</v>
      </c>
      <c r="B12584" s="0" t="s">
        <v>75</v>
      </c>
      <c r="C12584" s="5" t="n">
        <f aca="false">Sens!$C$12583/shd_val</f>
        <v>256.579775649373</v>
      </c>
    </row>
    <row r="12585" customFormat="false" ht="15" hidden="false" customHeight="false" outlineLevel="0" collapsed="false">
      <c r="A12585" s="1" t="s">
        <v>1228</v>
      </c>
      <c r="B12585" s="0" t="s">
        <v>75</v>
      </c>
      <c r="C12585" s="8" t="n">
        <f aca="false">div_rem27+Sens!G12553*roll_div_q/q_per_yr</f>
        <v>3.9795</v>
      </c>
    </row>
    <row r="12586" customFormat="false" ht="17.15" hidden="false" customHeight="false" outlineLevel="0" collapsed="false">
      <c r="A12586" s="0" t="s">
        <v>1229</v>
      </c>
      <c r="B12586" s="0" t="s">
        <v>75</v>
      </c>
      <c r="C12586" s="5" t="n">
        <f aca="false">Sens!$C$12584*(1+wacc)^t_roll-Sens!$C$12585</f>
        <v>281.223240542406</v>
      </c>
    </row>
    <row r="12587" customFormat="false" ht="17.15" hidden="false" customHeight="false" outlineLevel="0" collapsed="false">
      <c r="A12587" s="1" t="s">
        <v>1230</v>
      </c>
      <c r="B12587" s="0" t="s">
        <v>168</v>
      </c>
      <c r="F12587" s="7" t="n">
        <f aca="false">Sens!F12539/(Sens!F12484-Sens!F12439)</f>
        <v>0.0686618299564971</v>
      </c>
      <c r="G12587" s="7" t="n">
        <f aca="false">Sens!G12539/(Sens!G12484-Sens!G12439)</f>
        <v>0.0662664322526591</v>
      </c>
      <c r="H12587" s="7" t="n">
        <f aca="false">Sens!H12539/(Sens!H12484-Sens!H12439)</f>
        <v>0.0650530579856097</v>
      </c>
      <c r="I12587" s="7" t="n">
        <f aca="false">Sens!I12539/(Sens!I12484-Sens!I12439)</f>
        <v>0.0648828931388178</v>
      </c>
      <c r="J12587" s="7" t="n">
        <f aca="false">Sens!J12539/(Sens!J12484-Sens!J12439)</f>
        <v>0.0655437420863016</v>
      </c>
      <c r="K12587" s="7" t="n">
        <f aca="false">Sens!K12539/(Sens!K12484-Sens!K12439)</f>
        <v>0.0667989775993528</v>
      </c>
    </row>
    <row r="12588" customFormat="false" ht="17.15" hidden="false" customHeight="false" outlineLevel="0" collapsed="false">
      <c r="A12588" s="0" t="s">
        <v>1231</v>
      </c>
      <c r="B12588" s="0" t="s">
        <v>98</v>
      </c>
      <c r="F12588" s="6" t="n">
        <f aca="false">Sens!F12469*(al_m365+Sens!F12587+sbc_r)</f>
        <v>82.9166942105064</v>
      </c>
      <c r="G12588" s="6" t="n">
        <f aca="false">Sens!G12469*(al_m365+Sens!G12587+sbc_r)</f>
        <v>93.3005952188574</v>
      </c>
      <c r="H12588" s="6" t="n">
        <f aca="false">Sens!H12469*(al_m365+Sens!H12587+sbc_r)</f>
        <v>103.843738929931</v>
      </c>
      <c r="I12588" s="6" t="n">
        <f aca="false">Sens!I12469*(al_m365+Sens!I12587+sbc_r)</f>
        <v>113.869303367466</v>
      </c>
      <c r="J12588" s="6" t="n">
        <f aca="false">Sens!J12469*(al_m365+Sens!J12587+sbc_r)</f>
        <v>123.187366482238</v>
      </c>
      <c r="K12588" s="6" t="n">
        <f aca="false">Sens!K12469*(al_m365+Sens!K12587+sbc_r)</f>
        <v>132.103954837428</v>
      </c>
      <c r="L12588" s="12" t="s">
        <v>1232</v>
      </c>
    </row>
    <row r="12589" customFormat="false" ht="17.15" hidden="false" customHeight="false" outlineLevel="0" collapsed="false">
      <c r="A12589" s="0" t="s">
        <v>1233</v>
      </c>
      <c r="B12589" s="0" t="s">
        <v>98</v>
      </c>
      <c r="F12589" s="6" t="n">
        <f aca="false">Sens!F12470*(al_lic+Sens!F12587+sbc_r)</f>
        <v>32.8593879922029</v>
      </c>
      <c r="G12589" s="6" t="n">
        <f aca="false">Sens!G12470*(al_lic+Sens!G12587+sbc_r)</f>
        <v>34.1549542085928</v>
      </c>
      <c r="H12589" s="6" t="n">
        <f aca="false">Sens!H12470*(al_lic+Sens!H12587+sbc_r)</f>
        <v>35.3600970884155</v>
      </c>
      <c r="I12589" s="6" t="n">
        <f aca="false">Sens!I12470*(al_lic+Sens!I12587+sbc_r)</f>
        <v>36.4550684277214</v>
      </c>
      <c r="J12589" s="6" t="n">
        <f aca="false">Sens!J12470*(al_lic+Sens!J12587+sbc_r)</f>
        <v>37.416801034444</v>
      </c>
      <c r="K12589" s="6" t="n">
        <f aca="false">Sens!K12470*(al_lic+Sens!K12587+sbc_r)</f>
        <v>38.2213039640523</v>
      </c>
    </row>
    <row r="12590" customFormat="false" ht="17.15" hidden="false" customHeight="false" outlineLevel="0" collapsed="false">
      <c r="A12590" s="0" t="s">
        <v>1234</v>
      </c>
      <c r="B12590" s="0" t="s">
        <v>98</v>
      </c>
      <c r="F12590" s="6" t="n">
        <f aca="false">Sens!F12472*(al_ind+Sens!F12587+sbc_r)</f>
        <v>9.06136016108953</v>
      </c>
      <c r="G12590" s="6" t="n">
        <f aca="false">Sens!G12472*(al_ind+Sens!G12587+sbc_r)</f>
        <v>9.84675541848185</v>
      </c>
      <c r="H12590" s="6" t="n">
        <f aca="false">Sens!H12472*(al_ind+Sens!H12587+sbc_r)</f>
        <v>10.6746152438365</v>
      </c>
      <c r="I12590" s="6" t="n">
        <f aca="false">Sens!I12472*(al_ind+Sens!I12587+sbc_r)</f>
        <v>11.540376047021</v>
      </c>
      <c r="J12590" s="6" t="n">
        <f aca="false">Sens!J12472*(al_ind+Sens!J12587+sbc_r)</f>
        <v>12.4353125174239</v>
      </c>
      <c r="K12590" s="6" t="n">
        <f aca="false">Sens!K12472*(al_ind+Sens!K12587+sbc_r)</f>
        <v>13.3472358747957</v>
      </c>
    </row>
    <row r="12591" customFormat="false" ht="17.15" hidden="false" customHeight="false" outlineLevel="0" collapsed="false">
      <c r="A12591" s="0" t="s">
        <v>1235</v>
      </c>
      <c r="B12591" s="0" t="s">
        <v>98</v>
      </c>
      <c r="F12591" s="6" t="n">
        <f aca="false">Sens!F12474*(al_fro+Sens!F12587+sbc_r)</f>
        <v>3.55439946089852</v>
      </c>
      <c r="G12591" s="6" t="n">
        <f aca="false">Sens!G12474*(al_fro+Sens!G12587+sbc_r)</f>
        <v>3.76765721154322</v>
      </c>
      <c r="H12591" s="6" t="n">
        <f aca="false">Sens!H12474*(al_fro+Sens!H12587+sbc_r)</f>
        <v>4.00881902690473</v>
      </c>
      <c r="I12591" s="6" t="n">
        <f aca="false">Sens!I12474*(al_fro+Sens!I12587+sbc_r)</f>
        <v>4.28018672450333</v>
      </c>
      <c r="J12591" s="6" t="n">
        <f aca="false">Sens!J12474*(al_fro+Sens!J12587+sbc_r)</f>
        <v>4.58334574109574</v>
      </c>
      <c r="K12591" s="6" t="n">
        <f aca="false">Sens!K12474*(al_fro+Sens!K12587+sbc_r)</f>
        <v>4.91945792407139</v>
      </c>
    </row>
    <row r="12592" customFormat="false" ht="17.15" hidden="false" customHeight="false" outlineLevel="0" collapsed="false">
      <c r="A12592" s="0" t="s">
        <v>1236</v>
      </c>
      <c r="B12592" s="0" t="s">
        <v>98</v>
      </c>
      <c r="F12592" s="6" t="n">
        <f aca="false">Sens!F12477*(al_srch+Sens!F12587+sbc_r)</f>
        <v>11.1902550352538</v>
      </c>
      <c r="G12592" s="6" t="n">
        <f aca="false">Sens!G12477*(al_srch+Sens!G12587+sbc_r)</f>
        <v>12.2749086505994</v>
      </c>
      <c r="H12592" s="6" t="n">
        <f aca="false">Sens!H12477*(al_srch+Sens!H12587+sbc_r)</f>
        <v>13.4015815242928</v>
      </c>
      <c r="I12592" s="6" t="n">
        <f aca="false">Sens!I12477*(al_srch+Sens!I12587+sbc_r)</f>
        <v>14.5575950021475</v>
      </c>
      <c r="J12592" s="6" t="n">
        <f aca="false">Sens!J12477*(al_srch+Sens!J12587+sbc_r)</f>
        <v>15.7241102580829</v>
      </c>
      <c r="K12592" s="6" t="n">
        <f aca="false">Sens!K12477*(al_srch+Sens!K12587+sbc_r)</f>
        <v>16.8772122326528</v>
      </c>
    </row>
    <row r="12593" customFormat="false" ht="17.15" hidden="false" customHeight="false" outlineLevel="0" collapsed="false">
      <c r="A12593" s="0" t="s">
        <v>1237</v>
      </c>
      <c r="B12593" s="0" t="s">
        <v>98</v>
      </c>
      <c r="F12593" s="6" t="n">
        <f aca="false">Sens!F12445-Sens!F12446+Sens!F12527</f>
        <v>38.9696429794913</v>
      </c>
      <c r="G12593" s="6" t="n">
        <f aca="false">Sens!G12445-Sens!G12446+Sens!G12527</f>
        <v>69.465497726016</v>
      </c>
      <c r="H12593" s="6" t="n">
        <f aca="false">Sens!H12445-Sens!H12446+Sens!H12527</f>
        <v>96.8147106808268</v>
      </c>
      <c r="I12593" s="6" t="n">
        <f aca="false">Sens!I12445-Sens!I12446+Sens!I12527</f>
        <v>127.654939766446</v>
      </c>
      <c r="J12593" s="6" t="n">
        <f aca="false">Sens!J12445-Sens!J12446+Sens!J12527</f>
        <v>149.308352681229</v>
      </c>
      <c r="K12593" s="6" t="n">
        <f aca="false">Sens!K12445-Sens!K12446+Sens!K12527</f>
        <v>162.731822021841</v>
      </c>
    </row>
    <row r="12594" customFormat="false" ht="17.15" hidden="false" customHeight="false" outlineLevel="0" collapsed="false">
      <c r="A12594" s="0" t="s">
        <v>1238</v>
      </c>
      <c r="B12594" s="0" t="s">
        <v>98</v>
      </c>
      <c r="F12594" s="6" t="n">
        <f aca="false">Sens!F12506+Sens!F12527+Sens!F12457+Sens!F12587*(Sens!F12476-Sens!F12439)+sbc_r*Sens!F12476</f>
        <v>234.795378524203</v>
      </c>
      <c r="G12594" s="6" t="n">
        <f aca="false">Sens!G12506+Sens!G12527+Sens!G12457+Sens!G12587*(Sens!G12476-Sens!G12439)+sbc_r*Sens!G12476</f>
        <v>285.484254706529</v>
      </c>
      <c r="H12594" s="6" t="n">
        <f aca="false">Sens!H12506+Sens!H12527+Sens!H12457+Sens!H12587*(Sens!H12476-Sens!H12439)+sbc_r*Sens!H12476</f>
        <v>338.229147785962</v>
      </c>
      <c r="I12594" s="6" t="n">
        <f aca="false">Sens!I12506+Sens!I12527+Sens!I12457+Sens!I12587*(Sens!I12476-Sens!I12439)+sbc_r*Sens!I12476</f>
        <v>393.838976500233</v>
      </c>
      <c r="J12594" s="6" t="n">
        <f aca="false">Sens!J12506+Sens!J12527+Sens!J12457+Sens!J12587*(Sens!J12476-Sens!J12439)+sbc_r*Sens!J12476</f>
        <v>438.331863126333</v>
      </c>
      <c r="K12594" s="6" t="n">
        <f aca="false">Sens!K12506+Sens!K12527+Sens!K12457+Sens!K12587*(Sens!K12476-Sens!K12439)+sbc_r*Sens!K12476</f>
        <v>472.243783790679</v>
      </c>
    </row>
    <row r="12595" customFormat="false" ht="17.15" hidden="false" customHeight="false" outlineLevel="0" collapsed="false">
      <c r="A12595" s="0" t="s">
        <v>1239</v>
      </c>
      <c r="B12595" s="0" t="s">
        <v>98</v>
      </c>
      <c r="F12595" s="6" t="n">
        <f aca="false">Sens!F12594-Sens!F12588-Sens!F12589-Sens!F12590-Sens!F12591-Sens!F12593</f>
        <v>67.433893720014</v>
      </c>
      <c r="G12595" s="6" t="n">
        <f aca="false">Sens!G12594-Sens!G12588-Sens!G12589-Sens!G12590-Sens!G12591-Sens!G12593</f>
        <v>74.9487949230376</v>
      </c>
      <c r="H12595" s="6" t="n">
        <f aca="false">Sens!H12594-Sens!H12588-Sens!H12589-Sens!H12590-Sens!H12591-Sens!H12593</f>
        <v>87.5271668160467</v>
      </c>
      <c r="I12595" s="6" t="n">
        <f aca="false">Sens!I12594-Sens!I12588-Sens!I12589-Sens!I12590-Sens!I12591-Sens!I12593</f>
        <v>100.039102167075</v>
      </c>
      <c r="J12595" s="6" t="n">
        <f aca="false">Sens!J12594-Sens!J12588-Sens!J12589-Sens!J12590-Sens!J12591-Sens!J12593</f>
        <v>111.400684669903</v>
      </c>
      <c r="K12595" s="6" t="n">
        <f aca="false">Sens!K12594-Sens!K12588-Sens!K12589-Sens!K12590-Sens!K12591-Sens!K12593</f>
        <v>120.92000916849</v>
      </c>
    </row>
    <row r="12596" customFormat="false" ht="17.15" hidden="false" customHeight="false" outlineLevel="0" collapsed="false">
      <c r="A12596" s="0" t="s">
        <v>1240</v>
      </c>
      <c r="B12596" s="0" t="s">
        <v>98</v>
      </c>
      <c r="F12596" s="6" t="n">
        <f aca="false">Sens!F12508+Sens!F12587*Sens!F12483+sbc_r*Sens!F12483</f>
        <v>26.6691015709637</v>
      </c>
      <c r="G12596" s="6" t="n">
        <f aca="false">Sens!G12508+Sens!G12587*Sens!G12483+sbc_r*Sens!G12483</f>
        <v>26.615321380887</v>
      </c>
      <c r="H12596" s="6" t="n">
        <f aca="false">Sens!H12508+Sens!H12587*Sens!H12483+sbc_r*Sens!H12483</f>
        <v>27.6244168391557</v>
      </c>
      <c r="I12596" s="6" t="n">
        <f aca="false">Sens!I12508+Sens!I12587*Sens!I12483+sbc_r*Sens!I12483</f>
        <v>28.8974274088117</v>
      </c>
      <c r="J12596" s="6" t="n">
        <f aca="false">Sens!J12508+Sens!J12587*Sens!J12483+sbc_r*Sens!J12483</f>
        <v>30.4107806555597</v>
      </c>
      <c r="K12596" s="6" t="n">
        <f aca="false">Sens!K12508+Sens!K12587*Sens!K12483+sbc_r*Sens!K12483</f>
        <v>32.1473833129121</v>
      </c>
    </row>
    <row r="12597" customFormat="false" ht="17.15" hidden="false" customHeight="false" outlineLevel="0" collapsed="false">
      <c r="A12597" s="0" t="s">
        <v>1241</v>
      </c>
      <c r="B12597" s="0" t="s">
        <v>98</v>
      </c>
      <c r="F12597" s="6" t="n">
        <f aca="false">(Sens!F12596-Sens!F12592)*Sens!F12479/(Sens!F12479+Sens!F12481)</f>
        <v>8.75712129323252</v>
      </c>
      <c r="G12597" s="6" t="n">
        <f aca="false">(Sens!G12596-Sens!G12592)*Sens!G12479/(Sens!G12479+Sens!G12481)</f>
        <v>8.01061294274736</v>
      </c>
      <c r="H12597" s="6" t="n">
        <f aca="false">(Sens!H12596-Sens!H12592)*Sens!H12479/(Sens!H12479+Sens!H12481)</f>
        <v>7.89594133496272</v>
      </c>
      <c r="I12597" s="6" t="n">
        <f aca="false">(Sens!I12596-Sens!I12592)*Sens!I12479/(Sens!I12479+Sens!I12481)</f>
        <v>7.96344381737309</v>
      </c>
      <c r="J12597" s="6" t="n">
        <f aca="false">(Sens!J12596-Sens!J12592)*Sens!J12479/(Sens!J12479+Sens!J12481)</f>
        <v>8.21052154221739</v>
      </c>
      <c r="K12597" s="6" t="n">
        <f aca="false">(Sens!K12596-Sens!K12592)*Sens!K12479/(Sens!K12479+Sens!K12481)</f>
        <v>8.64564901559069</v>
      </c>
    </row>
    <row r="12598" customFormat="false" ht="17.15" hidden="false" customHeight="false" outlineLevel="0" collapsed="false">
      <c r="A12598" s="0" t="s">
        <v>1242</v>
      </c>
      <c r="B12598" s="0" t="s">
        <v>98</v>
      </c>
      <c r="F12598" s="6" t="n">
        <f aca="false">Sens!F12596-Sens!F12592-Sens!F12597</f>
        <v>6.72172524247738</v>
      </c>
      <c r="G12598" s="6" t="n">
        <f aca="false">Sens!G12596-Sens!G12592-Sens!G12597</f>
        <v>6.32979978754021</v>
      </c>
      <c r="H12598" s="6" t="n">
        <f aca="false">Sens!H12596-Sens!H12592-Sens!H12597</f>
        <v>6.32689397990011</v>
      </c>
      <c r="I12598" s="6" t="n">
        <f aca="false">Sens!I12596-Sens!I12592-Sens!I12597</f>
        <v>6.37638858929106</v>
      </c>
      <c r="J12598" s="6" t="n">
        <f aca="false">Sens!J12596-Sens!J12592-Sens!J12597</f>
        <v>6.47614885525948</v>
      </c>
      <c r="K12598" s="6" t="n">
        <f aca="false">Sens!K12596-Sens!K12592-Sens!K12597</f>
        <v>6.6245220646686</v>
      </c>
    </row>
    <row r="12599" customFormat="false" ht="17.15" hidden="false" customHeight="false" outlineLevel="0" collapsed="false">
      <c r="A12599" s="0" t="s">
        <v>1243</v>
      </c>
      <c r="B12599" s="0" t="s">
        <v>98</v>
      </c>
      <c r="F12599" s="6" t="n">
        <f aca="false">Sens!F12593-tax_f*(Sens!F12593-Sens!F12457)-Sens!F12454</f>
        <v>-130.362326762856</v>
      </c>
      <c r="G12599" s="6" t="n">
        <f aca="false">Sens!G12593-tax_f*(Sens!G12593-Sens!G12457)-Sens!G12454</f>
        <v>-124.225179337776</v>
      </c>
      <c r="H12599" s="6" t="n">
        <f aca="false">Sens!H12593-tax_f*(Sens!H12593-Sens!H12457)-Sens!H12454</f>
        <v>-101.534217387562</v>
      </c>
      <c r="I12599" s="6" t="n">
        <f aca="false">Sens!I12593-tax_f*(Sens!I12593-Sens!I12457)-Sens!I12454</f>
        <v>-43.6446798695439</v>
      </c>
      <c r="J12599" s="6" t="n">
        <f aca="false">Sens!J12593-tax_f*(Sens!J12593-Sens!J12457)-Sens!J12454</f>
        <v>16.9198855589618</v>
      </c>
      <c r="K12599" s="6" t="n">
        <f aca="false">Sens!K12593-tax_f*(Sens!K12593-Sens!K12457)-Sens!K12454</f>
        <v>39.8251384629271</v>
      </c>
    </row>
    <row r="12600" customFormat="false" ht="17.15" hidden="false" customHeight="false" outlineLevel="0" collapsed="false">
      <c r="A12600" s="0" t="s">
        <v>1244</v>
      </c>
      <c r="B12600" s="0" t="s">
        <v>98</v>
      </c>
      <c r="G12600" s="6" t="n">
        <f aca="false">Sens!G12599/(1+wacc)^(Sens!G12570-Sens!F12571)</f>
        <v>-118.286276192192</v>
      </c>
      <c r="H12600" s="6" t="n">
        <f aca="false">Sens!H12599/(1+wacc)^(Sens!H12570-Sens!F12571)</f>
        <v>-87.6570009910427</v>
      </c>
      <c r="I12600" s="6" t="n">
        <f aca="false">Sens!I12599/(1+wacc)^(Sens!I12570-Sens!F12571)</f>
        <v>-34.1629172979204</v>
      </c>
      <c r="J12600" s="6" t="n">
        <f aca="false">Sens!J12599/(1+wacc)^(Sens!J12570-Sens!F12571)</f>
        <v>12.0079954170053</v>
      </c>
      <c r="K12600" s="6" t="n">
        <f aca="false">Sens!K12599/(1+wacc)^(Sens!K12570-Sens!F12571)</f>
        <v>25.6259421582556</v>
      </c>
      <c r="L12600" s="1" t="s">
        <v>1245</v>
      </c>
    </row>
    <row r="12601" customFormat="false" ht="17.15" hidden="false" customHeight="false" outlineLevel="0" collapsed="false">
      <c r="A12601" s="0" t="s">
        <v>1246</v>
      </c>
      <c r="B12601" s="0" t="s">
        <v>98</v>
      </c>
      <c r="C12601" s="6" t="n">
        <f aca="false">(Sens!K12593-Sens!K12457)*(1-tax_f)*(1+g_tv)*(1-g_tv/(wacc+ronic_prem))/(wacc-g_tv)/(1+wacc)^(Sens!K12571-Sens!F12571)</f>
        <v>96.7148026864948</v>
      </c>
    </row>
    <row r="12602" customFormat="false" ht="17.15" hidden="false" customHeight="false" outlineLevel="0" collapsed="false">
      <c r="A12602" s="1" t="s">
        <v>1247</v>
      </c>
      <c r="B12602" s="0" t="s">
        <v>98</v>
      </c>
      <c r="C12602" s="6" t="n">
        <f aca="false">(SUM(Sens!G12600:K12600)+Sens!$C$12601)*(1+wacc)^(t_roll-Sens!F12571)</f>
        <v>-109.248827617462</v>
      </c>
      <c r="L12602" s="12" t="s">
        <v>1248</v>
      </c>
    </row>
    <row r="12603" customFormat="false" ht="17.15" hidden="false" customHeight="false" outlineLevel="0" collapsed="false">
      <c r="A12603" s="1" t="s">
        <v>1249</v>
      </c>
      <c r="B12603" s="0" t="s">
        <v>98</v>
      </c>
      <c r="C12603" s="6" t="n">
        <f aca="false">(w_ntm28*Sens!G12445+(1-w_ntm28)*Sens!H12445)*m_ai</f>
        <v>344.355829012336</v>
      </c>
    </row>
    <row r="12604" customFormat="false" ht="17.15" hidden="false" customHeight="false" outlineLevel="0" collapsed="false">
      <c r="A12604" s="1" t="s">
        <v>1250</v>
      </c>
      <c r="B12604" s="0" t="s">
        <v>98</v>
      </c>
      <c r="C12604" s="6" t="n">
        <f aca="false">(w_ntm28*Sens!G12595+(1-w_ntm28)*Sens!H12595)*m_cloud</f>
        <v>1092.94295391136</v>
      </c>
    </row>
    <row r="12605" customFormat="false" ht="17.15" hidden="false" customHeight="false" outlineLevel="0" collapsed="false">
      <c r="A12605" s="1" t="s">
        <v>1251</v>
      </c>
      <c r="B12605" s="0" t="s">
        <v>98</v>
      </c>
      <c r="C12605" s="6" t="n">
        <f aca="false">(w_ntm28*Sens!G12588+(1-w_ntm28)*Sens!H12588)*m_sw</f>
        <v>1045.08180986928</v>
      </c>
    </row>
    <row r="12606" customFormat="false" ht="17.15" hidden="false" customHeight="false" outlineLevel="0" collapsed="false">
      <c r="A12606" s="1" t="s">
        <v>1252</v>
      </c>
      <c r="B12606" s="0" t="s">
        <v>98</v>
      </c>
      <c r="C12606" s="6" t="n">
        <f aca="false">(w_ntm28*Sens!G12589+(1-w_ntm28)*Sens!H12589)*m_sw</f>
        <v>373.152588116502</v>
      </c>
    </row>
    <row r="12607" customFormat="false" ht="17.15" hidden="false" customHeight="false" outlineLevel="0" collapsed="false">
      <c r="A12607" s="1" t="s">
        <v>1253</v>
      </c>
      <c r="B12607" s="0" t="s">
        <v>98</v>
      </c>
      <c r="C12607" s="6" t="n">
        <f aca="false">(w_ntm28*Sens!G12590+(1-w_ntm28)*Sens!H12590)*m_sw</f>
        <v>109.284427926891</v>
      </c>
    </row>
    <row r="12608" customFormat="false" ht="17.15" hidden="false" customHeight="false" outlineLevel="0" collapsed="false">
      <c r="A12608" s="1" t="s">
        <v>1254</v>
      </c>
      <c r="B12608" s="0" t="s">
        <v>98</v>
      </c>
      <c r="C12608" s="6" t="n">
        <f aca="false">(w_ntm28*Sens!G12591+(1-w_ntm28)*Sens!H12591)*m_sw</f>
        <v>41.5469875085257</v>
      </c>
    </row>
    <row r="12609" customFormat="false" ht="17.15" hidden="false" customHeight="false" outlineLevel="0" collapsed="false">
      <c r="A12609" s="1" t="s">
        <v>1255</v>
      </c>
      <c r="B12609" s="0" t="s">
        <v>98</v>
      </c>
      <c r="C12609" s="6" t="n">
        <f aca="false">(w_ntm28*Sens!G12592+(1-w_ntm28)*Sens!H12592)*m_ads</f>
        <v>115.198880233047</v>
      </c>
    </row>
    <row r="12610" customFormat="false" ht="17.15" hidden="false" customHeight="false" outlineLevel="0" collapsed="false">
      <c r="A12610" s="1" t="s">
        <v>1256</v>
      </c>
      <c r="B12610" s="0" t="s">
        <v>98</v>
      </c>
      <c r="C12610" s="6" t="n">
        <f aca="false">(w_ntm28*Sens!G12597+(1-w_ntm28)*Sens!H12597)*m_game</f>
        <v>100.697887251123</v>
      </c>
    </row>
    <row r="12611" customFormat="false" ht="17.15" hidden="false" customHeight="false" outlineLevel="0" collapsed="false">
      <c r="A12611" s="1" t="s">
        <v>1257</v>
      </c>
      <c r="B12611" s="0" t="s">
        <v>98</v>
      </c>
      <c r="C12611" s="6" t="n">
        <f aca="false">(w_ntm28*Sens!G12598+(1-w_ntm28)*Sens!H12598)*m_pc</f>
        <v>91.5783792424568</v>
      </c>
    </row>
    <row r="12612" customFormat="false" ht="17.15" hidden="false" customHeight="false" outlineLevel="0" collapsed="false">
      <c r="A12612" s="1" t="s">
        <v>1258</v>
      </c>
      <c r="B12612" s="0" t="s">
        <v>98</v>
      </c>
      <c r="C12612" s="6" t="n">
        <f aca="false">Sens!$C$12602+Sens!$C$12604+Sens!$C$12605+Sens!$C$12606+Sens!$C$12607+Sens!$C$12608+Sens!$C$12609+Sens!$C$12610+Sens!$C$12611</f>
        <v>2860.23508644172</v>
      </c>
    </row>
    <row r="12613" customFormat="false" ht="17.15" hidden="false" customHeight="false" outlineLevel="0" collapsed="false">
      <c r="A12613" s="1" t="s">
        <v>1259</v>
      </c>
      <c r="B12613" s="0" t="s">
        <v>98</v>
      </c>
      <c r="C12613" s="6" t="n">
        <f aca="false">(Sens!G12574-Sens!G12599)*t_stub</f>
        <v>47.5029271441705</v>
      </c>
      <c r="L12613" s="1" t="s">
        <v>1260</v>
      </c>
    </row>
    <row r="12614" customFormat="false" ht="17.15" hidden="false" customHeight="false" outlineLevel="0" collapsed="false">
      <c r="A12614" s="1" t="s">
        <v>1169</v>
      </c>
      <c r="B12614" s="0" t="s">
        <v>98</v>
      </c>
      <c r="C12614" s="6" t="n">
        <f aca="false">Sens!F12561+oai_v-Sens!F12550+Sens!$C$12613</f>
        <v>158.59441702678</v>
      </c>
      <c r="L12614" s="1" t="s">
        <v>1261</v>
      </c>
    </row>
    <row r="12615" customFormat="false" ht="17.15" hidden="false" customHeight="false" outlineLevel="0" collapsed="false">
      <c r="A12615" s="1" t="s">
        <v>1262</v>
      </c>
      <c r="B12615" s="0" t="s">
        <v>75</v>
      </c>
      <c r="C12615" s="5" t="n">
        <f aca="false">(Sens!$C$12612+Sens!$C$12614)/(Sens!F12563+dil_gap)-Sens!G12553*roll_div_q/q_per_yr</f>
        <v>401.685887335712</v>
      </c>
      <c r="L12615" s="1" t="s">
        <v>1263</v>
      </c>
    </row>
    <row r="12616" customFormat="false" ht="17.15" hidden="false" customHeight="false" outlineLevel="0" collapsed="false">
      <c r="A12616" s="1" t="s">
        <v>1264</v>
      </c>
      <c r="B12616" s="0" t="s">
        <v>75</v>
      </c>
      <c r="C12616" s="5" t="n">
        <f aca="false">w_dcf*Sens!$C$12586+(1-w_dcf)*Sens!$C$12615</f>
        <v>341.454563939059</v>
      </c>
    </row>
    <row r="12617" customFormat="false" ht="17.15" hidden="false" customHeight="false" outlineLevel="0" collapsed="false">
      <c r="A12617" s="3" t="s">
        <v>1795</v>
      </c>
    </row>
    <row r="12618" customFormat="false" ht="15" hidden="false" customHeight="false" outlineLevel="0" collapsed="false">
      <c r="A12618" s="4" t="s">
        <v>43</v>
      </c>
      <c r="B12618" s="4" t="s">
        <v>65</v>
      </c>
      <c r="C12618" s="23" t="s">
        <v>938</v>
      </c>
      <c r="D12618" s="23" t="s">
        <v>939</v>
      </c>
      <c r="E12618" s="23" t="s">
        <v>940</v>
      </c>
      <c r="F12618" s="23" t="s">
        <v>941</v>
      </c>
      <c r="G12618" s="23" t="s">
        <v>942</v>
      </c>
      <c r="H12618" s="23" t="s">
        <v>943</v>
      </c>
      <c r="I12618" s="23" t="s">
        <v>944</v>
      </c>
      <c r="J12618" s="23" t="s">
        <v>945</v>
      </c>
      <c r="K12618" s="23" t="s">
        <v>946</v>
      </c>
      <c r="L12618" s="4" t="s">
        <v>47</v>
      </c>
    </row>
    <row r="12619" customFormat="false" ht="17.15" hidden="false" customHeight="false" outlineLevel="0" collapsed="false">
      <c r="A12619" s="1" t="s">
        <v>947</v>
      </c>
      <c r="B12619" s="1" t="s">
        <v>279</v>
      </c>
      <c r="C12619" s="21" t="n">
        <v>2024</v>
      </c>
      <c r="D12619" s="21" t="n">
        <v>2025</v>
      </c>
      <c r="E12619" s="21" t="n">
        <v>2026</v>
      </c>
      <c r="F12619" s="21" t="n">
        <v>2027</v>
      </c>
      <c r="G12619" s="21" t="n">
        <v>2028</v>
      </c>
      <c r="H12619" s="21" t="n">
        <v>2029</v>
      </c>
      <c r="I12619" s="21" t="n">
        <v>2030</v>
      </c>
      <c r="J12619" s="21" t="n">
        <v>2031</v>
      </c>
      <c r="K12619" s="21" t="n">
        <v>2032</v>
      </c>
    </row>
    <row r="12620" customFormat="false" ht="17.15" hidden="false" customHeight="false" outlineLevel="0" collapsed="false">
      <c r="A12620" s="1" t="s">
        <v>948</v>
      </c>
      <c r="B12620" s="0" t="s">
        <v>456</v>
      </c>
      <c r="F12620" s="30" t="n">
        <f aca="false">pace</f>
        <v>2726.5351</v>
      </c>
      <c r="G12620" s="30" t="n">
        <f aca="false">pace</f>
        <v>2726.5351</v>
      </c>
      <c r="H12620" s="30" t="n">
        <f aca="false">pace</f>
        <v>2726.5351</v>
      </c>
      <c r="I12620" s="30" t="n">
        <f aca="false">pace+(g_tv*Sens!H12621-pace)*MIN(1,(Sens!I12619-pace_y0)/(pace_y1-pace_y0))</f>
        <v>1931.98611966667</v>
      </c>
      <c r="J12620" s="30" t="n">
        <f aca="false">pace+(g_tv*Sens!I12621-pace)*MIN(1,(Sens!J12619-pace_y0)/(pace_y1-pace_y0))</f>
        <v>1176.07686172667</v>
      </c>
      <c r="K12620" s="30" t="n">
        <f aca="false">pace+(g_tv*Sens!J12621-pace)*MIN(1,(Sens!K12619-pace_y0)/(pace_y1-pace_y0))</f>
        <v>436.1300484418</v>
      </c>
      <c r="L12620" s="12" t="s">
        <v>949</v>
      </c>
    </row>
    <row r="12621" customFormat="false" ht="17.15" hidden="false" customHeight="false" outlineLevel="0" collapsed="false">
      <c r="A12621" s="1" t="s">
        <v>950</v>
      </c>
      <c r="B12621" s="0" t="s">
        <v>456</v>
      </c>
      <c r="C12621" s="30" t="n">
        <f aca="false">mw_ext_24</f>
        <v>640</v>
      </c>
      <c r="D12621" s="30" t="n">
        <f aca="false">mw_ext_25</f>
        <v>1630</v>
      </c>
      <c r="E12621" s="30" t="n">
        <f aca="false">mw_ext_26</f>
        <v>3250</v>
      </c>
      <c r="F12621" s="30" t="n">
        <f aca="false">Sens!E12621+Sens!F12620</f>
        <v>5976.5351</v>
      </c>
      <c r="G12621" s="30" t="n">
        <f aca="false">Sens!F12621+Sens!G12620</f>
        <v>8703.0702</v>
      </c>
      <c r="H12621" s="30" t="n">
        <f aca="false">Sens!G12621+Sens!H12620</f>
        <v>11429.6053</v>
      </c>
      <c r="I12621" s="30" t="n">
        <f aca="false">Sens!H12621+Sens!I12620</f>
        <v>13361.5914196667</v>
      </c>
      <c r="J12621" s="30" t="n">
        <f aca="false">Sens!I12621+Sens!J12620</f>
        <v>14537.6682813933</v>
      </c>
      <c r="K12621" s="30" t="n">
        <f aca="false">Sens!J12621+Sens!K12620</f>
        <v>14973.7983298351</v>
      </c>
      <c r="L12621" s="1" t="s">
        <v>951</v>
      </c>
    </row>
    <row r="12622" customFormat="false" ht="17.15" hidden="false" customHeight="false" outlineLevel="0" collapsed="false">
      <c r="A12622" s="1" t="s">
        <v>952</v>
      </c>
      <c r="B12622" s="0" t="s">
        <v>456</v>
      </c>
      <c r="C12622" s="30" t="n">
        <f aca="false">rent_ext_24</f>
        <v>150</v>
      </c>
      <c r="D12622" s="30" t="n">
        <f aca="false">rent_ext_25</f>
        <v>400</v>
      </c>
      <c r="E12622" s="30" t="n">
        <f aca="false">rent_ext_26</f>
        <v>550</v>
      </c>
      <c r="F12622" s="30" t="n">
        <f aca="false">rent_ext_f</f>
        <v>756</v>
      </c>
      <c r="G12622" s="30" t="n">
        <f aca="false">rent_ext_f</f>
        <v>756</v>
      </c>
      <c r="H12622" s="30" t="n">
        <f aca="false">rent_ext_f</f>
        <v>756</v>
      </c>
      <c r="I12622" s="30" t="n">
        <f aca="false">rent_ext_f</f>
        <v>756</v>
      </c>
      <c r="J12622" s="30" t="n">
        <f aca="false">rent_ext_f</f>
        <v>756</v>
      </c>
      <c r="K12622" s="30" t="n">
        <f aca="false">rent_ext_f</f>
        <v>756</v>
      </c>
      <c r="L12622" s="1" t="s">
        <v>953</v>
      </c>
    </row>
    <row r="12623" customFormat="false" ht="17.15" hidden="false" customHeight="false" outlineLevel="0" collapsed="false">
      <c r="A12623" s="1" t="s">
        <v>954</v>
      </c>
      <c r="B12623" s="0" t="s">
        <v>456</v>
      </c>
      <c r="C12623" s="30" t="n">
        <f aca="false">Sens!C12621-Sens!C12622</f>
        <v>490</v>
      </c>
      <c r="D12623" s="30" t="n">
        <f aca="false">Sens!D12621-Sens!D12622</f>
        <v>1230</v>
      </c>
      <c r="E12623" s="30" t="n">
        <f aca="false">Sens!E12621-Sens!E12622</f>
        <v>2700</v>
      </c>
      <c r="F12623" s="30" t="n">
        <f aca="false">Sens!F12621-Sens!F12622</f>
        <v>5220.5351</v>
      </c>
      <c r="G12623" s="30" t="n">
        <f aca="false">Sens!G12621-Sens!G12622</f>
        <v>7947.0702</v>
      </c>
      <c r="H12623" s="30" t="n">
        <f aca="false">Sens!H12621-Sens!H12622</f>
        <v>10673.6053</v>
      </c>
      <c r="I12623" s="30" t="n">
        <f aca="false">Sens!I12621-Sens!I12622</f>
        <v>12605.5914196667</v>
      </c>
      <c r="J12623" s="30" t="n">
        <f aca="false">Sens!J12621-Sens!J12622</f>
        <v>13781.6682813933</v>
      </c>
      <c r="K12623" s="30" t="n">
        <f aca="false">Sens!K12621-Sens!K12622</f>
        <v>14217.7983298351</v>
      </c>
    </row>
    <row r="12624" customFormat="false" ht="17.15" hidden="false" customHeight="false" outlineLevel="0" collapsed="false">
      <c r="A12624" s="1" t="s">
        <v>955</v>
      </c>
      <c r="B12624" s="0" t="s">
        <v>456</v>
      </c>
      <c r="C12624" s="30" t="n">
        <f aca="false">Sens!C12623/ext_sh</f>
        <v>816.666666666667</v>
      </c>
      <c r="D12624" s="30" t="n">
        <f aca="false">Sens!D12623/ext_sh</f>
        <v>2050</v>
      </c>
      <c r="E12624" s="30" t="n">
        <f aca="false">Sens!E12623/ext_sh</f>
        <v>4500</v>
      </c>
      <c r="F12624" s="30" t="n">
        <f aca="false">Sens!F12623/ext_sh</f>
        <v>8700.89183333333</v>
      </c>
      <c r="G12624" s="30" t="n">
        <f aca="false">Sens!G12623/ext_sh</f>
        <v>13245.117</v>
      </c>
      <c r="H12624" s="30" t="n">
        <f aca="false">Sens!H12623/ext_sh</f>
        <v>17789.3421666667</v>
      </c>
      <c r="I12624" s="30" t="n">
        <f aca="false">Sens!I12623/ext_sh</f>
        <v>21009.3190327778</v>
      </c>
      <c r="J12624" s="30" t="n">
        <f aca="false">Sens!J12623/ext_sh</f>
        <v>22969.4471356556</v>
      </c>
      <c r="K12624" s="30" t="n">
        <f aca="false">Sens!K12623/ext_sh</f>
        <v>23696.3305497252</v>
      </c>
      <c r="L12624" s="1" t="s">
        <v>956</v>
      </c>
    </row>
    <row r="12625" customFormat="false" ht="17.15" hidden="false" customHeight="false" outlineLevel="0" collapsed="false">
      <c r="A12625" s="1" t="s">
        <v>957</v>
      </c>
      <c r="B12625" s="0" t="s">
        <v>456</v>
      </c>
      <c r="C12625" s="30" t="n">
        <f aca="false">Sens!C12624-Sens!C12623</f>
        <v>326.666666666667</v>
      </c>
      <c r="D12625" s="30" t="n">
        <f aca="false">Sens!D12624-Sens!D12623</f>
        <v>820</v>
      </c>
      <c r="E12625" s="30" t="n">
        <f aca="false">Sens!E12624-Sens!E12623</f>
        <v>1800</v>
      </c>
      <c r="F12625" s="30" t="n">
        <f aca="false">Sens!F12624-Sens!F12623</f>
        <v>3480.35673333333</v>
      </c>
      <c r="G12625" s="30" t="n">
        <f aca="false">Sens!G12624-Sens!G12623</f>
        <v>5298.0468</v>
      </c>
      <c r="H12625" s="30" t="n">
        <f aca="false">Sens!H12624-Sens!H12623</f>
        <v>7115.73686666667</v>
      </c>
      <c r="I12625" s="30" t="n">
        <f aca="false">Sens!I12624-Sens!I12623</f>
        <v>8403.72761311111</v>
      </c>
      <c r="J12625" s="30" t="n">
        <f aca="false">Sens!J12624-Sens!J12623</f>
        <v>9187.77885426222</v>
      </c>
      <c r="K12625" s="30" t="n">
        <f aca="false">Sens!K12624-Sens!K12623</f>
        <v>9478.53221989009</v>
      </c>
    </row>
    <row r="12626" customFormat="false" ht="17.15" hidden="false" customHeight="false" outlineLevel="0" collapsed="false">
      <c r="A12626" s="1" t="s">
        <v>958</v>
      </c>
      <c r="B12626" s="0" t="s">
        <v>456</v>
      </c>
      <c r="C12626" s="30" t="n">
        <f aca="false">Sens!C12624</f>
        <v>816.666666666667</v>
      </c>
      <c r="D12626" s="30" t="n">
        <f aca="false">Sens!D12624-Sens!C12624</f>
        <v>1233.33333333333</v>
      </c>
      <c r="E12626" s="30" t="n">
        <f aca="false">Sens!E12624-Sens!D12624</f>
        <v>2450</v>
      </c>
      <c r="F12626" s="30" t="n">
        <f aca="false">Sens!F12624-Sens!E12624</f>
        <v>4200.89183333333</v>
      </c>
      <c r="G12626" s="30" t="n">
        <f aca="false">Sens!G12624-Sens!F12624</f>
        <v>4544.22516666667</v>
      </c>
      <c r="H12626" s="30" t="n">
        <f aca="false">Sens!H12624-Sens!G12624</f>
        <v>4544.22516666667</v>
      </c>
      <c r="I12626" s="30" t="n">
        <f aca="false">Sens!I12624-Sens!H12624</f>
        <v>3219.97686611111</v>
      </c>
      <c r="J12626" s="30" t="n">
        <f aca="false">Sens!J12624-Sens!I12624</f>
        <v>1960.12810287778</v>
      </c>
      <c r="K12626" s="30" t="n">
        <f aca="false">Sens!K12624-Sens!J12624</f>
        <v>726.883414069667</v>
      </c>
    </row>
    <row r="12627" customFormat="false" ht="17.15" hidden="false" customHeight="false" outlineLevel="0" collapsed="false">
      <c r="A12627" s="1" t="s">
        <v>959</v>
      </c>
      <c r="B12627" s="0" t="s">
        <v>456</v>
      </c>
      <c r="D12627" s="30" t="n">
        <f aca="false">Sens!D12621-Sens!C12621</f>
        <v>990</v>
      </c>
      <c r="E12627" s="30" t="n">
        <f aca="false">Sens!E12621-Sens!D12621</f>
        <v>1620</v>
      </c>
      <c r="F12627" s="30" t="n">
        <f aca="false">Sens!F12621-Sens!E12621</f>
        <v>2726.5351</v>
      </c>
      <c r="G12627" s="30" t="n">
        <f aca="false">Sens!G12621-Sens!F12621</f>
        <v>2726.5351</v>
      </c>
      <c r="H12627" s="30" t="n">
        <f aca="false">Sens!H12621-Sens!G12621</f>
        <v>2726.5351</v>
      </c>
      <c r="I12627" s="30" t="n">
        <f aca="false">Sens!I12621-Sens!H12621</f>
        <v>1931.98611966667</v>
      </c>
      <c r="J12627" s="30" t="n">
        <f aca="false">Sens!J12621-Sens!I12621</f>
        <v>1176.07686172667</v>
      </c>
      <c r="K12627" s="30" t="n">
        <f aca="false">Sens!K12621-Sens!J12621</f>
        <v>436.130048441799</v>
      </c>
    </row>
    <row r="12628" customFormat="false" ht="17.15" hidden="false" customHeight="false" outlineLevel="0" collapsed="false">
      <c r="A12628" s="1" t="s">
        <v>960</v>
      </c>
      <c r="B12628" s="0" t="s">
        <v>456</v>
      </c>
      <c r="F12628" s="30" t="n">
        <f aca="false">Sens!F12647*ext_sh</f>
        <v>0</v>
      </c>
      <c r="G12628" s="30" t="n">
        <f aca="false">Sens!G12647*ext_sh</f>
        <v>0</v>
      </c>
      <c r="H12628" s="30" t="n">
        <f aca="false">Sens!H12647*ext_sh</f>
        <v>0</v>
      </c>
      <c r="I12628" s="30" t="n">
        <f aca="false">Sens!I12647*ext_sh</f>
        <v>490</v>
      </c>
      <c r="J12628" s="30" t="n">
        <f aca="false">Sens!J12647*ext_sh</f>
        <v>740</v>
      </c>
      <c r="K12628" s="30" t="n">
        <f aca="false">Sens!K12647*ext_sh</f>
        <v>1470</v>
      </c>
      <c r="L12628" s="1" t="s">
        <v>961</v>
      </c>
    </row>
    <row r="12629" customFormat="false" ht="17.15" hidden="false" customHeight="false" outlineLevel="0" collapsed="false">
      <c r="A12629" s="1" t="s">
        <v>962</v>
      </c>
      <c r="B12629" s="0" t="s">
        <v>456</v>
      </c>
      <c r="C12629" s="30" t="n">
        <f aca="false">mix_h*Sens!C12621</f>
        <v>128</v>
      </c>
      <c r="D12629" s="30" t="n">
        <f aca="false">mix_h*Sens!D12621</f>
        <v>326</v>
      </c>
      <c r="E12629" s="30" t="n">
        <f aca="false">mix_h*Sens!E12621</f>
        <v>650</v>
      </c>
      <c r="F12629" s="30" t="n">
        <f aca="false">Sens!E12629-Sens!F12628*mix_h</f>
        <v>650</v>
      </c>
      <c r="G12629" s="30" t="n">
        <f aca="false">Sens!F12629-Sens!G12628*mix_h</f>
        <v>650</v>
      </c>
      <c r="H12629" s="30" t="n">
        <f aca="false">Sens!G12629-Sens!H12628*mix_h</f>
        <v>650</v>
      </c>
      <c r="I12629" s="30" t="n">
        <f aca="false">Sens!H12629-Sens!I12628*mix_h</f>
        <v>552</v>
      </c>
      <c r="J12629" s="30" t="n">
        <f aca="false">Sens!I12629-Sens!J12628*mix_h</f>
        <v>404</v>
      </c>
      <c r="K12629" s="30" t="n">
        <f aca="false">Sens!J12629-Sens!K12628*mix_h</f>
        <v>110</v>
      </c>
    </row>
    <row r="12630" customFormat="false" ht="17.15" hidden="false" customHeight="false" outlineLevel="0" collapsed="false">
      <c r="A12630" s="1" t="s">
        <v>963</v>
      </c>
      <c r="B12630" s="0" t="s">
        <v>456</v>
      </c>
      <c r="C12630" s="30" t="n">
        <f aca="false">mix_g2*Sens!C12621</f>
        <v>288</v>
      </c>
      <c r="D12630" s="30" t="n">
        <f aca="false">mix_g2*Sens!D12621</f>
        <v>733.5</v>
      </c>
      <c r="E12630" s="30" t="n">
        <f aca="false">mix_g2*Sens!E12621</f>
        <v>1462.5</v>
      </c>
      <c r="F12630" s="30" t="n">
        <f aca="false">Sens!E12630-Sens!F12628*mix_g2</f>
        <v>1462.5</v>
      </c>
      <c r="G12630" s="30" t="n">
        <f aca="false">Sens!F12630-Sens!G12628*mix_g2</f>
        <v>1462.5</v>
      </c>
      <c r="H12630" s="30" t="n">
        <f aca="false">Sens!G12630-Sens!H12628*mix_g2</f>
        <v>1462.5</v>
      </c>
      <c r="I12630" s="30" t="n">
        <f aca="false">Sens!H12630-Sens!I12628*mix_g2</f>
        <v>1242</v>
      </c>
      <c r="J12630" s="30" t="n">
        <f aca="false">Sens!I12630-Sens!J12628*mix_g2</f>
        <v>909</v>
      </c>
      <c r="K12630" s="30" t="n">
        <f aca="false">Sens!J12630-Sens!K12628*mix_g2</f>
        <v>247.5</v>
      </c>
    </row>
    <row r="12631" customFormat="false" ht="17.15" hidden="false" customHeight="false" outlineLevel="0" collapsed="false">
      <c r="A12631" s="1" t="s">
        <v>964</v>
      </c>
      <c r="B12631" s="0" t="s">
        <v>456</v>
      </c>
      <c r="C12631" s="30" t="n">
        <f aca="false">mix_g3*Sens!C12621</f>
        <v>224</v>
      </c>
      <c r="D12631" s="30" t="n">
        <f aca="false">mix_g3*Sens!D12621</f>
        <v>570.5</v>
      </c>
      <c r="E12631" s="30" t="n">
        <f aca="false">mix_g3*Sens!E12621</f>
        <v>1137.5</v>
      </c>
      <c r="F12631" s="30" t="n">
        <f aca="false">Sens!E12631+(Sens!F12627+Sens!F12628)*(a_g3_27-nonnv*a_mai)-Sens!F12628*mix_g3</f>
        <v>2773.42106</v>
      </c>
      <c r="G12631" s="30" t="n">
        <f aca="false">Sens!F12631+(Sens!G12627+Sens!G12628)*(a_g3_28-nonnv*a_mai)-Sens!G12628*mix_g3</f>
        <v>3318.72808</v>
      </c>
      <c r="H12631" s="30" t="n">
        <f aca="false">Sens!G12631+(Sens!H12627+Sens!H12628)*(a_g3_29-nonnv*a_mai)-Sens!H12628*mix_g3</f>
        <v>3318.72808</v>
      </c>
      <c r="I12631" s="30" t="n">
        <f aca="false">Sens!H12631+(Sens!I12627+Sens!I12628)*(a_g3_29-nonnv*a_mai)-Sens!I12628*mix_g3</f>
        <v>3147.22808</v>
      </c>
      <c r="J12631" s="30" t="n">
        <f aca="false">Sens!I12631+(Sens!J12627+Sens!J12628)*(a_g3_29-nonnv*a_mai)-Sens!J12628*mix_g3</f>
        <v>2888.22808</v>
      </c>
      <c r="K12631" s="30" t="n">
        <f aca="false">Sens!J12631+(Sens!K12627+Sens!K12628)*(a_g3_29-nonnv*a_mai)-Sens!K12628*mix_g3</f>
        <v>2373.72808</v>
      </c>
    </row>
    <row r="12632" customFormat="false" ht="17.15" hidden="false" customHeight="false" outlineLevel="0" collapsed="false">
      <c r="A12632" s="1" t="s">
        <v>965</v>
      </c>
      <c r="B12632" s="0" t="s">
        <v>456</v>
      </c>
      <c r="C12632" s="30" t="n">
        <v>0</v>
      </c>
      <c r="D12632" s="30" t="n">
        <v>0</v>
      </c>
      <c r="E12632" s="30" t="n">
        <v>0</v>
      </c>
      <c r="F12632" s="30" t="n">
        <f aca="false">Sens!E12632+(Sens!F12627+Sens!F12628)*nonnv*a_mai</f>
        <v>272.65351</v>
      </c>
      <c r="G12632" s="30" t="n">
        <f aca="false">Sens!F12632+(Sens!G12627+Sens!G12628)*nonnv*a_mai</f>
        <v>545.30702</v>
      </c>
      <c r="H12632" s="30" t="n">
        <f aca="false">Sens!G12632+(Sens!H12627+Sens!H12628)*nonnv*a_mai</f>
        <v>817.96053</v>
      </c>
      <c r="I12632" s="30" t="n">
        <f aca="false">Sens!H12632+(Sens!I12627+Sens!I12628)*nonnv*a_mai</f>
        <v>1060.15914196667</v>
      </c>
      <c r="J12632" s="30" t="n">
        <f aca="false">Sens!I12632+(Sens!J12627+Sens!J12628)*nonnv*a_mai</f>
        <v>1251.76682813933</v>
      </c>
      <c r="K12632" s="30" t="n">
        <f aca="false">Sens!J12632+(Sens!K12627+Sens!K12628)*nonnv*a_mai</f>
        <v>1442.37983298351</v>
      </c>
      <c r="L12632" s="12" t="s">
        <v>966</v>
      </c>
    </row>
    <row r="12633" customFormat="false" ht="17.15" hidden="false" customHeight="false" outlineLevel="0" collapsed="false">
      <c r="A12633" s="1" t="s">
        <v>967</v>
      </c>
      <c r="B12633" s="0" t="s">
        <v>456</v>
      </c>
      <c r="C12633" s="30" t="n">
        <v>0</v>
      </c>
      <c r="D12633" s="30" t="n">
        <v>0</v>
      </c>
      <c r="E12633" s="30" t="n">
        <v>0</v>
      </c>
      <c r="F12633" s="30" t="n">
        <f aca="false">Sens!E12633+(Sens!F12627+Sens!F12628)*(1-a_g3_27)</f>
        <v>817.96053</v>
      </c>
      <c r="G12633" s="30" t="n">
        <f aca="false">Sens!F12633+(Sens!G12627+Sens!G12628)*(1-a_g3_28)</f>
        <v>2726.5351</v>
      </c>
      <c r="H12633" s="30" t="n">
        <f aca="false">Sens!G12633+(Sens!H12627+Sens!H12628)*(1-a_g3_29)</f>
        <v>5180.41669</v>
      </c>
      <c r="I12633" s="30" t="n">
        <f aca="false">Sens!H12633+(Sens!I12627+Sens!I12628)*(1-a_g3_29)</f>
        <v>7360.2041977</v>
      </c>
      <c r="J12633" s="30" t="n">
        <f aca="false">Sens!I12633+(Sens!J12627+Sens!J12628)*(1-a_g3_29)</f>
        <v>9084.673373254</v>
      </c>
      <c r="K12633" s="30" t="n">
        <f aca="false">Sens!J12633+(Sens!K12627+Sens!K12628)*(1-a_g3_29)</f>
        <v>10800.1904168516</v>
      </c>
    </row>
    <row r="12634" customFormat="false" ht="17.15" hidden="false" customHeight="false" outlineLevel="0" collapsed="false">
      <c r="A12634" s="1" t="s">
        <v>968</v>
      </c>
      <c r="B12634" s="0" t="s">
        <v>403</v>
      </c>
      <c r="C12634" s="15" t="n">
        <f aca="false">(Sens!C12629*tk_hold_h100+Sens!C12630*tk_hold_gb200+Sens!C12631*tk_hold_gb300+Sens!C12633*tk_hold_vr200+Sens!C12632*nv_hold_mai*tk_hold_vr200)/Sens!C12621</f>
        <v>9.7235358126469</v>
      </c>
      <c r="D12634" s="15" t="n">
        <f aca="false">(Sens!D12629*tk_hold_h100+Sens!D12630*tk_hold_gb200+Sens!D12631*tk_hold_gb300+Sens!D12633*tk_hold_vr200+Sens!D12632*nv_hold_mai*tk_hold_vr200)/Sens!D12621</f>
        <v>9.7235358126469</v>
      </c>
      <c r="E12634" s="15" t="n">
        <f aca="false">(Sens!E12629*tk_hold_h100+Sens!E12630*tk_hold_gb200+Sens!E12631*tk_hold_gb300+Sens!E12633*tk_hold_vr200+Sens!E12632*nv_hold_mai*tk_hold_vr200)/Sens!E12621</f>
        <v>9.7235358126469</v>
      </c>
      <c r="F12634" s="15" t="n">
        <f aca="false">(Sens!F12629*tk_hold_h100+Sens!F12630*tk_hold_gb200+Sens!F12631*tk_hold_gb300+Sens!F12633*tk_hold_vr200+Sens!F12632*nv_hold_mai*tk_hold_vr200)/Sens!F12621</f>
        <v>10.2195353876665</v>
      </c>
      <c r="G12634" s="15" t="n">
        <f aca="false">(Sens!G12629*tk_hold_h100+Sens!G12630*tk_hold_gb200+Sens!G12631*tk_hold_gb300+Sens!G12633*tk_hold_vr200+Sens!G12632*nv_hold_mai*tk_hold_vr200)/Sens!G12621</f>
        <v>10.5725598017306</v>
      </c>
      <c r="H12634" s="15" t="n">
        <f aca="false">(Sens!H12629*tk_hold_h100+Sens!H12630*tk_hold_gb200+Sens!H12631*tk_hold_gb300+Sens!H12633*tk_hold_vr200+Sens!H12632*nv_hold_mai*tk_hold_vr200)/Sens!H12621</f>
        <v>10.8210427149036</v>
      </c>
      <c r="I12634" s="15" t="n">
        <f aca="false">(Sens!I12629*tk_hold_h100+Sens!I12630*tk_hold_gb200+Sens!I12631*tk_hold_gb300+Sens!I12633*tk_hold_vr200+Sens!I12632*nv_hold_mai*tk_hold_vr200)/Sens!I12621</f>
        <v>11.0050618241982</v>
      </c>
      <c r="J12634" s="15" t="n">
        <f aca="false">(Sens!J12629*tk_hold_h100+Sens!J12630*tk_hold_gb200+Sens!J12631*tk_hold_gb300+Sens!J12633*tk_hold_vr200+Sens!J12632*nv_hold_mai*tk_hold_vr200)/Sens!J12621</f>
        <v>11.1505789658881</v>
      </c>
      <c r="K12634" s="15" t="n">
        <f aca="false">(Sens!K12629*tk_hold_h100+Sens!K12630*tk_hold_gb200+Sens!K12631*tk_hold_gb300+Sens!K12633*tk_hold_vr200+Sens!K12632*nv_hold_mai*tk_hold_vr200)/Sens!K12621</f>
        <v>11.3496914757183</v>
      </c>
      <c r="L12634" s="1" t="s">
        <v>969</v>
      </c>
    </row>
    <row r="12635" customFormat="false" ht="17.15" hidden="false" customHeight="false" outlineLevel="0" collapsed="false">
      <c r="A12635" s="1" t="s">
        <v>970</v>
      </c>
      <c r="B12635" s="0" t="s">
        <v>403</v>
      </c>
      <c r="C12635" s="15" t="n">
        <f aca="false">(Sens!C12629*tk_hold_h100+Sens!C12630*tk_hold_gb200+Sens!C12631*tk_hold_gb300+Sens!C12633*tk_hold_vr200+Sens!C12632*nv_out_mai*tk_hold_vr200)/Sens!C12621</f>
        <v>9.7235358126469</v>
      </c>
      <c r="D12635" s="15" t="n">
        <f aca="false">(Sens!D12629*tk_hold_h100+Sens!D12630*tk_hold_gb200+Sens!D12631*tk_hold_gb300+Sens!D12633*tk_hold_vr200+Sens!D12632*nv_out_mai*tk_hold_vr200)/Sens!D12621</f>
        <v>9.7235358126469</v>
      </c>
      <c r="E12635" s="15" t="n">
        <f aca="false">(Sens!E12629*tk_hold_h100+Sens!E12630*tk_hold_gb200+Sens!E12631*tk_hold_gb300+Sens!E12633*tk_hold_vr200+Sens!E12632*nv_out_mai*tk_hold_vr200)/Sens!E12621</f>
        <v>9.7235358126469</v>
      </c>
      <c r="F12635" s="15" t="n">
        <f aca="false">(Sens!F12629*tk_hold_h100+Sens!F12630*tk_hold_gb200+Sens!F12631*tk_hold_gb300+Sens!F12633*tk_hold_vr200+Sens!F12632*nv_out_mai*tk_hold_vr200)/Sens!F12621</f>
        <v>10.247422093969</v>
      </c>
      <c r="G12635" s="15" t="n">
        <f aca="false">(Sens!G12629*tk_hold_h100+Sens!G12630*tk_hold_gb200+Sens!G12631*tk_hold_gb300+Sens!G12633*tk_hold_vr200+Sens!G12632*nv_out_mai*tk_hold_vr200)/Sens!G12621</f>
        <v>10.6108602808053</v>
      </c>
      <c r="H12635" s="15" t="n">
        <f aca="false">(Sens!H12629*tk_hold_h100+Sens!H12630*tk_hold_gb200+Sens!H12631*tk_hold_gb300+Sens!H12633*tk_hold_vr200+Sens!H12632*nv_out_mai*tk_hold_vr200)/Sens!H12621</f>
        <v>10.8647885507393</v>
      </c>
      <c r="I12635" s="15" t="n">
        <f aca="false">(Sens!I12629*tk_hold_h100+Sens!I12630*tk_hold_gb200+Sens!I12631*tk_hold_gb300+Sens!I12633*tk_hold_vr200+Sens!I12632*nv_out_mai*tk_hold_vr200)/Sens!I12621</f>
        <v>11.0535625770025</v>
      </c>
      <c r="J12635" s="15" t="n">
        <f aca="false">(Sens!J12629*tk_hold_h100+Sens!J12630*tk_hold_gb200+Sens!J12631*tk_hold_gb300+Sens!J12633*tk_hold_vr200+Sens!J12632*nv_out_mai*tk_hold_vr200)/Sens!J12621</f>
        <v>11.2032127128058</v>
      </c>
      <c r="K12635" s="15" t="n">
        <f aca="false">(Sens!K12629*tk_hold_h100+Sens!K12630*tk_hold_gb200+Sens!K12631*tk_hold_gb300+Sens!K12633*tk_hold_vr200+Sens!K12632*nv_out_mai*tk_hold_vr200)/Sens!K12621</f>
        <v>11.4085735724225</v>
      </c>
      <c r="L12635" s="12" t="s">
        <v>971</v>
      </c>
    </row>
    <row r="12636" customFormat="false" ht="17.15" hidden="false" customHeight="false" outlineLevel="0" collapsed="false">
      <c r="A12636" s="0" t="s">
        <v>972</v>
      </c>
      <c r="B12636" s="0" t="s">
        <v>229</v>
      </c>
      <c r="C12636" s="15" t="n">
        <f aca="false">k_B</f>
        <v>1.17213932619116</v>
      </c>
      <c r="D12636" s="15" t="n">
        <f aca="false">k_B</f>
        <v>1.17213932619116</v>
      </c>
      <c r="E12636" s="15" t="n">
        <f aca="false">k_B</f>
        <v>1.17213932619116</v>
      </c>
      <c r="F12636" s="15" t="n">
        <f aca="false">(k_B+((ls_A*k_long+(1-ls_A)*k_spot)-k_B)*MIN(1,(Sens!F12619-base_fy)/k_ramp))</f>
        <v>1.25022828131298</v>
      </c>
      <c r="G12636" s="15" t="n">
        <f aca="false">(k_B+((ls_A*k_long+(1-ls_A)*k_spot)-k_B)*MIN(1,(Sens!G12619-base_fy)/k_ramp))</f>
        <v>1.3283172364348</v>
      </c>
      <c r="H12636" s="15" t="n">
        <f aca="false">(k_B+((ls_A*k_long+(1-ls_A)*k_spot)-k_B)*MIN(1,(Sens!H12619-base_fy)/k_ramp))</f>
        <v>1.40640619155662</v>
      </c>
      <c r="I12636" s="15" t="n">
        <f aca="false">(k_B+((ls_A*k_long+(1-ls_A)*k_spot)-k_B)*MIN(1,(Sens!I12619-base_fy)/k_ramp))</f>
        <v>1.40640619155662</v>
      </c>
      <c r="J12636" s="15" t="n">
        <f aca="false">(k_B+((ls_A*k_long+(1-ls_A)*k_spot)-k_B)*MIN(1,(Sens!J12619-base_fy)/k_ramp))</f>
        <v>1.40640619155662</v>
      </c>
      <c r="K12636" s="15" t="n">
        <f aca="false">(k_B+((ls_A*k_long+(1-ls_A)*k_spot)-k_B)*MIN(1,(Sens!K12619-base_fy)/k_ramp))</f>
        <v>1.40640619155662</v>
      </c>
      <c r="L12636" s="1" t="s">
        <v>973</v>
      </c>
    </row>
    <row r="12637" customFormat="false" ht="17.15" hidden="false" customHeight="false" outlineLevel="0" collapsed="false">
      <c r="A12637" s="1" t="s">
        <v>974</v>
      </c>
      <c r="B12637" s="0" t="s">
        <v>403</v>
      </c>
      <c r="C12637" s="15" t="n">
        <f aca="false">Sens!C12635*Sens!C12636*chip_f</f>
        <v>11.3973387156315</v>
      </c>
      <c r="D12637" s="15" t="n">
        <f aca="false">Sens!D12635*Sens!D12636*chip_f</f>
        <v>11.3973387156315</v>
      </c>
      <c r="E12637" s="15" t="n">
        <f aca="false">Sens!E12635*Sens!E12636*chip_f</f>
        <v>11.3973387156315</v>
      </c>
      <c r="F12637" s="15" t="n">
        <f aca="false">Sens!F12635*Sens!F12636*chip_f</f>
        <v>12.8116169124314</v>
      </c>
      <c r="G12637" s="15" t="n">
        <f aca="false">Sens!G12635*Sens!G12636*chip_f</f>
        <v>14.094588604395</v>
      </c>
      <c r="H12637" s="15" t="n">
        <f aca="false">Sens!H12635*Sens!H12636*chip_f</f>
        <v>15.2803058877132</v>
      </c>
      <c r="I12637" s="15" t="n">
        <f aca="false">Sens!I12635*Sens!I12636*chip_f</f>
        <v>15.5457988470549</v>
      </c>
      <c r="J12637" s="15" t="n">
        <f aca="false">Sens!J12635*Sens!J12636*chip_f</f>
        <v>15.7562677246158</v>
      </c>
      <c r="K12637" s="15" t="n">
        <f aca="false">Sens!K12635*Sens!K12636*chip_f</f>
        <v>16.0450885090842</v>
      </c>
      <c r="L12637" s="1" t="s">
        <v>975</v>
      </c>
    </row>
    <row r="12638" customFormat="false" ht="17.15" hidden="false" customHeight="false" outlineLevel="0" collapsed="false">
      <c r="A12638" s="0" t="s">
        <v>976</v>
      </c>
      <c r="B12638" s="0" t="s">
        <v>98</v>
      </c>
      <c r="D12638" s="6" t="n">
        <f aca="false">(Sens!C12621+Sens!D12621)/2*Sens!D12637/1000</f>
        <v>12.9359794422418</v>
      </c>
      <c r="E12638" s="6" t="n">
        <f aca="false">(Sens!D12621+Sens!E12621)/2*Sens!E12637/1000</f>
        <v>27.8095064661409</v>
      </c>
      <c r="F12638" s="6" t="n">
        <f aca="false">(Sens!E12621+Sens!F12621)/2*Sens!F12637/1000</f>
        <v>59.1034165651511</v>
      </c>
      <c r="G12638" s="6" t="n">
        <f aca="false">(Sens!F12621+Sens!G12621)/2*Sens!G12637/1000</f>
        <v>103.451498789198</v>
      </c>
      <c r="H12638" s="6" t="n">
        <f aca="false">(Sens!G12621+Sens!H12621)/2*Sens!H12637/1000</f>
        <v>153.816719989035</v>
      </c>
      <c r="I12638" s="6" t="n">
        <f aca="false">(Sens!H12621+Sens!I12621)/2*Sens!I12637/1000</f>
        <v>192.699478690852</v>
      </c>
      <c r="J12638" s="6" t="n">
        <f aca="false">(Sens!I12621+Sens!J12621)/2*Sens!J12637/1000</f>
        <v>219.794102584244</v>
      </c>
      <c r="K12638" s="6" t="n">
        <f aca="false">(Sens!J12621+Sens!K12621)/2*Sens!K12637/1000</f>
        <v>236.757046905022</v>
      </c>
      <c r="L12638" s="12" t="s">
        <v>977</v>
      </c>
    </row>
    <row r="12639" customFormat="false" ht="17.15" hidden="false" customHeight="false" outlineLevel="0" collapsed="false">
      <c r="A12639" s="1" t="s">
        <v>978</v>
      </c>
      <c r="B12639" s="0" t="s">
        <v>403</v>
      </c>
      <c r="C12639" s="15" t="n">
        <f aca="false">(Sens!C12629*tk_opex_h100+Sens!C12630*tk_opex_gb200+Sens!C12631*tk_opex_gb300+(Sens!C12633+Sens!C12632)*tk_opex_vr200)/Sens!C12621</f>
        <v>1.88636041306092</v>
      </c>
      <c r="D12639" s="15" t="n">
        <f aca="false">(Sens!D12629*tk_opex_h100+Sens!D12630*tk_opex_gb200+Sens!D12631*tk_opex_gb300+(Sens!D12633+Sens!D12632)*tk_opex_vr200)/Sens!D12621</f>
        <v>1.88636041306092</v>
      </c>
      <c r="E12639" s="15" t="n">
        <f aca="false">(Sens!E12629*tk_opex_h100+Sens!E12630*tk_opex_gb200+Sens!E12631*tk_opex_gb300+(Sens!E12633+Sens!E12632)*tk_opex_vr200)/Sens!E12621</f>
        <v>1.88636041306092</v>
      </c>
      <c r="F12639" s="15" t="n">
        <f aca="false">(Sens!F12629*tk_opex_h100+Sens!F12630*tk_opex_gb200+Sens!F12631*tk_opex_gb300+(Sens!F12633+Sens!F12632)*tk_opex_vr200)/Sens!F12621</f>
        <v>1.95051159746876</v>
      </c>
      <c r="G12639" s="15" t="n">
        <f aca="false">(Sens!G12629*tk_opex_h100+Sens!G12630*tk_opex_gb200+Sens!G12631*tk_opex_gb300+(Sens!G12633+Sens!G12632)*tk_opex_vr200)/Sens!G12621</f>
        <v>1.98836003669956</v>
      </c>
      <c r="H12639" s="15" t="n">
        <f aca="false">(Sens!H12629*tk_opex_h100+Sens!H12630*tk_opex_gb200+Sens!H12631*tk_opex_gb300+(Sens!H12633+Sens!H12632)*tk_opex_vr200)/Sens!H12621</f>
        <v>2.01344013834343</v>
      </c>
      <c r="I12639" s="15" t="n">
        <f aca="false">(Sens!I12629*tk_opex_h100+Sens!I12630*tk_opex_gb200+Sens!I12631*tk_opex_gb300+(Sens!I12633+Sens!I12632)*tk_opex_vr200)/Sens!I12621</f>
        <v>2.03261166882178</v>
      </c>
      <c r="J12639" s="15" t="n">
        <f aca="false">(Sens!J12629*tk_opex_h100+Sens!J12630*tk_opex_gb200+Sens!J12631*tk_opex_gb300+(Sens!J12633+Sens!J12632)*tk_opex_vr200)/Sens!J12621</f>
        <v>2.04808073288745</v>
      </c>
      <c r="K12639" s="15" t="n">
        <f aca="false">(Sens!K12629*tk_opex_h100+Sens!K12630*tk_opex_gb200+Sens!K12631*tk_opex_gb300+(Sens!K12633+Sens!K12632)*tk_opex_vr200)/Sens!K12621</f>
        <v>2.06973825807449</v>
      </c>
      <c r="L12639" s="12" t="s">
        <v>979</v>
      </c>
    </row>
    <row r="12640" customFormat="false" ht="17.15" hidden="false" customHeight="false" outlineLevel="0" collapsed="false">
      <c r="A12640" s="0" t="s">
        <v>980</v>
      </c>
      <c r="B12640" s="0" t="s">
        <v>98</v>
      </c>
      <c r="D12640" s="6" t="n">
        <f aca="false">(Sens!C12624+Sens!D12624)/2*Sens!D12639/1000</f>
        <v>2.70378325872065</v>
      </c>
      <c r="E12640" s="6" t="n">
        <f aca="false">(Sens!D12624+Sens!E12624)/2*Sens!E12639/1000</f>
        <v>6.17783035277451</v>
      </c>
      <c r="F12640" s="6" t="n">
        <f aca="false">(Sens!E12624+Sens!F12624)/2*Sens!F12639/1000</f>
        <v>12.8742463089237</v>
      </c>
      <c r="G12640" s="6" t="n">
        <f aca="false">(Sens!F12624+Sens!G12624)/2*Sens!G12639/1000</f>
        <v>21.8182834646277</v>
      </c>
      <c r="H12640" s="6" t="n">
        <f aca="false">(Sens!G12624+Sens!H12624)/2*Sens!H12639/1000</f>
        <v>31.2430128789734</v>
      </c>
      <c r="I12640" s="6" t="n">
        <f aca="false">(Sens!H12624+Sens!I12624)/2*Sens!I12639/1000</f>
        <v>39.4313057443268</v>
      </c>
      <c r="J12640" s="6" t="n">
        <f aca="false">(Sens!I12624+Sens!J12624)/2*Sens!J12639/1000</f>
        <v>45.0360318228653</v>
      </c>
      <c r="K12640" s="6" t="n">
        <f aca="false">(Sens!J12624+Sens!K12624)/2*Sens!K12639/1000</f>
        <v>48.2929727091156</v>
      </c>
    </row>
    <row r="12641" customFormat="false" ht="17.15" hidden="false" customHeight="false" outlineLevel="0" collapsed="false">
      <c r="A12641" s="0" t="s">
        <v>981</v>
      </c>
      <c r="B12641" s="0" t="s">
        <v>98</v>
      </c>
      <c r="D12641" s="6" t="n">
        <f aca="false">(Sens!C12622+Sens!D12622)/2*rent_mw/1000</f>
        <v>2.44475</v>
      </c>
      <c r="E12641" s="6" t="n">
        <f aca="false">(Sens!D12622+Sens!E12622)/2*rent_mw/1000</f>
        <v>4.22275</v>
      </c>
      <c r="F12641" s="6" t="n">
        <f aca="false">(Sens!E12622+Sens!F12622)/2*rent_mw/1000</f>
        <v>5.80517</v>
      </c>
      <c r="G12641" s="6" t="n">
        <f aca="false">(Sens!F12622+Sens!G12622)/2*rent_mw/1000</f>
        <v>6.72084</v>
      </c>
      <c r="H12641" s="6" t="n">
        <f aca="false">(Sens!G12622+Sens!H12622)/2*rent_mw/1000</f>
        <v>6.72084</v>
      </c>
      <c r="I12641" s="6" t="n">
        <f aca="false">(Sens!H12622+Sens!I12622)/2*rent_mw/1000</f>
        <v>6.72084</v>
      </c>
      <c r="J12641" s="6" t="n">
        <f aca="false">(Sens!I12622+Sens!J12622)/2*rent_mw/1000</f>
        <v>6.72084</v>
      </c>
      <c r="K12641" s="6" t="n">
        <f aca="false">(Sens!J12622+Sens!K12622)/2*rent_mw/1000</f>
        <v>6.72084</v>
      </c>
    </row>
    <row r="12642" customFormat="false" ht="17.15" hidden="false" customHeight="false" outlineLevel="0" collapsed="false">
      <c r="A12642" s="0" t="s">
        <v>982</v>
      </c>
      <c r="B12642" s="0" t="s">
        <v>98</v>
      </c>
      <c r="D12642" s="6" t="n">
        <f aca="false">(Sens!C12624+Sens!D12624)/2*(1-self_build)*fac_rent/1000</f>
        <v>0.853242375631075</v>
      </c>
      <c r="E12642" s="6" t="n">
        <f aca="false">(Sens!D12624+Sens!E12624)/2*(1-self_build)*fac_rent/1000</f>
        <v>1.94955961408728</v>
      </c>
      <c r="F12642" s="6" t="n">
        <f aca="false">(Sens!E12624+Sens!F12624)/2*(1-self_build)*fac_rent/1000</f>
        <v>3.92914894476356</v>
      </c>
      <c r="G12642" s="6" t="n">
        <f aca="false">(Sens!F12624+Sens!G12624)/2*(1-self_build)*fac_rent/1000</f>
        <v>6.53206908578159</v>
      </c>
      <c r="H12642" s="6" t="n">
        <f aca="false">(Sens!G12624+Sens!H12624)/2*(1-self_build)*fac_rent/1000</f>
        <v>9.23717988341591</v>
      </c>
      <c r="I12642" s="6" t="n">
        <f aca="false">(Sens!H12624+Sens!I12624)/2*(1-self_build)*fac_rent/1000</f>
        <v>11.5481378557393</v>
      </c>
      <c r="J12642" s="6" t="n">
        <f aca="false">(Sens!I12624+Sens!J12624)/2*(1-self_build)*fac_rent/1000</f>
        <v>13.0899582289108</v>
      </c>
      <c r="K12642" s="6" t="n">
        <f aca="false">(Sens!J12624+Sens!K12624)/2*(1-self_build)*fac_rent/1000</f>
        <v>13.8897275626556</v>
      </c>
      <c r="L12642" s="12" t="s">
        <v>983</v>
      </c>
    </row>
    <row r="12643" customFormat="false" ht="17.15" hidden="false" customHeight="false" outlineLevel="0" collapsed="false">
      <c r="A12643" s="1" t="s">
        <v>984</v>
      </c>
      <c r="B12643" s="0" t="s">
        <v>168</v>
      </c>
      <c r="D12643" s="7" t="n">
        <f aca="false">(Sens!C12623+Sens!D12623)/(Sens!C12624+Sens!D12624)</f>
        <v>0.6</v>
      </c>
      <c r="E12643" s="7" t="n">
        <f aca="false">(Sens!D12623+Sens!E12623)/(Sens!D12624+Sens!E12624)</f>
        <v>0.6</v>
      </c>
      <c r="F12643" s="7" t="n">
        <f aca="false">(Sens!E12623+Sens!F12623)/(Sens!E12624+Sens!F12624)</f>
        <v>0.6</v>
      </c>
      <c r="G12643" s="7" t="n">
        <f aca="false">(Sens!F12623+Sens!G12623)/(Sens!F12624+Sens!G12624)</f>
        <v>0.6</v>
      </c>
      <c r="H12643" s="7" t="n">
        <f aca="false">(Sens!G12623+Sens!H12623)/(Sens!G12624+Sens!H12624)</f>
        <v>0.6</v>
      </c>
      <c r="I12643" s="7" t="n">
        <f aca="false">(Sens!H12623+Sens!I12623)/(Sens!H12624+Sens!I12624)</f>
        <v>0.6</v>
      </c>
      <c r="J12643" s="7" t="n">
        <f aca="false">(Sens!I12623+Sens!J12623)/(Sens!I12624+Sens!J12624)</f>
        <v>0.6</v>
      </c>
      <c r="K12643" s="7" t="n">
        <f aca="false">(Sens!J12623+Sens!K12623)/(Sens!J12624+Sens!K12624)</f>
        <v>0.6</v>
      </c>
    </row>
    <row r="12644" customFormat="false" ht="17.15" hidden="false" customHeight="false" outlineLevel="0" collapsed="false">
      <c r="A12644" s="0" t="s">
        <v>985</v>
      </c>
      <c r="B12644" s="0" t="s">
        <v>98</v>
      </c>
      <c r="D12644" s="6" t="n">
        <f aca="false">Sens!D12638-Sens!D12643*(Sens!D12640+Sens!D12642)-Sens!D12641</f>
        <v>8.35701406163072</v>
      </c>
      <c r="E12644" s="6" t="n">
        <f aca="false">Sens!E12638-Sens!E12643*(Sens!E12640+Sens!E12642)-Sens!E12641</f>
        <v>18.7103224860238</v>
      </c>
      <c r="F12644" s="6" t="n">
        <f aca="false">Sens!F12638-Sens!F12643*(Sens!F12640+Sens!F12642)-Sens!F12641</f>
        <v>43.2162094129388</v>
      </c>
      <c r="G12644" s="6" t="n">
        <f aca="false">Sens!G12638-Sens!G12643*(Sens!G12640+Sens!G12642)-Sens!G12641</f>
        <v>79.7204472589529</v>
      </c>
      <c r="H12644" s="6" t="n">
        <f aca="false">Sens!H12638-Sens!H12643*(Sens!H12640+Sens!H12642)-Sens!H12641</f>
        <v>122.807764331602</v>
      </c>
      <c r="I12644" s="6" t="n">
        <f aca="false">Sens!I12638-Sens!I12643*(Sens!I12640+Sens!I12642)-Sens!I12641</f>
        <v>155.390972530813</v>
      </c>
      <c r="J12644" s="6" t="n">
        <f aca="false">Sens!J12638-Sens!J12643*(Sens!J12640+Sens!J12642)-Sens!J12641</f>
        <v>178.197668553178</v>
      </c>
      <c r="K12644" s="6" t="n">
        <f aca="false">Sens!K12638-Sens!K12643*(Sens!K12640+Sens!K12642)-Sens!K12641</f>
        <v>192.726586741959</v>
      </c>
    </row>
    <row r="12645" customFormat="false" ht="17.15" hidden="false" customHeight="false" outlineLevel="0" collapsed="false">
      <c r="A12645" s="1" t="s">
        <v>986</v>
      </c>
      <c r="B12645" s="0" t="s">
        <v>98</v>
      </c>
      <c r="D12645" s="6" t="n">
        <f aca="false">(1-Sens!D12643)*(Sens!D12640+Sens!D12642)</f>
        <v>1.42281025374069</v>
      </c>
      <c r="E12645" s="6" t="n">
        <f aca="false">(1-Sens!E12643)*(Sens!E12640+Sens!E12642)</f>
        <v>3.25095598674472</v>
      </c>
      <c r="F12645" s="6" t="n">
        <f aca="false">(1-Sens!F12643)*(Sens!F12640+Sens!F12642)</f>
        <v>6.72135810147489</v>
      </c>
      <c r="G12645" s="6" t="n">
        <f aca="false">(1-Sens!G12643)*(Sens!G12640+Sens!G12642)</f>
        <v>11.3401410201637</v>
      </c>
      <c r="H12645" s="6" t="n">
        <f aca="false">(1-Sens!H12643)*(Sens!H12640+Sens!H12642)</f>
        <v>16.1920771049557</v>
      </c>
      <c r="I12645" s="6" t="n">
        <f aca="false">(1-Sens!I12643)*(Sens!I12640+Sens!I12642)</f>
        <v>20.3917774400264</v>
      </c>
      <c r="J12645" s="6" t="n">
        <f aca="false">(1-Sens!J12643)*(Sens!J12640+Sens!J12642)</f>
        <v>23.2503960207104</v>
      </c>
      <c r="K12645" s="6" t="n">
        <f aca="false">(1-Sens!K12643)*(Sens!K12640+Sens!K12642)</f>
        <v>24.8730801087085</v>
      </c>
    </row>
    <row r="12646" customFormat="false" ht="17.15" hidden="false" customHeight="false" outlineLevel="0" collapsed="false">
      <c r="A12646" s="1" t="s">
        <v>987</v>
      </c>
      <c r="B12646" s="0" t="s">
        <v>414</v>
      </c>
      <c r="C12646" s="8" t="n">
        <f aca="false">cxit_open</f>
        <v>27.5918995</v>
      </c>
      <c r="D12646" s="8" t="n">
        <f aca="false">cxit_open</f>
        <v>27.5918995</v>
      </c>
      <c r="E12646" s="8" t="n">
        <f aca="false">cxit_open</f>
        <v>27.5918995</v>
      </c>
      <c r="F12646" s="8" t="n">
        <f aca="false">((a_g3_27-nonnv*a_mai)*tk_cxit_gb300+nonnv*a_mai*nv_hold_mai*tk_cxit_vr200+(1-a_g3_27)*tk_cxit_vr200)</f>
        <v>32.4975576</v>
      </c>
      <c r="G12646" s="8" t="n">
        <f aca="false">((a_g3_28-nonnv*a_mai)*tk_cxit_gb300+nonnv*a_mai*nv_hold_mai*tk_cxit_vr200+(1-a_g3_28)*tk_cxit_vr200)</f>
        <v>34.6372088</v>
      </c>
      <c r="H12646" s="8" t="n">
        <f aca="false">((a_g3_29-nonnv*a_mai)*tk_cxit_gb300+nonnv*a_mai*nv_hold_mai*tk_cxit_vr200+(1-a_g3_29)*tk_cxit_vr200)</f>
        <v>35.7070344</v>
      </c>
      <c r="I12646" s="8" t="n">
        <f aca="false">((a_g3_29-nonnv*a_mai)*tk_cxit_gb300+nonnv*a_mai*nv_hold_mai*tk_cxit_vr200+(1-a_g3_29)*tk_cxit_vr200)</f>
        <v>35.7070344</v>
      </c>
      <c r="J12646" s="8" t="n">
        <f aca="false">((a_g3_29-nonnv*a_mai)*tk_cxit_gb300+nonnv*a_mai*nv_hold_mai*tk_cxit_vr200+(1-a_g3_29)*tk_cxit_vr200)</f>
        <v>35.7070344</v>
      </c>
      <c r="K12646" s="8" t="n">
        <f aca="false">((a_g3_29-nonnv*a_mai)*tk_cxit_gb300+nonnv*a_mai*nv_hold_mai*tk_cxit_vr200+(1-a_g3_29)*tk_cxit_vr200)</f>
        <v>35.7070344</v>
      </c>
      <c r="L12646" s="12" t="s">
        <v>988</v>
      </c>
    </row>
    <row r="12647" customFormat="false" ht="17.15" hidden="false" customHeight="false" outlineLevel="0" collapsed="false">
      <c r="A12647" s="0" t="s">
        <v>989</v>
      </c>
      <c r="B12647" s="0" t="s">
        <v>456</v>
      </c>
      <c r="F12647" s="30" t="n">
        <f aca="false">Sens!C12626*IF(Sens!F12619-Sens!C12619=life_it,1,0)+Sens!D12626*IF(Sens!F12619-Sens!D12619=life_it,1,0)+Sens!E12626*IF(Sens!F12619-Sens!E12619=life_it,1,0)</f>
        <v>0</v>
      </c>
      <c r="G12647" s="30" t="n">
        <f aca="false">Sens!C12626*IF(Sens!G12619-Sens!C12619=life_it,1,0)+Sens!D12626*IF(Sens!G12619-Sens!D12619=life_it,1,0)+Sens!E12626*IF(Sens!G12619-Sens!E12619=life_it,1,0)+Sens!F12626*IF(Sens!G12619-Sens!F12619=life_it,1,0)</f>
        <v>0</v>
      </c>
      <c r="H12647" s="30" t="n">
        <f aca="false">Sens!C12626*IF(Sens!H12619-Sens!C12619=life_it,1,0)+Sens!D12626*IF(Sens!H12619-Sens!D12619=life_it,1,0)+Sens!E12626*IF(Sens!H12619-Sens!E12619=life_it,1,0)+Sens!F12626*IF(Sens!H12619-Sens!F12619=life_it,1,0)+Sens!G12626*IF(Sens!H12619-Sens!G12619=life_it,1,0)</f>
        <v>0</v>
      </c>
      <c r="I12647" s="30" t="n">
        <f aca="false">Sens!C12626*IF(Sens!I12619-Sens!C12619=life_it,1,0)+Sens!D12626*IF(Sens!I12619-Sens!D12619=life_it,1,0)+Sens!E12626*IF(Sens!I12619-Sens!E12619=life_it,1,0)+Sens!F12626*IF(Sens!I12619-Sens!F12619=life_it,1,0)+Sens!G12626*IF(Sens!I12619-Sens!G12619=life_it,1,0)+Sens!H12626*IF(Sens!I12619-Sens!H12619=life_it,1,0)</f>
        <v>816.666666666667</v>
      </c>
      <c r="J12647" s="30" t="n">
        <f aca="false">Sens!C12626*IF(Sens!J12619-Sens!C12619=life_it,1,0)+Sens!D12626*IF(Sens!J12619-Sens!D12619=life_it,1,0)+Sens!E12626*IF(Sens!J12619-Sens!E12619=life_it,1,0)+Sens!F12626*IF(Sens!J12619-Sens!F12619=life_it,1,0)+Sens!G12626*IF(Sens!J12619-Sens!G12619=life_it,1,0)+Sens!H12626*IF(Sens!J12619-Sens!H12619=life_it,1,0)+Sens!I12626*IF(Sens!J12619-Sens!I12619=life_it,1,0)</f>
        <v>1233.33333333333</v>
      </c>
      <c r="K12647" s="30" t="n">
        <f aca="false">Sens!C12626*IF(Sens!K12619-Sens!C12619=life_it,1,0)+Sens!D12626*IF(Sens!K12619-Sens!D12619=life_it,1,0)+Sens!E12626*IF(Sens!K12619-Sens!E12619=life_it,1,0)+Sens!F12626*IF(Sens!K12619-Sens!F12619=life_it,1,0)+Sens!G12626*IF(Sens!K12619-Sens!G12619=life_it,1,0)+Sens!H12626*IF(Sens!K12619-Sens!H12619=life_it,1,0)+Sens!I12626*IF(Sens!K12619-Sens!I12619=life_it,1,0)+Sens!J12626*IF(Sens!K12619-Sens!J12619=life_it,1,0)</f>
        <v>2450</v>
      </c>
      <c r="L12647" s="1" t="s">
        <v>990</v>
      </c>
    </row>
    <row r="12648" customFormat="false" ht="17.15" hidden="false" customHeight="false" outlineLevel="0" collapsed="false">
      <c r="A12648" s="0" t="s">
        <v>991</v>
      </c>
      <c r="B12648" s="0" t="s">
        <v>98</v>
      </c>
      <c r="C12648" s="6" t="n">
        <f aca="false">Sens!C12626*Sens!C12646/1000</f>
        <v>22.5333845916667</v>
      </c>
      <c r="D12648" s="6" t="n">
        <f aca="false">Sens!D12626*Sens!D12646/1000</f>
        <v>34.0300093833333</v>
      </c>
      <c r="E12648" s="6" t="n">
        <f aca="false">Sens!E12626*Sens!E12646/1000</f>
        <v>67.600153775</v>
      </c>
      <c r="F12648" s="6" t="n">
        <f aca="false">(Sens!F12626+Sens!F12647)*Sens!F12646/1000</f>
        <v>136.51872432512</v>
      </c>
      <c r="G12648" s="6" t="n">
        <f aca="false">(Sens!G12626+Sens!G12647)*Sens!G12646/1000</f>
        <v>157.399275932048</v>
      </c>
      <c r="H12648" s="6" t="n">
        <f aca="false">(Sens!H12626+Sens!H12647)*Sens!H12646/1000</f>
        <v>162.260804347512</v>
      </c>
      <c r="I12648" s="6" t="n">
        <f aca="false">(Sens!I12626+Sens!I12647)*Sens!I12646/1000</f>
        <v>144.136569485434</v>
      </c>
      <c r="J12648" s="6" t="n">
        <f aca="false">(Sens!J12626+Sens!J12647)*Sens!J12646/1000</f>
        <v>114.029037357864</v>
      </c>
      <c r="K12648" s="6" t="n">
        <f aca="false">(Sens!K12626+Sens!K12647)*Sens!K12646/1000</f>
        <v>113.437085350975</v>
      </c>
    </row>
    <row r="12649" customFormat="false" ht="17.15" hidden="false" customHeight="false" outlineLevel="0" collapsed="false">
      <c r="A12649" s="0" t="s">
        <v>992</v>
      </c>
      <c r="B12649" s="0" t="s">
        <v>98</v>
      </c>
      <c r="C12649" s="6" t="n">
        <f aca="false">Sens!C12626*self_build*tk_cxfac/1000</f>
        <v>6.2083</v>
      </c>
      <c r="D12649" s="6" t="n">
        <f aca="false">Sens!D12626*self_build*tk_cxfac/1000</f>
        <v>9.3758</v>
      </c>
      <c r="E12649" s="6" t="n">
        <f aca="false">Sens!E12626*self_build*tk_cxfac/1000</f>
        <v>18.6249</v>
      </c>
      <c r="F12649" s="6" t="n">
        <f aca="false">Sens!F12626*self_build*tk_cxfac/1000</f>
        <v>31.935179717</v>
      </c>
      <c r="G12649" s="6" t="n">
        <f aca="false">Sens!G12626*self_build*tk_cxfac/1000</f>
        <v>34.545199717</v>
      </c>
      <c r="H12649" s="6" t="n">
        <f aca="false">Sens!H12626*self_build*tk_cxfac/1000</f>
        <v>34.545199717</v>
      </c>
      <c r="I12649" s="6" t="n">
        <f aca="false">Sens!I12626*self_build*tk_cxfac/1000</f>
        <v>24.4782641361767</v>
      </c>
      <c r="J12649" s="6" t="n">
        <f aca="false">Sens!J12626*self_build*tk_cxfac/1000</f>
        <v>14.9008938380769</v>
      </c>
      <c r="K12649" s="6" t="n">
        <f aca="false">Sens!K12626*self_build*tk_cxfac/1000</f>
        <v>5.52576771375761</v>
      </c>
    </row>
    <row r="12650" customFormat="false" ht="17.15" hidden="false" customHeight="false" outlineLevel="0" collapsed="false">
      <c r="A12650" s="0" t="s">
        <v>993</v>
      </c>
      <c r="B12650" s="0" t="s">
        <v>98</v>
      </c>
      <c r="F12650" s="15" t="n">
        <f aca="false">capex_floor27-Sens!F12648-Sens!F12649-Sens!F12746</f>
        <v>0.0475774452575593</v>
      </c>
      <c r="L12650" s="12" t="s">
        <v>994</v>
      </c>
    </row>
    <row r="12651" customFormat="false" ht="17.15" hidden="false" customHeight="false" outlineLevel="0" collapsed="false">
      <c r="A12651" s="0" t="s">
        <v>995</v>
      </c>
      <c r="B12651" s="0" t="s">
        <v>98</v>
      </c>
      <c r="F12651" s="6" t="n">
        <f aca="false">MAX(0,Sens!F12650)</f>
        <v>0.0475774452575593</v>
      </c>
    </row>
    <row r="12652" customFormat="false" ht="17.15" hidden="false" customHeight="false" outlineLevel="0" collapsed="false">
      <c r="A12652" s="0" t="s">
        <v>996</v>
      </c>
      <c r="B12652" s="0" t="s">
        <v>98</v>
      </c>
      <c r="C12652" s="6" t="n">
        <f aca="false">Sens!C12648</f>
        <v>22.5333845916667</v>
      </c>
      <c r="D12652" s="6" t="n">
        <f aca="false">Sens!D12648</f>
        <v>34.0300093833333</v>
      </c>
      <c r="E12652" s="6" t="n">
        <f aca="false">Sens!E12648</f>
        <v>67.600153775</v>
      </c>
      <c r="F12652" s="6" t="n">
        <f aca="false">Sens!F12648</f>
        <v>136.51872432512</v>
      </c>
      <c r="G12652" s="6" t="n">
        <f aca="false">Sens!G12648</f>
        <v>157.399275932048</v>
      </c>
      <c r="H12652" s="6" t="n">
        <f aca="false">Sens!H12648</f>
        <v>162.260804347512</v>
      </c>
      <c r="I12652" s="6" t="n">
        <f aca="false">Sens!I12648</f>
        <v>144.136569485434</v>
      </c>
      <c r="J12652" s="6" t="n">
        <f aca="false">Sens!J12648</f>
        <v>114.029037357864</v>
      </c>
      <c r="K12652" s="6" t="n">
        <f aca="false">Sens!K12648</f>
        <v>113.437085350975</v>
      </c>
    </row>
    <row r="12653" customFormat="false" ht="17.15" hidden="false" customHeight="false" outlineLevel="0" collapsed="false">
      <c r="A12653" s="0" t="s">
        <v>997</v>
      </c>
      <c r="B12653" s="0" t="s">
        <v>98</v>
      </c>
      <c r="C12653" s="6" t="n">
        <f aca="false">Sens!C12652+Sens!C12649</f>
        <v>28.7416845916667</v>
      </c>
      <c r="D12653" s="6" t="n">
        <f aca="false">Sens!D12652+Sens!D12649</f>
        <v>43.4058093833333</v>
      </c>
      <c r="E12653" s="6" t="n">
        <f aca="false">Sens!E12652+Sens!E12649</f>
        <v>86.225053775</v>
      </c>
      <c r="F12653" s="6" t="n">
        <f aca="false">Sens!F12652+Sens!F12649</f>
        <v>168.45390404212</v>
      </c>
      <c r="G12653" s="6" t="n">
        <f aca="false">Sens!G12652+Sens!G12649</f>
        <v>191.944475649048</v>
      </c>
      <c r="H12653" s="6" t="n">
        <f aca="false">Sens!H12652+Sens!H12649</f>
        <v>196.806004064512</v>
      </c>
      <c r="I12653" s="6" t="n">
        <f aca="false">Sens!I12652+Sens!I12649</f>
        <v>168.61483362161</v>
      </c>
      <c r="J12653" s="6" t="n">
        <f aca="false">Sens!J12652+Sens!J12649</f>
        <v>128.92993119594</v>
      </c>
      <c r="K12653" s="6" t="n">
        <f aca="false">Sens!K12652+Sens!K12649</f>
        <v>118.962853064733</v>
      </c>
      <c r="L12653" s="12" t="s">
        <v>998</v>
      </c>
    </row>
    <row r="12654" customFormat="false" ht="17.15" hidden="false" customHeight="false" outlineLevel="0" collapsed="false">
      <c r="A12654" s="0" t="s">
        <v>999</v>
      </c>
      <c r="B12654" s="0" t="s">
        <v>98</v>
      </c>
      <c r="E12654" s="6" t="n">
        <f aca="false">(Sens!C12652*IF(2&lt;life_it,1,IF(2=life_it,0.5,0))+Sens!D12652*IF(1&lt;life_it,1,IF(1=life_it,0.5,0))+Sens!E12652*0.5)/life_it</f>
        <v>15.0605784770833</v>
      </c>
      <c r="F12654" s="6" t="n">
        <f aca="false">(Sens!C12652*IF(3&lt;life_it,1,IF(3=life_it,0.5,0))+Sens!D12652*IF(2&lt;life_it,1,IF(2=life_it,0.5,0))+Sens!E12652*IF(1&lt;life_it,1,IF(1=life_it,0.5,0))+Sens!F12652*0.5)/life_it</f>
        <v>32.0704849854266</v>
      </c>
      <c r="G12654" s="6" t="n">
        <f aca="false">(Sens!C12652*IF(4&lt;life_it,1,IF(4=life_it,0.5,0))+Sens!D12652*IF(3&lt;life_it,1,IF(3=life_it,0.5,0))+Sens!E12652*IF(2&lt;life_it,1,IF(2=life_it,0.5,0))+Sens!F12652*IF(1&lt;life_it,1,IF(1=life_it,0.5,0))+Sens!G12652*0.5)/life_it</f>
        <v>56.5636516735239</v>
      </c>
      <c r="H12654" s="6" t="n">
        <f aca="false">(Sens!C12652*IF(5&lt;life_it,1,IF(5=life_it,0.5,0))+Sens!D12652*IF(4&lt;life_it,1,IF(4=life_it,0.5,0))+Sens!E12652*IF(3&lt;life_it,1,IF(3=life_it,0.5,0))+Sens!F12652*IF(2&lt;life_it,1,IF(2=life_it,0.5,0))+Sens!G12652*IF(1&lt;life_it,1,IF(1=life_it,0.5,0))+Sens!H12652*0.5)/life_it</f>
        <v>83.2019916968207</v>
      </c>
      <c r="I12654" s="6" t="n">
        <f aca="false">(Sens!C12652*IF(6&lt;life_it,1,IF(6=life_it,0.5,0))+Sens!D12652*IF(5&lt;life_it,1,IF(5=life_it,0.5,0))+Sens!E12652*IF(4&lt;life_it,1,IF(4=life_it,0.5,0))+Sens!F12652*IF(3&lt;life_it,1,IF(3=life_it,0.5,0))+Sens!G12652*IF(2&lt;life_it,1,IF(2=life_it,0.5,0))+Sens!H12652*IF(1&lt;life_it,1,IF(1=life_it,0.5,0))+Sens!I12652*0.5)/life_it</f>
        <v>106.857324133594</v>
      </c>
      <c r="J12654" s="6" t="n">
        <f aca="false">(Sens!C12652*IF(7&lt;life_it,1,IF(7=life_it,0.5,0))+Sens!D12652*IF(6&lt;life_it,1,IF(6=life_it,0.5,0))+Sens!E12652*IF(5&lt;life_it,1,IF(5=life_it,0.5,0))+Sens!F12652*IF(4&lt;life_it,1,IF(4=life_it,0.5,0))+Sens!G12652*IF(3&lt;life_it,1,IF(3=life_it,0.5,0))+Sens!H12652*IF(2&lt;life_it,1,IF(2=life_it,0.5,0))+Sens!I12652*IF(1&lt;life_it,1,IF(1=life_it,0.5,0))+Sens!J12652*0.5)/life_it</f>
        <v>123.657508539285</v>
      </c>
      <c r="K12654" s="6" t="n">
        <f aca="false">(Sens!C12652*IF(8&lt;life_it,1,IF(8=life_it,0.5,0))+Sens!D12652*IF(7&lt;life_it,1,IF(7=life_it,0.5,0))+Sens!E12652*IF(6&lt;life_it,1,IF(6=life_it,0.5,0))+Sens!F12652*IF(5&lt;life_it,1,IF(5=life_it,0.5,0))+Sens!G12652*IF(4&lt;life_it,1,IF(4=life_it,0.5,0))+Sens!H12652*IF(3&lt;life_it,1,IF(3=life_it,0.5,0))+Sens!I12652*IF(2&lt;life_it,1,IF(2=life_it,0.5,0))+Sens!J12652*IF(1&lt;life_it,1,IF(1=life_it,0.5,0))+Sens!K12652*0.5)/life_it</f>
        <v>134.143838501827</v>
      </c>
    </row>
    <row r="12655" customFormat="false" ht="17.15" hidden="false" customHeight="false" outlineLevel="0" collapsed="false">
      <c r="A12655" s="0" t="s">
        <v>1000</v>
      </c>
      <c r="B12655" s="0" t="s">
        <v>98</v>
      </c>
      <c r="E12655" s="6" t="n">
        <f aca="false">(Sens!C12649*IF(2&lt;life_fac,1,IF(2=life_fac,0.5,0))+Sens!D12649*IF(1&lt;life_fac,1,IF(1=life_fac,0.5,0))+Sens!E12649*0.5)/life_fac</f>
        <v>1.2448275</v>
      </c>
      <c r="F12655" s="6" t="n">
        <f aca="false">(Sens!C12649*IF(3&lt;life_fac,1,IF(3=life_fac,0.5,0))+Sens!D12649*IF(2&lt;life_fac,1,IF(2=life_fac,0.5,0))+Sens!E12649*IF(1&lt;life_fac,1,IF(1=life_fac,0.5,0))+Sens!F12649*0.5)/life_fac</f>
        <v>2.508829492925</v>
      </c>
      <c r="G12655" s="6" t="n">
        <f aca="false">(Sens!C12649*IF(4&lt;life_fac,1,IF(4=life_fac,0.5,0))+Sens!D12649*IF(3&lt;life_fac,1,IF(3=life_fac,0.5,0))+Sens!E12649*IF(2&lt;life_fac,1,IF(2=life_fac,0.5,0))+Sens!F12649*IF(1&lt;life_fac,1,IF(1=life_fac,0.5,0))+Sens!G12649*0.5)/life_fac</f>
        <v>4.170838978775</v>
      </c>
      <c r="H12655" s="6" t="n">
        <f aca="false">(Sens!C12649*IF(5&lt;life_fac,1,IF(5=life_fac,0.5,0))+Sens!D12649*IF(4&lt;life_fac,1,IF(4=life_fac,0.5,0))+Sens!E12649*IF(3&lt;life_fac,1,IF(3=life_fac,0.5,0))+Sens!F12649*IF(2&lt;life_fac,1,IF(2=life_fac,0.5,0))+Sens!G12649*IF(1&lt;life_fac,1,IF(1=life_fac,0.5,0))+Sens!H12649*0.5)/life_fac</f>
        <v>5.898098964625</v>
      </c>
      <c r="I12655" s="6" t="n">
        <f aca="false">(Sens!C12649*IF(6&lt;life_fac,1,IF(6=life_fac,0.5,0))+Sens!D12649*IF(5&lt;life_fac,1,IF(5=life_fac,0.5,0))+Sens!E12649*IF(4&lt;life_fac,1,IF(4=life_fac,0.5,0))+Sens!F12649*IF(3&lt;life_fac,1,IF(3=life_fac,0.5,0))+Sens!G12649*IF(2&lt;life_fac,1,IF(2=life_fac,0.5,0))+Sens!H12649*IF(1&lt;life_fac,1,IF(1=life_fac,0.5,0))+Sens!I12649*0.5)/life_fac</f>
        <v>7.37368556095442</v>
      </c>
      <c r="J12655" s="6" t="n">
        <f aca="false">(Sens!C12649*IF(7&lt;life_fac,1,IF(7=life_fac,0.5,0))+Sens!D12649*IF(6&lt;life_fac,1,IF(6=life_fac,0.5,0))+Sens!E12649*IF(5&lt;life_fac,1,IF(5=life_fac,0.5,0))+Sens!F12649*IF(4&lt;life_fac,1,IF(4=life_fac,0.5,0))+Sens!G12649*IF(3&lt;life_fac,1,IF(3=life_fac,0.5,0))+Sens!H12649*IF(2&lt;life_fac,1,IF(2=life_fac,0.5,0))+Sens!I12649*IF(1&lt;life_fac,1,IF(1=life_fac,0.5,0))+Sens!J12649*0.5)/life_fac</f>
        <v>8.35816451031075</v>
      </c>
      <c r="K12655" s="6" t="n">
        <f aca="false">(Sens!C12649*IF(8&lt;life_fac,1,IF(8=life_fac,0.5,0))+Sens!D12649*IF(7&lt;life_fac,1,IF(7=life_fac,0.5,0))+Sens!E12649*IF(6&lt;life_fac,1,IF(6=life_fac,0.5,0))+Sens!F12649*IF(5&lt;life_fac,1,IF(5=life_fac,0.5,0))+Sens!G12649*IF(4&lt;life_fac,1,IF(4=life_fac,0.5,0))+Sens!H12649*IF(3&lt;life_fac,1,IF(3=life_fac,0.5,0))+Sens!I12649*IF(2&lt;life_fac,1,IF(2=life_fac,0.5,0))+Sens!J12649*IF(1&lt;life_fac,1,IF(1=life_fac,0.5,0))+Sens!K12649*0.5)/life_fac</f>
        <v>8.86883104910662</v>
      </c>
    </row>
    <row r="12656" customFormat="false" ht="17.15" hidden="false" customHeight="false" outlineLevel="0" collapsed="false">
      <c r="A12656" s="0" t="s">
        <v>1001</v>
      </c>
      <c r="B12656" s="0" t="s">
        <v>98</v>
      </c>
      <c r="E12656" s="6" t="n">
        <f aca="false">Sens!E12654+Sens!E12655</f>
        <v>16.3054059770833</v>
      </c>
      <c r="F12656" s="6" t="n">
        <f aca="false">Sens!F12654+Sens!F12655</f>
        <v>34.5793144783516</v>
      </c>
      <c r="G12656" s="6" t="n">
        <f aca="false">Sens!G12654+Sens!G12655</f>
        <v>60.7344906522989</v>
      </c>
      <c r="H12656" s="6" t="n">
        <f aca="false">Sens!H12654+Sens!H12655</f>
        <v>89.1000906614457</v>
      </c>
      <c r="I12656" s="6" t="n">
        <f aca="false">Sens!I12654+Sens!I12655</f>
        <v>114.231009694548</v>
      </c>
      <c r="J12656" s="6" t="n">
        <f aca="false">Sens!J12654+Sens!J12655</f>
        <v>132.015673049596</v>
      </c>
      <c r="K12656" s="6" t="n">
        <f aca="false">Sens!K12654+Sens!K12655</f>
        <v>143.012669550934</v>
      </c>
    </row>
    <row r="12657" customFormat="false" ht="17.15" hidden="false" customHeight="false" outlineLevel="0" collapsed="false">
      <c r="A12657" s="0" t="s">
        <v>1002</v>
      </c>
      <c r="B12657" s="0" t="s">
        <v>98</v>
      </c>
      <c r="E12657" s="6" t="n">
        <f aca="false">Sens!E12644-Sens!E12643*Sens!E12656</f>
        <v>8.92707889977379</v>
      </c>
      <c r="F12657" s="6" t="n">
        <f aca="false">Sens!F12644-Sens!F12643*Sens!F12656</f>
        <v>22.4686207259278</v>
      </c>
      <c r="G12657" s="6" t="n">
        <f aca="false">Sens!G12644-Sens!G12643*Sens!G12656</f>
        <v>43.2797528675735</v>
      </c>
      <c r="H12657" s="6" t="n">
        <f aca="false">Sens!H12644-Sens!H12643*Sens!H12656</f>
        <v>69.3477099347341</v>
      </c>
      <c r="I12657" s="6" t="n">
        <f aca="false">Sens!I12644-Sens!I12643*Sens!I12656</f>
        <v>86.8523667140836</v>
      </c>
      <c r="J12657" s="6" t="n">
        <f aca="false">Sens!J12644-Sens!J12643*Sens!J12656</f>
        <v>98.9882647234202</v>
      </c>
      <c r="K12657" s="6" t="n">
        <f aca="false">Sens!K12644-Sens!K12643*Sens!K12656</f>
        <v>106.918985011399</v>
      </c>
    </row>
    <row r="12658" customFormat="false" ht="17.15" hidden="false" customHeight="false" outlineLevel="0" collapsed="false">
      <c r="A12658" s="3" t="s">
        <v>1796</v>
      </c>
    </row>
    <row r="12659" customFormat="false" ht="15" hidden="false" customHeight="false" outlineLevel="0" collapsed="false">
      <c r="A12659" s="4" t="s">
        <v>43</v>
      </c>
      <c r="B12659" s="4" t="s">
        <v>65</v>
      </c>
      <c r="C12659" s="23" t="s">
        <v>938</v>
      </c>
      <c r="D12659" s="23" t="s">
        <v>939</v>
      </c>
      <c r="E12659" s="23" t="s">
        <v>940</v>
      </c>
      <c r="F12659" s="23" t="s">
        <v>941</v>
      </c>
      <c r="G12659" s="23" t="s">
        <v>942</v>
      </c>
      <c r="H12659" s="23" t="s">
        <v>943</v>
      </c>
      <c r="I12659" s="23" t="s">
        <v>944</v>
      </c>
      <c r="J12659" s="23" t="s">
        <v>945</v>
      </c>
      <c r="K12659" s="23" t="s">
        <v>946</v>
      </c>
      <c r="L12659" s="4" t="s">
        <v>47</v>
      </c>
    </row>
    <row r="12660" customFormat="false" ht="17.15" hidden="false" customHeight="false" outlineLevel="0" collapsed="false">
      <c r="A12660" s="0" t="s">
        <v>1021</v>
      </c>
      <c r="B12660" s="0" t="s">
        <v>98</v>
      </c>
      <c r="D12660" s="6" t="n">
        <f aca="false">Sens!D12638</f>
        <v>12.9359794422418</v>
      </c>
      <c r="E12660" s="6" t="n">
        <f aca="false">Sens!E12638</f>
        <v>27.8095064661409</v>
      </c>
      <c r="F12660" s="6" t="n">
        <f aca="false">Sens!F12638</f>
        <v>59.1034165651511</v>
      </c>
      <c r="G12660" s="6" t="n">
        <f aca="false">Sens!G12638</f>
        <v>103.451498789198</v>
      </c>
      <c r="H12660" s="6" t="n">
        <f aca="false">Sens!H12638</f>
        <v>153.816719989035</v>
      </c>
      <c r="I12660" s="6" t="n">
        <f aca="false">Sens!I12638</f>
        <v>192.699478690852</v>
      </c>
      <c r="J12660" s="6" t="n">
        <f aca="false">Sens!J12638</f>
        <v>219.794102584244</v>
      </c>
      <c r="K12660" s="6" t="n">
        <f aca="false">Sens!K12638</f>
        <v>236.757046905022</v>
      </c>
    </row>
    <row r="12661" customFormat="false" ht="17.15" hidden="false" customHeight="false" outlineLevel="0" collapsed="false">
      <c r="A12661" s="0" t="s">
        <v>1022</v>
      </c>
      <c r="B12661" s="0" t="s">
        <v>98</v>
      </c>
      <c r="D12661" s="6" t="n">
        <f aca="false">Q!L6-Sens!D12660</f>
        <v>59.6740205577583</v>
      </c>
      <c r="E12661" s="6" t="n">
        <f aca="false">Q!M6-Sens!E12660</f>
        <v>74.1284935338591</v>
      </c>
      <c r="F12661" s="6" t="n">
        <f aca="false">Q!$I$6+(Sens!F12660+Sens!E12661*(1+Sens!F12662))*(1-Q!$E$6/Q!M6)-Sens!F12660</f>
        <v>90.4866018070994</v>
      </c>
      <c r="G12661" s="6" t="n">
        <f aca="false">Sens!F12661*(1+Sens!G12662)</f>
        <v>107.511588557154</v>
      </c>
      <c r="H12661" s="6" t="n">
        <f aca="false">Sens!G12661*(1+Sens!H12662)</f>
        <v>124.832989325489</v>
      </c>
      <c r="I12661" s="6" t="n">
        <f aca="false">Sens!H12661*(1+Sens!I12662)</f>
        <v>141.56992589148</v>
      </c>
      <c r="J12661" s="6" t="n">
        <f aca="false">Sens!I12661*(1+Sens!J12662)</f>
        <v>156.723190479428</v>
      </c>
      <c r="K12661" s="6" t="n">
        <f aca="false">Sens!J12661*(1+Sens!K12662)</f>
        <v>169.261045717783</v>
      </c>
      <c r="L12661" s="12" t="s">
        <v>1023</v>
      </c>
    </row>
    <row r="12662" customFormat="false" ht="15" hidden="false" customHeight="false" outlineLevel="0" collapsed="false">
      <c r="A12662" s="1" t="s">
        <v>1024</v>
      </c>
      <c r="B12662" s="0" t="s">
        <v>168</v>
      </c>
      <c r="E12662" s="7" t="n">
        <f aca="false">Sens!E12661/Sens!D12661-1</f>
        <v>0.242223883039864</v>
      </c>
      <c r="F12662" s="7" t="n">
        <f aca="false">Sens!$E$12662+(glt_azo-Sens!$E$12662)*MIN(1,(Sens!F12619-base_fy)/n_conv)</f>
        <v>0.215186569199887</v>
      </c>
      <c r="G12662" s="7" t="n">
        <f aca="false">Sens!$E$12662+(glt_azo-Sens!$E$12662)*MIN(1,(Sens!G12619-base_fy)/n_conv)</f>
        <v>0.18814925535991</v>
      </c>
      <c r="H12662" s="7" t="n">
        <f aca="false">Sens!$E$12662+(glt_azo-Sens!$E$12662)*MIN(1,(Sens!H12619-base_fy)/n_conv)</f>
        <v>0.161111941519932</v>
      </c>
      <c r="I12662" s="7" t="n">
        <f aca="false">Sens!$E$12662+(glt_azo-Sens!$E$12662)*MIN(1,(Sens!I12619-base_fy)/n_conv)</f>
        <v>0.134074627679955</v>
      </c>
      <c r="J12662" s="7" t="n">
        <f aca="false">Sens!$E$12662+(glt_azo-Sens!$E$12662)*MIN(1,(Sens!J12619-base_fy)/n_conv)</f>
        <v>0.107037313839977</v>
      </c>
      <c r="K12662" s="7" t="n">
        <f aca="false">Sens!$E$12662+(glt_azo-Sens!$E$12662)*MIN(1,(Sens!K12619-base_fy)/n_conv)</f>
        <v>0.08</v>
      </c>
    </row>
    <row r="12663" customFormat="false" ht="15" hidden="false" customHeight="false" outlineLevel="0" collapsed="false">
      <c r="A12663" s="0" t="s">
        <v>1025</v>
      </c>
      <c r="B12663" s="0" t="s">
        <v>98</v>
      </c>
      <c r="D12663" s="6" t="n">
        <f aca="false">Sens!D12660+Sens!D12661</f>
        <v>72.61</v>
      </c>
      <c r="E12663" s="6" t="n">
        <f aca="false">Sens!E12660+Sens!E12661</f>
        <v>101.938</v>
      </c>
      <c r="F12663" s="6" t="n">
        <f aca="false">Sens!F12660+Sens!F12661</f>
        <v>149.59001837225</v>
      </c>
      <c r="G12663" s="6" t="n">
        <f aca="false">Sens!G12660+Sens!G12661</f>
        <v>210.963087346352</v>
      </c>
      <c r="H12663" s="6" t="n">
        <f aca="false">Sens!H12660+Sens!H12661</f>
        <v>278.649709314524</v>
      </c>
      <c r="I12663" s="6" t="n">
        <f aca="false">Sens!I12660+Sens!I12661</f>
        <v>334.269404582332</v>
      </c>
      <c r="J12663" s="6" t="n">
        <f aca="false">Sens!J12660+Sens!J12661</f>
        <v>376.517293063672</v>
      </c>
      <c r="K12663" s="6" t="n">
        <f aca="false">Sens!K12660+Sens!K12661</f>
        <v>406.018092622804</v>
      </c>
    </row>
    <row r="12664" customFormat="false" ht="17.15" hidden="false" customHeight="false" outlineLevel="0" collapsed="false">
      <c r="A12664" s="0" t="s">
        <v>1026</v>
      </c>
      <c r="B12664" s="1" t="s">
        <v>610</v>
      </c>
      <c r="C12664" s="30" t="n">
        <f aca="false">cop_s24</f>
        <v>1</v>
      </c>
      <c r="D12664" s="30" t="n">
        <f aca="false">cop_s25</f>
        <v>5</v>
      </c>
      <c r="E12664" s="30" t="n">
        <f aca="false">cop_s26</f>
        <v>30</v>
      </c>
      <c r="F12664" s="30" t="n">
        <f aca="false">Sens!E12664+cop_add_A</f>
        <v>60</v>
      </c>
      <c r="G12664" s="30" t="n">
        <f aca="false">Sens!F12664+cop_add_A</f>
        <v>90</v>
      </c>
      <c r="H12664" s="30" t="n">
        <f aca="false">Sens!G12664+cop_add_A</f>
        <v>120</v>
      </c>
      <c r="I12664" s="30" t="n">
        <f aca="false">Sens!H12664+cop_add_A*cop_tail</f>
        <v>135</v>
      </c>
      <c r="J12664" s="30" t="n">
        <f aca="false">Sens!I12664+cop_add_A*cop_tail</f>
        <v>150</v>
      </c>
      <c r="K12664" s="30" t="n">
        <f aca="false">Sens!J12664+cop_add_A*cop_tail</f>
        <v>165</v>
      </c>
      <c r="L12664" s="12" t="s">
        <v>1027</v>
      </c>
    </row>
    <row r="12665" customFormat="false" ht="17.15" hidden="false" customHeight="false" outlineLevel="0" collapsed="false">
      <c r="A12665" s="0" t="s">
        <v>1028</v>
      </c>
      <c r="B12665" s="0" t="s">
        <v>98</v>
      </c>
      <c r="D12665" s="6" t="n">
        <f aca="false">(Sens!C12664+Sens!D12664)/2*cop_px*12/1000</f>
        <v>0.9</v>
      </c>
      <c r="E12665" s="6" t="n">
        <f aca="false">(Sens!D12664+Sens!E12664)/2*cop_px*12/1000</f>
        <v>5.25</v>
      </c>
      <c r="F12665" s="6" t="n">
        <f aca="false">(Sens!E12664+Sens!F12664)/2*cop_px*12/1000</f>
        <v>13.5</v>
      </c>
      <c r="G12665" s="6" t="n">
        <f aca="false">(Sens!F12664+Sens!G12664)/2*cop_px*12/1000</f>
        <v>22.5</v>
      </c>
      <c r="H12665" s="6" t="n">
        <f aca="false">(Sens!G12664+Sens!H12664)/2*cop_px*12/1000</f>
        <v>31.5</v>
      </c>
      <c r="I12665" s="6" t="n">
        <f aca="false">(Sens!H12664+Sens!I12664)/2*cop_px*12/1000</f>
        <v>38.25</v>
      </c>
      <c r="J12665" s="6" t="n">
        <f aca="false">(Sens!I12664+Sens!J12664)/2*cop_px*12/1000</f>
        <v>42.75</v>
      </c>
      <c r="K12665" s="6" t="n">
        <f aca="false">(Sens!J12664+Sens!K12664)/2*cop_px*12/1000</f>
        <v>47.25</v>
      </c>
      <c r="L12665" s="1" t="s">
        <v>1029</v>
      </c>
    </row>
    <row r="12666" customFormat="false" ht="17.15" hidden="false" customHeight="false" outlineLevel="0" collapsed="false">
      <c r="A12666" s="0" t="s">
        <v>1030</v>
      </c>
      <c r="B12666" s="0" t="s">
        <v>98</v>
      </c>
      <c r="D12666" s="6" t="n">
        <f aca="false">Q!L7-Sens!D12665</f>
        <v>83.705</v>
      </c>
      <c r="E12666" s="6" t="n">
        <f aca="false">Q!M7-Sens!E12665</f>
        <v>95.049</v>
      </c>
      <c r="F12666" s="6" t="n">
        <f aca="false">Q!$I$7+(Sens!E12666*(1+Sens!F12667)+Sens!F12665)*(1-Q!$E$7/Q!M7)-Sens!F12665</f>
        <v>106.229653205718</v>
      </c>
      <c r="G12666" s="6" t="n">
        <f aca="false">Sens!F12666*(1+Sens!G12667)</f>
        <v>118.306092647576</v>
      </c>
      <c r="H12666" s="6" t="n">
        <f aca="false">Sens!G12666*(1+Sens!H12667)</f>
        <v>130.463437602768</v>
      </c>
      <c r="I12666" s="6" t="n">
        <f aca="false">Sens!H12666*(1+Sens!I12667)</f>
        <v>142.445354741933</v>
      </c>
      <c r="J12666" s="6" t="n">
        <f aca="false">Sens!I12666*(1+Sens!J12667)</f>
        <v>153.972117481571</v>
      </c>
      <c r="K12666" s="6" t="n">
        <f aca="false">Sens!J12666*(1+Sens!K12667)</f>
        <v>164.75016570528</v>
      </c>
      <c r="L12666" s="12" t="s">
        <v>1031</v>
      </c>
    </row>
    <row r="12667" customFormat="false" ht="15" hidden="false" customHeight="false" outlineLevel="0" collapsed="false">
      <c r="A12667" s="1" t="s">
        <v>1024</v>
      </c>
      <c r="B12667" s="0" t="s">
        <v>168</v>
      </c>
      <c r="E12667" s="7" t="n">
        <f aca="false">Sens!E12666/Sens!D12666-1</f>
        <v>0.135523564900544</v>
      </c>
      <c r="F12667" s="7" t="n">
        <f aca="false">Sens!$E$12667+(glt_m365b-Sens!$E$12667)*MIN(1,(Sens!F12619-base_fy)/n_conv)</f>
        <v>0.124602970750453</v>
      </c>
      <c r="G12667" s="7" t="n">
        <f aca="false">Sens!$E$12667+(glt_m365b-Sens!$E$12667)*MIN(1,(Sens!G12619-base_fy)/n_conv)</f>
        <v>0.113682376600363</v>
      </c>
      <c r="H12667" s="7" t="n">
        <f aca="false">Sens!$E$12667+(glt_m365b-Sens!$E$12667)*MIN(1,(Sens!H12619-base_fy)/n_conv)</f>
        <v>0.102761782450272</v>
      </c>
      <c r="I12667" s="7" t="n">
        <f aca="false">Sens!$E$12667+(glt_m365b-Sens!$E$12667)*MIN(1,(Sens!I12619-base_fy)/n_conv)</f>
        <v>0.0918411883001813</v>
      </c>
      <c r="J12667" s="7" t="n">
        <f aca="false">Sens!$E$12667+(glt_m365b-Sens!$E$12667)*MIN(1,(Sens!J12619-base_fy)/n_conv)</f>
        <v>0.0809205941500906</v>
      </c>
      <c r="K12667" s="7" t="n">
        <f aca="false">Sens!$E$12667+(glt_m365b-Sens!$E$12667)*MIN(1,(Sens!K12619-base_fy)/n_conv)</f>
        <v>0.07</v>
      </c>
    </row>
    <row r="12668" customFormat="false" ht="15" hidden="false" customHeight="false" outlineLevel="0" collapsed="false">
      <c r="A12668" s="0" t="s">
        <v>1032</v>
      </c>
      <c r="B12668" s="0" t="s">
        <v>98</v>
      </c>
      <c r="D12668" s="6" t="n">
        <f aca="false">Sens!D12666+Sens!D12665</f>
        <v>84.605</v>
      </c>
      <c r="E12668" s="6" t="n">
        <f aca="false">Sens!E12666+Sens!E12665</f>
        <v>100.299</v>
      </c>
      <c r="F12668" s="6" t="n">
        <f aca="false">Sens!F12666+Sens!F12665</f>
        <v>119.729653205718</v>
      </c>
      <c r="G12668" s="6" t="n">
        <f aca="false">Sens!G12666+Sens!G12665</f>
        <v>140.806092647576</v>
      </c>
      <c r="H12668" s="6" t="n">
        <f aca="false">Sens!H12666+Sens!H12665</f>
        <v>161.963437602768</v>
      </c>
      <c r="I12668" s="6" t="n">
        <f aca="false">Sens!I12666+Sens!I12665</f>
        <v>180.695354741933</v>
      </c>
      <c r="J12668" s="6" t="n">
        <f aca="false">Sens!J12666+Sens!J12665</f>
        <v>196.722117481571</v>
      </c>
      <c r="K12668" s="6" t="n">
        <f aca="false">Sens!K12666+Sens!K12665</f>
        <v>212.00016570528</v>
      </c>
    </row>
    <row r="12669" customFormat="false" ht="17.15" hidden="false" customHeight="false" outlineLevel="0" collapsed="false">
      <c r="A12669" s="0" t="s">
        <v>1033</v>
      </c>
      <c r="B12669" s="0" t="s">
        <v>98</v>
      </c>
      <c r="D12669" s="6" t="n">
        <f aca="false">Q!L8</f>
        <v>35.391</v>
      </c>
      <c r="E12669" s="6" t="n">
        <f aca="false">Q!M8</f>
        <v>37.285</v>
      </c>
      <c r="F12669" s="6" t="n">
        <f aca="false">Q!$I$8+(Q!M8-Q!$E$8)*(1+Sens!F12670)</f>
        <v>38.3851437782675</v>
      </c>
      <c r="G12669" s="6" t="n">
        <f aca="false">Sens!F12669*(1+Sens!G12670)</f>
        <v>40.0105353288615</v>
      </c>
      <c r="H12669" s="6" t="n">
        <f aca="false">Sens!G12669*(1+Sens!H12670)</f>
        <v>41.4812512033683</v>
      </c>
      <c r="I12669" s="6" t="n">
        <f aca="false">Sens!H12669*(1+Sens!I12670)</f>
        <v>42.7743107216329</v>
      </c>
      <c r="J12669" s="6" t="n">
        <f aca="false">Sens!I12669*(1+Sens!J12670)</f>
        <v>43.8687373064601</v>
      </c>
      <c r="K12669" s="6" t="n">
        <f aca="false">Sens!J12669*(1+Sens!K12670)</f>
        <v>44.7461120525893</v>
      </c>
      <c r="L12669" s="12" t="s">
        <v>1034</v>
      </c>
    </row>
    <row r="12670" customFormat="false" ht="15" hidden="false" customHeight="false" outlineLevel="0" collapsed="false">
      <c r="A12670" s="1" t="s">
        <v>1024</v>
      </c>
      <c r="B12670" s="0" t="s">
        <v>168</v>
      </c>
      <c r="E12670" s="7" t="n">
        <f aca="false">Sens!E12669/Sens!D12669-1</f>
        <v>0.0535164307309768</v>
      </c>
      <c r="F12670" s="7" t="n">
        <f aca="false">Sens!$E$12670+(glt_lic-Sens!$E$12670)*MIN(1,(Sens!F12619-base_fy)/n_conv)</f>
        <v>0.0479303589424807</v>
      </c>
      <c r="G12670" s="7" t="n">
        <f aca="false">Sens!$E$12670+(glt_lic-Sens!$E$12670)*MIN(1,(Sens!G12619-base_fy)/n_conv)</f>
        <v>0.0423442871539845</v>
      </c>
      <c r="H12670" s="7" t="n">
        <f aca="false">Sens!$E$12670+(glt_lic-Sens!$E$12670)*MIN(1,(Sens!H12619-base_fy)/n_conv)</f>
        <v>0.0367582153654884</v>
      </c>
      <c r="I12670" s="7" t="n">
        <f aca="false">Sens!$E$12670+(glt_lic-Sens!$E$12670)*MIN(1,(Sens!I12619-base_fy)/n_conv)</f>
        <v>0.0311721435769923</v>
      </c>
      <c r="J12670" s="7" t="n">
        <f aca="false">Sens!$E$12670+(glt_lic-Sens!$E$12670)*MIN(1,(Sens!J12619-base_fy)/n_conv)</f>
        <v>0.0255860717884961</v>
      </c>
      <c r="K12670" s="7" t="n">
        <f aca="false">Sens!$E$12670+(glt_lic-Sens!$E$12670)*MIN(1,(Sens!K12619-base_fy)/n_conv)</f>
        <v>0.02</v>
      </c>
    </row>
    <row r="12671" customFormat="false" ht="17.15" hidden="false" customHeight="false" outlineLevel="0" collapsed="false">
      <c r="A12671" s="0" t="s">
        <v>1035</v>
      </c>
      <c r="B12671" s="0" t="s">
        <v>98</v>
      </c>
      <c r="D12671" s="6" t="n">
        <f aca="false">Q!L9</f>
        <v>18.417</v>
      </c>
      <c r="E12671" s="6" t="n">
        <f aca="false">Q!M9</f>
        <v>20.345</v>
      </c>
      <c r="F12671" s="6" t="n">
        <f aca="false">Q!$I$9+(Q!M9-Q!$E$9)*(1+Sens!F12672)</f>
        <v>22.3161797133988</v>
      </c>
      <c r="G12671" s="6" t="n">
        <f aca="false">Sens!F12671*(1+Sens!G12672)</f>
        <v>24.3943499673233</v>
      </c>
      <c r="H12671" s="6" t="n">
        <f aca="false">Sens!G12671*(1+Sens!H12672)</f>
        <v>26.5250243109019</v>
      </c>
      <c r="I12671" s="6" t="n">
        <f aca="false">Sens!H12671*(1+Sens!I12672)</f>
        <v>28.6884573538181</v>
      </c>
      <c r="J12671" s="6" t="n">
        <f aca="false">Sens!I12671*(1+Sens!J12672)</f>
        <v>30.8624968052127</v>
      </c>
      <c r="K12671" s="6" t="n">
        <f aca="false">Sens!J12671*(1+Sens!K12672)</f>
        <v>33.0228715815776</v>
      </c>
      <c r="L12671" s="12" t="s">
        <v>1034</v>
      </c>
    </row>
    <row r="12672" customFormat="false" ht="15" hidden="false" customHeight="false" outlineLevel="0" collapsed="false">
      <c r="A12672" s="1" t="s">
        <v>1024</v>
      </c>
      <c r="B12672" s="0" t="s">
        <v>168</v>
      </c>
      <c r="E12672" s="7" t="n">
        <f aca="false">Sens!E12671/Sens!D12671-1</f>
        <v>0.104685888038225</v>
      </c>
      <c r="F12672" s="7" t="n">
        <f aca="false">Sens!$E$12672+(glt_ind-Sens!$E$12672)*MIN(1,(Sens!F12619-base_fy)/n_conv)</f>
        <v>0.0989049066985211</v>
      </c>
      <c r="G12672" s="7" t="n">
        <f aca="false">Sens!$E$12672+(glt_ind-Sens!$E$12672)*MIN(1,(Sens!G12619-base_fy)/n_conv)</f>
        <v>0.0931239253588169</v>
      </c>
      <c r="H12672" s="7" t="n">
        <f aca="false">Sens!$E$12672+(glt_ind-Sens!$E$12672)*MIN(1,(Sens!H12619-base_fy)/n_conv)</f>
        <v>0.0873429440191127</v>
      </c>
      <c r="I12672" s="7" t="n">
        <f aca="false">Sens!$E$12672+(glt_ind-Sens!$E$12672)*MIN(1,(Sens!I12619-base_fy)/n_conv)</f>
        <v>0.0815619626794085</v>
      </c>
      <c r="J12672" s="7" t="n">
        <f aca="false">Sens!$E$12672+(glt_ind-Sens!$E$12672)*MIN(1,(Sens!J12619-base_fy)/n_conv)</f>
        <v>0.0757809813397042</v>
      </c>
      <c r="K12672" s="7" t="n">
        <f aca="false">Sens!$E$12672+(glt_ind-Sens!$E$12672)*MIN(1,(Sens!K12619-base_fy)/n_conv)</f>
        <v>0.07</v>
      </c>
    </row>
    <row r="12673" customFormat="false" ht="17.15" hidden="false" customHeight="false" outlineLevel="0" collapsed="false">
      <c r="A12673" s="0" t="s">
        <v>1036</v>
      </c>
      <c r="B12673" s="0" t="s">
        <v>98</v>
      </c>
      <c r="D12673" s="6" t="n">
        <f aca="false">Q!L10</f>
        <v>7.76</v>
      </c>
      <c r="E12673" s="6" t="n">
        <f aca="false">Q!M10</f>
        <v>8.26</v>
      </c>
      <c r="F12673" s="6" t="n">
        <f aca="false">Q!$I$10+(Q!M10-Q!$E$10)*(1+Sens!F12674)</f>
        <v>8.75372082474227</v>
      </c>
      <c r="G12673" s="6" t="n">
        <f aca="false">Sens!F12673*(1+Sens!G12674)</f>
        <v>9.33399324642364</v>
      </c>
      <c r="H12673" s="6" t="n">
        <f aca="false">Sens!G12673*(1+Sens!H12674)</f>
        <v>9.96139155535851</v>
      </c>
      <c r="I12673" s="6" t="n">
        <f aca="false">Sens!H12673*(1+Sens!I12674)</f>
        <v>10.6402039077391</v>
      </c>
      <c r="J12673" s="6" t="n">
        <f aca="false">Sens!I12673*(1+Sens!J12674)</f>
        <v>11.3751458271397</v>
      </c>
      <c r="K12673" s="6" t="n">
        <f aca="false">Sens!J12673*(1+Sens!K12674)</f>
        <v>12.1714060350394</v>
      </c>
      <c r="L12673" s="12" t="s">
        <v>1034</v>
      </c>
    </row>
    <row r="12674" customFormat="false" ht="15" hidden="false" customHeight="false" outlineLevel="0" collapsed="false">
      <c r="A12674" s="1" t="s">
        <v>1024</v>
      </c>
      <c r="B12674" s="0" t="s">
        <v>168</v>
      </c>
      <c r="E12674" s="7" t="n">
        <f aca="false">Sens!E12673/Sens!D12673-1</f>
        <v>0.0644329896907216</v>
      </c>
      <c r="F12674" s="7" t="n">
        <f aca="false">Sens!$E$12674+(glt_fro-Sens!$E$12674)*MIN(1,(Sens!F12619-base_fy)/n_conv)</f>
        <v>0.065360824742268</v>
      </c>
      <c r="G12674" s="7" t="n">
        <f aca="false">Sens!$E$12674+(glt_fro-Sens!$E$12674)*MIN(1,(Sens!G12619-base_fy)/n_conv)</f>
        <v>0.0662886597938144</v>
      </c>
      <c r="H12674" s="7" t="n">
        <f aca="false">Sens!$E$12674+(glt_fro-Sens!$E$12674)*MIN(1,(Sens!H12619-base_fy)/n_conv)</f>
        <v>0.0672164948453608</v>
      </c>
      <c r="I12674" s="7" t="n">
        <f aca="false">Sens!$E$12674+(glt_fro-Sens!$E$12674)*MIN(1,(Sens!I12619-base_fy)/n_conv)</f>
        <v>0.0681443298969072</v>
      </c>
      <c r="J12674" s="7" t="n">
        <f aca="false">Sens!$E$12674+(glt_fro-Sens!$E$12674)*MIN(1,(Sens!J12619-base_fy)/n_conv)</f>
        <v>0.0690721649484536</v>
      </c>
      <c r="K12674" s="7" t="n">
        <f aca="false">Sens!$E$12674+(glt_fro-Sens!$E$12674)*MIN(1,(Sens!K12619-base_fy)/n_conv)</f>
        <v>0.07</v>
      </c>
    </row>
    <row r="12675" customFormat="false" ht="15" hidden="false" customHeight="false" outlineLevel="0" collapsed="false">
      <c r="A12675" s="0" t="s">
        <v>852</v>
      </c>
      <c r="B12675" s="0" t="s">
        <v>98</v>
      </c>
      <c r="D12675" s="6" t="n">
        <f aca="false">Sens!D12663+Sens!D12668+Sens!D12669+Sens!D12671+Sens!D12673</f>
        <v>218.783</v>
      </c>
      <c r="E12675" s="6" t="n">
        <f aca="false">Sens!E12663+Sens!E12668+Sens!E12669+Sens!E12671+Sens!E12673</f>
        <v>268.127</v>
      </c>
      <c r="F12675" s="6" t="n">
        <f aca="false">Sens!F12663+Sens!F12668+Sens!F12669+Sens!F12671+Sens!F12673</f>
        <v>338.774715894377</v>
      </c>
      <c r="G12675" s="6" t="n">
        <f aca="false">Sens!G12663+Sens!G12668+Sens!G12669+Sens!G12671+Sens!G12673</f>
        <v>425.508058536537</v>
      </c>
      <c r="H12675" s="6" t="n">
        <f aca="false">Sens!H12663+Sens!H12668+Sens!H12669+Sens!H12671+Sens!H12673</f>
        <v>518.580813986921</v>
      </c>
      <c r="I12675" s="6" t="n">
        <f aca="false">Sens!I12663+Sens!I12668+Sens!I12669+Sens!I12671+Sens!I12673</f>
        <v>597.067731307455</v>
      </c>
      <c r="J12675" s="6" t="n">
        <f aca="false">Sens!J12663+Sens!J12668+Sens!J12669+Sens!J12671+Sens!J12673</f>
        <v>659.345790484055</v>
      </c>
      <c r="K12675" s="6" t="n">
        <f aca="false">Sens!K12663+Sens!K12668+Sens!K12669+Sens!K12671+Sens!K12673</f>
        <v>707.958647997291</v>
      </c>
    </row>
    <row r="12676" customFormat="false" ht="17.15" hidden="false" customHeight="false" outlineLevel="0" collapsed="false">
      <c r="A12676" s="0" t="s">
        <v>1037</v>
      </c>
      <c r="B12676" s="0" t="s">
        <v>98</v>
      </c>
      <c r="D12676" s="6" t="n">
        <f aca="false">Q!L13</f>
        <v>22.171</v>
      </c>
      <c r="E12676" s="6" t="n">
        <f aca="false">Q!M13</f>
        <v>24.835</v>
      </c>
      <c r="F12676" s="6" t="n">
        <f aca="false">Q!$I$13+(Q!M13-Q!$E$13)*(1+Sens!F12677)</f>
        <v>27.5591895660247</v>
      </c>
      <c r="G12676" s="6" t="n">
        <f aca="false">Sens!F12676*(1+Sens!G12677)</f>
        <v>30.4098563144583</v>
      </c>
      <c r="H12676" s="6" t="n">
        <f aca="false">Sens!G12676*(1+Sens!H12677)</f>
        <v>33.3011792571777</v>
      </c>
      <c r="I12676" s="6" t="n">
        <f aca="false">Sens!H12676*(1+Sens!I12677)</f>
        <v>36.189023797112</v>
      </c>
      <c r="J12676" s="6" t="n">
        <f aca="false">Sens!I12676*(1+Sens!J12677)</f>
        <v>39.0247773769199</v>
      </c>
      <c r="K12676" s="6" t="n">
        <f aca="false">Sens!J12676*(1+Sens!K12677)</f>
        <v>41.7565117933043</v>
      </c>
      <c r="L12676" s="12" t="s">
        <v>1034</v>
      </c>
    </row>
    <row r="12677" customFormat="false" ht="15" hidden="false" customHeight="false" outlineLevel="0" collapsed="false">
      <c r="A12677" s="1" t="s">
        <v>1024</v>
      </c>
      <c r="B12677" s="0" t="s">
        <v>168</v>
      </c>
      <c r="E12677" s="7" t="n">
        <f aca="false">Sens!E12676/Sens!D12676-1</f>
        <v>0.120156961796942</v>
      </c>
      <c r="F12677" s="7" t="n">
        <f aca="false">Sens!$E$12677+(glt_srch-Sens!$E$12677)*MIN(1,(Sens!F12619-base_fy)/n_conv)</f>
        <v>0.111797468164118</v>
      </c>
      <c r="G12677" s="7" t="n">
        <f aca="false">Sens!$E$12677+(glt_srch-Sens!$E$12677)*MIN(1,(Sens!G12619-base_fy)/n_conv)</f>
        <v>0.103437974531295</v>
      </c>
      <c r="H12677" s="7" t="n">
        <f aca="false">Sens!$E$12677+(glt_srch-Sens!$E$12677)*MIN(1,(Sens!H12619-base_fy)/n_conv)</f>
        <v>0.095078480898471</v>
      </c>
      <c r="I12677" s="7" t="n">
        <f aca="false">Sens!$E$12677+(glt_srch-Sens!$E$12677)*MIN(1,(Sens!I12619-base_fy)/n_conv)</f>
        <v>0.0867189872656474</v>
      </c>
      <c r="J12677" s="7" t="n">
        <f aca="false">Sens!$E$12677+(glt_srch-Sens!$E$12677)*MIN(1,(Sens!J12619-base_fy)/n_conv)</f>
        <v>0.0783594936328237</v>
      </c>
      <c r="K12677" s="7" t="n">
        <f aca="false">Sens!$E$12677+(glt_srch-Sens!$E$12677)*MIN(1,(Sens!K12619-base_fy)/n_conv)</f>
        <v>0.07</v>
      </c>
    </row>
    <row r="12678" customFormat="false" ht="17.15" hidden="false" customHeight="false" outlineLevel="0" collapsed="false">
      <c r="A12678" s="0" t="s">
        <v>1038</v>
      </c>
      <c r="B12678" s="0" t="s">
        <v>98</v>
      </c>
      <c r="D12678" s="6" t="n">
        <f aca="false">Q!L14</f>
        <v>23.455</v>
      </c>
      <c r="E12678" s="6" t="n">
        <f aca="false">Q!M14</f>
        <v>21.79</v>
      </c>
      <c r="F12678" s="6" t="n">
        <f aca="false">Q!$I$14+(Q!M14-Q!$E$14)*(1+Sens!F12679)</f>
        <v>20.7520981041711</v>
      </c>
      <c r="G12678" s="6" t="n">
        <f aca="false">Sens!F12678*(1+Sens!G12679)</f>
        <v>19.9083593495882</v>
      </c>
      <c r="H12678" s="6" t="n">
        <f aca="false">Sens!G12678*(1+Sens!H12679)</f>
        <v>19.4008256265831</v>
      </c>
      <c r="I12678" s="6" t="n">
        <f aca="false">Sens!H12678*(1+Sens!I12679)</f>
        <v>19.200434522122</v>
      </c>
      <c r="J12678" s="6" t="n">
        <f aca="false">Sens!I12678*(1+Sens!J12679)</f>
        <v>19.2932782348507</v>
      </c>
      <c r="K12678" s="6" t="n">
        <f aca="false">Sens!J12678*(1+Sens!K12679)</f>
        <v>19.6791437995477</v>
      </c>
      <c r="L12678" s="12" t="s">
        <v>1034</v>
      </c>
    </row>
    <row r="12679" customFormat="false" ht="15" hidden="false" customHeight="false" outlineLevel="0" collapsed="false">
      <c r="A12679" s="1" t="s">
        <v>1024</v>
      </c>
      <c r="B12679" s="0" t="s">
        <v>168</v>
      </c>
      <c r="E12679" s="7" t="n">
        <f aca="false">Sens!E12678/Sens!D12678-1</f>
        <v>-0.0709869963760392</v>
      </c>
      <c r="F12679" s="7" t="n">
        <f aca="false">Sens!$E$12679+(glt_xbox-Sens!$E$12679)*MIN(1,(Sens!F12619-base_fy)/n_conv)</f>
        <v>-0.0558224969800327</v>
      </c>
      <c r="G12679" s="7" t="n">
        <f aca="false">Sens!$E$12679+(glt_xbox-Sens!$E$12679)*MIN(1,(Sens!G12619-base_fy)/n_conv)</f>
        <v>-0.0406579975840262</v>
      </c>
      <c r="H12679" s="7" t="n">
        <f aca="false">Sens!$E$12679+(glt_xbox-Sens!$E$12679)*MIN(1,(Sens!H12619-base_fy)/n_conv)</f>
        <v>-0.0254934981880196</v>
      </c>
      <c r="I12679" s="7" t="n">
        <f aca="false">Sens!$E$12679+(glt_xbox-Sens!$E$12679)*MIN(1,(Sens!I12619-base_fy)/n_conv)</f>
        <v>-0.0103289987920131</v>
      </c>
      <c r="J12679" s="7" t="n">
        <f aca="false">Sens!$E$12679+(glt_xbox-Sens!$E$12679)*MIN(1,(Sens!J12619-base_fy)/n_conv)</f>
        <v>0.00483550060399347</v>
      </c>
      <c r="K12679" s="7" t="n">
        <f aca="false">Sens!$E$12679+(glt_xbox-Sens!$E$12679)*MIN(1,(Sens!K12619-base_fy)/n_conv)</f>
        <v>0.02</v>
      </c>
    </row>
    <row r="12680" customFormat="false" ht="17.15" hidden="false" customHeight="false" outlineLevel="0" collapsed="false">
      <c r="A12680" s="0" t="s">
        <v>1039</v>
      </c>
      <c r="B12680" s="0" t="s">
        <v>98</v>
      </c>
      <c r="D12680" s="6" t="n">
        <f aca="false">Q!L15</f>
        <v>17.315</v>
      </c>
      <c r="E12680" s="6" t="n">
        <f aca="false">Q!M15</f>
        <v>17.087</v>
      </c>
      <c r="F12680" s="6" t="n">
        <f aca="false">Q!$I$15+(Q!M15-Q!$E$15)*(1+Sens!F12681)</f>
        <v>15.9912273250553</v>
      </c>
      <c r="G12680" s="6" t="n">
        <f aca="false">Sens!F12680*(1+Sens!G12681)</f>
        <v>15.9574562664827</v>
      </c>
      <c r="H12680" s="6" t="n">
        <f aca="false">Sens!G12680*(1+Sens!H12681)</f>
        <v>16.0119687434196</v>
      </c>
      <c r="I12680" s="6" t="n">
        <f aca="false">Sens!H12680*(1+Sens!I12681)</f>
        <v>16.1551810001948</v>
      </c>
      <c r="J12680" s="6" t="n">
        <f aca="false">Sens!I12680*(1+Sens!J12681)</f>
        <v>16.3889793892005</v>
      </c>
      <c r="K12680" s="6" t="n">
        <f aca="false">Sens!J12680*(1+Sens!K12681)</f>
        <v>16.7167589769845</v>
      </c>
      <c r="L12680" s="12" t="s">
        <v>1034</v>
      </c>
    </row>
    <row r="12681" customFormat="false" ht="15" hidden="false" customHeight="false" outlineLevel="0" collapsed="false">
      <c r="A12681" s="1" t="s">
        <v>1024</v>
      </c>
      <c r="B12681" s="0" t="s">
        <v>168</v>
      </c>
      <c r="E12681" s="7" t="n">
        <f aca="false">Sens!E12680/Sens!D12680-1</f>
        <v>-0.0131677736066995</v>
      </c>
      <c r="F12681" s="7" t="n">
        <f aca="false">Sens!$E$12681+(glt_win-Sens!$E$12681)*MIN(1,(Sens!F12619-base_fy)/n_conv)</f>
        <v>-0.00763981133891627</v>
      </c>
      <c r="G12681" s="7" t="n">
        <f aca="false">Sens!$E$12681+(glt_win-Sens!$E$12681)*MIN(1,(Sens!G12619-base_fy)/n_conv)</f>
        <v>-0.00211184907113301</v>
      </c>
      <c r="H12681" s="7" t="n">
        <f aca="false">Sens!$E$12681+(glt_win-Sens!$E$12681)*MIN(1,(Sens!H12619-base_fy)/n_conv)</f>
        <v>0.00341611319665024</v>
      </c>
      <c r="I12681" s="7" t="n">
        <f aca="false">Sens!$E$12681+(glt_win-Sens!$E$12681)*MIN(1,(Sens!I12619-base_fy)/n_conv)</f>
        <v>0.00894407546443349</v>
      </c>
      <c r="J12681" s="7" t="n">
        <f aca="false">Sens!$E$12681+(glt_win-Sens!$E$12681)*MIN(1,(Sens!J12619-base_fy)/n_conv)</f>
        <v>0.0144720377322168</v>
      </c>
      <c r="K12681" s="7" t="n">
        <f aca="false">Sens!$E$12681+(glt_win-Sens!$E$12681)*MIN(1,(Sens!K12619-base_fy)/n_conv)</f>
        <v>0.02</v>
      </c>
    </row>
    <row r="12682" customFormat="false" ht="15" hidden="false" customHeight="false" outlineLevel="0" collapsed="false">
      <c r="A12682" s="0" t="s">
        <v>866</v>
      </c>
      <c r="B12682" s="0" t="s">
        <v>98</v>
      </c>
      <c r="D12682" s="6" t="n">
        <f aca="false">Sens!D12676+Sens!D12678+Sens!D12680</f>
        <v>62.941</v>
      </c>
      <c r="E12682" s="6" t="n">
        <f aca="false">Sens!E12676+Sens!E12678+Sens!E12680</f>
        <v>63.712</v>
      </c>
      <c r="F12682" s="6" t="n">
        <f aca="false">Sens!F12676+Sens!F12678+Sens!F12680</f>
        <v>64.3025149952511</v>
      </c>
      <c r="G12682" s="6" t="n">
        <f aca="false">Sens!G12676+Sens!G12678+Sens!G12680</f>
        <v>66.2756719305292</v>
      </c>
      <c r="H12682" s="6" t="n">
        <f aca="false">Sens!H12676+Sens!H12678+Sens!H12680</f>
        <v>68.7139736271804</v>
      </c>
      <c r="I12682" s="6" t="n">
        <f aca="false">Sens!I12676+Sens!I12678+Sens!I12680</f>
        <v>71.5446393194289</v>
      </c>
      <c r="J12682" s="6" t="n">
        <f aca="false">Sens!J12676+Sens!J12678+Sens!J12680</f>
        <v>74.707035000971</v>
      </c>
      <c r="K12682" s="6" t="n">
        <f aca="false">Sens!K12676+Sens!K12678+Sens!K12680</f>
        <v>78.1524145698365</v>
      </c>
    </row>
    <row r="12683" customFormat="false" ht="15" hidden="false" customHeight="false" outlineLevel="0" collapsed="false">
      <c r="A12683" s="1" t="s">
        <v>1040</v>
      </c>
      <c r="B12683" s="0" t="s">
        <v>98</v>
      </c>
      <c r="D12683" s="6" t="n">
        <f aca="false">Sens!D12675+Sens!D12682</f>
        <v>281.724</v>
      </c>
      <c r="E12683" s="6" t="n">
        <f aca="false">Sens!E12675+Sens!E12682</f>
        <v>331.839</v>
      </c>
      <c r="F12683" s="6" t="n">
        <f aca="false">Sens!F12675+Sens!F12682</f>
        <v>403.077230889628</v>
      </c>
      <c r="G12683" s="6" t="n">
        <f aca="false">Sens!G12675+Sens!G12682</f>
        <v>491.783730467066</v>
      </c>
      <c r="H12683" s="6" t="n">
        <f aca="false">Sens!H12675+Sens!H12682</f>
        <v>587.294787614101</v>
      </c>
      <c r="I12683" s="6" t="n">
        <f aca="false">Sens!I12675+Sens!I12682</f>
        <v>668.612370626884</v>
      </c>
      <c r="J12683" s="6" t="n">
        <f aca="false">Sens!J12675+Sens!J12682</f>
        <v>734.052825485026</v>
      </c>
      <c r="K12683" s="6" t="n">
        <f aca="false">Sens!K12675+Sens!K12682</f>
        <v>786.111062567128</v>
      </c>
    </row>
    <row r="12684" customFormat="false" ht="15" hidden="false" customHeight="false" outlineLevel="0" collapsed="false">
      <c r="A12684" s="26" t="s">
        <v>1041</v>
      </c>
      <c r="B12684" s="31" t="s">
        <v>98</v>
      </c>
      <c r="C12684" s="31"/>
      <c r="D12684" s="27" t="n">
        <f aca="false">(Sens!D12663+Sens!D12668+Sens!D12669+Sens!D12671+Sens!D12673-Sens!D12675)+(Sens!D12676+Sens!D12678+Sens!D12680-Sens!D12682)+(Sens!D12675-Q!L5)+(Sens!D12682-Q!L12)+(Sens!D12663-Q!L6)+(Sens!D12668-Q!L7)</f>
        <v>0</v>
      </c>
      <c r="E12684" s="27" t="n">
        <f aca="false">(Sens!E12663+Sens!E12668+Sens!E12669+Sens!E12671+Sens!E12673-Sens!E12675)+(Sens!E12676+Sens!E12678+Sens!E12680-Sens!E12682)+(Sens!E12675-Q!M5)+(Sens!E12682-Q!M12)+(Sens!E12663-Q!M6)+(Sens!E12668-Q!M7)</f>
        <v>0</v>
      </c>
      <c r="F12684" s="27" t="n">
        <f aca="false">(Sens!F12663+Sens!F12668+Sens!F12669+Sens!F12671+Sens!F12673-Sens!F12675)+(Sens!F12676+Sens!F12678+Sens!F12680-Sens!F12682)</f>
        <v>0</v>
      </c>
      <c r="G12684" s="27" t="n">
        <f aca="false">(Sens!G12663+Sens!G12668+Sens!G12669+Sens!G12671+Sens!G12673-Sens!G12675)+(Sens!G12676+Sens!G12678+Sens!G12680-Sens!G12682)</f>
        <v>0</v>
      </c>
      <c r="H12684" s="27" t="n">
        <f aca="false">(Sens!H12663+Sens!H12668+Sens!H12669+Sens!H12671+Sens!H12673-Sens!H12675)+(Sens!H12676+Sens!H12678+Sens!H12680-Sens!H12682)</f>
        <v>0</v>
      </c>
      <c r="I12684" s="27" t="n">
        <f aca="false">(Sens!I12663+Sens!I12668+Sens!I12669+Sens!I12671+Sens!I12673-Sens!I12675)+(Sens!I12676+Sens!I12678+Sens!I12680-Sens!I12682)</f>
        <v>0</v>
      </c>
      <c r="J12684" s="27" t="n">
        <f aca="false">(Sens!J12663+Sens!J12668+Sens!J12669+Sens!J12671+Sens!J12673-Sens!J12675)+(Sens!J12676+Sens!J12678+Sens!J12680-Sens!J12682)</f>
        <v>0</v>
      </c>
      <c r="K12684" s="27" t="n">
        <f aca="false">(Sens!K12663+Sens!K12668+Sens!K12669+Sens!K12671+Sens!K12673-Sens!K12675)+(Sens!K12676+Sens!K12678+Sens!K12680-Sens!K12682)</f>
        <v>0</v>
      </c>
    </row>
    <row r="12685" customFormat="false" ht="17.15" hidden="false" customHeight="false" outlineLevel="0" collapsed="false">
      <c r="A12685" s="3" t="s">
        <v>1797</v>
      </c>
    </row>
    <row r="12686" customFormat="false" ht="15" hidden="false" customHeight="false" outlineLevel="0" collapsed="false">
      <c r="A12686" s="4" t="s">
        <v>43</v>
      </c>
      <c r="B12686" s="4" t="s">
        <v>65</v>
      </c>
      <c r="C12686" s="23" t="s">
        <v>938</v>
      </c>
      <c r="D12686" s="23" t="s">
        <v>939</v>
      </c>
      <c r="E12686" s="23" t="s">
        <v>940</v>
      </c>
      <c r="F12686" s="23" t="s">
        <v>941</v>
      </c>
      <c r="G12686" s="23" t="s">
        <v>942</v>
      </c>
      <c r="H12686" s="23" t="s">
        <v>943</v>
      </c>
      <c r="I12686" s="23" t="s">
        <v>944</v>
      </c>
      <c r="J12686" s="23" t="s">
        <v>945</v>
      </c>
      <c r="K12686" s="23" t="s">
        <v>946</v>
      </c>
      <c r="L12686" s="4" t="s">
        <v>47</v>
      </c>
    </row>
    <row r="12687" customFormat="false" ht="15" hidden="false" customHeight="false" outlineLevel="0" collapsed="false">
      <c r="A12687" s="0" t="s">
        <v>1025</v>
      </c>
      <c r="B12687" s="0" t="s">
        <v>98</v>
      </c>
      <c r="D12687" s="6" t="n">
        <f aca="false">Sens!D12663</f>
        <v>72.61</v>
      </c>
      <c r="E12687" s="6" t="n">
        <f aca="false">Sens!E12663</f>
        <v>101.938</v>
      </c>
      <c r="F12687" s="6" t="n">
        <f aca="false">Sens!F12663</f>
        <v>149.59001837225</v>
      </c>
      <c r="G12687" s="6" t="n">
        <f aca="false">Sens!G12663</f>
        <v>210.963087346352</v>
      </c>
      <c r="H12687" s="6" t="n">
        <f aca="false">Sens!H12663</f>
        <v>278.649709314524</v>
      </c>
      <c r="I12687" s="6" t="n">
        <f aca="false">Sens!I12663</f>
        <v>334.269404582332</v>
      </c>
      <c r="J12687" s="6" t="n">
        <f aca="false">Sens!J12663</f>
        <v>376.517293063672</v>
      </c>
      <c r="K12687" s="6" t="n">
        <f aca="false">Sens!K12663</f>
        <v>406.018092622804</v>
      </c>
    </row>
    <row r="12688" customFormat="false" ht="17.15" hidden="false" customHeight="false" outlineLevel="0" collapsed="false">
      <c r="A12688" s="0" t="s">
        <v>1021</v>
      </c>
      <c r="B12688" s="0" t="s">
        <v>98</v>
      </c>
      <c r="D12688" s="6" t="n">
        <f aca="false">Sens!D12660</f>
        <v>12.9359794422418</v>
      </c>
      <c r="E12688" s="6" t="n">
        <f aca="false">Sens!E12660</f>
        <v>27.8095064661409</v>
      </c>
      <c r="F12688" s="6" t="n">
        <f aca="false">Sens!F12660</f>
        <v>59.1034165651511</v>
      </c>
      <c r="G12688" s="6" t="n">
        <f aca="false">Sens!G12660</f>
        <v>103.451498789198</v>
      </c>
      <c r="H12688" s="6" t="n">
        <f aca="false">Sens!H12660</f>
        <v>153.816719989035</v>
      </c>
      <c r="I12688" s="6" t="n">
        <f aca="false">Sens!I12660</f>
        <v>192.699478690852</v>
      </c>
      <c r="J12688" s="6" t="n">
        <f aca="false">Sens!J12660</f>
        <v>219.794102584244</v>
      </c>
      <c r="K12688" s="6" t="n">
        <f aca="false">Sens!K12660</f>
        <v>236.757046905022</v>
      </c>
    </row>
    <row r="12689" customFormat="false" ht="17.15" hidden="false" customHeight="false" outlineLevel="0" collapsed="false">
      <c r="A12689" s="0" t="s">
        <v>1052</v>
      </c>
      <c r="B12689" s="0" t="s">
        <v>98</v>
      </c>
      <c r="D12689" s="6" t="n">
        <f aca="false">Sens!D12661</f>
        <v>59.6740205577583</v>
      </c>
      <c r="E12689" s="6" t="n">
        <f aca="false">Sens!E12661</f>
        <v>74.1284935338591</v>
      </c>
      <c r="F12689" s="6" t="n">
        <f aca="false">Sens!F12661</f>
        <v>90.4866018070994</v>
      </c>
      <c r="G12689" s="6" t="n">
        <f aca="false">Sens!G12661</f>
        <v>107.511588557154</v>
      </c>
      <c r="H12689" s="6" t="n">
        <f aca="false">Sens!H12661</f>
        <v>124.832989325489</v>
      </c>
      <c r="I12689" s="6" t="n">
        <f aca="false">Sens!I12661</f>
        <v>141.56992589148</v>
      </c>
      <c r="J12689" s="6" t="n">
        <f aca="false">Sens!J12661</f>
        <v>156.723190479428</v>
      </c>
      <c r="K12689" s="6" t="n">
        <f aca="false">Sens!K12661</f>
        <v>169.261045717783</v>
      </c>
    </row>
    <row r="12690" customFormat="false" ht="15" hidden="false" customHeight="false" outlineLevel="0" collapsed="false">
      <c r="A12690" s="0" t="s">
        <v>1032</v>
      </c>
      <c r="B12690" s="0" t="s">
        <v>98</v>
      </c>
      <c r="D12690" s="6" t="n">
        <f aca="false">Sens!D12668</f>
        <v>84.605</v>
      </c>
      <c r="E12690" s="6" t="n">
        <f aca="false">Sens!E12668</f>
        <v>100.299</v>
      </c>
      <c r="F12690" s="6" t="n">
        <f aca="false">Sens!F12668</f>
        <v>119.729653205718</v>
      </c>
      <c r="G12690" s="6" t="n">
        <f aca="false">Sens!G12668</f>
        <v>140.806092647576</v>
      </c>
      <c r="H12690" s="6" t="n">
        <f aca="false">Sens!H12668</f>
        <v>161.963437602768</v>
      </c>
      <c r="I12690" s="6" t="n">
        <f aca="false">Sens!I12668</f>
        <v>180.695354741933</v>
      </c>
      <c r="J12690" s="6" t="n">
        <f aca="false">Sens!J12668</f>
        <v>196.722117481571</v>
      </c>
      <c r="K12690" s="6" t="n">
        <f aca="false">Sens!K12668</f>
        <v>212.00016570528</v>
      </c>
    </row>
    <row r="12691" customFormat="false" ht="17.15" hidden="false" customHeight="false" outlineLevel="0" collapsed="false">
      <c r="A12691" s="0" t="s">
        <v>1053</v>
      </c>
      <c r="B12691" s="0" t="s">
        <v>98</v>
      </c>
      <c r="D12691" s="6" t="n">
        <f aca="false">Sens!D12666</f>
        <v>83.705</v>
      </c>
      <c r="E12691" s="6" t="n">
        <f aca="false">Sens!E12666</f>
        <v>95.049</v>
      </c>
      <c r="F12691" s="6" t="n">
        <f aca="false">Sens!F12666</f>
        <v>106.229653205718</v>
      </c>
      <c r="G12691" s="6" t="n">
        <f aca="false">Sens!G12666</f>
        <v>118.306092647576</v>
      </c>
      <c r="H12691" s="6" t="n">
        <f aca="false">Sens!H12666</f>
        <v>130.463437602768</v>
      </c>
      <c r="I12691" s="6" t="n">
        <f aca="false">Sens!I12666</f>
        <v>142.445354741933</v>
      </c>
      <c r="J12691" s="6" t="n">
        <f aca="false">Sens!J12666</f>
        <v>153.972117481571</v>
      </c>
      <c r="K12691" s="6" t="n">
        <f aca="false">Sens!K12666</f>
        <v>164.75016570528</v>
      </c>
    </row>
    <row r="12692" customFormat="false" ht="17.15" hidden="false" customHeight="false" outlineLevel="0" collapsed="false">
      <c r="A12692" s="0" t="s">
        <v>1054</v>
      </c>
      <c r="B12692" s="0" t="s">
        <v>98</v>
      </c>
      <c r="D12692" s="6" t="n">
        <f aca="false">Sens!D12665</f>
        <v>0.9</v>
      </c>
      <c r="E12692" s="6" t="n">
        <f aca="false">Sens!E12665</f>
        <v>5.25</v>
      </c>
      <c r="F12692" s="6" t="n">
        <f aca="false">Sens!F12665</f>
        <v>13.5</v>
      </c>
      <c r="G12692" s="6" t="n">
        <f aca="false">Sens!G12665</f>
        <v>22.5</v>
      </c>
      <c r="H12692" s="6" t="n">
        <f aca="false">Sens!H12665</f>
        <v>31.5</v>
      </c>
      <c r="I12692" s="6" t="n">
        <f aca="false">Sens!I12665</f>
        <v>38.25</v>
      </c>
      <c r="J12692" s="6" t="n">
        <f aca="false">Sens!J12665</f>
        <v>42.75</v>
      </c>
      <c r="K12692" s="6" t="n">
        <f aca="false">Sens!K12665</f>
        <v>47.25</v>
      </c>
    </row>
    <row r="12693" customFormat="false" ht="15" hidden="false" customHeight="false" outlineLevel="0" collapsed="false">
      <c r="A12693" s="0" t="s">
        <v>1033</v>
      </c>
      <c r="B12693" s="0" t="s">
        <v>98</v>
      </c>
      <c r="D12693" s="6" t="n">
        <f aca="false">Sens!D12669</f>
        <v>35.391</v>
      </c>
      <c r="E12693" s="6" t="n">
        <f aca="false">Sens!E12669</f>
        <v>37.285</v>
      </c>
      <c r="F12693" s="6" t="n">
        <f aca="false">Sens!F12669</f>
        <v>38.3851437782675</v>
      </c>
      <c r="G12693" s="6" t="n">
        <f aca="false">Sens!G12669</f>
        <v>40.0105353288615</v>
      </c>
      <c r="H12693" s="6" t="n">
        <f aca="false">Sens!H12669</f>
        <v>41.4812512033683</v>
      </c>
      <c r="I12693" s="6" t="n">
        <f aca="false">Sens!I12669</f>
        <v>42.7743107216329</v>
      </c>
      <c r="J12693" s="6" t="n">
        <f aca="false">Sens!J12669</f>
        <v>43.8687373064601</v>
      </c>
      <c r="K12693" s="6" t="n">
        <f aca="false">Sens!K12669</f>
        <v>44.7461120525893</v>
      </c>
    </row>
    <row r="12694" customFormat="false" ht="15" hidden="false" customHeight="false" outlineLevel="0" collapsed="false">
      <c r="A12694" s="0" t="s">
        <v>1035</v>
      </c>
      <c r="B12694" s="0" t="s">
        <v>98</v>
      </c>
      <c r="D12694" s="6" t="n">
        <f aca="false">Sens!D12671</f>
        <v>18.417</v>
      </c>
      <c r="E12694" s="6" t="n">
        <f aca="false">Sens!E12671</f>
        <v>20.345</v>
      </c>
      <c r="F12694" s="6" t="n">
        <f aca="false">Sens!F12671</f>
        <v>22.3161797133988</v>
      </c>
      <c r="G12694" s="6" t="n">
        <f aca="false">Sens!G12671</f>
        <v>24.3943499673233</v>
      </c>
      <c r="H12694" s="6" t="n">
        <f aca="false">Sens!H12671</f>
        <v>26.5250243109019</v>
      </c>
      <c r="I12694" s="6" t="n">
        <f aca="false">Sens!I12671</f>
        <v>28.6884573538181</v>
      </c>
      <c r="J12694" s="6" t="n">
        <f aca="false">Sens!J12671</f>
        <v>30.8624968052127</v>
      </c>
      <c r="K12694" s="6" t="n">
        <f aca="false">Sens!K12671</f>
        <v>33.0228715815776</v>
      </c>
    </row>
    <row r="12695" customFormat="false" ht="15" hidden="false" customHeight="false" outlineLevel="0" collapsed="false">
      <c r="A12695" s="0" t="s">
        <v>1036</v>
      </c>
      <c r="B12695" s="0" t="s">
        <v>98</v>
      </c>
      <c r="D12695" s="6" t="n">
        <f aca="false">Sens!D12673</f>
        <v>7.76</v>
      </c>
      <c r="E12695" s="6" t="n">
        <f aca="false">Sens!E12673</f>
        <v>8.26</v>
      </c>
      <c r="F12695" s="6" t="n">
        <f aca="false">Sens!F12673</f>
        <v>8.75372082474227</v>
      </c>
      <c r="G12695" s="6" t="n">
        <f aca="false">Sens!G12673</f>
        <v>9.33399324642364</v>
      </c>
      <c r="H12695" s="6" t="n">
        <f aca="false">Sens!H12673</f>
        <v>9.96139155535851</v>
      </c>
      <c r="I12695" s="6" t="n">
        <f aca="false">Sens!I12673</f>
        <v>10.6402039077391</v>
      </c>
      <c r="J12695" s="6" t="n">
        <f aca="false">Sens!J12673</f>
        <v>11.3751458271397</v>
      </c>
      <c r="K12695" s="6" t="n">
        <f aca="false">Sens!K12673</f>
        <v>12.1714060350394</v>
      </c>
    </row>
    <row r="12696" customFormat="false" ht="15" hidden="false" customHeight="false" outlineLevel="0" collapsed="false">
      <c r="A12696" s="0" t="s">
        <v>852</v>
      </c>
      <c r="B12696" s="0" t="s">
        <v>98</v>
      </c>
      <c r="D12696" s="6" t="n">
        <f aca="false">Sens!D12675</f>
        <v>218.783</v>
      </c>
      <c r="E12696" s="6" t="n">
        <f aca="false">Sens!E12675</f>
        <v>268.127</v>
      </c>
      <c r="F12696" s="6" t="n">
        <f aca="false">Sens!F12675</f>
        <v>338.774715894377</v>
      </c>
      <c r="G12696" s="6" t="n">
        <f aca="false">Sens!G12675</f>
        <v>425.508058536537</v>
      </c>
      <c r="H12696" s="6" t="n">
        <f aca="false">Sens!H12675</f>
        <v>518.580813986921</v>
      </c>
      <c r="I12696" s="6" t="n">
        <f aca="false">Sens!I12675</f>
        <v>597.067731307455</v>
      </c>
      <c r="J12696" s="6" t="n">
        <f aca="false">Sens!J12675</f>
        <v>659.345790484055</v>
      </c>
      <c r="K12696" s="6" t="n">
        <f aca="false">Sens!K12675</f>
        <v>707.958647997291</v>
      </c>
    </row>
    <row r="12697" customFormat="false" ht="15" hidden="false" customHeight="false" outlineLevel="0" collapsed="false">
      <c r="A12697" s="0" t="s">
        <v>1037</v>
      </c>
      <c r="B12697" s="0" t="s">
        <v>98</v>
      </c>
      <c r="D12697" s="6" t="n">
        <f aca="false">Sens!D12676</f>
        <v>22.171</v>
      </c>
      <c r="E12697" s="6" t="n">
        <f aca="false">Sens!E12676</f>
        <v>24.835</v>
      </c>
      <c r="F12697" s="6" t="n">
        <f aca="false">Sens!F12676</f>
        <v>27.5591895660247</v>
      </c>
      <c r="G12697" s="6" t="n">
        <f aca="false">Sens!G12676</f>
        <v>30.4098563144583</v>
      </c>
      <c r="H12697" s="6" t="n">
        <f aca="false">Sens!H12676</f>
        <v>33.3011792571777</v>
      </c>
      <c r="I12697" s="6" t="n">
        <f aca="false">Sens!I12676</f>
        <v>36.189023797112</v>
      </c>
      <c r="J12697" s="6" t="n">
        <f aca="false">Sens!J12676</f>
        <v>39.0247773769199</v>
      </c>
      <c r="K12697" s="6" t="n">
        <f aca="false">Sens!K12676</f>
        <v>41.7565117933043</v>
      </c>
    </row>
    <row r="12698" customFormat="false" ht="15" hidden="false" customHeight="false" outlineLevel="0" collapsed="false">
      <c r="A12698" s="0" t="s">
        <v>1038</v>
      </c>
      <c r="B12698" s="0" t="s">
        <v>98</v>
      </c>
      <c r="D12698" s="6" t="n">
        <f aca="false">Sens!D12678</f>
        <v>23.455</v>
      </c>
      <c r="E12698" s="6" t="n">
        <f aca="false">Sens!E12678</f>
        <v>21.79</v>
      </c>
      <c r="F12698" s="6" t="n">
        <f aca="false">Sens!F12678</f>
        <v>20.7520981041711</v>
      </c>
      <c r="G12698" s="6" t="n">
        <f aca="false">Sens!G12678</f>
        <v>19.9083593495882</v>
      </c>
      <c r="H12698" s="6" t="n">
        <f aca="false">Sens!H12678</f>
        <v>19.4008256265831</v>
      </c>
      <c r="I12698" s="6" t="n">
        <f aca="false">Sens!I12678</f>
        <v>19.200434522122</v>
      </c>
      <c r="J12698" s="6" t="n">
        <f aca="false">Sens!J12678</f>
        <v>19.2932782348507</v>
      </c>
      <c r="K12698" s="6" t="n">
        <f aca="false">Sens!K12678</f>
        <v>19.6791437995477</v>
      </c>
    </row>
    <row r="12699" customFormat="false" ht="15" hidden="false" customHeight="false" outlineLevel="0" collapsed="false">
      <c r="A12699" s="0" t="s">
        <v>1039</v>
      </c>
      <c r="B12699" s="0" t="s">
        <v>98</v>
      </c>
      <c r="D12699" s="6" t="n">
        <f aca="false">Sens!D12680</f>
        <v>17.315</v>
      </c>
      <c r="E12699" s="6" t="n">
        <f aca="false">Sens!E12680</f>
        <v>17.087</v>
      </c>
      <c r="F12699" s="6" t="n">
        <f aca="false">Sens!F12680</f>
        <v>15.9912273250553</v>
      </c>
      <c r="G12699" s="6" t="n">
        <f aca="false">Sens!G12680</f>
        <v>15.9574562664827</v>
      </c>
      <c r="H12699" s="6" t="n">
        <f aca="false">Sens!H12680</f>
        <v>16.0119687434196</v>
      </c>
      <c r="I12699" s="6" t="n">
        <f aca="false">Sens!I12680</f>
        <v>16.1551810001948</v>
      </c>
      <c r="J12699" s="6" t="n">
        <f aca="false">Sens!J12680</f>
        <v>16.3889793892005</v>
      </c>
      <c r="K12699" s="6" t="n">
        <f aca="false">Sens!K12680</f>
        <v>16.7167589769845</v>
      </c>
    </row>
    <row r="12700" customFormat="false" ht="15" hidden="false" customHeight="false" outlineLevel="0" collapsed="false">
      <c r="A12700" s="0" t="s">
        <v>866</v>
      </c>
      <c r="B12700" s="0" t="s">
        <v>98</v>
      </c>
      <c r="D12700" s="6" t="n">
        <f aca="false">Sens!D12682</f>
        <v>62.941</v>
      </c>
      <c r="E12700" s="6" t="n">
        <f aca="false">Sens!E12682</f>
        <v>63.712</v>
      </c>
      <c r="F12700" s="6" t="n">
        <f aca="false">Sens!F12682</f>
        <v>64.3025149952511</v>
      </c>
      <c r="G12700" s="6" t="n">
        <f aca="false">Sens!G12682</f>
        <v>66.2756719305292</v>
      </c>
      <c r="H12700" s="6" t="n">
        <f aca="false">Sens!H12682</f>
        <v>68.7139736271804</v>
      </c>
      <c r="I12700" s="6" t="n">
        <f aca="false">Sens!I12682</f>
        <v>71.5446393194289</v>
      </c>
      <c r="J12700" s="6" t="n">
        <f aca="false">Sens!J12682</f>
        <v>74.707035000971</v>
      </c>
      <c r="K12700" s="6" t="n">
        <f aca="false">Sens!K12682</f>
        <v>78.1524145698365</v>
      </c>
    </row>
    <row r="12701" customFormat="false" ht="15" hidden="false" customHeight="false" outlineLevel="0" collapsed="false">
      <c r="A12701" s="1" t="s">
        <v>1055</v>
      </c>
      <c r="B12701" s="0" t="s">
        <v>98</v>
      </c>
      <c r="D12701" s="6" t="n">
        <f aca="false">Sens!D12683</f>
        <v>281.724</v>
      </c>
      <c r="E12701" s="6" t="n">
        <f aca="false">Sens!E12683</f>
        <v>331.839</v>
      </c>
      <c r="F12701" s="6" t="n">
        <f aca="false">Sens!F12683</f>
        <v>403.077230889628</v>
      </c>
      <c r="G12701" s="6" t="n">
        <f aca="false">Sens!G12683</f>
        <v>491.783730467066</v>
      </c>
      <c r="H12701" s="6" t="n">
        <f aca="false">Sens!H12683</f>
        <v>587.294787614101</v>
      </c>
      <c r="I12701" s="6" t="n">
        <f aca="false">Sens!I12683</f>
        <v>668.612370626884</v>
      </c>
      <c r="J12701" s="6" t="n">
        <f aca="false">Sens!J12683</f>
        <v>734.052825485026</v>
      </c>
      <c r="K12701" s="6" t="n">
        <f aca="false">Sens!K12683</f>
        <v>786.111062567128</v>
      </c>
    </row>
    <row r="12702" customFormat="false" ht="15" hidden="false" customHeight="false" outlineLevel="0" collapsed="false">
      <c r="A12702" s="1" t="s">
        <v>1056</v>
      </c>
      <c r="B12702" s="0" t="s">
        <v>168</v>
      </c>
      <c r="E12702" s="7" t="n">
        <f aca="false">Sens!E12701/Sens!D12701-1</f>
        <v>0.177886867998467</v>
      </c>
      <c r="F12702" s="7" t="n">
        <f aca="false">Sens!F12701/Sens!E12701-1</f>
        <v>0.21467709006364</v>
      </c>
      <c r="G12702" s="7" t="n">
        <f aca="false">Sens!G12701/Sens!F12701-1</f>
        <v>0.220073208753704</v>
      </c>
      <c r="H12702" s="7" t="n">
        <f aca="false">Sens!H12701/Sens!G12701-1</f>
        <v>0.194213535808362</v>
      </c>
      <c r="I12702" s="7" t="n">
        <f aca="false">Sens!I12701/Sens!H12701-1</f>
        <v>0.13846127145643</v>
      </c>
      <c r="J12702" s="7" t="n">
        <f aca="false">Sens!J12701/Sens!I12701-1</f>
        <v>0.0978750285412546</v>
      </c>
      <c r="K12702" s="7" t="n">
        <f aca="false">Sens!K12701/Sens!J12701-1</f>
        <v>0.0709189247350204</v>
      </c>
    </row>
    <row r="12703" customFormat="false" ht="17.15" hidden="false" customHeight="false" outlineLevel="0" collapsed="false">
      <c r="A12703" s="26" t="s">
        <v>1057</v>
      </c>
      <c r="B12703" s="31" t="s">
        <v>98</v>
      </c>
      <c r="C12703" s="31"/>
      <c r="D12703" s="27" t="n">
        <f aca="false">(Sens!D12696+Sens!D12700-Sens!D12701)+(Sens!D12688+Sens!D12689-Sens!D12687)+(Sens!D12691+Sens!D12692-Sens!D12690)+(Sens!D12701-Q!L18)</f>
        <v>0</v>
      </c>
      <c r="E12703" s="27" t="n">
        <f aca="false">(Sens!E12696+Sens!E12700-Sens!E12701)+(Sens!E12688+Sens!E12689-Sens!E12687)+(Sens!E12691+Sens!E12692-Sens!E12690)+(Sens!E12701-Q!M18)</f>
        <v>0</v>
      </c>
      <c r="F12703" s="27" t="n">
        <f aca="false">(Sens!F12696+Sens!F12700-Sens!F12701)+(Sens!F12688+Sens!F12689-Sens!F12687)+(Sens!F12691+Sens!F12692-Sens!F12690)</f>
        <v>0</v>
      </c>
      <c r="G12703" s="27" t="n">
        <f aca="false">(Sens!G12696+Sens!G12700-Sens!G12701)+(Sens!G12688+Sens!G12689-Sens!G12687)+(Sens!G12691+Sens!G12692-Sens!G12690)</f>
        <v>0</v>
      </c>
      <c r="H12703" s="27" t="n">
        <f aca="false">(Sens!H12696+Sens!H12700-Sens!H12701)+(Sens!H12688+Sens!H12689-Sens!H12687)+(Sens!H12691+Sens!H12692-Sens!H12690)</f>
        <v>0</v>
      </c>
      <c r="I12703" s="27" t="n">
        <f aca="false">(Sens!I12696+Sens!I12700-Sens!I12701)+(Sens!I12688+Sens!I12689-Sens!I12687)+(Sens!I12691+Sens!I12692-Sens!I12690)</f>
        <v>0</v>
      </c>
      <c r="J12703" s="27" t="n">
        <f aca="false">(Sens!J12696+Sens!J12700-Sens!J12701)+(Sens!J12688+Sens!J12689-Sens!J12687)+(Sens!J12691+Sens!J12692-Sens!J12690)</f>
        <v>0</v>
      </c>
      <c r="K12703" s="27" t="n">
        <f aca="false">(Sens!K12696+Sens!K12700-Sens!K12701)+(Sens!K12688+Sens!K12689-Sens!K12687)+(Sens!K12691+Sens!K12692-Sens!K12690)</f>
        <v>0</v>
      </c>
    </row>
    <row r="12704" customFormat="false" ht="17.15" hidden="false" customHeight="false" outlineLevel="0" collapsed="false">
      <c r="A12704" s="0" t="s">
        <v>1058</v>
      </c>
      <c r="B12704" s="0" t="s">
        <v>168</v>
      </c>
      <c r="E12704" s="7" t="n">
        <f aca="false">(Q!M21+Sens!E12640+Sens!E12641+Sens!E12642+Sens!E12656-Sens!E12638)/(Q!M5-Sens!E12638)</f>
        <v>0.570957350878296</v>
      </c>
      <c r="F12704" s="7" t="n">
        <f aca="false">Sens!$E$12704+dm_seg_lo</f>
        <v>0.550957350878296</v>
      </c>
      <c r="G12704" s="7" t="n">
        <f aca="false">Sens!$E$12704+dm_seg_lo</f>
        <v>0.550957350878296</v>
      </c>
      <c r="H12704" s="7" t="n">
        <f aca="false">Sens!$E$12704+dm_seg_lo</f>
        <v>0.550957350878296</v>
      </c>
      <c r="I12704" s="7" t="n">
        <f aca="false">Sens!$E$12704+dm_seg_lo</f>
        <v>0.550957350878296</v>
      </c>
      <c r="J12704" s="7" t="n">
        <f aca="false">Sens!$E$12704+dm_seg_lo</f>
        <v>0.550957350878296</v>
      </c>
      <c r="K12704" s="7" t="n">
        <f aca="false">Sens!$E$12704+dm_seg_lo</f>
        <v>0.550957350878296</v>
      </c>
      <c r="L12704" s="12" t="s">
        <v>1059</v>
      </c>
    </row>
    <row r="12705" customFormat="false" ht="17.15" hidden="false" customHeight="false" outlineLevel="0" collapsed="false">
      <c r="A12705" s="0" t="s">
        <v>880</v>
      </c>
      <c r="B12705" s="0" t="s">
        <v>98</v>
      </c>
      <c r="D12705" s="6" t="n">
        <f aca="false">Q!L21</f>
        <v>110.814</v>
      </c>
      <c r="E12705" s="6" t="n">
        <f aca="false">Q!M21</f>
        <v>136.365</v>
      </c>
      <c r="F12705" s="6" t="n">
        <f aca="false">Q!$I$21+(Sens!F12704*(Sens!F12675-Sens!F12638)+Sens!F12638-(Sens!F12640+Sens!F12641+Sens!F12642)-Sens!F12656-Sens!F12739)*(Sens!F12675-Q!$I$5)/Sens!F12675</f>
        <v>161.193457654677</v>
      </c>
      <c r="G12705" s="6" t="n">
        <f aca="false">(Sens!G12704*(Sens!G12675-Sens!G12638)+Sens!G12638-(Sens!G12640+Sens!G12641+Sens!G12642)-Sens!G12656-Sens!G12739)</f>
        <v>185.080962607788</v>
      </c>
      <c r="H12705" s="6" t="n">
        <f aca="false">(Sens!H12704*(Sens!H12675-Sens!H12638)+Sens!H12638-(Sens!H12640+Sens!H12641+Sens!H12642)-Sens!H12656-Sens!H12739)</f>
        <v>218.481201716731</v>
      </c>
      <c r="I12705" s="6" t="n">
        <f aca="false">(Sens!I12704*(Sens!I12675-Sens!I12638)+Sens!I12638-(Sens!I12640+Sens!I12641+Sens!I12642)-Sens!I12656-Sens!I12739)</f>
        <v>243.554378241408</v>
      </c>
      <c r="J12705" s="6" t="n">
        <f aca="false">(Sens!J12704*(Sens!J12675-Sens!J12638)+Sens!J12638-(Sens!J12640+Sens!J12641+Sens!J12642)-Sens!J12656-Sens!J12739)</f>
        <v>265.102711466052</v>
      </c>
      <c r="K12705" s="6" t="n">
        <f aca="false">(Sens!K12704*(Sens!K12675-Sens!K12638)+Sens!K12638-(Sens!K12640+Sens!K12641+Sens!K12642)-Sens!K12656-Sens!K12739)</f>
        <v>284.45001354916</v>
      </c>
      <c r="L12705" s="1" t="s">
        <v>1060</v>
      </c>
    </row>
    <row r="12706" customFormat="false" ht="17.15" hidden="false" customHeight="false" outlineLevel="0" collapsed="false">
      <c r="A12706" s="0" t="s">
        <v>1061</v>
      </c>
      <c r="B12706" s="0" t="s">
        <v>168</v>
      </c>
      <c r="E12706" s="7" t="n">
        <f aca="false">Q!M22/Q!M12</f>
        <v>0.296207935710698</v>
      </c>
      <c r="F12706" s="7" t="n">
        <f aca="false">Sens!$E$12706+dm_seg_lo</f>
        <v>0.276207935710698</v>
      </c>
      <c r="G12706" s="7" t="n">
        <f aca="false">Sens!$E$12706+dm_seg_lo</f>
        <v>0.276207935710698</v>
      </c>
      <c r="H12706" s="7" t="n">
        <f aca="false">Sens!$E$12706+dm_seg_lo</f>
        <v>0.276207935710698</v>
      </c>
      <c r="I12706" s="7" t="n">
        <f aca="false">Sens!$E$12706+dm_seg_lo</f>
        <v>0.276207935710698</v>
      </c>
      <c r="J12706" s="7" t="n">
        <f aca="false">Sens!$E$12706+dm_seg_lo</f>
        <v>0.276207935710698</v>
      </c>
      <c r="K12706" s="7" t="n">
        <f aca="false">Sens!$E$12706+dm_seg_lo</f>
        <v>0.276207935710698</v>
      </c>
      <c r="L12706" s="12" t="s">
        <v>1062</v>
      </c>
    </row>
    <row r="12707" customFormat="false" ht="17.15" hidden="false" customHeight="false" outlineLevel="0" collapsed="false">
      <c r="A12707" s="0" t="s">
        <v>882</v>
      </c>
      <c r="B12707" s="0" t="s">
        <v>98</v>
      </c>
      <c r="D12707" s="6" t="n">
        <f aca="false">Q!L22</f>
        <v>17.714</v>
      </c>
      <c r="E12707" s="6" t="n">
        <f aca="false">Q!M22</f>
        <v>18.872</v>
      </c>
      <c r="F12707" s="6" t="n">
        <f aca="false">Q!$I$22+(Sens!F12682-Q!$I$12)*Sens!F12706</f>
        <v>18.8410612513001</v>
      </c>
      <c r="G12707" s="6" t="n">
        <f aca="false">Sens!G12682*Sens!G12706</f>
        <v>18.3058665317709</v>
      </c>
      <c r="H12707" s="6" t="n">
        <f aca="false">Sens!H12682*Sens!H12706</f>
        <v>18.9793448100428</v>
      </c>
      <c r="I12707" s="6" t="n">
        <f aca="false">Sens!I12682*Sens!I12706</f>
        <v>19.7611971375859</v>
      </c>
      <c r="J12707" s="6" t="n">
        <f aca="false">Sens!J12682*Sens!J12706</f>
        <v>20.6346759206851</v>
      </c>
      <c r="K12707" s="6" t="n">
        <f aca="false">Sens!K12682*Sens!K12706</f>
        <v>21.5863170991412</v>
      </c>
      <c r="L12707" s="12" t="s">
        <v>1063</v>
      </c>
    </row>
    <row r="12708" customFormat="false" ht="15" hidden="false" customHeight="false" outlineLevel="0" collapsed="false">
      <c r="A12708" s="1" t="s">
        <v>1064</v>
      </c>
      <c r="B12708" s="0" t="s">
        <v>98</v>
      </c>
      <c r="D12708" s="6" t="n">
        <f aca="false">Sens!D12705+Sens!D12707</f>
        <v>128.528</v>
      </c>
      <c r="E12708" s="6" t="n">
        <f aca="false">Sens!E12705+Sens!E12707</f>
        <v>155.237</v>
      </c>
      <c r="F12708" s="6" t="n">
        <f aca="false">Sens!F12705+Sens!F12707</f>
        <v>180.034518905977</v>
      </c>
      <c r="G12708" s="6" t="n">
        <f aca="false">Sens!G12705+Sens!G12707</f>
        <v>203.386829139559</v>
      </c>
      <c r="H12708" s="6" t="n">
        <f aca="false">Sens!H12705+Sens!H12707</f>
        <v>237.460546526774</v>
      </c>
      <c r="I12708" s="6" t="n">
        <f aca="false">Sens!I12705+Sens!I12707</f>
        <v>263.315575378993</v>
      </c>
      <c r="J12708" s="6" t="n">
        <f aca="false">Sens!J12705+Sens!J12707</f>
        <v>285.737387386737</v>
      </c>
      <c r="K12708" s="6" t="n">
        <f aca="false">Sens!K12705+Sens!K12707</f>
        <v>306.036330648301</v>
      </c>
    </row>
    <row r="12709" customFormat="false" ht="15" hidden="false" customHeight="false" outlineLevel="0" collapsed="false">
      <c r="A12709" s="26" t="s">
        <v>1065</v>
      </c>
      <c r="B12709" s="31" t="s">
        <v>98</v>
      </c>
      <c r="C12709" s="31"/>
      <c r="D12709" s="27" t="n">
        <f aca="false">Sens!D12708-Q!L23</f>
        <v>0</v>
      </c>
      <c r="E12709" s="27" t="n">
        <f aca="false">Sens!E12708-Q!M23</f>
        <v>0</v>
      </c>
      <c r="F12709" s="31"/>
      <c r="G12709" s="31"/>
      <c r="H12709" s="31"/>
      <c r="I12709" s="31"/>
      <c r="J12709" s="31"/>
      <c r="K12709" s="31"/>
    </row>
    <row r="12710" customFormat="false" ht="15" hidden="false" customHeight="false" outlineLevel="0" collapsed="false">
      <c r="A12710" s="1" t="s">
        <v>1066</v>
      </c>
      <c r="B12710" s="0" t="s">
        <v>168</v>
      </c>
      <c r="D12710" s="7" t="n">
        <f aca="false">Sens!D12708/Sens!D12701</f>
        <v>0.456219562408598</v>
      </c>
      <c r="E12710" s="7" t="n">
        <f aca="false">Sens!E12708/Sens!E12701</f>
        <v>0.467808184089272</v>
      </c>
      <c r="F12710" s="7" t="n">
        <f aca="false">Sens!F12708/Sens!F12701</f>
        <v>0.446650182915628</v>
      </c>
      <c r="G12710" s="7" t="n">
        <f aca="false">Sens!G12708/Sens!G12701</f>
        <v>0.413569657837999</v>
      </c>
      <c r="H12710" s="7" t="n">
        <f aca="false">Sens!H12708/Sens!H12701</f>
        <v>0.40432939561998</v>
      </c>
      <c r="I12710" s="7" t="n">
        <f aca="false">Sens!I12708/Sens!I12701</f>
        <v>0.39382396579368</v>
      </c>
      <c r="J12710" s="7" t="n">
        <f aca="false">Sens!J12708/Sens!J12701</f>
        <v>0.389259978936714</v>
      </c>
      <c r="K12710" s="7" t="n">
        <f aca="false">Sens!K12708/Sens!K12701</f>
        <v>0.389304190236056</v>
      </c>
    </row>
    <row r="12711" customFormat="false" ht="17.15" hidden="false" customHeight="false" outlineLevel="0" collapsed="false">
      <c r="A12711" s="1" t="s">
        <v>1067</v>
      </c>
      <c r="B12711" s="0" t="s">
        <v>98</v>
      </c>
      <c r="F12711" s="6" t="n">
        <f aca="false">Sens!F12726</f>
        <v>9.04840674531245</v>
      </c>
      <c r="G12711" s="6" t="n">
        <f aca="false">Sens!G12726</f>
        <v>23.0510305170273</v>
      </c>
      <c r="H12711" s="6" t="n">
        <f aca="false">Sens!H12726</f>
        <v>38.5268452382075</v>
      </c>
      <c r="I12711" s="6" t="n">
        <f aca="false">Sens!I12726</f>
        <v>52.7981094705177</v>
      </c>
      <c r="J12711" s="6" t="n">
        <f aca="false">Sens!J12726</f>
        <v>62.8095818934393</v>
      </c>
      <c r="K12711" s="6" t="n">
        <f aca="false">Sens!K12726</f>
        <v>67.9201312706266</v>
      </c>
      <c r="L12711" s="1" t="s">
        <v>1068</v>
      </c>
    </row>
    <row r="12712" customFormat="false" ht="17.15" hidden="false" customHeight="false" outlineLevel="0" collapsed="false">
      <c r="A12712" s="1" t="s">
        <v>1069</v>
      </c>
      <c r="B12712" s="0" t="s">
        <v>98</v>
      </c>
      <c r="D12712" s="6" t="n">
        <f aca="false">Sens!D12708</f>
        <v>128.528</v>
      </c>
      <c r="E12712" s="6" t="n">
        <f aca="false">Sens!E12708</f>
        <v>155.237</v>
      </c>
      <c r="F12712" s="6" t="n">
        <f aca="false">Sens!F12708+Sens!F12711</f>
        <v>189.08292565129</v>
      </c>
      <c r="G12712" s="6" t="n">
        <f aca="false">Sens!G12708+Sens!G12711</f>
        <v>226.437859656587</v>
      </c>
      <c r="H12712" s="6" t="n">
        <f aca="false">Sens!H12708+Sens!H12711</f>
        <v>275.987391764982</v>
      </c>
      <c r="I12712" s="6" t="n">
        <f aca="false">Sens!I12708+Sens!I12711</f>
        <v>316.113684849511</v>
      </c>
      <c r="J12712" s="6" t="n">
        <f aca="false">Sens!J12708+Sens!J12711</f>
        <v>348.546969280176</v>
      </c>
      <c r="K12712" s="6" t="n">
        <f aca="false">Sens!K12708+Sens!K12711</f>
        <v>373.956461918928</v>
      </c>
    </row>
    <row r="12713" customFormat="false" ht="17.15" hidden="false" customHeight="false" outlineLevel="0" collapsed="false">
      <c r="A12713" s="1" t="s">
        <v>1070</v>
      </c>
      <c r="B12713" s="0" t="s">
        <v>98</v>
      </c>
      <c r="E12713" s="6" t="n">
        <f aca="false">Sens!E12656</f>
        <v>16.3054059770833</v>
      </c>
      <c r="F12713" s="6" t="n">
        <f aca="false">Sens!F12656</f>
        <v>34.5793144783516</v>
      </c>
      <c r="G12713" s="6" t="n">
        <f aca="false">Sens!G12656</f>
        <v>60.7344906522989</v>
      </c>
      <c r="H12713" s="6" t="n">
        <f aca="false">Sens!H12656</f>
        <v>89.1000906614457</v>
      </c>
      <c r="I12713" s="6" t="n">
        <f aca="false">Sens!I12656</f>
        <v>114.231009694548</v>
      </c>
      <c r="J12713" s="6" t="n">
        <f aca="false">Sens!J12656</f>
        <v>132.015673049596</v>
      </c>
      <c r="K12713" s="6" t="n">
        <f aca="false">Sens!K12656</f>
        <v>143.012669550934</v>
      </c>
    </row>
    <row r="12714" customFormat="false" ht="17.15" hidden="false" customHeight="false" outlineLevel="0" collapsed="false">
      <c r="A12714" s="1" t="s">
        <v>1071</v>
      </c>
      <c r="B12714" s="0" t="s">
        <v>98</v>
      </c>
      <c r="E12714" s="6" t="n">
        <f aca="false">Sens!E12738</f>
        <v>22.2285940229167</v>
      </c>
      <c r="F12714" s="6" t="n">
        <f aca="false">Sens!F12738</f>
        <v>23.580344216413</v>
      </c>
      <c r="G12714" s="6" t="n">
        <f aca="false">Sens!G12738</f>
        <v>25.3801415764809</v>
      </c>
      <c r="H12714" s="6" t="n">
        <f aca="false">Sens!H12738</f>
        <v>27.5964639802758</v>
      </c>
      <c r="I12714" s="6" t="n">
        <f aca="false">Sens!I12738</f>
        <v>30.152940612192</v>
      </c>
      <c r="J12714" s="6" t="n">
        <f aca="false">Sens!J12738</f>
        <v>32.9575022150393</v>
      </c>
      <c r="K12714" s="6" t="n">
        <f aca="false">Sens!K12738</f>
        <v>35.9256779798081</v>
      </c>
    </row>
    <row r="12715" customFormat="false" ht="17.15" hidden="false" customHeight="false" outlineLevel="0" collapsed="false">
      <c r="A12715" s="1" t="s">
        <v>1072</v>
      </c>
      <c r="B12715" s="0" t="s">
        <v>98</v>
      </c>
      <c r="D12715" s="6" t="n">
        <f aca="false">Q!L27</f>
        <v>-4.901</v>
      </c>
      <c r="E12715" s="6" t="n">
        <f aca="false">Q!M27</f>
        <v>10.697</v>
      </c>
      <c r="F12715" s="6" t="n">
        <f aca="false">Q!$I$27+oie_f*(q_per_yr-1)/q_per_yr</f>
        <v>-0.862</v>
      </c>
      <c r="G12715" s="6" t="n">
        <f aca="false">oie_f</f>
        <v>-1.2</v>
      </c>
      <c r="H12715" s="6" t="n">
        <f aca="false">oie_f</f>
        <v>-1.2</v>
      </c>
      <c r="I12715" s="6" t="n">
        <f aca="false">oie_f</f>
        <v>-1.2</v>
      </c>
      <c r="J12715" s="6" t="n">
        <f aca="false">oie_f</f>
        <v>-1.2</v>
      </c>
      <c r="K12715" s="6" t="n">
        <f aca="false">oie_f</f>
        <v>-1.2</v>
      </c>
      <c r="L12715" s="12" t="s">
        <v>1073</v>
      </c>
    </row>
    <row r="12716" customFormat="false" ht="15" hidden="false" customHeight="false" outlineLevel="0" collapsed="false">
      <c r="A12716" s="1" t="s">
        <v>1074</v>
      </c>
      <c r="B12716" s="0" t="s">
        <v>98</v>
      </c>
      <c r="D12716" s="6" t="n">
        <f aca="false">Sens!D12708+Sens!D12715</f>
        <v>123.627</v>
      </c>
      <c r="E12716" s="6" t="n">
        <f aca="false">Sens!E12708+Sens!E12715</f>
        <v>165.934</v>
      </c>
      <c r="F12716" s="6" t="n">
        <f aca="false">Sens!F12708+Sens!F12715</f>
        <v>179.172518905977</v>
      </c>
      <c r="G12716" s="6" t="n">
        <f aca="false">Sens!G12708+Sens!G12715</f>
        <v>202.186829139559</v>
      </c>
      <c r="H12716" s="6" t="n">
        <f aca="false">Sens!H12708+Sens!H12715</f>
        <v>236.260546526774</v>
      </c>
      <c r="I12716" s="6" t="n">
        <f aca="false">Sens!I12708+Sens!I12715</f>
        <v>262.115575378993</v>
      </c>
      <c r="J12716" s="6" t="n">
        <f aca="false">Sens!J12708+Sens!J12715</f>
        <v>284.537387386737</v>
      </c>
      <c r="K12716" s="6" t="n">
        <f aca="false">Sens!K12708+Sens!K12715</f>
        <v>304.836330648301</v>
      </c>
    </row>
    <row r="12717" customFormat="false" ht="15" hidden="false" customHeight="false" outlineLevel="0" collapsed="false">
      <c r="A12717" s="1" t="s">
        <v>1075</v>
      </c>
      <c r="B12717" s="0" t="s">
        <v>98</v>
      </c>
      <c r="D12717" s="6" t="n">
        <f aca="false">Q!L29</f>
        <v>21.795</v>
      </c>
      <c r="E12717" s="6" t="n">
        <f aca="false">Q!M29</f>
        <v>32.185</v>
      </c>
      <c r="F12717" s="6" t="n">
        <f aca="false">Q!$I$29+(Sens!F12716-Q!$I$28)*tax_f</f>
        <v>35.9679037811955</v>
      </c>
      <c r="G12717" s="6" t="n">
        <f aca="false">Sens!G12716*tax_f</f>
        <v>40.4373658279119</v>
      </c>
      <c r="H12717" s="6" t="n">
        <f aca="false">Sens!H12716*tax_f</f>
        <v>47.2521093053548</v>
      </c>
      <c r="I12717" s="6" t="n">
        <f aca="false">Sens!I12716*tax_f</f>
        <v>52.4231150757987</v>
      </c>
      <c r="J12717" s="6" t="n">
        <f aca="false">Sens!J12716*tax_f</f>
        <v>56.9074774773473</v>
      </c>
      <c r="K12717" s="6" t="n">
        <f aca="false">Sens!K12716*tax_f</f>
        <v>60.9672661296602</v>
      </c>
    </row>
    <row r="12718" customFormat="false" ht="15" hidden="false" customHeight="false" outlineLevel="0" collapsed="false">
      <c r="A12718" s="1" t="s">
        <v>1076</v>
      </c>
      <c r="B12718" s="0" t="s">
        <v>98</v>
      </c>
      <c r="D12718" s="6" t="n">
        <f aca="false">Sens!D12716-Sens!D12717</f>
        <v>101.832</v>
      </c>
      <c r="E12718" s="6" t="n">
        <f aca="false">Sens!E12716-Sens!E12717</f>
        <v>133.749</v>
      </c>
      <c r="F12718" s="6" t="n">
        <f aca="false">Sens!F12716-Sens!F12717</f>
        <v>143.204615124782</v>
      </c>
      <c r="G12718" s="6" t="n">
        <f aca="false">Sens!G12716-Sens!G12717</f>
        <v>161.749463311647</v>
      </c>
      <c r="H12718" s="6" t="n">
        <f aca="false">Sens!H12716-Sens!H12717</f>
        <v>189.008437221419</v>
      </c>
      <c r="I12718" s="6" t="n">
        <f aca="false">Sens!I12716-Sens!I12717</f>
        <v>209.692460303195</v>
      </c>
      <c r="J12718" s="6" t="n">
        <f aca="false">Sens!J12716-Sens!J12717</f>
        <v>227.629909909389</v>
      </c>
      <c r="K12718" s="6" t="n">
        <f aca="false">Sens!K12716-Sens!K12717</f>
        <v>243.869064518641</v>
      </c>
    </row>
    <row r="12719" customFormat="false" ht="17.15" hidden="false" customHeight="false" outlineLevel="0" collapsed="false">
      <c r="A12719" s="1" t="s">
        <v>1077</v>
      </c>
      <c r="B12719" s="1" t="s">
        <v>81</v>
      </c>
      <c r="D12719" s="15" t="n">
        <f aca="false">Q!L31</f>
        <v>7.465</v>
      </c>
      <c r="E12719" s="15" t="n">
        <f aca="false">Q!M31</f>
        <v>7.453</v>
      </c>
      <c r="F12719" s="15" t="n">
        <f aca="false">Sens!F12763</f>
        <v>7.4735</v>
      </c>
      <c r="G12719" s="15" t="n">
        <f aca="false">Sens!G12763</f>
        <v>7.5185</v>
      </c>
      <c r="H12719" s="15" t="n">
        <f aca="false">Sens!H12763</f>
        <v>7.5461999390288</v>
      </c>
      <c r="I12719" s="15" t="n">
        <f aca="false">Sens!I12763</f>
        <v>7.55788130308427</v>
      </c>
      <c r="J12719" s="15" t="n">
        <f aca="false">Sens!J12763</f>
        <v>7.57203071424674</v>
      </c>
      <c r="K12719" s="15" t="n">
        <f aca="false">Sens!K12763</f>
        <v>7.58846535421199</v>
      </c>
    </row>
    <row r="12720" customFormat="false" ht="17.15" hidden="false" customHeight="false" outlineLevel="0" collapsed="false">
      <c r="A12720" s="0" t="s">
        <v>1078</v>
      </c>
      <c r="B12720" s="0" t="s">
        <v>75</v>
      </c>
      <c r="D12720" s="8" t="n">
        <f aca="false">Sens!D12718/Sens!D12719</f>
        <v>13.641259209645</v>
      </c>
      <c r="E12720" s="8" t="n">
        <f aca="false">Sens!E12718/Sens!E12719</f>
        <v>17.9456594659869</v>
      </c>
      <c r="F12720" s="8" t="n">
        <f aca="false">Sens!F12718/Sens!F12719</f>
        <v>19.1616531912466</v>
      </c>
      <c r="G12720" s="8" t="n">
        <f aca="false">Sens!G12718/Sens!G12719</f>
        <v>21.5135284048211</v>
      </c>
      <c r="H12720" s="8" t="n">
        <f aca="false">Sens!H12718/Sens!H12719</f>
        <v>25.0468366526934</v>
      </c>
      <c r="I12720" s="8" t="n">
        <f aca="false">Sens!I12718/Sens!I12719</f>
        <v>27.7448734498678</v>
      </c>
      <c r="J12720" s="8" t="n">
        <f aca="false">Sens!J12718/Sens!J12719</f>
        <v>30.0619369492393</v>
      </c>
      <c r="K12720" s="8" t="n">
        <f aca="false">Sens!K12718/Sens!K12719</f>
        <v>32.1368093725671</v>
      </c>
      <c r="L12720" s="1" t="s">
        <v>1079</v>
      </c>
    </row>
    <row r="12721" customFormat="false" ht="17.15" hidden="false" customHeight="false" outlineLevel="0" collapsed="false">
      <c r="A12721" s="1" t="s">
        <v>1080</v>
      </c>
      <c r="B12721" s="0" t="s">
        <v>98</v>
      </c>
      <c r="D12721" s="6" t="n">
        <f aca="false">Sens!D12718</f>
        <v>101.832</v>
      </c>
      <c r="E12721" s="6" t="n">
        <f aca="false">Sens!E12718</f>
        <v>133.749</v>
      </c>
      <c r="F12721" s="6" t="n">
        <f aca="false">Sens!F12718+Sens!F12711*(1-tax_f)</f>
        <v>150.443340521032</v>
      </c>
      <c r="G12721" s="6" t="n">
        <f aca="false">Sens!G12718+Sens!G12711*(1-tax_f)</f>
        <v>180.190287725269</v>
      </c>
      <c r="H12721" s="6" t="n">
        <f aca="false">Sens!H12718+Sens!H12711*(1-tax_f)</f>
        <v>219.829913411985</v>
      </c>
      <c r="I12721" s="6" t="n">
        <f aca="false">Sens!I12718+Sens!I12711*(1-tax_f)</f>
        <v>251.930947879609</v>
      </c>
      <c r="J12721" s="6" t="n">
        <f aca="false">Sens!J12718+Sens!J12711*(1-tax_f)</f>
        <v>277.877575424141</v>
      </c>
      <c r="K12721" s="6" t="n">
        <f aca="false">Sens!K12718+Sens!K12711*(1-tax_f)</f>
        <v>298.205169535142</v>
      </c>
    </row>
    <row r="12722" customFormat="false" ht="17.15" hidden="false" customHeight="false" outlineLevel="0" collapsed="false">
      <c r="A12722" s="0" t="s">
        <v>1081</v>
      </c>
      <c r="B12722" s="0" t="s">
        <v>75</v>
      </c>
      <c r="D12722" s="8" t="n">
        <f aca="false">Sens!D12721/Sens!D12719</f>
        <v>13.641259209645</v>
      </c>
      <c r="E12722" s="8" t="n">
        <f aca="false">Sens!E12721/Sens!E12719</f>
        <v>17.9456594659869</v>
      </c>
      <c r="F12722" s="8" t="n">
        <f aca="false">Sens!F12721/Sens!F12719</f>
        <v>20.1302389136324</v>
      </c>
      <c r="G12722" s="8" t="n">
        <f aca="false">Sens!G12721/Sens!G12719</f>
        <v>23.9662549345307</v>
      </c>
      <c r="H12722" s="8" t="n">
        <f aca="false">Sens!H12721/Sens!H12719</f>
        <v>29.1312071225451</v>
      </c>
      <c r="I12722" s="8" t="n">
        <f aca="false">Sens!I12721/Sens!I12719</f>
        <v>33.3335412103918</v>
      </c>
      <c r="J12722" s="8" t="n">
        <f aca="false">Sens!J12721/Sens!J12719</f>
        <v>36.6978933275212</v>
      </c>
      <c r="K12722" s="8" t="n">
        <f aca="false">Sens!K12721/Sens!K12719</f>
        <v>39.2971642638683</v>
      </c>
      <c r="L12722" s="1" t="s">
        <v>1082</v>
      </c>
    </row>
    <row r="12723" customFormat="false" ht="17.15" hidden="false" customHeight="false" outlineLevel="0" collapsed="false">
      <c r="A12723" s="0" t="s">
        <v>1083</v>
      </c>
      <c r="B12723" s="0" t="s">
        <v>168</v>
      </c>
      <c r="E12723" s="7" t="n">
        <f aca="false">Sens!E12722/Sens!D12722-1</f>
        <v>0.315542736208578</v>
      </c>
      <c r="F12723" s="7" t="n">
        <f aca="false">Sens!F12722/Sens!E12722-1</f>
        <v>0.12173302696321</v>
      </c>
      <c r="G12723" s="7" t="n">
        <f aca="false">Sens!G12722/Sens!F12722-1</f>
        <v>0.190559885421953</v>
      </c>
      <c r="H12723" s="7" t="n">
        <f aca="false">Sens!H12722/Sens!G12722-1</f>
        <v>0.215509356890496</v>
      </c>
      <c r="I12723" s="7" t="n">
        <f aca="false">Sens!I12722/Sens!H12722-1</f>
        <v>0.144255405214375</v>
      </c>
      <c r="J12723" s="7" t="n">
        <f aca="false">Sens!J12722/Sens!I12722-1</f>
        <v>0.100929934083348</v>
      </c>
      <c r="K12723" s="7" t="n">
        <f aca="false">Sens!K12722/Sens!J12722-1</f>
        <v>0.0708288869104601</v>
      </c>
    </row>
    <row r="12724" customFormat="false" ht="17.15" hidden="false" customHeight="false" outlineLevel="0" collapsed="false">
      <c r="A12724" s="0" t="s">
        <v>1003</v>
      </c>
      <c r="B12724" s="0" t="s">
        <v>98</v>
      </c>
      <c r="E12724" s="6" t="n">
        <f aca="false">Sens!E12665</f>
        <v>5.25</v>
      </c>
      <c r="F12724" s="6" t="n">
        <f aca="false">Sens!F12665</f>
        <v>13.5</v>
      </c>
      <c r="G12724" s="6" t="n">
        <f aca="false">Sens!G12665</f>
        <v>22.5</v>
      </c>
      <c r="H12724" s="6" t="n">
        <f aca="false">Sens!H12665</f>
        <v>31.5</v>
      </c>
      <c r="I12724" s="6" t="n">
        <f aca="false">Sens!I12665</f>
        <v>38.25</v>
      </c>
      <c r="J12724" s="6" t="n">
        <f aca="false">Sens!J12665</f>
        <v>42.75</v>
      </c>
      <c r="K12724" s="6" t="n">
        <f aca="false">Sens!K12665</f>
        <v>47.25</v>
      </c>
    </row>
    <row r="12725" customFormat="false" ht="17.15" hidden="false" customHeight="false" outlineLevel="0" collapsed="false">
      <c r="A12725" s="1" t="s">
        <v>1004</v>
      </c>
      <c r="B12725" s="0" t="s">
        <v>98</v>
      </c>
      <c r="F12725" s="6" t="n">
        <f aca="false">MAX(0,((Sens!E12625+Sens!F12625)/2-(shadow_base*(Sens!$D$12625+Sens!$E$12625)/2+(1-shadow_base)*Sens!$E$12625))*Sens!F12634/1000-(Sens!F12724-Sens!$E$12724)*Sens!F12704)</f>
        <v>9.04840674531245</v>
      </c>
      <c r="G12725" s="6" t="n">
        <f aca="false">MAX(0,((Sens!F12625+Sens!G12625)/2-(shadow_base*(Sens!$D$12625+Sens!$E$12625)/2+(1-shadow_base)*Sens!$E$12625))*Sens!G12634/1000-(Sens!G12724-Sens!$E$12724)*Sens!G12704)</f>
        <v>23.0510305170273</v>
      </c>
      <c r="H12725" s="6" t="n">
        <f aca="false">MAX(0,((Sens!G12625+Sens!H12625)/2-(shadow_base*(Sens!$D$12625+Sens!$E$12625)/2+(1-shadow_base)*Sens!$E$12625))*Sens!H12634/1000-(Sens!H12724-Sens!$E$12724)*Sens!H12704)</f>
        <v>38.5268452382075</v>
      </c>
      <c r="I12725" s="6" t="n">
        <f aca="false">MAX(0,((Sens!H12625+Sens!I12625)/2-(shadow_base*(Sens!$D$12625+Sens!$E$12625)/2+(1-shadow_base)*Sens!$E$12625))*Sens!I12634/1000-(Sens!I12724-Sens!$E$12724)*Sens!I12704)</f>
        <v>52.7981094705177</v>
      </c>
      <c r="J12725" s="6" t="n">
        <f aca="false">MAX(0,((Sens!I12625+Sens!J12625)/2-(shadow_base*(Sens!$D$12625+Sens!$E$12625)/2+(1-shadow_base)*Sens!$E$12625))*Sens!J12634/1000-(Sens!J12724-Sens!$E$12724)*Sens!J12704)</f>
        <v>62.8095818934393</v>
      </c>
      <c r="K12725" s="6" t="n">
        <f aca="false">MAX(0,((Sens!J12625+Sens!K12625)/2-(shadow_base*(Sens!$D$12625+Sens!$E$12625)/2+(1-shadow_base)*Sens!$E$12625))*Sens!K12634/1000-(Sens!K12724-Sens!$E$12724)*Sens!K12704)</f>
        <v>67.9201312706266</v>
      </c>
      <c r="L12725" s="1" t="s">
        <v>1005</v>
      </c>
    </row>
    <row r="12726" customFormat="false" ht="17.15" hidden="false" customHeight="false" outlineLevel="0" collapsed="false">
      <c r="A12726" s="1" t="s">
        <v>1006</v>
      </c>
      <c r="B12726" s="0" t="s">
        <v>98</v>
      </c>
      <c r="F12726" s="6" t="n">
        <f aca="false">IF(internal_ai_reading=2,1,0)*Sens!F12725</f>
        <v>9.04840674531245</v>
      </c>
      <c r="G12726" s="6" t="n">
        <f aca="false">IF(internal_ai_reading=2,1,0)*Sens!G12725</f>
        <v>23.0510305170273</v>
      </c>
      <c r="H12726" s="6" t="n">
        <f aca="false">IF(internal_ai_reading=2,1,0)*Sens!H12725</f>
        <v>38.5268452382075</v>
      </c>
      <c r="I12726" s="6" t="n">
        <f aca="false">IF(internal_ai_reading=2,1,0)*Sens!I12725</f>
        <v>52.7981094705177</v>
      </c>
      <c r="J12726" s="6" t="n">
        <f aca="false">IF(internal_ai_reading=2,1,0)*Sens!J12725</f>
        <v>62.8095818934393</v>
      </c>
      <c r="K12726" s="6" t="n">
        <f aca="false">IF(internal_ai_reading=2,1,0)*Sens!K12725</f>
        <v>67.9201312706266</v>
      </c>
    </row>
    <row r="12727" customFormat="false" ht="17.15" hidden="false" customHeight="false" outlineLevel="0" collapsed="false">
      <c r="A12727" s="0" t="s">
        <v>1007</v>
      </c>
      <c r="B12727" s="0" t="s">
        <v>98</v>
      </c>
      <c r="F12727" s="6" t="n">
        <f aca="false">Sens!F12644+Sens!F12724*Sens!F12704+Sens!F12726-Sens!F12645-Sens!F12656</f>
        <v>18.4018678152817</v>
      </c>
      <c r="G12727" s="6" t="n">
        <f aca="false">Sens!G12644+Sens!G12724*Sens!G12704+Sens!G12726-Sens!G12645-Sens!G12656</f>
        <v>43.0933864982792</v>
      </c>
      <c r="H12727" s="6" t="n">
        <f aca="false">Sens!H12644+Sens!H12724*Sens!H12704+Sens!H12726-Sens!H12645-Sens!H12656</f>
        <v>73.397598356074</v>
      </c>
      <c r="I12727" s="6" t="n">
        <f aca="false">Sens!I12644+Sens!I12724*Sens!I12704+Sens!I12726-Sens!I12645-Sens!I12656</f>
        <v>94.6404135378504</v>
      </c>
      <c r="J12727" s="6" t="n">
        <f aca="false">Sens!J12644+Sens!J12724*Sens!J12704+Sens!J12726-Sens!J12645-Sens!J12656</f>
        <v>109.294608126358</v>
      </c>
      <c r="K12727" s="6" t="n">
        <f aca="false">Sens!K12644+Sens!K12724*Sens!K12704+Sens!K12726-Sens!K12645-Sens!K12656</f>
        <v>118.793703181943</v>
      </c>
    </row>
    <row r="12728" customFormat="false" ht="17.15" hidden="false" customHeight="false" outlineLevel="0" collapsed="false">
      <c r="A12728" s="0" t="s">
        <v>1008</v>
      </c>
      <c r="B12728" s="0" t="s">
        <v>98</v>
      </c>
      <c r="E12728" s="6" t="n">
        <f aca="false">Sens!E12624*(cxit_open+self_build*tk_cxfac)/1000*ai_net_open</f>
        <v>126.6980382</v>
      </c>
      <c r="F12728" s="6" t="n">
        <f aca="false">Sens!E12728+Sens!F12653-Sens!F12656</f>
        <v>260.572627763768</v>
      </c>
      <c r="G12728" s="6" t="n">
        <f aca="false">Sens!F12728+Sens!G12653-Sens!G12656</f>
        <v>391.782612760517</v>
      </c>
      <c r="H12728" s="6" t="n">
        <f aca="false">Sens!G12728+Sens!H12653-Sens!H12656</f>
        <v>499.488526163584</v>
      </c>
      <c r="I12728" s="6" t="n">
        <f aca="false">Sens!H12728+Sens!I12653-Sens!I12656</f>
        <v>553.872350090646</v>
      </c>
      <c r="J12728" s="6" t="n">
        <f aca="false">Sens!I12728+Sens!J12653-Sens!J12656</f>
        <v>550.78660823699</v>
      </c>
      <c r="K12728" s="6" t="n">
        <f aca="false">Sens!J12728+Sens!K12653-Sens!K12656</f>
        <v>526.736791750789</v>
      </c>
      <c r="L12728" s="1" t="s">
        <v>1009</v>
      </c>
    </row>
    <row r="12729" customFormat="false" ht="17.15" hidden="false" customHeight="false" outlineLevel="0" collapsed="false">
      <c r="A12729" s="0" t="s">
        <v>1010</v>
      </c>
      <c r="B12729" s="0" t="s">
        <v>168</v>
      </c>
      <c r="F12729" s="7" t="n">
        <f aca="false">Sens!F12727*(1-tax_f)/((Sens!E12728+Sens!F12728)/2)</f>
        <v>0.0760269008012224</v>
      </c>
      <c r="G12729" s="7" t="n">
        <f aca="false">Sens!G12727*(1-tax_f)/((Sens!F12728+Sens!G12728)/2)</f>
        <v>0.105693055124128</v>
      </c>
      <c r="H12729" s="7" t="n">
        <f aca="false">Sens!H12727*(1-tax_f)/((Sens!G12728+Sens!H12728)/2)</f>
        <v>0.131762549286047</v>
      </c>
      <c r="I12729" s="7" t="n">
        <f aca="false">Sens!I12727*(1-tax_f)/((Sens!H12728+Sens!I12728)/2)</f>
        <v>0.143753831259643</v>
      </c>
      <c r="J12729" s="7" t="n">
        <f aca="false">Sens!J12727*(1-tax_f)/((Sens!I12728+Sens!J12728)/2)</f>
        <v>0.158303494199616</v>
      </c>
      <c r="K12729" s="7" t="n">
        <f aca="false">Sens!K12727*(1-tax_f)/((Sens!J12728+Sens!K12728)/2)</f>
        <v>0.176395171643849</v>
      </c>
    </row>
    <row r="12730" customFormat="false" ht="17.15" hidden="false" customHeight="false" outlineLevel="0" collapsed="false">
      <c r="A12730" s="1" t="s">
        <v>1011</v>
      </c>
      <c r="B12730" s="0" t="s">
        <v>168</v>
      </c>
      <c r="F12730" s="7" t="n">
        <f aca="false">(Sens!F12727-Sens!F12726)*(1-tax_f)/((Sens!E12728+Sens!F12728)/2)</f>
        <v>0.0386436129230375</v>
      </c>
      <c r="G12730" s="7" t="n">
        <f aca="false">(Sens!G12727-Sens!G12726)*(1-tax_f)/((Sens!F12728+Sens!G12728)/2)</f>
        <v>0.0491569126419997</v>
      </c>
      <c r="H12730" s="7" t="n">
        <f aca="false">(Sens!H12727-Sens!H12726)*(1-tax_f)/((Sens!G12728+Sens!H12728)/2)</f>
        <v>0.0625995867609235</v>
      </c>
      <c r="I12730" s="7" t="n">
        <f aca="false">(Sens!I12727-Sens!I12726)*(1-tax_f)/((Sens!H12728+Sens!I12728)/2)</f>
        <v>0.0635562683377795</v>
      </c>
      <c r="J12730" s="7" t="n">
        <f aca="false">(Sens!J12727-Sens!J12726)*(1-tax_f)/((Sens!I12728+Sens!J12728)/2)</f>
        <v>0.0673294154833714</v>
      </c>
      <c r="K12730" s="7" t="n">
        <f aca="false">(Sens!K12727-Sens!K12726)*(1-tax_f)/((Sens!J12728+Sens!K12728)/2)</f>
        <v>0.0755414824949777</v>
      </c>
    </row>
    <row r="12731" customFormat="false" ht="17.15" hidden="false" customHeight="false" outlineLevel="0" collapsed="false">
      <c r="A12731" s="1" t="s">
        <v>1012</v>
      </c>
      <c r="B12731" s="0" t="s">
        <v>168</v>
      </c>
      <c r="F12731" s="7" t="n">
        <f aca="false">(Sens!F12727-Sens!F12726+Sens!F12725)*(1-tax_f)/((Sens!E12728+Sens!F12728)/2)</f>
        <v>0.0760269008012224</v>
      </c>
      <c r="G12731" s="7" t="n">
        <f aca="false">(Sens!G12727-Sens!G12726+Sens!G12725)*(1-tax_f)/((Sens!F12728+Sens!G12728)/2)</f>
        <v>0.105693055124128</v>
      </c>
      <c r="H12731" s="7" t="n">
        <f aca="false">(Sens!H12727-Sens!H12726+Sens!H12725)*(1-tax_f)/((Sens!G12728+Sens!H12728)/2)</f>
        <v>0.131762549286047</v>
      </c>
      <c r="I12731" s="7" t="n">
        <f aca="false">(Sens!I12727-Sens!I12726+Sens!I12725)*(1-tax_f)/((Sens!H12728+Sens!I12728)/2)</f>
        <v>0.143753831259643</v>
      </c>
      <c r="J12731" s="7" t="n">
        <f aca="false">(Sens!J12727-Sens!J12726+Sens!J12725)*(1-tax_f)/((Sens!I12728+Sens!J12728)/2)</f>
        <v>0.158303494199616</v>
      </c>
      <c r="K12731" s="7" t="n">
        <f aca="false">(Sens!K12727-Sens!K12726+Sens!K12725)*(1-tax_f)/((Sens!J12728+Sens!K12728)/2)</f>
        <v>0.176395171643849</v>
      </c>
    </row>
    <row r="12732" customFormat="false" ht="17.15" hidden="false" customHeight="false" outlineLevel="0" collapsed="false">
      <c r="A12732" s="1" t="s">
        <v>1013</v>
      </c>
      <c r="B12732" s="0" t="s">
        <v>168</v>
      </c>
      <c r="F12732" s="7" t="n">
        <f aca="false">Sens!F12657*(1-tax_f)/(Sens!F12643*(Sens!E12728+Sens!F12728)/2)</f>
        <v>0.15471433083293</v>
      </c>
      <c r="G12732" s="7" t="n">
        <f aca="false">Sens!G12657*(1-tax_f)/(Sens!G12643*(Sens!F12728+Sens!G12728)/2)</f>
        <v>0.176916911437355</v>
      </c>
      <c r="H12732" s="7" t="n">
        <f aca="false">Sens!H12657*(1-tax_f)/(Sens!H12643*(Sens!G12728+Sens!H12728)/2)</f>
        <v>0.207487057996582</v>
      </c>
      <c r="I12732" s="7" t="n">
        <f aca="false">Sens!I12657*(1-tax_f)/(Sens!I12643*(Sens!H12728+Sens!I12728)/2)</f>
        <v>0.219873660070946</v>
      </c>
      <c r="J12732" s="7" t="n">
        <f aca="false">Sens!J12657*(1-tax_f)/(Sens!J12643*(Sens!I12728+Sens!J12728)/2)</f>
        <v>0.238959457974928</v>
      </c>
      <c r="K12732" s="7" t="n">
        <f aca="false">Sens!K12657*(1-tax_f)/(Sens!K12643*(Sens!J12728+Sens!K12728)/2)</f>
        <v>0.264604270651536</v>
      </c>
    </row>
    <row r="12733" customFormat="false" ht="17.15" hidden="false" customHeight="false" outlineLevel="0" collapsed="false">
      <c r="A12733" s="0" t="s">
        <v>1014</v>
      </c>
      <c r="B12733" s="0" t="s">
        <v>253</v>
      </c>
      <c r="F12733" s="7" t="n">
        <f aca="false">Sens!F12729-wacc</f>
        <v>-0.0269096901443749</v>
      </c>
      <c r="G12733" s="7" t="n">
        <f aca="false">Sens!G12729-wacc</f>
        <v>0.00275646417853026</v>
      </c>
      <c r="H12733" s="7" t="n">
        <f aca="false">Sens!H12729-wacc</f>
        <v>0.0288259583404501</v>
      </c>
      <c r="I12733" s="7" t="n">
        <f aca="false">Sens!I12729-wacc</f>
        <v>0.0408172403140461</v>
      </c>
      <c r="J12733" s="7" t="n">
        <f aca="false">Sens!J12729-wacc</f>
        <v>0.0553669032540185</v>
      </c>
      <c r="K12733" s="7" t="n">
        <f aca="false">Sens!K12729-wacc</f>
        <v>0.0734585806982519</v>
      </c>
    </row>
    <row r="12734" customFormat="false" ht="17.15" hidden="false" customHeight="false" outlineLevel="0" collapsed="false">
      <c r="A12734" s="0" t="s">
        <v>1015</v>
      </c>
      <c r="B12734" s="0" t="s">
        <v>98</v>
      </c>
      <c r="F12734" s="6" t="n">
        <f aca="false">Sens!F12727*(1-tax_f)-wacc*(Sens!E12728+Sens!F12728)/2</f>
        <v>-5.21066681154536</v>
      </c>
      <c r="G12734" s="6" t="n">
        <f aca="false">Sens!G12727*(1-tax_f)-wacc*(Sens!F12728+Sens!G12728)/2</f>
        <v>0.899096926090842</v>
      </c>
      <c r="H12734" s="6" t="n">
        <f aca="false">Sens!H12727*(1-tax_f)-wacc*(Sens!G12728+Sens!H12728)/2</f>
        <v>12.8458723603358</v>
      </c>
      <c r="I12734" s="6" t="n">
        <f aca="false">Sens!I12727*(1-tax_f)-wacc*(Sens!H12728+Sens!I12728)/2</f>
        <v>21.4976420117415</v>
      </c>
      <c r="J12734" s="6" t="n">
        <f aca="false">Sens!J12727*(1-tax_f)-wacc*(Sens!I12728+Sens!J12728)/2</f>
        <v>30.5807728372055</v>
      </c>
      <c r="K12734" s="6" t="n">
        <f aca="false">Sens!K12727*(1-tax_f)-wacc*(Sens!J12728+Sens!K12728)/2</f>
        <v>39.5766698161285</v>
      </c>
    </row>
    <row r="12735" customFormat="false" ht="17.15" hidden="false" customHeight="false" outlineLevel="0" collapsed="false">
      <c r="A12735" s="3" t="s">
        <v>1798</v>
      </c>
    </row>
    <row r="12736" customFormat="false" ht="15" hidden="false" customHeight="false" outlineLevel="0" collapsed="false">
      <c r="A12736" s="4" t="s">
        <v>43</v>
      </c>
      <c r="B12736" s="4" t="s">
        <v>65</v>
      </c>
      <c r="C12736" s="23" t="s">
        <v>938</v>
      </c>
      <c r="D12736" s="23" t="s">
        <v>939</v>
      </c>
      <c r="E12736" s="23" t="s">
        <v>940</v>
      </c>
      <c r="F12736" s="23" t="s">
        <v>941</v>
      </c>
      <c r="G12736" s="23" t="s">
        <v>942</v>
      </c>
      <c r="H12736" s="23" t="s">
        <v>943</v>
      </c>
      <c r="I12736" s="23" t="s">
        <v>944</v>
      </c>
      <c r="J12736" s="23" t="s">
        <v>945</v>
      </c>
      <c r="K12736" s="23" t="s">
        <v>946</v>
      </c>
      <c r="L12736" s="4" t="s">
        <v>47</v>
      </c>
    </row>
    <row r="12737" customFormat="false" ht="15" hidden="false" customHeight="false" outlineLevel="0" collapsed="false">
      <c r="A12737" s="1" t="s">
        <v>1076</v>
      </c>
      <c r="B12737" s="0" t="s">
        <v>98</v>
      </c>
      <c r="F12737" s="6" t="n">
        <f aca="false">Sens!F12718</f>
        <v>143.204615124782</v>
      </c>
      <c r="G12737" s="6" t="n">
        <f aca="false">Sens!G12718</f>
        <v>161.749463311647</v>
      </c>
      <c r="H12737" s="6" t="n">
        <f aca="false">Sens!H12718</f>
        <v>189.008437221419</v>
      </c>
      <c r="I12737" s="6" t="n">
        <f aca="false">Sens!I12718</f>
        <v>209.692460303195</v>
      </c>
      <c r="J12737" s="6" t="n">
        <f aca="false">Sens!J12718</f>
        <v>227.629909909389</v>
      </c>
      <c r="K12737" s="6" t="n">
        <f aca="false">Sens!K12718</f>
        <v>243.869064518641</v>
      </c>
    </row>
    <row r="12738" customFormat="false" ht="17.15" hidden="false" customHeight="false" outlineLevel="0" collapsed="false">
      <c r="A12738" s="1" t="s">
        <v>1098</v>
      </c>
      <c r="B12738" s="0" t="s">
        <v>98</v>
      </c>
      <c r="E12738" s="6" t="n">
        <f aca="false">Q!M38-Sens!E12656</f>
        <v>22.2285940229167</v>
      </c>
      <c r="F12738" s="6" t="n">
        <f aca="false">Sens!E12738*(1-1/life_nonai)+(Sens!F12746+Sens!F12747)/life_nonai</f>
        <v>23.580344216413</v>
      </c>
      <c r="G12738" s="6" t="n">
        <f aca="false">Sens!F12738*(1-1/life_nonai)+(Sens!G12746)/life_nonai</f>
        <v>25.3801415764809</v>
      </c>
      <c r="H12738" s="6" t="n">
        <f aca="false">Sens!G12738*(1-1/life_nonai)+(Sens!H12746)/life_nonai</f>
        <v>27.5964639802758</v>
      </c>
      <c r="I12738" s="6" t="n">
        <f aca="false">Sens!H12738*(1-1/life_nonai)+(Sens!I12746)/life_nonai</f>
        <v>30.152940612192</v>
      </c>
      <c r="J12738" s="6" t="n">
        <f aca="false">Sens!I12738*(1-1/life_nonai)+(Sens!J12746)/life_nonai</f>
        <v>32.9575022150393</v>
      </c>
      <c r="K12738" s="6" t="n">
        <f aca="false">Sens!J12738*(1-1/life_nonai)+(Sens!K12746)/life_nonai</f>
        <v>35.9256779798081</v>
      </c>
      <c r="L12738" s="12" t="s">
        <v>1099</v>
      </c>
    </row>
    <row r="12739" customFormat="false" ht="17.15" hidden="false" customHeight="false" outlineLevel="0" collapsed="false">
      <c r="A12739" s="1" t="s">
        <v>1100</v>
      </c>
      <c r="B12739" s="0" t="s">
        <v>98</v>
      </c>
      <c r="F12739" s="6" t="n">
        <f aca="false">Sens!$F$12747/life_nonai*(1-1/life_nonai)^(Sens!F12619-2027)</f>
        <v>0.00475774452575592</v>
      </c>
      <c r="G12739" s="6" t="n">
        <f aca="false">Sens!$F$12747/life_nonai*(1-1/life_nonai)^(Sens!G12619-2027)</f>
        <v>0.00428197007318033</v>
      </c>
      <c r="H12739" s="6" t="n">
        <f aca="false">Sens!$F$12747/life_nonai*(1-1/life_nonai)^(Sens!H12619-2027)</f>
        <v>0.0038537730658623</v>
      </c>
      <c r="I12739" s="6" t="n">
        <f aca="false">Sens!$F$12747/life_nonai*(1-1/life_nonai)^(Sens!I12619-2027)</f>
        <v>0.00346839575927607</v>
      </c>
      <c r="J12739" s="6" t="n">
        <f aca="false">Sens!$F$12747/life_nonai*(1-1/life_nonai)^(Sens!J12619-2027)</f>
        <v>0.00312155618334846</v>
      </c>
      <c r="K12739" s="6" t="n">
        <f aca="false">Sens!$F$12747/life_nonai*(1-1/life_nonai)^(Sens!K12619-2027)</f>
        <v>0.00280940056501362</v>
      </c>
      <c r="L12739" s="1" t="s">
        <v>1101</v>
      </c>
    </row>
    <row r="12740" customFormat="false" ht="17.15" hidden="false" customHeight="false" outlineLevel="0" collapsed="false">
      <c r="A12740" s="1" t="s">
        <v>1102</v>
      </c>
      <c r="B12740" s="0" t="s">
        <v>98</v>
      </c>
      <c r="E12740" s="6" t="n">
        <f aca="false">Sens!E12656+Sens!E12738</f>
        <v>38.534</v>
      </c>
      <c r="F12740" s="6" t="n">
        <f aca="false">Sens!F12656+Sens!F12738</f>
        <v>58.1596586947647</v>
      </c>
      <c r="G12740" s="6" t="n">
        <f aca="false">Sens!G12656+Sens!G12738</f>
        <v>86.1146322287799</v>
      </c>
      <c r="H12740" s="6" t="n">
        <f aca="false">Sens!H12656+Sens!H12738</f>
        <v>116.696554641721</v>
      </c>
      <c r="I12740" s="6" t="n">
        <f aca="false">Sens!I12656+Sens!I12738</f>
        <v>144.38395030674</v>
      </c>
      <c r="J12740" s="6" t="n">
        <f aca="false">Sens!J12656+Sens!J12738</f>
        <v>164.973175264635</v>
      </c>
      <c r="K12740" s="6" t="n">
        <f aca="false">Sens!K12656+Sens!K12738</f>
        <v>178.938347530742</v>
      </c>
    </row>
    <row r="12741" customFormat="false" ht="17.15" hidden="false" customHeight="false" outlineLevel="0" collapsed="false">
      <c r="A12741" s="1" t="s">
        <v>1103</v>
      </c>
      <c r="B12741" s="0" t="s">
        <v>98</v>
      </c>
      <c r="F12741" s="6" t="n">
        <f aca="false">Sens!F12683*sbc_r</f>
        <v>15.0680693022395</v>
      </c>
      <c r="G12741" s="6" t="n">
        <f aca="false">Sens!G12683*sbc_r</f>
        <v>18.3841476633065</v>
      </c>
      <c r="H12741" s="6" t="n">
        <f aca="false">Sens!H12683*sbc_r</f>
        <v>21.9545979838202</v>
      </c>
      <c r="I12741" s="6" t="n">
        <f aca="false">Sens!I12683*sbc_r</f>
        <v>24.9944595349748</v>
      </c>
      <c r="J12741" s="6" t="n">
        <f aca="false">Sens!J12683*sbc_r</f>
        <v>27.4407929753337</v>
      </c>
      <c r="K12741" s="6" t="n">
        <f aca="false">Sens!K12683*sbc_r</f>
        <v>29.3868645070206</v>
      </c>
    </row>
    <row r="12742" customFormat="false" ht="17.15" hidden="false" customHeight="false" outlineLevel="0" collapsed="false">
      <c r="A12742" s="1" t="s">
        <v>1104</v>
      </c>
      <c r="B12742" s="0" t="s">
        <v>98</v>
      </c>
      <c r="F12742" s="6" t="n">
        <f aca="false">wc27-wc26q1</f>
        <v>-4.677</v>
      </c>
      <c r="G12742" s="6" t="n">
        <f aca="false">wc_f</f>
        <v>0</v>
      </c>
      <c r="H12742" s="6" t="n">
        <f aca="false">wc_f</f>
        <v>0</v>
      </c>
      <c r="I12742" s="6" t="n">
        <f aca="false">wc_f</f>
        <v>0</v>
      </c>
      <c r="J12742" s="6" t="n">
        <f aca="false">wc_f</f>
        <v>0</v>
      </c>
      <c r="K12742" s="6" t="n">
        <f aca="false">wc_f</f>
        <v>0</v>
      </c>
      <c r="L12742" s="12" t="s">
        <v>1105</v>
      </c>
    </row>
    <row r="12743" customFormat="false" ht="17.15" hidden="false" customHeight="false" outlineLevel="0" collapsed="false">
      <c r="A12743" s="0" t="s">
        <v>1106</v>
      </c>
      <c r="B12743" s="0" t="s">
        <v>98</v>
      </c>
      <c r="F12743" s="6" t="n">
        <f aca="false">Q!$I$35-Q!$I$26-Q!$I$38-Q!$I$39</f>
        <v>6.493</v>
      </c>
      <c r="L12743" s="1" t="s">
        <v>1107</v>
      </c>
    </row>
    <row r="12744" customFormat="false" ht="15" hidden="false" customHeight="false" outlineLevel="0" collapsed="false">
      <c r="A12744" s="1" t="s">
        <v>904</v>
      </c>
      <c r="B12744" s="0" t="s">
        <v>98</v>
      </c>
      <c r="E12744" s="6" t="n">
        <f aca="false">Q!M35</f>
        <v>182.935</v>
      </c>
      <c r="F12744" s="6" t="n">
        <f aca="false">Sens!F12737+Sens!F12740+Sens!F12741+Sens!F12742+Sens!F12743</f>
        <v>218.248343121786</v>
      </c>
      <c r="G12744" s="6" t="n">
        <f aca="false">Sens!G12737+Sens!G12740+Sens!G12741+Sens!G12742</f>
        <v>266.248243203734</v>
      </c>
      <c r="H12744" s="6" t="n">
        <f aca="false">Sens!H12737+Sens!H12740+Sens!H12741+Sens!H12742</f>
        <v>327.659589846961</v>
      </c>
      <c r="I12744" s="6" t="n">
        <f aca="false">Sens!I12737+Sens!I12740+Sens!I12741+Sens!I12742</f>
        <v>379.07087014491</v>
      </c>
      <c r="J12744" s="6" t="n">
        <f aca="false">Sens!J12737+Sens!J12740+Sens!J12741+Sens!J12742</f>
        <v>420.043878149358</v>
      </c>
      <c r="K12744" s="6" t="n">
        <f aca="false">Sens!K12737+Sens!K12740+Sens!K12741+Sens!K12742</f>
        <v>452.194276556404</v>
      </c>
    </row>
    <row r="12745" customFormat="false" ht="17.15" hidden="false" customHeight="false" outlineLevel="0" collapsed="false">
      <c r="A12745" s="0" t="s">
        <v>1108</v>
      </c>
      <c r="B12745" s="0" t="s">
        <v>98</v>
      </c>
      <c r="F12745" s="6" t="n">
        <f aca="false">Sens!F12653</f>
        <v>168.45390404212</v>
      </c>
      <c r="G12745" s="6" t="n">
        <f aca="false">Sens!G12653</f>
        <v>191.944475649048</v>
      </c>
      <c r="H12745" s="6" t="n">
        <f aca="false">Sens!H12653</f>
        <v>196.806004064512</v>
      </c>
      <c r="I12745" s="6" t="n">
        <f aca="false">Sens!I12653</f>
        <v>168.61483362161</v>
      </c>
      <c r="J12745" s="6" t="n">
        <f aca="false">Sens!J12653</f>
        <v>128.92993119594</v>
      </c>
      <c r="K12745" s="6" t="n">
        <f aca="false">Sens!K12653</f>
        <v>118.962853064733</v>
      </c>
    </row>
    <row r="12746" customFormat="false" ht="17.15" hidden="false" customHeight="false" outlineLevel="0" collapsed="false">
      <c r="A12746" s="1" t="s">
        <v>1109</v>
      </c>
      <c r="B12746" s="0" t="s">
        <v>98</v>
      </c>
      <c r="E12746" s="6" t="n">
        <f aca="false">Sens!E12661*cx_azo+Sens!E12668*cx_m365+Sens!E12669*cx_lic+(Sens!E12671+Sens!E12673)*cx_ind+Sens!E12676*cx_srch+(Sens!E12678+Sens!E12680)*cx_dev</f>
        <v>30.1846587067718</v>
      </c>
      <c r="F12746" s="6" t="n">
        <f aca="false">Sens!F12661*cx_azo+Sens!F12668*cx_m365+Sens!F12669*cx_lic+(Sens!F12671+Sens!F12673)*cx_ind+Sens!F12676*cx_srch+(Sens!F12678+Sens!F12680)*cx_dev</f>
        <v>35.6985185126228</v>
      </c>
      <c r="G12746" s="6" t="n">
        <f aca="false">Sens!G12661*cx_azo+Sens!G12668*cx_m365+Sens!G12669*cx_lic+(Sens!G12671+Sens!G12673)*cx_ind+Sens!G12676*cx_srch+(Sens!G12678+Sens!G12680)*cx_dev</f>
        <v>41.5783178170917</v>
      </c>
      <c r="H12746" s="6" t="n">
        <f aca="false">Sens!H12661*cx_azo+Sens!H12668*cx_m365+Sens!H12669*cx_lic+(Sens!H12671+Sens!H12673)*cx_ind+Sens!H12676*cx_srch+(Sens!H12678+Sens!H12680)*cx_dev</f>
        <v>47.5433656144293</v>
      </c>
      <c r="I12746" s="6" t="n">
        <f aca="false">Sens!I12661*cx_azo+Sens!I12668*cx_m365+Sens!I12669*cx_lic+(Sens!I12671+Sens!I12673)*cx_ind+Sens!I12676*cx_srch+(Sens!I12678+Sens!I12680)*cx_dev</f>
        <v>53.1612302994382</v>
      </c>
      <c r="J12746" s="6" t="n">
        <f aca="false">Sens!J12661*cx_azo+Sens!J12668*cx_m365+Sens!J12669*cx_lic+(Sens!J12671+Sens!J12673)*cx_ind+Sens!J12676*cx_srch+(Sens!J12678+Sens!J12680)*cx_dev</f>
        <v>58.1985566406647</v>
      </c>
      <c r="K12746" s="6" t="n">
        <f aca="false">Sens!K12661*cx_azo+Sens!K12668*cx_m365+Sens!K12669*cx_lic+(Sens!K12671+Sens!K12673)*cx_ind+Sens!K12676*cx_srch+(Sens!K12678+Sens!K12680)*cx_dev</f>
        <v>62.6392598627275</v>
      </c>
    </row>
    <row r="12747" customFormat="false" ht="17.15" hidden="false" customHeight="false" outlineLevel="0" collapsed="false">
      <c r="A12747" s="0" t="s">
        <v>1110</v>
      </c>
      <c r="B12747" s="0" t="s">
        <v>98</v>
      </c>
      <c r="F12747" s="6" t="n">
        <f aca="false">Sens!F12651</f>
        <v>0.0475774452575593</v>
      </c>
      <c r="L12747" s="1" t="s">
        <v>1111</v>
      </c>
    </row>
    <row r="12748" customFormat="false" ht="17.15" hidden="false" customHeight="false" outlineLevel="0" collapsed="false">
      <c r="A12748" s="1" t="s">
        <v>1112</v>
      </c>
      <c r="B12748" s="0" t="s">
        <v>98</v>
      </c>
      <c r="E12748" s="6" t="n">
        <f aca="false">Q!M43</f>
        <v>145.3</v>
      </c>
      <c r="F12748" s="6" t="n">
        <f aca="false">Sens!F12745+Sens!F12746+Sens!F12747</f>
        <v>204.2</v>
      </c>
      <c r="G12748" s="6" t="n">
        <f aca="false">Sens!G12745+Sens!G12746</f>
        <v>233.52279346614</v>
      </c>
      <c r="H12748" s="6" t="n">
        <f aca="false">Sens!H12745+Sens!H12746</f>
        <v>244.349369678942</v>
      </c>
      <c r="I12748" s="6" t="n">
        <f aca="false">Sens!I12745+Sens!I12746</f>
        <v>221.776063921049</v>
      </c>
      <c r="J12748" s="6" t="n">
        <f aca="false">Sens!J12745+Sens!J12746</f>
        <v>187.128487836605</v>
      </c>
      <c r="K12748" s="6" t="n">
        <f aca="false">Sens!K12745+Sens!K12746</f>
        <v>181.60211292746</v>
      </c>
      <c r="L12748" s="1" t="s">
        <v>1113</v>
      </c>
    </row>
    <row r="12749" customFormat="false" ht="15" hidden="false" customHeight="false" outlineLevel="0" collapsed="false">
      <c r="A12749" s="1" t="s">
        <v>1114</v>
      </c>
      <c r="B12749" s="0" t="s">
        <v>98</v>
      </c>
      <c r="E12749" s="6" t="n">
        <f aca="false">fl_liab</f>
        <v>66.594</v>
      </c>
      <c r="F12749" s="6" t="n">
        <f aca="false">Sens!E12749-Sens!F12750</f>
        <v>62.46973</v>
      </c>
      <c r="G12749" s="6" t="n">
        <f aca="false">Sens!F12749-Sens!G12750</f>
        <v>57.98686785</v>
      </c>
      <c r="H12749" s="6" t="n">
        <f aca="false">Sens!G12749-Sens!H12750</f>
        <v>53.92827690325</v>
      </c>
      <c r="I12749" s="6" t="n">
        <f aca="false">Sens!H12749-Sens!I12750</f>
        <v>49.7850493638962</v>
      </c>
      <c r="J12749" s="6" t="n">
        <f aca="false">Sens!I12749-Sens!J12750</f>
        <v>45.4823765852716</v>
      </c>
      <c r="K12749" s="6" t="n">
        <f aca="false">Sens!J12749-Sens!K12750</f>
        <v>40.9860835316088</v>
      </c>
    </row>
    <row r="12750" customFormat="false" ht="15" hidden="false" customHeight="false" outlineLevel="0" collapsed="false">
      <c r="A12750" s="1" t="s">
        <v>1115</v>
      </c>
      <c r="B12750" s="0" t="s">
        <v>98</v>
      </c>
      <c r="F12750" s="6" t="n">
        <f aca="false">fl_pay_27-Sens!E12749*fl_rate</f>
        <v>4.12427</v>
      </c>
      <c r="G12750" s="6" t="n">
        <f aca="false">fl_pay_28-Sens!F12749*fl_rate</f>
        <v>4.48286215</v>
      </c>
      <c r="H12750" s="6" t="n">
        <f aca="false">fl_pay_29-Sens!G12749*fl_rate</f>
        <v>4.05859094675</v>
      </c>
      <c r="I12750" s="6" t="n">
        <f aca="false">fl_pay_30-Sens!H12749*fl_rate</f>
        <v>4.14322753935375</v>
      </c>
      <c r="J12750" s="6" t="n">
        <f aca="false">fl_pay_31-Sens!I12749*fl_rate</f>
        <v>4.30267277862467</v>
      </c>
      <c r="K12750" s="6" t="n">
        <f aca="false">fl_pay_32-Sens!J12749*fl_rate</f>
        <v>4.49629305366278</v>
      </c>
    </row>
    <row r="12751" customFormat="false" ht="17.15" hidden="false" customHeight="false" outlineLevel="0" collapsed="false">
      <c r="A12751" s="1" t="s">
        <v>1116</v>
      </c>
      <c r="B12751" s="0" t="s">
        <v>98</v>
      </c>
      <c r="E12751" s="6" t="n">
        <f aca="false">Q!M35-Q!M36-Q!M44</f>
        <v>63.886</v>
      </c>
      <c r="F12751" s="6" t="n">
        <f aca="false">Sens!F12744-Sens!F12748-Sens!F12750</f>
        <v>9.92407312178596</v>
      </c>
      <c r="G12751" s="6" t="n">
        <f aca="false">Sens!G12744-Sens!G12748-Sens!G12750</f>
        <v>28.2425875875938</v>
      </c>
      <c r="H12751" s="6" t="n">
        <f aca="false">Sens!H12744-Sens!H12748-Sens!H12750</f>
        <v>79.2516292212694</v>
      </c>
      <c r="I12751" s="6" t="n">
        <f aca="false">Sens!I12744-Sens!I12748-Sens!I12750</f>
        <v>153.151578684508</v>
      </c>
      <c r="J12751" s="6" t="n">
        <f aca="false">Sens!J12744-Sens!J12748-Sens!J12750</f>
        <v>228.612717534129</v>
      </c>
      <c r="K12751" s="6" t="n">
        <f aca="false">Sens!K12744-Sens!K12748-Sens!K12750</f>
        <v>266.095870575281</v>
      </c>
      <c r="L12751" s="12" t="s">
        <v>1117</v>
      </c>
    </row>
    <row r="12752" customFormat="false" ht="15" hidden="false" customHeight="false" outlineLevel="0" collapsed="false">
      <c r="A12752" s="1" t="s">
        <v>1118</v>
      </c>
      <c r="B12752" s="0" t="s">
        <v>75</v>
      </c>
      <c r="F12752" s="8" t="n">
        <f aca="false">dps_27</f>
        <v>3.85</v>
      </c>
      <c r="G12752" s="8" t="n">
        <f aca="false">Sens!F12752*(1+dps_g)</f>
        <v>4.158</v>
      </c>
      <c r="H12752" s="8" t="n">
        <f aca="false">Sens!G12752*(1+dps_g)</f>
        <v>4.49064</v>
      </c>
      <c r="I12752" s="8" t="n">
        <f aca="false">Sens!H12752*(1+dps_g)</f>
        <v>4.8498912</v>
      </c>
      <c r="J12752" s="8" t="n">
        <f aca="false">Sens!I12752*(1+dps_g)</f>
        <v>5.237882496</v>
      </c>
      <c r="K12752" s="8" t="n">
        <f aca="false">Sens!J12752*(1+dps_g)</f>
        <v>5.65691309568</v>
      </c>
    </row>
    <row r="12753" customFormat="false" ht="17.15" hidden="false" customHeight="false" outlineLevel="0" collapsed="false">
      <c r="A12753" s="1" t="s">
        <v>1119</v>
      </c>
      <c r="B12753" s="0" t="s">
        <v>98</v>
      </c>
      <c r="E12753" s="6" t="n">
        <f aca="false">Q!M41</f>
        <v>26.445</v>
      </c>
      <c r="F12753" s="6" t="n">
        <f aca="false">Sens!F12752*Sens!E12762</f>
        <v>28.59395</v>
      </c>
      <c r="G12753" s="6" t="n">
        <f aca="false">Sens!G12752*Sens!F12762</f>
        <v>31.068576</v>
      </c>
      <c r="H12753" s="6" t="n">
        <f aca="false">Sens!H12752*Sens!G12762</f>
        <v>33.75614088</v>
      </c>
      <c r="I12753" s="6" t="n">
        <f aca="false">Sens!I12752*Sens!H12762</f>
        <v>36.5070704274727</v>
      </c>
      <c r="J12753" s="6" t="n">
        <f aca="false">Sens!J12752*Sens!I12762</f>
        <v>39.4955339470631</v>
      </c>
      <c r="K12753" s="6" t="n">
        <f aca="false">Sens!K12752*Sens!J12762</f>
        <v>42.7419309252064</v>
      </c>
      <c r="L12753" s="1" t="s">
        <v>1120</v>
      </c>
    </row>
    <row r="12754" customFormat="false" ht="15" hidden="false" customHeight="false" outlineLevel="0" collapsed="false">
      <c r="A12754" s="1" t="s">
        <v>1121</v>
      </c>
      <c r="B12754" s="0" t="s">
        <v>98</v>
      </c>
      <c r="E12754" s="6" t="n">
        <f aca="false">Sens!E12751-Sens!E12753</f>
        <v>37.441</v>
      </c>
      <c r="F12754" s="6" t="n">
        <f aca="false">Sens!F12751-Sens!F12753</f>
        <v>-18.669876878214</v>
      </c>
      <c r="G12754" s="6" t="n">
        <f aca="false">Sens!G12751-Sens!G12753</f>
        <v>-2.82598841240619</v>
      </c>
      <c r="H12754" s="6" t="n">
        <f aca="false">Sens!H12751-Sens!H12753</f>
        <v>45.4954883412694</v>
      </c>
      <c r="I12754" s="6" t="n">
        <f aca="false">Sens!I12751-Sens!I12753</f>
        <v>116.644508257035</v>
      </c>
      <c r="J12754" s="6" t="n">
        <f aca="false">Sens!J12751-Sens!J12753</f>
        <v>189.117183587066</v>
      </c>
      <c r="K12754" s="6" t="n">
        <f aca="false">Sens!K12751-Sens!K12753</f>
        <v>223.353939650074</v>
      </c>
    </row>
    <row r="12755" customFormat="false" ht="15" hidden="false" customHeight="false" outlineLevel="0" collapsed="false">
      <c r="A12755" s="1" t="s">
        <v>1122</v>
      </c>
      <c r="B12755" s="0" t="s">
        <v>98</v>
      </c>
      <c r="F12755" s="6" t="n">
        <f aca="false">debt_mat_27</f>
        <v>9.25</v>
      </c>
      <c r="G12755" s="6" t="n">
        <f aca="false">debt_mat_28</f>
        <v>0</v>
      </c>
      <c r="H12755" s="6" t="n">
        <f aca="false">debt_mat_29</f>
        <v>2.001</v>
      </c>
      <c r="I12755" s="6" t="n">
        <f aca="false">debt_mat_30</f>
        <v>0</v>
      </c>
      <c r="J12755" s="6" t="n">
        <f aca="false">debt_mat_31</f>
        <v>0.5</v>
      </c>
      <c r="K12755" s="6" t="n">
        <f aca="false">debt_mat_32</f>
        <v>0</v>
      </c>
    </row>
    <row r="12756" customFormat="false" ht="15" hidden="false" customHeight="false" outlineLevel="0" collapsed="false">
      <c r="A12756" s="1" t="s">
        <v>1123</v>
      </c>
      <c r="B12756" s="0" t="s">
        <v>98</v>
      </c>
      <c r="E12756" s="6" t="n">
        <f aca="false">Q!M40</f>
        <v>22.271</v>
      </c>
      <c r="F12756" s="6" t="n">
        <f aca="false">MAX(0,MIN(bb_target,Sens!E12758+Sens!F12754-Sens!F12755-min_cash))</f>
        <v>0</v>
      </c>
      <c r="G12756" s="6" t="n">
        <f aca="false">MAX(0,MIN(bb_target,Sens!F12758+Sens!G12754-Sens!G12755-min_cash))</f>
        <v>0</v>
      </c>
      <c r="H12756" s="6" t="n">
        <f aca="false">MAX(0,MIN(bb_target,Sens!G12758+Sens!H12754-Sens!H12755-min_cash))</f>
        <v>22.271</v>
      </c>
      <c r="I12756" s="6" t="n">
        <f aca="false">MAX(0,MIN(bb_target,Sens!H12758+Sens!I12754-Sens!I12755-min_cash))</f>
        <v>22.271</v>
      </c>
      <c r="J12756" s="6" t="n">
        <f aca="false">MAX(0,MIN(bb_target,Sens!I12758+Sens!J12754-Sens!J12755-min_cash))</f>
        <v>22.271</v>
      </c>
      <c r="K12756" s="6" t="n">
        <f aca="false">MAX(0,MIN(bb_target,Sens!J12758+Sens!K12754-Sens!K12755-min_cash))</f>
        <v>22.271</v>
      </c>
    </row>
    <row r="12757" customFormat="false" ht="15" hidden="false" customHeight="false" outlineLevel="0" collapsed="false">
      <c r="A12757" s="1" t="s">
        <v>1124</v>
      </c>
      <c r="B12757" s="0" t="s">
        <v>98</v>
      </c>
      <c r="F12757" s="6" t="n">
        <f aca="false">MAX(0,min_cash-(Sens!E12758+Sens!F12754-Sens!F12755-Sens!F12756))</f>
        <v>1.07687687821404</v>
      </c>
      <c r="G12757" s="6" t="n">
        <f aca="false">MAX(0,min_cash-(Sens!F12758+Sens!G12754-Sens!G12755-Sens!G12756))</f>
        <v>2.82598841240619</v>
      </c>
      <c r="H12757" s="6" t="n">
        <f aca="false">MAX(0,min_cash-(Sens!G12758+Sens!H12754-Sens!H12755-Sens!H12756))</f>
        <v>0</v>
      </c>
      <c r="I12757" s="6" t="n">
        <f aca="false">MAX(0,min_cash-(Sens!H12758+Sens!I12754-Sens!I12755-Sens!I12756))</f>
        <v>0</v>
      </c>
      <c r="J12757" s="6" t="n">
        <f aca="false">MAX(0,min_cash-(Sens!I12758+Sens!J12754-Sens!J12755-Sens!J12756))</f>
        <v>0</v>
      </c>
      <c r="K12757" s="6" t="n">
        <f aca="false">MAX(0,min_cash-(Sens!J12758+Sens!K12754-Sens!K12755-Sens!K12756))</f>
        <v>0</v>
      </c>
    </row>
    <row r="12758" customFormat="false" ht="15" hidden="false" customHeight="false" outlineLevel="0" collapsed="false">
      <c r="A12758" s="1" t="s">
        <v>1125</v>
      </c>
      <c r="B12758" s="0" t="s">
        <v>98</v>
      </c>
      <c r="E12758" s="6" t="n">
        <f aca="false">cash_open</f>
        <v>76.843</v>
      </c>
      <c r="F12758" s="6" t="n">
        <f aca="false">Sens!E12758+Sens!F12754-Sens!F12755-Sens!F12756+Sens!F12757</f>
        <v>50</v>
      </c>
      <c r="G12758" s="6" t="n">
        <f aca="false">Sens!F12758+Sens!G12754-Sens!G12755-Sens!G12756+Sens!G12757</f>
        <v>50</v>
      </c>
      <c r="H12758" s="6" t="n">
        <f aca="false">Sens!G12758+Sens!H12754-Sens!H12755-Sens!H12756+Sens!H12757</f>
        <v>71.2234883412693</v>
      </c>
      <c r="I12758" s="6" t="n">
        <f aca="false">Sens!H12758+Sens!I12754-Sens!I12755-Sens!I12756+Sens!I12757</f>
        <v>165.596996598304</v>
      </c>
      <c r="J12758" s="6" t="n">
        <f aca="false">Sens!I12758+Sens!J12754-Sens!J12755-Sens!J12756+Sens!J12757</f>
        <v>331.94318018537</v>
      </c>
      <c r="K12758" s="6" t="n">
        <f aca="false">Sens!J12758+Sens!K12754-Sens!K12755-Sens!K12756+Sens!K12757</f>
        <v>533.026119835444</v>
      </c>
    </row>
    <row r="12759" customFormat="false" ht="15" hidden="false" customHeight="false" outlineLevel="0" collapsed="false">
      <c r="A12759" s="1" t="s">
        <v>1126</v>
      </c>
      <c r="B12759" s="0" t="s">
        <v>98</v>
      </c>
      <c r="E12759" s="6" t="n">
        <f aca="false">debt_face</f>
        <v>46.136</v>
      </c>
      <c r="F12759" s="6" t="n">
        <f aca="false">Sens!E12759-Sens!F12755+Sens!F12757</f>
        <v>37.962876878214</v>
      </c>
      <c r="G12759" s="6" t="n">
        <f aca="false">Sens!F12759-Sens!G12755+Sens!G12757</f>
        <v>40.7888652906202</v>
      </c>
      <c r="H12759" s="6" t="n">
        <f aca="false">Sens!G12759-Sens!H12755+Sens!H12757</f>
        <v>38.7878652906202</v>
      </c>
      <c r="I12759" s="6" t="n">
        <f aca="false">Sens!H12759-Sens!I12755+Sens!I12757</f>
        <v>38.7878652906202</v>
      </c>
      <c r="J12759" s="6" t="n">
        <f aca="false">Sens!I12759-Sens!J12755+Sens!J12757</f>
        <v>38.2878652906202</v>
      </c>
      <c r="K12759" s="6" t="n">
        <f aca="false">Sens!J12759-Sens!K12755+Sens!K12757</f>
        <v>38.2878652906202</v>
      </c>
    </row>
    <row r="12760" customFormat="false" ht="15" hidden="false" customHeight="false" outlineLevel="0" collapsed="false">
      <c r="A12760" s="1" t="s">
        <v>1127</v>
      </c>
      <c r="B12760" s="0" t="s">
        <v>98</v>
      </c>
      <c r="E12760" s="6" t="n">
        <f aca="false">Sens!E12758-Sens!E12759</f>
        <v>30.707</v>
      </c>
      <c r="F12760" s="6" t="n">
        <f aca="false">Sens!F12758-Sens!F12759</f>
        <v>12.037123121786</v>
      </c>
      <c r="G12760" s="6" t="n">
        <f aca="false">Sens!G12758-Sens!G12759</f>
        <v>9.21113470937977</v>
      </c>
      <c r="H12760" s="6" t="n">
        <f aca="false">Sens!H12758-Sens!H12759</f>
        <v>32.4356230506491</v>
      </c>
      <c r="I12760" s="6" t="n">
        <f aca="false">Sens!I12758-Sens!I12759</f>
        <v>126.809131307684</v>
      </c>
      <c r="J12760" s="6" t="n">
        <f aca="false">Sens!J12758-Sens!J12759</f>
        <v>293.65531489475</v>
      </c>
      <c r="K12760" s="6" t="n">
        <f aca="false">Sens!K12758-Sens!K12759</f>
        <v>494.738254544824</v>
      </c>
    </row>
    <row r="12761" customFormat="false" ht="15" hidden="false" customHeight="false" outlineLevel="0" collapsed="false">
      <c r="A12761" s="1" t="s">
        <v>1128</v>
      </c>
      <c r="B12761" s="0" t="s">
        <v>75</v>
      </c>
      <c r="F12761" s="30" t="n">
        <f aca="false">px*(1+bb_g)^(Sens!F12619-base_fy-mid_yr)</f>
        <v>551.84177959629</v>
      </c>
      <c r="G12761" s="30" t="n">
        <f aca="false">px*(1+bb_g)^(Sens!G12619-base_fy-mid_yr)</f>
        <v>595.989121963993</v>
      </c>
      <c r="H12761" s="30" t="n">
        <f aca="false">px*(1+bb_g)^(Sens!H12619-base_fy-mid_yr)</f>
        <v>643.668251721112</v>
      </c>
      <c r="I12761" s="30" t="n">
        <f aca="false">px*(1+bb_g)^(Sens!I12619-base_fy-mid_yr)</f>
        <v>695.161711858801</v>
      </c>
      <c r="J12761" s="30" t="n">
        <f aca="false">px*(1+bb_g)^(Sens!J12619-base_fy-mid_yr)</f>
        <v>750.774648807506</v>
      </c>
      <c r="K12761" s="30" t="n">
        <f aca="false">px*(1+bb_g)^(Sens!K12619-base_fy-mid_yr)</f>
        <v>810.836620712106</v>
      </c>
    </row>
    <row r="12762" customFormat="false" ht="15" hidden="false" customHeight="false" outlineLevel="0" collapsed="false">
      <c r="A12762" s="1" t="s">
        <v>1129</v>
      </c>
      <c r="B12762" s="1" t="s">
        <v>81</v>
      </c>
      <c r="E12762" s="15" t="n">
        <f aca="false">sh_out26</f>
        <v>7.427</v>
      </c>
      <c r="F12762" s="15" t="n">
        <f aca="false">Sens!E12762+sh_iss-Sens!F12756/Sens!F12761</f>
        <v>7.472</v>
      </c>
      <c r="G12762" s="15" t="n">
        <f aca="false">Sens!F12762+sh_iss-Sens!G12756/Sens!G12761</f>
        <v>7.517</v>
      </c>
      <c r="H12762" s="15" t="n">
        <f aca="false">Sens!G12762+sh_iss-Sens!H12756/Sens!H12761</f>
        <v>7.5273998780576</v>
      </c>
      <c r="I12762" s="15" t="n">
        <f aca="false">Sens!H12762+sh_iss-Sens!I12756/Sens!I12761</f>
        <v>7.54036272811094</v>
      </c>
      <c r="J12762" s="15" t="n">
        <f aca="false">Sens!I12762+sh_iss-Sens!J12756/Sens!J12761</f>
        <v>7.55569870038255</v>
      </c>
      <c r="K12762" s="15" t="n">
        <f aca="false">Sens!J12762+sh_iss-Sens!K12756/Sens!K12761</f>
        <v>7.57323200804144</v>
      </c>
    </row>
    <row r="12763" customFormat="false" ht="15" hidden="false" customHeight="false" outlineLevel="0" collapsed="false">
      <c r="A12763" s="1" t="s">
        <v>1130</v>
      </c>
      <c r="B12763" s="1" t="s">
        <v>81</v>
      </c>
      <c r="E12763" s="15" t="n">
        <f aca="false">sh_dil26</f>
        <v>7.453</v>
      </c>
      <c r="F12763" s="15" t="n">
        <f aca="false">(Sens!E12762+Sens!F12762)/2+dil_gap</f>
        <v>7.4735</v>
      </c>
      <c r="G12763" s="15" t="n">
        <f aca="false">(Sens!F12762+Sens!G12762)/2+dil_gap</f>
        <v>7.5185</v>
      </c>
      <c r="H12763" s="15" t="n">
        <f aca="false">(Sens!G12762+Sens!H12762)/2+dil_gap</f>
        <v>7.5461999390288</v>
      </c>
      <c r="I12763" s="15" t="n">
        <f aca="false">(Sens!H12762+Sens!I12762)/2+dil_gap</f>
        <v>7.55788130308427</v>
      </c>
      <c r="J12763" s="15" t="n">
        <f aca="false">(Sens!I12762+Sens!J12762)/2+dil_gap</f>
        <v>7.57203071424674</v>
      </c>
      <c r="K12763" s="15" t="n">
        <f aca="false">(Sens!J12762+Sens!K12762)/2+dil_gap</f>
        <v>7.58846535421199</v>
      </c>
    </row>
    <row r="12764" customFormat="false" ht="17.15" hidden="false" customHeight="false" outlineLevel="0" collapsed="false">
      <c r="A12764" s="1" t="s">
        <v>1131</v>
      </c>
      <c r="B12764" s="0" t="s">
        <v>98</v>
      </c>
      <c r="C12764" s="6" t="n">
        <f aca="false">SUM(Sens!F12754:J12754)</f>
        <v>329.76131489475</v>
      </c>
    </row>
    <row r="12765" customFormat="false" ht="15" hidden="false" customHeight="false" outlineLevel="0" collapsed="false">
      <c r="A12765" s="26" t="s">
        <v>1096</v>
      </c>
      <c r="B12765" s="31" t="s">
        <v>98</v>
      </c>
      <c r="C12765" s="27" t="n">
        <f aca="false">Sens!$C$12764-(Sens!F12754+Sens!G12754+Sens!H12754+Sens!I12754+Sens!J12754)</f>
        <v>0</v>
      </c>
      <c r="D12765" s="31"/>
      <c r="E12765" s="31"/>
      <c r="F12765" s="31"/>
      <c r="G12765" s="31"/>
      <c r="H12765" s="31"/>
      <c r="I12765" s="31"/>
      <c r="J12765" s="31"/>
      <c r="K12765" s="31"/>
    </row>
    <row r="12766" customFormat="false" ht="17.15" hidden="false" customHeight="false" outlineLevel="0" collapsed="false">
      <c r="A12766" s="1" t="s">
        <v>1090</v>
      </c>
      <c r="B12766" s="1" t="s">
        <v>1132</v>
      </c>
      <c r="C12766" s="33" t="str">
        <f aca="false">IF(SUM(Sens!F12757:J12757)&gt;0.05,"需要舉債 "&amp;TEXT(SUM(Sens!F12757:J12757),"0.0")&amp;" 十億美元","不需舉債")&amp;"；"&amp;IF(SUM(Sens!F12756:J12756)&lt;COUNT(Sens!F12756:J12756)*bb_target-0.05,"回購較每年 "&amp;TEXT(bb_target,"0.0")&amp;" 的目標少 "&amp;TEXT(COUNT(Sens!F12756:J12756)*bb_target-SUM(Sens!F12756:J12756),"0.0")&amp;" 十億美元（"&amp;TEXT(COUNTIF(Sens!F12756:J12756,"&lt;"&amp;(bb_target-0.05)),"0")&amp;" 年減少）","回購不減")</f>
        <v>需要舉債 3.9 十億美元；回購較每年 22.3 的目標少 44.5 十億美元（2 年減少）</v>
      </c>
    </row>
    <row r="12767" customFormat="false" ht="17.15" hidden="false" customHeight="false" outlineLevel="0" collapsed="false">
      <c r="A12767" s="3" t="s">
        <v>1799</v>
      </c>
    </row>
    <row r="12768" customFormat="false" ht="15" hidden="false" customHeight="false" outlineLevel="0" collapsed="false">
      <c r="A12768" s="4" t="s">
        <v>43</v>
      </c>
      <c r="B12768" s="4" t="s">
        <v>65</v>
      </c>
      <c r="C12768" s="23" t="s">
        <v>938</v>
      </c>
      <c r="D12768" s="23" t="s">
        <v>939</v>
      </c>
      <c r="E12768" s="23" t="s">
        <v>940</v>
      </c>
      <c r="F12768" s="23" t="s">
        <v>941</v>
      </c>
      <c r="G12768" s="23" t="s">
        <v>942</v>
      </c>
      <c r="H12768" s="23" t="s">
        <v>943</v>
      </c>
      <c r="I12768" s="23" t="s">
        <v>944</v>
      </c>
      <c r="J12768" s="23" t="s">
        <v>945</v>
      </c>
      <c r="K12768" s="23" t="s">
        <v>946</v>
      </c>
      <c r="L12768" s="4" t="s">
        <v>47</v>
      </c>
    </row>
    <row r="12769" customFormat="false" ht="17.15" hidden="false" customHeight="false" outlineLevel="0" collapsed="false">
      <c r="A12769" s="1" t="s">
        <v>1212</v>
      </c>
      <c r="B12769" s="1" t="s">
        <v>279</v>
      </c>
      <c r="F12769" s="8" t="n">
        <f aca="false">(1-v_off)*mid_yr</f>
        <v>0.373972602739726</v>
      </c>
      <c r="G12769" s="8" t="n">
        <f aca="false">Sens!G12619-base_fy-mid_yr-v_off</f>
        <v>1.24794520547945</v>
      </c>
      <c r="H12769" s="8" t="n">
        <f aca="false">Sens!H12619-base_fy-mid_yr-v_off</f>
        <v>2.24794520547945</v>
      </c>
      <c r="I12769" s="8" t="n">
        <f aca="false">Sens!I12619-base_fy-mid_yr-v_off</f>
        <v>3.24794520547945</v>
      </c>
      <c r="J12769" s="8" t="n">
        <f aca="false">Sens!J12619-base_fy-mid_yr-v_off</f>
        <v>4.24794520547945</v>
      </c>
      <c r="K12769" s="8" t="n">
        <f aca="false">Sens!K12619-base_fy-mid_yr-v_off</f>
        <v>5.24794520547945</v>
      </c>
      <c r="L12769" s="12" t="s">
        <v>1213</v>
      </c>
    </row>
    <row r="12770" customFormat="false" ht="15" hidden="false" customHeight="false" outlineLevel="0" collapsed="false">
      <c r="A12770" s="1" t="s">
        <v>1214</v>
      </c>
      <c r="B12770" s="1" t="s">
        <v>279</v>
      </c>
      <c r="F12770" s="8" t="n">
        <f aca="false">Sens!F12619-base_fy-v_off</f>
        <v>0.747945205479452</v>
      </c>
      <c r="G12770" s="8" t="n">
        <f aca="false">Sens!G12619-base_fy-v_off</f>
        <v>1.74794520547945</v>
      </c>
      <c r="H12770" s="8" t="n">
        <f aca="false">Sens!H12619-base_fy-v_off</f>
        <v>2.74794520547945</v>
      </c>
      <c r="I12770" s="8" t="n">
        <f aca="false">Sens!I12619-base_fy-v_off</f>
        <v>3.74794520547945</v>
      </c>
      <c r="J12770" s="8" t="n">
        <f aca="false">Sens!J12619-base_fy-v_off</f>
        <v>4.74794520547945</v>
      </c>
      <c r="K12770" s="8" t="n">
        <f aca="false">Sens!K12619-base_fy-v_off</f>
        <v>5.74794520547945</v>
      </c>
    </row>
    <row r="12771" customFormat="false" ht="15" hidden="false" customHeight="false" outlineLevel="0" collapsed="false">
      <c r="A12771" s="1" t="s">
        <v>1215</v>
      </c>
      <c r="B12771" s="0" t="s">
        <v>229</v>
      </c>
      <c r="F12771" s="15" t="n">
        <f aca="false">1/(1+wacc)^Sens!F12769</f>
        <v>0.964022703286649</v>
      </c>
      <c r="G12771" s="15" t="n">
        <f aca="false">1/(1+wacc)^Sens!G12769</f>
        <v>0.884910302296739</v>
      </c>
      <c r="H12771" s="15" t="n">
        <f aca="false">1/(1+wacc)^Sens!H12769</f>
        <v>0.802322009770358</v>
      </c>
      <c r="I12771" s="15" t="n">
        <f aca="false">1/(1+wacc)^Sens!I12769</f>
        <v>0.727441646561469</v>
      </c>
      <c r="J12771" s="15" t="n">
        <f aca="false">1/(1+wacc)^Sens!J12769</f>
        <v>0.659549834988973</v>
      </c>
      <c r="K12771" s="15" t="n">
        <f aca="false">1/(1+wacc)^Sens!K12769</f>
        <v>0.597994336576966</v>
      </c>
    </row>
    <row r="12772" customFormat="false" ht="17.15" hidden="false" customHeight="false" outlineLevel="0" collapsed="false">
      <c r="A12772" s="1" t="s">
        <v>1216</v>
      </c>
      <c r="B12772" s="0" t="s">
        <v>98</v>
      </c>
      <c r="F12772" s="6" t="n">
        <f aca="false">Q!$I$35-Q!$I$39-Q!$I$43</f>
        <v>9.666</v>
      </c>
      <c r="L12772" s="12" t="s">
        <v>1217</v>
      </c>
    </row>
    <row r="12773" customFormat="false" ht="17.15" hidden="false" customHeight="false" outlineLevel="0" collapsed="false">
      <c r="A12773" s="1" t="s">
        <v>1218</v>
      </c>
      <c r="B12773" s="0" t="s">
        <v>98</v>
      </c>
      <c r="F12773" s="6" t="n">
        <f aca="false">Sens!F12744-Sens!F12741-Sens!F12748+Sens!F12726*(1-tax_f)*(1-v_off)-Sens!F12772</f>
        <v>-5.27155622654598</v>
      </c>
      <c r="G12773" s="6" t="n">
        <f aca="false">Sens!G12744-Sens!G12741-Sens!G12748+Sens!G12726*(1-tax_f)</f>
        <v>32.7821264879092</v>
      </c>
      <c r="H12773" s="6" t="n">
        <f aca="false">Sens!H12744-Sens!H12741-Sens!H12748+Sens!H12726*(1-tax_f)</f>
        <v>92.1770983747652</v>
      </c>
      <c r="I12773" s="6" t="n">
        <f aca="false">Sens!I12744-Sens!I12741-Sens!I12748+Sens!I12726*(1-tax_f)</f>
        <v>174.538834265301</v>
      </c>
      <c r="J12773" s="6" t="n">
        <f aca="false">Sens!J12744-Sens!J12741-Sens!J12748+Sens!J12726*(1-tax_f)</f>
        <v>255.722262852171</v>
      </c>
      <c r="K12773" s="6" t="n">
        <f aca="false">Sens!K12744-Sens!K12741-Sens!K12748+Sens!K12726*(1-tax_f)</f>
        <v>295.541404138424</v>
      </c>
      <c r="L12773" s="1" t="s">
        <v>1219</v>
      </c>
    </row>
    <row r="12774" customFormat="false" ht="15" hidden="false" customHeight="false" outlineLevel="0" collapsed="false">
      <c r="A12774" s="1" t="s">
        <v>1220</v>
      </c>
      <c r="B12774" s="0" t="s">
        <v>98</v>
      </c>
      <c r="F12774" s="6" t="n">
        <f aca="false">Sens!F12773*Sens!F12771</f>
        <v>-5.08189988404242</v>
      </c>
      <c r="G12774" s="6" t="n">
        <f aca="false">Sens!G12773*Sens!G12771</f>
        <v>29.0092414603457</v>
      </c>
      <c r="H12774" s="6" t="n">
        <f aca="false">Sens!H12773*Sens!H12771</f>
        <v>73.9557148228416</v>
      </c>
      <c r="I12774" s="6" t="n">
        <f aca="false">Sens!I12773*Sens!I12771</f>
        <v>126.96681698687</v>
      </c>
      <c r="J12774" s="6" t="n">
        <f aca="false">Sens!J12773*Sens!J12771</f>
        <v>168.661576267156</v>
      </c>
      <c r="K12774" s="6" t="n">
        <f aca="false">Sens!K12773*Sens!K12771</f>
        <v>176.732085898782</v>
      </c>
    </row>
    <row r="12775" customFormat="false" ht="17.15" hidden="false" customHeight="false" outlineLevel="0" collapsed="false">
      <c r="A12775" s="1" t="s">
        <v>1221</v>
      </c>
      <c r="B12775" s="0" t="s">
        <v>98</v>
      </c>
      <c r="C12775" s="6" t="n">
        <f aca="false">SUM(Sens!F12774:K12774)</f>
        <v>570.243535551952</v>
      </c>
    </row>
    <row r="12776" customFormat="false" ht="17.15" hidden="false" customHeight="false" outlineLevel="0" collapsed="false">
      <c r="A12776" s="1" t="s">
        <v>1222</v>
      </c>
      <c r="B12776" s="0" t="s">
        <v>98</v>
      </c>
      <c r="C12776" s="6" t="n">
        <f aca="false">Sens!K12712*(1+g_tv)*(1-tax_f)</f>
        <v>308.140124621196</v>
      </c>
    </row>
    <row r="12777" customFormat="false" ht="17.15" hidden="false" customHeight="false" outlineLevel="0" collapsed="false">
      <c r="A12777" s="1" t="s">
        <v>1223</v>
      </c>
      <c r="B12777" s="0" t="s">
        <v>98</v>
      </c>
      <c r="C12777" s="6" t="n">
        <f aca="false">Sens!$C$12776*(1-g_tv/(wacc+ronic_prem))</f>
        <v>218.335287937596</v>
      </c>
    </row>
    <row r="12778" customFormat="false" ht="17.15" hidden="false" customHeight="false" outlineLevel="0" collapsed="false">
      <c r="A12778" s="1" t="s">
        <v>1224</v>
      </c>
      <c r="B12778" s="0" t="s">
        <v>98</v>
      </c>
      <c r="C12778" s="6" t="n">
        <f aca="false">Sens!$C$12777/(wacc-g_tv)</f>
        <v>2993.49455612</v>
      </c>
    </row>
    <row r="12779" customFormat="false" ht="15" hidden="false" customHeight="false" outlineLevel="0" collapsed="false">
      <c r="A12779" s="1" t="s">
        <v>1225</v>
      </c>
      <c r="B12779" s="0" t="s">
        <v>98</v>
      </c>
      <c r="C12779" s="6" t="n">
        <f aca="false">Sens!$C$12778/(1+wacc)^Sens!K12770</f>
        <v>1704.512816407</v>
      </c>
    </row>
    <row r="12780" customFormat="false" ht="17.15" hidden="false" customHeight="false" outlineLevel="0" collapsed="false">
      <c r="A12780" s="0" t="s">
        <v>1226</v>
      </c>
      <c r="B12780" s="0" t="s">
        <v>98</v>
      </c>
      <c r="C12780" s="6" t="n">
        <f aca="false">Sens!$C$12775+Sens!$C$12779</f>
        <v>2274.75635195895</v>
      </c>
    </row>
    <row r="12781" customFormat="false" ht="15" hidden="false" customHeight="false" outlineLevel="0" collapsed="false">
      <c r="A12781" s="1" t="s">
        <v>1141</v>
      </c>
      <c r="B12781" s="0" t="s">
        <v>168</v>
      </c>
      <c r="C12781" s="7" t="n">
        <f aca="false">Sens!$C$12779/Sens!$C$12780</f>
        <v>0.749316653161172</v>
      </c>
    </row>
    <row r="12782" customFormat="false" ht="17.15" hidden="false" customHeight="false" outlineLevel="0" collapsed="false">
      <c r="A12782" s="1" t="s">
        <v>1227</v>
      </c>
      <c r="B12782" s="0" t="s">
        <v>98</v>
      </c>
      <c r="C12782" s="6" t="n">
        <f aca="false">Sens!$C$12780+cash_val-debt_val-fl_val+oai_v</f>
        <v>2390.60735195895</v>
      </c>
    </row>
    <row r="12783" customFormat="false" ht="17.15" hidden="false" customHeight="false" outlineLevel="0" collapsed="false">
      <c r="A12783" s="0" t="s">
        <v>1149</v>
      </c>
      <c r="B12783" s="0" t="s">
        <v>75</v>
      </c>
      <c r="C12783" s="5" t="n">
        <f aca="false">Sens!$C$12782/shd_val</f>
        <v>321.059273698489</v>
      </c>
    </row>
    <row r="12784" customFormat="false" ht="15" hidden="false" customHeight="false" outlineLevel="0" collapsed="false">
      <c r="A12784" s="1" t="s">
        <v>1228</v>
      </c>
      <c r="B12784" s="0" t="s">
        <v>75</v>
      </c>
      <c r="C12784" s="8" t="n">
        <f aca="false">div_rem27+Sens!G12752*roll_div_q/q_per_yr</f>
        <v>3.9795</v>
      </c>
    </row>
    <row r="12785" customFormat="false" ht="17.15" hidden="false" customHeight="false" outlineLevel="0" collapsed="false">
      <c r="A12785" s="0" t="s">
        <v>1229</v>
      </c>
      <c r="B12785" s="0" t="s">
        <v>75</v>
      </c>
      <c r="C12785" s="5" t="n">
        <f aca="false">Sens!$C$12783*(1+wacc)^t_roll-Sens!$C$12784</f>
        <v>352.895801272746</v>
      </c>
    </row>
    <row r="12786" customFormat="false" ht="17.15" hidden="false" customHeight="false" outlineLevel="0" collapsed="false">
      <c r="A12786" s="1" t="s">
        <v>1230</v>
      </c>
      <c r="B12786" s="0" t="s">
        <v>168</v>
      </c>
      <c r="F12786" s="7" t="n">
        <f aca="false">Sens!F12738/(Sens!F12683-Sens!F12638)</f>
        <v>0.0685527305696859</v>
      </c>
      <c r="G12786" s="7" t="n">
        <f aca="false">Sens!G12738/(Sens!G12683-Sens!G12638)</f>
        <v>0.0653567731599844</v>
      </c>
      <c r="H12786" s="7" t="n">
        <f aca="false">Sens!H12738/(Sens!H12683-Sens!H12638)</f>
        <v>0.0636628841026972</v>
      </c>
      <c r="I12786" s="7" t="n">
        <f aca="false">Sens!I12738/(Sens!I12683-Sens!I12638)</f>
        <v>0.0633581084335176</v>
      </c>
      <c r="J12786" s="7" t="n">
        <f aca="false">Sens!J12738/(Sens!J12683-Sens!J12638)</f>
        <v>0.0640873955995062</v>
      </c>
      <c r="K12786" s="7" t="n">
        <f aca="false">Sens!K12738/(Sens!K12683-Sens!K12638)</f>
        <v>0.0653962234835198</v>
      </c>
    </row>
    <row r="12787" customFormat="false" ht="17.15" hidden="false" customHeight="false" outlineLevel="0" collapsed="false">
      <c r="A12787" s="0" t="s">
        <v>1231</v>
      </c>
      <c r="B12787" s="0" t="s">
        <v>98</v>
      </c>
      <c r="F12787" s="6" t="n">
        <f aca="false">Sens!F12668*(al_m365+Sens!F12786+sbc_r)</f>
        <v>84.5213906545575</v>
      </c>
      <c r="G12787" s="6" t="n">
        <f aca="false">Sens!G12668*(al_m365+Sens!G12786+sbc_r)</f>
        <v>98.949983331796</v>
      </c>
      <c r="H12787" s="6" t="n">
        <f aca="false">Sens!H12668*(al_m365+Sens!H12786+sbc_r)</f>
        <v>113.543734275326</v>
      </c>
      <c r="I12787" s="6" t="n">
        <f aca="false">Sens!I12668*(al_m365+Sens!I12786+sbc_r)</f>
        <v>126.62058838692</v>
      </c>
      <c r="J12787" s="6" t="n">
        <f aca="false">Sens!J12668*(al_m365+Sens!J12786+sbc_r)</f>
        <v>137.994660156303</v>
      </c>
      <c r="K12787" s="6" t="n">
        <f aca="false">Sens!K12668*(al_m365+Sens!K12786+sbc_r)</f>
        <v>148.989224092997</v>
      </c>
      <c r="L12787" s="12" t="s">
        <v>1232</v>
      </c>
    </row>
    <row r="12788" customFormat="false" ht="17.15" hidden="false" customHeight="false" outlineLevel="0" collapsed="false">
      <c r="A12788" s="0" t="s">
        <v>1233</v>
      </c>
      <c r="B12788" s="0" t="s">
        <v>98</v>
      </c>
      <c r="F12788" s="6" t="n">
        <f aca="false">Sens!F12669*(al_lic+Sens!F12786+sbc_r)</f>
        <v>32.855200196554</v>
      </c>
      <c r="G12788" s="6" t="n">
        <f aca="false">Sens!G12669*(al_lic+Sens!G12786+sbc_r)</f>
        <v>34.1185582613282</v>
      </c>
      <c r="H12788" s="6" t="n">
        <f aca="false">Sens!H12669*(al_lic+Sens!H12786+sbc_r)</f>
        <v>35.3024309363621</v>
      </c>
      <c r="I12788" s="6" t="n">
        <f aca="false">Sens!I12669*(al_lic+Sens!I12786+sbc_r)</f>
        <v>36.3898468129533</v>
      </c>
      <c r="J12788" s="6" t="n">
        <f aca="false">Sens!J12669*(al_lic+Sens!J12786+sbc_r)</f>
        <v>37.3529129529876</v>
      </c>
      <c r="K12788" s="6" t="n">
        <f aca="false">Sens!K12669*(al_lic+Sens!K12786+sbc_r)</f>
        <v>38.158536171203</v>
      </c>
    </row>
    <row r="12789" customFormat="false" ht="17.15" hidden="false" customHeight="false" outlineLevel="0" collapsed="false">
      <c r="A12789" s="0" t="s">
        <v>1234</v>
      </c>
      <c r="B12789" s="0" t="s">
        <v>98</v>
      </c>
      <c r="F12789" s="6" t="n">
        <f aca="false">Sens!F12671*(al_ind+Sens!F12786+sbc_r)</f>
        <v>9.05892547956683</v>
      </c>
      <c r="G12789" s="6" t="n">
        <f aca="false">Sens!G12671*(al_ind+Sens!G12786+sbc_r)</f>
        <v>9.82456487622418</v>
      </c>
      <c r="H12789" s="6" t="n">
        <f aca="false">Sens!H12671*(al_ind+Sens!H12786+sbc_r)</f>
        <v>10.6377408477959</v>
      </c>
      <c r="I12789" s="6" t="n">
        <f aca="false">Sens!I12671*(al_ind+Sens!I12786+sbc_r)</f>
        <v>11.4966323260293</v>
      </c>
      <c r="J12789" s="6" t="n">
        <f aca="false">Sens!J12671*(al_ind+Sens!J12786+sbc_r)</f>
        <v>12.3903660286279</v>
      </c>
      <c r="K12789" s="6" t="n">
        <f aca="false">Sens!K12671*(al_ind+Sens!K12786+sbc_r)</f>
        <v>13.3009129057681</v>
      </c>
    </row>
    <row r="12790" customFormat="false" ht="17.15" hidden="false" customHeight="false" outlineLevel="0" collapsed="false">
      <c r="A12790" s="0" t="s">
        <v>1235</v>
      </c>
      <c r="B12790" s="0" t="s">
        <v>98</v>
      </c>
      <c r="F12790" s="6" t="n">
        <f aca="false">Sens!F12673*(al_fro+Sens!F12786+sbc_r)</f>
        <v>3.55344443532423</v>
      </c>
      <c r="G12790" s="6" t="n">
        <f aca="false">Sens!G12673*(al_fro+Sens!G12786+sbc_r)</f>
        <v>3.75916645971565</v>
      </c>
      <c r="H12790" s="6" t="n">
        <f aca="false">Sens!H12673*(al_fro+Sens!H12786+sbc_r)</f>
        <v>3.994970960527</v>
      </c>
      <c r="I12790" s="6" t="n">
        <f aca="false">Sens!I12673*(al_fro+Sens!I12786+sbc_r)</f>
        <v>4.26396270432353</v>
      </c>
      <c r="J12790" s="6" t="n">
        <f aca="false">Sens!J12673*(al_fro+Sens!J12786+sbc_r)</f>
        <v>4.5667795874336</v>
      </c>
      <c r="K12790" s="6" t="n">
        <f aca="false">Sens!K12673*(al_fro+Sens!K12786+sbc_r)</f>
        <v>4.90238443416026</v>
      </c>
    </row>
    <row r="12791" customFormat="false" ht="17.15" hidden="false" customHeight="false" outlineLevel="0" collapsed="false">
      <c r="A12791" s="0" t="s">
        <v>1236</v>
      </c>
      <c r="B12791" s="0" t="s">
        <v>98</v>
      </c>
      <c r="F12791" s="6" t="n">
        <f aca="false">Sens!F12676*(al_srch+Sens!F12786+sbc_r)</f>
        <v>11.1872483445711</v>
      </c>
      <c r="G12791" s="6" t="n">
        <f aca="false">Sens!G12676*(al_srch+Sens!G12786+sbc_r)</f>
        <v>12.247246048296</v>
      </c>
      <c r="H12791" s="6" t="n">
        <f aca="false">Sens!H12676*(al_srch+Sens!H12786+sbc_r)</f>
        <v>13.3552870946193</v>
      </c>
      <c r="I12791" s="6" t="n">
        <f aca="false">Sens!I12676*(al_srch+Sens!I12786+sbc_r)</f>
        <v>14.5024145321619</v>
      </c>
      <c r="J12791" s="6" t="n">
        <f aca="false">Sens!J12676*(al_srch+Sens!J12786+sbc_r)</f>
        <v>15.667276660652</v>
      </c>
      <c r="K12791" s="6" t="n">
        <f aca="false">Sens!K12676*(al_srch+Sens!K12786+sbc_r)</f>
        <v>16.8186381138719</v>
      </c>
    </row>
    <row r="12792" customFormat="false" ht="17.15" hidden="false" customHeight="false" outlineLevel="0" collapsed="false">
      <c r="A12792" s="0" t="s">
        <v>1237</v>
      </c>
      <c r="B12792" s="0" t="s">
        <v>98</v>
      </c>
      <c r="F12792" s="6" t="n">
        <f aca="false">Sens!F12644-Sens!F12645+Sens!F12726</f>
        <v>45.5432580567763</v>
      </c>
      <c r="G12792" s="6" t="n">
        <f aca="false">Sens!G12644-Sens!G12645+Sens!G12726</f>
        <v>91.4313367558165</v>
      </c>
      <c r="H12792" s="6" t="n">
        <f aca="false">Sens!H12644-Sens!H12645+Sens!H12726</f>
        <v>145.142532464853</v>
      </c>
      <c r="I12792" s="6" t="n">
        <f aca="false">Sens!I12644-Sens!I12645+Sens!I12726</f>
        <v>187.797304561304</v>
      </c>
      <c r="J12792" s="6" t="n">
        <f aca="false">Sens!J12644-Sens!J12645+Sens!J12726</f>
        <v>217.756854425907</v>
      </c>
      <c r="K12792" s="6" t="n">
        <f aca="false">Sens!K12644-Sens!K12645+Sens!K12726</f>
        <v>235.773637903877</v>
      </c>
    </row>
    <row r="12793" customFormat="false" ht="17.15" hidden="false" customHeight="false" outlineLevel="0" collapsed="false">
      <c r="A12793" s="0" t="s">
        <v>1238</v>
      </c>
      <c r="B12793" s="0" t="s">
        <v>98</v>
      </c>
      <c r="F12793" s="6" t="n">
        <f aca="false">Sens!F12705+Sens!F12726+Sens!F12656+Sens!F12786*(Sens!F12675-Sens!F12638)+sbc_r*Sens!F12675</f>
        <v>236.657685106152</v>
      </c>
      <c r="G12793" s="6" t="n">
        <f aca="false">Sens!G12705+Sens!G12726+Sens!G12656+Sens!G12786*(Sens!G12675-Sens!G12638)+sbc_r*Sens!G12675</f>
        <v>305.821652946005</v>
      </c>
      <c r="H12793" s="6" t="n">
        <f aca="false">Sens!H12705+Sens!H12726+Sens!H12656+Sens!H12786*(Sens!H12675-Sens!H12638)+sbc_r*Sens!H12675</f>
        <v>388.715963803515</v>
      </c>
      <c r="I12793" s="6" t="n">
        <f aca="false">Sens!I12705+Sens!I12726+Sens!I12656+Sens!I12786*(Sens!I12675-Sens!I12638)+sbc_r*Sens!I12675</f>
        <v>458.523440896044</v>
      </c>
      <c r="J12793" s="6" t="n">
        <f aca="false">Sens!J12705+Sens!J12726+Sens!J12656+Sens!J12786*(Sens!J12675-Sens!J12638)+sbc_r*Sens!J12675</f>
        <v>512.745740122574</v>
      </c>
      <c r="K12793" s="6" t="n">
        <f aca="false">Sens!K12705+Sens!K12726+Sens!K12656+Sens!K12786*(Sens!K12675-Sens!K12638)+sbc_r*Sens!K12675</f>
        <v>552.662944719355</v>
      </c>
    </row>
    <row r="12794" customFormat="false" ht="17.15" hidden="false" customHeight="false" outlineLevel="0" collapsed="false">
      <c r="A12794" s="0" t="s">
        <v>1239</v>
      </c>
      <c r="B12794" s="0" t="s">
        <v>98</v>
      </c>
      <c r="F12794" s="6" t="n">
        <f aca="false">Sens!F12793-Sens!F12787-Sens!F12788-Sens!F12789-Sens!F12790-Sens!F12792</f>
        <v>61.1254662833728</v>
      </c>
      <c r="G12794" s="6" t="n">
        <f aca="false">Sens!G12793-Sens!G12787-Sens!G12788-Sens!G12789-Sens!G12790-Sens!G12792</f>
        <v>67.7380432611247</v>
      </c>
      <c r="H12794" s="6" t="n">
        <f aca="false">Sens!H12793-Sens!H12787-Sens!H12788-Sens!H12789-Sens!H12790-Sens!H12792</f>
        <v>80.0945543186509</v>
      </c>
      <c r="I12794" s="6" t="n">
        <f aca="false">Sens!I12793-Sens!I12787-Sens!I12788-Sens!I12789-Sens!I12790-Sens!I12792</f>
        <v>91.955106104514</v>
      </c>
      <c r="J12794" s="6" t="n">
        <f aca="false">Sens!J12793-Sens!J12787-Sens!J12788-Sens!J12789-Sens!J12790-Sens!J12792</f>
        <v>102.684166971316</v>
      </c>
      <c r="K12794" s="6" t="n">
        <f aca="false">Sens!K12793-Sens!K12787-Sens!K12788-Sens!K12789-Sens!K12790-Sens!K12792</f>
        <v>111.538249211349</v>
      </c>
    </row>
    <row r="12795" customFormat="false" ht="17.15" hidden="false" customHeight="false" outlineLevel="0" collapsed="false">
      <c r="A12795" s="0" t="s">
        <v>1240</v>
      </c>
      <c r="B12795" s="0" t="s">
        <v>98</v>
      </c>
      <c r="F12795" s="6" t="n">
        <f aca="false">Sens!F12707+Sens!F12786*Sens!F12682+sbc_r*Sens!F12682</f>
        <v>25.6529685421422</v>
      </c>
      <c r="G12795" s="6" t="n">
        <f aca="false">Sens!G12707+Sens!G12786*Sens!G12682+sbc_r*Sens!G12682</f>
        <v>25.1149866026677</v>
      </c>
      <c r="H12795" s="6" t="n">
        <f aca="false">Sens!H12707+Sens!H12786*Sens!H12682+sbc_r*Sens!H12682</f>
        <v>25.9225805870084</v>
      </c>
      <c r="I12795" s="6" t="n">
        <f aca="false">Sens!I12707+Sens!I12786*Sens!I12682+sbc_r*Sens!I12682</f>
        <v>26.9686537951817</v>
      </c>
      <c r="J12795" s="6" t="n">
        <f aca="false">Sens!J12707+Sens!J12786*Sens!J12682+sbc_r*Sens!J12682</f>
        <v>28.2151973975709</v>
      </c>
      <c r="K12795" s="6" t="n">
        <f aca="false">Sens!K12707+Sens!K12786*Sens!K12682+sbc_r*Sens!K12682</f>
        <v>29.6187292373356</v>
      </c>
    </row>
    <row r="12796" customFormat="false" ht="17.15" hidden="false" customHeight="false" outlineLevel="0" collapsed="false">
      <c r="A12796" s="0" t="s">
        <v>1241</v>
      </c>
      <c r="B12796" s="0" t="s">
        <v>98</v>
      </c>
      <c r="F12796" s="6" t="n">
        <f aca="false">(Sens!F12795-Sens!F12791)*Sens!F12678/(Sens!F12678+Sens!F12680)</f>
        <v>8.17002928234424</v>
      </c>
      <c r="G12796" s="6" t="n">
        <f aca="false">(Sens!G12795-Sens!G12791)*Sens!G12678/(Sens!G12678+Sens!G12680)</f>
        <v>7.14261194324866</v>
      </c>
      <c r="H12796" s="6" t="n">
        <f aca="false">(Sens!H12795-Sens!H12791)*Sens!H12678/(Sens!H12678+Sens!H12680)</f>
        <v>6.88496556065237</v>
      </c>
      <c r="I12796" s="6" t="n">
        <f aca="false">(Sens!I12795-Sens!I12791)*Sens!I12678/(Sens!I12678+Sens!I12680)</f>
        <v>6.76999133435064</v>
      </c>
      <c r="J12796" s="6" t="n">
        <f aca="false">(Sens!J12795-Sens!J12791)*Sens!J12678/(Sens!J12678+Sens!J12680)</f>
        <v>6.78461908427709</v>
      </c>
      <c r="K12796" s="6" t="n">
        <f aca="false">(Sens!K12795-Sens!K12791)*Sens!K12678/(Sens!K12678+Sens!K12680)</f>
        <v>6.9209667750947</v>
      </c>
    </row>
    <row r="12797" customFormat="false" ht="17.15" hidden="false" customHeight="false" outlineLevel="0" collapsed="false">
      <c r="A12797" s="0" t="s">
        <v>1242</v>
      </c>
      <c r="B12797" s="0" t="s">
        <v>98</v>
      </c>
      <c r="F12797" s="6" t="n">
        <f aca="false">Sens!F12795-Sens!F12791-Sens!F12796</f>
        <v>6.29569091522681</v>
      </c>
      <c r="G12797" s="6" t="n">
        <f aca="false">Sens!G12795-Sens!G12791-Sens!G12796</f>
        <v>5.72512861112307</v>
      </c>
      <c r="H12797" s="6" t="n">
        <f aca="false">Sens!H12795-Sens!H12791-Sens!H12796</f>
        <v>5.68232793173668</v>
      </c>
      <c r="I12797" s="6" t="n">
        <f aca="false">Sens!I12795-Sens!I12791-Sens!I12796</f>
        <v>5.69624792866914</v>
      </c>
      <c r="J12797" s="6" t="n">
        <f aca="false">Sens!J12795-Sens!J12791-Sens!J12796</f>
        <v>5.76330165264181</v>
      </c>
      <c r="K12797" s="6" t="n">
        <f aca="false">Sens!K12795-Sens!K12791-Sens!K12796</f>
        <v>5.87912434836899</v>
      </c>
    </row>
    <row r="12798" customFormat="false" ht="17.15" hidden="false" customHeight="false" outlineLevel="0" collapsed="false">
      <c r="A12798" s="0" t="s">
        <v>1243</v>
      </c>
      <c r="B12798" s="0" t="s">
        <v>98</v>
      </c>
      <c r="F12798" s="6" t="n">
        <f aca="false">Sens!F12792-tax_f*(Sens!F12792-Sens!F12656)-Sens!F12653</f>
        <v>-125.103434701028</v>
      </c>
      <c r="G12798" s="6" t="n">
        <f aca="false">Sens!G12792-tax_f*(Sens!G12792-Sens!G12656)-Sens!G12653</f>
        <v>-106.652508113935</v>
      </c>
      <c r="H12798" s="6" t="n">
        <f aca="false">Sens!H12792-tax_f*(Sens!H12792-Sens!H12656)-Sens!H12653</f>
        <v>-62.8719599603405</v>
      </c>
      <c r="I12798" s="6" t="n">
        <f aca="false">Sens!I12792-tax_f*(Sens!I12792-Sens!I12656)-Sens!I12653</f>
        <v>4.46921196634244</v>
      </c>
      <c r="J12798" s="6" t="n">
        <f aca="false">Sens!J12792-tax_f*(Sens!J12792-Sens!J12656)-Sens!J12653</f>
        <v>71.6786869547042</v>
      </c>
      <c r="K12798" s="6" t="n">
        <f aca="false">Sens!K12792-tax_f*(Sens!K12792-Sens!K12656)-Sens!K12653</f>
        <v>98.2585911685559</v>
      </c>
    </row>
    <row r="12799" customFormat="false" ht="17.15" hidden="false" customHeight="false" outlineLevel="0" collapsed="false">
      <c r="A12799" s="0" t="s">
        <v>1244</v>
      </c>
      <c r="B12799" s="0" t="s">
        <v>98</v>
      </c>
      <c r="G12799" s="6" t="n">
        <f aca="false">Sens!G12798/(1+wacc)^(Sens!G12769-Sens!F12770)</f>
        <v>-101.553711563197</v>
      </c>
      <c r="H12799" s="6" t="n">
        <f aca="false">Sens!H12798/(1+wacc)^(Sens!H12769-Sens!F12770)</f>
        <v>-54.278917968274</v>
      </c>
      <c r="I12799" s="6" t="n">
        <f aca="false">Sens!I12798/(1+wacc)^(Sens!I12769-Sens!F12770)</f>
        <v>3.49828018556683</v>
      </c>
      <c r="J12799" s="6" t="n">
        <f aca="false">Sens!J12798/(1+wacc)^(Sens!J12769-Sens!F12770)</f>
        <v>50.8701634801045</v>
      </c>
      <c r="K12799" s="6" t="n">
        <f aca="false">Sens!K12798/(1+wacc)^(Sens!K12769-Sens!F12770)</f>
        <v>63.2256175626622</v>
      </c>
      <c r="L12799" s="1" t="s">
        <v>1245</v>
      </c>
    </row>
    <row r="12800" customFormat="false" ht="17.15" hidden="false" customHeight="false" outlineLevel="0" collapsed="false">
      <c r="A12800" s="0" t="s">
        <v>1246</v>
      </c>
      <c r="B12800" s="0" t="s">
        <v>98</v>
      </c>
      <c r="C12800" s="6" t="n">
        <f aca="false">(Sens!K12792-Sens!K12656)*(1-tax_f)*(1+g_tv)*(1-g_tv/(wacc+ronic_prem))/(wacc-g_tv)/(1+wacc)^(Sens!K12770-Sens!F12770)</f>
        <v>454.956609544912</v>
      </c>
    </row>
    <row r="12801" customFormat="false" ht="17.15" hidden="false" customHeight="false" outlineLevel="0" collapsed="false">
      <c r="A12801" s="1" t="s">
        <v>1247</v>
      </c>
      <c r="B12801" s="0" t="s">
        <v>98</v>
      </c>
      <c r="C12801" s="6" t="n">
        <f aca="false">(SUM(Sens!G12799:K12799)+Sens!$C$12800)*(1+wacc)^(t_roll-Sens!F12770)</f>
        <v>430.475164032063</v>
      </c>
      <c r="L12801" s="12" t="s">
        <v>1248</v>
      </c>
    </row>
    <row r="12802" customFormat="false" ht="17.15" hidden="false" customHeight="false" outlineLevel="0" collapsed="false">
      <c r="A12802" s="1" t="s">
        <v>1249</v>
      </c>
      <c r="B12802" s="0" t="s">
        <v>98</v>
      </c>
      <c r="C12802" s="6" t="n">
        <f aca="false">(w_ntm28*Sens!G12644+(1-w_ntm28)*Sens!H12644)*m_ai</f>
        <v>563.316843258668</v>
      </c>
    </row>
    <row r="12803" customFormat="false" ht="17.15" hidden="false" customHeight="false" outlineLevel="0" collapsed="false">
      <c r="A12803" s="1" t="s">
        <v>1250</v>
      </c>
      <c r="B12803" s="0" t="s">
        <v>98</v>
      </c>
      <c r="C12803" s="6" t="n">
        <f aca="false">(w_ntm28*Sens!G12794+(1-w_ntm28)*Sens!H12794)*m_cloud</f>
        <v>992.28232756135</v>
      </c>
    </row>
    <row r="12804" customFormat="false" ht="17.15" hidden="false" customHeight="false" outlineLevel="0" collapsed="false">
      <c r="A12804" s="1" t="s">
        <v>1251</v>
      </c>
      <c r="B12804" s="0" t="s">
        <v>98</v>
      </c>
      <c r="C12804" s="6" t="n">
        <f aca="false">(w_ntm28*Sens!G12787+(1-w_ntm28)*Sens!H12787)*m_sw</f>
        <v>1120.47763155275</v>
      </c>
    </row>
    <row r="12805" customFormat="false" ht="17.15" hidden="false" customHeight="false" outlineLevel="0" collapsed="false">
      <c r="A12805" s="1" t="s">
        <v>1252</v>
      </c>
      <c r="B12805" s="0" t="s">
        <v>98</v>
      </c>
      <c r="C12805" s="6" t="n">
        <f aca="false">(w_ntm28*Sens!G12788+(1-w_ntm28)*Sens!H12788)*m_sw</f>
        <v>372.68398809041</v>
      </c>
    </row>
    <row r="12806" customFormat="false" ht="17.15" hidden="false" customHeight="false" outlineLevel="0" collapsed="false">
      <c r="A12806" s="1" t="s">
        <v>1253</v>
      </c>
      <c r="B12806" s="0" t="s">
        <v>98</v>
      </c>
      <c r="C12806" s="6" t="n">
        <f aca="false">(w_ntm28*Sens!G12789+(1-w_ntm28)*Sens!H12789)*m_sw</f>
        <v>108.992632332144</v>
      </c>
    </row>
    <row r="12807" customFormat="false" ht="17.15" hidden="false" customHeight="false" outlineLevel="0" collapsed="false">
      <c r="A12807" s="1" t="s">
        <v>1254</v>
      </c>
      <c r="B12807" s="0" t="s">
        <v>98</v>
      </c>
      <c r="C12807" s="6" t="n">
        <f aca="false">(w_ntm28*Sens!G12790+(1-w_ntm28)*Sens!H12790)*m_sw</f>
        <v>41.4362652527414</v>
      </c>
    </row>
    <row r="12808" customFormat="false" ht="17.15" hidden="false" customHeight="false" outlineLevel="0" collapsed="false">
      <c r="A12808" s="1" t="s">
        <v>1255</v>
      </c>
      <c r="B12808" s="0" t="s">
        <v>98</v>
      </c>
      <c r="C12808" s="6" t="n">
        <f aca="false">(w_ntm28*Sens!G12791+(1-w_ntm28)*Sens!H12791)*m_ads</f>
        <v>114.891070326937</v>
      </c>
    </row>
    <row r="12809" customFormat="false" ht="17.15" hidden="false" customHeight="false" outlineLevel="0" collapsed="false">
      <c r="A12809" s="1" t="s">
        <v>1256</v>
      </c>
      <c r="B12809" s="0" t="s">
        <v>98</v>
      </c>
      <c r="C12809" s="6" t="n">
        <f aca="false">(w_ntm28*Sens!G12796+(1-w_ntm28)*Sens!H12796)*m_game</f>
        <v>89.1413563570307</v>
      </c>
    </row>
    <row r="12810" customFormat="false" ht="17.15" hidden="false" customHeight="false" outlineLevel="0" collapsed="false">
      <c r="A12810" s="1" t="s">
        <v>1257</v>
      </c>
      <c r="B12810" s="0" t="s">
        <v>98</v>
      </c>
      <c r="C12810" s="6" t="n">
        <f aca="false">(w_ntm28*Sens!G12797+(1-w_ntm28)*Sens!H12797)*m_pc</f>
        <v>82.6389970312069</v>
      </c>
    </row>
    <row r="12811" customFormat="false" ht="17.15" hidden="false" customHeight="false" outlineLevel="0" collapsed="false">
      <c r="A12811" s="1" t="s">
        <v>1258</v>
      </c>
      <c r="B12811" s="0" t="s">
        <v>98</v>
      </c>
      <c r="C12811" s="6" t="n">
        <f aca="false">Sens!$C$12801+Sens!$C$12803+Sens!$C$12804+Sens!$C$12805+Sens!$C$12806+Sens!$C$12807+Sens!$C$12808+Sens!$C$12809+Sens!$C$12810</f>
        <v>3353.01943253664</v>
      </c>
    </row>
    <row r="12812" customFormat="false" ht="17.15" hidden="false" customHeight="false" outlineLevel="0" collapsed="false">
      <c r="A12812" s="1" t="s">
        <v>1259</v>
      </c>
      <c r="B12812" s="0" t="s">
        <v>98</v>
      </c>
      <c r="C12812" s="6" t="n">
        <f aca="false">(Sens!G12773-Sens!G12798)*t_stub</f>
        <v>46.2235364022553</v>
      </c>
      <c r="L12812" s="1" t="s">
        <v>1260</v>
      </c>
    </row>
    <row r="12813" customFormat="false" ht="17.15" hidden="false" customHeight="false" outlineLevel="0" collapsed="false">
      <c r="A12813" s="1" t="s">
        <v>1169</v>
      </c>
      <c r="B12813" s="0" t="s">
        <v>98</v>
      </c>
      <c r="C12813" s="6" t="n">
        <f aca="false">Sens!F12760+oai_v-Sens!F12749+Sens!$C$12812</f>
        <v>159.374929524041</v>
      </c>
      <c r="L12813" s="1" t="s">
        <v>1261</v>
      </c>
    </row>
    <row r="12814" customFormat="false" ht="17.15" hidden="false" customHeight="false" outlineLevel="0" collapsed="false">
      <c r="A12814" s="1" t="s">
        <v>1262</v>
      </c>
      <c r="B12814" s="0" t="s">
        <v>75</v>
      </c>
      <c r="C12814" s="5" t="n">
        <f aca="false">(Sens!$C$12811+Sens!$C$12813)/(Sens!F12762+dil_gap)-Sens!G12752*roll_div_q/q_per_yr</f>
        <v>467.529651822396</v>
      </c>
      <c r="L12814" s="1" t="s">
        <v>1263</v>
      </c>
    </row>
    <row r="12815" customFormat="false" ht="17.15" hidden="false" customHeight="false" outlineLevel="0" collapsed="false">
      <c r="A12815" s="1" t="s">
        <v>1264</v>
      </c>
      <c r="B12815" s="0" t="s">
        <v>75</v>
      </c>
      <c r="C12815" s="5" t="n">
        <f aca="false">w_dcf*Sens!$C$12785+(1-w_dcf)*Sens!$C$12814</f>
        <v>410.212726547571</v>
      </c>
    </row>
    <row r="12816" customFormat="false" ht="17.15" hidden="false" customHeight="false" outlineLevel="0" collapsed="false">
      <c r="A12816" s="3" t="s">
        <v>1800</v>
      </c>
    </row>
    <row r="12817" customFormat="false" ht="15" hidden="false" customHeight="false" outlineLevel="0" collapsed="false">
      <c r="A12817" s="4" t="s">
        <v>43</v>
      </c>
      <c r="B12817" s="4" t="s">
        <v>65</v>
      </c>
      <c r="C12817" s="23" t="s">
        <v>938</v>
      </c>
      <c r="D12817" s="23" t="s">
        <v>939</v>
      </c>
      <c r="E12817" s="23" t="s">
        <v>940</v>
      </c>
      <c r="F12817" s="23" t="s">
        <v>941</v>
      </c>
      <c r="G12817" s="23" t="s">
        <v>942</v>
      </c>
      <c r="H12817" s="23" t="s">
        <v>943</v>
      </c>
      <c r="I12817" s="23" t="s">
        <v>944</v>
      </c>
      <c r="J12817" s="23" t="s">
        <v>945</v>
      </c>
      <c r="K12817" s="23" t="s">
        <v>946</v>
      </c>
      <c r="L12817" s="4" t="s">
        <v>47</v>
      </c>
    </row>
    <row r="12818" customFormat="false" ht="17.15" hidden="false" customHeight="false" outlineLevel="0" collapsed="false">
      <c r="A12818" s="1" t="s">
        <v>947</v>
      </c>
      <c r="B12818" s="1" t="s">
        <v>279</v>
      </c>
      <c r="C12818" s="21" t="n">
        <v>2024</v>
      </c>
      <c r="D12818" s="21" t="n">
        <v>2025</v>
      </c>
      <c r="E12818" s="21" t="n">
        <v>2026</v>
      </c>
      <c r="F12818" s="21" t="n">
        <v>2027</v>
      </c>
      <c r="G12818" s="21" t="n">
        <v>2028</v>
      </c>
      <c r="H12818" s="21" t="n">
        <v>2029</v>
      </c>
      <c r="I12818" s="21" t="n">
        <v>2030</v>
      </c>
      <c r="J12818" s="21" t="n">
        <v>2031</v>
      </c>
      <c r="K12818" s="21" t="n">
        <v>2032</v>
      </c>
    </row>
    <row r="12819" customFormat="false" ht="17.15" hidden="false" customHeight="false" outlineLevel="0" collapsed="false">
      <c r="A12819" s="1" t="s">
        <v>948</v>
      </c>
      <c r="B12819" s="0" t="s">
        <v>456</v>
      </c>
      <c r="F12819" s="30" t="n">
        <f aca="false">pace</f>
        <v>2726.5351</v>
      </c>
      <c r="G12819" s="30" t="n">
        <f aca="false">pace</f>
        <v>2726.5351</v>
      </c>
      <c r="H12819" s="30" t="n">
        <f aca="false">pace</f>
        <v>2726.5351</v>
      </c>
      <c r="I12819" s="30" t="n">
        <f aca="false">pace+(g_tv*Sens!H12820-pace)*MIN(1,(Sens!I12818-pace_y0)/(pace_y1-pace_y0))</f>
        <v>1931.98611966667</v>
      </c>
      <c r="J12819" s="30" t="n">
        <f aca="false">pace+(g_tv*Sens!I12820-pace)*MIN(1,(Sens!J12818-pace_y0)/(pace_y1-pace_y0))</f>
        <v>1176.07686172667</v>
      </c>
      <c r="K12819" s="30" t="n">
        <f aca="false">pace+(g_tv*Sens!J12820-pace)*MIN(1,(Sens!K12818-pace_y0)/(pace_y1-pace_y0))</f>
        <v>436.1300484418</v>
      </c>
      <c r="L12819" s="12" t="s">
        <v>949</v>
      </c>
    </row>
    <row r="12820" customFormat="false" ht="17.15" hidden="false" customHeight="false" outlineLevel="0" collapsed="false">
      <c r="A12820" s="1" t="s">
        <v>950</v>
      </c>
      <c r="B12820" s="0" t="s">
        <v>456</v>
      </c>
      <c r="C12820" s="30" t="n">
        <f aca="false">mw_ext_24</f>
        <v>640</v>
      </c>
      <c r="D12820" s="30" t="n">
        <f aca="false">mw_ext_25</f>
        <v>1630</v>
      </c>
      <c r="E12820" s="30" t="n">
        <f aca="false">mw_ext_26</f>
        <v>3250</v>
      </c>
      <c r="F12820" s="30" t="n">
        <f aca="false">Sens!E12820+Sens!F12819</f>
        <v>5976.5351</v>
      </c>
      <c r="G12820" s="30" t="n">
        <f aca="false">Sens!F12820+Sens!G12819</f>
        <v>8703.0702</v>
      </c>
      <c r="H12820" s="30" t="n">
        <f aca="false">Sens!G12820+Sens!H12819</f>
        <v>11429.6053</v>
      </c>
      <c r="I12820" s="30" t="n">
        <f aca="false">Sens!H12820+Sens!I12819</f>
        <v>13361.5914196667</v>
      </c>
      <c r="J12820" s="30" t="n">
        <f aca="false">Sens!I12820+Sens!J12819</f>
        <v>14537.6682813933</v>
      </c>
      <c r="K12820" s="30" t="n">
        <f aca="false">Sens!J12820+Sens!K12819</f>
        <v>14973.7983298351</v>
      </c>
      <c r="L12820" s="1" t="s">
        <v>951</v>
      </c>
    </row>
    <row r="12821" customFormat="false" ht="17.15" hidden="false" customHeight="false" outlineLevel="0" collapsed="false">
      <c r="A12821" s="1" t="s">
        <v>952</v>
      </c>
      <c r="B12821" s="0" t="s">
        <v>456</v>
      </c>
      <c r="C12821" s="30" t="n">
        <f aca="false">rent_ext_24</f>
        <v>150</v>
      </c>
      <c r="D12821" s="30" t="n">
        <f aca="false">rent_ext_25</f>
        <v>400</v>
      </c>
      <c r="E12821" s="30" t="n">
        <f aca="false">rent_ext_26</f>
        <v>550</v>
      </c>
      <c r="F12821" s="30" t="n">
        <f aca="false">rent_ext_f</f>
        <v>756</v>
      </c>
      <c r="G12821" s="30" t="n">
        <f aca="false">rent_ext_f</f>
        <v>756</v>
      </c>
      <c r="H12821" s="30" t="n">
        <f aca="false">rent_ext_f</f>
        <v>756</v>
      </c>
      <c r="I12821" s="30" t="n">
        <f aca="false">rent_ext_f</f>
        <v>756</v>
      </c>
      <c r="J12821" s="30" t="n">
        <f aca="false">rent_ext_f</f>
        <v>756</v>
      </c>
      <c r="K12821" s="30" t="n">
        <f aca="false">rent_ext_f</f>
        <v>756</v>
      </c>
      <c r="L12821" s="1" t="s">
        <v>953</v>
      </c>
    </row>
    <row r="12822" customFormat="false" ht="17.15" hidden="false" customHeight="false" outlineLevel="0" collapsed="false">
      <c r="A12822" s="1" t="s">
        <v>954</v>
      </c>
      <c r="B12822" s="0" t="s">
        <v>456</v>
      </c>
      <c r="C12822" s="30" t="n">
        <f aca="false">Sens!C12820-Sens!C12821</f>
        <v>490</v>
      </c>
      <c r="D12822" s="30" t="n">
        <f aca="false">Sens!D12820-Sens!D12821</f>
        <v>1230</v>
      </c>
      <c r="E12822" s="30" t="n">
        <f aca="false">Sens!E12820-Sens!E12821</f>
        <v>2700</v>
      </c>
      <c r="F12822" s="30" t="n">
        <f aca="false">Sens!F12820-Sens!F12821</f>
        <v>5220.5351</v>
      </c>
      <c r="G12822" s="30" t="n">
        <f aca="false">Sens!G12820-Sens!G12821</f>
        <v>7947.0702</v>
      </c>
      <c r="H12822" s="30" t="n">
        <f aca="false">Sens!H12820-Sens!H12821</f>
        <v>10673.6053</v>
      </c>
      <c r="I12822" s="30" t="n">
        <f aca="false">Sens!I12820-Sens!I12821</f>
        <v>12605.5914196667</v>
      </c>
      <c r="J12822" s="30" t="n">
        <f aca="false">Sens!J12820-Sens!J12821</f>
        <v>13781.6682813933</v>
      </c>
      <c r="K12822" s="30" t="n">
        <f aca="false">Sens!K12820-Sens!K12821</f>
        <v>14217.7983298351</v>
      </c>
    </row>
    <row r="12823" customFormat="false" ht="17.15" hidden="false" customHeight="false" outlineLevel="0" collapsed="false">
      <c r="A12823" s="1" t="s">
        <v>955</v>
      </c>
      <c r="B12823" s="0" t="s">
        <v>456</v>
      </c>
      <c r="C12823" s="30" t="n">
        <f aca="false">Sens!C12822/ext_sh</f>
        <v>816.666666666667</v>
      </c>
      <c r="D12823" s="30" t="n">
        <f aca="false">Sens!D12822/ext_sh</f>
        <v>2050</v>
      </c>
      <c r="E12823" s="30" t="n">
        <f aca="false">Sens!E12822/ext_sh</f>
        <v>4500</v>
      </c>
      <c r="F12823" s="30" t="n">
        <f aca="false">Sens!F12822/ext_sh</f>
        <v>8700.89183333333</v>
      </c>
      <c r="G12823" s="30" t="n">
        <f aca="false">Sens!G12822/ext_sh</f>
        <v>13245.117</v>
      </c>
      <c r="H12823" s="30" t="n">
        <f aca="false">Sens!H12822/ext_sh</f>
        <v>17789.3421666667</v>
      </c>
      <c r="I12823" s="30" t="n">
        <f aca="false">Sens!I12822/ext_sh</f>
        <v>21009.3190327778</v>
      </c>
      <c r="J12823" s="30" t="n">
        <f aca="false">Sens!J12822/ext_sh</f>
        <v>22969.4471356556</v>
      </c>
      <c r="K12823" s="30" t="n">
        <f aca="false">Sens!K12822/ext_sh</f>
        <v>23696.3305497252</v>
      </c>
      <c r="L12823" s="1" t="s">
        <v>956</v>
      </c>
    </row>
    <row r="12824" customFormat="false" ht="17.15" hidden="false" customHeight="false" outlineLevel="0" collapsed="false">
      <c r="A12824" s="1" t="s">
        <v>957</v>
      </c>
      <c r="B12824" s="0" t="s">
        <v>456</v>
      </c>
      <c r="C12824" s="30" t="n">
        <f aca="false">Sens!C12823-Sens!C12822</f>
        <v>326.666666666667</v>
      </c>
      <c r="D12824" s="30" t="n">
        <f aca="false">Sens!D12823-Sens!D12822</f>
        <v>820</v>
      </c>
      <c r="E12824" s="30" t="n">
        <f aca="false">Sens!E12823-Sens!E12822</f>
        <v>1800</v>
      </c>
      <c r="F12824" s="30" t="n">
        <f aca="false">Sens!F12823-Sens!F12822</f>
        <v>3480.35673333333</v>
      </c>
      <c r="G12824" s="30" t="n">
        <f aca="false">Sens!G12823-Sens!G12822</f>
        <v>5298.0468</v>
      </c>
      <c r="H12824" s="30" t="n">
        <f aca="false">Sens!H12823-Sens!H12822</f>
        <v>7115.73686666667</v>
      </c>
      <c r="I12824" s="30" t="n">
        <f aca="false">Sens!I12823-Sens!I12822</f>
        <v>8403.72761311111</v>
      </c>
      <c r="J12824" s="30" t="n">
        <f aca="false">Sens!J12823-Sens!J12822</f>
        <v>9187.77885426222</v>
      </c>
      <c r="K12824" s="30" t="n">
        <f aca="false">Sens!K12823-Sens!K12822</f>
        <v>9478.53221989009</v>
      </c>
    </row>
    <row r="12825" customFormat="false" ht="17.15" hidden="false" customHeight="false" outlineLevel="0" collapsed="false">
      <c r="A12825" s="1" t="s">
        <v>958</v>
      </c>
      <c r="B12825" s="0" t="s">
        <v>456</v>
      </c>
      <c r="C12825" s="30" t="n">
        <f aca="false">Sens!C12823</f>
        <v>816.666666666667</v>
      </c>
      <c r="D12825" s="30" t="n">
        <f aca="false">Sens!D12823-Sens!C12823</f>
        <v>1233.33333333333</v>
      </c>
      <c r="E12825" s="30" t="n">
        <f aca="false">Sens!E12823-Sens!D12823</f>
        <v>2450</v>
      </c>
      <c r="F12825" s="30" t="n">
        <f aca="false">Sens!F12823-Sens!E12823</f>
        <v>4200.89183333333</v>
      </c>
      <c r="G12825" s="30" t="n">
        <f aca="false">Sens!G12823-Sens!F12823</f>
        <v>4544.22516666667</v>
      </c>
      <c r="H12825" s="30" t="n">
        <f aca="false">Sens!H12823-Sens!G12823</f>
        <v>4544.22516666667</v>
      </c>
      <c r="I12825" s="30" t="n">
        <f aca="false">Sens!I12823-Sens!H12823</f>
        <v>3219.97686611111</v>
      </c>
      <c r="J12825" s="30" t="n">
        <f aca="false">Sens!J12823-Sens!I12823</f>
        <v>1960.12810287778</v>
      </c>
      <c r="K12825" s="30" t="n">
        <f aca="false">Sens!K12823-Sens!J12823</f>
        <v>726.883414069667</v>
      </c>
    </row>
    <row r="12826" customFormat="false" ht="17.15" hidden="false" customHeight="false" outlineLevel="0" collapsed="false">
      <c r="A12826" s="1" t="s">
        <v>959</v>
      </c>
      <c r="B12826" s="0" t="s">
        <v>456</v>
      </c>
      <c r="D12826" s="30" t="n">
        <f aca="false">Sens!D12820-Sens!C12820</f>
        <v>990</v>
      </c>
      <c r="E12826" s="30" t="n">
        <f aca="false">Sens!E12820-Sens!D12820</f>
        <v>1620</v>
      </c>
      <c r="F12826" s="30" t="n">
        <f aca="false">Sens!F12820-Sens!E12820</f>
        <v>2726.5351</v>
      </c>
      <c r="G12826" s="30" t="n">
        <f aca="false">Sens!G12820-Sens!F12820</f>
        <v>2726.5351</v>
      </c>
      <c r="H12826" s="30" t="n">
        <f aca="false">Sens!H12820-Sens!G12820</f>
        <v>2726.5351</v>
      </c>
      <c r="I12826" s="30" t="n">
        <f aca="false">Sens!I12820-Sens!H12820</f>
        <v>1931.98611966667</v>
      </c>
      <c r="J12826" s="30" t="n">
        <f aca="false">Sens!J12820-Sens!I12820</f>
        <v>1176.07686172667</v>
      </c>
      <c r="K12826" s="30" t="n">
        <f aca="false">Sens!K12820-Sens!J12820</f>
        <v>436.130048441799</v>
      </c>
    </row>
    <row r="12827" customFormat="false" ht="17.15" hidden="false" customHeight="false" outlineLevel="0" collapsed="false">
      <c r="A12827" s="1" t="s">
        <v>960</v>
      </c>
      <c r="B12827" s="0" t="s">
        <v>456</v>
      </c>
      <c r="F12827" s="30" t="n">
        <f aca="false">Sens!F12846*ext_sh</f>
        <v>0</v>
      </c>
      <c r="G12827" s="30" t="n">
        <f aca="false">Sens!G12846*ext_sh</f>
        <v>0</v>
      </c>
      <c r="H12827" s="30" t="n">
        <f aca="false">Sens!H12846*ext_sh</f>
        <v>0</v>
      </c>
      <c r="I12827" s="30" t="n">
        <f aca="false">Sens!I12846*ext_sh</f>
        <v>490</v>
      </c>
      <c r="J12827" s="30" t="n">
        <f aca="false">Sens!J12846*ext_sh</f>
        <v>740</v>
      </c>
      <c r="K12827" s="30" t="n">
        <f aca="false">Sens!K12846*ext_sh</f>
        <v>1470</v>
      </c>
      <c r="L12827" s="1" t="s">
        <v>961</v>
      </c>
    </row>
    <row r="12828" customFormat="false" ht="17.15" hidden="false" customHeight="false" outlineLevel="0" collapsed="false">
      <c r="A12828" s="1" t="s">
        <v>962</v>
      </c>
      <c r="B12828" s="0" t="s">
        <v>456</v>
      </c>
      <c r="C12828" s="30" t="n">
        <f aca="false">mix_h*Sens!C12820</f>
        <v>128</v>
      </c>
      <c r="D12828" s="30" t="n">
        <f aca="false">mix_h*Sens!D12820</f>
        <v>326</v>
      </c>
      <c r="E12828" s="30" t="n">
        <f aca="false">mix_h*Sens!E12820</f>
        <v>650</v>
      </c>
      <c r="F12828" s="30" t="n">
        <f aca="false">Sens!E12828-Sens!F12827*mix_h</f>
        <v>650</v>
      </c>
      <c r="G12828" s="30" t="n">
        <f aca="false">Sens!F12828-Sens!G12827*mix_h</f>
        <v>650</v>
      </c>
      <c r="H12828" s="30" t="n">
        <f aca="false">Sens!G12828-Sens!H12827*mix_h</f>
        <v>650</v>
      </c>
      <c r="I12828" s="30" t="n">
        <f aca="false">Sens!H12828-Sens!I12827*mix_h</f>
        <v>552</v>
      </c>
      <c r="J12828" s="30" t="n">
        <f aca="false">Sens!I12828-Sens!J12827*mix_h</f>
        <v>404</v>
      </c>
      <c r="K12828" s="30" t="n">
        <f aca="false">Sens!J12828-Sens!K12827*mix_h</f>
        <v>110</v>
      </c>
    </row>
    <row r="12829" customFormat="false" ht="17.15" hidden="false" customHeight="false" outlineLevel="0" collapsed="false">
      <c r="A12829" s="1" t="s">
        <v>963</v>
      </c>
      <c r="B12829" s="0" t="s">
        <v>456</v>
      </c>
      <c r="C12829" s="30" t="n">
        <f aca="false">mix_g2*Sens!C12820</f>
        <v>288</v>
      </c>
      <c r="D12829" s="30" t="n">
        <f aca="false">mix_g2*Sens!D12820</f>
        <v>733.5</v>
      </c>
      <c r="E12829" s="30" t="n">
        <f aca="false">mix_g2*Sens!E12820</f>
        <v>1462.5</v>
      </c>
      <c r="F12829" s="30" t="n">
        <f aca="false">Sens!E12829-Sens!F12827*mix_g2</f>
        <v>1462.5</v>
      </c>
      <c r="G12829" s="30" t="n">
        <f aca="false">Sens!F12829-Sens!G12827*mix_g2</f>
        <v>1462.5</v>
      </c>
      <c r="H12829" s="30" t="n">
        <f aca="false">Sens!G12829-Sens!H12827*mix_g2</f>
        <v>1462.5</v>
      </c>
      <c r="I12829" s="30" t="n">
        <f aca="false">Sens!H12829-Sens!I12827*mix_g2</f>
        <v>1242</v>
      </c>
      <c r="J12829" s="30" t="n">
        <f aca="false">Sens!I12829-Sens!J12827*mix_g2</f>
        <v>909</v>
      </c>
      <c r="K12829" s="30" t="n">
        <f aca="false">Sens!J12829-Sens!K12827*mix_g2</f>
        <v>247.5</v>
      </c>
    </row>
    <row r="12830" customFormat="false" ht="17.15" hidden="false" customHeight="false" outlineLevel="0" collapsed="false">
      <c r="A12830" s="1" t="s">
        <v>964</v>
      </c>
      <c r="B12830" s="0" t="s">
        <v>456</v>
      </c>
      <c r="C12830" s="30" t="n">
        <f aca="false">mix_g3*Sens!C12820</f>
        <v>224</v>
      </c>
      <c r="D12830" s="30" t="n">
        <f aca="false">mix_g3*Sens!D12820</f>
        <v>570.5</v>
      </c>
      <c r="E12830" s="30" t="n">
        <f aca="false">mix_g3*Sens!E12820</f>
        <v>1137.5</v>
      </c>
      <c r="F12830" s="30" t="n">
        <f aca="false">Sens!E12830+(Sens!F12826+Sens!F12827)*(a_g3_27-nonnv*a_mai)-Sens!F12827*mix_g3</f>
        <v>2773.42106</v>
      </c>
      <c r="G12830" s="30" t="n">
        <f aca="false">Sens!F12830+(Sens!G12826+Sens!G12827)*(a_g3_28-nonnv*a_mai)-Sens!G12827*mix_g3</f>
        <v>3318.72808</v>
      </c>
      <c r="H12830" s="30" t="n">
        <f aca="false">Sens!G12830+(Sens!H12826+Sens!H12827)*(a_g3_29-nonnv*a_mai)-Sens!H12827*mix_g3</f>
        <v>3318.72808</v>
      </c>
      <c r="I12830" s="30" t="n">
        <f aca="false">Sens!H12830+(Sens!I12826+Sens!I12827)*(a_g3_29-nonnv*a_mai)-Sens!I12827*mix_g3</f>
        <v>3147.22808</v>
      </c>
      <c r="J12830" s="30" t="n">
        <f aca="false">Sens!I12830+(Sens!J12826+Sens!J12827)*(a_g3_29-nonnv*a_mai)-Sens!J12827*mix_g3</f>
        <v>2888.22808</v>
      </c>
      <c r="K12830" s="30" t="n">
        <f aca="false">Sens!J12830+(Sens!K12826+Sens!K12827)*(a_g3_29-nonnv*a_mai)-Sens!K12827*mix_g3</f>
        <v>2373.72808</v>
      </c>
    </row>
    <row r="12831" customFormat="false" ht="17.15" hidden="false" customHeight="false" outlineLevel="0" collapsed="false">
      <c r="A12831" s="1" t="s">
        <v>965</v>
      </c>
      <c r="B12831" s="0" t="s">
        <v>456</v>
      </c>
      <c r="C12831" s="30" t="n">
        <v>0</v>
      </c>
      <c r="D12831" s="30" t="n">
        <v>0</v>
      </c>
      <c r="E12831" s="30" t="n">
        <v>0</v>
      </c>
      <c r="F12831" s="30" t="n">
        <f aca="false">Sens!E12831+(Sens!F12826+Sens!F12827)*nonnv*a_mai</f>
        <v>272.65351</v>
      </c>
      <c r="G12831" s="30" t="n">
        <f aca="false">Sens!F12831+(Sens!G12826+Sens!G12827)*nonnv*a_mai</f>
        <v>545.30702</v>
      </c>
      <c r="H12831" s="30" t="n">
        <f aca="false">Sens!G12831+(Sens!H12826+Sens!H12827)*nonnv*a_mai</f>
        <v>817.96053</v>
      </c>
      <c r="I12831" s="30" t="n">
        <f aca="false">Sens!H12831+(Sens!I12826+Sens!I12827)*nonnv*a_mai</f>
        <v>1060.15914196667</v>
      </c>
      <c r="J12831" s="30" t="n">
        <f aca="false">Sens!I12831+(Sens!J12826+Sens!J12827)*nonnv*a_mai</f>
        <v>1251.76682813933</v>
      </c>
      <c r="K12831" s="30" t="n">
        <f aca="false">Sens!J12831+(Sens!K12826+Sens!K12827)*nonnv*a_mai</f>
        <v>1442.37983298351</v>
      </c>
      <c r="L12831" s="12" t="s">
        <v>966</v>
      </c>
    </row>
    <row r="12832" customFormat="false" ht="17.15" hidden="false" customHeight="false" outlineLevel="0" collapsed="false">
      <c r="A12832" s="1" t="s">
        <v>967</v>
      </c>
      <c r="B12832" s="0" t="s">
        <v>456</v>
      </c>
      <c r="C12832" s="30" t="n">
        <v>0</v>
      </c>
      <c r="D12832" s="30" t="n">
        <v>0</v>
      </c>
      <c r="E12832" s="30" t="n">
        <v>0</v>
      </c>
      <c r="F12832" s="30" t="n">
        <f aca="false">Sens!E12832+(Sens!F12826+Sens!F12827)*(1-a_g3_27)</f>
        <v>817.96053</v>
      </c>
      <c r="G12832" s="30" t="n">
        <f aca="false">Sens!F12832+(Sens!G12826+Sens!G12827)*(1-a_g3_28)</f>
        <v>2726.5351</v>
      </c>
      <c r="H12832" s="30" t="n">
        <f aca="false">Sens!G12832+(Sens!H12826+Sens!H12827)*(1-a_g3_29)</f>
        <v>5180.41669</v>
      </c>
      <c r="I12832" s="30" t="n">
        <f aca="false">Sens!H12832+(Sens!I12826+Sens!I12827)*(1-a_g3_29)</f>
        <v>7360.2041977</v>
      </c>
      <c r="J12832" s="30" t="n">
        <f aca="false">Sens!I12832+(Sens!J12826+Sens!J12827)*(1-a_g3_29)</f>
        <v>9084.673373254</v>
      </c>
      <c r="K12832" s="30" t="n">
        <f aca="false">Sens!J12832+(Sens!K12826+Sens!K12827)*(1-a_g3_29)</f>
        <v>10800.1904168516</v>
      </c>
    </row>
    <row r="12833" customFormat="false" ht="17.15" hidden="false" customHeight="false" outlineLevel="0" collapsed="false">
      <c r="A12833" s="1" t="s">
        <v>968</v>
      </c>
      <c r="B12833" s="0" t="s">
        <v>403</v>
      </c>
      <c r="C12833" s="15" t="n">
        <f aca="false">(Sens!C12828*tk_hold_h100+Sens!C12829*tk_hold_gb200+Sens!C12830*tk_hold_gb300+Sens!C12832*tk_hold_vr200+Sens!C12831*nv_hold_mai*tk_hold_vr200)/Sens!C12820</f>
        <v>9.7235358126469</v>
      </c>
      <c r="D12833" s="15" t="n">
        <f aca="false">(Sens!D12828*tk_hold_h100+Sens!D12829*tk_hold_gb200+Sens!D12830*tk_hold_gb300+Sens!D12832*tk_hold_vr200+Sens!D12831*nv_hold_mai*tk_hold_vr200)/Sens!D12820</f>
        <v>9.7235358126469</v>
      </c>
      <c r="E12833" s="15" t="n">
        <f aca="false">(Sens!E12828*tk_hold_h100+Sens!E12829*tk_hold_gb200+Sens!E12830*tk_hold_gb300+Sens!E12832*tk_hold_vr200+Sens!E12831*nv_hold_mai*tk_hold_vr200)/Sens!E12820</f>
        <v>9.7235358126469</v>
      </c>
      <c r="F12833" s="15" t="n">
        <f aca="false">(Sens!F12828*tk_hold_h100+Sens!F12829*tk_hold_gb200+Sens!F12830*tk_hold_gb300+Sens!F12832*tk_hold_vr200+Sens!F12831*nv_hold_mai*tk_hold_vr200)/Sens!F12820</f>
        <v>10.2195353876665</v>
      </c>
      <c r="G12833" s="15" t="n">
        <f aca="false">(Sens!G12828*tk_hold_h100+Sens!G12829*tk_hold_gb200+Sens!G12830*tk_hold_gb300+Sens!G12832*tk_hold_vr200+Sens!G12831*nv_hold_mai*tk_hold_vr200)/Sens!G12820</f>
        <v>10.5725598017306</v>
      </c>
      <c r="H12833" s="15" t="n">
        <f aca="false">(Sens!H12828*tk_hold_h100+Sens!H12829*tk_hold_gb200+Sens!H12830*tk_hold_gb300+Sens!H12832*tk_hold_vr200+Sens!H12831*nv_hold_mai*tk_hold_vr200)/Sens!H12820</f>
        <v>10.8210427149036</v>
      </c>
      <c r="I12833" s="15" t="n">
        <f aca="false">(Sens!I12828*tk_hold_h100+Sens!I12829*tk_hold_gb200+Sens!I12830*tk_hold_gb300+Sens!I12832*tk_hold_vr200+Sens!I12831*nv_hold_mai*tk_hold_vr200)/Sens!I12820</f>
        <v>11.0050618241982</v>
      </c>
      <c r="J12833" s="15" t="n">
        <f aca="false">(Sens!J12828*tk_hold_h100+Sens!J12829*tk_hold_gb200+Sens!J12830*tk_hold_gb300+Sens!J12832*tk_hold_vr200+Sens!J12831*nv_hold_mai*tk_hold_vr200)/Sens!J12820</f>
        <v>11.1505789658881</v>
      </c>
      <c r="K12833" s="15" t="n">
        <f aca="false">(Sens!K12828*tk_hold_h100+Sens!K12829*tk_hold_gb200+Sens!K12830*tk_hold_gb300+Sens!K12832*tk_hold_vr200+Sens!K12831*nv_hold_mai*tk_hold_vr200)/Sens!K12820</f>
        <v>11.3496914757183</v>
      </c>
      <c r="L12833" s="1" t="s">
        <v>969</v>
      </c>
    </row>
    <row r="12834" customFormat="false" ht="17.15" hidden="false" customHeight="false" outlineLevel="0" collapsed="false">
      <c r="A12834" s="1" t="s">
        <v>970</v>
      </c>
      <c r="B12834" s="0" t="s">
        <v>403</v>
      </c>
      <c r="C12834" s="15" t="n">
        <f aca="false">(Sens!C12828*tk_hold_h100+Sens!C12829*tk_hold_gb200+Sens!C12830*tk_hold_gb300+Sens!C12832*tk_hold_vr200+Sens!C12831*nv_out_mai*tk_hold_vr200)/Sens!C12820</f>
        <v>9.7235358126469</v>
      </c>
      <c r="D12834" s="15" t="n">
        <f aca="false">(Sens!D12828*tk_hold_h100+Sens!D12829*tk_hold_gb200+Sens!D12830*tk_hold_gb300+Sens!D12832*tk_hold_vr200+Sens!D12831*nv_out_mai*tk_hold_vr200)/Sens!D12820</f>
        <v>9.7235358126469</v>
      </c>
      <c r="E12834" s="15" t="n">
        <f aca="false">(Sens!E12828*tk_hold_h100+Sens!E12829*tk_hold_gb200+Sens!E12830*tk_hold_gb300+Sens!E12832*tk_hold_vr200+Sens!E12831*nv_out_mai*tk_hold_vr200)/Sens!E12820</f>
        <v>9.7235358126469</v>
      </c>
      <c r="F12834" s="15" t="n">
        <f aca="false">(Sens!F12828*tk_hold_h100+Sens!F12829*tk_hold_gb200+Sens!F12830*tk_hold_gb300+Sens!F12832*tk_hold_vr200+Sens!F12831*nv_out_mai*tk_hold_vr200)/Sens!F12820</f>
        <v>10.247422093969</v>
      </c>
      <c r="G12834" s="15" t="n">
        <f aca="false">(Sens!G12828*tk_hold_h100+Sens!G12829*tk_hold_gb200+Sens!G12830*tk_hold_gb300+Sens!G12832*tk_hold_vr200+Sens!G12831*nv_out_mai*tk_hold_vr200)/Sens!G12820</f>
        <v>10.6108602808053</v>
      </c>
      <c r="H12834" s="15" t="n">
        <f aca="false">(Sens!H12828*tk_hold_h100+Sens!H12829*tk_hold_gb200+Sens!H12830*tk_hold_gb300+Sens!H12832*tk_hold_vr200+Sens!H12831*nv_out_mai*tk_hold_vr200)/Sens!H12820</f>
        <v>10.8647885507393</v>
      </c>
      <c r="I12834" s="15" t="n">
        <f aca="false">(Sens!I12828*tk_hold_h100+Sens!I12829*tk_hold_gb200+Sens!I12830*tk_hold_gb300+Sens!I12832*tk_hold_vr200+Sens!I12831*nv_out_mai*tk_hold_vr200)/Sens!I12820</f>
        <v>11.0535625770025</v>
      </c>
      <c r="J12834" s="15" t="n">
        <f aca="false">(Sens!J12828*tk_hold_h100+Sens!J12829*tk_hold_gb200+Sens!J12830*tk_hold_gb300+Sens!J12832*tk_hold_vr200+Sens!J12831*nv_out_mai*tk_hold_vr200)/Sens!J12820</f>
        <v>11.2032127128058</v>
      </c>
      <c r="K12834" s="15" t="n">
        <f aca="false">(Sens!K12828*tk_hold_h100+Sens!K12829*tk_hold_gb200+Sens!K12830*tk_hold_gb300+Sens!K12832*tk_hold_vr200+Sens!K12831*nv_out_mai*tk_hold_vr200)/Sens!K12820</f>
        <v>11.4085735724225</v>
      </c>
      <c r="L12834" s="12" t="s">
        <v>971</v>
      </c>
    </row>
    <row r="12835" customFormat="false" ht="17.15" hidden="false" customHeight="false" outlineLevel="0" collapsed="false">
      <c r="A12835" s="0" t="s">
        <v>972</v>
      </c>
      <c r="B12835" s="0" t="s">
        <v>229</v>
      </c>
      <c r="C12835" s="15" t="n">
        <f aca="false">k_B</f>
        <v>1.17213932619116</v>
      </c>
      <c r="D12835" s="15" t="n">
        <f aca="false">k_B</f>
        <v>1.17213932619116</v>
      </c>
      <c r="E12835" s="15" t="n">
        <f aca="false">k_B</f>
        <v>1.17213932619116</v>
      </c>
      <c r="F12835" s="15" t="n">
        <f aca="false">(k_B+((ls_B*k_long+(1-ls_B)*k_spot)-k_B)*MIN(1,(Sens!F12818-base_fy)/k_ramp))</f>
        <v>1.17213932619116</v>
      </c>
      <c r="G12835" s="15" t="n">
        <f aca="false">(k_B+((ls_B*k_long+(1-ls_B)*k_spot)-k_B)*MIN(1,(Sens!G12818-base_fy)/k_ramp))</f>
        <v>1.17213932619116</v>
      </c>
      <c r="H12835" s="15" t="n">
        <f aca="false">(k_B+((ls_B*k_long+(1-ls_B)*k_spot)-k_B)*MIN(1,(Sens!H12818-base_fy)/k_ramp))</f>
        <v>1.17213932619116</v>
      </c>
      <c r="I12835" s="15" t="n">
        <f aca="false">(k_B+((ls_B*k_long+(1-ls_B)*k_spot)-k_B)*MIN(1,(Sens!I12818-base_fy)/k_ramp))</f>
        <v>1.17213932619116</v>
      </c>
      <c r="J12835" s="15" t="n">
        <f aca="false">(k_B+((ls_B*k_long+(1-ls_B)*k_spot)-k_B)*MIN(1,(Sens!J12818-base_fy)/k_ramp))</f>
        <v>1.17213932619116</v>
      </c>
      <c r="K12835" s="15" t="n">
        <f aca="false">(k_B+((ls_B*k_long+(1-ls_B)*k_spot)-k_B)*MIN(1,(Sens!K12818-base_fy)/k_ramp))</f>
        <v>1.17213932619116</v>
      </c>
      <c r="L12835" s="1" t="s">
        <v>973</v>
      </c>
    </row>
    <row r="12836" customFormat="false" ht="17.15" hidden="false" customHeight="false" outlineLevel="0" collapsed="false">
      <c r="A12836" s="1" t="s">
        <v>974</v>
      </c>
      <c r="B12836" s="0" t="s">
        <v>403</v>
      </c>
      <c r="C12836" s="15" t="n">
        <f aca="false">Sens!C12834*Sens!C12835*chip_f</f>
        <v>11.3973387156315</v>
      </c>
      <c r="D12836" s="15" t="n">
        <f aca="false">Sens!D12834*Sens!D12835*chip_f</f>
        <v>11.3973387156315</v>
      </c>
      <c r="E12836" s="15" t="n">
        <f aca="false">Sens!E12834*Sens!E12835*chip_f</f>
        <v>11.3973387156315</v>
      </c>
      <c r="F12836" s="15" t="n">
        <f aca="false">Sens!F12834*Sens!F12835*chip_f</f>
        <v>12.0114064284211</v>
      </c>
      <c r="G12836" s="15" t="n">
        <f aca="false">Sens!G12834*Sens!G12835*chip_f</f>
        <v>12.4374066198516</v>
      </c>
      <c r="H12836" s="15" t="n">
        <f aca="false">Sens!H12834*Sens!H12835*chip_f</f>
        <v>12.735045931073</v>
      </c>
      <c r="I12836" s="15" t="n">
        <f aca="false">Sens!I12834*Sens!I12835*chip_f</f>
        <v>12.9563153910195</v>
      </c>
      <c r="J12836" s="15" t="n">
        <f aca="false">Sens!J12834*Sens!J12835*chip_f</f>
        <v>13.1317262003643</v>
      </c>
      <c r="K12836" s="15" t="n">
        <f aca="false">Sens!K12834*Sens!K12835*chip_f</f>
        <v>13.3724377399815</v>
      </c>
      <c r="L12836" s="1" t="s">
        <v>975</v>
      </c>
    </row>
    <row r="12837" customFormat="false" ht="17.15" hidden="false" customHeight="false" outlineLevel="0" collapsed="false">
      <c r="A12837" s="0" t="s">
        <v>976</v>
      </c>
      <c r="B12837" s="0" t="s">
        <v>98</v>
      </c>
      <c r="D12837" s="6" t="n">
        <f aca="false">(Sens!C12820+Sens!D12820)/2*Sens!D12836/1000</f>
        <v>12.9359794422418</v>
      </c>
      <c r="E12837" s="6" t="n">
        <f aca="false">(Sens!D12820+Sens!E12820)/2*Sens!E12836/1000</f>
        <v>27.8095064661409</v>
      </c>
      <c r="F12837" s="6" t="n">
        <f aca="false">(Sens!E12820+Sens!F12820)/2*Sens!F12836/1000</f>
        <v>55.4118315060966</v>
      </c>
      <c r="G12837" s="6" t="n">
        <f aca="false">(Sens!F12820+Sens!G12820)/2*Sens!G12836/1000</f>
        <v>91.2881100675143</v>
      </c>
      <c r="H12837" s="6" t="n">
        <f aca="false">(Sens!G12820+Sens!H12820)/2*Sens!H12836/1000</f>
        <v>128.195273603944</v>
      </c>
      <c r="I12837" s="6" t="n">
        <f aca="false">(Sens!H12820+Sens!I12820)/2*Sens!I12836/1000</f>
        <v>160.601281810405</v>
      </c>
      <c r="J12837" s="6" t="n">
        <f aca="false">(Sens!I12820+Sens!J12820)/2*Sens!J12836/1000</f>
        <v>183.182719793589</v>
      </c>
      <c r="K12837" s="6" t="n">
        <f aca="false">(Sens!J12820+Sens!K12820)/2*Sens!K12836/1000</f>
        <v>197.320124937098</v>
      </c>
      <c r="L12837" s="12" t="s">
        <v>977</v>
      </c>
    </row>
    <row r="12838" customFormat="false" ht="17.15" hidden="false" customHeight="false" outlineLevel="0" collapsed="false">
      <c r="A12838" s="1" t="s">
        <v>978</v>
      </c>
      <c r="B12838" s="0" t="s">
        <v>403</v>
      </c>
      <c r="C12838" s="15" t="n">
        <f aca="false">(Sens!C12828*tk_opex_h100+Sens!C12829*tk_opex_gb200+Sens!C12830*tk_opex_gb300+(Sens!C12832+Sens!C12831)*tk_opex_vr200)/Sens!C12820</f>
        <v>1.88636041306092</v>
      </c>
      <c r="D12838" s="15" t="n">
        <f aca="false">(Sens!D12828*tk_opex_h100+Sens!D12829*tk_opex_gb200+Sens!D12830*tk_opex_gb300+(Sens!D12832+Sens!D12831)*tk_opex_vr200)/Sens!D12820</f>
        <v>1.88636041306092</v>
      </c>
      <c r="E12838" s="15" t="n">
        <f aca="false">(Sens!E12828*tk_opex_h100+Sens!E12829*tk_opex_gb200+Sens!E12830*tk_opex_gb300+(Sens!E12832+Sens!E12831)*tk_opex_vr200)/Sens!E12820</f>
        <v>1.88636041306092</v>
      </c>
      <c r="F12838" s="15" t="n">
        <f aca="false">(Sens!F12828*tk_opex_h100+Sens!F12829*tk_opex_gb200+Sens!F12830*tk_opex_gb300+(Sens!F12832+Sens!F12831)*tk_opex_vr200)/Sens!F12820</f>
        <v>1.95051159746876</v>
      </c>
      <c r="G12838" s="15" t="n">
        <f aca="false">(Sens!G12828*tk_opex_h100+Sens!G12829*tk_opex_gb200+Sens!G12830*tk_opex_gb300+(Sens!G12832+Sens!G12831)*tk_opex_vr200)/Sens!G12820</f>
        <v>1.98836003669956</v>
      </c>
      <c r="H12838" s="15" t="n">
        <f aca="false">(Sens!H12828*tk_opex_h100+Sens!H12829*tk_opex_gb200+Sens!H12830*tk_opex_gb300+(Sens!H12832+Sens!H12831)*tk_opex_vr200)/Sens!H12820</f>
        <v>2.01344013834343</v>
      </c>
      <c r="I12838" s="15" t="n">
        <f aca="false">(Sens!I12828*tk_opex_h100+Sens!I12829*tk_opex_gb200+Sens!I12830*tk_opex_gb300+(Sens!I12832+Sens!I12831)*tk_opex_vr200)/Sens!I12820</f>
        <v>2.03261166882178</v>
      </c>
      <c r="J12838" s="15" t="n">
        <f aca="false">(Sens!J12828*tk_opex_h100+Sens!J12829*tk_opex_gb200+Sens!J12830*tk_opex_gb300+(Sens!J12832+Sens!J12831)*tk_opex_vr200)/Sens!J12820</f>
        <v>2.04808073288745</v>
      </c>
      <c r="K12838" s="15" t="n">
        <f aca="false">(Sens!K12828*tk_opex_h100+Sens!K12829*tk_opex_gb200+Sens!K12830*tk_opex_gb300+(Sens!K12832+Sens!K12831)*tk_opex_vr200)/Sens!K12820</f>
        <v>2.06973825807449</v>
      </c>
      <c r="L12838" s="12" t="s">
        <v>979</v>
      </c>
    </row>
    <row r="12839" customFormat="false" ht="17.15" hidden="false" customHeight="false" outlineLevel="0" collapsed="false">
      <c r="A12839" s="0" t="s">
        <v>980</v>
      </c>
      <c r="B12839" s="0" t="s">
        <v>98</v>
      </c>
      <c r="D12839" s="6" t="n">
        <f aca="false">(Sens!C12823+Sens!D12823)/2*Sens!D12838/1000</f>
        <v>2.70378325872065</v>
      </c>
      <c r="E12839" s="6" t="n">
        <f aca="false">(Sens!D12823+Sens!E12823)/2*Sens!E12838/1000</f>
        <v>6.17783035277451</v>
      </c>
      <c r="F12839" s="6" t="n">
        <f aca="false">(Sens!E12823+Sens!F12823)/2*Sens!F12838/1000</f>
        <v>12.8742463089237</v>
      </c>
      <c r="G12839" s="6" t="n">
        <f aca="false">(Sens!F12823+Sens!G12823)/2*Sens!G12838/1000</f>
        <v>21.8182834646277</v>
      </c>
      <c r="H12839" s="6" t="n">
        <f aca="false">(Sens!G12823+Sens!H12823)/2*Sens!H12838/1000</f>
        <v>31.2430128789734</v>
      </c>
      <c r="I12839" s="6" t="n">
        <f aca="false">(Sens!H12823+Sens!I12823)/2*Sens!I12838/1000</f>
        <v>39.4313057443268</v>
      </c>
      <c r="J12839" s="6" t="n">
        <f aca="false">(Sens!I12823+Sens!J12823)/2*Sens!J12838/1000</f>
        <v>45.0360318228653</v>
      </c>
      <c r="K12839" s="6" t="n">
        <f aca="false">(Sens!J12823+Sens!K12823)/2*Sens!K12838/1000</f>
        <v>48.2929727091156</v>
      </c>
    </row>
    <row r="12840" customFormat="false" ht="17.15" hidden="false" customHeight="false" outlineLevel="0" collapsed="false">
      <c r="A12840" s="0" t="s">
        <v>981</v>
      </c>
      <c r="B12840" s="0" t="s">
        <v>98</v>
      </c>
      <c r="D12840" s="6" t="n">
        <f aca="false">(Sens!C12821+Sens!D12821)/2*rent_mw/1000</f>
        <v>2.44475</v>
      </c>
      <c r="E12840" s="6" t="n">
        <f aca="false">(Sens!D12821+Sens!E12821)/2*rent_mw/1000</f>
        <v>4.22275</v>
      </c>
      <c r="F12840" s="6" t="n">
        <f aca="false">(Sens!E12821+Sens!F12821)/2*rent_mw/1000</f>
        <v>5.80517</v>
      </c>
      <c r="G12840" s="6" t="n">
        <f aca="false">(Sens!F12821+Sens!G12821)/2*rent_mw/1000</f>
        <v>6.72084</v>
      </c>
      <c r="H12840" s="6" t="n">
        <f aca="false">(Sens!G12821+Sens!H12821)/2*rent_mw/1000</f>
        <v>6.72084</v>
      </c>
      <c r="I12840" s="6" t="n">
        <f aca="false">(Sens!H12821+Sens!I12821)/2*rent_mw/1000</f>
        <v>6.72084</v>
      </c>
      <c r="J12840" s="6" t="n">
        <f aca="false">(Sens!I12821+Sens!J12821)/2*rent_mw/1000</f>
        <v>6.72084</v>
      </c>
      <c r="K12840" s="6" t="n">
        <f aca="false">(Sens!J12821+Sens!K12821)/2*rent_mw/1000</f>
        <v>6.72084</v>
      </c>
    </row>
    <row r="12841" customFormat="false" ht="17.15" hidden="false" customHeight="false" outlineLevel="0" collapsed="false">
      <c r="A12841" s="0" t="s">
        <v>982</v>
      </c>
      <c r="B12841" s="0" t="s">
        <v>98</v>
      </c>
      <c r="D12841" s="6" t="n">
        <f aca="false">(Sens!C12823+Sens!D12823)/2*(1-self_build)*fac_rent/1000</f>
        <v>0.853242375631075</v>
      </c>
      <c r="E12841" s="6" t="n">
        <f aca="false">(Sens!D12823+Sens!E12823)/2*(1-self_build)*fac_rent/1000</f>
        <v>1.94955961408728</v>
      </c>
      <c r="F12841" s="6" t="n">
        <f aca="false">(Sens!E12823+Sens!F12823)/2*(1-self_build)*fac_rent/1000</f>
        <v>3.92914894476356</v>
      </c>
      <c r="G12841" s="6" t="n">
        <f aca="false">(Sens!F12823+Sens!G12823)/2*(1-self_build)*fac_rent/1000</f>
        <v>6.53206908578159</v>
      </c>
      <c r="H12841" s="6" t="n">
        <f aca="false">(Sens!G12823+Sens!H12823)/2*(1-self_build)*fac_rent/1000</f>
        <v>9.23717988341591</v>
      </c>
      <c r="I12841" s="6" t="n">
        <f aca="false">(Sens!H12823+Sens!I12823)/2*(1-self_build)*fac_rent/1000</f>
        <v>11.5481378557393</v>
      </c>
      <c r="J12841" s="6" t="n">
        <f aca="false">(Sens!I12823+Sens!J12823)/2*(1-self_build)*fac_rent/1000</f>
        <v>13.0899582289108</v>
      </c>
      <c r="K12841" s="6" t="n">
        <f aca="false">(Sens!J12823+Sens!K12823)/2*(1-self_build)*fac_rent/1000</f>
        <v>13.8897275626556</v>
      </c>
      <c r="L12841" s="12" t="s">
        <v>983</v>
      </c>
    </row>
    <row r="12842" customFormat="false" ht="17.15" hidden="false" customHeight="false" outlineLevel="0" collapsed="false">
      <c r="A12842" s="1" t="s">
        <v>984</v>
      </c>
      <c r="B12842" s="0" t="s">
        <v>168</v>
      </c>
      <c r="D12842" s="7" t="n">
        <f aca="false">(Sens!C12822+Sens!D12822)/(Sens!C12823+Sens!D12823)</f>
        <v>0.6</v>
      </c>
      <c r="E12842" s="7" t="n">
        <f aca="false">(Sens!D12822+Sens!E12822)/(Sens!D12823+Sens!E12823)</f>
        <v>0.6</v>
      </c>
      <c r="F12842" s="7" t="n">
        <f aca="false">(Sens!E12822+Sens!F12822)/(Sens!E12823+Sens!F12823)</f>
        <v>0.6</v>
      </c>
      <c r="G12842" s="7" t="n">
        <f aca="false">(Sens!F12822+Sens!G12822)/(Sens!F12823+Sens!G12823)</f>
        <v>0.6</v>
      </c>
      <c r="H12842" s="7" t="n">
        <f aca="false">(Sens!G12822+Sens!H12822)/(Sens!G12823+Sens!H12823)</f>
        <v>0.6</v>
      </c>
      <c r="I12842" s="7" t="n">
        <f aca="false">(Sens!H12822+Sens!I12822)/(Sens!H12823+Sens!I12823)</f>
        <v>0.6</v>
      </c>
      <c r="J12842" s="7" t="n">
        <f aca="false">(Sens!I12822+Sens!J12822)/(Sens!I12823+Sens!J12823)</f>
        <v>0.6</v>
      </c>
      <c r="K12842" s="7" t="n">
        <f aca="false">(Sens!J12822+Sens!K12822)/(Sens!J12823+Sens!K12823)</f>
        <v>0.6</v>
      </c>
    </row>
    <row r="12843" customFormat="false" ht="17.15" hidden="false" customHeight="false" outlineLevel="0" collapsed="false">
      <c r="A12843" s="0" t="s">
        <v>985</v>
      </c>
      <c r="B12843" s="0" t="s">
        <v>98</v>
      </c>
      <c r="D12843" s="6" t="n">
        <f aca="false">Sens!D12837-Sens!D12842*(Sens!D12839+Sens!D12841)-Sens!D12840</f>
        <v>8.35701406163072</v>
      </c>
      <c r="E12843" s="6" t="n">
        <f aca="false">Sens!E12837-Sens!E12842*(Sens!E12839+Sens!E12841)-Sens!E12840</f>
        <v>18.7103224860238</v>
      </c>
      <c r="F12843" s="6" t="n">
        <f aca="false">Sens!F12837-Sens!F12842*(Sens!F12839+Sens!F12841)-Sens!F12840</f>
        <v>39.5246243538843</v>
      </c>
      <c r="G12843" s="6" t="n">
        <f aca="false">Sens!G12837-Sens!G12842*(Sens!G12839+Sens!G12841)-Sens!G12840</f>
        <v>67.5570585372687</v>
      </c>
      <c r="H12843" s="6" t="n">
        <f aca="false">Sens!H12837-Sens!H12842*(Sens!H12839+Sens!H12841)-Sens!H12840</f>
        <v>97.1863179465102</v>
      </c>
      <c r="I12843" s="6" t="n">
        <f aca="false">Sens!I12837-Sens!I12842*(Sens!I12839+Sens!I12841)-Sens!I12840</f>
        <v>123.292775650365</v>
      </c>
      <c r="J12843" s="6" t="n">
        <f aca="false">Sens!J12837-Sens!J12842*(Sens!J12839+Sens!J12841)-Sens!J12840</f>
        <v>141.586285762524</v>
      </c>
      <c r="K12843" s="6" t="n">
        <f aca="false">Sens!K12837-Sens!K12842*(Sens!K12839+Sens!K12841)-Sens!K12840</f>
        <v>153.289664774035</v>
      </c>
    </row>
    <row r="12844" customFormat="false" ht="17.15" hidden="false" customHeight="false" outlineLevel="0" collapsed="false">
      <c r="A12844" s="1" t="s">
        <v>986</v>
      </c>
      <c r="B12844" s="0" t="s">
        <v>98</v>
      </c>
      <c r="D12844" s="6" t="n">
        <f aca="false">(1-Sens!D12842)*(Sens!D12839+Sens!D12841)</f>
        <v>1.42281025374069</v>
      </c>
      <c r="E12844" s="6" t="n">
        <f aca="false">(1-Sens!E12842)*(Sens!E12839+Sens!E12841)</f>
        <v>3.25095598674472</v>
      </c>
      <c r="F12844" s="6" t="n">
        <f aca="false">(1-Sens!F12842)*(Sens!F12839+Sens!F12841)</f>
        <v>6.72135810147489</v>
      </c>
      <c r="G12844" s="6" t="n">
        <f aca="false">(1-Sens!G12842)*(Sens!G12839+Sens!G12841)</f>
        <v>11.3401410201637</v>
      </c>
      <c r="H12844" s="6" t="n">
        <f aca="false">(1-Sens!H12842)*(Sens!H12839+Sens!H12841)</f>
        <v>16.1920771049557</v>
      </c>
      <c r="I12844" s="6" t="n">
        <f aca="false">(1-Sens!I12842)*(Sens!I12839+Sens!I12841)</f>
        <v>20.3917774400264</v>
      </c>
      <c r="J12844" s="6" t="n">
        <f aca="false">(1-Sens!J12842)*(Sens!J12839+Sens!J12841)</f>
        <v>23.2503960207104</v>
      </c>
      <c r="K12844" s="6" t="n">
        <f aca="false">(1-Sens!K12842)*(Sens!K12839+Sens!K12841)</f>
        <v>24.8730801087085</v>
      </c>
    </row>
    <row r="12845" customFormat="false" ht="17.15" hidden="false" customHeight="false" outlineLevel="0" collapsed="false">
      <c r="A12845" s="1" t="s">
        <v>987</v>
      </c>
      <c r="B12845" s="0" t="s">
        <v>414</v>
      </c>
      <c r="C12845" s="8" t="n">
        <f aca="false">cxit_open</f>
        <v>27.5918995</v>
      </c>
      <c r="D12845" s="8" t="n">
        <f aca="false">cxit_open</f>
        <v>27.5918995</v>
      </c>
      <c r="E12845" s="8" t="n">
        <f aca="false">cxit_open</f>
        <v>27.5918995</v>
      </c>
      <c r="F12845" s="8" t="n">
        <f aca="false">((a_g3_27-nonnv*a_mai)*tk_cxit_gb300+nonnv*a_mai*nv_hold_mai*tk_cxit_vr200+(1-a_g3_27)*tk_cxit_vr200)</f>
        <v>32.4975576</v>
      </c>
      <c r="G12845" s="8" t="n">
        <f aca="false">((a_g3_28-nonnv*a_mai)*tk_cxit_gb300+nonnv*a_mai*nv_hold_mai*tk_cxit_vr200+(1-a_g3_28)*tk_cxit_vr200)</f>
        <v>34.6372088</v>
      </c>
      <c r="H12845" s="8" t="n">
        <f aca="false">((a_g3_29-nonnv*a_mai)*tk_cxit_gb300+nonnv*a_mai*nv_hold_mai*tk_cxit_vr200+(1-a_g3_29)*tk_cxit_vr200)</f>
        <v>35.7070344</v>
      </c>
      <c r="I12845" s="8" t="n">
        <f aca="false">((a_g3_29-nonnv*a_mai)*tk_cxit_gb300+nonnv*a_mai*nv_hold_mai*tk_cxit_vr200+(1-a_g3_29)*tk_cxit_vr200)</f>
        <v>35.7070344</v>
      </c>
      <c r="J12845" s="8" t="n">
        <f aca="false">((a_g3_29-nonnv*a_mai)*tk_cxit_gb300+nonnv*a_mai*nv_hold_mai*tk_cxit_vr200+(1-a_g3_29)*tk_cxit_vr200)</f>
        <v>35.7070344</v>
      </c>
      <c r="K12845" s="8" t="n">
        <f aca="false">((a_g3_29-nonnv*a_mai)*tk_cxit_gb300+nonnv*a_mai*nv_hold_mai*tk_cxit_vr200+(1-a_g3_29)*tk_cxit_vr200)</f>
        <v>35.7070344</v>
      </c>
      <c r="L12845" s="12" t="s">
        <v>988</v>
      </c>
    </row>
    <row r="12846" customFormat="false" ht="17.15" hidden="false" customHeight="false" outlineLevel="0" collapsed="false">
      <c r="A12846" s="0" t="s">
        <v>989</v>
      </c>
      <c r="B12846" s="0" t="s">
        <v>456</v>
      </c>
      <c r="F12846" s="30" t="n">
        <f aca="false">Sens!C12825*IF(Sens!F12818-Sens!C12818=life_it,1,0)+Sens!D12825*IF(Sens!F12818-Sens!D12818=life_it,1,0)+Sens!E12825*IF(Sens!F12818-Sens!E12818=life_it,1,0)</f>
        <v>0</v>
      </c>
      <c r="G12846" s="30" t="n">
        <f aca="false">Sens!C12825*IF(Sens!G12818-Sens!C12818=life_it,1,0)+Sens!D12825*IF(Sens!G12818-Sens!D12818=life_it,1,0)+Sens!E12825*IF(Sens!G12818-Sens!E12818=life_it,1,0)+Sens!F12825*IF(Sens!G12818-Sens!F12818=life_it,1,0)</f>
        <v>0</v>
      </c>
      <c r="H12846" s="30" t="n">
        <f aca="false">Sens!C12825*IF(Sens!H12818-Sens!C12818=life_it,1,0)+Sens!D12825*IF(Sens!H12818-Sens!D12818=life_it,1,0)+Sens!E12825*IF(Sens!H12818-Sens!E12818=life_it,1,0)+Sens!F12825*IF(Sens!H12818-Sens!F12818=life_it,1,0)+Sens!G12825*IF(Sens!H12818-Sens!G12818=life_it,1,0)</f>
        <v>0</v>
      </c>
      <c r="I12846" s="30" t="n">
        <f aca="false">Sens!C12825*IF(Sens!I12818-Sens!C12818=life_it,1,0)+Sens!D12825*IF(Sens!I12818-Sens!D12818=life_it,1,0)+Sens!E12825*IF(Sens!I12818-Sens!E12818=life_it,1,0)+Sens!F12825*IF(Sens!I12818-Sens!F12818=life_it,1,0)+Sens!G12825*IF(Sens!I12818-Sens!G12818=life_it,1,0)+Sens!H12825*IF(Sens!I12818-Sens!H12818=life_it,1,0)</f>
        <v>816.666666666667</v>
      </c>
      <c r="J12846" s="30" t="n">
        <f aca="false">Sens!C12825*IF(Sens!J12818-Sens!C12818=life_it,1,0)+Sens!D12825*IF(Sens!J12818-Sens!D12818=life_it,1,0)+Sens!E12825*IF(Sens!J12818-Sens!E12818=life_it,1,0)+Sens!F12825*IF(Sens!J12818-Sens!F12818=life_it,1,0)+Sens!G12825*IF(Sens!J12818-Sens!G12818=life_it,1,0)+Sens!H12825*IF(Sens!J12818-Sens!H12818=life_it,1,0)+Sens!I12825*IF(Sens!J12818-Sens!I12818=life_it,1,0)</f>
        <v>1233.33333333333</v>
      </c>
      <c r="K12846" s="30" t="n">
        <f aca="false">Sens!C12825*IF(Sens!K12818-Sens!C12818=life_it,1,0)+Sens!D12825*IF(Sens!K12818-Sens!D12818=life_it,1,0)+Sens!E12825*IF(Sens!K12818-Sens!E12818=life_it,1,0)+Sens!F12825*IF(Sens!K12818-Sens!F12818=life_it,1,0)+Sens!G12825*IF(Sens!K12818-Sens!G12818=life_it,1,0)+Sens!H12825*IF(Sens!K12818-Sens!H12818=life_it,1,0)+Sens!I12825*IF(Sens!K12818-Sens!I12818=life_it,1,0)+Sens!J12825*IF(Sens!K12818-Sens!J12818=life_it,1,0)</f>
        <v>2450</v>
      </c>
      <c r="L12846" s="1" t="s">
        <v>990</v>
      </c>
    </row>
    <row r="12847" customFormat="false" ht="17.15" hidden="false" customHeight="false" outlineLevel="0" collapsed="false">
      <c r="A12847" s="0" t="s">
        <v>991</v>
      </c>
      <c r="B12847" s="0" t="s">
        <v>98</v>
      </c>
      <c r="C12847" s="6" t="n">
        <f aca="false">Sens!C12825*Sens!C12845/1000</f>
        <v>22.5333845916667</v>
      </c>
      <c r="D12847" s="6" t="n">
        <f aca="false">Sens!D12825*Sens!D12845/1000</f>
        <v>34.0300093833333</v>
      </c>
      <c r="E12847" s="6" t="n">
        <f aca="false">Sens!E12825*Sens!E12845/1000</f>
        <v>67.600153775</v>
      </c>
      <c r="F12847" s="6" t="n">
        <f aca="false">(Sens!F12825+Sens!F12846)*Sens!F12845/1000</f>
        <v>136.51872432512</v>
      </c>
      <c r="G12847" s="6" t="n">
        <f aca="false">(Sens!G12825+Sens!G12846)*Sens!G12845/1000</f>
        <v>157.399275932048</v>
      </c>
      <c r="H12847" s="6" t="n">
        <f aca="false">(Sens!H12825+Sens!H12846)*Sens!H12845/1000</f>
        <v>162.260804347512</v>
      </c>
      <c r="I12847" s="6" t="n">
        <f aca="false">(Sens!I12825+Sens!I12846)*Sens!I12845/1000</f>
        <v>144.136569485434</v>
      </c>
      <c r="J12847" s="6" t="n">
        <f aca="false">(Sens!J12825+Sens!J12846)*Sens!J12845/1000</f>
        <v>114.029037357864</v>
      </c>
      <c r="K12847" s="6" t="n">
        <f aca="false">(Sens!K12825+Sens!K12846)*Sens!K12845/1000</f>
        <v>113.437085350975</v>
      </c>
    </row>
    <row r="12848" customFormat="false" ht="17.15" hidden="false" customHeight="false" outlineLevel="0" collapsed="false">
      <c r="A12848" s="0" t="s">
        <v>992</v>
      </c>
      <c r="B12848" s="0" t="s">
        <v>98</v>
      </c>
      <c r="C12848" s="6" t="n">
        <f aca="false">Sens!C12825*self_build*tk_cxfac/1000</f>
        <v>6.2083</v>
      </c>
      <c r="D12848" s="6" t="n">
        <f aca="false">Sens!D12825*self_build*tk_cxfac/1000</f>
        <v>9.3758</v>
      </c>
      <c r="E12848" s="6" t="n">
        <f aca="false">Sens!E12825*self_build*tk_cxfac/1000</f>
        <v>18.6249</v>
      </c>
      <c r="F12848" s="6" t="n">
        <f aca="false">Sens!F12825*self_build*tk_cxfac/1000</f>
        <v>31.935179717</v>
      </c>
      <c r="G12848" s="6" t="n">
        <f aca="false">Sens!G12825*self_build*tk_cxfac/1000</f>
        <v>34.545199717</v>
      </c>
      <c r="H12848" s="6" t="n">
        <f aca="false">Sens!H12825*self_build*tk_cxfac/1000</f>
        <v>34.545199717</v>
      </c>
      <c r="I12848" s="6" t="n">
        <f aca="false">Sens!I12825*self_build*tk_cxfac/1000</f>
        <v>24.4782641361767</v>
      </c>
      <c r="J12848" s="6" t="n">
        <f aca="false">Sens!J12825*self_build*tk_cxfac/1000</f>
        <v>14.9008938380769</v>
      </c>
      <c r="K12848" s="6" t="n">
        <f aca="false">Sens!K12825*self_build*tk_cxfac/1000</f>
        <v>5.52576771375761</v>
      </c>
    </row>
    <row r="12849" customFormat="false" ht="17.15" hidden="false" customHeight="false" outlineLevel="0" collapsed="false">
      <c r="A12849" s="0" t="s">
        <v>993</v>
      </c>
      <c r="B12849" s="0" t="s">
        <v>98</v>
      </c>
      <c r="F12849" s="15" t="n">
        <f aca="false">capex_floor27-Sens!F12847-Sens!F12848-Sens!F12945</f>
        <v>1.94586576753863E-005</v>
      </c>
      <c r="L12849" s="12" t="s">
        <v>994</v>
      </c>
    </row>
    <row r="12850" customFormat="false" ht="17.15" hidden="false" customHeight="false" outlineLevel="0" collapsed="false">
      <c r="A12850" s="0" t="s">
        <v>995</v>
      </c>
      <c r="B12850" s="0" t="s">
        <v>98</v>
      </c>
      <c r="F12850" s="6" t="n">
        <f aca="false">MAX(0,Sens!F12849)</f>
        <v>1.94586576753863E-005</v>
      </c>
    </row>
    <row r="12851" customFormat="false" ht="17.15" hidden="false" customHeight="false" outlineLevel="0" collapsed="false">
      <c r="A12851" s="0" t="s">
        <v>996</v>
      </c>
      <c r="B12851" s="0" t="s">
        <v>98</v>
      </c>
      <c r="C12851" s="6" t="n">
        <f aca="false">Sens!C12847</f>
        <v>22.5333845916667</v>
      </c>
      <c r="D12851" s="6" t="n">
        <f aca="false">Sens!D12847</f>
        <v>34.0300093833333</v>
      </c>
      <c r="E12851" s="6" t="n">
        <f aca="false">Sens!E12847</f>
        <v>67.600153775</v>
      </c>
      <c r="F12851" s="6" t="n">
        <f aca="false">Sens!F12847</f>
        <v>136.51872432512</v>
      </c>
      <c r="G12851" s="6" t="n">
        <f aca="false">Sens!G12847</f>
        <v>157.399275932048</v>
      </c>
      <c r="H12851" s="6" t="n">
        <f aca="false">Sens!H12847</f>
        <v>162.260804347512</v>
      </c>
      <c r="I12851" s="6" t="n">
        <f aca="false">Sens!I12847</f>
        <v>144.136569485434</v>
      </c>
      <c r="J12851" s="6" t="n">
        <f aca="false">Sens!J12847</f>
        <v>114.029037357864</v>
      </c>
      <c r="K12851" s="6" t="n">
        <f aca="false">Sens!K12847</f>
        <v>113.437085350975</v>
      </c>
    </row>
    <row r="12852" customFormat="false" ht="17.15" hidden="false" customHeight="false" outlineLevel="0" collapsed="false">
      <c r="A12852" s="0" t="s">
        <v>997</v>
      </c>
      <c r="B12852" s="0" t="s">
        <v>98</v>
      </c>
      <c r="C12852" s="6" t="n">
        <f aca="false">Sens!C12851+Sens!C12848</f>
        <v>28.7416845916667</v>
      </c>
      <c r="D12852" s="6" t="n">
        <f aca="false">Sens!D12851+Sens!D12848</f>
        <v>43.4058093833333</v>
      </c>
      <c r="E12852" s="6" t="n">
        <f aca="false">Sens!E12851+Sens!E12848</f>
        <v>86.225053775</v>
      </c>
      <c r="F12852" s="6" t="n">
        <f aca="false">Sens!F12851+Sens!F12848</f>
        <v>168.45390404212</v>
      </c>
      <c r="G12852" s="6" t="n">
        <f aca="false">Sens!G12851+Sens!G12848</f>
        <v>191.944475649048</v>
      </c>
      <c r="H12852" s="6" t="n">
        <f aca="false">Sens!H12851+Sens!H12848</f>
        <v>196.806004064512</v>
      </c>
      <c r="I12852" s="6" t="n">
        <f aca="false">Sens!I12851+Sens!I12848</f>
        <v>168.61483362161</v>
      </c>
      <c r="J12852" s="6" t="n">
        <f aca="false">Sens!J12851+Sens!J12848</f>
        <v>128.92993119594</v>
      </c>
      <c r="K12852" s="6" t="n">
        <f aca="false">Sens!K12851+Sens!K12848</f>
        <v>118.962853064733</v>
      </c>
      <c r="L12852" s="12" t="s">
        <v>998</v>
      </c>
    </row>
    <row r="12853" customFormat="false" ht="17.15" hidden="false" customHeight="false" outlineLevel="0" collapsed="false">
      <c r="A12853" s="0" t="s">
        <v>999</v>
      </c>
      <c r="B12853" s="0" t="s">
        <v>98</v>
      </c>
      <c r="E12853" s="6" t="n">
        <f aca="false">(Sens!C12851*IF(2&lt;life_it,1,IF(2=life_it,0.5,0))+Sens!D12851*IF(1&lt;life_it,1,IF(1=life_it,0.5,0))+Sens!E12851*0.5)/life_it</f>
        <v>15.0605784770833</v>
      </c>
      <c r="F12853" s="6" t="n">
        <f aca="false">(Sens!C12851*IF(3&lt;life_it,1,IF(3=life_it,0.5,0))+Sens!D12851*IF(2&lt;life_it,1,IF(2=life_it,0.5,0))+Sens!E12851*IF(1&lt;life_it,1,IF(1=life_it,0.5,0))+Sens!F12851*0.5)/life_it</f>
        <v>32.0704849854266</v>
      </c>
      <c r="G12853" s="6" t="n">
        <f aca="false">(Sens!C12851*IF(4&lt;life_it,1,IF(4=life_it,0.5,0))+Sens!D12851*IF(3&lt;life_it,1,IF(3=life_it,0.5,0))+Sens!E12851*IF(2&lt;life_it,1,IF(2=life_it,0.5,0))+Sens!F12851*IF(1&lt;life_it,1,IF(1=life_it,0.5,0))+Sens!G12851*0.5)/life_it</f>
        <v>56.5636516735239</v>
      </c>
      <c r="H12853" s="6" t="n">
        <f aca="false">(Sens!C12851*IF(5&lt;life_it,1,IF(5=life_it,0.5,0))+Sens!D12851*IF(4&lt;life_it,1,IF(4=life_it,0.5,0))+Sens!E12851*IF(3&lt;life_it,1,IF(3=life_it,0.5,0))+Sens!F12851*IF(2&lt;life_it,1,IF(2=life_it,0.5,0))+Sens!G12851*IF(1&lt;life_it,1,IF(1=life_it,0.5,0))+Sens!H12851*0.5)/life_it</f>
        <v>83.2019916968207</v>
      </c>
      <c r="I12853" s="6" t="n">
        <f aca="false">(Sens!C12851*IF(6&lt;life_it,1,IF(6=life_it,0.5,0))+Sens!D12851*IF(5&lt;life_it,1,IF(5=life_it,0.5,0))+Sens!E12851*IF(4&lt;life_it,1,IF(4=life_it,0.5,0))+Sens!F12851*IF(3&lt;life_it,1,IF(3=life_it,0.5,0))+Sens!G12851*IF(2&lt;life_it,1,IF(2=life_it,0.5,0))+Sens!H12851*IF(1&lt;life_it,1,IF(1=life_it,0.5,0))+Sens!I12851*0.5)/life_it</f>
        <v>106.857324133594</v>
      </c>
      <c r="J12853" s="6" t="n">
        <f aca="false">(Sens!C12851*IF(7&lt;life_it,1,IF(7=life_it,0.5,0))+Sens!D12851*IF(6&lt;life_it,1,IF(6=life_it,0.5,0))+Sens!E12851*IF(5&lt;life_it,1,IF(5=life_it,0.5,0))+Sens!F12851*IF(4&lt;life_it,1,IF(4=life_it,0.5,0))+Sens!G12851*IF(3&lt;life_it,1,IF(3=life_it,0.5,0))+Sens!H12851*IF(2&lt;life_it,1,IF(2=life_it,0.5,0))+Sens!I12851*IF(1&lt;life_it,1,IF(1=life_it,0.5,0))+Sens!J12851*0.5)/life_it</f>
        <v>123.657508539285</v>
      </c>
      <c r="K12853" s="6" t="n">
        <f aca="false">(Sens!C12851*IF(8&lt;life_it,1,IF(8=life_it,0.5,0))+Sens!D12851*IF(7&lt;life_it,1,IF(7=life_it,0.5,0))+Sens!E12851*IF(6&lt;life_it,1,IF(6=life_it,0.5,0))+Sens!F12851*IF(5&lt;life_it,1,IF(5=life_it,0.5,0))+Sens!G12851*IF(4&lt;life_it,1,IF(4=life_it,0.5,0))+Sens!H12851*IF(3&lt;life_it,1,IF(3=life_it,0.5,0))+Sens!I12851*IF(2&lt;life_it,1,IF(2=life_it,0.5,0))+Sens!J12851*IF(1&lt;life_it,1,IF(1=life_it,0.5,0))+Sens!K12851*0.5)/life_it</f>
        <v>134.143838501827</v>
      </c>
    </row>
    <row r="12854" customFormat="false" ht="17.15" hidden="false" customHeight="false" outlineLevel="0" collapsed="false">
      <c r="A12854" s="0" t="s">
        <v>1000</v>
      </c>
      <c r="B12854" s="0" t="s">
        <v>98</v>
      </c>
      <c r="E12854" s="6" t="n">
        <f aca="false">(Sens!C12848*IF(2&lt;life_fac,1,IF(2=life_fac,0.5,0))+Sens!D12848*IF(1&lt;life_fac,1,IF(1=life_fac,0.5,0))+Sens!E12848*0.5)/life_fac</f>
        <v>1.2448275</v>
      </c>
      <c r="F12854" s="6" t="n">
        <f aca="false">(Sens!C12848*IF(3&lt;life_fac,1,IF(3=life_fac,0.5,0))+Sens!D12848*IF(2&lt;life_fac,1,IF(2=life_fac,0.5,0))+Sens!E12848*IF(1&lt;life_fac,1,IF(1=life_fac,0.5,0))+Sens!F12848*0.5)/life_fac</f>
        <v>2.508829492925</v>
      </c>
      <c r="G12854" s="6" t="n">
        <f aca="false">(Sens!C12848*IF(4&lt;life_fac,1,IF(4=life_fac,0.5,0))+Sens!D12848*IF(3&lt;life_fac,1,IF(3=life_fac,0.5,0))+Sens!E12848*IF(2&lt;life_fac,1,IF(2=life_fac,0.5,0))+Sens!F12848*IF(1&lt;life_fac,1,IF(1=life_fac,0.5,0))+Sens!G12848*0.5)/life_fac</f>
        <v>4.170838978775</v>
      </c>
      <c r="H12854" s="6" t="n">
        <f aca="false">(Sens!C12848*IF(5&lt;life_fac,1,IF(5=life_fac,0.5,0))+Sens!D12848*IF(4&lt;life_fac,1,IF(4=life_fac,0.5,0))+Sens!E12848*IF(3&lt;life_fac,1,IF(3=life_fac,0.5,0))+Sens!F12848*IF(2&lt;life_fac,1,IF(2=life_fac,0.5,0))+Sens!G12848*IF(1&lt;life_fac,1,IF(1=life_fac,0.5,0))+Sens!H12848*0.5)/life_fac</f>
        <v>5.898098964625</v>
      </c>
      <c r="I12854" s="6" t="n">
        <f aca="false">(Sens!C12848*IF(6&lt;life_fac,1,IF(6=life_fac,0.5,0))+Sens!D12848*IF(5&lt;life_fac,1,IF(5=life_fac,0.5,0))+Sens!E12848*IF(4&lt;life_fac,1,IF(4=life_fac,0.5,0))+Sens!F12848*IF(3&lt;life_fac,1,IF(3=life_fac,0.5,0))+Sens!G12848*IF(2&lt;life_fac,1,IF(2=life_fac,0.5,0))+Sens!H12848*IF(1&lt;life_fac,1,IF(1=life_fac,0.5,0))+Sens!I12848*0.5)/life_fac</f>
        <v>7.37368556095442</v>
      </c>
      <c r="J12854" s="6" t="n">
        <f aca="false">(Sens!C12848*IF(7&lt;life_fac,1,IF(7=life_fac,0.5,0))+Sens!D12848*IF(6&lt;life_fac,1,IF(6=life_fac,0.5,0))+Sens!E12848*IF(5&lt;life_fac,1,IF(5=life_fac,0.5,0))+Sens!F12848*IF(4&lt;life_fac,1,IF(4=life_fac,0.5,0))+Sens!G12848*IF(3&lt;life_fac,1,IF(3=life_fac,0.5,0))+Sens!H12848*IF(2&lt;life_fac,1,IF(2=life_fac,0.5,0))+Sens!I12848*IF(1&lt;life_fac,1,IF(1=life_fac,0.5,0))+Sens!J12848*0.5)/life_fac</f>
        <v>8.35816451031075</v>
      </c>
      <c r="K12854" s="6" t="n">
        <f aca="false">(Sens!C12848*IF(8&lt;life_fac,1,IF(8=life_fac,0.5,0))+Sens!D12848*IF(7&lt;life_fac,1,IF(7=life_fac,0.5,0))+Sens!E12848*IF(6&lt;life_fac,1,IF(6=life_fac,0.5,0))+Sens!F12848*IF(5&lt;life_fac,1,IF(5=life_fac,0.5,0))+Sens!G12848*IF(4&lt;life_fac,1,IF(4=life_fac,0.5,0))+Sens!H12848*IF(3&lt;life_fac,1,IF(3=life_fac,0.5,0))+Sens!I12848*IF(2&lt;life_fac,1,IF(2=life_fac,0.5,0))+Sens!J12848*IF(1&lt;life_fac,1,IF(1=life_fac,0.5,0))+Sens!K12848*0.5)/life_fac</f>
        <v>8.86883104910662</v>
      </c>
    </row>
    <row r="12855" customFormat="false" ht="17.15" hidden="false" customHeight="false" outlineLevel="0" collapsed="false">
      <c r="A12855" s="0" t="s">
        <v>1001</v>
      </c>
      <c r="B12855" s="0" t="s">
        <v>98</v>
      </c>
      <c r="E12855" s="6" t="n">
        <f aca="false">Sens!E12853+Sens!E12854</f>
        <v>16.3054059770833</v>
      </c>
      <c r="F12855" s="6" t="n">
        <f aca="false">Sens!F12853+Sens!F12854</f>
        <v>34.5793144783516</v>
      </c>
      <c r="G12855" s="6" t="n">
        <f aca="false">Sens!G12853+Sens!G12854</f>
        <v>60.7344906522989</v>
      </c>
      <c r="H12855" s="6" t="n">
        <f aca="false">Sens!H12853+Sens!H12854</f>
        <v>89.1000906614457</v>
      </c>
      <c r="I12855" s="6" t="n">
        <f aca="false">Sens!I12853+Sens!I12854</f>
        <v>114.231009694548</v>
      </c>
      <c r="J12855" s="6" t="n">
        <f aca="false">Sens!J12853+Sens!J12854</f>
        <v>132.015673049596</v>
      </c>
      <c r="K12855" s="6" t="n">
        <f aca="false">Sens!K12853+Sens!K12854</f>
        <v>143.012669550934</v>
      </c>
    </row>
    <row r="12856" customFormat="false" ht="17.15" hidden="false" customHeight="false" outlineLevel="0" collapsed="false">
      <c r="A12856" s="0" t="s">
        <v>1002</v>
      </c>
      <c r="B12856" s="0" t="s">
        <v>98</v>
      </c>
      <c r="E12856" s="6" t="n">
        <f aca="false">Sens!E12843-Sens!E12842*Sens!E12855</f>
        <v>8.92707889977379</v>
      </c>
      <c r="F12856" s="6" t="n">
        <f aca="false">Sens!F12843-Sens!F12842*Sens!F12855</f>
        <v>18.7770356668733</v>
      </c>
      <c r="G12856" s="6" t="n">
        <f aca="false">Sens!G12843-Sens!G12842*Sens!G12855</f>
        <v>31.1163641458894</v>
      </c>
      <c r="H12856" s="6" t="n">
        <f aca="false">Sens!H12843-Sens!H12842*Sens!H12855</f>
        <v>43.7262635496428</v>
      </c>
      <c r="I12856" s="6" t="n">
        <f aca="false">Sens!I12843-Sens!I12842*Sens!I12855</f>
        <v>54.7541698336361</v>
      </c>
      <c r="J12856" s="6" t="n">
        <f aca="false">Sens!J12843-Sens!J12842*Sens!J12855</f>
        <v>62.3768819327658</v>
      </c>
      <c r="K12856" s="6" t="n">
        <f aca="false">Sens!K12843-Sens!K12842*Sens!K12855</f>
        <v>67.4820630434748</v>
      </c>
    </row>
    <row r="12857" customFormat="false" ht="17.15" hidden="false" customHeight="false" outlineLevel="0" collapsed="false">
      <c r="A12857" s="3" t="s">
        <v>1801</v>
      </c>
    </row>
    <row r="12858" customFormat="false" ht="15" hidden="false" customHeight="false" outlineLevel="0" collapsed="false">
      <c r="A12858" s="4" t="s">
        <v>43</v>
      </c>
      <c r="B12858" s="4" t="s">
        <v>65</v>
      </c>
      <c r="C12858" s="23" t="s">
        <v>938</v>
      </c>
      <c r="D12858" s="23" t="s">
        <v>939</v>
      </c>
      <c r="E12858" s="23" t="s">
        <v>940</v>
      </c>
      <c r="F12858" s="23" t="s">
        <v>941</v>
      </c>
      <c r="G12858" s="23" t="s">
        <v>942</v>
      </c>
      <c r="H12858" s="23" t="s">
        <v>943</v>
      </c>
      <c r="I12858" s="23" t="s">
        <v>944</v>
      </c>
      <c r="J12858" s="23" t="s">
        <v>945</v>
      </c>
      <c r="K12858" s="23" t="s">
        <v>946</v>
      </c>
      <c r="L12858" s="4" t="s">
        <v>47</v>
      </c>
    </row>
    <row r="12859" customFormat="false" ht="17.15" hidden="false" customHeight="false" outlineLevel="0" collapsed="false">
      <c r="A12859" s="0" t="s">
        <v>1021</v>
      </c>
      <c r="B12859" s="0" t="s">
        <v>98</v>
      </c>
      <c r="D12859" s="6" t="n">
        <f aca="false">Sens!D12837</f>
        <v>12.9359794422418</v>
      </c>
      <c r="E12859" s="6" t="n">
        <f aca="false">Sens!E12837</f>
        <v>27.8095064661409</v>
      </c>
      <c r="F12859" s="6" t="n">
        <f aca="false">Sens!F12837</f>
        <v>55.4118315060966</v>
      </c>
      <c r="G12859" s="6" t="n">
        <f aca="false">Sens!G12837</f>
        <v>91.2881100675143</v>
      </c>
      <c r="H12859" s="6" t="n">
        <f aca="false">Sens!H12837</f>
        <v>128.195273603944</v>
      </c>
      <c r="I12859" s="6" t="n">
        <f aca="false">Sens!I12837</f>
        <v>160.601281810405</v>
      </c>
      <c r="J12859" s="6" t="n">
        <f aca="false">Sens!J12837</f>
        <v>183.182719793589</v>
      </c>
      <c r="K12859" s="6" t="n">
        <f aca="false">Sens!K12837</f>
        <v>197.320124937098</v>
      </c>
    </row>
    <row r="12860" customFormat="false" ht="17.15" hidden="false" customHeight="false" outlineLevel="0" collapsed="false">
      <c r="A12860" s="0" t="s">
        <v>1022</v>
      </c>
      <c r="B12860" s="0" t="s">
        <v>98</v>
      </c>
      <c r="D12860" s="6" t="n">
        <f aca="false">Q!L6-Sens!D12859</f>
        <v>59.6740205577583</v>
      </c>
      <c r="E12860" s="6" t="n">
        <f aca="false">Q!M6-Sens!E12859</f>
        <v>74.1284935338591</v>
      </c>
      <c r="F12860" s="6" t="n">
        <f aca="false">Q!$I$6+(Sens!F12859+Sens!E12860*(1+Sens!F12861))*(1-Q!$E$6/Q!M6)-Sens!F12859</f>
        <v>91.2972164940844</v>
      </c>
      <c r="G12860" s="6" t="n">
        <f aca="false">Sens!F12860*(1+Sens!G12861)</f>
        <v>108.474719793879</v>
      </c>
      <c r="H12860" s="6" t="n">
        <f aca="false">Sens!G12860*(1+Sens!H12861)</f>
        <v>125.951292505701</v>
      </c>
      <c r="I12860" s="6" t="n">
        <f aca="false">Sens!H12860*(1+Sens!I12861)</f>
        <v>142.838165154212</v>
      </c>
      <c r="J12860" s="6" t="n">
        <f aca="false">Sens!I12860*(1+Sens!J12861)</f>
        <v>158.12717866615</v>
      </c>
      <c r="K12860" s="6" t="n">
        <f aca="false">Sens!J12860*(1+Sens!K12861)</f>
        <v>170.777352959442</v>
      </c>
      <c r="L12860" s="12" t="s">
        <v>1023</v>
      </c>
    </row>
    <row r="12861" customFormat="false" ht="15" hidden="false" customHeight="false" outlineLevel="0" collapsed="false">
      <c r="A12861" s="1" t="s">
        <v>1024</v>
      </c>
      <c r="B12861" s="0" t="s">
        <v>168</v>
      </c>
      <c r="E12861" s="7" t="n">
        <f aca="false">Sens!E12860/Sens!D12860-1</f>
        <v>0.242223883039864</v>
      </c>
      <c r="F12861" s="7" t="n">
        <f aca="false">Sens!$E$12861+(glt_azo-Sens!$E$12861)*MIN(1,(Sens!F12818-base_fy)/n_conv)</f>
        <v>0.215186569199887</v>
      </c>
      <c r="G12861" s="7" t="n">
        <f aca="false">Sens!$E$12861+(glt_azo-Sens!$E$12861)*MIN(1,(Sens!G12818-base_fy)/n_conv)</f>
        <v>0.18814925535991</v>
      </c>
      <c r="H12861" s="7" t="n">
        <f aca="false">Sens!$E$12861+(glt_azo-Sens!$E$12861)*MIN(1,(Sens!H12818-base_fy)/n_conv)</f>
        <v>0.161111941519932</v>
      </c>
      <c r="I12861" s="7" t="n">
        <f aca="false">Sens!$E$12861+(glt_azo-Sens!$E$12861)*MIN(1,(Sens!I12818-base_fy)/n_conv)</f>
        <v>0.134074627679955</v>
      </c>
      <c r="J12861" s="7" t="n">
        <f aca="false">Sens!$E$12861+(glt_azo-Sens!$E$12861)*MIN(1,(Sens!J12818-base_fy)/n_conv)</f>
        <v>0.107037313839977</v>
      </c>
      <c r="K12861" s="7" t="n">
        <f aca="false">Sens!$E$12861+(glt_azo-Sens!$E$12861)*MIN(1,(Sens!K12818-base_fy)/n_conv)</f>
        <v>0.08</v>
      </c>
    </row>
    <row r="12862" customFormat="false" ht="15" hidden="false" customHeight="false" outlineLevel="0" collapsed="false">
      <c r="A12862" s="0" t="s">
        <v>1025</v>
      </c>
      <c r="B12862" s="0" t="s">
        <v>98</v>
      </c>
      <c r="D12862" s="6" t="n">
        <f aca="false">Sens!D12859+Sens!D12860</f>
        <v>72.61</v>
      </c>
      <c r="E12862" s="6" t="n">
        <f aca="false">Sens!E12859+Sens!E12860</f>
        <v>101.938</v>
      </c>
      <c r="F12862" s="6" t="n">
        <f aca="false">Sens!F12859+Sens!F12860</f>
        <v>146.709048000181</v>
      </c>
      <c r="G12862" s="6" t="n">
        <f aca="false">Sens!G12859+Sens!G12860</f>
        <v>199.762829861393</v>
      </c>
      <c r="H12862" s="6" t="n">
        <f aca="false">Sens!H12859+Sens!H12860</f>
        <v>254.146566109645</v>
      </c>
      <c r="I12862" s="6" t="n">
        <f aca="false">Sens!I12859+Sens!I12860</f>
        <v>303.439446964617</v>
      </c>
      <c r="J12862" s="6" t="n">
        <f aca="false">Sens!J12859+Sens!J12860</f>
        <v>341.309898459739</v>
      </c>
      <c r="K12862" s="6" t="n">
        <f aca="false">Sens!K12859+Sens!K12860</f>
        <v>368.09747789654</v>
      </c>
    </row>
    <row r="12863" customFormat="false" ht="17.15" hidden="false" customHeight="false" outlineLevel="0" collapsed="false">
      <c r="A12863" s="0" t="s">
        <v>1026</v>
      </c>
      <c r="B12863" s="1" t="s">
        <v>610</v>
      </c>
      <c r="C12863" s="30" t="n">
        <f aca="false">cop_s24</f>
        <v>1</v>
      </c>
      <c r="D12863" s="30" t="n">
        <f aca="false">cop_s25</f>
        <v>5</v>
      </c>
      <c r="E12863" s="30" t="n">
        <f aca="false">cop_s26</f>
        <v>30</v>
      </c>
      <c r="F12863" s="30" t="n">
        <f aca="false">Sens!E12863+cop_add_B</f>
        <v>50</v>
      </c>
      <c r="G12863" s="30" t="n">
        <f aca="false">Sens!F12863+cop_add_B</f>
        <v>70</v>
      </c>
      <c r="H12863" s="30" t="n">
        <f aca="false">Sens!G12863+cop_add_B</f>
        <v>90</v>
      </c>
      <c r="I12863" s="30" t="n">
        <f aca="false">Sens!H12863+cop_add_B*cop_tail</f>
        <v>100</v>
      </c>
      <c r="J12863" s="30" t="n">
        <f aca="false">Sens!I12863+cop_add_B*cop_tail</f>
        <v>110</v>
      </c>
      <c r="K12863" s="30" t="n">
        <f aca="false">Sens!J12863+cop_add_B*cop_tail</f>
        <v>120</v>
      </c>
      <c r="L12863" s="12" t="s">
        <v>1027</v>
      </c>
    </row>
    <row r="12864" customFormat="false" ht="17.15" hidden="false" customHeight="false" outlineLevel="0" collapsed="false">
      <c r="A12864" s="0" t="s">
        <v>1028</v>
      </c>
      <c r="B12864" s="0" t="s">
        <v>98</v>
      </c>
      <c r="D12864" s="6" t="n">
        <f aca="false">(Sens!C12863+Sens!D12863)/2*cop_px*12/1000</f>
        <v>0.9</v>
      </c>
      <c r="E12864" s="6" t="n">
        <f aca="false">(Sens!D12863+Sens!E12863)/2*cop_px*12/1000</f>
        <v>5.25</v>
      </c>
      <c r="F12864" s="6" t="n">
        <f aca="false">(Sens!E12863+Sens!F12863)/2*cop_px*12/1000</f>
        <v>12</v>
      </c>
      <c r="G12864" s="6" t="n">
        <f aca="false">(Sens!F12863+Sens!G12863)/2*cop_px*12/1000</f>
        <v>18</v>
      </c>
      <c r="H12864" s="6" t="n">
        <f aca="false">(Sens!G12863+Sens!H12863)/2*cop_px*12/1000</f>
        <v>24</v>
      </c>
      <c r="I12864" s="6" t="n">
        <f aca="false">(Sens!H12863+Sens!I12863)/2*cop_px*12/1000</f>
        <v>28.5</v>
      </c>
      <c r="J12864" s="6" t="n">
        <f aca="false">(Sens!I12863+Sens!J12863)/2*cop_px*12/1000</f>
        <v>31.5</v>
      </c>
      <c r="K12864" s="6" t="n">
        <f aca="false">(Sens!J12863+Sens!K12863)/2*cop_px*12/1000</f>
        <v>34.5</v>
      </c>
      <c r="L12864" s="1" t="s">
        <v>1029</v>
      </c>
    </row>
    <row r="12865" customFormat="false" ht="17.15" hidden="false" customHeight="false" outlineLevel="0" collapsed="false">
      <c r="A12865" s="0" t="s">
        <v>1030</v>
      </c>
      <c r="B12865" s="0" t="s">
        <v>98</v>
      </c>
      <c r="D12865" s="6" t="n">
        <f aca="false">Q!L7-Sens!D12864</f>
        <v>83.705</v>
      </c>
      <c r="E12865" s="6" t="n">
        <f aca="false">Q!M7-Sens!E12864</f>
        <v>95.049</v>
      </c>
      <c r="F12865" s="6" t="n">
        <f aca="false">Q!$I$7+(Sens!E12865*(1+Sens!F12866)+Sens!F12864)*(1-Q!$E$7/Q!M7)-Sens!F12864</f>
        <v>106.584003697747</v>
      </c>
      <c r="G12865" s="6" t="n">
        <f aca="false">Sens!F12865*(1+Sens!G12866)</f>
        <v>118.700726545688</v>
      </c>
      <c r="H12865" s="6" t="n">
        <f aca="false">Sens!G12865*(1+Sens!H12866)</f>
        <v>130.898624783666</v>
      </c>
      <c r="I12865" s="6" t="n">
        <f aca="false">Sens!H12865*(1+Sens!I12866)</f>
        <v>142.920510030657</v>
      </c>
      <c r="J12865" s="6" t="n">
        <f aca="false">Sens!I12865*(1+Sens!J12866)</f>
        <v>154.485722618572</v>
      </c>
      <c r="K12865" s="6" t="n">
        <f aca="false">Sens!J12865*(1+Sens!K12866)</f>
        <v>165.299723201872</v>
      </c>
      <c r="L12865" s="12" t="s">
        <v>1031</v>
      </c>
    </row>
    <row r="12866" customFormat="false" ht="15" hidden="false" customHeight="false" outlineLevel="0" collapsed="false">
      <c r="A12866" s="1" t="s">
        <v>1024</v>
      </c>
      <c r="B12866" s="0" t="s">
        <v>168</v>
      </c>
      <c r="E12866" s="7" t="n">
        <f aca="false">Sens!E12865/Sens!D12865-1</f>
        <v>0.135523564900544</v>
      </c>
      <c r="F12866" s="7" t="n">
        <f aca="false">Sens!$E$12866+(glt_m365b-Sens!$E$12866)*MIN(1,(Sens!F12818-base_fy)/n_conv)</f>
        <v>0.124602970750453</v>
      </c>
      <c r="G12866" s="7" t="n">
        <f aca="false">Sens!$E$12866+(glt_m365b-Sens!$E$12866)*MIN(1,(Sens!G12818-base_fy)/n_conv)</f>
        <v>0.113682376600363</v>
      </c>
      <c r="H12866" s="7" t="n">
        <f aca="false">Sens!$E$12866+(glt_m365b-Sens!$E$12866)*MIN(1,(Sens!H12818-base_fy)/n_conv)</f>
        <v>0.102761782450272</v>
      </c>
      <c r="I12866" s="7" t="n">
        <f aca="false">Sens!$E$12866+(glt_m365b-Sens!$E$12866)*MIN(1,(Sens!I12818-base_fy)/n_conv)</f>
        <v>0.0918411883001813</v>
      </c>
      <c r="J12866" s="7" t="n">
        <f aca="false">Sens!$E$12866+(glt_m365b-Sens!$E$12866)*MIN(1,(Sens!J12818-base_fy)/n_conv)</f>
        <v>0.0809205941500906</v>
      </c>
      <c r="K12866" s="7" t="n">
        <f aca="false">Sens!$E$12866+(glt_m365b-Sens!$E$12866)*MIN(1,(Sens!K12818-base_fy)/n_conv)</f>
        <v>0.07</v>
      </c>
    </row>
    <row r="12867" customFormat="false" ht="15" hidden="false" customHeight="false" outlineLevel="0" collapsed="false">
      <c r="A12867" s="0" t="s">
        <v>1032</v>
      </c>
      <c r="B12867" s="0" t="s">
        <v>98</v>
      </c>
      <c r="D12867" s="6" t="n">
        <f aca="false">Sens!D12865+Sens!D12864</f>
        <v>84.605</v>
      </c>
      <c r="E12867" s="6" t="n">
        <f aca="false">Sens!E12865+Sens!E12864</f>
        <v>100.299</v>
      </c>
      <c r="F12867" s="6" t="n">
        <f aca="false">Sens!F12865+Sens!F12864</f>
        <v>118.584003697747</v>
      </c>
      <c r="G12867" s="6" t="n">
        <f aca="false">Sens!G12865+Sens!G12864</f>
        <v>136.700726545688</v>
      </c>
      <c r="H12867" s="6" t="n">
        <f aca="false">Sens!H12865+Sens!H12864</f>
        <v>154.898624783666</v>
      </c>
      <c r="I12867" s="6" t="n">
        <f aca="false">Sens!I12865+Sens!I12864</f>
        <v>171.420510030657</v>
      </c>
      <c r="J12867" s="6" t="n">
        <f aca="false">Sens!J12865+Sens!J12864</f>
        <v>185.985722618572</v>
      </c>
      <c r="K12867" s="6" t="n">
        <f aca="false">Sens!K12865+Sens!K12864</f>
        <v>199.799723201872</v>
      </c>
    </row>
    <row r="12868" customFormat="false" ht="17.15" hidden="false" customHeight="false" outlineLevel="0" collapsed="false">
      <c r="A12868" s="0" t="s">
        <v>1033</v>
      </c>
      <c r="B12868" s="0" t="s">
        <v>98</v>
      </c>
      <c r="D12868" s="6" t="n">
        <f aca="false">Q!L8</f>
        <v>35.391</v>
      </c>
      <c r="E12868" s="6" t="n">
        <f aca="false">Q!M8</f>
        <v>37.285</v>
      </c>
      <c r="F12868" s="6" t="n">
        <f aca="false">Q!$I$8+(Q!M8-Q!$E$8)*(1+Sens!F12869)</f>
        <v>38.3851437782675</v>
      </c>
      <c r="G12868" s="6" t="n">
        <f aca="false">Sens!F12868*(1+Sens!G12869)</f>
        <v>40.0105353288615</v>
      </c>
      <c r="H12868" s="6" t="n">
        <f aca="false">Sens!G12868*(1+Sens!H12869)</f>
        <v>41.4812512033683</v>
      </c>
      <c r="I12868" s="6" t="n">
        <f aca="false">Sens!H12868*(1+Sens!I12869)</f>
        <v>42.7743107216329</v>
      </c>
      <c r="J12868" s="6" t="n">
        <f aca="false">Sens!I12868*(1+Sens!J12869)</f>
        <v>43.8687373064601</v>
      </c>
      <c r="K12868" s="6" t="n">
        <f aca="false">Sens!J12868*(1+Sens!K12869)</f>
        <v>44.7461120525893</v>
      </c>
      <c r="L12868" s="12" t="s">
        <v>1034</v>
      </c>
    </row>
    <row r="12869" customFormat="false" ht="15" hidden="false" customHeight="false" outlineLevel="0" collapsed="false">
      <c r="A12869" s="1" t="s">
        <v>1024</v>
      </c>
      <c r="B12869" s="0" t="s">
        <v>168</v>
      </c>
      <c r="E12869" s="7" t="n">
        <f aca="false">Sens!E12868/Sens!D12868-1</f>
        <v>0.0535164307309768</v>
      </c>
      <c r="F12869" s="7" t="n">
        <f aca="false">Sens!$E$12869+(glt_lic-Sens!$E$12869)*MIN(1,(Sens!F12818-base_fy)/n_conv)</f>
        <v>0.0479303589424807</v>
      </c>
      <c r="G12869" s="7" t="n">
        <f aca="false">Sens!$E$12869+(glt_lic-Sens!$E$12869)*MIN(1,(Sens!G12818-base_fy)/n_conv)</f>
        <v>0.0423442871539845</v>
      </c>
      <c r="H12869" s="7" t="n">
        <f aca="false">Sens!$E$12869+(glt_lic-Sens!$E$12869)*MIN(1,(Sens!H12818-base_fy)/n_conv)</f>
        <v>0.0367582153654884</v>
      </c>
      <c r="I12869" s="7" t="n">
        <f aca="false">Sens!$E$12869+(glt_lic-Sens!$E$12869)*MIN(1,(Sens!I12818-base_fy)/n_conv)</f>
        <v>0.0311721435769923</v>
      </c>
      <c r="J12869" s="7" t="n">
        <f aca="false">Sens!$E$12869+(glt_lic-Sens!$E$12869)*MIN(1,(Sens!J12818-base_fy)/n_conv)</f>
        <v>0.0255860717884961</v>
      </c>
      <c r="K12869" s="7" t="n">
        <f aca="false">Sens!$E$12869+(glt_lic-Sens!$E$12869)*MIN(1,(Sens!K12818-base_fy)/n_conv)</f>
        <v>0.02</v>
      </c>
    </row>
    <row r="12870" customFormat="false" ht="17.15" hidden="false" customHeight="false" outlineLevel="0" collapsed="false">
      <c r="A12870" s="0" t="s">
        <v>1035</v>
      </c>
      <c r="B12870" s="0" t="s">
        <v>98</v>
      </c>
      <c r="D12870" s="6" t="n">
        <f aca="false">Q!L9</f>
        <v>18.417</v>
      </c>
      <c r="E12870" s="6" t="n">
        <f aca="false">Q!M9</f>
        <v>20.345</v>
      </c>
      <c r="F12870" s="6" t="n">
        <f aca="false">Q!$I$9+(Q!M9-Q!$E$9)*(1+Sens!F12871)</f>
        <v>22.3161797133988</v>
      </c>
      <c r="G12870" s="6" t="n">
        <f aca="false">Sens!F12870*(1+Sens!G12871)</f>
        <v>24.3943499673233</v>
      </c>
      <c r="H12870" s="6" t="n">
        <f aca="false">Sens!G12870*(1+Sens!H12871)</f>
        <v>26.5250243109019</v>
      </c>
      <c r="I12870" s="6" t="n">
        <f aca="false">Sens!H12870*(1+Sens!I12871)</f>
        <v>28.6884573538181</v>
      </c>
      <c r="J12870" s="6" t="n">
        <f aca="false">Sens!I12870*(1+Sens!J12871)</f>
        <v>30.8624968052127</v>
      </c>
      <c r="K12870" s="6" t="n">
        <f aca="false">Sens!J12870*(1+Sens!K12871)</f>
        <v>33.0228715815776</v>
      </c>
      <c r="L12870" s="12" t="s">
        <v>1034</v>
      </c>
    </row>
    <row r="12871" customFormat="false" ht="15" hidden="false" customHeight="false" outlineLevel="0" collapsed="false">
      <c r="A12871" s="1" t="s">
        <v>1024</v>
      </c>
      <c r="B12871" s="0" t="s">
        <v>168</v>
      </c>
      <c r="E12871" s="7" t="n">
        <f aca="false">Sens!E12870/Sens!D12870-1</f>
        <v>0.104685888038225</v>
      </c>
      <c r="F12871" s="7" t="n">
        <f aca="false">Sens!$E$12871+(glt_ind-Sens!$E$12871)*MIN(1,(Sens!F12818-base_fy)/n_conv)</f>
        <v>0.0989049066985211</v>
      </c>
      <c r="G12871" s="7" t="n">
        <f aca="false">Sens!$E$12871+(glt_ind-Sens!$E$12871)*MIN(1,(Sens!G12818-base_fy)/n_conv)</f>
        <v>0.0931239253588169</v>
      </c>
      <c r="H12871" s="7" t="n">
        <f aca="false">Sens!$E$12871+(glt_ind-Sens!$E$12871)*MIN(1,(Sens!H12818-base_fy)/n_conv)</f>
        <v>0.0873429440191127</v>
      </c>
      <c r="I12871" s="7" t="n">
        <f aca="false">Sens!$E$12871+(glt_ind-Sens!$E$12871)*MIN(1,(Sens!I12818-base_fy)/n_conv)</f>
        <v>0.0815619626794085</v>
      </c>
      <c r="J12871" s="7" t="n">
        <f aca="false">Sens!$E$12871+(glt_ind-Sens!$E$12871)*MIN(1,(Sens!J12818-base_fy)/n_conv)</f>
        <v>0.0757809813397042</v>
      </c>
      <c r="K12871" s="7" t="n">
        <f aca="false">Sens!$E$12871+(glt_ind-Sens!$E$12871)*MIN(1,(Sens!K12818-base_fy)/n_conv)</f>
        <v>0.07</v>
      </c>
    </row>
    <row r="12872" customFormat="false" ht="17.15" hidden="false" customHeight="false" outlineLevel="0" collapsed="false">
      <c r="A12872" s="0" t="s">
        <v>1036</v>
      </c>
      <c r="B12872" s="0" t="s">
        <v>98</v>
      </c>
      <c r="D12872" s="6" t="n">
        <f aca="false">Q!L10</f>
        <v>7.76</v>
      </c>
      <c r="E12872" s="6" t="n">
        <f aca="false">Q!M10</f>
        <v>8.26</v>
      </c>
      <c r="F12872" s="6" t="n">
        <f aca="false">Q!$I$10+(Q!M10-Q!$E$10)*(1+Sens!F12873)</f>
        <v>8.75372082474227</v>
      </c>
      <c r="G12872" s="6" t="n">
        <f aca="false">Sens!F12872*(1+Sens!G12873)</f>
        <v>9.33399324642364</v>
      </c>
      <c r="H12872" s="6" t="n">
        <f aca="false">Sens!G12872*(1+Sens!H12873)</f>
        <v>9.96139155535851</v>
      </c>
      <c r="I12872" s="6" t="n">
        <f aca="false">Sens!H12872*(1+Sens!I12873)</f>
        <v>10.6402039077391</v>
      </c>
      <c r="J12872" s="6" t="n">
        <f aca="false">Sens!I12872*(1+Sens!J12873)</f>
        <v>11.3751458271397</v>
      </c>
      <c r="K12872" s="6" t="n">
        <f aca="false">Sens!J12872*(1+Sens!K12873)</f>
        <v>12.1714060350394</v>
      </c>
      <c r="L12872" s="12" t="s">
        <v>1034</v>
      </c>
    </row>
    <row r="12873" customFormat="false" ht="15" hidden="false" customHeight="false" outlineLevel="0" collapsed="false">
      <c r="A12873" s="1" t="s">
        <v>1024</v>
      </c>
      <c r="B12873" s="0" t="s">
        <v>168</v>
      </c>
      <c r="E12873" s="7" t="n">
        <f aca="false">Sens!E12872/Sens!D12872-1</f>
        <v>0.0644329896907216</v>
      </c>
      <c r="F12873" s="7" t="n">
        <f aca="false">Sens!$E$12873+(glt_fro-Sens!$E$12873)*MIN(1,(Sens!F12818-base_fy)/n_conv)</f>
        <v>0.065360824742268</v>
      </c>
      <c r="G12873" s="7" t="n">
        <f aca="false">Sens!$E$12873+(glt_fro-Sens!$E$12873)*MIN(1,(Sens!G12818-base_fy)/n_conv)</f>
        <v>0.0662886597938144</v>
      </c>
      <c r="H12873" s="7" t="n">
        <f aca="false">Sens!$E$12873+(glt_fro-Sens!$E$12873)*MIN(1,(Sens!H12818-base_fy)/n_conv)</f>
        <v>0.0672164948453608</v>
      </c>
      <c r="I12873" s="7" t="n">
        <f aca="false">Sens!$E$12873+(glt_fro-Sens!$E$12873)*MIN(1,(Sens!I12818-base_fy)/n_conv)</f>
        <v>0.0681443298969072</v>
      </c>
      <c r="J12873" s="7" t="n">
        <f aca="false">Sens!$E$12873+(glt_fro-Sens!$E$12873)*MIN(1,(Sens!J12818-base_fy)/n_conv)</f>
        <v>0.0690721649484536</v>
      </c>
      <c r="K12873" s="7" t="n">
        <f aca="false">Sens!$E$12873+(glt_fro-Sens!$E$12873)*MIN(1,(Sens!K12818-base_fy)/n_conv)</f>
        <v>0.07</v>
      </c>
    </row>
    <row r="12874" customFormat="false" ht="15" hidden="false" customHeight="false" outlineLevel="0" collapsed="false">
      <c r="A12874" s="0" t="s">
        <v>852</v>
      </c>
      <c r="B12874" s="0" t="s">
        <v>98</v>
      </c>
      <c r="D12874" s="6" t="n">
        <f aca="false">Sens!D12862+Sens!D12867+Sens!D12868+Sens!D12870+Sens!D12872</f>
        <v>218.783</v>
      </c>
      <c r="E12874" s="6" t="n">
        <f aca="false">Sens!E12862+Sens!E12867+Sens!E12868+Sens!E12870+Sens!E12872</f>
        <v>268.127</v>
      </c>
      <c r="F12874" s="6" t="n">
        <f aca="false">Sens!F12862+Sens!F12867+Sens!F12868+Sens!F12870+Sens!F12872</f>
        <v>334.748096014336</v>
      </c>
      <c r="G12874" s="6" t="n">
        <f aca="false">Sens!G12862+Sens!G12867+Sens!G12868+Sens!G12870+Sens!G12872</f>
        <v>410.20243494969</v>
      </c>
      <c r="H12874" s="6" t="n">
        <f aca="false">Sens!H12862+Sens!H12867+Sens!H12868+Sens!H12870+Sens!H12872</f>
        <v>487.012857962939</v>
      </c>
      <c r="I12874" s="6" t="n">
        <f aca="false">Sens!I12862+Sens!I12867+Sens!I12868+Sens!I12870+Sens!I12872</f>
        <v>556.962928978464</v>
      </c>
      <c r="J12874" s="6" t="n">
        <f aca="false">Sens!J12862+Sens!J12867+Sens!J12868+Sens!J12870+Sens!J12872</f>
        <v>613.402001017124</v>
      </c>
      <c r="K12874" s="6" t="n">
        <f aca="false">Sens!K12862+Sens!K12867+Sens!K12868+Sens!K12870+Sens!K12872</f>
        <v>657.837590767618</v>
      </c>
    </row>
    <row r="12875" customFormat="false" ht="17.15" hidden="false" customHeight="false" outlineLevel="0" collapsed="false">
      <c r="A12875" s="0" t="s">
        <v>1037</v>
      </c>
      <c r="B12875" s="0" t="s">
        <v>98</v>
      </c>
      <c r="D12875" s="6" t="n">
        <f aca="false">Q!L13</f>
        <v>22.171</v>
      </c>
      <c r="E12875" s="6" t="n">
        <f aca="false">Q!M13</f>
        <v>24.835</v>
      </c>
      <c r="F12875" s="6" t="n">
        <f aca="false">Q!$I$13+(Q!M13-Q!$E$13)*(1+Sens!F12876)</f>
        <v>27.5591895660247</v>
      </c>
      <c r="G12875" s="6" t="n">
        <f aca="false">Sens!F12875*(1+Sens!G12876)</f>
        <v>30.4098563144583</v>
      </c>
      <c r="H12875" s="6" t="n">
        <f aca="false">Sens!G12875*(1+Sens!H12876)</f>
        <v>33.3011792571777</v>
      </c>
      <c r="I12875" s="6" t="n">
        <f aca="false">Sens!H12875*(1+Sens!I12876)</f>
        <v>36.189023797112</v>
      </c>
      <c r="J12875" s="6" t="n">
        <f aca="false">Sens!I12875*(1+Sens!J12876)</f>
        <v>39.0247773769199</v>
      </c>
      <c r="K12875" s="6" t="n">
        <f aca="false">Sens!J12875*(1+Sens!K12876)</f>
        <v>41.7565117933043</v>
      </c>
      <c r="L12875" s="12" t="s">
        <v>1034</v>
      </c>
    </row>
    <row r="12876" customFormat="false" ht="15" hidden="false" customHeight="false" outlineLevel="0" collapsed="false">
      <c r="A12876" s="1" t="s">
        <v>1024</v>
      </c>
      <c r="B12876" s="0" t="s">
        <v>168</v>
      </c>
      <c r="E12876" s="7" t="n">
        <f aca="false">Sens!E12875/Sens!D12875-1</f>
        <v>0.120156961796942</v>
      </c>
      <c r="F12876" s="7" t="n">
        <f aca="false">Sens!$E$12876+(glt_srch-Sens!$E$12876)*MIN(1,(Sens!F12818-base_fy)/n_conv)</f>
        <v>0.111797468164118</v>
      </c>
      <c r="G12876" s="7" t="n">
        <f aca="false">Sens!$E$12876+(glt_srch-Sens!$E$12876)*MIN(1,(Sens!G12818-base_fy)/n_conv)</f>
        <v>0.103437974531295</v>
      </c>
      <c r="H12876" s="7" t="n">
        <f aca="false">Sens!$E$12876+(glt_srch-Sens!$E$12876)*MIN(1,(Sens!H12818-base_fy)/n_conv)</f>
        <v>0.095078480898471</v>
      </c>
      <c r="I12876" s="7" t="n">
        <f aca="false">Sens!$E$12876+(glt_srch-Sens!$E$12876)*MIN(1,(Sens!I12818-base_fy)/n_conv)</f>
        <v>0.0867189872656474</v>
      </c>
      <c r="J12876" s="7" t="n">
        <f aca="false">Sens!$E$12876+(glt_srch-Sens!$E$12876)*MIN(1,(Sens!J12818-base_fy)/n_conv)</f>
        <v>0.0783594936328237</v>
      </c>
      <c r="K12876" s="7" t="n">
        <f aca="false">Sens!$E$12876+(glt_srch-Sens!$E$12876)*MIN(1,(Sens!K12818-base_fy)/n_conv)</f>
        <v>0.07</v>
      </c>
    </row>
    <row r="12877" customFormat="false" ht="17.15" hidden="false" customHeight="false" outlineLevel="0" collapsed="false">
      <c r="A12877" s="0" t="s">
        <v>1038</v>
      </c>
      <c r="B12877" s="0" t="s">
        <v>98</v>
      </c>
      <c r="D12877" s="6" t="n">
        <f aca="false">Q!L14</f>
        <v>23.455</v>
      </c>
      <c r="E12877" s="6" t="n">
        <f aca="false">Q!M14</f>
        <v>21.79</v>
      </c>
      <c r="F12877" s="6" t="n">
        <f aca="false">Q!$I$14+(Q!M14-Q!$E$14)*(1+Sens!F12878)</f>
        <v>20.7520981041711</v>
      </c>
      <c r="G12877" s="6" t="n">
        <f aca="false">Sens!F12877*(1+Sens!G12878)</f>
        <v>19.9083593495882</v>
      </c>
      <c r="H12877" s="6" t="n">
        <f aca="false">Sens!G12877*(1+Sens!H12878)</f>
        <v>19.4008256265831</v>
      </c>
      <c r="I12877" s="6" t="n">
        <f aca="false">Sens!H12877*(1+Sens!I12878)</f>
        <v>19.200434522122</v>
      </c>
      <c r="J12877" s="6" t="n">
        <f aca="false">Sens!I12877*(1+Sens!J12878)</f>
        <v>19.2932782348507</v>
      </c>
      <c r="K12877" s="6" t="n">
        <f aca="false">Sens!J12877*(1+Sens!K12878)</f>
        <v>19.6791437995477</v>
      </c>
      <c r="L12877" s="12" t="s">
        <v>1034</v>
      </c>
    </row>
    <row r="12878" customFormat="false" ht="15" hidden="false" customHeight="false" outlineLevel="0" collapsed="false">
      <c r="A12878" s="1" t="s">
        <v>1024</v>
      </c>
      <c r="B12878" s="0" t="s">
        <v>168</v>
      </c>
      <c r="E12878" s="7" t="n">
        <f aca="false">Sens!E12877/Sens!D12877-1</f>
        <v>-0.0709869963760392</v>
      </c>
      <c r="F12878" s="7" t="n">
        <f aca="false">Sens!$E$12878+(glt_xbox-Sens!$E$12878)*MIN(1,(Sens!F12818-base_fy)/n_conv)</f>
        <v>-0.0558224969800327</v>
      </c>
      <c r="G12878" s="7" t="n">
        <f aca="false">Sens!$E$12878+(glt_xbox-Sens!$E$12878)*MIN(1,(Sens!G12818-base_fy)/n_conv)</f>
        <v>-0.0406579975840262</v>
      </c>
      <c r="H12878" s="7" t="n">
        <f aca="false">Sens!$E$12878+(glt_xbox-Sens!$E$12878)*MIN(1,(Sens!H12818-base_fy)/n_conv)</f>
        <v>-0.0254934981880196</v>
      </c>
      <c r="I12878" s="7" t="n">
        <f aca="false">Sens!$E$12878+(glt_xbox-Sens!$E$12878)*MIN(1,(Sens!I12818-base_fy)/n_conv)</f>
        <v>-0.0103289987920131</v>
      </c>
      <c r="J12878" s="7" t="n">
        <f aca="false">Sens!$E$12878+(glt_xbox-Sens!$E$12878)*MIN(1,(Sens!J12818-base_fy)/n_conv)</f>
        <v>0.00483550060399347</v>
      </c>
      <c r="K12878" s="7" t="n">
        <f aca="false">Sens!$E$12878+(glt_xbox-Sens!$E$12878)*MIN(1,(Sens!K12818-base_fy)/n_conv)</f>
        <v>0.02</v>
      </c>
    </row>
    <row r="12879" customFormat="false" ht="17.15" hidden="false" customHeight="false" outlineLevel="0" collapsed="false">
      <c r="A12879" s="0" t="s">
        <v>1039</v>
      </c>
      <c r="B12879" s="0" t="s">
        <v>98</v>
      </c>
      <c r="D12879" s="6" t="n">
        <f aca="false">Q!L15</f>
        <v>17.315</v>
      </c>
      <c r="E12879" s="6" t="n">
        <f aca="false">Q!M15</f>
        <v>17.087</v>
      </c>
      <c r="F12879" s="6" t="n">
        <f aca="false">Q!$I$15+(Q!M15-Q!$E$15)*(1+Sens!F12880)</f>
        <v>15.9912273250553</v>
      </c>
      <c r="G12879" s="6" t="n">
        <f aca="false">Sens!F12879*(1+Sens!G12880)</f>
        <v>15.9574562664827</v>
      </c>
      <c r="H12879" s="6" t="n">
        <f aca="false">Sens!G12879*(1+Sens!H12880)</f>
        <v>16.0119687434196</v>
      </c>
      <c r="I12879" s="6" t="n">
        <f aca="false">Sens!H12879*(1+Sens!I12880)</f>
        <v>16.1551810001948</v>
      </c>
      <c r="J12879" s="6" t="n">
        <f aca="false">Sens!I12879*(1+Sens!J12880)</f>
        <v>16.3889793892005</v>
      </c>
      <c r="K12879" s="6" t="n">
        <f aca="false">Sens!J12879*(1+Sens!K12880)</f>
        <v>16.7167589769845</v>
      </c>
      <c r="L12879" s="12" t="s">
        <v>1034</v>
      </c>
    </row>
    <row r="12880" customFormat="false" ht="15" hidden="false" customHeight="false" outlineLevel="0" collapsed="false">
      <c r="A12880" s="1" t="s">
        <v>1024</v>
      </c>
      <c r="B12880" s="0" t="s">
        <v>168</v>
      </c>
      <c r="E12880" s="7" t="n">
        <f aca="false">Sens!E12879/Sens!D12879-1</f>
        <v>-0.0131677736066995</v>
      </c>
      <c r="F12880" s="7" t="n">
        <f aca="false">Sens!$E$12880+(glt_win-Sens!$E$12880)*MIN(1,(Sens!F12818-base_fy)/n_conv)</f>
        <v>-0.00763981133891627</v>
      </c>
      <c r="G12880" s="7" t="n">
        <f aca="false">Sens!$E$12880+(glt_win-Sens!$E$12880)*MIN(1,(Sens!G12818-base_fy)/n_conv)</f>
        <v>-0.00211184907113301</v>
      </c>
      <c r="H12880" s="7" t="n">
        <f aca="false">Sens!$E$12880+(glt_win-Sens!$E$12880)*MIN(1,(Sens!H12818-base_fy)/n_conv)</f>
        <v>0.00341611319665024</v>
      </c>
      <c r="I12880" s="7" t="n">
        <f aca="false">Sens!$E$12880+(glt_win-Sens!$E$12880)*MIN(1,(Sens!I12818-base_fy)/n_conv)</f>
        <v>0.00894407546443349</v>
      </c>
      <c r="J12880" s="7" t="n">
        <f aca="false">Sens!$E$12880+(glt_win-Sens!$E$12880)*MIN(1,(Sens!J12818-base_fy)/n_conv)</f>
        <v>0.0144720377322168</v>
      </c>
      <c r="K12880" s="7" t="n">
        <f aca="false">Sens!$E$12880+(glt_win-Sens!$E$12880)*MIN(1,(Sens!K12818-base_fy)/n_conv)</f>
        <v>0.02</v>
      </c>
    </row>
    <row r="12881" customFormat="false" ht="15" hidden="false" customHeight="false" outlineLevel="0" collapsed="false">
      <c r="A12881" s="0" t="s">
        <v>866</v>
      </c>
      <c r="B12881" s="0" t="s">
        <v>98</v>
      </c>
      <c r="D12881" s="6" t="n">
        <f aca="false">Sens!D12875+Sens!D12877+Sens!D12879</f>
        <v>62.941</v>
      </c>
      <c r="E12881" s="6" t="n">
        <f aca="false">Sens!E12875+Sens!E12877+Sens!E12879</f>
        <v>63.712</v>
      </c>
      <c r="F12881" s="6" t="n">
        <f aca="false">Sens!F12875+Sens!F12877+Sens!F12879</f>
        <v>64.3025149952511</v>
      </c>
      <c r="G12881" s="6" t="n">
        <f aca="false">Sens!G12875+Sens!G12877+Sens!G12879</f>
        <v>66.2756719305292</v>
      </c>
      <c r="H12881" s="6" t="n">
        <f aca="false">Sens!H12875+Sens!H12877+Sens!H12879</f>
        <v>68.7139736271804</v>
      </c>
      <c r="I12881" s="6" t="n">
        <f aca="false">Sens!I12875+Sens!I12877+Sens!I12879</f>
        <v>71.5446393194289</v>
      </c>
      <c r="J12881" s="6" t="n">
        <f aca="false">Sens!J12875+Sens!J12877+Sens!J12879</f>
        <v>74.707035000971</v>
      </c>
      <c r="K12881" s="6" t="n">
        <f aca="false">Sens!K12875+Sens!K12877+Sens!K12879</f>
        <v>78.1524145698365</v>
      </c>
    </row>
    <row r="12882" customFormat="false" ht="15" hidden="false" customHeight="false" outlineLevel="0" collapsed="false">
      <c r="A12882" s="1" t="s">
        <v>1040</v>
      </c>
      <c r="B12882" s="0" t="s">
        <v>98</v>
      </c>
      <c r="D12882" s="6" t="n">
        <f aca="false">Sens!D12874+Sens!D12881</f>
        <v>281.724</v>
      </c>
      <c r="E12882" s="6" t="n">
        <f aca="false">Sens!E12874+Sens!E12881</f>
        <v>331.839</v>
      </c>
      <c r="F12882" s="6" t="n">
        <f aca="false">Sens!F12874+Sens!F12881</f>
        <v>399.050611009588</v>
      </c>
      <c r="G12882" s="6" t="n">
        <f aca="false">Sens!G12874+Sens!G12881</f>
        <v>476.478106880219</v>
      </c>
      <c r="H12882" s="6" t="n">
        <f aca="false">Sens!H12874+Sens!H12881</f>
        <v>555.72683159012</v>
      </c>
      <c r="I12882" s="6" t="n">
        <f aca="false">Sens!I12874+Sens!I12881</f>
        <v>628.507568297893</v>
      </c>
      <c r="J12882" s="6" t="n">
        <f aca="false">Sens!J12874+Sens!J12881</f>
        <v>688.109036018095</v>
      </c>
      <c r="K12882" s="6" t="n">
        <f aca="false">Sens!K12874+Sens!K12881</f>
        <v>735.990005337455</v>
      </c>
    </row>
    <row r="12883" customFormat="false" ht="15" hidden="false" customHeight="false" outlineLevel="0" collapsed="false">
      <c r="A12883" s="26" t="s">
        <v>1041</v>
      </c>
      <c r="B12883" s="31" t="s">
        <v>98</v>
      </c>
      <c r="C12883" s="31"/>
      <c r="D12883" s="27" t="n">
        <f aca="false">(Sens!D12862+Sens!D12867+Sens!D12868+Sens!D12870+Sens!D12872-Sens!D12874)+(Sens!D12875+Sens!D12877+Sens!D12879-Sens!D12881)+(Sens!D12874-Q!L5)+(Sens!D12881-Q!L12)+(Sens!D12862-Q!L6)+(Sens!D12867-Q!L7)</f>
        <v>0</v>
      </c>
      <c r="E12883" s="27" t="n">
        <f aca="false">(Sens!E12862+Sens!E12867+Sens!E12868+Sens!E12870+Sens!E12872-Sens!E12874)+(Sens!E12875+Sens!E12877+Sens!E12879-Sens!E12881)+(Sens!E12874-Q!M5)+(Sens!E12881-Q!M12)+(Sens!E12862-Q!M6)+(Sens!E12867-Q!M7)</f>
        <v>0</v>
      </c>
      <c r="F12883" s="27" t="n">
        <f aca="false">(Sens!F12862+Sens!F12867+Sens!F12868+Sens!F12870+Sens!F12872-Sens!F12874)+(Sens!F12875+Sens!F12877+Sens!F12879-Sens!F12881)</f>
        <v>0</v>
      </c>
      <c r="G12883" s="27" t="n">
        <f aca="false">(Sens!G12862+Sens!G12867+Sens!G12868+Sens!G12870+Sens!G12872-Sens!G12874)+(Sens!G12875+Sens!G12877+Sens!G12879-Sens!G12881)</f>
        <v>0</v>
      </c>
      <c r="H12883" s="27" t="n">
        <f aca="false">(Sens!H12862+Sens!H12867+Sens!H12868+Sens!H12870+Sens!H12872-Sens!H12874)+(Sens!H12875+Sens!H12877+Sens!H12879-Sens!H12881)</f>
        <v>0</v>
      </c>
      <c r="I12883" s="27" t="n">
        <f aca="false">(Sens!I12862+Sens!I12867+Sens!I12868+Sens!I12870+Sens!I12872-Sens!I12874)+(Sens!I12875+Sens!I12877+Sens!I12879-Sens!I12881)</f>
        <v>0</v>
      </c>
      <c r="J12883" s="27" t="n">
        <f aca="false">(Sens!J12862+Sens!J12867+Sens!J12868+Sens!J12870+Sens!J12872-Sens!J12874)+(Sens!J12875+Sens!J12877+Sens!J12879-Sens!J12881)</f>
        <v>0</v>
      </c>
      <c r="K12883" s="27" t="n">
        <f aca="false">(Sens!K12862+Sens!K12867+Sens!K12868+Sens!K12870+Sens!K12872-Sens!K12874)+(Sens!K12875+Sens!K12877+Sens!K12879-Sens!K12881)</f>
        <v>0</v>
      </c>
    </row>
    <row r="12884" customFormat="false" ht="17.15" hidden="false" customHeight="false" outlineLevel="0" collapsed="false">
      <c r="A12884" s="3" t="s">
        <v>1802</v>
      </c>
    </row>
    <row r="12885" customFormat="false" ht="15" hidden="false" customHeight="false" outlineLevel="0" collapsed="false">
      <c r="A12885" s="4" t="s">
        <v>43</v>
      </c>
      <c r="B12885" s="4" t="s">
        <v>65</v>
      </c>
      <c r="C12885" s="23" t="s">
        <v>938</v>
      </c>
      <c r="D12885" s="23" t="s">
        <v>939</v>
      </c>
      <c r="E12885" s="23" t="s">
        <v>940</v>
      </c>
      <c r="F12885" s="23" t="s">
        <v>941</v>
      </c>
      <c r="G12885" s="23" t="s">
        <v>942</v>
      </c>
      <c r="H12885" s="23" t="s">
        <v>943</v>
      </c>
      <c r="I12885" s="23" t="s">
        <v>944</v>
      </c>
      <c r="J12885" s="23" t="s">
        <v>945</v>
      </c>
      <c r="K12885" s="23" t="s">
        <v>946</v>
      </c>
      <c r="L12885" s="4" t="s">
        <v>47</v>
      </c>
    </row>
    <row r="12886" customFormat="false" ht="15" hidden="false" customHeight="false" outlineLevel="0" collapsed="false">
      <c r="A12886" s="0" t="s">
        <v>1025</v>
      </c>
      <c r="B12886" s="0" t="s">
        <v>98</v>
      </c>
      <c r="D12886" s="6" t="n">
        <f aca="false">Sens!D12862</f>
        <v>72.61</v>
      </c>
      <c r="E12886" s="6" t="n">
        <f aca="false">Sens!E12862</f>
        <v>101.938</v>
      </c>
      <c r="F12886" s="6" t="n">
        <f aca="false">Sens!F12862</f>
        <v>146.709048000181</v>
      </c>
      <c r="G12886" s="6" t="n">
        <f aca="false">Sens!G12862</f>
        <v>199.762829861393</v>
      </c>
      <c r="H12886" s="6" t="n">
        <f aca="false">Sens!H12862</f>
        <v>254.146566109645</v>
      </c>
      <c r="I12886" s="6" t="n">
        <f aca="false">Sens!I12862</f>
        <v>303.439446964617</v>
      </c>
      <c r="J12886" s="6" t="n">
        <f aca="false">Sens!J12862</f>
        <v>341.309898459739</v>
      </c>
      <c r="K12886" s="6" t="n">
        <f aca="false">Sens!K12862</f>
        <v>368.09747789654</v>
      </c>
    </row>
    <row r="12887" customFormat="false" ht="17.15" hidden="false" customHeight="false" outlineLevel="0" collapsed="false">
      <c r="A12887" s="0" t="s">
        <v>1021</v>
      </c>
      <c r="B12887" s="0" t="s">
        <v>98</v>
      </c>
      <c r="D12887" s="6" t="n">
        <f aca="false">Sens!D12859</f>
        <v>12.9359794422418</v>
      </c>
      <c r="E12887" s="6" t="n">
        <f aca="false">Sens!E12859</f>
        <v>27.8095064661409</v>
      </c>
      <c r="F12887" s="6" t="n">
        <f aca="false">Sens!F12859</f>
        <v>55.4118315060966</v>
      </c>
      <c r="G12887" s="6" t="n">
        <f aca="false">Sens!G12859</f>
        <v>91.2881100675143</v>
      </c>
      <c r="H12887" s="6" t="n">
        <f aca="false">Sens!H12859</f>
        <v>128.195273603944</v>
      </c>
      <c r="I12887" s="6" t="n">
        <f aca="false">Sens!I12859</f>
        <v>160.601281810405</v>
      </c>
      <c r="J12887" s="6" t="n">
        <f aca="false">Sens!J12859</f>
        <v>183.182719793589</v>
      </c>
      <c r="K12887" s="6" t="n">
        <f aca="false">Sens!K12859</f>
        <v>197.320124937098</v>
      </c>
    </row>
    <row r="12888" customFormat="false" ht="17.15" hidden="false" customHeight="false" outlineLevel="0" collapsed="false">
      <c r="A12888" s="0" t="s">
        <v>1052</v>
      </c>
      <c r="B12888" s="0" t="s">
        <v>98</v>
      </c>
      <c r="D12888" s="6" t="n">
        <f aca="false">Sens!D12860</f>
        <v>59.6740205577583</v>
      </c>
      <c r="E12888" s="6" t="n">
        <f aca="false">Sens!E12860</f>
        <v>74.1284935338591</v>
      </c>
      <c r="F12888" s="6" t="n">
        <f aca="false">Sens!F12860</f>
        <v>91.2972164940844</v>
      </c>
      <c r="G12888" s="6" t="n">
        <f aca="false">Sens!G12860</f>
        <v>108.474719793879</v>
      </c>
      <c r="H12888" s="6" t="n">
        <f aca="false">Sens!H12860</f>
        <v>125.951292505701</v>
      </c>
      <c r="I12888" s="6" t="n">
        <f aca="false">Sens!I12860</f>
        <v>142.838165154212</v>
      </c>
      <c r="J12888" s="6" t="n">
        <f aca="false">Sens!J12860</f>
        <v>158.12717866615</v>
      </c>
      <c r="K12888" s="6" t="n">
        <f aca="false">Sens!K12860</f>
        <v>170.777352959442</v>
      </c>
    </row>
    <row r="12889" customFormat="false" ht="15" hidden="false" customHeight="false" outlineLevel="0" collapsed="false">
      <c r="A12889" s="0" t="s">
        <v>1032</v>
      </c>
      <c r="B12889" s="0" t="s">
        <v>98</v>
      </c>
      <c r="D12889" s="6" t="n">
        <f aca="false">Sens!D12867</f>
        <v>84.605</v>
      </c>
      <c r="E12889" s="6" t="n">
        <f aca="false">Sens!E12867</f>
        <v>100.299</v>
      </c>
      <c r="F12889" s="6" t="n">
        <f aca="false">Sens!F12867</f>
        <v>118.584003697747</v>
      </c>
      <c r="G12889" s="6" t="n">
        <f aca="false">Sens!G12867</f>
        <v>136.700726545688</v>
      </c>
      <c r="H12889" s="6" t="n">
        <f aca="false">Sens!H12867</f>
        <v>154.898624783666</v>
      </c>
      <c r="I12889" s="6" t="n">
        <f aca="false">Sens!I12867</f>
        <v>171.420510030657</v>
      </c>
      <c r="J12889" s="6" t="n">
        <f aca="false">Sens!J12867</f>
        <v>185.985722618572</v>
      </c>
      <c r="K12889" s="6" t="n">
        <f aca="false">Sens!K12867</f>
        <v>199.799723201872</v>
      </c>
    </row>
    <row r="12890" customFormat="false" ht="17.15" hidden="false" customHeight="false" outlineLevel="0" collapsed="false">
      <c r="A12890" s="0" t="s">
        <v>1053</v>
      </c>
      <c r="B12890" s="0" t="s">
        <v>98</v>
      </c>
      <c r="D12890" s="6" t="n">
        <f aca="false">Sens!D12865</f>
        <v>83.705</v>
      </c>
      <c r="E12890" s="6" t="n">
        <f aca="false">Sens!E12865</f>
        <v>95.049</v>
      </c>
      <c r="F12890" s="6" t="n">
        <f aca="false">Sens!F12865</f>
        <v>106.584003697747</v>
      </c>
      <c r="G12890" s="6" t="n">
        <f aca="false">Sens!G12865</f>
        <v>118.700726545688</v>
      </c>
      <c r="H12890" s="6" t="n">
        <f aca="false">Sens!H12865</f>
        <v>130.898624783666</v>
      </c>
      <c r="I12890" s="6" t="n">
        <f aca="false">Sens!I12865</f>
        <v>142.920510030657</v>
      </c>
      <c r="J12890" s="6" t="n">
        <f aca="false">Sens!J12865</f>
        <v>154.485722618572</v>
      </c>
      <c r="K12890" s="6" t="n">
        <f aca="false">Sens!K12865</f>
        <v>165.299723201872</v>
      </c>
    </row>
    <row r="12891" customFormat="false" ht="17.15" hidden="false" customHeight="false" outlineLevel="0" collapsed="false">
      <c r="A12891" s="0" t="s">
        <v>1054</v>
      </c>
      <c r="B12891" s="0" t="s">
        <v>98</v>
      </c>
      <c r="D12891" s="6" t="n">
        <f aca="false">Sens!D12864</f>
        <v>0.9</v>
      </c>
      <c r="E12891" s="6" t="n">
        <f aca="false">Sens!E12864</f>
        <v>5.25</v>
      </c>
      <c r="F12891" s="6" t="n">
        <f aca="false">Sens!F12864</f>
        <v>12</v>
      </c>
      <c r="G12891" s="6" t="n">
        <f aca="false">Sens!G12864</f>
        <v>18</v>
      </c>
      <c r="H12891" s="6" t="n">
        <f aca="false">Sens!H12864</f>
        <v>24</v>
      </c>
      <c r="I12891" s="6" t="n">
        <f aca="false">Sens!I12864</f>
        <v>28.5</v>
      </c>
      <c r="J12891" s="6" t="n">
        <f aca="false">Sens!J12864</f>
        <v>31.5</v>
      </c>
      <c r="K12891" s="6" t="n">
        <f aca="false">Sens!K12864</f>
        <v>34.5</v>
      </c>
    </row>
    <row r="12892" customFormat="false" ht="15" hidden="false" customHeight="false" outlineLevel="0" collapsed="false">
      <c r="A12892" s="0" t="s">
        <v>1033</v>
      </c>
      <c r="B12892" s="0" t="s">
        <v>98</v>
      </c>
      <c r="D12892" s="6" t="n">
        <f aca="false">Sens!D12868</f>
        <v>35.391</v>
      </c>
      <c r="E12892" s="6" t="n">
        <f aca="false">Sens!E12868</f>
        <v>37.285</v>
      </c>
      <c r="F12892" s="6" t="n">
        <f aca="false">Sens!F12868</f>
        <v>38.3851437782675</v>
      </c>
      <c r="G12892" s="6" t="n">
        <f aca="false">Sens!G12868</f>
        <v>40.0105353288615</v>
      </c>
      <c r="H12892" s="6" t="n">
        <f aca="false">Sens!H12868</f>
        <v>41.4812512033683</v>
      </c>
      <c r="I12892" s="6" t="n">
        <f aca="false">Sens!I12868</f>
        <v>42.7743107216329</v>
      </c>
      <c r="J12892" s="6" t="n">
        <f aca="false">Sens!J12868</f>
        <v>43.8687373064601</v>
      </c>
      <c r="K12892" s="6" t="n">
        <f aca="false">Sens!K12868</f>
        <v>44.7461120525893</v>
      </c>
    </row>
    <row r="12893" customFormat="false" ht="15" hidden="false" customHeight="false" outlineLevel="0" collapsed="false">
      <c r="A12893" s="0" t="s">
        <v>1035</v>
      </c>
      <c r="B12893" s="0" t="s">
        <v>98</v>
      </c>
      <c r="D12893" s="6" t="n">
        <f aca="false">Sens!D12870</f>
        <v>18.417</v>
      </c>
      <c r="E12893" s="6" t="n">
        <f aca="false">Sens!E12870</f>
        <v>20.345</v>
      </c>
      <c r="F12893" s="6" t="n">
        <f aca="false">Sens!F12870</f>
        <v>22.3161797133988</v>
      </c>
      <c r="G12893" s="6" t="n">
        <f aca="false">Sens!G12870</f>
        <v>24.3943499673233</v>
      </c>
      <c r="H12893" s="6" t="n">
        <f aca="false">Sens!H12870</f>
        <v>26.5250243109019</v>
      </c>
      <c r="I12893" s="6" t="n">
        <f aca="false">Sens!I12870</f>
        <v>28.6884573538181</v>
      </c>
      <c r="J12893" s="6" t="n">
        <f aca="false">Sens!J12870</f>
        <v>30.8624968052127</v>
      </c>
      <c r="K12893" s="6" t="n">
        <f aca="false">Sens!K12870</f>
        <v>33.0228715815776</v>
      </c>
    </row>
    <row r="12894" customFormat="false" ht="15" hidden="false" customHeight="false" outlineLevel="0" collapsed="false">
      <c r="A12894" s="0" t="s">
        <v>1036</v>
      </c>
      <c r="B12894" s="0" t="s">
        <v>98</v>
      </c>
      <c r="D12894" s="6" t="n">
        <f aca="false">Sens!D12872</f>
        <v>7.76</v>
      </c>
      <c r="E12894" s="6" t="n">
        <f aca="false">Sens!E12872</f>
        <v>8.26</v>
      </c>
      <c r="F12894" s="6" t="n">
        <f aca="false">Sens!F12872</f>
        <v>8.75372082474227</v>
      </c>
      <c r="G12894" s="6" t="n">
        <f aca="false">Sens!G12872</f>
        <v>9.33399324642364</v>
      </c>
      <c r="H12894" s="6" t="n">
        <f aca="false">Sens!H12872</f>
        <v>9.96139155535851</v>
      </c>
      <c r="I12894" s="6" t="n">
        <f aca="false">Sens!I12872</f>
        <v>10.6402039077391</v>
      </c>
      <c r="J12894" s="6" t="n">
        <f aca="false">Sens!J12872</f>
        <v>11.3751458271397</v>
      </c>
      <c r="K12894" s="6" t="n">
        <f aca="false">Sens!K12872</f>
        <v>12.1714060350394</v>
      </c>
    </row>
    <row r="12895" customFormat="false" ht="15" hidden="false" customHeight="false" outlineLevel="0" collapsed="false">
      <c r="A12895" s="0" t="s">
        <v>852</v>
      </c>
      <c r="B12895" s="0" t="s">
        <v>98</v>
      </c>
      <c r="D12895" s="6" t="n">
        <f aca="false">Sens!D12874</f>
        <v>218.783</v>
      </c>
      <c r="E12895" s="6" t="n">
        <f aca="false">Sens!E12874</f>
        <v>268.127</v>
      </c>
      <c r="F12895" s="6" t="n">
        <f aca="false">Sens!F12874</f>
        <v>334.748096014336</v>
      </c>
      <c r="G12895" s="6" t="n">
        <f aca="false">Sens!G12874</f>
        <v>410.20243494969</v>
      </c>
      <c r="H12895" s="6" t="n">
        <f aca="false">Sens!H12874</f>
        <v>487.012857962939</v>
      </c>
      <c r="I12895" s="6" t="n">
        <f aca="false">Sens!I12874</f>
        <v>556.962928978464</v>
      </c>
      <c r="J12895" s="6" t="n">
        <f aca="false">Sens!J12874</f>
        <v>613.402001017124</v>
      </c>
      <c r="K12895" s="6" t="n">
        <f aca="false">Sens!K12874</f>
        <v>657.837590767618</v>
      </c>
    </row>
    <row r="12896" customFormat="false" ht="15" hidden="false" customHeight="false" outlineLevel="0" collapsed="false">
      <c r="A12896" s="0" t="s">
        <v>1037</v>
      </c>
      <c r="B12896" s="0" t="s">
        <v>98</v>
      </c>
      <c r="D12896" s="6" t="n">
        <f aca="false">Sens!D12875</f>
        <v>22.171</v>
      </c>
      <c r="E12896" s="6" t="n">
        <f aca="false">Sens!E12875</f>
        <v>24.835</v>
      </c>
      <c r="F12896" s="6" t="n">
        <f aca="false">Sens!F12875</f>
        <v>27.5591895660247</v>
      </c>
      <c r="G12896" s="6" t="n">
        <f aca="false">Sens!G12875</f>
        <v>30.4098563144583</v>
      </c>
      <c r="H12896" s="6" t="n">
        <f aca="false">Sens!H12875</f>
        <v>33.3011792571777</v>
      </c>
      <c r="I12896" s="6" t="n">
        <f aca="false">Sens!I12875</f>
        <v>36.189023797112</v>
      </c>
      <c r="J12896" s="6" t="n">
        <f aca="false">Sens!J12875</f>
        <v>39.0247773769199</v>
      </c>
      <c r="K12896" s="6" t="n">
        <f aca="false">Sens!K12875</f>
        <v>41.7565117933043</v>
      </c>
    </row>
    <row r="12897" customFormat="false" ht="15" hidden="false" customHeight="false" outlineLevel="0" collapsed="false">
      <c r="A12897" s="0" t="s">
        <v>1038</v>
      </c>
      <c r="B12897" s="0" t="s">
        <v>98</v>
      </c>
      <c r="D12897" s="6" t="n">
        <f aca="false">Sens!D12877</f>
        <v>23.455</v>
      </c>
      <c r="E12897" s="6" t="n">
        <f aca="false">Sens!E12877</f>
        <v>21.79</v>
      </c>
      <c r="F12897" s="6" t="n">
        <f aca="false">Sens!F12877</f>
        <v>20.7520981041711</v>
      </c>
      <c r="G12897" s="6" t="n">
        <f aca="false">Sens!G12877</f>
        <v>19.9083593495882</v>
      </c>
      <c r="H12897" s="6" t="n">
        <f aca="false">Sens!H12877</f>
        <v>19.4008256265831</v>
      </c>
      <c r="I12897" s="6" t="n">
        <f aca="false">Sens!I12877</f>
        <v>19.200434522122</v>
      </c>
      <c r="J12897" s="6" t="n">
        <f aca="false">Sens!J12877</f>
        <v>19.2932782348507</v>
      </c>
      <c r="K12897" s="6" t="n">
        <f aca="false">Sens!K12877</f>
        <v>19.6791437995477</v>
      </c>
    </row>
    <row r="12898" customFormat="false" ht="15" hidden="false" customHeight="false" outlineLevel="0" collapsed="false">
      <c r="A12898" s="0" t="s">
        <v>1039</v>
      </c>
      <c r="B12898" s="0" t="s">
        <v>98</v>
      </c>
      <c r="D12898" s="6" t="n">
        <f aca="false">Sens!D12879</f>
        <v>17.315</v>
      </c>
      <c r="E12898" s="6" t="n">
        <f aca="false">Sens!E12879</f>
        <v>17.087</v>
      </c>
      <c r="F12898" s="6" t="n">
        <f aca="false">Sens!F12879</f>
        <v>15.9912273250553</v>
      </c>
      <c r="G12898" s="6" t="n">
        <f aca="false">Sens!G12879</f>
        <v>15.9574562664827</v>
      </c>
      <c r="H12898" s="6" t="n">
        <f aca="false">Sens!H12879</f>
        <v>16.0119687434196</v>
      </c>
      <c r="I12898" s="6" t="n">
        <f aca="false">Sens!I12879</f>
        <v>16.1551810001948</v>
      </c>
      <c r="J12898" s="6" t="n">
        <f aca="false">Sens!J12879</f>
        <v>16.3889793892005</v>
      </c>
      <c r="K12898" s="6" t="n">
        <f aca="false">Sens!K12879</f>
        <v>16.7167589769845</v>
      </c>
    </row>
    <row r="12899" customFormat="false" ht="15" hidden="false" customHeight="false" outlineLevel="0" collapsed="false">
      <c r="A12899" s="0" t="s">
        <v>866</v>
      </c>
      <c r="B12899" s="0" t="s">
        <v>98</v>
      </c>
      <c r="D12899" s="6" t="n">
        <f aca="false">Sens!D12881</f>
        <v>62.941</v>
      </c>
      <c r="E12899" s="6" t="n">
        <f aca="false">Sens!E12881</f>
        <v>63.712</v>
      </c>
      <c r="F12899" s="6" t="n">
        <f aca="false">Sens!F12881</f>
        <v>64.3025149952511</v>
      </c>
      <c r="G12899" s="6" t="n">
        <f aca="false">Sens!G12881</f>
        <v>66.2756719305292</v>
      </c>
      <c r="H12899" s="6" t="n">
        <f aca="false">Sens!H12881</f>
        <v>68.7139736271804</v>
      </c>
      <c r="I12899" s="6" t="n">
        <f aca="false">Sens!I12881</f>
        <v>71.5446393194289</v>
      </c>
      <c r="J12899" s="6" t="n">
        <f aca="false">Sens!J12881</f>
        <v>74.707035000971</v>
      </c>
      <c r="K12899" s="6" t="n">
        <f aca="false">Sens!K12881</f>
        <v>78.1524145698365</v>
      </c>
    </row>
    <row r="12900" customFormat="false" ht="15" hidden="false" customHeight="false" outlineLevel="0" collapsed="false">
      <c r="A12900" s="1" t="s">
        <v>1055</v>
      </c>
      <c r="B12900" s="0" t="s">
        <v>98</v>
      </c>
      <c r="D12900" s="6" t="n">
        <f aca="false">Sens!D12882</f>
        <v>281.724</v>
      </c>
      <c r="E12900" s="6" t="n">
        <f aca="false">Sens!E12882</f>
        <v>331.839</v>
      </c>
      <c r="F12900" s="6" t="n">
        <f aca="false">Sens!F12882</f>
        <v>399.050611009588</v>
      </c>
      <c r="G12900" s="6" t="n">
        <f aca="false">Sens!G12882</f>
        <v>476.478106880219</v>
      </c>
      <c r="H12900" s="6" t="n">
        <f aca="false">Sens!H12882</f>
        <v>555.72683159012</v>
      </c>
      <c r="I12900" s="6" t="n">
        <f aca="false">Sens!I12882</f>
        <v>628.507568297893</v>
      </c>
      <c r="J12900" s="6" t="n">
        <f aca="false">Sens!J12882</f>
        <v>688.109036018095</v>
      </c>
      <c r="K12900" s="6" t="n">
        <f aca="false">Sens!K12882</f>
        <v>735.990005337455</v>
      </c>
    </row>
    <row r="12901" customFormat="false" ht="15" hidden="false" customHeight="false" outlineLevel="0" collapsed="false">
      <c r="A12901" s="1" t="s">
        <v>1056</v>
      </c>
      <c r="B12901" s="0" t="s">
        <v>168</v>
      </c>
      <c r="E12901" s="7" t="n">
        <f aca="false">Sens!E12900/Sens!D12900-1</f>
        <v>0.177886867998467</v>
      </c>
      <c r="F12901" s="7" t="n">
        <f aca="false">Sens!F12900/Sens!E12900-1</f>
        <v>0.202542832547071</v>
      </c>
      <c r="G12901" s="7" t="n">
        <f aca="false">Sens!G12900/Sens!F12900-1</f>
        <v>0.194029262791359</v>
      </c>
      <c r="H12901" s="7" t="n">
        <f aca="false">Sens!H12900/Sens!G12900-1</f>
        <v>0.166321859421387</v>
      </c>
      <c r="I12901" s="7" t="n">
        <f aca="false">Sens!I12900/Sens!H12900-1</f>
        <v>0.13096494999085</v>
      </c>
      <c r="J12901" s="7" t="n">
        <f aca="false">Sens!J12900/Sens!I12900-1</f>
        <v>0.0948301511811749</v>
      </c>
      <c r="K12901" s="7" t="n">
        <f aca="false">Sens!K12900/Sens!J12900-1</f>
        <v>0.0695834043924704</v>
      </c>
    </row>
    <row r="12902" customFormat="false" ht="17.15" hidden="false" customHeight="false" outlineLevel="0" collapsed="false">
      <c r="A12902" s="26" t="s">
        <v>1057</v>
      </c>
      <c r="B12902" s="31" t="s">
        <v>98</v>
      </c>
      <c r="C12902" s="31"/>
      <c r="D12902" s="27" t="n">
        <f aca="false">(Sens!D12895+Sens!D12899-Sens!D12900)+(Sens!D12887+Sens!D12888-Sens!D12886)+(Sens!D12890+Sens!D12891-Sens!D12889)+(Sens!D12900-Q!L18)</f>
        <v>0</v>
      </c>
      <c r="E12902" s="27" t="n">
        <f aca="false">(Sens!E12895+Sens!E12899-Sens!E12900)+(Sens!E12887+Sens!E12888-Sens!E12886)+(Sens!E12890+Sens!E12891-Sens!E12889)+(Sens!E12900-Q!M18)</f>
        <v>0</v>
      </c>
      <c r="F12902" s="27" t="n">
        <f aca="false">(Sens!F12895+Sens!F12899-Sens!F12900)+(Sens!F12887+Sens!F12888-Sens!F12886)+(Sens!F12890+Sens!F12891-Sens!F12889)</f>
        <v>0</v>
      </c>
      <c r="G12902" s="27" t="n">
        <f aca="false">(Sens!G12895+Sens!G12899-Sens!G12900)+(Sens!G12887+Sens!G12888-Sens!G12886)+(Sens!G12890+Sens!G12891-Sens!G12889)</f>
        <v>0</v>
      </c>
      <c r="H12902" s="27" t="n">
        <f aca="false">(Sens!H12895+Sens!H12899-Sens!H12900)+(Sens!H12887+Sens!H12888-Sens!H12886)+(Sens!H12890+Sens!H12891-Sens!H12889)</f>
        <v>0</v>
      </c>
      <c r="I12902" s="27" t="n">
        <f aca="false">(Sens!I12895+Sens!I12899-Sens!I12900)+(Sens!I12887+Sens!I12888-Sens!I12886)+(Sens!I12890+Sens!I12891-Sens!I12889)</f>
        <v>0</v>
      </c>
      <c r="J12902" s="27" t="n">
        <f aca="false">(Sens!J12895+Sens!J12899-Sens!J12900)+(Sens!J12887+Sens!J12888-Sens!J12886)+(Sens!J12890+Sens!J12891-Sens!J12889)</f>
        <v>0</v>
      </c>
      <c r="K12902" s="27" t="n">
        <f aca="false">(Sens!K12895+Sens!K12899-Sens!K12900)+(Sens!K12887+Sens!K12888-Sens!K12886)+(Sens!K12890+Sens!K12891-Sens!K12889)</f>
        <v>0</v>
      </c>
    </row>
    <row r="12903" customFormat="false" ht="17.15" hidden="false" customHeight="false" outlineLevel="0" collapsed="false">
      <c r="A12903" s="0" t="s">
        <v>1058</v>
      </c>
      <c r="B12903" s="0" t="s">
        <v>168</v>
      </c>
      <c r="E12903" s="7" t="n">
        <f aca="false">(Q!M21+Sens!E12839+Sens!E12840+Sens!E12841+Sens!E12855-Sens!E12837)/(Q!M5-Sens!E12837)</f>
        <v>0.570957350878296</v>
      </c>
      <c r="F12903" s="7" t="n">
        <f aca="false">Sens!$E$12903+dm_seg_lo</f>
        <v>0.550957350878296</v>
      </c>
      <c r="G12903" s="7" t="n">
        <f aca="false">Sens!$E$12903+dm_seg_lo</f>
        <v>0.550957350878296</v>
      </c>
      <c r="H12903" s="7" t="n">
        <f aca="false">Sens!$E$12903+dm_seg_lo</f>
        <v>0.550957350878296</v>
      </c>
      <c r="I12903" s="7" t="n">
        <f aca="false">Sens!$E$12903+dm_seg_lo</f>
        <v>0.550957350878296</v>
      </c>
      <c r="J12903" s="7" t="n">
        <f aca="false">Sens!$E$12903+dm_seg_lo</f>
        <v>0.550957350878296</v>
      </c>
      <c r="K12903" s="7" t="n">
        <f aca="false">Sens!$E$12903+dm_seg_lo</f>
        <v>0.550957350878296</v>
      </c>
      <c r="L12903" s="12" t="s">
        <v>1059</v>
      </c>
    </row>
    <row r="12904" customFormat="false" ht="17.15" hidden="false" customHeight="false" outlineLevel="0" collapsed="false">
      <c r="A12904" s="0" t="s">
        <v>880</v>
      </c>
      <c r="B12904" s="0" t="s">
        <v>98</v>
      </c>
      <c r="D12904" s="6" t="n">
        <f aca="false">Q!L21</f>
        <v>110.814</v>
      </c>
      <c r="E12904" s="6" t="n">
        <f aca="false">Q!M21</f>
        <v>136.365</v>
      </c>
      <c r="F12904" s="6" t="n">
        <f aca="false">Q!$I$21+(Sens!F12903*(Sens!F12874-Sens!F12837)+Sens!F12837-(Sens!F12839+Sens!F12840+Sens!F12841)-Sens!F12855-Sens!F12938)*(Sens!F12874-Q!$I$5)/Sens!F12874</f>
        <v>157.784819847707</v>
      </c>
      <c r="G12904" s="6" t="n">
        <f aca="false">(Sens!G12903*(Sens!G12874-Sens!G12837)+Sens!G12837-(Sens!G12839+Sens!G12840+Sens!G12841)-Sens!G12855-Sens!G12938)</f>
        <v>171.190616707751</v>
      </c>
      <c r="H12904" s="6" t="n">
        <f aca="false">(Sens!H12903*(Sens!H12874-Sens!H12837)+Sens!H12837-(Sens!H12839+Sens!H12840+Sens!H12841)-Sens!H12855-Sens!H12938)</f>
        <v>189.587334330939</v>
      </c>
      <c r="I12904" s="6" t="n">
        <f aca="false">(Sens!I12903*(Sens!I12874-Sens!I12837)+Sens!I12837-(Sens!I12839+Sens!I12840+Sens!I12841)-Sens!I12855-Sens!I12938)</f>
        <v>207.048350210726</v>
      </c>
      <c r="J12904" s="6" t="n">
        <f aca="false">(Sens!J12903*(Sens!J12874-Sens!J12837)+Sens!J12837-(Sens!J12839+Sens!J12840+Sens!J12841)-Sens!J12855-Sens!J12938)</f>
        <v>223.352690895218</v>
      </c>
      <c r="K12904" s="6" t="n">
        <f aca="false">(Sens!K12903*(Sens!K12874-Sens!K12837)+Sens!K12837-(Sens!K12839+Sens!K12840+Sens!K12841)-Sens!K12855-Sens!K12938)</f>
        <v>239.129396972548</v>
      </c>
      <c r="L12904" s="1" t="s">
        <v>1060</v>
      </c>
    </row>
    <row r="12905" customFormat="false" ht="17.15" hidden="false" customHeight="false" outlineLevel="0" collapsed="false">
      <c r="A12905" s="0" t="s">
        <v>1061</v>
      </c>
      <c r="B12905" s="0" t="s">
        <v>168</v>
      </c>
      <c r="E12905" s="7" t="n">
        <f aca="false">Q!M22/Q!M12</f>
        <v>0.296207935710698</v>
      </c>
      <c r="F12905" s="7" t="n">
        <f aca="false">Sens!$E$12905+dm_seg_lo</f>
        <v>0.276207935710698</v>
      </c>
      <c r="G12905" s="7" t="n">
        <f aca="false">Sens!$E$12905+dm_seg_lo</f>
        <v>0.276207935710698</v>
      </c>
      <c r="H12905" s="7" t="n">
        <f aca="false">Sens!$E$12905+dm_seg_lo</f>
        <v>0.276207935710698</v>
      </c>
      <c r="I12905" s="7" t="n">
        <f aca="false">Sens!$E$12905+dm_seg_lo</f>
        <v>0.276207935710698</v>
      </c>
      <c r="J12905" s="7" t="n">
        <f aca="false">Sens!$E$12905+dm_seg_lo</f>
        <v>0.276207935710698</v>
      </c>
      <c r="K12905" s="7" t="n">
        <f aca="false">Sens!$E$12905+dm_seg_lo</f>
        <v>0.276207935710698</v>
      </c>
      <c r="L12905" s="12" t="s">
        <v>1062</v>
      </c>
    </row>
    <row r="12906" customFormat="false" ht="17.15" hidden="false" customHeight="false" outlineLevel="0" collapsed="false">
      <c r="A12906" s="0" t="s">
        <v>882</v>
      </c>
      <c r="B12906" s="0" t="s">
        <v>98</v>
      </c>
      <c r="D12906" s="6" t="n">
        <f aca="false">Q!L22</f>
        <v>17.714</v>
      </c>
      <c r="E12906" s="6" t="n">
        <f aca="false">Q!M22</f>
        <v>18.872</v>
      </c>
      <c r="F12906" s="6" t="n">
        <f aca="false">Q!$I$22+(Sens!F12881-Q!$I$12)*Sens!F12905</f>
        <v>18.8410612513001</v>
      </c>
      <c r="G12906" s="6" t="n">
        <f aca="false">Sens!G12881*Sens!G12905</f>
        <v>18.3058665317709</v>
      </c>
      <c r="H12906" s="6" t="n">
        <f aca="false">Sens!H12881*Sens!H12905</f>
        <v>18.9793448100428</v>
      </c>
      <c r="I12906" s="6" t="n">
        <f aca="false">Sens!I12881*Sens!I12905</f>
        <v>19.7611971375859</v>
      </c>
      <c r="J12906" s="6" t="n">
        <f aca="false">Sens!J12881*Sens!J12905</f>
        <v>20.6346759206851</v>
      </c>
      <c r="K12906" s="6" t="n">
        <f aca="false">Sens!K12881*Sens!K12905</f>
        <v>21.5863170991412</v>
      </c>
      <c r="L12906" s="12" t="s">
        <v>1063</v>
      </c>
    </row>
    <row r="12907" customFormat="false" ht="15" hidden="false" customHeight="false" outlineLevel="0" collapsed="false">
      <c r="A12907" s="1" t="s">
        <v>1064</v>
      </c>
      <c r="B12907" s="0" t="s">
        <v>98</v>
      </c>
      <c r="D12907" s="6" t="n">
        <f aca="false">Sens!D12904+Sens!D12906</f>
        <v>128.528</v>
      </c>
      <c r="E12907" s="6" t="n">
        <f aca="false">Sens!E12904+Sens!E12906</f>
        <v>155.237</v>
      </c>
      <c r="F12907" s="6" t="n">
        <f aca="false">Sens!F12904+Sens!F12906</f>
        <v>176.625881099007</v>
      </c>
      <c r="G12907" s="6" t="n">
        <f aca="false">Sens!G12904+Sens!G12906</f>
        <v>189.496483239522</v>
      </c>
      <c r="H12907" s="6" t="n">
        <f aca="false">Sens!H12904+Sens!H12906</f>
        <v>208.566679140982</v>
      </c>
      <c r="I12907" s="6" t="n">
        <f aca="false">Sens!I12904+Sens!I12906</f>
        <v>226.809547348312</v>
      </c>
      <c r="J12907" s="6" t="n">
        <f aca="false">Sens!J12904+Sens!J12906</f>
        <v>243.987366815903</v>
      </c>
      <c r="K12907" s="6" t="n">
        <f aca="false">Sens!K12904+Sens!K12906</f>
        <v>260.715714071689</v>
      </c>
    </row>
    <row r="12908" customFormat="false" ht="15" hidden="false" customHeight="false" outlineLevel="0" collapsed="false">
      <c r="A12908" s="26" t="s">
        <v>1065</v>
      </c>
      <c r="B12908" s="31" t="s">
        <v>98</v>
      </c>
      <c r="C12908" s="31"/>
      <c r="D12908" s="27" t="n">
        <f aca="false">Sens!D12907-Q!L23</f>
        <v>0</v>
      </c>
      <c r="E12908" s="27" t="n">
        <f aca="false">Sens!E12907-Q!M23</f>
        <v>0</v>
      </c>
      <c r="F12908" s="31"/>
      <c r="G12908" s="31"/>
      <c r="H12908" s="31"/>
      <c r="I12908" s="31"/>
      <c r="J12908" s="31"/>
      <c r="K12908" s="31"/>
    </row>
    <row r="12909" customFormat="false" ht="15" hidden="false" customHeight="false" outlineLevel="0" collapsed="false">
      <c r="A12909" s="1" t="s">
        <v>1066</v>
      </c>
      <c r="B12909" s="0" t="s">
        <v>168</v>
      </c>
      <c r="D12909" s="7" t="n">
        <f aca="false">Sens!D12907/Sens!D12900</f>
        <v>0.456219562408598</v>
      </c>
      <c r="E12909" s="7" t="n">
        <f aca="false">Sens!E12907/Sens!E12900</f>
        <v>0.467808184089272</v>
      </c>
      <c r="F12909" s="7" t="n">
        <f aca="false">Sens!F12907/Sens!F12900</f>
        <v>0.442615237831983</v>
      </c>
      <c r="G12909" s="7" t="n">
        <f aca="false">Sens!G12907/Sens!G12900</f>
        <v>0.397702392834512</v>
      </c>
      <c r="H12909" s="7" t="n">
        <f aca="false">Sens!H12907/Sens!H12900</f>
        <v>0.375304317310365</v>
      </c>
      <c r="I12909" s="7" t="n">
        <f aca="false">Sens!I12907/Sens!I12900</f>
        <v>0.36087003369355</v>
      </c>
      <c r="J12909" s="7" t="n">
        <f aca="false">Sens!J12907/Sens!J12900</f>
        <v>0.354576606387548</v>
      </c>
      <c r="K12909" s="7" t="n">
        <f aca="false">Sens!K12907/Sens!K12900</f>
        <v>0.354238117611597</v>
      </c>
    </row>
    <row r="12910" customFormat="false" ht="17.15" hidden="false" customHeight="false" outlineLevel="0" collapsed="false">
      <c r="A12910" s="1" t="s">
        <v>1067</v>
      </c>
      <c r="B12910" s="0" t="s">
        <v>98</v>
      </c>
      <c r="F12910" s="6" t="n">
        <f aca="false">Sens!F12925</f>
        <v>9.8748427716299</v>
      </c>
      <c r="G12910" s="6" t="n">
        <f aca="false">Sens!G12925</f>
        <v>25.5303385959797</v>
      </c>
      <c r="H12910" s="6" t="n">
        <f aca="false">Sens!H12925</f>
        <v>42.6590253697948</v>
      </c>
      <c r="I12910" s="6" t="n">
        <f aca="false">Sens!I12925</f>
        <v>58.169943641581</v>
      </c>
      <c r="J12910" s="6" t="n">
        <f aca="false">Sens!J12925</f>
        <v>69.0078520908201</v>
      </c>
      <c r="K12910" s="6" t="n">
        <f aca="false">Sens!K12925</f>
        <v>74.9448374943249</v>
      </c>
      <c r="L12910" s="1" t="s">
        <v>1068</v>
      </c>
    </row>
    <row r="12911" customFormat="false" ht="17.15" hidden="false" customHeight="false" outlineLevel="0" collapsed="false">
      <c r="A12911" s="1" t="s">
        <v>1069</v>
      </c>
      <c r="B12911" s="0" t="s">
        <v>98</v>
      </c>
      <c r="D12911" s="6" t="n">
        <f aca="false">Sens!D12907</f>
        <v>128.528</v>
      </c>
      <c r="E12911" s="6" t="n">
        <f aca="false">Sens!E12907</f>
        <v>155.237</v>
      </c>
      <c r="F12911" s="6" t="n">
        <f aca="false">Sens!F12907+Sens!F12910</f>
        <v>186.500723870637</v>
      </c>
      <c r="G12911" s="6" t="n">
        <f aca="false">Sens!G12907+Sens!G12910</f>
        <v>215.026821835501</v>
      </c>
      <c r="H12911" s="6" t="n">
        <f aca="false">Sens!H12907+Sens!H12910</f>
        <v>251.225704510777</v>
      </c>
      <c r="I12911" s="6" t="n">
        <f aca="false">Sens!I12907+Sens!I12910</f>
        <v>284.979490989893</v>
      </c>
      <c r="J12911" s="6" t="n">
        <f aca="false">Sens!J12907+Sens!J12910</f>
        <v>312.995218906723</v>
      </c>
      <c r="K12911" s="6" t="n">
        <f aca="false">Sens!K12907+Sens!K12910</f>
        <v>335.660551566014</v>
      </c>
    </row>
    <row r="12912" customFormat="false" ht="17.15" hidden="false" customHeight="false" outlineLevel="0" collapsed="false">
      <c r="A12912" s="1" t="s">
        <v>1070</v>
      </c>
      <c r="B12912" s="0" t="s">
        <v>98</v>
      </c>
      <c r="E12912" s="6" t="n">
        <f aca="false">Sens!E12855</f>
        <v>16.3054059770833</v>
      </c>
      <c r="F12912" s="6" t="n">
        <f aca="false">Sens!F12855</f>
        <v>34.5793144783516</v>
      </c>
      <c r="G12912" s="6" t="n">
        <f aca="false">Sens!G12855</f>
        <v>60.7344906522989</v>
      </c>
      <c r="H12912" s="6" t="n">
        <f aca="false">Sens!H12855</f>
        <v>89.1000906614457</v>
      </c>
      <c r="I12912" s="6" t="n">
        <f aca="false">Sens!I12855</f>
        <v>114.231009694548</v>
      </c>
      <c r="J12912" s="6" t="n">
        <f aca="false">Sens!J12855</f>
        <v>132.015673049596</v>
      </c>
      <c r="K12912" s="6" t="n">
        <f aca="false">Sens!K12855</f>
        <v>143.012669550934</v>
      </c>
    </row>
    <row r="12913" customFormat="false" ht="17.15" hidden="false" customHeight="false" outlineLevel="0" collapsed="false">
      <c r="A12913" s="1" t="s">
        <v>1071</v>
      </c>
      <c r="B12913" s="0" t="s">
        <v>98</v>
      </c>
      <c r="E12913" s="6" t="n">
        <f aca="false">Sens!E12937</f>
        <v>22.2285940229167</v>
      </c>
      <c r="F12913" s="6" t="n">
        <f aca="false">Sens!F12937</f>
        <v>23.580344216413</v>
      </c>
      <c r="G12913" s="6" t="n">
        <f aca="false">Sens!G12937</f>
        <v>25.3583505401965</v>
      </c>
      <c r="H12913" s="6" t="n">
        <f aca="false">Sens!H12937</f>
        <v>27.528569983033</v>
      </c>
      <c r="I12913" s="6" t="n">
        <f aca="false">Sens!I12937</f>
        <v>30.0244523528154</v>
      </c>
      <c r="J12913" s="6" t="n">
        <f aca="false">Sens!J12937</f>
        <v>32.7625785967048</v>
      </c>
      <c r="K12913" s="6" t="n">
        <f aca="false">Sens!K12937</f>
        <v>35.6585684431062</v>
      </c>
    </row>
    <row r="12914" customFormat="false" ht="17.15" hidden="false" customHeight="false" outlineLevel="0" collapsed="false">
      <c r="A12914" s="1" t="s">
        <v>1072</v>
      </c>
      <c r="B12914" s="0" t="s">
        <v>98</v>
      </c>
      <c r="D12914" s="6" t="n">
        <f aca="false">Q!L27</f>
        <v>-4.901</v>
      </c>
      <c r="E12914" s="6" t="n">
        <f aca="false">Q!M27</f>
        <v>10.697</v>
      </c>
      <c r="F12914" s="6" t="n">
        <f aca="false">Q!$I$27+oie_f*(q_per_yr-1)/q_per_yr</f>
        <v>-0.862</v>
      </c>
      <c r="G12914" s="6" t="n">
        <f aca="false">oie_f</f>
        <v>-1.2</v>
      </c>
      <c r="H12914" s="6" t="n">
        <f aca="false">oie_f</f>
        <v>-1.2</v>
      </c>
      <c r="I12914" s="6" t="n">
        <f aca="false">oie_f</f>
        <v>-1.2</v>
      </c>
      <c r="J12914" s="6" t="n">
        <f aca="false">oie_f</f>
        <v>-1.2</v>
      </c>
      <c r="K12914" s="6" t="n">
        <f aca="false">oie_f</f>
        <v>-1.2</v>
      </c>
      <c r="L12914" s="12" t="s">
        <v>1073</v>
      </c>
    </row>
    <row r="12915" customFormat="false" ht="15" hidden="false" customHeight="false" outlineLevel="0" collapsed="false">
      <c r="A12915" s="1" t="s">
        <v>1074</v>
      </c>
      <c r="B12915" s="0" t="s">
        <v>98</v>
      </c>
      <c r="D12915" s="6" t="n">
        <f aca="false">Sens!D12907+Sens!D12914</f>
        <v>123.627</v>
      </c>
      <c r="E12915" s="6" t="n">
        <f aca="false">Sens!E12907+Sens!E12914</f>
        <v>165.934</v>
      </c>
      <c r="F12915" s="6" t="n">
        <f aca="false">Sens!F12907+Sens!F12914</f>
        <v>175.763881099007</v>
      </c>
      <c r="G12915" s="6" t="n">
        <f aca="false">Sens!G12907+Sens!G12914</f>
        <v>188.296483239522</v>
      </c>
      <c r="H12915" s="6" t="n">
        <f aca="false">Sens!H12907+Sens!H12914</f>
        <v>207.366679140982</v>
      </c>
      <c r="I12915" s="6" t="n">
        <f aca="false">Sens!I12907+Sens!I12914</f>
        <v>225.609547348312</v>
      </c>
      <c r="J12915" s="6" t="n">
        <f aca="false">Sens!J12907+Sens!J12914</f>
        <v>242.787366815903</v>
      </c>
      <c r="K12915" s="6" t="n">
        <f aca="false">Sens!K12907+Sens!K12914</f>
        <v>259.515714071689</v>
      </c>
    </row>
    <row r="12916" customFormat="false" ht="15" hidden="false" customHeight="false" outlineLevel="0" collapsed="false">
      <c r="A12916" s="1" t="s">
        <v>1075</v>
      </c>
      <c r="B12916" s="0" t="s">
        <v>98</v>
      </c>
      <c r="D12916" s="6" t="n">
        <f aca="false">Q!L29</f>
        <v>21.795</v>
      </c>
      <c r="E12916" s="6" t="n">
        <f aca="false">Q!M29</f>
        <v>32.185</v>
      </c>
      <c r="F12916" s="6" t="n">
        <f aca="false">Q!$I$29+(Sens!F12915-Q!$I$28)*tax_f</f>
        <v>35.2861762198013</v>
      </c>
      <c r="G12916" s="6" t="n">
        <f aca="false">Sens!G12915*tax_f</f>
        <v>37.6592966479043</v>
      </c>
      <c r="H12916" s="6" t="n">
        <f aca="false">Sens!H12915*tax_f</f>
        <v>41.4733358281964</v>
      </c>
      <c r="I12916" s="6" t="n">
        <f aca="false">Sens!I12915*tax_f</f>
        <v>45.1219094696624</v>
      </c>
      <c r="J12916" s="6" t="n">
        <f aca="false">Sens!J12915*tax_f</f>
        <v>48.5574733631805</v>
      </c>
      <c r="K12916" s="6" t="n">
        <f aca="false">Sens!K12915*tax_f</f>
        <v>51.9031428143379</v>
      </c>
    </row>
    <row r="12917" customFormat="false" ht="15" hidden="false" customHeight="false" outlineLevel="0" collapsed="false">
      <c r="A12917" s="1" t="s">
        <v>1076</v>
      </c>
      <c r="B12917" s="0" t="s">
        <v>98</v>
      </c>
      <c r="D12917" s="6" t="n">
        <f aca="false">Sens!D12915-Sens!D12916</f>
        <v>101.832</v>
      </c>
      <c r="E12917" s="6" t="n">
        <f aca="false">Sens!E12915-Sens!E12916</f>
        <v>133.749</v>
      </c>
      <c r="F12917" s="6" t="n">
        <f aca="false">Sens!F12915-Sens!F12916</f>
        <v>140.477704879205</v>
      </c>
      <c r="G12917" s="6" t="n">
        <f aca="false">Sens!G12915-Sens!G12916</f>
        <v>150.637186591617</v>
      </c>
      <c r="H12917" s="6" t="n">
        <f aca="false">Sens!H12915-Sens!H12916</f>
        <v>165.893343312786</v>
      </c>
      <c r="I12917" s="6" t="n">
        <f aca="false">Sens!I12915-Sens!I12916</f>
        <v>180.48763787865</v>
      </c>
      <c r="J12917" s="6" t="n">
        <f aca="false">Sens!J12915-Sens!J12916</f>
        <v>194.229893452722</v>
      </c>
      <c r="K12917" s="6" t="n">
        <f aca="false">Sens!K12915-Sens!K12916</f>
        <v>207.612571257351</v>
      </c>
    </row>
    <row r="12918" customFormat="false" ht="17.15" hidden="false" customHeight="false" outlineLevel="0" collapsed="false">
      <c r="A12918" s="1" t="s">
        <v>1077</v>
      </c>
      <c r="B12918" s="1" t="s">
        <v>81</v>
      </c>
      <c r="D12918" s="15" t="n">
        <f aca="false">Q!L31</f>
        <v>7.465</v>
      </c>
      <c r="E12918" s="15" t="n">
        <f aca="false">Q!M31</f>
        <v>7.453</v>
      </c>
      <c r="F12918" s="15" t="n">
        <f aca="false">Sens!F12962</f>
        <v>7.4735</v>
      </c>
      <c r="G12918" s="15" t="n">
        <f aca="false">Sens!G12962</f>
        <v>7.5185</v>
      </c>
      <c r="H12918" s="15" t="n">
        <f aca="false">Sens!H12962</f>
        <v>7.5482637123676</v>
      </c>
      <c r="I12918" s="15" t="n">
        <f aca="false">Sens!I12962</f>
        <v>7.56200884976187</v>
      </c>
      <c r="J12918" s="15" t="n">
        <f aca="false">Sens!J12962</f>
        <v>7.57615826092434</v>
      </c>
      <c r="K12918" s="15" t="n">
        <f aca="false">Sens!K12962</f>
        <v>7.5925929008896</v>
      </c>
    </row>
    <row r="12919" customFormat="false" ht="17.15" hidden="false" customHeight="false" outlineLevel="0" collapsed="false">
      <c r="A12919" s="0" t="s">
        <v>1078</v>
      </c>
      <c r="B12919" s="0" t="s">
        <v>75</v>
      </c>
      <c r="D12919" s="8" t="n">
        <f aca="false">Sens!D12917/Sens!D12918</f>
        <v>13.641259209645</v>
      </c>
      <c r="E12919" s="8" t="n">
        <f aca="false">Sens!E12917/Sens!E12918</f>
        <v>17.9456594659869</v>
      </c>
      <c r="F12919" s="8" t="n">
        <f aca="false">Sens!F12917/Sens!F12918</f>
        <v>18.7967759254975</v>
      </c>
      <c r="G12919" s="8" t="n">
        <f aca="false">Sens!G12917/Sens!G12918</f>
        <v>20.0355372204053</v>
      </c>
      <c r="H12919" s="8" t="n">
        <f aca="false">Sens!H12917/Sens!H12918</f>
        <v>21.9776825021328</v>
      </c>
      <c r="I12919" s="8" t="n">
        <f aca="false">Sens!I12917/Sens!I12918</f>
        <v>23.8676840327069</v>
      </c>
      <c r="J12919" s="8" t="n">
        <f aca="false">Sens!J12917/Sens!J12918</f>
        <v>25.6369899840272</v>
      </c>
      <c r="K12919" s="8" t="n">
        <f aca="false">Sens!K12917/Sens!K12918</f>
        <v>27.3440936406621</v>
      </c>
      <c r="L12919" s="1" t="s">
        <v>1079</v>
      </c>
    </row>
    <row r="12920" customFormat="false" ht="17.15" hidden="false" customHeight="false" outlineLevel="0" collapsed="false">
      <c r="A12920" s="1" t="s">
        <v>1080</v>
      </c>
      <c r="B12920" s="0" t="s">
        <v>98</v>
      </c>
      <c r="D12920" s="6" t="n">
        <f aca="false">Sens!D12917</f>
        <v>101.832</v>
      </c>
      <c r="E12920" s="6" t="n">
        <f aca="false">Sens!E12917</f>
        <v>133.749</v>
      </c>
      <c r="F12920" s="6" t="n">
        <f aca="false">Sens!F12917+Sens!F12910*(1-tax_f)</f>
        <v>148.377579096509</v>
      </c>
      <c r="G12920" s="6" t="n">
        <f aca="false">Sens!G12917+Sens!G12910*(1-tax_f)</f>
        <v>171.061457468401</v>
      </c>
      <c r="H12920" s="6" t="n">
        <f aca="false">Sens!H12917+Sens!H12910*(1-tax_f)</f>
        <v>200.020563608621</v>
      </c>
      <c r="I12920" s="6" t="n">
        <f aca="false">Sens!I12917+Sens!I12910*(1-tax_f)</f>
        <v>227.023592791914</v>
      </c>
      <c r="J12920" s="6" t="n">
        <f aca="false">Sens!J12917+Sens!J12910*(1-tax_f)</f>
        <v>249.436175125378</v>
      </c>
      <c r="K12920" s="6" t="n">
        <f aca="false">Sens!K12917+Sens!K12910*(1-tax_f)</f>
        <v>267.568441252811</v>
      </c>
    </row>
    <row r="12921" customFormat="false" ht="17.15" hidden="false" customHeight="false" outlineLevel="0" collapsed="false">
      <c r="A12921" s="0" t="s">
        <v>1081</v>
      </c>
      <c r="B12921" s="0" t="s">
        <v>75</v>
      </c>
      <c r="D12921" s="8" t="n">
        <f aca="false">Sens!D12920/Sens!D12918</f>
        <v>13.641259209645</v>
      </c>
      <c r="E12921" s="8" t="n">
        <f aca="false">Sens!E12920/Sens!E12918</f>
        <v>17.9456594659869</v>
      </c>
      <c r="F12921" s="8" t="n">
        <f aca="false">Sens!F12920/Sens!F12918</f>
        <v>19.8538274030253</v>
      </c>
      <c r="G12921" s="8" t="n">
        <f aca="false">Sens!G12920/Sens!G12918</f>
        <v>22.7520725501631</v>
      </c>
      <c r="H12921" s="8" t="n">
        <f aca="false">Sens!H12920/Sens!H12918</f>
        <v>26.4988838798642</v>
      </c>
      <c r="I12921" s="8" t="n">
        <f aca="false">Sens!I12920/Sens!I12918</f>
        <v>30.0215984009412</v>
      </c>
      <c r="J12921" s="8" t="n">
        <f aca="false">Sens!J12920/Sens!J12918</f>
        <v>32.9238337604296</v>
      </c>
      <c r="K12921" s="8" t="n">
        <f aca="false">Sens!K12920/Sens!K12918</f>
        <v>35.2407200999097</v>
      </c>
      <c r="L12921" s="1" t="s">
        <v>1082</v>
      </c>
    </row>
    <row r="12922" customFormat="false" ht="17.15" hidden="false" customHeight="false" outlineLevel="0" collapsed="false">
      <c r="A12922" s="0" t="s">
        <v>1083</v>
      </c>
      <c r="B12922" s="0" t="s">
        <v>168</v>
      </c>
      <c r="E12922" s="7" t="n">
        <f aca="false">Sens!E12921/Sens!D12921-1</f>
        <v>0.315542736208578</v>
      </c>
      <c r="F12922" s="7" t="n">
        <f aca="false">Sens!F12921/Sens!E12921-1</f>
        <v>0.106330332449194</v>
      </c>
      <c r="G12922" s="7" t="n">
        <f aca="false">Sens!G12921/Sens!F12921-1</f>
        <v>0.145979165039793</v>
      </c>
      <c r="H12922" s="7" t="n">
        <f aca="false">Sens!H12921/Sens!G12921-1</f>
        <v>0.164680000973109</v>
      </c>
      <c r="I12922" s="7" t="n">
        <f aca="false">Sens!I12921/Sens!H12921-1</f>
        <v>0.132938222494491</v>
      </c>
      <c r="J12922" s="7" t="n">
        <f aca="false">Sens!J12921/Sens!I12921-1</f>
        <v>0.0966715802646057</v>
      </c>
      <c r="K12922" s="7" t="n">
        <f aca="false">Sens!K12921/Sens!J12921-1</f>
        <v>0.0703710982244328</v>
      </c>
    </row>
    <row r="12923" customFormat="false" ht="17.15" hidden="false" customHeight="false" outlineLevel="0" collapsed="false">
      <c r="A12923" s="0" t="s">
        <v>1003</v>
      </c>
      <c r="B12923" s="0" t="s">
        <v>98</v>
      </c>
      <c r="E12923" s="6" t="n">
        <f aca="false">Sens!E12864</f>
        <v>5.25</v>
      </c>
      <c r="F12923" s="6" t="n">
        <f aca="false">Sens!F12864</f>
        <v>12</v>
      </c>
      <c r="G12923" s="6" t="n">
        <f aca="false">Sens!G12864</f>
        <v>18</v>
      </c>
      <c r="H12923" s="6" t="n">
        <f aca="false">Sens!H12864</f>
        <v>24</v>
      </c>
      <c r="I12923" s="6" t="n">
        <f aca="false">Sens!I12864</f>
        <v>28.5</v>
      </c>
      <c r="J12923" s="6" t="n">
        <f aca="false">Sens!J12864</f>
        <v>31.5</v>
      </c>
      <c r="K12923" s="6" t="n">
        <f aca="false">Sens!K12864</f>
        <v>34.5</v>
      </c>
    </row>
    <row r="12924" customFormat="false" ht="17.15" hidden="false" customHeight="false" outlineLevel="0" collapsed="false">
      <c r="A12924" s="1" t="s">
        <v>1004</v>
      </c>
      <c r="B12924" s="0" t="s">
        <v>98</v>
      </c>
      <c r="F12924" s="6" t="n">
        <f aca="false">MAX(0,((Sens!E12824+Sens!F12824)/2-(shadow_base*(Sens!$D$12824+Sens!$E$12824)/2+(1-shadow_base)*Sens!$E$12824))*Sens!F12833/1000-(Sens!F12923-Sens!$E$12923)*Sens!F12903)</f>
        <v>9.8748427716299</v>
      </c>
      <c r="G12924" s="6" t="n">
        <f aca="false">MAX(0,((Sens!F12824+Sens!G12824)/2-(shadow_base*(Sens!$D$12824+Sens!$E$12824)/2+(1-shadow_base)*Sens!$E$12824))*Sens!G12833/1000-(Sens!G12923-Sens!$E$12923)*Sens!G12903)</f>
        <v>25.5303385959797</v>
      </c>
      <c r="H12924" s="6" t="n">
        <f aca="false">MAX(0,((Sens!G12824+Sens!H12824)/2-(shadow_base*(Sens!$D$12824+Sens!$E$12824)/2+(1-shadow_base)*Sens!$E$12824))*Sens!H12833/1000-(Sens!H12923-Sens!$E$12923)*Sens!H12903)</f>
        <v>42.6590253697948</v>
      </c>
      <c r="I12924" s="6" t="n">
        <f aca="false">MAX(0,((Sens!H12824+Sens!I12824)/2-(shadow_base*(Sens!$D$12824+Sens!$E$12824)/2+(1-shadow_base)*Sens!$E$12824))*Sens!I12833/1000-(Sens!I12923-Sens!$E$12923)*Sens!I12903)</f>
        <v>58.169943641581</v>
      </c>
      <c r="J12924" s="6" t="n">
        <f aca="false">MAX(0,((Sens!I12824+Sens!J12824)/2-(shadow_base*(Sens!$D$12824+Sens!$E$12824)/2+(1-shadow_base)*Sens!$E$12824))*Sens!J12833/1000-(Sens!J12923-Sens!$E$12923)*Sens!J12903)</f>
        <v>69.0078520908201</v>
      </c>
      <c r="K12924" s="6" t="n">
        <f aca="false">MAX(0,((Sens!J12824+Sens!K12824)/2-(shadow_base*(Sens!$D$12824+Sens!$E$12824)/2+(1-shadow_base)*Sens!$E$12824))*Sens!K12833/1000-(Sens!K12923-Sens!$E$12923)*Sens!K12903)</f>
        <v>74.9448374943249</v>
      </c>
      <c r="L12924" s="1" t="s">
        <v>1005</v>
      </c>
    </row>
    <row r="12925" customFormat="false" ht="17.15" hidden="false" customHeight="false" outlineLevel="0" collapsed="false">
      <c r="A12925" s="1" t="s">
        <v>1006</v>
      </c>
      <c r="B12925" s="0" t="s">
        <v>98</v>
      </c>
      <c r="F12925" s="6" t="n">
        <f aca="false">IF(internal_ai_reading=2,1,0)*Sens!F12924</f>
        <v>9.8748427716299</v>
      </c>
      <c r="G12925" s="6" t="n">
        <f aca="false">IF(internal_ai_reading=2,1,0)*Sens!G12924</f>
        <v>25.5303385959797</v>
      </c>
      <c r="H12925" s="6" t="n">
        <f aca="false">IF(internal_ai_reading=2,1,0)*Sens!H12924</f>
        <v>42.6590253697948</v>
      </c>
      <c r="I12925" s="6" t="n">
        <f aca="false">IF(internal_ai_reading=2,1,0)*Sens!I12924</f>
        <v>58.169943641581</v>
      </c>
      <c r="J12925" s="6" t="n">
        <f aca="false">IF(internal_ai_reading=2,1,0)*Sens!J12924</f>
        <v>69.0078520908201</v>
      </c>
      <c r="K12925" s="6" t="n">
        <f aca="false">IF(internal_ai_reading=2,1,0)*Sens!K12924</f>
        <v>74.9448374943249</v>
      </c>
    </row>
    <row r="12926" customFormat="false" ht="17.15" hidden="false" customHeight="false" outlineLevel="0" collapsed="false">
      <c r="A12926" s="0" t="s">
        <v>1007</v>
      </c>
      <c r="B12926" s="0" t="s">
        <v>98</v>
      </c>
      <c r="F12926" s="6" t="n">
        <f aca="false">Sens!F12843+Sens!F12923*Sens!F12903+Sens!F12925-Sens!F12844-Sens!F12855</f>
        <v>14.7102827562272</v>
      </c>
      <c r="G12926" s="6" t="n">
        <f aca="false">Sens!G12843+Sens!G12923*Sens!G12903+Sens!G12925-Sens!G12844-Sens!G12855</f>
        <v>30.929997776595</v>
      </c>
      <c r="H12926" s="6" t="n">
        <f aca="false">Sens!H12843+Sens!H12923*Sens!H12903+Sens!H12925-Sens!H12844-Sens!H12855</f>
        <v>47.7761519709827</v>
      </c>
      <c r="I12926" s="6" t="n">
        <f aca="false">Sens!I12843+Sens!I12923*Sens!I12903+Sens!I12925-Sens!I12844-Sens!I12855</f>
        <v>62.5422166574028</v>
      </c>
      <c r="J12926" s="6" t="n">
        <f aca="false">Sens!J12843+Sens!J12923*Sens!J12903+Sens!J12925-Sens!J12844-Sens!J12855</f>
        <v>72.6832253357034</v>
      </c>
      <c r="K12926" s="6" t="n">
        <f aca="false">Sens!K12843+Sens!K12923*Sens!K12903+Sens!K12925-Sens!K12844-Sens!K12855</f>
        <v>79.3567812140188</v>
      </c>
    </row>
    <row r="12927" customFormat="false" ht="17.15" hidden="false" customHeight="false" outlineLevel="0" collapsed="false">
      <c r="A12927" s="0" t="s">
        <v>1008</v>
      </c>
      <c r="B12927" s="0" t="s">
        <v>98</v>
      </c>
      <c r="E12927" s="6" t="n">
        <f aca="false">Sens!E12823*(cxit_open+self_build*tk_cxfac)/1000*ai_net_open</f>
        <v>126.6980382</v>
      </c>
      <c r="F12927" s="6" t="n">
        <f aca="false">Sens!E12927+Sens!F12852-Sens!F12855</f>
        <v>260.572627763768</v>
      </c>
      <c r="G12927" s="6" t="n">
        <f aca="false">Sens!F12927+Sens!G12852-Sens!G12855</f>
        <v>391.782612760517</v>
      </c>
      <c r="H12927" s="6" t="n">
        <f aca="false">Sens!G12927+Sens!H12852-Sens!H12855</f>
        <v>499.488526163584</v>
      </c>
      <c r="I12927" s="6" t="n">
        <f aca="false">Sens!H12927+Sens!I12852-Sens!I12855</f>
        <v>553.872350090646</v>
      </c>
      <c r="J12927" s="6" t="n">
        <f aca="false">Sens!I12927+Sens!J12852-Sens!J12855</f>
        <v>550.78660823699</v>
      </c>
      <c r="K12927" s="6" t="n">
        <f aca="false">Sens!J12927+Sens!K12852-Sens!K12855</f>
        <v>526.736791750789</v>
      </c>
      <c r="L12927" s="1" t="s">
        <v>1009</v>
      </c>
    </row>
    <row r="12928" customFormat="false" ht="17.15" hidden="false" customHeight="false" outlineLevel="0" collapsed="false">
      <c r="A12928" s="0" t="s">
        <v>1010</v>
      </c>
      <c r="B12928" s="0" t="s">
        <v>168</v>
      </c>
      <c r="F12928" s="7" t="n">
        <f aca="false">Sens!F12926*(1-tax_f)/((Sens!E12927+Sens!F12927)/2)</f>
        <v>0.0607752005987603</v>
      </c>
      <c r="G12928" s="7" t="n">
        <f aca="false">Sens!G12926*(1-tax_f)/((Sens!F12927+Sens!G12927)/2)</f>
        <v>0.0758605026346988</v>
      </c>
      <c r="H12928" s="7" t="n">
        <f aca="false">Sens!H12926*(1-tax_f)/((Sens!G12927+Sens!H12927)/2)</f>
        <v>0.085767214728673</v>
      </c>
      <c r="I12928" s="7" t="n">
        <f aca="false">Sens!I12926*(1-tax_f)/((Sens!H12927+Sens!I12927)/2)</f>
        <v>0.0949983513795258</v>
      </c>
      <c r="J12928" s="7" t="n">
        <f aca="false">Sens!J12926*(1-tax_f)/((Sens!I12927+Sens!J12927)/2)</f>
        <v>0.105275170821213</v>
      </c>
      <c r="K12928" s="7" t="n">
        <f aca="false">Sens!K12926*(1-tax_f)/((Sens!J12927+Sens!K12927)/2)</f>
        <v>0.117835816784926</v>
      </c>
    </row>
    <row r="12929" customFormat="false" ht="17.15" hidden="false" customHeight="false" outlineLevel="0" collapsed="false">
      <c r="A12929" s="1" t="s">
        <v>1011</v>
      </c>
      <c r="B12929" s="0" t="s">
        <v>168</v>
      </c>
      <c r="F12929" s="7" t="n">
        <f aca="false">(Sens!F12926-Sens!F12925)*(1-tax_f)/((Sens!E12927+Sens!F12927)/2)</f>
        <v>0.0199775109640747</v>
      </c>
      <c r="G12929" s="7" t="n">
        <f aca="false">(Sens!G12926-Sens!G12925)*(1-tax_f)/((Sens!F12927+Sens!G12927)/2)</f>
        <v>0.0132434816987769</v>
      </c>
      <c r="H12929" s="7" t="n">
        <f aca="false">(Sens!H12926-Sens!H12925)*(1-tax_f)/((Sens!G12927+Sens!H12927)/2)</f>
        <v>0.00918620855577581</v>
      </c>
      <c r="I12929" s="7" t="n">
        <f aca="false">(Sens!I12926-Sens!I12925)*(1-tax_f)/((Sens!H12927+Sens!I12927)/2)</f>
        <v>0.00664125370802783</v>
      </c>
      <c r="J12929" s="7" t="n">
        <f aca="false">(Sens!J12926-Sens!J12925)*(1-tax_f)/((Sens!I12927+Sens!J12927)/2)</f>
        <v>0.00532345041651227</v>
      </c>
      <c r="K12929" s="7" t="n">
        <f aca="false">(Sens!K12926-Sens!K12925)*(1-tax_f)/((Sens!J12927+Sens!K12927)/2)</f>
        <v>0.00655123587254832</v>
      </c>
    </row>
    <row r="12930" customFormat="false" ht="17.15" hidden="false" customHeight="false" outlineLevel="0" collapsed="false">
      <c r="A12930" s="1" t="s">
        <v>1012</v>
      </c>
      <c r="B12930" s="0" t="s">
        <v>168</v>
      </c>
      <c r="F12930" s="7" t="n">
        <f aca="false">(Sens!F12926-Sens!F12925+Sens!F12924)*(1-tax_f)/((Sens!E12927+Sens!F12927)/2)</f>
        <v>0.0607752005987603</v>
      </c>
      <c r="G12930" s="7" t="n">
        <f aca="false">(Sens!G12926-Sens!G12925+Sens!G12924)*(1-tax_f)/((Sens!F12927+Sens!G12927)/2)</f>
        <v>0.0758605026346988</v>
      </c>
      <c r="H12930" s="7" t="n">
        <f aca="false">(Sens!H12926-Sens!H12925+Sens!H12924)*(1-tax_f)/((Sens!G12927+Sens!H12927)/2)</f>
        <v>0.085767214728673</v>
      </c>
      <c r="I12930" s="7" t="n">
        <f aca="false">(Sens!I12926-Sens!I12925+Sens!I12924)*(1-tax_f)/((Sens!H12927+Sens!I12927)/2)</f>
        <v>0.0949983513795258</v>
      </c>
      <c r="J12930" s="7" t="n">
        <f aca="false">(Sens!J12926-Sens!J12925+Sens!J12924)*(1-tax_f)/((Sens!I12927+Sens!J12927)/2)</f>
        <v>0.105275170821213</v>
      </c>
      <c r="K12930" s="7" t="n">
        <f aca="false">(Sens!K12926-Sens!K12925+Sens!K12924)*(1-tax_f)/((Sens!J12927+Sens!K12927)/2)</f>
        <v>0.117835816784926</v>
      </c>
    </row>
    <row r="12931" customFormat="false" ht="17.15" hidden="false" customHeight="false" outlineLevel="0" collapsed="false">
      <c r="A12931" s="1" t="s">
        <v>1013</v>
      </c>
      <c r="B12931" s="0" t="s">
        <v>168</v>
      </c>
      <c r="F12931" s="7" t="n">
        <f aca="false">Sens!F12856*(1-tax_f)/(Sens!F12842*(Sens!E12927+Sens!F12927)/2)</f>
        <v>0.129294830495493</v>
      </c>
      <c r="G12931" s="7" t="n">
        <f aca="false">Sens!G12856*(1-tax_f)/(Sens!G12842*(Sens!F12927+Sens!G12927)/2)</f>
        <v>0.12719599062164</v>
      </c>
      <c r="H12931" s="7" t="n">
        <f aca="false">Sens!H12856*(1-tax_f)/(Sens!H12842*(Sens!G12927+Sens!H12927)/2)</f>
        <v>0.130828167067624</v>
      </c>
      <c r="I12931" s="7" t="n">
        <f aca="false">Sens!I12856*(1-tax_f)/(Sens!I12842*(Sens!H12927+Sens!I12927)/2)</f>
        <v>0.138614526937417</v>
      </c>
      <c r="J12931" s="7" t="n">
        <f aca="false">Sens!J12856*(1-tax_f)/(Sens!J12842*(Sens!I12927+Sens!J12927)/2)</f>
        <v>0.150578919010924</v>
      </c>
      <c r="K12931" s="7" t="n">
        <f aca="false">Sens!K12856*(1-tax_f)/(Sens!K12842*(Sens!J12927+Sens!K12927)/2)</f>
        <v>0.167005345886664</v>
      </c>
    </row>
    <row r="12932" customFormat="false" ht="17.15" hidden="false" customHeight="false" outlineLevel="0" collapsed="false">
      <c r="A12932" s="0" t="s">
        <v>1014</v>
      </c>
      <c r="B12932" s="0" t="s">
        <v>253</v>
      </c>
      <c r="F12932" s="7" t="n">
        <f aca="false">Sens!F12928-wacc</f>
        <v>-0.042161390346837</v>
      </c>
      <c r="G12932" s="7" t="n">
        <f aca="false">Sens!G12928-wacc</f>
        <v>-0.0270760883108985</v>
      </c>
      <c r="H12932" s="7" t="n">
        <f aca="false">Sens!H12928-wacc</f>
        <v>-0.0171693762169243</v>
      </c>
      <c r="I12932" s="7" t="n">
        <f aca="false">Sens!I12928-wacc</f>
        <v>-0.00793823956607147</v>
      </c>
      <c r="J12932" s="7" t="n">
        <f aca="false">Sens!J12928-wacc</f>
        <v>0.00233857987561603</v>
      </c>
      <c r="K12932" s="7" t="n">
        <f aca="false">Sens!K12928-wacc</f>
        <v>0.0148992258393283</v>
      </c>
    </row>
    <row r="12933" customFormat="false" ht="17.15" hidden="false" customHeight="false" outlineLevel="0" collapsed="false">
      <c r="A12933" s="0" t="s">
        <v>1015</v>
      </c>
      <c r="B12933" s="0" t="s">
        <v>98</v>
      </c>
      <c r="F12933" s="6" t="n">
        <f aca="false">Sens!F12926*(1-tax_f)-wacc*(Sens!E12927+Sens!F12927)/2</f>
        <v>-8.16393485878896</v>
      </c>
      <c r="G12933" s="6" t="n">
        <f aca="false">Sens!G12926*(1-tax_f)-wacc*(Sens!F12927+Sens!G12927)/2</f>
        <v>-8.83161405125649</v>
      </c>
      <c r="H12933" s="6" t="n">
        <f aca="false">Sens!H12926*(1-tax_f)-wacc*(Sens!G12927+Sens!H12927)/2</f>
        <v>-7.65128474773726</v>
      </c>
      <c r="I12933" s="6" t="n">
        <f aca="false">Sens!I12926*(1-tax_f)-wacc*(Sens!H12927+Sens!I12927)/2</f>
        <v>-4.18091549261651</v>
      </c>
      <c r="J12933" s="6" t="n">
        <f aca="false">Sens!J12926*(1-tax_f)-wacc*(Sens!I12927+Sens!J12927)/2</f>
        <v>1.29166660468199</v>
      </c>
      <c r="K12933" s="6" t="n">
        <f aca="false">Sens!K12926*(1-tax_f)-wacc*(Sens!J12927+Sens!K12927)/2</f>
        <v>8.02713224178941</v>
      </c>
    </row>
    <row r="12934" customFormat="false" ht="17.15" hidden="false" customHeight="false" outlineLevel="0" collapsed="false">
      <c r="A12934" s="3" t="s">
        <v>1803</v>
      </c>
    </row>
    <row r="12935" customFormat="false" ht="15" hidden="false" customHeight="false" outlineLevel="0" collapsed="false">
      <c r="A12935" s="4" t="s">
        <v>43</v>
      </c>
      <c r="B12935" s="4" t="s">
        <v>65</v>
      </c>
      <c r="C12935" s="23" t="s">
        <v>938</v>
      </c>
      <c r="D12935" s="23" t="s">
        <v>939</v>
      </c>
      <c r="E12935" s="23" t="s">
        <v>940</v>
      </c>
      <c r="F12935" s="23" t="s">
        <v>941</v>
      </c>
      <c r="G12935" s="23" t="s">
        <v>942</v>
      </c>
      <c r="H12935" s="23" t="s">
        <v>943</v>
      </c>
      <c r="I12935" s="23" t="s">
        <v>944</v>
      </c>
      <c r="J12935" s="23" t="s">
        <v>945</v>
      </c>
      <c r="K12935" s="23" t="s">
        <v>946</v>
      </c>
      <c r="L12935" s="4" t="s">
        <v>47</v>
      </c>
    </row>
    <row r="12936" customFormat="false" ht="15" hidden="false" customHeight="false" outlineLevel="0" collapsed="false">
      <c r="A12936" s="1" t="s">
        <v>1076</v>
      </c>
      <c r="B12936" s="0" t="s">
        <v>98</v>
      </c>
      <c r="F12936" s="6" t="n">
        <f aca="false">Sens!F12917</f>
        <v>140.477704879205</v>
      </c>
      <c r="G12936" s="6" t="n">
        <f aca="false">Sens!G12917</f>
        <v>150.637186591617</v>
      </c>
      <c r="H12936" s="6" t="n">
        <f aca="false">Sens!H12917</f>
        <v>165.893343312786</v>
      </c>
      <c r="I12936" s="6" t="n">
        <f aca="false">Sens!I12917</f>
        <v>180.48763787865</v>
      </c>
      <c r="J12936" s="6" t="n">
        <f aca="false">Sens!J12917</f>
        <v>194.229893452722</v>
      </c>
      <c r="K12936" s="6" t="n">
        <f aca="false">Sens!K12917</f>
        <v>207.612571257351</v>
      </c>
    </row>
    <row r="12937" customFormat="false" ht="17.15" hidden="false" customHeight="false" outlineLevel="0" collapsed="false">
      <c r="A12937" s="1" t="s">
        <v>1098</v>
      </c>
      <c r="B12937" s="0" t="s">
        <v>98</v>
      </c>
      <c r="E12937" s="6" t="n">
        <f aca="false">Q!M38-Sens!E12855</f>
        <v>22.2285940229167</v>
      </c>
      <c r="F12937" s="6" t="n">
        <f aca="false">Sens!E12937*(1-1/life_nonai)+(Sens!F12945+Sens!F12946)/life_nonai</f>
        <v>23.580344216413</v>
      </c>
      <c r="G12937" s="6" t="n">
        <f aca="false">Sens!F12937*(1-1/life_nonai)+(Sens!G12945)/life_nonai</f>
        <v>25.3583505401965</v>
      </c>
      <c r="H12937" s="6" t="n">
        <f aca="false">Sens!G12937*(1-1/life_nonai)+(Sens!H12945)/life_nonai</f>
        <v>27.528569983033</v>
      </c>
      <c r="I12937" s="6" t="n">
        <f aca="false">Sens!H12937*(1-1/life_nonai)+(Sens!I12945)/life_nonai</f>
        <v>30.0244523528154</v>
      </c>
      <c r="J12937" s="6" t="n">
        <f aca="false">Sens!I12937*(1-1/life_nonai)+(Sens!J12945)/life_nonai</f>
        <v>32.7625785967048</v>
      </c>
      <c r="K12937" s="6" t="n">
        <f aca="false">Sens!J12937*(1-1/life_nonai)+(Sens!K12945)/life_nonai</f>
        <v>35.6585684431062</v>
      </c>
      <c r="L12937" s="12" t="s">
        <v>1099</v>
      </c>
    </row>
    <row r="12938" customFormat="false" ht="17.15" hidden="false" customHeight="false" outlineLevel="0" collapsed="false">
      <c r="A12938" s="1" t="s">
        <v>1100</v>
      </c>
      <c r="B12938" s="0" t="s">
        <v>98</v>
      </c>
      <c r="F12938" s="6" t="n">
        <f aca="false">Sens!$F$12946/life_nonai*(1-1/life_nonai)^(Sens!F12818-2027)</f>
        <v>1.94586576753864E-006</v>
      </c>
      <c r="G12938" s="6" t="n">
        <f aca="false">Sens!$F$12946/life_nonai*(1-1/life_nonai)^(Sens!G12818-2027)</f>
        <v>1.75127919078477E-006</v>
      </c>
      <c r="H12938" s="6" t="n">
        <f aca="false">Sens!$F$12946/life_nonai*(1-1/life_nonai)^(Sens!H12818-2027)</f>
        <v>1.57615127170629E-006</v>
      </c>
      <c r="I12938" s="6" t="n">
        <f aca="false">Sens!$F$12946/life_nonai*(1-1/life_nonai)^(Sens!I12818-2027)</f>
        <v>1.41853614453567E-006</v>
      </c>
      <c r="J12938" s="6" t="n">
        <f aca="false">Sens!$F$12946/life_nonai*(1-1/life_nonai)^(Sens!J12818-2027)</f>
        <v>1.2766825300821E-006</v>
      </c>
      <c r="K12938" s="6" t="n">
        <f aca="false">Sens!$F$12946/life_nonai*(1-1/life_nonai)^(Sens!K12818-2027)</f>
        <v>1.14901427707389E-006</v>
      </c>
      <c r="L12938" s="1" t="s">
        <v>1101</v>
      </c>
    </row>
    <row r="12939" customFormat="false" ht="17.15" hidden="false" customHeight="false" outlineLevel="0" collapsed="false">
      <c r="A12939" s="1" t="s">
        <v>1102</v>
      </c>
      <c r="B12939" s="0" t="s">
        <v>98</v>
      </c>
      <c r="E12939" s="6" t="n">
        <f aca="false">Sens!E12855+Sens!E12937</f>
        <v>38.534</v>
      </c>
      <c r="F12939" s="6" t="n">
        <f aca="false">Sens!F12855+Sens!F12937</f>
        <v>58.1596586947647</v>
      </c>
      <c r="G12939" s="6" t="n">
        <f aca="false">Sens!G12855+Sens!G12937</f>
        <v>86.0928411924955</v>
      </c>
      <c r="H12939" s="6" t="n">
        <f aca="false">Sens!H12855+Sens!H12937</f>
        <v>116.628660644479</v>
      </c>
      <c r="I12939" s="6" t="n">
        <f aca="false">Sens!I12855+Sens!I12937</f>
        <v>144.255462047364</v>
      </c>
      <c r="J12939" s="6" t="n">
        <f aca="false">Sens!J12855+Sens!J12937</f>
        <v>164.778251646301</v>
      </c>
      <c r="K12939" s="6" t="n">
        <f aca="false">Sens!K12855+Sens!K12937</f>
        <v>178.67123799404</v>
      </c>
    </row>
    <row r="12940" customFormat="false" ht="17.15" hidden="false" customHeight="false" outlineLevel="0" collapsed="false">
      <c r="A12940" s="1" t="s">
        <v>1103</v>
      </c>
      <c r="B12940" s="0" t="s">
        <v>98</v>
      </c>
      <c r="F12940" s="6" t="n">
        <f aca="false">Sens!F12882*sbc_r</f>
        <v>14.9175438377464</v>
      </c>
      <c r="G12940" s="6" t="n">
        <f aca="false">Sens!G12882*sbc_r</f>
        <v>17.8119838712421</v>
      </c>
      <c r="H12940" s="6" t="n">
        <f aca="false">Sens!H12882*sbc_r</f>
        <v>20.7745061486909</v>
      </c>
      <c r="I12940" s="6" t="n">
        <f aca="false">Sens!I12882*sbc_r</f>
        <v>23.4952383075388</v>
      </c>
      <c r="J12940" s="6" t="n">
        <f aca="false">Sens!J12882*sbc_r</f>
        <v>25.7232953082804</v>
      </c>
      <c r="K12940" s="6" t="n">
        <f aca="false">Sens!K12882*sbc_r</f>
        <v>27.5132097680234</v>
      </c>
    </row>
    <row r="12941" customFormat="false" ht="17.15" hidden="false" customHeight="false" outlineLevel="0" collapsed="false">
      <c r="A12941" s="1" t="s">
        <v>1104</v>
      </c>
      <c r="B12941" s="0" t="s">
        <v>98</v>
      </c>
      <c r="F12941" s="6" t="n">
        <f aca="false">wc27-wc26q1</f>
        <v>-4.677</v>
      </c>
      <c r="G12941" s="6" t="n">
        <f aca="false">wc_f</f>
        <v>0</v>
      </c>
      <c r="H12941" s="6" t="n">
        <f aca="false">wc_f</f>
        <v>0</v>
      </c>
      <c r="I12941" s="6" t="n">
        <f aca="false">wc_f</f>
        <v>0</v>
      </c>
      <c r="J12941" s="6" t="n">
        <f aca="false">wc_f</f>
        <v>0</v>
      </c>
      <c r="K12941" s="6" t="n">
        <f aca="false">wc_f</f>
        <v>0</v>
      </c>
      <c r="L12941" s="12" t="s">
        <v>1105</v>
      </c>
    </row>
    <row r="12942" customFormat="false" ht="17.15" hidden="false" customHeight="false" outlineLevel="0" collapsed="false">
      <c r="A12942" s="0" t="s">
        <v>1106</v>
      </c>
      <c r="B12942" s="0" t="s">
        <v>98</v>
      </c>
      <c r="F12942" s="6" t="n">
        <f aca="false">Q!$I$35-Q!$I$26-Q!$I$38-Q!$I$39</f>
        <v>6.493</v>
      </c>
      <c r="L12942" s="1" t="s">
        <v>1107</v>
      </c>
    </row>
    <row r="12943" customFormat="false" ht="15" hidden="false" customHeight="false" outlineLevel="0" collapsed="false">
      <c r="A12943" s="1" t="s">
        <v>904</v>
      </c>
      <c r="B12943" s="0" t="s">
        <v>98</v>
      </c>
      <c r="E12943" s="6" t="n">
        <f aca="false">Q!M35</f>
        <v>182.935</v>
      </c>
      <c r="F12943" s="6" t="n">
        <f aca="false">Sens!F12936+Sens!F12939+Sens!F12940+Sens!F12941+Sens!F12942</f>
        <v>215.370907411716</v>
      </c>
      <c r="G12943" s="6" t="n">
        <f aca="false">Sens!G12936+Sens!G12939+Sens!G12940+Sens!G12941</f>
        <v>254.542011655355</v>
      </c>
      <c r="H12943" s="6" t="n">
        <f aca="false">Sens!H12936+Sens!H12939+Sens!H12940+Sens!H12941</f>
        <v>303.296510105955</v>
      </c>
      <c r="I12943" s="6" t="n">
        <f aca="false">Sens!I12936+Sens!I12939+Sens!I12940+Sens!I12941</f>
        <v>348.238338233552</v>
      </c>
      <c r="J12943" s="6" t="n">
        <f aca="false">Sens!J12936+Sens!J12939+Sens!J12940+Sens!J12941</f>
        <v>384.731440407303</v>
      </c>
      <c r="K12943" s="6" t="n">
        <f aca="false">Sens!K12936+Sens!K12939+Sens!K12940+Sens!K12941</f>
        <v>413.797019019415</v>
      </c>
    </row>
    <row r="12944" customFormat="false" ht="17.15" hidden="false" customHeight="false" outlineLevel="0" collapsed="false">
      <c r="A12944" s="0" t="s">
        <v>1108</v>
      </c>
      <c r="B12944" s="0" t="s">
        <v>98</v>
      </c>
      <c r="F12944" s="6" t="n">
        <f aca="false">Sens!F12852</f>
        <v>168.45390404212</v>
      </c>
      <c r="G12944" s="6" t="n">
        <f aca="false">Sens!G12852</f>
        <v>191.944475649048</v>
      </c>
      <c r="H12944" s="6" t="n">
        <f aca="false">Sens!H12852</f>
        <v>196.806004064512</v>
      </c>
      <c r="I12944" s="6" t="n">
        <f aca="false">Sens!I12852</f>
        <v>168.61483362161</v>
      </c>
      <c r="J12944" s="6" t="n">
        <f aca="false">Sens!J12852</f>
        <v>128.92993119594</v>
      </c>
      <c r="K12944" s="6" t="n">
        <f aca="false">Sens!K12852</f>
        <v>118.962853064733</v>
      </c>
    </row>
    <row r="12945" customFormat="false" ht="17.15" hidden="false" customHeight="false" outlineLevel="0" collapsed="false">
      <c r="A12945" s="1" t="s">
        <v>1109</v>
      </c>
      <c r="B12945" s="0" t="s">
        <v>98</v>
      </c>
      <c r="E12945" s="6" t="n">
        <f aca="false">Sens!E12860*cx_azo+Sens!E12867*cx_m365+Sens!E12868*cx_lic+(Sens!E12870+Sens!E12872)*cx_ind+Sens!E12875*cx_srch+(Sens!E12877+Sens!E12879)*cx_dev</f>
        <v>30.1846587067718</v>
      </c>
      <c r="F12945" s="6" t="n">
        <f aca="false">Sens!F12860*cx_azo+Sens!F12867*cx_m365+Sens!F12868*cx_lic+(Sens!F12870+Sens!F12872)*cx_ind+Sens!F12875*cx_srch+(Sens!F12877+Sens!F12879)*cx_dev</f>
        <v>35.7460764992227</v>
      </c>
      <c r="G12945" s="6" t="n">
        <f aca="false">Sens!G12860*cx_azo+Sens!G12867*cx_m365+Sens!G12868*cx_lic+(Sens!G12870+Sens!G12872)*cx_ind+Sens!G12875*cx_srch+(Sens!G12877+Sens!G12879)*cx_dev</f>
        <v>41.360407454248</v>
      </c>
      <c r="H12945" s="6" t="n">
        <f aca="false">Sens!H12860*cx_azo+Sens!H12867*cx_m365+Sens!H12868*cx_lic+(Sens!H12870+Sens!H12872)*cx_ind+Sens!H12875*cx_srch+(Sens!H12877+Sens!H12879)*cx_dev</f>
        <v>47.0605449685615</v>
      </c>
      <c r="I12945" s="6" t="n">
        <f aca="false">Sens!I12860*cx_azo+Sens!I12867*cx_m365+Sens!I12868*cx_lic+(Sens!I12870+Sens!I12872)*cx_ind+Sens!I12875*cx_srch+(Sens!I12877+Sens!I12879)*cx_dev</f>
        <v>52.4873936808571</v>
      </c>
      <c r="J12945" s="6" t="n">
        <f aca="false">Sens!J12860*cx_azo+Sens!J12867*cx_m365+Sens!J12868*cx_lic+(Sens!J12870+Sens!J12872)*cx_ind+Sens!J12875*cx_srch+(Sens!J12877+Sens!J12879)*cx_dev</f>
        <v>57.4057147917091</v>
      </c>
      <c r="K12945" s="6" t="n">
        <f aca="false">Sens!K12860*cx_azo+Sens!K12867*cx_m365+Sens!K12868*cx_lic+(Sens!K12870+Sens!K12872)*cx_ind+Sens!K12875*cx_srch+(Sens!K12877+Sens!K12879)*cx_dev</f>
        <v>61.7224770607185</v>
      </c>
    </row>
    <row r="12946" customFormat="false" ht="17.15" hidden="false" customHeight="false" outlineLevel="0" collapsed="false">
      <c r="A12946" s="0" t="s">
        <v>1110</v>
      </c>
      <c r="B12946" s="0" t="s">
        <v>98</v>
      </c>
      <c r="F12946" s="6" t="n">
        <f aca="false">Sens!F12850</f>
        <v>1.94586576753863E-005</v>
      </c>
      <c r="L12946" s="1" t="s">
        <v>1111</v>
      </c>
    </row>
    <row r="12947" customFormat="false" ht="17.15" hidden="false" customHeight="false" outlineLevel="0" collapsed="false">
      <c r="A12947" s="1" t="s">
        <v>1112</v>
      </c>
      <c r="B12947" s="0" t="s">
        <v>98</v>
      </c>
      <c r="E12947" s="6" t="n">
        <f aca="false">Q!M43</f>
        <v>145.3</v>
      </c>
      <c r="F12947" s="6" t="n">
        <f aca="false">Sens!F12944+Sens!F12945+Sens!F12946</f>
        <v>204.2</v>
      </c>
      <c r="G12947" s="6" t="n">
        <f aca="false">Sens!G12944+Sens!G12945</f>
        <v>233.304883103296</v>
      </c>
      <c r="H12947" s="6" t="n">
        <f aca="false">Sens!H12944+Sens!H12945</f>
        <v>243.866549033074</v>
      </c>
      <c r="I12947" s="6" t="n">
        <f aca="false">Sens!I12944+Sens!I12945</f>
        <v>221.102227302467</v>
      </c>
      <c r="J12947" s="6" t="n">
        <f aca="false">Sens!J12944+Sens!J12945</f>
        <v>186.33564598765</v>
      </c>
      <c r="K12947" s="6" t="n">
        <f aca="false">Sens!K12944+Sens!K12945</f>
        <v>180.685330125451</v>
      </c>
      <c r="L12947" s="1" t="s">
        <v>1113</v>
      </c>
    </row>
    <row r="12948" customFormat="false" ht="15" hidden="false" customHeight="false" outlineLevel="0" collapsed="false">
      <c r="A12948" s="1" t="s">
        <v>1114</v>
      </c>
      <c r="B12948" s="0" t="s">
        <v>98</v>
      </c>
      <c r="E12948" s="6" t="n">
        <f aca="false">fl_liab</f>
        <v>66.594</v>
      </c>
      <c r="F12948" s="6" t="n">
        <f aca="false">Sens!E12948-Sens!F12949</f>
        <v>62.46973</v>
      </c>
      <c r="G12948" s="6" t="n">
        <f aca="false">Sens!F12948-Sens!G12949</f>
        <v>57.98686785</v>
      </c>
      <c r="H12948" s="6" t="n">
        <f aca="false">Sens!G12948-Sens!H12949</f>
        <v>53.92827690325</v>
      </c>
      <c r="I12948" s="6" t="n">
        <f aca="false">Sens!H12948-Sens!I12949</f>
        <v>49.7850493638962</v>
      </c>
      <c r="J12948" s="6" t="n">
        <f aca="false">Sens!I12948-Sens!J12949</f>
        <v>45.4823765852716</v>
      </c>
      <c r="K12948" s="6" t="n">
        <f aca="false">Sens!J12948-Sens!K12949</f>
        <v>40.9860835316088</v>
      </c>
    </row>
    <row r="12949" customFormat="false" ht="15" hidden="false" customHeight="false" outlineLevel="0" collapsed="false">
      <c r="A12949" s="1" t="s">
        <v>1115</v>
      </c>
      <c r="B12949" s="0" t="s">
        <v>98</v>
      </c>
      <c r="F12949" s="6" t="n">
        <f aca="false">fl_pay_27-Sens!E12948*fl_rate</f>
        <v>4.12427</v>
      </c>
      <c r="G12949" s="6" t="n">
        <f aca="false">fl_pay_28-Sens!F12948*fl_rate</f>
        <v>4.48286215</v>
      </c>
      <c r="H12949" s="6" t="n">
        <f aca="false">fl_pay_29-Sens!G12948*fl_rate</f>
        <v>4.05859094675</v>
      </c>
      <c r="I12949" s="6" t="n">
        <f aca="false">fl_pay_30-Sens!H12948*fl_rate</f>
        <v>4.14322753935375</v>
      </c>
      <c r="J12949" s="6" t="n">
        <f aca="false">fl_pay_31-Sens!I12948*fl_rate</f>
        <v>4.30267277862467</v>
      </c>
      <c r="K12949" s="6" t="n">
        <f aca="false">fl_pay_32-Sens!J12948*fl_rate</f>
        <v>4.49629305366278</v>
      </c>
    </row>
    <row r="12950" customFormat="false" ht="17.15" hidden="false" customHeight="false" outlineLevel="0" collapsed="false">
      <c r="A12950" s="1" t="s">
        <v>1116</v>
      </c>
      <c r="B12950" s="0" t="s">
        <v>98</v>
      </c>
      <c r="E12950" s="6" t="n">
        <f aca="false">Q!M35-Q!M36-Q!M44</f>
        <v>63.886</v>
      </c>
      <c r="F12950" s="6" t="n">
        <f aca="false">Sens!F12943-Sens!F12947-Sens!F12949</f>
        <v>7.04663741171643</v>
      </c>
      <c r="G12950" s="6" t="n">
        <f aca="false">Sens!G12943-Sens!G12947-Sens!G12949</f>
        <v>16.7542664020587</v>
      </c>
      <c r="H12950" s="6" t="n">
        <f aca="false">Sens!H12943-Sens!H12947-Sens!H12949</f>
        <v>55.3713701261314</v>
      </c>
      <c r="I12950" s="6" t="n">
        <f aca="false">Sens!I12943-Sens!I12947-Sens!I12949</f>
        <v>122.992883391731</v>
      </c>
      <c r="J12950" s="6" t="n">
        <f aca="false">Sens!J12943-Sens!J12947-Sens!J12949</f>
        <v>194.093121641029</v>
      </c>
      <c r="K12950" s="6" t="n">
        <f aca="false">Sens!K12943-Sens!K12947-Sens!K12949</f>
        <v>228.615395840301</v>
      </c>
      <c r="L12950" s="12" t="s">
        <v>1117</v>
      </c>
    </row>
    <row r="12951" customFormat="false" ht="15" hidden="false" customHeight="false" outlineLevel="0" collapsed="false">
      <c r="A12951" s="1" t="s">
        <v>1118</v>
      </c>
      <c r="B12951" s="0" t="s">
        <v>75</v>
      </c>
      <c r="F12951" s="8" t="n">
        <f aca="false">dps_27</f>
        <v>3.85</v>
      </c>
      <c r="G12951" s="8" t="n">
        <f aca="false">Sens!F12951*(1+dps_g)</f>
        <v>4.158</v>
      </c>
      <c r="H12951" s="8" t="n">
        <f aca="false">Sens!G12951*(1+dps_g)</f>
        <v>4.49064</v>
      </c>
      <c r="I12951" s="8" t="n">
        <f aca="false">Sens!H12951*(1+dps_g)</f>
        <v>4.8498912</v>
      </c>
      <c r="J12951" s="8" t="n">
        <f aca="false">Sens!I12951*(1+dps_g)</f>
        <v>5.237882496</v>
      </c>
      <c r="K12951" s="8" t="n">
        <f aca="false">Sens!J12951*(1+dps_g)</f>
        <v>5.65691309568</v>
      </c>
    </row>
    <row r="12952" customFormat="false" ht="17.15" hidden="false" customHeight="false" outlineLevel="0" collapsed="false">
      <c r="A12952" s="1" t="s">
        <v>1119</v>
      </c>
      <c r="B12952" s="0" t="s">
        <v>98</v>
      </c>
      <c r="E12952" s="6" t="n">
        <f aca="false">Q!M41</f>
        <v>26.445</v>
      </c>
      <c r="F12952" s="6" t="n">
        <f aca="false">Sens!F12951*Sens!E12961</f>
        <v>28.59395</v>
      </c>
      <c r="G12952" s="6" t="n">
        <f aca="false">Sens!G12951*Sens!F12961</f>
        <v>31.068576</v>
      </c>
      <c r="H12952" s="6" t="n">
        <f aca="false">Sens!H12951*Sens!G12961</f>
        <v>33.75614088</v>
      </c>
      <c r="I12952" s="6" t="n">
        <f aca="false">Sens!I12951*Sens!H12961</f>
        <v>36.5270885797819</v>
      </c>
      <c r="J12952" s="6" t="n">
        <f aca="false">Sens!J12951*Sens!I12961</f>
        <v>39.5171535515571</v>
      </c>
      <c r="K12952" s="6" t="n">
        <f aca="false">Sens!K12951*Sens!J12961</f>
        <v>42.7652800980599</v>
      </c>
      <c r="L12952" s="1" t="s">
        <v>1120</v>
      </c>
    </row>
    <row r="12953" customFormat="false" ht="15" hidden="false" customHeight="false" outlineLevel="0" collapsed="false">
      <c r="A12953" s="1" t="s">
        <v>1121</v>
      </c>
      <c r="B12953" s="0" t="s">
        <v>98</v>
      </c>
      <c r="E12953" s="6" t="n">
        <f aca="false">Sens!E12950-Sens!E12952</f>
        <v>37.441</v>
      </c>
      <c r="F12953" s="6" t="n">
        <f aca="false">Sens!F12950-Sens!F12952</f>
        <v>-21.5473125882836</v>
      </c>
      <c r="G12953" s="6" t="n">
        <f aca="false">Sens!G12950-Sens!G12952</f>
        <v>-14.3143095979413</v>
      </c>
      <c r="H12953" s="6" t="n">
        <f aca="false">Sens!H12950-Sens!H12952</f>
        <v>21.6152292461314</v>
      </c>
      <c r="I12953" s="6" t="n">
        <f aca="false">Sens!I12950-Sens!I12952</f>
        <v>86.465794811949</v>
      </c>
      <c r="J12953" s="6" t="n">
        <f aca="false">Sens!J12950-Sens!J12952</f>
        <v>154.575968089472</v>
      </c>
      <c r="K12953" s="6" t="n">
        <f aca="false">Sens!K12950-Sens!K12952</f>
        <v>185.850115742241</v>
      </c>
    </row>
    <row r="12954" customFormat="false" ht="15" hidden="false" customHeight="false" outlineLevel="0" collapsed="false">
      <c r="A12954" s="1" t="s">
        <v>1122</v>
      </c>
      <c r="B12954" s="0" t="s">
        <v>98</v>
      </c>
      <c r="F12954" s="6" t="n">
        <f aca="false">debt_mat_27</f>
        <v>9.25</v>
      </c>
      <c r="G12954" s="6" t="n">
        <f aca="false">debt_mat_28</f>
        <v>0</v>
      </c>
      <c r="H12954" s="6" t="n">
        <f aca="false">debt_mat_29</f>
        <v>2.001</v>
      </c>
      <c r="I12954" s="6" t="n">
        <f aca="false">debt_mat_30</f>
        <v>0</v>
      </c>
      <c r="J12954" s="6" t="n">
        <f aca="false">debt_mat_31</f>
        <v>0.5</v>
      </c>
      <c r="K12954" s="6" t="n">
        <f aca="false">debt_mat_32</f>
        <v>0</v>
      </c>
    </row>
    <row r="12955" customFormat="false" ht="15" hidden="false" customHeight="false" outlineLevel="0" collapsed="false">
      <c r="A12955" s="1" t="s">
        <v>1123</v>
      </c>
      <c r="B12955" s="0" t="s">
        <v>98</v>
      </c>
      <c r="E12955" s="6" t="n">
        <f aca="false">Q!M40</f>
        <v>22.271</v>
      </c>
      <c r="F12955" s="6" t="n">
        <f aca="false">MAX(0,MIN(bb_target,Sens!E12957+Sens!F12953-Sens!F12954-min_cash))</f>
        <v>0</v>
      </c>
      <c r="G12955" s="6" t="n">
        <f aca="false">MAX(0,MIN(bb_target,Sens!F12957+Sens!G12953-Sens!G12954-min_cash))</f>
        <v>0</v>
      </c>
      <c r="H12955" s="6" t="n">
        <f aca="false">MAX(0,MIN(bb_target,Sens!G12957+Sens!H12953-Sens!H12954-min_cash))</f>
        <v>19.6142292461314</v>
      </c>
      <c r="I12955" s="6" t="n">
        <f aca="false">MAX(0,MIN(bb_target,Sens!H12957+Sens!I12953-Sens!I12954-min_cash))</f>
        <v>22.271</v>
      </c>
      <c r="J12955" s="6" t="n">
        <f aca="false">MAX(0,MIN(bb_target,Sens!I12957+Sens!J12953-Sens!J12954-min_cash))</f>
        <v>22.271</v>
      </c>
      <c r="K12955" s="6" t="n">
        <f aca="false">MAX(0,MIN(bb_target,Sens!J12957+Sens!K12953-Sens!K12954-min_cash))</f>
        <v>22.271</v>
      </c>
    </row>
    <row r="12956" customFormat="false" ht="15" hidden="false" customHeight="false" outlineLevel="0" collapsed="false">
      <c r="A12956" s="1" t="s">
        <v>1124</v>
      </c>
      <c r="B12956" s="0" t="s">
        <v>98</v>
      </c>
      <c r="F12956" s="6" t="n">
        <f aca="false">MAX(0,min_cash-(Sens!E12957+Sens!F12953-Sens!F12954-Sens!F12955))</f>
        <v>3.95431258828357</v>
      </c>
      <c r="G12956" s="6" t="n">
        <f aca="false">MAX(0,min_cash-(Sens!F12957+Sens!G12953-Sens!G12954-Sens!G12955))</f>
        <v>14.3143095979413</v>
      </c>
      <c r="H12956" s="6" t="n">
        <f aca="false">MAX(0,min_cash-(Sens!G12957+Sens!H12953-Sens!H12954-Sens!H12955))</f>
        <v>0</v>
      </c>
      <c r="I12956" s="6" t="n">
        <f aca="false">MAX(0,min_cash-(Sens!H12957+Sens!I12953-Sens!I12954-Sens!I12955))</f>
        <v>0</v>
      </c>
      <c r="J12956" s="6" t="n">
        <f aca="false">MAX(0,min_cash-(Sens!I12957+Sens!J12953-Sens!J12954-Sens!J12955))</f>
        <v>0</v>
      </c>
      <c r="K12956" s="6" t="n">
        <f aca="false">MAX(0,min_cash-(Sens!J12957+Sens!K12953-Sens!K12954-Sens!K12955))</f>
        <v>0</v>
      </c>
    </row>
    <row r="12957" customFormat="false" ht="15" hidden="false" customHeight="false" outlineLevel="0" collapsed="false">
      <c r="A12957" s="1" t="s">
        <v>1125</v>
      </c>
      <c r="B12957" s="0" t="s">
        <v>98</v>
      </c>
      <c r="E12957" s="6" t="n">
        <f aca="false">cash_open</f>
        <v>76.843</v>
      </c>
      <c r="F12957" s="6" t="n">
        <f aca="false">Sens!E12957+Sens!F12953-Sens!F12954-Sens!F12955+Sens!F12956</f>
        <v>50</v>
      </c>
      <c r="G12957" s="6" t="n">
        <f aca="false">Sens!F12957+Sens!G12953-Sens!G12954-Sens!G12955+Sens!G12956</f>
        <v>50</v>
      </c>
      <c r="H12957" s="6" t="n">
        <f aca="false">Sens!G12957+Sens!H12953-Sens!H12954-Sens!H12955+Sens!H12956</f>
        <v>50</v>
      </c>
      <c r="I12957" s="6" t="n">
        <f aca="false">Sens!H12957+Sens!I12953-Sens!I12954-Sens!I12955+Sens!I12956</f>
        <v>114.194794811949</v>
      </c>
      <c r="J12957" s="6" t="n">
        <f aca="false">Sens!I12957+Sens!J12953-Sens!J12954-Sens!J12955+Sens!J12956</f>
        <v>245.999762901421</v>
      </c>
      <c r="K12957" s="6" t="n">
        <f aca="false">Sens!J12957+Sens!K12953-Sens!K12954-Sens!K12955+Sens!K12956</f>
        <v>409.578878643662</v>
      </c>
    </row>
    <row r="12958" customFormat="false" ht="15" hidden="false" customHeight="false" outlineLevel="0" collapsed="false">
      <c r="A12958" s="1" t="s">
        <v>1126</v>
      </c>
      <c r="B12958" s="0" t="s">
        <v>98</v>
      </c>
      <c r="E12958" s="6" t="n">
        <f aca="false">debt_face</f>
        <v>46.136</v>
      </c>
      <c r="F12958" s="6" t="n">
        <f aca="false">Sens!E12958-Sens!F12954+Sens!F12956</f>
        <v>40.8403125882836</v>
      </c>
      <c r="G12958" s="6" t="n">
        <f aca="false">Sens!F12958-Sens!G12954+Sens!G12956</f>
        <v>55.1546221862249</v>
      </c>
      <c r="H12958" s="6" t="n">
        <f aca="false">Sens!G12958-Sens!H12954+Sens!H12956</f>
        <v>53.1536221862249</v>
      </c>
      <c r="I12958" s="6" t="n">
        <f aca="false">Sens!H12958-Sens!I12954+Sens!I12956</f>
        <v>53.1536221862249</v>
      </c>
      <c r="J12958" s="6" t="n">
        <f aca="false">Sens!I12958-Sens!J12954+Sens!J12956</f>
        <v>52.6536221862249</v>
      </c>
      <c r="K12958" s="6" t="n">
        <f aca="false">Sens!J12958-Sens!K12954+Sens!K12956</f>
        <v>52.6536221862249</v>
      </c>
    </row>
    <row r="12959" customFormat="false" ht="15" hidden="false" customHeight="false" outlineLevel="0" collapsed="false">
      <c r="A12959" s="1" t="s">
        <v>1127</v>
      </c>
      <c r="B12959" s="0" t="s">
        <v>98</v>
      </c>
      <c r="E12959" s="6" t="n">
        <f aca="false">Sens!E12957-Sens!E12958</f>
        <v>30.707</v>
      </c>
      <c r="F12959" s="6" t="n">
        <f aca="false">Sens!F12957-Sens!F12958</f>
        <v>9.15968741171643</v>
      </c>
      <c r="G12959" s="6" t="n">
        <f aca="false">Sens!G12957-Sens!G12958</f>
        <v>-5.15462218622488</v>
      </c>
      <c r="H12959" s="6" t="n">
        <f aca="false">Sens!H12957-Sens!H12958</f>
        <v>-3.15362218622488</v>
      </c>
      <c r="I12959" s="6" t="n">
        <f aca="false">Sens!I12957-Sens!I12958</f>
        <v>61.0411726257241</v>
      </c>
      <c r="J12959" s="6" t="n">
        <f aca="false">Sens!J12957-Sens!J12958</f>
        <v>193.346140715196</v>
      </c>
      <c r="K12959" s="6" t="n">
        <f aca="false">Sens!K12957-Sens!K12958</f>
        <v>356.925256457437</v>
      </c>
    </row>
    <row r="12960" customFormat="false" ht="15" hidden="false" customHeight="false" outlineLevel="0" collapsed="false">
      <c r="A12960" s="1" t="s">
        <v>1128</v>
      </c>
      <c r="B12960" s="0" t="s">
        <v>75</v>
      </c>
      <c r="F12960" s="30" t="n">
        <f aca="false">px*(1+bb_g)^(Sens!F12818-base_fy-mid_yr)</f>
        <v>551.84177959629</v>
      </c>
      <c r="G12960" s="30" t="n">
        <f aca="false">px*(1+bb_g)^(Sens!G12818-base_fy-mid_yr)</f>
        <v>595.989121963993</v>
      </c>
      <c r="H12960" s="30" t="n">
        <f aca="false">px*(1+bb_g)^(Sens!H12818-base_fy-mid_yr)</f>
        <v>643.668251721112</v>
      </c>
      <c r="I12960" s="30" t="n">
        <f aca="false">px*(1+bb_g)^(Sens!I12818-base_fy-mid_yr)</f>
        <v>695.161711858801</v>
      </c>
      <c r="J12960" s="30" t="n">
        <f aca="false">px*(1+bb_g)^(Sens!J12818-base_fy-mid_yr)</f>
        <v>750.774648807506</v>
      </c>
      <c r="K12960" s="30" t="n">
        <f aca="false">px*(1+bb_g)^(Sens!K12818-base_fy-mid_yr)</f>
        <v>810.836620712106</v>
      </c>
    </row>
    <row r="12961" customFormat="false" ht="15" hidden="false" customHeight="false" outlineLevel="0" collapsed="false">
      <c r="A12961" s="1" t="s">
        <v>1129</v>
      </c>
      <c r="B12961" s="1" t="s">
        <v>81</v>
      </c>
      <c r="E12961" s="15" t="n">
        <f aca="false">sh_out26</f>
        <v>7.427</v>
      </c>
      <c r="F12961" s="15" t="n">
        <f aca="false">Sens!E12961+sh_iss-Sens!F12955/Sens!F12960</f>
        <v>7.472</v>
      </c>
      <c r="G12961" s="15" t="n">
        <f aca="false">Sens!F12961+sh_iss-Sens!G12955/Sens!G12960</f>
        <v>7.517</v>
      </c>
      <c r="H12961" s="15" t="n">
        <f aca="false">Sens!G12961+sh_iss-Sens!H12955/Sens!H12960</f>
        <v>7.5315274247352</v>
      </c>
      <c r="I12961" s="15" t="n">
        <f aca="false">Sens!H12961+sh_iss-Sens!I12955/Sens!I12960</f>
        <v>7.54449027478854</v>
      </c>
      <c r="J12961" s="15" t="n">
        <f aca="false">Sens!I12961+sh_iss-Sens!J12955/Sens!J12960</f>
        <v>7.55982624706015</v>
      </c>
      <c r="K12961" s="15" t="n">
        <f aca="false">Sens!J12961+sh_iss-Sens!K12955/Sens!K12960</f>
        <v>7.57735955471904</v>
      </c>
    </row>
    <row r="12962" customFormat="false" ht="15" hidden="false" customHeight="false" outlineLevel="0" collapsed="false">
      <c r="A12962" s="1" t="s">
        <v>1130</v>
      </c>
      <c r="B12962" s="1" t="s">
        <v>81</v>
      </c>
      <c r="E12962" s="15" t="n">
        <f aca="false">sh_dil26</f>
        <v>7.453</v>
      </c>
      <c r="F12962" s="15" t="n">
        <f aca="false">(Sens!E12961+Sens!F12961)/2+dil_gap</f>
        <v>7.4735</v>
      </c>
      <c r="G12962" s="15" t="n">
        <f aca="false">(Sens!F12961+Sens!G12961)/2+dil_gap</f>
        <v>7.5185</v>
      </c>
      <c r="H12962" s="15" t="n">
        <f aca="false">(Sens!G12961+Sens!H12961)/2+dil_gap</f>
        <v>7.5482637123676</v>
      </c>
      <c r="I12962" s="15" t="n">
        <f aca="false">(Sens!H12961+Sens!I12961)/2+dil_gap</f>
        <v>7.56200884976187</v>
      </c>
      <c r="J12962" s="15" t="n">
        <f aca="false">(Sens!I12961+Sens!J12961)/2+dil_gap</f>
        <v>7.57615826092434</v>
      </c>
      <c r="K12962" s="15" t="n">
        <f aca="false">(Sens!J12961+Sens!K12961)/2+dil_gap</f>
        <v>7.5925929008896</v>
      </c>
    </row>
    <row r="12963" customFormat="false" ht="17.15" hidden="false" customHeight="false" outlineLevel="0" collapsed="false">
      <c r="A12963" s="1" t="s">
        <v>1131</v>
      </c>
      <c r="B12963" s="0" t="s">
        <v>98</v>
      </c>
      <c r="C12963" s="6" t="n">
        <f aca="false">SUM(Sens!F12953:J12953)</f>
        <v>226.795369961328</v>
      </c>
    </row>
    <row r="12964" customFormat="false" ht="15" hidden="false" customHeight="false" outlineLevel="0" collapsed="false">
      <c r="A12964" s="26" t="s">
        <v>1096</v>
      </c>
      <c r="B12964" s="31" t="s">
        <v>98</v>
      </c>
      <c r="C12964" s="27" t="n">
        <f aca="false">Sens!$C$12963-(Sens!F12953+Sens!G12953+Sens!H12953+Sens!I12953+Sens!J12953)</f>
        <v>0</v>
      </c>
      <c r="D12964" s="31"/>
      <c r="E12964" s="31"/>
      <c r="F12964" s="31"/>
      <c r="G12964" s="31"/>
      <c r="H12964" s="31"/>
      <c r="I12964" s="31"/>
      <c r="J12964" s="31"/>
      <c r="K12964" s="31"/>
    </row>
    <row r="12965" customFormat="false" ht="17.15" hidden="false" customHeight="false" outlineLevel="0" collapsed="false">
      <c r="A12965" s="1" t="s">
        <v>1090</v>
      </c>
      <c r="B12965" s="1" t="s">
        <v>1132</v>
      </c>
      <c r="C12965" s="33" t="str">
        <f aca="false">IF(SUM(Sens!F12956:J12956)&gt;0.05,"需要舉債 "&amp;TEXT(SUM(Sens!F12956:J12956),"0.0")&amp;" 十億美元","不需舉債")&amp;"；"&amp;IF(SUM(Sens!F12955:J12955)&lt;COUNT(Sens!F12955:J12955)*bb_target-0.05,"回購較每年 "&amp;TEXT(bb_target,"0.0")&amp;" 的目標少 "&amp;TEXT(COUNT(Sens!F12955:J12955)*bb_target-SUM(Sens!F12955:J12955),"0.0")&amp;" 十億美元（"&amp;TEXT(COUNTIF(Sens!F12955:J12955,"&lt;"&amp;(bb_target-0.05)),"0")&amp;" 年減少）","回購不減")</f>
        <v>需要舉債 18.3 十億美元；回購較每年 22.3 的目標少 47.2 十億美元（3 年減少）</v>
      </c>
    </row>
    <row r="12966" customFormat="false" ht="17.15" hidden="false" customHeight="false" outlineLevel="0" collapsed="false">
      <c r="A12966" s="3" t="s">
        <v>1804</v>
      </c>
    </row>
    <row r="12967" customFormat="false" ht="15" hidden="false" customHeight="false" outlineLevel="0" collapsed="false">
      <c r="A12967" s="4" t="s">
        <v>43</v>
      </c>
      <c r="B12967" s="4" t="s">
        <v>65</v>
      </c>
      <c r="C12967" s="23" t="s">
        <v>938</v>
      </c>
      <c r="D12967" s="23" t="s">
        <v>939</v>
      </c>
      <c r="E12967" s="23" t="s">
        <v>940</v>
      </c>
      <c r="F12967" s="23" t="s">
        <v>941</v>
      </c>
      <c r="G12967" s="23" t="s">
        <v>942</v>
      </c>
      <c r="H12967" s="23" t="s">
        <v>943</v>
      </c>
      <c r="I12967" s="23" t="s">
        <v>944</v>
      </c>
      <c r="J12967" s="23" t="s">
        <v>945</v>
      </c>
      <c r="K12967" s="23" t="s">
        <v>946</v>
      </c>
      <c r="L12967" s="4" t="s">
        <v>47</v>
      </c>
    </row>
    <row r="12968" customFormat="false" ht="17.15" hidden="false" customHeight="false" outlineLevel="0" collapsed="false">
      <c r="A12968" s="1" t="s">
        <v>1212</v>
      </c>
      <c r="B12968" s="1" t="s">
        <v>279</v>
      </c>
      <c r="F12968" s="8" t="n">
        <f aca="false">(1-v_off)*mid_yr</f>
        <v>0.373972602739726</v>
      </c>
      <c r="G12968" s="8" t="n">
        <f aca="false">Sens!G12818-base_fy-mid_yr-v_off</f>
        <v>1.24794520547945</v>
      </c>
      <c r="H12968" s="8" t="n">
        <f aca="false">Sens!H12818-base_fy-mid_yr-v_off</f>
        <v>2.24794520547945</v>
      </c>
      <c r="I12968" s="8" t="n">
        <f aca="false">Sens!I12818-base_fy-mid_yr-v_off</f>
        <v>3.24794520547945</v>
      </c>
      <c r="J12968" s="8" t="n">
        <f aca="false">Sens!J12818-base_fy-mid_yr-v_off</f>
        <v>4.24794520547945</v>
      </c>
      <c r="K12968" s="8" t="n">
        <f aca="false">Sens!K12818-base_fy-mid_yr-v_off</f>
        <v>5.24794520547945</v>
      </c>
      <c r="L12968" s="12" t="s">
        <v>1213</v>
      </c>
    </row>
    <row r="12969" customFormat="false" ht="15" hidden="false" customHeight="false" outlineLevel="0" collapsed="false">
      <c r="A12969" s="1" t="s">
        <v>1214</v>
      </c>
      <c r="B12969" s="1" t="s">
        <v>279</v>
      </c>
      <c r="F12969" s="8" t="n">
        <f aca="false">Sens!F12818-base_fy-v_off</f>
        <v>0.747945205479452</v>
      </c>
      <c r="G12969" s="8" t="n">
        <f aca="false">Sens!G12818-base_fy-v_off</f>
        <v>1.74794520547945</v>
      </c>
      <c r="H12969" s="8" t="n">
        <f aca="false">Sens!H12818-base_fy-v_off</f>
        <v>2.74794520547945</v>
      </c>
      <c r="I12969" s="8" t="n">
        <f aca="false">Sens!I12818-base_fy-v_off</f>
        <v>3.74794520547945</v>
      </c>
      <c r="J12969" s="8" t="n">
        <f aca="false">Sens!J12818-base_fy-v_off</f>
        <v>4.74794520547945</v>
      </c>
      <c r="K12969" s="8" t="n">
        <f aca="false">Sens!K12818-base_fy-v_off</f>
        <v>5.74794520547945</v>
      </c>
    </row>
    <row r="12970" customFormat="false" ht="15" hidden="false" customHeight="false" outlineLevel="0" collapsed="false">
      <c r="A12970" s="1" t="s">
        <v>1215</v>
      </c>
      <c r="B12970" s="0" t="s">
        <v>229</v>
      </c>
      <c r="F12970" s="15" t="n">
        <f aca="false">1/(1+wacc)^Sens!F12968</f>
        <v>0.964022703286649</v>
      </c>
      <c r="G12970" s="15" t="n">
        <f aca="false">1/(1+wacc)^Sens!G12968</f>
        <v>0.884910302296739</v>
      </c>
      <c r="H12970" s="15" t="n">
        <f aca="false">1/(1+wacc)^Sens!H12968</f>
        <v>0.802322009770358</v>
      </c>
      <c r="I12970" s="15" t="n">
        <f aca="false">1/(1+wacc)^Sens!I12968</f>
        <v>0.727441646561469</v>
      </c>
      <c r="J12970" s="15" t="n">
        <f aca="false">1/(1+wacc)^Sens!J12968</f>
        <v>0.659549834988973</v>
      </c>
      <c r="K12970" s="15" t="n">
        <f aca="false">1/(1+wacc)^Sens!K12968</f>
        <v>0.597994336576966</v>
      </c>
    </row>
    <row r="12971" customFormat="false" ht="17.15" hidden="false" customHeight="false" outlineLevel="0" collapsed="false">
      <c r="A12971" s="1" t="s">
        <v>1216</v>
      </c>
      <c r="B12971" s="0" t="s">
        <v>98</v>
      </c>
      <c r="F12971" s="6" t="n">
        <f aca="false">Q!$I$35-Q!$I$39-Q!$I$43</f>
        <v>9.666</v>
      </c>
      <c r="L12971" s="12" t="s">
        <v>1217</v>
      </c>
    </row>
    <row r="12972" customFormat="false" ht="17.15" hidden="false" customHeight="false" outlineLevel="0" collapsed="false">
      <c r="A12972" s="1" t="s">
        <v>1218</v>
      </c>
      <c r="B12972" s="0" t="s">
        <v>98</v>
      </c>
      <c r="F12972" s="6" t="n">
        <f aca="false">Sens!F12943-Sens!F12940-Sens!F12947+Sens!F12925*(1-tax_f)*(1-v_off)-Sens!F12971</f>
        <v>-7.50396338130679</v>
      </c>
      <c r="G12972" s="6" t="n">
        <f aca="false">Sens!G12943-Sens!G12940-Sens!G12947+Sens!G12925*(1-tax_f)</f>
        <v>23.8494155576003</v>
      </c>
      <c r="H12972" s="6" t="n">
        <f aca="false">Sens!H12943-Sens!H12940-Sens!H12947+Sens!H12925*(1-tax_f)</f>
        <v>72.7826752200264</v>
      </c>
      <c r="I12972" s="6" t="n">
        <f aca="false">Sens!I12943-Sens!I12940-Sens!I12947+Sens!I12925*(1-tax_f)</f>
        <v>150.176827536811</v>
      </c>
      <c r="J12972" s="6" t="n">
        <f aca="false">Sens!J12943-Sens!J12940-Sens!J12947+Sens!J12925*(1-tax_f)</f>
        <v>227.87878078403</v>
      </c>
      <c r="K12972" s="6" t="n">
        <f aca="false">Sens!K12943-Sens!K12940-Sens!K12947+Sens!K12925*(1-tax_f)</f>
        <v>265.5543491214</v>
      </c>
      <c r="L12972" s="1" t="s">
        <v>1219</v>
      </c>
    </row>
    <row r="12973" customFormat="false" ht="15" hidden="false" customHeight="false" outlineLevel="0" collapsed="false">
      <c r="A12973" s="1" t="s">
        <v>1220</v>
      </c>
      <c r="B12973" s="0" t="s">
        <v>98</v>
      </c>
      <c r="F12973" s="6" t="n">
        <f aca="false">Sens!F12972*Sens!F12970</f>
        <v>-7.23399106421139</v>
      </c>
      <c r="G12973" s="6" t="n">
        <f aca="false">Sens!G12972*Sens!G12970</f>
        <v>21.1045935306766</v>
      </c>
      <c r="H12973" s="6" t="n">
        <f aca="false">Sens!H12972*Sens!H12970</f>
        <v>58.3951422589948</v>
      </c>
      <c r="I12973" s="6" t="n">
        <f aca="false">Sens!I12972*Sens!I12970</f>
        <v>109.244878698755</v>
      </c>
      <c r="J12973" s="6" t="n">
        <f aca="false">Sens!J12972*Sens!J12970</f>
        <v>150.297412263595</v>
      </c>
      <c r="K12973" s="6" t="n">
        <f aca="false">Sens!K12972*Sens!K12970</f>
        <v>158.79999682798</v>
      </c>
    </row>
    <row r="12974" customFormat="false" ht="17.15" hidden="false" customHeight="false" outlineLevel="0" collapsed="false">
      <c r="A12974" s="1" t="s">
        <v>1221</v>
      </c>
      <c r="B12974" s="0" t="s">
        <v>98</v>
      </c>
      <c r="C12974" s="6" t="n">
        <f aca="false">SUM(Sens!F12973:K12973)</f>
        <v>490.60803251579</v>
      </c>
    </row>
    <row r="12975" customFormat="false" ht="17.15" hidden="false" customHeight="false" outlineLevel="0" collapsed="false">
      <c r="A12975" s="1" t="s">
        <v>1222</v>
      </c>
      <c r="B12975" s="0" t="s">
        <v>98</v>
      </c>
      <c r="C12975" s="6" t="n">
        <f aca="false">Sens!K12911*(1+g_tv)*(1-tax_f)</f>
        <v>276.584294490396</v>
      </c>
    </row>
    <row r="12976" customFormat="false" ht="17.15" hidden="false" customHeight="false" outlineLevel="0" collapsed="false">
      <c r="A12976" s="1" t="s">
        <v>1223</v>
      </c>
      <c r="B12976" s="0" t="s">
        <v>98</v>
      </c>
      <c r="C12976" s="6" t="n">
        <f aca="false">Sens!$C$12975*(1-g_tv/(wacc+ronic_prem))</f>
        <v>195.976137969094</v>
      </c>
    </row>
    <row r="12977" customFormat="false" ht="17.15" hidden="false" customHeight="false" outlineLevel="0" collapsed="false">
      <c r="A12977" s="1" t="s">
        <v>1224</v>
      </c>
      <c r="B12977" s="0" t="s">
        <v>98</v>
      </c>
      <c r="C12977" s="6" t="n">
        <f aca="false">Sens!$C$12976/(wacc-g_tv)</f>
        <v>2686.93855071004</v>
      </c>
    </row>
    <row r="12978" customFormat="false" ht="15" hidden="false" customHeight="false" outlineLevel="0" collapsed="false">
      <c r="A12978" s="1" t="s">
        <v>1225</v>
      </c>
      <c r="B12978" s="0" t="s">
        <v>98</v>
      </c>
      <c r="C12978" s="6" t="n">
        <f aca="false">Sens!$C$12977/(1+wacc)^Sens!K12969</f>
        <v>1529.9580843466</v>
      </c>
    </row>
    <row r="12979" customFormat="false" ht="17.15" hidden="false" customHeight="false" outlineLevel="0" collapsed="false">
      <c r="A12979" s="0" t="s">
        <v>1226</v>
      </c>
      <c r="B12979" s="0" t="s">
        <v>98</v>
      </c>
      <c r="C12979" s="6" t="n">
        <f aca="false">Sens!$C$12974+Sens!$C$12978</f>
        <v>2020.56611686239</v>
      </c>
    </row>
    <row r="12980" customFormat="false" ht="15" hidden="false" customHeight="false" outlineLevel="0" collapsed="false">
      <c r="A12980" s="1" t="s">
        <v>1141</v>
      </c>
      <c r="B12980" s="0" t="s">
        <v>168</v>
      </c>
      <c r="C12980" s="7" t="n">
        <f aca="false">Sens!$C$12978/Sens!$C$12979</f>
        <v>0.757192784526336</v>
      </c>
    </row>
    <row r="12981" customFormat="false" ht="17.15" hidden="false" customHeight="false" outlineLevel="0" collapsed="false">
      <c r="A12981" s="1" t="s">
        <v>1227</v>
      </c>
      <c r="B12981" s="0" t="s">
        <v>98</v>
      </c>
      <c r="C12981" s="6" t="n">
        <f aca="false">Sens!$C$12979+cash_val-debt_val-fl_val+oai_v</f>
        <v>2136.41711686239</v>
      </c>
    </row>
    <row r="12982" customFormat="false" ht="17.15" hidden="false" customHeight="false" outlineLevel="0" collapsed="false">
      <c r="A12982" s="0" t="s">
        <v>1149</v>
      </c>
      <c r="B12982" s="0" t="s">
        <v>75</v>
      </c>
      <c r="C12982" s="5" t="n">
        <f aca="false">Sens!$C$12981/shd_val</f>
        <v>286.921450021809</v>
      </c>
    </row>
    <row r="12983" customFormat="false" ht="15" hidden="false" customHeight="false" outlineLevel="0" collapsed="false">
      <c r="A12983" s="1" t="s">
        <v>1228</v>
      </c>
      <c r="B12983" s="0" t="s">
        <v>75</v>
      </c>
      <c r="C12983" s="8" t="n">
        <f aca="false">div_rem27+Sens!G12951*roll_div_q/q_per_yr</f>
        <v>3.9795</v>
      </c>
    </row>
    <row r="12984" customFormat="false" ht="17.15" hidden="false" customHeight="false" outlineLevel="0" collapsed="false">
      <c r="A12984" s="0" t="s">
        <v>1229</v>
      </c>
      <c r="B12984" s="0" t="s">
        <v>75</v>
      </c>
      <c r="C12984" s="5" t="n">
        <f aca="false">Sens!$C$12982*(1+wacc)^t_roll-Sens!$C$12983</f>
        <v>314.949704998784</v>
      </c>
    </row>
    <row r="12985" customFormat="false" ht="17.15" hidden="false" customHeight="false" outlineLevel="0" collapsed="false">
      <c r="A12985" s="1" t="s">
        <v>1230</v>
      </c>
      <c r="B12985" s="0" t="s">
        <v>168</v>
      </c>
      <c r="F12985" s="7" t="n">
        <f aca="false">Sens!F12937/(Sens!F12882-Sens!F12837)</f>
        <v>0.0686195668908011</v>
      </c>
      <c r="G12985" s="7" t="n">
        <f aca="false">Sens!G12937/(Sens!G12882-Sens!G12837)</f>
        <v>0.0658333569148391</v>
      </c>
      <c r="H12985" s="7" t="n">
        <f aca="false">Sens!H12937/(Sens!H12882-Sens!H12837)</f>
        <v>0.0643895625218926</v>
      </c>
      <c r="I12985" s="7" t="n">
        <f aca="false">Sens!I12937/(Sens!I12882-Sens!I12837)</f>
        <v>0.0641676618157989</v>
      </c>
      <c r="J12985" s="7" t="n">
        <f aca="false">Sens!J12937/(Sens!J12882-Sens!J12837)</f>
        <v>0.0648858606572163</v>
      </c>
      <c r="K12985" s="7" t="n">
        <f aca="false">Sens!K12937/(Sens!K12882-Sens!K12837)</f>
        <v>0.0661974425163768</v>
      </c>
    </row>
    <row r="12986" customFormat="false" ht="17.15" hidden="false" customHeight="false" outlineLevel="0" collapsed="false">
      <c r="A12986" s="0" t="s">
        <v>1231</v>
      </c>
      <c r="B12986" s="0" t="s">
        <v>98</v>
      </c>
      <c r="F12986" s="6" t="n">
        <f aca="false">Sens!F12867*(al_m365+Sens!F12985+sbc_r)</f>
        <v>83.7205619248671</v>
      </c>
      <c r="G12986" s="6" t="n">
        <f aca="false">Sens!G12867*(al_m365+Sens!G12985+sbc_r)</f>
        <v>96.1301303332381</v>
      </c>
      <c r="H12986" s="6" t="n">
        <f aca="false">Sens!H12867*(al_m365+Sens!H12985+sbc_r)</f>
        <v>108.70354073822</v>
      </c>
      <c r="I12986" s="6" t="n">
        <f aca="false">Sens!I12867*(al_m365+Sens!I12985+sbc_r)</f>
        <v>120.260101315626</v>
      </c>
      <c r="J12986" s="6" t="n">
        <f aca="false">Sens!J12867*(al_m365+Sens!J12985+sbc_r)</f>
        <v>130.611904548619</v>
      </c>
      <c r="K12986" s="6" t="n">
        <f aca="false">Sens!K12867*(al_m365+Sens!K12985+sbc_r)</f>
        <v>140.575094974638</v>
      </c>
      <c r="L12986" s="12" t="s">
        <v>1232</v>
      </c>
    </row>
    <row r="12987" customFormat="false" ht="17.15" hidden="false" customHeight="false" outlineLevel="0" collapsed="false">
      <c r="A12987" s="0" t="s">
        <v>1233</v>
      </c>
      <c r="B12987" s="0" t="s">
        <v>98</v>
      </c>
      <c r="F12987" s="6" t="n">
        <f aca="false">Sens!F12868*(al_lic+Sens!F12985+sbc_r)</f>
        <v>32.8577657183496</v>
      </c>
      <c r="G12987" s="6" t="n">
        <f aca="false">Sens!G12868*(al_lic+Sens!G12985+sbc_r)</f>
        <v>34.1376266324889</v>
      </c>
      <c r="H12987" s="6" t="n">
        <f aca="false">Sens!H12868*(al_lic+Sens!H12985+sbc_r)</f>
        <v>35.3325744664128</v>
      </c>
      <c r="I12987" s="6" t="n">
        <f aca="false">Sens!I12868*(al_lic+Sens!I12985+sbc_r)</f>
        <v>36.4244749008727</v>
      </c>
      <c r="J12987" s="6" t="n">
        <f aca="false">Sens!J12868*(al_lic+Sens!J12985+sbc_r)</f>
        <v>37.3879406068527</v>
      </c>
      <c r="K12987" s="6" t="n">
        <f aca="false">Sens!K12868*(al_lic+Sens!K12985+sbc_r)</f>
        <v>38.1943876078259</v>
      </c>
    </row>
    <row r="12988" customFormat="false" ht="17.15" hidden="false" customHeight="false" outlineLevel="0" collapsed="false">
      <c r="A12988" s="0" t="s">
        <v>1234</v>
      </c>
      <c r="B12988" s="0" t="s">
        <v>98</v>
      </c>
      <c r="F12988" s="6" t="n">
        <f aca="false">Sens!F12870*(al_ind+Sens!F12985+sbc_r)</f>
        <v>9.06041701092022</v>
      </c>
      <c r="G12988" s="6" t="n">
        <f aca="false">Sens!G12870*(al_ind+Sens!G12985+sbc_r)</f>
        <v>9.83619082712885</v>
      </c>
      <c r="H12988" s="6" t="n">
        <f aca="false">Sens!H12870*(al_ind+Sens!H12985+sbc_r)</f>
        <v>10.6570160105312</v>
      </c>
      <c r="I12988" s="6" t="n">
        <f aca="false">Sens!I12870*(al_ind+Sens!I12985+sbc_r)</f>
        <v>11.5198571637125</v>
      </c>
      <c r="J12988" s="6" t="n">
        <f aca="false">Sens!J12870*(al_ind+Sens!J12985+sbc_r)</f>
        <v>12.4150086539206</v>
      </c>
      <c r="K12988" s="6" t="n">
        <f aca="false">Sens!K12870*(al_ind+Sens!K12985+sbc_r)</f>
        <v>13.3273714589988</v>
      </c>
    </row>
    <row r="12989" customFormat="false" ht="17.15" hidden="false" customHeight="false" outlineLevel="0" collapsed="false">
      <c r="A12989" s="0" t="s">
        <v>1235</v>
      </c>
      <c r="B12989" s="0" t="s">
        <v>98</v>
      </c>
      <c r="F12989" s="6" t="n">
        <f aca="false">Sens!F12872*(al_fro+Sens!F12985+sbc_r)</f>
        <v>3.55402950182022</v>
      </c>
      <c r="G12989" s="6" t="n">
        <f aca="false">Sens!G12872*(al_fro+Sens!G12985+sbc_r)</f>
        <v>3.76361488926481</v>
      </c>
      <c r="H12989" s="6" t="n">
        <f aca="false">Sens!H12872*(al_fro+Sens!H12985+sbc_r)</f>
        <v>4.00220968879544</v>
      </c>
      <c r="I12989" s="6" t="n">
        <f aca="false">Sens!I12872*(al_fro+Sens!I12985+sbc_r)</f>
        <v>4.2725765173852</v>
      </c>
      <c r="J12989" s="6" t="n">
        <f aca="false">Sens!J12872*(al_fro+Sens!J12985+sbc_r)</f>
        <v>4.57586224390293</v>
      </c>
      <c r="K12989" s="6" t="n">
        <f aca="false">Sens!K12872*(al_fro+Sens!K12985+sbc_r)</f>
        <v>4.91213639633217</v>
      </c>
    </row>
    <row r="12990" customFormat="false" ht="17.15" hidden="false" customHeight="false" outlineLevel="0" collapsed="false">
      <c r="A12990" s="0" t="s">
        <v>1236</v>
      </c>
      <c r="B12990" s="0" t="s">
        <v>98</v>
      </c>
      <c r="F12990" s="6" t="n">
        <f aca="false">Sens!F12875*(al_srch+Sens!F12985+sbc_r)</f>
        <v>11.1890902994147</v>
      </c>
      <c r="G12990" s="6" t="n">
        <f aca="false">Sens!G12875*(al_srch+Sens!G12985+sbc_r)</f>
        <v>12.261738891803</v>
      </c>
      <c r="H12990" s="6" t="n">
        <f aca="false">Sens!H12875*(al_srch+Sens!H12985+sbc_r)</f>
        <v>13.3794863429193</v>
      </c>
      <c r="I12990" s="6" t="n">
        <f aca="false">Sens!I12875*(al_srch+Sens!I12985+sbc_r)</f>
        <v>14.5317114787784</v>
      </c>
      <c r="J12990" s="6" t="n">
        <f aca="false">Sens!J12875*(al_srch+Sens!J12985+sbc_r)</f>
        <v>15.6984365817724</v>
      </c>
      <c r="K12990" s="6" t="n">
        <f aca="false">Sens!K12875*(al_srch+Sens!K12985+sbc_r)</f>
        <v>16.8520942258664</v>
      </c>
    </row>
    <row r="12991" customFormat="false" ht="17.15" hidden="false" customHeight="false" outlineLevel="0" collapsed="false">
      <c r="A12991" s="0" t="s">
        <v>1237</v>
      </c>
      <c r="B12991" s="0" t="s">
        <v>98</v>
      </c>
      <c r="F12991" s="6" t="n">
        <f aca="false">Sens!F12843-Sens!F12844+Sens!F12925</f>
        <v>42.6781090240393</v>
      </c>
      <c r="G12991" s="6" t="n">
        <f aca="false">Sens!G12843-Sens!G12844+Sens!G12925</f>
        <v>81.7472561130847</v>
      </c>
      <c r="H12991" s="6" t="n">
        <f aca="false">Sens!H12843-Sens!H12844+Sens!H12925</f>
        <v>123.653266211349</v>
      </c>
      <c r="I12991" s="6" t="n">
        <f aca="false">Sens!I12843-Sens!I12844+Sens!I12925</f>
        <v>161.07094185192</v>
      </c>
      <c r="J12991" s="6" t="n">
        <f aca="false">Sens!J12843-Sens!J12844+Sens!J12925</f>
        <v>187.343741832633</v>
      </c>
      <c r="K12991" s="6" t="n">
        <f aca="false">Sens!K12843-Sens!K12844+Sens!K12925</f>
        <v>203.361422159652</v>
      </c>
    </row>
    <row r="12992" customFormat="false" ht="17.15" hidden="false" customHeight="false" outlineLevel="0" collapsed="false">
      <c r="A12992" s="0" t="s">
        <v>1238</v>
      </c>
      <c r="B12992" s="0" t="s">
        <v>98</v>
      </c>
      <c r="F12992" s="6" t="n">
        <f aca="false">Sens!F12904+Sens!F12925+Sens!F12855+Sens!F12985*(Sens!F12874-Sens!F12837)+sbc_r*Sens!F12874</f>
        <v>233.920660117465</v>
      </c>
      <c r="G12992" s="6" t="n">
        <f aca="false">Sens!G12904+Sens!G12925+Sens!G12855+Sens!G12985*(Sens!G12874-Sens!G12837)+sbc_r*Sens!G12874</f>
        <v>293.785074387987</v>
      </c>
      <c r="H12992" s="6" t="n">
        <f aca="false">Sens!H12904+Sens!H12925+Sens!H12855+Sens!H12985*(Sens!H12874-Sens!H12837)+sbc_r*Sens!H12874</f>
        <v>362.656357755206</v>
      </c>
      <c r="I12992" s="6" t="n">
        <f aca="false">Sens!I12904+Sens!I12925+Sens!I12855+Sens!I12985*(Sens!I12874-Sens!I12837)+sbc_r*Sens!I12874</f>
        <v>425.703618344869</v>
      </c>
      <c r="J12992" s="6" t="n">
        <f aca="false">Sens!J12904+Sens!J12925+Sens!J12855+Sens!J12985*(Sens!J12874-Sens!J12837)+sbc_r*Sens!J12874</f>
        <v>475.22191750672</v>
      </c>
      <c r="K12992" s="6" t="n">
        <f aca="false">Sens!K12904+Sens!K12925+Sens!K12855+Sens!K12985*(Sens!K12874-Sens!K12837)+sbc_r*Sens!K12874</f>
        <v>512.163652888725</v>
      </c>
    </row>
    <row r="12993" customFormat="false" ht="17.15" hidden="false" customHeight="false" outlineLevel="0" collapsed="false">
      <c r="A12993" s="0" t="s">
        <v>1239</v>
      </c>
      <c r="B12993" s="0" t="s">
        <v>98</v>
      </c>
      <c r="F12993" s="6" t="n">
        <f aca="false">Sens!F12992-Sens!F12986-Sens!F12987-Sens!F12988-Sens!F12989-Sens!F12991</f>
        <v>62.0497769374682</v>
      </c>
      <c r="G12993" s="6" t="n">
        <f aca="false">Sens!G12992-Sens!G12986-Sens!G12987-Sens!G12988-Sens!G12989-Sens!G12991</f>
        <v>68.1702555927815</v>
      </c>
      <c r="H12993" s="6" t="n">
        <f aca="false">Sens!H12992-Sens!H12986-Sens!H12987-Sens!H12988-Sens!H12989-Sens!H12991</f>
        <v>80.3077506398976</v>
      </c>
      <c r="I12993" s="6" t="n">
        <f aca="false">Sens!I12992-Sens!I12986-Sens!I12987-Sens!I12988-Sens!I12989-Sens!I12991</f>
        <v>92.1556665953522</v>
      </c>
      <c r="J12993" s="6" t="n">
        <f aca="false">Sens!J12992-Sens!J12986-Sens!J12987-Sens!J12988-Sens!J12989-Sens!J12991</f>
        <v>102.887459620792</v>
      </c>
      <c r="K12993" s="6" t="n">
        <f aca="false">Sens!K12992-Sens!K12986-Sens!K12987-Sens!K12988-Sens!K12989-Sens!K12991</f>
        <v>111.793240291279</v>
      </c>
    </row>
    <row r="12994" customFormat="false" ht="17.15" hidden="false" customHeight="false" outlineLevel="0" collapsed="false">
      <c r="A12994" s="0" t="s">
        <v>1240</v>
      </c>
      <c r="B12994" s="0" t="s">
        <v>98</v>
      </c>
      <c r="F12994" s="6" t="n">
        <f aca="false">Sens!F12906+Sens!F12985*Sens!F12881+sbc_r*Sens!F12881</f>
        <v>25.6572662856829</v>
      </c>
      <c r="G12994" s="6" t="n">
        <f aca="false">Sens!G12906+Sens!G12985*Sens!G12881+sbc_r*Sens!G12881</f>
        <v>25.1465725112519</v>
      </c>
      <c r="H12994" s="6" t="n">
        <f aca="false">Sens!H12906+Sens!H12985*Sens!H12881+sbc_r*Sens!H12881</f>
        <v>25.9725135487404</v>
      </c>
      <c r="I12994" s="6" t="n">
        <f aca="false">Sens!I12906+Sens!I12985*Sens!I12881+sbc_r*Sens!I12881</f>
        <v>27.0265729999269</v>
      </c>
      <c r="J12994" s="6" t="n">
        <f aca="false">Sens!J12906+Sens!J12985*Sens!J12881+sbc_r*Sens!J12881</f>
        <v>28.2748483545843</v>
      </c>
      <c r="K12994" s="6" t="n">
        <f aca="false">Sens!K12906+Sens!K12985*Sens!K12881+sbc_r*Sens!K12881</f>
        <v>29.6813464393526</v>
      </c>
    </row>
    <row r="12995" customFormat="false" ht="17.15" hidden="false" customHeight="false" outlineLevel="0" collapsed="false">
      <c r="A12995" s="0" t="s">
        <v>1241</v>
      </c>
      <c r="B12995" s="0" t="s">
        <v>98</v>
      </c>
      <c r="F12995" s="6" t="n">
        <f aca="false">(Sens!F12994-Sens!F12990)*Sens!F12877/(Sens!F12877+Sens!F12879)</f>
        <v>8.17141627623694</v>
      </c>
      <c r="G12995" s="6" t="n">
        <f aca="false">(Sens!G12994-Sens!G12990)*Sens!G12877/(Sens!G12877+Sens!G12879)</f>
        <v>7.15209994390048</v>
      </c>
      <c r="H12995" s="6" t="n">
        <f aca="false">(Sens!H12994-Sens!H12990)*Sens!H12877/(Sens!H12877+Sens!H12879)</f>
        <v>6.89906372194978</v>
      </c>
      <c r="I12995" s="6" t="n">
        <f aca="false">(Sens!I12994-Sens!I12990)*Sens!I12877/(Sens!I12877+Sens!I12879)</f>
        <v>6.78553511105929</v>
      </c>
      <c r="J12995" s="6" t="n">
        <f aca="false">(Sens!J12994-Sens!J12990)*Sens!J12877/(Sens!J12877+Sens!J12879)</f>
        <v>6.8000240927963</v>
      </c>
      <c r="K12995" s="6" t="n">
        <f aca="false">(Sens!K12994-Sens!K12990)*Sens!K12877/(Sens!K12877+Sens!K12879)</f>
        <v>6.93673407965723</v>
      </c>
    </row>
    <row r="12996" customFormat="false" ht="17.15" hidden="false" customHeight="false" outlineLevel="0" collapsed="false">
      <c r="A12996" s="0" t="s">
        <v>1242</v>
      </c>
      <c r="B12996" s="0" t="s">
        <v>98</v>
      </c>
      <c r="F12996" s="6" t="n">
        <f aca="false">Sens!F12994-Sens!F12990-Sens!F12995</f>
        <v>6.29675971003133</v>
      </c>
      <c r="G12996" s="6" t="n">
        <f aca="false">Sens!G12994-Sens!G12990-Sens!G12995</f>
        <v>5.73273367554848</v>
      </c>
      <c r="H12996" s="6" t="n">
        <f aca="false">Sens!H12994-Sens!H12990-Sens!H12995</f>
        <v>5.69396348387135</v>
      </c>
      <c r="I12996" s="6" t="n">
        <f aca="false">Sens!I12994-Sens!I12990-Sens!I12995</f>
        <v>5.70932641008922</v>
      </c>
      <c r="J12996" s="6" t="n">
        <f aca="false">Sens!J12994-Sens!J12990-Sens!J12995</f>
        <v>5.77638768001562</v>
      </c>
      <c r="K12996" s="6" t="n">
        <f aca="false">Sens!K12994-Sens!K12990-Sens!K12995</f>
        <v>5.89251813382903</v>
      </c>
    </row>
    <row r="12997" customFormat="false" ht="17.15" hidden="false" customHeight="false" outlineLevel="0" collapsed="false">
      <c r="A12997" s="0" t="s">
        <v>1243</v>
      </c>
      <c r="B12997" s="0" t="s">
        <v>98</v>
      </c>
      <c r="F12997" s="6" t="n">
        <f aca="false">Sens!F12991-tax_f*(Sens!F12991-Sens!F12855)-Sens!F12852</f>
        <v>-127.395553927218</v>
      </c>
      <c r="G12997" s="6" t="n">
        <f aca="false">Sens!G12991-tax_f*(Sens!G12991-Sens!G12855)-Sens!G12852</f>
        <v>-114.399772628121</v>
      </c>
      <c r="H12997" s="6" t="n">
        <f aca="false">Sens!H12991-tax_f*(Sens!H12991-Sens!H12855)-Sens!H12852</f>
        <v>-80.0633729631438</v>
      </c>
      <c r="I12997" s="6" t="n">
        <f aca="false">Sens!I12991-tax_f*(Sens!I12991-Sens!I12855)-Sens!I12852</f>
        <v>-16.9118782011649</v>
      </c>
      <c r="J12997" s="6" t="n">
        <f aca="false">Sens!J12991-tax_f*(Sens!J12991-Sens!J12855)-Sens!J12852</f>
        <v>47.3481968800854</v>
      </c>
      <c r="K12997" s="6" t="n">
        <f aca="false">Sens!K12991-tax_f*(Sens!K12991-Sens!K12855)-Sens!K12852</f>
        <v>72.3288185731755</v>
      </c>
    </row>
    <row r="12998" customFormat="false" ht="17.15" hidden="false" customHeight="false" outlineLevel="0" collapsed="false">
      <c r="A12998" s="0" t="s">
        <v>1244</v>
      </c>
      <c r="B12998" s="0" t="s">
        <v>98</v>
      </c>
      <c r="G12998" s="6" t="n">
        <f aca="false">Sens!G12997/(1+wacc)^(Sens!G12968-Sens!F12969)</f>
        <v>-108.930598237413</v>
      </c>
      <c r="H12998" s="6" t="n">
        <f aca="false">Sens!H12997/(1+wacc)^(Sens!H12968-Sens!F12969)</f>
        <v>-69.1206899875732</v>
      </c>
      <c r="I12998" s="6" t="n">
        <f aca="false">Sens!I12997/(1+wacc)^(Sens!I12968-Sens!F12969)</f>
        <v>-13.2377897619102</v>
      </c>
      <c r="J12998" s="6" t="n">
        <f aca="false">Sens!J12997/(1+wacc)^(Sens!J12968-Sens!F12969)</f>
        <v>33.6028827829978</v>
      </c>
      <c r="K12998" s="6" t="n">
        <f aca="false">Sens!K12997/(1+wacc)^(Sens!K12968-Sens!F12969)</f>
        <v>46.5408079586857</v>
      </c>
      <c r="L12998" s="1" t="s">
        <v>1245</v>
      </c>
    </row>
    <row r="12999" customFormat="false" ht="17.15" hidden="false" customHeight="false" outlineLevel="0" collapsed="false">
      <c r="A12999" s="0" t="s">
        <v>1246</v>
      </c>
      <c r="B12999" s="0" t="s">
        <v>98</v>
      </c>
      <c r="C12999" s="6" t="n">
        <f aca="false">(Sens!K12991-Sens!K12855)*(1-tax_f)*(1+g_tv)*(1-g_tv/(wacc+ronic_prem))/(wacc-g_tv)/(1+wacc)^(Sens!K12969-Sens!F12969)</f>
        <v>295.987249428662</v>
      </c>
    </row>
    <row r="13000" customFormat="false" ht="17.15" hidden="false" customHeight="false" outlineLevel="0" collapsed="false">
      <c r="A13000" s="1" t="s">
        <v>1247</v>
      </c>
      <c r="B13000" s="0" t="s">
        <v>98</v>
      </c>
      <c r="C13000" s="6" t="n">
        <f aca="false">(SUM(Sens!G12998:K12998)+Sens!$C$12999)*(1+wacc)^(t_roll-Sens!F12969)</f>
        <v>190.944051057407</v>
      </c>
      <c r="L13000" s="12" t="s">
        <v>1248</v>
      </c>
    </row>
    <row r="13001" customFormat="false" ht="17.15" hidden="false" customHeight="false" outlineLevel="0" collapsed="false">
      <c r="A13001" s="1" t="s">
        <v>1249</v>
      </c>
      <c r="B13001" s="0" t="s">
        <v>98</v>
      </c>
      <c r="C13001" s="6" t="n">
        <f aca="false">(w_ntm28*Sens!G12843+(1-w_ntm28)*Sens!H12843)*m_ai</f>
        <v>463.789109510335</v>
      </c>
    </row>
    <row r="13002" customFormat="false" ht="17.15" hidden="false" customHeight="false" outlineLevel="0" collapsed="false">
      <c r="A13002" s="1" t="s">
        <v>1250</v>
      </c>
      <c r="B13002" s="0" t="s">
        <v>98</v>
      </c>
      <c r="C13002" s="6" t="n">
        <f aca="false">(w_ntm28*Sens!G12993+(1-w_ntm28)*Sens!H12993)*m_cloud</f>
        <v>997.260389240562</v>
      </c>
    </row>
    <row r="13003" customFormat="false" ht="17.15" hidden="false" customHeight="false" outlineLevel="0" collapsed="false">
      <c r="A13003" s="1" t="s">
        <v>1251</v>
      </c>
      <c r="B13003" s="0" t="s">
        <v>98</v>
      </c>
      <c r="C13003" s="6" t="n">
        <f aca="false">(w_ntm28*Sens!G12986+(1-w_ntm28)*Sens!H12986)*m_sw</f>
        <v>1082.84962646159</v>
      </c>
    </row>
    <row r="13004" customFormat="false" ht="17.15" hidden="false" customHeight="false" outlineLevel="0" collapsed="false">
      <c r="A13004" s="1" t="s">
        <v>1252</v>
      </c>
      <c r="B13004" s="0" t="s">
        <v>98</v>
      </c>
      <c r="C13004" s="6" t="n">
        <f aca="false">(w_ntm28*Sens!G12987+(1-w_ntm28)*Sens!H12987)*m_sw</f>
        <v>372.929250898731</v>
      </c>
    </row>
    <row r="13005" customFormat="false" ht="17.15" hidden="false" customHeight="false" outlineLevel="0" collapsed="false">
      <c r="A13005" s="1" t="s">
        <v>1253</v>
      </c>
      <c r="B13005" s="0" t="s">
        <v>98</v>
      </c>
      <c r="C13005" s="6" t="n">
        <f aca="false">(w_ntm28*Sens!G12988+(1-w_ntm28)*Sens!H12988)*m_sw</f>
        <v>109.1453525431</v>
      </c>
    </row>
    <row r="13006" customFormat="false" ht="17.15" hidden="false" customHeight="false" outlineLevel="0" collapsed="false">
      <c r="A13006" s="1" t="s">
        <v>1254</v>
      </c>
      <c r="B13006" s="0" t="s">
        <v>98</v>
      </c>
      <c r="C13006" s="6" t="n">
        <f aca="false">(w_ntm28*Sens!G12989+(1-w_ntm28)*Sens!H12989)*m_sw</f>
        <v>41.4942157634893</v>
      </c>
    </row>
    <row r="13007" customFormat="false" ht="17.15" hidden="false" customHeight="false" outlineLevel="0" collapsed="false">
      <c r="A13007" s="1" t="s">
        <v>1255</v>
      </c>
      <c r="B13007" s="0" t="s">
        <v>98</v>
      </c>
      <c r="C13007" s="6" t="n">
        <f aca="false">(w_ntm28*Sens!G12990+(1-w_ntm28)*Sens!H12990)*m_ads</f>
        <v>115.052171478463</v>
      </c>
    </row>
    <row r="13008" customFormat="false" ht="17.15" hidden="false" customHeight="false" outlineLevel="0" collapsed="false">
      <c r="A13008" s="1" t="s">
        <v>1256</v>
      </c>
      <c r="B13008" s="0" t="s">
        <v>98</v>
      </c>
      <c r="C13008" s="6" t="n">
        <f aca="false">(w_ntm28*Sens!G12995+(1-w_ntm28)*Sens!H12995)*m_game</f>
        <v>89.280332707933</v>
      </c>
    </row>
    <row r="13009" customFormat="false" ht="17.15" hidden="false" customHeight="false" outlineLevel="0" collapsed="false">
      <c r="A13009" s="1" t="s">
        <v>1257</v>
      </c>
      <c r="B13009" s="0" t="s">
        <v>98</v>
      </c>
      <c r="C13009" s="6" t="n">
        <f aca="false">(w_ntm28*Sens!G12996+(1-w_ntm28)*Sens!H12996)*m_pc</f>
        <v>82.7682163925066</v>
      </c>
    </row>
    <row r="13010" customFormat="false" ht="17.15" hidden="false" customHeight="false" outlineLevel="0" collapsed="false">
      <c r="A13010" s="1" t="s">
        <v>1258</v>
      </c>
      <c r="B13010" s="0" t="s">
        <v>98</v>
      </c>
      <c r="C13010" s="6" t="n">
        <f aca="false">Sens!$C$13000+Sens!$C$13002+Sens!$C$13003+Sens!$C$13004+Sens!$C$13005+Sens!$C$13006+Sens!$C$13007+Sens!$C$13008+Sens!$C$13009</f>
        <v>3081.72360654378</v>
      </c>
    </row>
    <row r="13011" customFormat="false" ht="17.15" hidden="false" customHeight="false" outlineLevel="0" collapsed="false">
      <c r="A13011" s="1" t="s">
        <v>1259</v>
      </c>
      <c r="B13011" s="0" t="s">
        <v>98</v>
      </c>
      <c r="C13011" s="6" t="n">
        <f aca="false">(Sens!G12972-Sens!G12997)*t_stub</f>
        <v>45.8305527958144</v>
      </c>
      <c r="L13011" s="1" t="s">
        <v>1260</v>
      </c>
    </row>
    <row r="13012" customFormat="false" ht="17.15" hidden="false" customHeight="false" outlineLevel="0" collapsed="false">
      <c r="A13012" s="1" t="s">
        <v>1169</v>
      </c>
      <c r="B13012" s="0" t="s">
        <v>98</v>
      </c>
      <c r="C13012" s="6" t="n">
        <f aca="false">Sens!F12959+oai_v-Sens!F12948+Sens!$C$13011</f>
        <v>156.104510207531</v>
      </c>
      <c r="L13012" s="1" t="s">
        <v>1261</v>
      </c>
    </row>
    <row r="13013" customFormat="false" ht="17.15" hidden="false" customHeight="false" outlineLevel="0" collapsed="false">
      <c r="A13013" s="1" t="s">
        <v>1262</v>
      </c>
      <c r="B13013" s="0" t="s">
        <v>75</v>
      </c>
      <c r="C13013" s="5" t="n">
        <f aca="false">(Sens!$C$13010+Sens!$C$13012)/(Sens!F12961+dil_gap)-Sens!G12951*roll_div_q/q_per_yr</f>
        <v>430.901283984967</v>
      </c>
      <c r="L13013" s="1" t="s">
        <v>1263</v>
      </c>
    </row>
    <row r="13014" customFormat="false" ht="17.15" hidden="false" customHeight="false" outlineLevel="0" collapsed="false">
      <c r="A13014" s="1" t="s">
        <v>1264</v>
      </c>
      <c r="B13014" s="0" t="s">
        <v>75</v>
      </c>
      <c r="C13014" s="5" t="n">
        <f aca="false">w_dcf*Sens!$C$12984+(1-w_dcf)*Sens!$C$13013</f>
        <v>372.925494491875</v>
      </c>
    </row>
    <row r="13015" customFormat="false" ht="17.15" hidden="false" customHeight="false" outlineLevel="0" collapsed="false">
      <c r="A13015" s="3" t="s">
        <v>1805</v>
      </c>
    </row>
    <row r="13016" customFormat="false" ht="15" hidden="false" customHeight="false" outlineLevel="0" collapsed="false">
      <c r="A13016" s="4" t="s">
        <v>43</v>
      </c>
      <c r="B13016" s="4" t="s">
        <v>65</v>
      </c>
      <c r="C13016" s="23" t="s">
        <v>938</v>
      </c>
      <c r="D13016" s="23" t="s">
        <v>939</v>
      </c>
      <c r="E13016" s="23" t="s">
        <v>940</v>
      </c>
      <c r="F13016" s="23" t="s">
        <v>941</v>
      </c>
      <c r="G13016" s="23" t="s">
        <v>942</v>
      </c>
      <c r="H13016" s="23" t="s">
        <v>943</v>
      </c>
      <c r="I13016" s="23" t="s">
        <v>944</v>
      </c>
      <c r="J13016" s="23" t="s">
        <v>945</v>
      </c>
      <c r="K13016" s="23" t="s">
        <v>946</v>
      </c>
      <c r="L13016" s="4" t="s">
        <v>47</v>
      </c>
    </row>
    <row r="13017" customFormat="false" ht="17.15" hidden="false" customHeight="false" outlineLevel="0" collapsed="false">
      <c r="A13017" s="1" t="s">
        <v>947</v>
      </c>
      <c r="B13017" s="1" t="s">
        <v>279</v>
      </c>
      <c r="C13017" s="21" t="n">
        <v>2024</v>
      </c>
      <c r="D13017" s="21" t="n">
        <v>2025</v>
      </c>
      <c r="E13017" s="21" t="n">
        <v>2026</v>
      </c>
      <c r="F13017" s="21" t="n">
        <v>2027</v>
      </c>
      <c r="G13017" s="21" t="n">
        <v>2028</v>
      </c>
      <c r="H13017" s="21" t="n">
        <v>2029</v>
      </c>
      <c r="I13017" s="21" t="n">
        <v>2030</v>
      </c>
      <c r="J13017" s="21" t="n">
        <v>2031</v>
      </c>
      <c r="K13017" s="21" t="n">
        <v>2032</v>
      </c>
    </row>
    <row r="13018" customFormat="false" ht="17.15" hidden="false" customHeight="false" outlineLevel="0" collapsed="false">
      <c r="A13018" s="1" t="s">
        <v>948</v>
      </c>
      <c r="B13018" s="0" t="s">
        <v>456</v>
      </c>
      <c r="F13018" s="30" t="n">
        <f aca="false">pace</f>
        <v>2726.5351</v>
      </c>
      <c r="G13018" s="30" t="n">
        <f aca="false">pace</f>
        <v>2726.5351</v>
      </c>
      <c r="H13018" s="30" t="n">
        <f aca="false">pace</f>
        <v>2726.5351</v>
      </c>
      <c r="I13018" s="30" t="n">
        <f aca="false">pace+(g_tv*Sens!H13019-pace)*MIN(1,(Sens!I13017-pace_y0)/(pace_y1-pace_y0))</f>
        <v>1931.98611966667</v>
      </c>
      <c r="J13018" s="30" t="n">
        <f aca="false">pace+(g_tv*Sens!I13019-pace)*MIN(1,(Sens!J13017-pace_y0)/(pace_y1-pace_y0))</f>
        <v>1176.07686172667</v>
      </c>
      <c r="K13018" s="30" t="n">
        <f aca="false">pace+(g_tv*Sens!J13019-pace)*MIN(1,(Sens!K13017-pace_y0)/(pace_y1-pace_y0))</f>
        <v>436.1300484418</v>
      </c>
      <c r="L13018" s="12" t="s">
        <v>949</v>
      </c>
    </row>
    <row r="13019" customFormat="false" ht="17.15" hidden="false" customHeight="false" outlineLevel="0" collapsed="false">
      <c r="A13019" s="1" t="s">
        <v>950</v>
      </c>
      <c r="B13019" s="0" t="s">
        <v>456</v>
      </c>
      <c r="C13019" s="30" t="n">
        <f aca="false">mw_ext_24</f>
        <v>640</v>
      </c>
      <c r="D13019" s="30" t="n">
        <f aca="false">mw_ext_25</f>
        <v>1630</v>
      </c>
      <c r="E13019" s="30" t="n">
        <f aca="false">mw_ext_26</f>
        <v>3250</v>
      </c>
      <c r="F13019" s="30" t="n">
        <f aca="false">Sens!E13019+Sens!F13018</f>
        <v>5976.5351</v>
      </c>
      <c r="G13019" s="30" t="n">
        <f aca="false">Sens!F13019+Sens!G13018</f>
        <v>8703.0702</v>
      </c>
      <c r="H13019" s="30" t="n">
        <f aca="false">Sens!G13019+Sens!H13018</f>
        <v>11429.6053</v>
      </c>
      <c r="I13019" s="30" t="n">
        <f aca="false">Sens!H13019+Sens!I13018</f>
        <v>13361.5914196667</v>
      </c>
      <c r="J13019" s="30" t="n">
        <f aca="false">Sens!I13019+Sens!J13018</f>
        <v>14537.6682813933</v>
      </c>
      <c r="K13019" s="30" t="n">
        <f aca="false">Sens!J13019+Sens!K13018</f>
        <v>14973.7983298351</v>
      </c>
      <c r="L13019" s="1" t="s">
        <v>951</v>
      </c>
    </row>
    <row r="13020" customFormat="false" ht="17.15" hidden="false" customHeight="false" outlineLevel="0" collapsed="false">
      <c r="A13020" s="1" t="s">
        <v>952</v>
      </c>
      <c r="B13020" s="0" t="s">
        <v>456</v>
      </c>
      <c r="C13020" s="30" t="n">
        <f aca="false">rent_ext_24</f>
        <v>150</v>
      </c>
      <c r="D13020" s="30" t="n">
        <f aca="false">rent_ext_25</f>
        <v>400</v>
      </c>
      <c r="E13020" s="30" t="n">
        <f aca="false">rent_ext_26</f>
        <v>550</v>
      </c>
      <c r="F13020" s="30" t="n">
        <f aca="false">rent_ext_f</f>
        <v>756</v>
      </c>
      <c r="G13020" s="30" t="n">
        <f aca="false">rent_ext_f</f>
        <v>756</v>
      </c>
      <c r="H13020" s="30" t="n">
        <f aca="false">rent_ext_f</f>
        <v>756</v>
      </c>
      <c r="I13020" s="30" t="n">
        <f aca="false">rent_ext_f</f>
        <v>756</v>
      </c>
      <c r="J13020" s="30" t="n">
        <f aca="false">rent_ext_f</f>
        <v>756</v>
      </c>
      <c r="K13020" s="30" t="n">
        <f aca="false">rent_ext_f</f>
        <v>756</v>
      </c>
      <c r="L13020" s="1" t="s">
        <v>953</v>
      </c>
    </row>
    <row r="13021" customFormat="false" ht="17.15" hidden="false" customHeight="false" outlineLevel="0" collapsed="false">
      <c r="A13021" s="1" t="s">
        <v>954</v>
      </c>
      <c r="B13021" s="0" t="s">
        <v>456</v>
      </c>
      <c r="C13021" s="30" t="n">
        <f aca="false">Sens!C13019-Sens!C13020</f>
        <v>490</v>
      </c>
      <c r="D13021" s="30" t="n">
        <f aca="false">Sens!D13019-Sens!D13020</f>
        <v>1230</v>
      </c>
      <c r="E13021" s="30" t="n">
        <f aca="false">Sens!E13019-Sens!E13020</f>
        <v>2700</v>
      </c>
      <c r="F13021" s="30" t="n">
        <f aca="false">Sens!F13019-Sens!F13020</f>
        <v>5220.5351</v>
      </c>
      <c r="G13021" s="30" t="n">
        <f aca="false">Sens!G13019-Sens!G13020</f>
        <v>7947.0702</v>
      </c>
      <c r="H13021" s="30" t="n">
        <f aca="false">Sens!H13019-Sens!H13020</f>
        <v>10673.6053</v>
      </c>
      <c r="I13021" s="30" t="n">
        <f aca="false">Sens!I13019-Sens!I13020</f>
        <v>12605.5914196667</v>
      </c>
      <c r="J13021" s="30" t="n">
        <f aca="false">Sens!J13019-Sens!J13020</f>
        <v>13781.6682813933</v>
      </c>
      <c r="K13021" s="30" t="n">
        <f aca="false">Sens!K13019-Sens!K13020</f>
        <v>14217.7983298351</v>
      </c>
    </row>
    <row r="13022" customFormat="false" ht="17.15" hidden="false" customHeight="false" outlineLevel="0" collapsed="false">
      <c r="A13022" s="1" t="s">
        <v>955</v>
      </c>
      <c r="B13022" s="0" t="s">
        <v>456</v>
      </c>
      <c r="C13022" s="30" t="n">
        <f aca="false">Sens!C13021/ext_sh</f>
        <v>816.666666666667</v>
      </c>
      <c r="D13022" s="30" t="n">
        <f aca="false">Sens!D13021/ext_sh</f>
        <v>2050</v>
      </c>
      <c r="E13022" s="30" t="n">
        <f aca="false">Sens!E13021/ext_sh</f>
        <v>4500</v>
      </c>
      <c r="F13022" s="30" t="n">
        <f aca="false">Sens!F13021/ext_sh</f>
        <v>8700.89183333333</v>
      </c>
      <c r="G13022" s="30" t="n">
        <f aca="false">Sens!G13021/ext_sh</f>
        <v>13245.117</v>
      </c>
      <c r="H13022" s="30" t="n">
        <f aca="false">Sens!H13021/ext_sh</f>
        <v>17789.3421666667</v>
      </c>
      <c r="I13022" s="30" t="n">
        <f aca="false">Sens!I13021/ext_sh</f>
        <v>21009.3190327778</v>
      </c>
      <c r="J13022" s="30" t="n">
        <f aca="false">Sens!J13021/ext_sh</f>
        <v>22969.4471356556</v>
      </c>
      <c r="K13022" s="30" t="n">
        <f aca="false">Sens!K13021/ext_sh</f>
        <v>23696.3305497252</v>
      </c>
      <c r="L13022" s="1" t="s">
        <v>956</v>
      </c>
    </row>
    <row r="13023" customFormat="false" ht="17.15" hidden="false" customHeight="false" outlineLevel="0" collapsed="false">
      <c r="A13023" s="1" t="s">
        <v>957</v>
      </c>
      <c r="B13023" s="0" t="s">
        <v>456</v>
      </c>
      <c r="C13023" s="30" t="n">
        <f aca="false">Sens!C13022-Sens!C13021</f>
        <v>326.666666666667</v>
      </c>
      <c r="D13023" s="30" t="n">
        <f aca="false">Sens!D13022-Sens!D13021</f>
        <v>820</v>
      </c>
      <c r="E13023" s="30" t="n">
        <f aca="false">Sens!E13022-Sens!E13021</f>
        <v>1800</v>
      </c>
      <c r="F13023" s="30" t="n">
        <f aca="false">Sens!F13022-Sens!F13021</f>
        <v>3480.35673333333</v>
      </c>
      <c r="G13023" s="30" t="n">
        <f aca="false">Sens!G13022-Sens!G13021</f>
        <v>5298.0468</v>
      </c>
      <c r="H13023" s="30" t="n">
        <f aca="false">Sens!H13022-Sens!H13021</f>
        <v>7115.73686666667</v>
      </c>
      <c r="I13023" s="30" t="n">
        <f aca="false">Sens!I13022-Sens!I13021</f>
        <v>8403.72761311111</v>
      </c>
      <c r="J13023" s="30" t="n">
        <f aca="false">Sens!J13022-Sens!J13021</f>
        <v>9187.77885426222</v>
      </c>
      <c r="K13023" s="30" t="n">
        <f aca="false">Sens!K13022-Sens!K13021</f>
        <v>9478.53221989009</v>
      </c>
    </row>
    <row r="13024" customFormat="false" ht="17.15" hidden="false" customHeight="false" outlineLevel="0" collapsed="false">
      <c r="A13024" s="1" t="s">
        <v>958</v>
      </c>
      <c r="B13024" s="0" t="s">
        <v>456</v>
      </c>
      <c r="C13024" s="30" t="n">
        <f aca="false">Sens!C13022</f>
        <v>816.666666666667</v>
      </c>
      <c r="D13024" s="30" t="n">
        <f aca="false">Sens!D13022-Sens!C13022</f>
        <v>1233.33333333333</v>
      </c>
      <c r="E13024" s="30" t="n">
        <f aca="false">Sens!E13022-Sens!D13022</f>
        <v>2450</v>
      </c>
      <c r="F13024" s="30" t="n">
        <f aca="false">Sens!F13022-Sens!E13022</f>
        <v>4200.89183333333</v>
      </c>
      <c r="G13024" s="30" t="n">
        <f aca="false">Sens!G13022-Sens!F13022</f>
        <v>4544.22516666667</v>
      </c>
      <c r="H13024" s="30" t="n">
        <f aca="false">Sens!H13022-Sens!G13022</f>
        <v>4544.22516666667</v>
      </c>
      <c r="I13024" s="30" t="n">
        <f aca="false">Sens!I13022-Sens!H13022</f>
        <v>3219.97686611111</v>
      </c>
      <c r="J13024" s="30" t="n">
        <f aca="false">Sens!J13022-Sens!I13022</f>
        <v>1960.12810287778</v>
      </c>
      <c r="K13024" s="30" t="n">
        <f aca="false">Sens!K13022-Sens!J13022</f>
        <v>726.883414069667</v>
      </c>
    </row>
    <row r="13025" customFormat="false" ht="17.15" hidden="false" customHeight="false" outlineLevel="0" collapsed="false">
      <c r="A13025" s="1" t="s">
        <v>959</v>
      </c>
      <c r="B13025" s="0" t="s">
        <v>456</v>
      </c>
      <c r="D13025" s="30" t="n">
        <f aca="false">Sens!D13019-Sens!C13019</f>
        <v>990</v>
      </c>
      <c r="E13025" s="30" t="n">
        <f aca="false">Sens!E13019-Sens!D13019</f>
        <v>1620</v>
      </c>
      <c r="F13025" s="30" t="n">
        <f aca="false">Sens!F13019-Sens!E13019</f>
        <v>2726.5351</v>
      </c>
      <c r="G13025" s="30" t="n">
        <f aca="false">Sens!G13019-Sens!F13019</f>
        <v>2726.5351</v>
      </c>
      <c r="H13025" s="30" t="n">
        <f aca="false">Sens!H13019-Sens!G13019</f>
        <v>2726.5351</v>
      </c>
      <c r="I13025" s="30" t="n">
        <f aca="false">Sens!I13019-Sens!H13019</f>
        <v>1931.98611966667</v>
      </c>
      <c r="J13025" s="30" t="n">
        <f aca="false">Sens!J13019-Sens!I13019</f>
        <v>1176.07686172667</v>
      </c>
      <c r="K13025" s="30" t="n">
        <f aca="false">Sens!K13019-Sens!J13019</f>
        <v>436.130048441799</v>
      </c>
    </row>
    <row r="13026" customFormat="false" ht="17.15" hidden="false" customHeight="false" outlineLevel="0" collapsed="false">
      <c r="A13026" s="1" t="s">
        <v>960</v>
      </c>
      <c r="B13026" s="0" t="s">
        <v>456</v>
      </c>
      <c r="F13026" s="30" t="n">
        <f aca="false">Sens!F13045*ext_sh</f>
        <v>0</v>
      </c>
      <c r="G13026" s="30" t="n">
        <f aca="false">Sens!G13045*ext_sh</f>
        <v>0</v>
      </c>
      <c r="H13026" s="30" t="n">
        <f aca="false">Sens!H13045*ext_sh</f>
        <v>0</v>
      </c>
      <c r="I13026" s="30" t="n">
        <f aca="false">Sens!I13045*ext_sh</f>
        <v>490</v>
      </c>
      <c r="J13026" s="30" t="n">
        <f aca="false">Sens!J13045*ext_sh</f>
        <v>740</v>
      </c>
      <c r="K13026" s="30" t="n">
        <f aca="false">Sens!K13045*ext_sh</f>
        <v>1470</v>
      </c>
      <c r="L13026" s="1" t="s">
        <v>961</v>
      </c>
    </row>
    <row r="13027" customFormat="false" ht="17.15" hidden="false" customHeight="false" outlineLevel="0" collapsed="false">
      <c r="A13027" s="1" t="s">
        <v>962</v>
      </c>
      <c r="B13027" s="0" t="s">
        <v>456</v>
      </c>
      <c r="C13027" s="30" t="n">
        <f aca="false">mix_h*Sens!C13019</f>
        <v>128</v>
      </c>
      <c r="D13027" s="30" t="n">
        <f aca="false">mix_h*Sens!D13019</f>
        <v>326</v>
      </c>
      <c r="E13027" s="30" t="n">
        <f aca="false">mix_h*Sens!E13019</f>
        <v>650</v>
      </c>
      <c r="F13027" s="30" t="n">
        <f aca="false">Sens!E13027-Sens!F13026*mix_h</f>
        <v>650</v>
      </c>
      <c r="G13027" s="30" t="n">
        <f aca="false">Sens!F13027-Sens!G13026*mix_h</f>
        <v>650</v>
      </c>
      <c r="H13027" s="30" t="n">
        <f aca="false">Sens!G13027-Sens!H13026*mix_h</f>
        <v>650</v>
      </c>
      <c r="I13027" s="30" t="n">
        <f aca="false">Sens!H13027-Sens!I13026*mix_h</f>
        <v>552</v>
      </c>
      <c r="J13027" s="30" t="n">
        <f aca="false">Sens!I13027-Sens!J13026*mix_h</f>
        <v>404</v>
      </c>
      <c r="K13027" s="30" t="n">
        <f aca="false">Sens!J13027-Sens!K13026*mix_h</f>
        <v>110</v>
      </c>
    </row>
    <row r="13028" customFormat="false" ht="17.15" hidden="false" customHeight="false" outlineLevel="0" collapsed="false">
      <c r="A13028" s="1" t="s">
        <v>963</v>
      </c>
      <c r="B13028" s="0" t="s">
        <v>456</v>
      </c>
      <c r="C13028" s="30" t="n">
        <f aca="false">mix_g2*Sens!C13019</f>
        <v>288</v>
      </c>
      <c r="D13028" s="30" t="n">
        <f aca="false">mix_g2*Sens!D13019</f>
        <v>733.5</v>
      </c>
      <c r="E13028" s="30" t="n">
        <f aca="false">mix_g2*Sens!E13019</f>
        <v>1462.5</v>
      </c>
      <c r="F13028" s="30" t="n">
        <f aca="false">Sens!E13028-Sens!F13026*mix_g2</f>
        <v>1462.5</v>
      </c>
      <c r="G13028" s="30" t="n">
        <f aca="false">Sens!F13028-Sens!G13026*mix_g2</f>
        <v>1462.5</v>
      </c>
      <c r="H13028" s="30" t="n">
        <f aca="false">Sens!G13028-Sens!H13026*mix_g2</f>
        <v>1462.5</v>
      </c>
      <c r="I13028" s="30" t="n">
        <f aca="false">Sens!H13028-Sens!I13026*mix_g2</f>
        <v>1242</v>
      </c>
      <c r="J13028" s="30" t="n">
        <f aca="false">Sens!I13028-Sens!J13026*mix_g2</f>
        <v>909</v>
      </c>
      <c r="K13028" s="30" t="n">
        <f aca="false">Sens!J13028-Sens!K13026*mix_g2</f>
        <v>247.5</v>
      </c>
    </row>
    <row r="13029" customFormat="false" ht="17.15" hidden="false" customHeight="false" outlineLevel="0" collapsed="false">
      <c r="A13029" s="1" t="s">
        <v>964</v>
      </c>
      <c r="B13029" s="0" t="s">
        <v>456</v>
      </c>
      <c r="C13029" s="30" t="n">
        <f aca="false">mix_g3*Sens!C13019</f>
        <v>224</v>
      </c>
      <c r="D13029" s="30" t="n">
        <f aca="false">mix_g3*Sens!D13019</f>
        <v>570.5</v>
      </c>
      <c r="E13029" s="30" t="n">
        <f aca="false">mix_g3*Sens!E13019</f>
        <v>1137.5</v>
      </c>
      <c r="F13029" s="30" t="n">
        <f aca="false">Sens!E13029+(Sens!F13025+Sens!F13026)*(a_g3_27-nonnv*a_mai)-Sens!F13026*mix_g3</f>
        <v>2773.42106</v>
      </c>
      <c r="G13029" s="30" t="n">
        <f aca="false">Sens!F13029+(Sens!G13025+Sens!G13026)*(a_g3_28-nonnv*a_mai)-Sens!G13026*mix_g3</f>
        <v>3318.72808</v>
      </c>
      <c r="H13029" s="30" t="n">
        <f aca="false">Sens!G13029+(Sens!H13025+Sens!H13026)*(a_g3_29-nonnv*a_mai)-Sens!H13026*mix_g3</f>
        <v>3318.72808</v>
      </c>
      <c r="I13029" s="30" t="n">
        <f aca="false">Sens!H13029+(Sens!I13025+Sens!I13026)*(a_g3_29-nonnv*a_mai)-Sens!I13026*mix_g3</f>
        <v>3147.22808</v>
      </c>
      <c r="J13029" s="30" t="n">
        <f aca="false">Sens!I13029+(Sens!J13025+Sens!J13026)*(a_g3_29-nonnv*a_mai)-Sens!J13026*mix_g3</f>
        <v>2888.22808</v>
      </c>
      <c r="K13029" s="30" t="n">
        <f aca="false">Sens!J13029+(Sens!K13025+Sens!K13026)*(a_g3_29-nonnv*a_mai)-Sens!K13026*mix_g3</f>
        <v>2373.72808</v>
      </c>
    </row>
    <row r="13030" customFormat="false" ht="17.15" hidden="false" customHeight="false" outlineLevel="0" collapsed="false">
      <c r="A13030" s="1" t="s">
        <v>965</v>
      </c>
      <c r="B13030" s="0" t="s">
        <v>456</v>
      </c>
      <c r="C13030" s="30" t="n">
        <v>0</v>
      </c>
      <c r="D13030" s="30" t="n">
        <v>0</v>
      </c>
      <c r="E13030" s="30" t="n">
        <v>0</v>
      </c>
      <c r="F13030" s="30" t="n">
        <f aca="false">Sens!E13030+(Sens!F13025+Sens!F13026)*nonnv*a_mai</f>
        <v>272.65351</v>
      </c>
      <c r="G13030" s="30" t="n">
        <f aca="false">Sens!F13030+(Sens!G13025+Sens!G13026)*nonnv*a_mai</f>
        <v>545.30702</v>
      </c>
      <c r="H13030" s="30" t="n">
        <f aca="false">Sens!G13030+(Sens!H13025+Sens!H13026)*nonnv*a_mai</f>
        <v>817.96053</v>
      </c>
      <c r="I13030" s="30" t="n">
        <f aca="false">Sens!H13030+(Sens!I13025+Sens!I13026)*nonnv*a_mai</f>
        <v>1060.15914196667</v>
      </c>
      <c r="J13030" s="30" t="n">
        <f aca="false">Sens!I13030+(Sens!J13025+Sens!J13026)*nonnv*a_mai</f>
        <v>1251.76682813933</v>
      </c>
      <c r="K13030" s="30" t="n">
        <f aca="false">Sens!J13030+(Sens!K13025+Sens!K13026)*nonnv*a_mai</f>
        <v>1442.37983298351</v>
      </c>
      <c r="L13030" s="12" t="s">
        <v>966</v>
      </c>
    </row>
    <row r="13031" customFormat="false" ht="17.15" hidden="false" customHeight="false" outlineLevel="0" collapsed="false">
      <c r="A13031" s="1" t="s">
        <v>967</v>
      </c>
      <c r="B13031" s="0" t="s">
        <v>456</v>
      </c>
      <c r="C13031" s="30" t="n">
        <v>0</v>
      </c>
      <c r="D13031" s="30" t="n">
        <v>0</v>
      </c>
      <c r="E13031" s="30" t="n">
        <v>0</v>
      </c>
      <c r="F13031" s="30" t="n">
        <f aca="false">Sens!E13031+(Sens!F13025+Sens!F13026)*(1-a_g3_27)</f>
        <v>817.96053</v>
      </c>
      <c r="G13031" s="30" t="n">
        <f aca="false">Sens!F13031+(Sens!G13025+Sens!G13026)*(1-a_g3_28)</f>
        <v>2726.5351</v>
      </c>
      <c r="H13031" s="30" t="n">
        <f aca="false">Sens!G13031+(Sens!H13025+Sens!H13026)*(1-a_g3_29)</f>
        <v>5180.41669</v>
      </c>
      <c r="I13031" s="30" t="n">
        <f aca="false">Sens!H13031+(Sens!I13025+Sens!I13026)*(1-a_g3_29)</f>
        <v>7360.2041977</v>
      </c>
      <c r="J13031" s="30" t="n">
        <f aca="false">Sens!I13031+(Sens!J13025+Sens!J13026)*(1-a_g3_29)</f>
        <v>9084.673373254</v>
      </c>
      <c r="K13031" s="30" t="n">
        <f aca="false">Sens!J13031+(Sens!K13025+Sens!K13026)*(1-a_g3_29)</f>
        <v>10800.1904168516</v>
      </c>
    </row>
    <row r="13032" customFormat="false" ht="17.15" hidden="false" customHeight="false" outlineLevel="0" collapsed="false">
      <c r="A13032" s="1" t="s">
        <v>968</v>
      </c>
      <c r="B13032" s="0" t="s">
        <v>403</v>
      </c>
      <c r="C13032" s="15" t="n">
        <f aca="false">(Sens!C13027*tk_hold_h100+Sens!C13028*tk_hold_gb200+Sens!C13029*tk_hold_gb300+Sens!C13031*tk_hold_vr200+Sens!C13030*nv_hold_mai*tk_hold_vr200)/Sens!C13019</f>
        <v>9.7235358126469</v>
      </c>
      <c r="D13032" s="15" t="n">
        <f aca="false">(Sens!D13027*tk_hold_h100+Sens!D13028*tk_hold_gb200+Sens!D13029*tk_hold_gb300+Sens!D13031*tk_hold_vr200+Sens!D13030*nv_hold_mai*tk_hold_vr200)/Sens!D13019</f>
        <v>9.7235358126469</v>
      </c>
      <c r="E13032" s="15" t="n">
        <f aca="false">(Sens!E13027*tk_hold_h100+Sens!E13028*tk_hold_gb200+Sens!E13029*tk_hold_gb300+Sens!E13031*tk_hold_vr200+Sens!E13030*nv_hold_mai*tk_hold_vr200)/Sens!E13019</f>
        <v>9.7235358126469</v>
      </c>
      <c r="F13032" s="15" t="n">
        <f aca="false">(Sens!F13027*tk_hold_h100+Sens!F13028*tk_hold_gb200+Sens!F13029*tk_hold_gb300+Sens!F13031*tk_hold_vr200+Sens!F13030*nv_hold_mai*tk_hold_vr200)/Sens!F13019</f>
        <v>10.2195353876665</v>
      </c>
      <c r="G13032" s="15" t="n">
        <f aca="false">(Sens!G13027*tk_hold_h100+Sens!G13028*tk_hold_gb200+Sens!G13029*tk_hold_gb300+Sens!G13031*tk_hold_vr200+Sens!G13030*nv_hold_mai*tk_hold_vr200)/Sens!G13019</f>
        <v>10.5725598017306</v>
      </c>
      <c r="H13032" s="15" t="n">
        <f aca="false">(Sens!H13027*tk_hold_h100+Sens!H13028*tk_hold_gb200+Sens!H13029*tk_hold_gb300+Sens!H13031*tk_hold_vr200+Sens!H13030*nv_hold_mai*tk_hold_vr200)/Sens!H13019</f>
        <v>10.8210427149036</v>
      </c>
      <c r="I13032" s="15" t="n">
        <f aca="false">(Sens!I13027*tk_hold_h100+Sens!I13028*tk_hold_gb200+Sens!I13029*tk_hold_gb300+Sens!I13031*tk_hold_vr200+Sens!I13030*nv_hold_mai*tk_hold_vr200)/Sens!I13019</f>
        <v>11.0050618241982</v>
      </c>
      <c r="J13032" s="15" t="n">
        <f aca="false">(Sens!J13027*tk_hold_h100+Sens!J13028*tk_hold_gb200+Sens!J13029*tk_hold_gb300+Sens!J13031*tk_hold_vr200+Sens!J13030*nv_hold_mai*tk_hold_vr200)/Sens!J13019</f>
        <v>11.1505789658881</v>
      </c>
      <c r="K13032" s="15" t="n">
        <f aca="false">(Sens!K13027*tk_hold_h100+Sens!K13028*tk_hold_gb200+Sens!K13029*tk_hold_gb300+Sens!K13031*tk_hold_vr200+Sens!K13030*nv_hold_mai*tk_hold_vr200)/Sens!K13019</f>
        <v>11.3496914757183</v>
      </c>
      <c r="L13032" s="1" t="s">
        <v>969</v>
      </c>
    </row>
    <row r="13033" customFormat="false" ht="17.15" hidden="false" customHeight="false" outlineLevel="0" collapsed="false">
      <c r="A13033" s="1" t="s">
        <v>970</v>
      </c>
      <c r="B13033" s="0" t="s">
        <v>403</v>
      </c>
      <c r="C13033" s="15" t="n">
        <f aca="false">(Sens!C13027*tk_hold_h100+Sens!C13028*tk_hold_gb200+Sens!C13029*tk_hold_gb300+Sens!C13031*tk_hold_vr200+Sens!C13030*nv_out_mai*tk_hold_vr200)/Sens!C13019</f>
        <v>9.7235358126469</v>
      </c>
      <c r="D13033" s="15" t="n">
        <f aca="false">(Sens!D13027*tk_hold_h100+Sens!D13028*tk_hold_gb200+Sens!D13029*tk_hold_gb300+Sens!D13031*tk_hold_vr200+Sens!D13030*nv_out_mai*tk_hold_vr200)/Sens!D13019</f>
        <v>9.7235358126469</v>
      </c>
      <c r="E13033" s="15" t="n">
        <f aca="false">(Sens!E13027*tk_hold_h100+Sens!E13028*tk_hold_gb200+Sens!E13029*tk_hold_gb300+Sens!E13031*tk_hold_vr200+Sens!E13030*nv_out_mai*tk_hold_vr200)/Sens!E13019</f>
        <v>9.7235358126469</v>
      </c>
      <c r="F13033" s="15" t="n">
        <f aca="false">(Sens!F13027*tk_hold_h100+Sens!F13028*tk_hold_gb200+Sens!F13029*tk_hold_gb300+Sens!F13031*tk_hold_vr200+Sens!F13030*nv_out_mai*tk_hold_vr200)/Sens!F13019</f>
        <v>10.247422093969</v>
      </c>
      <c r="G13033" s="15" t="n">
        <f aca="false">(Sens!G13027*tk_hold_h100+Sens!G13028*tk_hold_gb200+Sens!G13029*tk_hold_gb300+Sens!G13031*tk_hold_vr200+Sens!G13030*nv_out_mai*tk_hold_vr200)/Sens!G13019</f>
        <v>10.6108602808053</v>
      </c>
      <c r="H13033" s="15" t="n">
        <f aca="false">(Sens!H13027*tk_hold_h100+Sens!H13028*tk_hold_gb200+Sens!H13029*tk_hold_gb300+Sens!H13031*tk_hold_vr200+Sens!H13030*nv_out_mai*tk_hold_vr200)/Sens!H13019</f>
        <v>10.8647885507393</v>
      </c>
      <c r="I13033" s="15" t="n">
        <f aca="false">(Sens!I13027*tk_hold_h100+Sens!I13028*tk_hold_gb200+Sens!I13029*tk_hold_gb300+Sens!I13031*tk_hold_vr200+Sens!I13030*nv_out_mai*tk_hold_vr200)/Sens!I13019</f>
        <v>11.0535625770025</v>
      </c>
      <c r="J13033" s="15" t="n">
        <f aca="false">(Sens!J13027*tk_hold_h100+Sens!J13028*tk_hold_gb200+Sens!J13029*tk_hold_gb300+Sens!J13031*tk_hold_vr200+Sens!J13030*nv_out_mai*tk_hold_vr200)/Sens!J13019</f>
        <v>11.2032127128058</v>
      </c>
      <c r="K13033" s="15" t="n">
        <f aca="false">(Sens!K13027*tk_hold_h100+Sens!K13028*tk_hold_gb200+Sens!K13029*tk_hold_gb300+Sens!K13031*tk_hold_vr200+Sens!K13030*nv_out_mai*tk_hold_vr200)/Sens!K13019</f>
        <v>11.4085735724225</v>
      </c>
      <c r="L13033" s="12" t="s">
        <v>971</v>
      </c>
    </row>
    <row r="13034" customFormat="false" ht="17.15" hidden="false" customHeight="false" outlineLevel="0" collapsed="false">
      <c r="A13034" s="0" t="s">
        <v>972</v>
      </c>
      <c r="B13034" s="0" t="s">
        <v>229</v>
      </c>
      <c r="C13034" s="15" t="n">
        <f aca="false">k_B</f>
        <v>1.17213932619116</v>
      </c>
      <c r="D13034" s="15" t="n">
        <f aca="false">k_B</f>
        <v>1.17213932619116</v>
      </c>
      <c r="E13034" s="15" t="n">
        <f aca="false">k_B</f>
        <v>1.17213932619116</v>
      </c>
      <c r="F13034" s="15" t="n">
        <f aca="false">(k_B+((ls_C*k_long+(1-ls_C)*k_spot)-k_B)*MIN(1,(Sens!F13017-base_fy)/k_ramp))</f>
        <v>1.07843258004497</v>
      </c>
      <c r="G13034" s="15" t="n">
        <f aca="false">(k_B+((ls_C*k_long+(1-ls_C)*k_spot)-k_B)*MIN(1,(Sens!G13017-base_fy)/k_ramp))</f>
        <v>0.984725833898784</v>
      </c>
      <c r="H13034" s="15" t="n">
        <f aca="false">(k_B+((ls_C*k_long+(1-ls_C)*k_spot)-k_B)*MIN(1,(Sens!H13017-base_fy)/k_ramp))</f>
        <v>0.891019087752599</v>
      </c>
      <c r="I13034" s="15" t="n">
        <f aca="false">(k_B+((ls_C*k_long+(1-ls_C)*k_spot)-k_B)*MIN(1,(Sens!I13017-base_fy)/k_ramp))</f>
        <v>0.891019087752599</v>
      </c>
      <c r="J13034" s="15" t="n">
        <f aca="false">(k_B+((ls_C*k_long+(1-ls_C)*k_spot)-k_B)*MIN(1,(Sens!J13017-base_fy)/k_ramp))</f>
        <v>0.891019087752599</v>
      </c>
      <c r="K13034" s="15" t="n">
        <f aca="false">(k_B+((ls_C*k_long+(1-ls_C)*k_spot)-k_B)*MIN(1,(Sens!K13017-base_fy)/k_ramp))</f>
        <v>0.891019087752599</v>
      </c>
      <c r="L13034" s="1" t="s">
        <v>973</v>
      </c>
    </row>
    <row r="13035" customFormat="false" ht="17.15" hidden="false" customHeight="false" outlineLevel="0" collapsed="false">
      <c r="A13035" s="1" t="s">
        <v>974</v>
      </c>
      <c r="B13035" s="0" t="s">
        <v>403</v>
      </c>
      <c r="C13035" s="15" t="n">
        <f aca="false">Sens!C13033*Sens!C13034*chip_f</f>
        <v>11.3973387156315</v>
      </c>
      <c r="D13035" s="15" t="n">
        <f aca="false">Sens!D13033*Sens!D13034*chip_f</f>
        <v>11.3973387156315</v>
      </c>
      <c r="E13035" s="15" t="n">
        <f aca="false">Sens!E13033*Sens!E13034*chip_f</f>
        <v>11.3973387156315</v>
      </c>
      <c r="F13035" s="15" t="n">
        <f aca="false">Sens!F13033*Sens!F13034*chip_f</f>
        <v>11.0511538476088</v>
      </c>
      <c r="G13035" s="15" t="n">
        <f aca="false">Sens!G13033*Sens!G13034*chip_f</f>
        <v>10.4487882383995</v>
      </c>
      <c r="H13035" s="15" t="n">
        <f aca="false">Sens!H13033*Sens!H13034*chip_f</f>
        <v>9.68073398310464</v>
      </c>
      <c r="I13035" s="15" t="n">
        <f aca="false">Sens!I13033*Sens!I13034*chip_f</f>
        <v>9.84893524377706</v>
      </c>
      <c r="J13035" s="15" t="n">
        <f aca="false">Sens!J13033*Sens!J13034*chip_f</f>
        <v>9.98227637126252</v>
      </c>
      <c r="K13035" s="15" t="n">
        <f aca="false">Sens!K13033*Sens!K13034*chip_f</f>
        <v>10.1652568170583</v>
      </c>
      <c r="L13035" s="1" t="s">
        <v>975</v>
      </c>
    </row>
    <row r="13036" customFormat="false" ht="17.15" hidden="false" customHeight="false" outlineLevel="0" collapsed="false">
      <c r="A13036" s="0" t="s">
        <v>976</v>
      </c>
      <c r="B13036" s="0" t="s">
        <v>98</v>
      </c>
      <c r="D13036" s="6" t="n">
        <f aca="false">(Sens!C13019+Sens!D13019)/2*Sens!D13035/1000</f>
        <v>12.9359794422418</v>
      </c>
      <c r="E13036" s="6" t="n">
        <f aca="false">(Sens!D13019+Sens!E13019)/2*Sens!E13035/1000</f>
        <v>27.8095064661409</v>
      </c>
      <c r="F13036" s="6" t="n">
        <f aca="false">(Sens!E13019+Sens!F13019)/2*Sens!F13035/1000</f>
        <v>50.9819294352312</v>
      </c>
      <c r="G13036" s="6" t="n">
        <f aca="false">(Sens!F13019+Sens!G13019)/2*Sens!G13035/1000</f>
        <v>76.6920436014933</v>
      </c>
      <c r="H13036" s="6" t="n">
        <f aca="false">(Sens!G13019+Sens!H13019)/2*Sens!H13035/1000</f>
        <v>97.4495379418341</v>
      </c>
      <c r="I13036" s="6" t="n">
        <f aca="false">(Sens!H13019+Sens!I13019)/2*Sens!I13035/1000</f>
        <v>122.083445553868</v>
      </c>
      <c r="J13036" s="6" t="n">
        <f aca="false">(Sens!I13019+Sens!J13019)/2*Sens!J13035/1000</f>
        <v>139.249060444804</v>
      </c>
      <c r="K13036" s="6" t="n">
        <f aca="false">(Sens!J13019+Sens!K13019)/2*Sens!K13035/1000</f>
        <v>149.995818575589</v>
      </c>
      <c r="L13036" s="12" t="s">
        <v>977</v>
      </c>
    </row>
    <row r="13037" customFormat="false" ht="17.15" hidden="false" customHeight="false" outlineLevel="0" collapsed="false">
      <c r="A13037" s="1" t="s">
        <v>978</v>
      </c>
      <c r="B13037" s="0" t="s">
        <v>403</v>
      </c>
      <c r="C13037" s="15" t="n">
        <f aca="false">(Sens!C13027*tk_opex_h100+Sens!C13028*tk_opex_gb200+Sens!C13029*tk_opex_gb300+(Sens!C13031+Sens!C13030)*tk_opex_vr200)/Sens!C13019</f>
        <v>1.88636041306092</v>
      </c>
      <c r="D13037" s="15" t="n">
        <f aca="false">(Sens!D13027*tk_opex_h100+Sens!D13028*tk_opex_gb200+Sens!D13029*tk_opex_gb300+(Sens!D13031+Sens!D13030)*tk_opex_vr200)/Sens!D13019</f>
        <v>1.88636041306092</v>
      </c>
      <c r="E13037" s="15" t="n">
        <f aca="false">(Sens!E13027*tk_opex_h100+Sens!E13028*tk_opex_gb200+Sens!E13029*tk_opex_gb300+(Sens!E13031+Sens!E13030)*tk_opex_vr200)/Sens!E13019</f>
        <v>1.88636041306092</v>
      </c>
      <c r="F13037" s="15" t="n">
        <f aca="false">(Sens!F13027*tk_opex_h100+Sens!F13028*tk_opex_gb200+Sens!F13029*tk_opex_gb300+(Sens!F13031+Sens!F13030)*tk_opex_vr200)/Sens!F13019</f>
        <v>1.95051159746876</v>
      </c>
      <c r="G13037" s="15" t="n">
        <f aca="false">(Sens!G13027*tk_opex_h100+Sens!G13028*tk_opex_gb200+Sens!G13029*tk_opex_gb300+(Sens!G13031+Sens!G13030)*tk_opex_vr200)/Sens!G13019</f>
        <v>1.98836003669956</v>
      </c>
      <c r="H13037" s="15" t="n">
        <f aca="false">(Sens!H13027*tk_opex_h100+Sens!H13028*tk_opex_gb200+Sens!H13029*tk_opex_gb300+(Sens!H13031+Sens!H13030)*tk_opex_vr200)/Sens!H13019</f>
        <v>2.01344013834343</v>
      </c>
      <c r="I13037" s="15" t="n">
        <f aca="false">(Sens!I13027*tk_opex_h100+Sens!I13028*tk_opex_gb200+Sens!I13029*tk_opex_gb300+(Sens!I13031+Sens!I13030)*tk_opex_vr200)/Sens!I13019</f>
        <v>2.03261166882178</v>
      </c>
      <c r="J13037" s="15" t="n">
        <f aca="false">(Sens!J13027*tk_opex_h100+Sens!J13028*tk_opex_gb200+Sens!J13029*tk_opex_gb300+(Sens!J13031+Sens!J13030)*tk_opex_vr200)/Sens!J13019</f>
        <v>2.04808073288745</v>
      </c>
      <c r="K13037" s="15" t="n">
        <f aca="false">(Sens!K13027*tk_opex_h100+Sens!K13028*tk_opex_gb200+Sens!K13029*tk_opex_gb300+(Sens!K13031+Sens!K13030)*tk_opex_vr200)/Sens!K13019</f>
        <v>2.06973825807449</v>
      </c>
      <c r="L13037" s="12" t="s">
        <v>979</v>
      </c>
    </row>
    <row r="13038" customFormat="false" ht="17.15" hidden="false" customHeight="false" outlineLevel="0" collapsed="false">
      <c r="A13038" s="0" t="s">
        <v>980</v>
      </c>
      <c r="B13038" s="0" t="s">
        <v>98</v>
      </c>
      <c r="D13038" s="6" t="n">
        <f aca="false">(Sens!C13022+Sens!D13022)/2*Sens!D13037/1000</f>
        <v>2.70378325872065</v>
      </c>
      <c r="E13038" s="6" t="n">
        <f aca="false">(Sens!D13022+Sens!E13022)/2*Sens!E13037/1000</f>
        <v>6.17783035277451</v>
      </c>
      <c r="F13038" s="6" t="n">
        <f aca="false">(Sens!E13022+Sens!F13022)/2*Sens!F13037/1000</f>
        <v>12.8742463089237</v>
      </c>
      <c r="G13038" s="6" t="n">
        <f aca="false">(Sens!F13022+Sens!G13022)/2*Sens!G13037/1000</f>
        <v>21.8182834646277</v>
      </c>
      <c r="H13038" s="6" t="n">
        <f aca="false">(Sens!G13022+Sens!H13022)/2*Sens!H13037/1000</f>
        <v>31.2430128789734</v>
      </c>
      <c r="I13038" s="6" t="n">
        <f aca="false">(Sens!H13022+Sens!I13022)/2*Sens!I13037/1000</f>
        <v>39.4313057443268</v>
      </c>
      <c r="J13038" s="6" t="n">
        <f aca="false">(Sens!I13022+Sens!J13022)/2*Sens!J13037/1000</f>
        <v>45.0360318228653</v>
      </c>
      <c r="K13038" s="6" t="n">
        <f aca="false">(Sens!J13022+Sens!K13022)/2*Sens!K13037/1000</f>
        <v>48.2929727091156</v>
      </c>
    </row>
    <row r="13039" customFormat="false" ht="17.15" hidden="false" customHeight="false" outlineLevel="0" collapsed="false">
      <c r="A13039" s="0" t="s">
        <v>981</v>
      </c>
      <c r="B13039" s="0" t="s">
        <v>98</v>
      </c>
      <c r="D13039" s="6" t="n">
        <f aca="false">(Sens!C13020+Sens!D13020)/2*rent_mw/1000</f>
        <v>2.44475</v>
      </c>
      <c r="E13039" s="6" t="n">
        <f aca="false">(Sens!D13020+Sens!E13020)/2*rent_mw/1000</f>
        <v>4.22275</v>
      </c>
      <c r="F13039" s="6" t="n">
        <f aca="false">(Sens!E13020+Sens!F13020)/2*rent_mw/1000</f>
        <v>5.80517</v>
      </c>
      <c r="G13039" s="6" t="n">
        <f aca="false">(Sens!F13020+Sens!G13020)/2*rent_mw/1000</f>
        <v>6.72084</v>
      </c>
      <c r="H13039" s="6" t="n">
        <f aca="false">(Sens!G13020+Sens!H13020)/2*rent_mw/1000</f>
        <v>6.72084</v>
      </c>
      <c r="I13039" s="6" t="n">
        <f aca="false">(Sens!H13020+Sens!I13020)/2*rent_mw/1000</f>
        <v>6.72084</v>
      </c>
      <c r="J13039" s="6" t="n">
        <f aca="false">(Sens!I13020+Sens!J13020)/2*rent_mw/1000</f>
        <v>6.72084</v>
      </c>
      <c r="K13039" s="6" t="n">
        <f aca="false">(Sens!J13020+Sens!K13020)/2*rent_mw/1000</f>
        <v>6.72084</v>
      </c>
    </row>
    <row r="13040" customFormat="false" ht="17.15" hidden="false" customHeight="false" outlineLevel="0" collapsed="false">
      <c r="A13040" s="0" t="s">
        <v>982</v>
      </c>
      <c r="B13040" s="0" t="s">
        <v>98</v>
      </c>
      <c r="D13040" s="6" t="n">
        <f aca="false">(Sens!C13022+Sens!D13022)/2*(1-self_build)*fac_rent/1000</f>
        <v>0.853242375631075</v>
      </c>
      <c r="E13040" s="6" t="n">
        <f aca="false">(Sens!D13022+Sens!E13022)/2*(1-self_build)*fac_rent/1000</f>
        <v>1.94955961408728</v>
      </c>
      <c r="F13040" s="6" t="n">
        <f aca="false">(Sens!E13022+Sens!F13022)/2*(1-self_build)*fac_rent/1000</f>
        <v>3.92914894476356</v>
      </c>
      <c r="G13040" s="6" t="n">
        <f aca="false">(Sens!F13022+Sens!G13022)/2*(1-self_build)*fac_rent/1000</f>
        <v>6.53206908578159</v>
      </c>
      <c r="H13040" s="6" t="n">
        <f aca="false">(Sens!G13022+Sens!H13022)/2*(1-self_build)*fac_rent/1000</f>
        <v>9.23717988341591</v>
      </c>
      <c r="I13040" s="6" t="n">
        <f aca="false">(Sens!H13022+Sens!I13022)/2*(1-self_build)*fac_rent/1000</f>
        <v>11.5481378557393</v>
      </c>
      <c r="J13040" s="6" t="n">
        <f aca="false">(Sens!I13022+Sens!J13022)/2*(1-self_build)*fac_rent/1000</f>
        <v>13.0899582289108</v>
      </c>
      <c r="K13040" s="6" t="n">
        <f aca="false">(Sens!J13022+Sens!K13022)/2*(1-self_build)*fac_rent/1000</f>
        <v>13.8897275626556</v>
      </c>
      <c r="L13040" s="12" t="s">
        <v>983</v>
      </c>
    </row>
    <row r="13041" customFormat="false" ht="17.15" hidden="false" customHeight="false" outlineLevel="0" collapsed="false">
      <c r="A13041" s="1" t="s">
        <v>984</v>
      </c>
      <c r="B13041" s="0" t="s">
        <v>168</v>
      </c>
      <c r="D13041" s="7" t="n">
        <f aca="false">(Sens!C13021+Sens!D13021)/(Sens!C13022+Sens!D13022)</f>
        <v>0.6</v>
      </c>
      <c r="E13041" s="7" t="n">
        <f aca="false">(Sens!D13021+Sens!E13021)/(Sens!D13022+Sens!E13022)</f>
        <v>0.6</v>
      </c>
      <c r="F13041" s="7" t="n">
        <f aca="false">(Sens!E13021+Sens!F13021)/(Sens!E13022+Sens!F13022)</f>
        <v>0.6</v>
      </c>
      <c r="G13041" s="7" t="n">
        <f aca="false">(Sens!F13021+Sens!G13021)/(Sens!F13022+Sens!G13022)</f>
        <v>0.6</v>
      </c>
      <c r="H13041" s="7" t="n">
        <f aca="false">(Sens!G13021+Sens!H13021)/(Sens!G13022+Sens!H13022)</f>
        <v>0.6</v>
      </c>
      <c r="I13041" s="7" t="n">
        <f aca="false">(Sens!H13021+Sens!I13021)/(Sens!H13022+Sens!I13022)</f>
        <v>0.6</v>
      </c>
      <c r="J13041" s="7" t="n">
        <f aca="false">(Sens!I13021+Sens!J13021)/(Sens!I13022+Sens!J13022)</f>
        <v>0.6</v>
      </c>
      <c r="K13041" s="7" t="n">
        <f aca="false">(Sens!J13021+Sens!K13021)/(Sens!J13022+Sens!K13022)</f>
        <v>0.6</v>
      </c>
    </row>
    <row r="13042" customFormat="false" ht="17.15" hidden="false" customHeight="false" outlineLevel="0" collapsed="false">
      <c r="A13042" s="0" t="s">
        <v>985</v>
      </c>
      <c r="B13042" s="0" t="s">
        <v>98</v>
      </c>
      <c r="D13042" s="6" t="n">
        <f aca="false">Sens!D13036-Sens!D13041*(Sens!D13038+Sens!D13040)-Sens!D13039</f>
        <v>8.35701406163072</v>
      </c>
      <c r="E13042" s="6" t="n">
        <f aca="false">Sens!E13036-Sens!E13041*(Sens!E13038+Sens!E13040)-Sens!E13039</f>
        <v>18.7103224860238</v>
      </c>
      <c r="F13042" s="6" t="n">
        <f aca="false">Sens!F13036-Sens!F13041*(Sens!F13038+Sens!F13040)-Sens!F13039</f>
        <v>35.0947222830189</v>
      </c>
      <c r="G13042" s="6" t="n">
        <f aca="false">Sens!G13036-Sens!G13041*(Sens!G13038+Sens!G13040)-Sens!G13039</f>
        <v>52.9609920712477</v>
      </c>
      <c r="H13042" s="6" t="n">
        <f aca="false">Sens!H13036-Sens!H13041*(Sens!H13038+Sens!H13040)-Sens!H13039</f>
        <v>66.4405822844005</v>
      </c>
      <c r="I13042" s="6" t="n">
        <f aca="false">Sens!I13036-Sens!I13041*(Sens!I13038+Sens!I13040)-Sens!I13039</f>
        <v>84.7749393938279</v>
      </c>
      <c r="J13042" s="6" t="n">
        <f aca="false">Sens!J13036-Sens!J13041*(Sens!J13038+Sens!J13040)-Sens!J13039</f>
        <v>97.6526264137382</v>
      </c>
      <c r="K13042" s="6" t="n">
        <f aca="false">Sens!K13036-Sens!K13041*(Sens!K13038+Sens!K13040)-Sens!K13039</f>
        <v>105.965358412527</v>
      </c>
    </row>
    <row r="13043" customFormat="false" ht="17.15" hidden="false" customHeight="false" outlineLevel="0" collapsed="false">
      <c r="A13043" s="1" t="s">
        <v>986</v>
      </c>
      <c r="B13043" s="0" t="s">
        <v>98</v>
      </c>
      <c r="D13043" s="6" t="n">
        <f aca="false">(1-Sens!D13041)*(Sens!D13038+Sens!D13040)</f>
        <v>1.42281025374069</v>
      </c>
      <c r="E13043" s="6" t="n">
        <f aca="false">(1-Sens!E13041)*(Sens!E13038+Sens!E13040)</f>
        <v>3.25095598674472</v>
      </c>
      <c r="F13043" s="6" t="n">
        <f aca="false">(1-Sens!F13041)*(Sens!F13038+Sens!F13040)</f>
        <v>6.72135810147489</v>
      </c>
      <c r="G13043" s="6" t="n">
        <f aca="false">(1-Sens!G13041)*(Sens!G13038+Sens!G13040)</f>
        <v>11.3401410201637</v>
      </c>
      <c r="H13043" s="6" t="n">
        <f aca="false">(1-Sens!H13041)*(Sens!H13038+Sens!H13040)</f>
        <v>16.1920771049557</v>
      </c>
      <c r="I13043" s="6" t="n">
        <f aca="false">(1-Sens!I13041)*(Sens!I13038+Sens!I13040)</f>
        <v>20.3917774400264</v>
      </c>
      <c r="J13043" s="6" t="n">
        <f aca="false">(1-Sens!J13041)*(Sens!J13038+Sens!J13040)</f>
        <v>23.2503960207104</v>
      </c>
      <c r="K13043" s="6" t="n">
        <f aca="false">(1-Sens!K13041)*(Sens!K13038+Sens!K13040)</f>
        <v>24.8730801087085</v>
      </c>
    </row>
    <row r="13044" customFormat="false" ht="17.15" hidden="false" customHeight="false" outlineLevel="0" collapsed="false">
      <c r="A13044" s="1" t="s">
        <v>987</v>
      </c>
      <c r="B13044" s="0" t="s">
        <v>414</v>
      </c>
      <c r="C13044" s="8" t="n">
        <f aca="false">cxit_open</f>
        <v>27.5918995</v>
      </c>
      <c r="D13044" s="8" t="n">
        <f aca="false">cxit_open</f>
        <v>27.5918995</v>
      </c>
      <c r="E13044" s="8" t="n">
        <f aca="false">cxit_open</f>
        <v>27.5918995</v>
      </c>
      <c r="F13044" s="8" t="n">
        <f aca="false">((a_g3_27-nonnv*a_mai)*tk_cxit_gb300+nonnv*a_mai*nv_hold_mai*tk_cxit_vr200+(1-a_g3_27)*tk_cxit_vr200)</f>
        <v>32.4975576</v>
      </c>
      <c r="G13044" s="8" t="n">
        <f aca="false">((a_g3_28-nonnv*a_mai)*tk_cxit_gb300+nonnv*a_mai*nv_hold_mai*tk_cxit_vr200+(1-a_g3_28)*tk_cxit_vr200)</f>
        <v>34.6372088</v>
      </c>
      <c r="H13044" s="8" t="n">
        <f aca="false">((a_g3_29-nonnv*a_mai)*tk_cxit_gb300+nonnv*a_mai*nv_hold_mai*tk_cxit_vr200+(1-a_g3_29)*tk_cxit_vr200)</f>
        <v>35.7070344</v>
      </c>
      <c r="I13044" s="8" t="n">
        <f aca="false">((a_g3_29-nonnv*a_mai)*tk_cxit_gb300+nonnv*a_mai*nv_hold_mai*tk_cxit_vr200+(1-a_g3_29)*tk_cxit_vr200)</f>
        <v>35.7070344</v>
      </c>
      <c r="J13044" s="8" t="n">
        <f aca="false">((a_g3_29-nonnv*a_mai)*tk_cxit_gb300+nonnv*a_mai*nv_hold_mai*tk_cxit_vr200+(1-a_g3_29)*tk_cxit_vr200)</f>
        <v>35.7070344</v>
      </c>
      <c r="K13044" s="8" t="n">
        <f aca="false">((a_g3_29-nonnv*a_mai)*tk_cxit_gb300+nonnv*a_mai*nv_hold_mai*tk_cxit_vr200+(1-a_g3_29)*tk_cxit_vr200)</f>
        <v>35.7070344</v>
      </c>
      <c r="L13044" s="12" t="s">
        <v>988</v>
      </c>
    </row>
    <row r="13045" customFormat="false" ht="17.15" hidden="false" customHeight="false" outlineLevel="0" collapsed="false">
      <c r="A13045" s="0" t="s">
        <v>989</v>
      </c>
      <c r="B13045" s="0" t="s">
        <v>456</v>
      </c>
      <c r="F13045" s="30" t="n">
        <f aca="false">Sens!C13024*IF(Sens!F13017-Sens!C13017=life_it,1,0)+Sens!D13024*IF(Sens!F13017-Sens!D13017=life_it,1,0)+Sens!E13024*IF(Sens!F13017-Sens!E13017=life_it,1,0)</f>
        <v>0</v>
      </c>
      <c r="G13045" s="30" t="n">
        <f aca="false">Sens!C13024*IF(Sens!G13017-Sens!C13017=life_it,1,0)+Sens!D13024*IF(Sens!G13017-Sens!D13017=life_it,1,0)+Sens!E13024*IF(Sens!G13017-Sens!E13017=life_it,1,0)+Sens!F13024*IF(Sens!G13017-Sens!F13017=life_it,1,0)</f>
        <v>0</v>
      </c>
      <c r="H13045" s="30" t="n">
        <f aca="false">Sens!C13024*IF(Sens!H13017-Sens!C13017=life_it,1,0)+Sens!D13024*IF(Sens!H13017-Sens!D13017=life_it,1,0)+Sens!E13024*IF(Sens!H13017-Sens!E13017=life_it,1,0)+Sens!F13024*IF(Sens!H13017-Sens!F13017=life_it,1,0)+Sens!G13024*IF(Sens!H13017-Sens!G13017=life_it,1,0)</f>
        <v>0</v>
      </c>
      <c r="I13045" s="30" t="n">
        <f aca="false">Sens!C13024*IF(Sens!I13017-Sens!C13017=life_it,1,0)+Sens!D13024*IF(Sens!I13017-Sens!D13017=life_it,1,0)+Sens!E13024*IF(Sens!I13017-Sens!E13017=life_it,1,0)+Sens!F13024*IF(Sens!I13017-Sens!F13017=life_it,1,0)+Sens!G13024*IF(Sens!I13017-Sens!G13017=life_it,1,0)+Sens!H13024*IF(Sens!I13017-Sens!H13017=life_it,1,0)</f>
        <v>816.666666666667</v>
      </c>
      <c r="J13045" s="30" t="n">
        <f aca="false">Sens!C13024*IF(Sens!J13017-Sens!C13017=life_it,1,0)+Sens!D13024*IF(Sens!J13017-Sens!D13017=life_it,1,0)+Sens!E13024*IF(Sens!J13017-Sens!E13017=life_it,1,0)+Sens!F13024*IF(Sens!J13017-Sens!F13017=life_it,1,0)+Sens!G13024*IF(Sens!J13017-Sens!G13017=life_it,1,0)+Sens!H13024*IF(Sens!J13017-Sens!H13017=life_it,1,0)+Sens!I13024*IF(Sens!J13017-Sens!I13017=life_it,1,0)</f>
        <v>1233.33333333333</v>
      </c>
      <c r="K13045" s="30" t="n">
        <f aca="false">Sens!C13024*IF(Sens!K13017-Sens!C13017=life_it,1,0)+Sens!D13024*IF(Sens!K13017-Sens!D13017=life_it,1,0)+Sens!E13024*IF(Sens!K13017-Sens!E13017=life_it,1,0)+Sens!F13024*IF(Sens!K13017-Sens!F13017=life_it,1,0)+Sens!G13024*IF(Sens!K13017-Sens!G13017=life_it,1,0)+Sens!H13024*IF(Sens!K13017-Sens!H13017=life_it,1,0)+Sens!I13024*IF(Sens!K13017-Sens!I13017=life_it,1,0)+Sens!J13024*IF(Sens!K13017-Sens!J13017=life_it,1,0)</f>
        <v>2450</v>
      </c>
      <c r="L13045" s="1" t="s">
        <v>990</v>
      </c>
    </row>
    <row r="13046" customFormat="false" ht="17.15" hidden="false" customHeight="false" outlineLevel="0" collapsed="false">
      <c r="A13046" s="0" t="s">
        <v>991</v>
      </c>
      <c r="B13046" s="0" t="s">
        <v>98</v>
      </c>
      <c r="C13046" s="6" t="n">
        <f aca="false">Sens!C13024*Sens!C13044/1000</f>
        <v>22.5333845916667</v>
      </c>
      <c r="D13046" s="6" t="n">
        <f aca="false">Sens!D13024*Sens!D13044/1000</f>
        <v>34.0300093833333</v>
      </c>
      <c r="E13046" s="6" t="n">
        <f aca="false">Sens!E13024*Sens!E13044/1000</f>
        <v>67.600153775</v>
      </c>
      <c r="F13046" s="6" t="n">
        <f aca="false">(Sens!F13024+Sens!F13045)*Sens!F13044/1000</f>
        <v>136.51872432512</v>
      </c>
      <c r="G13046" s="6" t="n">
        <f aca="false">(Sens!G13024+Sens!G13045)*Sens!G13044/1000</f>
        <v>157.399275932048</v>
      </c>
      <c r="H13046" s="6" t="n">
        <f aca="false">(Sens!H13024+Sens!H13045)*Sens!H13044/1000</f>
        <v>162.260804347512</v>
      </c>
      <c r="I13046" s="6" t="n">
        <f aca="false">(Sens!I13024+Sens!I13045)*Sens!I13044/1000</f>
        <v>144.136569485434</v>
      </c>
      <c r="J13046" s="6" t="n">
        <f aca="false">(Sens!J13024+Sens!J13045)*Sens!J13044/1000</f>
        <v>114.029037357864</v>
      </c>
      <c r="K13046" s="6" t="n">
        <f aca="false">(Sens!K13024+Sens!K13045)*Sens!K13044/1000</f>
        <v>113.437085350975</v>
      </c>
    </row>
    <row r="13047" customFormat="false" ht="17.15" hidden="false" customHeight="false" outlineLevel="0" collapsed="false">
      <c r="A13047" s="0" t="s">
        <v>992</v>
      </c>
      <c r="B13047" s="0" t="s">
        <v>98</v>
      </c>
      <c r="C13047" s="6" t="n">
        <f aca="false">Sens!C13024*self_build*tk_cxfac/1000</f>
        <v>6.2083</v>
      </c>
      <c r="D13047" s="6" t="n">
        <f aca="false">Sens!D13024*self_build*tk_cxfac/1000</f>
        <v>9.3758</v>
      </c>
      <c r="E13047" s="6" t="n">
        <f aca="false">Sens!E13024*self_build*tk_cxfac/1000</f>
        <v>18.6249</v>
      </c>
      <c r="F13047" s="6" t="n">
        <f aca="false">Sens!F13024*self_build*tk_cxfac/1000</f>
        <v>31.935179717</v>
      </c>
      <c r="G13047" s="6" t="n">
        <f aca="false">Sens!G13024*self_build*tk_cxfac/1000</f>
        <v>34.545199717</v>
      </c>
      <c r="H13047" s="6" t="n">
        <f aca="false">Sens!H13024*self_build*tk_cxfac/1000</f>
        <v>34.545199717</v>
      </c>
      <c r="I13047" s="6" t="n">
        <f aca="false">Sens!I13024*self_build*tk_cxfac/1000</f>
        <v>24.4782641361767</v>
      </c>
      <c r="J13047" s="6" t="n">
        <f aca="false">Sens!J13024*self_build*tk_cxfac/1000</f>
        <v>14.9008938380769</v>
      </c>
      <c r="K13047" s="6" t="n">
        <f aca="false">Sens!K13024*self_build*tk_cxfac/1000</f>
        <v>5.52576771375761</v>
      </c>
    </row>
    <row r="13048" customFormat="false" ht="17.15" hidden="false" customHeight="false" outlineLevel="0" collapsed="false">
      <c r="A13048" s="0" t="s">
        <v>993</v>
      </c>
      <c r="B13048" s="0" t="s">
        <v>98</v>
      </c>
      <c r="F13048" s="15" t="n">
        <f aca="false">capex_floor27-Sens!F13046-Sens!F13047-Sens!F13144</f>
        <v>-0.0799631154216058</v>
      </c>
      <c r="L13048" s="12" t="s">
        <v>994</v>
      </c>
    </row>
    <row r="13049" customFormat="false" ht="17.15" hidden="false" customHeight="false" outlineLevel="0" collapsed="false">
      <c r="A13049" s="0" t="s">
        <v>995</v>
      </c>
      <c r="B13049" s="0" t="s">
        <v>98</v>
      </c>
      <c r="F13049" s="6" t="n">
        <f aca="false">MAX(0,Sens!F13048)</f>
        <v>0</v>
      </c>
    </row>
    <row r="13050" customFormat="false" ht="17.15" hidden="false" customHeight="false" outlineLevel="0" collapsed="false">
      <c r="A13050" s="0" t="s">
        <v>996</v>
      </c>
      <c r="B13050" s="0" t="s">
        <v>98</v>
      </c>
      <c r="C13050" s="6" t="n">
        <f aca="false">Sens!C13046</f>
        <v>22.5333845916667</v>
      </c>
      <c r="D13050" s="6" t="n">
        <f aca="false">Sens!D13046</f>
        <v>34.0300093833333</v>
      </c>
      <c r="E13050" s="6" t="n">
        <f aca="false">Sens!E13046</f>
        <v>67.600153775</v>
      </c>
      <c r="F13050" s="6" t="n">
        <f aca="false">Sens!F13046</f>
        <v>136.51872432512</v>
      </c>
      <c r="G13050" s="6" t="n">
        <f aca="false">Sens!G13046</f>
        <v>157.399275932048</v>
      </c>
      <c r="H13050" s="6" t="n">
        <f aca="false">Sens!H13046</f>
        <v>162.260804347512</v>
      </c>
      <c r="I13050" s="6" t="n">
        <f aca="false">Sens!I13046</f>
        <v>144.136569485434</v>
      </c>
      <c r="J13050" s="6" t="n">
        <f aca="false">Sens!J13046</f>
        <v>114.029037357864</v>
      </c>
      <c r="K13050" s="6" t="n">
        <f aca="false">Sens!K13046</f>
        <v>113.437085350975</v>
      </c>
    </row>
    <row r="13051" customFormat="false" ht="17.15" hidden="false" customHeight="false" outlineLevel="0" collapsed="false">
      <c r="A13051" s="0" t="s">
        <v>997</v>
      </c>
      <c r="B13051" s="0" t="s">
        <v>98</v>
      </c>
      <c r="C13051" s="6" t="n">
        <f aca="false">Sens!C13050+Sens!C13047</f>
        <v>28.7416845916667</v>
      </c>
      <c r="D13051" s="6" t="n">
        <f aca="false">Sens!D13050+Sens!D13047</f>
        <v>43.4058093833333</v>
      </c>
      <c r="E13051" s="6" t="n">
        <f aca="false">Sens!E13050+Sens!E13047</f>
        <v>86.225053775</v>
      </c>
      <c r="F13051" s="6" t="n">
        <f aca="false">Sens!F13050+Sens!F13047</f>
        <v>168.45390404212</v>
      </c>
      <c r="G13051" s="6" t="n">
        <f aca="false">Sens!G13050+Sens!G13047</f>
        <v>191.944475649048</v>
      </c>
      <c r="H13051" s="6" t="n">
        <f aca="false">Sens!H13050+Sens!H13047</f>
        <v>196.806004064512</v>
      </c>
      <c r="I13051" s="6" t="n">
        <f aca="false">Sens!I13050+Sens!I13047</f>
        <v>168.61483362161</v>
      </c>
      <c r="J13051" s="6" t="n">
        <f aca="false">Sens!J13050+Sens!J13047</f>
        <v>128.92993119594</v>
      </c>
      <c r="K13051" s="6" t="n">
        <f aca="false">Sens!K13050+Sens!K13047</f>
        <v>118.962853064733</v>
      </c>
      <c r="L13051" s="12" t="s">
        <v>998</v>
      </c>
    </row>
    <row r="13052" customFormat="false" ht="17.15" hidden="false" customHeight="false" outlineLevel="0" collapsed="false">
      <c r="A13052" s="0" t="s">
        <v>999</v>
      </c>
      <c r="B13052" s="0" t="s">
        <v>98</v>
      </c>
      <c r="E13052" s="6" t="n">
        <f aca="false">(Sens!C13050*IF(2&lt;life_it,1,IF(2=life_it,0.5,0))+Sens!D13050*IF(1&lt;life_it,1,IF(1=life_it,0.5,0))+Sens!E13050*0.5)/life_it</f>
        <v>15.0605784770833</v>
      </c>
      <c r="F13052" s="6" t="n">
        <f aca="false">(Sens!C13050*IF(3&lt;life_it,1,IF(3=life_it,0.5,0))+Sens!D13050*IF(2&lt;life_it,1,IF(2=life_it,0.5,0))+Sens!E13050*IF(1&lt;life_it,1,IF(1=life_it,0.5,0))+Sens!F13050*0.5)/life_it</f>
        <v>32.0704849854266</v>
      </c>
      <c r="G13052" s="6" t="n">
        <f aca="false">(Sens!C13050*IF(4&lt;life_it,1,IF(4=life_it,0.5,0))+Sens!D13050*IF(3&lt;life_it,1,IF(3=life_it,0.5,0))+Sens!E13050*IF(2&lt;life_it,1,IF(2=life_it,0.5,0))+Sens!F13050*IF(1&lt;life_it,1,IF(1=life_it,0.5,0))+Sens!G13050*0.5)/life_it</f>
        <v>56.5636516735239</v>
      </c>
      <c r="H13052" s="6" t="n">
        <f aca="false">(Sens!C13050*IF(5&lt;life_it,1,IF(5=life_it,0.5,0))+Sens!D13050*IF(4&lt;life_it,1,IF(4=life_it,0.5,0))+Sens!E13050*IF(3&lt;life_it,1,IF(3=life_it,0.5,0))+Sens!F13050*IF(2&lt;life_it,1,IF(2=life_it,0.5,0))+Sens!G13050*IF(1&lt;life_it,1,IF(1=life_it,0.5,0))+Sens!H13050*0.5)/life_it</f>
        <v>83.2019916968207</v>
      </c>
      <c r="I13052" s="6" t="n">
        <f aca="false">(Sens!C13050*IF(6&lt;life_it,1,IF(6=life_it,0.5,0))+Sens!D13050*IF(5&lt;life_it,1,IF(5=life_it,0.5,0))+Sens!E13050*IF(4&lt;life_it,1,IF(4=life_it,0.5,0))+Sens!F13050*IF(3&lt;life_it,1,IF(3=life_it,0.5,0))+Sens!G13050*IF(2&lt;life_it,1,IF(2=life_it,0.5,0))+Sens!H13050*IF(1&lt;life_it,1,IF(1=life_it,0.5,0))+Sens!I13050*0.5)/life_it</f>
        <v>106.857324133594</v>
      </c>
      <c r="J13052" s="6" t="n">
        <f aca="false">(Sens!C13050*IF(7&lt;life_it,1,IF(7=life_it,0.5,0))+Sens!D13050*IF(6&lt;life_it,1,IF(6=life_it,0.5,0))+Sens!E13050*IF(5&lt;life_it,1,IF(5=life_it,0.5,0))+Sens!F13050*IF(4&lt;life_it,1,IF(4=life_it,0.5,0))+Sens!G13050*IF(3&lt;life_it,1,IF(3=life_it,0.5,0))+Sens!H13050*IF(2&lt;life_it,1,IF(2=life_it,0.5,0))+Sens!I13050*IF(1&lt;life_it,1,IF(1=life_it,0.5,0))+Sens!J13050*0.5)/life_it</f>
        <v>123.657508539285</v>
      </c>
      <c r="K13052" s="6" t="n">
        <f aca="false">(Sens!C13050*IF(8&lt;life_it,1,IF(8=life_it,0.5,0))+Sens!D13050*IF(7&lt;life_it,1,IF(7=life_it,0.5,0))+Sens!E13050*IF(6&lt;life_it,1,IF(6=life_it,0.5,0))+Sens!F13050*IF(5&lt;life_it,1,IF(5=life_it,0.5,0))+Sens!G13050*IF(4&lt;life_it,1,IF(4=life_it,0.5,0))+Sens!H13050*IF(3&lt;life_it,1,IF(3=life_it,0.5,0))+Sens!I13050*IF(2&lt;life_it,1,IF(2=life_it,0.5,0))+Sens!J13050*IF(1&lt;life_it,1,IF(1=life_it,0.5,0))+Sens!K13050*0.5)/life_it</f>
        <v>134.143838501827</v>
      </c>
    </row>
    <row r="13053" customFormat="false" ht="17.15" hidden="false" customHeight="false" outlineLevel="0" collapsed="false">
      <c r="A13053" s="0" t="s">
        <v>1000</v>
      </c>
      <c r="B13053" s="0" t="s">
        <v>98</v>
      </c>
      <c r="E13053" s="6" t="n">
        <f aca="false">(Sens!C13047*IF(2&lt;life_fac,1,IF(2=life_fac,0.5,0))+Sens!D13047*IF(1&lt;life_fac,1,IF(1=life_fac,0.5,0))+Sens!E13047*0.5)/life_fac</f>
        <v>1.2448275</v>
      </c>
      <c r="F13053" s="6" t="n">
        <f aca="false">(Sens!C13047*IF(3&lt;life_fac,1,IF(3=life_fac,0.5,0))+Sens!D13047*IF(2&lt;life_fac,1,IF(2=life_fac,0.5,0))+Sens!E13047*IF(1&lt;life_fac,1,IF(1=life_fac,0.5,0))+Sens!F13047*0.5)/life_fac</f>
        <v>2.508829492925</v>
      </c>
      <c r="G13053" s="6" t="n">
        <f aca="false">(Sens!C13047*IF(4&lt;life_fac,1,IF(4=life_fac,0.5,0))+Sens!D13047*IF(3&lt;life_fac,1,IF(3=life_fac,0.5,0))+Sens!E13047*IF(2&lt;life_fac,1,IF(2=life_fac,0.5,0))+Sens!F13047*IF(1&lt;life_fac,1,IF(1=life_fac,0.5,0))+Sens!G13047*0.5)/life_fac</f>
        <v>4.170838978775</v>
      </c>
      <c r="H13053" s="6" t="n">
        <f aca="false">(Sens!C13047*IF(5&lt;life_fac,1,IF(5=life_fac,0.5,0))+Sens!D13047*IF(4&lt;life_fac,1,IF(4=life_fac,0.5,0))+Sens!E13047*IF(3&lt;life_fac,1,IF(3=life_fac,0.5,0))+Sens!F13047*IF(2&lt;life_fac,1,IF(2=life_fac,0.5,0))+Sens!G13047*IF(1&lt;life_fac,1,IF(1=life_fac,0.5,0))+Sens!H13047*0.5)/life_fac</f>
        <v>5.898098964625</v>
      </c>
      <c r="I13053" s="6" t="n">
        <f aca="false">(Sens!C13047*IF(6&lt;life_fac,1,IF(6=life_fac,0.5,0))+Sens!D13047*IF(5&lt;life_fac,1,IF(5=life_fac,0.5,0))+Sens!E13047*IF(4&lt;life_fac,1,IF(4=life_fac,0.5,0))+Sens!F13047*IF(3&lt;life_fac,1,IF(3=life_fac,0.5,0))+Sens!G13047*IF(2&lt;life_fac,1,IF(2=life_fac,0.5,0))+Sens!H13047*IF(1&lt;life_fac,1,IF(1=life_fac,0.5,0))+Sens!I13047*0.5)/life_fac</f>
        <v>7.37368556095442</v>
      </c>
      <c r="J13053" s="6" t="n">
        <f aca="false">(Sens!C13047*IF(7&lt;life_fac,1,IF(7=life_fac,0.5,0))+Sens!D13047*IF(6&lt;life_fac,1,IF(6=life_fac,0.5,0))+Sens!E13047*IF(5&lt;life_fac,1,IF(5=life_fac,0.5,0))+Sens!F13047*IF(4&lt;life_fac,1,IF(4=life_fac,0.5,0))+Sens!G13047*IF(3&lt;life_fac,1,IF(3=life_fac,0.5,0))+Sens!H13047*IF(2&lt;life_fac,1,IF(2=life_fac,0.5,0))+Sens!I13047*IF(1&lt;life_fac,1,IF(1=life_fac,0.5,0))+Sens!J13047*0.5)/life_fac</f>
        <v>8.35816451031075</v>
      </c>
      <c r="K13053" s="6" t="n">
        <f aca="false">(Sens!C13047*IF(8&lt;life_fac,1,IF(8=life_fac,0.5,0))+Sens!D13047*IF(7&lt;life_fac,1,IF(7=life_fac,0.5,0))+Sens!E13047*IF(6&lt;life_fac,1,IF(6=life_fac,0.5,0))+Sens!F13047*IF(5&lt;life_fac,1,IF(5=life_fac,0.5,0))+Sens!G13047*IF(4&lt;life_fac,1,IF(4=life_fac,0.5,0))+Sens!H13047*IF(3&lt;life_fac,1,IF(3=life_fac,0.5,0))+Sens!I13047*IF(2&lt;life_fac,1,IF(2=life_fac,0.5,0))+Sens!J13047*IF(1&lt;life_fac,1,IF(1=life_fac,0.5,0))+Sens!K13047*0.5)/life_fac</f>
        <v>8.86883104910662</v>
      </c>
    </row>
    <row r="13054" customFormat="false" ht="17.15" hidden="false" customHeight="false" outlineLevel="0" collapsed="false">
      <c r="A13054" s="0" t="s">
        <v>1001</v>
      </c>
      <c r="B13054" s="0" t="s">
        <v>98</v>
      </c>
      <c r="E13054" s="6" t="n">
        <f aca="false">Sens!E13052+Sens!E13053</f>
        <v>16.3054059770833</v>
      </c>
      <c r="F13054" s="6" t="n">
        <f aca="false">Sens!F13052+Sens!F13053</f>
        <v>34.5793144783516</v>
      </c>
      <c r="G13054" s="6" t="n">
        <f aca="false">Sens!G13052+Sens!G13053</f>
        <v>60.7344906522989</v>
      </c>
      <c r="H13054" s="6" t="n">
        <f aca="false">Sens!H13052+Sens!H13053</f>
        <v>89.1000906614457</v>
      </c>
      <c r="I13054" s="6" t="n">
        <f aca="false">Sens!I13052+Sens!I13053</f>
        <v>114.231009694548</v>
      </c>
      <c r="J13054" s="6" t="n">
        <f aca="false">Sens!J13052+Sens!J13053</f>
        <v>132.015673049596</v>
      </c>
      <c r="K13054" s="6" t="n">
        <f aca="false">Sens!K13052+Sens!K13053</f>
        <v>143.012669550934</v>
      </c>
    </row>
    <row r="13055" customFormat="false" ht="17.15" hidden="false" customHeight="false" outlineLevel="0" collapsed="false">
      <c r="A13055" s="0" t="s">
        <v>1002</v>
      </c>
      <c r="B13055" s="0" t="s">
        <v>98</v>
      </c>
      <c r="E13055" s="6" t="n">
        <f aca="false">Sens!E13042-Sens!E13041*Sens!E13054</f>
        <v>8.92707889977379</v>
      </c>
      <c r="F13055" s="6" t="n">
        <f aca="false">Sens!F13042-Sens!F13041*Sens!F13054</f>
        <v>14.3471335960079</v>
      </c>
      <c r="G13055" s="6" t="n">
        <f aca="false">Sens!G13042-Sens!G13041*Sens!G13054</f>
        <v>16.5202976798683</v>
      </c>
      <c r="H13055" s="6" t="n">
        <f aca="false">Sens!H13042-Sens!H13041*Sens!H13054</f>
        <v>12.9805278875331</v>
      </c>
      <c r="I13055" s="6" t="n">
        <f aca="false">Sens!I13042-Sens!I13041*Sens!I13054</f>
        <v>16.2363335770989</v>
      </c>
      <c r="J13055" s="6" t="n">
        <f aca="false">Sens!J13042-Sens!J13041*Sens!J13054</f>
        <v>18.4432225839805</v>
      </c>
      <c r="K13055" s="6" t="n">
        <f aca="false">Sens!K13042-Sens!K13041*Sens!K13054</f>
        <v>20.1577566819661</v>
      </c>
    </row>
    <row r="13056" customFormat="false" ht="17.15" hidden="false" customHeight="false" outlineLevel="0" collapsed="false">
      <c r="A13056" s="3" t="s">
        <v>1806</v>
      </c>
    </row>
    <row r="13057" customFormat="false" ht="15" hidden="false" customHeight="false" outlineLevel="0" collapsed="false">
      <c r="A13057" s="4" t="s">
        <v>43</v>
      </c>
      <c r="B13057" s="4" t="s">
        <v>65</v>
      </c>
      <c r="C13057" s="23" t="s">
        <v>938</v>
      </c>
      <c r="D13057" s="23" t="s">
        <v>939</v>
      </c>
      <c r="E13057" s="23" t="s">
        <v>940</v>
      </c>
      <c r="F13057" s="23" t="s">
        <v>941</v>
      </c>
      <c r="G13057" s="23" t="s">
        <v>942</v>
      </c>
      <c r="H13057" s="23" t="s">
        <v>943</v>
      </c>
      <c r="I13057" s="23" t="s">
        <v>944</v>
      </c>
      <c r="J13057" s="23" t="s">
        <v>945</v>
      </c>
      <c r="K13057" s="23" t="s">
        <v>946</v>
      </c>
      <c r="L13057" s="4" t="s">
        <v>47</v>
      </c>
    </row>
    <row r="13058" customFormat="false" ht="17.15" hidden="false" customHeight="false" outlineLevel="0" collapsed="false">
      <c r="A13058" s="0" t="s">
        <v>1021</v>
      </c>
      <c r="B13058" s="0" t="s">
        <v>98</v>
      </c>
      <c r="D13058" s="6" t="n">
        <f aca="false">Sens!D13036</f>
        <v>12.9359794422418</v>
      </c>
      <c r="E13058" s="6" t="n">
        <f aca="false">Sens!E13036</f>
        <v>27.8095064661409</v>
      </c>
      <c r="F13058" s="6" t="n">
        <f aca="false">Sens!F13036</f>
        <v>50.9819294352312</v>
      </c>
      <c r="G13058" s="6" t="n">
        <f aca="false">Sens!G13036</f>
        <v>76.6920436014933</v>
      </c>
      <c r="H13058" s="6" t="n">
        <f aca="false">Sens!H13036</f>
        <v>97.4495379418341</v>
      </c>
      <c r="I13058" s="6" t="n">
        <f aca="false">Sens!I13036</f>
        <v>122.083445553868</v>
      </c>
      <c r="J13058" s="6" t="n">
        <f aca="false">Sens!J13036</f>
        <v>139.249060444804</v>
      </c>
      <c r="K13058" s="6" t="n">
        <f aca="false">Sens!K13036</f>
        <v>149.995818575589</v>
      </c>
    </row>
    <row r="13059" customFormat="false" ht="17.15" hidden="false" customHeight="false" outlineLevel="0" collapsed="false">
      <c r="A13059" s="0" t="s">
        <v>1022</v>
      </c>
      <c r="B13059" s="0" t="s">
        <v>98</v>
      </c>
      <c r="D13059" s="6" t="n">
        <f aca="false">Q!L6-Sens!D13058</f>
        <v>59.6740205577583</v>
      </c>
      <c r="E13059" s="6" t="n">
        <f aca="false">Q!M6-Sens!E13058</f>
        <v>74.1284935338591</v>
      </c>
      <c r="F13059" s="6" t="n">
        <f aca="false">Q!$I$6+(Sens!F13058+Sens!E13059*(1+Sens!F13060))*(1-Q!$E$6/Q!M6)-Sens!F13058</f>
        <v>92.2699541184664</v>
      </c>
      <c r="G13059" s="6" t="n">
        <f aca="false">Sens!F13059*(1+Sens!G13060)</f>
        <v>109.630477277949</v>
      </c>
      <c r="H13059" s="6" t="n">
        <f aca="false">Sens!G13059*(1+Sens!H13060)</f>
        <v>127.293256321956</v>
      </c>
      <c r="I13059" s="6" t="n">
        <f aca="false">Sens!H13059*(1+Sens!I13060)</f>
        <v>144.360052269491</v>
      </c>
      <c r="J13059" s="6" t="n">
        <f aca="false">Sens!I13059*(1+Sens!J13060)</f>
        <v>159.811964490216</v>
      </c>
      <c r="K13059" s="6" t="n">
        <f aca="false">Sens!J13059*(1+Sens!K13060)</f>
        <v>172.596921649434</v>
      </c>
      <c r="L13059" s="12" t="s">
        <v>1023</v>
      </c>
    </row>
    <row r="13060" customFormat="false" ht="15" hidden="false" customHeight="false" outlineLevel="0" collapsed="false">
      <c r="A13060" s="1" t="s">
        <v>1024</v>
      </c>
      <c r="B13060" s="0" t="s">
        <v>168</v>
      </c>
      <c r="E13060" s="7" t="n">
        <f aca="false">Sens!E13059/Sens!D13059-1</f>
        <v>0.242223883039864</v>
      </c>
      <c r="F13060" s="7" t="n">
        <f aca="false">Sens!$E$13060+(glt_azo-Sens!$E$13060)*MIN(1,(Sens!F13017-base_fy)/n_conv)</f>
        <v>0.215186569199887</v>
      </c>
      <c r="G13060" s="7" t="n">
        <f aca="false">Sens!$E$13060+(glt_azo-Sens!$E$13060)*MIN(1,(Sens!G13017-base_fy)/n_conv)</f>
        <v>0.18814925535991</v>
      </c>
      <c r="H13060" s="7" t="n">
        <f aca="false">Sens!$E$13060+(glt_azo-Sens!$E$13060)*MIN(1,(Sens!H13017-base_fy)/n_conv)</f>
        <v>0.161111941519932</v>
      </c>
      <c r="I13060" s="7" t="n">
        <f aca="false">Sens!$E$13060+(glt_azo-Sens!$E$13060)*MIN(1,(Sens!I13017-base_fy)/n_conv)</f>
        <v>0.134074627679955</v>
      </c>
      <c r="J13060" s="7" t="n">
        <f aca="false">Sens!$E$13060+(glt_azo-Sens!$E$13060)*MIN(1,(Sens!J13017-base_fy)/n_conv)</f>
        <v>0.107037313839977</v>
      </c>
      <c r="K13060" s="7" t="n">
        <f aca="false">Sens!$E$13060+(glt_azo-Sens!$E$13060)*MIN(1,(Sens!K13017-base_fy)/n_conv)</f>
        <v>0.08</v>
      </c>
    </row>
    <row r="13061" customFormat="false" ht="15" hidden="false" customHeight="false" outlineLevel="0" collapsed="false">
      <c r="A13061" s="0" t="s">
        <v>1025</v>
      </c>
      <c r="B13061" s="0" t="s">
        <v>98</v>
      </c>
      <c r="D13061" s="6" t="n">
        <f aca="false">Sens!D13058+Sens!D13059</f>
        <v>72.61</v>
      </c>
      <c r="E13061" s="6" t="n">
        <f aca="false">Sens!E13058+Sens!E13059</f>
        <v>101.938</v>
      </c>
      <c r="F13061" s="6" t="n">
        <f aca="false">Sens!F13058+Sens!F13059</f>
        <v>143.251883553698</v>
      </c>
      <c r="G13061" s="6" t="n">
        <f aca="false">Sens!G13058+Sens!G13059</f>
        <v>186.322520879442</v>
      </c>
      <c r="H13061" s="6" t="n">
        <f aca="false">Sens!H13058+Sens!H13059</f>
        <v>224.74279426379</v>
      </c>
      <c r="I13061" s="6" t="n">
        <f aca="false">Sens!I13058+Sens!I13059</f>
        <v>266.443497823359</v>
      </c>
      <c r="J13061" s="6" t="n">
        <f aca="false">Sens!J13058+Sens!J13059</f>
        <v>299.06102493502</v>
      </c>
      <c r="K13061" s="6" t="n">
        <f aca="false">Sens!K13058+Sens!K13059</f>
        <v>322.592740225023</v>
      </c>
    </row>
    <row r="13062" customFormat="false" ht="17.15" hidden="false" customHeight="false" outlineLevel="0" collapsed="false">
      <c r="A13062" s="0" t="s">
        <v>1026</v>
      </c>
      <c r="B13062" s="1" t="s">
        <v>610</v>
      </c>
      <c r="C13062" s="30" t="n">
        <f aca="false">cop_s24</f>
        <v>1</v>
      </c>
      <c r="D13062" s="30" t="n">
        <f aca="false">cop_s25</f>
        <v>5</v>
      </c>
      <c r="E13062" s="30" t="n">
        <f aca="false">cop_s26</f>
        <v>30</v>
      </c>
      <c r="F13062" s="30" t="n">
        <f aca="false">Sens!E13062+cop_add_C</f>
        <v>40</v>
      </c>
      <c r="G13062" s="30" t="n">
        <f aca="false">Sens!F13062+cop_add_C</f>
        <v>50</v>
      </c>
      <c r="H13062" s="30" t="n">
        <f aca="false">Sens!G13062+cop_add_C</f>
        <v>60</v>
      </c>
      <c r="I13062" s="30" t="n">
        <f aca="false">Sens!H13062+cop_add_C*cop_tail</f>
        <v>65</v>
      </c>
      <c r="J13062" s="30" t="n">
        <f aca="false">Sens!I13062+cop_add_C*cop_tail</f>
        <v>70</v>
      </c>
      <c r="K13062" s="30" t="n">
        <f aca="false">Sens!J13062+cop_add_C*cop_tail</f>
        <v>75</v>
      </c>
      <c r="L13062" s="12" t="s">
        <v>1027</v>
      </c>
    </row>
    <row r="13063" customFormat="false" ht="17.15" hidden="false" customHeight="false" outlineLevel="0" collapsed="false">
      <c r="A13063" s="0" t="s">
        <v>1028</v>
      </c>
      <c r="B13063" s="0" t="s">
        <v>98</v>
      </c>
      <c r="D13063" s="6" t="n">
        <f aca="false">(Sens!C13062+Sens!D13062)/2*cop_px*12/1000</f>
        <v>0.9</v>
      </c>
      <c r="E13063" s="6" t="n">
        <f aca="false">(Sens!D13062+Sens!E13062)/2*cop_px*12/1000</f>
        <v>5.25</v>
      </c>
      <c r="F13063" s="6" t="n">
        <f aca="false">(Sens!E13062+Sens!F13062)/2*cop_px*12/1000</f>
        <v>10.5</v>
      </c>
      <c r="G13063" s="6" t="n">
        <f aca="false">(Sens!F13062+Sens!G13062)/2*cop_px*12/1000</f>
        <v>13.5</v>
      </c>
      <c r="H13063" s="6" t="n">
        <f aca="false">(Sens!G13062+Sens!H13062)/2*cop_px*12/1000</f>
        <v>16.5</v>
      </c>
      <c r="I13063" s="6" t="n">
        <f aca="false">(Sens!H13062+Sens!I13062)/2*cop_px*12/1000</f>
        <v>18.75</v>
      </c>
      <c r="J13063" s="6" t="n">
        <f aca="false">(Sens!I13062+Sens!J13062)/2*cop_px*12/1000</f>
        <v>20.25</v>
      </c>
      <c r="K13063" s="6" t="n">
        <f aca="false">(Sens!J13062+Sens!K13062)/2*cop_px*12/1000</f>
        <v>21.75</v>
      </c>
      <c r="L13063" s="1" t="s">
        <v>1029</v>
      </c>
    </row>
    <row r="13064" customFormat="false" ht="17.15" hidden="false" customHeight="false" outlineLevel="0" collapsed="false">
      <c r="A13064" s="0" t="s">
        <v>1030</v>
      </c>
      <c r="B13064" s="0" t="s">
        <v>98</v>
      </c>
      <c r="D13064" s="6" t="n">
        <f aca="false">Q!L7-Sens!D13063</f>
        <v>83.705</v>
      </c>
      <c r="E13064" s="6" t="n">
        <f aca="false">Q!M7-Sens!E13063</f>
        <v>95.049</v>
      </c>
      <c r="F13064" s="6" t="n">
        <f aca="false">Q!$I$7+(Sens!E13064*(1+Sens!F13065)+Sens!F13063)*(1-Q!$E$7/Q!M7)-Sens!F13063</f>
        <v>106.938354189776</v>
      </c>
      <c r="G13064" s="6" t="n">
        <f aca="false">Sens!F13064*(1+Sens!G13065)</f>
        <v>119.095360443801</v>
      </c>
      <c r="H13064" s="6" t="n">
        <f aca="false">Sens!G13064*(1+Sens!H13065)</f>
        <v>131.333811964563</v>
      </c>
      <c r="I13064" s="6" t="n">
        <f aca="false">Sens!H13064*(1+Sens!I13065)</f>
        <v>143.395665319381</v>
      </c>
      <c r="J13064" s="6" t="n">
        <f aca="false">Sens!I13064*(1+Sens!J13065)</f>
        <v>154.999327755573</v>
      </c>
      <c r="K13064" s="6" t="n">
        <f aca="false">Sens!J13064*(1+Sens!K13065)</f>
        <v>165.849280698463</v>
      </c>
      <c r="L13064" s="12" t="s">
        <v>1031</v>
      </c>
    </row>
    <row r="13065" customFormat="false" ht="15" hidden="false" customHeight="false" outlineLevel="0" collapsed="false">
      <c r="A13065" s="1" t="s">
        <v>1024</v>
      </c>
      <c r="B13065" s="0" t="s">
        <v>168</v>
      </c>
      <c r="E13065" s="7" t="n">
        <f aca="false">Sens!E13064/Sens!D13064-1</f>
        <v>0.135523564900544</v>
      </c>
      <c r="F13065" s="7" t="n">
        <f aca="false">Sens!$E$13065+(glt_m365b-Sens!$E$13065)*MIN(1,(Sens!F13017-base_fy)/n_conv)</f>
        <v>0.124602970750453</v>
      </c>
      <c r="G13065" s="7" t="n">
        <f aca="false">Sens!$E$13065+(glt_m365b-Sens!$E$13065)*MIN(1,(Sens!G13017-base_fy)/n_conv)</f>
        <v>0.113682376600363</v>
      </c>
      <c r="H13065" s="7" t="n">
        <f aca="false">Sens!$E$13065+(glt_m365b-Sens!$E$13065)*MIN(1,(Sens!H13017-base_fy)/n_conv)</f>
        <v>0.102761782450272</v>
      </c>
      <c r="I13065" s="7" t="n">
        <f aca="false">Sens!$E$13065+(glt_m365b-Sens!$E$13065)*MIN(1,(Sens!I13017-base_fy)/n_conv)</f>
        <v>0.0918411883001813</v>
      </c>
      <c r="J13065" s="7" t="n">
        <f aca="false">Sens!$E$13065+(glt_m365b-Sens!$E$13065)*MIN(1,(Sens!J13017-base_fy)/n_conv)</f>
        <v>0.0809205941500906</v>
      </c>
      <c r="K13065" s="7" t="n">
        <f aca="false">Sens!$E$13065+(glt_m365b-Sens!$E$13065)*MIN(1,(Sens!K13017-base_fy)/n_conv)</f>
        <v>0.07</v>
      </c>
    </row>
    <row r="13066" customFormat="false" ht="15" hidden="false" customHeight="false" outlineLevel="0" collapsed="false">
      <c r="A13066" s="0" t="s">
        <v>1032</v>
      </c>
      <c r="B13066" s="0" t="s">
        <v>98</v>
      </c>
      <c r="D13066" s="6" t="n">
        <f aca="false">Sens!D13064+Sens!D13063</f>
        <v>84.605</v>
      </c>
      <c r="E13066" s="6" t="n">
        <f aca="false">Sens!E13064+Sens!E13063</f>
        <v>100.299</v>
      </c>
      <c r="F13066" s="6" t="n">
        <f aca="false">Sens!F13064+Sens!F13063</f>
        <v>117.438354189776</v>
      </c>
      <c r="G13066" s="6" t="n">
        <f aca="false">Sens!G13064+Sens!G13063</f>
        <v>132.595360443801</v>
      </c>
      <c r="H13066" s="6" t="n">
        <f aca="false">Sens!H13064+Sens!H13063</f>
        <v>147.833811964563</v>
      </c>
      <c r="I13066" s="6" t="n">
        <f aca="false">Sens!I13064+Sens!I13063</f>
        <v>162.145665319381</v>
      </c>
      <c r="J13066" s="6" t="n">
        <f aca="false">Sens!J13064+Sens!J13063</f>
        <v>175.249327755573</v>
      </c>
      <c r="K13066" s="6" t="n">
        <f aca="false">Sens!K13064+Sens!K13063</f>
        <v>187.599280698463</v>
      </c>
    </row>
    <row r="13067" customFormat="false" ht="17.15" hidden="false" customHeight="false" outlineLevel="0" collapsed="false">
      <c r="A13067" s="0" t="s">
        <v>1033</v>
      </c>
      <c r="B13067" s="0" t="s">
        <v>98</v>
      </c>
      <c r="D13067" s="6" t="n">
        <f aca="false">Q!L8</f>
        <v>35.391</v>
      </c>
      <c r="E13067" s="6" t="n">
        <f aca="false">Q!M8</f>
        <v>37.285</v>
      </c>
      <c r="F13067" s="6" t="n">
        <f aca="false">Q!$I$8+(Q!M8-Q!$E$8)*(1+Sens!F13068)</f>
        <v>38.3851437782675</v>
      </c>
      <c r="G13067" s="6" t="n">
        <f aca="false">Sens!F13067*(1+Sens!G13068)</f>
        <v>40.0105353288615</v>
      </c>
      <c r="H13067" s="6" t="n">
        <f aca="false">Sens!G13067*(1+Sens!H13068)</f>
        <v>41.4812512033683</v>
      </c>
      <c r="I13067" s="6" t="n">
        <f aca="false">Sens!H13067*(1+Sens!I13068)</f>
        <v>42.7743107216329</v>
      </c>
      <c r="J13067" s="6" t="n">
        <f aca="false">Sens!I13067*(1+Sens!J13068)</f>
        <v>43.8687373064601</v>
      </c>
      <c r="K13067" s="6" t="n">
        <f aca="false">Sens!J13067*(1+Sens!K13068)</f>
        <v>44.7461120525893</v>
      </c>
      <c r="L13067" s="12" t="s">
        <v>1034</v>
      </c>
    </row>
    <row r="13068" customFormat="false" ht="15" hidden="false" customHeight="false" outlineLevel="0" collapsed="false">
      <c r="A13068" s="1" t="s">
        <v>1024</v>
      </c>
      <c r="B13068" s="0" t="s">
        <v>168</v>
      </c>
      <c r="E13068" s="7" t="n">
        <f aca="false">Sens!E13067/Sens!D13067-1</f>
        <v>0.0535164307309768</v>
      </c>
      <c r="F13068" s="7" t="n">
        <f aca="false">Sens!$E$13068+(glt_lic-Sens!$E$13068)*MIN(1,(Sens!F13017-base_fy)/n_conv)</f>
        <v>0.0479303589424807</v>
      </c>
      <c r="G13068" s="7" t="n">
        <f aca="false">Sens!$E$13068+(glt_lic-Sens!$E$13068)*MIN(1,(Sens!G13017-base_fy)/n_conv)</f>
        <v>0.0423442871539845</v>
      </c>
      <c r="H13068" s="7" t="n">
        <f aca="false">Sens!$E$13068+(glt_lic-Sens!$E$13068)*MIN(1,(Sens!H13017-base_fy)/n_conv)</f>
        <v>0.0367582153654884</v>
      </c>
      <c r="I13068" s="7" t="n">
        <f aca="false">Sens!$E$13068+(glt_lic-Sens!$E$13068)*MIN(1,(Sens!I13017-base_fy)/n_conv)</f>
        <v>0.0311721435769923</v>
      </c>
      <c r="J13068" s="7" t="n">
        <f aca="false">Sens!$E$13068+(glt_lic-Sens!$E$13068)*MIN(1,(Sens!J13017-base_fy)/n_conv)</f>
        <v>0.0255860717884961</v>
      </c>
      <c r="K13068" s="7" t="n">
        <f aca="false">Sens!$E$13068+(glt_lic-Sens!$E$13068)*MIN(1,(Sens!K13017-base_fy)/n_conv)</f>
        <v>0.02</v>
      </c>
    </row>
    <row r="13069" customFormat="false" ht="17.15" hidden="false" customHeight="false" outlineLevel="0" collapsed="false">
      <c r="A13069" s="0" t="s">
        <v>1035</v>
      </c>
      <c r="B13069" s="0" t="s">
        <v>98</v>
      </c>
      <c r="D13069" s="6" t="n">
        <f aca="false">Q!L9</f>
        <v>18.417</v>
      </c>
      <c r="E13069" s="6" t="n">
        <f aca="false">Q!M9</f>
        <v>20.345</v>
      </c>
      <c r="F13069" s="6" t="n">
        <f aca="false">Q!$I$9+(Q!M9-Q!$E$9)*(1+Sens!F13070)</f>
        <v>22.3161797133988</v>
      </c>
      <c r="G13069" s="6" t="n">
        <f aca="false">Sens!F13069*(1+Sens!G13070)</f>
        <v>24.3943499673233</v>
      </c>
      <c r="H13069" s="6" t="n">
        <f aca="false">Sens!G13069*(1+Sens!H13070)</f>
        <v>26.5250243109019</v>
      </c>
      <c r="I13069" s="6" t="n">
        <f aca="false">Sens!H13069*(1+Sens!I13070)</f>
        <v>28.6884573538181</v>
      </c>
      <c r="J13069" s="6" t="n">
        <f aca="false">Sens!I13069*(1+Sens!J13070)</f>
        <v>30.8624968052127</v>
      </c>
      <c r="K13069" s="6" t="n">
        <f aca="false">Sens!J13069*(1+Sens!K13070)</f>
        <v>33.0228715815776</v>
      </c>
      <c r="L13069" s="12" t="s">
        <v>1034</v>
      </c>
    </row>
    <row r="13070" customFormat="false" ht="15" hidden="false" customHeight="false" outlineLevel="0" collapsed="false">
      <c r="A13070" s="1" t="s">
        <v>1024</v>
      </c>
      <c r="B13070" s="0" t="s">
        <v>168</v>
      </c>
      <c r="E13070" s="7" t="n">
        <f aca="false">Sens!E13069/Sens!D13069-1</f>
        <v>0.104685888038225</v>
      </c>
      <c r="F13070" s="7" t="n">
        <f aca="false">Sens!$E$13070+(glt_ind-Sens!$E$13070)*MIN(1,(Sens!F13017-base_fy)/n_conv)</f>
        <v>0.0989049066985211</v>
      </c>
      <c r="G13070" s="7" t="n">
        <f aca="false">Sens!$E$13070+(glt_ind-Sens!$E$13070)*MIN(1,(Sens!G13017-base_fy)/n_conv)</f>
        <v>0.0931239253588169</v>
      </c>
      <c r="H13070" s="7" t="n">
        <f aca="false">Sens!$E$13070+(glt_ind-Sens!$E$13070)*MIN(1,(Sens!H13017-base_fy)/n_conv)</f>
        <v>0.0873429440191127</v>
      </c>
      <c r="I13070" s="7" t="n">
        <f aca="false">Sens!$E$13070+(glt_ind-Sens!$E$13070)*MIN(1,(Sens!I13017-base_fy)/n_conv)</f>
        <v>0.0815619626794085</v>
      </c>
      <c r="J13070" s="7" t="n">
        <f aca="false">Sens!$E$13070+(glt_ind-Sens!$E$13070)*MIN(1,(Sens!J13017-base_fy)/n_conv)</f>
        <v>0.0757809813397042</v>
      </c>
      <c r="K13070" s="7" t="n">
        <f aca="false">Sens!$E$13070+(glt_ind-Sens!$E$13070)*MIN(1,(Sens!K13017-base_fy)/n_conv)</f>
        <v>0.07</v>
      </c>
    </row>
    <row r="13071" customFormat="false" ht="17.15" hidden="false" customHeight="false" outlineLevel="0" collapsed="false">
      <c r="A13071" s="0" t="s">
        <v>1036</v>
      </c>
      <c r="B13071" s="0" t="s">
        <v>98</v>
      </c>
      <c r="D13071" s="6" t="n">
        <f aca="false">Q!L10</f>
        <v>7.76</v>
      </c>
      <c r="E13071" s="6" t="n">
        <f aca="false">Q!M10</f>
        <v>8.26</v>
      </c>
      <c r="F13071" s="6" t="n">
        <f aca="false">Q!$I$10+(Q!M10-Q!$E$10)*(1+Sens!F13072)</f>
        <v>8.75372082474227</v>
      </c>
      <c r="G13071" s="6" t="n">
        <f aca="false">Sens!F13071*(1+Sens!G13072)</f>
        <v>9.33399324642364</v>
      </c>
      <c r="H13071" s="6" t="n">
        <f aca="false">Sens!G13071*(1+Sens!H13072)</f>
        <v>9.96139155535851</v>
      </c>
      <c r="I13071" s="6" t="n">
        <f aca="false">Sens!H13071*(1+Sens!I13072)</f>
        <v>10.6402039077391</v>
      </c>
      <c r="J13071" s="6" t="n">
        <f aca="false">Sens!I13071*(1+Sens!J13072)</f>
        <v>11.3751458271397</v>
      </c>
      <c r="K13071" s="6" t="n">
        <f aca="false">Sens!J13071*(1+Sens!K13072)</f>
        <v>12.1714060350394</v>
      </c>
      <c r="L13071" s="12" t="s">
        <v>1034</v>
      </c>
    </row>
    <row r="13072" customFormat="false" ht="15" hidden="false" customHeight="false" outlineLevel="0" collapsed="false">
      <c r="A13072" s="1" t="s">
        <v>1024</v>
      </c>
      <c r="B13072" s="0" t="s">
        <v>168</v>
      </c>
      <c r="E13072" s="7" t="n">
        <f aca="false">Sens!E13071/Sens!D13071-1</f>
        <v>0.0644329896907216</v>
      </c>
      <c r="F13072" s="7" t="n">
        <f aca="false">Sens!$E$13072+(glt_fro-Sens!$E$13072)*MIN(1,(Sens!F13017-base_fy)/n_conv)</f>
        <v>0.065360824742268</v>
      </c>
      <c r="G13072" s="7" t="n">
        <f aca="false">Sens!$E$13072+(glt_fro-Sens!$E$13072)*MIN(1,(Sens!G13017-base_fy)/n_conv)</f>
        <v>0.0662886597938144</v>
      </c>
      <c r="H13072" s="7" t="n">
        <f aca="false">Sens!$E$13072+(glt_fro-Sens!$E$13072)*MIN(1,(Sens!H13017-base_fy)/n_conv)</f>
        <v>0.0672164948453608</v>
      </c>
      <c r="I13072" s="7" t="n">
        <f aca="false">Sens!$E$13072+(glt_fro-Sens!$E$13072)*MIN(1,(Sens!I13017-base_fy)/n_conv)</f>
        <v>0.0681443298969072</v>
      </c>
      <c r="J13072" s="7" t="n">
        <f aca="false">Sens!$E$13072+(glt_fro-Sens!$E$13072)*MIN(1,(Sens!J13017-base_fy)/n_conv)</f>
        <v>0.0690721649484536</v>
      </c>
      <c r="K13072" s="7" t="n">
        <f aca="false">Sens!$E$13072+(glt_fro-Sens!$E$13072)*MIN(1,(Sens!K13017-base_fy)/n_conv)</f>
        <v>0.07</v>
      </c>
    </row>
    <row r="13073" customFormat="false" ht="15" hidden="false" customHeight="false" outlineLevel="0" collapsed="false">
      <c r="A13073" s="0" t="s">
        <v>852</v>
      </c>
      <c r="B13073" s="0" t="s">
        <v>98</v>
      </c>
      <c r="D13073" s="6" t="n">
        <f aca="false">Sens!D13061+Sens!D13066+Sens!D13067+Sens!D13069+Sens!D13071</f>
        <v>218.783</v>
      </c>
      <c r="E13073" s="6" t="n">
        <f aca="false">Sens!E13061+Sens!E13066+Sens!E13067+Sens!E13069+Sens!E13071</f>
        <v>268.127</v>
      </c>
      <c r="F13073" s="6" t="n">
        <f aca="false">Sens!F13061+Sens!F13066+Sens!F13067+Sens!F13069+Sens!F13071</f>
        <v>330.145282059882</v>
      </c>
      <c r="G13073" s="6" t="n">
        <f aca="false">Sens!G13061+Sens!G13066+Sens!G13067+Sens!G13069+Sens!G13071</f>
        <v>392.656759865851</v>
      </c>
      <c r="H13073" s="6" t="n">
        <f aca="false">Sens!H13061+Sens!H13066+Sens!H13067+Sens!H13069+Sens!H13071</f>
        <v>450.544273297982</v>
      </c>
      <c r="I13073" s="6" t="n">
        <f aca="false">Sens!I13061+Sens!I13066+Sens!I13067+Sens!I13069+Sens!I13071</f>
        <v>510.69213512593</v>
      </c>
      <c r="J13073" s="6" t="n">
        <f aca="false">Sens!J13061+Sens!J13066+Sens!J13067+Sens!J13069+Sens!J13071</f>
        <v>560.416732629406</v>
      </c>
      <c r="K13073" s="6" t="n">
        <f aca="false">Sens!K13061+Sens!K13066+Sens!K13067+Sens!K13069+Sens!K13071</f>
        <v>600.132410592692</v>
      </c>
    </row>
    <row r="13074" customFormat="false" ht="17.15" hidden="false" customHeight="false" outlineLevel="0" collapsed="false">
      <c r="A13074" s="0" t="s">
        <v>1037</v>
      </c>
      <c r="B13074" s="0" t="s">
        <v>98</v>
      </c>
      <c r="D13074" s="6" t="n">
        <f aca="false">Q!L13</f>
        <v>22.171</v>
      </c>
      <c r="E13074" s="6" t="n">
        <f aca="false">Q!M13</f>
        <v>24.835</v>
      </c>
      <c r="F13074" s="6" t="n">
        <f aca="false">Q!$I$13+(Q!M13-Q!$E$13)*(1+Sens!F13075)</f>
        <v>27.5591895660247</v>
      </c>
      <c r="G13074" s="6" t="n">
        <f aca="false">Sens!F13074*(1+Sens!G13075)</f>
        <v>30.4098563144583</v>
      </c>
      <c r="H13074" s="6" t="n">
        <f aca="false">Sens!G13074*(1+Sens!H13075)</f>
        <v>33.3011792571777</v>
      </c>
      <c r="I13074" s="6" t="n">
        <f aca="false">Sens!H13074*(1+Sens!I13075)</f>
        <v>36.189023797112</v>
      </c>
      <c r="J13074" s="6" t="n">
        <f aca="false">Sens!I13074*(1+Sens!J13075)</f>
        <v>39.0247773769199</v>
      </c>
      <c r="K13074" s="6" t="n">
        <f aca="false">Sens!J13074*(1+Sens!K13075)</f>
        <v>41.7565117933043</v>
      </c>
      <c r="L13074" s="12" t="s">
        <v>1034</v>
      </c>
    </row>
    <row r="13075" customFormat="false" ht="15" hidden="false" customHeight="false" outlineLevel="0" collapsed="false">
      <c r="A13075" s="1" t="s">
        <v>1024</v>
      </c>
      <c r="B13075" s="0" t="s">
        <v>168</v>
      </c>
      <c r="E13075" s="7" t="n">
        <f aca="false">Sens!E13074/Sens!D13074-1</f>
        <v>0.120156961796942</v>
      </c>
      <c r="F13075" s="7" t="n">
        <f aca="false">Sens!$E$13075+(glt_srch-Sens!$E$13075)*MIN(1,(Sens!F13017-base_fy)/n_conv)</f>
        <v>0.111797468164118</v>
      </c>
      <c r="G13075" s="7" t="n">
        <f aca="false">Sens!$E$13075+(glt_srch-Sens!$E$13075)*MIN(1,(Sens!G13017-base_fy)/n_conv)</f>
        <v>0.103437974531295</v>
      </c>
      <c r="H13075" s="7" t="n">
        <f aca="false">Sens!$E$13075+(glt_srch-Sens!$E$13075)*MIN(1,(Sens!H13017-base_fy)/n_conv)</f>
        <v>0.095078480898471</v>
      </c>
      <c r="I13075" s="7" t="n">
        <f aca="false">Sens!$E$13075+(glt_srch-Sens!$E$13075)*MIN(1,(Sens!I13017-base_fy)/n_conv)</f>
        <v>0.0867189872656474</v>
      </c>
      <c r="J13075" s="7" t="n">
        <f aca="false">Sens!$E$13075+(glt_srch-Sens!$E$13075)*MIN(1,(Sens!J13017-base_fy)/n_conv)</f>
        <v>0.0783594936328237</v>
      </c>
      <c r="K13075" s="7" t="n">
        <f aca="false">Sens!$E$13075+(glt_srch-Sens!$E$13075)*MIN(1,(Sens!K13017-base_fy)/n_conv)</f>
        <v>0.07</v>
      </c>
    </row>
    <row r="13076" customFormat="false" ht="17.15" hidden="false" customHeight="false" outlineLevel="0" collapsed="false">
      <c r="A13076" s="0" t="s">
        <v>1038</v>
      </c>
      <c r="B13076" s="0" t="s">
        <v>98</v>
      </c>
      <c r="D13076" s="6" t="n">
        <f aca="false">Q!L14</f>
        <v>23.455</v>
      </c>
      <c r="E13076" s="6" t="n">
        <f aca="false">Q!M14</f>
        <v>21.79</v>
      </c>
      <c r="F13076" s="6" t="n">
        <f aca="false">Q!$I$14+(Q!M14-Q!$E$14)*(1+Sens!F13077)</f>
        <v>20.7520981041711</v>
      </c>
      <c r="G13076" s="6" t="n">
        <f aca="false">Sens!F13076*(1+Sens!G13077)</f>
        <v>19.9083593495882</v>
      </c>
      <c r="H13076" s="6" t="n">
        <f aca="false">Sens!G13076*(1+Sens!H13077)</f>
        <v>19.4008256265831</v>
      </c>
      <c r="I13076" s="6" t="n">
        <f aca="false">Sens!H13076*(1+Sens!I13077)</f>
        <v>19.200434522122</v>
      </c>
      <c r="J13076" s="6" t="n">
        <f aca="false">Sens!I13076*(1+Sens!J13077)</f>
        <v>19.2932782348507</v>
      </c>
      <c r="K13076" s="6" t="n">
        <f aca="false">Sens!J13076*(1+Sens!K13077)</f>
        <v>19.6791437995477</v>
      </c>
      <c r="L13076" s="12" t="s">
        <v>1034</v>
      </c>
    </row>
    <row r="13077" customFormat="false" ht="15" hidden="false" customHeight="false" outlineLevel="0" collapsed="false">
      <c r="A13077" s="1" t="s">
        <v>1024</v>
      </c>
      <c r="B13077" s="0" t="s">
        <v>168</v>
      </c>
      <c r="E13077" s="7" t="n">
        <f aca="false">Sens!E13076/Sens!D13076-1</f>
        <v>-0.0709869963760392</v>
      </c>
      <c r="F13077" s="7" t="n">
        <f aca="false">Sens!$E$13077+(glt_xbox-Sens!$E$13077)*MIN(1,(Sens!F13017-base_fy)/n_conv)</f>
        <v>-0.0558224969800327</v>
      </c>
      <c r="G13077" s="7" t="n">
        <f aca="false">Sens!$E$13077+(glt_xbox-Sens!$E$13077)*MIN(1,(Sens!G13017-base_fy)/n_conv)</f>
        <v>-0.0406579975840262</v>
      </c>
      <c r="H13077" s="7" t="n">
        <f aca="false">Sens!$E$13077+(glt_xbox-Sens!$E$13077)*MIN(1,(Sens!H13017-base_fy)/n_conv)</f>
        <v>-0.0254934981880196</v>
      </c>
      <c r="I13077" s="7" t="n">
        <f aca="false">Sens!$E$13077+(glt_xbox-Sens!$E$13077)*MIN(1,(Sens!I13017-base_fy)/n_conv)</f>
        <v>-0.0103289987920131</v>
      </c>
      <c r="J13077" s="7" t="n">
        <f aca="false">Sens!$E$13077+(glt_xbox-Sens!$E$13077)*MIN(1,(Sens!J13017-base_fy)/n_conv)</f>
        <v>0.00483550060399347</v>
      </c>
      <c r="K13077" s="7" t="n">
        <f aca="false">Sens!$E$13077+(glt_xbox-Sens!$E$13077)*MIN(1,(Sens!K13017-base_fy)/n_conv)</f>
        <v>0.02</v>
      </c>
    </row>
    <row r="13078" customFormat="false" ht="17.15" hidden="false" customHeight="false" outlineLevel="0" collapsed="false">
      <c r="A13078" s="0" t="s">
        <v>1039</v>
      </c>
      <c r="B13078" s="0" t="s">
        <v>98</v>
      </c>
      <c r="D13078" s="6" t="n">
        <f aca="false">Q!L15</f>
        <v>17.315</v>
      </c>
      <c r="E13078" s="6" t="n">
        <f aca="false">Q!M15</f>
        <v>17.087</v>
      </c>
      <c r="F13078" s="6" t="n">
        <f aca="false">Q!$I$15+(Q!M15-Q!$E$15)*(1+Sens!F13079)</f>
        <v>15.9912273250553</v>
      </c>
      <c r="G13078" s="6" t="n">
        <f aca="false">Sens!F13078*(1+Sens!G13079)</f>
        <v>15.9574562664827</v>
      </c>
      <c r="H13078" s="6" t="n">
        <f aca="false">Sens!G13078*(1+Sens!H13079)</f>
        <v>16.0119687434196</v>
      </c>
      <c r="I13078" s="6" t="n">
        <f aca="false">Sens!H13078*(1+Sens!I13079)</f>
        <v>16.1551810001948</v>
      </c>
      <c r="J13078" s="6" t="n">
        <f aca="false">Sens!I13078*(1+Sens!J13079)</f>
        <v>16.3889793892005</v>
      </c>
      <c r="K13078" s="6" t="n">
        <f aca="false">Sens!J13078*(1+Sens!K13079)</f>
        <v>16.7167589769845</v>
      </c>
      <c r="L13078" s="12" t="s">
        <v>1034</v>
      </c>
    </row>
    <row r="13079" customFormat="false" ht="15" hidden="false" customHeight="false" outlineLevel="0" collapsed="false">
      <c r="A13079" s="1" t="s">
        <v>1024</v>
      </c>
      <c r="B13079" s="0" t="s">
        <v>168</v>
      </c>
      <c r="E13079" s="7" t="n">
        <f aca="false">Sens!E13078/Sens!D13078-1</f>
        <v>-0.0131677736066995</v>
      </c>
      <c r="F13079" s="7" t="n">
        <f aca="false">Sens!$E$13079+(glt_win-Sens!$E$13079)*MIN(1,(Sens!F13017-base_fy)/n_conv)</f>
        <v>-0.00763981133891627</v>
      </c>
      <c r="G13079" s="7" t="n">
        <f aca="false">Sens!$E$13079+(glt_win-Sens!$E$13079)*MIN(1,(Sens!G13017-base_fy)/n_conv)</f>
        <v>-0.00211184907113301</v>
      </c>
      <c r="H13079" s="7" t="n">
        <f aca="false">Sens!$E$13079+(glt_win-Sens!$E$13079)*MIN(1,(Sens!H13017-base_fy)/n_conv)</f>
        <v>0.00341611319665024</v>
      </c>
      <c r="I13079" s="7" t="n">
        <f aca="false">Sens!$E$13079+(glt_win-Sens!$E$13079)*MIN(1,(Sens!I13017-base_fy)/n_conv)</f>
        <v>0.00894407546443349</v>
      </c>
      <c r="J13079" s="7" t="n">
        <f aca="false">Sens!$E$13079+(glt_win-Sens!$E$13079)*MIN(1,(Sens!J13017-base_fy)/n_conv)</f>
        <v>0.0144720377322168</v>
      </c>
      <c r="K13079" s="7" t="n">
        <f aca="false">Sens!$E$13079+(glt_win-Sens!$E$13079)*MIN(1,(Sens!K13017-base_fy)/n_conv)</f>
        <v>0.02</v>
      </c>
    </row>
    <row r="13080" customFormat="false" ht="15" hidden="false" customHeight="false" outlineLevel="0" collapsed="false">
      <c r="A13080" s="0" t="s">
        <v>866</v>
      </c>
      <c r="B13080" s="0" t="s">
        <v>98</v>
      </c>
      <c r="D13080" s="6" t="n">
        <f aca="false">Sens!D13074+Sens!D13076+Sens!D13078</f>
        <v>62.941</v>
      </c>
      <c r="E13080" s="6" t="n">
        <f aca="false">Sens!E13074+Sens!E13076+Sens!E13078</f>
        <v>63.712</v>
      </c>
      <c r="F13080" s="6" t="n">
        <f aca="false">Sens!F13074+Sens!F13076+Sens!F13078</f>
        <v>64.3025149952511</v>
      </c>
      <c r="G13080" s="6" t="n">
        <f aca="false">Sens!G13074+Sens!G13076+Sens!G13078</f>
        <v>66.2756719305292</v>
      </c>
      <c r="H13080" s="6" t="n">
        <f aca="false">Sens!H13074+Sens!H13076+Sens!H13078</f>
        <v>68.7139736271804</v>
      </c>
      <c r="I13080" s="6" t="n">
        <f aca="false">Sens!I13074+Sens!I13076+Sens!I13078</f>
        <v>71.5446393194289</v>
      </c>
      <c r="J13080" s="6" t="n">
        <f aca="false">Sens!J13074+Sens!J13076+Sens!J13078</f>
        <v>74.707035000971</v>
      </c>
      <c r="K13080" s="6" t="n">
        <f aca="false">Sens!K13074+Sens!K13076+Sens!K13078</f>
        <v>78.1524145698365</v>
      </c>
    </row>
    <row r="13081" customFormat="false" ht="15" hidden="false" customHeight="false" outlineLevel="0" collapsed="false">
      <c r="A13081" s="1" t="s">
        <v>1040</v>
      </c>
      <c r="B13081" s="0" t="s">
        <v>98</v>
      </c>
      <c r="D13081" s="6" t="n">
        <f aca="false">Sens!D13073+Sens!D13080</f>
        <v>281.724</v>
      </c>
      <c r="E13081" s="6" t="n">
        <f aca="false">Sens!E13073+Sens!E13080</f>
        <v>331.839</v>
      </c>
      <c r="F13081" s="6" t="n">
        <f aca="false">Sens!F13073+Sens!F13080</f>
        <v>394.447797055133</v>
      </c>
      <c r="G13081" s="6" t="n">
        <f aca="false">Sens!G13073+Sens!G13080</f>
        <v>458.93243179638</v>
      </c>
      <c r="H13081" s="6" t="n">
        <f aca="false">Sens!H13073+Sens!H13080</f>
        <v>519.258246925162</v>
      </c>
      <c r="I13081" s="6" t="n">
        <f aca="false">Sens!I13073+Sens!I13080</f>
        <v>582.236774445359</v>
      </c>
      <c r="J13081" s="6" t="n">
        <f aca="false">Sens!J13073+Sens!J13080</f>
        <v>635.123767630377</v>
      </c>
      <c r="K13081" s="6" t="n">
        <f aca="false">Sens!K13073+Sens!K13080</f>
        <v>678.284825162529</v>
      </c>
    </row>
    <row r="13082" customFormat="false" ht="15" hidden="false" customHeight="false" outlineLevel="0" collapsed="false">
      <c r="A13082" s="26" t="s">
        <v>1041</v>
      </c>
      <c r="B13082" s="31" t="s">
        <v>98</v>
      </c>
      <c r="C13082" s="31"/>
      <c r="D13082" s="27" t="n">
        <f aca="false">(Sens!D13061+Sens!D13066+Sens!D13067+Sens!D13069+Sens!D13071-Sens!D13073)+(Sens!D13074+Sens!D13076+Sens!D13078-Sens!D13080)+(Sens!D13073-Q!L5)+(Sens!D13080-Q!L12)+(Sens!D13061-Q!L6)+(Sens!D13066-Q!L7)</f>
        <v>0</v>
      </c>
      <c r="E13082" s="27" t="n">
        <f aca="false">(Sens!E13061+Sens!E13066+Sens!E13067+Sens!E13069+Sens!E13071-Sens!E13073)+(Sens!E13074+Sens!E13076+Sens!E13078-Sens!E13080)+(Sens!E13073-Q!M5)+(Sens!E13080-Q!M12)+(Sens!E13061-Q!M6)+(Sens!E13066-Q!M7)</f>
        <v>0</v>
      </c>
      <c r="F13082" s="27" t="n">
        <f aca="false">(Sens!F13061+Sens!F13066+Sens!F13067+Sens!F13069+Sens!F13071-Sens!F13073)+(Sens!F13074+Sens!F13076+Sens!F13078-Sens!F13080)</f>
        <v>0</v>
      </c>
      <c r="G13082" s="27" t="n">
        <f aca="false">(Sens!G13061+Sens!G13066+Sens!G13067+Sens!G13069+Sens!G13071-Sens!G13073)+(Sens!G13074+Sens!G13076+Sens!G13078-Sens!G13080)</f>
        <v>0</v>
      </c>
      <c r="H13082" s="27" t="n">
        <f aca="false">(Sens!H13061+Sens!H13066+Sens!H13067+Sens!H13069+Sens!H13071-Sens!H13073)+(Sens!H13074+Sens!H13076+Sens!H13078-Sens!H13080)</f>
        <v>0</v>
      </c>
      <c r="I13082" s="27" t="n">
        <f aca="false">(Sens!I13061+Sens!I13066+Sens!I13067+Sens!I13069+Sens!I13071-Sens!I13073)+(Sens!I13074+Sens!I13076+Sens!I13078-Sens!I13080)</f>
        <v>0</v>
      </c>
      <c r="J13082" s="27" t="n">
        <f aca="false">(Sens!J13061+Sens!J13066+Sens!J13067+Sens!J13069+Sens!J13071-Sens!J13073)+(Sens!J13074+Sens!J13076+Sens!J13078-Sens!J13080)</f>
        <v>0</v>
      </c>
      <c r="K13082" s="27" t="n">
        <f aca="false">(Sens!K13061+Sens!K13066+Sens!K13067+Sens!K13069+Sens!K13071-Sens!K13073)+(Sens!K13074+Sens!K13076+Sens!K13078-Sens!K13080)</f>
        <v>0</v>
      </c>
    </row>
    <row r="13083" customFormat="false" ht="17.15" hidden="false" customHeight="false" outlineLevel="0" collapsed="false">
      <c r="A13083" s="3" t="s">
        <v>1807</v>
      </c>
    </row>
    <row r="13084" customFormat="false" ht="15" hidden="false" customHeight="false" outlineLevel="0" collapsed="false">
      <c r="A13084" s="4" t="s">
        <v>43</v>
      </c>
      <c r="B13084" s="4" t="s">
        <v>65</v>
      </c>
      <c r="C13084" s="23" t="s">
        <v>938</v>
      </c>
      <c r="D13084" s="23" t="s">
        <v>939</v>
      </c>
      <c r="E13084" s="23" t="s">
        <v>940</v>
      </c>
      <c r="F13084" s="23" t="s">
        <v>941</v>
      </c>
      <c r="G13084" s="23" t="s">
        <v>942</v>
      </c>
      <c r="H13084" s="23" t="s">
        <v>943</v>
      </c>
      <c r="I13084" s="23" t="s">
        <v>944</v>
      </c>
      <c r="J13084" s="23" t="s">
        <v>945</v>
      </c>
      <c r="K13084" s="23" t="s">
        <v>946</v>
      </c>
      <c r="L13084" s="4" t="s">
        <v>47</v>
      </c>
    </row>
    <row r="13085" customFormat="false" ht="15" hidden="false" customHeight="false" outlineLevel="0" collapsed="false">
      <c r="A13085" s="0" t="s">
        <v>1025</v>
      </c>
      <c r="B13085" s="0" t="s">
        <v>98</v>
      </c>
      <c r="D13085" s="6" t="n">
        <f aca="false">Sens!D13061</f>
        <v>72.61</v>
      </c>
      <c r="E13085" s="6" t="n">
        <f aca="false">Sens!E13061</f>
        <v>101.938</v>
      </c>
      <c r="F13085" s="6" t="n">
        <f aca="false">Sens!F13061</f>
        <v>143.251883553698</v>
      </c>
      <c r="G13085" s="6" t="n">
        <f aca="false">Sens!G13061</f>
        <v>186.322520879442</v>
      </c>
      <c r="H13085" s="6" t="n">
        <f aca="false">Sens!H13061</f>
        <v>224.74279426379</v>
      </c>
      <c r="I13085" s="6" t="n">
        <f aca="false">Sens!I13061</f>
        <v>266.443497823359</v>
      </c>
      <c r="J13085" s="6" t="n">
        <f aca="false">Sens!J13061</f>
        <v>299.06102493502</v>
      </c>
      <c r="K13085" s="6" t="n">
        <f aca="false">Sens!K13061</f>
        <v>322.592740225023</v>
      </c>
    </row>
    <row r="13086" customFormat="false" ht="17.15" hidden="false" customHeight="false" outlineLevel="0" collapsed="false">
      <c r="A13086" s="0" t="s">
        <v>1021</v>
      </c>
      <c r="B13086" s="0" t="s">
        <v>98</v>
      </c>
      <c r="D13086" s="6" t="n">
        <f aca="false">Sens!D13058</f>
        <v>12.9359794422418</v>
      </c>
      <c r="E13086" s="6" t="n">
        <f aca="false">Sens!E13058</f>
        <v>27.8095064661409</v>
      </c>
      <c r="F13086" s="6" t="n">
        <f aca="false">Sens!F13058</f>
        <v>50.9819294352312</v>
      </c>
      <c r="G13086" s="6" t="n">
        <f aca="false">Sens!G13058</f>
        <v>76.6920436014933</v>
      </c>
      <c r="H13086" s="6" t="n">
        <f aca="false">Sens!H13058</f>
        <v>97.4495379418341</v>
      </c>
      <c r="I13086" s="6" t="n">
        <f aca="false">Sens!I13058</f>
        <v>122.083445553868</v>
      </c>
      <c r="J13086" s="6" t="n">
        <f aca="false">Sens!J13058</f>
        <v>139.249060444804</v>
      </c>
      <c r="K13086" s="6" t="n">
        <f aca="false">Sens!K13058</f>
        <v>149.995818575589</v>
      </c>
    </row>
    <row r="13087" customFormat="false" ht="17.15" hidden="false" customHeight="false" outlineLevel="0" collapsed="false">
      <c r="A13087" s="0" t="s">
        <v>1052</v>
      </c>
      <c r="B13087" s="0" t="s">
        <v>98</v>
      </c>
      <c r="D13087" s="6" t="n">
        <f aca="false">Sens!D13059</f>
        <v>59.6740205577583</v>
      </c>
      <c r="E13087" s="6" t="n">
        <f aca="false">Sens!E13059</f>
        <v>74.1284935338591</v>
      </c>
      <c r="F13087" s="6" t="n">
        <f aca="false">Sens!F13059</f>
        <v>92.2699541184664</v>
      </c>
      <c r="G13087" s="6" t="n">
        <f aca="false">Sens!G13059</f>
        <v>109.630477277949</v>
      </c>
      <c r="H13087" s="6" t="n">
        <f aca="false">Sens!H13059</f>
        <v>127.293256321956</v>
      </c>
      <c r="I13087" s="6" t="n">
        <f aca="false">Sens!I13059</f>
        <v>144.360052269491</v>
      </c>
      <c r="J13087" s="6" t="n">
        <f aca="false">Sens!J13059</f>
        <v>159.811964490216</v>
      </c>
      <c r="K13087" s="6" t="n">
        <f aca="false">Sens!K13059</f>
        <v>172.596921649434</v>
      </c>
    </row>
    <row r="13088" customFormat="false" ht="15" hidden="false" customHeight="false" outlineLevel="0" collapsed="false">
      <c r="A13088" s="0" t="s">
        <v>1032</v>
      </c>
      <c r="B13088" s="0" t="s">
        <v>98</v>
      </c>
      <c r="D13088" s="6" t="n">
        <f aca="false">Sens!D13066</f>
        <v>84.605</v>
      </c>
      <c r="E13088" s="6" t="n">
        <f aca="false">Sens!E13066</f>
        <v>100.299</v>
      </c>
      <c r="F13088" s="6" t="n">
        <f aca="false">Sens!F13066</f>
        <v>117.438354189776</v>
      </c>
      <c r="G13088" s="6" t="n">
        <f aca="false">Sens!G13066</f>
        <v>132.595360443801</v>
      </c>
      <c r="H13088" s="6" t="n">
        <f aca="false">Sens!H13066</f>
        <v>147.833811964563</v>
      </c>
      <c r="I13088" s="6" t="n">
        <f aca="false">Sens!I13066</f>
        <v>162.145665319381</v>
      </c>
      <c r="J13088" s="6" t="n">
        <f aca="false">Sens!J13066</f>
        <v>175.249327755573</v>
      </c>
      <c r="K13088" s="6" t="n">
        <f aca="false">Sens!K13066</f>
        <v>187.599280698463</v>
      </c>
    </row>
    <row r="13089" customFormat="false" ht="17.15" hidden="false" customHeight="false" outlineLevel="0" collapsed="false">
      <c r="A13089" s="0" t="s">
        <v>1053</v>
      </c>
      <c r="B13089" s="0" t="s">
        <v>98</v>
      </c>
      <c r="D13089" s="6" t="n">
        <f aca="false">Sens!D13064</f>
        <v>83.705</v>
      </c>
      <c r="E13089" s="6" t="n">
        <f aca="false">Sens!E13064</f>
        <v>95.049</v>
      </c>
      <c r="F13089" s="6" t="n">
        <f aca="false">Sens!F13064</f>
        <v>106.938354189776</v>
      </c>
      <c r="G13089" s="6" t="n">
        <f aca="false">Sens!G13064</f>
        <v>119.095360443801</v>
      </c>
      <c r="H13089" s="6" t="n">
        <f aca="false">Sens!H13064</f>
        <v>131.333811964563</v>
      </c>
      <c r="I13089" s="6" t="n">
        <f aca="false">Sens!I13064</f>
        <v>143.395665319381</v>
      </c>
      <c r="J13089" s="6" t="n">
        <f aca="false">Sens!J13064</f>
        <v>154.999327755573</v>
      </c>
      <c r="K13089" s="6" t="n">
        <f aca="false">Sens!K13064</f>
        <v>165.849280698463</v>
      </c>
    </row>
    <row r="13090" customFormat="false" ht="17.15" hidden="false" customHeight="false" outlineLevel="0" collapsed="false">
      <c r="A13090" s="0" t="s">
        <v>1054</v>
      </c>
      <c r="B13090" s="0" t="s">
        <v>98</v>
      </c>
      <c r="D13090" s="6" t="n">
        <f aca="false">Sens!D13063</f>
        <v>0.9</v>
      </c>
      <c r="E13090" s="6" t="n">
        <f aca="false">Sens!E13063</f>
        <v>5.25</v>
      </c>
      <c r="F13090" s="6" t="n">
        <f aca="false">Sens!F13063</f>
        <v>10.5</v>
      </c>
      <c r="G13090" s="6" t="n">
        <f aca="false">Sens!G13063</f>
        <v>13.5</v>
      </c>
      <c r="H13090" s="6" t="n">
        <f aca="false">Sens!H13063</f>
        <v>16.5</v>
      </c>
      <c r="I13090" s="6" t="n">
        <f aca="false">Sens!I13063</f>
        <v>18.75</v>
      </c>
      <c r="J13090" s="6" t="n">
        <f aca="false">Sens!J13063</f>
        <v>20.25</v>
      </c>
      <c r="K13090" s="6" t="n">
        <f aca="false">Sens!K13063</f>
        <v>21.75</v>
      </c>
    </row>
    <row r="13091" customFormat="false" ht="15" hidden="false" customHeight="false" outlineLevel="0" collapsed="false">
      <c r="A13091" s="0" t="s">
        <v>1033</v>
      </c>
      <c r="B13091" s="0" t="s">
        <v>98</v>
      </c>
      <c r="D13091" s="6" t="n">
        <f aca="false">Sens!D13067</f>
        <v>35.391</v>
      </c>
      <c r="E13091" s="6" t="n">
        <f aca="false">Sens!E13067</f>
        <v>37.285</v>
      </c>
      <c r="F13091" s="6" t="n">
        <f aca="false">Sens!F13067</f>
        <v>38.3851437782675</v>
      </c>
      <c r="G13091" s="6" t="n">
        <f aca="false">Sens!G13067</f>
        <v>40.0105353288615</v>
      </c>
      <c r="H13091" s="6" t="n">
        <f aca="false">Sens!H13067</f>
        <v>41.4812512033683</v>
      </c>
      <c r="I13091" s="6" t="n">
        <f aca="false">Sens!I13067</f>
        <v>42.7743107216329</v>
      </c>
      <c r="J13091" s="6" t="n">
        <f aca="false">Sens!J13067</f>
        <v>43.8687373064601</v>
      </c>
      <c r="K13091" s="6" t="n">
        <f aca="false">Sens!K13067</f>
        <v>44.7461120525893</v>
      </c>
    </row>
    <row r="13092" customFormat="false" ht="15" hidden="false" customHeight="false" outlineLevel="0" collapsed="false">
      <c r="A13092" s="0" t="s">
        <v>1035</v>
      </c>
      <c r="B13092" s="0" t="s">
        <v>98</v>
      </c>
      <c r="D13092" s="6" t="n">
        <f aca="false">Sens!D13069</f>
        <v>18.417</v>
      </c>
      <c r="E13092" s="6" t="n">
        <f aca="false">Sens!E13069</f>
        <v>20.345</v>
      </c>
      <c r="F13092" s="6" t="n">
        <f aca="false">Sens!F13069</f>
        <v>22.3161797133988</v>
      </c>
      <c r="G13092" s="6" t="n">
        <f aca="false">Sens!G13069</f>
        <v>24.3943499673233</v>
      </c>
      <c r="H13092" s="6" t="n">
        <f aca="false">Sens!H13069</f>
        <v>26.5250243109019</v>
      </c>
      <c r="I13092" s="6" t="n">
        <f aca="false">Sens!I13069</f>
        <v>28.6884573538181</v>
      </c>
      <c r="J13092" s="6" t="n">
        <f aca="false">Sens!J13069</f>
        <v>30.8624968052127</v>
      </c>
      <c r="K13092" s="6" t="n">
        <f aca="false">Sens!K13069</f>
        <v>33.0228715815776</v>
      </c>
    </row>
    <row r="13093" customFormat="false" ht="15" hidden="false" customHeight="false" outlineLevel="0" collapsed="false">
      <c r="A13093" s="0" t="s">
        <v>1036</v>
      </c>
      <c r="B13093" s="0" t="s">
        <v>98</v>
      </c>
      <c r="D13093" s="6" t="n">
        <f aca="false">Sens!D13071</f>
        <v>7.76</v>
      </c>
      <c r="E13093" s="6" t="n">
        <f aca="false">Sens!E13071</f>
        <v>8.26</v>
      </c>
      <c r="F13093" s="6" t="n">
        <f aca="false">Sens!F13071</f>
        <v>8.75372082474227</v>
      </c>
      <c r="G13093" s="6" t="n">
        <f aca="false">Sens!G13071</f>
        <v>9.33399324642364</v>
      </c>
      <c r="H13093" s="6" t="n">
        <f aca="false">Sens!H13071</f>
        <v>9.96139155535851</v>
      </c>
      <c r="I13093" s="6" t="n">
        <f aca="false">Sens!I13071</f>
        <v>10.6402039077391</v>
      </c>
      <c r="J13093" s="6" t="n">
        <f aca="false">Sens!J13071</f>
        <v>11.3751458271397</v>
      </c>
      <c r="K13093" s="6" t="n">
        <f aca="false">Sens!K13071</f>
        <v>12.1714060350394</v>
      </c>
    </row>
    <row r="13094" customFormat="false" ht="15" hidden="false" customHeight="false" outlineLevel="0" collapsed="false">
      <c r="A13094" s="0" t="s">
        <v>852</v>
      </c>
      <c r="B13094" s="0" t="s">
        <v>98</v>
      </c>
      <c r="D13094" s="6" t="n">
        <f aca="false">Sens!D13073</f>
        <v>218.783</v>
      </c>
      <c r="E13094" s="6" t="n">
        <f aca="false">Sens!E13073</f>
        <v>268.127</v>
      </c>
      <c r="F13094" s="6" t="n">
        <f aca="false">Sens!F13073</f>
        <v>330.145282059882</v>
      </c>
      <c r="G13094" s="6" t="n">
        <f aca="false">Sens!G13073</f>
        <v>392.656759865851</v>
      </c>
      <c r="H13094" s="6" t="n">
        <f aca="false">Sens!H13073</f>
        <v>450.544273297982</v>
      </c>
      <c r="I13094" s="6" t="n">
        <f aca="false">Sens!I13073</f>
        <v>510.69213512593</v>
      </c>
      <c r="J13094" s="6" t="n">
        <f aca="false">Sens!J13073</f>
        <v>560.416732629406</v>
      </c>
      <c r="K13094" s="6" t="n">
        <f aca="false">Sens!K13073</f>
        <v>600.132410592692</v>
      </c>
    </row>
    <row r="13095" customFormat="false" ht="15" hidden="false" customHeight="false" outlineLevel="0" collapsed="false">
      <c r="A13095" s="0" t="s">
        <v>1037</v>
      </c>
      <c r="B13095" s="0" t="s">
        <v>98</v>
      </c>
      <c r="D13095" s="6" t="n">
        <f aca="false">Sens!D13074</f>
        <v>22.171</v>
      </c>
      <c r="E13095" s="6" t="n">
        <f aca="false">Sens!E13074</f>
        <v>24.835</v>
      </c>
      <c r="F13095" s="6" t="n">
        <f aca="false">Sens!F13074</f>
        <v>27.5591895660247</v>
      </c>
      <c r="G13095" s="6" t="n">
        <f aca="false">Sens!G13074</f>
        <v>30.4098563144583</v>
      </c>
      <c r="H13095" s="6" t="n">
        <f aca="false">Sens!H13074</f>
        <v>33.3011792571777</v>
      </c>
      <c r="I13095" s="6" t="n">
        <f aca="false">Sens!I13074</f>
        <v>36.189023797112</v>
      </c>
      <c r="J13095" s="6" t="n">
        <f aca="false">Sens!J13074</f>
        <v>39.0247773769199</v>
      </c>
      <c r="K13095" s="6" t="n">
        <f aca="false">Sens!K13074</f>
        <v>41.7565117933043</v>
      </c>
    </row>
    <row r="13096" customFormat="false" ht="15" hidden="false" customHeight="false" outlineLevel="0" collapsed="false">
      <c r="A13096" s="0" t="s">
        <v>1038</v>
      </c>
      <c r="B13096" s="0" t="s">
        <v>98</v>
      </c>
      <c r="D13096" s="6" t="n">
        <f aca="false">Sens!D13076</f>
        <v>23.455</v>
      </c>
      <c r="E13096" s="6" t="n">
        <f aca="false">Sens!E13076</f>
        <v>21.79</v>
      </c>
      <c r="F13096" s="6" t="n">
        <f aca="false">Sens!F13076</f>
        <v>20.7520981041711</v>
      </c>
      <c r="G13096" s="6" t="n">
        <f aca="false">Sens!G13076</f>
        <v>19.9083593495882</v>
      </c>
      <c r="H13096" s="6" t="n">
        <f aca="false">Sens!H13076</f>
        <v>19.4008256265831</v>
      </c>
      <c r="I13096" s="6" t="n">
        <f aca="false">Sens!I13076</f>
        <v>19.200434522122</v>
      </c>
      <c r="J13096" s="6" t="n">
        <f aca="false">Sens!J13076</f>
        <v>19.2932782348507</v>
      </c>
      <c r="K13096" s="6" t="n">
        <f aca="false">Sens!K13076</f>
        <v>19.6791437995477</v>
      </c>
    </row>
    <row r="13097" customFormat="false" ht="15" hidden="false" customHeight="false" outlineLevel="0" collapsed="false">
      <c r="A13097" s="0" t="s">
        <v>1039</v>
      </c>
      <c r="B13097" s="0" t="s">
        <v>98</v>
      </c>
      <c r="D13097" s="6" t="n">
        <f aca="false">Sens!D13078</f>
        <v>17.315</v>
      </c>
      <c r="E13097" s="6" t="n">
        <f aca="false">Sens!E13078</f>
        <v>17.087</v>
      </c>
      <c r="F13097" s="6" t="n">
        <f aca="false">Sens!F13078</f>
        <v>15.9912273250553</v>
      </c>
      <c r="G13097" s="6" t="n">
        <f aca="false">Sens!G13078</f>
        <v>15.9574562664827</v>
      </c>
      <c r="H13097" s="6" t="n">
        <f aca="false">Sens!H13078</f>
        <v>16.0119687434196</v>
      </c>
      <c r="I13097" s="6" t="n">
        <f aca="false">Sens!I13078</f>
        <v>16.1551810001948</v>
      </c>
      <c r="J13097" s="6" t="n">
        <f aca="false">Sens!J13078</f>
        <v>16.3889793892005</v>
      </c>
      <c r="K13097" s="6" t="n">
        <f aca="false">Sens!K13078</f>
        <v>16.7167589769845</v>
      </c>
    </row>
    <row r="13098" customFormat="false" ht="15" hidden="false" customHeight="false" outlineLevel="0" collapsed="false">
      <c r="A13098" s="0" t="s">
        <v>866</v>
      </c>
      <c r="B13098" s="0" t="s">
        <v>98</v>
      </c>
      <c r="D13098" s="6" t="n">
        <f aca="false">Sens!D13080</f>
        <v>62.941</v>
      </c>
      <c r="E13098" s="6" t="n">
        <f aca="false">Sens!E13080</f>
        <v>63.712</v>
      </c>
      <c r="F13098" s="6" t="n">
        <f aca="false">Sens!F13080</f>
        <v>64.3025149952511</v>
      </c>
      <c r="G13098" s="6" t="n">
        <f aca="false">Sens!G13080</f>
        <v>66.2756719305292</v>
      </c>
      <c r="H13098" s="6" t="n">
        <f aca="false">Sens!H13080</f>
        <v>68.7139736271804</v>
      </c>
      <c r="I13098" s="6" t="n">
        <f aca="false">Sens!I13080</f>
        <v>71.5446393194289</v>
      </c>
      <c r="J13098" s="6" t="n">
        <f aca="false">Sens!J13080</f>
        <v>74.707035000971</v>
      </c>
      <c r="K13098" s="6" t="n">
        <f aca="false">Sens!K13080</f>
        <v>78.1524145698365</v>
      </c>
    </row>
    <row r="13099" customFormat="false" ht="15" hidden="false" customHeight="false" outlineLevel="0" collapsed="false">
      <c r="A13099" s="1" t="s">
        <v>1055</v>
      </c>
      <c r="B13099" s="0" t="s">
        <v>98</v>
      </c>
      <c r="D13099" s="6" t="n">
        <f aca="false">Sens!D13081</f>
        <v>281.724</v>
      </c>
      <c r="E13099" s="6" t="n">
        <f aca="false">Sens!E13081</f>
        <v>331.839</v>
      </c>
      <c r="F13099" s="6" t="n">
        <f aca="false">Sens!F13081</f>
        <v>394.447797055133</v>
      </c>
      <c r="G13099" s="6" t="n">
        <f aca="false">Sens!G13081</f>
        <v>458.93243179638</v>
      </c>
      <c r="H13099" s="6" t="n">
        <f aca="false">Sens!H13081</f>
        <v>519.258246925162</v>
      </c>
      <c r="I13099" s="6" t="n">
        <f aca="false">Sens!I13081</f>
        <v>582.236774445359</v>
      </c>
      <c r="J13099" s="6" t="n">
        <f aca="false">Sens!J13081</f>
        <v>635.123767630377</v>
      </c>
      <c r="K13099" s="6" t="n">
        <f aca="false">Sens!K13081</f>
        <v>678.284825162529</v>
      </c>
    </row>
    <row r="13100" customFormat="false" ht="15" hidden="false" customHeight="false" outlineLevel="0" collapsed="false">
      <c r="A13100" s="1" t="s">
        <v>1056</v>
      </c>
      <c r="B13100" s="0" t="s">
        <v>168</v>
      </c>
      <c r="E13100" s="7" t="n">
        <f aca="false">Sens!E13099/Sens!D13099-1</f>
        <v>0.177886867998467</v>
      </c>
      <c r="F13100" s="7" t="n">
        <f aca="false">Sens!F13099/Sens!E13099-1</f>
        <v>0.188672208676897</v>
      </c>
      <c r="G13100" s="7" t="n">
        <f aca="false">Sens!G13099/Sens!F13099-1</f>
        <v>0.16348078306604</v>
      </c>
      <c r="H13100" s="7" t="n">
        <f aca="false">Sens!H13099/Sens!G13099-1</f>
        <v>0.131448141271366</v>
      </c>
      <c r="I13100" s="7" t="n">
        <f aca="false">Sens!I13099/Sens!H13099-1</f>
        <v>0.121285560495438</v>
      </c>
      <c r="J13100" s="7" t="n">
        <f aca="false">Sens!J13099/Sens!I13099-1</f>
        <v>0.0908341683422489</v>
      </c>
      <c r="K13100" s="7" t="n">
        <f aca="false">Sens!K13099/Sens!J13099-1</f>
        <v>0.0679569238814417</v>
      </c>
    </row>
    <row r="13101" customFormat="false" ht="17.15" hidden="false" customHeight="false" outlineLevel="0" collapsed="false">
      <c r="A13101" s="26" t="s">
        <v>1057</v>
      </c>
      <c r="B13101" s="31" t="s">
        <v>98</v>
      </c>
      <c r="C13101" s="31"/>
      <c r="D13101" s="27" t="n">
        <f aca="false">(Sens!D13094+Sens!D13098-Sens!D13099)+(Sens!D13086+Sens!D13087-Sens!D13085)+(Sens!D13089+Sens!D13090-Sens!D13088)+(Sens!D13099-Q!L18)</f>
        <v>0</v>
      </c>
      <c r="E13101" s="27" t="n">
        <f aca="false">(Sens!E13094+Sens!E13098-Sens!E13099)+(Sens!E13086+Sens!E13087-Sens!E13085)+(Sens!E13089+Sens!E13090-Sens!E13088)+(Sens!E13099-Q!M18)</f>
        <v>0</v>
      </c>
      <c r="F13101" s="27" t="n">
        <f aca="false">(Sens!F13094+Sens!F13098-Sens!F13099)+(Sens!F13086+Sens!F13087-Sens!F13085)+(Sens!F13089+Sens!F13090-Sens!F13088)</f>
        <v>0</v>
      </c>
      <c r="G13101" s="27" t="n">
        <f aca="false">(Sens!G13094+Sens!G13098-Sens!G13099)+(Sens!G13086+Sens!G13087-Sens!G13085)+(Sens!G13089+Sens!G13090-Sens!G13088)</f>
        <v>0</v>
      </c>
      <c r="H13101" s="27" t="n">
        <f aca="false">(Sens!H13094+Sens!H13098-Sens!H13099)+(Sens!H13086+Sens!H13087-Sens!H13085)+(Sens!H13089+Sens!H13090-Sens!H13088)</f>
        <v>0</v>
      </c>
      <c r="I13101" s="27" t="n">
        <f aca="false">(Sens!I13094+Sens!I13098-Sens!I13099)+(Sens!I13086+Sens!I13087-Sens!I13085)+(Sens!I13089+Sens!I13090-Sens!I13088)</f>
        <v>0</v>
      </c>
      <c r="J13101" s="27" t="n">
        <f aca="false">(Sens!J13094+Sens!J13098-Sens!J13099)+(Sens!J13086+Sens!J13087-Sens!J13085)+(Sens!J13089+Sens!J13090-Sens!J13088)</f>
        <v>0</v>
      </c>
      <c r="K13101" s="27" t="n">
        <f aca="false">(Sens!K13094+Sens!K13098-Sens!K13099)+(Sens!K13086+Sens!K13087-Sens!K13085)+(Sens!K13089+Sens!K13090-Sens!K13088)</f>
        <v>0</v>
      </c>
    </row>
    <row r="13102" customFormat="false" ht="17.15" hidden="false" customHeight="false" outlineLevel="0" collapsed="false">
      <c r="A13102" s="0" t="s">
        <v>1058</v>
      </c>
      <c r="B13102" s="0" t="s">
        <v>168</v>
      </c>
      <c r="E13102" s="7" t="n">
        <f aca="false">(Q!M21+Sens!E13038+Sens!E13039+Sens!E13040+Sens!E13054-Sens!E13036)/(Q!M5-Sens!E13036)</f>
        <v>0.570957350878296</v>
      </c>
      <c r="F13102" s="7" t="n">
        <f aca="false">Sens!$E$13102+dm_seg_lo</f>
        <v>0.550957350878296</v>
      </c>
      <c r="G13102" s="7" t="n">
        <f aca="false">Sens!$E$13102+dm_seg_lo</f>
        <v>0.550957350878296</v>
      </c>
      <c r="H13102" s="7" t="n">
        <f aca="false">Sens!$E$13102+dm_seg_lo</f>
        <v>0.550957350878296</v>
      </c>
      <c r="I13102" s="7" t="n">
        <f aca="false">Sens!$E$13102+dm_seg_lo</f>
        <v>0.550957350878296</v>
      </c>
      <c r="J13102" s="7" t="n">
        <f aca="false">Sens!$E$13102+dm_seg_lo</f>
        <v>0.550957350878296</v>
      </c>
      <c r="K13102" s="7" t="n">
        <f aca="false">Sens!$E$13102+dm_seg_lo</f>
        <v>0.550957350878296</v>
      </c>
      <c r="L13102" s="12" t="s">
        <v>1059</v>
      </c>
    </row>
    <row r="13103" customFormat="false" ht="17.15" hidden="false" customHeight="false" outlineLevel="0" collapsed="false">
      <c r="A13103" s="0" t="s">
        <v>880</v>
      </c>
      <c r="B13103" s="0" t="s">
        <v>98</v>
      </c>
      <c r="D13103" s="6" t="n">
        <f aca="false">Q!L21</f>
        <v>110.814</v>
      </c>
      <c r="E13103" s="6" t="n">
        <f aca="false">Q!M21</f>
        <v>136.365</v>
      </c>
      <c r="F13103" s="6" t="n">
        <f aca="false">Q!$I$21+(Sens!F13102*(Sens!F13073-Sens!F13036)+Sens!F13036-(Sens!F13038+Sens!F13039+Sens!F13040)-Sens!F13054-Sens!F13137)*(Sens!F13073-Q!$I$5)/Sens!F13073</f>
        <v>153.825689262575</v>
      </c>
      <c r="G13103" s="6" t="n">
        <f aca="false">(Sens!G13102*(Sens!G13073-Sens!G13036)+Sens!G13036-(Sens!G13038+Sens!G13039+Sens!G13040)-Sens!G13054-Sens!G13137)</f>
        <v>154.969443442808</v>
      </c>
      <c r="H13103" s="6" t="n">
        <f aca="false">(Sens!H13102*(Sens!H13073-Sens!H13036)+Sens!H13036-(Sens!H13038+Sens!H13039+Sens!H13040)-Sens!H13054-Sens!H13137)</f>
        <v>155.688554518895</v>
      </c>
      <c r="I13103" s="6" t="n">
        <f aca="false">(Sens!I13102*(Sens!I13073-Sens!I13036)+Sens!I13036-(Sens!I13038+Sens!I13039+Sens!I13040)-Sens!I13054-Sens!I13137)</f>
        <v>164.258966394163</v>
      </c>
      <c r="J13103" s="6" t="n">
        <f aca="false">(Sens!J13102*(Sens!J13073-Sens!J13036)+Sens!J13036-(Sens!J13038+Sens!J13039+Sens!J13040)-Sens!J13054-Sens!J13137)</f>
        <v>174.431982285838</v>
      </c>
      <c r="K13103" s="6" t="n">
        <f aca="false">(Sens!K13102*(Sens!K13073-Sens!K13036)+Sens!K13036-(Sens!K13038+Sens!K13039+Sens!K13040)-Sens!K13054-Sens!K13137)</f>
        <v>186.085673024011</v>
      </c>
      <c r="L13103" s="1" t="s">
        <v>1060</v>
      </c>
    </row>
    <row r="13104" customFormat="false" ht="17.15" hidden="false" customHeight="false" outlineLevel="0" collapsed="false">
      <c r="A13104" s="0" t="s">
        <v>1061</v>
      </c>
      <c r="B13104" s="0" t="s">
        <v>168</v>
      </c>
      <c r="E13104" s="7" t="n">
        <f aca="false">Q!M22/Q!M12</f>
        <v>0.296207935710698</v>
      </c>
      <c r="F13104" s="7" t="n">
        <f aca="false">Sens!$E$13104+dm_seg_lo</f>
        <v>0.276207935710698</v>
      </c>
      <c r="G13104" s="7" t="n">
        <f aca="false">Sens!$E$13104+dm_seg_lo</f>
        <v>0.276207935710698</v>
      </c>
      <c r="H13104" s="7" t="n">
        <f aca="false">Sens!$E$13104+dm_seg_lo</f>
        <v>0.276207935710698</v>
      </c>
      <c r="I13104" s="7" t="n">
        <f aca="false">Sens!$E$13104+dm_seg_lo</f>
        <v>0.276207935710698</v>
      </c>
      <c r="J13104" s="7" t="n">
        <f aca="false">Sens!$E$13104+dm_seg_lo</f>
        <v>0.276207935710698</v>
      </c>
      <c r="K13104" s="7" t="n">
        <f aca="false">Sens!$E$13104+dm_seg_lo</f>
        <v>0.276207935710698</v>
      </c>
      <c r="L13104" s="12" t="s">
        <v>1062</v>
      </c>
    </row>
    <row r="13105" customFormat="false" ht="17.15" hidden="false" customHeight="false" outlineLevel="0" collapsed="false">
      <c r="A13105" s="0" t="s">
        <v>882</v>
      </c>
      <c r="B13105" s="0" t="s">
        <v>98</v>
      </c>
      <c r="D13105" s="6" t="n">
        <f aca="false">Q!L22</f>
        <v>17.714</v>
      </c>
      <c r="E13105" s="6" t="n">
        <f aca="false">Q!M22</f>
        <v>18.872</v>
      </c>
      <c r="F13105" s="6" t="n">
        <f aca="false">Q!$I$22+(Sens!F13080-Q!$I$12)*Sens!F13104</f>
        <v>18.8410612513001</v>
      </c>
      <c r="G13105" s="6" t="n">
        <f aca="false">Sens!G13080*Sens!G13104</f>
        <v>18.3058665317709</v>
      </c>
      <c r="H13105" s="6" t="n">
        <f aca="false">Sens!H13080*Sens!H13104</f>
        <v>18.9793448100428</v>
      </c>
      <c r="I13105" s="6" t="n">
        <f aca="false">Sens!I13080*Sens!I13104</f>
        <v>19.7611971375859</v>
      </c>
      <c r="J13105" s="6" t="n">
        <f aca="false">Sens!J13080*Sens!J13104</f>
        <v>20.6346759206851</v>
      </c>
      <c r="K13105" s="6" t="n">
        <f aca="false">Sens!K13080*Sens!K13104</f>
        <v>21.5863170991412</v>
      </c>
      <c r="L13105" s="12" t="s">
        <v>1063</v>
      </c>
    </row>
    <row r="13106" customFormat="false" ht="15" hidden="false" customHeight="false" outlineLevel="0" collapsed="false">
      <c r="A13106" s="1" t="s">
        <v>1064</v>
      </c>
      <c r="B13106" s="0" t="s">
        <v>98</v>
      </c>
      <c r="D13106" s="6" t="n">
        <f aca="false">Sens!D13103+Sens!D13105</f>
        <v>128.528</v>
      </c>
      <c r="E13106" s="6" t="n">
        <f aca="false">Sens!E13103+Sens!E13105</f>
        <v>155.237</v>
      </c>
      <c r="F13106" s="6" t="n">
        <f aca="false">Sens!F13103+Sens!F13105</f>
        <v>172.666750513875</v>
      </c>
      <c r="G13106" s="6" t="n">
        <f aca="false">Sens!G13103+Sens!G13105</f>
        <v>173.275309974579</v>
      </c>
      <c r="H13106" s="6" t="n">
        <f aca="false">Sens!H13103+Sens!H13105</f>
        <v>174.667899328938</v>
      </c>
      <c r="I13106" s="6" t="n">
        <f aca="false">Sens!I13103+Sens!I13105</f>
        <v>184.020163531749</v>
      </c>
      <c r="J13106" s="6" t="n">
        <f aca="false">Sens!J13103+Sens!J13105</f>
        <v>195.066658206524</v>
      </c>
      <c r="K13106" s="6" t="n">
        <f aca="false">Sens!K13103+Sens!K13105</f>
        <v>207.671990123153</v>
      </c>
    </row>
    <row r="13107" customFormat="false" ht="15" hidden="false" customHeight="false" outlineLevel="0" collapsed="false">
      <c r="A13107" s="26" t="s">
        <v>1065</v>
      </c>
      <c r="B13107" s="31" t="s">
        <v>98</v>
      </c>
      <c r="C13107" s="31"/>
      <c r="D13107" s="27" t="n">
        <f aca="false">Sens!D13106-Q!L23</f>
        <v>0</v>
      </c>
      <c r="E13107" s="27" t="n">
        <f aca="false">Sens!E13106-Q!M23</f>
        <v>0</v>
      </c>
      <c r="F13107" s="31"/>
      <c r="G13107" s="31"/>
      <c r="H13107" s="31"/>
      <c r="I13107" s="31"/>
      <c r="J13107" s="31"/>
      <c r="K13107" s="31"/>
    </row>
    <row r="13108" customFormat="false" ht="15" hidden="false" customHeight="false" outlineLevel="0" collapsed="false">
      <c r="A13108" s="1" t="s">
        <v>1066</v>
      </c>
      <c r="B13108" s="0" t="s">
        <v>168</v>
      </c>
      <c r="D13108" s="7" t="n">
        <f aca="false">Sens!D13106/Sens!D13099</f>
        <v>0.456219562408598</v>
      </c>
      <c r="E13108" s="7" t="n">
        <f aca="false">Sens!E13106/Sens!E13099</f>
        <v>0.467808184089272</v>
      </c>
      <c r="F13108" s="7" t="n">
        <f aca="false">Sens!F13106/Sens!F13099</f>
        <v>0.437742970813806</v>
      </c>
      <c r="G13108" s="7" t="n">
        <f aca="false">Sens!G13106/Sens!G13099</f>
        <v>0.377561701831214</v>
      </c>
      <c r="H13108" s="7" t="n">
        <f aca="false">Sens!H13106/Sens!H13099</f>
        <v>0.336379634533011</v>
      </c>
      <c r="I13108" s="7" t="n">
        <f aca="false">Sens!I13106/Sens!I13099</f>
        <v>0.316057266748647</v>
      </c>
      <c r="J13108" s="7" t="n">
        <f aca="false">Sens!J13106/Sens!J13099</f>
        <v>0.307131724788556</v>
      </c>
      <c r="K13108" s="7" t="n">
        <f aca="false">Sens!K13106/Sens!K13099</f>
        <v>0.30617224861752</v>
      </c>
    </row>
    <row r="13109" customFormat="false" ht="17.15" hidden="false" customHeight="false" outlineLevel="0" collapsed="false">
      <c r="A13109" s="1" t="s">
        <v>1067</v>
      </c>
      <c r="B13109" s="0" t="s">
        <v>98</v>
      </c>
      <c r="F13109" s="6" t="n">
        <f aca="false">Sens!F13124</f>
        <v>10.7012787979473</v>
      </c>
      <c r="G13109" s="6" t="n">
        <f aca="false">Sens!G13124</f>
        <v>28.009646674932</v>
      </c>
      <c r="H13109" s="6" t="n">
        <f aca="false">Sens!H13124</f>
        <v>46.791205501382</v>
      </c>
      <c r="I13109" s="6" t="n">
        <f aca="false">Sens!I13124</f>
        <v>63.5417778126444</v>
      </c>
      <c r="J13109" s="6" t="n">
        <f aca="false">Sens!J13124</f>
        <v>75.2061222882009</v>
      </c>
      <c r="K13109" s="6" t="n">
        <f aca="false">Sens!K13124</f>
        <v>81.9695437180232</v>
      </c>
      <c r="L13109" s="1" t="s">
        <v>1068</v>
      </c>
    </row>
    <row r="13110" customFormat="false" ht="17.15" hidden="false" customHeight="false" outlineLevel="0" collapsed="false">
      <c r="A13110" s="1" t="s">
        <v>1069</v>
      </c>
      <c r="B13110" s="0" t="s">
        <v>98</v>
      </c>
      <c r="D13110" s="6" t="n">
        <f aca="false">Sens!D13106</f>
        <v>128.528</v>
      </c>
      <c r="E13110" s="6" t="n">
        <f aca="false">Sens!E13106</f>
        <v>155.237</v>
      </c>
      <c r="F13110" s="6" t="n">
        <f aca="false">Sens!F13106+Sens!F13109</f>
        <v>183.368029311823</v>
      </c>
      <c r="G13110" s="6" t="n">
        <f aca="false">Sens!G13106+Sens!G13109</f>
        <v>201.284956649511</v>
      </c>
      <c r="H13110" s="6" t="n">
        <f aca="false">Sens!H13106+Sens!H13109</f>
        <v>221.45910483032</v>
      </c>
      <c r="I13110" s="6" t="n">
        <f aca="false">Sens!I13106+Sens!I13109</f>
        <v>247.561941344393</v>
      </c>
      <c r="J13110" s="6" t="n">
        <f aca="false">Sens!J13106+Sens!J13109</f>
        <v>270.272780494724</v>
      </c>
      <c r="K13110" s="6" t="n">
        <f aca="false">Sens!K13106+Sens!K13109</f>
        <v>289.641533841176</v>
      </c>
    </row>
    <row r="13111" customFormat="false" ht="17.15" hidden="false" customHeight="false" outlineLevel="0" collapsed="false">
      <c r="A13111" s="1" t="s">
        <v>1070</v>
      </c>
      <c r="B13111" s="0" t="s">
        <v>98</v>
      </c>
      <c r="E13111" s="6" t="n">
        <f aca="false">Sens!E13054</f>
        <v>16.3054059770833</v>
      </c>
      <c r="F13111" s="6" t="n">
        <f aca="false">Sens!F13054</f>
        <v>34.5793144783516</v>
      </c>
      <c r="G13111" s="6" t="n">
        <f aca="false">Sens!G13054</f>
        <v>60.7344906522989</v>
      </c>
      <c r="H13111" s="6" t="n">
        <f aca="false">Sens!H13054</f>
        <v>89.1000906614457</v>
      </c>
      <c r="I13111" s="6" t="n">
        <f aca="false">Sens!I13054</f>
        <v>114.231009694548</v>
      </c>
      <c r="J13111" s="6" t="n">
        <f aca="false">Sens!J13054</f>
        <v>132.015673049596</v>
      </c>
      <c r="K13111" s="6" t="n">
        <f aca="false">Sens!K13054</f>
        <v>143.012669550934</v>
      </c>
    </row>
    <row r="13112" customFormat="false" ht="17.15" hidden="false" customHeight="false" outlineLevel="0" collapsed="false">
      <c r="A13112" s="1" t="s">
        <v>1071</v>
      </c>
      <c r="B13112" s="0" t="s">
        <v>98</v>
      </c>
      <c r="E13112" s="6" t="n">
        <f aca="false">Sens!E13136</f>
        <v>22.2285940229167</v>
      </c>
      <c r="F13112" s="6" t="n">
        <f aca="false">Sens!F13136</f>
        <v>23.5883405279552</v>
      </c>
      <c r="G13112" s="6" t="n">
        <f aca="false">Sens!G13136</f>
        <v>25.347608709247</v>
      </c>
      <c r="H13112" s="6" t="n">
        <f aca="false">Sens!H13136</f>
        <v>27.4750934833125</v>
      </c>
      <c r="I13112" s="6" t="n">
        <f aca="false">Sens!I13136</f>
        <v>29.9140127982598</v>
      </c>
      <c r="J13112" s="6" t="n">
        <f aca="false">Sens!J13136</f>
        <v>32.5895147654561</v>
      </c>
      <c r="K13112" s="6" t="n">
        <f aca="false">Sens!K13136</f>
        <v>35.4171979437481</v>
      </c>
    </row>
    <row r="13113" customFormat="false" ht="17.15" hidden="false" customHeight="false" outlineLevel="0" collapsed="false">
      <c r="A13113" s="1" t="s">
        <v>1072</v>
      </c>
      <c r="B13113" s="0" t="s">
        <v>98</v>
      </c>
      <c r="D13113" s="6" t="n">
        <f aca="false">Q!L27</f>
        <v>-4.901</v>
      </c>
      <c r="E13113" s="6" t="n">
        <f aca="false">Q!M27</f>
        <v>10.697</v>
      </c>
      <c r="F13113" s="6" t="n">
        <f aca="false">Q!$I$27+oie_f*(q_per_yr-1)/q_per_yr</f>
        <v>-0.862</v>
      </c>
      <c r="G13113" s="6" t="n">
        <f aca="false">oie_f</f>
        <v>-1.2</v>
      </c>
      <c r="H13113" s="6" t="n">
        <f aca="false">oie_f</f>
        <v>-1.2</v>
      </c>
      <c r="I13113" s="6" t="n">
        <f aca="false">oie_f</f>
        <v>-1.2</v>
      </c>
      <c r="J13113" s="6" t="n">
        <f aca="false">oie_f</f>
        <v>-1.2</v>
      </c>
      <c r="K13113" s="6" t="n">
        <f aca="false">oie_f</f>
        <v>-1.2</v>
      </c>
      <c r="L13113" s="12" t="s">
        <v>1073</v>
      </c>
    </row>
    <row r="13114" customFormat="false" ht="15" hidden="false" customHeight="false" outlineLevel="0" collapsed="false">
      <c r="A13114" s="1" t="s">
        <v>1074</v>
      </c>
      <c r="B13114" s="0" t="s">
        <v>98</v>
      </c>
      <c r="D13114" s="6" t="n">
        <f aca="false">Sens!D13106+Sens!D13113</f>
        <v>123.627</v>
      </c>
      <c r="E13114" s="6" t="n">
        <f aca="false">Sens!E13106+Sens!E13113</f>
        <v>165.934</v>
      </c>
      <c r="F13114" s="6" t="n">
        <f aca="false">Sens!F13106+Sens!F13113</f>
        <v>171.804750513875</v>
      </c>
      <c r="G13114" s="6" t="n">
        <f aca="false">Sens!G13106+Sens!G13113</f>
        <v>172.075309974579</v>
      </c>
      <c r="H13114" s="6" t="n">
        <f aca="false">Sens!H13106+Sens!H13113</f>
        <v>173.467899328938</v>
      </c>
      <c r="I13114" s="6" t="n">
        <f aca="false">Sens!I13106+Sens!I13113</f>
        <v>182.820163531749</v>
      </c>
      <c r="J13114" s="6" t="n">
        <f aca="false">Sens!J13106+Sens!J13113</f>
        <v>193.866658206524</v>
      </c>
      <c r="K13114" s="6" t="n">
        <f aca="false">Sens!K13106+Sens!K13113</f>
        <v>206.471990123153</v>
      </c>
    </row>
    <row r="13115" customFormat="false" ht="15" hidden="false" customHeight="false" outlineLevel="0" collapsed="false">
      <c r="A13115" s="1" t="s">
        <v>1075</v>
      </c>
      <c r="B13115" s="0" t="s">
        <v>98</v>
      </c>
      <c r="D13115" s="6" t="n">
        <f aca="false">Q!L29</f>
        <v>21.795</v>
      </c>
      <c r="E13115" s="6" t="n">
        <f aca="false">Q!M29</f>
        <v>32.185</v>
      </c>
      <c r="F13115" s="6" t="n">
        <f aca="false">Q!$I$29+(Sens!F13114-Q!$I$28)*tax_f</f>
        <v>34.494350102775</v>
      </c>
      <c r="G13115" s="6" t="n">
        <f aca="false">Sens!G13114*tax_f</f>
        <v>34.4150619949158</v>
      </c>
      <c r="H13115" s="6" t="n">
        <f aca="false">Sens!H13114*tax_f</f>
        <v>34.6935798657877</v>
      </c>
      <c r="I13115" s="6" t="n">
        <f aca="false">Sens!I13114*tax_f</f>
        <v>36.5640327063498</v>
      </c>
      <c r="J13115" s="6" t="n">
        <f aca="false">Sens!J13114*tax_f</f>
        <v>38.7733316413047</v>
      </c>
      <c r="K13115" s="6" t="n">
        <f aca="false">Sens!K13114*tax_f</f>
        <v>41.2943980246305</v>
      </c>
    </row>
    <row r="13116" customFormat="false" ht="15" hidden="false" customHeight="false" outlineLevel="0" collapsed="false">
      <c r="A13116" s="1" t="s">
        <v>1076</v>
      </c>
      <c r="B13116" s="0" t="s">
        <v>98</v>
      </c>
      <c r="D13116" s="6" t="n">
        <f aca="false">Sens!D13114-Sens!D13115</f>
        <v>101.832</v>
      </c>
      <c r="E13116" s="6" t="n">
        <f aca="false">Sens!E13114-Sens!E13115</f>
        <v>133.749</v>
      </c>
      <c r="F13116" s="6" t="n">
        <f aca="false">Sens!F13114-Sens!F13115</f>
        <v>137.3104004111</v>
      </c>
      <c r="G13116" s="6" t="n">
        <f aca="false">Sens!G13114-Sens!G13115</f>
        <v>137.660247979663</v>
      </c>
      <c r="H13116" s="6" t="n">
        <f aca="false">Sens!H13114-Sens!H13115</f>
        <v>138.774319463151</v>
      </c>
      <c r="I13116" s="6" t="n">
        <f aca="false">Sens!I13114-Sens!I13115</f>
        <v>146.256130825399</v>
      </c>
      <c r="J13116" s="6" t="n">
        <f aca="false">Sens!J13114-Sens!J13115</f>
        <v>155.093326565219</v>
      </c>
      <c r="K13116" s="6" t="n">
        <f aca="false">Sens!K13114-Sens!K13115</f>
        <v>165.177592098522</v>
      </c>
    </row>
    <row r="13117" customFormat="false" ht="17.15" hidden="false" customHeight="false" outlineLevel="0" collapsed="false">
      <c r="A13117" s="1" t="s">
        <v>1077</v>
      </c>
      <c r="B13117" s="1" t="s">
        <v>81</v>
      </c>
      <c r="D13117" s="15" t="n">
        <f aca="false">Q!L31</f>
        <v>7.465</v>
      </c>
      <c r="E13117" s="15" t="n">
        <f aca="false">Q!M31</f>
        <v>7.453</v>
      </c>
      <c r="F13117" s="15" t="n">
        <f aca="false">Sens!F13161</f>
        <v>7.4735</v>
      </c>
      <c r="G13117" s="15" t="n">
        <f aca="false">Sens!G13161</f>
        <v>7.5185</v>
      </c>
      <c r="H13117" s="15" t="n">
        <f aca="false">Sens!H13161</f>
        <v>7.5635</v>
      </c>
      <c r="I13117" s="15" t="n">
        <f aca="false">Sens!I13161</f>
        <v>7.59248142502667</v>
      </c>
      <c r="J13117" s="15" t="n">
        <f aca="false">Sens!J13161</f>
        <v>7.60663083618914</v>
      </c>
      <c r="K13117" s="15" t="n">
        <f aca="false">Sens!K13161</f>
        <v>7.62306547615439</v>
      </c>
    </row>
    <row r="13118" customFormat="false" ht="17.15" hidden="false" customHeight="false" outlineLevel="0" collapsed="false">
      <c r="A13118" s="0" t="s">
        <v>1078</v>
      </c>
      <c r="B13118" s="0" t="s">
        <v>75</v>
      </c>
      <c r="D13118" s="8" t="n">
        <f aca="false">Sens!D13116/Sens!D13117</f>
        <v>13.641259209645</v>
      </c>
      <c r="E13118" s="8" t="n">
        <f aca="false">Sens!E13116/Sens!E13117</f>
        <v>17.9456594659869</v>
      </c>
      <c r="F13118" s="8" t="n">
        <f aca="false">Sens!F13116/Sens!F13117</f>
        <v>18.3729712197899</v>
      </c>
      <c r="G13118" s="8" t="n">
        <f aca="false">Sens!G13116/Sens!G13117</f>
        <v>18.3095362079754</v>
      </c>
      <c r="H13118" s="8" t="n">
        <f aca="false">Sens!H13116/Sens!H13117</f>
        <v>18.3478970665896</v>
      </c>
      <c r="I13118" s="8" t="n">
        <f aca="false">Sens!I13116/Sens!I13117</f>
        <v>19.2632846414748</v>
      </c>
      <c r="J13118" s="8" t="n">
        <f aca="false">Sens!J13116/Sens!J13117</f>
        <v>20.3892274918023</v>
      </c>
      <c r="K13118" s="8" t="n">
        <f aca="false">Sens!K13116/Sens!K13117</f>
        <v>21.6681324088337</v>
      </c>
      <c r="L13118" s="1" t="s">
        <v>1079</v>
      </c>
    </row>
    <row r="13119" customFormat="false" ht="17.15" hidden="false" customHeight="false" outlineLevel="0" collapsed="false">
      <c r="A13119" s="1" t="s">
        <v>1080</v>
      </c>
      <c r="B13119" s="0" t="s">
        <v>98</v>
      </c>
      <c r="D13119" s="6" t="n">
        <f aca="false">Sens!D13116</f>
        <v>101.832</v>
      </c>
      <c r="E13119" s="6" t="n">
        <f aca="false">Sens!E13116</f>
        <v>133.749</v>
      </c>
      <c r="F13119" s="6" t="n">
        <f aca="false">Sens!F13116+Sens!F13109*(1-tax_f)</f>
        <v>145.871423449458</v>
      </c>
      <c r="G13119" s="6" t="n">
        <f aca="false">Sens!G13116+Sens!G13109*(1-tax_f)</f>
        <v>160.067965319609</v>
      </c>
      <c r="H13119" s="6" t="n">
        <f aca="false">Sens!H13116+Sens!H13109*(1-tax_f)</f>
        <v>176.207283864256</v>
      </c>
      <c r="I13119" s="6" t="n">
        <f aca="false">Sens!I13116+Sens!I13109*(1-tax_f)</f>
        <v>197.089553075515</v>
      </c>
      <c r="J13119" s="6" t="n">
        <f aca="false">Sens!J13116+Sens!J13109*(1-tax_f)</f>
        <v>215.25822439578</v>
      </c>
      <c r="K13119" s="6" t="n">
        <f aca="false">Sens!K13116+Sens!K13109*(1-tax_f)</f>
        <v>230.753227072941</v>
      </c>
    </row>
    <row r="13120" customFormat="false" ht="17.15" hidden="false" customHeight="false" outlineLevel="0" collapsed="false">
      <c r="A13120" s="0" t="s">
        <v>1081</v>
      </c>
      <c r="B13120" s="0" t="s">
        <v>75</v>
      </c>
      <c r="D13120" s="8" t="n">
        <f aca="false">Sens!D13119/Sens!D13117</f>
        <v>13.641259209645</v>
      </c>
      <c r="E13120" s="8" t="n">
        <f aca="false">Sens!E13119/Sens!E13117</f>
        <v>17.9456594659869</v>
      </c>
      <c r="F13120" s="8" t="n">
        <f aca="false">Sens!F13119/Sens!F13117</f>
        <v>19.5184884524598</v>
      </c>
      <c r="G13120" s="8" t="n">
        <f aca="false">Sens!G13119/Sens!G13117</f>
        <v>21.2898803377813</v>
      </c>
      <c r="H13120" s="8" t="n">
        <f aca="false">Sens!H13119/Sens!H13117</f>
        <v>23.2970561068627</v>
      </c>
      <c r="I13120" s="8" t="n">
        <f aca="false">Sens!I13119/Sens!I13117</f>
        <v>25.958516332468</v>
      </c>
      <c r="J13120" s="8" t="n">
        <f aca="false">Sens!J13119/Sens!J13117</f>
        <v>28.2987605197917</v>
      </c>
      <c r="K13120" s="8" t="n">
        <f aca="false">Sens!K13119/Sens!K13117</f>
        <v>30.2703981481934</v>
      </c>
      <c r="L13120" s="1" t="s">
        <v>1082</v>
      </c>
    </row>
    <row r="13121" customFormat="false" ht="17.15" hidden="false" customHeight="false" outlineLevel="0" collapsed="false">
      <c r="A13121" s="0" t="s">
        <v>1083</v>
      </c>
      <c r="B13121" s="0" t="s">
        <v>168</v>
      </c>
      <c r="E13121" s="7" t="n">
        <f aca="false">Sens!E13120/Sens!D13120-1</f>
        <v>0.315542736208578</v>
      </c>
      <c r="F13121" s="7" t="n">
        <f aca="false">Sens!F13120/Sens!E13120-1</f>
        <v>0.087643978169426</v>
      </c>
      <c r="G13121" s="7" t="n">
        <f aca="false">Sens!G13120/Sens!F13120-1</f>
        <v>0.0907545627642248</v>
      </c>
      <c r="H13121" s="7" t="n">
        <f aca="false">Sens!H13120/Sens!G13120-1</f>
        <v>0.0942783959907674</v>
      </c>
      <c r="I13121" s="7" t="n">
        <f aca="false">Sens!I13120/Sens!H13120-1</f>
        <v>0.114240194700878</v>
      </c>
      <c r="J13121" s="7" t="n">
        <f aca="false">Sens!J13120/Sens!I13120-1</f>
        <v>0.0901532336190052</v>
      </c>
      <c r="K13121" s="7" t="n">
        <f aca="false">Sens!K13120/Sens!J13120-1</f>
        <v>0.0696722256447484</v>
      </c>
    </row>
    <row r="13122" customFormat="false" ht="17.15" hidden="false" customHeight="false" outlineLevel="0" collapsed="false">
      <c r="A13122" s="0" t="s">
        <v>1003</v>
      </c>
      <c r="B13122" s="0" t="s">
        <v>98</v>
      </c>
      <c r="E13122" s="6" t="n">
        <f aca="false">Sens!E13063</f>
        <v>5.25</v>
      </c>
      <c r="F13122" s="6" t="n">
        <f aca="false">Sens!F13063</f>
        <v>10.5</v>
      </c>
      <c r="G13122" s="6" t="n">
        <f aca="false">Sens!G13063</f>
        <v>13.5</v>
      </c>
      <c r="H13122" s="6" t="n">
        <f aca="false">Sens!H13063</f>
        <v>16.5</v>
      </c>
      <c r="I13122" s="6" t="n">
        <f aca="false">Sens!I13063</f>
        <v>18.75</v>
      </c>
      <c r="J13122" s="6" t="n">
        <f aca="false">Sens!J13063</f>
        <v>20.25</v>
      </c>
      <c r="K13122" s="6" t="n">
        <f aca="false">Sens!K13063</f>
        <v>21.75</v>
      </c>
    </row>
    <row r="13123" customFormat="false" ht="17.15" hidden="false" customHeight="false" outlineLevel="0" collapsed="false">
      <c r="A13123" s="1" t="s">
        <v>1004</v>
      </c>
      <c r="B13123" s="0" t="s">
        <v>98</v>
      </c>
      <c r="F13123" s="6" t="n">
        <f aca="false">MAX(0,((Sens!E13023+Sens!F13023)/2-(shadow_base*(Sens!$D$13023+Sens!$E$13023)/2+(1-shadow_base)*Sens!$E$13023))*Sens!F13032/1000-(Sens!F13122-Sens!$E$13122)*Sens!F13102)</f>
        <v>10.7012787979473</v>
      </c>
      <c r="G13123" s="6" t="n">
        <f aca="false">MAX(0,((Sens!F13023+Sens!G13023)/2-(shadow_base*(Sens!$D$13023+Sens!$E$13023)/2+(1-shadow_base)*Sens!$E$13023))*Sens!G13032/1000-(Sens!G13122-Sens!$E$13122)*Sens!G13102)</f>
        <v>28.009646674932</v>
      </c>
      <c r="H13123" s="6" t="n">
        <f aca="false">MAX(0,((Sens!G13023+Sens!H13023)/2-(shadow_base*(Sens!$D$13023+Sens!$E$13023)/2+(1-shadow_base)*Sens!$E$13023))*Sens!H13032/1000-(Sens!H13122-Sens!$E$13122)*Sens!H13102)</f>
        <v>46.791205501382</v>
      </c>
      <c r="I13123" s="6" t="n">
        <f aca="false">MAX(0,((Sens!H13023+Sens!I13023)/2-(shadow_base*(Sens!$D$13023+Sens!$E$13023)/2+(1-shadow_base)*Sens!$E$13023))*Sens!I13032/1000-(Sens!I13122-Sens!$E$13122)*Sens!I13102)</f>
        <v>63.5417778126444</v>
      </c>
      <c r="J13123" s="6" t="n">
        <f aca="false">MAX(0,((Sens!I13023+Sens!J13023)/2-(shadow_base*(Sens!$D$13023+Sens!$E$13023)/2+(1-shadow_base)*Sens!$E$13023))*Sens!J13032/1000-(Sens!J13122-Sens!$E$13122)*Sens!J13102)</f>
        <v>75.2061222882009</v>
      </c>
      <c r="K13123" s="6" t="n">
        <f aca="false">MAX(0,((Sens!J13023+Sens!K13023)/2-(shadow_base*(Sens!$D$13023+Sens!$E$13023)/2+(1-shadow_base)*Sens!$E$13023))*Sens!K13032/1000-(Sens!K13122-Sens!$E$13122)*Sens!K13102)</f>
        <v>81.9695437180232</v>
      </c>
      <c r="L13123" s="1" t="s">
        <v>1005</v>
      </c>
    </row>
    <row r="13124" customFormat="false" ht="17.15" hidden="false" customHeight="false" outlineLevel="0" collapsed="false">
      <c r="A13124" s="1" t="s">
        <v>1006</v>
      </c>
      <c r="B13124" s="0" t="s">
        <v>98</v>
      </c>
      <c r="F13124" s="6" t="n">
        <f aca="false">IF(internal_ai_reading=2,1,0)*Sens!F13123</f>
        <v>10.7012787979473</v>
      </c>
      <c r="G13124" s="6" t="n">
        <f aca="false">IF(internal_ai_reading=2,1,0)*Sens!G13123</f>
        <v>28.009646674932</v>
      </c>
      <c r="H13124" s="6" t="n">
        <f aca="false">IF(internal_ai_reading=2,1,0)*Sens!H13123</f>
        <v>46.791205501382</v>
      </c>
      <c r="I13124" s="6" t="n">
        <f aca="false">IF(internal_ai_reading=2,1,0)*Sens!I13123</f>
        <v>63.5417778126444</v>
      </c>
      <c r="J13124" s="6" t="n">
        <f aca="false">IF(internal_ai_reading=2,1,0)*Sens!J13123</f>
        <v>75.2061222882009</v>
      </c>
      <c r="K13124" s="6" t="n">
        <f aca="false">IF(internal_ai_reading=2,1,0)*Sens!K13123</f>
        <v>81.9695437180232</v>
      </c>
    </row>
    <row r="13125" customFormat="false" ht="17.15" hidden="false" customHeight="false" outlineLevel="0" collapsed="false">
      <c r="A13125" s="0" t="s">
        <v>1007</v>
      </c>
      <c r="B13125" s="0" t="s">
        <v>98</v>
      </c>
      <c r="F13125" s="6" t="n">
        <f aca="false">Sens!F13042+Sens!F13122*Sens!F13102+Sens!F13124-Sens!F13043-Sens!F13054</f>
        <v>10.2803806853618</v>
      </c>
      <c r="G13125" s="6" t="n">
        <f aca="false">Sens!G13042+Sens!G13122*Sens!G13102+Sens!G13124-Sens!G13043-Sens!G13054</f>
        <v>16.333931310574</v>
      </c>
      <c r="H13125" s="6" t="n">
        <f aca="false">Sens!H13042+Sens!H13122*Sens!H13102+Sens!H13124-Sens!H13043-Sens!H13054</f>
        <v>17.030416308873</v>
      </c>
      <c r="I13125" s="6" t="n">
        <f aca="false">Sens!I13042+Sens!I13122*Sens!I13102+Sens!I13124-Sens!I13043-Sens!I13054</f>
        <v>24.0243804008656</v>
      </c>
      <c r="J13125" s="6" t="n">
        <f aca="false">Sens!J13042+Sens!J13122*Sens!J13102+Sens!J13124-Sens!J13043-Sens!J13054</f>
        <v>28.7495659869181</v>
      </c>
      <c r="K13125" s="6" t="n">
        <f aca="false">Sens!K13042+Sens!K13122*Sens!K13102+Sens!K13124-Sens!K13043-Sens!K13054</f>
        <v>32.0324748525101</v>
      </c>
    </row>
    <row r="13126" customFormat="false" ht="17.15" hidden="false" customHeight="false" outlineLevel="0" collapsed="false">
      <c r="A13126" s="0" t="s">
        <v>1008</v>
      </c>
      <c r="B13126" s="0" t="s">
        <v>98</v>
      </c>
      <c r="E13126" s="6" t="n">
        <f aca="false">Sens!E13022*(cxit_open+self_build*tk_cxfac)/1000*ai_net_open</f>
        <v>126.6980382</v>
      </c>
      <c r="F13126" s="6" t="n">
        <f aca="false">Sens!E13126+Sens!F13051-Sens!F13054</f>
        <v>260.572627763768</v>
      </c>
      <c r="G13126" s="6" t="n">
        <f aca="false">Sens!F13126+Sens!G13051-Sens!G13054</f>
        <v>391.782612760517</v>
      </c>
      <c r="H13126" s="6" t="n">
        <f aca="false">Sens!G13126+Sens!H13051-Sens!H13054</f>
        <v>499.488526163584</v>
      </c>
      <c r="I13126" s="6" t="n">
        <f aca="false">Sens!H13126+Sens!I13051-Sens!I13054</f>
        <v>553.872350090646</v>
      </c>
      <c r="J13126" s="6" t="n">
        <f aca="false">Sens!I13126+Sens!J13051-Sens!J13054</f>
        <v>550.78660823699</v>
      </c>
      <c r="K13126" s="6" t="n">
        <f aca="false">Sens!J13126+Sens!K13051-Sens!K13054</f>
        <v>526.736791750789</v>
      </c>
      <c r="L13126" s="1" t="s">
        <v>1009</v>
      </c>
    </row>
    <row r="13127" customFormat="false" ht="17.15" hidden="false" customHeight="false" outlineLevel="0" collapsed="false">
      <c r="A13127" s="0" t="s">
        <v>1010</v>
      </c>
      <c r="B13127" s="0" t="s">
        <v>168</v>
      </c>
      <c r="F13127" s="7" t="n">
        <f aca="false">Sens!F13125*(1-tax_f)/((Sens!E13126+Sens!F13126)/2)</f>
        <v>0.0424731603558059</v>
      </c>
      <c r="G13127" s="7" t="n">
        <f aca="false">Sens!G13125*(1-tax_f)/((Sens!F13126+Sens!G13126)/2)</f>
        <v>0.0400614396473843</v>
      </c>
      <c r="H13127" s="7" t="n">
        <f aca="false">Sens!H13125*(1-tax_f)/((Sens!G13126+Sens!H13126)/2)</f>
        <v>0.0305728132598236</v>
      </c>
      <c r="I13127" s="7" t="n">
        <f aca="false">Sens!I13125*(1-tax_f)/((Sens!H13126+Sens!I13126)/2)</f>
        <v>0.0364917755233846</v>
      </c>
      <c r="J13127" s="7" t="n">
        <f aca="false">Sens!J13125*(1-tax_f)/((Sens!I13126+Sens!J13126)/2)</f>
        <v>0.0416411827671304</v>
      </c>
      <c r="K13127" s="7" t="n">
        <f aca="false">Sens!K13125*(1-tax_f)/((Sens!J13126+Sens!K13126)/2)</f>
        <v>0.0475645909542172</v>
      </c>
    </row>
    <row r="13128" customFormat="false" ht="17.15" hidden="false" customHeight="false" outlineLevel="0" collapsed="false">
      <c r="A13128" s="1" t="s">
        <v>1011</v>
      </c>
      <c r="B13128" s="0" t="s">
        <v>168</v>
      </c>
      <c r="F13128" s="7" t="n">
        <f aca="false">(Sens!F13125-Sens!F13124)*(1-tax_f)/((Sens!E13126+Sens!F13126)/2)</f>
        <v>-0.00173893103538059</v>
      </c>
      <c r="G13128" s="7" t="n">
        <f aca="false">(Sens!G13125-Sens!G13124)*(1-tax_f)/((Sens!F13126+Sens!G13126)/2)</f>
        <v>-0.0286364597423316</v>
      </c>
      <c r="H13128" s="7" t="n">
        <f aca="false">(Sens!H13125-Sens!H13124)*(1-tax_f)/((Sens!G13126+Sens!H13126)/2)</f>
        <v>-0.0534262365608468</v>
      </c>
      <c r="I13128" s="7" t="n">
        <f aca="false">(Sens!I13125-Sens!I13124)*(1-tax_f)/((Sens!H13126+Sens!I13126)/2)</f>
        <v>-0.0600248568977475</v>
      </c>
      <c r="J13128" s="7" t="n">
        <f aca="false">(Sens!J13125-Sens!J13124)*(1-tax_f)/((Sens!I13126+Sens!J13126)/2)</f>
        <v>-0.0672881793260274</v>
      </c>
      <c r="K13128" s="7" t="n">
        <f aca="false">(Sens!K13125-Sens!K13124)*(1-tax_f)/((Sens!J13126+Sens!K13126)/2)</f>
        <v>-0.0741508817216658</v>
      </c>
    </row>
    <row r="13129" customFormat="false" ht="17.15" hidden="false" customHeight="false" outlineLevel="0" collapsed="false">
      <c r="A13129" s="1" t="s">
        <v>1012</v>
      </c>
      <c r="B13129" s="0" t="s">
        <v>168</v>
      </c>
      <c r="F13129" s="7" t="n">
        <f aca="false">(Sens!F13125-Sens!F13124+Sens!F13123)*(1-tax_f)/((Sens!E13126+Sens!F13126)/2)</f>
        <v>0.0424731603558059</v>
      </c>
      <c r="G13129" s="7" t="n">
        <f aca="false">(Sens!G13125-Sens!G13124+Sens!G13123)*(1-tax_f)/((Sens!F13126+Sens!G13126)/2)</f>
        <v>0.0400614396473843</v>
      </c>
      <c r="H13129" s="7" t="n">
        <f aca="false">(Sens!H13125-Sens!H13124+Sens!H13123)*(1-tax_f)/((Sens!G13126+Sens!H13126)/2)</f>
        <v>0.0305728132598236</v>
      </c>
      <c r="I13129" s="7" t="n">
        <f aca="false">(Sens!I13125-Sens!I13124+Sens!I13123)*(1-tax_f)/((Sens!H13126+Sens!I13126)/2)</f>
        <v>0.0364917755233846</v>
      </c>
      <c r="J13129" s="7" t="n">
        <f aca="false">(Sens!J13125-Sens!J13124+Sens!J13123)*(1-tax_f)/((Sens!I13126+Sens!J13126)/2)</f>
        <v>0.0416411827671304</v>
      </c>
      <c r="K13129" s="7" t="n">
        <f aca="false">(Sens!K13125-Sens!K13124+Sens!K13123)*(1-tax_f)/((Sens!J13126+Sens!K13126)/2)</f>
        <v>0.0475645909542172</v>
      </c>
    </row>
    <row r="13130" customFormat="false" ht="17.15" hidden="false" customHeight="false" outlineLevel="0" collapsed="false">
      <c r="A13130" s="1" t="s">
        <v>1013</v>
      </c>
      <c r="B13130" s="0" t="s">
        <v>168</v>
      </c>
      <c r="F13130" s="7" t="n">
        <f aca="false">Sens!F13055*(1-tax_f)/(Sens!F13041*(Sens!E13126+Sens!F13126)/2)</f>
        <v>0.098791430090569</v>
      </c>
      <c r="G13130" s="7" t="n">
        <f aca="false">Sens!G13055*(1-tax_f)/(Sens!G13041*(Sens!F13126+Sens!G13126)/2)</f>
        <v>0.0675308856427828</v>
      </c>
      <c r="H13130" s="7" t="n">
        <f aca="false">Sens!H13055*(1-tax_f)/(Sens!H13041*(Sens!G13126+Sens!H13126)/2)</f>
        <v>0.0388374979528754</v>
      </c>
      <c r="I13130" s="7" t="n">
        <f aca="false">Sens!I13055*(1-tax_f)/(Sens!I13041*(Sens!H13126+Sens!I13126)/2)</f>
        <v>0.0411035671771815</v>
      </c>
      <c r="J13130" s="7" t="n">
        <f aca="false">Sens!J13055*(1-tax_f)/(Sens!J13041*(Sens!I13126+Sens!J13126)/2)</f>
        <v>0.0445222722541192</v>
      </c>
      <c r="K13130" s="7" t="n">
        <f aca="false">Sens!K13055*(1-tax_f)/(Sens!K13041*(Sens!J13126+Sens!K13126)/2)</f>
        <v>0.0498866361688162</v>
      </c>
    </row>
    <row r="13131" customFormat="false" ht="17.15" hidden="false" customHeight="false" outlineLevel="0" collapsed="false">
      <c r="A13131" s="0" t="s">
        <v>1014</v>
      </c>
      <c r="B13131" s="0" t="s">
        <v>253</v>
      </c>
      <c r="F13131" s="7" t="n">
        <f aca="false">Sens!F13127-wacc</f>
        <v>-0.0604634305897914</v>
      </c>
      <c r="G13131" s="7" t="n">
        <f aca="false">Sens!G13127-wacc</f>
        <v>-0.062875151298213</v>
      </c>
      <c r="H13131" s="7" t="n">
        <f aca="false">Sens!H13127-wacc</f>
        <v>-0.0723637776857737</v>
      </c>
      <c r="I13131" s="7" t="n">
        <f aca="false">Sens!I13127-wacc</f>
        <v>-0.0664448154222127</v>
      </c>
      <c r="J13131" s="7" t="n">
        <f aca="false">Sens!J13127-wacc</f>
        <v>-0.0612954081784669</v>
      </c>
      <c r="K13131" s="7" t="n">
        <f aca="false">Sens!K13127-wacc</f>
        <v>-0.05537199999138</v>
      </c>
    </row>
    <row r="13132" customFormat="false" ht="17.15" hidden="false" customHeight="false" outlineLevel="0" collapsed="false">
      <c r="A13132" s="0" t="s">
        <v>1015</v>
      </c>
      <c r="B13132" s="0" t="s">
        <v>98</v>
      </c>
      <c r="F13132" s="6" t="n">
        <f aca="false">Sens!F13125*(1-tax_f)-wacc*(Sens!E13126+Sens!F13126)/2</f>
        <v>-11.7078565154813</v>
      </c>
      <c r="G13132" s="6" t="n">
        <f aca="false">Sens!G13125*(1-tax_f)-wacc*(Sens!F13126+Sens!G13126)/2</f>
        <v>-20.5084672240733</v>
      </c>
      <c r="H13132" s="6" t="n">
        <f aca="false">Sens!H13125*(1-tax_f)-wacc*(Sens!G13126+Sens!H13126)/2</f>
        <v>-32.247873277425</v>
      </c>
      <c r="I13132" s="6" t="n">
        <f aca="false">Sens!I13125*(1-tax_f)-wacc*(Sens!H13126+Sens!I13126)/2</f>
        <v>-34.9951844978463</v>
      </c>
      <c r="J13132" s="6" t="n">
        <f aca="false">Sens!J13125*(1-tax_f)-wacc*(Sens!I13126+Sens!J13126)/2</f>
        <v>-33.8552608743463</v>
      </c>
      <c r="K13132" s="6" t="n">
        <f aca="false">Sens!K13125*(1-tax_f)-wacc*(Sens!J13126+Sens!K13126)/2</f>
        <v>-29.8323128474175</v>
      </c>
    </row>
    <row r="13133" customFormat="false" ht="17.15" hidden="false" customHeight="false" outlineLevel="0" collapsed="false">
      <c r="A13133" s="3" t="s">
        <v>1808</v>
      </c>
    </row>
    <row r="13134" customFormat="false" ht="15" hidden="false" customHeight="false" outlineLevel="0" collapsed="false">
      <c r="A13134" s="4" t="s">
        <v>43</v>
      </c>
      <c r="B13134" s="4" t="s">
        <v>65</v>
      </c>
      <c r="C13134" s="23" t="s">
        <v>938</v>
      </c>
      <c r="D13134" s="23" t="s">
        <v>939</v>
      </c>
      <c r="E13134" s="23" t="s">
        <v>940</v>
      </c>
      <c r="F13134" s="23" t="s">
        <v>941</v>
      </c>
      <c r="G13134" s="23" t="s">
        <v>942</v>
      </c>
      <c r="H13134" s="23" t="s">
        <v>943</v>
      </c>
      <c r="I13134" s="23" t="s">
        <v>944</v>
      </c>
      <c r="J13134" s="23" t="s">
        <v>945</v>
      </c>
      <c r="K13134" s="23" t="s">
        <v>946</v>
      </c>
      <c r="L13134" s="4" t="s">
        <v>47</v>
      </c>
    </row>
    <row r="13135" customFormat="false" ht="15" hidden="false" customHeight="false" outlineLevel="0" collapsed="false">
      <c r="A13135" s="1" t="s">
        <v>1076</v>
      </c>
      <c r="B13135" s="0" t="s">
        <v>98</v>
      </c>
      <c r="F13135" s="6" t="n">
        <f aca="false">Sens!F13116</f>
        <v>137.3104004111</v>
      </c>
      <c r="G13135" s="6" t="n">
        <f aca="false">Sens!G13116</f>
        <v>137.660247979663</v>
      </c>
      <c r="H13135" s="6" t="n">
        <f aca="false">Sens!H13116</f>
        <v>138.774319463151</v>
      </c>
      <c r="I13135" s="6" t="n">
        <f aca="false">Sens!I13116</f>
        <v>146.256130825399</v>
      </c>
      <c r="J13135" s="6" t="n">
        <f aca="false">Sens!J13116</f>
        <v>155.093326565219</v>
      </c>
      <c r="K13135" s="6" t="n">
        <f aca="false">Sens!K13116</f>
        <v>165.177592098522</v>
      </c>
    </row>
    <row r="13136" customFormat="false" ht="17.15" hidden="false" customHeight="false" outlineLevel="0" collapsed="false">
      <c r="A13136" s="1" t="s">
        <v>1098</v>
      </c>
      <c r="B13136" s="0" t="s">
        <v>98</v>
      </c>
      <c r="E13136" s="6" t="n">
        <f aca="false">Q!M38-Sens!E13054</f>
        <v>22.2285940229167</v>
      </c>
      <c r="F13136" s="6" t="n">
        <f aca="false">Sens!E13136*(1-1/life_nonai)+(Sens!F13144+Sens!F13145)/life_nonai</f>
        <v>23.5883405279552</v>
      </c>
      <c r="G13136" s="6" t="n">
        <f aca="false">Sens!F13136*(1-1/life_nonai)+(Sens!G13144)/life_nonai</f>
        <v>25.347608709247</v>
      </c>
      <c r="H13136" s="6" t="n">
        <f aca="false">Sens!G13136*(1-1/life_nonai)+(Sens!H13144)/life_nonai</f>
        <v>27.4750934833125</v>
      </c>
      <c r="I13136" s="6" t="n">
        <f aca="false">Sens!H13136*(1-1/life_nonai)+(Sens!I13144)/life_nonai</f>
        <v>29.9140127982598</v>
      </c>
      <c r="J13136" s="6" t="n">
        <f aca="false">Sens!I13136*(1-1/life_nonai)+(Sens!J13144)/life_nonai</f>
        <v>32.5895147654561</v>
      </c>
      <c r="K13136" s="6" t="n">
        <f aca="false">Sens!J13136*(1-1/life_nonai)+(Sens!K13144)/life_nonai</f>
        <v>35.4171979437481</v>
      </c>
      <c r="L13136" s="12" t="s">
        <v>1099</v>
      </c>
    </row>
    <row r="13137" customFormat="false" ht="17.15" hidden="false" customHeight="false" outlineLevel="0" collapsed="false">
      <c r="A13137" s="1" t="s">
        <v>1100</v>
      </c>
      <c r="B13137" s="0" t="s">
        <v>98</v>
      </c>
      <c r="F13137" s="6" t="n">
        <f aca="false">Sens!$F$13145/life_nonai*(1-1/life_nonai)^(Sens!F13017-2027)</f>
        <v>0</v>
      </c>
      <c r="G13137" s="6" t="n">
        <f aca="false">Sens!$F$13145/life_nonai*(1-1/life_nonai)^(Sens!G13017-2027)</f>
        <v>0</v>
      </c>
      <c r="H13137" s="6" t="n">
        <f aca="false">Sens!$F$13145/life_nonai*(1-1/life_nonai)^(Sens!H13017-2027)</f>
        <v>0</v>
      </c>
      <c r="I13137" s="6" t="n">
        <f aca="false">Sens!$F$13145/life_nonai*(1-1/life_nonai)^(Sens!I13017-2027)</f>
        <v>0</v>
      </c>
      <c r="J13137" s="6" t="n">
        <f aca="false">Sens!$F$13145/life_nonai*(1-1/life_nonai)^(Sens!J13017-2027)</f>
        <v>0</v>
      </c>
      <c r="K13137" s="6" t="n">
        <f aca="false">Sens!$F$13145/life_nonai*(1-1/life_nonai)^(Sens!K13017-2027)</f>
        <v>0</v>
      </c>
      <c r="L13137" s="1" t="s">
        <v>1101</v>
      </c>
    </row>
    <row r="13138" customFormat="false" ht="17.15" hidden="false" customHeight="false" outlineLevel="0" collapsed="false">
      <c r="A13138" s="1" t="s">
        <v>1102</v>
      </c>
      <c r="B13138" s="0" t="s">
        <v>98</v>
      </c>
      <c r="E13138" s="6" t="n">
        <f aca="false">Sens!E13054+Sens!E13136</f>
        <v>38.534</v>
      </c>
      <c r="F13138" s="6" t="n">
        <f aca="false">Sens!F13054+Sens!F13136</f>
        <v>58.1676550063068</v>
      </c>
      <c r="G13138" s="6" t="n">
        <f aca="false">Sens!G13054+Sens!G13136</f>
        <v>86.0820993615459</v>
      </c>
      <c r="H13138" s="6" t="n">
        <f aca="false">Sens!H13054+Sens!H13136</f>
        <v>116.575184144758</v>
      </c>
      <c r="I13138" s="6" t="n">
        <f aca="false">Sens!I13054+Sens!I13136</f>
        <v>144.145022492808</v>
      </c>
      <c r="J13138" s="6" t="n">
        <f aca="false">Sens!J13054+Sens!J13136</f>
        <v>164.605187815052</v>
      </c>
      <c r="K13138" s="6" t="n">
        <f aca="false">Sens!K13054+Sens!K13136</f>
        <v>178.429867494682</v>
      </c>
    </row>
    <row r="13139" customFormat="false" ht="17.15" hidden="false" customHeight="false" outlineLevel="0" collapsed="false">
      <c r="A13139" s="1" t="s">
        <v>1103</v>
      </c>
      <c r="B13139" s="0" t="s">
        <v>98</v>
      </c>
      <c r="F13139" s="6" t="n">
        <f aca="false">Sens!F13081*sbc_r</f>
        <v>14.7454787486369</v>
      </c>
      <c r="G13139" s="6" t="n">
        <f aca="false">Sens!G13081*sbc_r</f>
        <v>17.1560811611477</v>
      </c>
      <c r="H13139" s="6" t="n">
        <f aca="false">Sens!H13081*sbc_r</f>
        <v>19.4112161412813</v>
      </c>
      <c r="I13139" s="6" t="n">
        <f aca="false">Sens!I13081*sbc_r</f>
        <v>21.7655163708747</v>
      </c>
      <c r="J13139" s="6" t="n">
        <f aca="false">Sens!J13081*sbc_r</f>
        <v>23.7425689489627</v>
      </c>
      <c r="K13139" s="6" t="n">
        <f aca="false">Sens!K13081*sbc_r</f>
        <v>25.3560408997772</v>
      </c>
    </row>
    <row r="13140" customFormat="false" ht="17.15" hidden="false" customHeight="false" outlineLevel="0" collapsed="false">
      <c r="A13140" s="1" t="s">
        <v>1104</v>
      </c>
      <c r="B13140" s="0" t="s">
        <v>98</v>
      </c>
      <c r="F13140" s="6" t="n">
        <f aca="false">wc27-wc26q1</f>
        <v>-4.677</v>
      </c>
      <c r="G13140" s="6" t="n">
        <f aca="false">wc_f</f>
        <v>0</v>
      </c>
      <c r="H13140" s="6" t="n">
        <f aca="false">wc_f</f>
        <v>0</v>
      </c>
      <c r="I13140" s="6" t="n">
        <f aca="false">wc_f</f>
        <v>0</v>
      </c>
      <c r="J13140" s="6" t="n">
        <f aca="false">wc_f</f>
        <v>0</v>
      </c>
      <c r="K13140" s="6" t="n">
        <f aca="false">wc_f</f>
        <v>0</v>
      </c>
      <c r="L13140" s="12" t="s">
        <v>1105</v>
      </c>
    </row>
    <row r="13141" customFormat="false" ht="17.15" hidden="false" customHeight="false" outlineLevel="0" collapsed="false">
      <c r="A13141" s="0" t="s">
        <v>1106</v>
      </c>
      <c r="B13141" s="0" t="s">
        <v>98</v>
      </c>
      <c r="F13141" s="6" t="n">
        <f aca="false">Q!$I$35-Q!$I$26-Q!$I$38-Q!$I$39</f>
        <v>6.493</v>
      </c>
      <c r="L13141" s="1" t="s">
        <v>1107</v>
      </c>
    </row>
    <row r="13142" customFormat="false" ht="15" hidden="false" customHeight="false" outlineLevel="0" collapsed="false">
      <c r="A13142" s="1" t="s">
        <v>904</v>
      </c>
      <c r="B13142" s="0" t="s">
        <v>98</v>
      </c>
      <c r="E13142" s="6" t="n">
        <f aca="false">Q!M35</f>
        <v>182.935</v>
      </c>
      <c r="F13142" s="6" t="n">
        <f aca="false">Sens!F13135+Sens!F13138+Sens!F13139+Sens!F13140+Sens!F13141</f>
        <v>212.039534166044</v>
      </c>
      <c r="G13142" s="6" t="n">
        <f aca="false">Sens!G13135+Sens!G13138+Sens!G13139+Sens!G13140</f>
        <v>240.898428502357</v>
      </c>
      <c r="H13142" s="6" t="n">
        <f aca="false">Sens!H13135+Sens!H13138+Sens!H13139+Sens!H13140</f>
        <v>274.76071974919</v>
      </c>
      <c r="I13142" s="6" t="n">
        <f aca="false">Sens!I13135+Sens!I13138+Sens!I13139+Sens!I13140</f>
        <v>312.166669689082</v>
      </c>
      <c r="J13142" s="6" t="n">
        <f aca="false">Sens!J13135+Sens!J13138+Sens!J13139+Sens!J13140</f>
        <v>343.441083329234</v>
      </c>
      <c r="K13142" s="6" t="n">
        <f aca="false">Sens!K13135+Sens!K13138+Sens!K13139+Sens!K13140</f>
        <v>368.963500492981</v>
      </c>
    </row>
    <row r="13143" customFormat="false" ht="17.15" hidden="false" customHeight="false" outlineLevel="0" collapsed="false">
      <c r="A13143" s="0" t="s">
        <v>1108</v>
      </c>
      <c r="B13143" s="0" t="s">
        <v>98</v>
      </c>
      <c r="F13143" s="6" t="n">
        <f aca="false">Sens!F13051</f>
        <v>168.45390404212</v>
      </c>
      <c r="G13143" s="6" t="n">
        <f aca="false">Sens!G13051</f>
        <v>191.944475649048</v>
      </c>
      <c r="H13143" s="6" t="n">
        <f aca="false">Sens!H13051</f>
        <v>196.806004064512</v>
      </c>
      <c r="I13143" s="6" t="n">
        <f aca="false">Sens!I13051</f>
        <v>168.61483362161</v>
      </c>
      <c r="J13143" s="6" t="n">
        <f aca="false">Sens!J13051</f>
        <v>128.92993119594</v>
      </c>
      <c r="K13143" s="6" t="n">
        <f aca="false">Sens!K13051</f>
        <v>118.962853064733</v>
      </c>
    </row>
    <row r="13144" customFormat="false" ht="17.15" hidden="false" customHeight="false" outlineLevel="0" collapsed="false">
      <c r="A13144" s="1" t="s">
        <v>1109</v>
      </c>
      <c r="B13144" s="0" t="s">
        <v>98</v>
      </c>
      <c r="E13144" s="6" t="n">
        <f aca="false">Sens!E13059*cx_azo+Sens!E13066*cx_m365+Sens!E13067*cx_lic+(Sens!E13069+Sens!E13071)*cx_ind+Sens!E13074*cx_srch+(Sens!E13076+Sens!E13078)*cx_dev</f>
        <v>30.1846587067718</v>
      </c>
      <c r="F13144" s="6" t="n">
        <f aca="false">Sens!F13059*cx_azo+Sens!F13066*cx_m365+Sens!F13067*cx_lic+(Sens!F13069+Sens!F13071)*cx_ind+Sens!F13074*cx_srch+(Sens!F13076+Sens!F13078)*cx_dev</f>
        <v>35.826059073302</v>
      </c>
      <c r="G13144" s="6" t="n">
        <f aca="false">Sens!G13059*cx_azo+Sens!G13066*cx_m365+Sens!G13067*cx_lic+(Sens!G13069+Sens!G13071)*cx_ind+Sens!G13074*cx_srch+(Sens!G13076+Sens!G13078)*cx_dev</f>
        <v>41.1810223408732</v>
      </c>
      <c r="H13144" s="6" t="n">
        <f aca="false">Sens!H13059*cx_azo+Sens!H13066*cx_m365+Sens!H13067*cx_lic+(Sens!H13069+Sens!H13071)*cx_ind+Sens!H13074*cx_srch+(Sens!H13076+Sens!H13078)*cx_dev</f>
        <v>46.6224564499022</v>
      </c>
      <c r="I13144" s="6" t="n">
        <f aca="false">Sens!I13059*cx_azo+Sens!I13066*cx_m365+Sens!I13067*cx_lic+(Sens!I13069+Sens!I13071)*cx_ind+Sens!I13074*cx_srch+(Sens!I13076+Sens!I13078)*cx_dev</f>
        <v>51.8642866327854</v>
      </c>
      <c r="J13144" s="6" t="n">
        <f aca="false">Sens!J13059*cx_azo+Sens!J13066*cx_m365+Sens!J13067*cx_lic+(Sens!J13069+Sens!J13071)*cx_ind+Sens!J13074*cx_srch+(Sens!J13076+Sens!J13078)*cx_dev</f>
        <v>56.6690324702225</v>
      </c>
      <c r="K13144" s="6" t="n">
        <f aca="false">Sens!K13059*cx_azo+Sens!K13066*cx_m365+Sens!K13067*cx_lic+(Sens!K13069+Sens!K13071)*cx_ind+Sens!K13074*cx_srch+(Sens!K13076+Sens!K13078)*cx_dev</f>
        <v>60.866346548376</v>
      </c>
    </row>
    <row r="13145" customFormat="false" ht="17.15" hidden="false" customHeight="false" outlineLevel="0" collapsed="false">
      <c r="A13145" s="0" t="s">
        <v>1110</v>
      </c>
      <c r="B13145" s="0" t="s">
        <v>98</v>
      </c>
      <c r="F13145" s="6" t="n">
        <f aca="false">Sens!F13049</f>
        <v>0</v>
      </c>
      <c r="L13145" s="1" t="s">
        <v>1111</v>
      </c>
    </row>
    <row r="13146" customFormat="false" ht="17.15" hidden="false" customHeight="false" outlineLevel="0" collapsed="false">
      <c r="A13146" s="1" t="s">
        <v>1112</v>
      </c>
      <c r="B13146" s="0" t="s">
        <v>98</v>
      </c>
      <c r="E13146" s="6" t="n">
        <f aca="false">Q!M43</f>
        <v>145.3</v>
      </c>
      <c r="F13146" s="6" t="n">
        <f aca="false">Sens!F13143+Sens!F13144+Sens!F13145</f>
        <v>204.279963115422</v>
      </c>
      <c r="G13146" s="6" t="n">
        <f aca="false">Sens!G13143+Sens!G13144</f>
        <v>233.125497989921</v>
      </c>
      <c r="H13146" s="6" t="n">
        <f aca="false">Sens!H13143+Sens!H13144</f>
        <v>243.428460514415</v>
      </c>
      <c r="I13146" s="6" t="n">
        <f aca="false">Sens!I13143+Sens!I13144</f>
        <v>220.479120254396</v>
      </c>
      <c r="J13146" s="6" t="n">
        <f aca="false">Sens!J13143+Sens!J13144</f>
        <v>185.598963666163</v>
      </c>
      <c r="K13146" s="6" t="n">
        <f aca="false">Sens!K13143+Sens!K13144</f>
        <v>179.829199613109</v>
      </c>
      <c r="L13146" s="1" t="s">
        <v>1113</v>
      </c>
    </row>
    <row r="13147" customFormat="false" ht="15" hidden="false" customHeight="false" outlineLevel="0" collapsed="false">
      <c r="A13147" s="1" t="s">
        <v>1114</v>
      </c>
      <c r="B13147" s="0" t="s">
        <v>98</v>
      </c>
      <c r="E13147" s="6" t="n">
        <f aca="false">fl_liab</f>
        <v>66.594</v>
      </c>
      <c r="F13147" s="6" t="n">
        <f aca="false">Sens!E13147-Sens!F13148</f>
        <v>62.46973</v>
      </c>
      <c r="G13147" s="6" t="n">
        <f aca="false">Sens!F13147-Sens!G13148</f>
        <v>57.98686785</v>
      </c>
      <c r="H13147" s="6" t="n">
        <f aca="false">Sens!G13147-Sens!H13148</f>
        <v>53.92827690325</v>
      </c>
      <c r="I13147" s="6" t="n">
        <f aca="false">Sens!H13147-Sens!I13148</f>
        <v>49.7850493638962</v>
      </c>
      <c r="J13147" s="6" t="n">
        <f aca="false">Sens!I13147-Sens!J13148</f>
        <v>45.4823765852716</v>
      </c>
      <c r="K13147" s="6" t="n">
        <f aca="false">Sens!J13147-Sens!K13148</f>
        <v>40.9860835316088</v>
      </c>
    </row>
    <row r="13148" customFormat="false" ht="15" hidden="false" customHeight="false" outlineLevel="0" collapsed="false">
      <c r="A13148" s="1" t="s">
        <v>1115</v>
      </c>
      <c r="B13148" s="0" t="s">
        <v>98</v>
      </c>
      <c r="F13148" s="6" t="n">
        <f aca="false">fl_pay_27-Sens!E13147*fl_rate</f>
        <v>4.12427</v>
      </c>
      <c r="G13148" s="6" t="n">
        <f aca="false">fl_pay_28-Sens!F13147*fl_rate</f>
        <v>4.48286215</v>
      </c>
      <c r="H13148" s="6" t="n">
        <f aca="false">fl_pay_29-Sens!G13147*fl_rate</f>
        <v>4.05859094675</v>
      </c>
      <c r="I13148" s="6" t="n">
        <f aca="false">fl_pay_30-Sens!H13147*fl_rate</f>
        <v>4.14322753935375</v>
      </c>
      <c r="J13148" s="6" t="n">
        <f aca="false">fl_pay_31-Sens!I13147*fl_rate</f>
        <v>4.30267277862467</v>
      </c>
      <c r="K13148" s="6" t="n">
        <f aca="false">fl_pay_32-Sens!J13147*fl_rate</f>
        <v>4.49629305366278</v>
      </c>
    </row>
    <row r="13149" customFormat="false" ht="17.15" hidden="false" customHeight="false" outlineLevel="0" collapsed="false">
      <c r="A13149" s="1" t="s">
        <v>1116</v>
      </c>
      <c r="B13149" s="0" t="s">
        <v>98</v>
      </c>
      <c r="E13149" s="6" t="n">
        <f aca="false">Q!M35-Q!M36-Q!M44</f>
        <v>63.886</v>
      </c>
      <c r="F13149" s="6" t="n">
        <f aca="false">Sens!F13142-Sens!F13146-Sens!F13148</f>
        <v>3.6353010506223</v>
      </c>
      <c r="G13149" s="6" t="n">
        <f aca="false">Sens!G13142-Sens!G13146-Sens!G13148</f>
        <v>3.29006836243552</v>
      </c>
      <c r="H13149" s="6" t="n">
        <f aca="false">Sens!H13142-Sens!H13146-Sens!H13148</f>
        <v>27.2736682880255</v>
      </c>
      <c r="I13149" s="6" t="n">
        <f aca="false">Sens!I13142-Sens!I13146-Sens!I13148</f>
        <v>87.5443218953324</v>
      </c>
      <c r="J13149" s="6" t="n">
        <f aca="false">Sens!J13142-Sens!J13146-Sens!J13148</f>
        <v>153.539446884446</v>
      </c>
      <c r="K13149" s="6" t="n">
        <f aca="false">Sens!K13142-Sens!K13146-Sens!K13148</f>
        <v>184.63800782621</v>
      </c>
      <c r="L13149" s="12" t="s">
        <v>1117</v>
      </c>
    </row>
    <row r="13150" customFormat="false" ht="15" hidden="false" customHeight="false" outlineLevel="0" collapsed="false">
      <c r="A13150" s="1" t="s">
        <v>1118</v>
      </c>
      <c r="B13150" s="0" t="s">
        <v>75</v>
      </c>
      <c r="F13150" s="8" t="n">
        <f aca="false">dps_27</f>
        <v>3.85</v>
      </c>
      <c r="G13150" s="8" t="n">
        <f aca="false">Sens!F13150*(1+dps_g)</f>
        <v>4.158</v>
      </c>
      <c r="H13150" s="8" t="n">
        <f aca="false">Sens!G13150*(1+dps_g)</f>
        <v>4.49064</v>
      </c>
      <c r="I13150" s="8" t="n">
        <f aca="false">Sens!H13150*(1+dps_g)</f>
        <v>4.8498912</v>
      </c>
      <c r="J13150" s="8" t="n">
        <f aca="false">Sens!I13150*(1+dps_g)</f>
        <v>5.237882496</v>
      </c>
      <c r="K13150" s="8" t="n">
        <f aca="false">Sens!J13150*(1+dps_g)</f>
        <v>5.65691309568</v>
      </c>
    </row>
    <row r="13151" customFormat="false" ht="17.15" hidden="false" customHeight="false" outlineLevel="0" collapsed="false">
      <c r="A13151" s="1" t="s">
        <v>1119</v>
      </c>
      <c r="B13151" s="0" t="s">
        <v>98</v>
      </c>
      <c r="E13151" s="6" t="n">
        <f aca="false">Q!M41</f>
        <v>26.445</v>
      </c>
      <c r="F13151" s="6" t="n">
        <f aca="false">Sens!F13150*Sens!E13160</f>
        <v>28.59395</v>
      </c>
      <c r="G13151" s="6" t="n">
        <f aca="false">Sens!G13150*Sens!F13160</f>
        <v>31.068576</v>
      </c>
      <c r="H13151" s="6" t="n">
        <f aca="false">Sens!H13150*Sens!G13160</f>
        <v>33.75614088</v>
      </c>
      <c r="I13151" s="6" t="n">
        <f aca="false">Sens!I13150*Sens!H13160</f>
        <v>36.6748772544</v>
      </c>
      <c r="J13151" s="6" t="n">
        <f aca="false">Sens!J13150*Sens!I13160</f>
        <v>39.6767653201446</v>
      </c>
      <c r="K13151" s="6" t="n">
        <f aca="false">Sens!K13150*Sens!J13160</f>
        <v>42.9376608081345</v>
      </c>
      <c r="L13151" s="1" t="s">
        <v>1120</v>
      </c>
    </row>
    <row r="13152" customFormat="false" ht="15" hidden="false" customHeight="false" outlineLevel="0" collapsed="false">
      <c r="A13152" s="1" t="s">
        <v>1121</v>
      </c>
      <c r="B13152" s="0" t="s">
        <v>98</v>
      </c>
      <c r="E13152" s="6" t="n">
        <f aca="false">Sens!E13149-Sens!E13151</f>
        <v>37.441</v>
      </c>
      <c r="F13152" s="6" t="n">
        <f aca="false">Sens!F13149-Sens!F13151</f>
        <v>-24.9586489493777</v>
      </c>
      <c r="G13152" s="6" t="n">
        <f aca="false">Sens!G13149-Sens!G13151</f>
        <v>-27.7785076375645</v>
      </c>
      <c r="H13152" s="6" t="n">
        <f aca="false">Sens!H13149-Sens!H13151</f>
        <v>-6.4824725919745</v>
      </c>
      <c r="I13152" s="6" t="n">
        <f aca="false">Sens!I13149-Sens!I13151</f>
        <v>50.8694446409324</v>
      </c>
      <c r="J13152" s="6" t="n">
        <f aca="false">Sens!J13149-Sens!J13151</f>
        <v>113.862681564302</v>
      </c>
      <c r="K13152" s="6" t="n">
        <f aca="false">Sens!K13149-Sens!K13151</f>
        <v>141.700347018076</v>
      </c>
    </row>
    <row r="13153" customFormat="false" ht="15" hidden="false" customHeight="false" outlineLevel="0" collapsed="false">
      <c r="A13153" s="1" t="s">
        <v>1122</v>
      </c>
      <c r="B13153" s="0" t="s">
        <v>98</v>
      </c>
      <c r="F13153" s="6" t="n">
        <f aca="false">debt_mat_27</f>
        <v>9.25</v>
      </c>
      <c r="G13153" s="6" t="n">
        <f aca="false">debt_mat_28</f>
        <v>0</v>
      </c>
      <c r="H13153" s="6" t="n">
        <f aca="false">debt_mat_29</f>
        <v>2.001</v>
      </c>
      <c r="I13153" s="6" t="n">
        <f aca="false">debt_mat_30</f>
        <v>0</v>
      </c>
      <c r="J13153" s="6" t="n">
        <f aca="false">debt_mat_31</f>
        <v>0.5</v>
      </c>
      <c r="K13153" s="6" t="n">
        <f aca="false">debt_mat_32</f>
        <v>0</v>
      </c>
    </row>
    <row r="13154" customFormat="false" ht="15" hidden="false" customHeight="false" outlineLevel="0" collapsed="false">
      <c r="A13154" s="1" t="s">
        <v>1123</v>
      </c>
      <c r="B13154" s="0" t="s">
        <v>98</v>
      </c>
      <c r="E13154" s="6" t="n">
        <f aca="false">Q!M40</f>
        <v>22.271</v>
      </c>
      <c r="F13154" s="6" t="n">
        <f aca="false">MAX(0,MIN(bb_target,Sens!E13156+Sens!F13152-Sens!F13153-min_cash))</f>
        <v>0</v>
      </c>
      <c r="G13154" s="6" t="n">
        <f aca="false">MAX(0,MIN(bb_target,Sens!F13156+Sens!G13152-Sens!G13153-min_cash))</f>
        <v>0</v>
      </c>
      <c r="H13154" s="6" t="n">
        <f aca="false">MAX(0,MIN(bb_target,Sens!G13156+Sens!H13152-Sens!H13153-min_cash))</f>
        <v>0</v>
      </c>
      <c r="I13154" s="6" t="n">
        <f aca="false">MAX(0,MIN(bb_target,Sens!H13156+Sens!I13152-Sens!I13153-min_cash))</f>
        <v>22.271</v>
      </c>
      <c r="J13154" s="6" t="n">
        <f aca="false">MAX(0,MIN(bb_target,Sens!I13156+Sens!J13152-Sens!J13153-min_cash))</f>
        <v>22.271</v>
      </c>
      <c r="K13154" s="6" t="n">
        <f aca="false">MAX(0,MIN(bb_target,Sens!J13156+Sens!K13152-Sens!K13153-min_cash))</f>
        <v>22.271</v>
      </c>
    </row>
    <row r="13155" customFormat="false" ht="15" hidden="false" customHeight="false" outlineLevel="0" collapsed="false">
      <c r="A13155" s="1" t="s">
        <v>1124</v>
      </c>
      <c r="B13155" s="0" t="s">
        <v>98</v>
      </c>
      <c r="F13155" s="6" t="n">
        <f aca="false">MAX(0,min_cash-(Sens!E13156+Sens!F13152-Sens!F13153-Sens!F13154))</f>
        <v>7.3656489493777</v>
      </c>
      <c r="G13155" s="6" t="n">
        <f aca="false">MAX(0,min_cash-(Sens!F13156+Sens!G13152-Sens!G13153-Sens!G13154))</f>
        <v>27.7785076375645</v>
      </c>
      <c r="H13155" s="6" t="n">
        <f aca="false">MAX(0,min_cash-(Sens!G13156+Sens!H13152-Sens!H13153-Sens!H13154))</f>
        <v>8.4834725919745</v>
      </c>
      <c r="I13155" s="6" t="n">
        <f aca="false">MAX(0,min_cash-(Sens!H13156+Sens!I13152-Sens!I13153-Sens!I13154))</f>
        <v>0</v>
      </c>
      <c r="J13155" s="6" t="n">
        <f aca="false">MAX(0,min_cash-(Sens!I13156+Sens!J13152-Sens!J13153-Sens!J13154))</f>
        <v>0</v>
      </c>
      <c r="K13155" s="6" t="n">
        <f aca="false">MAX(0,min_cash-(Sens!J13156+Sens!K13152-Sens!K13153-Sens!K13154))</f>
        <v>0</v>
      </c>
    </row>
    <row r="13156" customFormat="false" ht="15" hidden="false" customHeight="false" outlineLevel="0" collapsed="false">
      <c r="A13156" s="1" t="s">
        <v>1125</v>
      </c>
      <c r="B13156" s="0" t="s">
        <v>98</v>
      </c>
      <c r="E13156" s="6" t="n">
        <f aca="false">cash_open</f>
        <v>76.843</v>
      </c>
      <c r="F13156" s="6" t="n">
        <f aca="false">Sens!E13156+Sens!F13152-Sens!F13153-Sens!F13154+Sens!F13155</f>
        <v>50</v>
      </c>
      <c r="G13156" s="6" t="n">
        <f aca="false">Sens!F13156+Sens!G13152-Sens!G13153-Sens!G13154+Sens!G13155</f>
        <v>50</v>
      </c>
      <c r="H13156" s="6" t="n">
        <f aca="false">Sens!G13156+Sens!H13152-Sens!H13153-Sens!H13154+Sens!H13155</f>
        <v>50</v>
      </c>
      <c r="I13156" s="6" t="n">
        <f aca="false">Sens!H13156+Sens!I13152-Sens!I13153-Sens!I13154+Sens!I13155</f>
        <v>78.5984446409324</v>
      </c>
      <c r="J13156" s="6" t="n">
        <f aca="false">Sens!I13156+Sens!J13152-Sens!J13153-Sens!J13154+Sens!J13155</f>
        <v>169.690126205234</v>
      </c>
      <c r="K13156" s="6" t="n">
        <f aca="false">Sens!J13156+Sens!K13152-Sens!K13153-Sens!K13154+Sens!K13155</f>
        <v>289.119473223309</v>
      </c>
    </row>
    <row r="13157" customFormat="false" ht="15" hidden="false" customHeight="false" outlineLevel="0" collapsed="false">
      <c r="A13157" s="1" t="s">
        <v>1126</v>
      </c>
      <c r="B13157" s="0" t="s">
        <v>98</v>
      </c>
      <c r="E13157" s="6" t="n">
        <f aca="false">debt_face</f>
        <v>46.136</v>
      </c>
      <c r="F13157" s="6" t="n">
        <f aca="false">Sens!E13157-Sens!F13153+Sens!F13155</f>
        <v>44.2516489493777</v>
      </c>
      <c r="G13157" s="6" t="n">
        <f aca="false">Sens!F13157-Sens!G13153+Sens!G13155</f>
        <v>72.0301565869422</v>
      </c>
      <c r="H13157" s="6" t="n">
        <f aca="false">Sens!G13157-Sens!H13153+Sens!H13155</f>
        <v>78.5126291789167</v>
      </c>
      <c r="I13157" s="6" t="n">
        <f aca="false">Sens!H13157-Sens!I13153+Sens!I13155</f>
        <v>78.5126291789167</v>
      </c>
      <c r="J13157" s="6" t="n">
        <f aca="false">Sens!I13157-Sens!J13153+Sens!J13155</f>
        <v>78.0126291789167</v>
      </c>
      <c r="K13157" s="6" t="n">
        <f aca="false">Sens!J13157-Sens!K13153+Sens!K13155</f>
        <v>78.0126291789167</v>
      </c>
    </row>
    <row r="13158" customFormat="false" ht="15" hidden="false" customHeight="false" outlineLevel="0" collapsed="false">
      <c r="A13158" s="1" t="s">
        <v>1127</v>
      </c>
      <c r="B13158" s="0" t="s">
        <v>98</v>
      </c>
      <c r="E13158" s="6" t="n">
        <f aca="false">Sens!E13156-Sens!E13157</f>
        <v>30.707</v>
      </c>
      <c r="F13158" s="6" t="n">
        <f aca="false">Sens!F13156-Sens!F13157</f>
        <v>5.7483510506223</v>
      </c>
      <c r="G13158" s="6" t="n">
        <f aca="false">Sens!G13156-Sens!G13157</f>
        <v>-22.0301565869422</v>
      </c>
      <c r="H13158" s="6" t="n">
        <f aca="false">Sens!H13156-Sens!H13157</f>
        <v>-28.5126291789167</v>
      </c>
      <c r="I13158" s="6" t="n">
        <f aca="false">Sens!I13156-Sens!I13157</f>
        <v>0.0858154620156739</v>
      </c>
      <c r="J13158" s="6" t="n">
        <f aca="false">Sens!J13156-Sens!J13157</f>
        <v>91.6774970263172</v>
      </c>
      <c r="K13158" s="6" t="n">
        <f aca="false">Sens!K13156-Sens!K13157</f>
        <v>211.106844044393</v>
      </c>
    </row>
    <row r="13159" customFormat="false" ht="15" hidden="false" customHeight="false" outlineLevel="0" collapsed="false">
      <c r="A13159" s="1" t="s">
        <v>1128</v>
      </c>
      <c r="B13159" s="0" t="s">
        <v>75</v>
      </c>
      <c r="F13159" s="30" t="n">
        <f aca="false">px*(1+bb_g)^(Sens!F13017-base_fy-mid_yr)</f>
        <v>551.84177959629</v>
      </c>
      <c r="G13159" s="30" t="n">
        <f aca="false">px*(1+bb_g)^(Sens!G13017-base_fy-mid_yr)</f>
        <v>595.989121963993</v>
      </c>
      <c r="H13159" s="30" t="n">
        <f aca="false">px*(1+bb_g)^(Sens!H13017-base_fy-mid_yr)</f>
        <v>643.668251721112</v>
      </c>
      <c r="I13159" s="30" t="n">
        <f aca="false">px*(1+bb_g)^(Sens!I13017-base_fy-mid_yr)</f>
        <v>695.161711858801</v>
      </c>
      <c r="J13159" s="30" t="n">
        <f aca="false">px*(1+bb_g)^(Sens!J13017-base_fy-mid_yr)</f>
        <v>750.774648807506</v>
      </c>
      <c r="K13159" s="30" t="n">
        <f aca="false">px*(1+bb_g)^(Sens!K13017-base_fy-mid_yr)</f>
        <v>810.836620712106</v>
      </c>
    </row>
    <row r="13160" customFormat="false" ht="15" hidden="false" customHeight="false" outlineLevel="0" collapsed="false">
      <c r="A13160" s="1" t="s">
        <v>1129</v>
      </c>
      <c r="B13160" s="1" t="s">
        <v>81</v>
      </c>
      <c r="E13160" s="15" t="n">
        <f aca="false">sh_out26</f>
        <v>7.427</v>
      </c>
      <c r="F13160" s="15" t="n">
        <f aca="false">Sens!E13160+sh_iss-Sens!F13154/Sens!F13159</f>
        <v>7.472</v>
      </c>
      <c r="G13160" s="15" t="n">
        <f aca="false">Sens!F13160+sh_iss-Sens!G13154/Sens!G13159</f>
        <v>7.517</v>
      </c>
      <c r="H13160" s="15" t="n">
        <f aca="false">Sens!G13160+sh_iss-Sens!H13154/Sens!H13159</f>
        <v>7.562</v>
      </c>
      <c r="I13160" s="15" t="n">
        <f aca="false">Sens!H13160+sh_iss-Sens!I13154/Sens!I13159</f>
        <v>7.57496285005334</v>
      </c>
      <c r="J13160" s="15" t="n">
        <f aca="false">Sens!I13160+sh_iss-Sens!J13154/Sens!J13159</f>
        <v>7.59029882232494</v>
      </c>
      <c r="K13160" s="15" t="n">
        <f aca="false">Sens!J13160+sh_iss-Sens!K13154/Sens!K13159</f>
        <v>7.60783212998384</v>
      </c>
    </row>
    <row r="13161" customFormat="false" ht="15" hidden="false" customHeight="false" outlineLevel="0" collapsed="false">
      <c r="A13161" s="1" t="s">
        <v>1130</v>
      </c>
      <c r="B13161" s="1" t="s">
        <v>81</v>
      </c>
      <c r="E13161" s="15" t="n">
        <f aca="false">sh_dil26</f>
        <v>7.453</v>
      </c>
      <c r="F13161" s="15" t="n">
        <f aca="false">(Sens!E13160+Sens!F13160)/2+dil_gap</f>
        <v>7.4735</v>
      </c>
      <c r="G13161" s="15" t="n">
        <f aca="false">(Sens!F13160+Sens!G13160)/2+dil_gap</f>
        <v>7.5185</v>
      </c>
      <c r="H13161" s="15" t="n">
        <f aca="false">(Sens!G13160+Sens!H13160)/2+dil_gap</f>
        <v>7.5635</v>
      </c>
      <c r="I13161" s="15" t="n">
        <f aca="false">(Sens!H13160+Sens!I13160)/2+dil_gap</f>
        <v>7.59248142502667</v>
      </c>
      <c r="J13161" s="15" t="n">
        <f aca="false">(Sens!I13160+Sens!J13160)/2+dil_gap</f>
        <v>7.60663083618914</v>
      </c>
      <c r="K13161" s="15" t="n">
        <f aca="false">(Sens!J13160+Sens!K13160)/2+dil_gap</f>
        <v>7.62306547615439</v>
      </c>
    </row>
    <row r="13162" customFormat="false" ht="17.15" hidden="false" customHeight="false" outlineLevel="0" collapsed="false">
      <c r="A13162" s="1" t="s">
        <v>1131</v>
      </c>
      <c r="B13162" s="0" t="s">
        <v>98</v>
      </c>
      <c r="C13162" s="6" t="n">
        <f aca="false">SUM(Sens!F13152:J13152)</f>
        <v>105.512497026317</v>
      </c>
    </row>
    <row r="13163" customFormat="false" ht="15" hidden="false" customHeight="false" outlineLevel="0" collapsed="false">
      <c r="A13163" s="26" t="s">
        <v>1096</v>
      </c>
      <c r="B13163" s="31" t="s">
        <v>98</v>
      </c>
      <c r="C13163" s="27" t="n">
        <f aca="false">Sens!$C$13162-(Sens!F13152+Sens!G13152+Sens!H13152+Sens!I13152+Sens!J13152)</f>
        <v>0</v>
      </c>
      <c r="D13163" s="31"/>
      <c r="E13163" s="31"/>
      <c r="F13163" s="31"/>
      <c r="G13163" s="31"/>
      <c r="H13163" s="31"/>
      <c r="I13163" s="31"/>
      <c r="J13163" s="31"/>
      <c r="K13163" s="31"/>
    </row>
    <row r="13164" customFormat="false" ht="17.15" hidden="false" customHeight="false" outlineLevel="0" collapsed="false">
      <c r="A13164" s="1" t="s">
        <v>1090</v>
      </c>
      <c r="B13164" s="1" t="s">
        <v>1132</v>
      </c>
      <c r="C13164" s="33" t="str">
        <f aca="false">IF(SUM(Sens!F13155:J13155)&gt;0.05,"需要舉債 "&amp;TEXT(SUM(Sens!F13155:J13155),"0.0")&amp;" 十億美元","不需舉債")&amp;"；"&amp;IF(SUM(Sens!F13154:J13154)&lt;COUNT(Sens!F13154:J13154)*bb_target-0.05,"回購較每年 "&amp;TEXT(bb_target,"0.0")&amp;" 的目標少 "&amp;TEXT(COUNT(Sens!F13154:J13154)*bb_target-SUM(Sens!F13154:J13154),"0.0")&amp;" 十億美元（"&amp;TEXT(COUNTIF(Sens!F13154:J13154,"&lt;"&amp;(bb_target-0.05)),"0")&amp;" 年減少）","回購不減")</f>
        <v>需要舉債 43.6 十億美元；回購較每年 22.3 的目標少 66.8 十億美元（3 年減少）</v>
      </c>
    </row>
    <row r="13165" customFormat="false" ht="17.15" hidden="false" customHeight="false" outlineLevel="0" collapsed="false">
      <c r="A13165" s="3" t="s">
        <v>1809</v>
      </c>
    </row>
    <row r="13166" customFormat="false" ht="15" hidden="false" customHeight="false" outlineLevel="0" collapsed="false">
      <c r="A13166" s="4" t="s">
        <v>43</v>
      </c>
      <c r="B13166" s="4" t="s">
        <v>65</v>
      </c>
      <c r="C13166" s="23" t="s">
        <v>938</v>
      </c>
      <c r="D13166" s="23" t="s">
        <v>939</v>
      </c>
      <c r="E13166" s="23" t="s">
        <v>940</v>
      </c>
      <c r="F13166" s="23" t="s">
        <v>941</v>
      </c>
      <c r="G13166" s="23" t="s">
        <v>942</v>
      </c>
      <c r="H13166" s="23" t="s">
        <v>943</v>
      </c>
      <c r="I13166" s="23" t="s">
        <v>944</v>
      </c>
      <c r="J13166" s="23" t="s">
        <v>945</v>
      </c>
      <c r="K13166" s="23" t="s">
        <v>946</v>
      </c>
      <c r="L13166" s="4" t="s">
        <v>47</v>
      </c>
    </row>
    <row r="13167" customFormat="false" ht="17.15" hidden="false" customHeight="false" outlineLevel="0" collapsed="false">
      <c r="A13167" s="1" t="s">
        <v>1212</v>
      </c>
      <c r="B13167" s="1" t="s">
        <v>279</v>
      </c>
      <c r="F13167" s="8" t="n">
        <f aca="false">(1-v_off)*mid_yr</f>
        <v>0.373972602739726</v>
      </c>
      <c r="G13167" s="8" t="n">
        <f aca="false">Sens!G13017-base_fy-mid_yr-v_off</f>
        <v>1.24794520547945</v>
      </c>
      <c r="H13167" s="8" t="n">
        <f aca="false">Sens!H13017-base_fy-mid_yr-v_off</f>
        <v>2.24794520547945</v>
      </c>
      <c r="I13167" s="8" t="n">
        <f aca="false">Sens!I13017-base_fy-mid_yr-v_off</f>
        <v>3.24794520547945</v>
      </c>
      <c r="J13167" s="8" t="n">
        <f aca="false">Sens!J13017-base_fy-mid_yr-v_off</f>
        <v>4.24794520547945</v>
      </c>
      <c r="K13167" s="8" t="n">
        <f aca="false">Sens!K13017-base_fy-mid_yr-v_off</f>
        <v>5.24794520547945</v>
      </c>
      <c r="L13167" s="12" t="s">
        <v>1213</v>
      </c>
    </row>
    <row r="13168" customFormat="false" ht="15" hidden="false" customHeight="false" outlineLevel="0" collapsed="false">
      <c r="A13168" s="1" t="s">
        <v>1214</v>
      </c>
      <c r="B13168" s="1" t="s">
        <v>279</v>
      </c>
      <c r="F13168" s="8" t="n">
        <f aca="false">Sens!F13017-base_fy-v_off</f>
        <v>0.747945205479452</v>
      </c>
      <c r="G13168" s="8" t="n">
        <f aca="false">Sens!G13017-base_fy-v_off</f>
        <v>1.74794520547945</v>
      </c>
      <c r="H13168" s="8" t="n">
        <f aca="false">Sens!H13017-base_fy-v_off</f>
        <v>2.74794520547945</v>
      </c>
      <c r="I13168" s="8" t="n">
        <f aca="false">Sens!I13017-base_fy-v_off</f>
        <v>3.74794520547945</v>
      </c>
      <c r="J13168" s="8" t="n">
        <f aca="false">Sens!J13017-base_fy-v_off</f>
        <v>4.74794520547945</v>
      </c>
      <c r="K13168" s="8" t="n">
        <f aca="false">Sens!K13017-base_fy-v_off</f>
        <v>5.74794520547945</v>
      </c>
    </row>
    <row r="13169" customFormat="false" ht="15" hidden="false" customHeight="false" outlineLevel="0" collapsed="false">
      <c r="A13169" s="1" t="s">
        <v>1215</v>
      </c>
      <c r="B13169" s="0" t="s">
        <v>229</v>
      </c>
      <c r="F13169" s="15" t="n">
        <f aca="false">1/(1+wacc)^Sens!F13167</f>
        <v>0.964022703286649</v>
      </c>
      <c r="G13169" s="15" t="n">
        <f aca="false">1/(1+wacc)^Sens!G13167</f>
        <v>0.884910302296739</v>
      </c>
      <c r="H13169" s="15" t="n">
        <f aca="false">1/(1+wacc)^Sens!H13167</f>
        <v>0.802322009770358</v>
      </c>
      <c r="I13169" s="15" t="n">
        <f aca="false">1/(1+wacc)^Sens!I13167</f>
        <v>0.727441646561469</v>
      </c>
      <c r="J13169" s="15" t="n">
        <f aca="false">1/(1+wacc)^Sens!J13167</f>
        <v>0.659549834988973</v>
      </c>
      <c r="K13169" s="15" t="n">
        <f aca="false">1/(1+wacc)^Sens!K13167</f>
        <v>0.597994336576966</v>
      </c>
    </row>
    <row r="13170" customFormat="false" ht="17.15" hidden="false" customHeight="false" outlineLevel="0" collapsed="false">
      <c r="A13170" s="1" t="s">
        <v>1216</v>
      </c>
      <c r="B13170" s="0" t="s">
        <v>98</v>
      </c>
      <c r="F13170" s="6" t="n">
        <f aca="false">Q!$I$35-Q!$I$39-Q!$I$43</f>
        <v>9.666</v>
      </c>
      <c r="L13170" s="12" t="s">
        <v>1217</v>
      </c>
    </row>
    <row r="13171" customFormat="false" ht="17.15" hidden="false" customHeight="false" outlineLevel="0" collapsed="false">
      <c r="A13171" s="1" t="s">
        <v>1218</v>
      </c>
      <c r="B13171" s="0" t="s">
        <v>98</v>
      </c>
      <c r="F13171" s="6" t="n">
        <f aca="false">Sens!F13142-Sens!F13139-Sens!F13146+Sens!F13124*(1-tax_f)*(1-v_off)-Sens!F13170</f>
        <v>-10.2487315624757</v>
      </c>
      <c r="G13171" s="6" t="n">
        <f aca="false">Sens!G13142-Sens!G13139-Sens!G13146+Sens!G13124*(1-tax_f)</f>
        <v>13.0245666912334</v>
      </c>
      <c r="H13171" s="6" t="n">
        <f aca="false">Sens!H13142-Sens!H13139-Sens!H13146+Sens!H13124*(1-tax_f)</f>
        <v>49.3540074945998</v>
      </c>
      <c r="I13171" s="6" t="n">
        <f aca="false">Sens!I13142-Sens!I13139-Sens!I13146+Sens!I13124*(1-tax_f)</f>
        <v>120.755455313927</v>
      </c>
      <c r="J13171" s="6" t="n">
        <f aca="false">Sens!J13142-Sens!J13139-Sens!J13146+Sens!J13124*(1-tax_f)</f>
        <v>194.264448544669</v>
      </c>
      <c r="K13171" s="6" t="n">
        <f aca="false">Sens!K13142-Sens!K13139-Sens!K13146+Sens!K13124*(1-tax_f)</f>
        <v>229.353894954514</v>
      </c>
      <c r="L13171" s="1" t="s">
        <v>1219</v>
      </c>
    </row>
    <row r="13172" customFormat="false" ht="15" hidden="false" customHeight="false" outlineLevel="0" collapsed="false">
      <c r="A13172" s="1" t="s">
        <v>1220</v>
      </c>
      <c r="B13172" s="0" t="s">
        <v>98</v>
      </c>
      <c r="F13172" s="6" t="n">
        <f aca="false">Sens!F13171*Sens!F13169</f>
        <v>-9.88000990611704</v>
      </c>
      <c r="G13172" s="6" t="n">
        <f aca="false">Sens!G13171*Sens!G13169</f>
        <v>11.5255732480234</v>
      </c>
      <c r="H13172" s="6" t="n">
        <f aca="false">Sens!H13171*Sens!H13169</f>
        <v>39.5978064832886</v>
      </c>
      <c r="I13172" s="6" t="n">
        <f aca="false">Sens!I13171*Sens!I13169</f>
        <v>87.8425472448429</v>
      </c>
      <c r="J13172" s="6" t="n">
        <f aca="false">Sens!J13171*Sens!J13169</f>
        <v>128.12708498186</v>
      </c>
      <c r="K13172" s="6" t="n">
        <f aca="false">Sens!K13171*Sens!K13169</f>
        <v>137.152330254668</v>
      </c>
    </row>
    <row r="13173" customFormat="false" ht="17.15" hidden="false" customHeight="false" outlineLevel="0" collapsed="false">
      <c r="A13173" s="1" t="s">
        <v>1221</v>
      </c>
      <c r="B13173" s="0" t="s">
        <v>98</v>
      </c>
      <c r="C13173" s="6" t="n">
        <f aca="false">SUM(Sens!F13172:K13172)</f>
        <v>394.365332306566</v>
      </c>
    </row>
    <row r="13174" customFormat="false" ht="17.15" hidden="false" customHeight="false" outlineLevel="0" collapsed="false">
      <c r="A13174" s="1" t="s">
        <v>1222</v>
      </c>
      <c r="B13174" s="0" t="s">
        <v>98</v>
      </c>
      <c r="C13174" s="6" t="n">
        <f aca="false">Sens!K13110*(1+g_tv)*(1-tax_f)</f>
        <v>238.664623885129</v>
      </c>
    </row>
    <row r="13175" customFormat="false" ht="17.15" hidden="false" customHeight="false" outlineLevel="0" collapsed="false">
      <c r="A13175" s="1" t="s">
        <v>1223</v>
      </c>
      <c r="B13175" s="0" t="s">
        <v>98</v>
      </c>
      <c r="C13175" s="6" t="n">
        <f aca="false">Sens!$C$13174*(1-g_tv/(wacc+ronic_prem))</f>
        <v>169.107835081642</v>
      </c>
    </row>
    <row r="13176" customFormat="false" ht="17.15" hidden="false" customHeight="false" outlineLevel="0" collapsed="false">
      <c r="A13176" s="1" t="s">
        <v>1224</v>
      </c>
      <c r="B13176" s="0" t="s">
        <v>98</v>
      </c>
      <c r="C13176" s="6" t="n">
        <f aca="false">Sens!$C$13175/(wacc-g_tv)</f>
        <v>2318.55962678291</v>
      </c>
    </row>
    <row r="13177" customFormat="false" ht="15" hidden="false" customHeight="false" outlineLevel="0" collapsed="false">
      <c r="A13177" s="1" t="s">
        <v>1225</v>
      </c>
      <c r="B13177" s="0" t="s">
        <v>98</v>
      </c>
      <c r="C13177" s="6" t="n">
        <f aca="false">Sens!$C$13176/(1+wacc)^Sens!K13168</f>
        <v>1320.20103105772</v>
      </c>
    </row>
    <row r="13178" customFormat="false" ht="17.15" hidden="false" customHeight="false" outlineLevel="0" collapsed="false">
      <c r="A13178" s="0" t="s">
        <v>1226</v>
      </c>
      <c r="B13178" s="0" t="s">
        <v>98</v>
      </c>
      <c r="C13178" s="6" t="n">
        <f aca="false">Sens!$C$13173+Sens!$C$13177</f>
        <v>1714.56636336429</v>
      </c>
    </row>
    <row r="13179" customFormat="false" ht="15" hidden="false" customHeight="false" outlineLevel="0" collapsed="false">
      <c r="A13179" s="1" t="s">
        <v>1141</v>
      </c>
      <c r="B13179" s="0" t="s">
        <v>168</v>
      </c>
      <c r="C13179" s="7" t="n">
        <f aca="false">Sens!$C$13177/Sens!$C$13178</f>
        <v>0.769991211344686</v>
      </c>
    </row>
    <row r="13180" customFormat="false" ht="17.15" hidden="false" customHeight="false" outlineLevel="0" collapsed="false">
      <c r="A13180" s="1" t="s">
        <v>1227</v>
      </c>
      <c r="B13180" s="0" t="s">
        <v>98</v>
      </c>
      <c r="C13180" s="6" t="n">
        <f aca="false">Sens!$C$13178+cash_val-debt_val-fl_val+oai_v</f>
        <v>1830.41736336429</v>
      </c>
    </row>
    <row r="13181" customFormat="false" ht="17.15" hidden="false" customHeight="false" outlineLevel="0" collapsed="false">
      <c r="A13181" s="0" t="s">
        <v>1149</v>
      </c>
      <c r="B13181" s="0" t="s">
        <v>75</v>
      </c>
      <c r="C13181" s="5" t="n">
        <f aca="false">Sens!$C$13180/shd_val</f>
        <v>245.825592716128</v>
      </c>
    </row>
    <row r="13182" customFormat="false" ht="15" hidden="false" customHeight="false" outlineLevel="0" collapsed="false">
      <c r="A13182" s="1" t="s">
        <v>1228</v>
      </c>
      <c r="B13182" s="0" t="s">
        <v>75</v>
      </c>
      <c r="C13182" s="8" t="n">
        <f aca="false">div_rem27+Sens!G13150*roll_div_q/q_per_yr</f>
        <v>3.9795</v>
      </c>
    </row>
    <row r="13183" customFormat="false" ht="17.15" hidden="false" customHeight="false" outlineLevel="0" collapsed="false">
      <c r="A13183" s="0" t="s">
        <v>1229</v>
      </c>
      <c r="B13183" s="0" t="s">
        <v>75</v>
      </c>
      <c r="C13183" s="5" t="n">
        <f aca="false">Sens!$C$13181*(1+wacc)^t_roll-Sens!$C$13182</f>
        <v>269.269366013155</v>
      </c>
    </row>
    <row r="13184" customFormat="false" ht="17.15" hidden="false" customHeight="false" outlineLevel="0" collapsed="false">
      <c r="A13184" s="1" t="s">
        <v>1230</v>
      </c>
      <c r="B13184" s="0" t="s">
        <v>168</v>
      </c>
      <c r="F13184" s="7" t="n">
        <f aca="false">Sens!F13136/(Sens!F13081-Sens!F13036)</f>
        <v>0.068677393452264</v>
      </c>
      <c r="G13184" s="7" t="n">
        <f aca="false">Sens!G13136/(Sens!G13081-Sens!G13036)</f>
        <v>0.0663132664471956</v>
      </c>
      <c r="H13184" s="7" t="n">
        <f aca="false">Sens!H13136/(Sens!H13081-Sens!H13036)</f>
        <v>0.0651363826734039</v>
      </c>
      <c r="I13184" s="7" t="n">
        <f aca="false">Sens!I13136/(Sens!I13081-Sens!I13036)</f>
        <v>0.0650087936347709</v>
      </c>
      <c r="J13184" s="7" t="n">
        <f aca="false">Sens!J13136/(Sens!J13081-Sens!J13036)</f>
        <v>0.0657212684841778</v>
      </c>
      <c r="K13184" s="7" t="n">
        <f aca="false">Sens!K13136/(Sens!K13081-Sens!K13036)</f>
        <v>0.0670413306015285</v>
      </c>
    </row>
    <row r="13185" customFormat="false" ht="17.15" hidden="false" customHeight="false" outlineLevel="0" collapsed="false">
      <c r="A13185" s="0" t="s">
        <v>1231</v>
      </c>
      <c r="B13185" s="0" t="s">
        <v>98</v>
      </c>
      <c r="F13185" s="6" t="n">
        <f aca="false">Sens!F13066*(al_m365+Sens!F13184+sbc_r)</f>
        <v>82.9185219618347</v>
      </c>
      <c r="G13185" s="6" t="n">
        <f aca="false">Sens!G13066*(al_m365+Sens!G13184+sbc_r)</f>
        <v>93.3068052157631</v>
      </c>
      <c r="H13185" s="6" t="n">
        <f aca="false">Sens!H13066*(al_m365+Sens!H13184+sbc_r)</f>
        <v>103.856057136159</v>
      </c>
      <c r="I13185" s="6" t="n">
        <f aca="false">Sens!I13066*(al_m365+Sens!I13184+sbc_r)</f>
        <v>113.889717587147</v>
      </c>
      <c r="J13185" s="6" t="n">
        <f aca="false">Sens!J13066*(al_m365+Sens!J13184+sbc_r)</f>
        <v>123.218477864124</v>
      </c>
      <c r="K13185" s="6" t="n">
        <f aca="false">Sens!K13066*(al_m365+Sens!K13184+sbc_r)</f>
        <v>132.149420086311</v>
      </c>
      <c r="L13185" s="12" t="s">
        <v>1232</v>
      </c>
    </row>
    <row r="13186" customFormat="false" ht="17.15" hidden="false" customHeight="false" outlineLevel="0" collapsed="false">
      <c r="A13186" s="0" t="s">
        <v>1233</v>
      </c>
      <c r="B13186" s="0" t="s">
        <v>98</v>
      </c>
      <c r="F13186" s="6" t="n">
        <f aca="false">Sens!F13067*(al_lic+Sens!F13184+sbc_r)</f>
        <v>32.8599853992256</v>
      </c>
      <c r="G13186" s="6" t="n">
        <f aca="false">Sens!G13067*(al_lic+Sens!G13184+sbc_r)</f>
        <v>34.1568280697879</v>
      </c>
      <c r="H13186" s="6" t="n">
        <f aca="false">Sens!H13067*(al_lic+Sens!H13184+sbc_r)</f>
        <v>35.3635535007213</v>
      </c>
      <c r="I13186" s="6" t="n">
        <f aca="false">Sens!I13067*(al_lic+Sens!I13184+sbc_r)</f>
        <v>36.4604537346553</v>
      </c>
      <c r="J13186" s="6" t="n">
        <f aca="false">Sens!J13067*(al_lic+Sens!J13184+sbc_r)</f>
        <v>37.4245888933574</v>
      </c>
      <c r="K13186" s="6" t="n">
        <f aca="false">Sens!K13067*(al_lic+Sens!K13184+sbc_r)</f>
        <v>38.2321483186439</v>
      </c>
    </row>
    <row r="13187" customFormat="false" ht="17.15" hidden="false" customHeight="false" outlineLevel="0" collapsed="false">
      <c r="A13187" s="0" t="s">
        <v>1234</v>
      </c>
      <c r="B13187" s="0" t="s">
        <v>98</v>
      </c>
      <c r="F13187" s="6" t="n">
        <f aca="false">Sens!F13069*(al_ind+Sens!F13184+sbc_r)</f>
        <v>9.06170747885803</v>
      </c>
      <c r="G13187" s="6" t="n">
        <f aca="false">Sens!G13069*(al_ind+Sens!G13184+sbc_r)</f>
        <v>9.8478979082138</v>
      </c>
      <c r="H13187" s="6" t="n">
        <f aca="false">Sens!H13069*(al_ind+Sens!H13184+sbc_r)</f>
        <v>10.6768254332059</v>
      </c>
      <c r="I13187" s="6" t="n">
        <f aca="false">Sens!I13069*(al_ind+Sens!I13184+sbc_r)</f>
        <v>11.54398793803</v>
      </c>
      <c r="J13187" s="6" t="n">
        <f aca="false">Sens!J13069*(al_ind+Sens!J13184+sbc_r)</f>
        <v>12.4407914253112</v>
      </c>
      <c r="K13187" s="6" t="n">
        <f aca="false">Sens!K13069*(al_ind+Sens!K13184+sbc_r)</f>
        <v>13.355239066864</v>
      </c>
    </row>
    <row r="13188" customFormat="false" ht="17.15" hidden="false" customHeight="false" outlineLevel="0" collapsed="false">
      <c r="A13188" s="0" t="s">
        <v>1235</v>
      </c>
      <c r="B13188" s="0" t="s">
        <v>98</v>
      </c>
      <c r="F13188" s="6" t="n">
        <f aca="false">Sens!F13071*(al_fro+Sens!F13184+sbc_r)</f>
        <v>3.55453569939552</v>
      </c>
      <c r="G13188" s="6" t="n">
        <f aca="false">Sens!G13071*(al_fro+Sens!G13184+sbc_r)</f>
        <v>3.76809436159872</v>
      </c>
      <c r="H13188" s="6" t="n">
        <f aca="false">Sens!H13071*(al_fro+Sens!H13184+sbc_r)</f>
        <v>4.00964905674607</v>
      </c>
      <c r="I13188" s="6" t="n">
        <f aca="false">Sens!I13071*(al_fro+Sens!I13184+sbc_r)</f>
        <v>4.28152633145235</v>
      </c>
      <c r="J13188" s="6" t="n">
        <f aca="false">Sens!J13071*(al_fro+Sens!J13184+sbc_r)</f>
        <v>4.58536512975975</v>
      </c>
      <c r="K13188" s="6" t="n">
        <f aca="false">Sens!K13071*(al_fro+Sens!K13184+sbc_r)</f>
        <v>4.92240770086468</v>
      </c>
    </row>
    <row r="13189" customFormat="false" ht="17.15" hidden="false" customHeight="false" outlineLevel="0" collapsed="false">
      <c r="A13189" s="0" t="s">
        <v>1236</v>
      </c>
      <c r="B13189" s="0" t="s">
        <v>98</v>
      </c>
      <c r="F13189" s="6" t="n">
        <f aca="false">Sens!F13074*(al_srch+Sens!F13184+sbc_r)</f>
        <v>11.190683952584</v>
      </c>
      <c r="G13189" s="6" t="n">
        <f aca="false">Sens!G13074*(al_srch+Sens!G13184+sbc_r)</f>
        <v>12.2763328717258</v>
      </c>
      <c r="H13189" s="6" t="n">
        <f aca="false">Sens!H13074*(al_srch+Sens!H13184+sbc_r)</f>
        <v>13.4043563346576</v>
      </c>
      <c r="I13189" s="6" t="n">
        <f aca="false">Sens!I13074*(al_srch+Sens!I13184+sbc_r)</f>
        <v>14.5621512181916</v>
      </c>
      <c r="J13189" s="6" t="n">
        <f aca="false">Sens!J13074*(al_srch+Sens!J13184+sbc_r)</f>
        <v>15.7310381862385</v>
      </c>
      <c r="K13189" s="6" t="n">
        <f aca="false">Sens!K13074*(al_srch+Sens!K13184+sbc_r)</f>
        <v>16.8873320486462</v>
      </c>
    </row>
    <row r="13190" customFormat="false" ht="17.15" hidden="false" customHeight="false" outlineLevel="0" collapsed="false">
      <c r="A13190" s="0" t="s">
        <v>1237</v>
      </c>
      <c r="B13190" s="0" t="s">
        <v>98</v>
      </c>
      <c r="F13190" s="6" t="n">
        <f aca="false">Sens!F13042-Sens!F13043+Sens!F13124</f>
        <v>39.0746429794913</v>
      </c>
      <c r="G13190" s="6" t="n">
        <f aca="false">Sens!G13042-Sens!G13043+Sens!G13124</f>
        <v>69.630497726016</v>
      </c>
      <c r="H13190" s="6" t="n">
        <f aca="false">Sens!H13042-Sens!H13043+Sens!H13124</f>
        <v>97.0397106808268</v>
      </c>
      <c r="I13190" s="6" t="n">
        <f aca="false">Sens!I13042-Sens!I13043+Sens!I13124</f>
        <v>127.924939766446</v>
      </c>
      <c r="J13190" s="6" t="n">
        <f aca="false">Sens!J13042-Sens!J13043+Sens!J13124</f>
        <v>149.608352681229</v>
      </c>
      <c r="K13190" s="6" t="n">
        <f aca="false">Sens!K13042-Sens!K13043+Sens!K13124</f>
        <v>163.061822021841</v>
      </c>
    </row>
    <row r="13191" customFormat="false" ht="17.15" hidden="false" customHeight="false" outlineLevel="0" collapsed="false">
      <c r="A13191" s="0" t="s">
        <v>1238</v>
      </c>
      <c r="B13191" s="0" t="s">
        <v>98</v>
      </c>
      <c r="F13191" s="6" t="n">
        <f aca="false">Sens!F13103+Sens!F13124+Sens!F13054+Sens!F13184*(Sens!F13073-Sens!F13036)+sbc_r*Sens!F13073</f>
        <v>230.620178387748</v>
      </c>
      <c r="G13191" s="6" t="n">
        <f aca="false">Sens!G13103+Sens!G13124+Sens!G13054+Sens!G13184*(Sens!G13073-Sens!G13036)+sbc_r*Sens!G13073</f>
        <v>279.34475833423</v>
      </c>
      <c r="H13191" s="6" t="n">
        <f aca="false">Sens!H13103+Sens!H13124+Sens!H13054+Sens!H13184*(Sens!H13073-Sens!H13036)+sbc_r*Sens!H13073</f>
        <v>331.421674587424</v>
      </c>
      <c r="I13191" s="6" t="n">
        <f aca="false">Sens!I13103+Sens!I13124+Sens!I13054+Sens!I13184*(Sens!I13073-Sens!I13036)+sbc_r*Sens!I13073</f>
        <v>386.385728735541</v>
      </c>
      <c r="J13191" s="6" t="n">
        <f aca="false">Sens!J13103+Sens!J13124+Sens!J13054+Sens!J13184*(Sens!J13073-Sens!J13036)+sbc_r*Sens!J13073</f>
        <v>430.283278062386</v>
      </c>
      <c r="K13191" s="6" t="n">
        <f aca="false">Sens!K13103+Sens!K13124+Sens!K13054+Sens!K13184*(Sens!K13073-Sens!K13036)+sbc_r*Sens!K13073</f>
        <v>463.680143904801</v>
      </c>
    </row>
    <row r="13192" customFormat="false" ht="17.15" hidden="false" customHeight="false" outlineLevel="0" collapsed="false">
      <c r="A13192" s="0" t="s">
        <v>1239</v>
      </c>
      <c r="B13192" s="0" t="s">
        <v>98</v>
      </c>
      <c r="F13192" s="6" t="n">
        <f aca="false">Sens!F13191-Sens!F13185-Sens!F13186-Sens!F13187-Sens!F13188-Sens!F13190</f>
        <v>63.1507848689426</v>
      </c>
      <c r="G13192" s="6" t="n">
        <f aca="false">Sens!G13191-Sens!G13185-Sens!G13186-Sens!G13187-Sens!G13188-Sens!G13190</f>
        <v>68.6346350528504</v>
      </c>
      <c r="H13192" s="6" t="n">
        <f aca="false">Sens!H13191-Sens!H13185-Sens!H13186-Sens!H13187-Sens!H13188-Sens!H13190</f>
        <v>80.4758787797651</v>
      </c>
      <c r="I13192" s="6" t="n">
        <f aca="false">Sens!I13191-Sens!I13185-Sens!I13186-Sens!I13187-Sens!I13188-Sens!I13190</f>
        <v>92.2851033778105</v>
      </c>
      <c r="J13192" s="6" t="n">
        <f aca="false">Sens!J13191-Sens!J13185-Sens!J13186-Sens!J13187-Sens!J13188-Sens!J13190</f>
        <v>103.005702068605</v>
      </c>
      <c r="K13192" s="6" t="n">
        <f aca="false">Sens!K13191-Sens!K13185-Sens!K13186-Sens!K13187-Sens!K13188-Sens!K13190</f>
        <v>111.959106710276</v>
      </c>
    </row>
    <row r="13193" customFormat="false" ht="17.15" hidden="false" customHeight="false" outlineLevel="0" collapsed="false">
      <c r="A13193" s="0" t="s">
        <v>1240</v>
      </c>
      <c r="B13193" s="0" t="s">
        <v>98</v>
      </c>
      <c r="F13193" s="6" t="n">
        <f aca="false">Sens!F13105+Sens!F13184*Sens!F13080+sbc_r*Sens!F13080</f>
        <v>25.6609846790185</v>
      </c>
      <c r="G13193" s="6" t="n">
        <f aca="false">Sens!G13105+Sens!G13184*Sens!G13080+sbc_r*Sens!G13080</f>
        <v>25.1783788379747</v>
      </c>
      <c r="H13193" s="6" t="n">
        <f aca="false">Sens!H13105+Sens!H13184*Sens!H13080+sbc_r*Sens!H13080</f>
        <v>26.0238305289356</v>
      </c>
      <c r="I13193" s="6" t="n">
        <f aca="false">Sens!I13105+Sens!I13184*Sens!I13080+sbc_r*Sens!I13080</f>
        <v>27.0867514725353</v>
      </c>
      <c r="J13193" s="6" t="n">
        <f aca="false">Sens!J13105+Sens!J13184*Sens!J13080+sbc_r*Sens!J13080</f>
        <v>28.3372591963532</v>
      </c>
      <c r="K13193" s="6" t="n">
        <f aca="false">Sens!K13105+Sens!K13184*Sens!K13080+sbc_r*Sens!K13080</f>
        <v>29.747298330834</v>
      </c>
    </row>
    <row r="13194" customFormat="false" ht="17.15" hidden="false" customHeight="false" outlineLevel="0" collapsed="false">
      <c r="A13194" s="0" t="s">
        <v>1241</v>
      </c>
      <c r="B13194" s="0" t="s">
        <v>98</v>
      </c>
      <c r="F13194" s="6" t="n">
        <f aca="false">(Sens!F13193-Sens!F13189)*Sens!F13076/(Sens!F13076+Sens!F13078)</f>
        <v>8.17261629871344</v>
      </c>
      <c r="G13194" s="6" t="n">
        <f aca="false">(Sens!G13193-Sens!G13189)*Sens!G13076/(Sens!G13076+Sens!G13078)</f>
        <v>7.16165415532593</v>
      </c>
      <c r="H13194" s="6" t="n">
        <f aca="false">(Sens!H13193-Sens!H13189)*Sens!H13076/(Sens!H13076+Sens!H13078)</f>
        <v>6.91355264948366</v>
      </c>
      <c r="I13194" s="6" t="n">
        <f aca="false">(Sens!I13193-Sens!I13189)*Sens!I13076/(Sens!I13076+Sens!I13078)</f>
        <v>6.80168520747394</v>
      </c>
      <c r="J13194" s="6" t="n">
        <f aca="false">(Sens!J13193-Sens!J13189)*Sens!J13076/(Sens!J13076+Sens!J13078)</f>
        <v>6.81614184844144</v>
      </c>
      <c r="K13194" s="6" t="n">
        <f aca="false">(Sens!K13193-Sens!K13189)*Sens!K13076/(Sens!K13076+Sens!K13078)</f>
        <v>6.95334107463565</v>
      </c>
    </row>
    <row r="13195" customFormat="false" ht="17.15" hidden="false" customHeight="false" outlineLevel="0" collapsed="false">
      <c r="A13195" s="0" t="s">
        <v>1242</v>
      </c>
      <c r="B13195" s="0" t="s">
        <v>98</v>
      </c>
      <c r="F13195" s="6" t="n">
        <f aca="false">Sens!F13193-Sens!F13189-Sens!F13194</f>
        <v>6.29768442772111</v>
      </c>
      <c r="G13195" s="6" t="n">
        <f aca="false">Sens!G13193-Sens!G13189-Sens!G13194</f>
        <v>5.74039181092293</v>
      </c>
      <c r="H13195" s="6" t="n">
        <f aca="false">Sens!H13193-Sens!H13189-Sens!H13194</f>
        <v>5.70592154479431</v>
      </c>
      <c r="I13195" s="6" t="n">
        <f aca="false">Sens!I13193-Sens!I13189-Sens!I13194</f>
        <v>5.72291504686973</v>
      </c>
      <c r="J13195" s="6" t="n">
        <f aca="false">Sens!J13193-Sens!J13189-Sens!J13194</f>
        <v>5.79007916167327</v>
      </c>
      <c r="K13195" s="6" t="n">
        <f aca="false">Sens!K13193-Sens!K13189-Sens!K13194</f>
        <v>5.90662520755206</v>
      </c>
    </row>
    <row r="13196" customFormat="false" ht="17.15" hidden="false" customHeight="false" outlineLevel="0" collapsed="false">
      <c r="A13196" s="0" t="s">
        <v>1243</v>
      </c>
      <c r="B13196" s="0" t="s">
        <v>98</v>
      </c>
      <c r="F13196" s="6" t="n">
        <f aca="false">Sens!F13190-tax_f*(Sens!F13190-Sens!F13054)-Sens!F13051</f>
        <v>-130.278326762856</v>
      </c>
      <c r="G13196" s="6" t="n">
        <f aca="false">Sens!G13190-tax_f*(Sens!G13190-Sens!G13054)-Sens!G13051</f>
        <v>-124.093179337776</v>
      </c>
      <c r="H13196" s="6" t="n">
        <f aca="false">Sens!H13190-tax_f*(Sens!H13190-Sens!H13054)-Sens!H13051</f>
        <v>-101.354217387562</v>
      </c>
      <c r="I13196" s="6" t="n">
        <f aca="false">Sens!I13190-tax_f*(Sens!I13190-Sens!I13054)-Sens!I13051</f>
        <v>-43.4286798695439</v>
      </c>
      <c r="J13196" s="6" t="n">
        <f aca="false">Sens!J13190-tax_f*(Sens!J13190-Sens!J13054)-Sens!J13051</f>
        <v>17.1598855589618</v>
      </c>
      <c r="K13196" s="6" t="n">
        <f aca="false">Sens!K13190-tax_f*(Sens!K13190-Sens!K13054)-Sens!K13051</f>
        <v>40.0891384629271</v>
      </c>
    </row>
    <row r="13197" customFormat="false" ht="17.15" hidden="false" customHeight="false" outlineLevel="0" collapsed="false">
      <c r="A13197" s="0" t="s">
        <v>1244</v>
      </c>
      <c r="B13197" s="0" t="s">
        <v>98</v>
      </c>
      <c r="G13197" s="6" t="n">
        <f aca="false">Sens!G13196/(1+wacc)^(Sens!G13167-Sens!F13168)</f>
        <v>-118.16058679057</v>
      </c>
      <c r="H13197" s="6" t="n">
        <f aca="false">Sens!H13196/(1+wacc)^(Sens!H13167-Sens!F13168)</f>
        <v>-87.501602539325</v>
      </c>
      <c r="I13197" s="6" t="n">
        <f aca="false">Sens!I13196/(1+wacc)^(Sens!I13167-Sens!F13168)</f>
        <v>-33.9938430795183</v>
      </c>
      <c r="J13197" s="6" t="n">
        <f aca="false">Sens!J13196/(1+wacc)^(Sens!J13167-Sens!F13168)</f>
        <v>12.1783227451683</v>
      </c>
      <c r="K13197" s="6" t="n">
        <f aca="false">Sens!K13196/(1+wacc)^(Sens!K13167-Sens!F13168)</f>
        <v>25.7958159864678</v>
      </c>
      <c r="L13197" s="1" t="s">
        <v>1245</v>
      </c>
    </row>
    <row r="13198" customFormat="false" ht="17.15" hidden="false" customHeight="false" outlineLevel="0" collapsed="false">
      <c r="A13198" s="0" t="s">
        <v>1246</v>
      </c>
      <c r="B13198" s="0" t="s">
        <v>98</v>
      </c>
      <c r="C13198" s="6" t="n">
        <f aca="false">(Sens!K13190-Sens!K13054)*(1-tax_f)*(1+g_tv)*(1-g_tv/(wacc+ronic_prem))/(wacc-g_tv)/(1+wacc)^(Sens!K13168-Sens!F13168)</f>
        <v>98.3333248280336</v>
      </c>
    </row>
    <row r="13199" customFormat="false" ht="17.15" hidden="false" customHeight="false" outlineLevel="0" collapsed="false">
      <c r="A13199" s="1" t="s">
        <v>1247</v>
      </c>
      <c r="B13199" s="0" t="s">
        <v>98</v>
      </c>
      <c r="C13199" s="6" t="n">
        <f aca="false">(SUM(Sens!G13197:K13197)+Sens!$C$13198)*(1+wacc)^(t_roll-Sens!F13168)</f>
        <v>-106.760417656744</v>
      </c>
      <c r="L13199" s="12" t="s">
        <v>1248</v>
      </c>
    </row>
    <row r="13200" customFormat="false" ht="17.15" hidden="false" customHeight="false" outlineLevel="0" collapsed="false">
      <c r="A13200" s="1" t="s">
        <v>1249</v>
      </c>
      <c r="B13200" s="0" t="s">
        <v>98</v>
      </c>
      <c r="C13200" s="6" t="n">
        <f aca="false">(w_ntm28*Sens!G13042+(1-w_ntm28)*Sens!H13042)*m_ai</f>
        <v>344.355829012336</v>
      </c>
    </row>
    <row r="13201" customFormat="false" ht="17.15" hidden="false" customHeight="false" outlineLevel="0" collapsed="false">
      <c r="A13201" s="1" t="s">
        <v>1250</v>
      </c>
      <c r="B13201" s="0" t="s">
        <v>98</v>
      </c>
      <c r="C13201" s="6" t="n">
        <f aca="false">(w_ntm28*Sens!G13192+(1-w_ntm28)*Sens!H13192)*m_cloud</f>
        <v>1002.33207724331</v>
      </c>
    </row>
    <row r="13202" customFormat="false" ht="17.15" hidden="false" customHeight="false" outlineLevel="0" collapsed="false">
      <c r="A13202" s="1" t="s">
        <v>1251</v>
      </c>
      <c r="B13202" s="0" t="s">
        <v>98</v>
      </c>
      <c r="C13202" s="6" t="n">
        <f aca="false">(w_ntm28*Sens!G13185+(1-w_ntm28)*Sens!H13185)*m_sw</f>
        <v>1045.17056616266</v>
      </c>
    </row>
    <row r="13203" customFormat="false" ht="17.15" hidden="false" customHeight="false" outlineLevel="0" collapsed="false">
      <c r="A13203" s="1" t="s">
        <v>1252</v>
      </c>
      <c r="B13203" s="0" t="s">
        <v>98</v>
      </c>
      <c r="C13203" s="6" t="n">
        <f aca="false">(w_ntm28*Sens!G13186+(1-w_ntm28)*Sens!H13186)*m_sw</f>
        <v>373.178444957791</v>
      </c>
    </row>
    <row r="13204" customFormat="false" ht="17.15" hidden="false" customHeight="false" outlineLevel="0" collapsed="false">
      <c r="A13204" s="1" t="s">
        <v>1253</v>
      </c>
      <c r="B13204" s="0" t="s">
        <v>98</v>
      </c>
      <c r="C13204" s="6" t="n">
        <f aca="false">(w_ntm28*Sens!G13187+(1-w_ntm28)*Sens!H13187)*m_sw</f>
        <v>109.30055788101</v>
      </c>
    </row>
    <row r="13205" customFormat="false" ht="17.15" hidden="false" customHeight="false" outlineLevel="0" collapsed="false">
      <c r="A13205" s="1" t="s">
        <v>1254</v>
      </c>
      <c r="B13205" s="0" t="s">
        <v>98</v>
      </c>
      <c r="C13205" s="6" t="n">
        <f aca="false">(w_ntm28*Sens!G13188+(1-w_ntm28)*Sens!H13188)*m_sw</f>
        <v>41.5531037214606</v>
      </c>
    </row>
    <row r="13206" customFormat="false" ht="17.15" hidden="false" customHeight="false" outlineLevel="0" collapsed="false">
      <c r="A13206" s="1" t="s">
        <v>1255</v>
      </c>
      <c r="B13206" s="0" t="s">
        <v>98</v>
      </c>
      <c r="C13206" s="6" t="n">
        <f aca="false">(w_ntm28*Sens!G13189+(1-w_ntm28)*Sens!H13189)*m_ads</f>
        <v>115.215899994784</v>
      </c>
    </row>
    <row r="13207" customFormat="false" ht="17.15" hidden="false" customHeight="false" outlineLevel="0" collapsed="false">
      <c r="A13207" s="1" t="s">
        <v>1256</v>
      </c>
      <c r="B13207" s="0" t="s">
        <v>98</v>
      </c>
      <c r="C13207" s="6" t="n">
        <f aca="false">(w_ntm28*Sens!G13194+(1-w_ntm28)*Sens!H13194)*m_game</f>
        <v>89.421492961891</v>
      </c>
    </row>
    <row r="13208" customFormat="false" ht="17.15" hidden="false" customHeight="false" outlineLevel="0" collapsed="false">
      <c r="A13208" s="1" t="s">
        <v>1257</v>
      </c>
      <c r="B13208" s="0" t="s">
        <v>98</v>
      </c>
      <c r="C13208" s="6" t="n">
        <f aca="false">(w_ntm28*Sens!G13195+(1-w_ntm28)*Sens!H13195)*m_pc</f>
        <v>82.8994854763678</v>
      </c>
    </row>
    <row r="13209" customFormat="false" ht="17.15" hidden="false" customHeight="false" outlineLevel="0" collapsed="false">
      <c r="A13209" s="1" t="s">
        <v>1258</v>
      </c>
      <c r="B13209" s="0" t="s">
        <v>98</v>
      </c>
      <c r="C13209" s="6" t="n">
        <f aca="false">Sens!$C$13199+Sens!$C$13201+Sens!$C$13202+Sens!$C$13203+Sens!$C$13204+Sens!$C$13205+Sens!$C$13206+Sens!$C$13207+Sens!$C$13208</f>
        <v>2752.31121074253</v>
      </c>
    </row>
    <row r="13210" customFormat="false" ht="17.15" hidden="false" customHeight="false" outlineLevel="0" collapsed="false">
      <c r="A13210" s="1" t="s">
        <v>1259</v>
      </c>
      <c r="B13210" s="0" t="s">
        <v>98</v>
      </c>
      <c r="C13210" s="6" t="n">
        <f aca="false">(Sens!G13171-Sens!G13196)*t_stub</f>
        <v>45.4554719712605</v>
      </c>
      <c r="L13210" s="1" t="s">
        <v>1260</v>
      </c>
    </row>
    <row r="13211" customFormat="false" ht="17.15" hidden="false" customHeight="false" outlineLevel="0" collapsed="false">
      <c r="A13211" s="1" t="s">
        <v>1169</v>
      </c>
      <c r="B13211" s="0" t="s">
        <v>98</v>
      </c>
      <c r="C13211" s="6" t="n">
        <f aca="false">Sens!F13158+oai_v-Sens!F13147+Sens!$C$13210</f>
        <v>152.318093021883</v>
      </c>
      <c r="L13211" s="1" t="s">
        <v>1261</v>
      </c>
    </row>
    <row r="13212" customFormat="false" ht="17.15" hidden="false" customHeight="false" outlineLevel="0" collapsed="false">
      <c r="A13212" s="1" t="s">
        <v>1262</v>
      </c>
      <c r="B13212" s="0" t="s">
        <v>75</v>
      </c>
      <c r="C13212" s="5" t="n">
        <f aca="false">(Sens!$C$13209+Sens!$C$13211)/(Sens!F13160+dil_gap)-Sens!G13150*roll_div_q/q_per_yr</f>
        <v>386.451068805285</v>
      </c>
      <c r="L13212" s="1" t="s">
        <v>1263</v>
      </c>
    </row>
    <row r="13213" customFormat="false" ht="17.15" hidden="false" customHeight="false" outlineLevel="0" collapsed="false">
      <c r="A13213" s="1" t="s">
        <v>1264</v>
      </c>
      <c r="B13213" s="0" t="s">
        <v>75</v>
      </c>
      <c r="C13213" s="5" t="n">
        <f aca="false">w_dcf*Sens!$C$13183+(1-w_dcf)*Sens!$C$13212</f>
        <v>327.86021740922</v>
      </c>
    </row>
    <row r="13214" customFormat="false" ht="17.15" hidden="false" customHeight="false" outlineLevel="0" collapsed="false">
      <c r="A13214" s="3" t="s">
        <v>1810</v>
      </c>
    </row>
    <row r="13215" customFormat="false" ht="15" hidden="false" customHeight="false" outlineLevel="0" collapsed="false">
      <c r="A13215" s="4" t="s">
        <v>43</v>
      </c>
      <c r="B13215" s="4" t="s">
        <v>65</v>
      </c>
      <c r="C13215" s="23" t="s">
        <v>938</v>
      </c>
      <c r="D13215" s="23" t="s">
        <v>939</v>
      </c>
      <c r="E13215" s="23" t="s">
        <v>940</v>
      </c>
      <c r="F13215" s="23" t="s">
        <v>941</v>
      </c>
      <c r="G13215" s="23" t="s">
        <v>942</v>
      </c>
      <c r="H13215" s="23" t="s">
        <v>943</v>
      </c>
      <c r="I13215" s="23" t="s">
        <v>944</v>
      </c>
      <c r="J13215" s="23" t="s">
        <v>945</v>
      </c>
      <c r="K13215" s="23" t="s">
        <v>946</v>
      </c>
      <c r="L13215" s="4" t="s">
        <v>47</v>
      </c>
    </row>
    <row r="13216" customFormat="false" ht="17.15" hidden="false" customHeight="false" outlineLevel="0" collapsed="false">
      <c r="A13216" s="1" t="s">
        <v>947</v>
      </c>
      <c r="B13216" s="1" t="s">
        <v>279</v>
      </c>
      <c r="C13216" s="21" t="n">
        <v>2024</v>
      </c>
      <c r="D13216" s="21" t="n">
        <v>2025</v>
      </c>
      <c r="E13216" s="21" t="n">
        <v>2026</v>
      </c>
      <c r="F13216" s="21" t="n">
        <v>2027</v>
      </c>
      <c r="G13216" s="21" t="n">
        <v>2028</v>
      </c>
      <c r="H13216" s="21" t="n">
        <v>2029</v>
      </c>
      <c r="I13216" s="21" t="n">
        <v>2030</v>
      </c>
      <c r="J13216" s="21" t="n">
        <v>2031</v>
      </c>
      <c r="K13216" s="21" t="n">
        <v>2032</v>
      </c>
    </row>
    <row r="13217" customFormat="false" ht="17.15" hidden="false" customHeight="false" outlineLevel="0" collapsed="false">
      <c r="A13217" s="1" t="s">
        <v>948</v>
      </c>
      <c r="B13217" s="0" t="s">
        <v>456</v>
      </c>
      <c r="F13217" s="30" t="n">
        <f aca="false">pace</f>
        <v>2726.5351</v>
      </c>
      <c r="G13217" s="30" t="n">
        <f aca="false">pace</f>
        <v>2726.5351</v>
      </c>
      <c r="H13217" s="30" t="n">
        <f aca="false">pace</f>
        <v>2726.5351</v>
      </c>
      <c r="I13217" s="30" t="n">
        <f aca="false">pace+(g_tv*Sens!H13218-pace)*MIN(1,(Sens!I13216-pace_y0)/(pace_y1-pace_y0))</f>
        <v>1931.98611966667</v>
      </c>
      <c r="J13217" s="30" t="n">
        <f aca="false">pace+(g_tv*Sens!I13218-pace)*MIN(1,(Sens!J13216-pace_y0)/(pace_y1-pace_y0))</f>
        <v>1176.07686172667</v>
      </c>
      <c r="K13217" s="30" t="n">
        <f aca="false">pace+(g_tv*Sens!J13218-pace)*MIN(1,(Sens!K13216-pace_y0)/(pace_y1-pace_y0))</f>
        <v>436.1300484418</v>
      </c>
      <c r="L13217" s="12" t="s">
        <v>949</v>
      </c>
    </row>
    <row r="13218" customFormat="false" ht="17.15" hidden="false" customHeight="false" outlineLevel="0" collapsed="false">
      <c r="A13218" s="1" t="s">
        <v>950</v>
      </c>
      <c r="B13218" s="0" t="s">
        <v>456</v>
      </c>
      <c r="C13218" s="30" t="n">
        <f aca="false">mw_ext_24</f>
        <v>640</v>
      </c>
      <c r="D13218" s="30" t="n">
        <f aca="false">mw_ext_25</f>
        <v>1630</v>
      </c>
      <c r="E13218" s="30" t="n">
        <f aca="false">mw_ext_26</f>
        <v>3250</v>
      </c>
      <c r="F13218" s="30" t="n">
        <f aca="false">Sens!E13218+Sens!F13217</f>
        <v>5976.5351</v>
      </c>
      <c r="G13218" s="30" t="n">
        <f aca="false">Sens!F13218+Sens!G13217</f>
        <v>8703.0702</v>
      </c>
      <c r="H13218" s="30" t="n">
        <f aca="false">Sens!G13218+Sens!H13217</f>
        <v>11429.6053</v>
      </c>
      <c r="I13218" s="30" t="n">
        <f aca="false">Sens!H13218+Sens!I13217</f>
        <v>13361.5914196667</v>
      </c>
      <c r="J13218" s="30" t="n">
        <f aca="false">Sens!I13218+Sens!J13217</f>
        <v>14537.6682813933</v>
      </c>
      <c r="K13218" s="30" t="n">
        <f aca="false">Sens!J13218+Sens!K13217</f>
        <v>14973.7983298351</v>
      </c>
      <c r="L13218" s="1" t="s">
        <v>951</v>
      </c>
    </row>
    <row r="13219" customFormat="false" ht="17.15" hidden="false" customHeight="false" outlineLevel="0" collapsed="false">
      <c r="A13219" s="1" t="s">
        <v>952</v>
      </c>
      <c r="B13219" s="0" t="s">
        <v>456</v>
      </c>
      <c r="C13219" s="30" t="n">
        <f aca="false">rent_ext_24</f>
        <v>150</v>
      </c>
      <c r="D13219" s="30" t="n">
        <f aca="false">rent_ext_25</f>
        <v>400</v>
      </c>
      <c r="E13219" s="30" t="n">
        <f aca="false">rent_ext_26</f>
        <v>550</v>
      </c>
      <c r="F13219" s="30" t="n">
        <f aca="false">rent_ext_f</f>
        <v>756</v>
      </c>
      <c r="G13219" s="30" t="n">
        <f aca="false">rent_ext_f</f>
        <v>756</v>
      </c>
      <c r="H13219" s="30" t="n">
        <f aca="false">rent_ext_f</f>
        <v>756</v>
      </c>
      <c r="I13219" s="30" t="n">
        <f aca="false">rent_ext_f</f>
        <v>756</v>
      </c>
      <c r="J13219" s="30" t="n">
        <f aca="false">rent_ext_f</f>
        <v>756</v>
      </c>
      <c r="K13219" s="30" t="n">
        <f aca="false">rent_ext_f</f>
        <v>756</v>
      </c>
      <c r="L13219" s="1" t="s">
        <v>953</v>
      </c>
    </row>
    <row r="13220" customFormat="false" ht="17.15" hidden="false" customHeight="false" outlineLevel="0" collapsed="false">
      <c r="A13220" s="1" t="s">
        <v>954</v>
      </c>
      <c r="B13220" s="0" t="s">
        <v>456</v>
      </c>
      <c r="C13220" s="30" t="n">
        <f aca="false">Sens!C13218-Sens!C13219</f>
        <v>490</v>
      </c>
      <c r="D13220" s="30" t="n">
        <f aca="false">Sens!D13218-Sens!D13219</f>
        <v>1230</v>
      </c>
      <c r="E13220" s="30" t="n">
        <f aca="false">Sens!E13218-Sens!E13219</f>
        <v>2700</v>
      </c>
      <c r="F13220" s="30" t="n">
        <f aca="false">Sens!F13218-Sens!F13219</f>
        <v>5220.5351</v>
      </c>
      <c r="G13220" s="30" t="n">
        <f aca="false">Sens!G13218-Sens!G13219</f>
        <v>7947.0702</v>
      </c>
      <c r="H13220" s="30" t="n">
        <f aca="false">Sens!H13218-Sens!H13219</f>
        <v>10673.6053</v>
      </c>
      <c r="I13220" s="30" t="n">
        <f aca="false">Sens!I13218-Sens!I13219</f>
        <v>12605.5914196667</v>
      </c>
      <c r="J13220" s="30" t="n">
        <f aca="false">Sens!J13218-Sens!J13219</f>
        <v>13781.6682813933</v>
      </c>
      <c r="K13220" s="30" t="n">
        <f aca="false">Sens!K13218-Sens!K13219</f>
        <v>14217.7983298351</v>
      </c>
    </row>
    <row r="13221" customFormat="false" ht="17.15" hidden="false" customHeight="false" outlineLevel="0" collapsed="false">
      <c r="A13221" s="1" t="s">
        <v>955</v>
      </c>
      <c r="B13221" s="0" t="s">
        <v>456</v>
      </c>
      <c r="C13221" s="30" t="n">
        <f aca="false">Sens!C13220/ext_sh</f>
        <v>816.666666666667</v>
      </c>
      <c r="D13221" s="30" t="n">
        <f aca="false">Sens!D13220/ext_sh</f>
        <v>2050</v>
      </c>
      <c r="E13221" s="30" t="n">
        <f aca="false">Sens!E13220/ext_sh</f>
        <v>4500</v>
      </c>
      <c r="F13221" s="30" t="n">
        <f aca="false">Sens!F13220/ext_sh</f>
        <v>8700.89183333333</v>
      </c>
      <c r="G13221" s="30" t="n">
        <f aca="false">Sens!G13220/ext_sh</f>
        <v>13245.117</v>
      </c>
      <c r="H13221" s="30" t="n">
        <f aca="false">Sens!H13220/ext_sh</f>
        <v>17789.3421666667</v>
      </c>
      <c r="I13221" s="30" t="n">
        <f aca="false">Sens!I13220/ext_sh</f>
        <v>21009.3190327778</v>
      </c>
      <c r="J13221" s="30" t="n">
        <f aca="false">Sens!J13220/ext_sh</f>
        <v>22969.4471356556</v>
      </c>
      <c r="K13221" s="30" t="n">
        <f aca="false">Sens!K13220/ext_sh</f>
        <v>23696.3305497252</v>
      </c>
      <c r="L13221" s="1" t="s">
        <v>956</v>
      </c>
    </row>
    <row r="13222" customFormat="false" ht="17.15" hidden="false" customHeight="false" outlineLevel="0" collapsed="false">
      <c r="A13222" s="1" t="s">
        <v>957</v>
      </c>
      <c r="B13222" s="0" t="s">
        <v>456</v>
      </c>
      <c r="C13222" s="30" t="n">
        <f aca="false">Sens!C13221-Sens!C13220</f>
        <v>326.666666666667</v>
      </c>
      <c r="D13222" s="30" t="n">
        <f aca="false">Sens!D13221-Sens!D13220</f>
        <v>820</v>
      </c>
      <c r="E13222" s="30" t="n">
        <f aca="false">Sens!E13221-Sens!E13220</f>
        <v>1800</v>
      </c>
      <c r="F13222" s="30" t="n">
        <f aca="false">Sens!F13221-Sens!F13220</f>
        <v>3480.35673333333</v>
      </c>
      <c r="G13222" s="30" t="n">
        <f aca="false">Sens!G13221-Sens!G13220</f>
        <v>5298.0468</v>
      </c>
      <c r="H13222" s="30" t="n">
        <f aca="false">Sens!H13221-Sens!H13220</f>
        <v>7115.73686666667</v>
      </c>
      <c r="I13222" s="30" t="n">
        <f aca="false">Sens!I13221-Sens!I13220</f>
        <v>8403.72761311111</v>
      </c>
      <c r="J13222" s="30" t="n">
        <f aca="false">Sens!J13221-Sens!J13220</f>
        <v>9187.77885426222</v>
      </c>
      <c r="K13222" s="30" t="n">
        <f aca="false">Sens!K13221-Sens!K13220</f>
        <v>9478.53221989009</v>
      </c>
    </row>
    <row r="13223" customFormat="false" ht="17.15" hidden="false" customHeight="false" outlineLevel="0" collapsed="false">
      <c r="A13223" s="1" t="s">
        <v>958</v>
      </c>
      <c r="B13223" s="0" t="s">
        <v>456</v>
      </c>
      <c r="C13223" s="30" t="n">
        <f aca="false">Sens!C13221</f>
        <v>816.666666666667</v>
      </c>
      <c r="D13223" s="30" t="n">
        <f aca="false">Sens!D13221-Sens!C13221</f>
        <v>1233.33333333333</v>
      </c>
      <c r="E13223" s="30" t="n">
        <f aca="false">Sens!E13221-Sens!D13221</f>
        <v>2450</v>
      </c>
      <c r="F13223" s="30" t="n">
        <f aca="false">Sens!F13221-Sens!E13221</f>
        <v>4200.89183333333</v>
      </c>
      <c r="G13223" s="30" t="n">
        <f aca="false">Sens!G13221-Sens!F13221</f>
        <v>4544.22516666667</v>
      </c>
      <c r="H13223" s="30" t="n">
        <f aca="false">Sens!H13221-Sens!G13221</f>
        <v>4544.22516666667</v>
      </c>
      <c r="I13223" s="30" t="n">
        <f aca="false">Sens!I13221-Sens!H13221</f>
        <v>3219.97686611111</v>
      </c>
      <c r="J13223" s="30" t="n">
        <f aca="false">Sens!J13221-Sens!I13221</f>
        <v>1960.12810287778</v>
      </c>
      <c r="K13223" s="30" t="n">
        <f aca="false">Sens!K13221-Sens!J13221</f>
        <v>726.883414069667</v>
      </c>
    </row>
    <row r="13224" customFormat="false" ht="17.15" hidden="false" customHeight="false" outlineLevel="0" collapsed="false">
      <c r="A13224" s="1" t="s">
        <v>959</v>
      </c>
      <c r="B13224" s="0" t="s">
        <v>456</v>
      </c>
      <c r="D13224" s="30" t="n">
        <f aca="false">Sens!D13218-Sens!C13218</f>
        <v>990</v>
      </c>
      <c r="E13224" s="30" t="n">
        <f aca="false">Sens!E13218-Sens!D13218</f>
        <v>1620</v>
      </c>
      <c r="F13224" s="30" t="n">
        <f aca="false">Sens!F13218-Sens!E13218</f>
        <v>2726.5351</v>
      </c>
      <c r="G13224" s="30" t="n">
        <f aca="false">Sens!G13218-Sens!F13218</f>
        <v>2726.5351</v>
      </c>
      <c r="H13224" s="30" t="n">
        <f aca="false">Sens!H13218-Sens!G13218</f>
        <v>2726.5351</v>
      </c>
      <c r="I13224" s="30" t="n">
        <f aca="false">Sens!I13218-Sens!H13218</f>
        <v>1931.98611966667</v>
      </c>
      <c r="J13224" s="30" t="n">
        <f aca="false">Sens!J13218-Sens!I13218</f>
        <v>1176.07686172667</v>
      </c>
      <c r="K13224" s="30" t="n">
        <f aca="false">Sens!K13218-Sens!J13218</f>
        <v>436.130048441799</v>
      </c>
    </row>
    <row r="13225" customFormat="false" ht="17.15" hidden="false" customHeight="false" outlineLevel="0" collapsed="false">
      <c r="A13225" s="1" t="s">
        <v>960</v>
      </c>
      <c r="B13225" s="0" t="s">
        <v>456</v>
      </c>
      <c r="F13225" s="30" t="n">
        <f aca="false">Sens!F13244*ext_sh</f>
        <v>0</v>
      </c>
      <c r="G13225" s="30" t="n">
        <f aca="false">Sens!G13244*ext_sh</f>
        <v>0</v>
      </c>
      <c r="H13225" s="30" t="n">
        <f aca="false">Sens!H13244*ext_sh</f>
        <v>0</v>
      </c>
      <c r="I13225" s="30" t="n">
        <f aca="false">Sens!I13244*ext_sh</f>
        <v>490</v>
      </c>
      <c r="J13225" s="30" t="n">
        <f aca="false">Sens!J13244*ext_sh</f>
        <v>740</v>
      </c>
      <c r="K13225" s="30" t="n">
        <f aca="false">Sens!K13244*ext_sh</f>
        <v>1470</v>
      </c>
      <c r="L13225" s="1" t="s">
        <v>961</v>
      </c>
    </row>
    <row r="13226" customFormat="false" ht="17.15" hidden="false" customHeight="false" outlineLevel="0" collapsed="false">
      <c r="A13226" s="1" t="s">
        <v>962</v>
      </c>
      <c r="B13226" s="0" t="s">
        <v>456</v>
      </c>
      <c r="C13226" s="30" t="n">
        <f aca="false">mix_h*Sens!C13218</f>
        <v>128</v>
      </c>
      <c r="D13226" s="30" t="n">
        <f aca="false">mix_h*Sens!D13218</f>
        <v>326</v>
      </c>
      <c r="E13226" s="30" t="n">
        <f aca="false">mix_h*Sens!E13218</f>
        <v>650</v>
      </c>
      <c r="F13226" s="30" t="n">
        <f aca="false">Sens!E13226-Sens!F13225*mix_h</f>
        <v>650</v>
      </c>
      <c r="G13226" s="30" t="n">
        <f aca="false">Sens!F13226-Sens!G13225*mix_h</f>
        <v>650</v>
      </c>
      <c r="H13226" s="30" t="n">
        <f aca="false">Sens!G13226-Sens!H13225*mix_h</f>
        <v>650</v>
      </c>
      <c r="I13226" s="30" t="n">
        <f aca="false">Sens!H13226-Sens!I13225*mix_h</f>
        <v>552</v>
      </c>
      <c r="J13226" s="30" t="n">
        <f aca="false">Sens!I13226-Sens!J13225*mix_h</f>
        <v>404</v>
      </c>
      <c r="K13226" s="30" t="n">
        <f aca="false">Sens!J13226-Sens!K13225*mix_h</f>
        <v>110</v>
      </c>
    </row>
    <row r="13227" customFormat="false" ht="17.15" hidden="false" customHeight="false" outlineLevel="0" collapsed="false">
      <c r="A13227" s="1" t="s">
        <v>963</v>
      </c>
      <c r="B13227" s="0" t="s">
        <v>456</v>
      </c>
      <c r="C13227" s="30" t="n">
        <f aca="false">mix_g2*Sens!C13218</f>
        <v>288</v>
      </c>
      <c r="D13227" s="30" t="n">
        <f aca="false">mix_g2*Sens!D13218</f>
        <v>733.5</v>
      </c>
      <c r="E13227" s="30" t="n">
        <f aca="false">mix_g2*Sens!E13218</f>
        <v>1462.5</v>
      </c>
      <c r="F13227" s="30" t="n">
        <f aca="false">Sens!E13227-Sens!F13225*mix_g2</f>
        <v>1462.5</v>
      </c>
      <c r="G13227" s="30" t="n">
        <f aca="false">Sens!F13227-Sens!G13225*mix_g2</f>
        <v>1462.5</v>
      </c>
      <c r="H13227" s="30" t="n">
        <f aca="false">Sens!G13227-Sens!H13225*mix_g2</f>
        <v>1462.5</v>
      </c>
      <c r="I13227" s="30" t="n">
        <f aca="false">Sens!H13227-Sens!I13225*mix_g2</f>
        <v>1242</v>
      </c>
      <c r="J13227" s="30" t="n">
        <f aca="false">Sens!I13227-Sens!J13225*mix_g2</f>
        <v>909</v>
      </c>
      <c r="K13227" s="30" t="n">
        <f aca="false">Sens!J13227-Sens!K13225*mix_g2</f>
        <v>247.5</v>
      </c>
    </row>
    <row r="13228" customFormat="false" ht="17.15" hidden="false" customHeight="false" outlineLevel="0" collapsed="false">
      <c r="A13228" s="1" t="s">
        <v>964</v>
      </c>
      <c r="B13228" s="0" t="s">
        <v>456</v>
      </c>
      <c r="C13228" s="30" t="n">
        <f aca="false">mix_g3*Sens!C13218</f>
        <v>224</v>
      </c>
      <c r="D13228" s="30" t="n">
        <f aca="false">mix_g3*Sens!D13218</f>
        <v>570.5</v>
      </c>
      <c r="E13228" s="30" t="n">
        <f aca="false">mix_g3*Sens!E13218</f>
        <v>1137.5</v>
      </c>
      <c r="F13228" s="30" t="n">
        <f aca="false">Sens!E13228+(Sens!F13224+Sens!F13225)*(a_g3_27-nonnv*a_mai)-Sens!F13225*mix_g3</f>
        <v>2773.42106</v>
      </c>
      <c r="G13228" s="30" t="n">
        <f aca="false">Sens!F13228+(Sens!G13224+Sens!G13225)*(a_g3_28-nonnv*a_mai)-Sens!G13225*mix_g3</f>
        <v>3318.72808</v>
      </c>
      <c r="H13228" s="30" t="n">
        <f aca="false">Sens!G13228+(Sens!H13224+Sens!H13225)*(a_g3_29-nonnv*a_mai)-Sens!H13225*mix_g3</f>
        <v>3318.72808</v>
      </c>
      <c r="I13228" s="30" t="n">
        <f aca="false">Sens!H13228+(Sens!I13224+Sens!I13225)*(a_g3_29-nonnv*a_mai)-Sens!I13225*mix_g3</f>
        <v>3147.22808</v>
      </c>
      <c r="J13228" s="30" t="n">
        <f aca="false">Sens!I13228+(Sens!J13224+Sens!J13225)*(a_g3_29-nonnv*a_mai)-Sens!J13225*mix_g3</f>
        <v>2888.22808</v>
      </c>
      <c r="K13228" s="30" t="n">
        <f aca="false">Sens!J13228+(Sens!K13224+Sens!K13225)*(a_g3_29-nonnv*a_mai)-Sens!K13225*mix_g3</f>
        <v>2373.72808</v>
      </c>
    </row>
    <row r="13229" customFormat="false" ht="17.15" hidden="false" customHeight="false" outlineLevel="0" collapsed="false">
      <c r="A13229" s="1" t="s">
        <v>965</v>
      </c>
      <c r="B13229" s="0" t="s">
        <v>456</v>
      </c>
      <c r="C13229" s="30" t="n">
        <v>0</v>
      </c>
      <c r="D13229" s="30" t="n">
        <v>0</v>
      </c>
      <c r="E13229" s="30" t="n">
        <v>0</v>
      </c>
      <c r="F13229" s="30" t="n">
        <f aca="false">Sens!E13229+(Sens!F13224+Sens!F13225)*nonnv*a_mai</f>
        <v>272.65351</v>
      </c>
      <c r="G13229" s="30" t="n">
        <f aca="false">Sens!F13229+(Sens!G13224+Sens!G13225)*nonnv*a_mai</f>
        <v>545.30702</v>
      </c>
      <c r="H13229" s="30" t="n">
        <f aca="false">Sens!G13229+(Sens!H13224+Sens!H13225)*nonnv*a_mai</f>
        <v>817.96053</v>
      </c>
      <c r="I13229" s="30" t="n">
        <f aca="false">Sens!H13229+(Sens!I13224+Sens!I13225)*nonnv*a_mai</f>
        <v>1060.15914196667</v>
      </c>
      <c r="J13229" s="30" t="n">
        <f aca="false">Sens!I13229+(Sens!J13224+Sens!J13225)*nonnv*a_mai</f>
        <v>1251.76682813933</v>
      </c>
      <c r="K13229" s="30" t="n">
        <f aca="false">Sens!J13229+(Sens!K13224+Sens!K13225)*nonnv*a_mai</f>
        <v>1442.37983298351</v>
      </c>
      <c r="L13229" s="12" t="s">
        <v>966</v>
      </c>
    </row>
    <row r="13230" customFormat="false" ht="17.15" hidden="false" customHeight="false" outlineLevel="0" collapsed="false">
      <c r="A13230" s="1" t="s">
        <v>967</v>
      </c>
      <c r="B13230" s="0" t="s">
        <v>456</v>
      </c>
      <c r="C13230" s="30" t="n">
        <v>0</v>
      </c>
      <c r="D13230" s="30" t="n">
        <v>0</v>
      </c>
      <c r="E13230" s="30" t="n">
        <v>0</v>
      </c>
      <c r="F13230" s="30" t="n">
        <f aca="false">Sens!E13230+(Sens!F13224+Sens!F13225)*(1-a_g3_27)</f>
        <v>817.96053</v>
      </c>
      <c r="G13230" s="30" t="n">
        <f aca="false">Sens!F13230+(Sens!G13224+Sens!G13225)*(1-a_g3_28)</f>
        <v>2726.5351</v>
      </c>
      <c r="H13230" s="30" t="n">
        <f aca="false">Sens!G13230+(Sens!H13224+Sens!H13225)*(1-a_g3_29)</f>
        <v>5180.41669</v>
      </c>
      <c r="I13230" s="30" t="n">
        <f aca="false">Sens!H13230+(Sens!I13224+Sens!I13225)*(1-a_g3_29)</f>
        <v>7360.2041977</v>
      </c>
      <c r="J13230" s="30" t="n">
        <f aca="false">Sens!I13230+(Sens!J13224+Sens!J13225)*(1-a_g3_29)</f>
        <v>9084.673373254</v>
      </c>
      <c r="K13230" s="30" t="n">
        <f aca="false">Sens!J13230+(Sens!K13224+Sens!K13225)*(1-a_g3_29)</f>
        <v>10800.1904168516</v>
      </c>
    </row>
    <row r="13231" customFormat="false" ht="17.15" hidden="false" customHeight="false" outlineLevel="0" collapsed="false">
      <c r="A13231" s="1" t="s">
        <v>968</v>
      </c>
      <c r="B13231" s="0" t="s">
        <v>403</v>
      </c>
      <c r="C13231" s="15" t="n">
        <f aca="false">(Sens!C13226*tk_hold_h100+Sens!C13227*tk_hold_gb200+Sens!C13228*tk_hold_gb300+Sens!C13230*tk_hold_vr200+Sens!C13229*nv_hold_mai*tk_hold_vr200)/Sens!C13218</f>
        <v>9.7235358126469</v>
      </c>
      <c r="D13231" s="15" t="n">
        <f aca="false">(Sens!D13226*tk_hold_h100+Sens!D13227*tk_hold_gb200+Sens!D13228*tk_hold_gb300+Sens!D13230*tk_hold_vr200+Sens!D13229*nv_hold_mai*tk_hold_vr200)/Sens!D13218</f>
        <v>9.7235358126469</v>
      </c>
      <c r="E13231" s="15" t="n">
        <f aca="false">(Sens!E13226*tk_hold_h100+Sens!E13227*tk_hold_gb200+Sens!E13228*tk_hold_gb300+Sens!E13230*tk_hold_vr200+Sens!E13229*nv_hold_mai*tk_hold_vr200)/Sens!E13218</f>
        <v>9.7235358126469</v>
      </c>
      <c r="F13231" s="15" t="n">
        <f aca="false">(Sens!F13226*tk_hold_h100+Sens!F13227*tk_hold_gb200+Sens!F13228*tk_hold_gb300+Sens!F13230*tk_hold_vr200+Sens!F13229*nv_hold_mai*tk_hold_vr200)/Sens!F13218</f>
        <v>10.2195353876665</v>
      </c>
      <c r="G13231" s="15" t="n">
        <f aca="false">(Sens!G13226*tk_hold_h100+Sens!G13227*tk_hold_gb200+Sens!G13228*tk_hold_gb300+Sens!G13230*tk_hold_vr200+Sens!G13229*nv_hold_mai*tk_hold_vr200)/Sens!G13218</f>
        <v>10.5725598017306</v>
      </c>
      <c r="H13231" s="15" t="n">
        <f aca="false">(Sens!H13226*tk_hold_h100+Sens!H13227*tk_hold_gb200+Sens!H13228*tk_hold_gb300+Sens!H13230*tk_hold_vr200+Sens!H13229*nv_hold_mai*tk_hold_vr200)/Sens!H13218</f>
        <v>10.8210427149036</v>
      </c>
      <c r="I13231" s="15" t="n">
        <f aca="false">(Sens!I13226*tk_hold_h100+Sens!I13227*tk_hold_gb200+Sens!I13228*tk_hold_gb300+Sens!I13230*tk_hold_vr200+Sens!I13229*nv_hold_mai*tk_hold_vr200)/Sens!I13218</f>
        <v>11.0050618241982</v>
      </c>
      <c r="J13231" s="15" t="n">
        <f aca="false">(Sens!J13226*tk_hold_h100+Sens!J13227*tk_hold_gb200+Sens!J13228*tk_hold_gb300+Sens!J13230*tk_hold_vr200+Sens!J13229*nv_hold_mai*tk_hold_vr200)/Sens!J13218</f>
        <v>11.1505789658881</v>
      </c>
      <c r="K13231" s="15" t="n">
        <f aca="false">(Sens!K13226*tk_hold_h100+Sens!K13227*tk_hold_gb200+Sens!K13228*tk_hold_gb300+Sens!K13230*tk_hold_vr200+Sens!K13229*nv_hold_mai*tk_hold_vr200)/Sens!K13218</f>
        <v>11.3496914757183</v>
      </c>
      <c r="L13231" s="1" t="s">
        <v>969</v>
      </c>
    </row>
    <row r="13232" customFormat="false" ht="17.15" hidden="false" customHeight="false" outlineLevel="0" collapsed="false">
      <c r="A13232" s="1" t="s">
        <v>970</v>
      </c>
      <c r="B13232" s="0" t="s">
        <v>403</v>
      </c>
      <c r="C13232" s="15" t="n">
        <f aca="false">(Sens!C13226*tk_hold_h100+Sens!C13227*tk_hold_gb200+Sens!C13228*tk_hold_gb300+Sens!C13230*tk_hold_vr200+Sens!C13229*nv_out_mai*tk_hold_vr200)/Sens!C13218</f>
        <v>9.7235358126469</v>
      </c>
      <c r="D13232" s="15" t="n">
        <f aca="false">(Sens!D13226*tk_hold_h100+Sens!D13227*tk_hold_gb200+Sens!D13228*tk_hold_gb300+Sens!D13230*tk_hold_vr200+Sens!D13229*nv_out_mai*tk_hold_vr200)/Sens!D13218</f>
        <v>9.7235358126469</v>
      </c>
      <c r="E13232" s="15" t="n">
        <f aca="false">(Sens!E13226*tk_hold_h100+Sens!E13227*tk_hold_gb200+Sens!E13228*tk_hold_gb300+Sens!E13230*tk_hold_vr200+Sens!E13229*nv_out_mai*tk_hold_vr200)/Sens!E13218</f>
        <v>9.7235358126469</v>
      </c>
      <c r="F13232" s="15" t="n">
        <f aca="false">(Sens!F13226*tk_hold_h100+Sens!F13227*tk_hold_gb200+Sens!F13228*tk_hold_gb300+Sens!F13230*tk_hold_vr200+Sens!F13229*nv_out_mai*tk_hold_vr200)/Sens!F13218</f>
        <v>10.247422093969</v>
      </c>
      <c r="G13232" s="15" t="n">
        <f aca="false">(Sens!G13226*tk_hold_h100+Sens!G13227*tk_hold_gb200+Sens!G13228*tk_hold_gb300+Sens!G13230*tk_hold_vr200+Sens!G13229*nv_out_mai*tk_hold_vr200)/Sens!G13218</f>
        <v>10.6108602808053</v>
      </c>
      <c r="H13232" s="15" t="n">
        <f aca="false">(Sens!H13226*tk_hold_h100+Sens!H13227*tk_hold_gb200+Sens!H13228*tk_hold_gb300+Sens!H13230*tk_hold_vr200+Sens!H13229*nv_out_mai*tk_hold_vr200)/Sens!H13218</f>
        <v>10.8647885507393</v>
      </c>
      <c r="I13232" s="15" t="n">
        <f aca="false">(Sens!I13226*tk_hold_h100+Sens!I13227*tk_hold_gb200+Sens!I13228*tk_hold_gb300+Sens!I13230*tk_hold_vr200+Sens!I13229*nv_out_mai*tk_hold_vr200)/Sens!I13218</f>
        <v>11.0535625770025</v>
      </c>
      <c r="J13232" s="15" t="n">
        <f aca="false">(Sens!J13226*tk_hold_h100+Sens!J13227*tk_hold_gb200+Sens!J13228*tk_hold_gb300+Sens!J13230*tk_hold_vr200+Sens!J13229*nv_out_mai*tk_hold_vr200)/Sens!J13218</f>
        <v>11.2032127128058</v>
      </c>
      <c r="K13232" s="15" t="n">
        <f aca="false">(Sens!K13226*tk_hold_h100+Sens!K13227*tk_hold_gb200+Sens!K13228*tk_hold_gb300+Sens!K13230*tk_hold_vr200+Sens!K13229*nv_out_mai*tk_hold_vr200)/Sens!K13218</f>
        <v>11.4085735724225</v>
      </c>
      <c r="L13232" s="12" t="s">
        <v>971</v>
      </c>
    </row>
    <row r="13233" customFormat="false" ht="17.15" hidden="false" customHeight="false" outlineLevel="0" collapsed="false">
      <c r="A13233" s="0" t="s">
        <v>972</v>
      </c>
      <c r="B13233" s="0" t="s">
        <v>229</v>
      </c>
      <c r="C13233" s="15" t="n">
        <f aca="false">k_B</f>
        <v>1.17213932619116</v>
      </c>
      <c r="D13233" s="15" t="n">
        <f aca="false">k_B</f>
        <v>1.17213932619116</v>
      </c>
      <c r="E13233" s="15" t="n">
        <f aca="false">k_B</f>
        <v>1.17213932619116</v>
      </c>
      <c r="F13233" s="15" t="n">
        <f aca="false">(k_B+((ls_A*k_long+(1-ls_A)*k_spot)-k_B)*MIN(1,(Sens!F13216-base_fy)/k_ramp))</f>
        <v>1.25022828131298</v>
      </c>
      <c r="G13233" s="15" t="n">
        <f aca="false">(k_B+((ls_A*k_long+(1-ls_A)*k_spot)-k_B)*MIN(1,(Sens!G13216-base_fy)/k_ramp))</f>
        <v>1.3283172364348</v>
      </c>
      <c r="H13233" s="15" t="n">
        <f aca="false">(k_B+((ls_A*k_long+(1-ls_A)*k_spot)-k_B)*MIN(1,(Sens!H13216-base_fy)/k_ramp))</f>
        <v>1.40640619155662</v>
      </c>
      <c r="I13233" s="15" t="n">
        <f aca="false">(k_B+((ls_A*k_long+(1-ls_A)*k_spot)-k_B)*MIN(1,(Sens!I13216-base_fy)/k_ramp))</f>
        <v>1.40640619155662</v>
      </c>
      <c r="J13233" s="15" t="n">
        <f aca="false">(k_B+((ls_A*k_long+(1-ls_A)*k_spot)-k_B)*MIN(1,(Sens!J13216-base_fy)/k_ramp))</f>
        <v>1.40640619155662</v>
      </c>
      <c r="K13233" s="15" t="n">
        <f aca="false">(k_B+((ls_A*k_long+(1-ls_A)*k_spot)-k_B)*MIN(1,(Sens!K13216-base_fy)/k_ramp))</f>
        <v>1.40640619155662</v>
      </c>
      <c r="L13233" s="1" t="s">
        <v>973</v>
      </c>
    </row>
    <row r="13234" customFormat="false" ht="17.15" hidden="false" customHeight="false" outlineLevel="0" collapsed="false">
      <c r="A13234" s="1" t="s">
        <v>974</v>
      </c>
      <c r="B13234" s="0" t="s">
        <v>403</v>
      </c>
      <c r="C13234" s="15" t="n">
        <f aca="false">Sens!C13232*Sens!C13233*chip_f</f>
        <v>11.3973387156315</v>
      </c>
      <c r="D13234" s="15" t="n">
        <f aca="false">Sens!D13232*Sens!D13233*chip_f</f>
        <v>11.3973387156315</v>
      </c>
      <c r="E13234" s="15" t="n">
        <f aca="false">Sens!E13232*Sens!E13233*chip_f</f>
        <v>11.3973387156315</v>
      </c>
      <c r="F13234" s="15" t="n">
        <f aca="false">Sens!F13232*Sens!F13233*chip_f</f>
        <v>12.8116169124314</v>
      </c>
      <c r="G13234" s="15" t="n">
        <f aca="false">Sens!G13232*Sens!G13233*chip_f</f>
        <v>14.094588604395</v>
      </c>
      <c r="H13234" s="15" t="n">
        <f aca="false">Sens!H13232*Sens!H13233*chip_f</f>
        <v>15.2803058877132</v>
      </c>
      <c r="I13234" s="15" t="n">
        <f aca="false">Sens!I13232*Sens!I13233*chip_f</f>
        <v>15.5457988470549</v>
      </c>
      <c r="J13234" s="15" t="n">
        <f aca="false">Sens!J13232*Sens!J13233*chip_f</f>
        <v>15.7562677246158</v>
      </c>
      <c r="K13234" s="15" t="n">
        <f aca="false">Sens!K13232*Sens!K13233*chip_f</f>
        <v>16.0450885090842</v>
      </c>
      <c r="L13234" s="1" t="s">
        <v>975</v>
      </c>
    </row>
    <row r="13235" customFormat="false" ht="17.15" hidden="false" customHeight="false" outlineLevel="0" collapsed="false">
      <c r="A13235" s="0" t="s">
        <v>976</v>
      </c>
      <c r="B13235" s="0" t="s">
        <v>98</v>
      </c>
      <c r="D13235" s="6" t="n">
        <f aca="false">(Sens!C13218+Sens!D13218)/2*Sens!D13234/1000</f>
        <v>12.9359794422418</v>
      </c>
      <c r="E13235" s="6" t="n">
        <f aca="false">(Sens!D13218+Sens!E13218)/2*Sens!E13234/1000</f>
        <v>27.8095064661409</v>
      </c>
      <c r="F13235" s="6" t="n">
        <f aca="false">(Sens!E13218+Sens!F13218)/2*Sens!F13234/1000</f>
        <v>59.1034165651511</v>
      </c>
      <c r="G13235" s="6" t="n">
        <f aca="false">(Sens!F13218+Sens!G13218)/2*Sens!G13234/1000</f>
        <v>103.451498789198</v>
      </c>
      <c r="H13235" s="6" t="n">
        <f aca="false">(Sens!G13218+Sens!H13218)/2*Sens!H13234/1000</f>
        <v>153.816719989035</v>
      </c>
      <c r="I13235" s="6" t="n">
        <f aca="false">(Sens!H13218+Sens!I13218)/2*Sens!I13234/1000</f>
        <v>192.699478690852</v>
      </c>
      <c r="J13235" s="6" t="n">
        <f aca="false">(Sens!I13218+Sens!J13218)/2*Sens!J13234/1000</f>
        <v>219.794102584244</v>
      </c>
      <c r="K13235" s="6" t="n">
        <f aca="false">(Sens!J13218+Sens!K13218)/2*Sens!K13234/1000</f>
        <v>236.757046905022</v>
      </c>
      <c r="L13235" s="12" t="s">
        <v>977</v>
      </c>
    </row>
    <row r="13236" customFormat="false" ht="17.15" hidden="false" customHeight="false" outlineLevel="0" collapsed="false">
      <c r="A13236" s="1" t="s">
        <v>978</v>
      </c>
      <c r="B13236" s="0" t="s">
        <v>403</v>
      </c>
      <c r="C13236" s="15" t="n">
        <f aca="false">(Sens!C13226*tk_opex_h100+Sens!C13227*tk_opex_gb200+Sens!C13228*tk_opex_gb300+(Sens!C13230+Sens!C13229)*tk_opex_vr200)/Sens!C13218</f>
        <v>1.88636041306092</v>
      </c>
      <c r="D13236" s="15" t="n">
        <f aca="false">(Sens!D13226*tk_opex_h100+Sens!D13227*tk_opex_gb200+Sens!D13228*tk_opex_gb300+(Sens!D13230+Sens!D13229)*tk_opex_vr200)/Sens!D13218</f>
        <v>1.88636041306092</v>
      </c>
      <c r="E13236" s="15" t="n">
        <f aca="false">(Sens!E13226*tk_opex_h100+Sens!E13227*tk_opex_gb200+Sens!E13228*tk_opex_gb300+(Sens!E13230+Sens!E13229)*tk_opex_vr200)/Sens!E13218</f>
        <v>1.88636041306092</v>
      </c>
      <c r="F13236" s="15" t="n">
        <f aca="false">(Sens!F13226*tk_opex_h100+Sens!F13227*tk_opex_gb200+Sens!F13228*tk_opex_gb300+(Sens!F13230+Sens!F13229)*tk_opex_vr200)/Sens!F13218</f>
        <v>1.95051159746876</v>
      </c>
      <c r="G13236" s="15" t="n">
        <f aca="false">(Sens!G13226*tk_opex_h100+Sens!G13227*tk_opex_gb200+Sens!G13228*tk_opex_gb300+(Sens!G13230+Sens!G13229)*tk_opex_vr200)/Sens!G13218</f>
        <v>1.98836003669956</v>
      </c>
      <c r="H13236" s="15" t="n">
        <f aca="false">(Sens!H13226*tk_opex_h100+Sens!H13227*tk_opex_gb200+Sens!H13228*tk_opex_gb300+(Sens!H13230+Sens!H13229)*tk_opex_vr200)/Sens!H13218</f>
        <v>2.01344013834343</v>
      </c>
      <c r="I13236" s="15" t="n">
        <f aca="false">(Sens!I13226*tk_opex_h100+Sens!I13227*tk_opex_gb200+Sens!I13228*tk_opex_gb300+(Sens!I13230+Sens!I13229)*tk_opex_vr200)/Sens!I13218</f>
        <v>2.03261166882178</v>
      </c>
      <c r="J13236" s="15" t="n">
        <f aca="false">(Sens!J13226*tk_opex_h100+Sens!J13227*tk_opex_gb200+Sens!J13228*tk_opex_gb300+(Sens!J13230+Sens!J13229)*tk_opex_vr200)/Sens!J13218</f>
        <v>2.04808073288745</v>
      </c>
      <c r="K13236" s="15" t="n">
        <f aca="false">(Sens!K13226*tk_opex_h100+Sens!K13227*tk_opex_gb200+Sens!K13228*tk_opex_gb300+(Sens!K13230+Sens!K13229)*tk_opex_vr200)/Sens!K13218</f>
        <v>2.06973825807449</v>
      </c>
      <c r="L13236" s="12" t="s">
        <v>979</v>
      </c>
    </row>
    <row r="13237" customFormat="false" ht="17.15" hidden="false" customHeight="false" outlineLevel="0" collapsed="false">
      <c r="A13237" s="0" t="s">
        <v>980</v>
      </c>
      <c r="B13237" s="0" t="s">
        <v>98</v>
      </c>
      <c r="D13237" s="6" t="n">
        <f aca="false">(Sens!C13221+Sens!D13221)/2*Sens!D13236/1000</f>
        <v>2.70378325872065</v>
      </c>
      <c r="E13237" s="6" t="n">
        <f aca="false">(Sens!D13221+Sens!E13221)/2*Sens!E13236/1000</f>
        <v>6.17783035277451</v>
      </c>
      <c r="F13237" s="6" t="n">
        <f aca="false">(Sens!E13221+Sens!F13221)/2*Sens!F13236/1000</f>
        <v>12.8742463089237</v>
      </c>
      <c r="G13237" s="6" t="n">
        <f aca="false">(Sens!F13221+Sens!G13221)/2*Sens!G13236/1000</f>
        <v>21.8182834646277</v>
      </c>
      <c r="H13237" s="6" t="n">
        <f aca="false">(Sens!G13221+Sens!H13221)/2*Sens!H13236/1000</f>
        <v>31.2430128789734</v>
      </c>
      <c r="I13237" s="6" t="n">
        <f aca="false">(Sens!H13221+Sens!I13221)/2*Sens!I13236/1000</f>
        <v>39.4313057443268</v>
      </c>
      <c r="J13237" s="6" t="n">
        <f aca="false">(Sens!I13221+Sens!J13221)/2*Sens!J13236/1000</f>
        <v>45.0360318228653</v>
      </c>
      <c r="K13237" s="6" t="n">
        <f aca="false">(Sens!J13221+Sens!K13221)/2*Sens!K13236/1000</f>
        <v>48.2929727091156</v>
      </c>
    </row>
    <row r="13238" customFormat="false" ht="17.15" hidden="false" customHeight="false" outlineLevel="0" collapsed="false">
      <c r="A13238" s="0" t="s">
        <v>981</v>
      </c>
      <c r="B13238" s="0" t="s">
        <v>98</v>
      </c>
      <c r="D13238" s="6" t="n">
        <f aca="false">(Sens!C13219+Sens!D13219)/2*rent_mw/1000</f>
        <v>2.44475</v>
      </c>
      <c r="E13238" s="6" t="n">
        <f aca="false">(Sens!D13219+Sens!E13219)/2*rent_mw/1000</f>
        <v>4.22275</v>
      </c>
      <c r="F13238" s="6" t="n">
        <f aca="false">(Sens!E13219+Sens!F13219)/2*rent_mw/1000</f>
        <v>5.80517</v>
      </c>
      <c r="G13238" s="6" t="n">
        <f aca="false">(Sens!F13219+Sens!G13219)/2*rent_mw/1000</f>
        <v>6.72084</v>
      </c>
      <c r="H13238" s="6" t="n">
        <f aca="false">(Sens!G13219+Sens!H13219)/2*rent_mw/1000</f>
        <v>6.72084</v>
      </c>
      <c r="I13238" s="6" t="n">
        <f aca="false">(Sens!H13219+Sens!I13219)/2*rent_mw/1000</f>
        <v>6.72084</v>
      </c>
      <c r="J13238" s="6" t="n">
        <f aca="false">(Sens!I13219+Sens!J13219)/2*rent_mw/1000</f>
        <v>6.72084</v>
      </c>
      <c r="K13238" s="6" t="n">
        <f aca="false">(Sens!J13219+Sens!K13219)/2*rent_mw/1000</f>
        <v>6.72084</v>
      </c>
    </row>
    <row r="13239" customFormat="false" ht="17.15" hidden="false" customHeight="false" outlineLevel="0" collapsed="false">
      <c r="A13239" s="0" t="s">
        <v>982</v>
      </c>
      <c r="B13239" s="0" t="s">
        <v>98</v>
      </c>
      <c r="D13239" s="6" t="n">
        <f aca="false">(Sens!C13221+Sens!D13221)/2*(1-self_build)*fac_rent/1000</f>
        <v>0.853242375631075</v>
      </c>
      <c r="E13239" s="6" t="n">
        <f aca="false">(Sens!D13221+Sens!E13221)/2*(1-self_build)*fac_rent/1000</f>
        <v>1.94955961408728</v>
      </c>
      <c r="F13239" s="6" t="n">
        <f aca="false">(Sens!E13221+Sens!F13221)/2*(1-self_build)*fac_rent/1000</f>
        <v>3.92914894476356</v>
      </c>
      <c r="G13239" s="6" t="n">
        <f aca="false">(Sens!F13221+Sens!G13221)/2*(1-self_build)*fac_rent/1000</f>
        <v>6.53206908578159</v>
      </c>
      <c r="H13239" s="6" t="n">
        <f aca="false">(Sens!G13221+Sens!H13221)/2*(1-self_build)*fac_rent/1000</f>
        <v>9.23717988341591</v>
      </c>
      <c r="I13239" s="6" t="n">
        <f aca="false">(Sens!H13221+Sens!I13221)/2*(1-self_build)*fac_rent/1000</f>
        <v>11.5481378557393</v>
      </c>
      <c r="J13239" s="6" t="n">
        <f aca="false">(Sens!I13221+Sens!J13221)/2*(1-self_build)*fac_rent/1000</f>
        <v>13.0899582289108</v>
      </c>
      <c r="K13239" s="6" t="n">
        <f aca="false">(Sens!J13221+Sens!K13221)/2*(1-self_build)*fac_rent/1000</f>
        <v>13.8897275626556</v>
      </c>
      <c r="L13239" s="12" t="s">
        <v>983</v>
      </c>
    </row>
    <row r="13240" customFormat="false" ht="17.15" hidden="false" customHeight="false" outlineLevel="0" collapsed="false">
      <c r="A13240" s="1" t="s">
        <v>984</v>
      </c>
      <c r="B13240" s="0" t="s">
        <v>168</v>
      </c>
      <c r="D13240" s="7" t="n">
        <f aca="false">(Sens!C13220+Sens!D13220)/(Sens!C13221+Sens!D13221)</f>
        <v>0.6</v>
      </c>
      <c r="E13240" s="7" t="n">
        <f aca="false">(Sens!D13220+Sens!E13220)/(Sens!D13221+Sens!E13221)</f>
        <v>0.6</v>
      </c>
      <c r="F13240" s="7" t="n">
        <f aca="false">(Sens!E13220+Sens!F13220)/(Sens!E13221+Sens!F13221)</f>
        <v>0.6</v>
      </c>
      <c r="G13240" s="7" t="n">
        <f aca="false">(Sens!F13220+Sens!G13220)/(Sens!F13221+Sens!G13221)</f>
        <v>0.6</v>
      </c>
      <c r="H13240" s="7" t="n">
        <f aca="false">(Sens!G13220+Sens!H13220)/(Sens!G13221+Sens!H13221)</f>
        <v>0.6</v>
      </c>
      <c r="I13240" s="7" t="n">
        <f aca="false">(Sens!H13220+Sens!I13220)/(Sens!H13221+Sens!I13221)</f>
        <v>0.6</v>
      </c>
      <c r="J13240" s="7" t="n">
        <f aca="false">(Sens!I13220+Sens!J13220)/(Sens!I13221+Sens!J13221)</f>
        <v>0.6</v>
      </c>
      <c r="K13240" s="7" t="n">
        <f aca="false">(Sens!J13220+Sens!K13220)/(Sens!J13221+Sens!K13221)</f>
        <v>0.6</v>
      </c>
    </row>
    <row r="13241" customFormat="false" ht="17.15" hidden="false" customHeight="false" outlineLevel="0" collapsed="false">
      <c r="A13241" s="0" t="s">
        <v>985</v>
      </c>
      <c r="B13241" s="0" t="s">
        <v>98</v>
      </c>
      <c r="D13241" s="6" t="n">
        <f aca="false">Sens!D13235-Sens!D13240*(Sens!D13237+Sens!D13239)-Sens!D13238</f>
        <v>8.35701406163072</v>
      </c>
      <c r="E13241" s="6" t="n">
        <f aca="false">Sens!E13235-Sens!E13240*(Sens!E13237+Sens!E13239)-Sens!E13238</f>
        <v>18.7103224860238</v>
      </c>
      <c r="F13241" s="6" t="n">
        <f aca="false">Sens!F13235-Sens!F13240*(Sens!F13237+Sens!F13239)-Sens!F13238</f>
        <v>43.2162094129388</v>
      </c>
      <c r="G13241" s="6" t="n">
        <f aca="false">Sens!G13235-Sens!G13240*(Sens!G13237+Sens!G13239)-Sens!G13238</f>
        <v>79.7204472589529</v>
      </c>
      <c r="H13241" s="6" t="n">
        <f aca="false">Sens!H13235-Sens!H13240*(Sens!H13237+Sens!H13239)-Sens!H13238</f>
        <v>122.807764331602</v>
      </c>
      <c r="I13241" s="6" t="n">
        <f aca="false">Sens!I13235-Sens!I13240*(Sens!I13237+Sens!I13239)-Sens!I13238</f>
        <v>155.390972530813</v>
      </c>
      <c r="J13241" s="6" t="n">
        <f aca="false">Sens!J13235-Sens!J13240*(Sens!J13237+Sens!J13239)-Sens!J13238</f>
        <v>178.197668553178</v>
      </c>
      <c r="K13241" s="6" t="n">
        <f aca="false">Sens!K13235-Sens!K13240*(Sens!K13237+Sens!K13239)-Sens!K13238</f>
        <v>192.726586741959</v>
      </c>
    </row>
    <row r="13242" customFormat="false" ht="17.15" hidden="false" customHeight="false" outlineLevel="0" collapsed="false">
      <c r="A13242" s="1" t="s">
        <v>986</v>
      </c>
      <c r="B13242" s="0" t="s">
        <v>98</v>
      </c>
      <c r="D13242" s="6" t="n">
        <f aca="false">(1-Sens!D13240)*(Sens!D13237+Sens!D13239)</f>
        <v>1.42281025374069</v>
      </c>
      <c r="E13242" s="6" t="n">
        <f aca="false">(1-Sens!E13240)*(Sens!E13237+Sens!E13239)</f>
        <v>3.25095598674472</v>
      </c>
      <c r="F13242" s="6" t="n">
        <f aca="false">(1-Sens!F13240)*(Sens!F13237+Sens!F13239)</f>
        <v>6.72135810147489</v>
      </c>
      <c r="G13242" s="6" t="n">
        <f aca="false">(1-Sens!G13240)*(Sens!G13237+Sens!G13239)</f>
        <v>11.3401410201637</v>
      </c>
      <c r="H13242" s="6" t="n">
        <f aca="false">(1-Sens!H13240)*(Sens!H13237+Sens!H13239)</f>
        <v>16.1920771049557</v>
      </c>
      <c r="I13242" s="6" t="n">
        <f aca="false">(1-Sens!I13240)*(Sens!I13237+Sens!I13239)</f>
        <v>20.3917774400264</v>
      </c>
      <c r="J13242" s="6" t="n">
        <f aca="false">(1-Sens!J13240)*(Sens!J13237+Sens!J13239)</f>
        <v>23.2503960207104</v>
      </c>
      <c r="K13242" s="6" t="n">
        <f aca="false">(1-Sens!K13240)*(Sens!K13237+Sens!K13239)</f>
        <v>24.8730801087085</v>
      </c>
    </row>
    <row r="13243" customFormat="false" ht="17.15" hidden="false" customHeight="false" outlineLevel="0" collapsed="false">
      <c r="A13243" s="1" t="s">
        <v>987</v>
      </c>
      <c r="B13243" s="0" t="s">
        <v>414</v>
      </c>
      <c r="C13243" s="8" t="n">
        <f aca="false">cxit_open</f>
        <v>27.5918995</v>
      </c>
      <c r="D13243" s="8" t="n">
        <f aca="false">cxit_open</f>
        <v>27.5918995</v>
      </c>
      <c r="E13243" s="8" t="n">
        <f aca="false">cxit_open</f>
        <v>27.5918995</v>
      </c>
      <c r="F13243" s="8" t="n">
        <f aca="false">((a_g3_27-nonnv*a_mai)*tk_cxit_gb300+nonnv*a_mai*nv_hold_mai*tk_cxit_vr200+(1-a_g3_27)*tk_cxit_vr200)</f>
        <v>32.4975576</v>
      </c>
      <c r="G13243" s="8" t="n">
        <f aca="false">((a_g3_28-nonnv*a_mai)*tk_cxit_gb300+nonnv*a_mai*nv_hold_mai*tk_cxit_vr200+(1-a_g3_28)*tk_cxit_vr200)</f>
        <v>34.6372088</v>
      </c>
      <c r="H13243" s="8" t="n">
        <f aca="false">((a_g3_29-nonnv*a_mai)*tk_cxit_gb300+nonnv*a_mai*nv_hold_mai*tk_cxit_vr200+(1-a_g3_29)*tk_cxit_vr200)</f>
        <v>35.7070344</v>
      </c>
      <c r="I13243" s="8" t="n">
        <f aca="false">((a_g3_29-nonnv*a_mai)*tk_cxit_gb300+nonnv*a_mai*nv_hold_mai*tk_cxit_vr200+(1-a_g3_29)*tk_cxit_vr200)</f>
        <v>35.7070344</v>
      </c>
      <c r="J13243" s="8" t="n">
        <f aca="false">((a_g3_29-nonnv*a_mai)*tk_cxit_gb300+nonnv*a_mai*nv_hold_mai*tk_cxit_vr200+(1-a_g3_29)*tk_cxit_vr200)</f>
        <v>35.7070344</v>
      </c>
      <c r="K13243" s="8" t="n">
        <f aca="false">((a_g3_29-nonnv*a_mai)*tk_cxit_gb300+nonnv*a_mai*nv_hold_mai*tk_cxit_vr200+(1-a_g3_29)*tk_cxit_vr200)</f>
        <v>35.7070344</v>
      </c>
      <c r="L13243" s="12" t="s">
        <v>988</v>
      </c>
    </row>
    <row r="13244" customFormat="false" ht="17.15" hidden="false" customHeight="false" outlineLevel="0" collapsed="false">
      <c r="A13244" s="0" t="s">
        <v>989</v>
      </c>
      <c r="B13244" s="0" t="s">
        <v>456</v>
      </c>
      <c r="F13244" s="30" t="n">
        <f aca="false">Sens!C13223*IF(Sens!F13216-Sens!C13216=life_it,1,0)+Sens!D13223*IF(Sens!F13216-Sens!D13216=life_it,1,0)+Sens!E13223*IF(Sens!F13216-Sens!E13216=life_it,1,0)</f>
        <v>0</v>
      </c>
      <c r="G13244" s="30" t="n">
        <f aca="false">Sens!C13223*IF(Sens!G13216-Sens!C13216=life_it,1,0)+Sens!D13223*IF(Sens!G13216-Sens!D13216=life_it,1,0)+Sens!E13223*IF(Sens!G13216-Sens!E13216=life_it,1,0)+Sens!F13223*IF(Sens!G13216-Sens!F13216=life_it,1,0)</f>
        <v>0</v>
      </c>
      <c r="H13244" s="30" t="n">
        <f aca="false">Sens!C13223*IF(Sens!H13216-Sens!C13216=life_it,1,0)+Sens!D13223*IF(Sens!H13216-Sens!D13216=life_it,1,0)+Sens!E13223*IF(Sens!H13216-Sens!E13216=life_it,1,0)+Sens!F13223*IF(Sens!H13216-Sens!F13216=life_it,1,0)+Sens!G13223*IF(Sens!H13216-Sens!G13216=life_it,1,0)</f>
        <v>0</v>
      </c>
      <c r="I13244" s="30" t="n">
        <f aca="false">Sens!C13223*IF(Sens!I13216-Sens!C13216=life_it,1,0)+Sens!D13223*IF(Sens!I13216-Sens!D13216=life_it,1,0)+Sens!E13223*IF(Sens!I13216-Sens!E13216=life_it,1,0)+Sens!F13223*IF(Sens!I13216-Sens!F13216=life_it,1,0)+Sens!G13223*IF(Sens!I13216-Sens!G13216=life_it,1,0)+Sens!H13223*IF(Sens!I13216-Sens!H13216=life_it,1,0)</f>
        <v>816.666666666667</v>
      </c>
      <c r="J13244" s="30" t="n">
        <f aca="false">Sens!C13223*IF(Sens!J13216-Sens!C13216=life_it,1,0)+Sens!D13223*IF(Sens!J13216-Sens!D13216=life_it,1,0)+Sens!E13223*IF(Sens!J13216-Sens!E13216=life_it,1,0)+Sens!F13223*IF(Sens!J13216-Sens!F13216=life_it,1,0)+Sens!G13223*IF(Sens!J13216-Sens!G13216=life_it,1,0)+Sens!H13223*IF(Sens!J13216-Sens!H13216=life_it,1,0)+Sens!I13223*IF(Sens!J13216-Sens!I13216=life_it,1,0)</f>
        <v>1233.33333333333</v>
      </c>
      <c r="K13244" s="30" t="n">
        <f aca="false">Sens!C13223*IF(Sens!K13216-Sens!C13216=life_it,1,0)+Sens!D13223*IF(Sens!K13216-Sens!D13216=life_it,1,0)+Sens!E13223*IF(Sens!K13216-Sens!E13216=life_it,1,0)+Sens!F13223*IF(Sens!K13216-Sens!F13216=life_it,1,0)+Sens!G13223*IF(Sens!K13216-Sens!G13216=life_it,1,0)+Sens!H13223*IF(Sens!K13216-Sens!H13216=life_it,1,0)+Sens!I13223*IF(Sens!K13216-Sens!I13216=life_it,1,0)+Sens!J13223*IF(Sens!K13216-Sens!J13216=life_it,1,0)</f>
        <v>2450</v>
      </c>
      <c r="L13244" s="1" t="s">
        <v>990</v>
      </c>
    </row>
    <row r="13245" customFormat="false" ht="17.15" hidden="false" customHeight="false" outlineLevel="0" collapsed="false">
      <c r="A13245" s="0" t="s">
        <v>991</v>
      </c>
      <c r="B13245" s="0" t="s">
        <v>98</v>
      </c>
      <c r="C13245" s="6" t="n">
        <f aca="false">Sens!C13223*Sens!C13243/1000</f>
        <v>22.5333845916667</v>
      </c>
      <c r="D13245" s="6" t="n">
        <f aca="false">Sens!D13223*Sens!D13243/1000</f>
        <v>34.0300093833333</v>
      </c>
      <c r="E13245" s="6" t="n">
        <f aca="false">Sens!E13223*Sens!E13243/1000</f>
        <v>67.600153775</v>
      </c>
      <c r="F13245" s="6" t="n">
        <f aca="false">(Sens!F13223+Sens!F13244)*Sens!F13243/1000</f>
        <v>136.51872432512</v>
      </c>
      <c r="G13245" s="6" t="n">
        <f aca="false">(Sens!G13223+Sens!G13244)*Sens!G13243/1000</f>
        <v>157.399275932048</v>
      </c>
      <c r="H13245" s="6" t="n">
        <f aca="false">(Sens!H13223+Sens!H13244)*Sens!H13243/1000</f>
        <v>162.260804347512</v>
      </c>
      <c r="I13245" s="6" t="n">
        <f aca="false">(Sens!I13223+Sens!I13244)*Sens!I13243/1000</f>
        <v>144.136569485434</v>
      </c>
      <c r="J13245" s="6" t="n">
        <f aca="false">(Sens!J13223+Sens!J13244)*Sens!J13243/1000</f>
        <v>114.029037357864</v>
      </c>
      <c r="K13245" s="6" t="n">
        <f aca="false">(Sens!K13223+Sens!K13244)*Sens!K13243/1000</f>
        <v>113.437085350975</v>
      </c>
    </row>
    <row r="13246" customFormat="false" ht="17.15" hidden="false" customHeight="false" outlineLevel="0" collapsed="false">
      <c r="A13246" s="0" t="s">
        <v>992</v>
      </c>
      <c r="B13246" s="0" t="s">
        <v>98</v>
      </c>
      <c r="C13246" s="6" t="n">
        <f aca="false">Sens!C13223*self_build*tk_cxfac/1000</f>
        <v>6.2083</v>
      </c>
      <c r="D13246" s="6" t="n">
        <f aca="false">Sens!D13223*self_build*tk_cxfac/1000</f>
        <v>9.3758</v>
      </c>
      <c r="E13246" s="6" t="n">
        <f aca="false">Sens!E13223*self_build*tk_cxfac/1000</f>
        <v>18.6249</v>
      </c>
      <c r="F13246" s="6" t="n">
        <f aca="false">Sens!F13223*self_build*tk_cxfac/1000</f>
        <v>31.935179717</v>
      </c>
      <c r="G13246" s="6" t="n">
        <f aca="false">Sens!G13223*self_build*tk_cxfac/1000</f>
        <v>34.545199717</v>
      </c>
      <c r="H13246" s="6" t="n">
        <f aca="false">Sens!H13223*self_build*tk_cxfac/1000</f>
        <v>34.545199717</v>
      </c>
      <c r="I13246" s="6" t="n">
        <f aca="false">Sens!I13223*self_build*tk_cxfac/1000</f>
        <v>24.4782641361767</v>
      </c>
      <c r="J13246" s="6" t="n">
        <f aca="false">Sens!J13223*self_build*tk_cxfac/1000</f>
        <v>14.9008938380769</v>
      </c>
      <c r="K13246" s="6" t="n">
        <f aca="false">Sens!K13223*self_build*tk_cxfac/1000</f>
        <v>5.52576771375761</v>
      </c>
    </row>
    <row r="13247" customFormat="false" ht="17.15" hidden="false" customHeight="false" outlineLevel="0" collapsed="false">
      <c r="A13247" s="0" t="s">
        <v>993</v>
      </c>
      <c r="B13247" s="0" t="s">
        <v>98</v>
      </c>
      <c r="F13247" s="15" t="n">
        <f aca="false">capex_floor27-Sens!F13245-Sens!F13246-Sens!F13343</f>
        <v>0.0475774452575593</v>
      </c>
      <c r="L13247" s="12" t="s">
        <v>994</v>
      </c>
    </row>
    <row r="13248" customFormat="false" ht="17.15" hidden="false" customHeight="false" outlineLevel="0" collapsed="false">
      <c r="A13248" s="0" t="s">
        <v>995</v>
      </c>
      <c r="B13248" s="0" t="s">
        <v>98</v>
      </c>
      <c r="F13248" s="6" t="n">
        <f aca="false">MAX(0,Sens!F13247)</f>
        <v>0.0475774452575593</v>
      </c>
    </row>
    <row r="13249" customFormat="false" ht="17.15" hidden="false" customHeight="false" outlineLevel="0" collapsed="false">
      <c r="A13249" s="0" t="s">
        <v>996</v>
      </c>
      <c r="B13249" s="0" t="s">
        <v>98</v>
      </c>
      <c r="C13249" s="6" t="n">
        <f aca="false">Sens!C13245</f>
        <v>22.5333845916667</v>
      </c>
      <c r="D13249" s="6" t="n">
        <f aca="false">Sens!D13245</f>
        <v>34.0300093833333</v>
      </c>
      <c r="E13249" s="6" t="n">
        <f aca="false">Sens!E13245</f>
        <v>67.600153775</v>
      </c>
      <c r="F13249" s="6" t="n">
        <f aca="false">Sens!F13245</f>
        <v>136.51872432512</v>
      </c>
      <c r="G13249" s="6" t="n">
        <f aca="false">Sens!G13245</f>
        <v>157.399275932048</v>
      </c>
      <c r="H13249" s="6" t="n">
        <f aca="false">Sens!H13245</f>
        <v>162.260804347512</v>
      </c>
      <c r="I13249" s="6" t="n">
        <f aca="false">Sens!I13245</f>
        <v>144.136569485434</v>
      </c>
      <c r="J13249" s="6" t="n">
        <f aca="false">Sens!J13245</f>
        <v>114.029037357864</v>
      </c>
      <c r="K13249" s="6" t="n">
        <f aca="false">Sens!K13245</f>
        <v>113.437085350975</v>
      </c>
    </row>
    <row r="13250" customFormat="false" ht="17.15" hidden="false" customHeight="false" outlineLevel="0" collapsed="false">
      <c r="A13250" s="0" t="s">
        <v>997</v>
      </c>
      <c r="B13250" s="0" t="s">
        <v>98</v>
      </c>
      <c r="C13250" s="6" t="n">
        <f aca="false">Sens!C13249+Sens!C13246</f>
        <v>28.7416845916667</v>
      </c>
      <c r="D13250" s="6" t="n">
        <f aca="false">Sens!D13249+Sens!D13246</f>
        <v>43.4058093833333</v>
      </c>
      <c r="E13250" s="6" t="n">
        <f aca="false">Sens!E13249+Sens!E13246</f>
        <v>86.225053775</v>
      </c>
      <c r="F13250" s="6" t="n">
        <f aca="false">Sens!F13249+Sens!F13246</f>
        <v>168.45390404212</v>
      </c>
      <c r="G13250" s="6" t="n">
        <f aca="false">Sens!G13249+Sens!G13246</f>
        <v>191.944475649048</v>
      </c>
      <c r="H13250" s="6" t="n">
        <f aca="false">Sens!H13249+Sens!H13246</f>
        <v>196.806004064512</v>
      </c>
      <c r="I13250" s="6" t="n">
        <f aca="false">Sens!I13249+Sens!I13246</f>
        <v>168.61483362161</v>
      </c>
      <c r="J13250" s="6" t="n">
        <f aca="false">Sens!J13249+Sens!J13246</f>
        <v>128.92993119594</v>
      </c>
      <c r="K13250" s="6" t="n">
        <f aca="false">Sens!K13249+Sens!K13246</f>
        <v>118.962853064733</v>
      </c>
      <c r="L13250" s="12" t="s">
        <v>998</v>
      </c>
    </row>
    <row r="13251" customFormat="false" ht="17.15" hidden="false" customHeight="false" outlineLevel="0" collapsed="false">
      <c r="A13251" s="0" t="s">
        <v>999</v>
      </c>
      <c r="B13251" s="0" t="s">
        <v>98</v>
      </c>
      <c r="E13251" s="6" t="n">
        <f aca="false">(Sens!C13249*IF(2&lt;life_it,1,IF(2=life_it,0.5,0))+Sens!D13249*IF(1&lt;life_it,1,IF(1=life_it,0.5,0))+Sens!E13249*0.5)/life_it</f>
        <v>15.0605784770833</v>
      </c>
      <c r="F13251" s="6" t="n">
        <f aca="false">(Sens!C13249*IF(3&lt;life_it,1,IF(3=life_it,0.5,0))+Sens!D13249*IF(2&lt;life_it,1,IF(2=life_it,0.5,0))+Sens!E13249*IF(1&lt;life_it,1,IF(1=life_it,0.5,0))+Sens!F13249*0.5)/life_it</f>
        <v>32.0704849854266</v>
      </c>
      <c r="G13251" s="6" t="n">
        <f aca="false">(Sens!C13249*IF(4&lt;life_it,1,IF(4=life_it,0.5,0))+Sens!D13249*IF(3&lt;life_it,1,IF(3=life_it,0.5,0))+Sens!E13249*IF(2&lt;life_it,1,IF(2=life_it,0.5,0))+Sens!F13249*IF(1&lt;life_it,1,IF(1=life_it,0.5,0))+Sens!G13249*0.5)/life_it</f>
        <v>56.5636516735239</v>
      </c>
      <c r="H13251" s="6" t="n">
        <f aca="false">(Sens!C13249*IF(5&lt;life_it,1,IF(5=life_it,0.5,0))+Sens!D13249*IF(4&lt;life_it,1,IF(4=life_it,0.5,0))+Sens!E13249*IF(3&lt;life_it,1,IF(3=life_it,0.5,0))+Sens!F13249*IF(2&lt;life_it,1,IF(2=life_it,0.5,0))+Sens!G13249*IF(1&lt;life_it,1,IF(1=life_it,0.5,0))+Sens!H13249*0.5)/life_it</f>
        <v>83.2019916968207</v>
      </c>
      <c r="I13251" s="6" t="n">
        <f aca="false">(Sens!C13249*IF(6&lt;life_it,1,IF(6=life_it,0.5,0))+Sens!D13249*IF(5&lt;life_it,1,IF(5=life_it,0.5,0))+Sens!E13249*IF(4&lt;life_it,1,IF(4=life_it,0.5,0))+Sens!F13249*IF(3&lt;life_it,1,IF(3=life_it,0.5,0))+Sens!G13249*IF(2&lt;life_it,1,IF(2=life_it,0.5,0))+Sens!H13249*IF(1&lt;life_it,1,IF(1=life_it,0.5,0))+Sens!I13249*0.5)/life_it</f>
        <v>106.857324133594</v>
      </c>
      <c r="J13251" s="6" t="n">
        <f aca="false">(Sens!C13249*IF(7&lt;life_it,1,IF(7=life_it,0.5,0))+Sens!D13249*IF(6&lt;life_it,1,IF(6=life_it,0.5,0))+Sens!E13249*IF(5&lt;life_it,1,IF(5=life_it,0.5,0))+Sens!F13249*IF(4&lt;life_it,1,IF(4=life_it,0.5,0))+Sens!G13249*IF(3&lt;life_it,1,IF(3=life_it,0.5,0))+Sens!H13249*IF(2&lt;life_it,1,IF(2=life_it,0.5,0))+Sens!I13249*IF(1&lt;life_it,1,IF(1=life_it,0.5,0))+Sens!J13249*0.5)/life_it</f>
        <v>123.657508539285</v>
      </c>
      <c r="K13251" s="6" t="n">
        <f aca="false">(Sens!C13249*IF(8&lt;life_it,1,IF(8=life_it,0.5,0))+Sens!D13249*IF(7&lt;life_it,1,IF(7=life_it,0.5,0))+Sens!E13249*IF(6&lt;life_it,1,IF(6=life_it,0.5,0))+Sens!F13249*IF(5&lt;life_it,1,IF(5=life_it,0.5,0))+Sens!G13249*IF(4&lt;life_it,1,IF(4=life_it,0.5,0))+Sens!H13249*IF(3&lt;life_it,1,IF(3=life_it,0.5,0))+Sens!I13249*IF(2&lt;life_it,1,IF(2=life_it,0.5,0))+Sens!J13249*IF(1&lt;life_it,1,IF(1=life_it,0.5,0))+Sens!K13249*0.5)/life_it</f>
        <v>134.143838501827</v>
      </c>
    </row>
    <row r="13252" customFormat="false" ht="17.15" hidden="false" customHeight="false" outlineLevel="0" collapsed="false">
      <c r="A13252" s="0" t="s">
        <v>1000</v>
      </c>
      <c r="B13252" s="0" t="s">
        <v>98</v>
      </c>
      <c r="E13252" s="6" t="n">
        <f aca="false">(Sens!C13246*IF(2&lt;life_fac,1,IF(2=life_fac,0.5,0))+Sens!D13246*IF(1&lt;life_fac,1,IF(1=life_fac,0.5,0))+Sens!E13246*0.5)/life_fac</f>
        <v>1.2448275</v>
      </c>
      <c r="F13252" s="6" t="n">
        <f aca="false">(Sens!C13246*IF(3&lt;life_fac,1,IF(3=life_fac,0.5,0))+Sens!D13246*IF(2&lt;life_fac,1,IF(2=life_fac,0.5,0))+Sens!E13246*IF(1&lt;life_fac,1,IF(1=life_fac,0.5,0))+Sens!F13246*0.5)/life_fac</f>
        <v>2.508829492925</v>
      </c>
      <c r="G13252" s="6" t="n">
        <f aca="false">(Sens!C13246*IF(4&lt;life_fac,1,IF(4=life_fac,0.5,0))+Sens!D13246*IF(3&lt;life_fac,1,IF(3=life_fac,0.5,0))+Sens!E13246*IF(2&lt;life_fac,1,IF(2=life_fac,0.5,0))+Sens!F13246*IF(1&lt;life_fac,1,IF(1=life_fac,0.5,0))+Sens!G13246*0.5)/life_fac</f>
        <v>4.170838978775</v>
      </c>
      <c r="H13252" s="6" t="n">
        <f aca="false">(Sens!C13246*IF(5&lt;life_fac,1,IF(5=life_fac,0.5,0))+Sens!D13246*IF(4&lt;life_fac,1,IF(4=life_fac,0.5,0))+Sens!E13246*IF(3&lt;life_fac,1,IF(3=life_fac,0.5,0))+Sens!F13246*IF(2&lt;life_fac,1,IF(2=life_fac,0.5,0))+Sens!G13246*IF(1&lt;life_fac,1,IF(1=life_fac,0.5,0))+Sens!H13246*0.5)/life_fac</f>
        <v>5.898098964625</v>
      </c>
      <c r="I13252" s="6" t="n">
        <f aca="false">(Sens!C13246*IF(6&lt;life_fac,1,IF(6=life_fac,0.5,0))+Sens!D13246*IF(5&lt;life_fac,1,IF(5=life_fac,0.5,0))+Sens!E13246*IF(4&lt;life_fac,1,IF(4=life_fac,0.5,0))+Sens!F13246*IF(3&lt;life_fac,1,IF(3=life_fac,0.5,0))+Sens!G13246*IF(2&lt;life_fac,1,IF(2=life_fac,0.5,0))+Sens!H13246*IF(1&lt;life_fac,1,IF(1=life_fac,0.5,0))+Sens!I13246*0.5)/life_fac</f>
        <v>7.37368556095442</v>
      </c>
      <c r="J13252" s="6" t="n">
        <f aca="false">(Sens!C13246*IF(7&lt;life_fac,1,IF(7=life_fac,0.5,0))+Sens!D13246*IF(6&lt;life_fac,1,IF(6=life_fac,0.5,0))+Sens!E13246*IF(5&lt;life_fac,1,IF(5=life_fac,0.5,0))+Sens!F13246*IF(4&lt;life_fac,1,IF(4=life_fac,0.5,0))+Sens!G13246*IF(3&lt;life_fac,1,IF(3=life_fac,0.5,0))+Sens!H13246*IF(2&lt;life_fac,1,IF(2=life_fac,0.5,0))+Sens!I13246*IF(1&lt;life_fac,1,IF(1=life_fac,0.5,0))+Sens!J13246*0.5)/life_fac</f>
        <v>8.35816451031075</v>
      </c>
      <c r="K13252" s="6" t="n">
        <f aca="false">(Sens!C13246*IF(8&lt;life_fac,1,IF(8=life_fac,0.5,0))+Sens!D13246*IF(7&lt;life_fac,1,IF(7=life_fac,0.5,0))+Sens!E13246*IF(6&lt;life_fac,1,IF(6=life_fac,0.5,0))+Sens!F13246*IF(5&lt;life_fac,1,IF(5=life_fac,0.5,0))+Sens!G13246*IF(4&lt;life_fac,1,IF(4=life_fac,0.5,0))+Sens!H13246*IF(3&lt;life_fac,1,IF(3=life_fac,0.5,0))+Sens!I13246*IF(2&lt;life_fac,1,IF(2=life_fac,0.5,0))+Sens!J13246*IF(1&lt;life_fac,1,IF(1=life_fac,0.5,0))+Sens!K13246*0.5)/life_fac</f>
        <v>8.86883104910662</v>
      </c>
    </row>
    <row r="13253" customFormat="false" ht="17.15" hidden="false" customHeight="false" outlineLevel="0" collapsed="false">
      <c r="A13253" s="0" t="s">
        <v>1001</v>
      </c>
      <c r="B13253" s="0" t="s">
        <v>98</v>
      </c>
      <c r="E13253" s="6" t="n">
        <f aca="false">Sens!E13251+Sens!E13252</f>
        <v>16.3054059770833</v>
      </c>
      <c r="F13253" s="6" t="n">
        <f aca="false">Sens!F13251+Sens!F13252</f>
        <v>34.5793144783516</v>
      </c>
      <c r="G13253" s="6" t="n">
        <f aca="false">Sens!G13251+Sens!G13252</f>
        <v>60.7344906522989</v>
      </c>
      <c r="H13253" s="6" t="n">
        <f aca="false">Sens!H13251+Sens!H13252</f>
        <v>89.1000906614457</v>
      </c>
      <c r="I13253" s="6" t="n">
        <f aca="false">Sens!I13251+Sens!I13252</f>
        <v>114.231009694548</v>
      </c>
      <c r="J13253" s="6" t="n">
        <f aca="false">Sens!J13251+Sens!J13252</f>
        <v>132.015673049596</v>
      </c>
      <c r="K13253" s="6" t="n">
        <f aca="false">Sens!K13251+Sens!K13252</f>
        <v>143.012669550934</v>
      </c>
    </row>
    <row r="13254" customFormat="false" ht="17.15" hidden="false" customHeight="false" outlineLevel="0" collapsed="false">
      <c r="A13254" s="0" t="s">
        <v>1002</v>
      </c>
      <c r="B13254" s="0" t="s">
        <v>98</v>
      </c>
      <c r="E13254" s="6" t="n">
        <f aca="false">Sens!E13241-Sens!E13240*Sens!E13253</f>
        <v>8.92707889977379</v>
      </c>
      <c r="F13254" s="6" t="n">
        <f aca="false">Sens!F13241-Sens!F13240*Sens!F13253</f>
        <v>22.4686207259278</v>
      </c>
      <c r="G13254" s="6" t="n">
        <f aca="false">Sens!G13241-Sens!G13240*Sens!G13253</f>
        <v>43.2797528675735</v>
      </c>
      <c r="H13254" s="6" t="n">
        <f aca="false">Sens!H13241-Sens!H13240*Sens!H13253</f>
        <v>69.3477099347341</v>
      </c>
      <c r="I13254" s="6" t="n">
        <f aca="false">Sens!I13241-Sens!I13240*Sens!I13253</f>
        <v>86.8523667140836</v>
      </c>
      <c r="J13254" s="6" t="n">
        <f aca="false">Sens!J13241-Sens!J13240*Sens!J13253</f>
        <v>98.9882647234202</v>
      </c>
      <c r="K13254" s="6" t="n">
        <f aca="false">Sens!K13241-Sens!K13240*Sens!K13253</f>
        <v>106.918985011399</v>
      </c>
    </row>
    <row r="13255" customFormat="false" ht="17.15" hidden="false" customHeight="false" outlineLevel="0" collapsed="false">
      <c r="A13255" s="3" t="s">
        <v>1811</v>
      </c>
    </row>
    <row r="13256" customFormat="false" ht="15" hidden="false" customHeight="false" outlineLevel="0" collapsed="false">
      <c r="A13256" s="4" t="s">
        <v>43</v>
      </c>
      <c r="B13256" s="4" t="s">
        <v>65</v>
      </c>
      <c r="C13256" s="23" t="s">
        <v>938</v>
      </c>
      <c r="D13256" s="23" t="s">
        <v>939</v>
      </c>
      <c r="E13256" s="23" t="s">
        <v>940</v>
      </c>
      <c r="F13256" s="23" t="s">
        <v>941</v>
      </c>
      <c r="G13256" s="23" t="s">
        <v>942</v>
      </c>
      <c r="H13256" s="23" t="s">
        <v>943</v>
      </c>
      <c r="I13256" s="23" t="s">
        <v>944</v>
      </c>
      <c r="J13256" s="23" t="s">
        <v>945</v>
      </c>
      <c r="K13256" s="23" t="s">
        <v>946</v>
      </c>
      <c r="L13256" s="4" t="s">
        <v>47</v>
      </c>
    </row>
    <row r="13257" customFormat="false" ht="17.15" hidden="false" customHeight="false" outlineLevel="0" collapsed="false">
      <c r="A13257" s="0" t="s">
        <v>1021</v>
      </c>
      <c r="B13257" s="0" t="s">
        <v>98</v>
      </c>
      <c r="D13257" s="6" t="n">
        <f aca="false">Sens!D13235</f>
        <v>12.9359794422418</v>
      </c>
      <c r="E13257" s="6" t="n">
        <f aca="false">Sens!E13235</f>
        <v>27.8095064661409</v>
      </c>
      <c r="F13257" s="6" t="n">
        <f aca="false">Sens!F13235</f>
        <v>59.1034165651511</v>
      </c>
      <c r="G13257" s="6" t="n">
        <f aca="false">Sens!G13235</f>
        <v>103.451498789198</v>
      </c>
      <c r="H13257" s="6" t="n">
        <f aca="false">Sens!H13235</f>
        <v>153.816719989035</v>
      </c>
      <c r="I13257" s="6" t="n">
        <f aca="false">Sens!I13235</f>
        <v>192.699478690852</v>
      </c>
      <c r="J13257" s="6" t="n">
        <f aca="false">Sens!J13235</f>
        <v>219.794102584244</v>
      </c>
      <c r="K13257" s="6" t="n">
        <f aca="false">Sens!K13235</f>
        <v>236.757046905022</v>
      </c>
    </row>
    <row r="13258" customFormat="false" ht="17.15" hidden="false" customHeight="false" outlineLevel="0" collapsed="false">
      <c r="A13258" s="0" t="s">
        <v>1022</v>
      </c>
      <c r="B13258" s="0" t="s">
        <v>98</v>
      </c>
      <c r="D13258" s="6" t="n">
        <f aca="false">Q!L6-Sens!D13257</f>
        <v>59.6740205577583</v>
      </c>
      <c r="E13258" s="6" t="n">
        <f aca="false">Q!M6-Sens!E13257</f>
        <v>74.1284935338591</v>
      </c>
      <c r="F13258" s="6" t="n">
        <f aca="false">Q!$I$6+(Sens!F13257+Sens!E13258*(1+Sens!F13259))*(1-Q!$E$6/Q!M6)-Sens!F13257</f>
        <v>90.4866018070994</v>
      </c>
      <c r="G13258" s="6" t="n">
        <f aca="false">Sens!F13258*(1+Sens!G13259)</f>
        <v>107.511588557154</v>
      </c>
      <c r="H13258" s="6" t="n">
        <f aca="false">Sens!G13258*(1+Sens!H13259)</f>
        <v>124.832989325489</v>
      </c>
      <c r="I13258" s="6" t="n">
        <f aca="false">Sens!H13258*(1+Sens!I13259)</f>
        <v>141.56992589148</v>
      </c>
      <c r="J13258" s="6" t="n">
        <f aca="false">Sens!I13258*(1+Sens!J13259)</f>
        <v>156.723190479428</v>
      </c>
      <c r="K13258" s="6" t="n">
        <f aca="false">Sens!J13258*(1+Sens!K13259)</f>
        <v>169.261045717783</v>
      </c>
      <c r="L13258" s="12" t="s">
        <v>1023</v>
      </c>
    </row>
    <row r="13259" customFormat="false" ht="15" hidden="false" customHeight="false" outlineLevel="0" collapsed="false">
      <c r="A13259" s="1" t="s">
        <v>1024</v>
      </c>
      <c r="B13259" s="0" t="s">
        <v>168</v>
      </c>
      <c r="E13259" s="7" t="n">
        <f aca="false">Sens!E13258/Sens!D13258-1</f>
        <v>0.242223883039864</v>
      </c>
      <c r="F13259" s="7" t="n">
        <f aca="false">Sens!$E$13259+(glt_azo-Sens!$E$13259)*MIN(1,(Sens!F13216-base_fy)/n_conv)</f>
        <v>0.215186569199887</v>
      </c>
      <c r="G13259" s="7" t="n">
        <f aca="false">Sens!$E$13259+(glt_azo-Sens!$E$13259)*MIN(1,(Sens!G13216-base_fy)/n_conv)</f>
        <v>0.18814925535991</v>
      </c>
      <c r="H13259" s="7" t="n">
        <f aca="false">Sens!$E$13259+(glt_azo-Sens!$E$13259)*MIN(1,(Sens!H13216-base_fy)/n_conv)</f>
        <v>0.161111941519932</v>
      </c>
      <c r="I13259" s="7" t="n">
        <f aca="false">Sens!$E$13259+(glt_azo-Sens!$E$13259)*MIN(1,(Sens!I13216-base_fy)/n_conv)</f>
        <v>0.134074627679955</v>
      </c>
      <c r="J13259" s="7" t="n">
        <f aca="false">Sens!$E$13259+(glt_azo-Sens!$E$13259)*MIN(1,(Sens!J13216-base_fy)/n_conv)</f>
        <v>0.107037313839977</v>
      </c>
      <c r="K13259" s="7" t="n">
        <f aca="false">Sens!$E$13259+(glt_azo-Sens!$E$13259)*MIN(1,(Sens!K13216-base_fy)/n_conv)</f>
        <v>0.08</v>
      </c>
    </row>
    <row r="13260" customFormat="false" ht="15" hidden="false" customHeight="false" outlineLevel="0" collapsed="false">
      <c r="A13260" s="0" t="s">
        <v>1025</v>
      </c>
      <c r="B13260" s="0" t="s">
        <v>98</v>
      </c>
      <c r="D13260" s="6" t="n">
        <f aca="false">Sens!D13257+Sens!D13258</f>
        <v>72.61</v>
      </c>
      <c r="E13260" s="6" t="n">
        <f aca="false">Sens!E13257+Sens!E13258</f>
        <v>101.938</v>
      </c>
      <c r="F13260" s="6" t="n">
        <f aca="false">Sens!F13257+Sens!F13258</f>
        <v>149.59001837225</v>
      </c>
      <c r="G13260" s="6" t="n">
        <f aca="false">Sens!G13257+Sens!G13258</f>
        <v>210.963087346352</v>
      </c>
      <c r="H13260" s="6" t="n">
        <f aca="false">Sens!H13257+Sens!H13258</f>
        <v>278.649709314524</v>
      </c>
      <c r="I13260" s="6" t="n">
        <f aca="false">Sens!I13257+Sens!I13258</f>
        <v>334.269404582332</v>
      </c>
      <c r="J13260" s="6" t="n">
        <f aca="false">Sens!J13257+Sens!J13258</f>
        <v>376.517293063672</v>
      </c>
      <c r="K13260" s="6" t="n">
        <f aca="false">Sens!K13257+Sens!K13258</f>
        <v>406.018092622804</v>
      </c>
    </row>
    <row r="13261" customFormat="false" ht="17.15" hidden="false" customHeight="false" outlineLevel="0" collapsed="false">
      <c r="A13261" s="0" t="s">
        <v>1026</v>
      </c>
      <c r="B13261" s="1" t="s">
        <v>610</v>
      </c>
      <c r="C13261" s="30" t="n">
        <f aca="false">cop_s24</f>
        <v>1</v>
      </c>
      <c r="D13261" s="30" t="n">
        <f aca="false">cop_s25</f>
        <v>5</v>
      </c>
      <c r="E13261" s="30" t="n">
        <f aca="false">cop_s26</f>
        <v>30</v>
      </c>
      <c r="F13261" s="30" t="n">
        <f aca="false">Sens!E13261+cop_add_A</f>
        <v>60</v>
      </c>
      <c r="G13261" s="30" t="n">
        <f aca="false">Sens!F13261+cop_add_A</f>
        <v>90</v>
      </c>
      <c r="H13261" s="30" t="n">
        <f aca="false">Sens!G13261+cop_add_A</f>
        <v>120</v>
      </c>
      <c r="I13261" s="30" t="n">
        <f aca="false">Sens!H13261+cop_add_A*cop_tail</f>
        <v>135</v>
      </c>
      <c r="J13261" s="30" t="n">
        <f aca="false">Sens!I13261+cop_add_A*cop_tail</f>
        <v>150</v>
      </c>
      <c r="K13261" s="30" t="n">
        <f aca="false">Sens!J13261+cop_add_A*cop_tail</f>
        <v>165</v>
      </c>
      <c r="L13261" s="12" t="s">
        <v>1027</v>
      </c>
    </row>
    <row r="13262" customFormat="false" ht="17.15" hidden="false" customHeight="false" outlineLevel="0" collapsed="false">
      <c r="A13262" s="0" t="s">
        <v>1028</v>
      </c>
      <c r="B13262" s="0" t="s">
        <v>98</v>
      </c>
      <c r="D13262" s="6" t="n">
        <f aca="false">(Sens!C13261+Sens!D13261)/2*cop_px*12/1000</f>
        <v>0.9</v>
      </c>
      <c r="E13262" s="6" t="n">
        <f aca="false">(Sens!D13261+Sens!E13261)/2*cop_px*12/1000</f>
        <v>5.25</v>
      </c>
      <c r="F13262" s="6" t="n">
        <f aca="false">(Sens!E13261+Sens!F13261)/2*cop_px*12/1000</f>
        <v>13.5</v>
      </c>
      <c r="G13262" s="6" t="n">
        <f aca="false">(Sens!F13261+Sens!G13261)/2*cop_px*12/1000</f>
        <v>22.5</v>
      </c>
      <c r="H13262" s="6" t="n">
        <f aca="false">(Sens!G13261+Sens!H13261)/2*cop_px*12/1000</f>
        <v>31.5</v>
      </c>
      <c r="I13262" s="6" t="n">
        <f aca="false">(Sens!H13261+Sens!I13261)/2*cop_px*12/1000</f>
        <v>38.25</v>
      </c>
      <c r="J13262" s="6" t="n">
        <f aca="false">(Sens!I13261+Sens!J13261)/2*cop_px*12/1000</f>
        <v>42.75</v>
      </c>
      <c r="K13262" s="6" t="n">
        <f aca="false">(Sens!J13261+Sens!K13261)/2*cop_px*12/1000</f>
        <v>47.25</v>
      </c>
      <c r="L13262" s="1" t="s">
        <v>1029</v>
      </c>
    </row>
    <row r="13263" customFormat="false" ht="17.15" hidden="false" customHeight="false" outlineLevel="0" collapsed="false">
      <c r="A13263" s="0" t="s">
        <v>1030</v>
      </c>
      <c r="B13263" s="0" t="s">
        <v>98</v>
      </c>
      <c r="D13263" s="6" t="n">
        <f aca="false">Q!L7-Sens!D13262</f>
        <v>83.705</v>
      </c>
      <c r="E13263" s="6" t="n">
        <f aca="false">Q!M7-Sens!E13262</f>
        <v>95.049</v>
      </c>
      <c r="F13263" s="6" t="n">
        <f aca="false">Q!$I$7+(Sens!E13263*(1+Sens!F13264)+Sens!F13262)*(1-Q!$E$7/Q!M7)-Sens!F13262</f>
        <v>106.229653205718</v>
      </c>
      <c r="G13263" s="6" t="n">
        <f aca="false">Sens!F13263*(1+Sens!G13264)</f>
        <v>118.306092647576</v>
      </c>
      <c r="H13263" s="6" t="n">
        <f aca="false">Sens!G13263*(1+Sens!H13264)</f>
        <v>130.463437602768</v>
      </c>
      <c r="I13263" s="6" t="n">
        <f aca="false">Sens!H13263*(1+Sens!I13264)</f>
        <v>142.445354741933</v>
      </c>
      <c r="J13263" s="6" t="n">
        <f aca="false">Sens!I13263*(1+Sens!J13264)</f>
        <v>153.972117481571</v>
      </c>
      <c r="K13263" s="6" t="n">
        <f aca="false">Sens!J13263*(1+Sens!K13264)</f>
        <v>164.75016570528</v>
      </c>
      <c r="L13263" s="12" t="s">
        <v>1031</v>
      </c>
    </row>
    <row r="13264" customFormat="false" ht="15" hidden="false" customHeight="false" outlineLevel="0" collapsed="false">
      <c r="A13264" s="1" t="s">
        <v>1024</v>
      </c>
      <c r="B13264" s="0" t="s">
        <v>168</v>
      </c>
      <c r="E13264" s="7" t="n">
        <f aca="false">Sens!E13263/Sens!D13263-1</f>
        <v>0.135523564900544</v>
      </c>
      <c r="F13264" s="7" t="n">
        <f aca="false">Sens!$E$13264+(glt_m365b-Sens!$E$13264)*MIN(1,(Sens!F13216-base_fy)/n_conv)</f>
        <v>0.124602970750453</v>
      </c>
      <c r="G13264" s="7" t="n">
        <f aca="false">Sens!$E$13264+(glt_m365b-Sens!$E$13264)*MIN(1,(Sens!G13216-base_fy)/n_conv)</f>
        <v>0.113682376600363</v>
      </c>
      <c r="H13264" s="7" t="n">
        <f aca="false">Sens!$E$13264+(glt_m365b-Sens!$E$13264)*MIN(1,(Sens!H13216-base_fy)/n_conv)</f>
        <v>0.102761782450272</v>
      </c>
      <c r="I13264" s="7" t="n">
        <f aca="false">Sens!$E$13264+(glt_m365b-Sens!$E$13264)*MIN(1,(Sens!I13216-base_fy)/n_conv)</f>
        <v>0.0918411883001813</v>
      </c>
      <c r="J13264" s="7" t="n">
        <f aca="false">Sens!$E$13264+(glt_m365b-Sens!$E$13264)*MIN(1,(Sens!J13216-base_fy)/n_conv)</f>
        <v>0.0809205941500906</v>
      </c>
      <c r="K13264" s="7" t="n">
        <f aca="false">Sens!$E$13264+(glt_m365b-Sens!$E$13264)*MIN(1,(Sens!K13216-base_fy)/n_conv)</f>
        <v>0.07</v>
      </c>
    </row>
    <row r="13265" customFormat="false" ht="15" hidden="false" customHeight="false" outlineLevel="0" collapsed="false">
      <c r="A13265" s="0" t="s">
        <v>1032</v>
      </c>
      <c r="B13265" s="0" t="s">
        <v>98</v>
      </c>
      <c r="D13265" s="6" t="n">
        <f aca="false">Sens!D13263+Sens!D13262</f>
        <v>84.605</v>
      </c>
      <c r="E13265" s="6" t="n">
        <f aca="false">Sens!E13263+Sens!E13262</f>
        <v>100.299</v>
      </c>
      <c r="F13265" s="6" t="n">
        <f aca="false">Sens!F13263+Sens!F13262</f>
        <v>119.729653205718</v>
      </c>
      <c r="G13265" s="6" t="n">
        <f aca="false">Sens!G13263+Sens!G13262</f>
        <v>140.806092647576</v>
      </c>
      <c r="H13265" s="6" t="n">
        <f aca="false">Sens!H13263+Sens!H13262</f>
        <v>161.963437602768</v>
      </c>
      <c r="I13265" s="6" t="n">
        <f aca="false">Sens!I13263+Sens!I13262</f>
        <v>180.695354741933</v>
      </c>
      <c r="J13265" s="6" t="n">
        <f aca="false">Sens!J13263+Sens!J13262</f>
        <v>196.722117481571</v>
      </c>
      <c r="K13265" s="6" t="n">
        <f aca="false">Sens!K13263+Sens!K13262</f>
        <v>212.00016570528</v>
      </c>
    </row>
    <row r="13266" customFormat="false" ht="17.15" hidden="false" customHeight="false" outlineLevel="0" collapsed="false">
      <c r="A13266" s="0" t="s">
        <v>1033</v>
      </c>
      <c r="B13266" s="0" t="s">
        <v>98</v>
      </c>
      <c r="D13266" s="6" t="n">
        <f aca="false">Q!L8</f>
        <v>35.391</v>
      </c>
      <c r="E13266" s="6" t="n">
        <f aca="false">Q!M8</f>
        <v>37.285</v>
      </c>
      <c r="F13266" s="6" t="n">
        <f aca="false">Q!$I$8+(Q!M8-Q!$E$8)*(1+Sens!F13267)</f>
        <v>38.3851437782675</v>
      </c>
      <c r="G13266" s="6" t="n">
        <f aca="false">Sens!F13266*(1+Sens!G13267)</f>
        <v>40.0105353288615</v>
      </c>
      <c r="H13266" s="6" t="n">
        <f aca="false">Sens!G13266*(1+Sens!H13267)</f>
        <v>41.4812512033683</v>
      </c>
      <c r="I13266" s="6" t="n">
        <f aca="false">Sens!H13266*(1+Sens!I13267)</f>
        <v>42.7743107216329</v>
      </c>
      <c r="J13266" s="6" t="n">
        <f aca="false">Sens!I13266*(1+Sens!J13267)</f>
        <v>43.8687373064601</v>
      </c>
      <c r="K13266" s="6" t="n">
        <f aca="false">Sens!J13266*(1+Sens!K13267)</f>
        <v>44.7461120525893</v>
      </c>
      <c r="L13266" s="12" t="s">
        <v>1034</v>
      </c>
    </row>
    <row r="13267" customFormat="false" ht="15" hidden="false" customHeight="false" outlineLevel="0" collapsed="false">
      <c r="A13267" s="1" t="s">
        <v>1024</v>
      </c>
      <c r="B13267" s="0" t="s">
        <v>168</v>
      </c>
      <c r="E13267" s="7" t="n">
        <f aca="false">Sens!E13266/Sens!D13266-1</f>
        <v>0.0535164307309768</v>
      </c>
      <c r="F13267" s="7" t="n">
        <f aca="false">Sens!$E$13267+(glt_lic-Sens!$E$13267)*MIN(1,(Sens!F13216-base_fy)/n_conv)</f>
        <v>0.0479303589424807</v>
      </c>
      <c r="G13267" s="7" t="n">
        <f aca="false">Sens!$E$13267+(glt_lic-Sens!$E$13267)*MIN(1,(Sens!G13216-base_fy)/n_conv)</f>
        <v>0.0423442871539845</v>
      </c>
      <c r="H13267" s="7" t="n">
        <f aca="false">Sens!$E$13267+(glt_lic-Sens!$E$13267)*MIN(1,(Sens!H13216-base_fy)/n_conv)</f>
        <v>0.0367582153654884</v>
      </c>
      <c r="I13267" s="7" t="n">
        <f aca="false">Sens!$E$13267+(glt_lic-Sens!$E$13267)*MIN(1,(Sens!I13216-base_fy)/n_conv)</f>
        <v>0.0311721435769923</v>
      </c>
      <c r="J13267" s="7" t="n">
        <f aca="false">Sens!$E$13267+(glt_lic-Sens!$E$13267)*MIN(1,(Sens!J13216-base_fy)/n_conv)</f>
        <v>0.0255860717884961</v>
      </c>
      <c r="K13267" s="7" t="n">
        <f aca="false">Sens!$E$13267+(glt_lic-Sens!$E$13267)*MIN(1,(Sens!K13216-base_fy)/n_conv)</f>
        <v>0.02</v>
      </c>
    </row>
    <row r="13268" customFormat="false" ht="17.15" hidden="false" customHeight="false" outlineLevel="0" collapsed="false">
      <c r="A13268" s="0" t="s">
        <v>1035</v>
      </c>
      <c r="B13268" s="0" t="s">
        <v>98</v>
      </c>
      <c r="D13268" s="6" t="n">
        <f aca="false">Q!L9</f>
        <v>18.417</v>
      </c>
      <c r="E13268" s="6" t="n">
        <f aca="false">Q!M9</f>
        <v>20.345</v>
      </c>
      <c r="F13268" s="6" t="n">
        <f aca="false">Q!$I$9+(Q!M9-Q!$E$9)*(1+Sens!F13269)</f>
        <v>22.3161797133988</v>
      </c>
      <c r="G13268" s="6" t="n">
        <f aca="false">Sens!F13268*(1+Sens!G13269)</f>
        <v>24.3943499673233</v>
      </c>
      <c r="H13268" s="6" t="n">
        <f aca="false">Sens!G13268*(1+Sens!H13269)</f>
        <v>26.5250243109019</v>
      </c>
      <c r="I13268" s="6" t="n">
        <f aca="false">Sens!H13268*(1+Sens!I13269)</f>
        <v>28.6884573538181</v>
      </c>
      <c r="J13268" s="6" t="n">
        <f aca="false">Sens!I13268*(1+Sens!J13269)</f>
        <v>30.8624968052127</v>
      </c>
      <c r="K13268" s="6" t="n">
        <f aca="false">Sens!J13268*(1+Sens!K13269)</f>
        <v>33.0228715815776</v>
      </c>
      <c r="L13268" s="12" t="s">
        <v>1034</v>
      </c>
    </row>
    <row r="13269" customFormat="false" ht="15" hidden="false" customHeight="false" outlineLevel="0" collapsed="false">
      <c r="A13269" s="1" t="s">
        <v>1024</v>
      </c>
      <c r="B13269" s="0" t="s">
        <v>168</v>
      </c>
      <c r="E13269" s="7" t="n">
        <f aca="false">Sens!E13268/Sens!D13268-1</f>
        <v>0.104685888038225</v>
      </c>
      <c r="F13269" s="7" t="n">
        <f aca="false">Sens!$E$13269+(glt_ind-Sens!$E$13269)*MIN(1,(Sens!F13216-base_fy)/n_conv)</f>
        <v>0.0989049066985211</v>
      </c>
      <c r="G13269" s="7" t="n">
        <f aca="false">Sens!$E$13269+(glt_ind-Sens!$E$13269)*MIN(1,(Sens!G13216-base_fy)/n_conv)</f>
        <v>0.0931239253588169</v>
      </c>
      <c r="H13269" s="7" t="n">
        <f aca="false">Sens!$E$13269+(glt_ind-Sens!$E$13269)*MIN(1,(Sens!H13216-base_fy)/n_conv)</f>
        <v>0.0873429440191127</v>
      </c>
      <c r="I13269" s="7" t="n">
        <f aca="false">Sens!$E$13269+(glt_ind-Sens!$E$13269)*MIN(1,(Sens!I13216-base_fy)/n_conv)</f>
        <v>0.0815619626794085</v>
      </c>
      <c r="J13269" s="7" t="n">
        <f aca="false">Sens!$E$13269+(glt_ind-Sens!$E$13269)*MIN(1,(Sens!J13216-base_fy)/n_conv)</f>
        <v>0.0757809813397042</v>
      </c>
      <c r="K13269" s="7" t="n">
        <f aca="false">Sens!$E$13269+(glt_ind-Sens!$E$13269)*MIN(1,(Sens!K13216-base_fy)/n_conv)</f>
        <v>0.07</v>
      </c>
    </row>
    <row r="13270" customFormat="false" ht="17.15" hidden="false" customHeight="false" outlineLevel="0" collapsed="false">
      <c r="A13270" s="0" t="s">
        <v>1036</v>
      </c>
      <c r="B13270" s="0" t="s">
        <v>98</v>
      </c>
      <c r="D13270" s="6" t="n">
        <f aca="false">Q!L10</f>
        <v>7.76</v>
      </c>
      <c r="E13270" s="6" t="n">
        <f aca="false">Q!M10</f>
        <v>8.26</v>
      </c>
      <c r="F13270" s="6" t="n">
        <f aca="false">Q!$I$10+(Q!M10-Q!$E$10)*(1+Sens!F13271)</f>
        <v>8.75372082474227</v>
      </c>
      <c r="G13270" s="6" t="n">
        <f aca="false">Sens!F13270*(1+Sens!G13271)</f>
        <v>9.33399324642364</v>
      </c>
      <c r="H13270" s="6" t="n">
        <f aca="false">Sens!G13270*(1+Sens!H13271)</f>
        <v>9.96139155535851</v>
      </c>
      <c r="I13270" s="6" t="n">
        <f aca="false">Sens!H13270*(1+Sens!I13271)</f>
        <v>10.6402039077391</v>
      </c>
      <c r="J13270" s="6" t="n">
        <f aca="false">Sens!I13270*(1+Sens!J13271)</f>
        <v>11.3751458271397</v>
      </c>
      <c r="K13270" s="6" t="n">
        <f aca="false">Sens!J13270*(1+Sens!K13271)</f>
        <v>12.1714060350394</v>
      </c>
      <c r="L13270" s="12" t="s">
        <v>1034</v>
      </c>
    </row>
    <row r="13271" customFormat="false" ht="15" hidden="false" customHeight="false" outlineLevel="0" collapsed="false">
      <c r="A13271" s="1" t="s">
        <v>1024</v>
      </c>
      <c r="B13271" s="0" t="s">
        <v>168</v>
      </c>
      <c r="E13271" s="7" t="n">
        <f aca="false">Sens!E13270/Sens!D13270-1</f>
        <v>0.0644329896907216</v>
      </c>
      <c r="F13271" s="7" t="n">
        <f aca="false">Sens!$E$13271+(glt_fro-Sens!$E$13271)*MIN(1,(Sens!F13216-base_fy)/n_conv)</f>
        <v>0.065360824742268</v>
      </c>
      <c r="G13271" s="7" t="n">
        <f aca="false">Sens!$E$13271+(glt_fro-Sens!$E$13271)*MIN(1,(Sens!G13216-base_fy)/n_conv)</f>
        <v>0.0662886597938144</v>
      </c>
      <c r="H13271" s="7" t="n">
        <f aca="false">Sens!$E$13271+(glt_fro-Sens!$E$13271)*MIN(1,(Sens!H13216-base_fy)/n_conv)</f>
        <v>0.0672164948453608</v>
      </c>
      <c r="I13271" s="7" t="n">
        <f aca="false">Sens!$E$13271+(glt_fro-Sens!$E$13271)*MIN(1,(Sens!I13216-base_fy)/n_conv)</f>
        <v>0.0681443298969072</v>
      </c>
      <c r="J13271" s="7" t="n">
        <f aca="false">Sens!$E$13271+(glt_fro-Sens!$E$13271)*MIN(1,(Sens!J13216-base_fy)/n_conv)</f>
        <v>0.0690721649484536</v>
      </c>
      <c r="K13271" s="7" t="n">
        <f aca="false">Sens!$E$13271+(glt_fro-Sens!$E$13271)*MIN(1,(Sens!K13216-base_fy)/n_conv)</f>
        <v>0.07</v>
      </c>
    </row>
    <row r="13272" customFormat="false" ht="15" hidden="false" customHeight="false" outlineLevel="0" collapsed="false">
      <c r="A13272" s="0" t="s">
        <v>852</v>
      </c>
      <c r="B13272" s="0" t="s">
        <v>98</v>
      </c>
      <c r="D13272" s="6" t="n">
        <f aca="false">Sens!D13260+Sens!D13265+Sens!D13266+Sens!D13268+Sens!D13270</f>
        <v>218.783</v>
      </c>
      <c r="E13272" s="6" t="n">
        <f aca="false">Sens!E13260+Sens!E13265+Sens!E13266+Sens!E13268+Sens!E13270</f>
        <v>268.127</v>
      </c>
      <c r="F13272" s="6" t="n">
        <f aca="false">Sens!F13260+Sens!F13265+Sens!F13266+Sens!F13268+Sens!F13270</f>
        <v>338.774715894377</v>
      </c>
      <c r="G13272" s="6" t="n">
        <f aca="false">Sens!G13260+Sens!G13265+Sens!G13266+Sens!G13268+Sens!G13270</f>
        <v>425.508058536537</v>
      </c>
      <c r="H13272" s="6" t="n">
        <f aca="false">Sens!H13260+Sens!H13265+Sens!H13266+Sens!H13268+Sens!H13270</f>
        <v>518.580813986921</v>
      </c>
      <c r="I13272" s="6" t="n">
        <f aca="false">Sens!I13260+Sens!I13265+Sens!I13266+Sens!I13268+Sens!I13270</f>
        <v>597.067731307455</v>
      </c>
      <c r="J13272" s="6" t="n">
        <f aca="false">Sens!J13260+Sens!J13265+Sens!J13266+Sens!J13268+Sens!J13270</f>
        <v>659.345790484055</v>
      </c>
      <c r="K13272" s="6" t="n">
        <f aca="false">Sens!K13260+Sens!K13265+Sens!K13266+Sens!K13268+Sens!K13270</f>
        <v>707.958647997291</v>
      </c>
    </row>
    <row r="13273" customFormat="false" ht="17.15" hidden="false" customHeight="false" outlineLevel="0" collapsed="false">
      <c r="A13273" s="0" t="s">
        <v>1037</v>
      </c>
      <c r="B13273" s="0" t="s">
        <v>98</v>
      </c>
      <c r="D13273" s="6" t="n">
        <f aca="false">Q!L13</f>
        <v>22.171</v>
      </c>
      <c r="E13273" s="6" t="n">
        <f aca="false">Q!M13</f>
        <v>24.835</v>
      </c>
      <c r="F13273" s="6" t="n">
        <f aca="false">Q!$I$13+(Q!M13-Q!$E$13)*(1+Sens!F13274)</f>
        <v>27.5591895660247</v>
      </c>
      <c r="G13273" s="6" t="n">
        <f aca="false">Sens!F13273*(1+Sens!G13274)</f>
        <v>30.4098563144583</v>
      </c>
      <c r="H13273" s="6" t="n">
        <f aca="false">Sens!G13273*(1+Sens!H13274)</f>
        <v>33.3011792571777</v>
      </c>
      <c r="I13273" s="6" t="n">
        <f aca="false">Sens!H13273*(1+Sens!I13274)</f>
        <v>36.189023797112</v>
      </c>
      <c r="J13273" s="6" t="n">
        <f aca="false">Sens!I13273*(1+Sens!J13274)</f>
        <v>39.0247773769199</v>
      </c>
      <c r="K13273" s="6" t="n">
        <f aca="false">Sens!J13273*(1+Sens!K13274)</f>
        <v>41.7565117933043</v>
      </c>
      <c r="L13273" s="12" t="s">
        <v>1034</v>
      </c>
    </row>
    <row r="13274" customFormat="false" ht="15" hidden="false" customHeight="false" outlineLevel="0" collapsed="false">
      <c r="A13274" s="1" t="s">
        <v>1024</v>
      </c>
      <c r="B13274" s="0" t="s">
        <v>168</v>
      </c>
      <c r="E13274" s="7" t="n">
        <f aca="false">Sens!E13273/Sens!D13273-1</f>
        <v>0.120156961796942</v>
      </c>
      <c r="F13274" s="7" t="n">
        <f aca="false">Sens!$E$13274+(glt_srch-Sens!$E$13274)*MIN(1,(Sens!F13216-base_fy)/n_conv)</f>
        <v>0.111797468164118</v>
      </c>
      <c r="G13274" s="7" t="n">
        <f aca="false">Sens!$E$13274+(glt_srch-Sens!$E$13274)*MIN(1,(Sens!G13216-base_fy)/n_conv)</f>
        <v>0.103437974531295</v>
      </c>
      <c r="H13274" s="7" t="n">
        <f aca="false">Sens!$E$13274+(glt_srch-Sens!$E$13274)*MIN(1,(Sens!H13216-base_fy)/n_conv)</f>
        <v>0.095078480898471</v>
      </c>
      <c r="I13274" s="7" t="n">
        <f aca="false">Sens!$E$13274+(glt_srch-Sens!$E$13274)*MIN(1,(Sens!I13216-base_fy)/n_conv)</f>
        <v>0.0867189872656474</v>
      </c>
      <c r="J13274" s="7" t="n">
        <f aca="false">Sens!$E$13274+(glt_srch-Sens!$E$13274)*MIN(1,(Sens!J13216-base_fy)/n_conv)</f>
        <v>0.0783594936328237</v>
      </c>
      <c r="K13274" s="7" t="n">
        <f aca="false">Sens!$E$13274+(glt_srch-Sens!$E$13274)*MIN(1,(Sens!K13216-base_fy)/n_conv)</f>
        <v>0.07</v>
      </c>
    </row>
    <row r="13275" customFormat="false" ht="17.15" hidden="false" customHeight="false" outlineLevel="0" collapsed="false">
      <c r="A13275" s="0" t="s">
        <v>1038</v>
      </c>
      <c r="B13275" s="0" t="s">
        <v>98</v>
      </c>
      <c r="D13275" s="6" t="n">
        <f aca="false">Q!L14</f>
        <v>23.455</v>
      </c>
      <c r="E13275" s="6" t="n">
        <f aca="false">Q!M14</f>
        <v>21.79</v>
      </c>
      <c r="F13275" s="6" t="n">
        <f aca="false">Q!$I$14+(Q!M14-Q!$E$14)*(1+Sens!F13276)</f>
        <v>20.7520981041711</v>
      </c>
      <c r="G13275" s="6" t="n">
        <f aca="false">Sens!F13275*(1+Sens!G13276)</f>
        <v>19.9083593495882</v>
      </c>
      <c r="H13275" s="6" t="n">
        <f aca="false">Sens!G13275*(1+Sens!H13276)</f>
        <v>19.4008256265831</v>
      </c>
      <c r="I13275" s="6" t="n">
        <f aca="false">Sens!H13275*(1+Sens!I13276)</f>
        <v>19.200434522122</v>
      </c>
      <c r="J13275" s="6" t="n">
        <f aca="false">Sens!I13275*(1+Sens!J13276)</f>
        <v>19.2932782348507</v>
      </c>
      <c r="K13275" s="6" t="n">
        <f aca="false">Sens!J13275*(1+Sens!K13276)</f>
        <v>19.6791437995477</v>
      </c>
      <c r="L13275" s="12" t="s">
        <v>1034</v>
      </c>
    </row>
    <row r="13276" customFormat="false" ht="15" hidden="false" customHeight="false" outlineLevel="0" collapsed="false">
      <c r="A13276" s="1" t="s">
        <v>1024</v>
      </c>
      <c r="B13276" s="0" t="s">
        <v>168</v>
      </c>
      <c r="E13276" s="7" t="n">
        <f aca="false">Sens!E13275/Sens!D13275-1</f>
        <v>-0.0709869963760392</v>
      </c>
      <c r="F13276" s="7" t="n">
        <f aca="false">Sens!$E$13276+(glt_xbox-Sens!$E$13276)*MIN(1,(Sens!F13216-base_fy)/n_conv)</f>
        <v>-0.0558224969800327</v>
      </c>
      <c r="G13276" s="7" t="n">
        <f aca="false">Sens!$E$13276+(glt_xbox-Sens!$E$13276)*MIN(1,(Sens!G13216-base_fy)/n_conv)</f>
        <v>-0.0406579975840262</v>
      </c>
      <c r="H13276" s="7" t="n">
        <f aca="false">Sens!$E$13276+(glt_xbox-Sens!$E$13276)*MIN(1,(Sens!H13216-base_fy)/n_conv)</f>
        <v>-0.0254934981880196</v>
      </c>
      <c r="I13276" s="7" t="n">
        <f aca="false">Sens!$E$13276+(glt_xbox-Sens!$E$13276)*MIN(1,(Sens!I13216-base_fy)/n_conv)</f>
        <v>-0.0103289987920131</v>
      </c>
      <c r="J13276" s="7" t="n">
        <f aca="false">Sens!$E$13276+(glt_xbox-Sens!$E$13276)*MIN(1,(Sens!J13216-base_fy)/n_conv)</f>
        <v>0.00483550060399347</v>
      </c>
      <c r="K13276" s="7" t="n">
        <f aca="false">Sens!$E$13276+(glt_xbox-Sens!$E$13276)*MIN(1,(Sens!K13216-base_fy)/n_conv)</f>
        <v>0.02</v>
      </c>
    </row>
    <row r="13277" customFormat="false" ht="17.15" hidden="false" customHeight="false" outlineLevel="0" collapsed="false">
      <c r="A13277" s="0" t="s">
        <v>1039</v>
      </c>
      <c r="B13277" s="0" t="s">
        <v>98</v>
      </c>
      <c r="D13277" s="6" t="n">
        <f aca="false">Q!L15</f>
        <v>17.315</v>
      </c>
      <c r="E13277" s="6" t="n">
        <f aca="false">Q!M15</f>
        <v>17.087</v>
      </c>
      <c r="F13277" s="6" t="n">
        <f aca="false">Q!$I$15+(Q!M15-Q!$E$15)*(1+Sens!F13278)</f>
        <v>15.9912273250553</v>
      </c>
      <c r="G13277" s="6" t="n">
        <f aca="false">Sens!F13277*(1+Sens!G13278)</f>
        <v>15.9574562664827</v>
      </c>
      <c r="H13277" s="6" t="n">
        <f aca="false">Sens!G13277*(1+Sens!H13278)</f>
        <v>16.0119687434196</v>
      </c>
      <c r="I13277" s="6" t="n">
        <f aca="false">Sens!H13277*(1+Sens!I13278)</f>
        <v>16.1551810001948</v>
      </c>
      <c r="J13277" s="6" t="n">
        <f aca="false">Sens!I13277*(1+Sens!J13278)</f>
        <v>16.3889793892005</v>
      </c>
      <c r="K13277" s="6" t="n">
        <f aca="false">Sens!J13277*(1+Sens!K13278)</f>
        <v>16.7167589769845</v>
      </c>
      <c r="L13277" s="12" t="s">
        <v>1034</v>
      </c>
    </row>
    <row r="13278" customFormat="false" ht="15" hidden="false" customHeight="false" outlineLevel="0" collapsed="false">
      <c r="A13278" s="1" t="s">
        <v>1024</v>
      </c>
      <c r="B13278" s="0" t="s">
        <v>168</v>
      </c>
      <c r="E13278" s="7" t="n">
        <f aca="false">Sens!E13277/Sens!D13277-1</f>
        <v>-0.0131677736066995</v>
      </c>
      <c r="F13278" s="7" t="n">
        <f aca="false">Sens!$E$13278+(glt_win-Sens!$E$13278)*MIN(1,(Sens!F13216-base_fy)/n_conv)</f>
        <v>-0.00763981133891627</v>
      </c>
      <c r="G13278" s="7" t="n">
        <f aca="false">Sens!$E$13278+(glt_win-Sens!$E$13278)*MIN(1,(Sens!G13216-base_fy)/n_conv)</f>
        <v>-0.00211184907113301</v>
      </c>
      <c r="H13278" s="7" t="n">
        <f aca="false">Sens!$E$13278+(glt_win-Sens!$E$13278)*MIN(1,(Sens!H13216-base_fy)/n_conv)</f>
        <v>0.00341611319665024</v>
      </c>
      <c r="I13278" s="7" t="n">
        <f aca="false">Sens!$E$13278+(glt_win-Sens!$E$13278)*MIN(1,(Sens!I13216-base_fy)/n_conv)</f>
        <v>0.00894407546443349</v>
      </c>
      <c r="J13278" s="7" t="n">
        <f aca="false">Sens!$E$13278+(glt_win-Sens!$E$13278)*MIN(1,(Sens!J13216-base_fy)/n_conv)</f>
        <v>0.0144720377322168</v>
      </c>
      <c r="K13278" s="7" t="n">
        <f aca="false">Sens!$E$13278+(glt_win-Sens!$E$13278)*MIN(1,(Sens!K13216-base_fy)/n_conv)</f>
        <v>0.02</v>
      </c>
    </row>
    <row r="13279" customFormat="false" ht="15" hidden="false" customHeight="false" outlineLevel="0" collapsed="false">
      <c r="A13279" s="0" t="s">
        <v>866</v>
      </c>
      <c r="B13279" s="0" t="s">
        <v>98</v>
      </c>
      <c r="D13279" s="6" t="n">
        <f aca="false">Sens!D13273+Sens!D13275+Sens!D13277</f>
        <v>62.941</v>
      </c>
      <c r="E13279" s="6" t="n">
        <f aca="false">Sens!E13273+Sens!E13275+Sens!E13277</f>
        <v>63.712</v>
      </c>
      <c r="F13279" s="6" t="n">
        <f aca="false">Sens!F13273+Sens!F13275+Sens!F13277</f>
        <v>64.3025149952511</v>
      </c>
      <c r="G13279" s="6" t="n">
        <f aca="false">Sens!G13273+Sens!G13275+Sens!G13277</f>
        <v>66.2756719305292</v>
      </c>
      <c r="H13279" s="6" t="n">
        <f aca="false">Sens!H13273+Sens!H13275+Sens!H13277</f>
        <v>68.7139736271804</v>
      </c>
      <c r="I13279" s="6" t="n">
        <f aca="false">Sens!I13273+Sens!I13275+Sens!I13277</f>
        <v>71.5446393194289</v>
      </c>
      <c r="J13279" s="6" t="n">
        <f aca="false">Sens!J13273+Sens!J13275+Sens!J13277</f>
        <v>74.707035000971</v>
      </c>
      <c r="K13279" s="6" t="n">
        <f aca="false">Sens!K13273+Sens!K13275+Sens!K13277</f>
        <v>78.1524145698365</v>
      </c>
    </row>
    <row r="13280" customFormat="false" ht="15" hidden="false" customHeight="false" outlineLevel="0" collapsed="false">
      <c r="A13280" s="1" t="s">
        <v>1040</v>
      </c>
      <c r="B13280" s="0" t="s">
        <v>98</v>
      </c>
      <c r="D13280" s="6" t="n">
        <f aca="false">Sens!D13272+Sens!D13279</f>
        <v>281.724</v>
      </c>
      <c r="E13280" s="6" t="n">
        <f aca="false">Sens!E13272+Sens!E13279</f>
        <v>331.839</v>
      </c>
      <c r="F13280" s="6" t="n">
        <f aca="false">Sens!F13272+Sens!F13279</f>
        <v>403.077230889628</v>
      </c>
      <c r="G13280" s="6" t="n">
        <f aca="false">Sens!G13272+Sens!G13279</f>
        <v>491.783730467066</v>
      </c>
      <c r="H13280" s="6" t="n">
        <f aca="false">Sens!H13272+Sens!H13279</f>
        <v>587.294787614101</v>
      </c>
      <c r="I13280" s="6" t="n">
        <f aca="false">Sens!I13272+Sens!I13279</f>
        <v>668.612370626884</v>
      </c>
      <c r="J13280" s="6" t="n">
        <f aca="false">Sens!J13272+Sens!J13279</f>
        <v>734.052825485026</v>
      </c>
      <c r="K13280" s="6" t="n">
        <f aca="false">Sens!K13272+Sens!K13279</f>
        <v>786.111062567128</v>
      </c>
    </row>
    <row r="13281" customFormat="false" ht="15" hidden="false" customHeight="false" outlineLevel="0" collapsed="false">
      <c r="A13281" s="26" t="s">
        <v>1041</v>
      </c>
      <c r="B13281" s="31" t="s">
        <v>98</v>
      </c>
      <c r="C13281" s="31"/>
      <c r="D13281" s="27" t="n">
        <f aca="false">(Sens!D13260+Sens!D13265+Sens!D13266+Sens!D13268+Sens!D13270-Sens!D13272)+(Sens!D13273+Sens!D13275+Sens!D13277-Sens!D13279)+(Sens!D13272-Q!L5)+(Sens!D13279-Q!L12)+(Sens!D13260-Q!L6)+(Sens!D13265-Q!L7)</f>
        <v>0</v>
      </c>
      <c r="E13281" s="27" t="n">
        <f aca="false">(Sens!E13260+Sens!E13265+Sens!E13266+Sens!E13268+Sens!E13270-Sens!E13272)+(Sens!E13273+Sens!E13275+Sens!E13277-Sens!E13279)+(Sens!E13272-Q!M5)+(Sens!E13279-Q!M12)+(Sens!E13260-Q!M6)+(Sens!E13265-Q!M7)</f>
        <v>0</v>
      </c>
      <c r="F13281" s="27" t="n">
        <f aca="false">(Sens!F13260+Sens!F13265+Sens!F13266+Sens!F13268+Sens!F13270-Sens!F13272)+(Sens!F13273+Sens!F13275+Sens!F13277-Sens!F13279)</f>
        <v>0</v>
      </c>
      <c r="G13281" s="27" t="n">
        <f aca="false">(Sens!G13260+Sens!G13265+Sens!G13266+Sens!G13268+Sens!G13270-Sens!G13272)+(Sens!G13273+Sens!G13275+Sens!G13277-Sens!G13279)</f>
        <v>0</v>
      </c>
      <c r="H13281" s="27" t="n">
        <f aca="false">(Sens!H13260+Sens!H13265+Sens!H13266+Sens!H13268+Sens!H13270-Sens!H13272)+(Sens!H13273+Sens!H13275+Sens!H13277-Sens!H13279)</f>
        <v>0</v>
      </c>
      <c r="I13281" s="27" t="n">
        <f aca="false">(Sens!I13260+Sens!I13265+Sens!I13266+Sens!I13268+Sens!I13270-Sens!I13272)+(Sens!I13273+Sens!I13275+Sens!I13277-Sens!I13279)</f>
        <v>0</v>
      </c>
      <c r="J13281" s="27" t="n">
        <f aca="false">(Sens!J13260+Sens!J13265+Sens!J13266+Sens!J13268+Sens!J13270-Sens!J13272)+(Sens!J13273+Sens!J13275+Sens!J13277-Sens!J13279)</f>
        <v>0</v>
      </c>
      <c r="K13281" s="27" t="n">
        <f aca="false">(Sens!K13260+Sens!K13265+Sens!K13266+Sens!K13268+Sens!K13270-Sens!K13272)+(Sens!K13273+Sens!K13275+Sens!K13277-Sens!K13279)</f>
        <v>0</v>
      </c>
    </row>
    <row r="13282" customFormat="false" ht="17.15" hidden="false" customHeight="false" outlineLevel="0" collapsed="false">
      <c r="A13282" s="3" t="s">
        <v>1812</v>
      </c>
    </row>
    <row r="13283" customFormat="false" ht="15" hidden="false" customHeight="false" outlineLevel="0" collapsed="false">
      <c r="A13283" s="4" t="s">
        <v>43</v>
      </c>
      <c r="B13283" s="4" t="s">
        <v>65</v>
      </c>
      <c r="C13283" s="23" t="s">
        <v>938</v>
      </c>
      <c r="D13283" s="23" t="s">
        <v>939</v>
      </c>
      <c r="E13283" s="23" t="s">
        <v>940</v>
      </c>
      <c r="F13283" s="23" t="s">
        <v>941</v>
      </c>
      <c r="G13283" s="23" t="s">
        <v>942</v>
      </c>
      <c r="H13283" s="23" t="s">
        <v>943</v>
      </c>
      <c r="I13283" s="23" t="s">
        <v>944</v>
      </c>
      <c r="J13283" s="23" t="s">
        <v>945</v>
      </c>
      <c r="K13283" s="23" t="s">
        <v>946</v>
      </c>
      <c r="L13283" s="4" t="s">
        <v>47</v>
      </c>
    </row>
    <row r="13284" customFormat="false" ht="15" hidden="false" customHeight="false" outlineLevel="0" collapsed="false">
      <c r="A13284" s="0" t="s">
        <v>1025</v>
      </c>
      <c r="B13284" s="0" t="s">
        <v>98</v>
      </c>
      <c r="D13284" s="6" t="n">
        <f aca="false">Sens!D13260</f>
        <v>72.61</v>
      </c>
      <c r="E13284" s="6" t="n">
        <f aca="false">Sens!E13260</f>
        <v>101.938</v>
      </c>
      <c r="F13284" s="6" t="n">
        <f aca="false">Sens!F13260</f>
        <v>149.59001837225</v>
      </c>
      <c r="G13284" s="6" t="n">
        <f aca="false">Sens!G13260</f>
        <v>210.963087346352</v>
      </c>
      <c r="H13284" s="6" t="n">
        <f aca="false">Sens!H13260</f>
        <v>278.649709314524</v>
      </c>
      <c r="I13284" s="6" t="n">
        <f aca="false">Sens!I13260</f>
        <v>334.269404582332</v>
      </c>
      <c r="J13284" s="6" t="n">
        <f aca="false">Sens!J13260</f>
        <v>376.517293063672</v>
      </c>
      <c r="K13284" s="6" t="n">
        <f aca="false">Sens!K13260</f>
        <v>406.018092622804</v>
      </c>
    </row>
    <row r="13285" customFormat="false" ht="17.15" hidden="false" customHeight="false" outlineLevel="0" collapsed="false">
      <c r="A13285" s="0" t="s">
        <v>1021</v>
      </c>
      <c r="B13285" s="0" t="s">
        <v>98</v>
      </c>
      <c r="D13285" s="6" t="n">
        <f aca="false">Sens!D13257</f>
        <v>12.9359794422418</v>
      </c>
      <c r="E13285" s="6" t="n">
        <f aca="false">Sens!E13257</f>
        <v>27.8095064661409</v>
      </c>
      <c r="F13285" s="6" t="n">
        <f aca="false">Sens!F13257</f>
        <v>59.1034165651511</v>
      </c>
      <c r="G13285" s="6" t="n">
        <f aca="false">Sens!G13257</f>
        <v>103.451498789198</v>
      </c>
      <c r="H13285" s="6" t="n">
        <f aca="false">Sens!H13257</f>
        <v>153.816719989035</v>
      </c>
      <c r="I13285" s="6" t="n">
        <f aca="false">Sens!I13257</f>
        <v>192.699478690852</v>
      </c>
      <c r="J13285" s="6" t="n">
        <f aca="false">Sens!J13257</f>
        <v>219.794102584244</v>
      </c>
      <c r="K13285" s="6" t="n">
        <f aca="false">Sens!K13257</f>
        <v>236.757046905022</v>
      </c>
    </row>
    <row r="13286" customFormat="false" ht="17.15" hidden="false" customHeight="false" outlineLevel="0" collapsed="false">
      <c r="A13286" s="0" t="s">
        <v>1052</v>
      </c>
      <c r="B13286" s="0" t="s">
        <v>98</v>
      </c>
      <c r="D13286" s="6" t="n">
        <f aca="false">Sens!D13258</f>
        <v>59.6740205577583</v>
      </c>
      <c r="E13286" s="6" t="n">
        <f aca="false">Sens!E13258</f>
        <v>74.1284935338591</v>
      </c>
      <c r="F13286" s="6" t="n">
        <f aca="false">Sens!F13258</f>
        <v>90.4866018070994</v>
      </c>
      <c r="G13286" s="6" t="n">
        <f aca="false">Sens!G13258</f>
        <v>107.511588557154</v>
      </c>
      <c r="H13286" s="6" t="n">
        <f aca="false">Sens!H13258</f>
        <v>124.832989325489</v>
      </c>
      <c r="I13286" s="6" t="n">
        <f aca="false">Sens!I13258</f>
        <v>141.56992589148</v>
      </c>
      <c r="J13286" s="6" t="n">
        <f aca="false">Sens!J13258</f>
        <v>156.723190479428</v>
      </c>
      <c r="K13286" s="6" t="n">
        <f aca="false">Sens!K13258</f>
        <v>169.261045717783</v>
      </c>
    </row>
    <row r="13287" customFormat="false" ht="15" hidden="false" customHeight="false" outlineLevel="0" collapsed="false">
      <c r="A13287" s="0" t="s">
        <v>1032</v>
      </c>
      <c r="B13287" s="0" t="s">
        <v>98</v>
      </c>
      <c r="D13287" s="6" t="n">
        <f aca="false">Sens!D13265</f>
        <v>84.605</v>
      </c>
      <c r="E13287" s="6" t="n">
        <f aca="false">Sens!E13265</f>
        <v>100.299</v>
      </c>
      <c r="F13287" s="6" t="n">
        <f aca="false">Sens!F13265</f>
        <v>119.729653205718</v>
      </c>
      <c r="G13287" s="6" t="n">
        <f aca="false">Sens!G13265</f>
        <v>140.806092647576</v>
      </c>
      <c r="H13287" s="6" t="n">
        <f aca="false">Sens!H13265</f>
        <v>161.963437602768</v>
      </c>
      <c r="I13287" s="6" t="n">
        <f aca="false">Sens!I13265</f>
        <v>180.695354741933</v>
      </c>
      <c r="J13287" s="6" t="n">
        <f aca="false">Sens!J13265</f>
        <v>196.722117481571</v>
      </c>
      <c r="K13287" s="6" t="n">
        <f aca="false">Sens!K13265</f>
        <v>212.00016570528</v>
      </c>
    </row>
    <row r="13288" customFormat="false" ht="17.15" hidden="false" customHeight="false" outlineLevel="0" collapsed="false">
      <c r="A13288" s="0" t="s">
        <v>1053</v>
      </c>
      <c r="B13288" s="0" t="s">
        <v>98</v>
      </c>
      <c r="D13288" s="6" t="n">
        <f aca="false">Sens!D13263</f>
        <v>83.705</v>
      </c>
      <c r="E13288" s="6" t="n">
        <f aca="false">Sens!E13263</f>
        <v>95.049</v>
      </c>
      <c r="F13288" s="6" t="n">
        <f aca="false">Sens!F13263</f>
        <v>106.229653205718</v>
      </c>
      <c r="G13288" s="6" t="n">
        <f aca="false">Sens!G13263</f>
        <v>118.306092647576</v>
      </c>
      <c r="H13288" s="6" t="n">
        <f aca="false">Sens!H13263</f>
        <v>130.463437602768</v>
      </c>
      <c r="I13288" s="6" t="n">
        <f aca="false">Sens!I13263</f>
        <v>142.445354741933</v>
      </c>
      <c r="J13288" s="6" t="n">
        <f aca="false">Sens!J13263</f>
        <v>153.972117481571</v>
      </c>
      <c r="K13288" s="6" t="n">
        <f aca="false">Sens!K13263</f>
        <v>164.75016570528</v>
      </c>
    </row>
    <row r="13289" customFormat="false" ht="17.15" hidden="false" customHeight="false" outlineLevel="0" collapsed="false">
      <c r="A13289" s="0" t="s">
        <v>1054</v>
      </c>
      <c r="B13289" s="0" t="s">
        <v>98</v>
      </c>
      <c r="D13289" s="6" t="n">
        <f aca="false">Sens!D13262</f>
        <v>0.9</v>
      </c>
      <c r="E13289" s="6" t="n">
        <f aca="false">Sens!E13262</f>
        <v>5.25</v>
      </c>
      <c r="F13289" s="6" t="n">
        <f aca="false">Sens!F13262</f>
        <v>13.5</v>
      </c>
      <c r="G13289" s="6" t="n">
        <f aca="false">Sens!G13262</f>
        <v>22.5</v>
      </c>
      <c r="H13289" s="6" t="n">
        <f aca="false">Sens!H13262</f>
        <v>31.5</v>
      </c>
      <c r="I13289" s="6" t="n">
        <f aca="false">Sens!I13262</f>
        <v>38.25</v>
      </c>
      <c r="J13289" s="6" t="n">
        <f aca="false">Sens!J13262</f>
        <v>42.75</v>
      </c>
      <c r="K13289" s="6" t="n">
        <f aca="false">Sens!K13262</f>
        <v>47.25</v>
      </c>
    </row>
    <row r="13290" customFormat="false" ht="15" hidden="false" customHeight="false" outlineLevel="0" collapsed="false">
      <c r="A13290" s="0" t="s">
        <v>1033</v>
      </c>
      <c r="B13290" s="0" t="s">
        <v>98</v>
      </c>
      <c r="D13290" s="6" t="n">
        <f aca="false">Sens!D13266</f>
        <v>35.391</v>
      </c>
      <c r="E13290" s="6" t="n">
        <f aca="false">Sens!E13266</f>
        <v>37.285</v>
      </c>
      <c r="F13290" s="6" t="n">
        <f aca="false">Sens!F13266</f>
        <v>38.3851437782675</v>
      </c>
      <c r="G13290" s="6" t="n">
        <f aca="false">Sens!G13266</f>
        <v>40.0105353288615</v>
      </c>
      <c r="H13290" s="6" t="n">
        <f aca="false">Sens!H13266</f>
        <v>41.4812512033683</v>
      </c>
      <c r="I13290" s="6" t="n">
        <f aca="false">Sens!I13266</f>
        <v>42.7743107216329</v>
      </c>
      <c r="J13290" s="6" t="n">
        <f aca="false">Sens!J13266</f>
        <v>43.8687373064601</v>
      </c>
      <c r="K13290" s="6" t="n">
        <f aca="false">Sens!K13266</f>
        <v>44.7461120525893</v>
      </c>
    </row>
    <row r="13291" customFormat="false" ht="15" hidden="false" customHeight="false" outlineLevel="0" collapsed="false">
      <c r="A13291" s="0" t="s">
        <v>1035</v>
      </c>
      <c r="B13291" s="0" t="s">
        <v>98</v>
      </c>
      <c r="D13291" s="6" t="n">
        <f aca="false">Sens!D13268</f>
        <v>18.417</v>
      </c>
      <c r="E13291" s="6" t="n">
        <f aca="false">Sens!E13268</f>
        <v>20.345</v>
      </c>
      <c r="F13291" s="6" t="n">
        <f aca="false">Sens!F13268</f>
        <v>22.3161797133988</v>
      </c>
      <c r="G13291" s="6" t="n">
        <f aca="false">Sens!G13268</f>
        <v>24.3943499673233</v>
      </c>
      <c r="H13291" s="6" t="n">
        <f aca="false">Sens!H13268</f>
        <v>26.5250243109019</v>
      </c>
      <c r="I13291" s="6" t="n">
        <f aca="false">Sens!I13268</f>
        <v>28.6884573538181</v>
      </c>
      <c r="J13291" s="6" t="n">
        <f aca="false">Sens!J13268</f>
        <v>30.8624968052127</v>
      </c>
      <c r="K13291" s="6" t="n">
        <f aca="false">Sens!K13268</f>
        <v>33.0228715815776</v>
      </c>
    </row>
    <row r="13292" customFormat="false" ht="15" hidden="false" customHeight="false" outlineLevel="0" collapsed="false">
      <c r="A13292" s="0" t="s">
        <v>1036</v>
      </c>
      <c r="B13292" s="0" t="s">
        <v>98</v>
      </c>
      <c r="D13292" s="6" t="n">
        <f aca="false">Sens!D13270</f>
        <v>7.76</v>
      </c>
      <c r="E13292" s="6" t="n">
        <f aca="false">Sens!E13270</f>
        <v>8.26</v>
      </c>
      <c r="F13292" s="6" t="n">
        <f aca="false">Sens!F13270</f>
        <v>8.75372082474227</v>
      </c>
      <c r="G13292" s="6" t="n">
        <f aca="false">Sens!G13270</f>
        <v>9.33399324642364</v>
      </c>
      <c r="H13292" s="6" t="n">
        <f aca="false">Sens!H13270</f>
        <v>9.96139155535851</v>
      </c>
      <c r="I13292" s="6" t="n">
        <f aca="false">Sens!I13270</f>
        <v>10.6402039077391</v>
      </c>
      <c r="J13292" s="6" t="n">
        <f aca="false">Sens!J13270</f>
        <v>11.3751458271397</v>
      </c>
      <c r="K13292" s="6" t="n">
        <f aca="false">Sens!K13270</f>
        <v>12.1714060350394</v>
      </c>
    </row>
    <row r="13293" customFormat="false" ht="15" hidden="false" customHeight="false" outlineLevel="0" collapsed="false">
      <c r="A13293" s="0" t="s">
        <v>852</v>
      </c>
      <c r="B13293" s="0" t="s">
        <v>98</v>
      </c>
      <c r="D13293" s="6" t="n">
        <f aca="false">Sens!D13272</f>
        <v>218.783</v>
      </c>
      <c r="E13293" s="6" t="n">
        <f aca="false">Sens!E13272</f>
        <v>268.127</v>
      </c>
      <c r="F13293" s="6" t="n">
        <f aca="false">Sens!F13272</f>
        <v>338.774715894377</v>
      </c>
      <c r="G13293" s="6" t="n">
        <f aca="false">Sens!G13272</f>
        <v>425.508058536537</v>
      </c>
      <c r="H13293" s="6" t="n">
        <f aca="false">Sens!H13272</f>
        <v>518.580813986921</v>
      </c>
      <c r="I13293" s="6" t="n">
        <f aca="false">Sens!I13272</f>
        <v>597.067731307455</v>
      </c>
      <c r="J13293" s="6" t="n">
        <f aca="false">Sens!J13272</f>
        <v>659.345790484055</v>
      </c>
      <c r="K13293" s="6" t="n">
        <f aca="false">Sens!K13272</f>
        <v>707.958647997291</v>
      </c>
    </row>
    <row r="13294" customFormat="false" ht="15" hidden="false" customHeight="false" outlineLevel="0" collapsed="false">
      <c r="A13294" s="0" t="s">
        <v>1037</v>
      </c>
      <c r="B13294" s="0" t="s">
        <v>98</v>
      </c>
      <c r="D13294" s="6" t="n">
        <f aca="false">Sens!D13273</f>
        <v>22.171</v>
      </c>
      <c r="E13294" s="6" t="n">
        <f aca="false">Sens!E13273</f>
        <v>24.835</v>
      </c>
      <c r="F13294" s="6" t="n">
        <f aca="false">Sens!F13273</f>
        <v>27.5591895660247</v>
      </c>
      <c r="G13294" s="6" t="n">
        <f aca="false">Sens!G13273</f>
        <v>30.4098563144583</v>
      </c>
      <c r="H13294" s="6" t="n">
        <f aca="false">Sens!H13273</f>
        <v>33.3011792571777</v>
      </c>
      <c r="I13294" s="6" t="n">
        <f aca="false">Sens!I13273</f>
        <v>36.189023797112</v>
      </c>
      <c r="J13294" s="6" t="n">
        <f aca="false">Sens!J13273</f>
        <v>39.0247773769199</v>
      </c>
      <c r="K13294" s="6" t="n">
        <f aca="false">Sens!K13273</f>
        <v>41.7565117933043</v>
      </c>
    </row>
    <row r="13295" customFormat="false" ht="15" hidden="false" customHeight="false" outlineLevel="0" collapsed="false">
      <c r="A13295" s="0" t="s">
        <v>1038</v>
      </c>
      <c r="B13295" s="0" t="s">
        <v>98</v>
      </c>
      <c r="D13295" s="6" t="n">
        <f aca="false">Sens!D13275</f>
        <v>23.455</v>
      </c>
      <c r="E13295" s="6" t="n">
        <f aca="false">Sens!E13275</f>
        <v>21.79</v>
      </c>
      <c r="F13295" s="6" t="n">
        <f aca="false">Sens!F13275</f>
        <v>20.7520981041711</v>
      </c>
      <c r="G13295" s="6" t="n">
        <f aca="false">Sens!G13275</f>
        <v>19.9083593495882</v>
      </c>
      <c r="H13295" s="6" t="n">
        <f aca="false">Sens!H13275</f>
        <v>19.4008256265831</v>
      </c>
      <c r="I13295" s="6" t="n">
        <f aca="false">Sens!I13275</f>
        <v>19.200434522122</v>
      </c>
      <c r="J13295" s="6" t="n">
        <f aca="false">Sens!J13275</f>
        <v>19.2932782348507</v>
      </c>
      <c r="K13295" s="6" t="n">
        <f aca="false">Sens!K13275</f>
        <v>19.6791437995477</v>
      </c>
    </row>
    <row r="13296" customFormat="false" ht="15" hidden="false" customHeight="false" outlineLevel="0" collapsed="false">
      <c r="A13296" s="0" t="s">
        <v>1039</v>
      </c>
      <c r="B13296" s="0" t="s">
        <v>98</v>
      </c>
      <c r="D13296" s="6" t="n">
        <f aca="false">Sens!D13277</f>
        <v>17.315</v>
      </c>
      <c r="E13296" s="6" t="n">
        <f aca="false">Sens!E13277</f>
        <v>17.087</v>
      </c>
      <c r="F13296" s="6" t="n">
        <f aca="false">Sens!F13277</f>
        <v>15.9912273250553</v>
      </c>
      <c r="G13296" s="6" t="n">
        <f aca="false">Sens!G13277</f>
        <v>15.9574562664827</v>
      </c>
      <c r="H13296" s="6" t="n">
        <f aca="false">Sens!H13277</f>
        <v>16.0119687434196</v>
      </c>
      <c r="I13296" s="6" t="n">
        <f aca="false">Sens!I13277</f>
        <v>16.1551810001948</v>
      </c>
      <c r="J13296" s="6" t="n">
        <f aca="false">Sens!J13277</f>
        <v>16.3889793892005</v>
      </c>
      <c r="K13296" s="6" t="n">
        <f aca="false">Sens!K13277</f>
        <v>16.7167589769845</v>
      </c>
    </row>
    <row r="13297" customFormat="false" ht="15" hidden="false" customHeight="false" outlineLevel="0" collapsed="false">
      <c r="A13297" s="0" t="s">
        <v>866</v>
      </c>
      <c r="B13297" s="0" t="s">
        <v>98</v>
      </c>
      <c r="D13297" s="6" t="n">
        <f aca="false">Sens!D13279</f>
        <v>62.941</v>
      </c>
      <c r="E13297" s="6" t="n">
        <f aca="false">Sens!E13279</f>
        <v>63.712</v>
      </c>
      <c r="F13297" s="6" t="n">
        <f aca="false">Sens!F13279</f>
        <v>64.3025149952511</v>
      </c>
      <c r="G13297" s="6" t="n">
        <f aca="false">Sens!G13279</f>
        <v>66.2756719305292</v>
      </c>
      <c r="H13297" s="6" t="n">
        <f aca="false">Sens!H13279</f>
        <v>68.7139736271804</v>
      </c>
      <c r="I13297" s="6" t="n">
        <f aca="false">Sens!I13279</f>
        <v>71.5446393194289</v>
      </c>
      <c r="J13297" s="6" t="n">
        <f aca="false">Sens!J13279</f>
        <v>74.707035000971</v>
      </c>
      <c r="K13297" s="6" t="n">
        <f aca="false">Sens!K13279</f>
        <v>78.1524145698365</v>
      </c>
    </row>
    <row r="13298" customFormat="false" ht="15" hidden="false" customHeight="false" outlineLevel="0" collapsed="false">
      <c r="A13298" s="1" t="s">
        <v>1055</v>
      </c>
      <c r="B13298" s="0" t="s">
        <v>98</v>
      </c>
      <c r="D13298" s="6" t="n">
        <f aca="false">Sens!D13280</f>
        <v>281.724</v>
      </c>
      <c r="E13298" s="6" t="n">
        <f aca="false">Sens!E13280</f>
        <v>331.839</v>
      </c>
      <c r="F13298" s="6" t="n">
        <f aca="false">Sens!F13280</f>
        <v>403.077230889628</v>
      </c>
      <c r="G13298" s="6" t="n">
        <f aca="false">Sens!G13280</f>
        <v>491.783730467066</v>
      </c>
      <c r="H13298" s="6" t="n">
        <f aca="false">Sens!H13280</f>
        <v>587.294787614101</v>
      </c>
      <c r="I13298" s="6" t="n">
        <f aca="false">Sens!I13280</f>
        <v>668.612370626884</v>
      </c>
      <c r="J13298" s="6" t="n">
        <f aca="false">Sens!J13280</f>
        <v>734.052825485026</v>
      </c>
      <c r="K13298" s="6" t="n">
        <f aca="false">Sens!K13280</f>
        <v>786.111062567128</v>
      </c>
    </row>
    <row r="13299" customFormat="false" ht="15" hidden="false" customHeight="false" outlineLevel="0" collapsed="false">
      <c r="A13299" s="1" t="s">
        <v>1056</v>
      </c>
      <c r="B13299" s="0" t="s">
        <v>168</v>
      </c>
      <c r="E13299" s="7" t="n">
        <f aca="false">Sens!E13298/Sens!D13298-1</f>
        <v>0.177886867998467</v>
      </c>
      <c r="F13299" s="7" t="n">
        <f aca="false">Sens!F13298/Sens!E13298-1</f>
        <v>0.21467709006364</v>
      </c>
      <c r="G13299" s="7" t="n">
        <f aca="false">Sens!G13298/Sens!F13298-1</f>
        <v>0.220073208753704</v>
      </c>
      <c r="H13299" s="7" t="n">
        <f aca="false">Sens!H13298/Sens!G13298-1</f>
        <v>0.194213535808362</v>
      </c>
      <c r="I13299" s="7" t="n">
        <f aca="false">Sens!I13298/Sens!H13298-1</f>
        <v>0.13846127145643</v>
      </c>
      <c r="J13299" s="7" t="n">
        <f aca="false">Sens!J13298/Sens!I13298-1</f>
        <v>0.0978750285412546</v>
      </c>
      <c r="K13299" s="7" t="n">
        <f aca="false">Sens!K13298/Sens!J13298-1</f>
        <v>0.0709189247350204</v>
      </c>
    </row>
    <row r="13300" customFormat="false" ht="17.15" hidden="false" customHeight="false" outlineLevel="0" collapsed="false">
      <c r="A13300" s="26" t="s">
        <v>1057</v>
      </c>
      <c r="B13300" s="31" t="s">
        <v>98</v>
      </c>
      <c r="C13300" s="31"/>
      <c r="D13300" s="27" t="n">
        <f aca="false">(Sens!D13293+Sens!D13297-Sens!D13298)+(Sens!D13285+Sens!D13286-Sens!D13284)+(Sens!D13288+Sens!D13289-Sens!D13287)+(Sens!D13298-Q!L18)</f>
        <v>0</v>
      </c>
      <c r="E13300" s="27" t="n">
        <f aca="false">(Sens!E13293+Sens!E13297-Sens!E13298)+(Sens!E13285+Sens!E13286-Sens!E13284)+(Sens!E13288+Sens!E13289-Sens!E13287)+(Sens!E13298-Q!M18)</f>
        <v>0</v>
      </c>
      <c r="F13300" s="27" t="n">
        <f aca="false">(Sens!F13293+Sens!F13297-Sens!F13298)+(Sens!F13285+Sens!F13286-Sens!F13284)+(Sens!F13288+Sens!F13289-Sens!F13287)</f>
        <v>0</v>
      </c>
      <c r="G13300" s="27" t="n">
        <f aca="false">(Sens!G13293+Sens!G13297-Sens!G13298)+(Sens!G13285+Sens!G13286-Sens!G13284)+(Sens!G13288+Sens!G13289-Sens!G13287)</f>
        <v>0</v>
      </c>
      <c r="H13300" s="27" t="n">
        <f aca="false">(Sens!H13293+Sens!H13297-Sens!H13298)+(Sens!H13285+Sens!H13286-Sens!H13284)+(Sens!H13288+Sens!H13289-Sens!H13287)</f>
        <v>0</v>
      </c>
      <c r="I13300" s="27" t="n">
        <f aca="false">(Sens!I13293+Sens!I13297-Sens!I13298)+(Sens!I13285+Sens!I13286-Sens!I13284)+(Sens!I13288+Sens!I13289-Sens!I13287)</f>
        <v>0</v>
      </c>
      <c r="J13300" s="27" t="n">
        <f aca="false">(Sens!J13293+Sens!J13297-Sens!J13298)+(Sens!J13285+Sens!J13286-Sens!J13284)+(Sens!J13288+Sens!J13289-Sens!J13287)</f>
        <v>0</v>
      </c>
      <c r="K13300" s="27" t="n">
        <f aca="false">(Sens!K13293+Sens!K13297-Sens!K13298)+(Sens!K13285+Sens!K13286-Sens!K13284)+(Sens!K13288+Sens!K13289-Sens!K13287)</f>
        <v>0</v>
      </c>
    </row>
    <row r="13301" customFormat="false" ht="17.15" hidden="false" customHeight="false" outlineLevel="0" collapsed="false">
      <c r="A13301" s="0" t="s">
        <v>1058</v>
      </c>
      <c r="B13301" s="0" t="s">
        <v>168</v>
      </c>
      <c r="E13301" s="7" t="n">
        <f aca="false">(Q!M21+Sens!E13237+Sens!E13238+Sens!E13239+Sens!E13253-Sens!E13235)/(Q!M5-Sens!E13235)</f>
        <v>0.570957350878296</v>
      </c>
      <c r="F13301" s="7" t="n">
        <f aca="false">Sens!$E$13301+dm_seg_hi</f>
        <v>0.590957350878296</v>
      </c>
      <c r="G13301" s="7" t="n">
        <f aca="false">Sens!$E$13301+dm_seg_hi</f>
        <v>0.590957350878296</v>
      </c>
      <c r="H13301" s="7" t="n">
        <f aca="false">Sens!$E$13301+dm_seg_hi</f>
        <v>0.590957350878296</v>
      </c>
      <c r="I13301" s="7" t="n">
        <f aca="false">Sens!$E$13301+dm_seg_hi</f>
        <v>0.590957350878296</v>
      </c>
      <c r="J13301" s="7" t="n">
        <f aca="false">Sens!$E$13301+dm_seg_hi</f>
        <v>0.590957350878296</v>
      </c>
      <c r="K13301" s="7" t="n">
        <f aca="false">Sens!$E$13301+dm_seg_hi</f>
        <v>0.590957350878296</v>
      </c>
      <c r="L13301" s="12" t="s">
        <v>1059</v>
      </c>
    </row>
    <row r="13302" customFormat="false" ht="17.15" hidden="false" customHeight="false" outlineLevel="0" collapsed="false">
      <c r="A13302" s="0" t="s">
        <v>880</v>
      </c>
      <c r="B13302" s="0" t="s">
        <v>98</v>
      </c>
      <c r="D13302" s="6" t="n">
        <f aca="false">Q!L21</f>
        <v>110.814</v>
      </c>
      <c r="E13302" s="6" t="n">
        <f aca="false">Q!M21</f>
        <v>136.365</v>
      </c>
      <c r="F13302" s="6" t="n">
        <f aca="false">Q!$I$21+(Sens!F13301*(Sens!F13272-Sens!F13235)+Sens!F13235-(Sens!F13237+Sens!F13238+Sens!F13239)-Sens!F13253-Sens!F13336)*(Sens!F13272-Q!$I$5)/Sens!F13272</f>
        <v>169.844422925052</v>
      </c>
      <c r="G13302" s="6" t="n">
        <f aca="false">(Sens!G13301*(Sens!G13272-Sens!G13235)+Sens!G13235-(Sens!G13237+Sens!G13238+Sens!G13239)-Sens!G13253-Sens!G13336)</f>
        <v>197.963224997682</v>
      </c>
      <c r="H13302" s="6" t="n">
        <f aca="false">(Sens!H13301*(Sens!H13272-Sens!H13235)+Sens!H13235-(Sens!H13237+Sens!H13238+Sens!H13239)-Sens!H13253-Sens!H13336)</f>
        <v>233.071765476647</v>
      </c>
      <c r="I13302" s="6" t="n">
        <f aca="false">(Sens!I13301*(Sens!I13272-Sens!I13235)+Sens!I13235-(Sens!I13237+Sens!I13238+Sens!I13239)-Sens!I13253-Sens!I13336)</f>
        <v>259.729108346072</v>
      </c>
      <c r="J13302" s="6" t="n">
        <f aca="false">(Sens!J13301*(Sens!J13272-Sens!J13235)+Sens!J13235-(Sens!J13237+Sens!J13238+Sens!J13239)-Sens!J13253-Sens!J13336)</f>
        <v>282.684778982044</v>
      </c>
      <c r="K13302" s="6" t="n">
        <f aca="false">(Sens!K13301*(Sens!K13272-Sens!K13235)+Sens!K13235-(Sens!K13237+Sens!K13238+Sens!K13239)-Sens!K13253-Sens!K13336)</f>
        <v>303.298077592851</v>
      </c>
      <c r="L13302" s="1" t="s">
        <v>1060</v>
      </c>
    </row>
    <row r="13303" customFormat="false" ht="17.15" hidden="false" customHeight="false" outlineLevel="0" collapsed="false">
      <c r="A13303" s="0" t="s">
        <v>1061</v>
      </c>
      <c r="B13303" s="0" t="s">
        <v>168</v>
      </c>
      <c r="E13303" s="7" t="n">
        <f aca="false">Q!M22/Q!M12</f>
        <v>0.296207935710698</v>
      </c>
      <c r="F13303" s="7" t="n">
        <f aca="false">Sens!$E$13303+dm_seg_hi</f>
        <v>0.316207935710698</v>
      </c>
      <c r="G13303" s="7" t="n">
        <f aca="false">Sens!$E$13303+dm_seg_hi</f>
        <v>0.316207935710698</v>
      </c>
      <c r="H13303" s="7" t="n">
        <f aca="false">Sens!$E$13303+dm_seg_hi</f>
        <v>0.316207935710698</v>
      </c>
      <c r="I13303" s="7" t="n">
        <f aca="false">Sens!$E$13303+dm_seg_hi</f>
        <v>0.316207935710698</v>
      </c>
      <c r="J13303" s="7" t="n">
        <f aca="false">Sens!$E$13303+dm_seg_hi</f>
        <v>0.316207935710698</v>
      </c>
      <c r="K13303" s="7" t="n">
        <f aca="false">Sens!$E$13303+dm_seg_hi</f>
        <v>0.316207935710698</v>
      </c>
      <c r="L13303" s="12" t="s">
        <v>1062</v>
      </c>
    </row>
    <row r="13304" customFormat="false" ht="17.15" hidden="false" customHeight="false" outlineLevel="0" collapsed="false">
      <c r="A13304" s="0" t="s">
        <v>882</v>
      </c>
      <c r="B13304" s="0" t="s">
        <v>98</v>
      </c>
      <c r="D13304" s="6" t="n">
        <f aca="false">Q!L22</f>
        <v>17.714</v>
      </c>
      <c r="E13304" s="6" t="n">
        <f aca="false">Q!M22</f>
        <v>18.872</v>
      </c>
      <c r="F13304" s="6" t="n">
        <f aca="false">Q!$I$22+(Sens!F13279-Q!$I$12)*Sens!F13303</f>
        <v>20.7938018511101</v>
      </c>
      <c r="G13304" s="6" t="n">
        <f aca="false">Sens!G13279*Sens!G13303</f>
        <v>20.9568934089921</v>
      </c>
      <c r="H13304" s="6" t="n">
        <f aca="false">Sens!H13279*Sens!H13303</f>
        <v>21.7279037551301</v>
      </c>
      <c r="I13304" s="6" t="n">
        <f aca="false">Sens!I13279*Sens!I13303</f>
        <v>22.6229827103631</v>
      </c>
      <c r="J13304" s="6" t="n">
        <f aca="false">Sens!J13279*Sens!J13303</f>
        <v>23.6229573207239</v>
      </c>
      <c r="K13304" s="6" t="n">
        <f aca="false">Sens!K13279*Sens!K13303</f>
        <v>24.7124136819347</v>
      </c>
      <c r="L13304" s="12" t="s">
        <v>1063</v>
      </c>
    </row>
    <row r="13305" customFormat="false" ht="15" hidden="false" customHeight="false" outlineLevel="0" collapsed="false">
      <c r="A13305" s="1" t="s">
        <v>1064</v>
      </c>
      <c r="B13305" s="0" t="s">
        <v>98</v>
      </c>
      <c r="D13305" s="6" t="n">
        <f aca="false">Sens!D13302+Sens!D13304</f>
        <v>128.528</v>
      </c>
      <c r="E13305" s="6" t="n">
        <f aca="false">Sens!E13302+Sens!E13304</f>
        <v>155.237</v>
      </c>
      <c r="F13305" s="6" t="n">
        <f aca="false">Sens!F13302+Sens!F13304</f>
        <v>190.638224776162</v>
      </c>
      <c r="G13305" s="6" t="n">
        <f aca="false">Sens!G13302+Sens!G13304</f>
        <v>218.920118406674</v>
      </c>
      <c r="H13305" s="6" t="n">
        <f aca="false">Sens!H13302+Sens!H13304</f>
        <v>254.799669231777</v>
      </c>
      <c r="I13305" s="6" t="n">
        <f aca="false">Sens!I13302+Sens!I13304</f>
        <v>282.352091056435</v>
      </c>
      <c r="J13305" s="6" t="n">
        <f aca="false">Sens!J13302+Sens!J13304</f>
        <v>306.307736302768</v>
      </c>
      <c r="K13305" s="6" t="n">
        <f aca="false">Sens!K13302+Sens!K13304</f>
        <v>328.010491274785</v>
      </c>
    </row>
    <row r="13306" customFormat="false" ht="15" hidden="false" customHeight="false" outlineLevel="0" collapsed="false">
      <c r="A13306" s="26" t="s">
        <v>1065</v>
      </c>
      <c r="B13306" s="31" t="s">
        <v>98</v>
      </c>
      <c r="C13306" s="31"/>
      <c r="D13306" s="27" t="n">
        <f aca="false">Sens!D13305-Q!L23</f>
        <v>0</v>
      </c>
      <c r="E13306" s="27" t="n">
        <f aca="false">Sens!E13305-Q!M23</f>
        <v>0</v>
      </c>
      <c r="F13306" s="31"/>
      <c r="G13306" s="31"/>
      <c r="H13306" s="31"/>
      <c r="I13306" s="31"/>
      <c r="J13306" s="31"/>
      <c r="K13306" s="31"/>
    </row>
    <row r="13307" customFormat="false" ht="15" hidden="false" customHeight="false" outlineLevel="0" collapsed="false">
      <c r="A13307" s="1" t="s">
        <v>1066</v>
      </c>
      <c r="B13307" s="0" t="s">
        <v>168</v>
      </c>
      <c r="D13307" s="7" t="n">
        <f aca="false">Sens!D13305/Sens!D13298</f>
        <v>0.456219562408598</v>
      </c>
      <c r="E13307" s="7" t="n">
        <f aca="false">Sens!E13305/Sens!E13298</f>
        <v>0.467808184089272</v>
      </c>
      <c r="F13307" s="7" t="n">
        <f aca="false">Sens!F13305/Sens!F13298</f>
        <v>0.472957066702592</v>
      </c>
      <c r="G13307" s="7" t="n">
        <f aca="false">Sens!G13305/Sens!G13298</f>
        <v>0.445155268147559</v>
      </c>
      <c r="H13307" s="7" t="n">
        <f aca="false">Sens!H13305/Sens!H13298</f>
        <v>0.433853108533291</v>
      </c>
      <c r="I13307" s="7" t="n">
        <f aca="false">Sens!I13305/Sens!I13298</f>
        <v>0.422295643126831</v>
      </c>
      <c r="J13307" s="7" t="n">
        <f aca="false">Sens!J13305/Sens!J13298</f>
        <v>0.41728296066482</v>
      </c>
      <c r="K13307" s="7" t="n">
        <f aca="false">Sens!K13305/Sens!K13298</f>
        <v>0.417257187812156</v>
      </c>
    </row>
    <row r="13308" customFormat="false" ht="17.15" hidden="false" customHeight="false" outlineLevel="0" collapsed="false">
      <c r="A13308" s="1" t="s">
        <v>1067</v>
      </c>
      <c r="B13308" s="0" t="s">
        <v>98</v>
      </c>
      <c r="F13308" s="6" t="n">
        <f aca="false">Sens!F13323</f>
        <v>8.71840674531245</v>
      </c>
      <c r="G13308" s="6" t="n">
        <f aca="false">Sens!G13323</f>
        <v>22.3610305170273</v>
      </c>
      <c r="H13308" s="6" t="n">
        <f aca="false">Sens!H13323</f>
        <v>37.4768452382075</v>
      </c>
      <c r="I13308" s="6" t="n">
        <f aca="false">Sens!I13323</f>
        <v>51.4781094705177</v>
      </c>
      <c r="J13308" s="6" t="n">
        <f aca="false">Sens!J13323</f>
        <v>61.3095818934393</v>
      </c>
      <c r="K13308" s="6" t="n">
        <f aca="false">Sens!K13323</f>
        <v>66.2401312706266</v>
      </c>
      <c r="L13308" s="1" t="s">
        <v>1068</v>
      </c>
    </row>
    <row r="13309" customFormat="false" ht="17.15" hidden="false" customHeight="false" outlineLevel="0" collapsed="false">
      <c r="A13309" s="1" t="s">
        <v>1069</v>
      </c>
      <c r="B13309" s="0" t="s">
        <v>98</v>
      </c>
      <c r="D13309" s="6" t="n">
        <f aca="false">Sens!D13305</f>
        <v>128.528</v>
      </c>
      <c r="E13309" s="6" t="n">
        <f aca="false">Sens!E13305</f>
        <v>155.237</v>
      </c>
      <c r="F13309" s="6" t="n">
        <f aca="false">Sens!F13305+Sens!F13308</f>
        <v>199.356631521474</v>
      </c>
      <c r="G13309" s="6" t="n">
        <f aca="false">Sens!G13305+Sens!G13308</f>
        <v>241.281148923701</v>
      </c>
      <c r="H13309" s="6" t="n">
        <f aca="false">Sens!H13305+Sens!H13308</f>
        <v>292.276514469984</v>
      </c>
      <c r="I13309" s="6" t="n">
        <f aca="false">Sens!I13305+Sens!I13308</f>
        <v>333.830200526952</v>
      </c>
      <c r="J13309" s="6" t="n">
        <f aca="false">Sens!J13305+Sens!J13308</f>
        <v>367.617318196207</v>
      </c>
      <c r="K13309" s="6" t="n">
        <f aca="false">Sens!K13305+Sens!K13308</f>
        <v>394.250622545412</v>
      </c>
    </row>
    <row r="13310" customFormat="false" ht="17.15" hidden="false" customHeight="false" outlineLevel="0" collapsed="false">
      <c r="A13310" s="1" t="s">
        <v>1070</v>
      </c>
      <c r="B13310" s="0" t="s">
        <v>98</v>
      </c>
      <c r="E13310" s="6" t="n">
        <f aca="false">Sens!E13253</f>
        <v>16.3054059770833</v>
      </c>
      <c r="F13310" s="6" t="n">
        <f aca="false">Sens!F13253</f>
        <v>34.5793144783516</v>
      </c>
      <c r="G13310" s="6" t="n">
        <f aca="false">Sens!G13253</f>
        <v>60.7344906522989</v>
      </c>
      <c r="H13310" s="6" t="n">
        <f aca="false">Sens!H13253</f>
        <v>89.1000906614457</v>
      </c>
      <c r="I13310" s="6" t="n">
        <f aca="false">Sens!I13253</f>
        <v>114.231009694548</v>
      </c>
      <c r="J13310" s="6" t="n">
        <f aca="false">Sens!J13253</f>
        <v>132.015673049596</v>
      </c>
      <c r="K13310" s="6" t="n">
        <f aca="false">Sens!K13253</f>
        <v>143.012669550934</v>
      </c>
    </row>
    <row r="13311" customFormat="false" ht="17.15" hidden="false" customHeight="false" outlineLevel="0" collapsed="false">
      <c r="A13311" s="1" t="s">
        <v>1071</v>
      </c>
      <c r="B13311" s="0" t="s">
        <v>98</v>
      </c>
      <c r="E13311" s="6" t="n">
        <f aca="false">Sens!E13335</f>
        <v>22.2285940229167</v>
      </c>
      <c r="F13311" s="6" t="n">
        <f aca="false">Sens!F13335</f>
        <v>23.580344216413</v>
      </c>
      <c r="G13311" s="6" t="n">
        <f aca="false">Sens!G13335</f>
        <v>25.3801415764809</v>
      </c>
      <c r="H13311" s="6" t="n">
        <f aca="false">Sens!H13335</f>
        <v>27.5964639802758</v>
      </c>
      <c r="I13311" s="6" t="n">
        <f aca="false">Sens!I13335</f>
        <v>30.152940612192</v>
      </c>
      <c r="J13311" s="6" t="n">
        <f aca="false">Sens!J13335</f>
        <v>32.9575022150393</v>
      </c>
      <c r="K13311" s="6" t="n">
        <f aca="false">Sens!K13335</f>
        <v>35.9256779798081</v>
      </c>
    </row>
    <row r="13312" customFormat="false" ht="17.15" hidden="false" customHeight="false" outlineLevel="0" collapsed="false">
      <c r="A13312" s="1" t="s">
        <v>1072</v>
      </c>
      <c r="B13312" s="0" t="s">
        <v>98</v>
      </c>
      <c r="D13312" s="6" t="n">
        <f aca="false">Q!L27</f>
        <v>-4.901</v>
      </c>
      <c r="E13312" s="6" t="n">
        <f aca="false">Q!M27</f>
        <v>10.697</v>
      </c>
      <c r="F13312" s="6" t="n">
        <f aca="false">Q!$I$27+oie_f*(q_per_yr-1)/q_per_yr</f>
        <v>-0.862</v>
      </c>
      <c r="G13312" s="6" t="n">
        <f aca="false">oie_f</f>
        <v>-1.2</v>
      </c>
      <c r="H13312" s="6" t="n">
        <f aca="false">oie_f</f>
        <v>-1.2</v>
      </c>
      <c r="I13312" s="6" t="n">
        <f aca="false">oie_f</f>
        <v>-1.2</v>
      </c>
      <c r="J13312" s="6" t="n">
        <f aca="false">oie_f</f>
        <v>-1.2</v>
      </c>
      <c r="K13312" s="6" t="n">
        <f aca="false">oie_f</f>
        <v>-1.2</v>
      </c>
      <c r="L13312" s="12" t="s">
        <v>1073</v>
      </c>
    </row>
    <row r="13313" customFormat="false" ht="15" hidden="false" customHeight="false" outlineLevel="0" collapsed="false">
      <c r="A13313" s="1" t="s">
        <v>1074</v>
      </c>
      <c r="B13313" s="0" t="s">
        <v>98</v>
      </c>
      <c r="D13313" s="6" t="n">
        <f aca="false">Sens!D13305+Sens!D13312</f>
        <v>123.627</v>
      </c>
      <c r="E13313" s="6" t="n">
        <f aca="false">Sens!E13305+Sens!E13312</f>
        <v>165.934</v>
      </c>
      <c r="F13313" s="6" t="n">
        <f aca="false">Sens!F13305+Sens!F13312</f>
        <v>189.776224776162</v>
      </c>
      <c r="G13313" s="6" t="n">
        <f aca="false">Sens!G13305+Sens!G13312</f>
        <v>217.720118406674</v>
      </c>
      <c r="H13313" s="6" t="n">
        <f aca="false">Sens!H13305+Sens!H13312</f>
        <v>253.599669231777</v>
      </c>
      <c r="I13313" s="6" t="n">
        <f aca="false">Sens!I13305+Sens!I13312</f>
        <v>281.152091056435</v>
      </c>
      <c r="J13313" s="6" t="n">
        <f aca="false">Sens!J13305+Sens!J13312</f>
        <v>305.107736302768</v>
      </c>
      <c r="K13313" s="6" t="n">
        <f aca="false">Sens!K13305+Sens!K13312</f>
        <v>326.810491274785</v>
      </c>
    </row>
    <row r="13314" customFormat="false" ht="15" hidden="false" customHeight="false" outlineLevel="0" collapsed="false">
      <c r="A13314" s="1" t="s">
        <v>1075</v>
      </c>
      <c r="B13314" s="0" t="s">
        <v>98</v>
      </c>
      <c r="D13314" s="6" t="n">
        <f aca="false">Q!L29</f>
        <v>21.795</v>
      </c>
      <c r="E13314" s="6" t="n">
        <f aca="false">Q!M29</f>
        <v>32.185</v>
      </c>
      <c r="F13314" s="6" t="n">
        <f aca="false">Q!$I$29+(Sens!F13313-Q!$I$28)*tax_f</f>
        <v>38.0886449552324</v>
      </c>
      <c r="G13314" s="6" t="n">
        <f aca="false">Sens!G13313*tax_f</f>
        <v>43.5440236813348</v>
      </c>
      <c r="H13314" s="6" t="n">
        <f aca="false">Sens!H13313*tax_f</f>
        <v>50.7199338463554</v>
      </c>
      <c r="I13314" s="6" t="n">
        <f aca="false">Sens!I13313*tax_f</f>
        <v>56.2304182112869</v>
      </c>
      <c r="J13314" s="6" t="n">
        <f aca="false">Sens!J13313*tax_f</f>
        <v>61.0215472605536</v>
      </c>
      <c r="K13314" s="6" t="n">
        <f aca="false">Sens!K13313*tax_f</f>
        <v>65.3620982549571</v>
      </c>
    </row>
    <row r="13315" customFormat="false" ht="15" hidden="false" customHeight="false" outlineLevel="0" collapsed="false">
      <c r="A13315" s="1" t="s">
        <v>1076</v>
      </c>
      <c r="B13315" s="0" t="s">
        <v>98</v>
      </c>
      <c r="D13315" s="6" t="n">
        <f aca="false">Sens!D13313-Sens!D13314</f>
        <v>101.832</v>
      </c>
      <c r="E13315" s="6" t="n">
        <f aca="false">Sens!E13313-Sens!E13314</f>
        <v>133.749</v>
      </c>
      <c r="F13315" s="6" t="n">
        <f aca="false">Sens!F13313-Sens!F13314</f>
        <v>151.68757982093</v>
      </c>
      <c r="G13315" s="6" t="n">
        <f aca="false">Sens!G13313-Sens!G13314</f>
        <v>174.176094725339</v>
      </c>
      <c r="H13315" s="6" t="n">
        <f aca="false">Sens!H13313-Sens!H13314</f>
        <v>202.879735385421</v>
      </c>
      <c r="I13315" s="6" t="n">
        <f aca="false">Sens!I13313-Sens!I13314</f>
        <v>224.921672845148</v>
      </c>
      <c r="J13315" s="6" t="n">
        <f aca="false">Sens!J13313-Sens!J13314</f>
        <v>244.086189042214</v>
      </c>
      <c r="K13315" s="6" t="n">
        <f aca="false">Sens!K13313-Sens!K13314</f>
        <v>261.448393019828</v>
      </c>
    </row>
    <row r="13316" customFormat="false" ht="17.15" hidden="false" customHeight="false" outlineLevel="0" collapsed="false">
      <c r="A13316" s="1" t="s">
        <v>1077</v>
      </c>
      <c r="B13316" s="1" t="s">
        <v>81</v>
      </c>
      <c r="D13316" s="15" t="n">
        <f aca="false">Q!L31</f>
        <v>7.465</v>
      </c>
      <c r="E13316" s="15" t="n">
        <f aca="false">Q!M31</f>
        <v>7.453</v>
      </c>
      <c r="F13316" s="15" t="n">
        <f aca="false">Sens!F13360</f>
        <v>7.46678966372993</v>
      </c>
      <c r="G13316" s="15" t="n">
        <f aca="false">Sens!G13360</f>
        <v>7.49697813416467</v>
      </c>
      <c r="H13316" s="15" t="n">
        <f aca="false">Sens!H13360</f>
        <v>7.5165768798983</v>
      </c>
      <c r="I13316" s="15" t="n">
        <f aca="false">Sens!I13360</f>
        <v>7.52825824395377</v>
      </c>
      <c r="J13316" s="15" t="n">
        <f aca="false">Sens!J13360</f>
        <v>7.54240765511624</v>
      </c>
      <c r="K13316" s="15" t="n">
        <f aca="false">Sens!K13360</f>
        <v>7.55884229508149</v>
      </c>
    </row>
    <row r="13317" customFormat="false" ht="17.15" hidden="false" customHeight="false" outlineLevel="0" collapsed="false">
      <c r="A13317" s="0" t="s">
        <v>1078</v>
      </c>
      <c r="B13317" s="0" t="s">
        <v>75</v>
      </c>
      <c r="D13317" s="8" t="n">
        <f aca="false">Sens!D13315/Sens!D13316</f>
        <v>13.641259209645</v>
      </c>
      <c r="E13317" s="8" t="n">
        <f aca="false">Sens!E13315/Sens!E13316</f>
        <v>17.9456594659869</v>
      </c>
      <c r="F13317" s="8" t="n">
        <f aca="false">Sens!F13315/Sens!F13316</f>
        <v>20.3149662240728</v>
      </c>
      <c r="G13317" s="8" t="n">
        <f aca="false">Sens!G13315/Sens!G13316</f>
        <v>23.2328401668396</v>
      </c>
      <c r="H13317" s="8" t="n">
        <f aca="false">Sens!H13315/Sens!H13316</f>
        <v>26.9909745655613</v>
      </c>
      <c r="I13317" s="8" t="n">
        <f aca="false">Sens!I13315/Sens!I13316</f>
        <v>29.8769868881412</v>
      </c>
      <c r="J13317" s="8" t="n">
        <f aca="false">Sens!J13315/Sens!J13316</f>
        <v>32.361839906206</v>
      </c>
      <c r="K13317" s="8" t="n">
        <f aca="false">Sens!K13315/Sens!K13316</f>
        <v>34.5884174868884</v>
      </c>
      <c r="L13317" s="1" t="s">
        <v>1079</v>
      </c>
    </row>
    <row r="13318" customFormat="false" ht="17.15" hidden="false" customHeight="false" outlineLevel="0" collapsed="false">
      <c r="A13318" s="1" t="s">
        <v>1080</v>
      </c>
      <c r="B13318" s="0" t="s">
        <v>98</v>
      </c>
      <c r="D13318" s="6" t="n">
        <f aca="false">Sens!D13315</f>
        <v>101.832</v>
      </c>
      <c r="E13318" s="6" t="n">
        <f aca="false">Sens!E13315</f>
        <v>133.749</v>
      </c>
      <c r="F13318" s="6" t="n">
        <f aca="false">Sens!F13315+Sens!F13308*(1-tax_f)</f>
        <v>158.66230521718</v>
      </c>
      <c r="G13318" s="6" t="n">
        <f aca="false">Sens!G13315+Sens!G13308*(1-tax_f)</f>
        <v>192.064919138961</v>
      </c>
      <c r="H13318" s="6" t="n">
        <f aca="false">Sens!H13315+Sens!H13308*(1-tax_f)</f>
        <v>232.861211575987</v>
      </c>
      <c r="I13318" s="6" t="n">
        <f aca="false">Sens!I13315+Sens!I13308*(1-tax_f)</f>
        <v>266.104160421562</v>
      </c>
      <c r="J13318" s="6" t="n">
        <f aca="false">Sens!J13315+Sens!J13308*(1-tax_f)</f>
        <v>293.133854556966</v>
      </c>
      <c r="K13318" s="6" t="n">
        <f aca="false">Sens!K13315+Sens!K13308*(1-tax_f)</f>
        <v>314.44049803633</v>
      </c>
    </row>
    <row r="13319" customFormat="false" ht="17.15" hidden="false" customHeight="false" outlineLevel="0" collapsed="false">
      <c r="A13319" s="0" t="s">
        <v>1081</v>
      </c>
      <c r="B13319" s="0" t="s">
        <v>75</v>
      </c>
      <c r="D13319" s="8" t="n">
        <f aca="false">Sens!D13318/Sens!D13316</f>
        <v>13.641259209645</v>
      </c>
      <c r="E13319" s="8" t="n">
        <f aca="false">Sens!E13318/Sens!E13316</f>
        <v>17.9456594659869</v>
      </c>
      <c r="F13319" s="8" t="n">
        <f aca="false">Sens!F13318/Sens!F13316</f>
        <v>21.2490658452433</v>
      </c>
      <c r="G13319" s="8" t="n">
        <f aca="false">Sens!G13318/Sens!G13316</f>
        <v>25.6189781671761</v>
      </c>
      <c r="H13319" s="8" t="n">
        <f aca="false">Sens!H13318/Sens!H13316</f>
        <v>30.9796886663571</v>
      </c>
      <c r="I13319" s="8" t="n">
        <f aca="false">Sens!I13318/Sens!I13316</f>
        <v>35.347374093507</v>
      </c>
      <c r="J13319" s="8" t="n">
        <f aca="false">Sens!J13318/Sens!J13316</f>
        <v>38.8647588357445</v>
      </c>
      <c r="K13319" s="8" t="n">
        <f aca="false">Sens!K13318/Sens!K13316</f>
        <v>41.599028761446</v>
      </c>
      <c r="L13319" s="1" t="s">
        <v>1082</v>
      </c>
    </row>
    <row r="13320" customFormat="false" ht="17.15" hidden="false" customHeight="false" outlineLevel="0" collapsed="false">
      <c r="A13320" s="0" t="s">
        <v>1083</v>
      </c>
      <c r="B13320" s="0" t="s">
        <v>168</v>
      </c>
      <c r="E13320" s="7" t="n">
        <f aca="false">Sens!E13319/Sens!D13319-1</f>
        <v>0.315542736208578</v>
      </c>
      <c r="F13320" s="7" t="n">
        <f aca="false">Sens!F13319/Sens!E13319-1</f>
        <v>0.184078294002935</v>
      </c>
      <c r="G13320" s="7" t="n">
        <f aca="false">Sens!G13319/Sens!F13319-1</f>
        <v>0.205651973303614</v>
      </c>
      <c r="H13320" s="7" t="n">
        <f aca="false">Sens!H13319/Sens!G13319-1</f>
        <v>0.209247631353597</v>
      </c>
      <c r="I13320" s="7" t="n">
        <f aca="false">Sens!I13319/Sens!H13319-1</f>
        <v>0.140985452571478</v>
      </c>
      <c r="J13320" s="7" t="n">
        <f aca="false">Sens!J13319/Sens!I13319-1</f>
        <v>0.0995090818608675</v>
      </c>
      <c r="K13320" s="7" t="n">
        <f aca="false">Sens!K13319/Sens!J13319-1</f>
        <v>0.0703534514972151</v>
      </c>
    </row>
    <row r="13321" customFormat="false" ht="17.15" hidden="false" customHeight="false" outlineLevel="0" collapsed="false">
      <c r="A13321" s="0" t="s">
        <v>1003</v>
      </c>
      <c r="B13321" s="0" t="s">
        <v>98</v>
      </c>
      <c r="E13321" s="6" t="n">
        <f aca="false">Sens!E13262</f>
        <v>5.25</v>
      </c>
      <c r="F13321" s="6" t="n">
        <f aca="false">Sens!F13262</f>
        <v>13.5</v>
      </c>
      <c r="G13321" s="6" t="n">
        <f aca="false">Sens!G13262</f>
        <v>22.5</v>
      </c>
      <c r="H13321" s="6" t="n">
        <f aca="false">Sens!H13262</f>
        <v>31.5</v>
      </c>
      <c r="I13321" s="6" t="n">
        <f aca="false">Sens!I13262</f>
        <v>38.25</v>
      </c>
      <c r="J13321" s="6" t="n">
        <f aca="false">Sens!J13262</f>
        <v>42.75</v>
      </c>
      <c r="K13321" s="6" t="n">
        <f aca="false">Sens!K13262</f>
        <v>47.25</v>
      </c>
    </row>
    <row r="13322" customFormat="false" ht="17.15" hidden="false" customHeight="false" outlineLevel="0" collapsed="false">
      <c r="A13322" s="1" t="s">
        <v>1004</v>
      </c>
      <c r="B13322" s="0" t="s">
        <v>98</v>
      </c>
      <c r="F13322" s="6" t="n">
        <f aca="false">MAX(0,((Sens!E13222+Sens!F13222)/2-(shadow_base*(Sens!$D$13222+Sens!$E$13222)/2+(1-shadow_base)*Sens!$E$13222))*Sens!F13231/1000-(Sens!F13321-Sens!$E$13321)*Sens!F13301)</f>
        <v>8.71840674531245</v>
      </c>
      <c r="G13322" s="6" t="n">
        <f aca="false">MAX(0,((Sens!F13222+Sens!G13222)/2-(shadow_base*(Sens!$D$13222+Sens!$E$13222)/2+(1-shadow_base)*Sens!$E$13222))*Sens!G13231/1000-(Sens!G13321-Sens!$E$13321)*Sens!G13301)</f>
        <v>22.3610305170273</v>
      </c>
      <c r="H13322" s="6" t="n">
        <f aca="false">MAX(0,((Sens!G13222+Sens!H13222)/2-(shadow_base*(Sens!$D$13222+Sens!$E$13222)/2+(1-shadow_base)*Sens!$E$13222))*Sens!H13231/1000-(Sens!H13321-Sens!$E$13321)*Sens!H13301)</f>
        <v>37.4768452382075</v>
      </c>
      <c r="I13322" s="6" t="n">
        <f aca="false">MAX(0,((Sens!H13222+Sens!I13222)/2-(shadow_base*(Sens!$D$13222+Sens!$E$13222)/2+(1-shadow_base)*Sens!$E$13222))*Sens!I13231/1000-(Sens!I13321-Sens!$E$13321)*Sens!I13301)</f>
        <v>51.4781094705177</v>
      </c>
      <c r="J13322" s="6" t="n">
        <f aca="false">MAX(0,((Sens!I13222+Sens!J13222)/2-(shadow_base*(Sens!$D$13222+Sens!$E$13222)/2+(1-shadow_base)*Sens!$E$13222))*Sens!J13231/1000-(Sens!J13321-Sens!$E$13321)*Sens!J13301)</f>
        <v>61.3095818934393</v>
      </c>
      <c r="K13322" s="6" t="n">
        <f aca="false">MAX(0,((Sens!J13222+Sens!K13222)/2-(shadow_base*(Sens!$D$13222+Sens!$E$13222)/2+(1-shadow_base)*Sens!$E$13222))*Sens!K13231/1000-(Sens!K13321-Sens!$E$13321)*Sens!K13301)</f>
        <v>66.2401312706266</v>
      </c>
      <c r="L13322" s="1" t="s">
        <v>1005</v>
      </c>
    </row>
    <row r="13323" customFormat="false" ht="17.15" hidden="false" customHeight="false" outlineLevel="0" collapsed="false">
      <c r="A13323" s="1" t="s">
        <v>1006</v>
      </c>
      <c r="B13323" s="0" t="s">
        <v>98</v>
      </c>
      <c r="F13323" s="6" t="n">
        <f aca="false">IF(internal_ai_reading=2,1,0)*Sens!F13322</f>
        <v>8.71840674531245</v>
      </c>
      <c r="G13323" s="6" t="n">
        <f aca="false">IF(internal_ai_reading=2,1,0)*Sens!G13322</f>
        <v>22.3610305170273</v>
      </c>
      <c r="H13323" s="6" t="n">
        <f aca="false">IF(internal_ai_reading=2,1,0)*Sens!H13322</f>
        <v>37.4768452382075</v>
      </c>
      <c r="I13323" s="6" t="n">
        <f aca="false">IF(internal_ai_reading=2,1,0)*Sens!I13322</f>
        <v>51.4781094705177</v>
      </c>
      <c r="J13323" s="6" t="n">
        <f aca="false">IF(internal_ai_reading=2,1,0)*Sens!J13322</f>
        <v>61.3095818934393</v>
      </c>
      <c r="K13323" s="6" t="n">
        <f aca="false">IF(internal_ai_reading=2,1,0)*Sens!K13322</f>
        <v>66.2401312706266</v>
      </c>
    </row>
    <row r="13324" customFormat="false" ht="17.15" hidden="false" customHeight="false" outlineLevel="0" collapsed="false">
      <c r="A13324" s="0" t="s">
        <v>1007</v>
      </c>
      <c r="B13324" s="0" t="s">
        <v>98</v>
      </c>
      <c r="F13324" s="6" t="n">
        <f aca="false">Sens!F13241+Sens!F13321*Sens!F13301+Sens!F13323-Sens!F13242-Sens!F13253</f>
        <v>18.6118678152817</v>
      </c>
      <c r="G13324" s="6" t="n">
        <f aca="false">Sens!G13241+Sens!G13321*Sens!G13301+Sens!G13323-Sens!G13242-Sens!G13253</f>
        <v>43.3033864982792</v>
      </c>
      <c r="H13324" s="6" t="n">
        <f aca="false">Sens!H13241+Sens!H13321*Sens!H13301+Sens!H13323-Sens!H13242-Sens!H13253</f>
        <v>73.607598356074</v>
      </c>
      <c r="I13324" s="6" t="n">
        <f aca="false">Sens!I13241+Sens!I13321*Sens!I13301+Sens!I13323-Sens!I13242-Sens!I13253</f>
        <v>94.8504135378504</v>
      </c>
      <c r="J13324" s="6" t="n">
        <f aca="false">Sens!J13241+Sens!J13321*Sens!J13301+Sens!J13323-Sens!J13242-Sens!J13253</f>
        <v>109.504608126358</v>
      </c>
      <c r="K13324" s="6" t="n">
        <f aca="false">Sens!K13241+Sens!K13321*Sens!K13301+Sens!K13323-Sens!K13242-Sens!K13253</f>
        <v>119.003703181943</v>
      </c>
    </row>
    <row r="13325" customFormat="false" ht="17.15" hidden="false" customHeight="false" outlineLevel="0" collapsed="false">
      <c r="A13325" s="0" t="s">
        <v>1008</v>
      </c>
      <c r="B13325" s="0" t="s">
        <v>98</v>
      </c>
      <c r="E13325" s="6" t="n">
        <f aca="false">Sens!E13221*(cxit_open+self_build*tk_cxfac)/1000*ai_net_open</f>
        <v>126.6980382</v>
      </c>
      <c r="F13325" s="6" t="n">
        <f aca="false">Sens!E13325+Sens!F13250-Sens!F13253</f>
        <v>260.572627763768</v>
      </c>
      <c r="G13325" s="6" t="n">
        <f aca="false">Sens!F13325+Sens!G13250-Sens!G13253</f>
        <v>391.782612760517</v>
      </c>
      <c r="H13325" s="6" t="n">
        <f aca="false">Sens!G13325+Sens!H13250-Sens!H13253</f>
        <v>499.488526163584</v>
      </c>
      <c r="I13325" s="6" t="n">
        <f aca="false">Sens!H13325+Sens!I13250-Sens!I13253</f>
        <v>553.872350090646</v>
      </c>
      <c r="J13325" s="6" t="n">
        <f aca="false">Sens!I13325+Sens!J13250-Sens!J13253</f>
        <v>550.78660823699</v>
      </c>
      <c r="K13325" s="6" t="n">
        <f aca="false">Sens!J13325+Sens!K13250-Sens!K13253</f>
        <v>526.736791750789</v>
      </c>
      <c r="L13325" s="1" t="s">
        <v>1009</v>
      </c>
    </row>
    <row r="13326" customFormat="false" ht="17.15" hidden="false" customHeight="false" outlineLevel="0" collapsed="false">
      <c r="A13326" s="0" t="s">
        <v>1010</v>
      </c>
      <c r="B13326" s="0" t="s">
        <v>168</v>
      </c>
      <c r="F13326" s="7" t="n">
        <f aca="false">Sens!F13324*(1-tax_f)/((Sens!E13325+Sens!F13325)/2)</f>
        <v>0.0768945110529925</v>
      </c>
      <c r="G13326" s="7" t="n">
        <f aca="false">Sens!G13324*(1-tax_f)/((Sens!F13325+Sens!G13325)/2)</f>
        <v>0.106208111920069</v>
      </c>
      <c r="H13326" s="7" t="n">
        <f aca="false">Sens!H13324*(1-tax_f)/((Sens!G13325+Sens!H13325)/2)</f>
        <v>0.132139538941974</v>
      </c>
      <c r="I13326" s="7" t="n">
        <f aca="false">Sens!I13324*(1-tax_f)/((Sens!H13325+Sens!I13325)/2)</f>
        <v>0.144072810260643</v>
      </c>
      <c r="J13326" s="7" t="n">
        <f aca="false">Sens!J13324*(1-tax_f)/((Sens!I13325+Sens!J13325)/2)</f>
        <v>0.158607660474163</v>
      </c>
      <c r="K13326" s="7" t="n">
        <f aca="false">Sens!K13324*(1-tax_f)/((Sens!J13325+Sens!K13325)/2)</f>
        <v>0.176706997818579</v>
      </c>
    </row>
    <row r="13327" customFormat="false" ht="17.15" hidden="false" customHeight="false" outlineLevel="0" collapsed="false">
      <c r="A13327" s="1" t="s">
        <v>1011</v>
      </c>
      <c r="B13327" s="0" t="s">
        <v>168</v>
      </c>
      <c r="F13327" s="7" t="n">
        <f aca="false">(Sens!F13324-Sens!F13323)*(1-tax_f)/((Sens!E13325+Sens!F13325)/2)</f>
        <v>0.0408746107133035</v>
      </c>
      <c r="G13327" s="7" t="n">
        <f aca="false">(Sens!G13324-Sens!G13323)*(1-tax_f)/((Sens!F13325+Sens!G13325)/2)</f>
        <v>0.0513642989103199</v>
      </c>
      <c r="H13327" s="7" t="n">
        <f aca="false">(Sens!H13324-Sens!H13323)*(1-tax_f)/((Sens!G13325+Sens!H13325)/2)</f>
        <v>0.0648615246964811</v>
      </c>
      <c r="I13327" s="7" t="n">
        <f aca="false">(Sens!I13324-Sens!I13323)*(1-tax_f)/((Sens!H13325+Sens!I13325)/2)</f>
        <v>0.0658802582022077</v>
      </c>
      <c r="J13327" s="7" t="n">
        <f aca="false">(Sens!J13324-Sens!J13323)*(1-tax_f)/((Sens!I13325+Sens!J13325)/2)</f>
        <v>0.0698061980046865</v>
      </c>
      <c r="K13327" s="7" t="n">
        <f aca="false">(Sens!K13324-Sens!K13323)*(1-tax_f)/((Sens!J13325+Sens!K13325)/2)</f>
        <v>0.0783479180675455</v>
      </c>
    </row>
    <row r="13328" customFormat="false" ht="17.15" hidden="false" customHeight="false" outlineLevel="0" collapsed="false">
      <c r="A13328" s="1" t="s">
        <v>1012</v>
      </c>
      <c r="B13328" s="0" t="s">
        <v>168</v>
      </c>
      <c r="F13328" s="7" t="n">
        <f aca="false">(Sens!F13324-Sens!F13323+Sens!F13322)*(1-tax_f)/((Sens!E13325+Sens!F13325)/2)</f>
        <v>0.0768945110529925</v>
      </c>
      <c r="G13328" s="7" t="n">
        <f aca="false">(Sens!G13324-Sens!G13323+Sens!G13322)*(1-tax_f)/((Sens!F13325+Sens!G13325)/2)</f>
        <v>0.106208111920069</v>
      </c>
      <c r="H13328" s="7" t="n">
        <f aca="false">(Sens!H13324-Sens!H13323+Sens!H13322)*(1-tax_f)/((Sens!G13325+Sens!H13325)/2)</f>
        <v>0.132139538941974</v>
      </c>
      <c r="I13328" s="7" t="n">
        <f aca="false">(Sens!I13324-Sens!I13323+Sens!I13322)*(1-tax_f)/((Sens!H13325+Sens!I13325)/2)</f>
        <v>0.144072810260643</v>
      </c>
      <c r="J13328" s="7" t="n">
        <f aca="false">(Sens!J13324-Sens!J13323+Sens!J13322)*(1-tax_f)/((Sens!I13325+Sens!J13325)/2)</f>
        <v>0.158607660474163</v>
      </c>
      <c r="K13328" s="7" t="n">
        <f aca="false">(Sens!K13324-Sens!K13323+Sens!K13322)*(1-tax_f)/((Sens!J13325+Sens!K13325)/2)</f>
        <v>0.176706997818579</v>
      </c>
    </row>
    <row r="13329" customFormat="false" ht="17.15" hidden="false" customHeight="false" outlineLevel="0" collapsed="false">
      <c r="A13329" s="1" t="s">
        <v>1013</v>
      </c>
      <c r="B13329" s="0" t="s">
        <v>168</v>
      </c>
      <c r="F13329" s="7" t="n">
        <f aca="false">Sens!F13254*(1-tax_f)/(Sens!F13240*(Sens!E13325+Sens!F13325)/2)</f>
        <v>0.15471433083293</v>
      </c>
      <c r="G13329" s="7" t="n">
        <f aca="false">Sens!G13254*(1-tax_f)/(Sens!G13240*(Sens!F13325+Sens!G13325)/2)</f>
        <v>0.176916911437355</v>
      </c>
      <c r="H13329" s="7" t="n">
        <f aca="false">Sens!H13254*(1-tax_f)/(Sens!H13240*(Sens!G13325+Sens!H13325)/2)</f>
        <v>0.207487057996582</v>
      </c>
      <c r="I13329" s="7" t="n">
        <f aca="false">Sens!I13254*(1-tax_f)/(Sens!I13240*(Sens!H13325+Sens!I13325)/2)</f>
        <v>0.219873660070946</v>
      </c>
      <c r="J13329" s="7" t="n">
        <f aca="false">Sens!J13254*(1-tax_f)/(Sens!J13240*(Sens!I13325+Sens!J13325)/2)</f>
        <v>0.238959457974928</v>
      </c>
      <c r="K13329" s="7" t="n">
        <f aca="false">Sens!K13254*(1-tax_f)/(Sens!K13240*(Sens!J13325+Sens!K13325)/2)</f>
        <v>0.264604270651536</v>
      </c>
    </row>
    <row r="13330" customFormat="false" ht="17.15" hidden="false" customHeight="false" outlineLevel="0" collapsed="false">
      <c r="A13330" s="0" t="s">
        <v>1014</v>
      </c>
      <c r="B13330" s="0" t="s">
        <v>253</v>
      </c>
      <c r="F13330" s="7" t="n">
        <f aca="false">Sens!F13326-wacc</f>
        <v>-0.0260420798926048</v>
      </c>
      <c r="G13330" s="7" t="n">
        <f aca="false">Sens!G13326-wacc</f>
        <v>0.00327152097447166</v>
      </c>
      <c r="H13330" s="7" t="n">
        <f aca="false">Sens!H13326-wacc</f>
        <v>0.0292029479963764</v>
      </c>
      <c r="I13330" s="7" t="n">
        <f aca="false">Sens!I13326-wacc</f>
        <v>0.041136219315046</v>
      </c>
      <c r="J13330" s="7" t="n">
        <f aca="false">Sens!J13326-wacc</f>
        <v>0.055671069528566</v>
      </c>
      <c r="K13330" s="7" t="n">
        <f aca="false">Sens!K13326-wacc</f>
        <v>0.0737704068729816</v>
      </c>
    </row>
    <row r="13331" customFormat="false" ht="17.15" hidden="false" customHeight="false" outlineLevel="0" collapsed="false">
      <c r="A13331" s="0" t="s">
        <v>1015</v>
      </c>
      <c r="B13331" s="0" t="s">
        <v>98</v>
      </c>
      <c r="F13331" s="6" t="n">
        <f aca="false">Sens!F13324*(1-tax_f)-wacc*(Sens!E13325+Sens!F13325)/2</f>
        <v>-5.04266681154535</v>
      </c>
      <c r="G13331" s="6" t="n">
        <f aca="false">Sens!G13324*(1-tax_f)-wacc*(Sens!F13325+Sens!G13325)/2</f>
        <v>1.06709692609085</v>
      </c>
      <c r="H13331" s="6" t="n">
        <f aca="false">Sens!H13324*(1-tax_f)-wacc*(Sens!G13325+Sens!H13325)/2</f>
        <v>13.0138723603358</v>
      </c>
      <c r="I13331" s="6" t="n">
        <f aca="false">Sens!I13324*(1-tax_f)-wacc*(Sens!H13325+Sens!I13325)/2</f>
        <v>21.6656420117415</v>
      </c>
      <c r="J13331" s="6" t="n">
        <f aca="false">Sens!J13324*(1-tax_f)-wacc*(Sens!I13325+Sens!J13325)/2</f>
        <v>30.7487728372055</v>
      </c>
      <c r="K13331" s="6" t="n">
        <f aca="false">Sens!K13324*(1-tax_f)-wacc*(Sens!J13325+Sens!K13325)/2</f>
        <v>39.7446698161285</v>
      </c>
    </row>
    <row r="13332" customFormat="false" ht="17.15" hidden="false" customHeight="false" outlineLevel="0" collapsed="false">
      <c r="A13332" s="3" t="s">
        <v>1813</v>
      </c>
    </row>
    <row r="13333" customFormat="false" ht="15" hidden="false" customHeight="false" outlineLevel="0" collapsed="false">
      <c r="A13333" s="4" t="s">
        <v>43</v>
      </c>
      <c r="B13333" s="4" t="s">
        <v>65</v>
      </c>
      <c r="C13333" s="23" t="s">
        <v>938</v>
      </c>
      <c r="D13333" s="23" t="s">
        <v>939</v>
      </c>
      <c r="E13333" s="23" t="s">
        <v>940</v>
      </c>
      <c r="F13333" s="23" t="s">
        <v>941</v>
      </c>
      <c r="G13333" s="23" t="s">
        <v>942</v>
      </c>
      <c r="H13333" s="23" t="s">
        <v>943</v>
      </c>
      <c r="I13333" s="23" t="s">
        <v>944</v>
      </c>
      <c r="J13333" s="23" t="s">
        <v>945</v>
      </c>
      <c r="K13333" s="23" t="s">
        <v>946</v>
      </c>
      <c r="L13333" s="4" t="s">
        <v>47</v>
      </c>
    </row>
    <row r="13334" customFormat="false" ht="15" hidden="false" customHeight="false" outlineLevel="0" collapsed="false">
      <c r="A13334" s="1" t="s">
        <v>1076</v>
      </c>
      <c r="B13334" s="0" t="s">
        <v>98</v>
      </c>
      <c r="F13334" s="6" t="n">
        <f aca="false">Sens!F13315</f>
        <v>151.68757982093</v>
      </c>
      <c r="G13334" s="6" t="n">
        <f aca="false">Sens!G13315</f>
        <v>174.176094725339</v>
      </c>
      <c r="H13334" s="6" t="n">
        <f aca="false">Sens!H13315</f>
        <v>202.879735385421</v>
      </c>
      <c r="I13334" s="6" t="n">
        <f aca="false">Sens!I13315</f>
        <v>224.921672845148</v>
      </c>
      <c r="J13334" s="6" t="n">
        <f aca="false">Sens!J13315</f>
        <v>244.086189042214</v>
      </c>
      <c r="K13334" s="6" t="n">
        <f aca="false">Sens!K13315</f>
        <v>261.448393019828</v>
      </c>
    </row>
    <row r="13335" customFormat="false" ht="17.15" hidden="false" customHeight="false" outlineLevel="0" collapsed="false">
      <c r="A13335" s="1" t="s">
        <v>1098</v>
      </c>
      <c r="B13335" s="0" t="s">
        <v>98</v>
      </c>
      <c r="E13335" s="6" t="n">
        <f aca="false">Q!M38-Sens!E13253</f>
        <v>22.2285940229167</v>
      </c>
      <c r="F13335" s="6" t="n">
        <f aca="false">Sens!E13335*(1-1/life_nonai)+(Sens!F13343+Sens!F13344)/life_nonai</f>
        <v>23.580344216413</v>
      </c>
      <c r="G13335" s="6" t="n">
        <f aca="false">Sens!F13335*(1-1/life_nonai)+(Sens!G13343)/life_nonai</f>
        <v>25.3801415764809</v>
      </c>
      <c r="H13335" s="6" t="n">
        <f aca="false">Sens!G13335*(1-1/life_nonai)+(Sens!H13343)/life_nonai</f>
        <v>27.5964639802758</v>
      </c>
      <c r="I13335" s="6" t="n">
        <f aca="false">Sens!H13335*(1-1/life_nonai)+(Sens!I13343)/life_nonai</f>
        <v>30.152940612192</v>
      </c>
      <c r="J13335" s="6" t="n">
        <f aca="false">Sens!I13335*(1-1/life_nonai)+(Sens!J13343)/life_nonai</f>
        <v>32.9575022150393</v>
      </c>
      <c r="K13335" s="6" t="n">
        <f aca="false">Sens!J13335*(1-1/life_nonai)+(Sens!K13343)/life_nonai</f>
        <v>35.9256779798081</v>
      </c>
      <c r="L13335" s="12" t="s">
        <v>1099</v>
      </c>
    </row>
    <row r="13336" customFormat="false" ht="17.15" hidden="false" customHeight="false" outlineLevel="0" collapsed="false">
      <c r="A13336" s="1" t="s">
        <v>1100</v>
      </c>
      <c r="B13336" s="0" t="s">
        <v>98</v>
      </c>
      <c r="F13336" s="6" t="n">
        <f aca="false">Sens!$F$13344/life_nonai*(1-1/life_nonai)^(Sens!F13216-2027)</f>
        <v>0.00475774452575592</v>
      </c>
      <c r="G13336" s="6" t="n">
        <f aca="false">Sens!$F$13344/life_nonai*(1-1/life_nonai)^(Sens!G13216-2027)</f>
        <v>0.00428197007318033</v>
      </c>
      <c r="H13336" s="6" t="n">
        <f aca="false">Sens!$F$13344/life_nonai*(1-1/life_nonai)^(Sens!H13216-2027)</f>
        <v>0.0038537730658623</v>
      </c>
      <c r="I13336" s="6" t="n">
        <f aca="false">Sens!$F$13344/life_nonai*(1-1/life_nonai)^(Sens!I13216-2027)</f>
        <v>0.00346839575927607</v>
      </c>
      <c r="J13336" s="6" t="n">
        <f aca="false">Sens!$F$13344/life_nonai*(1-1/life_nonai)^(Sens!J13216-2027)</f>
        <v>0.00312155618334846</v>
      </c>
      <c r="K13336" s="6" t="n">
        <f aca="false">Sens!$F$13344/life_nonai*(1-1/life_nonai)^(Sens!K13216-2027)</f>
        <v>0.00280940056501362</v>
      </c>
      <c r="L13336" s="1" t="s">
        <v>1101</v>
      </c>
    </row>
    <row r="13337" customFormat="false" ht="17.15" hidden="false" customHeight="false" outlineLevel="0" collapsed="false">
      <c r="A13337" s="1" t="s">
        <v>1102</v>
      </c>
      <c r="B13337" s="0" t="s">
        <v>98</v>
      </c>
      <c r="E13337" s="6" t="n">
        <f aca="false">Sens!E13253+Sens!E13335</f>
        <v>38.534</v>
      </c>
      <c r="F13337" s="6" t="n">
        <f aca="false">Sens!F13253+Sens!F13335</f>
        <v>58.1596586947647</v>
      </c>
      <c r="G13337" s="6" t="n">
        <f aca="false">Sens!G13253+Sens!G13335</f>
        <v>86.1146322287799</v>
      </c>
      <c r="H13337" s="6" t="n">
        <f aca="false">Sens!H13253+Sens!H13335</f>
        <v>116.696554641721</v>
      </c>
      <c r="I13337" s="6" t="n">
        <f aca="false">Sens!I13253+Sens!I13335</f>
        <v>144.38395030674</v>
      </c>
      <c r="J13337" s="6" t="n">
        <f aca="false">Sens!J13253+Sens!J13335</f>
        <v>164.973175264635</v>
      </c>
      <c r="K13337" s="6" t="n">
        <f aca="false">Sens!K13253+Sens!K13335</f>
        <v>178.938347530742</v>
      </c>
    </row>
    <row r="13338" customFormat="false" ht="17.15" hidden="false" customHeight="false" outlineLevel="0" collapsed="false">
      <c r="A13338" s="1" t="s">
        <v>1103</v>
      </c>
      <c r="B13338" s="0" t="s">
        <v>98</v>
      </c>
      <c r="F13338" s="6" t="n">
        <f aca="false">Sens!F13280*sbc_r</f>
        <v>15.0680693022395</v>
      </c>
      <c r="G13338" s="6" t="n">
        <f aca="false">Sens!G13280*sbc_r</f>
        <v>18.3841476633065</v>
      </c>
      <c r="H13338" s="6" t="n">
        <f aca="false">Sens!H13280*sbc_r</f>
        <v>21.9545979838202</v>
      </c>
      <c r="I13338" s="6" t="n">
        <f aca="false">Sens!I13280*sbc_r</f>
        <v>24.9944595349748</v>
      </c>
      <c r="J13338" s="6" t="n">
        <f aca="false">Sens!J13280*sbc_r</f>
        <v>27.4407929753337</v>
      </c>
      <c r="K13338" s="6" t="n">
        <f aca="false">Sens!K13280*sbc_r</f>
        <v>29.3868645070206</v>
      </c>
    </row>
    <row r="13339" customFormat="false" ht="17.15" hidden="false" customHeight="false" outlineLevel="0" collapsed="false">
      <c r="A13339" s="1" t="s">
        <v>1104</v>
      </c>
      <c r="B13339" s="0" t="s">
        <v>98</v>
      </c>
      <c r="F13339" s="6" t="n">
        <f aca="false">wc27-wc26q1</f>
        <v>-4.677</v>
      </c>
      <c r="G13339" s="6" t="n">
        <f aca="false">wc_f</f>
        <v>0</v>
      </c>
      <c r="H13339" s="6" t="n">
        <f aca="false">wc_f</f>
        <v>0</v>
      </c>
      <c r="I13339" s="6" t="n">
        <f aca="false">wc_f</f>
        <v>0</v>
      </c>
      <c r="J13339" s="6" t="n">
        <f aca="false">wc_f</f>
        <v>0</v>
      </c>
      <c r="K13339" s="6" t="n">
        <f aca="false">wc_f</f>
        <v>0</v>
      </c>
      <c r="L13339" s="12" t="s">
        <v>1105</v>
      </c>
    </row>
    <row r="13340" customFormat="false" ht="17.15" hidden="false" customHeight="false" outlineLevel="0" collapsed="false">
      <c r="A13340" s="0" t="s">
        <v>1106</v>
      </c>
      <c r="B13340" s="0" t="s">
        <v>98</v>
      </c>
      <c r="F13340" s="6" t="n">
        <f aca="false">Q!$I$35-Q!$I$26-Q!$I$38-Q!$I$39</f>
        <v>6.493</v>
      </c>
      <c r="L13340" s="1" t="s">
        <v>1107</v>
      </c>
    </row>
    <row r="13341" customFormat="false" ht="15" hidden="false" customHeight="false" outlineLevel="0" collapsed="false">
      <c r="A13341" s="1" t="s">
        <v>904</v>
      </c>
      <c r="B13341" s="0" t="s">
        <v>98</v>
      </c>
      <c r="E13341" s="6" t="n">
        <f aca="false">Q!M35</f>
        <v>182.935</v>
      </c>
      <c r="F13341" s="6" t="n">
        <f aca="false">Sens!F13334+Sens!F13337+Sens!F13338+Sens!F13339+Sens!F13340</f>
        <v>226.731307817934</v>
      </c>
      <c r="G13341" s="6" t="n">
        <f aca="false">Sens!G13334+Sens!G13337+Sens!G13338+Sens!G13339</f>
        <v>278.674874617426</v>
      </c>
      <c r="H13341" s="6" t="n">
        <f aca="false">Sens!H13334+Sens!H13337+Sens!H13338+Sens!H13339</f>
        <v>341.530888010963</v>
      </c>
      <c r="I13341" s="6" t="n">
        <f aca="false">Sens!I13334+Sens!I13337+Sens!I13338+Sens!I13339</f>
        <v>394.300082686863</v>
      </c>
      <c r="J13341" s="6" t="n">
        <f aca="false">Sens!J13334+Sens!J13337+Sens!J13338+Sens!J13339</f>
        <v>436.500157282183</v>
      </c>
      <c r="K13341" s="6" t="n">
        <f aca="false">Sens!K13334+Sens!K13337+Sens!K13338+Sens!K13339</f>
        <v>469.773605057591</v>
      </c>
    </row>
    <row r="13342" customFormat="false" ht="17.15" hidden="false" customHeight="false" outlineLevel="0" collapsed="false">
      <c r="A13342" s="0" t="s">
        <v>1108</v>
      </c>
      <c r="B13342" s="0" t="s">
        <v>98</v>
      </c>
      <c r="F13342" s="6" t="n">
        <f aca="false">Sens!F13250</f>
        <v>168.45390404212</v>
      </c>
      <c r="G13342" s="6" t="n">
        <f aca="false">Sens!G13250</f>
        <v>191.944475649048</v>
      </c>
      <c r="H13342" s="6" t="n">
        <f aca="false">Sens!H13250</f>
        <v>196.806004064512</v>
      </c>
      <c r="I13342" s="6" t="n">
        <f aca="false">Sens!I13250</f>
        <v>168.61483362161</v>
      </c>
      <c r="J13342" s="6" t="n">
        <f aca="false">Sens!J13250</f>
        <v>128.92993119594</v>
      </c>
      <c r="K13342" s="6" t="n">
        <f aca="false">Sens!K13250</f>
        <v>118.962853064733</v>
      </c>
    </row>
    <row r="13343" customFormat="false" ht="17.15" hidden="false" customHeight="false" outlineLevel="0" collapsed="false">
      <c r="A13343" s="1" t="s">
        <v>1109</v>
      </c>
      <c r="B13343" s="0" t="s">
        <v>98</v>
      </c>
      <c r="E13343" s="6" t="n">
        <f aca="false">Sens!E13258*cx_azo+Sens!E13265*cx_m365+Sens!E13266*cx_lic+(Sens!E13268+Sens!E13270)*cx_ind+Sens!E13273*cx_srch+(Sens!E13275+Sens!E13277)*cx_dev</f>
        <v>30.1846587067718</v>
      </c>
      <c r="F13343" s="6" t="n">
        <f aca="false">Sens!F13258*cx_azo+Sens!F13265*cx_m365+Sens!F13266*cx_lic+(Sens!F13268+Sens!F13270)*cx_ind+Sens!F13273*cx_srch+(Sens!F13275+Sens!F13277)*cx_dev</f>
        <v>35.6985185126228</v>
      </c>
      <c r="G13343" s="6" t="n">
        <f aca="false">Sens!G13258*cx_azo+Sens!G13265*cx_m365+Sens!G13266*cx_lic+(Sens!G13268+Sens!G13270)*cx_ind+Sens!G13273*cx_srch+(Sens!G13275+Sens!G13277)*cx_dev</f>
        <v>41.5783178170917</v>
      </c>
      <c r="H13343" s="6" t="n">
        <f aca="false">Sens!H13258*cx_azo+Sens!H13265*cx_m365+Sens!H13266*cx_lic+(Sens!H13268+Sens!H13270)*cx_ind+Sens!H13273*cx_srch+(Sens!H13275+Sens!H13277)*cx_dev</f>
        <v>47.5433656144293</v>
      </c>
      <c r="I13343" s="6" t="n">
        <f aca="false">Sens!I13258*cx_azo+Sens!I13265*cx_m365+Sens!I13266*cx_lic+(Sens!I13268+Sens!I13270)*cx_ind+Sens!I13273*cx_srch+(Sens!I13275+Sens!I13277)*cx_dev</f>
        <v>53.1612302994382</v>
      </c>
      <c r="J13343" s="6" t="n">
        <f aca="false">Sens!J13258*cx_azo+Sens!J13265*cx_m365+Sens!J13266*cx_lic+(Sens!J13268+Sens!J13270)*cx_ind+Sens!J13273*cx_srch+(Sens!J13275+Sens!J13277)*cx_dev</f>
        <v>58.1985566406647</v>
      </c>
      <c r="K13343" s="6" t="n">
        <f aca="false">Sens!K13258*cx_azo+Sens!K13265*cx_m365+Sens!K13266*cx_lic+(Sens!K13268+Sens!K13270)*cx_ind+Sens!K13273*cx_srch+(Sens!K13275+Sens!K13277)*cx_dev</f>
        <v>62.6392598627275</v>
      </c>
    </row>
    <row r="13344" customFormat="false" ht="17.15" hidden="false" customHeight="false" outlineLevel="0" collapsed="false">
      <c r="A13344" s="0" t="s">
        <v>1110</v>
      </c>
      <c r="B13344" s="0" t="s">
        <v>98</v>
      </c>
      <c r="F13344" s="6" t="n">
        <f aca="false">Sens!F13248</f>
        <v>0.0475774452575593</v>
      </c>
      <c r="L13344" s="1" t="s">
        <v>1111</v>
      </c>
    </row>
    <row r="13345" customFormat="false" ht="17.15" hidden="false" customHeight="false" outlineLevel="0" collapsed="false">
      <c r="A13345" s="1" t="s">
        <v>1112</v>
      </c>
      <c r="B13345" s="0" t="s">
        <v>98</v>
      </c>
      <c r="E13345" s="6" t="n">
        <f aca="false">Q!M43</f>
        <v>145.3</v>
      </c>
      <c r="F13345" s="6" t="n">
        <f aca="false">Sens!F13342+Sens!F13343+Sens!F13344</f>
        <v>204.2</v>
      </c>
      <c r="G13345" s="6" t="n">
        <f aca="false">Sens!G13342+Sens!G13343</f>
        <v>233.52279346614</v>
      </c>
      <c r="H13345" s="6" t="n">
        <f aca="false">Sens!H13342+Sens!H13343</f>
        <v>244.349369678942</v>
      </c>
      <c r="I13345" s="6" t="n">
        <f aca="false">Sens!I13342+Sens!I13343</f>
        <v>221.776063921049</v>
      </c>
      <c r="J13345" s="6" t="n">
        <f aca="false">Sens!J13342+Sens!J13343</f>
        <v>187.128487836605</v>
      </c>
      <c r="K13345" s="6" t="n">
        <f aca="false">Sens!K13342+Sens!K13343</f>
        <v>181.60211292746</v>
      </c>
      <c r="L13345" s="1" t="s">
        <v>1113</v>
      </c>
    </row>
    <row r="13346" customFormat="false" ht="15" hidden="false" customHeight="false" outlineLevel="0" collapsed="false">
      <c r="A13346" s="1" t="s">
        <v>1114</v>
      </c>
      <c r="B13346" s="0" t="s">
        <v>98</v>
      </c>
      <c r="E13346" s="6" t="n">
        <f aca="false">fl_liab</f>
        <v>66.594</v>
      </c>
      <c r="F13346" s="6" t="n">
        <f aca="false">Sens!E13346-Sens!F13347</f>
        <v>62.46973</v>
      </c>
      <c r="G13346" s="6" t="n">
        <f aca="false">Sens!F13346-Sens!G13347</f>
        <v>57.98686785</v>
      </c>
      <c r="H13346" s="6" t="n">
        <f aca="false">Sens!G13346-Sens!H13347</f>
        <v>53.92827690325</v>
      </c>
      <c r="I13346" s="6" t="n">
        <f aca="false">Sens!H13346-Sens!I13347</f>
        <v>49.7850493638962</v>
      </c>
      <c r="J13346" s="6" t="n">
        <f aca="false">Sens!I13346-Sens!J13347</f>
        <v>45.4823765852716</v>
      </c>
      <c r="K13346" s="6" t="n">
        <f aca="false">Sens!J13346-Sens!K13347</f>
        <v>40.9860835316088</v>
      </c>
    </row>
    <row r="13347" customFormat="false" ht="15" hidden="false" customHeight="false" outlineLevel="0" collapsed="false">
      <c r="A13347" s="1" t="s">
        <v>1115</v>
      </c>
      <c r="B13347" s="0" t="s">
        <v>98</v>
      </c>
      <c r="F13347" s="6" t="n">
        <f aca="false">fl_pay_27-Sens!E13346*fl_rate</f>
        <v>4.12427</v>
      </c>
      <c r="G13347" s="6" t="n">
        <f aca="false">fl_pay_28-Sens!F13346*fl_rate</f>
        <v>4.48286215</v>
      </c>
      <c r="H13347" s="6" t="n">
        <f aca="false">fl_pay_29-Sens!G13346*fl_rate</f>
        <v>4.05859094675</v>
      </c>
      <c r="I13347" s="6" t="n">
        <f aca="false">fl_pay_30-Sens!H13346*fl_rate</f>
        <v>4.14322753935375</v>
      </c>
      <c r="J13347" s="6" t="n">
        <f aca="false">fl_pay_31-Sens!I13346*fl_rate</f>
        <v>4.30267277862467</v>
      </c>
      <c r="K13347" s="6" t="n">
        <f aca="false">fl_pay_32-Sens!J13346*fl_rate</f>
        <v>4.49629305366278</v>
      </c>
    </row>
    <row r="13348" customFormat="false" ht="17.15" hidden="false" customHeight="false" outlineLevel="0" collapsed="false">
      <c r="A13348" s="1" t="s">
        <v>1116</v>
      </c>
      <c r="B13348" s="0" t="s">
        <v>98</v>
      </c>
      <c r="E13348" s="6" t="n">
        <f aca="false">Q!M35-Q!M36-Q!M44</f>
        <v>63.886</v>
      </c>
      <c r="F13348" s="6" t="n">
        <f aca="false">Sens!F13341-Sens!F13345-Sens!F13347</f>
        <v>18.4070378179337</v>
      </c>
      <c r="G13348" s="6" t="n">
        <f aca="false">Sens!G13341-Sens!G13345-Sens!G13347</f>
        <v>40.6692190012856</v>
      </c>
      <c r="H13348" s="6" t="n">
        <f aca="false">Sens!H13341-Sens!H13345-Sens!H13347</f>
        <v>93.1229273852715</v>
      </c>
      <c r="I13348" s="6" t="n">
        <f aca="false">Sens!I13341-Sens!I13345-Sens!I13347</f>
        <v>168.380791226461</v>
      </c>
      <c r="J13348" s="6" t="n">
        <f aca="false">Sens!J13341-Sens!J13345-Sens!J13347</f>
        <v>245.068996666954</v>
      </c>
      <c r="K13348" s="6" t="n">
        <f aca="false">Sens!K13341-Sens!K13345-Sens!K13347</f>
        <v>283.675199076468</v>
      </c>
      <c r="L13348" s="12" t="s">
        <v>1117</v>
      </c>
    </row>
    <row r="13349" customFormat="false" ht="15" hidden="false" customHeight="false" outlineLevel="0" collapsed="false">
      <c r="A13349" s="1" t="s">
        <v>1118</v>
      </c>
      <c r="B13349" s="0" t="s">
        <v>75</v>
      </c>
      <c r="F13349" s="8" t="n">
        <f aca="false">dps_27</f>
        <v>3.85</v>
      </c>
      <c r="G13349" s="8" t="n">
        <f aca="false">Sens!F13349*(1+dps_g)</f>
        <v>4.158</v>
      </c>
      <c r="H13349" s="8" t="n">
        <f aca="false">Sens!G13349*(1+dps_g)</f>
        <v>4.49064</v>
      </c>
      <c r="I13349" s="8" t="n">
        <f aca="false">Sens!H13349*(1+dps_g)</f>
        <v>4.8498912</v>
      </c>
      <c r="J13349" s="8" t="n">
        <f aca="false">Sens!I13349*(1+dps_g)</f>
        <v>5.237882496</v>
      </c>
      <c r="K13349" s="8" t="n">
        <f aca="false">Sens!J13349*(1+dps_g)</f>
        <v>5.65691309568</v>
      </c>
    </row>
    <row r="13350" customFormat="false" ht="17.15" hidden="false" customHeight="false" outlineLevel="0" collapsed="false">
      <c r="A13350" s="1" t="s">
        <v>1119</v>
      </c>
      <c r="B13350" s="0" t="s">
        <v>98</v>
      </c>
      <c r="E13350" s="6" t="n">
        <f aca="false">Q!M41</f>
        <v>26.445</v>
      </c>
      <c r="F13350" s="6" t="n">
        <f aca="false">Sens!F13349*Sens!E13359</f>
        <v>28.59395</v>
      </c>
      <c r="G13350" s="6" t="n">
        <f aca="false">Sens!G13349*Sens!F13359</f>
        <v>31.0127728435781</v>
      </c>
      <c r="H13350" s="6" t="n">
        <f aca="false">Sens!H13349*Sens!G13359</f>
        <v>33.6231143857462</v>
      </c>
      <c r="I13350" s="6" t="n">
        <f aca="false">Sens!I13349*Sens!H13359</f>
        <v>36.3634018136785</v>
      </c>
      <c r="J13350" s="6" t="n">
        <f aca="false">Sens!J13349*Sens!I13359</f>
        <v>39.3403718441655</v>
      </c>
      <c r="K13350" s="6" t="n">
        <f aca="false">Sens!K13349*Sens!J13359</f>
        <v>42.5743558540769</v>
      </c>
      <c r="L13350" s="1" t="s">
        <v>1120</v>
      </c>
    </row>
    <row r="13351" customFormat="false" ht="15" hidden="false" customHeight="false" outlineLevel="0" collapsed="false">
      <c r="A13351" s="1" t="s">
        <v>1121</v>
      </c>
      <c r="B13351" s="0" t="s">
        <v>98</v>
      </c>
      <c r="E13351" s="6" t="n">
        <f aca="false">Sens!E13348-Sens!E13350</f>
        <v>37.441</v>
      </c>
      <c r="F13351" s="6" t="n">
        <f aca="false">Sens!F13348-Sens!F13350</f>
        <v>-10.1869121820664</v>
      </c>
      <c r="G13351" s="6" t="n">
        <f aca="false">Sens!G13348-Sens!G13350</f>
        <v>9.65644615770751</v>
      </c>
      <c r="H13351" s="6" t="n">
        <f aca="false">Sens!H13348-Sens!H13350</f>
        <v>59.4998129995253</v>
      </c>
      <c r="I13351" s="6" t="n">
        <f aca="false">Sens!I13348-Sens!I13350</f>
        <v>132.017389412782</v>
      </c>
      <c r="J13351" s="6" t="n">
        <f aca="false">Sens!J13348-Sens!J13350</f>
        <v>205.728624822788</v>
      </c>
      <c r="K13351" s="6" t="n">
        <f aca="false">Sens!K13348-Sens!K13350</f>
        <v>241.100843222391</v>
      </c>
    </row>
    <row r="13352" customFormat="false" ht="15" hidden="false" customHeight="false" outlineLevel="0" collapsed="false">
      <c r="A13352" s="1" t="s">
        <v>1122</v>
      </c>
      <c r="B13352" s="0" t="s">
        <v>98</v>
      </c>
      <c r="F13352" s="6" t="n">
        <f aca="false">debt_mat_27</f>
        <v>9.25</v>
      </c>
      <c r="G13352" s="6" t="n">
        <f aca="false">debt_mat_28</f>
        <v>0</v>
      </c>
      <c r="H13352" s="6" t="n">
        <f aca="false">debt_mat_29</f>
        <v>2.001</v>
      </c>
      <c r="I13352" s="6" t="n">
        <f aca="false">debt_mat_30</f>
        <v>0</v>
      </c>
      <c r="J13352" s="6" t="n">
        <f aca="false">debt_mat_31</f>
        <v>0.5</v>
      </c>
      <c r="K13352" s="6" t="n">
        <f aca="false">debt_mat_32</f>
        <v>0</v>
      </c>
    </row>
    <row r="13353" customFormat="false" ht="15" hidden="false" customHeight="false" outlineLevel="0" collapsed="false">
      <c r="A13353" s="1" t="s">
        <v>1123</v>
      </c>
      <c r="B13353" s="0" t="s">
        <v>98</v>
      </c>
      <c r="E13353" s="6" t="n">
        <f aca="false">Q!M40</f>
        <v>22.271</v>
      </c>
      <c r="F13353" s="6" t="n">
        <f aca="false">MAX(0,MIN(bb_target,Sens!E13355+Sens!F13351-Sens!F13352-min_cash))</f>
        <v>7.40608781793365</v>
      </c>
      <c r="G13353" s="6" t="n">
        <f aca="false">MAX(0,MIN(bb_target,Sens!F13355+Sens!G13351-Sens!G13352-min_cash))</f>
        <v>9.65644615770751</v>
      </c>
      <c r="H13353" s="6" t="n">
        <f aca="false">MAX(0,MIN(bb_target,Sens!G13355+Sens!H13351-Sens!H13352-min_cash))</f>
        <v>22.271</v>
      </c>
      <c r="I13353" s="6" t="n">
        <f aca="false">MAX(0,MIN(bb_target,Sens!H13355+Sens!I13351-Sens!I13352-min_cash))</f>
        <v>22.271</v>
      </c>
      <c r="J13353" s="6" t="n">
        <f aca="false">MAX(0,MIN(bb_target,Sens!I13355+Sens!J13351-Sens!J13352-min_cash))</f>
        <v>22.271</v>
      </c>
      <c r="K13353" s="6" t="n">
        <f aca="false">MAX(0,MIN(bb_target,Sens!J13355+Sens!K13351-Sens!K13352-min_cash))</f>
        <v>22.271</v>
      </c>
    </row>
    <row r="13354" customFormat="false" ht="15" hidden="false" customHeight="false" outlineLevel="0" collapsed="false">
      <c r="A13354" s="1" t="s">
        <v>1124</v>
      </c>
      <c r="B13354" s="0" t="s">
        <v>98</v>
      </c>
      <c r="F13354" s="6" t="n">
        <f aca="false">MAX(0,min_cash-(Sens!E13355+Sens!F13351-Sens!F13352-Sens!F13353))</f>
        <v>0</v>
      </c>
      <c r="G13354" s="6" t="n">
        <f aca="false">MAX(0,min_cash-(Sens!F13355+Sens!G13351-Sens!G13352-Sens!G13353))</f>
        <v>0</v>
      </c>
      <c r="H13354" s="6" t="n">
        <f aca="false">MAX(0,min_cash-(Sens!G13355+Sens!H13351-Sens!H13352-Sens!H13353))</f>
        <v>0</v>
      </c>
      <c r="I13354" s="6" t="n">
        <f aca="false">MAX(0,min_cash-(Sens!H13355+Sens!I13351-Sens!I13352-Sens!I13353))</f>
        <v>0</v>
      </c>
      <c r="J13354" s="6" t="n">
        <f aca="false">MAX(0,min_cash-(Sens!I13355+Sens!J13351-Sens!J13352-Sens!J13353))</f>
        <v>0</v>
      </c>
      <c r="K13354" s="6" t="n">
        <f aca="false">MAX(0,min_cash-(Sens!J13355+Sens!K13351-Sens!K13352-Sens!K13353))</f>
        <v>0</v>
      </c>
    </row>
    <row r="13355" customFormat="false" ht="15" hidden="false" customHeight="false" outlineLevel="0" collapsed="false">
      <c r="A13355" s="1" t="s">
        <v>1125</v>
      </c>
      <c r="B13355" s="0" t="s">
        <v>98</v>
      </c>
      <c r="E13355" s="6" t="n">
        <f aca="false">cash_open</f>
        <v>76.843</v>
      </c>
      <c r="F13355" s="6" t="n">
        <f aca="false">Sens!E13355+Sens!F13351-Sens!F13352-Sens!F13353+Sens!F13354</f>
        <v>50</v>
      </c>
      <c r="G13355" s="6" t="n">
        <f aca="false">Sens!F13355+Sens!G13351-Sens!G13352-Sens!G13353+Sens!G13354</f>
        <v>50</v>
      </c>
      <c r="H13355" s="6" t="n">
        <f aca="false">Sens!G13355+Sens!H13351-Sens!H13352-Sens!H13353+Sens!H13354</f>
        <v>85.2278129995253</v>
      </c>
      <c r="I13355" s="6" t="n">
        <f aca="false">Sens!H13355+Sens!I13351-Sens!I13352-Sens!I13353+Sens!I13354</f>
        <v>194.974202412307</v>
      </c>
      <c r="J13355" s="6" t="n">
        <f aca="false">Sens!I13355+Sens!J13351-Sens!J13352-Sens!J13353+Sens!J13354</f>
        <v>377.931827235095</v>
      </c>
      <c r="K13355" s="6" t="n">
        <f aca="false">Sens!J13355+Sens!K13351-Sens!K13352-Sens!K13353+Sens!K13354</f>
        <v>596.761670457487</v>
      </c>
    </row>
    <row r="13356" customFormat="false" ht="15" hidden="false" customHeight="false" outlineLevel="0" collapsed="false">
      <c r="A13356" s="1" t="s">
        <v>1126</v>
      </c>
      <c r="B13356" s="0" t="s">
        <v>98</v>
      </c>
      <c r="E13356" s="6" t="n">
        <f aca="false">debt_face</f>
        <v>46.136</v>
      </c>
      <c r="F13356" s="6" t="n">
        <f aca="false">Sens!E13356-Sens!F13352+Sens!F13354</f>
        <v>36.886</v>
      </c>
      <c r="G13356" s="6" t="n">
        <f aca="false">Sens!F13356-Sens!G13352+Sens!G13354</f>
        <v>36.886</v>
      </c>
      <c r="H13356" s="6" t="n">
        <f aca="false">Sens!G13356-Sens!H13352+Sens!H13354</f>
        <v>34.885</v>
      </c>
      <c r="I13356" s="6" t="n">
        <f aca="false">Sens!H13356-Sens!I13352+Sens!I13354</f>
        <v>34.885</v>
      </c>
      <c r="J13356" s="6" t="n">
        <f aca="false">Sens!I13356-Sens!J13352+Sens!J13354</f>
        <v>34.385</v>
      </c>
      <c r="K13356" s="6" t="n">
        <f aca="false">Sens!J13356-Sens!K13352+Sens!K13354</f>
        <v>34.385</v>
      </c>
    </row>
    <row r="13357" customFormat="false" ht="15" hidden="false" customHeight="false" outlineLevel="0" collapsed="false">
      <c r="A13357" s="1" t="s">
        <v>1127</v>
      </c>
      <c r="B13357" s="0" t="s">
        <v>98</v>
      </c>
      <c r="E13357" s="6" t="n">
        <f aca="false">Sens!E13355-Sens!E13356</f>
        <v>30.707</v>
      </c>
      <c r="F13357" s="6" t="n">
        <f aca="false">Sens!F13355-Sens!F13356</f>
        <v>13.114</v>
      </c>
      <c r="G13357" s="6" t="n">
        <f aca="false">Sens!G13355-Sens!G13356</f>
        <v>13.114</v>
      </c>
      <c r="H13357" s="6" t="n">
        <f aca="false">Sens!H13355-Sens!H13356</f>
        <v>50.3428129995253</v>
      </c>
      <c r="I13357" s="6" t="n">
        <f aca="false">Sens!I13355-Sens!I13356</f>
        <v>160.089202412307</v>
      </c>
      <c r="J13357" s="6" t="n">
        <f aca="false">Sens!J13355-Sens!J13356</f>
        <v>343.546827235095</v>
      </c>
      <c r="K13357" s="6" t="n">
        <f aca="false">Sens!K13355-Sens!K13356</f>
        <v>562.376670457487</v>
      </c>
    </row>
    <row r="13358" customFormat="false" ht="15" hidden="false" customHeight="false" outlineLevel="0" collapsed="false">
      <c r="A13358" s="1" t="s">
        <v>1128</v>
      </c>
      <c r="B13358" s="0" t="s">
        <v>75</v>
      </c>
      <c r="F13358" s="30" t="n">
        <f aca="false">px*(1+bb_g)^(Sens!F13216-base_fy-mid_yr)</f>
        <v>551.84177959629</v>
      </c>
      <c r="G13358" s="30" t="n">
        <f aca="false">px*(1+bb_g)^(Sens!G13216-base_fy-mid_yr)</f>
        <v>595.989121963993</v>
      </c>
      <c r="H13358" s="30" t="n">
        <f aca="false">px*(1+bb_g)^(Sens!H13216-base_fy-mid_yr)</f>
        <v>643.668251721112</v>
      </c>
      <c r="I13358" s="30" t="n">
        <f aca="false">px*(1+bb_g)^(Sens!I13216-base_fy-mid_yr)</f>
        <v>695.161711858801</v>
      </c>
      <c r="J13358" s="30" t="n">
        <f aca="false">px*(1+bb_g)^(Sens!J13216-base_fy-mid_yr)</f>
        <v>750.774648807506</v>
      </c>
      <c r="K13358" s="30" t="n">
        <f aca="false">px*(1+bb_g)^(Sens!K13216-base_fy-mid_yr)</f>
        <v>810.836620712106</v>
      </c>
    </row>
    <row r="13359" customFormat="false" ht="15" hidden="false" customHeight="false" outlineLevel="0" collapsed="false">
      <c r="A13359" s="1" t="s">
        <v>1129</v>
      </c>
      <c r="B13359" s="1" t="s">
        <v>81</v>
      </c>
      <c r="E13359" s="15" t="n">
        <f aca="false">sh_out26</f>
        <v>7.427</v>
      </c>
      <c r="F13359" s="15" t="n">
        <f aca="false">Sens!E13359+sh_iss-Sens!F13353/Sens!F13358</f>
        <v>7.45857932745985</v>
      </c>
      <c r="G13359" s="15" t="n">
        <f aca="false">Sens!F13359+sh_iss-Sens!G13353/Sens!G13358</f>
        <v>7.4873769408695</v>
      </c>
      <c r="H13359" s="15" t="n">
        <f aca="false">Sens!G13359+sh_iss-Sens!H13353/Sens!H13358</f>
        <v>7.4977768189271</v>
      </c>
      <c r="I13359" s="15" t="n">
        <f aca="false">Sens!H13359+sh_iss-Sens!I13353/Sens!I13358</f>
        <v>7.51073966898044</v>
      </c>
      <c r="J13359" s="15" t="n">
        <f aca="false">Sens!I13359+sh_iss-Sens!J13353/Sens!J13358</f>
        <v>7.52607564125204</v>
      </c>
      <c r="K13359" s="15" t="n">
        <f aca="false">Sens!J13359+sh_iss-Sens!K13353/Sens!K13358</f>
        <v>7.54360894891094</v>
      </c>
    </row>
    <row r="13360" customFormat="false" ht="15" hidden="false" customHeight="false" outlineLevel="0" collapsed="false">
      <c r="A13360" s="1" t="s">
        <v>1130</v>
      </c>
      <c r="B13360" s="1" t="s">
        <v>81</v>
      </c>
      <c r="E13360" s="15" t="n">
        <f aca="false">sh_dil26</f>
        <v>7.453</v>
      </c>
      <c r="F13360" s="15" t="n">
        <f aca="false">(Sens!E13359+Sens!F13359)/2+dil_gap</f>
        <v>7.46678966372993</v>
      </c>
      <c r="G13360" s="15" t="n">
        <f aca="false">(Sens!F13359+Sens!G13359)/2+dil_gap</f>
        <v>7.49697813416467</v>
      </c>
      <c r="H13360" s="15" t="n">
        <f aca="false">(Sens!G13359+Sens!H13359)/2+dil_gap</f>
        <v>7.5165768798983</v>
      </c>
      <c r="I13360" s="15" t="n">
        <f aca="false">(Sens!H13359+Sens!I13359)/2+dil_gap</f>
        <v>7.52825824395377</v>
      </c>
      <c r="J13360" s="15" t="n">
        <f aca="false">(Sens!I13359+Sens!J13359)/2+dil_gap</f>
        <v>7.54240765511624</v>
      </c>
      <c r="K13360" s="15" t="n">
        <f aca="false">(Sens!J13359+Sens!K13359)/2+dil_gap</f>
        <v>7.55884229508149</v>
      </c>
    </row>
    <row r="13361" customFormat="false" ht="17.15" hidden="false" customHeight="false" outlineLevel="0" collapsed="false">
      <c r="A13361" s="1" t="s">
        <v>1131</v>
      </c>
      <c r="B13361" s="0" t="s">
        <v>98</v>
      </c>
      <c r="C13361" s="6" t="n">
        <f aca="false">SUM(Sens!F13351:J13351)</f>
        <v>396.715361210737</v>
      </c>
    </row>
    <row r="13362" customFormat="false" ht="15" hidden="false" customHeight="false" outlineLevel="0" collapsed="false">
      <c r="A13362" s="26" t="s">
        <v>1096</v>
      </c>
      <c r="B13362" s="31" t="s">
        <v>98</v>
      </c>
      <c r="C13362" s="27" t="n">
        <f aca="false">Sens!$C$13361-(Sens!F13351+Sens!G13351+Sens!H13351+Sens!I13351+Sens!J13351)</f>
        <v>0</v>
      </c>
      <c r="D13362" s="31"/>
      <c r="E13362" s="31"/>
      <c r="F13362" s="31"/>
      <c r="G13362" s="31"/>
      <c r="H13362" s="31"/>
      <c r="I13362" s="31"/>
      <c r="J13362" s="31"/>
      <c r="K13362" s="31"/>
    </row>
    <row r="13363" customFormat="false" ht="17.15" hidden="false" customHeight="false" outlineLevel="0" collapsed="false">
      <c r="A13363" s="1" t="s">
        <v>1090</v>
      </c>
      <c r="B13363" s="1" t="s">
        <v>1132</v>
      </c>
      <c r="C13363" s="33" t="str">
        <f aca="false">IF(SUM(Sens!F13354:J13354)&gt;0.05,"需要舉債 "&amp;TEXT(SUM(Sens!F13354:J13354),"0.0")&amp;" 十億美元","不需舉債")&amp;"；"&amp;IF(SUM(Sens!F13353:J13353)&lt;COUNT(Sens!F13353:J13353)*bb_target-0.05,"回購較每年 "&amp;TEXT(bb_target,"0.0")&amp;" 的目標少 "&amp;TEXT(COUNT(Sens!F13353:J13353)*bb_target-SUM(Sens!F13353:J13353),"0.0")&amp;" 十億美元（"&amp;TEXT(COUNTIF(Sens!F13353:J13353,"&lt;"&amp;(bb_target-0.05)),"0")&amp;" 年減少）","回購不減")</f>
        <v>不需舉債；回購較每年 22.3 的目標少 27.5 十億美元（2 年減少）</v>
      </c>
    </row>
    <row r="13364" customFormat="false" ht="17.15" hidden="false" customHeight="false" outlineLevel="0" collapsed="false">
      <c r="A13364" s="3" t="s">
        <v>1814</v>
      </c>
    </row>
    <row r="13365" customFormat="false" ht="15" hidden="false" customHeight="false" outlineLevel="0" collapsed="false">
      <c r="A13365" s="4" t="s">
        <v>43</v>
      </c>
      <c r="B13365" s="4" t="s">
        <v>65</v>
      </c>
      <c r="C13365" s="23" t="s">
        <v>938</v>
      </c>
      <c r="D13365" s="23" t="s">
        <v>939</v>
      </c>
      <c r="E13365" s="23" t="s">
        <v>940</v>
      </c>
      <c r="F13365" s="23" t="s">
        <v>941</v>
      </c>
      <c r="G13365" s="23" t="s">
        <v>942</v>
      </c>
      <c r="H13365" s="23" t="s">
        <v>943</v>
      </c>
      <c r="I13365" s="23" t="s">
        <v>944</v>
      </c>
      <c r="J13365" s="23" t="s">
        <v>945</v>
      </c>
      <c r="K13365" s="23" t="s">
        <v>946</v>
      </c>
      <c r="L13365" s="4" t="s">
        <v>47</v>
      </c>
    </row>
    <row r="13366" customFormat="false" ht="17.15" hidden="false" customHeight="false" outlineLevel="0" collapsed="false">
      <c r="A13366" s="1" t="s">
        <v>1212</v>
      </c>
      <c r="B13366" s="1" t="s">
        <v>279</v>
      </c>
      <c r="F13366" s="8" t="n">
        <f aca="false">(1-v_off)*mid_yr</f>
        <v>0.373972602739726</v>
      </c>
      <c r="G13366" s="8" t="n">
        <f aca="false">Sens!G13216-base_fy-mid_yr-v_off</f>
        <v>1.24794520547945</v>
      </c>
      <c r="H13366" s="8" t="n">
        <f aca="false">Sens!H13216-base_fy-mid_yr-v_off</f>
        <v>2.24794520547945</v>
      </c>
      <c r="I13366" s="8" t="n">
        <f aca="false">Sens!I13216-base_fy-mid_yr-v_off</f>
        <v>3.24794520547945</v>
      </c>
      <c r="J13366" s="8" t="n">
        <f aca="false">Sens!J13216-base_fy-mid_yr-v_off</f>
        <v>4.24794520547945</v>
      </c>
      <c r="K13366" s="8" t="n">
        <f aca="false">Sens!K13216-base_fy-mid_yr-v_off</f>
        <v>5.24794520547945</v>
      </c>
      <c r="L13366" s="12" t="s">
        <v>1213</v>
      </c>
    </row>
    <row r="13367" customFormat="false" ht="15" hidden="false" customHeight="false" outlineLevel="0" collapsed="false">
      <c r="A13367" s="1" t="s">
        <v>1214</v>
      </c>
      <c r="B13367" s="1" t="s">
        <v>279</v>
      </c>
      <c r="F13367" s="8" t="n">
        <f aca="false">Sens!F13216-base_fy-v_off</f>
        <v>0.747945205479452</v>
      </c>
      <c r="G13367" s="8" t="n">
        <f aca="false">Sens!G13216-base_fy-v_off</f>
        <v>1.74794520547945</v>
      </c>
      <c r="H13367" s="8" t="n">
        <f aca="false">Sens!H13216-base_fy-v_off</f>
        <v>2.74794520547945</v>
      </c>
      <c r="I13367" s="8" t="n">
        <f aca="false">Sens!I13216-base_fy-v_off</f>
        <v>3.74794520547945</v>
      </c>
      <c r="J13367" s="8" t="n">
        <f aca="false">Sens!J13216-base_fy-v_off</f>
        <v>4.74794520547945</v>
      </c>
      <c r="K13367" s="8" t="n">
        <f aca="false">Sens!K13216-base_fy-v_off</f>
        <v>5.74794520547945</v>
      </c>
    </row>
    <row r="13368" customFormat="false" ht="15" hidden="false" customHeight="false" outlineLevel="0" collapsed="false">
      <c r="A13368" s="1" t="s">
        <v>1215</v>
      </c>
      <c r="B13368" s="0" t="s">
        <v>229</v>
      </c>
      <c r="F13368" s="15" t="n">
        <f aca="false">1/(1+wacc)^Sens!F13366</f>
        <v>0.964022703286649</v>
      </c>
      <c r="G13368" s="15" t="n">
        <f aca="false">1/(1+wacc)^Sens!G13366</f>
        <v>0.884910302296739</v>
      </c>
      <c r="H13368" s="15" t="n">
        <f aca="false">1/(1+wacc)^Sens!H13366</f>
        <v>0.802322009770358</v>
      </c>
      <c r="I13368" s="15" t="n">
        <f aca="false">1/(1+wacc)^Sens!I13366</f>
        <v>0.727441646561469</v>
      </c>
      <c r="J13368" s="15" t="n">
        <f aca="false">1/(1+wacc)^Sens!J13366</f>
        <v>0.659549834988973</v>
      </c>
      <c r="K13368" s="15" t="n">
        <f aca="false">1/(1+wacc)^Sens!K13366</f>
        <v>0.597994336576966</v>
      </c>
    </row>
    <row r="13369" customFormat="false" ht="17.15" hidden="false" customHeight="false" outlineLevel="0" collapsed="false">
      <c r="A13369" s="1" t="s">
        <v>1216</v>
      </c>
      <c r="B13369" s="0" t="s">
        <v>98</v>
      </c>
      <c r="F13369" s="6" t="n">
        <f aca="false">Q!$I$35-Q!$I$39-Q!$I$43</f>
        <v>9.666</v>
      </c>
      <c r="L13369" s="12" t="s">
        <v>1217</v>
      </c>
    </row>
    <row r="13370" customFormat="false" ht="17.15" hidden="false" customHeight="false" outlineLevel="0" collapsed="false">
      <c r="A13370" s="1" t="s">
        <v>1218</v>
      </c>
      <c r="B13370" s="0" t="s">
        <v>98</v>
      </c>
      <c r="F13370" s="6" t="n">
        <f aca="false">Sens!F13341-Sens!F13338-Sens!F13345+Sens!F13323*(1-tax_f)*(1-v_off)-Sens!F13369</f>
        <v>3.01395093535513</v>
      </c>
      <c r="G13370" s="6" t="n">
        <f aca="false">Sens!G13341-Sens!G13338-Sens!G13345+Sens!G13323*(1-tax_f)</f>
        <v>44.656757901601</v>
      </c>
      <c r="H13370" s="6" t="n">
        <f aca="false">Sens!H13341-Sens!H13338-Sens!H13345+Sens!H13323*(1-tax_f)</f>
        <v>105.208396538767</v>
      </c>
      <c r="I13370" s="6" t="n">
        <f aca="false">Sens!I13341-Sens!I13338-Sens!I13345+Sens!I13323*(1-tax_f)</f>
        <v>188.712046807254</v>
      </c>
      <c r="J13370" s="6" t="n">
        <f aca="false">Sens!J13341-Sens!J13338-Sens!J13345+Sens!J13323*(1-tax_f)</f>
        <v>270.978541984996</v>
      </c>
      <c r="K13370" s="6" t="n">
        <f aca="false">Sens!K13341-Sens!K13338-Sens!K13345+Sens!K13323*(1-tax_f)</f>
        <v>311.776732639612</v>
      </c>
      <c r="L13370" s="1" t="s">
        <v>1219</v>
      </c>
    </row>
    <row r="13371" customFormat="false" ht="15" hidden="false" customHeight="false" outlineLevel="0" collapsed="false">
      <c r="A13371" s="1" t="s">
        <v>1220</v>
      </c>
      <c r="B13371" s="0" t="s">
        <v>98</v>
      </c>
      <c r="F13371" s="6" t="n">
        <f aca="false">Sens!F13370*Sens!F13368</f>
        <v>2.90551712827438</v>
      </c>
      <c r="G13371" s="6" t="n">
        <f aca="false">Sens!G13370*Sens!G13368</f>
        <v>39.517225134298</v>
      </c>
      <c r="H13371" s="6" t="n">
        <f aca="false">Sens!H13370*Sens!H13368</f>
        <v>84.4110121557005</v>
      </c>
      <c r="I13371" s="6" t="n">
        <f aca="false">Sens!I13370*Sens!I13368</f>
        <v>137.277002055454</v>
      </c>
      <c r="J13371" s="6" t="n">
        <f aca="false">Sens!J13370*Sens!J13368</f>
        <v>178.723852651757</v>
      </c>
      <c r="K13371" s="6" t="n">
        <f aca="false">Sens!K13370*Sens!K13368</f>
        <v>186.440720394958</v>
      </c>
    </row>
    <row r="13372" customFormat="false" ht="17.15" hidden="false" customHeight="false" outlineLevel="0" collapsed="false">
      <c r="A13372" s="1" t="s">
        <v>1221</v>
      </c>
      <c r="B13372" s="0" t="s">
        <v>98</v>
      </c>
      <c r="C13372" s="6" t="n">
        <f aca="false">SUM(Sens!F13371:K13371)</f>
        <v>629.275329520441</v>
      </c>
    </row>
    <row r="13373" customFormat="false" ht="17.15" hidden="false" customHeight="false" outlineLevel="0" collapsed="false">
      <c r="A13373" s="1" t="s">
        <v>1222</v>
      </c>
      <c r="B13373" s="0" t="s">
        <v>98</v>
      </c>
      <c r="C13373" s="6" t="n">
        <f aca="false">Sens!K13309*(1+g_tv)*(1-tax_f)</f>
        <v>324.862512977419</v>
      </c>
    </row>
    <row r="13374" customFormat="false" ht="17.15" hidden="false" customHeight="false" outlineLevel="0" collapsed="false">
      <c r="A13374" s="1" t="s">
        <v>1223</v>
      </c>
      <c r="B13374" s="0" t="s">
        <v>98</v>
      </c>
      <c r="C13374" s="6" t="n">
        <f aca="false">Sens!$C$13373*(1-g_tv/(wacc+ronic_prem))</f>
        <v>230.184077449344</v>
      </c>
    </row>
    <row r="13375" customFormat="false" ht="17.15" hidden="false" customHeight="false" outlineLevel="0" collapsed="false">
      <c r="A13375" s="1" t="s">
        <v>1224</v>
      </c>
      <c r="B13375" s="0" t="s">
        <v>98</v>
      </c>
      <c r="C13375" s="6" t="n">
        <f aca="false">Sens!$C$13374/(wacc-g_tv)</f>
        <v>3155.94785093584</v>
      </c>
    </row>
    <row r="13376" customFormat="false" ht="15" hidden="false" customHeight="false" outlineLevel="0" collapsed="false">
      <c r="A13376" s="1" t="s">
        <v>1225</v>
      </c>
      <c r="B13376" s="0" t="s">
        <v>98</v>
      </c>
      <c r="C13376" s="6" t="n">
        <f aca="false">Sens!$C$13375/(1+wacc)^Sens!K13367</f>
        <v>1797.01464592095</v>
      </c>
    </row>
    <row r="13377" customFormat="false" ht="17.15" hidden="false" customHeight="false" outlineLevel="0" collapsed="false">
      <c r="A13377" s="0" t="s">
        <v>1226</v>
      </c>
      <c r="B13377" s="0" t="s">
        <v>98</v>
      </c>
      <c r="C13377" s="6" t="n">
        <f aca="false">Sens!$C$13372+Sens!$C$13376</f>
        <v>2426.28997544139</v>
      </c>
    </row>
    <row r="13378" customFormat="false" ht="15" hidden="false" customHeight="false" outlineLevel="0" collapsed="false">
      <c r="A13378" s="1" t="s">
        <v>1141</v>
      </c>
      <c r="B13378" s="0" t="s">
        <v>168</v>
      </c>
      <c r="C13378" s="7" t="n">
        <f aca="false">Sens!$C$13376/Sens!$C$13377</f>
        <v>0.740642983365596</v>
      </c>
    </row>
    <row r="13379" customFormat="false" ht="17.15" hidden="false" customHeight="false" outlineLevel="0" collapsed="false">
      <c r="A13379" s="1" t="s">
        <v>1227</v>
      </c>
      <c r="B13379" s="0" t="s">
        <v>98</v>
      </c>
      <c r="C13379" s="6" t="n">
        <f aca="false">Sens!$C$13377+cash_val-debt_val-fl_val+oai_v</f>
        <v>2542.14097544139</v>
      </c>
    </row>
    <row r="13380" customFormat="false" ht="17.15" hidden="false" customHeight="false" outlineLevel="0" collapsed="false">
      <c r="A13380" s="0" t="s">
        <v>1149</v>
      </c>
      <c r="B13380" s="0" t="s">
        <v>75</v>
      </c>
      <c r="C13380" s="5" t="n">
        <f aca="false">Sens!$C$13379/shd_val</f>
        <v>341.410284104404</v>
      </c>
    </row>
    <row r="13381" customFormat="false" ht="15" hidden="false" customHeight="false" outlineLevel="0" collapsed="false">
      <c r="A13381" s="1" t="s">
        <v>1228</v>
      </c>
      <c r="B13381" s="0" t="s">
        <v>75</v>
      </c>
      <c r="C13381" s="8" t="n">
        <f aca="false">div_rem27+Sens!G13349*roll_div_q/q_per_yr</f>
        <v>3.9795</v>
      </c>
    </row>
    <row r="13382" customFormat="false" ht="17.15" hidden="false" customHeight="false" outlineLevel="0" collapsed="false">
      <c r="A13382" s="0" t="s">
        <v>1229</v>
      </c>
      <c r="B13382" s="0" t="s">
        <v>75</v>
      </c>
      <c r="C13382" s="5" t="n">
        <f aca="false">Sens!$C$13380*(1+wacc)^t_roll-Sens!$C$13381</f>
        <v>375.517085143948</v>
      </c>
    </row>
    <row r="13383" customFormat="false" ht="17.15" hidden="false" customHeight="false" outlineLevel="0" collapsed="false">
      <c r="A13383" s="1" t="s">
        <v>1230</v>
      </c>
      <c r="B13383" s="0" t="s">
        <v>168</v>
      </c>
      <c r="F13383" s="7" t="n">
        <f aca="false">Sens!F13335/(Sens!F13280-Sens!F13235)</f>
        <v>0.0685527305696859</v>
      </c>
      <c r="G13383" s="7" t="n">
        <f aca="false">Sens!G13335/(Sens!G13280-Sens!G13235)</f>
        <v>0.0653567731599844</v>
      </c>
      <c r="H13383" s="7" t="n">
        <f aca="false">Sens!H13335/(Sens!H13280-Sens!H13235)</f>
        <v>0.0636628841026972</v>
      </c>
      <c r="I13383" s="7" t="n">
        <f aca="false">Sens!I13335/(Sens!I13280-Sens!I13235)</f>
        <v>0.0633581084335176</v>
      </c>
      <c r="J13383" s="7" t="n">
        <f aca="false">Sens!J13335/(Sens!J13280-Sens!J13235)</f>
        <v>0.0640873955995062</v>
      </c>
      <c r="K13383" s="7" t="n">
        <f aca="false">Sens!K13335/(Sens!K13280-Sens!K13235)</f>
        <v>0.0653962234835198</v>
      </c>
    </row>
    <row r="13384" customFormat="false" ht="17.15" hidden="false" customHeight="false" outlineLevel="0" collapsed="false">
      <c r="A13384" s="0" t="s">
        <v>1231</v>
      </c>
      <c r="B13384" s="0" t="s">
        <v>98</v>
      </c>
      <c r="F13384" s="6" t="n">
        <f aca="false">Sens!F13265*(al_m365+Sens!F13383+sbc_r)</f>
        <v>84.5213906545575</v>
      </c>
      <c r="G13384" s="6" t="n">
        <f aca="false">Sens!G13265*(al_m365+Sens!G13383+sbc_r)</f>
        <v>98.949983331796</v>
      </c>
      <c r="H13384" s="6" t="n">
        <f aca="false">Sens!H13265*(al_m365+Sens!H13383+sbc_r)</f>
        <v>113.543734275326</v>
      </c>
      <c r="I13384" s="6" t="n">
        <f aca="false">Sens!I13265*(al_m365+Sens!I13383+sbc_r)</f>
        <v>126.62058838692</v>
      </c>
      <c r="J13384" s="6" t="n">
        <f aca="false">Sens!J13265*(al_m365+Sens!J13383+sbc_r)</f>
        <v>137.994660156303</v>
      </c>
      <c r="K13384" s="6" t="n">
        <f aca="false">Sens!K13265*(al_m365+Sens!K13383+sbc_r)</f>
        <v>148.989224092997</v>
      </c>
      <c r="L13384" s="12" t="s">
        <v>1232</v>
      </c>
    </row>
    <row r="13385" customFormat="false" ht="17.15" hidden="false" customHeight="false" outlineLevel="0" collapsed="false">
      <c r="A13385" s="0" t="s">
        <v>1233</v>
      </c>
      <c r="B13385" s="0" t="s">
        <v>98</v>
      </c>
      <c r="F13385" s="6" t="n">
        <f aca="false">Sens!F13266*(al_lic+Sens!F13383+sbc_r)</f>
        <v>32.855200196554</v>
      </c>
      <c r="G13385" s="6" t="n">
        <f aca="false">Sens!G13266*(al_lic+Sens!G13383+sbc_r)</f>
        <v>34.1185582613282</v>
      </c>
      <c r="H13385" s="6" t="n">
        <f aca="false">Sens!H13266*(al_lic+Sens!H13383+sbc_r)</f>
        <v>35.3024309363621</v>
      </c>
      <c r="I13385" s="6" t="n">
        <f aca="false">Sens!I13266*(al_lic+Sens!I13383+sbc_r)</f>
        <v>36.3898468129533</v>
      </c>
      <c r="J13385" s="6" t="n">
        <f aca="false">Sens!J13266*(al_lic+Sens!J13383+sbc_r)</f>
        <v>37.3529129529876</v>
      </c>
      <c r="K13385" s="6" t="n">
        <f aca="false">Sens!K13266*(al_lic+Sens!K13383+sbc_r)</f>
        <v>38.158536171203</v>
      </c>
    </row>
    <row r="13386" customFormat="false" ht="17.15" hidden="false" customHeight="false" outlineLevel="0" collapsed="false">
      <c r="A13386" s="0" t="s">
        <v>1234</v>
      </c>
      <c r="B13386" s="0" t="s">
        <v>98</v>
      </c>
      <c r="F13386" s="6" t="n">
        <f aca="false">Sens!F13268*(al_ind+Sens!F13383+sbc_r)</f>
        <v>9.05892547956683</v>
      </c>
      <c r="G13386" s="6" t="n">
        <f aca="false">Sens!G13268*(al_ind+Sens!G13383+sbc_r)</f>
        <v>9.82456487622418</v>
      </c>
      <c r="H13386" s="6" t="n">
        <f aca="false">Sens!H13268*(al_ind+Sens!H13383+sbc_r)</f>
        <v>10.6377408477959</v>
      </c>
      <c r="I13386" s="6" t="n">
        <f aca="false">Sens!I13268*(al_ind+Sens!I13383+sbc_r)</f>
        <v>11.4966323260293</v>
      </c>
      <c r="J13386" s="6" t="n">
        <f aca="false">Sens!J13268*(al_ind+Sens!J13383+sbc_r)</f>
        <v>12.3903660286279</v>
      </c>
      <c r="K13386" s="6" t="n">
        <f aca="false">Sens!K13268*(al_ind+Sens!K13383+sbc_r)</f>
        <v>13.3009129057681</v>
      </c>
    </row>
    <row r="13387" customFormat="false" ht="17.15" hidden="false" customHeight="false" outlineLevel="0" collapsed="false">
      <c r="A13387" s="0" t="s">
        <v>1235</v>
      </c>
      <c r="B13387" s="0" t="s">
        <v>98</v>
      </c>
      <c r="F13387" s="6" t="n">
        <f aca="false">Sens!F13270*(al_fro+Sens!F13383+sbc_r)</f>
        <v>3.55344443532423</v>
      </c>
      <c r="G13387" s="6" t="n">
        <f aca="false">Sens!G13270*(al_fro+Sens!G13383+sbc_r)</f>
        <v>3.75916645971565</v>
      </c>
      <c r="H13387" s="6" t="n">
        <f aca="false">Sens!H13270*(al_fro+Sens!H13383+sbc_r)</f>
        <v>3.994970960527</v>
      </c>
      <c r="I13387" s="6" t="n">
        <f aca="false">Sens!I13270*(al_fro+Sens!I13383+sbc_r)</f>
        <v>4.26396270432353</v>
      </c>
      <c r="J13387" s="6" t="n">
        <f aca="false">Sens!J13270*(al_fro+Sens!J13383+sbc_r)</f>
        <v>4.5667795874336</v>
      </c>
      <c r="K13387" s="6" t="n">
        <f aca="false">Sens!K13270*(al_fro+Sens!K13383+sbc_r)</f>
        <v>4.90238443416026</v>
      </c>
    </row>
    <row r="13388" customFormat="false" ht="17.15" hidden="false" customHeight="false" outlineLevel="0" collapsed="false">
      <c r="A13388" s="0" t="s">
        <v>1236</v>
      </c>
      <c r="B13388" s="0" t="s">
        <v>98</v>
      </c>
      <c r="F13388" s="6" t="n">
        <f aca="false">Sens!F13273*(al_srch+Sens!F13383+sbc_r)</f>
        <v>11.1872483445711</v>
      </c>
      <c r="G13388" s="6" t="n">
        <f aca="false">Sens!G13273*(al_srch+Sens!G13383+sbc_r)</f>
        <v>12.247246048296</v>
      </c>
      <c r="H13388" s="6" t="n">
        <f aca="false">Sens!H13273*(al_srch+Sens!H13383+sbc_r)</f>
        <v>13.3552870946193</v>
      </c>
      <c r="I13388" s="6" t="n">
        <f aca="false">Sens!I13273*(al_srch+Sens!I13383+sbc_r)</f>
        <v>14.5024145321619</v>
      </c>
      <c r="J13388" s="6" t="n">
        <f aca="false">Sens!J13273*(al_srch+Sens!J13383+sbc_r)</f>
        <v>15.667276660652</v>
      </c>
      <c r="K13388" s="6" t="n">
        <f aca="false">Sens!K13273*(al_srch+Sens!K13383+sbc_r)</f>
        <v>16.8186381138719</v>
      </c>
    </row>
    <row r="13389" customFormat="false" ht="17.15" hidden="false" customHeight="false" outlineLevel="0" collapsed="false">
      <c r="A13389" s="0" t="s">
        <v>1237</v>
      </c>
      <c r="B13389" s="0" t="s">
        <v>98</v>
      </c>
      <c r="F13389" s="6" t="n">
        <f aca="false">Sens!F13241-Sens!F13242+Sens!F13323</f>
        <v>45.2132580567763</v>
      </c>
      <c r="G13389" s="6" t="n">
        <f aca="false">Sens!G13241-Sens!G13242+Sens!G13323</f>
        <v>90.7413367558165</v>
      </c>
      <c r="H13389" s="6" t="n">
        <f aca="false">Sens!H13241-Sens!H13242+Sens!H13323</f>
        <v>144.092532464853</v>
      </c>
      <c r="I13389" s="6" t="n">
        <f aca="false">Sens!I13241-Sens!I13242+Sens!I13323</f>
        <v>186.477304561304</v>
      </c>
      <c r="J13389" s="6" t="n">
        <f aca="false">Sens!J13241-Sens!J13242+Sens!J13323</f>
        <v>216.256854425907</v>
      </c>
      <c r="K13389" s="6" t="n">
        <f aca="false">Sens!K13241-Sens!K13242+Sens!K13323</f>
        <v>234.093637903877</v>
      </c>
    </row>
    <row r="13390" customFormat="false" ht="17.15" hidden="false" customHeight="false" outlineLevel="0" collapsed="false">
      <c r="A13390" s="0" t="s">
        <v>1238</v>
      </c>
      <c r="B13390" s="0" t="s">
        <v>98</v>
      </c>
      <c r="F13390" s="6" t="n">
        <f aca="false">Sens!F13302+Sens!F13323+Sens!F13253+Sens!F13383*(Sens!F13272-Sens!F13235)+sbc_r*Sens!F13272</f>
        <v>244.978650376526</v>
      </c>
      <c r="G13390" s="6" t="n">
        <f aca="false">Sens!G13302+Sens!G13323+Sens!G13253+Sens!G13383*(Sens!G13272-Sens!G13235)+sbc_r*Sens!G13272</f>
        <v>318.013915335899</v>
      </c>
      <c r="H13390" s="6" t="n">
        <f aca="false">Sens!H13302+Sens!H13323+Sens!H13253+Sens!H13383*(Sens!H13272-Sens!H13235)+sbc_r*Sens!H13272</f>
        <v>402.25652756343</v>
      </c>
      <c r="I13390" s="6" t="n">
        <f aca="false">Sens!I13302+Sens!I13323+Sens!I13253+Sens!I13383*(Sens!I13272-Sens!I13235)+sbc_r*Sens!I13272</f>
        <v>473.378171000709</v>
      </c>
      <c r="J13390" s="6" t="n">
        <f aca="false">Sens!J13302+Sens!J13323+Sens!J13253+Sens!J13383*(Sens!J13272-Sens!J13235)+sbc_r*Sens!J13272</f>
        <v>528.827807638567</v>
      </c>
      <c r="K13390" s="6" t="n">
        <f aca="false">Sens!K13302+Sens!K13323+Sens!K13253+Sens!K13383*(Sens!K13272-Sens!K13235)+sbc_r*Sens!K13272</f>
        <v>569.831008763046</v>
      </c>
    </row>
    <row r="13391" customFormat="false" ht="17.15" hidden="false" customHeight="false" outlineLevel="0" collapsed="false">
      <c r="A13391" s="0" t="s">
        <v>1239</v>
      </c>
      <c r="B13391" s="0" t="s">
        <v>98</v>
      </c>
      <c r="F13391" s="6" t="n">
        <f aca="false">Sens!F13390-Sens!F13384-Sens!F13385-Sens!F13386-Sens!F13387-Sens!F13389</f>
        <v>69.7764315537474</v>
      </c>
      <c r="G13391" s="6" t="n">
        <f aca="false">Sens!G13390-Sens!G13384-Sens!G13385-Sens!G13386-Sens!G13387-Sens!G13389</f>
        <v>80.6203056510182</v>
      </c>
      <c r="H13391" s="6" t="n">
        <f aca="false">Sens!H13390-Sens!H13384-Sens!H13385-Sens!H13386-Sens!H13387-Sens!H13389</f>
        <v>94.6851180785663</v>
      </c>
      <c r="I13391" s="6" t="n">
        <f aca="false">Sens!I13390-Sens!I13384-Sens!I13385-Sens!I13386-Sens!I13387-Sens!I13389</f>
        <v>108.129836209178</v>
      </c>
      <c r="J13391" s="6" t="n">
        <f aca="false">Sens!J13390-Sens!J13384-Sens!J13385-Sens!J13386-Sens!J13387-Sens!J13389</f>
        <v>120.266234487308</v>
      </c>
      <c r="K13391" s="6" t="n">
        <f aca="false">Sens!K13390-Sens!K13384-Sens!K13385-Sens!K13386-Sens!K13387-Sens!K13389</f>
        <v>130.38631325504</v>
      </c>
    </row>
    <row r="13392" customFormat="false" ht="17.15" hidden="false" customHeight="false" outlineLevel="0" collapsed="false">
      <c r="A13392" s="0" t="s">
        <v>1240</v>
      </c>
      <c r="B13392" s="0" t="s">
        <v>98</v>
      </c>
      <c r="F13392" s="6" t="n">
        <f aca="false">Sens!F13304+Sens!F13383*Sens!F13279+sbc_r*Sens!F13279</f>
        <v>27.6057091419522</v>
      </c>
      <c r="G13392" s="6" t="n">
        <f aca="false">Sens!G13304+Sens!G13383*Sens!G13279+sbc_r*Sens!G13279</f>
        <v>27.7660134798889</v>
      </c>
      <c r="H13392" s="6" t="n">
        <f aca="false">Sens!H13304+Sens!H13383*Sens!H13279+sbc_r*Sens!H13279</f>
        <v>28.6711395320956</v>
      </c>
      <c r="I13392" s="6" t="n">
        <f aca="false">Sens!I13304+Sens!I13383*Sens!I13279+sbc_r*Sens!I13279</f>
        <v>29.8304393679589</v>
      </c>
      <c r="J13392" s="6" t="n">
        <f aca="false">Sens!J13304+Sens!J13383*Sens!J13279+sbc_r*Sens!J13279</f>
        <v>31.2034787976098</v>
      </c>
      <c r="K13392" s="6" t="n">
        <f aca="false">Sens!K13304+Sens!K13383*Sens!K13279+sbc_r*Sens!K13279</f>
        <v>32.744825820129</v>
      </c>
    </row>
    <row r="13393" customFormat="false" ht="17.15" hidden="false" customHeight="false" outlineLevel="0" collapsed="false">
      <c r="A13393" s="0" t="s">
        <v>1241</v>
      </c>
      <c r="B13393" s="0" t="s">
        <v>98</v>
      </c>
      <c r="F13393" s="6" t="n">
        <f aca="false">(Sens!F13392-Sens!F13388)*Sens!F13275/(Sens!F13275+Sens!F13277)</f>
        <v>9.27290889451518</v>
      </c>
      <c r="G13393" s="6" t="n">
        <f aca="false">(Sens!G13392-Sens!G13388)*Sens!G13275/(Sens!G13275+Sens!G13277)</f>
        <v>8.6141411643348</v>
      </c>
      <c r="H13393" s="6" t="n">
        <f aca="false">(Sens!H13392-Sens!H13388)*Sens!H13275/(Sens!H13275+Sens!H13277)</f>
        <v>8.39075785314629</v>
      </c>
      <c r="I13393" s="6" t="n">
        <f aca="false">(Sens!I13392-Sens!I13388)*Sens!I13275/(Sens!I13275+Sens!I13277)</f>
        <v>8.32412992576556</v>
      </c>
      <c r="J13393" s="6" t="n">
        <f aca="false">(Sens!J13392-Sens!J13388)*Sens!J13275/(Sens!J13275+Sens!J13277)</f>
        <v>8.4003729164034</v>
      </c>
      <c r="K13393" s="6" t="n">
        <f aca="false">(Sens!K13392-Sens!K13388)*Sens!K13275/(Sens!K13275+Sens!K13277)</f>
        <v>8.61123681900014</v>
      </c>
    </row>
    <row r="13394" customFormat="false" ht="17.15" hidden="false" customHeight="false" outlineLevel="0" collapsed="false">
      <c r="A13394" s="0" t="s">
        <v>1242</v>
      </c>
      <c r="B13394" s="0" t="s">
        <v>98</v>
      </c>
      <c r="F13394" s="6" t="n">
        <f aca="false">Sens!F13392-Sens!F13388-Sens!F13393</f>
        <v>7.14555190286591</v>
      </c>
      <c r="G13394" s="6" t="n">
        <f aca="false">Sens!G13392-Sens!G13388-Sens!G13393</f>
        <v>6.9046262672581</v>
      </c>
      <c r="H13394" s="6" t="n">
        <f aca="false">Sens!H13392-Sens!H13388-Sens!H13393</f>
        <v>6.92509458432997</v>
      </c>
      <c r="I13394" s="6" t="n">
        <f aca="false">Sens!I13392-Sens!I13388-Sens!I13393</f>
        <v>7.00389491003137</v>
      </c>
      <c r="J13394" s="6" t="n">
        <f aca="false">Sens!J13392-Sens!J13388-Sens!J13393</f>
        <v>7.13582922055435</v>
      </c>
      <c r="K13394" s="6" t="n">
        <f aca="false">Sens!K13392-Sens!K13388-Sens!K13393</f>
        <v>7.314950887257</v>
      </c>
    </row>
    <row r="13395" customFormat="false" ht="17.15" hidden="false" customHeight="false" outlineLevel="0" collapsed="false">
      <c r="A13395" s="0" t="s">
        <v>1243</v>
      </c>
      <c r="B13395" s="0" t="s">
        <v>98</v>
      </c>
      <c r="F13395" s="6" t="n">
        <f aca="false">Sens!F13389-tax_f*(Sens!F13389-Sens!F13253)-Sens!F13250</f>
        <v>-125.367434701028</v>
      </c>
      <c r="G13395" s="6" t="n">
        <f aca="false">Sens!G13389-tax_f*(Sens!G13389-Sens!G13253)-Sens!G13250</f>
        <v>-107.204508113935</v>
      </c>
      <c r="H13395" s="6" t="n">
        <f aca="false">Sens!H13389-tax_f*(Sens!H13389-Sens!H13253)-Sens!H13250</f>
        <v>-63.7119599603405</v>
      </c>
      <c r="I13395" s="6" t="n">
        <f aca="false">Sens!I13389-tax_f*(Sens!I13389-Sens!I13253)-Sens!I13250</f>
        <v>3.41321196634246</v>
      </c>
      <c r="J13395" s="6" t="n">
        <f aca="false">Sens!J13389-tax_f*(Sens!J13389-Sens!J13253)-Sens!J13250</f>
        <v>70.4786869547042</v>
      </c>
      <c r="K13395" s="6" t="n">
        <f aca="false">Sens!K13389-tax_f*(Sens!K13389-Sens!K13253)-Sens!K13250</f>
        <v>96.9145911685559</v>
      </c>
    </row>
    <row r="13396" customFormat="false" ht="17.15" hidden="false" customHeight="false" outlineLevel="0" collapsed="false">
      <c r="A13396" s="0" t="s">
        <v>1244</v>
      </c>
      <c r="B13396" s="0" t="s">
        <v>98</v>
      </c>
      <c r="G13396" s="6" t="n">
        <f aca="false">Sens!G13395/(1+wacc)^(Sens!G13366-Sens!F13367)</f>
        <v>-102.079321788163</v>
      </c>
      <c r="H13396" s="6" t="n">
        <f aca="false">Sens!H13395/(1+wacc)^(Sens!H13366-Sens!F13367)</f>
        <v>-55.0041107429562</v>
      </c>
      <c r="I13396" s="6" t="n">
        <f aca="false">Sens!I13395/(1+wacc)^(Sens!I13366-Sens!F13367)</f>
        <v>2.67169511782349</v>
      </c>
      <c r="J13396" s="6" t="n">
        <f aca="false">Sens!J13395/(1+wacc)^(Sens!J13366-Sens!F13367)</f>
        <v>50.0185268392896</v>
      </c>
      <c r="K13396" s="6" t="n">
        <f aca="false">Sens!K13395/(1+wacc)^(Sens!K13366-Sens!F13367)</f>
        <v>62.360805346309</v>
      </c>
      <c r="L13396" s="1" t="s">
        <v>1245</v>
      </c>
    </row>
    <row r="13397" customFormat="false" ht="17.15" hidden="false" customHeight="false" outlineLevel="0" collapsed="false">
      <c r="A13397" s="0" t="s">
        <v>1246</v>
      </c>
      <c r="B13397" s="0" t="s">
        <v>98</v>
      </c>
      <c r="C13397" s="6" t="n">
        <f aca="false">(Sens!K13389-Sens!K13253)*(1-tax_f)*(1+g_tv)*(1-g_tv/(wacc+ronic_prem))/(wacc-g_tv)/(1+wacc)^(Sens!K13367-Sens!F13367)</f>
        <v>446.716860460714</v>
      </c>
    </row>
    <row r="13398" customFormat="false" ht="17.15" hidden="false" customHeight="false" outlineLevel="0" collapsed="false">
      <c r="A13398" s="1" t="s">
        <v>1247</v>
      </c>
      <c r="B13398" s="0" t="s">
        <v>98</v>
      </c>
      <c r="C13398" s="6" t="n">
        <f aca="false">(SUM(Sens!G13396:K13396)+Sens!$C$13397)*(1+wacc)^(t_roll-Sens!F13367)</f>
        <v>418.044312956892</v>
      </c>
      <c r="L13398" s="12" t="s">
        <v>1248</v>
      </c>
    </row>
    <row r="13399" customFormat="false" ht="17.15" hidden="false" customHeight="false" outlineLevel="0" collapsed="false">
      <c r="A13399" s="1" t="s">
        <v>1249</v>
      </c>
      <c r="B13399" s="0" t="s">
        <v>98</v>
      </c>
      <c r="C13399" s="6" t="n">
        <f aca="false">(w_ntm28*Sens!G13241+(1-w_ntm28)*Sens!H13241)*m_ai</f>
        <v>563.316843258668</v>
      </c>
    </row>
    <row r="13400" customFormat="false" ht="17.15" hidden="false" customHeight="false" outlineLevel="0" collapsed="false">
      <c r="A13400" s="1" t="s">
        <v>1250</v>
      </c>
      <c r="B13400" s="0" t="s">
        <v>98</v>
      </c>
      <c r="C13400" s="6" t="n">
        <f aca="false">(w_ntm28*Sens!G13391+(1-w_ntm28)*Sens!H13391)*m_cloud</f>
        <v>1178.07696637062</v>
      </c>
    </row>
    <row r="13401" customFormat="false" ht="17.15" hidden="false" customHeight="false" outlineLevel="0" collapsed="false">
      <c r="A13401" s="1" t="s">
        <v>1251</v>
      </c>
      <c r="B13401" s="0" t="s">
        <v>98</v>
      </c>
      <c r="C13401" s="6" t="n">
        <f aca="false">(w_ntm28*Sens!G13384+(1-w_ntm28)*Sens!H13384)*m_sw</f>
        <v>1120.47763155275</v>
      </c>
    </row>
    <row r="13402" customFormat="false" ht="17.15" hidden="false" customHeight="false" outlineLevel="0" collapsed="false">
      <c r="A13402" s="1" t="s">
        <v>1252</v>
      </c>
      <c r="B13402" s="0" t="s">
        <v>98</v>
      </c>
      <c r="C13402" s="6" t="n">
        <f aca="false">(w_ntm28*Sens!G13385+(1-w_ntm28)*Sens!H13385)*m_sw</f>
        <v>372.68398809041</v>
      </c>
    </row>
    <row r="13403" customFormat="false" ht="17.15" hidden="false" customHeight="false" outlineLevel="0" collapsed="false">
      <c r="A13403" s="1" t="s">
        <v>1253</v>
      </c>
      <c r="B13403" s="0" t="s">
        <v>98</v>
      </c>
      <c r="C13403" s="6" t="n">
        <f aca="false">(w_ntm28*Sens!G13386+(1-w_ntm28)*Sens!H13386)*m_sw</f>
        <v>108.992632332144</v>
      </c>
    </row>
    <row r="13404" customFormat="false" ht="17.15" hidden="false" customHeight="false" outlineLevel="0" collapsed="false">
      <c r="A13404" s="1" t="s">
        <v>1254</v>
      </c>
      <c r="B13404" s="0" t="s">
        <v>98</v>
      </c>
      <c r="C13404" s="6" t="n">
        <f aca="false">(w_ntm28*Sens!G13387+(1-w_ntm28)*Sens!H13387)*m_sw</f>
        <v>41.4362652527414</v>
      </c>
    </row>
    <row r="13405" customFormat="false" ht="17.15" hidden="false" customHeight="false" outlineLevel="0" collapsed="false">
      <c r="A13405" s="1" t="s">
        <v>1255</v>
      </c>
      <c r="B13405" s="0" t="s">
        <v>98</v>
      </c>
      <c r="C13405" s="6" t="n">
        <f aca="false">(w_ntm28*Sens!G13388+(1-w_ntm28)*Sens!H13388)*m_ads</f>
        <v>114.891070326937</v>
      </c>
    </row>
    <row r="13406" customFormat="false" ht="17.15" hidden="false" customHeight="false" outlineLevel="0" collapsed="false">
      <c r="A13406" s="1" t="s">
        <v>1256</v>
      </c>
      <c r="B13406" s="0" t="s">
        <v>98</v>
      </c>
      <c r="C13406" s="6" t="n">
        <f aca="false">(w_ntm28*Sens!G13393+(1-w_ntm28)*Sens!H13393)*m_game</f>
        <v>107.869041956405</v>
      </c>
    </row>
    <row r="13407" customFormat="false" ht="17.15" hidden="false" customHeight="false" outlineLevel="0" collapsed="false">
      <c r="A13407" s="1" t="s">
        <v>1257</v>
      </c>
      <c r="B13407" s="0" t="s">
        <v>98</v>
      </c>
      <c r="C13407" s="6" t="n">
        <f aca="false">(w_ntm28*Sens!G13394+(1-w_ntm28)*Sens!H13394)*m_pc</f>
        <v>100.007315198906</v>
      </c>
    </row>
    <row r="13408" customFormat="false" ht="17.15" hidden="false" customHeight="false" outlineLevel="0" collapsed="false">
      <c r="A13408" s="1" t="s">
        <v>1258</v>
      </c>
      <c r="B13408" s="0" t="s">
        <v>98</v>
      </c>
      <c r="C13408" s="6" t="n">
        <f aca="false">Sens!$C$13398+Sens!$C$13400+Sens!$C$13401+Sens!$C$13402+Sens!$C$13403+Sens!$C$13404+Sens!$C$13405+Sens!$C$13406+Sens!$C$13407</f>
        <v>3562.47922403781</v>
      </c>
    </row>
    <row r="13409" customFormat="false" ht="17.15" hidden="false" customHeight="false" outlineLevel="0" collapsed="false">
      <c r="A13409" s="1" t="s">
        <v>1259</v>
      </c>
      <c r="B13409" s="0" t="s">
        <v>98</v>
      </c>
      <c r="C13409" s="6" t="n">
        <f aca="false">(Sens!G13370-Sens!G13395)*t_stub</f>
        <v>50.3430498298079</v>
      </c>
      <c r="L13409" s="1" t="s">
        <v>1260</v>
      </c>
    </row>
    <row r="13410" customFormat="false" ht="17.15" hidden="false" customHeight="false" outlineLevel="0" collapsed="false">
      <c r="A13410" s="1" t="s">
        <v>1169</v>
      </c>
      <c r="B13410" s="0" t="s">
        <v>98</v>
      </c>
      <c r="C13410" s="6" t="n">
        <f aca="false">Sens!F13357+oai_v-Sens!F13346+Sens!$C$13409</f>
        <v>164.571319829808</v>
      </c>
      <c r="L13410" s="1" t="s">
        <v>1261</v>
      </c>
    </row>
    <row r="13411" customFormat="false" ht="17.15" hidden="false" customHeight="false" outlineLevel="0" collapsed="false">
      <c r="A13411" s="1" t="s">
        <v>1262</v>
      </c>
      <c r="B13411" s="0" t="s">
        <v>75</v>
      </c>
      <c r="C13411" s="5" t="n">
        <f aca="false">(Sens!$C$13408+Sens!$C$13410)/(Sens!F13359+dil_gap)-Sens!G13349*roll_div_q/q_per_yr</f>
        <v>497.057530550675</v>
      </c>
      <c r="L13411" s="1" t="s">
        <v>1263</v>
      </c>
    </row>
    <row r="13412" customFormat="false" ht="17.15" hidden="false" customHeight="false" outlineLevel="0" collapsed="false">
      <c r="A13412" s="1" t="s">
        <v>1264</v>
      </c>
      <c r="B13412" s="0" t="s">
        <v>75</v>
      </c>
      <c r="C13412" s="5" t="n">
        <f aca="false">w_dcf*Sens!$C$13382+(1-w_dcf)*Sens!$C$13411</f>
        <v>436.287307847311</v>
      </c>
    </row>
    <row r="13413" customFormat="false" ht="17.15" hidden="false" customHeight="false" outlineLevel="0" collapsed="false">
      <c r="A13413" s="3" t="s">
        <v>1815</v>
      </c>
    </row>
    <row r="13414" customFormat="false" ht="15" hidden="false" customHeight="false" outlineLevel="0" collapsed="false">
      <c r="A13414" s="4" t="s">
        <v>43</v>
      </c>
      <c r="B13414" s="4" t="s">
        <v>65</v>
      </c>
      <c r="C13414" s="23" t="s">
        <v>938</v>
      </c>
      <c r="D13414" s="23" t="s">
        <v>939</v>
      </c>
      <c r="E13414" s="23" t="s">
        <v>940</v>
      </c>
      <c r="F13414" s="23" t="s">
        <v>941</v>
      </c>
      <c r="G13414" s="23" t="s">
        <v>942</v>
      </c>
      <c r="H13414" s="23" t="s">
        <v>943</v>
      </c>
      <c r="I13414" s="23" t="s">
        <v>944</v>
      </c>
      <c r="J13414" s="23" t="s">
        <v>945</v>
      </c>
      <c r="K13414" s="23" t="s">
        <v>946</v>
      </c>
      <c r="L13414" s="4" t="s">
        <v>47</v>
      </c>
    </row>
    <row r="13415" customFormat="false" ht="17.15" hidden="false" customHeight="false" outlineLevel="0" collapsed="false">
      <c r="A13415" s="1" t="s">
        <v>947</v>
      </c>
      <c r="B13415" s="1" t="s">
        <v>279</v>
      </c>
      <c r="C13415" s="21" t="n">
        <v>2024</v>
      </c>
      <c r="D13415" s="21" t="n">
        <v>2025</v>
      </c>
      <c r="E13415" s="21" t="n">
        <v>2026</v>
      </c>
      <c r="F13415" s="21" t="n">
        <v>2027</v>
      </c>
      <c r="G13415" s="21" t="n">
        <v>2028</v>
      </c>
      <c r="H13415" s="21" t="n">
        <v>2029</v>
      </c>
      <c r="I13415" s="21" t="n">
        <v>2030</v>
      </c>
      <c r="J13415" s="21" t="n">
        <v>2031</v>
      </c>
      <c r="K13415" s="21" t="n">
        <v>2032</v>
      </c>
    </row>
    <row r="13416" customFormat="false" ht="17.15" hidden="false" customHeight="false" outlineLevel="0" collapsed="false">
      <c r="A13416" s="1" t="s">
        <v>948</v>
      </c>
      <c r="B13416" s="0" t="s">
        <v>456</v>
      </c>
      <c r="F13416" s="30" t="n">
        <f aca="false">pace</f>
        <v>2726.5351</v>
      </c>
      <c r="G13416" s="30" t="n">
        <f aca="false">pace</f>
        <v>2726.5351</v>
      </c>
      <c r="H13416" s="30" t="n">
        <f aca="false">pace</f>
        <v>2726.5351</v>
      </c>
      <c r="I13416" s="30" t="n">
        <f aca="false">pace+(g_tv*Sens!H13417-pace)*MIN(1,(Sens!I13415-pace_y0)/(pace_y1-pace_y0))</f>
        <v>1931.98611966667</v>
      </c>
      <c r="J13416" s="30" t="n">
        <f aca="false">pace+(g_tv*Sens!I13417-pace)*MIN(1,(Sens!J13415-pace_y0)/(pace_y1-pace_y0))</f>
        <v>1176.07686172667</v>
      </c>
      <c r="K13416" s="30" t="n">
        <f aca="false">pace+(g_tv*Sens!J13417-pace)*MIN(1,(Sens!K13415-pace_y0)/(pace_y1-pace_y0))</f>
        <v>436.1300484418</v>
      </c>
      <c r="L13416" s="12" t="s">
        <v>949</v>
      </c>
    </row>
    <row r="13417" customFormat="false" ht="17.15" hidden="false" customHeight="false" outlineLevel="0" collapsed="false">
      <c r="A13417" s="1" t="s">
        <v>950</v>
      </c>
      <c r="B13417" s="0" t="s">
        <v>456</v>
      </c>
      <c r="C13417" s="30" t="n">
        <f aca="false">mw_ext_24</f>
        <v>640</v>
      </c>
      <c r="D13417" s="30" t="n">
        <f aca="false">mw_ext_25</f>
        <v>1630</v>
      </c>
      <c r="E13417" s="30" t="n">
        <f aca="false">mw_ext_26</f>
        <v>3250</v>
      </c>
      <c r="F13417" s="30" t="n">
        <f aca="false">Sens!E13417+Sens!F13416</f>
        <v>5976.5351</v>
      </c>
      <c r="G13417" s="30" t="n">
        <f aca="false">Sens!F13417+Sens!G13416</f>
        <v>8703.0702</v>
      </c>
      <c r="H13417" s="30" t="n">
        <f aca="false">Sens!G13417+Sens!H13416</f>
        <v>11429.6053</v>
      </c>
      <c r="I13417" s="30" t="n">
        <f aca="false">Sens!H13417+Sens!I13416</f>
        <v>13361.5914196667</v>
      </c>
      <c r="J13417" s="30" t="n">
        <f aca="false">Sens!I13417+Sens!J13416</f>
        <v>14537.6682813933</v>
      </c>
      <c r="K13417" s="30" t="n">
        <f aca="false">Sens!J13417+Sens!K13416</f>
        <v>14973.7983298351</v>
      </c>
      <c r="L13417" s="1" t="s">
        <v>951</v>
      </c>
    </row>
    <row r="13418" customFormat="false" ht="17.15" hidden="false" customHeight="false" outlineLevel="0" collapsed="false">
      <c r="A13418" s="1" t="s">
        <v>952</v>
      </c>
      <c r="B13418" s="0" t="s">
        <v>456</v>
      </c>
      <c r="C13418" s="30" t="n">
        <f aca="false">rent_ext_24</f>
        <v>150</v>
      </c>
      <c r="D13418" s="30" t="n">
        <f aca="false">rent_ext_25</f>
        <v>400</v>
      </c>
      <c r="E13418" s="30" t="n">
        <f aca="false">rent_ext_26</f>
        <v>550</v>
      </c>
      <c r="F13418" s="30" t="n">
        <f aca="false">rent_ext_f</f>
        <v>756</v>
      </c>
      <c r="G13418" s="30" t="n">
        <f aca="false">rent_ext_f</f>
        <v>756</v>
      </c>
      <c r="H13418" s="30" t="n">
        <f aca="false">rent_ext_f</f>
        <v>756</v>
      </c>
      <c r="I13418" s="30" t="n">
        <f aca="false">rent_ext_f</f>
        <v>756</v>
      </c>
      <c r="J13418" s="30" t="n">
        <f aca="false">rent_ext_f</f>
        <v>756</v>
      </c>
      <c r="K13418" s="30" t="n">
        <f aca="false">rent_ext_f</f>
        <v>756</v>
      </c>
      <c r="L13418" s="1" t="s">
        <v>953</v>
      </c>
    </row>
    <row r="13419" customFormat="false" ht="17.15" hidden="false" customHeight="false" outlineLevel="0" collapsed="false">
      <c r="A13419" s="1" t="s">
        <v>954</v>
      </c>
      <c r="B13419" s="0" t="s">
        <v>456</v>
      </c>
      <c r="C13419" s="30" t="n">
        <f aca="false">Sens!C13417-Sens!C13418</f>
        <v>490</v>
      </c>
      <c r="D13419" s="30" t="n">
        <f aca="false">Sens!D13417-Sens!D13418</f>
        <v>1230</v>
      </c>
      <c r="E13419" s="30" t="n">
        <f aca="false">Sens!E13417-Sens!E13418</f>
        <v>2700</v>
      </c>
      <c r="F13419" s="30" t="n">
        <f aca="false">Sens!F13417-Sens!F13418</f>
        <v>5220.5351</v>
      </c>
      <c r="G13419" s="30" t="n">
        <f aca="false">Sens!G13417-Sens!G13418</f>
        <v>7947.0702</v>
      </c>
      <c r="H13419" s="30" t="n">
        <f aca="false">Sens!H13417-Sens!H13418</f>
        <v>10673.6053</v>
      </c>
      <c r="I13419" s="30" t="n">
        <f aca="false">Sens!I13417-Sens!I13418</f>
        <v>12605.5914196667</v>
      </c>
      <c r="J13419" s="30" t="n">
        <f aca="false">Sens!J13417-Sens!J13418</f>
        <v>13781.6682813933</v>
      </c>
      <c r="K13419" s="30" t="n">
        <f aca="false">Sens!K13417-Sens!K13418</f>
        <v>14217.7983298351</v>
      </c>
    </row>
    <row r="13420" customFormat="false" ht="17.15" hidden="false" customHeight="false" outlineLevel="0" collapsed="false">
      <c r="A13420" s="1" t="s">
        <v>955</v>
      </c>
      <c r="B13420" s="0" t="s">
        <v>456</v>
      </c>
      <c r="C13420" s="30" t="n">
        <f aca="false">Sens!C13419/ext_sh</f>
        <v>816.666666666667</v>
      </c>
      <c r="D13420" s="30" t="n">
        <f aca="false">Sens!D13419/ext_sh</f>
        <v>2050</v>
      </c>
      <c r="E13420" s="30" t="n">
        <f aca="false">Sens!E13419/ext_sh</f>
        <v>4500</v>
      </c>
      <c r="F13420" s="30" t="n">
        <f aca="false">Sens!F13419/ext_sh</f>
        <v>8700.89183333333</v>
      </c>
      <c r="G13420" s="30" t="n">
        <f aca="false">Sens!G13419/ext_sh</f>
        <v>13245.117</v>
      </c>
      <c r="H13420" s="30" t="n">
        <f aca="false">Sens!H13419/ext_sh</f>
        <v>17789.3421666667</v>
      </c>
      <c r="I13420" s="30" t="n">
        <f aca="false">Sens!I13419/ext_sh</f>
        <v>21009.3190327778</v>
      </c>
      <c r="J13420" s="30" t="n">
        <f aca="false">Sens!J13419/ext_sh</f>
        <v>22969.4471356556</v>
      </c>
      <c r="K13420" s="30" t="n">
        <f aca="false">Sens!K13419/ext_sh</f>
        <v>23696.3305497252</v>
      </c>
      <c r="L13420" s="1" t="s">
        <v>956</v>
      </c>
    </row>
    <row r="13421" customFormat="false" ht="17.15" hidden="false" customHeight="false" outlineLevel="0" collapsed="false">
      <c r="A13421" s="1" t="s">
        <v>957</v>
      </c>
      <c r="B13421" s="0" t="s">
        <v>456</v>
      </c>
      <c r="C13421" s="30" t="n">
        <f aca="false">Sens!C13420-Sens!C13419</f>
        <v>326.666666666667</v>
      </c>
      <c r="D13421" s="30" t="n">
        <f aca="false">Sens!D13420-Sens!D13419</f>
        <v>820</v>
      </c>
      <c r="E13421" s="30" t="n">
        <f aca="false">Sens!E13420-Sens!E13419</f>
        <v>1800</v>
      </c>
      <c r="F13421" s="30" t="n">
        <f aca="false">Sens!F13420-Sens!F13419</f>
        <v>3480.35673333333</v>
      </c>
      <c r="G13421" s="30" t="n">
        <f aca="false">Sens!G13420-Sens!G13419</f>
        <v>5298.0468</v>
      </c>
      <c r="H13421" s="30" t="n">
        <f aca="false">Sens!H13420-Sens!H13419</f>
        <v>7115.73686666667</v>
      </c>
      <c r="I13421" s="30" t="n">
        <f aca="false">Sens!I13420-Sens!I13419</f>
        <v>8403.72761311111</v>
      </c>
      <c r="J13421" s="30" t="n">
        <f aca="false">Sens!J13420-Sens!J13419</f>
        <v>9187.77885426222</v>
      </c>
      <c r="K13421" s="30" t="n">
        <f aca="false">Sens!K13420-Sens!K13419</f>
        <v>9478.53221989009</v>
      </c>
    </row>
    <row r="13422" customFormat="false" ht="17.15" hidden="false" customHeight="false" outlineLevel="0" collapsed="false">
      <c r="A13422" s="1" t="s">
        <v>958</v>
      </c>
      <c r="B13422" s="0" t="s">
        <v>456</v>
      </c>
      <c r="C13422" s="30" t="n">
        <f aca="false">Sens!C13420</f>
        <v>816.666666666667</v>
      </c>
      <c r="D13422" s="30" t="n">
        <f aca="false">Sens!D13420-Sens!C13420</f>
        <v>1233.33333333333</v>
      </c>
      <c r="E13422" s="30" t="n">
        <f aca="false">Sens!E13420-Sens!D13420</f>
        <v>2450</v>
      </c>
      <c r="F13422" s="30" t="n">
        <f aca="false">Sens!F13420-Sens!E13420</f>
        <v>4200.89183333333</v>
      </c>
      <c r="G13422" s="30" t="n">
        <f aca="false">Sens!G13420-Sens!F13420</f>
        <v>4544.22516666667</v>
      </c>
      <c r="H13422" s="30" t="n">
        <f aca="false">Sens!H13420-Sens!G13420</f>
        <v>4544.22516666667</v>
      </c>
      <c r="I13422" s="30" t="n">
        <f aca="false">Sens!I13420-Sens!H13420</f>
        <v>3219.97686611111</v>
      </c>
      <c r="J13422" s="30" t="n">
        <f aca="false">Sens!J13420-Sens!I13420</f>
        <v>1960.12810287778</v>
      </c>
      <c r="K13422" s="30" t="n">
        <f aca="false">Sens!K13420-Sens!J13420</f>
        <v>726.883414069667</v>
      </c>
    </row>
    <row r="13423" customFormat="false" ht="17.15" hidden="false" customHeight="false" outlineLevel="0" collapsed="false">
      <c r="A13423" s="1" t="s">
        <v>959</v>
      </c>
      <c r="B13423" s="0" t="s">
        <v>456</v>
      </c>
      <c r="D13423" s="30" t="n">
        <f aca="false">Sens!D13417-Sens!C13417</f>
        <v>990</v>
      </c>
      <c r="E13423" s="30" t="n">
        <f aca="false">Sens!E13417-Sens!D13417</f>
        <v>1620</v>
      </c>
      <c r="F13423" s="30" t="n">
        <f aca="false">Sens!F13417-Sens!E13417</f>
        <v>2726.5351</v>
      </c>
      <c r="G13423" s="30" t="n">
        <f aca="false">Sens!G13417-Sens!F13417</f>
        <v>2726.5351</v>
      </c>
      <c r="H13423" s="30" t="n">
        <f aca="false">Sens!H13417-Sens!G13417</f>
        <v>2726.5351</v>
      </c>
      <c r="I13423" s="30" t="n">
        <f aca="false">Sens!I13417-Sens!H13417</f>
        <v>1931.98611966667</v>
      </c>
      <c r="J13423" s="30" t="n">
        <f aca="false">Sens!J13417-Sens!I13417</f>
        <v>1176.07686172667</v>
      </c>
      <c r="K13423" s="30" t="n">
        <f aca="false">Sens!K13417-Sens!J13417</f>
        <v>436.130048441799</v>
      </c>
    </row>
    <row r="13424" customFormat="false" ht="17.15" hidden="false" customHeight="false" outlineLevel="0" collapsed="false">
      <c r="A13424" s="1" t="s">
        <v>960</v>
      </c>
      <c r="B13424" s="0" t="s">
        <v>456</v>
      </c>
      <c r="F13424" s="30" t="n">
        <f aca="false">Sens!F13443*ext_sh</f>
        <v>0</v>
      </c>
      <c r="G13424" s="30" t="n">
        <f aca="false">Sens!G13443*ext_sh</f>
        <v>0</v>
      </c>
      <c r="H13424" s="30" t="n">
        <f aca="false">Sens!H13443*ext_sh</f>
        <v>0</v>
      </c>
      <c r="I13424" s="30" t="n">
        <f aca="false">Sens!I13443*ext_sh</f>
        <v>490</v>
      </c>
      <c r="J13424" s="30" t="n">
        <f aca="false">Sens!J13443*ext_sh</f>
        <v>740</v>
      </c>
      <c r="K13424" s="30" t="n">
        <f aca="false">Sens!K13443*ext_sh</f>
        <v>1470</v>
      </c>
      <c r="L13424" s="1" t="s">
        <v>961</v>
      </c>
    </row>
    <row r="13425" customFormat="false" ht="17.15" hidden="false" customHeight="false" outlineLevel="0" collapsed="false">
      <c r="A13425" s="1" t="s">
        <v>962</v>
      </c>
      <c r="B13425" s="0" t="s">
        <v>456</v>
      </c>
      <c r="C13425" s="30" t="n">
        <f aca="false">mix_h*Sens!C13417</f>
        <v>128</v>
      </c>
      <c r="D13425" s="30" t="n">
        <f aca="false">mix_h*Sens!D13417</f>
        <v>326</v>
      </c>
      <c r="E13425" s="30" t="n">
        <f aca="false">mix_h*Sens!E13417</f>
        <v>650</v>
      </c>
      <c r="F13425" s="30" t="n">
        <f aca="false">Sens!E13425-Sens!F13424*mix_h</f>
        <v>650</v>
      </c>
      <c r="G13425" s="30" t="n">
        <f aca="false">Sens!F13425-Sens!G13424*mix_h</f>
        <v>650</v>
      </c>
      <c r="H13425" s="30" t="n">
        <f aca="false">Sens!G13425-Sens!H13424*mix_h</f>
        <v>650</v>
      </c>
      <c r="I13425" s="30" t="n">
        <f aca="false">Sens!H13425-Sens!I13424*mix_h</f>
        <v>552</v>
      </c>
      <c r="J13425" s="30" t="n">
        <f aca="false">Sens!I13425-Sens!J13424*mix_h</f>
        <v>404</v>
      </c>
      <c r="K13425" s="30" t="n">
        <f aca="false">Sens!J13425-Sens!K13424*mix_h</f>
        <v>110</v>
      </c>
    </row>
    <row r="13426" customFormat="false" ht="17.15" hidden="false" customHeight="false" outlineLevel="0" collapsed="false">
      <c r="A13426" s="1" t="s">
        <v>963</v>
      </c>
      <c r="B13426" s="0" t="s">
        <v>456</v>
      </c>
      <c r="C13426" s="30" t="n">
        <f aca="false">mix_g2*Sens!C13417</f>
        <v>288</v>
      </c>
      <c r="D13426" s="30" t="n">
        <f aca="false">mix_g2*Sens!D13417</f>
        <v>733.5</v>
      </c>
      <c r="E13426" s="30" t="n">
        <f aca="false">mix_g2*Sens!E13417</f>
        <v>1462.5</v>
      </c>
      <c r="F13426" s="30" t="n">
        <f aca="false">Sens!E13426-Sens!F13424*mix_g2</f>
        <v>1462.5</v>
      </c>
      <c r="G13426" s="30" t="n">
        <f aca="false">Sens!F13426-Sens!G13424*mix_g2</f>
        <v>1462.5</v>
      </c>
      <c r="H13426" s="30" t="n">
        <f aca="false">Sens!G13426-Sens!H13424*mix_g2</f>
        <v>1462.5</v>
      </c>
      <c r="I13426" s="30" t="n">
        <f aca="false">Sens!H13426-Sens!I13424*mix_g2</f>
        <v>1242</v>
      </c>
      <c r="J13426" s="30" t="n">
        <f aca="false">Sens!I13426-Sens!J13424*mix_g2</f>
        <v>909</v>
      </c>
      <c r="K13426" s="30" t="n">
        <f aca="false">Sens!J13426-Sens!K13424*mix_g2</f>
        <v>247.5</v>
      </c>
    </row>
    <row r="13427" customFormat="false" ht="17.15" hidden="false" customHeight="false" outlineLevel="0" collapsed="false">
      <c r="A13427" s="1" t="s">
        <v>964</v>
      </c>
      <c r="B13427" s="0" t="s">
        <v>456</v>
      </c>
      <c r="C13427" s="30" t="n">
        <f aca="false">mix_g3*Sens!C13417</f>
        <v>224</v>
      </c>
      <c r="D13427" s="30" t="n">
        <f aca="false">mix_g3*Sens!D13417</f>
        <v>570.5</v>
      </c>
      <c r="E13427" s="30" t="n">
        <f aca="false">mix_g3*Sens!E13417</f>
        <v>1137.5</v>
      </c>
      <c r="F13427" s="30" t="n">
        <f aca="false">Sens!E13427+(Sens!F13423+Sens!F13424)*(a_g3_27-nonnv*a_mai)-Sens!F13424*mix_g3</f>
        <v>2773.42106</v>
      </c>
      <c r="G13427" s="30" t="n">
        <f aca="false">Sens!F13427+(Sens!G13423+Sens!G13424)*(a_g3_28-nonnv*a_mai)-Sens!G13424*mix_g3</f>
        <v>3318.72808</v>
      </c>
      <c r="H13427" s="30" t="n">
        <f aca="false">Sens!G13427+(Sens!H13423+Sens!H13424)*(a_g3_29-nonnv*a_mai)-Sens!H13424*mix_g3</f>
        <v>3318.72808</v>
      </c>
      <c r="I13427" s="30" t="n">
        <f aca="false">Sens!H13427+(Sens!I13423+Sens!I13424)*(a_g3_29-nonnv*a_mai)-Sens!I13424*mix_g3</f>
        <v>3147.22808</v>
      </c>
      <c r="J13427" s="30" t="n">
        <f aca="false">Sens!I13427+(Sens!J13423+Sens!J13424)*(a_g3_29-nonnv*a_mai)-Sens!J13424*mix_g3</f>
        <v>2888.22808</v>
      </c>
      <c r="K13427" s="30" t="n">
        <f aca="false">Sens!J13427+(Sens!K13423+Sens!K13424)*(a_g3_29-nonnv*a_mai)-Sens!K13424*mix_g3</f>
        <v>2373.72808</v>
      </c>
    </row>
    <row r="13428" customFormat="false" ht="17.15" hidden="false" customHeight="false" outlineLevel="0" collapsed="false">
      <c r="A13428" s="1" t="s">
        <v>965</v>
      </c>
      <c r="B13428" s="0" t="s">
        <v>456</v>
      </c>
      <c r="C13428" s="30" t="n">
        <v>0</v>
      </c>
      <c r="D13428" s="30" t="n">
        <v>0</v>
      </c>
      <c r="E13428" s="30" t="n">
        <v>0</v>
      </c>
      <c r="F13428" s="30" t="n">
        <f aca="false">Sens!E13428+(Sens!F13423+Sens!F13424)*nonnv*a_mai</f>
        <v>272.65351</v>
      </c>
      <c r="G13428" s="30" t="n">
        <f aca="false">Sens!F13428+(Sens!G13423+Sens!G13424)*nonnv*a_mai</f>
        <v>545.30702</v>
      </c>
      <c r="H13428" s="30" t="n">
        <f aca="false">Sens!G13428+(Sens!H13423+Sens!H13424)*nonnv*a_mai</f>
        <v>817.96053</v>
      </c>
      <c r="I13428" s="30" t="n">
        <f aca="false">Sens!H13428+(Sens!I13423+Sens!I13424)*nonnv*a_mai</f>
        <v>1060.15914196667</v>
      </c>
      <c r="J13428" s="30" t="n">
        <f aca="false">Sens!I13428+(Sens!J13423+Sens!J13424)*nonnv*a_mai</f>
        <v>1251.76682813933</v>
      </c>
      <c r="K13428" s="30" t="n">
        <f aca="false">Sens!J13428+(Sens!K13423+Sens!K13424)*nonnv*a_mai</f>
        <v>1442.37983298351</v>
      </c>
      <c r="L13428" s="12" t="s">
        <v>966</v>
      </c>
    </row>
    <row r="13429" customFormat="false" ht="17.15" hidden="false" customHeight="false" outlineLevel="0" collapsed="false">
      <c r="A13429" s="1" t="s">
        <v>967</v>
      </c>
      <c r="B13429" s="0" t="s">
        <v>456</v>
      </c>
      <c r="C13429" s="30" t="n">
        <v>0</v>
      </c>
      <c r="D13429" s="30" t="n">
        <v>0</v>
      </c>
      <c r="E13429" s="30" t="n">
        <v>0</v>
      </c>
      <c r="F13429" s="30" t="n">
        <f aca="false">Sens!E13429+(Sens!F13423+Sens!F13424)*(1-a_g3_27)</f>
        <v>817.96053</v>
      </c>
      <c r="G13429" s="30" t="n">
        <f aca="false">Sens!F13429+(Sens!G13423+Sens!G13424)*(1-a_g3_28)</f>
        <v>2726.5351</v>
      </c>
      <c r="H13429" s="30" t="n">
        <f aca="false">Sens!G13429+(Sens!H13423+Sens!H13424)*(1-a_g3_29)</f>
        <v>5180.41669</v>
      </c>
      <c r="I13429" s="30" t="n">
        <f aca="false">Sens!H13429+(Sens!I13423+Sens!I13424)*(1-a_g3_29)</f>
        <v>7360.2041977</v>
      </c>
      <c r="J13429" s="30" t="n">
        <f aca="false">Sens!I13429+(Sens!J13423+Sens!J13424)*(1-a_g3_29)</f>
        <v>9084.673373254</v>
      </c>
      <c r="K13429" s="30" t="n">
        <f aca="false">Sens!J13429+(Sens!K13423+Sens!K13424)*(1-a_g3_29)</f>
        <v>10800.1904168516</v>
      </c>
    </row>
    <row r="13430" customFormat="false" ht="17.15" hidden="false" customHeight="false" outlineLevel="0" collapsed="false">
      <c r="A13430" s="1" t="s">
        <v>968</v>
      </c>
      <c r="B13430" s="0" t="s">
        <v>403</v>
      </c>
      <c r="C13430" s="15" t="n">
        <f aca="false">(Sens!C13425*tk_hold_h100+Sens!C13426*tk_hold_gb200+Sens!C13427*tk_hold_gb300+Sens!C13429*tk_hold_vr200+Sens!C13428*nv_hold_mai*tk_hold_vr200)/Sens!C13417</f>
        <v>9.7235358126469</v>
      </c>
      <c r="D13430" s="15" t="n">
        <f aca="false">(Sens!D13425*tk_hold_h100+Sens!D13426*tk_hold_gb200+Sens!D13427*tk_hold_gb300+Sens!D13429*tk_hold_vr200+Sens!D13428*nv_hold_mai*tk_hold_vr200)/Sens!D13417</f>
        <v>9.7235358126469</v>
      </c>
      <c r="E13430" s="15" t="n">
        <f aca="false">(Sens!E13425*tk_hold_h100+Sens!E13426*tk_hold_gb200+Sens!E13427*tk_hold_gb300+Sens!E13429*tk_hold_vr200+Sens!E13428*nv_hold_mai*tk_hold_vr200)/Sens!E13417</f>
        <v>9.7235358126469</v>
      </c>
      <c r="F13430" s="15" t="n">
        <f aca="false">(Sens!F13425*tk_hold_h100+Sens!F13426*tk_hold_gb200+Sens!F13427*tk_hold_gb300+Sens!F13429*tk_hold_vr200+Sens!F13428*nv_hold_mai*tk_hold_vr200)/Sens!F13417</f>
        <v>10.2195353876665</v>
      </c>
      <c r="G13430" s="15" t="n">
        <f aca="false">(Sens!G13425*tk_hold_h100+Sens!G13426*tk_hold_gb200+Sens!G13427*tk_hold_gb300+Sens!G13429*tk_hold_vr200+Sens!G13428*nv_hold_mai*tk_hold_vr200)/Sens!G13417</f>
        <v>10.5725598017306</v>
      </c>
      <c r="H13430" s="15" t="n">
        <f aca="false">(Sens!H13425*tk_hold_h100+Sens!H13426*tk_hold_gb200+Sens!H13427*tk_hold_gb300+Sens!H13429*tk_hold_vr200+Sens!H13428*nv_hold_mai*tk_hold_vr200)/Sens!H13417</f>
        <v>10.8210427149036</v>
      </c>
      <c r="I13430" s="15" t="n">
        <f aca="false">(Sens!I13425*tk_hold_h100+Sens!I13426*tk_hold_gb200+Sens!I13427*tk_hold_gb300+Sens!I13429*tk_hold_vr200+Sens!I13428*nv_hold_mai*tk_hold_vr200)/Sens!I13417</f>
        <v>11.0050618241982</v>
      </c>
      <c r="J13430" s="15" t="n">
        <f aca="false">(Sens!J13425*tk_hold_h100+Sens!J13426*tk_hold_gb200+Sens!J13427*tk_hold_gb300+Sens!J13429*tk_hold_vr200+Sens!J13428*nv_hold_mai*tk_hold_vr200)/Sens!J13417</f>
        <v>11.1505789658881</v>
      </c>
      <c r="K13430" s="15" t="n">
        <f aca="false">(Sens!K13425*tk_hold_h100+Sens!K13426*tk_hold_gb200+Sens!K13427*tk_hold_gb300+Sens!K13429*tk_hold_vr200+Sens!K13428*nv_hold_mai*tk_hold_vr200)/Sens!K13417</f>
        <v>11.3496914757183</v>
      </c>
      <c r="L13430" s="1" t="s">
        <v>969</v>
      </c>
    </row>
    <row r="13431" customFormat="false" ht="17.15" hidden="false" customHeight="false" outlineLevel="0" collapsed="false">
      <c r="A13431" s="1" t="s">
        <v>970</v>
      </c>
      <c r="B13431" s="0" t="s">
        <v>403</v>
      </c>
      <c r="C13431" s="15" t="n">
        <f aca="false">(Sens!C13425*tk_hold_h100+Sens!C13426*tk_hold_gb200+Sens!C13427*tk_hold_gb300+Sens!C13429*tk_hold_vr200+Sens!C13428*nv_out_mai*tk_hold_vr200)/Sens!C13417</f>
        <v>9.7235358126469</v>
      </c>
      <c r="D13431" s="15" t="n">
        <f aca="false">(Sens!D13425*tk_hold_h100+Sens!D13426*tk_hold_gb200+Sens!D13427*tk_hold_gb300+Sens!D13429*tk_hold_vr200+Sens!D13428*nv_out_mai*tk_hold_vr200)/Sens!D13417</f>
        <v>9.7235358126469</v>
      </c>
      <c r="E13431" s="15" t="n">
        <f aca="false">(Sens!E13425*tk_hold_h100+Sens!E13426*tk_hold_gb200+Sens!E13427*tk_hold_gb300+Sens!E13429*tk_hold_vr200+Sens!E13428*nv_out_mai*tk_hold_vr200)/Sens!E13417</f>
        <v>9.7235358126469</v>
      </c>
      <c r="F13431" s="15" t="n">
        <f aca="false">(Sens!F13425*tk_hold_h100+Sens!F13426*tk_hold_gb200+Sens!F13427*tk_hold_gb300+Sens!F13429*tk_hold_vr200+Sens!F13428*nv_out_mai*tk_hold_vr200)/Sens!F13417</f>
        <v>10.247422093969</v>
      </c>
      <c r="G13431" s="15" t="n">
        <f aca="false">(Sens!G13425*tk_hold_h100+Sens!G13426*tk_hold_gb200+Sens!G13427*tk_hold_gb300+Sens!G13429*tk_hold_vr200+Sens!G13428*nv_out_mai*tk_hold_vr200)/Sens!G13417</f>
        <v>10.6108602808053</v>
      </c>
      <c r="H13431" s="15" t="n">
        <f aca="false">(Sens!H13425*tk_hold_h100+Sens!H13426*tk_hold_gb200+Sens!H13427*tk_hold_gb300+Sens!H13429*tk_hold_vr200+Sens!H13428*nv_out_mai*tk_hold_vr200)/Sens!H13417</f>
        <v>10.8647885507393</v>
      </c>
      <c r="I13431" s="15" t="n">
        <f aca="false">(Sens!I13425*tk_hold_h100+Sens!I13426*tk_hold_gb200+Sens!I13427*tk_hold_gb300+Sens!I13429*tk_hold_vr200+Sens!I13428*nv_out_mai*tk_hold_vr200)/Sens!I13417</f>
        <v>11.0535625770025</v>
      </c>
      <c r="J13431" s="15" t="n">
        <f aca="false">(Sens!J13425*tk_hold_h100+Sens!J13426*tk_hold_gb200+Sens!J13427*tk_hold_gb300+Sens!J13429*tk_hold_vr200+Sens!J13428*nv_out_mai*tk_hold_vr200)/Sens!J13417</f>
        <v>11.2032127128058</v>
      </c>
      <c r="K13431" s="15" t="n">
        <f aca="false">(Sens!K13425*tk_hold_h100+Sens!K13426*tk_hold_gb200+Sens!K13427*tk_hold_gb300+Sens!K13429*tk_hold_vr200+Sens!K13428*nv_out_mai*tk_hold_vr200)/Sens!K13417</f>
        <v>11.4085735724225</v>
      </c>
      <c r="L13431" s="12" t="s">
        <v>971</v>
      </c>
    </row>
    <row r="13432" customFormat="false" ht="17.15" hidden="false" customHeight="false" outlineLevel="0" collapsed="false">
      <c r="A13432" s="0" t="s">
        <v>972</v>
      </c>
      <c r="B13432" s="0" t="s">
        <v>229</v>
      </c>
      <c r="C13432" s="15" t="n">
        <f aca="false">k_B</f>
        <v>1.17213932619116</v>
      </c>
      <c r="D13432" s="15" t="n">
        <f aca="false">k_B</f>
        <v>1.17213932619116</v>
      </c>
      <c r="E13432" s="15" t="n">
        <f aca="false">k_B</f>
        <v>1.17213932619116</v>
      </c>
      <c r="F13432" s="15" t="n">
        <f aca="false">(k_B+((ls_B*k_long+(1-ls_B)*k_spot)-k_B)*MIN(1,(Sens!F13415-base_fy)/k_ramp))</f>
        <v>1.17213932619116</v>
      </c>
      <c r="G13432" s="15" t="n">
        <f aca="false">(k_B+((ls_B*k_long+(1-ls_B)*k_spot)-k_B)*MIN(1,(Sens!G13415-base_fy)/k_ramp))</f>
        <v>1.17213932619116</v>
      </c>
      <c r="H13432" s="15" t="n">
        <f aca="false">(k_B+((ls_B*k_long+(1-ls_B)*k_spot)-k_B)*MIN(1,(Sens!H13415-base_fy)/k_ramp))</f>
        <v>1.17213932619116</v>
      </c>
      <c r="I13432" s="15" t="n">
        <f aca="false">(k_B+((ls_B*k_long+(1-ls_B)*k_spot)-k_B)*MIN(1,(Sens!I13415-base_fy)/k_ramp))</f>
        <v>1.17213932619116</v>
      </c>
      <c r="J13432" s="15" t="n">
        <f aca="false">(k_B+((ls_B*k_long+(1-ls_B)*k_spot)-k_B)*MIN(1,(Sens!J13415-base_fy)/k_ramp))</f>
        <v>1.17213932619116</v>
      </c>
      <c r="K13432" s="15" t="n">
        <f aca="false">(k_B+((ls_B*k_long+(1-ls_B)*k_spot)-k_B)*MIN(1,(Sens!K13415-base_fy)/k_ramp))</f>
        <v>1.17213932619116</v>
      </c>
      <c r="L13432" s="1" t="s">
        <v>973</v>
      </c>
    </row>
    <row r="13433" customFormat="false" ht="17.15" hidden="false" customHeight="false" outlineLevel="0" collapsed="false">
      <c r="A13433" s="1" t="s">
        <v>974</v>
      </c>
      <c r="B13433" s="0" t="s">
        <v>403</v>
      </c>
      <c r="C13433" s="15" t="n">
        <f aca="false">Sens!C13431*Sens!C13432*chip_f</f>
        <v>11.3973387156315</v>
      </c>
      <c r="D13433" s="15" t="n">
        <f aca="false">Sens!D13431*Sens!D13432*chip_f</f>
        <v>11.3973387156315</v>
      </c>
      <c r="E13433" s="15" t="n">
        <f aca="false">Sens!E13431*Sens!E13432*chip_f</f>
        <v>11.3973387156315</v>
      </c>
      <c r="F13433" s="15" t="n">
        <f aca="false">Sens!F13431*Sens!F13432*chip_f</f>
        <v>12.0114064284211</v>
      </c>
      <c r="G13433" s="15" t="n">
        <f aca="false">Sens!G13431*Sens!G13432*chip_f</f>
        <v>12.4374066198516</v>
      </c>
      <c r="H13433" s="15" t="n">
        <f aca="false">Sens!H13431*Sens!H13432*chip_f</f>
        <v>12.735045931073</v>
      </c>
      <c r="I13433" s="15" t="n">
        <f aca="false">Sens!I13431*Sens!I13432*chip_f</f>
        <v>12.9563153910195</v>
      </c>
      <c r="J13433" s="15" t="n">
        <f aca="false">Sens!J13431*Sens!J13432*chip_f</f>
        <v>13.1317262003643</v>
      </c>
      <c r="K13433" s="15" t="n">
        <f aca="false">Sens!K13431*Sens!K13432*chip_f</f>
        <v>13.3724377399815</v>
      </c>
      <c r="L13433" s="1" t="s">
        <v>975</v>
      </c>
    </row>
    <row r="13434" customFormat="false" ht="17.15" hidden="false" customHeight="false" outlineLevel="0" collapsed="false">
      <c r="A13434" s="0" t="s">
        <v>976</v>
      </c>
      <c r="B13434" s="0" t="s">
        <v>98</v>
      </c>
      <c r="D13434" s="6" t="n">
        <f aca="false">(Sens!C13417+Sens!D13417)/2*Sens!D13433/1000</f>
        <v>12.9359794422418</v>
      </c>
      <c r="E13434" s="6" t="n">
        <f aca="false">(Sens!D13417+Sens!E13417)/2*Sens!E13433/1000</f>
        <v>27.8095064661409</v>
      </c>
      <c r="F13434" s="6" t="n">
        <f aca="false">(Sens!E13417+Sens!F13417)/2*Sens!F13433/1000</f>
        <v>55.4118315060966</v>
      </c>
      <c r="G13434" s="6" t="n">
        <f aca="false">(Sens!F13417+Sens!G13417)/2*Sens!G13433/1000</f>
        <v>91.2881100675143</v>
      </c>
      <c r="H13434" s="6" t="n">
        <f aca="false">(Sens!G13417+Sens!H13417)/2*Sens!H13433/1000</f>
        <v>128.195273603944</v>
      </c>
      <c r="I13434" s="6" t="n">
        <f aca="false">(Sens!H13417+Sens!I13417)/2*Sens!I13433/1000</f>
        <v>160.601281810405</v>
      </c>
      <c r="J13434" s="6" t="n">
        <f aca="false">(Sens!I13417+Sens!J13417)/2*Sens!J13433/1000</f>
        <v>183.182719793589</v>
      </c>
      <c r="K13434" s="6" t="n">
        <f aca="false">(Sens!J13417+Sens!K13417)/2*Sens!K13433/1000</f>
        <v>197.320124937098</v>
      </c>
      <c r="L13434" s="12" t="s">
        <v>977</v>
      </c>
    </row>
    <row r="13435" customFormat="false" ht="17.15" hidden="false" customHeight="false" outlineLevel="0" collapsed="false">
      <c r="A13435" s="1" t="s">
        <v>978</v>
      </c>
      <c r="B13435" s="0" t="s">
        <v>403</v>
      </c>
      <c r="C13435" s="15" t="n">
        <f aca="false">(Sens!C13425*tk_opex_h100+Sens!C13426*tk_opex_gb200+Sens!C13427*tk_opex_gb300+(Sens!C13429+Sens!C13428)*tk_opex_vr200)/Sens!C13417</f>
        <v>1.88636041306092</v>
      </c>
      <c r="D13435" s="15" t="n">
        <f aca="false">(Sens!D13425*tk_opex_h100+Sens!D13426*tk_opex_gb200+Sens!D13427*tk_opex_gb300+(Sens!D13429+Sens!D13428)*tk_opex_vr200)/Sens!D13417</f>
        <v>1.88636041306092</v>
      </c>
      <c r="E13435" s="15" t="n">
        <f aca="false">(Sens!E13425*tk_opex_h100+Sens!E13426*tk_opex_gb200+Sens!E13427*tk_opex_gb300+(Sens!E13429+Sens!E13428)*tk_opex_vr200)/Sens!E13417</f>
        <v>1.88636041306092</v>
      </c>
      <c r="F13435" s="15" t="n">
        <f aca="false">(Sens!F13425*tk_opex_h100+Sens!F13426*tk_opex_gb200+Sens!F13427*tk_opex_gb300+(Sens!F13429+Sens!F13428)*tk_opex_vr200)/Sens!F13417</f>
        <v>1.95051159746876</v>
      </c>
      <c r="G13435" s="15" t="n">
        <f aca="false">(Sens!G13425*tk_opex_h100+Sens!G13426*tk_opex_gb200+Sens!G13427*tk_opex_gb300+(Sens!G13429+Sens!G13428)*tk_opex_vr200)/Sens!G13417</f>
        <v>1.98836003669956</v>
      </c>
      <c r="H13435" s="15" t="n">
        <f aca="false">(Sens!H13425*tk_opex_h100+Sens!H13426*tk_opex_gb200+Sens!H13427*tk_opex_gb300+(Sens!H13429+Sens!H13428)*tk_opex_vr200)/Sens!H13417</f>
        <v>2.01344013834343</v>
      </c>
      <c r="I13435" s="15" t="n">
        <f aca="false">(Sens!I13425*tk_opex_h100+Sens!I13426*tk_opex_gb200+Sens!I13427*tk_opex_gb300+(Sens!I13429+Sens!I13428)*tk_opex_vr200)/Sens!I13417</f>
        <v>2.03261166882178</v>
      </c>
      <c r="J13435" s="15" t="n">
        <f aca="false">(Sens!J13425*tk_opex_h100+Sens!J13426*tk_opex_gb200+Sens!J13427*tk_opex_gb300+(Sens!J13429+Sens!J13428)*tk_opex_vr200)/Sens!J13417</f>
        <v>2.04808073288745</v>
      </c>
      <c r="K13435" s="15" t="n">
        <f aca="false">(Sens!K13425*tk_opex_h100+Sens!K13426*tk_opex_gb200+Sens!K13427*tk_opex_gb300+(Sens!K13429+Sens!K13428)*tk_opex_vr200)/Sens!K13417</f>
        <v>2.06973825807449</v>
      </c>
      <c r="L13435" s="12" t="s">
        <v>979</v>
      </c>
    </row>
    <row r="13436" customFormat="false" ht="17.15" hidden="false" customHeight="false" outlineLevel="0" collapsed="false">
      <c r="A13436" s="0" t="s">
        <v>980</v>
      </c>
      <c r="B13436" s="0" t="s">
        <v>98</v>
      </c>
      <c r="D13436" s="6" t="n">
        <f aca="false">(Sens!C13420+Sens!D13420)/2*Sens!D13435/1000</f>
        <v>2.70378325872065</v>
      </c>
      <c r="E13436" s="6" t="n">
        <f aca="false">(Sens!D13420+Sens!E13420)/2*Sens!E13435/1000</f>
        <v>6.17783035277451</v>
      </c>
      <c r="F13436" s="6" t="n">
        <f aca="false">(Sens!E13420+Sens!F13420)/2*Sens!F13435/1000</f>
        <v>12.8742463089237</v>
      </c>
      <c r="G13436" s="6" t="n">
        <f aca="false">(Sens!F13420+Sens!G13420)/2*Sens!G13435/1000</f>
        <v>21.8182834646277</v>
      </c>
      <c r="H13436" s="6" t="n">
        <f aca="false">(Sens!G13420+Sens!H13420)/2*Sens!H13435/1000</f>
        <v>31.2430128789734</v>
      </c>
      <c r="I13436" s="6" t="n">
        <f aca="false">(Sens!H13420+Sens!I13420)/2*Sens!I13435/1000</f>
        <v>39.4313057443268</v>
      </c>
      <c r="J13436" s="6" t="n">
        <f aca="false">(Sens!I13420+Sens!J13420)/2*Sens!J13435/1000</f>
        <v>45.0360318228653</v>
      </c>
      <c r="K13436" s="6" t="n">
        <f aca="false">(Sens!J13420+Sens!K13420)/2*Sens!K13435/1000</f>
        <v>48.2929727091156</v>
      </c>
    </row>
    <row r="13437" customFormat="false" ht="17.15" hidden="false" customHeight="false" outlineLevel="0" collapsed="false">
      <c r="A13437" s="0" t="s">
        <v>981</v>
      </c>
      <c r="B13437" s="0" t="s">
        <v>98</v>
      </c>
      <c r="D13437" s="6" t="n">
        <f aca="false">(Sens!C13418+Sens!D13418)/2*rent_mw/1000</f>
        <v>2.44475</v>
      </c>
      <c r="E13437" s="6" t="n">
        <f aca="false">(Sens!D13418+Sens!E13418)/2*rent_mw/1000</f>
        <v>4.22275</v>
      </c>
      <c r="F13437" s="6" t="n">
        <f aca="false">(Sens!E13418+Sens!F13418)/2*rent_mw/1000</f>
        <v>5.80517</v>
      </c>
      <c r="G13437" s="6" t="n">
        <f aca="false">(Sens!F13418+Sens!G13418)/2*rent_mw/1000</f>
        <v>6.72084</v>
      </c>
      <c r="H13437" s="6" t="n">
        <f aca="false">(Sens!G13418+Sens!H13418)/2*rent_mw/1000</f>
        <v>6.72084</v>
      </c>
      <c r="I13437" s="6" t="n">
        <f aca="false">(Sens!H13418+Sens!I13418)/2*rent_mw/1000</f>
        <v>6.72084</v>
      </c>
      <c r="J13437" s="6" t="n">
        <f aca="false">(Sens!I13418+Sens!J13418)/2*rent_mw/1000</f>
        <v>6.72084</v>
      </c>
      <c r="K13437" s="6" t="n">
        <f aca="false">(Sens!J13418+Sens!K13418)/2*rent_mw/1000</f>
        <v>6.72084</v>
      </c>
    </row>
    <row r="13438" customFormat="false" ht="17.15" hidden="false" customHeight="false" outlineLevel="0" collapsed="false">
      <c r="A13438" s="0" t="s">
        <v>982</v>
      </c>
      <c r="B13438" s="0" t="s">
        <v>98</v>
      </c>
      <c r="D13438" s="6" t="n">
        <f aca="false">(Sens!C13420+Sens!D13420)/2*(1-self_build)*fac_rent/1000</f>
        <v>0.853242375631075</v>
      </c>
      <c r="E13438" s="6" t="n">
        <f aca="false">(Sens!D13420+Sens!E13420)/2*(1-self_build)*fac_rent/1000</f>
        <v>1.94955961408728</v>
      </c>
      <c r="F13438" s="6" t="n">
        <f aca="false">(Sens!E13420+Sens!F13420)/2*(1-self_build)*fac_rent/1000</f>
        <v>3.92914894476356</v>
      </c>
      <c r="G13438" s="6" t="n">
        <f aca="false">(Sens!F13420+Sens!G13420)/2*(1-self_build)*fac_rent/1000</f>
        <v>6.53206908578159</v>
      </c>
      <c r="H13438" s="6" t="n">
        <f aca="false">(Sens!G13420+Sens!H13420)/2*(1-self_build)*fac_rent/1000</f>
        <v>9.23717988341591</v>
      </c>
      <c r="I13438" s="6" t="n">
        <f aca="false">(Sens!H13420+Sens!I13420)/2*(1-self_build)*fac_rent/1000</f>
        <v>11.5481378557393</v>
      </c>
      <c r="J13438" s="6" t="n">
        <f aca="false">(Sens!I13420+Sens!J13420)/2*(1-self_build)*fac_rent/1000</f>
        <v>13.0899582289108</v>
      </c>
      <c r="K13438" s="6" t="n">
        <f aca="false">(Sens!J13420+Sens!K13420)/2*(1-self_build)*fac_rent/1000</f>
        <v>13.8897275626556</v>
      </c>
      <c r="L13438" s="12" t="s">
        <v>983</v>
      </c>
    </row>
    <row r="13439" customFormat="false" ht="17.15" hidden="false" customHeight="false" outlineLevel="0" collapsed="false">
      <c r="A13439" s="1" t="s">
        <v>984</v>
      </c>
      <c r="B13439" s="0" t="s">
        <v>168</v>
      </c>
      <c r="D13439" s="7" t="n">
        <f aca="false">(Sens!C13419+Sens!D13419)/(Sens!C13420+Sens!D13420)</f>
        <v>0.6</v>
      </c>
      <c r="E13439" s="7" t="n">
        <f aca="false">(Sens!D13419+Sens!E13419)/(Sens!D13420+Sens!E13420)</f>
        <v>0.6</v>
      </c>
      <c r="F13439" s="7" t="n">
        <f aca="false">(Sens!E13419+Sens!F13419)/(Sens!E13420+Sens!F13420)</f>
        <v>0.6</v>
      </c>
      <c r="G13439" s="7" t="n">
        <f aca="false">(Sens!F13419+Sens!G13419)/(Sens!F13420+Sens!G13420)</f>
        <v>0.6</v>
      </c>
      <c r="H13439" s="7" t="n">
        <f aca="false">(Sens!G13419+Sens!H13419)/(Sens!G13420+Sens!H13420)</f>
        <v>0.6</v>
      </c>
      <c r="I13439" s="7" t="n">
        <f aca="false">(Sens!H13419+Sens!I13419)/(Sens!H13420+Sens!I13420)</f>
        <v>0.6</v>
      </c>
      <c r="J13439" s="7" t="n">
        <f aca="false">(Sens!I13419+Sens!J13419)/(Sens!I13420+Sens!J13420)</f>
        <v>0.6</v>
      </c>
      <c r="K13439" s="7" t="n">
        <f aca="false">(Sens!J13419+Sens!K13419)/(Sens!J13420+Sens!K13420)</f>
        <v>0.6</v>
      </c>
    </row>
    <row r="13440" customFormat="false" ht="17.15" hidden="false" customHeight="false" outlineLevel="0" collapsed="false">
      <c r="A13440" s="0" t="s">
        <v>985</v>
      </c>
      <c r="B13440" s="0" t="s">
        <v>98</v>
      </c>
      <c r="D13440" s="6" t="n">
        <f aca="false">Sens!D13434-Sens!D13439*(Sens!D13436+Sens!D13438)-Sens!D13437</f>
        <v>8.35701406163072</v>
      </c>
      <c r="E13440" s="6" t="n">
        <f aca="false">Sens!E13434-Sens!E13439*(Sens!E13436+Sens!E13438)-Sens!E13437</f>
        <v>18.7103224860238</v>
      </c>
      <c r="F13440" s="6" t="n">
        <f aca="false">Sens!F13434-Sens!F13439*(Sens!F13436+Sens!F13438)-Sens!F13437</f>
        <v>39.5246243538843</v>
      </c>
      <c r="G13440" s="6" t="n">
        <f aca="false">Sens!G13434-Sens!G13439*(Sens!G13436+Sens!G13438)-Sens!G13437</f>
        <v>67.5570585372687</v>
      </c>
      <c r="H13440" s="6" t="n">
        <f aca="false">Sens!H13434-Sens!H13439*(Sens!H13436+Sens!H13438)-Sens!H13437</f>
        <v>97.1863179465102</v>
      </c>
      <c r="I13440" s="6" t="n">
        <f aca="false">Sens!I13434-Sens!I13439*(Sens!I13436+Sens!I13438)-Sens!I13437</f>
        <v>123.292775650365</v>
      </c>
      <c r="J13440" s="6" t="n">
        <f aca="false">Sens!J13434-Sens!J13439*(Sens!J13436+Sens!J13438)-Sens!J13437</f>
        <v>141.586285762524</v>
      </c>
      <c r="K13440" s="6" t="n">
        <f aca="false">Sens!K13434-Sens!K13439*(Sens!K13436+Sens!K13438)-Sens!K13437</f>
        <v>153.289664774035</v>
      </c>
    </row>
    <row r="13441" customFormat="false" ht="17.15" hidden="false" customHeight="false" outlineLevel="0" collapsed="false">
      <c r="A13441" s="1" t="s">
        <v>986</v>
      </c>
      <c r="B13441" s="0" t="s">
        <v>98</v>
      </c>
      <c r="D13441" s="6" t="n">
        <f aca="false">(1-Sens!D13439)*(Sens!D13436+Sens!D13438)</f>
        <v>1.42281025374069</v>
      </c>
      <c r="E13441" s="6" t="n">
        <f aca="false">(1-Sens!E13439)*(Sens!E13436+Sens!E13438)</f>
        <v>3.25095598674472</v>
      </c>
      <c r="F13441" s="6" t="n">
        <f aca="false">(1-Sens!F13439)*(Sens!F13436+Sens!F13438)</f>
        <v>6.72135810147489</v>
      </c>
      <c r="G13441" s="6" t="n">
        <f aca="false">(1-Sens!G13439)*(Sens!G13436+Sens!G13438)</f>
        <v>11.3401410201637</v>
      </c>
      <c r="H13441" s="6" t="n">
        <f aca="false">(1-Sens!H13439)*(Sens!H13436+Sens!H13438)</f>
        <v>16.1920771049557</v>
      </c>
      <c r="I13441" s="6" t="n">
        <f aca="false">(1-Sens!I13439)*(Sens!I13436+Sens!I13438)</f>
        <v>20.3917774400264</v>
      </c>
      <c r="J13441" s="6" t="n">
        <f aca="false">(1-Sens!J13439)*(Sens!J13436+Sens!J13438)</f>
        <v>23.2503960207104</v>
      </c>
      <c r="K13441" s="6" t="n">
        <f aca="false">(1-Sens!K13439)*(Sens!K13436+Sens!K13438)</f>
        <v>24.8730801087085</v>
      </c>
    </row>
    <row r="13442" customFormat="false" ht="17.15" hidden="false" customHeight="false" outlineLevel="0" collapsed="false">
      <c r="A13442" s="1" t="s">
        <v>987</v>
      </c>
      <c r="B13442" s="0" t="s">
        <v>414</v>
      </c>
      <c r="C13442" s="8" t="n">
        <f aca="false">cxit_open</f>
        <v>27.5918995</v>
      </c>
      <c r="D13442" s="8" t="n">
        <f aca="false">cxit_open</f>
        <v>27.5918995</v>
      </c>
      <c r="E13442" s="8" t="n">
        <f aca="false">cxit_open</f>
        <v>27.5918995</v>
      </c>
      <c r="F13442" s="8" t="n">
        <f aca="false">((a_g3_27-nonnv*a_mai)*tk_cxit_gb300+nonnv*a_mai*nv_hold_mai*tk_cxit_vr200+(1-a_g3_27)*tk_cxit_vr200)</f>
        <v>32.4975576</v>
      </c>
      <c r="G13442" s="8" t="n">
        <f aca="false">((a_g3_28-nonnv*a_mai)*tk_cxit_gb300+nonnv*a_mai*nv_hold_mai*tk_cxit_vr200+(1-a_g3_28)*tk_cxit_vr200)</f>
        <v>34.6372088</v>
      </c>
      <c r="H13442" s="8" t="n">
        <f aca="false">((a_g3_29-nonnv*a_mai)*tk_cxit_gb300+nonnv*a_mai*nv_hold_mai*tk_cxit_vr200+(1-a_g3_29)*tk_cxit_vr200)</f>
        <v>35.7070344</v>
      </c>
      <c r="I13442" s="8" t="n">
        <f aca="false">((a_g3_29-nonnv*a_mai)*tk_cxit_gb300+nonnv*a_mai*nv_hold_mai*tk_cxit_vr200+(1-a_g3_29)*tk_cxit_vr200)</f>
        <v>35.7070344</v>
      </c>
      <c r="J13442" s="8" t="n">
        <f aca="false">((a_g3_29-nonnv*a_mai)*tk_cxit_gb300+nonnv*a_mai*nv_hold_mai*tk_cxit_vr200+(1-a_g3_29)*tk_cxit_vr200)</f>
        <v>35.7070344</v>
      </c>
      <c r="K13442" s="8" t="n">
        <f aca="false">((a_g3_29-nonnv*a_mai)*tk_cxit_gb300+nonnv*a_mai*nv_hold_mai*tk_cxit_vr200+(1-a_g3_29)*tk_cxit_vr200)</f>
        <v>35.7070344</v>
      </c>
      <c r="L13442" s="12" t="s">
        <v>988</v>
      </c>
    </row>
    <row r="13443" customFormat="false" ht="17.15" hidden="false" customHeight="false" outlineLevel="0" collapsed="false">
      <c r="A13443" s="0" t="s">
        <v>989</v>
      </c>
      <c r="B13443" s="0" t="s">
        <v>456</v>
      </c>
      <c r="F13443" s="30" t="n">
        <f aca="false">Sens!C13422*IF(Sens!F13415-Sens!C13415=life_it,1,0)+Sens!D13422*IF(Sens!F13415-Sens!D13415=life_it,1,0)+Sens!E13422*IF(Sens!F13415-Sens!E13415=life_it,1,0)</f>
        <v>0</v>
      </c>
      <c r="G13443" s="30" t="n">
        <f aca="false">Sens!C13422*IF(Sens!G13415-Sens!C13415=life_it,1,0)+Sens!D13422*IF(Sens!G13415-Sens!D13415=life_it,1,0)+Sens!E13422*IF(Sens!G13415-Sens!E13415=life_it,1,0)+Sens!F13422*IF(Sens!G13415-Sens!F13415=life_it,1,0)</f>
        <v>0</v>
      </c>
      <c r="H13443" s="30" t="n">
        <f aca="false">Sens!C13422*IF(Sens!H13415-Sens!C13415=life_it,1,0)+Sens!D13422*IF(Sens!H13415-Sens!D13415=life_it,1,0)+Sens!E13422*IF(Sens!H13415-Sens!E13415=life_it,1,0)+Sens!F13422*IF(Sens!H13415-Sens!F13415=life_it,1,0)+Sens!G13422*IF(Sens!H13415-Sens!G13415=life_it,1,0)</f>
        <v>0</v>
      </c>
      <c r="I13443" s="30" t="n">
        <f aca="false">Sens!C13422*IF(Sens!I13415-Sens!C13415=life_it,1,0)+Sens!D13422*IF(Sens!I13415-Sens!D13415=life_it,1,0)+Sens!E13422*IF(Sens!I13415-Sens!E13415=life_it,1,0)+Sens!F13422*IF(Sens!I13415-Sens!F13415=life_it,1,0)+Sens!G13422*IF(Sens!I13415-Sens!G13415=life_it,1,0)+Sens!H13422*IF(Sens!I13415-Sens!H13415=life_it,1,0)</f>
        <v>816.666666666667</v>
      </c>
      <c r="J13443" s="30" t="n">
        <f aca="false">Sens!C13422*IF(Sens!J13415-Sens!C13415=life_it,1,0)+Sens!D13422*IF(Sens!J13415-Sens!D13415=life_it,1,0)+Sens!E13422*IF(Sens!J13415-Sens!E13415=life_it,1,0)+Sens!F13422*IF(Sens!J13415-Sens!F13415=life_it,1,0)+Sens!G13422*IF(Sens!J13415-Sens!G13415=life_it,1,0)+Sens!H13422*IF(Sens!J13415-Sens!H13415=life_it,1,0)+Sens!I13422*IF(Sens!J13415-Sens!I13415=life_it,1,0)</f>
        <v>1233.33333333333</v>
      </c>
      <c r="K13443" s="30" t="n">
        <f aca="false">Sens!C13422*IF(Sens!K13415-Sens!C13415=life_it,1,0)+Sens!D13422*IF(Sens!K13415-Sens!D13415=life_it,1,0)+Sens!E13422*IF(Sens!K13415-Sens!E13415=life_it,1,0)+Sens!F13422*IF(Sens!K13415-Sens!F13415=life_it,1,0)+Sens!G13422*IF(Sens!K13415-Sens!G13415=life_it,1,0)+Sens!H13422*IF(Sens!K13415-Sens!H13415=life_it,1,0)+Sens!I13422*IF(Sens!K13415-Sens!I13415=life_it,1,0)+Sens!J13422*IF(Sens!K13415-Sens!J13415=life_it,1,0)</f>
        <v>2450</v>
      </c>
      <c r="L13443" s="1" t="s">
        <v>990</v>
      </c>
    </row>
    <row r="13444" customFormat="false" ht="17.15" hidden="false" customHeight="false" outlineLevel="0" collapsed="false">
      <c r="A13444" s="0" t="s">
        <v>991</v>
      </c>
      <c r="B13444" s="0" t="s">
        <v>98</v>
      </c>
      <c r="C13444" s="6" t="n">
        <f aca="false">Sens!C13422*Sens!C13442/1000</f>
        <v>22.5333845916667</v>
      </c>
      <c r="D13444" s="6" t="n">
        <f aca="false">Sens!D13422*Sens!D13442/1000</f>
        <v>34.0300093833333</v>
      </c>
      <c r="E13444" s="6" t="n">
        <f aca="false">Sens!E13422*Sens!E13442/1000</f>
        <v>67.600153775</v>
      </c>
      <c r="F13444" s="6" t="n">
        <f aca="false">(Sens!F13422+Sens!F13443)*Sens!F13442/1000</f>
        <v>136.51872432512</v>
      </c>
      <c r="G13444" s="6" t="n">
        <f aca="false">(Sens!G13422+Sens!G13443)*Sens!G13442/1000</f>
        <v>157.399275932048</v>
      </c>
      <c r="H13444" s="6" t="n">
        <f aca="false">(Sens!H13422+Sens!H13443)*Sens!H13442/1000</f>
        <v>162.260804347512</v>
      </c>
      <c r="I13444" s="6" t="n">
        <f aca="false">(Sens!I13422+Sens!I13443)*Sens!I13442/1000</f>
        <v>144.136569485434</v>
      </c>
      <c r="J13444" s="6" t="n">
        <f aca="false">(Sens!J13422+Sens!J13443)*Sens!J13442/1000</f>
        <v>114.029037357864</v>
      </c>
      <c r="K13444" s="6" t="n">
        <f aca="false">(Sens!K13422+Sens!K13443)*Sens!K13442/1000</f>
        <v>113.437085350975</v>
      </c>
    </row>
    <row r="13445" customFormat="false" ht="17.15" hidden="false" customHeight="false" outlineLevel="0" collapsed="false">
      <c r="A13445" s="0" t="s">
        <v>992</v>
      </c>
      <c r="B13445" s="0" t="s">
        <v>98</v>
      </c>
      <c r="C13445" s="6" t="n">
        <f aca="false">Sens!C13422*self_build*tk_cxfac/1000</f>
        <v>6.2083</v>
      </c>
      <c r="D13445" s="6" t="n">
        <f aca="false">Sens!D13422*self_build*tk_cxfac/1000</f>
        <v>9.3758</v>
      </c>
      <c r="E13445" s="6" t="n">
        <f aca="false">Sens!E13422*self_build*tk_cxfac/1000</f>
        <v>18.6249</v>
      </c>
      <c r="F13445" s="6" t="n">
        <f aca="false">Sens!F13422*self_build*tk_cxfac/1000</f>
        <v>31.935179717</v>
      </c>
      <c r="G13445" s="6" t="n">
        <f aca="false">Sens!G13422*self_build*tk_cxfac/1000</f>
        <v>34.545199717</v>
      </c>
      <c r="H13445" s="6" t="n">
        <f aca="false">Sens!H13422*self_build*tk_cxfac/1000</f>
        <v>34.545199717</v>
      </c>
      <c r="I13445" s="6" t="n">
        <f aca="false">Sens!I13422*self_build*tk_cxfac/1000</f>
        <v>24.4782641361767</v>
      </c>
      <c r="J13445" s="6" t="n">
        <f aca="false">Sens!J13422*self_build*tk_cxfac/1000</f>
        <v>14.9008938380769</v>
      </c>
      <c r="K13445" s="6" t="n">
        <f aca="false">Sens!K13422*self_build*tk_cxfac/1000</f>
        <v>5.52576771375761</v>
      </c>
    </row>
    <row r="13446" customFormat="false" ht="17.15" hidden="false" customHeight="false" outlineLevel="0" collapsed="false">
      <c r="A13446" s="0" t="s">
        <v>993</v>
      </c>
      <c r="B13446" s="0" t="s">
        <v>98</v>
      </c>
      <c r="F13446" s="15" t="n">
        <f aca="false">capex_floor27-Sens!F13444-Sens!F13445-Sens!F13542</f>
        <v>1.94586576753863E-005</v>
      </c>
      <c r="L13446" s="12" t="s">
        <v>994</v>
      </c>
    </row>
    <row r="13447" customFormat="false" ht="17.15" hidden="false" customHeight="false" outlineLevel="0" collapsed="false">
      <c r="A13447" s="0" t="s">
        <v>995</v>
      </c>
      <c r="B13447" s="0" t="s">
        <v>98</v>
      </c>
      <c r="F13447" s="6" t="n">
        <f aca="false">MAX(0,Sens!F13446)</f>
        <v>1.94586576753863E-005</v>
      </c>
    </row>
    <row r="13448" customFormat="false" ht="17.15" hidden="false" customHeight="false" outlineLevel="0" collapsed="false">
      <c r="A13448" s="0" t="s">
        <v>996</v>
      </c>
      <c r="B13448" s="0" t="s">
        <v>98</v>
      </c>
      <c r="C13448" s="6" t="n">
        <f aca="false">Sens!C13444</f>
        <v>22.5333845916667</v>
      </c>
      <c r="D13448" s="6" t="n">
        <f aca="false">Sens!D13444</f>
        <v>34.0300093833333</v>
      </c>
      <c r="E13448" s="6" t="n">
        <f aca="false">Sens!E13444</f>
        <v>67.600153775</v>
      </c>
      <c r="F13448" s="6" t="n">
        <f aca="false">Sens!F13444</f>
        <v>136.51872432512</v>
      </c>
      <c r="G13448" s="6" t="n">
        <f aca="false">Sens!G13444</f>
        <v>157.399275932048</v>
      </c>
      <c r="H13448" s="6" t="n">
        <f aca="false">Sens!H13444</f>
        <v>162.260804347512</v>
      </c>
      <c r="I13448" s="6" t="n">
        <f aca="false">Sens!I13444</f>
        <v>144.136569485434</v>
      </c>
      <c r="J13448" s="6" t="n">
        <f aca="false">Sens!J13444</f>
        <v>114.029037357864</v>
      </c>
      <c r="K13448" s="6" t="n">
        <f aca="false">Sens!K13444</f>
        <v>113.437085350975</v>
      </c>
    </row>
    <row r="13449" customFormat="false" ht="17.15" hidden="false" customHeight="false" outlineLevel="0" collapsed="false">
      <c r="A13449" s="0" t="s">
        <v>997</v>
      </c>
      <c r="B13449" s="0" t="s">
        <v>98</v>
      </c>
      <c r="C13449" s="6" t="n">
        <f aca="false">Sens!C13448+Sens!C13445</f>
        <v>28.7416845916667</v>
      </c>
      <c r="D13449" s="6" t="n">
        <f aca="false">Sens!D13448+Sens!D13445</f>
        <v>43.4058093833333</v>
      </c>
      <c r="E13449" s="6" t="n">
        <f aca="false">Sens!E13448+Sens!E13445</f>
        <v>86.225053775</v>
      </c>
      <c r="F13449" s="6" t="n">
        <f aca="false">Sens!F13448+Sens!F13445</f>
        <v>168.45390404212</v>
      </c>
      <c r="G13449" s="6" t="n">
        <f aca="false">Sens!G13448+Sens!G13445</f>
        <v>191.944475649048</v>
      </c>
      <c r="H13449" s="6" t="n">
        <f aca="false">Sens!H13448+Sens!H13445</f>
        <v>196.806004064512</v>
      </c>
      <c r="I13449" s="6" t="n">
        <f aca="false">Sens!I13448+Sens!I13445</f>
        <v>168.61483362161</v>
      </c>
      <c r="J13449" s="6" t="n">
        <f aca="false">Sens!J13448+Sens!J13445</f>
        <v>128.92993119594</v>
      </c>
      <c r="K13449" s="6" t="n">
        <f aca="false">Sens!K13448+Sens!K13445</f>
        <v>118.962853064733</v>
      </c>
      <c r="L13449" s="12" t="s">
        <v>998</v>
      </c>
    </row>
    <row r="13450" customFormat="false" ht="17.15" hidden="false" customHeight="false" outlineLevel="0" collapsed="false">
      <c r="A13450" s="0" t="s">
        <v>999</v>
      </c>
      <c r="B13450" s="0" t="s">
        <v>98</v>
      </c>
      <c r="E13450" s="6" t="n">
        <f aca="false">(Sens!C13448*IF(2&lt;life_it,1,IF(2=life_it,0.5,0))+Sens!D13448*IF(1&lt;life_it,1,IF(1=life_it,0.5,0))+Sens!E13448*0.5)/life_it</f>
        <v>15.0605784770833</v>
      </c>
      <c r="F13450" s="6" t="n">
        <f aca="false">(Sens!C13448*IF(3&lt;life_it,1,IF(3=life_it,0.5,0))+Sens!D13448*IF(2&lt;life_it,1,IF(2=life_it,0.5,0))+Sens!E13448*IF(1&lt;life_it,1,IF(1=life_it,0.5,0))+Sens!F13448*0.5)/life_it</f>
        <v>32.0704849854266</v>
      </c>
      <c r="G13450" s="6" t="n">
        <f aca="false">(Sens!C13448*IF(4&lt;life_it,1,IF(4=life_it,0.5,0))+Sens!D13448*IF(3&lt;life_it,1,IF(3=life_it,0.5,0))+Sens!E13448*IF(2&lt;life_it,1,IF(2=life_it,0.5,0))+Sens!F13448*IF(1&lt;life_it,1,IF(1=life_it,0.5,0))+Sens!G13448*0.5)/life_it</f>
        <v>56.5636516735239</v>
      </c>
      <c r="H13450" s="6" t="n">
        <f aca="false">(Sens!C13448*IF(5&lt;life_it,1,IF(5=life_it,0.5,0))+Sens!D13448*IF(4&lt;life_it,1,IF(4=life_it,0.5,0))+Sens!E13448*IF(3&lt;life_it,1,IF(3=life_it,0.5,0))+Sens!F13448*IF(2&lt;life_it,1,IF(2=life_it,0.5,0))+Sens!G13448*IF(1&lt;life_it,1,IF(1=life_it,0.5,0))+Sens!H13448*0.5)/life_it</f>
        <v>83.2019916968207</v>
      </c>
      <c r="I13450" s="6" t="n">
        <f aca="false">(Sens!C13448*IF(6&lt;life_it,1,IF(6=life_it,0.5,0))+Sens!D13448*IF(5&lt;life_it,1,IF(5=life_it,0.5,0))+Sens!E13448*IF(4&lt;life_it,1,IF(4=life_it,0.5,0))+Sens!F13448*IF(3&lt;life_it,1,IF(3=life_it,0.5,0))+Sens!G13448*IF(2&lt;life_it,1,IF(2=life_it,0.5,0))+Sens!H13448*IF(1&lt;life_it,1,IF(1=life_it,0.5,0))+Sens!I13448*0.5)/life_it</f>
        <v>106.857324133594</v>
      </c>
      <c r="J13450" s="6" t="n">
        <f aca="false">(Sens!C13448*IF(7&lt;life_it,1,IF(7=life_it,0.5,0))+Sens!D13448*IF(6&lt;life_it,1,IF(6=life_it,0.5,0))+Sens!E13448*IF(5&lt;life_it,1,IF(5=life_it,0.5,0))+Sens!F13448*IF(4&lt;life_it,1,IF(4=life_it,0.5,0))+Sens!G13448*IF(3&lt;life_it,1,IF(3=life_it,0.5,0))+Sens!H13448*IF(2&lt;life_it,1,IF(2=life_it,0.5,0))+Sens!I13448*IF(1&lt;life_it,1,IF(1=life_it,0.5,0))+Sens!J13448*0.5)/life_it</f>
        <v>123.657508539285</v>
      </c>
      <c r="K13450" s="6" t="n">
        <f aca="false">(Sens!C13448*IF(8&lt;life_it,1,IF(8=life_it,0.5,0))+Sens!D13448*IF(7&lt;life_it,1,IF(7=life_it,0.5,0))+Sens!E13448*IF(6&lt;life_it,1,IF(6=life_it,0.5,0))+Sens!F13448*IF(5&lt;life_it,1,IF(5=life_it,0.5,0))+Sens!G13448*IF(4&lt;life_it,1,IF(4=life_it,0.5,0))+Sens!H13448*IF(3&lt;life_it,1,IF(3=life_it,0.5,0))+Sens!I13448*IF(2&lt;life_it,1,IF(2=life_it,0.5,0))+Sens!J13448*IF(1&lt;life_it,1,IF(1=life_it,0.5,0))+Sens!K13448*0.5)/life_it</f>
        <v>134.143838501827</v>
      </c>
    </row>
    <row r="13451" customFormat="false" ht="17.15" hidden="false" customHeight="false" outlineLevel="0" collapsed="false">
      <c r="A13451" s="0" t="s">
        <v>1000</v>
      </c>
      <c r="B13451" s="0" t="s">
        <v>98</v>
      </c>
      <c r="E13451" s="6" t="n">
        <f aca="false">(Sens!C13445*IF(2&lt;life_fac,1,IF(2=life_fac,0.5,0))+Sens!D13445*IF(1&lt;life_fac,1,IF(1=life_fac,0.5,0))+Sens!E13445*0.5)/life_fac</f>
        <v>1.2448275</v>
      </c>
      <c r="F13451" s="6" t="n">
        <f aca="false">(Sens!C13445*IF(3&lt;life_fac,1,IF(3=life_fac,0.5,0))+Sens!D13445*IF(2&lt;life_fac,1,IF(2=life_fac,0.5,0))+Sens!E13445*IF(1&lt;life_fac,1,IF(1=life_fac,0.5,0))+Sens!F13445*0.5)/life_fac</f>
        <v>2.508829492925</v>
      </c>
      <c r="G13451" s="6" t="n">
        <f aca="false">(Sens!C13445*IF(4&lt;life_fac,1,IF(4=life_fac,0.5,0))+Sens!D13445*IF(3&lt;life_fac,1,IF(3=life_fac,0.5,0))+Sens!E13445*IF(2&lt;life_fac,1,IF(2=life_fac,0.5,0))+Sens!F13445*IF(1&lt;life_fac,1,IF(1=life_fac,0.5,0))+Sens!G13445*0.5)/life_fac</f>
        <v>4.170838978775</v>
      </c>
      <c r="H13451" s="6" t="n">
        <f aca="false">(Sens!C13445*IF(5&lt;life_fac,1,IF(5=life_fac,0.5,0))+Sens!D13445*IF(4&lt;life_fac,1,IF(4=life_fac,0.5,0))+Sens!E13445*IF(3&lt;life_fac,1,IF(3=life_fac,0.5,0))+Sens!F13445*IF(2&lt;life_fac,1,IF(2=life_fac,0.5,0))+Sens!G13445*IF(1&lt;life_fac,1,IF(1=life_fac,0.5,0))+Sens!H13445*0.5)/life_fac</f>
        <v>5.898098964625</v>
      </c>
      <c r="I13451" s="6" t="n">
        <f aca="false">(Sens!C13445*IF(6&lt;life_fac,1,IF(6=life_fac,0.5,0))+Sens!D13445*IF(5&lt;life_fac,1,IF(5=life_fac,0.5,0))+Sens!E13445*IF(4&lt;life_fac,1,IF(4=life_fac,0.5,0))+Sens!F13445*IF(3&lt;life_fac,1,IF(3=life_fac,0.5,0))+Sens!G13445*IF(2&lt;life_fac,1,IF(2=life_fac,0.5,0))+Sens!H13445*IF(1&lt;life_fac,1,IF(1=life_fac,0.5,0))+Sens!I13445*0.5)/life_fac</f>
        <v>7.37368556095442</v>
      </c>
      <c r="J13451" s="6" t="n">
        <f aca="false">(Sens!C13445*IF(7&lt;life_fac,1,IF(7=life_fac,0.5,0))+Sens!D13445*IF(6&lt;life_fac,1,IF(6=life_fac,0.5,0))+Sens!E13445*IF(5&lt;life_fac,1,IF(5=life_fac,0.5,0))+Sens!F13445*IF(4&lt;life_fac,1,IF(4=life_fac,0.5,0))+Sens!G13445*IF(3&lt;life_fac,1,IF(3=life_fac,0.5,0))+Sens!H13445*IF(2&lt;life_fac,1,IF(2=life_fac,0.5,0))+Sens!I13445*IF(1&lt;life_fac,1,IF(1=life_fac,0.5,0))+Sens!J13445*0.5)/life_fac</f>
        <v>8.35816451031075</v>
      </c>
      <c r="K13451" s="6" t="n">
        <f aca="false">(Sens!C13445*IF(8&lt;life_fac,1,IF(8=life_fac,0.5,0))+Sens!D13445*IF(7&lt;life_fac,1,IF(7=life_fac,0.5,0))+Sens!E13445*IF(6&lt;life_fac,1,IF(6=life_fac,0.5,0))+Sens!F13445*IF(5&lt;life_fac,1,IF(5=life_fac,0.5,0))+Sens!G13445*IF(4&lt;life_fac,1,IF(4=life_fac,0.5,0))+Sens!H13445*IF(3&lt;life_fac,1,IF(3=life_fac,0.5,0))+Sens!I13445*IF(2&lt;life_fac,1,IF(2=life_fac,0.5,0))+Sens!J13445*IF(1&lt;life_fac,1,IF(1=life_fac,0.5,0))+Sens!K13445*0.5)/life_fac</f>
        <v>8.86883104910662</v>
      </c>
    </row>
    <row r="13452" customFormat="false" ht="17.15" hidden="false" customHeight="false" outlineLevel="0" collapsed="false">
      <c r="A13452" s="0" t="s">
        <v>1001</v>
      </c>
      <c r="B13452" s="0" t="s">
        <v>98</v>
      </c>
      <c r="E13452" s="6" t="n">
        <f aca="false">Sens!E13450+Sens!E13451</f>
        <v>16.3054059770833</v>
      </c>
      <c r="F13452" s="6" t="n">
        <f aca="false">Sens!F13450+Sens!F13451</f>
        <v>34.5793144783516</v>
      </c>
      <c r="G13452" s="6" t="n">
        <f aca="false">Sens!G13450+Sens!G13451</f>
        <v>60.7344906522989</v>
      </c>
      <c r="H13452" s="6" t="n">
        <f aca="false">Sens!H13450+Sens!H13451</f>
        <v>89.1000906614457</v>
      </c>
      <c r="I13452" s="6" t="n">
        <f aca="false">Sens!I13450+Sens!I13451</f>
        <v>114.231009694548</v>
      </c>
      <c r="J13452" s="6" t="n">
        <f aca="false">Sens!J13450+Sens!J13451</f>
        <v>132.015673049596</v>
      </c>
      <c r="K13452" s="6" t="n">
        <f aca="false">Sens!K13450+Sens!K13451</f>
        <v>143.012669550934</v>
      </c>
    </row>
    <row r="13453" customFormat="false" ht="17.15" hidden="false" customHeight="false" outlineLevel="0" collapsed="false">
      <c r="A13453" s="0" t="s">
        <v>1002</v>
      </c>
      <c r="B13453" s="0" t="s">
        <v>98</v>
      </c>
      <c r="E13453" s="6" t="n">
        <f aca="false">Sens!E13440-Sens!E13439*Sens!E13452</f>
        <v>8.92707889977379</v>
      </c>
      <c r="F13453" s="6" t="n">
        <f aca="false">Sens!F13440-Sens!F13439*Sens!F13452</f>
        <v>18.7770356668733</v>
      </c>
      <c r="G13453" s="6" t="n">
        <f aca="false">Sens!G13440-Sens!G13439*Sens!G13452</f>
        <v>31.1163641458894</v>
      </c>
      <c r="H13453" s="6" t="n">
        <f aca="false">Sens!H13440-Sens!H13439*Sens!H13452</f>
        <v>43.7262635496428</v>
      </c>
      <c r="I13453" s="6" t="n">
        <f aca="false">Sens!I13440-Sens!I13439*Sens!I13452</f>
        <v>54.7541698336361</v>
      </c>
      <c r="J13453" s="6" t="n">
        <f aca="false">Sens!J13440-Sens!J13439*Sens!J13452</f>
        <v>62.3768819327658</v>
      </c>
      <c r="K13453" s="6" t="n">
        <f aca="false">Sens!K13440-Sens!K13439*Sens!K13452</f>
        <v>67.4820630434748</v>
      </c>
    </row>
    <row r="13454" customFormat="false" ht="17.15" hidden="false" customHeight="false" outlineLevel="0" collapsed="false">
      <c r="A13454" s="3" t="s">
        <v>1816</v>
      </c>
    </row>
    <row r="13455" customFormat="false" ht="15" hidden="false" customHeight="false" outlineLevel="0" collapsed="false">
      <c r="A13455" s="4" t="s">
        <v>43</v>
      </c>
      <c r="B13455" s="4" t="s">
        <v>65</v>
      </c>
      <c r="C13455" s="23" t="s">
        <v>938</v>
      </c>
      <c r="D13455" s="23" t="s">
        <v>939</v>
      </c>
      <c r="E13455" s="23" t="s">
        <v>940</v>
      </c>
      <c r="F13455" s="23" t="s">
        <v>941</v>
      </c>
      <c r="G13455" s="23" t="s">
        <v>942</v>
      </c>
      <c r="H13455" s="23" t="s">
        <v>943</v>
      </c>
      <c r="I13455" s="23" t="s">
        <v>944</v>
      </c>
      <c r="J13455" s="23" t="s">
        <v>945</v>
      </c>
      <c r="K13455" s="23" t="s">
        <v>946</v>
      </c>
      <c r="L13455" s="4" t="s">
        <v>47</v>
      </c>
    </row>
    <row r="13456" customFormat="false" ht="17.15" hidden="false" customHeight="false" outlineLevel="0" collapsed="false">
      <c r="A13456" s="0" t="s">
        <v>1021</v>
      </c>
      <c r="B13456" s="0" t="s">
        <v>98</v>
      </c>
      <c r="D13456" s="6" t="n">
        <f aca="false">Sens!D13434</f>
        <v>12.9359794422418</v>
      </c>
      <c r="E13456" s="6" t="n">
        <f aca="false">Sens!E13434</f>
        <v>27.8095064661409</v>
      </c>
      <c r="F13456" s="6" t="n">
        <f aca="false">Sens!F13434</f>
        <v>55.4118315060966</v>
      </c>
      <c r="G13456" s="6" t="n">
        <f aca="false">Sens!G13434</f>
        <v>91.2881100675143</v>
      </c>
      <c r="H13456" s="6" t="n">
        <f aca="false">Sens!H13434</f>
        <v>128.195273603944</v>
      </c>
      <c r="I13456" s="6" t="n">
        <f aca="false">Sens!I13434</f>
        <v>160.601281810405</v>
      </c>
      <c r="J13456" s="6" t="n">
        <f aca="false">Sens!J13434</f>
        <v>183.182719793589</v>
      </c>
      <c r="K13456" s="6" t="n">
        <f aca="false">Sens!K13434</f>
        <v>197.320124937098</v>
      </c>
    </row>
    <row r="13457" customFormat="false" ht="17.15" hidden="false" customHeight="false" outlineLevel="0" collapsed="false">
      <c r="A13457" s="0" t="s">
        <v>1022</v>
      </c>
      <c r="B13457" s="0" t="s">
        <v>98</v>
      </c>
      <c r="D13457" s="6" t="n">
        <f aca="false">Q!L6-Sens!D13456</f>
        <v>59.6740205577583</v>
      </c>
      <c r="E13457" s="6" t="n">
        <f aca="false">Q!M6-Sens!E13456</f>
        <v>74.1284935338591</v>
      </c>
      <c r="F13457" s="6" t="n">
        <f aca="false">Q!$I$6+(Sens!F13456+Sens!E13457*(1+Sens!F13458))*(1-Q!$E$6/Q!M6)-Sens!F13456</f>
        <v>91.2972164940844</v>
      </c>
      <c r="G13457" s="6" t="n">
        <f aca="false">Sens!F13457*(1+Sens!G13458)</f>
        <v>108.474719793879</v>
      </c>
      <c r="H13457" s="6" t="n">
        <f aca="false">Sens!G13457*(1+Sens!H13458)</f>
        <v>125.951292505701</v>
      </c>
      <c r="I13457" s="6" t="n">
        <f aca="false">Sens!H13457*(1+Sens!I13458)</f>
        <v>142.838165154212</v>
      </c>
      <c r="J13457" s="6" t="n">
        <f aca="false">Sens!I13457*(1+Sens!J13458)</f>
        <v>158.12717866615</v>
      </c>
      <c r="K13457" s="6" t="n">
        <f aca="false">Sens!J13457*(1+Sens!K13458)</f>
        <v>170.777352959442</v>
      </c>
      <c r="L13457" s="12" t="s">
        <v>1023</v>
      </c>
    </row>
    <row r="13458" customFormat="false" ht="15" hidden="false" customHeight="false" outlineLevel="0" collapsed="false">
      <c r="A13458" s="1" t="s">
        <v>1024</v>
      </c>
      <c r="B13458" s="0" t="s">
        <v>168</v>
      </c>
      <c r="E13458" s="7" t="n">
        <f aca="false">Sens!E13457/Sens!D13457-1</f>
        <v>0.242223883039864</v>
      </c>
      <c r="F13458" s="7" t="n">
        <f aca="false">Sens!$E$13458+(glt_azo-Sens!$E$13458)*MIN(1,(Sens!F13415-base_fy)/n_conv)</f>
        <v>0.215186569199887</v>
      </c>
      <c r="G13458" s="7" t="n">
        <f aca="false">Sens!$E$13458+(glt_azo-Sens!$E$13458)*MIN(1,(Sens!G13415-base_fy)/n_conv)</f>
        <v>0.18814925535991</v>
      </c>
      <c r="H13458" s="7" t="n">
        <f aca="false">Sens!$E$13458+(glt_azo-Sens!$E$13458)*MIN(1,(Sens!H13415-base_fy)/n_conv)</f>
        <v>0.161111941519932</v>
      </c>
      <c r="I13458" s="7" t="n">
        <f aca="false">Sens!$E$13458+(glt_azo-Sens!$E$13458)*MIN(1,(Sens!I13415-base_fy)/n_conv)</f>
        <v>0.134074627679955</v>
      </c>
      <c r="J13458" s="7" t="n">
        <f aca="false">Sens!$E$13458+(glt_azo-Sens!$E$13458)*MIN(1,(Sens!J13415-base_fy)/n_conv)</f>
        <v>0.107037313839977</v>
      </c>
      <c r="K13458" s="7" t="n">
        <f aca="false">Sens!$E$13458+(glt_azo-Sens!$E$13458)*MIN(1,(Sens!K13415-base_fy)/n_conv)</f>
        <v>0.08</v>
      </c>
    </row>
    <row r="13459" customFormat="false" ht="15" hidden="false" customHeight="false" outlineLevel="0" collapsed="false">
      <c r="A13459" s="0" t="s">
        <v>1025</v>
      </c>
      <c r="B13459" s="0" t="s">
        <v>98</v>
      </c>
      <c r="D13459" s="6" t="n">
        <f aca="false">Sens!D13456+Sens!D13457</f>
        <v>72.61</v>
      </c>
      <c r="E13459" s="6" t="n">
        <f aca="false">Sens!E13456+Sens!E13457</f>
        <v>101.938</v>
      </c>
      <c r="F13459" s="6" t="n">
        <f aca="false">Sens!F13456+Sens!F13457</f>
        <v>146.709048000181</v>
      </c>
      <c r="G13459" s="6" t="n">
        <f aca="false">Sens!G13456+Sens!G13457</f>
        <v>199.762829861393</v>
      </c>
      <c r="H13459" s="6" t="n">
        <f aca="false">Sens!H13456+Sens!H13457</f>
        <v>254.146566109645</v>
      </c>
      <c r="I13459" s="6" t="n">
        <f aca="false">Sens!I13456+Sens!I13457</f>
        <v>303.439446964617</v>
      </c>
      <c r="J13459" s="6" t="n">
        <f aca="false">Sens!J13456+Sens!J13457</f>
        <v>341.309898459739</v>
      </c>
      <c r="K13459" s="6" t="n">
        <f aca="false">Sens!K13456+Sens!K13457</f>
        <v>368.09747789654</v>
      </c>
    </row>
    <row r="13460" customFormat="false" ht="17.15" hidden="false" customHeight="false" outlineLevel="0" collapsed="false">
      <c r="A13460" s="0" t="s">
        <v>1026</v>
      </c>
      <c r="B13460" s="1" t="s">
        <v>610</v>
      </c>
      <c r="C13460" s="30" t="n">
        <f aca="false">cop_s24</f>
        <v>1</v>
      </c>
      <c r="D13460" s="30" t="n">
        <f aca="false">cop_s25</f>
        <v>5</v>
      </c>
      <c r="E13460" s="30" t="n">
        <f aca="false">cop_s26</f>
        <v>30</v>
      </c>
      <c r="F13460" s="30" t="n">
        <f aca="false">Sens!E13460+cop_add_B</f>
        <v>50</v>
      </c>
      <c r="G13460" s="30" t="n">
        <f aca="false">Sens!F13460+cop_add_B</f>
        <v>70</v>
      </c>
      <c r="H13460" s="30" t="n">
        <f aca="false">Sens!G13460+cop_add_B</f>
        <v>90</v>
      </c>
      <c r="I13460" s="30" t="n">
        <f aca="false">Sens!H13460+cop_add_B*cop_tail</f>
        <v>100</v>
      </c>
      <c r="J13460" s="30" t="n">
        <f aca="false">Sens!I13460+cop_add_B*cop_tail</f>
        <v>110</v>
      </c>
      <c r="K13460" s="30" t="n">
        <f aca="false">Sens!J13460+cop_add_B*cop_tail</f>
        <v>120</v>
      </c>
      <c r="L13460" s="12" t="s">
        <v>1027</v>
      </c>
    </row>
    <row r="13461" customFormat="false" ht="17.15" hidden="false" customHeight="false" outlineLevel="0" collapsed="false">
      <c r="A13461" s="0" t="s">
        <v>1028</v>
      </c>
      <c r="B13461" s="0" t="s">
        <v>98</v>
      </c>
      <c r="D13461" s="6" t="n">
        <f aca="false">(Sens!C13460+Sens!D13460)/2*cop_px*12/1000</f>
        <v>0.9</v>
      </c>
      <c r="E13461" s="6" t="n">
        <f aca="false">(Sens!D13460+Sens!E13460)/2*cop_px*12/1000</f>
        <v>5.25</v>
      </c>
      <c r="F13461" s="6" t="n">
        <f aca="false">(Sens!E13460+Sens!F13460)/2*cop_px*12/1000</f>
        <v>12</v>
      </c>
      <c r="G13461" s="6" t="n">
        <f aca="false">(Sens!F13460+Sens!G13460)/2*cop_px*12/1000</f>
        <v>18</v>
      </c>
      <c r="H13461" s="6" t="n">
        <f aca="false">(Sens!G13460+Sens!H13460)/2*cop_px*12/1000</f>
        <v>24</v>
      </c>
      <c r="I13461" s="6" t="n">
        <f aca="false">(Sens!H13460+Sens!I13460)/2*cop_px*12/1000</f>
        <v>28.5</v>
      </c>
      <c r="J13461" s="6" t="n">
        <f aca="false">(Sens!I13460+Sens!J13460)/2*cop_px*12/1000</f>
        <v>31.5</v>
      </c>
      <c r="K13461" s="6" t="n">
        <f aca="false">(Sens!J13460+Sens!K13460)/2*cop_px*12/1000</f>
        <v>34.5</v>
      </c>
      <c r="L13461" s="1" t="s">
        <v>1029</v>
      </c>
    </row>
    <row r="13462" customFormat="false" ht="17.15" hidden="false" customHeight="false" outlineLevel="0" collapsed="false">
      <c r="A13462" s="0" t="s">
        <v>1030</v>
      </c>
      <c r="B13462" s="0" t="s">
        <v>98</v>
      </c>
      <c r="D13462" s="6" t="n">
        <f aca="false">Q!L7-Sens!D13461</f>
        <v>83.705</v>
      </c>
      <c r="E13462" s="6" t="n">
        <f aca="false">Q!M7-Sens!E13461</f>
        <v>95.049</v>
      </c>
      <c r="F13462" s="6" t="n">
        <f aca="false">Q!$I$7+(Sens!E13462*(1+Sens!F13463)+Sens!F13461)*(1-Q!$E$7/Q!M7)-Sens!F13461</f>
        <v>106.584003697747</v>
      </c>
      <c r="G13462" s="6" t="n">
        <f aca="false">Sens!F13462*(1+Sens!G13463)</f>
        <v>118.700726545688</v>
      </c>
      <c r="H13462" s="6" t="n">
        <f aca="false">Sens!G13462*(1+Sens!H13463)</f>
        <v>130.898624783666</v>
      </c>
      <c r="I13462" s="6" t="n">
        <f aca="false">Sens!H13462*(1+Sens!I13463)</f>
        <v>142.920510030657</v>
      </c>
      <c r="J13462" s="6" t="n">
        <f aca="false">Sens!I13462*(1+Sens!J13463)</f>
        <v>154.485722618572</v>
      </c>
      <c r="K13462" s="6" t="n">
        <f aca="false">Sens!J13462*(1+Sens!K13463)</f>
        <v>165.299723201872</v>
      </c>
      <c r="L13462" s="12" t="s">
        <v>1031</v>
      </c>
    </row>
    <row r="13463" customFormat="false" ht="15" hidden="false" customHeight="false" outlineLevel="0" collapsed="false">
      <c r="A13463" s="1" t="s">
        <v>1024</v>
      </c>
      <c r="B13463" s="0" t="s">
        <v>168</v>
      </c>
      <c r="E13463" s="7" t="n">
        <f aca="false">Sens!E13462/Sens!D13462-1</f>
        <v>0.135523564900544</v>
      </c>
      <c r="F13463" s="7" t="n">
        <f aca="false">Sens!$E$13463+(glt_m365b-Sens!$E$13463)*MIN(1,(Sens!F13415-base_fy)/n_conv)</f>
        <v>0.124602970750453</v>
      </c>
      <c r="G13463" s="7" t="n">
        <f aca="false">Sens!$E$13463+(glt_m365b-Sens!$E$13463)*MIN(1,(Sens!G13415-base_fy)/n_conv)</f>
        <v>0.113682376600363</v>
      </c>
      <c r="H13463" s="7" t="n">
        <f aca="false">Sens!$E$13463+(glt_m365b-Sens!$E$13463)*MIN(1,(Sens!H13415-base_fy)/n_conv)</f>
        <v>0.102761782450272</v>
      </c>
      <c r="I13463" s="7" t="n">
        <f aca="false">Sens!$E$13463+(glt_m365b-Sens!$E$13463)*MIN(1,(Sens!I13415-base_fy)/n_conv)</f>
        <v>0.0918411883001813</v>
      </c>
      <c r="J13463" s="7" t="n">
        <f aca="false">Sens!$E$13463+(glt_m365b-Sens!$E$13463)*MIN(1,(Sens!J13415-base_fy)/n_conv)</f>
        <v>0.0809205941500906</v>
      </c>
      <c r="K13463" s="7" t="n">
        <f aca="false">Sens!$E$13463+(glt_m365b-Sens!$E$13463)*MIN(1,(Sens!K13415-base_fy)/n_conv)</f>
        <v>0.07</v>
      </c>
    </row>
    <row r="13464" customFormat="false" ht="15" hidden="false" customHeight="false" outlineLevel="0" collapsed="false">
      <c r="A13464" s="0" t="s">
        <v>1032</v>
      </c>
      <c r="B13464" s="0" t="s">
        <v>98</v>
      </c>
      <c r="D13464" s="6" t="n">
        <f aca="false">Sens!D13462+Sens!D13461</f>
        <v>84.605</v>
      </c>
      <c r="E13464" s="6" t="n">
        <f aca="false">Sens!E13462+Sens!E13461</f>
        <v>100.299</v>
      </c>
      <c r="F13464" s="6" t="n">
        <f aca="false">Sens!F13462+Sens!F13461</f>
        <v>118.584003697747</v>
      </c>
      <c r="G13464" s="6" t="n">
        <f aca="false">Sens!G13462+Sens!G13461</f>
        <v>136.700726545688</v>
      </c>
      <c r="H13464" s="6" t="n">
        <f aca="false">Sens!H13462+Sens!H13461</f>
        <v>154.898624783666</v>
      </c>
      <c r="I13464" s="6" t="n">
        <f aca="false">Sens!I13462+Sens!I13461</f>
        <v>171.420510030657</v>
      </c>
      <c r="J13464" s="6" t="n">
        <f aca="false">Sens!J13462+Sens!J13461</f>
        <v>185.985722618572</v>
      </c>
      <c r="K13464" s="6" t="n">
        <f aca="false">Sens!K13462+Sens!K13461</f>
        <v>199.799723201872</v>
      </c>
    </row>
    <row r="13465" customFormat="false" ht="17.15" hidden="false" customHeight="false" outlineLevel="0" collapsed="false">
      <c r="A13465" s="0" t="s">
        <v>1033</v>
      </c>
      <c r="B13465" s="0" t="s">
        <v>98</v>
      </c>
      <c r="D13465" s="6" t="n">
        <f aca="false">Q!L8</f>
        <v>35.391</v>
      </c>
      <c r="E13465" s="6" t="n">
        <f aca="false">Q!M8</f>
        <v>37.285</v>
      </c>
      <c r="F13465" s="6" t="n">
        <f aca="false">Q!$I$8+(Q!M8-Q!$E$8)*(1+Sens!F13466)</f>
        <v>38.3851437782675</v>
      </c>
      <c r="G13465" s="6" t="n">
        <f aca="false">Sens!F13465*(1+Sens!G13466)</f>
        <v>40.0105353288615</v>
      </c>
      <c r="H13465" s="6" t="n">
        <f aca="false">Sens!G13465*(1+Sens!H13466)</f>
        <v>41.4812512033683</v>
      </c>
      <c r="I13465" s="6" t="n">
        <f aca="false">Sens!H13465*(1+Sens!I13466)</f>
        <v>42.7743107216329</v>
      </c>
      <c r="J13465" s="6" t="n">
        <f aca="false">Sens!I13465*(1+Sens!J13466)</f>
        <v>43.8687373064601</v>
      </c>
      <c r="K13465" s="6" t="n">
        <f aca="false">Sens!J13465*(1+Sens!K13466)</f>
        <v>44.7461120525893</v>
      </c>
      <c r="L13465" s="12" t="s">
        <v>1034</v>
      </c>
    </row>
    <row r="13466" customFormat="false" ht="15" hidden="false" customHeight="false" outlineLevel="0" collapsed="false">
      <c r="A13466" s="1" t="s">
        <v>1024</v>
      </c>
      <c r="B13466" s="0" t="s">
        <v>168</v>
      </c>
      <c r="E13466" s="7" t="n">
        <f aca="false">Sens!E13465/Sens!D13465-1</f>
        <v>0.0535164307309768</v>
      </c>
      <c r="F13466" s="7" t="n">
        <f aca="false">Sens!$E$13466+(glt_lic-Sens!$E$13466)*MIN(1,(Sens!F13415-base_fy)/n_conv)</f>
        <v>0.0479303589424807</v>
      </c>
      <c r="G13466" s="7" t="n">
        <f aca="false">Sens!$E$13466+(glt_lic-Sens!$E$13466)*MIN(1,(Sens!G13415-base_fy)/n_conv)</f>
        <v>0.0423442871539845</v>
      </c>
      <c r="H13466" s="7" t="n">
        <f aca="false">Sens!$E$13466+(glt_lic-Sens!$E$13466)*MIN(1,(Sens!H13415-base_fy)/n_conv)</f>
        <v>0.0367582153654884</v>
      </c>
      <c r="I13466" s="7" t="n">
        <f aca="false">Sens!$E$13466+(glt_lic-Sens!$E$13466)*MIN(1,(Sens!I13415-base_fy)/n_conv)</f>
        <v>0.0311721435769923</v>
      </c>
      <c r="J13466" s="7" t="n">
        <f aca="false">Sens!$E$13466+(glt_lic-Sens!$E$13466)*MIN(1,(Sens!J13415-base_fy)/n_conv)</f>
        <v>0.0255860717884961</v>
      </c>
      <c r="K13466" s="7" t="n">
        <f aca="false">Sens!$E$13466+(glt_lic-Sens!$E$13466)*MIN(1,(Sens!K13415-base_fy)/n_conv)</f>
        <v>0.02</v>
      </c>
    </row>
    <row r="13467" customFormat="false" ht="17.15" hidden="false" customHeight="false" outlineLevel="0" collapsed="false">
      <c r="A13467" s="0" t="s">
        <v>1035</v>
      </c>
      <c r="B13467" s="0" t="s">
        <v>98</v>
      </c>
      <c r="D13467" s="6" t="n">
        <f aca="false">Q!L9</f>
        <v>18.417</v>
      </c>
      <c r="E13467" s="6" t="n">
        <f aca="false">Q!M9</f>
        <v>20.345</v>
      </c>
      <c r="F13467" s="6" t="n">
        <f aca="false">Q!$I$9+(Q!M9-Q!$E$9)*(1+Sens!F13468)</f>
        <v>22.3161797133988</v>
      </c>
      <c r="G13467" s="6" t="n">
        <f aca="false">Sens!F13467*(1+Sens!G13468)</f>
        <v>24.3943499673233</v>
      </c>
      <c r="H13467" s="6" t="n">
        <f aca="false">Sens!G13467*(1+Sens!H13468)</f>
        <v>26.5250243109019</v>
      </c>
      <c r="I13467" s="6" t="n">
        <f aca="false">Sens!H13467*(1+Sens!I13468)</f>
        <v>28.6884573538181</v>
      </c>
      <c r="J13467" s="6" t="n">
        <f aca="false">Sens!I13467*(1+Sens!J13468)</f>
        <v>30.8624968052127</v>
      </c>
      <c r="K13467" s="6" t="n">
        <f aca="false">Sens!J13467*(1+Sens!K13468)</f>
        <v>33.0228715815776</v>
      </c>
      <c r="L13467" s="12" t="s">
        <v>1034</v>
      </c>
    </row>
    <row r="13468" customFormat="false" ht="15" hidden="false" customHeight="false" outlineLevel="0" collapsed="false">
      <c r="A13468" s="1" t="s">
        <v>1024</v>
      </c>
      <c r="B13468" s="0" t="s">
        <v>168</v>
      </c>
      <c r="E13468" s="7" t="n">
        <f aca="false">Sens!E13467/Sens!D13467-1</f>
        <v>0.104685888038225</v>
      </c>
      <c r="F13468" s="7" t="n">
        <f aca="false">Sens!$E$13468+(glt_ind-Sens!$E$13468)*MIN(1,(Sens!F13415-base_fy)/n_conv)</f>
        <v>0.0989049066985211</v>
      </c>
      <c r="G13468" s="7" t="n">
        <f aca="false">Sens!$E$13468+(glt_ind-Sens!$E$13468)*MIN(1,(Sens!G13415-base_fy)/n_conv)</f>
        <v>0.0931239253588169</v>
      </c>
      <c r="H13468" s="7" t="n">
        <f aca="false">Sens!$E$13468+(glt_ind-Sens!$E$13468)*MIN(1,(Sens!H13415-base_fy)/n_conv)</f>
        <v>0.0873429440191127</v>
      </c>
      <c r="I13468" s="7" t="n">
        <f aca="false">Sens!$E$13468+(glt_ind-Sens!$E$13468)*MIN(1,(Sens!I13415-base_fy)/n_conv)</f>
        <v>0.0815619626794085</v>
      </c>
      <c r="J13468" s="7" t="n">
        <f aca="false">Sens!$E$13468+(glt_ind-Sens!$E$13468)*MIN(1,(Sens!J13415-base_fy)/n_conv)</f>
        <v>0.0757809813397042</v>
      </c>
      <c r="K13468" s="7" t="n">
        <f aca="false">Sens!$E$13468+(glt_ind-Sens!$E$13468)*MIN(1,(Sens!K13415-base_fy)/n_conv)</f>
        <v>0.07</v>
      </c>
    </row>
    <row r="13469" customFormat="false" ht="17.15" hidden="false" customHeight="false" outlineLevel="0" collapsed="false">
      <c r="A13469" s="0" t="s">
        <v>1036</v>
      </c>
      <c r="B13469" s="0" t="s">
        <v>98</v>
      </c>
      <c r="D13469" s="6" t="n">
        <f aca="false">Q!L10</f>
        <v>7.76</v>
      </c>
      <c r="E13469" s="6" t="n">
        <f aca="false">Q!M10</f>
        <v>8.26</v>
      </c>
      <c r="F13469" s="6" t="n">
        <f aca="false">Q!$I$10+(Q!M10-Q!$E$10)*(1+Sens!F13470)</f>
        <v>8.75372082474227</v>
      </c>
      <c r="G13469" s="6" t="n">
        <f aca="false">Sens!F13469*(1+Sens!G13470)</f>
        <v>9.33399324642364</v>
      </c>
      <c r="H13469" s="6" t="n">
        <f aca="false">Sens!G13469*(1+Sens!H13470)</f>
        <v>9.96139155535851</v>
      </c>
      <c r="I13469" s="6" t="n">
        <f aca="false">Sens!H13469*(1+Sens!I13470)</f>
        <v>10.6402039077391</v>
      </c>
      <c r="J13469" s="6" t="n">
        <f aca="false">Sens!I13469*(1+Sens!J13470)</f>
        <v>11.3751458271397</v>
      </c>
      <c r="K13469" s="6" t="n">
        <f aca="false">Sens!J13469*(1+Sens!K13470)</f>
        <v>12.1714060350394</v>
      </c>
      <c r="L13469" s="12" t="s">
        <v>1034</v>
      </c>
    </row>
    <row r="13470" customFormat="false" ht="15" hidden="false" customHeight="false" outlineLevel="0" collapsed="false">
      <c r="A13470" s="1" t="s">
        <v>1024</v>
      </c>
      <c r="B13470" s="0" t="s">
        <v>168</v>
      </c>
      <c r="E13470" s="7" t="n">
        <f aca="false">Sens!E13469/Sens!D13469-1</f>
        <v>0.0644329896907216</v>
      </c>
      <c r="F13470" s="7" t="n">
        <f aca="false">Sens!$E$13470+(glt_fro-Sens!$E$13470)*MIN(1,(Sens!F13415-base_fy)/n_conv)</f>
        <v>0.065360824742268</v>
      </c>
      <c r="G13470" s="7" t="n">
        <f aca="false">Sens!$E$13470+(glt_fro-Sens!$E$13470)*MIN(1,(Sens!G13415-base_fy)/n_conv)</f>
        <v>0.0662886597938144</v>
      </c>
      <c r="H13470" s="7" t="n">
        <f aca="false">Sens!$E$13470+(glt_fro-Sens!$E$13470)*MIN(1,(Sens!H13415-base_fy)/n_conv)</f>
        <v>0.0672164948453608</v>
      </c>
      <c r="I13470" s="7" t="n">
        <f aca="false">Sens!$E$13470+(glt_fro-Sens!$E$13470)*MIN(1,(Sens!I13415-base_fy)/n_conv)</f>
        <v>0.0681443298969072</v>
      </c>
      <c r="J13470" s="7" t="n">
        <f aca="false">Sens!$E$13470+(glt_fro-Sens!$E$13470)*MIN(1,(Sens!J13415-base_fy)/n_conv)</f>
        <v>0.0690721649484536</v>
      </c>
      <c r="K13470" s="7" t="n">
        <f aca="false">Sens!$E$13470+(glt_fro-Sens!$E$13470)*MIN(1,(Sens!K13415-base_fy)/n_conv)</f>
        <v>0.07</v>
      </c>
    </row>
    <row r="13471" customFormat="false" ht="15" hidden="false" customHeight="false" outlineLevel="0" collapsed="false">
      <c r="A13471" s="0" t="s">
        <v>852</v>
      </c>
      <c r="B13471" s="0" t="s">
        <v>98</v>
      </c>
      <c r="D13471" s="6" t="n">
        <f aca="false">Sens!D13459+Sens!D13464+Sens!D13465+Sens!D13467+Sens!D13469</f>
        <v>218.783</v>
      </c>
      <c r="E13471" s="6" t="n">
        <f aca="false">Sens!E13459+Sens!E13464+Sens!E13465+Sens!E13467+Sens!E13469</f>
        <v>268.127</v>
      </c>
      <c r="F13471" s="6" t="n">
        <f aca="false">Sens!F13459+Sens!F13464+Sens!F13465+Sens!F13467+Sens!F13469</f>
        <v>334.748096014336</v>
      </c>
      <c r="G13471" s="6" t="n">
        <f aca="false">Sens!G13459+Sens!G13464+Sens!G13465+Sens!G13467+Sens!G13469</f>
        <v>410.20243494969</v>
      </c>
      <c r="H13471" s="6" t="n">
        <f aca="false">Sens!H13459+Sens!H13464+Sens!H13465+Sens!H13467+Sens!H13469</f>
        <v>487.012857962939</v>
      </c>
      <c r="I13471" s="6" t="n">
        <f aca="false">Sens!I13459+Sens!I13464+Sens!I13465+Sens!I13467+Sens!I13469</f>
        <v>556.962928978464</v>
      </c>
      <c r="J13471" s="6" t="n">
        <f aca="false">Sens!J13459+Sens!J13464+Sens!J13465+Sens!J13467+Sens!J13469</f>
        <v>613.402001017124</v>
      </c>
      <c r="K13471" s="6" t="n">
        <f aca="false">Sens!K13459+Sens!K13464+Sens!K13465+Sens!K13467+Sens!K13469</f>
        <v>657.837590767618</v>
      </c>
    </row>
    <row r="13472" customFormat="false" ht="17.15" hidden="false" customHeight="false" outlineLevel="0" collapsed="false">
      <c r="A13472" s="0" t="s">
        <v>1037</v>
      </c>
      <c r="B13472" s="0" t="s">
        <v>98</v>
      </c>
      <c r="D13472" s="6" t="n">
        <f aca="false">Q!L13</f>
        <v>22.171</v>
      </c>
      <c r="E13472" s="6" t="n">
        <f aca="false">Q!M13</f>
        <v>24.835</v>
      </c>
      <c r="F13472" s="6" t="n">
        <f aca="false">Q!$I$13+(Q!M13-Q!$E$13)*(1+Sens!F13473)</f>
        <v>27.5591895660247</v>
      </c>
      <c r="G13472" s="6" t="n">
        <f aca="false">Sens!F13472*(1+Sens!G13473)</f>
        <v>30.4098563144583</v>
      </c>
      <c r="H13472" s="6" t="n">
        <f aca="false">Sens!G13472*(1+Sens!H13473)</f>
        <v>33.3011792571777</v>
      </c>
      <c r="I13472" s="6" t="n">
        <f aca="false">Sens!H13472*(1+Sens!I13473)</f>
        <v>36.189023797112</v>
      </c>
      <c r="J13472" s="6" t="n">
        <f aca="false">Sens!I13472*(1+Sens!J13473)</f>
        <v>39.0247773769199</v>
      </c>
      <c r="K13472" s="6" t="n">
        <f aca="false">Sens!J13472*(1+Sens!K13473)</f>
        <v>41.7565117933043</v>
      </c>
      <c r="L13472" s="12" t="s">
        <v>1034</v>
      </c>
    </row>
    <row r="13473" customFormat="false" ht="15" hidden="false" customHeight="false" outlineLevel="0" collapsed="false">
      <c r="A13473" s="1" t="s">
        <v>1024</v>
      </c>
      <c r="B13473" s="0" t="s">
        <v>168</v>
      </c>
      <c r="E13473" s="7" t="n">
        <f aca="false">Sens!E13472/Sens!D13472-1</f>
        <v>0.120156961796942</v>
      </c>
      <c r="F13473" s="7" t="n">
        <f aca="false">Sens!$E$13473+(glt_srch-Sens!$E$13473)*MIN(1,(Sens!F13415-base_fy)/n_conv)</f>
        <v>0.111797468164118</v>
      </c>
      <c r="G13473" s="7" t="n">
        <f aca="false">Sens!$E$13473+(glt_srch-Sens!$E$13473)*MIN(1,(Sens!G13415-base_fy)/n_conv)</f>
        <v>0.103437974531295</v>
      </c>
      <c r="H13473" s="7" t="n">
        <f aca="false">Sens!$E$13473+(glt_srch-Sens!$E$13473)*MIN(1,(Sens!H13415-base_fy)/n_conv)</f>
        <v>0.095078480898471</v>
      </c>
      <c r="I13473" s="7" t="n">
        <f aca="false">Sens!$E$13473+(glt_srch-Sens!$E$13473)*MIN(1,(Sens!I13415-base_fy)/n_conv)</f>
        <v>0.0867189872656474</v>
      </c>
      <c r="J13473" s="7" t="n">
        <f aca="false">Sens!$E$13473+(glt_srch-Sens!$E$13473)*MIN(1,(Sens!J13415-base_fy)/n_conv)</f>
        <v>0.0783594936328237</v>
      </c>
      <c r="K13473" s="7" t="n">
        <f aca="false">Sens!$E$13473+(glt_srch-Sens!$E$13473)*MIN(1,(Sens!K13415-base_fy)/n_conv)</f>
        <v>0.07</v>
      </c>
    </row>
    <row r="13474" customFormat="false" ht="17.15" hidden="false" customHeight="false" outlineLevel="0" collapsed="false">
      <c r="A13474" s="0" t="s">
        <v>1038</v>
      </c>
      <c r="B13474" s="0" t="s">
        <v>98</v>
      </c>
      <c r="D13474" s="6" t="n">
        <f aca="false">Q!L14</f>
        <v>23.455</v>
      </c>
      <c r="E13474" s="6" t="n">
        <f aca="false">Q!M14</f>
        <v>21.79</v>
      </c>
      <c r="F13474" s="6" t="n">
        <f aca="false">Q!$I$14+(Q!M14-Q!$E$14)*(1+Sens!F13475)</f>
        <v>20.7520981041711</v>
      </c>
      <c r="G13474" s="6" t="n">
        <f aca="false">Sens!F13474*(1+Sens!G13475)</f>
        <v>19.9083593495882</v>
      </c>
      <c r="H13474" s="6" t="n">
        <f aca="false">Sens!G13474*(1+Sens!H13475)</f>
        <v>19.4008256265831</v>
      </c>
      <c r="I13474" s="6" t="n">
        <f aca="false">Sens!H13474*(1+Sens!I13475)</f>
        <v>19.200434522122</v>
      </c>
      <c r="J13474" s="6" t="n">
        <f aca="false">Sens!I13474*(1+Sens!J13475)</f>
        <v>19.2932782348507</v>
      </c>
      <c r="K13474" s="6" t="n">
        <f aca="false">Sens!J13474*(1+Sens!K13475)</f>
        <v>19.6791437995477</v>
      </c>
      <c r="L13474" s="12" t="s">
        <v>1034</v>
      </c>
    </row>
    <row r="13475" customFormat="false" ht="15" hidden="false" customHeight="false" outlineLevel="0" collapsed="false">
      <c r="A13475" s="1" t="s">
        <v>1024</v>
      </c>
      <c r="B13475" s="0" t="s">
        <v>168</v>
      </c>
      <c r="E13475" s="7" t="n">
        <f aca="false">Sens!E13474/Sens!D13474-1</f>
        <v>-0.0709869963760392</v>
      </c>
      <c r="F13475" s="7" t="n">
        <f aca="false">Sens!$E$13475+(glt_xbox-Sens!$E$13475)*MIN(1,(Sens!F13415-base_fy)/n_conv)</f>
        <v>-0.0558224969800327</v>
      </c>
      <c r="G13475" s="7" t="n">
        <f aca="false">Sens!$E$13475+(glt_xbox-Sens!$E$13475)*MIN(1,(Sens!G13415-base_fy)/n_conv)</f>
        <v>-0.0406579975840262</v>
      </c>
      <c r="H13475" s="7" t="n">
        <f aca="false">Sens!$E$13475+(glt_xbox-Sens!$E$13475)*MIN(1,(Sens!H13415-base_fy)/n_conv)</f>
        <v>-0.0254934981880196</v>
      </c>
      <c r="I13475" s="7" t="n">
        <f aca="false">Sens!$E$13475+(glt_xbox-Sens!$E$13475)*MIN(1,(Sens!I13415-base_fy)/n_conv)</f>
        <v>-0.0103289987920131</v>
      </c>
      <c r="J13475" s="7" t="n">
        <f aca="false">Sens!$E$13475+(glt_xbox-Sens!$E$13475)*MIN(1,(Sens!J13415-base_fy)/n_conv)</f>
        <v>0.00483550060399347</v>
      </c>
      <c r="K13475" s="7" t="n">
        <f aca="false">Sens!$E$13475+(glt_xbox-Sens!$E$13475)*MIN(1,(Sens!K13415-base_fy)/n_conv)</f>
        <v>0.02</v>
      </c>
    </row>
    <row r="13476" customFormat="false" ht="17.15" hidden="false" customHeight="false" outlineLevel="0" collapsed="false">
      <c r="A13476" s="0" t="s">
        <v>1039</v>
      </c>
      <c r="B13476" s="0" t="s">
        <v>98</v>
      </c>
      <c r="D13476" s="6" t="n">
        <f aca="false">Q!L15</f>
        <v>17.315</v>
      </c>
      <c r="E13476" s="6" t="n">
        <f aca="false">Q!M15</f>
        <v>17.087</v>
      </c>
      <c r="F13476" s="6" t="n">
        <f aca="false">Q!$I$15+(Q!M15-Q!$E$15)*(1+Sens!F13477)</f>
        <v>15.9912273250553</v>
      </c>
      <c r="G13476" s="6" t="n">
        <f aca="false">Sens!F13476*(1+Sens!G13477)</f>
        <v>15.9574562664827</v>
      </c>
      <c r="H13476" s="6" t="n">
        <f aca="false">Sens!G13476*(1+Sens!H13477)</f>
        <v>16.0119687434196</v>
      </c>
      <c r="I13476" s="6" t="n">
        <f aca="false">Sens!H13476*(1+Sens!I13477)</f>
        <v>16.1551810001948</v>
      </c>
      <c r="J13476" s="6" t="n">
        <f aca="false">Sens!I13476*(1+Sens!J13477)</f>
        <v>16.3889793892005</v>
      </c>
      <c r="K13476" s="6" t="n">
        <f aca="false">Sens!J13476*(1+Sens!K13477)</f>
        <v>16.7167589769845</v>
      </c>
      <c r="L13476" s="12" t="s">
        <v>1034</v>
      </c>
    </row>
    <row r="13477" customFormat="false" ht="15" hidden="false" customHeight="false" outlineLevel="0" collapsed="false">
      <c r="A13477" s="1" t="s">
        <v>1024</v>
      </c>
      <c r="B13477" s="0" t="s">
        <v>168</v>
      </c>
      <c r="E13477" s="7" t="n">
        <f aca="false">Sens!E13476/Sens!D13476-1</f>
        <v>-0.0131677736066995</v>
      </c>
      <c r="F13477" s="7" t="n">
        <f aca="false">Sens!$E$13477+(glt_win-Sens!$E$13477)*MIN(1,(Sens!F13415-base_fy)/n_conv)</f>
        <v>-0.00763981133891627</v>
      </c>
      <c r="G13477" s="7" t="n">
        <f aca="false">Sens!$E$13477+(glt_win-Sens!$E$13477)*MIN(1,(Sens!G13415-base_fy)/n_conv)</f>
        <v>-0.00211184907113301</v>
      </c>
      <c r="H13477" s="7" t="n">
        <f aca="false">Sens!$E$13477+(glt_win-Sens!$E$13477)*MIN(1,(Sens!H13415-base_fy)/n_conv)</f>
        <v>0.00341611319665024</v>
      </c>
      <c r="I13477" s="7" t="n">
        <f aca="false">Sens!$E$13477+(glt_win-Sens!$E$13477)*MIN(1,(Sens!I13415-base_fy)/n_conv)</f>
        <v>0.00894407546443349</v>
      </c>
      <c r="J13477" s="7" t="n">
        <f aca="false">Sens!$E$13477+(glt_win-Sens!$E$13477)*MIN(1,(Sens!J13415-base_fy)/n_conv)</f>
        <v>0.0144720377322168</v>
      </c>
      <c r="K13477" s="7" t="n">
        <f aca="false">Sens!$E$13477+(glt_win-Sens!$E$13477)*MIN(1,(Sens!K13415-base_fy)/n_conv)</f>
        <v>0.02</v>
      </c>
    </row>
    <row r="13478" customFormat="false" ht="15" hidden="false" customHeight="false" outlineLevel="0" collapsed="false">
      <c r="A13478" s="0" t="s">
        <v>866</v>
      </c>
      <c r="B13478" s="0" t="s">
        <v>98</v>
      </c>
      <c r="D13478" s="6" t="n">
        <f aca="false">Sens!D13472+Sens!D13474+Sens!D13476</f>
        <v>62.941</v>
      </c>
      <c r="E13478" s="6" t="n">
        <f aca="false">Sens!E13472+Sens!E13474+Sens!E13476</f>
        <v>63.712</v>
      </c>
      <c r="F13478" s="6" t="n">
        <f aca="false">Sens!F13472+Sens!F13474+Sens!F13476</f>
        <v>64.3025149952511</v>
      </c>
      <c r="G13478" s="6" t="n">
        <f aca="false">Sens!G13472+Sens!G13474+Sens!G13476</f>
        <v>66.2756719305292</v>
      </c>
      <c r="H13478" s="6" t="n">
        <f aca="false">Sens!H13472+Sens!H13474+Sens!H13476</f>
        <v>68.7139736271804</v>
      </c>
      <c r="I13478" s="6" t="n">
        <f aca="false">Sens!I13472+Sens!I13474+Sens!I13476</f>
        <v>71.5446393194289</v>
      </c>
      <c r="J13478" s="6" t="n">
        <f aca="false">Sens!J13472+Sens!J13474+Sens!J13476</f>
        <v>74.707035000971</v>
      </c>
      <c r="K13478" s="6" t="n">
        <f aca="false">Sens!K13472+Sens!K13474+Sens!K13476</f>
        <v>78.1524145698365</v>
      </c>
    </row>
    <row r="13479" customFormat="false" ht="15" hidden="false" customHeight="false" outlineLevel="0" collapsed="false">
      <c r="A13479" s="1" t="s">
        <v>1040</v>
      </c>
      <c r="B13479" s="0" t="s">
        <v>98</v>
      </c>
      <c r="D13479" s="6" t="n">
        <f aca="false">Sens!D13471+Sens!D13478</f>
        <v>281.724</v>
      </c>
      <c r="E13479" s="6" t="n">
        <f aca="false">Sens!E13471+Sens!E13478</f>
        <v>331.839</v>
      </c>
      <c r="F13479" s="6" t="n">
        <f aca="false">Sens!F13471+Sens!F13478</f>
        <v>399.050611009588</v>
      </c>
      <c r="G13479" s="6" t="n">
        <f aca="false">Sens!G13471+Sens!G13478</f>
        <v>476.478106880219</v>
      </c>
      <c r="H13479" s="6" t="n">
        <f aca="false">Sens!H13471+Sens!H13478</f>
        <v>555.72683159012</v>
      </c>
      <c r="I13479" s="6" t="n">
        <f aca="false">Sens!I13471+Sens!I13478</f>
        <v>628.507568297893</v>
      </c>
      <c r="J13479" s="6" t="n">
        <f aca="false">Sens!J13471+Sens!J13478</f>
        <v>688.109036018095</v>
      </c>
      <c r="K13479" s="6" t="n">
        <f aca="false">Sens!K13471+Sens!K13478</f>
        <v>735.990005337455</v>
      </c>
    </row>
    <row r="13480" customFormat="false" ht="15" hidden="false" customHeight="false" outlineLevel="0" collapsed="false">
      <c r="A13480" s="26" t="s">
        <v>1041</v>
      </c>
      <c r="B13480" s="31" t="s">
        <v>98</v>
      </c>
      <c r="C13480" s="31"/>
      <c r="D13480" s="27" t="n">
        <f aca="false">(Sens!D13459+Sens!D13464+Sens!D13465+Sens!D13467+Sens!D13469-Sens!D13471)+(Sens!D13472+Sens!D13474+Sens!D13476-Sens!D13478)+(Sens!D13471-Q!L5)+(Sens!D13478-Q!L12)+(Sens!D13459-Q!L6)+(Sens!D13464-Q!L7)</f>
        <v>0</v>
      </c>
      <c r="E13480" s="27" t="n">
        <f aca="false">(Sens!E13459+Sens!E13464+Sens!E13465+Sens!E13467+Sens!E13469-Sens!E13471)+(Sens!E13472+Sens!E13474+Sens!E13476-Sens!E13478)+(Sens!E13471-Q!M5)+(Sens!E13478-Q!M12)+(Sens!E13459-Q!M6)+(Sens!E13464-Q!M7)</f>
        <v>0</v>
      </c>
      <c r="F13480" s="27" t="n">
        <f aca="false">(Sens!F13459+Sens!F13464+Sens!F13465+Sens!F13467+Sens!F13469-Sens!F13471)+(Sens!F13472+Sens!F13474+Sens!F13476-Sens!F13478)</f>
        <v>0</v>
      </c>
      <c r="G13480" s="27" t="n">
        <f aca="false">(Sens!G13459+Sens!G13464+Sens!G13465+Sens!G13467+Sens!G13469-Sens!G13471)+(Sens!G13472+Sens!G13474+Sens!G13476-Sens!G13478)</f>
        <v>0</v>
      </c>
      <c r="H13480" s="27" t="n">
        <f aca="false">(Sens!H13459+Sens!H13464+Sens!H13465+Sens!H13467+Sens!H13469-Sens!H13471)+(Sens!H13472+Sens!H13474+Sens!H13476-Sens!H13478)</f>
        <v>0</v>
      </c>
      <c r="I13480" s="27" t="n">
        <f aca="false">(Sens!I13459+Sens!I13464+Sens!I13465+Sens!I13467+Sens!I13469-Sens!I13471)+(Sens!I13472+Sens!I13474+Sens!I13476-Sens!I13478)</f>
        <v>0</v>
      </c>
      <c r="J13480" s="27" t="n">
        <f aca="false">(Sens!J13459+Sens!J13464+Sens!J13465+Sens!J13467+Sens!J13469-Sens!J13471)+(Sens!J13472+Sens!J13474+Sens!J13476-Sens!J13478)</f>
        <v>0</v>
      </c>
      <c r="K13480" s="27" t="n">
        <f aca="false">(Sens!K13459+Sens!K13464+Sens!K13465+Sens!K13467+Sens!K13469-Sens!K13471)+(Sens!K13472+Sens!K13474+Sens!K13476-Sens!K13478)</f>
        <v>0</v>
      </c>
    </row>
    <row r="13481" customFormat="false" ht="17.15" hidden="false" customHeight="false" outlineLevel="0" collapsed="false">
      <c r="A13481" s="3" t="s">
        <v>1817</v>
      </c>
    </row>
    <row r="13482" customFormat="false" ht="15" hidden="false" customHeight="false" outlineLevel="0" collapsed="false">
      <c r="A13482" s="4" t="s">
        <v>43</v>
      </c>
      <c r="B13482" s="4" t="s">
        <v>65</v>
      </c>
      <c r="C13482" s="23" t="s">
        <v>938</v>
      </c>
      <c r="D13482" s="23" t="s">
        <v>939</v>
      </c>
      <c r="E13482" s="23" t="s">
        <v>940</v>
      </c>
      <c r="F13482" s="23" t="s">
        <v>941</v>
      </c>
      <c r="G13482" s="23" t="s">
        <v>942</v>
      </c>
      <c r="H13482" s="23" t="s">
        <v>943</v>
      </c>
      <c r="I13482" s="23" t="s">
        <v>944</v>
      </c>
      <c r="J13482" s="23" t="s">
        <v>945</v>
      </c>
      <c r="K13482" s="23" t="s">
        <v>946</v>
      </c>
      <c r="L13482" s="4" t="s">
        <v>47</v>
      </c>
    </row>
    <row r="13483" customFormat="false" ht="15" hidden="false" customHeight="false" outlineLevel="0" collapsed="false">
      <c r="A13483" s="0" t="s">
        <v>1025</v>
      </c>
      <c r="B13483" s="0" t="s">
        <v>98</v>
      </c>
      <c r="D13483" s="6" t="n">
        <f aca="false">Sens!D13459</f>
        <v>72.61</v>
      </c>
      <c r="E13483" s="6" t="n">
        <f aca="false">Sens!E13459</f>
        <v>101.938</v>
      </c>
      <c r="F13483" s="6" t="n">
        <f aca="false">Sens!F13459</f>
        <v>146.709048000181</v>
      </c>
      <c r="G13483" s="6" t="n">
        <f aca="false">Sens!G13459</f>
        <v>199.762829861393</v>
      </c>
      <c r="H13483" s="6" t="n">
        <f aca="false">Sens!H13459</f>
        <v>254.146566109645</v>
      </c>
      <c r="I13483" s="6" t="n">
        <f aca="false">Sens!I13459</f>
        <v>303.439446964617</v>
      </c>
      <c r="J13483" s="6" t="n">
        <f aca="false">Sens!J13459</f>
        <v>341.309898459739</v>
      </c>
      <c r="K13483" s="6" t="n">
        <f aca="false">Sens!K13459</f>
        <v>368.09747789654</v>
      </c>
    </row>
    <row r="13484" customFormat="false" ht="17.15" hidden="false" customHeight="false" outlineLevel="0" collapsed="false">
      <c r="A13484" s="0" t="s">
        <v>1021</v>
      </c>
      <c r="B13484" s="0" t="s">
        <v>98</v>
      </c>
      <c r="D13484" s="6" t="n">
        <f aca="false">Sens!D13456</f>
        <v>12.9359794422418</v>
      </c>
      <c r="E13484" s="6" t="n">
        <f aca="false">Sens!E13456</f>
        <v>27.8095064661409</v>
      </c>
      <c r="F13484" s="6" t="n">
        <f aca="false">Sens!F13456</f>
        <v>55.4118315060966</v>
      </c>
      <c r="G13484" s="6" t="n">
        <f aca="false">Sens!G13456</f>
        <v>91.2881100675143</v>
      </c>
      <c r="H13484" s="6" t="n">
        <f aca="false">Sens!H13456</f>
        <v>128.195273603944</v>
      </c>
      <c r="I13484" s="6" t="n">
        <f aca="false">Sens!I13456</f>
        <v>160.601281810405</v>
      </c>
      <c r="J13484" s="6" t="n">
        <f aca="false">Sens!J13456</f>
        <v>183.182719793589</v>
      </c>
      <c r="K13484" s="6" t="n">
        <f aca="false">Sens!K13456</f>
        <v>197.320124937098</v>
      </c>
    </row>
    <row r="13485" customFormat="false" ht="17.15" hidden="false" customHeight="false" outlineLevel="0" collapsed="false">
      <c r="A13485" s="0" t="s">
        <v>1052</v>
      </c>
      <c r="B13485" s="0" t="s">
        <v>98</v>
      </c>
      <c r="D13485" s="6" t="n">
        <f aca="false">Sens!D13457</f>
        <v>59.6740205577583</v>
      </c>
      <c r="E13485" s="6" t="n">
        <f aca="false">Sens!E13457</f>
        <v>74.1284935338591</v>
      </c>
      <c r="F13485" s="6" t="n">
        <f aca="false">Sens!F13457</f>
        <v>91.2972164940844</v>
      </c>
      <c r="G13485" s="6" t="n">
        <f aca="false">Sens!G13457</f>
        <v>108.474719793879</v>
      </c>
      <c r="H13485" s="6" t="n">
        <f aca="false">Sens!H13457</f>
        <v>125.951292505701</v>
      </c>
      <c r="I13485" s="6" t="n">
        <f aca="false">Sens!I13457</f>
        <v>142.838165154212</v>
      </c>
      <c r="J13485" s="6" t="n">
        <f aca="false">Sens!J13457</f>
        <v>158.12717866615</v>
      </c>
      <c r="K13485" s="6" t="n">
        <f aca="false">Sens!K13457</f>
        <v>170.777352959442</v>
      </c>
    </row>
    <row r="13486" customFormat="false" ht="15" hidden="false" customHeight="false" outlineLevel="0" collapsed="false">
      <c r="A13486" s="0" t="s">
        <v>1032</v>
      </c>
      <c r="B13486" s="0" t="s">
        <v>98</v>
      </c>
      <c r="D13486" s="6" t="n">
        <f aca="false">Sens!D13464</f>
        <v>84.605</v>
      </c>
      <c r="E13486" s="6" t="n">
        <f aca="false">Sens!E13464</f>
        <v>100.299</v>
      </c>
      <c r="F13486" s="6" t="n">
        <f aca="false">Sens!F13464</f>
        <v>118.584003697747</v>
      </c>
      <c r="G13486" s="6" t="n">
        <f aca="false">Sens!G13464</f>
        <v>136.700726545688</v>
      </c>
      <c r="H13486" s="6" t="n">
        <f aca="false">Sens!H13464</f>
        <v>154.898624783666</v>
      </c>
      <c r="I13486" s="6" t="n">
        <f aca="false">Sens!I13464</f>
        <v>171.420510030657</v>
      </c>
      <c r="J13486" s="6" t="n">
        <f aca="false">Sens!J13464</f>
        <v>185.985722618572</v>
      </c>
      <c r="K13486" s="6" t="n">
        <f aca="false">Sens!K13464</f>
        <v>199.799723201872</v>
      </c>
    </row>
    <row r="13487" customFormat="false" ht="17.15" hidden="false" customHeight="false" outlineLevel="0" collapsed="false">
      <c r="A13487" s="0" t="s">
        <v>1053</v>
      </c>
      <c r="B13487" s="0" t="s">
        <v>98</v>
      </c>
      <c r="D13487" s="6" t="n">
        <f aca="false">Sens!D13462</f>
        <v>83.705</v>
      </c>
      <c r="E13487" s="6" t="n">
        <f aca="false">Sens!E13462</f>
        <v>95.049</v>
      </c>
      <c r="F13487" s="6" t="n">
        <f aca="false">Sens!F13462</f>
        <v>106.584003697747</v>
      </c>
      <c r="G13487" s="6" t="n">
        <f aca="false">Sens!G13462</f>
        <v>118.700726545688</v>
      </c>
      <c r="H13487" s="6" t="n">
        <f aca="false">Sens!H13462</f>
        <v>130.898624783666</v>
      </c>
      <c r="I13487" s="6" t="n">
        <f aca="false">Sens!I13462</f>
        <v>142.920510030657</v>
      </c>
      <c r="J13487" s="6" t="n">
        <f aca="false">Sens!J13462</f>
        <v>154.485722618572</v>
      </c>
      <c r="K13487" s="6" t="n">
        <f aca="false">Sens!K13462</f>
        <v>165.299723201872</v>
      </c>
    </row>
    <row r="13488" customFormat="false" ht="17.15" hidden="false" customHeight="false" outlineLevel="0" collapsed="false">
      <c r="A13488" s="0" t="s">
        <v>1054</v>
      </c>
      <c r="B13488" s="0" t="s">
        <v>98</v>
      </c>
      <c r="D13488" s="6" t="n">
        <f aca="false">Sens!D13461</f>
        <v>0.9</v>
      </c>
      <c r="E13488" s="6" t="n">
        <f aca="false">Sens!E13461</f>
        <v>5.25</v>
      </c>
      <c r="F13488" s="6" t="n">
        <f aca="false">Sens!F13461</f>
        <v>12</v>
      </c>
      <c r="G13488" s="6" t="n">
        <f aca="false">Sens!G13461</f>
        <v>18</v>
      </c>
      <c r="H13488" s="6" t="n">
        <f aca="false">Sens!H13461</f>
        <v>24</v>
      </c>
      <c r="I13488" s="6" t="n">
        <f aca="false">Sens!I13461</f>
        <v>28.5</v>
      </c>
      <c r="J13488" s="6" t="n">
        <f aca="false">Sens!J13461</f>
        <v>31.5</v>
      </c>
      <c r="K13488" s="6" t="n">
        <f aca="false">Sens!K13461</f>
        <v>34.5</v>
      </c>
    </row>
    <row r="13489" customFormat="false" ht="15" hidden="false" customHeight="false" outlineLevel="0" collapsed="false">
      <c r="A13489" s="0" t="s">
        <v>1033</v>
      </c>
      <c r="B13489" s="0" t="s">
        <v>98</v>
      </c>
      <c r="D13489" s="6" t="n">
        <f aca="false">Sens!D13465</f>
        <v>35.391</v>
      </c>
      <c r="E13489" s="6" t="n">
        <f aca="false">Sens!E13465</f>
        <v>37.285</v>
      </c>
      <c r="F13489" s="6" t="n">
        <f aca="false">Sens!F13465</f>
        <v>38.3851437782675</v>
      </c>
      <c r="G13489" s="6" t="n">
        <f aca="false">Sens!G13465</f>
        <v>40.0105353288615</v>
      </c>
      <c r="H13489" s="6" t="n">
        <f aca="false">Sens!H13465</f>
        <v>41.4812512033683</v>
      </c>
      <c r="I13489" s="6" t="n">
        <f aca="false">Sens!I13465</f>
        <v>42.7743107216329</v>
      </c>
      <c r="J13489" s="6" t="n">
        <f aca="false">Sens!J13465</f>
        <v>43.8687373064601</v>
      </c>
      <c r="K13489" s="6" t="n">
        <f aca="false">Sens!K13465</f>
        <v>44.7461120525893</v>
      </c>
    </row>
    <row r="13490" customFormat="false" ht="15" hidden="false" customHeight="false" outlineLevel="0" collapsed="false">
      <c r="A13490" s="0" t="s">
        <v>1035</v>
      </c>
      <c r="B13490" s="0" t="s">
        <v>98</v>
      </c>
      <c r="D13490" s="6" t="n">
        <f aca="false">Sens!D13467</f>
        <v>18.417</v>
      </c>
      <c r="E13490" s="6" t="n">
        <f aca="false">Sens!E13467</f>
        <v>20.345</v>
      </c>
      <c r="F13490" s="6" t="n">
        <f aca="false">Sens!F13467</f>
        <v>22.3161797133988</v>
      </c>
      <c r="G13490" s="6" t="n">
        <f aca="false">Sens!G13467</f>
        <v>24.3943499673233</v>
      </c>
      <c r="H13490" s="6" t="n">
        <f aca="false">Sens!H13467</f>
        <v>26.5250243109019</v>
      </c>
      <c r="I13490" s="6" t="n">
        <f aca="false">Sens!I13467</f>
        <v>28.6884573538181</v>
      </c>
      <c r="J13490" s="6" t="n">
        <f aca="false">Sens!J13467</f>
        <v>30.8624968052127</v>
      </c>
      <c r="K13490" s="6" t="n">
        <f aca="false">Sens!K13467</f>
        <v>33.0228715815776</v>
      </c>
    </row>
    <row r="13491" customFormat="false" ht="15" hidden="false" customHeight="false" outlineLevel="0" collapsed="false">
      <c r="A13491" s="0" t="s">
        <v>1036</v>
      </c>
      <c r="B13491" s="0" t="s">
        <v>98</v>
      </c>
      <c r="D13491" s="6" t="n">
        <f aca="false">Sens!D13469</f>
        <v>7.76</v>
      </c>
      <c r="E13491" s="6" t="n">
        <f aca="false">Sens!E13469</f>
        <v>8.26</v>
      </c>
      <c r="F13491" s="6" t="n">
        <f aca="false">Sens!F13469</f>
        <v>8.75372082474227</v>
      </c>
      <c r="G13491" s="6" t="n">
        <f aca="false">Sens!G13469</f>
        <v>9.33399324642364</v>
      </c>
      <c r="H13491" s="6" t="n">
        <f aca="false">Sens!H13469</f>
        <v>9.96139155535851</v>
      </c>
      <c r="I13491" s="6" t="n">
        <f aca="false">Sens!I13469</f>
        <v>10.6402039077391</v>
      </c>
      <c r="J13491" s="6" t="n">
        <f aca="false">Sens!J13469</f>
        <v>11.3751458271397</v>
      </c>
      <c r="K13491" s="6" t="n">
        <f aca="false">Sens!K13469</f>
        <v>12.1714060350394</v>
      </c>
    </row>
    <row r="13492" customFormat="false" ht="15" hidden="false" customHeight="false" outlineLevel="0" collapsed="false">
      <c r="A13492" s="0" t="s">
        <v>852</v>
      </c>
      <c r="B13492" s="0" t="s">
        <v>98</v>
      </c>
      <c r="D13492" s="6" t="n">
        <f aca="false">Sens!D13471</f>
        <v>218.783</v>
      </c>
      <c r="E13492" s="6" t="n">
        <f aca="false">Sens!E13471</f>
        <v>268.127</v>
      </c>
      <c r="F13492" s="6" t="n">
        <f aca="false">Sens!F13471</f>
        <v>334.748096014336</v>
      </c>
      <c r="G13492" s="6" t="n">
        <f aca="false">Sens!G13471</f>
        <v>410.20243494969</v>
      </c>
      <c r="H13492" s="6" t="n">
        <f aca="false">Sens!H13471</f>
        <v>487.012857962939</v>
      </c>
      <c r="I13492" s="6" t="n">
        <f aca="false">Sens!I13471</f>
        <v>556.962928978464</v>
      </c>
      <c r="J13492" s="6" t="n">
        <f aca="false">Sens!J13471</f>
        <v>613.402001017124</v>
      </c>
      <c r="K13492" s="6" t="n">
        <f aca="false">Sens!K13471</f>
        <v>657.837590767618</v>
      </c>
    </row>
    <row r="13493" customFormat="false" ht="15" hidden="false" customHeight="false" outlineLevel="0" collapsed="false">
      <c r="A13493" s="0" t="s">
        <v>1037</v>
      </c>
      <c r="B13493" s="0" t="s">
        <v>98</v>
      </c>
      <c r="D13493" s="6" t="n">
        <f aca="false">Sens!D13472</f>
        <v>22.171</v>
      </c>
      <c r="E13493" s="6" t="n">
        <f aca="false">Sens!E13472</f>
        <v>24.835</v>
      </c>
      <c r="F13493" s="6" t="n">
        <f aca="false">Sens!F13472</f>
        <v>27.5591895660247</v>
      </c>
      <c r="G13493" s="6" t="n">
        <f aca="false">Sens!G13472</f>
        <v>30.4098563144583</v>
      </c>
      <c r="H13493" s="6" t="n">
        <f aca="false">Sens!H13472</f>
        <v>33.3011792571777</v>
      </c>
      <c r="I13493" s="6" t="n">
        <f aca="false">Sens!I13472</f>
        <v>36.189023797112</v>
      </c>
      <c r="J13493" s="6" t="n">
        <f aca="false">Sens!J13472</f>
        <v>39.0247773769199</v>
      </c>
      <c r="K13493" s="6" t="n">
        <f aca="false">Sens!K13472</f>
        <v>41.7565117933043</v>
      </c>
    </row>
    <row r="13494" customFormat="false" ht="15" hidden="false" customHeight="false" outlineLevel="0" collapsed="false">
      <c r="A13494" s="0" t="s">
        <v>1038</v>
      </c>
      <c r="B13494" s="0" t="s">
        <v>98</v>
      </c>
      <c r="D13494" s="6" t="n">
        <f aca="false">Sens!D13474</f>
        <v>23.455</v>
      </c>
      <c r="E13494" s="6" t="n">
        <f aca="false">Sens!E13474</f>
        <v>21.79</v>
      </c>
      <c r="F13494" s="6" t="n">
        <f aca="false">Sens!F13474</f>
        <v>20.7520981041711</v>
      </c>
      <c r="G13494" s="6" t="n">
        <f aca="false">Sens!G13474</f>
        <v>19.9083593495882</v>
      </c>
      <c r="H13494" s="6" t="n">
        <f aca="false">Sens!H13474</f>
        <v>19.4008256265831</v>
      </c>
      <c r="I13494" s="6" t="n">
        <f aca="false">Sens!I13474</f>
        <v>19.200434522122</v>
      </c>
      <c r="J13494" s="6" t="n">
        <f aca="false">Sens!J13474</f>
        <v>19.2932782348507</v>
      </c>
      <c r="K13494" s="6" t="n">
        <f aca="false">Sens!K13474</f>
        <v>19.6791437995477</v>
      </c>
    </row>
    <row r="13495" customFormat="false" ht="15" hidden="false" customHeight="false" outlineLevel="0" collapsed="false">
      <c r="A13495" s="0" t="s">
        <v>1039</v>
      </c>
      <c r="B13495" s="0" t="s">
        <v>98</v>
      </c>
      <c r="D13495" s="6" t="n">
        <f aca="false">Sens!D13476</f>
        <v>17.315</v>
      </c>
      <c r="E13495" s="6" t="n">
        <f aca="false">Sens!E13476</f>
        <v>17.087</v>
      </c>
      <c r="F13495" s="6" t="n">
        <f aca="false">Sens!F13476</f>
        <v>15.9912273250553</v>
      </c>
      <c r="G13495" s="6" t="n">
        <f aca="false">Sens!G13476</f>
        <v>15.9574562664827</v>
      </c>
      <c r="H13495" s="6" t="n">
        <f aca="false">Sens!H13476</f>
        <v>16.0119687434196</v>
      </c>
      <c r="I13495" s="6" t="n">
        <f aca="false">Sens!I13476</f>
        <v>16.1551810001948</v>
      </c>
      <c r="J13495" s="6" t="n">
        <f aca="false">Sens!J13476</f>
        <v>16.3889793892005</v>
      </c>
      <c r="K13495" s="6" t="n">
        <f aca="false">Sens!K13476</f>
        <v>16.7167589769845</v>
      </c>
    </row>
    <row r="13496" customFormat="false" ht="15" hidden="false" customHeight="false" outlineLevel="0" collapsed="false">
      <c r="A13496" s="0" t="s">
        <v>866</v>
      </c>
      <c r="B13496" s="0" t="s">
        <v>98</v>
      </c>
      <c r="D13496" s="6" t="n">
        <f aca="false">Sens!D13478</f>
        <v>62.941</v>
      </c>
      <c r="E13496" s="6" t="n">
        <f aca="false">Sens!E13478</f>
        <v>63.712</v>
      </c>
      <c r="F13496" s="6" t="n">
        <f aca="false">Sens!F13478</f>
        <v>64.3025149952511</v>
      </c>
      <c r="G13496" s="6" t="n">
        <f aca="false">Sens!G13478</f>
        <v>66.2756719305292</v>
      </c>
      <c r="H13496" s="6" t="n">
        <f aca="false">Sens!H13478</f>
        <v>68.7139736271804</v>
      </c>
      <c r="I13496" s="6" t="n">
        <f aca="false">Sens!I13478</f>
        <v>71.5446393194289</v>
      </c>
      <c r="J13496" s="6" t="n">
        <f aca="false">Sens!J13478</f>
        <v>74.707035000971</v>
      </c>
      <c r="K13496" s="6" t="n">
        <f aca="false">Sens!K13478</f>
        <v>78.1524145698365</v>
      </c>
    </row>
    <row r="13497" customFormat="false" ht="15" hidden="false" customHeight="false" outlineLevel="0" collapsed="false">
      <c r="A13497" s="1" t="s">
        <v>1055</v>
      </c>
      <c r="B13497" s="0" t="s">
        <v>98</v>
      </c>
      <c r="D13497" s="6" t="n">
        <f aca="false">Sens!D13479</f>
        <v>281.724</v>
      </c>
      <c r="E13497" s="6" t="n">
        <f aca="false">Sens!E13479</f>
        <v>331.839</v>
      </c>
      <c r="F13497" s="6" t="n">
        <f aca="false">Sens!F13479</f>
        <v>399.050611009588</v>
      </c>
      <c r="G13497" s="6" t="n">
        <f aca="false">Sens!G13479</f>
        <v>476.478106880219</v>
      </c>
      <c r="H13497" s="6" t="n">
        <f aca="false">Sens!H13479</f>
        <v>555.72683159012</v>
      </c>
      <c r="I13497" s="6" t="n">
        <f aca="false">Sens!I13479</f>
        <v>628.507568297893</v>
      </c>
      <c r="J13497" s="6" t="n">
        <f aca="false">Sens!J13479</f>
        <v>688.109036018095</v>
      </c>
      <c r="K13497" s="6" t="n">
        <f aca="false">Sens!K13479</f>
        <v>735.990005337455</v>
      </c>
    </row>
    <row r="13498" customFormat="false" ht="15" hidden="false" customHeight="false" outlineLevel="0" collapsed="false">
      <c r="A13498" s="1" t="s">
        <v>1056</v>
      </c>
      <c r="B13498" s="0" t="s">
        <v>168</v>
      </c>
      <c r="E13498" s="7" t="n">
        <f aca="false">Sens!E13497/Sens!D13497-1</f>
        <v>0.177886867998467</v>
      </c>
      <c r="F13498" s="7" t="n">
        <f aca="false">Sens!F13497/Sens!E13497-1</f>
        <v>0.202542832547071</v>
      </c>
      <c r="G13498" s="7" t="n">
        <f aca="false">Sens!G13497/Sens!F13497-1</f>
        <v>0.194029262791359</v>
      </c>
      <c r="H13498" s="7" t="n">
        <f aca="false">Sens!H13497/Sens!G13497-1</f>
        <v>0.166321859421387</v>
      </c>
      <c r="I13498" s="7" t="n">
        <f aca="false">Sens!I13497/Sens!H13497-1</f>
        <v>0.13096494999085</v>
      </c>
      <c r="J13498" s="7" t="n">
        <f aca="false">Sens!J13497/Sens!I13497-1</f>
        <v>0.0948301511811749</v>
      </c>
      <c r="K13498" s="7" t="n">
        <f aca="false">Sens!K13497/Sens!J13497-1</f>
        <v>0.0695834043924704</v>
      </c>
    </row>
    <row r="13499" customFormat="false" ht="17.15" hidden="false" customHeight="false" outlineLevel="0" collapsed="false">
      <c r="A13499" s="26" t="s">
        <v>1057</v>
      </c>
      <c r="B13499" s="31" t="s">
        <v>98</v>
      </c>
      <c r="C13499" s="31"/>
      <c r="D13499" s="27" t="n">
        <f aca="false">(Sens!D13492+Sens!D13496-Sens!D13497)+(Sens!D13484+Sens!D13485-Sens!D13483)+(Sens!D13487+Sens!D13488-Sens!D13486)+(Sens!D13497-Q!L18)</f>
        <v>0</v>
      </c>
      <c r="E13499" s="27" t="n">
        <f aca="false">(Sens!E13492+Sens!E13496-Sens!E13497)+(Sens!E13484+Sens!E13485-Sens!E13483)+(Sens!E13487+Sens!E13488-Sens!E13486)+(Sens!E13497-Q!M18)</f>
        <v>0</v>
      </c>
      <c r="F13499" s="27" t="n">
        <f aca="false">(Sens!F13492+Sens!F13496-Sens!F13497)+(Sens!F13484+Sens!F13485-Sens!F13483)+(Sens!F13487+Sens!F13488-Sens!F13486)</f>
        <v>0</v>
      </c>
      <c r="G13499" s="27" t="n">
        <f aca="false">(Sens!G13492+Sens!G13496-Sens!G13497)+(Sens!G13484+Sens!G13485-Sens!G13483)+(Sens!G13487+Sens!G13488-Sens!G13486)</f>
        <v>0</v>
      </c>
      <c r="H13499" s="27" t="n">
        <f aca="false">(Sens!H13492+Sens!H13496-Sens!H13497)+(Sens!H13484+Sens!H13485-Sens!H13483)+(Sens!H13487+Sens!H13488-Sens!H13486)</f>
        <v>0</v>
      </c>
      <c r="I13499" s="27" t="n">
        <f aca="false">(Sens!I13492+Sens!I13496-Sens!I13497)+(Sens!I13484+Sens!I13485-Sens!I13483)+(Sens!I13487+Sens!I13488-Sens!I13486)</f>
        <v>0</v>
      </c>
      <c r="J13499" s="27" t="n">
        <f aca="false">(Sens!J13492+Sens!J13496-Sens!J13497)+(Sens!J13484+Sens!J13485-Sens!J13483)+(Sens!J13487+Sens!J13488-Sens!J13486)</f>
        <v>0</v>
      </c>
      <c r="K13499" s="27" t="n">
        <f aca="false">(Sens!K13492+Sens!K13496-Sens!K13497)+(Sens!K13484+Sens!K13485-Sens!K13483)+(Sens!K13487+Sens!K13488-Sens!K13486)</f>
        <v>0</v>
      </c>
    </row>
    <row r="13500" customFormat="false" ht="17.15" hidden="false" customHeight="false" outlineLevel="0" collapsed="false">
      <c r="A13500" s="0" t="s">
        <v>1058</v>
      </c>
      <c r="B13500" s="0" t="s">
        <v>168</v>
      </c>
      <c r="E13500" s="7" t="n">
        <f aca="false">(Q!M21+Sens!E13436+Sens!E13437+Sens!E13438+Sens!E13452-Sens!E13434)/(Q!M5-Sens!E13434)</f>
        <v>0.570957350878296</v>
      </c>
      <c r="F13500" s="7" t="n">
        <f aca="false">Sens!$E$13500+dm_seg_hi</f>
        <v>0.590957350878296</v>
      </c>
      <c r="G13500" s="7" t="n">
        <f aca="false">Sens!$E$13500+dm_seg_hi</f>
        <v>0.590957350878296</v>
      </c>
      <c r="H13500" s="7" t="n">
        <f aca="false">Sens!$E$13500+dm_seg_hi</f>
        <v>0.590957350878296</v>
      </c>
      <c r="I13500" s="7" t="n">
        <f aca="false">Sens!$E$13500+dm_seg_hi</f>
        <v>0.590957350878296</v>
      </c>
      <c r="J13500" s="7" t="n">
        <f aca="false">Sens!$E$13500+dm_seg_hi</f>
        <v>0.590957350878296</v>
      </c>
      <c r="K13500" s="7" t="n">
        <f aca="false">Sens!$E$13500+dm_seg_hi</f>
        <v>0.590957350878296</v>
      </c>
      <c r="L13500" s="12" t="s">
        <v>1059</v>
      </c>
    </row>
    <row r="13501" customFormat="false" ht="17.15" hidden="false" customHeight="false" outlineLevel="0" collapsed="false">
      <c r="A13501" s="0" t="s">
        <v>880</v>
      </c>
      <c r="B13501" s="0" t="s">
        <v>98</v>
      </c>
      <c r="D13501" s="6" t="n">
        <f aca="false">Q!L21</f>
        <v>110.814</v>
      </c>
      <c r="E13501" s="6" t="n">
        <f aca="false">Q!M21</f>
        <v>136.365</v>
      </c>
      <c r="F13501" s="6" t="n">
        <f aca="false">Q!$I$21+(Sens!F13500*(Sens!F13471-Sens!F13434)+Sens!F13434-(Sens!F13436+Sens!F13437+Sens!F13438)-Sens!F13452-Sens!F13535)*(Sens!F13471-Q!$I$5)/Sens!F13471</f>
        <v>166.394954467369</v>
      </c>
      <c r="G13501" s="6" t="n">
        <f aca="false">(Sens!G13500*(Sens!G13471-Sens!G13434)+Sens!G13434-(Sens!G13436+Sens!G13437+Sens!G13438)-Sens!G13452-Sens!G13535)</f>
        <v>183.947189703038</v>
      </c>
      <c r="H13501" s="6" t="n">
        <f aca="false">(Sens!H13500*(Sens!H13471-Sens!H13434)+Sens!H13434-(Sens!H13436+Sens!H13437+Sens!H13438)-Sens!H13452-Sens!H13535)</f>
        <v>203.940037705299</v>
      </c>
      <c r="I13501" s="6" t="n">
        <f aca="false">(Sens!I13500*(Sens!I13471-Sens!I13434)+Sens!I13434-(Sens!I13436+Sens!I13437+Sens!I13438)-Sens!I13452-Sens!I13535)</f>
        <v>222.902816097448</v>
      </c>
      <c r="J13501" s="6" t="n">
        <f aca="false">(Sens!J13500*(Sens!J13471-Sens!J13434)+Sens!J13434-(Sens!J13436+Sens!J13437+Sens!J13438)-Sens!J13452-Sens!J13535)</f>
        <v>240.561462144159</v>
      </c>
      <c r="K13501" s="6" t="n">
        <f aca="false">(Sens!K13500*(Sens!K13471-Sens!K13434)+Sens!K13434-(Sens!K13436+Sens!K13437+Sens!K13438)-Sens!K13452-Sens!K13535)</f>
        <v>257.550095605769</v>
      </c>
      <c r="L13501" s="1" t="s">
        <v>1060</v>
      </c>
    </row>
    <row r="13502" customFormat="false" ht="17.15" hidden="false" customHeight="false" outlineLevel="0" collapsed="false">
      <c r="A13502" s="0" t="s">
        <v>1061</v>
      </c>
      <c r="B13502" s="0" t="s">
        <v>168</v>
      </c>
      <c r="E13502" s="7" t="n">
        <f aca="false">Q!M22/Q!M12</f>
        <v>0.296207935710698</v>
      </c>
      <c r="F13502" s="7" t="n">
        <f aca="false">Sens!$E$13502+dm_seg_hi</f>
        <v>0.316207935710698</v>
      </c>
      <c r="G13502" s="7" t="n">
        <f aca="false">Sens!$E$13502+dm_seg_hi</f>
        <v>0.316207935710698</v>
      </c>
      <c r="H13502" s="7" t="n">
        <f aca="false">Sens!$E$13502+dm_seg_hi</f>
        <v>0.316207935710698</v>
      </c>
      <c r="I13502" s="7" t="n">
        <f aca="false">Sens!$E$13502+dm_seg_hi</f>
        <v>0.316207935710698</v>
      </c>
      <c r="J13502" s="7" t="n">
        <f aca="false">Sens!$E$13502+dm_seg_hi</f>
        <v>0.316207935710698</v>
      </c>
      <c r="K13502" s="7" t="n">
        <f aca="false">Sens!$E$13502+dm_seg_hi</f>
        <v>0.316207935710698</v>
      </c>
      <c r="L13502" s="12" t="s">
        <v>1062</v>
      </c>
    </row>
    <row r="13503" customFormat="false" ht="17.15" hidden="false" customHeight="false" outlineLevel="0" collapsed="false">
      <c r="A13503" s="0" t="s">
        <v>882</v>
      </c>
      <c r="B13503" s="0" t="s">
        <v>98</v>
      </c>
      <c r="D13503" s="6" t="n">
        <f aca="false">Q!L22</f>
        <v>17.714</v>
      </c>
      <c r="E13503" s="6" t="n">
        <f aca="false">Q!M22</f>
        <v>18.872</v>
      </c>
      <c r="F13503" s="6" t="n">
        <f aca="false">Q!$I$22+(Sens!F13478-Q!$I$12)*Sens!F13502</f>
        <v>20.7938018511101</v>
      </c>
      <c r="G13503" s="6" t="n">
        <f aca="false">Sens!G13478*Sens!G13502</f>
        <v>20.9568934089921</v>
      </c>
      <c r="H13503" s="6" t="n">
        <f aca="false">Sens!H13478*Sens!H13502</f>
        <v>21.7279037551301</v>
      </c>
      <c r="I13503" s="6" t="n">
        <f aca="false">Sens!I13478*Sens!I13502</f>
        <v>22.6229827103631</v>
      </c>
      <c r="J13503" s="6" t="n">
        <f aca="false">Sens!J13478*Sens!J13502</f>
        <v>23.6229573207239</v>
      </c>
      <c r="K13503" s="6" t="n">
        <f aca="false">Sens!K13478*Sens!K13502</f>
        <v>24.7124136819347</v>
      </c>
      <c r="L13503" s="12" t="s">
        <v>1063</v>
      </c>
    </row>
    <row r="13504" customFormat="false" ht="15" hidden="false" customHeight="false" outlineLevel="0" collapsed="false">
      <c r="A13504" s="1" t="s">
        <v>1064</v>
      </c>
      <c r="B13504" s="0" t="s">
        <v>98</v>
      </c>
      <c r="D13504" s="6" t="n">
        <f aca="false">Sens!D13501+Sens!D13503</f>
        <v>128.528</v>
      </c>
      <c r="E13504" s="6" t="n">
        <f aca="false">Sens!E13501+Sens!E13503</f>
        <v>155.237</v>
      </c>
      <c r="F13504" s="6" t="n">
        <f aca="false">Sens!F13501+Sens!F13503</f>
        <v>187.188756318479</v>
      </c>
      <c r="G13504" s="6" t="n">
        <f aca="false">Sens!G13501+Sens!G13503</f>
        <v>204.90408311203</v>
      </c>
      <c r="H13504" s="6" t="n">
        <f aca="false">Sens!H13501+Sens!H13503</f>
        <v>225.667941460429</v>
      </c>
      <c r="I13504" s="6" t="n">
        <f aca="false">Sens!I13501+Sens!I13503</f>
        <v>245.525798807811</v>
      </c>
      <c r="J13504" s="6" t="n">
        <f aca="false">Sens!J13501+Sens!J13503</f>
        <v>264.184419464883</v>
      </c>
      <c r="K13504" s="6" t="n">
        <f aca="false">Sens!K13501+Sens!K13503</f>
        <v>282.262509287704</v>
      </c>
    </row>
    <row r="13505" customFormat="false" ht="15" hidden="false" customHeight="false" outlineLevel="0" collapsed="false">
      <c r="A13505" s="26" t="s">
        <v>1065</v>
      </c>
      <c r="B13505" s="31" t="s">
        <v>98</v>
      </c>
      <c r="C13505" s="31"/>
      <c r="D13505" s="27" t="n">
        <f aca="false">Sens!D13504-Q!L23</f>
        <v>0</v>
      </c>
      <c r="E13505" s="27" t="n">
        <f aca="false">Sens!E13504-Q!M23</f>
        <v>0</v>
      </c>
      <c r="F13505" s="31"/>
      <c r="G13505" s="31"/>
      <c r="H13505" s="31"/>
      <c r="I13505" s="31"/>
      <c r="J13505" s="31"/>
      <c r="K13505" s="31"/>
    </row>
    <row r="13506" customFormat="false" ht="15" hidden="false" customHeight="false" outlineLevel="0" collapsed="false">
      <c r="A13506" s="1" t="s">
        <v>1066</v>
      </c>
      <c r="B13506" s="0" t="s">
        <v>168</v>
      </c>
      <c r="D13506" s="7" t="n">
        <f aca="false">Sens!D13504/Sens!D13497</f>
        <v>0.456219562408598</v>
      </c>
      <c r="E13506" s="7" t="n">
        <f aca="false">Sens!E13504/Sens!E13497</f>
        <v>0.467808184089272</v>
      </c>
      <c r="F13506" s="7" t="n">
        <f aca="false">Sens!F13504/Sens!F13497</f>
        <v>0.469085251730092</v>
      </c>
      <c r="G13506" s="7" t="n">
        <f aca="false">Sens!G13504/Sens!G13497</f>
        <v>0.430038820573849</v>
      </c>
      <c r="H13506" s="7" t="n">
        <f aca="false">Sens!H13504/Sens!H13497</f>
        <v>0.406077102332306</v>
      </c>
      <c r="I13506" s="7" t="n">
        <f aca="false">Sens!I13504/Sens!I13497</f>
        <v>0.390648913700018</v>
      </c>
      <c r="J13506" s="7" t="n">
        <f aca="false">Sens!J13504/Sens!J13497</f>
        <v>0.383928135857143</v>
      </c>
      <c r="K13506" s="7" t="n">
        <f aca="false">Sens!K13504/Sens!K13497</f>
        <v>0.383514052148419</v>
      </c>
    </row>
    <row r="13507" customFormat="false" ht="17.15" hidden="false" customHeight="false" outlineLevel="0" collapsed="false">
      <c r="A13507" s="1" t="s">
        <v>1067</v>
      </c>
      <c r="B13507" s="0" t="s">
        <v>98</v>
      </c>
      <c r="F13507" s="6" t="n">
        <f aca="false">Sens!F13522</f>
        <v>9.6048427716299</v>
      </c>
      <c r="G13507" s="6" t="n">
        <f aca="false">Sens!G13522</f>
        <v>25.0203385959797</v>
      </c>
      <c r="H13507" s="6" t="n">
        <f aca="false">Sens!H13522</f>
        <v>41.9090253697948</v>
      </c>
      <c r="I13507" s="6" t="n">
        <f aca="false">Sens!I13522</f>
        <v>57.239943641581</v>
      </c>
      <c r="J13507" s="6" t="n">
        <f aca="false">Sens!J13522</f>
        <v>67.9578520908201</v>
      </c>
      <c r="K13507" s="6" t="n">
        <f aca="false">Sens!K13522</f>
        <v>73.7748374943249</v>
      </c>
      <c r="L13507" s="1" t="s">
        <v>1068</v>
      </c>
    </row>
    <row r="13508" customFormat="false" ht="17.15" hidden="false" customHeight="false" outlineLevel="0" collapsed="false">
      <c r="A13508" s="1" t="s">
        <v>1069</v>
      </c>
      <c r="B13508" s="0" t="s">
        <v>98</v>
      </c>
      <c r="D13508" s="6" t="n">
        <f aca="false">Sens!D13504</f>
        <v>128.528</v>
      </c>
      <c r="E13508" s="6" t="n">
        <f aca="false">Sens!E13504</f>
        <v>155.237</v>
      </c>
      <c r="F13508" s="6" t="n">
        <f aca="false">Sens!F13504+Sens!F13507</f>
        <v>196.793599090109</v>
      </c>
      <c r="G13508" s="6" t="n">
        <f aca="false">Sens!G13504+Sens!G13507</f>
        <v>229.924421708009</v>
      </c>
      <c r="H13508" s="6" t="n">
        <f aca="false">Sens!H13504+Sens!H13507</f>
        <v>267.576966830224</v>
      </c>
      <c r="I13508" s="6" t="n">
        <f aca="false">Sens!I13504+Sens!I13507</f>
        <v>302.765742449392</v>
      </c>
      <c r="J13508" s="6" t="n">
        <f aca="false">Sens!J13504+Sens!J13507</f>
        <v>332.142271555703</v>
      </c>
      <c r="K13508" s="6" t="n">
        <f aca="false">Sens!K13504+Sens!K13507</f>
        <v>356.037346782028</v>
      </c>
    </row>
    <row r="13509" customFormat="false" ht="17.15" hidden="false" customHeight="false" outlineLevel="0" collapsed="false">
      <c r="A13509" s="1" t="s">
        <v>1070</v>
      </c>
      <c r="B13509" s="0" t="s">
        <v>98</v>
      </c>
      <c r="E13509" s="6" t="n">
        <f aca="false">Sens!E13452</f>
        <v>16.3054059770833</v>
      </c>
      <c r="F13509" s="6" t="n">
        <f aca="false">Sens!F13452</f>
        <v>34.5793144783516</v>
      </c>
      <c r="G13509" s="6" t="n">
        <f aca="false">Sens!G13452</f>
        <v>60.7344906522989</v>
      </c>
      <c r="H13509" s="6" t="n">
        <f aca="false">Sens!H13452</f>
        <v>89.1000906614457</v>
      </c>
      <c r="I13509" s="6" t="n">
        <f aca="false">Sens!I13452</f>
        <v>114.231009694548</v>
      </c>
      <c r="J13509" s="6" t="n">
        <f aca="false">Sens!J13452</f>
        <v>132.015673049596</v>
      </c>
      <c r="K13509" s="6" t="n">
        <f aca="false">Sens!K13452</f>
        <v>143.012669550934</v>
      </c>
    </row>
    <row r="13510" customFormat="false" ht="17.15" hidden="false" customHeight="false" outlineLevel="0" collapsed="false">
      <c r="A13510" s="1" t="s">
        <v>1071</v>
      </c>
      <c r="B13510" s="0" t="s">
        <v>98</v>
      </c>
      <c r="E13510" s="6" t="n">
        <f aca="false">Sens!E13534</f>
        <v>22.2285940229167</v>
      </c>
      <c r="F13510" s="6" t="n">
        <f aca="false">Sens!F13534</f>
        <v>23.580344216413</v>
      </c>
      <c r="G13510" s="6" t="n">
        <f aca="false">Sens!G13534</f>
        <v>25.3583505401965</v>
      </c>
      <c r="H13510" s="6" t="n">
        <f aca="false">Sens!H13534</f>
        <v>27.528569983033</v>
      </c>
      <c r="I13510" s="6" t="n">
        <f aca="false">Sens!I13534</f>
        <v>30.0244523528154</v>
      </c>
      <c r="J13510" s="6" t="n">
        <f aca="false">Sens!J13534</f>
        <v>32.7625785967048</v>
      </c>
      <c r="K13510" s="6" t="n">
        <f aca="false">Sens!K13534</f>
        <v>35.6585684431062</v>
      </c>
    </row>
    <row r="13511" customFormat="false" ht="17.15" hidden="false" customHeight="false" outlineLevel="0" collapsed="false">
      <c r="A13511" s="1" t="s">
        <v>1072</v>
      </c>
      <c r="B13511" s="0" t="s">
        <v>98</v>
      </c>
      <c r="D13511" s="6" t="n">
        <f aca="false">Q!L27</f>
        <v>-4.901</v>
      </c>
      <c r="E13511" s="6" t="n">
        <f aca="false">Q!M27</f>
        <v>10.697</v>
      </c>
      <c r="F13511" s="6" t="n">
        <f aca="false">Q!$I$27+oie_f*(q_per_yr-1)/q_per_yr</f>
        <v>-0.862</v>
      </c>
      <c r="G13511" s="6" t="n">
        <f aca="false">oie_f</f>
        <v>-1.2</v>
      </c>
      <c r="H13511" s="6" t="n">
        <f aca="false">oie_f</f>
        <v>-1.2</v>
      </c>
      <c r="I13511" s="6" t="n">
        <f aca="false">oie_f</f>
        <v>-1.2</v>
      </c>
      <c r="J13511" s="6" t="n">
        <f aca="false">oie_f</f>
        <v>-1.2</v>
      </c>
      <c r="K13511" s="6" t="n">
        <f aca="false">oie_f</f>
        <v>-1.2</v>
      </c>
      <c r="L13511" s="12" t="s">
        <v>1073</v>
      </c>
    </row>
    <row r="13512" customFormat="false" ht="15" hidden="false" customHeight="false" outlineLevel="0" collapsed="false">
      <c r="A13512" s="1" t="s">
        <v>1074</v>
      </c>
      <c r="B13512" s="0" t="s">
        <v>98</v>
      </c>
      <c r="D13512" s="6" t="n">
        <f aca="false">Sens!D13504+Sens!D13511</f>
        <v>123.627</v>
      </c>
      <c r="E13512" s="6" t="n">
        <f aca="false">Sens!E13504+Sens!E13511</f>
        <v>165.934</v>
      </c>
      <c r="F13512" s="6" t="n">
        <f aca="false">Sens!F13504+Sens!F13511</f>
        <v>186.326756318479</v>
      </c>
      <c r="G13512" s="6" t="n">
        <f aca="false">Sens!G13504+Sens!G13511</f>
        <v>203.70408311203</v>
      </c>
      <c r="H13512" s="6" t="n">
        <f aca="false">Sens!H13504+Sens!H13511</f>
        <v>224.467941460429</v>
      </c>
      <c r="I13512" s="6" t="n">
        <f aca="false">Sens!I13504+Sens!I13511</f>
        <v>244.325798807811</v>
      </c>
      <c r="J13512" s="6" t="n">
        <f aca="false">Sens!J13504+Sens!J13511</f>
        <v>262.984419464883</v>
      </c>
      <c r="K13512" s="6" t="n">
        <f aca="false">Sens!K13504+Sens!K13511</f>
        <v>281.062509287704</v>
      </c>
    </row>
    <row r="13513" customFormat="false" ht="15" hidden="false" customHeight="false" outlineLevel="0" collapsed="false">
      <c r="A13513" s="1" t="s">
        <v>1075</v>
      </c>
      <c r="B13513" s="0" t="s">
        <v>98</v>
      </c>
      <c r="D13513" s="6" t="n">
        <f aca="false">Q!L29</f>
        <v>21.795</v>
      </c>
      <c r="E13513" s="6" t="n">
        <f aca="false">Q!M29</f>
        <v>32.185</v>
      </c>
      <c r="F13513" s="6" t="n">
        <f aca="false">Q!$I$29+(Sens!F13512-Q!$I$28)*tax_f</f>
        <v>37.3987512636959</v>
      </c>
      <c r="G13513" s="6" t="n">
        <f aca="false">Sens!G13512*tax_f</f>
        <v>40.7408166224059</v>
      </c>
      <c r="H13513" s="6" t="n">
        <f aca="false">Sens!H13512*tax_f</f>
        <v>44.8935882920858</v>
      </c>
      <c r="I13513" s="6" t="n">
        <f aca="false">Sens!I13512*tax_f</f>
        <v>48.8651597615623</v>
      </c>
      <c r="J13513" s="6" t="n">
        <f aca="false">Sens!J13512*tax_f</f>
        <v>52.5968838929766</v>
      </c>
      <c r="K13513" s="6" t="n">
        <f aca="false">Sens!K13512*tax_f</f>
        <v>56.2125018575407</v>
      </c>
    </row>
    <row r="13514" customFormat="false" ht="15" hidden="false" customHeight="false" outlineLevel="0" collapsed="false">
      <c r="A13514" s="1" t="s">
        <v>1076</v>
      </c>
      <c r="B13514" s="0" t="s">
        <v>98</v>
      </c>
      <c r="D13514" s="6" t="n">
        <f aca="false">Sens!D13512-Sens!D13513</f>
        <v>101.832</v>
      </c>
      <c r="E13514" s="6" t="n">
        <f aca="false">Sens!E13512-Sens!E13513</f>
        <v>133.749</v>
      </c>
      <c r="F13514" s="6" t="n">
        <f aca="false">Sens!F13512-Sens!F13513</f>
        <v>148.928005054783</v>
      </c>
      <c r="G13514" s="6" t="n">
        <f aca="false">Sens!G13512-Sens!G13513</f>
        <v>162.963266489624</v>
      </c>
      <c r="H13514" s="6" t="n">
        <f aca="false">Sens!H13512-Sens!H13513</f>
        <v>179.574353168343</v>
      </c>
      <c r="I13514" s="6" t="n">
        <f aca="false">Sens!I13512-Sens!I13513</f>
        <v>195.460639046249</v>
      </c>
      <c r="J13514" s="6" t="n">
        <f aca="false">Sens!J13512-Sens!J13513</f>
        <v>210.387535571906</v>
      </c>
      <c r="K13514" s="6" t="n">
        <f aca="false">Sens!K13512-Sens!K13513</f>
        <v>224.850007430163</v>
      </c>
    </row>
    <row r="13515" customFormat="false" ht="17.15" hidden="false" customHeight="false" outlineLevel="0" collapsed="false">
      <c r="A13515" s="1" t="s">
        <v>1077</v>
      </c>
      <c r="B13515" s="1" t="s">
        <v>81</v>
      </c>
      <c r="D13515" s="15" t="n">
        <f aca="false">Q!L31</f>
        <v>7.465</v>
      </c>
      <c r="E13515" s="15" t="n">
        <f aca="false">Q!M31</f>
        <v>7.453</v>
      </c>
      <c r="F13515" s="15" t="n">
        <f aca="false">Sens!F13559</f>
        <v>7.46942637984878</v>
      </c>
      <c r="G13515" s="15" t="n">
        <f aca="false">Sens!G13559</f>
        <v>7.51035275969756</v>
      </c>
      <c r="H13515" s="15" t="n">
        <f aca="false">Sens!H13559</f>
        <v>7.53805269872637</v>
      </c>
      <c r="I13515" s="15" t="n">
        <f aca="false">Sens!I13559</f>
        <v>7.54973406278184</v>
      </c>
      <c r="J13515" s="15" t="n">
        <f aca="false">Sens!J13559</f>
        <v>7.56388347394431</v>
      </c>
      <c r="K13515" s="15" t="n">
        <f aca="false">Sens!K13559</f>
        <v>7.58031811390956</v>
      </c>
    </row>
    <row r="13516" customFormat="false" ht="17.15" hidden="false" customHeight="false" outlineLevel="0" collapsed="false">
      <c r="A13516" s="0" t="s">
        <v>1078</v>
      </c>
      <c r="B13516" s="0" t="s">
        <v>75</v>
      </c>
      <c r="D13516" s="8" t="n">
        <f aca="false">Sens!D13514/Sens!D13515</f>
        <v>13.641259209645</v>
      </c>
      <c r="E13516" s="8" t="n">
        <f aca="false">Sens!E13514/Sens!E13515</f>
        <v>17.9456594659869</v>
      </c>
      <c r="F13516" s="8" t="n">
        <f aca="false">Sens!F13514/Sens!F13515</f>
        <v>19.938345661531</v>
      </c>
      <c r="G13516" s="8" t="n">
        <f aca="false">Sens!G13514/Sens!G13515</f>
        <v>21.6984836403591</v>
      </c>
      <c r="H13516" s="8" t="n">
        <f aca="false">Sens!H13514/Sens!H13515</f>
        <v>23.8223796443721</v>
      </c>
      <c r="I13516" s="8" t="n">
        <f aca="false">Sens!I13514/Sens!I13515</f>
        <v>25.889738290229</v>
      </c>
      <c r="J13516" s="8" t="n">
        <f aca="false">Sens!J13514/Sens!J13515</f>
        <v>27.8147510199805</v>
      </c>
      <c r="K13516" s="8" t="n">
        <f aca="false">Sens!K13514/Sens!K13515</f>
        <v>29.6623445152747</v>
      </c>
      <c r="L13516" s="1" t="s">
        <v>1079</v>
      </c>
    </row>
    <row r="13517" customFormat="false" ht="17.15" hidden="false" customHeight="false" outlineLevel="0" collapsed="false">
      <c r="A13517" s="1" t="s">
        <v>1080</v>
      </c>
      <c r="B13517" s="0" t="s">
        <v>98</v>
      </c>
      <c r="D13517" s="6" t="n">
        <f aca="false">Sens!D13514</f>
        <v>101.832</v>
      </c>
      <c r="E13517" s="6" t="n">
        <f aca="false">Sens!E13514</f>
        <v>133.749</v>
      </c>
      <c r="F13517" s="6" t="n">
        <f aca="false">Sens!F13514+Sens!F13507*(1-tax_f)</f>
        <v>156.611879272087</v>
      </c>
      <c r="G13517" s="6" t="n">
        <f aca="false">Sens!G13514+Sens!G13507*(1-tax_f)</f>
        <v>182.979537366408</v>
      </c>
      <c r="H13517" s="6" t="n">
        <f aca="false">Sens!H13514+Sens!H13507*(1-tax_f)</f>
        <v>213.101573464179</v>
      </c>
      <c r="I13517" s="6" t="n">
        <f aca="false">Sens!I13514+Sens!I13507*(1-tax_f)</f>
        <v>241.252593959514</v>
      </c>
      <c r="J13517" s="6" t="n">
        <f aca="false">Sens!J13514+Sens!J13507*(1-tax_f)</f>
        <v>264.753817244562</v>
      </c>
      <c r="K13517" s="6" t="n">
        <f aca="false">Sens!K13514+Sens!K13507*(1-tax_f)</f>
        <v>283.869877425623</v>
      </c>
    </row>
    <row r="13518" customFormat="false" ht="17.15" hidden="false" customHeight="false" outlineLevel="0" collapsed="false">
      <c r="A13518" s="0" t="s">
        <v>1081</v>
      </c>
      <c r="B13518" s="0" t="s">
        <v>75</v>
      </c>
      <c r="D13518" s="8" t="n">
        <f aca="false">Sens!D13517/Sens!D13515</f>
        <v>13.641259209645</v>
      </c>
      <c r="E13518" s="8" t="n">
        <f aca="false">Sens!E13517/Sens!E13515</f>
        <v>17.9456594659869</v>
      </c>
      <c r="F13518" s="8" t="n">
        <f aca="false">Sens!F13517/Sens!F13515</f>
        <v>20.9670557426738</v>
      </c>
      <c r="G13518" s="8" t="n">
        <f aca="false">Sens!G13517/Sens!G13515</f>
        <v>24.3636408596307</v>
      </c>
      <c r="H13518" s="8" t="n">
        <f aca="false">Sens!H13517/Sens!H13515</f>
        <v>28.2701092684301</v>
      </c>
      <c r="I13518" s="8" t="n">
        <f aca="false">Sens!I13517/Sens!I13515</f>
        <v>31.9551115248979</v>
      </c>
      <c r="J13518" s="8" t="n">
        <f aca="false">Sens!J13517/Sens!J13515</f>
        <v>35.0023659349821</v>
      </c>
      <c r="K13518" s="8" t="n">
        <f aca="false">Sens!K13517/Sens!K13515</f>
        <v>37.448280291131</v>
      </c>
      <c r="L13518" s="1" t="s">
        <v>1082</v>
      </c>
    </row>
    <row r="13519" customFormat="false" ht="17.15" hidden="false" customHeight="false" outlineLevel="0" collapsed="false">
      <c r="A13519" s="0" t="s">
        <v>1083</v>
      </c>
      <c r="B13519" s="0" t="s">
        <v>168</v>
      </c>
      <c r="E13519" s="7" t="n">
        <f aca="false">Sens!E13518/Sens!D13518-1</f>
        <v>0.315542736208578</v>
      </c>
      <c r="F13519" s="7" t="n">
        <f aca="false">Sens!F13518/Sens!E13518-1</f>
        <v>0.168363624775868</v>
      </c>
      <c r="G13519" s="7" t="n">
        <f aca="false">Sens!G13518/Sens!F13518-1</f>
        <v>0.16199628401063</v>
      </c>
      <c r="H13519" s="7" t="n">
        <f aca="false">Sens!H13518/Sens!G13518-1</f>
        <v>0.160340091668003</v>
      </c>
      <c r="I13519" s="7" t="n">
        <f aca="false">Sens!I13518/Sens!H13518-1</f>
        <v>0.13034977054662</v>
      </c>
      <c r="J13519" s="7" t="n">
        <f aca="false">Sens!J13518/Sens!I13518-1</f>
        <v>0.0953604686283121</v>
      </c>
      <c r="K13519" s="7" t="n">
        <f aca="false">Sens!K13518/Sens!J13518-1</f>
        <v>0.0698785436587983</v>
      </c>
    </row>
    <row r="13520" customFormat="false" ht="17.15" hidden="false" customHeight="false" outlineLevel="0" collapsed="false">
      <c r="A13520" s="0" t="s">
        <v>1003</v>
      </c>
      <c r="B13520" s="0" t="s">
        <v>98</v>
      </c>
      <c r="E13520" s="6" t="n">
        <f aca="false">Sens!E13461</f>
        <v>5.25</v>
      </c>
      <c r="F13520" s="6" t="n">
        <f aca="false">Sens!F13461</f>
        <v>12</v>
      </c>
      <c r="G13520" s="6" t="n">
        <f aca="false">Sens!G13461</f>
        <v>18</v>
      </c>
      <c r="H13520" s="6" t="n">
        <f aca="false">Sens!H13461</f>
        <v>24</v>
      </c>
      <c r="I13520" s="6" t="n">
        <f aca="false">Sens!I13461</f>
        <v>28.5</v>
      </c>
      <c r="J13520" s="6" t="n">
        <f aca="false">Sens!J13461</f>
        <v>31.5</v>
      </c>
      <c r="K13520" s="6" t="n">
        <f aca="false">Sens!K13461</f>
        <v>34.5</v>
      </c>
    </row>
    <row r="13521" customFormat="false" ht="17.15" hidden="false" customHeight="false" outlineLevel="0" collapsed="false">
      <c r="A13521" s="1" t="s">
        <v>1004</v>
      </c>
      <c r="B13521" s="0" t="s">
        <v>98</v>
      </c>
      <c r="F13521" s="6" t="n">
        <f aca="false">MAX(0,((Sens!E13421+Sens!F13421)/2-(shadow_base*(Sens!$D$13421+Sens!$E$13421)/2+(1-shadow_base)*Sens!$E$13421))*Sens!F13430/1000-(Sens!F13520-Sens!$E$13520)*Sens!F13500)</f>
        <v>9.6048427716299</v>
      </c>
      <c r="G13521" s="6" t="n">
        <f aca="false">MAX(0,((Sens!F13421+Sens!G13421)/2-(shadow_base*(Sens!$D$13421+Sens!$E$13421)/2+(1-shadow_base)*Sens!$E$13421))*Sens!G13430/1000-(Sens!G13520-Sens!$E$13520)*Sens!G13500)</f>
        <v>25.0203385959797</v>
      </c>
      <c r="H13521" s="6" t="n">
        <f aca="false">MAX(0,((Sens!G13421+Sens!H13421)/2-(shadow_base*(Sens!$D$13421+Sens!$E$13421)/2+(1-shadow_base)*Sens!$E$13421))*Sens!H13430/1000-(Sens!H13520-Sens!$E$13520)*Sens!H13500)</f>
        <v>41.9090253697948</v>
      </c>
      <c r="I13521" s="6" t="n">
        <f aca="false">MAX(0,((Sens!H13421+Sens!I13421)/2-(shadow_base*(Sens!$D$13421+Sens!$E$13421)/2+(1-shadow_base)*Sens!$E$13421))*Sens!I13430/1000-(Sens!I13520-Sens!$E$13520)*Sens!I13500)</f>
        <v>57.239943641581</v>
      </c>
      <c r="J13521" s="6" t="n">
        <f aca="false">MAX(0,((Sens!I13421+Sens!J13421)/2-(shadow_base*(Sens!$D$13421+Sens!$E$13421)/2+(1-shadow_base)*Sens!$E$13421))*Sens!J13430/1000-(Sens!J13520-Sens!$E$13520)*Sens!J13500)</f>
        <v>67.9578520908201</v>
      </c>
      <c r="K13521" s="6" t="n">
        <f aca="false">MAX(0,((Sens!J13421+Sens!K13421)/2-(shadow_base*(Sens!$D$13421+Sens!$E$13421)/2+(1-shadow_base)*Sens!$E$13421))*Sens!K13430/1000-(Sens!K13520-Sens!$E$13520)*Sens!K13500)</f>
        <v>73.7748374943249</v>
      </c>
      <c r="L13521" s="1" t="s">
        <v>1005</v>
      </c>
    </row>
    <row r="13522" customFormat="false" ht="17.15" hidden="false" customHeight="false" outlineLevel="0" collapsed="false">
      <c r="A13522" s="1" t="s">
        <v>1006</v>
      </c>
      <c r="B13522" s="0" t="s">
        <v>98</v>
      </c>
      <c r="F13522" s="6" t="n">
        <f aca="false">IF(internal_ai_reading=2,1,0)*Sens!F13521</f>
        <v>9.6048427716299</v>
      </c>
      <c r="G13522" s="6" t="n">
        <f aca="false">IF(internal_ai_reading=2,1,0)*Sens!G13521</f>
        <v>25.0203385959797</v>
      </c>
      <c r="H13522" s="6" t="n">
        <f aca="false">IF(internal_ai_reading=2,1,0)*Sens!H13521</f>
        <v>41.9090253697948</v>
      </c>
      <c r="I13522" s="6" t="n">
        <f aca="false">IF(internal_ai_reading=2,1,0)*Sens!I13521</f>
        <v>57.239943641581</v>
      </c>
      <c r="J13522" s="6" t="n">
        <f aca="false">IF(internal_ai_reading=2,1,0)*Sens!J13521</f>
        <v>67.9578520908201</v>
      </c>
      <c r="K13522" s="6" t="n">
        <f aca="false">IF(internal_ai_reading=2,1,0)*Sens!K13521</f>
        <v>73.7748374943249</v>
      </c>
    </row>
    <row r="13523" customFormat="false" ht="17.15" hidden="false" customHeight="false" outlineLevel="0" collapsed="false">
      <c r="A13523" s="0" t="s">
        <v>1007</v>
      </c>
      <c r="B13523" s="0" t="s">
        <v>98</v>
      </c>
      <c r="F13523" s="6" t="n">
        <f aca="false">Sens!F13440+Sens!F13520*Sens!F13500+Sens!F13522-Sens!F13441-Sens!F13452</f>
        <v>14.9202827562272</v>
      </c>
      <c r="G13523" s="6" t="n">
        <f aca="false">Sens!G13440+Sens!G13520*Sens!G13500+Sens!G13522-Sens!G13441-Sens!G13452</f>
        <v>31.1399977765951</v>
      </c>
      <c r="H13523" s="6" t="n">
        <f aca="false">Sens!H13440+Sens!H13520*Sens!H13500+Sens!H13522-Sens!H13441-Sens!H13452</f>
        <v>47.9861519709827</v>
      </c>
      <c r="I13523" s="6" t="n">
        <f aca="false">Sens!I13440+Sens!I13520*Sens!I13500+Sens!I13522-Sens!I13441-Sens!I13452</f>
        <v>62.7522166574028</v>
      </c>
      <c r="J13523" s="6" t="n">
        <f aca="false">Sens!J13440+Sens!J13520*Sens!J13500+Sens!J13522-Sens!J13441-Sens!J13452</f>
        <v>72.8932253357034</v>
      </c>
      <c r="K13523" s="6" t="n">
        <f aca="false">Sens!K13440+Sens!K13520*Sens!K13500+Sens!K13522-Sens!K13441-Sens!K13452</f>
        <v>79.5667812140187</v>
      </c>
    </row>
    <row r="13524" customFormat="false" ht="17.15" hidden="false" customHeight="false" outlineLevel="0" collapsed="false">
      <c r="A13524" s="0" t="s">
        <v>1008</v>
      </c>
      <c r="B13524" s="0" t="s">
        <v>98</v>
      </c>
      <c r="E13524" s="6" t="n">
        <f aca="false">Sens!E13420*(cxit_open+self_build*tk_cxfac)/1000*ai_net_open</f>
        <v>126.6980382</v>
      </c>
      <c r="F13524" s="6" t="n">
        <f aca="false">Sens!E13524+Sens!F13449-Sens!F13452</f>
        <v>260.572627763768</v>
      </c>
      <c r="G13524" s="6" t="n">
        <f aca="false">Sens!F13524+Sens!G13449-Sens!G13452</f>
        <v>391.782612760517</v>
      </c>
      <c r="H13524" s="6" t="n">
        <f aca="false">Sens!G13524+Sens!H13449-Sens!H13452</f>
        <v>499.488526163584</v>
      </c>
      <c r="I13524" s="6" t="n">
        <f aca="false">Sens!H13524+Sens!I13449-Sens!I13452</f>
        <v>553.872350090646</v>
      </c>
      <c r="J13524" s="6" t="n">
        <f aca="false">Sens!I13524+Sens!J13449-Sens!J13452</f>
        <v>550.78660823699</v>
      </c>
      <c r="K13524" s="6" t="n">
        <f aca="false">Sens!J13524+Sens!K13449-Sens!K13452</f>
        <v>526.736791750789</v>
      </c>
      <c r="L13524" s="1" t="s">
        <v>1009</v>
      </c>
    </row>
    <row r="13525" customFormat="false" ht="17.15" hidden="false" customHeight="false" outlineLevel="0" collapsed="false">
      <c r="A13525" s="0" t="s">
        <v>1010</v>
      </c>
      <c r="B13525" s="0" t="s">
        <v>168</v>
      </c>
      <c r="F13525" s="7" t="n">
        <f aca="false">Sens!F13523*(1-tax_f)/((Sens!E13524+Sens!F13524)/2)</f>
        <v>0.0616428108505304</v>
      </c>
      <c r="G13525" s="7" t="n">
        <f aca="false">Sens!G13523*(1-tax_f)/((Sens!F13524+Sens!G13524)/2)</f>
        <v>0.0763755594306402</v>
      </c>
      <c r="H13525" s="7" t="n">
        <f aca="false">Sens!H13523*(1-tax_f)/((Sens!G13524+Sens!H13524)/2)</f>
        <v>0.0861442043845992</v>
      </c>
      <c r="I13525" s="7" t="n">
        <f aca="false">Sens!I13523*(1-tax_f)/((Sens!H13524+Sens!I13524)/2)</f>
        <v>0.0953173303805257</v>
      </c>
      <c r="J13525" s="7" t="n">
        <f aca="false">Sens!J13523*(1-tax_f)/((Sens!I13524+Sens!J13524)/2)</f>
        <v>0.105579337095761</v>
      </c>
      <c r="K13525" s="7" t="n">
        <f aca="false">Sens!K13523*(1-tax_f)/((Sens!J13524+Sens!K13524)/2)</f>
        <v>0.118147642959655</v>
      </c>
    </row>
    <row r="13526" customFormat="false" ht="17.15" hidden="false" customHeight="false" outlineLevel="0" collapsed="false">
      <c r="A13526" s="1" t="s">
        <v>1011</v>
      </c>
      <c r="B13526" s="0" t="s">
        <v>168</v>
      </c>
      <c r="F13526" s="7" t="n">
        <f aca="false">(Sens!F13523-Sens!F13522)*(1-tax_f)/((Sens!E13524+Sens!F13524)/2)</f>
        <v>0.0219606201109777</v>
      </c>
      <c r="G13526" s="7" t="n">
        <f aca="false">(Sens!G13523-Sens!G13522)*(1-tax_f)/((Sens!F13524+Sens!G13524)/2)</f>
        <v>0.0150093907134331</v>
      </c>
      <c r="H13526" s="7" t="n">
        <f aca="false">(Sens!H13523-Sens!H13522)*(1-tax_f)/((Sens!G13524+Sens!H13524)/2)</f>
        <v>0.0109095898400101</v>
      </c>
      <c r="I13526" s="7" t="n">
        <f aca="false">(Sens!I13523-Sens!I13522)*(1-tax_f)/((Sens!H13524+Sens!I13524)/2)</f>
        <v>0.00837285399917035</v>
      </c>
      <c r="J13526" s="7" t="n">
        <f aca="false">(Sens!J13523-Sens!J13522)*(1-tax_f)/((Sens!I13524+Sens!J13524)/2)</f>
        <v>0.00714844806379707</v>
      </c>
      <c r="K13526" s="7" t="n">
        <f aca="false">(Sens!K13523-Sens!K13522)*(1-tax_f)/((Sens!J13524+Sens!K13524)/2)</f>
        <v>0.00860037930648677</v>
      </c>
    </row>
    <row r="13527" customFormat="false" ht="17.15" hidden="false" customHeight="false" outlineLevel="0" collapsed="false">
      <c r="A13527" s="1" t="s">
        <v>1012</v>
      </c>
      <c r="B13527" s="0" t="s">
        <v>168</v>
      </c>
      <c r="F13527" s="7" t="n">
        <f aca="false">(Sens!F13523-Sens!F13522+Sens!F13521)*(1-tax_f)/((Sens!E13524+Sens!F13524)/2)</f>
        <v>0.0616428108505304</v>
      </c>
      <c r="G13527" s="7" t="n">
        <f aca="false">(Sens!G13523-Sens!G13522+Sens!G13521)*(1-tax_f)/((Sens!F13524+Sens!G13524)/2)</f>
        <v>0.0763755594306402</v>
      </c>
      <c r="H13527" s="7" t="n">
        <f aca="false">(Sens!H13523-Sens!H13522+Sens!H13521)*(1-tax_f)/((Sens!G13524+Sens!H13524)/2)</f>
        <v>0.0861442043845992</v>
      </c>
      <c r="I13527" s="7" t="n">
        <f aca="false">(Sens!I13523-Sens!I13522+Sens!I13521)*(1-tax_f)/((Sens!H13524+Sens!I13524)/2)</f>
        <v>0.0953173303805257</v>
      </c>
      <c r="J13527" s="7" t="n">
        <f aca="false">(Sens!J13523-Sens!J13522+Sens!J13521)*(1-tax_f)/((Sens!I13524+Sens!J13524)/2)</f>
        <v>0.105579337095761</v>
      </c>
      <c r="K13527" s="7" t="n">
        <f aca="false">(Sens!K13523-Sens!K13522+Sens!K13521)*(1-tax_f)/((Sens!J13524+Sens!K13524)/2)</f>
        <v>0.118147642959655</v>
      </c>
    </row>
    <row r="13528" customFormat="false" ht="17.15" hidden="false" customHeight="false" outlineLevel="0" collapsed="false">
      <c r="A13528" s="1" t="s">
        <v>1013</v>
      </c>
      <c r="B13528" s="0" t="s">
        <v>168</v>
      </c>
      <c r="F13528" s="7" t="n">
        <f aca="false">Sens!F13453*(1-tax_f)/(Sens!F13439*(Sens!E13524+Sens!F13524)/2)</f>
        <v>0.129294830495493</v>
      </c>
      <c r="G13528" s="7" t="n">
        <f aca="false">Sens!G13453*(1-tax_f)/(Sens!G13439*(Sens!F13524+Sens!G13524)/2)</f>
        <v>0.12719599062164</v>
      </c>
      <c r="H13528" s="7" t="n">
        <f aca="false">Sens!H13453*(1-tax_f)/(Sens!H13439*(Sens!G13524+Sens!H13524)/2)</f>
        <v>0.130828167067624</v>
      </c>
      <c r="I13528" s="7" t="n">
        <f aca="false">Sens!I13453*(1-tax_f)/(Sens!I13439*(Sens!H13524+Sens!I13524)/2)</f>
        <v>0.138614526937417</v>
      </c>
      <c r="J13528" s="7" t="n">
        <f aca="false">Sens!J13453*(1-tax_f)/(Sens!J13439*(Sens!I13524+Sens!J13524)/2)</f>
        <v>0.150578919010924</v>
      </c>
      <c r="K13528" s="7" t="n">
        <f aca="false">Sens!K13453*(1-tax_f)/(Sens!K13439*(Sens!J13524+Sens!K13524)/2)</f>
        <v>0.167005345886664</v>
      </c>
    </row>
    <row r="13529" customFormat="false" ht="17.15" hidden="false" customHeight="false" outlineLevel="0" collapsed="false">
      <c r="A13529" s="0" t="s">
        <v>1014</v>
      </c>
      <c r="B13529" s="0" t="s">
        <v>253</v>
      </c>
      <c r="F13529" s="7" t="n">
        <f aca="false">Sens!F13525-wacc</f>
        <v>-0.0412937800950669</v>
      </c>
      <c r="G13529" s="7" t="n">
        <f aca="false">Sens!G13525-wacc</f>
        <v>-0.0265610315149571</v>
      </c>
      <c r="H13529" s="7" t="n">
        <f aca="false">Sens!H13525-wacc</f>
        <v>-0.0167923865609981</v>
      </c>
      <c r="I13529" s="7" t="n">
        <f aca="false">Sens!I13525-wacc</f>
        <v>-0.00761926056507155</v>
      </c>
      <c r="J13529" s="7" t="n">
        <f aca="false">Sens!J13525-wacc</f>
        <v>0.00264274615016351</v>
      </c>
      <c r="K13529" s="7" t="n">
        <f aca="false">Sens!K13525-wacc</f>
        <v>0.0152110520140581</v>
      </c>
    </row>
    <row r="13530" customFormat="false" ht="17.15" hidden="false" customHeight="false" outlineLevel="0" collapsed="false">
      <c r="A13530" s="0" t="s">
        <v>1015</v>
      </c>
      <c r="B13530" s="0" t="s">
        <v>98</v>
      </c>
      <c r="F13530" s="6" t="n">
        <f aca="false">Sens!F13523*(1-tax_f)-wacc*(Sens!E13524+Sens!F13524)/2</f>
        <v>-7.99593485878896</v>
      </c>
      <c r="G13530" s="6" t="n">
        <f aca="false">Sens!G13523*(1-tax_f)-wacc*(Sens!F13524+Sens!G13524)/2</f>
        <v>-8.66361405125648</v>
      </c>
      <c r="H13530" s="6" t="n">
        <f aca="false">Sens!H13523*(1-tax_f)-wacc*(Sens!G13524+Sens!H13524)/2</f>
        <v>-7.48328474773726</v>
      </c>
      <c r="I13530" s="6" t="n">
        <f aca="false">Sens!I13523*(1-tax_f)-wacc*(Sens!H13524+Sens!I13524)/2</f>
        <v>-4.01291549261653</v>
      </c>
      <c r="J13530" s="6" t="n">
        <f aca="false">Sens!J13523*(1-tax_f)-wacc*(Sens!I13524+Sens!J13524)/2</f>
        <v>1.459666604682</v>
      </c>
      <c r="K13530" s="6" t="n">
        <f aca="false">Sens!K13523*(1-tax_f)-wacc*(Sens!J13524+Sens!K13524)/2</f>
        <v>8.1951322417894</v>
      </c>
    </row>
    <row r="13531" customFormat="false" ht="17.15" hidden="false" customHeight="false" outlineLevel="0" collapsed="false">
      <c r="A13531" s="3" t="s">
        <v>1818</v>
      </c>
    </row>
    <row r="13532" customFormat="false" ht="15" hidden="false" customHeight="false" outlineLevel="0" collapsed="false">
      <c r="A13532" s="4" t="s">
        <v>43</v>
      </c>
      <c r="B13532" s="4" t="s">
        <v>65</v>
      </c>
      <c r="C13532" s="23" t="s">
        <v>938</v>
      </c>
      <c r="D13532" s="23" t="s">
        <v>939</v>
      </c>
      <c r="E13532" s="23" t="s">
        <v>940</v>
      </c>
      <c r="F13532" s="23" t="s">
        <v>941</v>
      </c>
      <c r="G13532" s="23" t="s">
        <v>942</v>
      </c>
      <c r="H13532" s="23" t="s">
        <v>943</v>
      </c>
      <c r="I13532" s="23" t="s">
        <v>944</v>
      </c>
      <c r="J13532" s="23" t="s">
        <v>945</v>
      </c>
      <c r="K13532" s="23" t="s">
        <v>946</v>
      </c>
      <c r="L13532" s="4" t="s">
        <v>47</v>
      </c>
    </row>
    <row r="13533" customFormat="false" ht="15" hidden="false" customHeight="false" outlineLevel="0" collapsed="false">
      <c r="A13533" s="1" t="s">
        <v>1076</v>
      </c>
      <c r="B13533" s="0" t="s">
        <v>98</v>
      </c>
      <c r="F13533" s="6" t="n">
        <f aca="false">Sens!F13514</f>
        <v>148.928005054783</v>
      </c>
      <c r="G13533" s="6" t="n">
        <f aca="false">Sens!G13514</f>
        <v>162.963266489624</v>
      </c>
      <c r="H13533" s="6" t="n">
        <f aca="false">Sens!H13514</f>
        <v>179.574353168343</v>
      </c>
      <c r="I13533" s="6" t="n">
        <f aca="false">Sens!I13514</f>
        <v>195.460639046249</v>
      </c>
      <c r="J13533" s="6" t="n">
        <f aca="false">Sens!J13514</f>
        <v>210.387535571906</v>
      </c>
      <c r="K13533" s="6" t="n">
        <f aca="false">Sens!K13514</f>
        <v>224.850007430163</v>
      </c>
    </row>
    <row r="13534" customFormat="false" ht="17.15" hidden="false" customHeight="false" outlineLevel="0" collapsed="false">
      <c r="A13534" s="1" t="s">
        <v>1098</v>
      </c>
      <c r="B13534" s="0" t="s">
        <v>98</v>
      </c>
      <c r="E13534" s="6" t="n">
        <f aca="false">Q!M38-Sens!E13452</f>
        <v>22.2285940229167</v>
      </c>
      <c r="F13534" s="6" t="n">
        <f aca="false">Sens!E13534*(1-1/life_nonai)+(Sens!F13542+Sens!F13543)/life_nonai</f>
        <v>23.580344216413</v>
      </c>
      <c r="G13534" s="6" t="n">
        <f aca="false">Sens!F13534*(1-1/life_nonai)+(Sens!G13542)/life_nonai</f>
        <v>25.3583505401965</v>
      </c>
      <c r="H13534" s="6" t="n">
        <f aca="false">Sens!G13534*(1-1/life_nonai)+(Sens!H13542)/life_nonai</f>
        <v>27.528569983033</v>
      </c>
      <c r="I13534" s="6" t="n">
        <f aca="false">Sens!H13534*(1-1/life_nonai)+(Sens!I13542)/life_nonai</f>
        <v>30.0244523528154</v>
      </c>
      <c r="J13534" s="6" t="n">
        <f aca="false">Sens!I13534*(1-1/life_nonai)+(Sens!J13542)/life_nonai</f>
        <v>32.7625785967048</v>
      </c>
      <c r="K13534" s="6" t="n">
        <f aca="false">Sens!J13534*(1-1/life_nonai)+(Sens!K13542)/life_nonai</f>
        <v>35.6585684431062</v>
      </c>
      <c r="L13534" s="12" t="s">
        <v>1099</v>
      </c>
    </row>
    <row r="13535" customFormat="false" ht="17.15" hidden="false" customHeight="false" outlineLevel="0" collapsed="false">
      <c r="A13535" s="1" t="s">
        <v>1100</v>
      </c>
      <c r="B13535" s="0" t="s">
        <v>98</v>
      </c>
      <c r="F13535" s="6" t="n">
        <f aca="false">Sens!$F$13543/life_nonai*(1-1/life_nonai)^(Sens!F13415-2027)</f>
        <v>1.94586576753864E-006</v>
      </c>
      <c r="G13535" s="6" t="n">
        <f aca="false">Sens!$F$13543/life_nonai*(1-1/life_nonai)^(Sens!G13415-2027)</f>
        <v>1.75127919078477E-006</v>
      </c>
      <c r="H13535" s="6" t="n">
        <f aca="false">Sens!$F$13543/life_nonai*(1-1/life_nonai)^(Sens!H13415-2027)</f>
        <v>1.57615127170629E-006</v>
      </c>
      <c r="I13535" s="6" t="n">
        <f aca="false">Sens!$F$13543/life_nonai*(1-1/life_nonai)^(Sens!I13415-2027)</f>
        <v>1.41853614453567E-006</v>
      </c>
      <c r="J13535" s="6" t="n">
        <f aca="false">Sens!$F$13543/life_nonai*(1-1/life_nonai)^(Sens!J13415-2027)</f>
        <v>1.2766825300821E-006</v>
      </c>
      <c r="K13535" s="6" t="n">
        <f aca="false">Sens!$F$13543/life_nonai*(1-1/life_nonai)^(Sens!K13415-2027)</f>
        <v>1.14901427707389E-006</v>
      </c>
      <c r="L13535" s="1" t="s">
        <v>1101</v>
      </c>
    </row>
    <row r="13536" customFormat="false" ht="17.15" hidden="false" customHeight="false" outlineLevel="0" collapsed="false">
      <c r="A13536" s="1" t="s">
        <v>1102</v>
      </c>
      <c r="B13536" s="0" t="s">
        <v>98</v>
      </c>
      <c r="E13536" s="6" t="n">
        <f aca="false">Sens!E13452+Sens!E13534</f>
        <v>38.534</v>
      </c>
      <c r="F13536" s="6" t="n">
        <f aca="false">Sens!F13452+Sens!F13534</f>
        <v>58.1596586947647</v>
      </c>
      <c r="G13536" s="6" t="n">
        <f aca="false">Sens!G13452+Sens!G13534</f>
        <v>86.0928411924955</v>
      </c>
      <c r="H13536" s="6" t="n">
        <f aca="false">Sens!H13452+Sens!H13534</f>
        <v>116.628660644479</v>
      </c>
      <c r="I13536" s="6" t="n">
        <f aca="false">Sens!I13452+Sens!I13534</f>
        <v>144.255462047364</v>
      </c>
      <c r="J13536" s="6" t="n">
        <f aca="false">Sens!J13452+Sens!J13534</f>
        <v>164.778251646301</v>
      </c>
      <c r="K13536" s="6" t="n">
        <f aca="false">Sens!K13452+Sens!K13534</f>
        <v>178.67123799404</v>
      </c>
    </row>
    <row r="13537" customFormat="false" ht="17.15" hidden="false" customHeight="false" outlineLevel="0" collapsed="false">
      <c r="A13537" s="1" t="s">
        <v>1103</v>
      </c>
      <c r="B13537" s="0" t="s">
        <v>98</v>
      </c>
      <c r="F13537" s="6" t="n">
        <f aca="false">Sens!F13479*sbc_r</f>
        <v>14.9175438377464</v>
      </c>
      <c r="G13537" s="6" t="n">
        <f aca="false">Sens!G13479*sbc_r</f>
        <v>17.8119838712421</v>
      </c>
      <c r="H13537" s="6" t="n">
        <f aca="false">Sens!H13479*sbc_r</f>
        <v>20.7745061486909</v>
      </c>
      <c r="I13537" s="6" t="n">
        <f aca="false">Sens!I13479*sbc_r</f>
        <v>23.4952383075388</v>
      </c>
      <c r="J13537" s="6" t="n">
        <f aca="false">Sens!J13479*sbc_r</f>
        <v>25.7232953082804</v>
      </c>
      <c r="K13537" s="6" t="n">
        <f aca="false">Sens!K13479*sbc_r</f>
        <v>27.5132097680234</v>
      </c>
    </row>
    <row r="13538" customFormat="false" ht="17.15" hidden="false" customHeight="false" outlineLevel="0" collapsed="false">
      <c r="A13538" s="1" t="s">
        <v>1104</v>
      </c>
      <c r="B13538" s="0" t="s">
        <v>98</v>
      </c>
      <c r="F13538" s="6" t="n">
        <f aca="false">wc27-wc26q1</f>
        <v>-4.677</v>
      </c>
      <c r="G13538" s="6" t="n">
        <f aca="false">wc_f</f>
        <v>0</v>
      </c>
      <c r="H13538" s="6" t="n">
        <f aca="false">wc_f</f>
        <v>0</v>
      </c>
      <c r="I13538" s="6" t="n">
        <f aca="false">wc_f</f>
        <v>0</v>
      </c>
      <c r="J13538" s="6" t="n">
        <f aca="false">wc_f</f>
        <v>0</v>
      </c>
      <c r="K13538" s="6" t="n">
        <f aca="false">wc_f</f>
        <v>0</v>
      </c>
      <c r="L13538" s="12" t="s">
        <v>1105</v>
      </c>
    </row>
    <row r="13539" customFormat="false" ht="17.15" hidden="false" customHeight="false" outlineLevel="0" collapsed="false">
      <c r="A13539" s="0" t="s">
        <v>1106</v>
      </c>
      <c r="B13539" s="0" t="s">
        <v>98</v>
      </c>
      <c r="F13539" s="6" t="n">
        <f aca="false">Q!$I$35-Q!$I$26-Q!$I$38-Q!$I$39</f>
        <v>6.493</v>
      </c>
      <c r="L13539" s="1" t="s">
        <v>1107</v>
      </c>
    </row>
    <row r="13540" customFormat="false" ht="15" hidden="false" customHeight="false" outlineLevel="0" collapsed="false">
      <c r="A13540" s="1" t="s">
        <v>904</v>
      </c>
      <c r="B13540" s="0" t="s">
        <v>98</v>
      </c>
      <c r="E13540" s="6" t="n">
        <f aca="false">Q!M35</f>
        <v>182.935</v>
      </c>
      <c r="F13540" s="6" t="n">
        <f aca="false">Sens!F13533+Sens!F13536+Sens!F13537+Sens!F13538+Sens!F13539</f>
        <v>223.821207587295</v>
      </c>
      <c r="G13540" s="6" t="n">
        <f aca="false">Sens!G13533+Sens!G13536+Sens!G13537+Sens!G13538</f>
        <v>266.868091553361</v>
      </c>
      <c r="H13540" s="6" t="n">
        <f aca="false">Sens!H13533+Sens!H13536+Sens!H13537+Sens!H13538</f>
        <v>316.977519961513</v>
      </c>
      <c r="I13540" s="6" t="n">
        <f aca="false">Sens!I13533+Sens!I13536+Sens!I13537+Sens!I13538</f>
        <v>363.211339401152</v>
      </c>
      <c r="J13540" s="6" t="n">
        <f aca="false">Sens!J13533+Sens!J13536+Sens!J13537+Sens!J13538</f>
        <v>400.889082526488</v>
      </c>
      <c r="K13540" s="6" t="n">
        <f aca="false">Sens!K13533+Sens!K13536+Sens!K13537+Sens!K13538</f>
        <v>431.034455192227</v>
      </c>
    </row>
    <row r="13541" customFormat="false" ht="17.15" hidden="false" customHeight="false" outlineLevel="0" collapsed="false">
      <c r="A13541" s="0" t="s">
        <v>1108</v>
      </c>
      <c r="B13541" s="0" t="s">
        <v>98</v>
      </c>
      <c r="F13541" s="6" t="n">
        <f aca="false">Sens!F13449</f>
        <v>168.45390404212</v>
      </c>
      <c r="G13541" s="6" t="n">
        <f aca="false">Sens!G13449</f>
        <v>191.944475649048</v>
      </c>
      <c r="H13541" s="6" t="n">
        <f aca="false">Sens!H13449</f>
        <v>196.806004064512</v>
      </c>
      <c r="I13541" s="6" t="n">
        <f aca="false">Sens!I13449</f>
        <v>168.61483362161</v>
      </c>
      <c r="J13541" s="6" t="n">
        <f aca="false">Sens!J13449</f>
        <v>128.92993119594</v>
      </c>
      <c r="K13541" s="6" t="n">
        <f aca="false">Sens!K13449</f>
        <v>118.962853064733</v>
      </c>
    </row>
    <row r="13542" customFormat="false" ht="17.15" hidden="false" customHeight="false" outlineLevel="0" collapsed="false">
      <c r="A13542" s="1" t="s">
        <v>1109</v>
      </c>
      <c r="B13542" s="0" t="s">
        <v>98</v>
      </c>
      <c r="E13542" s="6" t="n">
        <f aca="false">Sens!E13457*cx_azo+Sens!E13464*cx_m365+Sens!E13465*cx_lic+(Sens!E13467+Sens!E13469)*cx_ind+Sens!E13472*cx_srch+(Sens!E13474+Sens!E13476)*cx_dev</f>
        <v>30.1846587067718</v>
      </c>
      <c r="F13542" s="6" t="n">
        <f aca="false">Sens!F13457*cx_azo+Sens!F13464*cx_m365+Sens!F13465*cx_lic+(Sens!F13467+Sens!F13469)*cx_ind+Sens!F13472*cx_srch+(Sens!F13474+Sens!F13476)*cx_dev</f>
        <v>35.7460764992227</v>
      </c>
      <c r="G13542" s="6" t="n">
        <f aca="false">Sens!G13457*cx_azo+Sens!G13464*cx_m365+Sens!G13465*cx_lic+(Sens!G13467+Sens!G13469)*cx_ind+Sens!G13472*cx_srch+(Sens!G13474+Sens!G13476)*cx_dev</f>
        <v>41.360407454248</v>
      </c>
      <c r="H13542" s="6" t="n">
        <f aca="false">Sens!H13457*cx_azo+Sens!H13464*cx_m365+Sens!H13465*cx_lic+(Sens!H13467+Sens!H13469)*cx_ind+Sens!H13472*cx_srch+(Sens!H13474+Sens!H13476)*cx_dev</f>
        <v>47.0605449685615</v>
      </c>
      <c r="I13542" s="6" t="n">
        <f aca="false">Sens!I13457*cx_azo+Sens!I13464*cx_m365+Sens!I13465*cx_lic+(Sens!I13467+Sens!I13469)*cx_ind+Sens!I13472*cx_srch+(Sens!I13474+Sens!I13476)*cx_dev</f>
        <v>52.4873936808571</v>
      </c>
      <c r="J13542" s="6" t="n">
        <f aca="false">Sens!J13457*cx_azo+Sens!J13464*cx_m365+Sens!J13465*cx_lic+(Sens!J13467+Sens!J13469)*cx_ind+Sens!J13472*cx_srch+(Sens!J13474+Sens!J13476)*cx_dev</f>
        <v>57.4057147917091</v>
      </c>
      <c r="K13542" s="6" t="n">
        <f aca="false">Sens!K13457*cx_azo+Sens!K13464*cx_m365+Sens!K13465*cx_lic+(Sens!K13467+Sens!K13469)*cx_ind+Sens!K13472*cx_srch+(Sens!K13474+Sens!K13476)*cx_dev</f>
        <v>61.7224770607185</v>
      </c>
    </row>
    <row r="13543" customFormat="false" ht="17.15" hidden="false" customHeight="false" outlineLevel="0" collapsed="false">
      <c r="A13543" s="0" t="s">
        <v>1110</v>
      </c>
      <c r="B13543" s="0" t="s">
        <v>98</v>
      </c>
      <c r="F13543" s="6" t="n">
        <f aca="false">Sens!F13447</f>
        <v>1.94586576753863E-005</v>
      </c>
      <c r="L13543" s="1" t="s">
        <v>1111</v>
      </c>
    </row>
    <row r="13544" customFormat="false" ht="17.15" hidden="false" customHeight="false" outlineLevel="0" collapsed="false">
      <c r="A13544" s="1" t="s">
        <v>1112</v>
      </c>
      <c r="B13544" s="0" t="s">
        <v>98</v>
      </c>
      <c r="E13544" s="6" t="n">
        <f aca="false">Q!M43</f>
        <v>145.3</v>
      </c>
      <c r="F13544" s="6" t="n">
        <f aca="false">Sens!F13541+Sens!F13542+Sens!F13543</f>
        <v>204.2</v>
      </c>
      <c r="G13544" s="6" t="n">
        <f aca="false">Sens!G13541+Sens!G13542</f>
        <v>233.304883103296</v>
      </c>
      <c r="H13544" s="6" t="n">
        <f aca="false">Sens!H13541+Sens!H13542</f>
        <v>243.866549033074</v>
      </c>
      <c r="I13544" s="6" t="n">
        <f aca="false">Sens!I13541+Sens!I13542</f>
        <v>221.102227302467</v>
      </c>
      <c r="J13544" s="6" t="n">
        <f aca="false">Sens!J13541+Sens!J13542</f>
        <v>186.33564598765</v>
      </c>
      <c r="K13544" s="6" t="n">
        <f aca="false">Sens!K13541+Sens!K13542</f>
        <v>180.685330125451</v>
      </c>
      <c r="L13544" s="1" t="s">
        <v>1113</v>
      </c>
    </row>
    <row r="13545" customFormat="false" ht="15" hidden="false" customHeight="false" outlineLevel="0" collapsed="false">
      <c r="A13545" s="1" t="s">
        <v>1114</v>
      </c>
      <c r="B13545" s="0" t="s">
        <v>98</v>
      </c>
      <c r="E13545" s="6" t="n">
        <f aca="false">fl_liab</f>
        <v>66.594</v>
      </c>
      <c r="F13545" s="6" t="n">
        <f aca="false">Sens!E13545-Sens!F13546</f>
        <v>62.46973</v>
      </c>
      <c r="G13545" s="6" t="n">
        <f aca="false">Sens!F13545-Sens!G13546</f>
        <v>57.98686785</v>
      </c>
      <c r="H13545" s="6" t="n">
        <f aca="false">Sens!G13545-Sens!H13546</f>
        <v>53.92827690325</v>
      </c>
      <c r="I13545" s="6" t="n">
        <f aca="false">Sens!H13545-Sens!I13546</f>
        <v>49.7850493638962</v>
      </c>
      <c r="J13545" s="6" t="n">
        <f aca="false">Sens!I13545-Sens!J13546</f>
        <v>45.4823765852716</v>
      </c>
      <c r="K13545" s="6" t="n">
        <f aca="false">Sens!J13545-Sens!K13546</f>
        <v>40.9860835316088</v>
      </c>
    </row>
    <row r="13546" customFormat="false" ht="15" hidden="false" customHeight="false" outlineLevel="0" collapsed="false">
      <c r="A13546" s="1" t="s">
        <v>1115</v>
      </c>
      <c r="B13546" s="0" t="s">
        <v>98</v>
      </c>
      <c r="F13546" s="6" t="n">
        <f aca="false">fl_pay_27-Sens!E13545*fl_rate</f>
        <v>4.12427</v>
      </c>
      <c r="G13546" s="6" t="n">
        <f aca="false">fl_pay_28-Sens!F13545*fl_rate</f>
        <v>4.48286215</v>
      </c>
      <c r="H13546" s="6" t="n">
        <f aca="false">fl_pay_29-Sens!G13545*fl_rate</f>
        <v>4.05859094675</v>
      </c>
      <c r="I13546" s="6" t="n">
        <f aca="false">fl_pay_30-Sens!H13545*fl_rate</f>
        <v>4.14322753935375</v>
      </c>
      <c r="J13546" s="6" t="n">
        <f aca="false">fl_pay_31-Sens!I13545*fl_rate</f>
        <v>4.30267277862467</v>
      </c>
      <c r="K13546" s="6" t="n">
        <f aca="false">fl_pay_32-Sens!J13545*fl_rate</f>
        <v>4.49629305366278</v>
      </c>
    </row>
    <row r="13547" customFormat="false" ht="17.15" hidden="false" customHeight="false" outlineLevel="0" collapsed="false">
      <c r="A13547" s="1" t="s">
        <v>1116</v>
      </c>
      <c r="B13547" s="0" t="s">
        <v>98</v>
      </c>
      <c r="E13547" s="6" t="n">
        <f aca="false">Q!M35-Q!M36-Q!M44</f>
        <v>63.886</v>
      </c>
      <c r="F13547" s="6" t="n">
        <f aca="false">Sens!F13540-Sens!F13544-Sens!F13546</f>
        <v>15.4969375872946</v>
      </c>
      <c r="G13547" s="6" t="n">
        <f aca="false">Sens!G13540-Sens!G13544-Sens!G13546</f>
        <v>29.0803463000652</v>
      </c>
      <c r="H13547" s="6" t="n">
        <f aca="false">Sens!H13540-Sens!H13544-Sens!H13546</f>
        <v>69.052379981689</v>
      </c>
      <c r="I13547" s="6" t="n">
        <f aca="false">Sens!I13540-Sens!I13544-Sens!I13546</f>
        <v>137.965884559331</v>
      </c>
      <c r="J13547" s="6" t="n">
        <f aca="false">Sens!J13540-Sens!J13544-Sens!J13546</f>
        <v>210.250763760213</v>
      </c>
      <c r="K13547" s="6" t="n">
        <f aca="false">Sens!K13540-Sens!K13544-Sens!K13546</f>
        <v>245.852832013113</v>
      </c>
      <c r="L13547" s="12" t="s">
        <v>1117</v>
      </c>
    </row>
    <row r="13548" customFormat="false" ht="15" hidden="false" customHeight="false" outlineLevel="0" collapsed="false">
      <c r="A13548" s="1" t="s">
        <v>1118</v>
      </c>
      <c r="B13548" s="0" t="s">
        <v>75</v>
      </c>
      <c r="F13548" s="8" t="n">
        <f aca="false">dps_27</f>
        <v>3.85</v>
      </c>
      <c r="G13548" s="8" t="n">
        <f aca="false">Sens!F13548*(1+dps_g)</f>
        <v>4.158</v>
      </c>
      <c r="H13548" s="8" t="n">
        <f aca="false">Sens!G13548*(1+dps_g)</f>
        <v>4.49064</v>
      </c>
      <c r="I13548" s="8" t="n">
        <f aca="false">Sens!H13548*(1+dps_g)</f>
        <v>4.8498912</v>
      </c>
      <c r="J13548" s="8" t="n">
        <f aca="false">Sens!I13548*(1+dps_g)</f>
        <v>5.237882496</v>
      </c>
      <c r="K13548" s="8" t="n">
        <f aca="false">Sens!J13548*(1+dps_g)</f>
        <v>5.65691309568</v>
      </c>
    </row>
    <row r="13549" customFormat="false" ht="17.15" hidden="false" customHeight="false" outlineLevel="0" collapsed="false">
      <c r="A13549" s="1" t="s">
        <v>1119</v>
      </c>
      <c r="B13549" s="0" t="s">
        <v>98</v>
      </c>
      <c r="E13549" s="6" t="n">
        <f aca="false">Q!M41</f>
        <v>26.445</v>
      </c>
      <c r="F13549" s="6" t="n">
        <f aca="false">Sens!F13548*Sens!E13558</f>
        <v>28.59395</v>
      </c>
      <c r="G13549" s="6" t="n">
        <f aca="false">Sens!G13548*Sens!F13558</f>
        <v>31.0346997748225</v>
      </c>
      <c r="H13549" s="6" t="n">
        <f aca="false">Sens!H13548*Sens!G13558</f>
        <v>33.7195545568083</v>
      </c>
      <c r="I13549" s="6" t="n">
        <f aca="false">Sens!I13548*Sens!H13558</f>
        <v>36.4675571984256</v>
      </c>
      <c r="J13549" s="6" t="n">
        <f aca="false">Sens!J13548*Sens!I13558</f>
        <v>39.4528596596923</v>
      </c>
      <c r="K13549" s="6" t="n">
        <f aca="false">Sens!K13548*Sens!J13558</f>
        <v>42.6958426948459</v>
      </c>
      <c r="L13549" s="1" t="s">
        <v>1120</v>
      </c>
    </row>
    <row r="13550" customFormat="false" ht="15" hidden="false" customHeight="false" outlineLevel="0" collapsed="false">
      <c r="A13550" s="1" t="s">
        <v>1121</v>
      </c>
      <c r="B13550" s="0" t="s">
        <v>98</v>
      </c>
      <c r="E13550" s="6" t="n">
        <f aca="false">Sens!E13547-Sens!E13549</f>
        <v>37.441</v>
      </c>
      <c r="F13550" s="6" t="n">
        <f aca="false">Sens!F13547-Sens!F13549</f>
        <v>-13.0970124127054</v>
      </c>
      <c r="G13550" s="6" t="n">
        <f aca="false">Sens!G13547-Sens!G13549</f>
        <v>-1.95435347475722</v>
      </c>
      <c r="H13550" s="6" t="n">
        <f aca="false">Sens!H13547-Sens!H13549</f>
        <v>35.3328254248808</v>
      </c>
      <c r="I13550" s="6" t="n">
        <f aca="false">Sens!I13547-Sens!I13549</f>
        <v>101.498327360905</v>
      </c>
      <c r="J13550" s="6" t="n">
        <f aca="false">Sens!J13547-Sens!J13549</f>
        <v>170.797904100521</v>
      </c>
      <c r="K13550" s="6" t="n">
        <f aca="false">Sens!K13547-Sens!K13549</f>
        <v>203.156989318267</v>
      </c>
    </row>
    <row r="13551" customFormat="false" ht="15" hidden="false" customHeight="false" outlineLevel="0" collapsed="false">
      <c r="A13551" s="1" t="s">
        <v>1122</v>
      </c>
      <c r="B13551" s="0" t="s">
        <v>98</v>
      </c>
      <c r="F13551" s="6" t="n">
        <f aca="false">debt_mat_27</f>
        <v>9.25</v>
      </c>
      <c r="G13551" s="6" t="n">
        <f aca="false">debt_mat_28</f>
        <v>0</v>
      </c>
      <c r="H13551" s="6" t="n">
        <f aca="false">debt_mat_29</f>
        <v>2.001</v>
      </c>
      <c r="I13551" s="6" t="n">
        <f aca="false">debt_mat_30</f>
        <v>0</v>
      </c>
      <c r="J13551" s="6" t="n">
        <f aca="false">debt_mat_31</f>
        <v>0.5</v>
      </c>
      <c r="K13551" s="6" t="n">
        <f aca="false">debt_mat_32</f>
        <v>0</v>
      </c>
    </row>
    <row r="13552" customFormat="false" ht="15" hidden="false" customHeight="false" outlineLevel="0" collapsed="false">
      <c r="A13552" s="1" t="s">
        <v>1123</v>
      </c>
      <c r="B13552" s="0" t="s">
        <v>98</v>
      </c>
      <c r="E13552" s="6" t="n">
        <f aca="false">Q!M40</f>
        <v>22.271</v>
      </c>
      <c r="F13552" s="6" t="n">
        <f aca="false">MAX(0,MIN(bb_target,Sens!E13554+Sens!F13550-Sens!F13551-min_cash))</f>
        <v>4.49598758729458</v>
      </c>
      <c r="G13552" s="6" t="n">
        <f aca="false">MAX(0,MIN(bb_target,Sens!F13554+Sens!G13550-Sens!G13551-min_cash))</f>
        <v>0</v>
      </c>
      <c r="H13552" s="6" t="n">
        <f aca="false">MAX(0,MIN(bb_target,Sens!G13554+Sens!H13550-Sens!H13551-min_cash))</f>
        <v>22.271</v>
      </c>
      <c r="I13552" s="6" t="n">
        <f aca="false">MAX(0,MIN(bb_target,Sens!H13554+Sens!I13550-Sens!I13551-min_cash))</f>
        <v>22.271</v>
      </c>
      <c r="J13552" s="6" t="n">
        <f aca="false">MAX(0,MIN(bb_target,Sens!I13554+Sens!J13550-Sens!J13551-min_cash))</f>
        <v>22.271</v>
      </c>
      <c r="K13552" s="6" t="n">
        <f aca="false">MAX(0,MIN(bb_target,Sens!J13554+Sens!K13550-Sens!K13551-min_cash))</f>
        <v>22.271</v>
      </c>
    </row>
    <row r="13553" customFormat="false" ht="15" hidden="false" customHeight="false" outlineLevel="0" collapsed="false">
      <c r="A13553" s="1" t="s">
        <v>1124</v>
      </c>
      <c r="B13553" s="0" t="s">
        <v>98</v>
      </c>
      <c r="F13553" s="6" t="n">
        <f aca="false">MAX(0,min_cash-(Sens!E13554+Sens!F13550-Sens!F13551-Sens!F13552))</f>
        <v>0</v>
      </c>
      <c r="G13553" s="6" t="n">
        <f aca="false">MAX(0,min_cash-(Sens!F13554+Sens!G13550-Sens!G13551-Sens!G13552))</f>
        <v>1.95435347475723</v>
      </c>
      <c r="H13553" s="6" t="n">
        <f aca="false">MAX(0,min_cash-(Sens!G13554+Sens!H13550-Sens!H13551-Sens!H13552))</f>
        <v>0</v>
      </c>
      <c r="I13553" s="6" t="n">
        <f aca="false">MAX(0,min_cash-(Sens!H13554+Sens!I13550-Sens!I13551-Sens!I13552))</f>
        <v>0</v>
      </c>
      <c r="J13553" s="6" t="n">
        <f aca="false">MAX(0,min_cash-(Sens!I13554+Sens!J13550-Sens!J13551-Sens!J13552))</f>
        <v>0</v>
      </c>
      <c r="K13553" s="6" t="n">
        <f aca="false">MAX(0,min_cash-(Sens!J13554+Sens!K13550-Sens!K13551-Sens!K13552))</f>
        <v>0</v>
      </c>
    </row>
    <row r="13554" customFormat="false" ht="15" hidden="false" customHeight="false" outlineLevel="0" collapsed="false">
      <c r="A13554" s="1" t="s">
        <v>1125</v>
      </c>
      <c r="B13554" s="0" t="s">
        <v>98</v>
      </c>
      <c r="E13554" s="6" t="n">
        <f aca="false">cash_open</f>
        <v>76.843</v>
      </c>
      <c r="F13554" s="6" t="n">
        <f aca="false">Sens!E13554+Sens!F13550-Sens!F13551-Sens!F13552+Sens!F13553</f>
        <v>50</v>
      </c>
      <c r="G13554" s="6" t="n">
        <f aca="false">Sens!F13554+Sens!G13550-Sens!G13551-Sens!G13552+Sens!G13553</f>
        <v>50</v>
      </c>
      <c r="H13554" s="6" t="n">
        <f aca="false">Sens!G13554+Sens!H13550-Sens!H13551-Sens!H13552+Sens!H13553</f>
        <v>61.0608254248808</v>
      </c>
      <c r="I13554" s="6" t="n">
        <f aca="false">Sens!H13554+Sens!I13550-Sens!I13551-Sens!I13552+Sens!I13553</f>
        <v>140.288152785786</v>
      </c>
      <c r="J13554" s="6" t="n">
        <f aca="false">Sens!I13554+Sens!J13550-Sens!J13551-Sens!J13552+Sens!J13553</f>
        <v>288.315056886307</v>
      </c>
      <c r="K13554" s="6" t="n">
        <f aca="false">Sens!J13554+Sens!K13550-Sens!K13551-Sens!K13552+Sens!K13553</f>
        <v>469.201046204573</v>
      </c>
    </row>
    <row r="13555" customFormat="false" ht="15" hidden="false" customHeight="false" outlineLevel="0" collapsed="false">
      <c r="A13555" s="1" t="s">
        <v>1126</v>
      </c>
      <c r="B13555" s="0" t="s">
        <v>98</v>
      </c>
      <c r="E13555" s="6" t="n">
        <f aca="false">debt_face</f>
        <v>46.136</v>
      </c>
      <c r="F13555" s="6" t="n">
        <f aca="false">Sens!E13555-Sens!F13551+Sens!F13553</f>
        <v>36.886</v>
      </c>
      <c r="G13555" s="6" t="n">
        <f aca="false">Sens!F13555-Sens!G13551+Sens!G13553</f>
        <v>38.8403534747572</v>
      </c>
      <c r="H13555" s="6" t="n">
        <f aca="false">Sens!G13555-Sens!H13551+Sens!H13553</f>
        <v>36.8393534747572</v>
      </c>
      <c r="I13555" s="6" t="n">
        <f aca="false">Sens!H13555-Sens!I13551+Sens!I13553</f>
        <v>36.8393534747572</v>
      </c>
      <c r="J13555" s="6" t="n">
        <f aca="false">Sens!I13555-Sens!J13551+Sens!J13553</f>
        <v>36.3393534747572</v>
      </c>
      <c r="K13555" s="6" t="n">
        <f aca="false">Sens!J13555-Sens!K13551+Sens!K13553</f>
        <v>36.3393534747572</v>
      </c>
    </row>
    <row r="13556" customFormat="false" ht="15" hidden="false" customHeight="false" outlineLevel="0" collapsed="false">
      <c r="A13556" s="1" t="s">
        <v>1127</v>
      </c>
      <c r="B13556" s="0" t="s">
        <v>98</v>
      </c>
      <c r="E13556" s="6" t="n">
        <f aca="false">Sens!E13554-Sens!E13555</f>
        <v>30.707</v>
      </c>
      <c r="F13556" s="6" t="n">
        <f aca="false">Sens!F13554-Sens!F13555</f>
        <v>13.114</v>
      </c>
      <c r="G13556" s="6" t="n">
        <f aca="false">Sens!G13554-Sens!G13555</f>
        <v>11.1596465252428</v>
      </c>
      <c r="H13556" s="6" t="n">
        <f aca="false">Sens!H13554-Sens!H13555</f>
        <v>24.2214719501235</v>
      </c>
      <c r="I13556" s="6" t="n">
        <f aca="false">Sens!I13554-Sens!I13555</f>
        <v>103.448799311028</v>
      </c>
      <c r="J13556" s="6" t="n">
        <f aca="false">Sens!J13554-Sens!J13555</f>
        <v>251.97570341155</v>
      </c>
      <c r="K13556" s="6" t="n">
        <f aca="false">Sens!K13554-Sens!K13555</f>
        <v>432.861692729816</v>
      </c>
    </row>
    <row r="13557" customFormat="false" ht="15" hidden="false" customHeight="false" outlineLevel="0" collapsed="false">
      <c r="A13557" s="1" t="s">
        <v>1128</v>
      </c>
      <c r="B13557" s="0" t="s">
        <v>75</v>
      </c>
      <c r="F13557" s="30" t="n">
        <f aca="false">px*(1+bb_g)^(Sens!F13415-base_fy-mid_yr)</f>
        <v>551.84177959629</v>
      </c>
      <c r="G13557" s="30" t="n">
        <f aca="false">px*(1+bb_g)^(Sens!G13415-base_fy-mid_yr)</f>
        <v>595.989121963993</v>
      </c>
      <c r="H13557" s="30" t="n">
        <f aca="false">px*(1+bb_g)^(Sens!H13415-base_fy-mid_yr)</f>
        <v>643.668251721112</v>
      </c>
      <c r="I13557" s="30" t="n">
        <f aca="false">px*(1+bb_g)^(Sens!I13415-base_fy-mid_yr)</f>
        <v>695.161711858801</v>
      </c>
      <c r="J13557" s="30" t="n">
        <f aca="false">px*(1+bb_g)^(Sens!J13415-base_fy-mid_yr)</f>
        <v>750.774648807506</v>
      </c>
      <c r="K13557" s="30" t="n">
        <f aca="false">px*(1+bb_g)^(Sens!K13415-base_fy-mid_yr)</f>
        <v>810.836620712106</v>
      </c>
    </row>
    <row r="13558" customFormat="false" ht="15" hidden="false" customHeight="false" outlineLevel="0" collapsed="false">
      <c r="A13558" s="1" t="s">
        <v>1129</v>
      </c>
      <c r="B13558" s="1" t="s">
        <v>81</v>
      </c>
      <c r="E13558" s="15" t="n">
        <f aca="false">sh_out26</f>
        <v>7.427</v>
      </c>
      <c r="F13558" s="15" t="n">
        <f aca="false">Sens!E13558+sh_iss-Sens!F13552/Sens!F13557</f>
        <v>7.46385275969756</v>
      </c>
      <c r="G13558" s="15" t="n">
        <f aca="false">Sens!F13558+sh_iss-Sens!G13552/Sens!G13557</f>
        <v>7.50885275969756</v>
      </c>
      <c r="H13558" s="15" t="n">
        <f aca="false">Sens!G13558+sh_iss-Sens!H13552/Sens!H13557</f>
        <v>7.51925263775517</v>
      </c>
      <c r="I13558" s="15" t="n">
        <f aca="false">Sens!H13558+sh_iss-Sens!I13552/Sens!I13557</f>
        <v>7.5322154878085</v>
      </c>
      <c r="J13558" s="15" t="n">
        <f aca="false">Sens!I13558+sh_iss-Sens!J13552/Sens!J13557</f>
        <v>7.54755146008011</v>
      </c>
      <c r="K13558" s="15" t="n">
        <f aca="false">Sens!J13558+sh_iss-Sens!K13552/Sens!K13557</f>
        <v>7.56508476773901</v>
      </c>
    </row>
    <row r="13559" customFormat="false" ht="15" hidden="false" customHeight="false" outlineLevel="0" collapsed="false">
      <c r="A13559" s="1" t="s">
        <v>1130</v>
      </c>
      <c r="B13559" s="1" t="s">
        <v>81</v>
      </c>
      <c r="E13559" s="15" t="n">
        <f aca="false">sh_dil26</f>
        <v>7.453</v>
      </c>
      <c r="F13559" s="15" t="n">
        <f aca="false">(Sens!E13558+Sens!F13558)/2+dil_gap</f>
        <v>7.46942637984878</v>
      </c>
      <c r="G13559" s="15" t="n">
        <f aca="false">(Sens!F13558+Sens!G13558)/2+dil_gap</f>
        <v>7.51035275969756</v>
      </c>
      <c r="H13559" s="15" t="n">
        <f aca="false">(Sens!G13558+Sens!H13558)/2+dil_gap</f>
        <v>7.53805269872637</v>
      </c>
      <c r="I13559" s="15" t="n">
        <f aca="false">(Sens!H13558+Sens!I13558)/2+dil_gap</f>
        <v>7.54973406278184</v>
      </c>
      <c r="J13559" s="15" t="n">
        <f aca="false">(Sens!I13558+Sens!J13558)/2+dil_gap</f>
        <v>7.56388347394431</v>
      </c>
      <c r="K13559" s="15" t="n">
        <f aca="false">(Sens!J13558+Sens!K13558)/2+dil_gap</f>
        <v>7.58031811390956</v>
      </c>
    </row>
    <row r="13560" customFormat="false" ht="17.15" hidden="false" customHeight="false" outlineLevel="0" collapsed="false">
      <c r="A13560" s="1" t="s">
        <v>1131</v>
      </c>
      <c r="B13560" s="0" t="s">
        <v>98</v>
      </c>
      <c r="C13560" s="6" t="n">
        <f aca="false">SUM(Sens!F13550:J13550)</f>
        <v>292.577690998844</v>
      </c>
    </row>
    <row r="13561" customFormat="false" ht="15" hidden="false" customHeight="false" outlineLevel="0" collapsed="false">
      <c r="A13561" s="26" t="s">
        <v>1096</v>
      </c>
      <c r="B13561" s="31" t="s">
        <v>98</v>
      </c>
      <c r="C13561" s="27" t="n">
        <f aca="false">Sens!$C$13560-(Sens!F13550+Sens!G13550+Sens!H13550+Sens!I13550+Sens!J13550)</f>
        <v>0</v>
      </c>
      <c r="D13561" s="31"/>
      <c r="E13561" s="31"/>
      <c r="F13561" s="31"/>
      <c r="G13561" s="31"/>
      <c r="H13561" s="31"/>
      <c r="I13561" s="31"/>
      <c r="J13561" s="31"/>
      <c r="K13561" s="31"/>
    </row>
    <row r="13562" customFormat="false" ht="17.15" hidden="false" customHeight="false" outlineLevel="0" collapsed="false">
      <c r="A13562" s="1" t="s">
        <v>1090</v>
      </c>
      <c r="B13562" s="1" t="s">
        <v>1132</v>
      </c>
      <c r="C13562" s="33" t="str">
        <f aca="false">IF(SUM(Sens!F13553:J13553)&gt;0.05,"需要舉債 "&amp;TEXT(SUM(Sens!F13553:J13553),"0.0")&amp;" 十億美元","不需舉債")&amp;"；"&amp;IF(SUM(Sens!F13552:J13552)&lt;COUNT(Sens!F13552:J13552)*bb_target-0.05,"回購較每年 "&amp;TEXT(bb_target,"0.0")&amp;" 的目標少 "&amp;TEXT(COUNT(Sens!F13552:J13552)*bb_target-SUM(Sens!F13552:J13552),"0.0")&amp;" 十億美元（"&amp;TEXT(COUNTIF(Sens!F13552:J13552,"&lt;"&amp;(bb_target-0.05)),"0")&amp;" 年減少）","回購不減")</f>
        <v>需要舉債 2.0 十億美元；回購較每年 22.3 的目標少 40.0 十億美元（2 年減少）</v>
      </c>
    </row>
    <row r="13563" customFormat="false" ht="17.15" hidden="false" customHeight="false" outlineLevel="0" collapsed="false">
      <c r="A13563" s="3" t="s">
        <v>1819</v>
      </c>
    </row>
    <row r="13564" customFormat="false" ht="15" hidden="false" customHeight="false" outlineLevel="0" collapsed="false">
      <c r="A13564" s="4" t="s">
        <v>43</v>
      </c>
      <c r="B13564" s="4" t="s">
        <v>65</v>
      </c>
      <c r="C13564" s="23" t="s">
        <v>938</v>
      </c>
      <c r="D13564" s="23" t="s">
        <v>939</v>
      </c>
      <c r="E13564" s="23" t="s">
        <v>940</v>
      </c>
      <c r="F13564" s="23" t="s">
        <v>941</v>
      </c>
      <c r="G13564" s="23" t="s">
        <v>942</v>
      </c>
      <c r="H13564" s="23" t="s">
        <v>943</v>
      </c>
      <c r="I13564" s="23" t="s">
        <v>944</v>
      </c>
      <c r="J13564" s="23" t="s">
        <v>945</v>
      </c>
      <c r="K13564" s="23" t="s">
        <v>946</v>
      </c>
      <c r="L13564" s="4" t="s">
        <v>47</v>
      </c>
    </row>
    <row r="13565" customFormat="false" ht="17.15" hidden="false" customHeight="false" outlineLevel="0" collapsed="false">
      <c r="A13565" s="1" t="s">
        <v>1212</v>
      </c>
      <c r="B13565" s="1" t="s">
        <v>279</v>
      </c>
      <c r="F13565" s="8" t="n">
        <f aca="false">(1-v_off)*mid_yr</f>
        <v>0.373972602739726</v>
      </c>
      <c r="G13565" s="8" t="n">
        <f aca="false">Sens!G13415-base_fy-mid_yr-v_off</f>
        <v>1.24794520547945</v>
      </c>
      <c r="H13565" s="8" t="n">
        <f aca="false">Sens!H13415-base_fy-mid_yr-v_off</f>
        <v>2.24794520547945</v>
      </c>
      <c r="I13565" s="8" t="n">
        <f aca="false">Sens!I13415-base_fy-mid_yr-v_off</f>
        <v>3.24794520547945</v>
      </c>
      <c r="J13565" s="8" t="n">
        <f aca="false">Sens!J13415-base_fy-mid_yr-v_off</f>
        <v>4.24794520547945</v>
      </c>
      <c r="K13565" s="8" t="n">
        <f aca="false">Sens!K13415-base_fy-mid_yr-v_off</f>
        <v>5.24794520547945</v>
      </c>
      <c r="L13565" s="12" t="s">
        <v>1213</v>
      </c>
    </row>
    <row r="13566" customFormat="false" ht="15" hidden="false" customHeight="false" outlineLevel="0" collapsed="false">
      <c r="A13566" s="1" t="s">
        <v>1214</v>
      </c>
      <c r="B13566" s="1" t="s">
        <v>279</v>
      </c>
      <c r="F13566" s="8" t="n">
        <f aca="false">Sens!F13415-base_fy-v_off</f>
        <v>0.747945205479452</v>
      </c>
      <c r="G13566" s="8" t="n">
        <f aca="false">Sens!G13415-base_fy-v_off</f>
        <v>1.74794520547945</v>
      </c>
      <c r="H13566" s="8" t="n">
        <f aca="false">Sens!H13415-base_fy-v_off</f>
        <v>2.74794520547945</v>
      </c>
      <c r="I13566" s="8" t="n">
        <f aca="false">Sens!I13415-base_fy-v_off</f>
        <v>3.74794520547945</v>
      </c>
      <c r="J13566" s="8" t="n">
        <f aca="false">Sens!J13415-base_fy-v_off</f>
        <v>4.74794520547945</v>
      </c>
      <c r="K13566" s="8" t="n">
        <f aca="false">Sens!K13415-base_fy-v_off</f>
        <v>5.74794520547945</v>
      </c>
    </row>
    <row r="13567" customFormat="false" ht="15" hidden="false" customHeight="false" outlineLevel="0" collapsed="false">
      <c r="A13567" s="1" t="s">
        <v>1215</v>
      </c>
      <c r="B13567" s="0" t="s">
        <v>229</v>
      </c>
      <c r="F13567" s="15" t="n">
        <f aca="false">1/(1+wacc)^Sens!F13565</f>
        <v>0.964022703286649</v>
      </c>
      <c r="G13567" s="15" t="n">
        <f aca="false">1/(1+wacc)^Sens!G13565</f>
        <v>0.884910302296739</v>
      </c>
      <c r="H13567" s="15" t="n">
        <f aca="false">1/(1+wacc)^Sens!H13565</f>
        <v>0.802322009770358</v>
      </c>
      <c r="I13567" s="15" t="n">
        <f aca="false">1/(1+wacc)^Sens!I13565</f>
        <v>0.727441646561469</v>
      </c>
      <c r="J13567" s="15" t="n">
        <f aca="false">1/(1+wacc)^Sens!J13565</f>
        <v>0.659549834988973</v>
      </c>
      <c r="K13567" s="15" t="n">
        <f aca="false">1/(1+wacc)^Sens!K13565</f>
        <v>0.597994336576966</v>
      </c>
    </row>
    <row r="13568" customFormat="false" ht="17.15" hidden="false" customHeight="false" outlineLevel="0" collapsed="false">
      <c r="A13568" s="1" t="s">
        <v>1216</v>
      </c>
      <c r="B13568" s="0" t="s">
        <v>98</v>
      </c>
      <c r="F13568" s="6" t="n">
        <f aca="false">Q!$I$35-Q!$I$39-Q!$I$43</f>
        <v>9.666</v>
      </c>
      <c r="L13568" s="12" t="s">
        <v>1217</v>
      </c>
    </row>
    <row r="13569" customFormat="false" ht="17.15" hidden="false" customHeight="false" outlineLevel="0" collapsed="false">
      <c r="A13569" s="1" t="s">
        <v>1218</v>
      </c>
      <c r="B13569" s="0" t="s">
        <v>98</v>
      </c>
      <c r="F13569" s="6" t="n">
        <f aca="false">Sens!F13540-Sens!F13537-Sens!F13544+Sens!F13522*(1-tax_f)*(1-v_off)-Sens!F13568</f>
        <v>0.784780629887802</v>
      </c>
      <c r="G13569" s="6" t="n">
        <f aca="false">Sens!G13540-Sens!G13537-Sens!G13544+Sens!G13522*(1-tax_f)</f>
        <v>35.7674954556069</v>
      </c>
      <c r="H13569" s="6" t="n">
        <f aca="false">Sens!H13540-Sens!H13537-Sens!H13544+Sens!H13522*(1-tax_f)</f>
        <v>85.863685075584</v>
      </c>
      <c r="I13569" s="6" t="n">
        <f aca="false">Sens!I13540-Sens!I13537-Sens!I13544+Sens!I13522*(1-tax_f)</f>
        <v>164.40582870441</v>
      </c>
      <c r="J13569" s="6" t="n">
        <f aca="false">Sens!J13540-Sens!J13537-Sens!J13544+Sens!J13522*(1-tax_f)</f>
        <v>243.196422903214</v>
      </c>
      <c r="K13569" s="6" t="n">
        <f aca="false">Sens!K13540-Sens!K13537-Sens!K13544+Sens!K13522*(1-tax_f)</f>
        <v>281.855785294212</v>
      </c>
      <c r="L13569" s="1" t="s">
        <v>1219</v>
      </c>
    </row>
    <row r="13570" customFormat="false" ht="15" hidden="false" customHeight="false" outlineLevel="0" collapsed="false">
      <c r="A13570" s="1" t="s">
        <v>1220</v>
      </c>
      <c r="B13570" s="0" t="s">
        <v>98</v>
      </c>
      <c r="F13570" s="6" t="n">
        <f aca="false">Sens!F13569*Sens!F13567</f>
        <v>0.756546344311438</v>
      </c>
      <c r="G13570" s="6" t="n">
        <f aca="false">Sens!G13569*Sens!G13567</f>
        <v>31.6510252160183</v>
      </c>
      <c r="H13570" s="6" t="n">
        <f aca="false">Sens!H13569*Sens!H13567</f>
        <v>68.8903243761316</v>
      </c>
      <c r="I13570" s="6" t="n">
        <f aca="false">Sens!I13569*Sens!I13567</f>
        <v>119.595646737039</v>
      </c>
      <c r="J13570" s="6" t="n">
        <f aca="false">Sens!J13569*Sens!J13567</f>
        <v>160.400160595723</v>
      </c>
      <c r="K13570" s="6" t="n">
        <f aca="false">Sens!K13569*Sens!K13567</f>
        <v>168.548163337392</v>
      </c>
    </row>
    <row r="13571" customFormat="false" ht="17.15" hidden="false" customHeight="false" outlineLevel="0" collapsed="false">
      <c r="A13571" s="1" t="s">
        <v>1221</v>
      </c>
      <c r="B13571" s="0" t="s">
        <v>98</v>
      </c>
      <c r="C13571" s="6" t="n">
        <f aca="false">SUM(Sens!F13570:K13570)</f>
        <v>549.841866606615</v>
      </c>
    </row>
    <row r="13572" customFormat="false" ht="17.15" hidden="false" customHeight="false" outlineLevel="0" collapsed="false">
      <c r="A13572" s="1" t="s">
        <v>1222</v>
      </c>
      <c r="B13572" s="0" t="s">
        <v>98</v>
      </c>
      <c r="C13572" s="6" t="n">
        <f aca="false">Sens!K13508*(1+g_tv)*(1-tax_f)</f>
        <v>293.374773748391</v>
      </c>
    </row>
    <row r="13573" customFormat="false" ht="17.15" hidden="false" customHeight="false" outlineLevel="0" collapsed="false">
      <c r="A13573" s="1" t="s">
        <v>1223</v>
      </c>
      <c r="B13573" s="0" t="s">
        <v>98</v>
      </c>
      <c r="C13573" s="6" t="n">
        <f aca="false">Sens!$C$13572*(1-g_tv/(wacc+ronic_prem))</f>
        <v>207.873173864408</v>
      </c>
    </row>
    <row r="13574" customFormat="false" ht="17.15" hidden="false" customHeight="false" outlineLevel="0" collapsed="false">
      <c r="A13574" s="1" t="s">
        <v>1224</v>
      </c>
      <c r="B13574" s="0" t="s">
        <v>98</v>
      </c>
      <c r="C13574" s="6" t="n">
        <f aca="false">Sens!$C$13573/(wacc-g_tv)</f>
        <v>2850.05332946612</v>
      </c>
    </row>
    <row r="13575" customFormat="false" ht="15" hidden="false" customHeight="false" outlineLevel="0" collapsed="false">
      <c r="A13575" s="1" t="s">
        <v>1225</v>
      </c>
      <c r="B13575" s="0" t="s">
        <v>98</v>
      </c>
      <c r="C13575" s="6" t="n">
        <f aca="false">Sens!$C$13574/(1+wacc)^Sens!K13566</f>
        <v>1622.83656657624</v>
      </c>
    </row>
    <row r="13576" customFormat="false" ht="17.15" hidden="false" customHeight="false" outlineLevel="0" collapsed="false">
      <c r="A13576" s="0" t="s">
        <v>1226</v>
      </c>
      <c r="B13576" s="0" t="s">
        <v>98</v>
      </c>
      <c r="C13576" s="6" t="n">
        <f aca="false">Sens!$C$13571+Sens!$C$13575</f>
        <v>2172.67843318285</v>
      </c>
    </row>
    <row r="13577" customFormat="false" ht="15" hidden="false" customHeight="false" outlineLevel="0" collapsed="false">
      <c r="A13577" s="1" t="s">
        <v>1141</v>
      </c>
      <c r="B13577" s="0" t="s">
        <v>168</v>
      </c>
      <c r="C13577" s="7" t="n">
        <f aca="false">Sens!$C$13575/Sens!$C$13576</f>
        <v>0.746929017102118</v>
      </c>
    </row>
    <row r="13578" customFormat="false" ht="17.15" hidden="false" customHeight="false" outlineLevel="0" collapsed="false">
      <c r="A13578" s="1" t="s">
        <v>1227</v>
      </c>
      <c r="B13578" s="0" t="s">
        <v>98</v>
      </c>
      <c r="C13578" s="6" t="n">
        <f aca="false">Sens!$C$13576+cash_val-debt_val-fl_val+oai_v</f>
        <v>2288.52943318285</v>
      </c>
    </row>
    <row r="13579" customFormat="false" ht="17.15" hidden="false" customHeight="false" outlineLevel="0" collapsed="false">
      <c r="A13579" s="0" t="s">
        <v>1149</v>
      </c>
      <c r="B13579" s="0" t="s">
        <v>75</v>
      </c>
      <c r="C13579" s="5" t="n">
        <f aca="false">Sens!$C$13578/shd_val</f>
        <v>307.350179046851</v>
      </c>
    </row>
    <row r="13580" customFormat="false" ht="15" hidden="false" customHeight="false" outlineLevel="0" collapsed="false">
      <c r="A13580" s="1" t="s">
        <v>1228</v>
      </c>
      <c r="B13580" s="0" t="s">
        <v>75</v>
      </c>
      <c r="C13580" s="8" t="n">
        <f aca="false">div_rem27+Sens!G13548*roll_div_q/q_per_yr</f>
        <v>3.9795</v>
      </c>
    </row>
    <row r="13581" customFormat="false" ht="17.15" hidden="false" customHeight="false" outlineLevel="0" collapsed="false">
      <c r="A13581" s="0" t="s">
        <v>1229</v>
      </c>
      <c r="B13581" s="0" t="s">
        <v>75</v>
      </c>
      <c r="C13581" s="5" t="n">
        <f aca="false">Sens!$C$13579*(1+wacc)^t_roll-Sens!$C$13580</f>
        <v>337.657377452681</v>
      </c>
    </row>
    <row r="13582" customFormat="false" ht="17.15" hidden="false" customHeight="false" outlineLevel="0" collapsed="false">
      <c r="A13582" s="1" t="s">
        <v>1230</v>
      </c>
      <c r="B13582" s="0" t="s">
        <v>168</v>
      </c>
      <c r="F13582" s="7" t="n">
        <f aca="false">Sens!F13534/(Sens!F13479-Sens!F13434)</f>
        <v>0.0686195668908011</v>
      </c>
      <c r="G13582" s="7" t="n">
        <f aca="false">Sens!G13534/(Sens!G13479-Sens!G13434)</f>
        <v>0.0658333569148391</v>
      </c>
      <c r="H13582" s="7" t="n">
        <f aca="false">Sens!H13534/(Sens!H13479-Sens!H13434)</f>
        <v>0.0643895625218926</v>
      </c>
      <c r="I13582" s="7" t="n">
        <f aca="false">Sens!I13534/(Sens!I13479-Sens!I13434)</f>
        <v>0.0641676618157989</v>
      </c>
      <c r="J13582" s="7" t="n">
        <f aca="false">Sens!J13534/(Sens!J13479-Sens!J13434)</f>
        <v>0.0648858606572163</v>
      </c>
      <c r="K13582" s="7" t="n">
        <f aca="false">Sens!K13534/(Sens!K13479-Sens!K13434)</f>
        <v>0.0661974425163768</v>
      </c>
    </row>
    <row r="13583" customFormat="false" ht="17.15" hidden="false" customHeight="false" outlineLevel="0" collapsed="false">
      <c r="A13583" s="0" t="s">
        <v>1231</v>
      </c>
      <c r="B13583" s="0" t="s">
        <v>98</v>
      </c>
      <c r="F13583" s="6" t="n">
        <f aca="false">Sens!F13464*(al_m365+Sens!F13582+sbc_r)</f>
        <v>83.7205619248671</v>
      </c>
      <c r="G13583" s="6" t="n">
        <f aca="false">Sens!G13464*(al_m365+Sens!G13582+sbc_r)</f>
        <v>96.1301303332381</v>
      </c>
      <c r="H13583" s="6" t="n">
        <f aca="false">Sens!H13464*(al_m365+Sens!H13582+sbc_r)</f>
        <v>108.70354073822</v>
      </c>
      <c r="I13583" s="6" t="n">
        <f aca="false">Sens!I13464*(al_m365+Sens!I13582+sbc_r)</f>
        <v>120.260101315626</v>
      </c>
      <c r="J13583" s="6" t="n">
        <f aca="false">Sens!J13464*(al_m365+Sens!J13582+sbc_r)</f>
        <v>130.611904548619</v>
      </c>
      <c r="K13583" s="6" t="n">
        <f aca="false">Sens!K13464*(al_m365+Sens!K13582+sbc_r)</f>
        <v>140.575094974638</v>
      </c>
      <c r="L13583" s="12" t="s">
        <v>1232</v>
      </c>
    </row>
    <row r="13584" customFormat="false" ht="17.15" hidden="false" customHeight="false" outlineLevel="0" collapsed="false">
      <c r="A13584" s="0" t="s">
        <v>1233</v>
      </c>
      <c r="B13584" s="0" t="s">
        <v>98</v>
      </c>
      <c r="F13584" s="6" t="n">
        <f aca="false">Sens!F13465*(al_lic+Sens!F13582+sbc_r)</f>
        <v>32.8577657183496</v>
      </c>
      <c r="G13584" s="6" t="n">
        <f aca="false">Sens!G13465*(al_lic+Sens!G13582+sbc_r)</f>
        <v>34.1376266324889</v>
      </c>
      <c r="H13584" s="6" t="n">
        <f aca="false">Sens!H13465*(al_lic+Sens!H13582+sbc_r)</f>
        <v>35.3325744664128</v>
      </c>
      <c r="I13584" s="6" t="n">
        <f aca="false">Sens!I13465*(al_lic+Sens!I13582+sbc_r)</f>
        <v>36.4244749008727</v>
      </c>
      <c r="J13584" s="6" t="n">
        <f aca="false">Sens!J13465*(al_lic+Sens!J13582+sbc_r)</f>
        <v>37.3879406068527</v>
      </c>
      <c r="K13584" s="6" t="n">
        <f aca="false">Sens!K13465*(al_lic+Sens!K13582+sbc_r)</f>
        <v>38.1943876078259</v>
      </c>
    </row>
    <row r="13585" customFormat="false" ht="17.15" hidden="false" customHeight="false" outlineLevel="0" collapsed="false">
      <c r="A13585" s="0" t="s">
        <v>1234</v>
      </c>
      <c r="B13585" s="0" t="s">
        <v>98</v>
      </c>
      <c r="F13585" s="6" t="n">
        <f aca="false">Sens!F13467*(al_ind+Sens!F13582+sbc_r)</f>
        <v>9.06041701092022</v>
      </c>
      <c r="G13585" s="6" t="n">
        <f aca="false">Sens!G13467*(al_ind+Sens!G13582+sbc_r)</f>
        <v>9.83619082712885</v>
      </c>
      <c r="H13585" s="6" t="n">
        <f aca="false">Sens!H13467*(al_ind+Sens!H13582+sbc_r)</f>
        <v>10.6570160105312</v>
      </c>
      <c r="I13585" s="6" t="n">
        <f aca="false">Sens!I13467*(al_ind+Sens!I13582+sbc_r)</f>
        <v>11.5198571637125</v>
      </c>
      <c r="J13585" s="6" t="n">
        <f aca="false">Sens!J13467*(al_ind+Sens!J13582+sbc_r)</f>
        <v>12.4150086539206</v>
      </c>
      <c r="K13585" s="6" t="n">
        <f aca="false">Sens!K13467*(al_ind+Sens!K13582+sbc_r)</f>
        <v>13.3273714589988</v>
      </c>
    </row>
    <row r="13586" customFormat="false" ht="17.15" hidden="false" customHeight="false" outlineLevel="0" collapsed="false">
      <c r="A13586" s="0" t="s">
        <v>1235</v>
      </c>
      <c r="B13586" s="0" t="s">
        <v>98</v>
      </c>
      <c r="F13586" s="6" t="n">
        <f aca="false">Sens!F13469*(al_fro+Sens!F13582+sbc_r)</f>
        <v>3.55402950182022</v>
      </c>
      <c r="G13586" s="6" t="n">
        <f aca="false">Sens!G13469*(al_fro+Sens!G13582+sbc_r)</f>
        <v>3.76361488926481</v>
      </c>
      <c r="H13586" s="6" t="n">
        <f aca="false">Sens!H13469*(al_fro+Sens!H13582+sbc_r)</f>
        <v>4.00220968879544</v>
      </c>
      <c r="I13586" s="6" t="n">
        <f aca="false">Sens!I13469*(al_fro+Sens!I13582+sbc_r)</f>
        <v>4.2725765173852</v>
      </c>
      <c r="J13586" s="6" t="n">
        <f aca="false">Sens!J13469*(al_fro+Sens!J13582+sbc_r)</f>
        <v>4.57586224390293</v>
      </c>
      <c r="K13586" s="6" t="n">
        <f aca="false">Sens!K13469*(al_fro+Sens!K13582+sbc_r)</f>
        <v>4.91213639633217</v>
      </c>
    </row>
    <row r="13587" customFormat="false" ht="17.15" hidden="false" customHeight="false" outlineLevel="0" collapsed="false">
      <c r="A13587" s="0" t="s">
        <v>1236</v>
      </c>
      <c r="B13587" s="0" t="s">
        <v>98</v>
      </c>
      <c r="F13587" s="6" t="n">
        <f aca="false">Sens!F13472*(al_srch+Sens!F13582+sbc_r)</f>
        <v>11.1890902994147</v>
      </c>
      <c r="G13587" s="6" t="n">
        <f aca="false">Sens!G13472*(al_srch+Sens!G13582+sbc_r)</f>
        <v>12.261738891803</v>
      </c>
      <c r="H13587" s="6" t="n">
        <f aca="false">Sens!H13472*(al_srch+Sens!H13582+sbc_r)</f>
        <v>13.3794863429193</v>
      </c>
      <c r="I13587" s="6" t="n">
        <f aca="false">Sens!I13472*(al_srch+Sens!I13582+sbc_r)</f>
        <v>14.5317114787784</v>
      </c>
      <c r="J13587" s="6" t="n">
        <f aca="false">Sens!J13472*(al_srch+Sens!J13582+sbc_r)</f>
        <v>15.6984365817724</v>
      </c>
      <c r="K13587" s="6" t="n">
        <f aca="false">Sens!K13472*(al_srch+Sens!K13582+sbc_r)</f>
        <v>16.8520942258664</v>
      </c>
    </row>
    <row r="13588" customFormat="false" ht="17.15" hidden="false" customHeight="false" outlineLevel="0" collapsed="false">
      <c r="A13588" s="0" t="s">
        <v>1237</v>
      </c>
      <c r="B13588" s="0" t="s">
        <v>98</v>
      </c>
      <c r="F13588" s="6" t="n">
        <f aca="false">Sens!F13440-Sens!F13441+Sens!F13522</f>
        <v>42.4081090240393</v>
      </c>
      <c r="G13588" s="6" t="n">
        <f aca="false">Sens!G13440-Sens!G13441+Sens!G13522</f>
        <v>81.2372561130847</v>
      </c>
      <c r="H13588" s="6" t="n">
        <f aca="false">Sens!H13440-Sens!H13441+Sens!H13522</f>
        <v>122.903266211349</v>
      </c>
      <c r="I13588" s="6" t="n">
        <f aca="false">Sens!I13440-Sens!I13441+Sens!I13522</f>
        <v>160.14094185192</v>
      </c>
      <c r="J13588" s="6" t="n">
        <f aca="false">Sens!J13440-Sens!J13441+Sens!J13522</f>
        <v>186.293741832633</v>
      </c>
      <c r="K13588" s="6" t="n">
        <f aca="false">Sens!K13440-Sens!K13441+Sens!K13522</f>
        <v>202.191422159652</v>
      </c>
    </row>
    <row r="13589" customFormat="false" ht="17.15" hidden="false" customHeight="false" outlineLevel="0" collapsed="false">
      <c r="A13589" s="0" t="s">
        <v>1238</v>
      </c>
      <c r="B13589" s="0" t="s">
        <v>98</v>
      </c>
      <c r="F13589" s="6" t="n">
        <f aca="false">Sens!F13501+Sens!F13522+Sens!F13452+Sens!F13582*(Sens!F13471-Sens!F13434)+sbc_r*Sens!F13471</f>
        <v>242.260794737127</v>
      </c>
      <c r="G13589" s="6" t="n">
        <f aca="false">Sens!G13501+Sens!G13522+Sens!G13452+Sens!G13582*(Sens!G13471-Sens!G13434)+sbc_r*Sens!G13471</f>
        <v>306.031647383274</v>
      </c>
      <c r="H13589" s="6" t="n">
        <f aca="false">Sens!H13501+Sens!H13522+Sens!H13452+Sens!H13582*(Sens!H13471-Sens!H13434)+sbc_r*Sens!H13471</f>
        <v>376.259061129566</v>
      </c>
      <c r="I13589" s="6" t="n">
        <f aca="false">Sens!I13501+Sens!I13522+Sens!I13452+Sens!I13582*(Sens!I13471-Sens!I13434)+sbc_r*Sens!I13471</f>
        <v>440.628084231591</v>
      </c>
      <c r="J13589" s="6" t="n">
        <f aca="false">Sens!J13501+Sens!J13522+Sens!J13452+Sens!J13582*(Sens!J13471-Sens!J13434)+sbc_r*Sens!J13471</f>
        <v>491.380688755661</v>
      </c>
      <c r="K13589" s="6" t="n">
        <f aca="false">Sens!K13501+Sens!K13522+Sens!K13452+Sens!K13582*(Sens!K13471-Sens!K13434)+sbc_r*Sens!K13471</f>
        <v>529.414351521946</v>
      </c>
    </row>
    <row r="13590" customFormat="false" ht="17.15" hidden="false" customHeight="false" outlineLevel="0" collapsed="false">
      <c r="A13590" s="0" t="s">
        <v>1239</v>
      </c>
      <c r="B13590" s="0" t="s">
        <v>98</v>
      </c>
      <c r="F13590" s="6" t="n">
        <f aca="false">Sens!F13589-Sens!F13583-Sens!F13584-Sens!F13585-Sens!F13586-Sens!F13588</f>
        <v>70.6599115571309</v>
      </c>
      <c r="G13590" s="6" t="n">
        <f aca="false">Sens!G13589-Sens!G13583-Sens!G13584-Sens!G13585-Sens!G13586-Sens!G13588</f>
        <v>80.9268285880685</v>
      </c>
      <c r="H13590" s="6" t="n">
        <f aca="false">Sens!H13589-Sens!H13583-Sens!H13584-Sens!H13585-Sens!H13586-Sens!H13588</f>
        <v>94.6604540142574</v>
      </c>
      <c r="I13590" s="6" t="n">
        <f aca="false">Sens!I13589-Sens!I13583-Sens!I13584-Sens!I13585-Sens!I13586-Sens!I13588</f>
        <v>108.010132482075</v>
      </c>
      <c r="J13590" s="6" t="n">
        <f aca="false">Sens!J13589-Sens!J13583-Sens!J13584-Sens!J13585-Sens!J13586-Sens!J13588</f>
        <v>120.096230869733</v>
      </c>
      <c r="K13590" s="6" t="n">
        <f aca="false">Sens!K13589-Sens!K13583-Sens!K13584-Sens!K13585-Sens!K13586-Sens!K13588</f>
        <v>130.2139389245</v>
      </c>
    </row>
    <row r="13591" customFormat="false" ht="17.15" hidden="false" customHeight="false" outlineLevel="0" collapsed="false">
      <c r="A13591" s="0" t="s">
        <v>1240</v>
      </c>
      <c r="B13591" s="0" t="s">
        <v>98</v>
      </c>
      <c r="F13591" s="6" t="n">
        <f aca="false">Sens!F13503+Sens!F13582*Sens!F13478+sbc_r*Sens!F13478</f>
        <v>27.610006885493</v>
      </c>
      <c r="G13591" s="6" t="n">
        <f aca="false">Sens!G13503+Sens!G13582*Sens!G13478+sbc_r*Sens!G13478</f>
        <v>27.7975993884731</v>
      </c>
      <c r="H13591" s="6" t="n">
        <f aca="false">Sens!H13503+Sens!H13582*Sens!H13478+sbc_r*Sens!H13478</f>
        <v>28.7210724938276</v>
      </c>
      <c r="I13591" s="6" t="n">
        <f aca="false">Sens!I13503+Sens!I13582*Sens!I13478+sbc_r*Sens!I13478</f>
        <v>29.888358572704</v>
      </c>
      <c r="J13591" s="6" t="n">
        <f aca="false">Sens!J13503+Sens!J13582*Sens!J13478+sbc_r*Sens!J13478</f>
        <v>31.2631297546232</v>
      </c>
      <c r="K13591" s="6" t="n">
        <f aca="false">Sens!K13503+Sens!K13582*Sens!K13478+sbc_r*Sens!K13478</f>
        <v>32.8074430221461</v>
      </c>
    </row>
    <row r="13592" customFormat="false" ht="17.15" hidden="false" customHeight="false" outlineLevel="0" collapsed="false">
      <c r="A13592" s="0" t="s">
        <v>1241</v>
      </c>
      <c r="B13592" s="0" t="s">
        <v>98</v>
      </c>
      <c r="F13592" s="6" t="n">
        <f aca="false">(Sens!F13591-Sens!F13587)*Sens!F13474/(Sens!F13474+Sens!F13476)</f>
        <v>9.27429588840789</v>
      </c>
      <c r="G13592" s="6" t="n">
        <f aca="false">(Sens!G13591-Sens!G13587)*Sens!G13474/(Sens!G13474+Sens!G13476)</f>
        <v>8.62362916498662</v>
      </c>
      <c r="H13592" s="6" t="n">
        <f aca="false">(Sens!H13591-Sens!H13587)*Sens!H13474/(Sens!H13474+Sens!H13476)</f>
        <v>8.4048560144437</v>
      </c>
      <c r="I13592" s="6" t="n">
        <f aca="false">(Sens!I13591-Sens!I13587)*Sens!I13474/(Sens!I13474+Sens!I13476)</f>
        <v>8.33967370247422</v>
      </c>
      <c r="J13592" s="6" t="n">
        <f aca="false">(Sens!J13591-Sens!J13587)*Sens!J13474/(Sens!J13474+Sens!J13476)</f>
        <v>8.4157779249226</v>
      </c>
      <c r="K13592" s="6" t="n">
        <f aca="false">(Sens!K13591-Sens!K13587)*Sens!K13474/(Sens!K13474+Sens!K13476)</f>
        <v>8.62700412356267</v>
      </c>
    </row>
    <row r="13593" customFormat="false" ht="17.15" hidden="false" customHeight="false" outlineLevel="0" collapsed="false">
      <c r="A13593" s="0" t="s">
        <v>1242</v>
      </c>
      <c r="B13593" s="0" t="s">
        <v>98</v>
      </c>
      <c r="F13593" s="6" t="n">
        <f aca="false">Sens!F13591-Sens!F13587-Sens!F13592</f>
        <v>7.14662069767043</v>
      </c>
      <c r="G13593" s="6" t="n">
        <f aca="false">Sens!G13591-Sens!G13587-Sens!G13592</f>
        <v>6.91223133168351</v>
      </c>
      <c r="H13593" s="6" t="n">
        <f aca="false">Sens!H13591-Sens!H13587-Sens!H13592</f>
        <v>6.93673013646465</v>
      </c>
      <c r="I13593" s="6" t="n">
        <f aca="false">Sens!I13591-Sens!I13587-Sens!I13592</f>
        <v>7.01697339145144</v>
      </c>
      <c r="J13593" s="6" t="n">
        <f aca="false">Sens!J13591-Sens!J13587-Sens!J13592</f>
        <v>7.14891524792816</v>
      </c>
      <c r="K13593" s="6" t="n">
        <f aca="false">Sens!K13591-Sens!K13587-Sens!K13592</f>
        <v>7.32834467271705</v>
      </c>
    </row>
    <row r="13594" customFormat="false" ht="17.15" hidden="false" customHeight="false" outlineLevel="0" collapsed="false">
      <c r="A13594" s="0" t="s">
        <v>1243</v>
      </c>
      <c r="B13594" s="0" t="s">
        <v>98</v>
      </c>
      <c r="F13594" s="6" t="n">
        <f aca="false">Sens!F13588-tax_f*(Sens!F13588-Sens!F13452)-Sens!F13449</f>
        <v>-127.611553927218</v>
      </c>
      <c r="G13594" s="6" t="n">
        <f aca="false">Sens!G13588-tax_f*(Sens!G13588-Sens!G13452)-Sens!G13449</f>
        <v>-114.807772628121</v>
      </c>
      <c r="H13594" s="6" t="n">
        <f aca="false">Sens!H13588-tax_f*(Sens!H13588-Sens!H13452)-Sens!H13449</f>
        <v>-80.6633729631438</v>
      </c>
      <c r="I13594" s="6" t="n">
        <f aca="false">Sens!I13588-tax_f*(Sens!I13588-Sens!I13452)-Sens!I13449</f>
        <v>-17.6558782011649</v>
      </c>
      <c r="J13594" s="6" t="n">
        <f aca="false">Sens!J13588-tax_f*(Sens!J13588-Sens!J13452)-Sens!J13449</f>
        <v>46.5081968800854</v>
      </c>
      <c r="K13594" s="6" t="n">
        <f aca="false">Sens!K13588-tax_f*(Sens!K13588-Sens!K13452)-Sens!K13449</f>
        <v>71.3928185731755</v>
      </c>
    </row>
    <row r="13595" customFormat="false" ht="17.15" hidden="false" customHeight="false" outlineLevel="0" collapsed="false">
      <c r="A13595" s="0" t="s">
        <v>1244</v>
      </c>
      <c r="B13595" s="0" t="s">
        <v>98</v>
      </c>
      <c r="G13595" s="6" t="n">
        <f aca="false">Sens!G13594/(1+wacc)^(Sens!G13565-Sens!F13566)</f>
        <v>-109.319092751518</v>
      </c>
      <c r="H13595" s="6" t="n">
        <f aca="false">Sens!H13594/(1+wacc)^(Sens!H13565-Sens!F13566)</f>
        <v>-69.6386848266319</v>
      </c>
      <c r="I13595" s="6" t="n">
        <f aca="false">Sens!I13594/(1+wacc)^(Sens!I13565-Sens!F13566)</f>
        <v>-13.820156514184</v>
      </c>
      <c r="J13595" s="6" t="n">
        <f aca="false">Sens!J13594/(1+wacc)^(Sens!J13565-Sens!F13566)</f>
        <v>33.0067371344273</v>
      </c>
      <c r="K13595" s="6" t="n">
        <f aca="false">Sens!K13594/(1+wacc)^(Sens!K13565-Sens!F13566)</f>
        <v>45.9385280222968</v>
      </c>
      <c r="L13595" s="1" t="s">
        <v>1245</v>
      </c>
    </row>
    <row r="13596" customFormat="false" ht="17.15" hidden="false" customHeight="false" outlineLevel="0" collapsed="false">
      <c r="A13596" s="0" t="s">
        <v>1246</v>
      </c>
      <c r="B13596" s="0" t="s">
        <v>98</v>
      </c>
      <c r="C13596" s="6" t="n">
        <f aca="false">(Sens!K13588-Sens!K13452)*(1-tax_f)*(1+g_tv)*(1-g_tv/(wacc+ronic_prem))/(wacc-g_tv)/(1+wacc)^(Sens!K13566-Sens!F13566)</f>
        <v>290.248852745024</v>
      </c>
    </row>
    <row r="13597" customFormat="false" ht="17.15" hidden="false" customHeight="false" outlineLevel="0" collapsed="false">
      <c r="A13597" s="1" t="s">
        <v>1247</v>
      </c>
      <c r="B13597" s="0" t="s">
        <v>98</v>
      </c>
      <c r="C13597" s="6" t="n">
        <f aca="false">(SUM(Sens!G13595:K13595)+Sens!$C$13596)*(1+wacc)^(t_roll-Sens!F13566)</f>
        <v>182.240215559104</v>
      </c>
      <c r="L13597" s="12" t="s">
        <v>1248</v>
      </c>
    </row>
    <row r="13598" customFormat="false" ht="17.15" hidden="false" customHeight="false" outlineLevel="0" collapsed="false">
      <c r="A13598" s="1" t="s">
        <v>1249</v>
      </c>
      <c r="B13598" s="0" t="s">
        <v>98</v>
      </c>
      <c r="C13598" s="6" t="n">
        <f aca="false">(w_ntm28*Sens!G13440+(1-w_ntm28)*Sens!H13440)*m_ai</f>
        <v>463.789109510335</v>
      </c>
    </row>
    <row r="13599" customFormat="false" ht="17.15" hidden="false" customHeight="false" outlineLevel="0" collapsed="false">
      <c r="A13599" s="1" t="s">
        <v>1250</v>
      </c>
      <c r="B13599" s="0" t="s">
        <v>98</v>
      </c>
      <c r="C13599" s="6" t="n">
        <f aca="false">(w_ntm28*Sens!G13590+(1-w_ntm28)*Sens!H13590)*m_cloud</f>
        <v>1180.80834480434</v>
      </c>
    </row>
    <row r="13600" customFormat="false" ht="17.15" hidden="false" customHeight="false" outlineLevel="0" collapsed="false">
      <c r="A13600" s="1" t="s">
        <v>1251</v>
      </c>
      <c r="B13600" s="0" t="s">
        <v>98</v>
      </c>
      <c r="C13600" s="6" t="n">
        <f aca="false">(w_ntm28*Sens!G13583+(1-w_ntm28)*Sens!H13583)*m_sw</f>
        <v>1082.84962646159</v>
      </c>
    </row>
    <row r="13601" customFormat="false" ht="17.15" hidden="false" customHeight="false" outlineLevel="0" collapsed="false">
      <c r="A13601" s="1" t="s">
        <v>1252</v>
      </c>
      <c r="B13601" s="0" t="s">
        <v>98</v>
      </c>
      <c r="C13601" s="6" t="n">
        <f aca="false">(w_ntm28*Sens!G13584+(1-w_ntm28)*Sens!H13584)*m_sw</f>
        <v>372.929250898731</v>
      </c>
    </row>
    <row r="13602" customFormat="false" ht="17.15" hidden="false" customHeight="false" outlineLevel="0" collapsed="false">
      <c r="A13602" s="1" t="s">
        <v>1253</v>
      </c>
      <c r="B13602" s="0" t="s">
        <v>98</v>
      </c>
      <c r="C13602" s="6" t="n">
        <f aca="false">(w_ntm28*Sens!G13585+(1-w_ntm28)*Sens!H13585)*m_sw</f>
        <v>109.1453525431</v>
      </c>
    </row>
    <row r="13603" customFormat="false" ht="17.15" hidden="false" customHeight="false" outlineLevel="0" collapsed="false">
      <c r="A13603" s="1" t="s">
        <v>1254</v>
      </c>
      <c r="B13603" s="0" t="s">
        <v>98</v>
      </c>
      <c r="C13603" s="6" t="n">
        <f aca="false">(w_ntm28*Sens!G13586+(1-w_ntm28)*Sens!H13586)*m_sw</f>
        <v>41.4942157634893</v>
      </c>
    </row>
    <row r="13604" customFormat="false" ht="17.15" hidden="false" customHeight="false" outlineLevel="0" collapsed="false">
      <c r="A13604" s="1" t="s">
        <v>1255</v>
      </c>
      <c r="B13604" s="0" t="s">
        <v>98</v>
      </c>
      <c r="C13604" s="6" t="n">
        <f aca="false">(w_ntm28*Sens!G13587+(1-w_ntm28)*Sens!H13587)*m_ads</f>
        <v>115.052171478463</v>
      </c>
    </row>
    <row r="13605" customFormat="false" ht="17.15" hidden="false" customHeight="false" outlineLevel="0" collapsed="false">
      <c r="A13605" s="1" t="s">
        <v>1256</v>
      </c>
      <c r="B13605" s="0" t="s">
        <v>98</v>
      </c>
      <c r="C13605" s="6" t="n">
        <f aca="false">(w_ntm28*Sens!G13592+(1-w_ntm28)*Sens!H13592)*m_game</f>
        <v>108.008018307307</v>
      </c>
    </row>
    <row r="13606" customFormat="false" ht="17.15" hidden="false" customHeight="false" outlineLevel="0" collapsed="false">
      <c r="A13606" s="1" t="s">
        <v>1257</v>
      </c>
      <c r="B13606" s="0" t="s">
        <v>98</v>
      </c>
      <c r="C13606" s="6" t="n">
        <f aca="false">(w_ntm28*Sens!G13593+(1-w_ntm28)*Sens!H13593)*m_pc</f>
        <v>100.136534560206</v>
      </c>
    </row>
    <row r="13607" customFormat="false" ht="17.15" hidden="false" customHeight="false" outlineLevel="0" collapsed="false">
      <c r="A13607" s="1" t="s">
        <v>1258</v>
      </c>
      <c r="B13607" s="0" t="s">
        <v>98</v>
      </c>
      <c r="C13607" s="6" t="n">
        <f aca="false">Sens!$C$13597+Sens!$C$13599+Sens!$C$13600+Sens!$C$13601+Sens!$C$13602+Sens!$C$13603+Sens!$C$13604+Sens!$C$13605+Sens!$C$13606</f>
        <v>3292.66373037633</v>
      </c>
    </row>
    <row r="13608" customFormat="false" ht="17.15" hidden="false" customHeight="false" outlineLevel="0" collapsed="false">
      <c r="A13608" s="1" t="s">
        <v>1259</v>
      </c>
      <c r="B13608" s="0" t="s">
        <v>98</v>
      </c>
      <c r="C13608" s="6" t="n">
        <f aca="false">(Sens!G13569-Sens!G13594)*t_stub</f>
        <v>49.9167327072083</v>
      </c>
      <c r="L13608" s="1" t="s">
        <v>1260</v>
      </c>
    </row>
    <row r="13609" customFormat="false" ht="17.15" hidden="false" customHeight="false" outlineLevel="0" collapsed="false">
      <c r="A13609" s="1" t="s">
        <v>1169</v>
      </c>
      <c r="B13609" s="0" t="s">
        <v>98</v>
      </c>
      <c r="C13609" s="6" t="n">
        <f aca="false">Sens!F13556+oai_v-Sens!F13545+Sens!$C$13608</f>
        <v>164.145002707208</v>
      </c>
      <c r="L13609" s="1" t="s">
        <v>1261</v>
      </c>
    </row>
    <row r="13610" customFormat="false" ht="17.15" hidden="false" customHeight="false" outlineLevel="0" collapsed="false">
      <c r="A13610" s="1" t="s">
        <v>1262</v>
      </c>
      <c r="B13610" s="0" t="s">
        <v>75</v>
      </c>
      <c r="C13610" s="5" t="n">
        <f aca="false">(Sens!$C$13607+Sens!$C$13609)/(Sens!F13558+dil_gap)-Sens!G13548*roll_div_q/q_per_yr</f>
        <v>460.616043187145</v>
      </c>
      <c r="L13610" s="1" t="s">
        <v>1263</v>
      </c>
    </row>
    <row r="13611" customFormat="false" ht="17.15" hidden="false" customHeight="false" outlineLevel="0" collapsed="false">
      <c r="A13611" s="1" t="s">
        <v>1264</v>
      </c>
      <c r="B13611" s="0" t="s">
        <v>75</v>
      </c>
      <c r="C13611" s="5" t="n">
        <f aca="false">w_dcf*Sens!$C$13581+(1-w_dcf)*Sens!$C$13610</f>
        <v>399.136710319913</v>
      </c>
    </row>
    <row r="13612" customFormat="false" ht="17.15" hidden="false" customHeight="false" outlineLevel="0" collapsed="false">
      <c r="A13612" s="3" t="s">
        <v>1820</v>
      </c>
    </row>
    <row r="13613" customFormat="false" ht="15" hidden="false" customHeight="false" outlineLevel="0" collapsed="false">
      <c r="A13613" s="4" t="s">
        <v>43</v>
      </c>
      <c r="B13613" s="4" t="s">
        <v>65</v>
      </c>
      <c r="C13613" s="23" t="s">
        <v>938</v>
      </c>
      <c r="D13613" s="23" t="s">
        <v>939</v>
      </c>
      <c r="E13613" s="23" t="s">
        <v>940</v>
      </c>
      <c r="F13613" s="23" t="s">
        <v>941</v>
      </c>
      <c r="G13613" s="23" t="s">
        <v>942</v>
      </c>
      <c r="H13613" s="23" t="s">
        <v>943</v>
      </c>
      <c r="I13613" s="23" t="s">
        <v>944</v>
      </c>
      <c r="J13613" s="23" t="s">
        <v>945</v>
      </c>
      <c r="K13613" s="23" t="s">
        <v>946</v>
      </c>
      <c r="L13613" s="4" t="s">
        <v>47</v>
      </c>
    </row>
    <row r="13614" customFormat="false" ht="17.15" hidden="false" customHeight="false" outlineLevel="0" collapsed="false">
      <c r="A13614" s="1" t="s">
        <v>947</v>
      </c>
      <c r="B13614" s="1" t="s">
        <v>279</v>
      </c>
      <c r="C13614" s="21" t="n">
        <v>2024</v>
      </c>
      <c r="D13614" s="21" t="n">
        <v>2025</v>
      </c>
      <c r="E13614" s="21" t="n">
        <v>2026</v>
      </c>
      <c r="F13614" s="21" t="n">
        <v>2027</v>
      </c>
      <c r="G13614" s="21" t="n">
        <v>2028</v>
      </c>
      <c r="H13614" s="21" t="n">
        <v>2029</v>
      </c>
      <c r="I13614" s="21" t="n">
        <v>2030</v>
      </c>
      <c r="J13614" s="21" t="n">
        <v>2031</v>
      </c>
      <c r="K13614" s="21" t="n">
        <v>2032</v>
      </c>
    </row>
    <row r="13615" customFormat="false" ht="17.15" hidden="false" customHeight="false" outlineLevel="0" collapsed="false">
      <c r="A13615" s="1" t="s">
        <v>948</v>
      </c>
      <c r="B13615" s="0" t="s">
        <v>456</v>
      </c>
      <c r="F13615" s="30" t="n">
        <f aca="false">pace</f>
        <v>2726.5351</v>
      </c>
      <c r="G13615" s="30" t="n">
        <f aca="false">pace</f>
        <v>2726.5351</v>
      </c>
      <c r="H13615" s="30" t="n">
        <f aca="false">pace</f>
        <v>2726.5351</v>
      </c>
      <c r="I13615" s="30" t="n">
        <f aca="false">pace+(g_tv*Sens!H13616-pace)*MIN(1,(Sens!I13614-pace_y0)/(pace_y1-pace_y0))</f>
        <v>1931.98611966667</v>
      </c>
      <c r="J13615" s="30" t="n">
        <f aca="false">pace+(g_tv*Sens!I13616-pace)*MIN(1,(Sens!J13614-pace_y0)/(pace_y1-pace_y0))</f>
        <v>1176.07686172667</v>
      </c>
      <c r="K13615" s="30" t="n">
        <f aca="false">pace+(g_tv*Sens!J13616-pace)*MIN(1,(Sens!K13614-pace_y0)/(pace_y1-pace_y0))</f>
        <v>436.1300484418</v>
      </c>
      <c r="L13615" s="12" t="s">
        <v>949</v>
      </c>
    </row>
    <row r="13616" customFormat="false" ht="17.15" hidden="false" customHeight="false" outlineLevel="0" collapsed="false">
      <c r="A13616" s="1" t="s">
        <v>950</v>
      </c>
      <c r="B13616" s="0" t="s">
        <v>456</v>
      </c>
      <c r="C13616" s="30" t="n">
        <f aca="false">mw_ext_24</f>
        <v>640</v>
      </c>
      <c r="D13616" s="30" t="n">
        <f aca="false">mw_ext_25</f>
        <v>1630</v>
      </c>
      <c r="E13616" s="30" t="n">
        <f aca="false">mw_ext_26</f>
        <v>3250</v>
      </c>
      <c r="F13616" s="30" t="n">
        <f aca="false">Sens!E13616+Sens!F13615</f>
        <v>5976.5351</v>
      </c>
      <c r="G13616" s="30" t="n">
        <f aca="false">Sens!F13616+Sens!G13615</f>
        <v>8703.0702</v>
      </c>
      <c r="H13616" s="30" t="n">
        <f aca="false">Sens!G13616+Sens!H13615</f>
        <v>11429.6053</v>
      </c>
      <c r="I13616" s="30" t="n">
        <f aca="false">Sens!H13616+Sens!I13615</f>
        <v>13361.5914196667</v>
      </c>
      <c r="J13616" s="30" t="n">
        <f aca="false">Sens!I13616+Sens!J13615</f>
        <v>14537.6682813933</v>
      </c>
      <c r="K13616" s="30" t="n">
        <f aca="false">Sens!J13616+Sens!K13615</f>
        <v>14973.7983298351</v>
      </c>
      <c r="L13616" s="1" t="s">
        <v>951</v>
      </c>
    </row>
    <row r="13617" customFormat="false" ht="17.15" hidden="false" customHeight="false" outlineLevel="0" collapsed="false">
      <c r="A13617" s="1" t="s">
        <v>952</v>
      </c>
      <c r="B13617" s="0" t="s">
        <v>456</v>
      </c>
      <c r="C13617" s="30" t="n">
        <f aca="false">rent_ext_24</f>
        <v>150</v>
      </c>
      <c r="D13617" s="30" t="n">
        <f aca="false">rent_ext_25</f>
        <v>400</v>
      </c>
      <c r="E13617" s="30" t="n">
        <f aca="false">rent_ext_26</f>
        <v>550</v>
      </c>
      <c r="F13617" s="30" t="n">
        <f aca="false">rent_ext_f</f>
        <v>756</v>
      </c>
      <c r="G13617" s="30" t="n">
        <f aca="false">rent_ext_f</f>
        <v>756</v>
      </c>
      <c r="H13617" s="30" t="n">
        <f aca="false">rent_ext_f</f>
        <v>756</v>
      </c>
      <c r="I13617" s="30" t="n">
        <f aca="false">rent_ext_f</f>
        <v>756</v>
      </c>
      <c r="J13617" s="30" t="n">
        <f aca="false">rent_ext_f</f>
        <v>756</v>
      </c>
      <c r="K13617" s="30" t="n">
        <f aca="false">rent_ext_f</f>
        <v>756</v>
      </c>
      <c r="L13617" s="1" t="s">
        <v>953</v>
      </c>
    </row>
    <row r="13618" customFormat="false" ht="17.15" hidden="false" customHeight="false" outlineLevel="0" collapsed="false">
      <c r="A13618" s="1" t="s">
        <v>954</v>
      </c>
      <c r="B13618" s="0" t="s">
        <v>456</v>
      </c>
      <c r="C13618" s="30" t="n">
        <f aca="false">Sens!C13616-Sens!C13617</f>
        <v>490</v>
      </c>
      <c r="D13618" s="30" t="n">
        <f aca="false">Sens!D13616-Sens!D13617</f>
        <v>1230</v>
      </c>
      <c r="E13618" s="30" t="n">
        <f aca="false">Sens!E13616-Sens!E13617</f>
        <v>2700</v>
      </c>
      <c r="F13618" s="30" t="n">
        <f aca="false">Sens!F13616-Sens!F13617</f>
        <v>5220.5351</v>
      </c>
      <c r="G13618" s="30" t="n">
        <f aca="false">Sens!G13616-Sens!G13617</f>
        <v>7947.0702</v>
      </c>
      <c r="H13618" s="30" t="n">
        <f aca="false">Sens!H13616-Sens!H13617</f>
        <v>10673.6053</v>
      </c>
      <c r="I13618" s="30" t="n">
        <f aca="false">Sens!I13616-Sens!I13617</f>
        <v>12605.5914196667</v>
      </c>
      <c r="J13618" s="30" t="n">
        <f aca="false">Sens!J13616-Sens!J13617</f>
        <v>13781.6682813933</v>
      </c>
      <c r="K13618" s="30" t="n">
        <f aca="false">Sens!K13616-Sens!K13617</f>
        <v>14217.7983298351</v>
      </c>
    </row>
    <row r="13619" customFormat="false" ht="17.15" hidden="false" customHeight="false" outlineLevel="0" collapsed="false">
      <c r="A13619" s="1" t="s">
        <v>955</v>
      </c>
      <c r="B13619" s="0" t="s">
        <v>456</v>
      </c>
      <c r="C13619" s="30" t="n">
        <f aca="false">Sens!C13618/ext_sh</f>
        <v>816.666666666667</v>
      </c>
      <c r="D13619" s="30" t="n">
        <f aca="false">Sens!D13618/ext_sh</f>
        <v>2050</v>
      </c>
      <c r="E13619" s="30" t="n">
        <f aca="false">Sens!E13618/ext_sh</f>
        <v>4500</v>
      </c>
      <c r="F13619" s="30" t="n">
        <f aca="false">Sens!F13618/ext_sh</f>
        <v>8700.89183333333</v>
      </c>
      <c r="G13619" s="30" t="n">
        <f aca="false">Sens!G13618/ext_sh</f>
        <v>13245.117</v>
      </c>
      <c r="H13619" s="30" t="n">
        <f aca="false">Sens!H13618/ext_sh</f>
        <v>17789.3421666667</v>
      </c>
      <c r="I13619" s="30" t="n">
        <f aca="false">Sens!I13618/ext_sh</f>
        <v>21009.3190327778</v>
      </c>
      <c r="J13619" s="30" t="n">
        <f aca="false">Sens!J13618/ext_sh</f>
        <v>22969.4471356556</v>
      </c>
      <c r="K13619" s="30" t="n">
        <f aca="false">Sens!K13618/ext_sh</f>
        <v>23696.3305497252</v>
      </c>
      <c r="L13619" s="1" t="s">
        <v>956</v>
      </c>
    </row>
    <row r="13620" customFormat="false" ht="17.15" hidden="false" customHeight="false" outlineLevel="0" collapsed="false">
      <c r="A13620" s="1" t="s">
        <v>957</v>
      </c>
      <c r="B13620" s="0" t="s">
        <v>456</v>
      </c>
      <c r="C13620" s="30" t="n">
        <f aca="false">Sens!C13619-Sens!C13618</f>
        <v>326.666666666667</v>
      </c>
      <c r="D13620" s="30" t="n">
        <f aca="false">Sens!D13619-Sens!D13618</f>
        <v>820</v>
      </c>
      <c r="E13620" s="30" t="n">
        <f aca="false">Sens!E13619-Sens!E13618</f>
        <v>1800</v>
      </c>
      <c r="F13620" s="30" t="n">
        <f aca="false">Sens!F13619-Sens!F13618</f>
        <v>3480.35673333333</v>
      </c>
      <c r="G13620" s="30" t="n">
        <f aca="false">Sens!G13619-Sens!G13618</f>
        <v>5298.0468</v>
      </c>
      <c r="H13620" s="30" t="n">
        <f aca="false">Sens!H13619-Sens!H13618</f>
        <v>7115.73686666667</v>
      </c>
      <c r="I13620" s="30" t="n">
        <f aca="false">Sens!I13619-Sens!I13618</f>
        <v>8403.72761311111</v>
      </c>
      <c r="J13620" s="30" t="n">
        <f aca="false">Sens!J13619-Sens!J13618</f>
        <v>9187.77885426222</v>
      </c>
      <c r="K13620" s="30" t="n">
        <f aca="false">Sens!K13619-Sens!K13618</f>
        <v>9478.53221989009</v>
      </c>
    </row>
    <row r="13621" customFormat="false" ht="17.15" hidden="false" customHeight="false" outlineLevel="0" collapsed="false">
      <c r="A13621" s="1" t="s">
        <v>958</v>
      </c>
      <c r="B13621" s="0" t="s">
        <v>456</v>
      </c>
      <c r="C13621" s="30" t="n">
        <f aca="false">Sens!C13619</f>
        <v>816.666666666667</v>
      </c>
      <c r="D13621" s="30" t="n">
        <f aca="false">Sens!D13619-Sens!C13619</f>
        <v>1233.33333333333</v>
      </c>
      <c r="E13621" s="30" t="n">
        <f aca="false">Sens!E13619-Sens!D13619</f>
        <v>2450</v>
      </c>
      <c r="F13621" s="30" t="n">
        <f aca="false">Sens!F13619-Sens!E13619</f>
        <v>4200.89183333333</v>
      </c>
      <c r="G13621" s="30" t="n">
        <f aca="false">Sens!G13619-Sens!F13619</f>
        <v>4544.22516666667</v>
      </c>
      <c r="H13621" s="30" t="n">
        <f aca="false">Sens!H13619-Sens!G13619</f>
        <v>4544.22516666667</v>
      </c>
      <c r="I13621" s="30" t="n">
        <f aca="false">Sens!I13619-Sens!H13619</f>
        <v>3219.97686611111</v>
      </c>
      <c r="J13621" s="30" t="n">
        <f aca="false">Sens!J13619-Sens!I13619</f>
        <v>1960.12810287778</v>
      </c>
      <c r="K13621" s="30" t="n">
        <f aca="false">Sens!K13619-Sens!J13619</f>
        <v>726.883414069667</v>
      </c>
    </row>
    <row r="13622" customFormat="false" ht="17.15" hidden="false" customHeight="false" outlineLevel="0" collapsed="false">
      <c r="A13622" s="1" t="s">
        <v>959</v>
      </c>
      <c r="B13622" s="0" t="s">
        <v>456</v>
      </c>
      <c r="D13622" s="30" t="n">
        <f aca="false">Sens!D13616-Sens!C13616</f>
        <v>990</v>
      </c>
      <c r="E13622" s="30" t="n">
        <f aca="false">Sens!E13616-Sens!D13616</f>
        <v>1620</v>
      </c>
      <c r="F13622" s="30" t="n">
        <f aca="false">Sens!F13616-Sens!E13616</f>
        <v>2726.5351</v>
      </c>
      <c r="G13622" s="30" t="n">
        <f aca="false">Sens!G13616-Sens!F13616</f>
        <v>2726.5351</v>
      </c>
      <c r="H13622" s="30" t="n">
        <f aca="false">Sens!H13616-Sens!G13616</f>
        <v>2726.5351</v>
      </c>
      <c r="I13622" s="30" t="n">
        <f aca="false">Sens!I13616-Sens!H13616</f>
        <v>1931.98611966667</v>
      </c>
      <c r="J13622" s="30" t="n">
        <f aca="false">Sens!J13616-Sens!I13616</f>
        <v>1176.07686172667</v>
      </c>
      <c r="K13622" s="30" t="n">
        <f aca="false">Sens!K13616-Sens!J13616</f>
        <v>436.130048441799</v>
      </c>
    </row>
    <row r="13623" customFormat="false" ht="17.15" hidden="false" customHeight="false" outlineLevel="0" collapsed="false">
      <c r="A13623" s="1" t="s">
        <v>960</v>
      </c>
      <c r="B13623" s="0" t="s">
        <v>456</v>
      </c>
      <c r="F13623" s="30" t="n">
        <f aca="false">Sens!F13642*ext_sh</f>
        <v>0</v>
      </c>
      <c r="G13623" s="30" t="n">
        <f aca="false">Sens!G13642*ext_sh</f>
        <v>0</v>
      </c>
      <c r="H13623" s="30" t="n">
        <f aca="false">Sens!H13642*ext_sh</f>
        <v>0</v>
      </c>
      <c r="I13623" s="30" t="n">
        <f aca="false">Sens!I13642*ext_sh</f>
        <v>490</v>
      </c>
      <c r="J13623" s="30" t="n">
        <f aca="false">Sens!J13642*ext_sh</f>
        <v>740</v>
      </c>
      <c r="K13623" s="30" t="n">
        <f aca="false">Sens!K13642*ext_sh</f>
        <v>1470</v>
      </c>
      <c r="L13623" s="1" t="s">
        <v>961</v>
      </c>
    </row>
    <row r="13624" customFormat="false" ht="17.15" hidden="false" customHeight="false" outlineLevel="0" collapsed="false">
      <c r="A13624" s="1" t="s">
        <v>962</v>
      </c>
      <c r="B13624" s="0" t="s">
        <v>456</v>
      </c>
      <c r="C13624" s="30" t="n">
        <f aca="false">mix_h*Sens!C13616</f>
        <v>128</v>
      </c>
      <c r="D13624" s="30" t="n">
        <f aca="false">mix_h*Sens!D13616</f>
        <v>326</v>
      </c>
      <c r="E13624" s="30" t="n">
        <f aca="false">mix_h*Sens!E13616</f>
        <v>650</v>
      </c>
      <c r="F13624" s="30" t="n">
        <f aca="false">Sens!E13624-Sens!F13623*mix_h</f>
        <v>650</v>
      </c>
      <c r="G13624" s="30" t="n">
        <f aca="false">Sens!F13624-Sens!G13623*mix_h</f>
        <v>650</v>
      </c>
      <c r="H13624" s="30" t="n">
        <f aca="false">Sens!G13624-Sens!H13623*mix_h</f>
        <v>650</v>
      </c>
      <c r="I13624" s="30" t="n">
        <f aca="false">Sens!H13624-Sens!I13623*mix_h</f>
        <v>552</v>
      </c>
      <c r="J13624" s="30" t="n">
        <f aca="false">Sens!I13624-Sens!J13623*mix_h</f>
        <v>404</v>
      </c>
      <c r="K13624" s="30" t="n">
        <f aca="false">Sens!J13624-Sens!K13623*mix_h</f>
        <v>110</v>
      </c>
    </row>
    <row r="13625" customFormat="false" ht="17.15" hidden="false" customHeight="false" outlineLevel="0" collapsed="false">
      <c r="A13625" s="1" t="s">
        <v>963</v>
      </c>
      <c r="B13625" s="0" t="s">
        <v>456</v>
      </c>
      <c r="C13625" s="30" t="n">
        <f aca="false">mix_g2*Sens!C13616</f>
        <v>288</v>
      </c>
      <c r="D13625" s="30" t="n">
        <f aca="false">mix_g2*Sens!D13616</f>
        <v>733.5</v>
      </c>
      <c r="E13625" s="30" t="n">
        <f aca="false">mix_g2*Sens!E13616</f>
        <v>1462.5</v>
      </c>
      <c r="F13625" s="30" t="n">
        <f aca="false">Sens!E13625-Sens!F13623*mix_g2</f>
        <v>1462.5</v>
      </c>
      <c r="G13625" s="30" t="n">
        <f aca="false">Sens!F13625-Sens!G13623*mix_g2</f>
        <v>1462.5</v>
      </c>
      <c r="H13625" s="30" t="n">
        <f aca="false">Sens!G13625-Sens!H13623*mix_g2</f>
        <v>1462.5</v>
      </c>
      <c r="I13625" s="30" t="n">
        <f aca="false">Sens!H13625-Sens!I13623*mix_g2</f>
        <v>1242</v>
      </c>
      <c r="J13625" s="30" t="n">
        <f aca="false">Sens!I13625-Sens!J13623*mix_g2</f>
        <v>909</v>
      </c>
      <c r="K13625" s="30" t="n">
        <f aca="false">Sens!J13625-Sens!K13623*mix_g2</f>
        <v>247.5</v>
      </c>
    </row>
    <row r="13626" customFormat="false" ht="17.15" hidden="false" customHeight="false" outlineLevel="0" collapsed="false">
      <c r="A13626" s="1" t="s">
        <v>964</v>
      </c>
      <c r="B13626" s="0" t="s">
        <v>456</v>
      </c>
      <c r="C13626" s="30" t="n">
        <f aca="false">mix_g3*Sens!C13616</f>
        <v>224</v>
      </c>
      <c r="D13626" s="30" t="n">
        <f aca="false">mix_g3*Sens!D13616</f>
        <v>570.5</v>
      </c>
      <c r="E13626" s="30" t="n">
        <f aca="false">mix_g3*Sens!E13616</f>
        <v>1137.5</v>
      </c>
      <c r="F13626" s="30" t="n">
        <f aca="false">Sens!E13626+(Sens!F13622+Sens!F13623)*(a_g3_27-nonnv*a_mai)-Sens!F13623*mix_g3</f>
        <v>2773.42106</v>
      </c>
      <c r="G13626" s="30" t="n">
        <f aca="false">Sens!F13626+(Sens!G13622+Sens!G13623)*(a_g3_28-nonnv*a_mai)-Sens!G13623*mix_g3</f>
        <v>3318.72808</v>
      </c>
      <c r="H13626" s="30" t="n">
        <f aca="false">Sens!G13626+(Sens!H13622+Sens!H13623)*(a_g3_29-nonnv*a_mai)-Sens!H13623*mix_g3</f>
        <v>3318.72808</v>
      </c>
      <c r="I13626" s="30" t="n">
        <f aca="false">Sens!H13626+(Sens!I13622+Sens!I13623)*(a_g3_29-nonnv*a_mai)-Sens!I13623*mix_g3</f>
        <v>3147.22808</v>
      </c>
      <c r="J13626" s="30" t="n">
        <f aca="false">Sens!I13626+(Sens!J13622+Sens!J13623)*(a_g3_29-nonnv*a_mai)-Sens!J13623*mix_g3</f>
        <v>2888.22808</v>
      </c>
      <c r="K13626" s="30" t="n">
        <f aca="false">Sens!J13626+(Sens!K13622+Sens!K13623)*(a_g3_29-nonnv*a_mai)-Sens!K13623*mix_g3</f>
        <v>2373.72808</v>
      </c>
    </row>
    <row r="13627" customFormat="false" ht="17.15" hidden="false" customHeight="false" outlineLevel="0" collapsed="false">
      <c r="A13627" s="1" t="s">
        <v>965</v>
      </c>
      <c r="B13627" s="0" t="s">
        <v>456</v>
      </c>
      <c r="C13627" s="30" t="n">
        <v>0</v>
      </c>
      <c r="D13627" s="30" t="n">
        <v>0</v>
      </c>
      <c r="E13627" s="30" t="n">
        <v>0</v>
      </c>
      <c r="F13627" s="30" t="n">
        <f aca="false">Sens!E13627+(Sens!F13622+Sens!F13623)*nonnv*a_mai</f>
        <v>272.65351</v>
      </c>
      <c r="G13627" s="30" t="n">
        <f aca="false">Sens!F13627+(Sens!G13622+Sens!G13623)*nonnv*a_mai</f>
        <v>545.30702</v>
      </c>
      <c r="H13627" s="30" t="n">
        <f aca="false">Sens!G13627+(Sens!H13622+Sens!H13623)*nonnv*a_mai</f>
        <v>817.96053</v>
      </c>
      <c r="I13627" s="30" t="n">
        <f aca="false">Sens!H13627+(Sens!I13622+Sens!I13623)*nonnv*a_mai</f>
        <v>1060.15914196667</v>
      </c>
      <c r="J13627" s="30" t="n">
        <f aca="false">Sens!I13627+(Sens!J13622+Sens!J13623)*nonnv*a_mai</f>
        <v>1251.76682813933</v>
      </c>
      <c r="K13627" s="30" t="n">
        <f aca="false">Sens!J13627+(Sens!K13622+Sens!K13623)*nonnv*a_mai</f>
        <v>1442.37983298351</v>
      </c>
      <c r="L13627" s="12" t="s">
        <v>966</v>
      </c>
    </row>
    <row r="13628" customFormat="false" ht="17.15" hidden="false" customHeight="false" outlineLevel="0" collapsed="false">
      <c r="A13628" s="1" t="s">
        <v>967</v>
      </c>
      <c r="B13628" s="0" t="s">
        <v>456</v>
      </c>
      <c r="C13628" s="30" t="n">
        <v>0</v>
      </c>
      <c r="D13628" s="30" t="n">
        <v>0</v>
      </c>
      <c r="E13628" s="30" t="n">
        <v>0</v>
      </c>
      <c r="F13628" s="30" t="n">
        <f aca="false">Sens!E13628+(Sens!F13622+Sens!F13623)*(1-a_g3_27)</f>
        <v>817.96053</v>
      </c>
      <c r="G13628" s="30" t="n">
        <f aca="false">Sens!F13628+(Sens!G13622+Sens!G13623)*(1-a_g3_28)</f>
        <v>2726.5351</v>
      </c>
      <c r="H13628" s="30" t="n">
        <f aca="false">Sens!G13628+(Sens!H13622+Sens!H13623)*(1-a_g3_29)</f>
        <v>5180.41669</v>
      </c>
      <c r="I13628" s="30" t="n">
        <f aca="false">Sens!H13628+(Sens!I13622+Sens!I13623)*(1-a_g3_29)</f>
        <v>7360.2041977</v>
      </c>
      <c r="J13628" s="30" t="n">
        <f aca="false">Sens!I13628+(Sens!J13622+Sens!J13623)*(1-a_g3_29)</f>
        <v>9084.673373254</v>
      </c>
      <c r="K13628" s="30" t="n">
        <f aca="false">Sens!J13628+(Sens!K13622+Sens!K13623)*(1-a_g3_29)</f>
        <v>10800.1904168516</v>
      </c>
    </row>
    <row r="13629" customFormat="false" ht="17.15" hidden="false" customHeight="false" outlineLevel="0" collapsed="false">
      <c r="A13629" s="1" t="s">
        <v>968</v>
      </c>
      <c r="B13629" s="0" t="s">
        <v>403</v>
      </c>
      <c r="C13629" s="15" t="n">
        <f aca="false">(Sens!C13624*tk_hold_h100+Sens!C13625*tk_hold_gb200+Sens!C13626*tk_hold_gb300+Sens!C13628*tk_hold_vr200+Sens!C13627*nv_hold_mai*tk_hold_vr200)/Sens!C13616</f>
        <v>9.7235358126469</v>
      </c>
      <c r="D13629" s="15" t="n">
        <f aca="false">(Sens!D13624*tk_hold_h100+Sens!D13625*tk_hold_gb200+Sens!D13626*tk_hold_gb300+Sens!D13628*tk_hold_vr200+Sens!D13627*nv_hold_mai*tk_hold_vr200)/Sens!D13616</f>
        <v>9.7235358126469</v>
      </c>
      <c r="E13629" s="15" t="n">
        <f aca="false">(Sens!E13624*tk_hold_h100+Sens!E13625*tk_hold_gb200+Sens!E13626*tk_hold_gb300+Sens!E13628*tk_hold_vr200+Sens!E13627*nv_hold_mai*tk_hold_vr200)/Sens!E13616</f>
        <v>9.7235358126469</v>
      </c>
      <c r="F13629" s="15" t="n">
        <f aca="false">(Sens!F13624*tk_hold_h100+Sens!F13625*tk_hold_gb200+Sens!F13626*tk_hold_gb300+Sens!F13628*tk_hold_vr200+Sens!F13627*nv_hold_mai*tk_hold_vr200)/Sens!F13616</f>
        <v>10.2195353876665</v>
      </c>
      <c r="G13629" s="15" t="n">
        <f aca="false">(Sens!G13624*tk_hold_h100+Sens!G13625*tk_hold_gb200+Sens!G13626*tk_hold_gb300+Sens!G13628*tk_hold_vr200+Sens!G13627*nv_hold_mai*tk_hold_vr200)/Sens!G13616</f>
        <v>10.5725598017306</v>
      </c>
      <c r="H13629" s="15" t="n">
        <f aca="false">(Sens!H13624*tk_hold_h100+Sens!H13625*tk_hold_gb200+Sens!H13626*tk_hold_gb300+Sens!H13628*tk_hold_vr200+Sens!H13627*nv_hold_mai*tk_hold_vr200)/Sens!H13616</f>
        <v>10.8210427149036</v>
      </c>
      <c r="I13629" s="15" t="n">
        <f aca="false">(Sens!I13624*tk_hold_h100+Sens!I13625*tk_hold_gb200+Sens!I13626*tk_hold_gb300+Sens!I13628*tk_hold_vr200+Sens!I13627*nv_hold_mai*tk_hold_vr200)/Sens!I13616</f>
        <v>11.0050618241982</v>
      </c>
      <c r="J13629" s="15" t="n">
        <f aca="false">(Sens!J13624*tk_hold_h100+Sens!J13625*tk_hold_gb200+Sens!J13626*tk_hold_gb300+Sens!J13628*tk_hold_vr200+Sens!J13627*nv_hold_mai*tk_hold_vr200)/Sens!J13616</f>
        <v>11.1505789658881</v>
      </c>
      <c r="K13629" s="15" t="n">
        <f aca="false">(Sens!K13624*tk_hold_h100+Sens!K13625*tk_hold_gb200+Sens!K13626*tk_hold_gb300+Sens!K13628*tk_hold_vr200+Sens!K13627*nv_hold_mai*tk_hold_vr200)/Sens!K13616</f>
        <v>11.3496914757183</v>
      </c>
      <c r="L13629" s="1" t="s">
        <v>969</v>
      </c>
    </row>
    <row r="13630" customFormat="false" ht="17.15" hidden="false" customHeight="false" outlineLevel="0" collapsed="false">
      <c r="A13630" s="1" t="s">
        <v>970</v>
      </c>
      <c r="B13630" s="0" t="s">
        <v>403</v>
      </c>
      <c r="C13630" s="15" t="n">
        <f aca="false">(Sens!C13624*tk_hold_h100+Sens!C13625*tk_hold_gb200+Sens!C13626*tk_hold_gb300+Sens!C13628*tk_hold_vr200+Sens!C13627*nv_out_mai*tk_hold_vr200)/Sens!C13616</f>
        <v>9.7235358126469</v>
      </c>
      <c r="D13630" s="15" t="n">
        <f aca="false">(Sens!D13624*tk_hold_h100+Sens!D13625*tk_hold_gb200+Sens!D13626*tk_hold_gb300+Sens!D13628*tk_hold_vr200+Sens!D13627*nv_out_mai*tk_hold_vr200)/Sens!D13616</f>
        <v>9.7235358126469</v>
      </c>
      <c r="E13630" s="15" t="n">
        <f aca="false">(Sens!E13624*tk_hold_h100+Sens!E13625*tk_hold_gb200+Sens!E13626*tk_hold_gb300+Sens!E13628*tk_hold_vr200+Sens!E13627*nv_out_mai*tk_hold_vr200)/Sens!E13616</f>
        <v>9.7235358126469</v>
      </c>
      <c r="F13630" s="15" t="n">
        <f aca="false">(Sens!F13624*tk_hold_h100+Sens!F13625*tk_hold_gb200+Sens!F13626*tk_hold_gb300+Sens!F13628*tk_hold_vr200+Sens!F13627*nv_out_mai*tk_hold_vr200)/Sens!F13616</f>
        <v>10.247422093969</v>
      </c>
      <c r="G13630" s="15" t="n">
        <f aca="false">(Sens!G13624*tk_hold_h100+Sens!G13625*tk_hold_gb200+Sens!G13626*tk_hold_gb300+Sens!G13628*tk_hold_vr200+Sens!G13627*nv_out_mai*tk_hold_vr200)/Sens!G13616</f>
        <v>10.6108602808053</v>
      </c>
      <c r="H13630" s="15" t="n">
        <f aca="false">(Sens!H13624*tk_hold_h100+Sens!H13625*tk_hold_gb200+Sens!H13626*tk_hold_gb300+Sens!H13628*tk_hold_vr200+Sens!H13627*nv_out_mai*tk_hold_vr200)/Sens!H13616</f>
        <v>10.8647885507393</v>
      </c>
      <c r="I13630" s="15" t="n">
        <f aca="false">(Sens!I13624*tk_hold_h100+Sens!I13625*tk_hold_gb200+Sens!I13626*tk_hold_gb300+Sens!I13628*tk_hold_vr200+Sens!I13627*nv_out_mai*tk_hold_vr200)/Sens!I13616</f>
        <v>11.0535625770025</v>
      </c>
      <c r="J13630" s="15" t="n">
        <f aca="false">(Sens!J13624*tk_hold_h100+Sens!J13625*tk_hold_gb200+Sens!J13626*tk_hold_gb300+Sens!J13628*tk_hold_vr200+Sens!J13627*nv_out_mai*tk_hold_vr200)/Sens!J13616</f>
        <v>11.2032127128058</v>
      </c>
      <c r="K13630" s="15" t="n">
        <f aca="false">(Sens!K13624*tk_hold_h100+Sens!K13625*tk_hold_gb200+Sens!K13626*tk_hold_gb300+Sens!K13628*tk_hold_vr200+Sens!K13627*nv_out_mai*tk_hold_vr200)/Sens!K13616</f>
        <v>11.4085735724225</v>
      </c>
      <c r="L13630" s="12" t="s">
        <v>971</v>
      </c>
    </row>
    <row r="13631" customFormat="false" ht="17.15" hidden="false" customHeight="false" outlineLevel="0" collapsed="false">
      <c r="A13631" s="0" t="s">
        <v>972</v>
      </c>
      <c r="B13631" s="0" t="s">
        <v>229</v>
      </c>
      <c r="C13631" s="15" t="n">
        <f aca="false">k_B</f>
        <v>1.17213932619116</v>
      </c>
      <c r="D13631" s="15" t="n">
        <f aca="false">k_B</f>
        <v>1.17213932619116</v>
      </c>
      <c r="E13631" s="15" t="n">
        <f aca="false">k_B</f>
        <v>1.17213932619116</v>
      </c>
      <c r="F13631" s="15" t="n">
        <f aca="false">(k_B+((ls_C*k_long+(1-ls_C)*k_spot)-k_B)*MIN(1,(Sens!F13614-base_fy)/k_ramp))</f>
        <v>1.07843258004497</v>
      </c>
      <c r="G13631" s="15" t="n">
        <f aca="false">(k_B+((ls_C*k_long+(1-ls_C)*k_spot)-k_B)*MIN(1,(Sens!G13614-base_fy)/k_ramp))</f>
        <v>0.984725833898784</v>
      </c>
      <c r="H13631" s="15" t="n">
        <f aca="false">(k_B+((ls_C*k_long+(1-ls_C)*k_spot)-k_B)*MIN(1,(Sens!H13614-base_fy)/k_ramp))</f>
        <v>0.891019087752599</v>
      </c>
      <c r="I13631" s="15" t="n">
        <f aca="false">(k_B+((ls_C*k_long+(1-ls_C)*k_spot)-k_B)*MIN(1,(Sens!I13614-base_fy)/k_ramp))</f>
        <v>0.891019087752599</v>
      </c>
      <c r="J13631" s="15" t="n">
        <f aca="false">(k_B+((ls_C*k_long+(1-ls_C)*k_spot)-k_B)*MIN(1,(Sens!J13614-base_fy)/k_ramp))</f>
        <v>0.891019087752599</v>
      </c>
      <c r="K13631" s="15" t="n">
        <f aca="false">(k_B+((ls_C*k_long+(1-ls_C)*k_spot)-k_B)*MIN(1,(Sens!K13614-base_fy)/k_ramp))</f>
        <v>0.891019087752599</v>
      </c>
      <c r="L13631" s="1" t="s">
        <v>973</v>
      </c>
    </row>
    <row r="13632" customFormat="false" ht="17.15" hidden="false" customHeight="false" outlineLevel="0" collapsed="false">
      <c r="A13632" s="1" t="s">
        <v>974</v>
      </c>
      <c r="B13632" s="0" t="s">
        <v>403</v>
      </c>
      <c r="C13632" s="15" t="n">
        <f aca="false">Sens!C13630*Sens!C13631*chip_f</f>
        <v>11.3973387156315</v>
      </c>
      <c r="D13632" s="15" t="n">
        <f aca="false">Sens!D13630*Sens!D13631*chip_f</f>
        <v>11.3973387156315</v>
      </c>
      <c r="E13632" s="15" t="n">
        <f aca="false">Sens!E13630*Sens!E13631*chip_f</f>
        <v>11.3973387156315</v>
      </c>
      <c r="F13632" s="15" t="n">
        <f aca="false">Sens!F13630*Sens!F13631*chip_f</f>
        <v>11.0511538476088</v>
      </c>
      <c r="G13632" s="15" t="n">
        <f aca="false">Sens!G13630*Sens!G13631*chip_f</f>
        <v>10.4487882383995</v>
      </c>
      <c r="H13632" s="15" t="n">
        <f aca="false">Sens!H13630*Sens!H13631*chip_f</f>
        <v>9.68073398310464</v>
      </c>
      <c r="I13632" s="15" t="n">
        <f aca="false">Sens!I13630*Sens!I13631*chip_f</f>
        <v>9.84893524377706</v>
      </c>
      <c r="J13632" s="15" t="n">
        <f aca="false">Sens!J13630*Sens!J13631*chip_f</f>
        <v>9.98227637126252</v>
      </c>
      <c r="K13632" s="15" t="n">
        <f aca="false">Sens!K13630*Sens!K13631*chip_f</f>
        <v>10.1652568170583</v>
      </c>
      <c r="L13632" s="1" t="s">
        <v>975</v>
      </c>
    </row>
    <row r="13633" customFormat="false" ht="17.15" hidden="false" customHeight="false" outlineLevel="0" collapsed="false">
      <c r="A13633" s="0" t="s">
        <v>976</v>
      </c>
      <c r="B13633" s="0" t="s">
        <v>98</v>
      </c>
      <c r="D13633" s="6" t="n">
        <f aca="false">(Sens!C13616+Sens!D13616)/2*Sens!D13632/1000</f>
        <v>12.9359794422418</v>
      </c>
      <c r="E13633" s="6" t="n">
        <f aca="false">(Sens!D13616+Sens!E13616)/2*Sens!E13632/1000</f>
        <v>27.8095064661409</v>
      </c>
      <c r="F13633" s="6" t="n">
        <f aca="false">(Sens!E13616+Sens!F13616)/2*Sens!F13632/1000</f>
        <v>50.9819294352312</v>
      </c>
      <c r="G13633" s="6" t="n">
        <f aca="false">(Sens!F13616+Sens!G13616)/2*Sens!G13632/1000</f>
        <v>76.6920436014933</v>
      </c>
      <c r="H13633" s="6" t="n">
        <f aca="false">(Sens!G13616+Sens!H13616)/2*Sens!H13632/1000</f>
        <v>97.4495379418341</v>
      </c>
      <c r="I13633" s="6" t="n">
        <f aca="false">(Sens!H13616+Sens!I13616)/2*Sens!I13632/1000</f>
        <v>122.083445553868</v>
      </c>
      <c r="J13633" s="6" t="n">
        <f aca="false">(Sens!I13616+Sens!J13616)/2*Sens!J13632/1000</f>
        <v>139.249060444804</v>
      </c>
      <c r="K13633" s="6" t="n">
        <f aca="false">(Sens!J13616+Sens!K13616)/2*Sens!K13632/1000</f>
        <v>149.995818575589</v>
      </c>
      <c r="L13633" s="12" t="s">
        <v>977</v>
      </c>
    </row>
    <row r="13634" customFormat="false" ht="17.15" hidden="false" customHeight="false" outlineLevel="0" collapsed="false">
      <c r="A13634" s="1" t="s">
        <v>978</v>
      </c>
      <c r="B13634" s="0" t="s">
        <v>403</v>
      </c>
      <c r="C13634" s="15" t="n">
        <f aca="false">(Sens!C13624*tk_opex_h100+Sens!C13625*tk_opex_gb200+Sens!C13626*tk_opex_gb300+(Sens!C13628+Sens!C13627)*tk_opex_vr200)/Sens!C13616</f>
        <v>1.88636041306092</v>
      </c>
      <c r="D13634" s="15" t="n">
        <f aca="false">(Sens!D13624*tk_opex_h100+Sens!D13625*tk_opex_gb200+Sens!D13626*tk_opex_gb300+(Sens!D13628+Sens!D13627)*tk_opex_vr200)/Sens!D13616</f>
        <v>1.88636041306092</v>
      </c>
      <c r="E13634" s="15" t="n">
        <f aca="false">(Sens!E13624*tk_opex_h100+Sens!E13625*tk_opex_gb200+Sens!E13626*tk_opex_gb300+(Sens!E13628+Sens!E13627)*tk_opex_vr200)/Sens!E13616</f>
        <v>1.88636041306092</v>
      </c>
      <c r="F13634" s="15" t="n">
        <f aca="false">(Sens!F13624*tk_opex_h100+Sens!F13625*tk_opex_gb200+Sens!F13626*tk_opex_gb300+(Sens!F13628+Sens!F13627)*tk_opex_vr200)/Sens!F13616</f>
        <v>1.95051159746876</v>
      </c>
      <c r="G13634" s="15" t="n">
        <f aca="false">(Sens!G13624*tk_opex_h100+Sens!G13625*tk_opex_gb200+Sens!G13626*tk_opex_gb300+(Sens!G13628+Sens!G13627)*tk_opex_vr200)/Sens!G13616</f>
        <v>1.98836003669956</v>
      </c>
      <c r="H13634" s="15" t="n">
        <f aca="false">(Sens!H13624*tk_opex_h100+Sens!H13625*tk_opex_gb200+Sens!H13626*tk_opex_gb300+(Sens!H13628+Sens!H13627)*tk_opex_vr200)/Sens!H13616</f>
        <v>2.01344013834343</v>
      </c>
      <c r="I13634" s="15" t="n">
        <f aca="false">(Sens!I13624*tk_opex_h100+Sens!I13625*tk_opex_gb200+Sens!I13626*tk_opex_gb300+(Sens!I13628+Sens!I13627)*tk_opex_vr200)/Sens!I13616</f>
        <v>2.03261166882178</v>
      </c>
      <c r="J13634" s="15" t="n">
        <f aca="false">(Sens!J13624*tk_opex_h100+Sens!J13625*tk_opex_gb200+Sens!J13626*tk_opex_gb300+(Sens!J13628+Sens!J13627)*tk_opex_vr200)/Sens!J13616</f>
        <v>2.04808073288745</v>
      </c>
      <c r="K13634" s="15" t="n">
        <f aca="false">(Sens!K13624*tk_opex_h100+Sens!K13625*tk_opex_gb200+Sens!K13626*tk_opex_gb300+(Sens!K13628+Sens!K13627)*tk_opex_vr200)/Sens!K13616</f>
        <v>2.06973825807449</v>
      </c>
      <c r="L13634" s="12" t="s">
        <v>979</v>
      </c>
    </row>
    <row r="13635" customFormat="false" ht="17.15" hidden="false" customHeight="false" outlineLevel="0" collapsed="false">
      <c r="A13635" s="0" t="s">
        <v>980</v>
      </c>
      <c r="B13635" s="0" t="s">
        <v>98</v>
      </c>
      <c r="D13635" s="6" t="n">
        <f aca="false">(Sens!C13619+Sens!D13619)/2*Sens!D13634/1000</f>
        <v>2.70378325872065</v>
      </c>
      <c r="E13635" s="6" t="n">
        <f aca="false">(Sens!D13619+Sens!E13619)/2*Sens!E13634/1000</f>
        <v>6.17783035277451</v>
      </c>
      <c r="F13635" s="6" t="n">
        <f aca="false">(Sens!E13619+Sens!F13619)/2*Sens!F13634/1000</f>
        <v>12.8742463089237</v>
      </c>
      <c r="G13635" s="6" t="n">
        <f aca="false">(Sens!F13619+Sens!G13619)/2*Sens!G13634/1000</f>
        <v>21.8182834646277</v>
      </c>
      <c r="H13635" s="6" t="n">
        <f aca="false">(Sens!G13619+Sens!H13619)/2*Sens!H13634/1000</f>
        <v>31.2430128789734</v>
      </c>
      <c r="I13635" s="6" t="n">
        <f aca="false">(Sens!H13619+Sens!I13619)/2*Sens!I13634/1000</f>
        <v>39.4313057443268</v>
      </c>
      <c r="J13635" s="6" t="n">
        <f aca="false">(Sens!I13619+Sens!J13619)/2*Sens!J13634/1000</f>
        <v>45.0360318228653</v>
      </c>
      <c r="K13635" s="6" t="n">
        <f aca="false">(Sens!J13619+Sens!K13619)/2*Sens!K13634/1000</f>
        <v>48.2929727091156</v>
      </c>
    </row>
    <row r="13636" customFormat="false" ht="17.15" hidden="false" customHeight="false" outlineLevel="0" collapsed="false">
      <c r="A13636" s="0" t="s">
        <v>981</v>
      </c>
      <c r="B13636" s="0" t="s">
        <v>98</v>
      </c>
      <c r="D13636" s="6" t="n">
        <f aca="false">(Sens!C13617+Sens!D13617)/2*rent_mw/1000</f>
        <v>2.44475</v>
      </c>
      <c r="E13636" s="6" t="n">
        <f aca="false">(Sens!D13617+Sens!E13617)/2*rent_mw/1000</f>
        <v>4.22275</v>
      </c>
      <c r="F13636" s="6" t="n">
        <f aca="false">(Sens!E13617+Sens!F13617)/2*rent_mw/1000</f>
        <v>5.80517</v>
      </c>
      <c r="G13636" s="6" t="n">
        <f aca="false">(Sens!F13617+Sens!G13617)/2*rent_mw/1000</f>
        <v>6.72084</v>
      </c>
      <c r="H13636" s="6" t="n">
        <f aca="false">(Sens!G13617+Sens!H13617)/2*rent_mw/1000</f>
        <v>6.72084</v>
      </c>
      <c r="I13636" s="6" t="n">
        <f aca="false">(Sens!H13617+Sens!I13617)/2*rent_mw/1000</f>
        <v>6.72084</v>
      </c>
      <c r="J13636" s="6" t="n">
        <f aca="false">(Sens!I13617+Sens!J13617)/2*rent_mw/1000</f>
        <v>6.72084</v>
      </c>
      <c r="K13636" s="6" t="n">
        <f aca="false">(Sens!J13617+Sens!K13617)/2*rent_mw/1000</f>
        <v>6.72084</v>
      </c>
    </row>
    <row r="13637" customFormat="false" ht="17.15" hidden="false" customHeight="false" outlineLevel="0" collapsed="false">
      <c r="A13637" s="0" t="s">
        <v>982</v>
      </c>
      <c r="B13637" s="0" t="s">
        <v>98</v>
      </c>
      <c r="D13637" s="6" t="n">
        <f aca="false">(Sens!C13619+Sens!D13619)/2*(1-self_build)*fac_rent/1000</f>
        <v>0.853242375631075</v>
      </c>
      <c r="E13637" s="6" t="n">
        <f aca="false">(Sens!D13619+Sens!E13619)/2*(1-self_build)*fac_rent/1000</f>
        <v>1.94955961408728</v>
      </c>
      <c r="F13637" s="6" t="n">
        <f aca="false">(Sens!E13619+Sens!F13619)/2*(1-self_build)*fac_rent/1000</f>
        <v>3.92914894476356</v>
      </c>
      <c r="G13637" s="6" t="n">
        <f aca="false">(Sens!F13619+Sens!G13619)/2*(1-self_build)*fac_rent/1000</f>
        <v>6.53206908578159</v>
      </c>
      <c r="H13637" s="6" t="n">
        <f aca="false">(Sens!G13619+Sens!H13619)/2*(1-self_build)*fac_rent/1000</f>
        <v>9.23717988341591</v>
      </c>
      <c r="I13637" s="6" t="n">
        <f aca="false">(Sens!H13619+Sens!I13619)/2*(1-self_build)*fac_rent/1000</f>
        <v>11.5481378557393</v>
      </c>
      <c r="J13637" s="6" t="n">
        <f aca="false">(Sens!I13619+Sens!J13619)/2*(1-self_build)*fac_rent/1000</f>
        <v>13.0899582289108</v>
      </c>
      <c r="K13637" s="6" t="n">
        <f aca="false">(Sens!J13619+Sens!K13619)/2*(1-self_build)*fac_rent/1000</f>
        <v>13.8897275626556</v>
      </c>
      <c r="L13637" s="12" t="s">
        <v>983</v>
      </c>
    </row>
    <row r="13638" customFormat="false" ht="17.15" hidden="false" customHeight="false" outlineLevel="0" collapsed="false">
      <c r="A13638" s="1" t="s">
        <v>984</v>
      </c>
      <c r="B13638" s="0" t="s">
        <v>168</v>
      </c>
      <c r="D13638" s="7" t="n">
        <f aca="false">(Sens!C13618+Sens!D13618)/(Sens!C13619+Sens!D13619)</f>
        <v>0.6</v>
      </c>
      <c r="E13638" s="7" t="n">
        <f aca="false">(Sens!D13618+Sens!E13618)/(Sens!D13619+Sens!E13619)</f>
        <v>0.6</v>
      </c>
      <c r="F13638" s="7" t="n">
        <f aca="false">(Sens!E13618+Sens!F13618)/(Sens!E13619+Sens!F13619)</f>
        <v>0.6</v>
      </c>
      <c r="G13638" s="7" t="n">
        <f aca="false">(Sens!F13618+Sens!G13618)/(Sens!F13619+Sens!G13619)</f>
        <v>0.6</v>
      </c>
      <c r="H13638" s="7" t="n">
        <f aca="false">(Sens!G13618+Sens!H13618)/(Sens!G13619+Sens!H13619)</f>
        <v>0.6</v>
      </c>
      <c r="I13638" s="7" t="n">
        <f aca="false">(Sens!H13618+Sens!I13618)/(Sens!H13619+Sens!I13619)</f>
        <v>0.6</v>
      </c>
      <c r="J13638" s="7" t="n">
        <f aca="false">(Sens!I13618+Sens!J13618)/(Sens!I13619+Sens!J13619)</f>
        <v>0.6</v>
      </c>
      <c r="K13638" s="7" t="n">
        <f aca="false">(Sens!J13618+Sens!K13618)/(Sens!J13619+Sens!K13619)</f>
        <v>0.6</v>
      </c>
    </row>
    <row r="13639" customFormat="false" ht="17.15" hidden="false" customHeight="false" outlineLevel="0" collapsed="false">
      <c r="A13639" s="0" t="s">
        <v>985</v>
      </c>
      <c r="B13639" s="0" t="s">
        <v>98</v>
      </c>
      <c r="D13639" s="6" t="n">
        <f aca="false">Sens!D13633-Sens!D13638*(Sens!D13635+Sens!D13637)-Sens!D13636</f>
        <v>8.35701406163072</v>
      </c>
      <c r="E13639" s="6" t="n">
        <f aca="false">Sens!E13633-Sens!E13638*(Sens!E13635+Sens!E13637)-Sens!E13636</f>
        <v>18.7103224860238</v>
      </c>
      <c r="F13639" s="6" t="n">
        <f aca="false">Sens!F13633-Sens!F13638*(Sens!F13635+Sens!F13637)-Sens!F13636</f>
        <v>35.0947222830189</v>
      </c>
      <c r="G13639" s="6" t="n">
        <f aca="false">Sens!G13633-Sens!G13638*(Sens!G13635+Sens!G13637)-Sens!G13636</f>
        <v>52.9609920712477</v>
      </c>
      <c r="H13639" s="6" t="n">
        <f aca="false">Sens!H13633-Sens!H13638*(Sens!H13635+Sens!H13637)-Sens!H13636</f>
        <v>66.4405822844005</v>
      </c>
      <c r="I13639" s="6" t="n">
        <f aca="false">Sens!I13633-Sens!I13638*(Sens!I13635+Sens!I13637)-Sens!I13636</f>
        <v>84.7749393938279</v>
      </c>
      <c r="J13639" s="6" t="n">
        <f aca="false">Sens!J13633-Sens!J13638*(Sens!J13635+Sens!J13637)-Sens!J13636</f>
        <v>97.6526264137382</v>
      </c>
      <c r="K13639" s="6" t="n">
        <f aca="false">Sens!K13633-Sens!K13638*(Sens!K13635+Sens!K13637)-Sens!K13636</f>
        <v>105.965358412527</v>
      </c>
    </row>
    <row r="13640" customFormat="false" ht="17.15" hidden="false" customHeight="false" outlineLevel="0" collapsed="false">
      <c r="A13640" s="1" t="s">
        <v>986</v>
      </c>
      <c r="B13640" s="0" t="s">
        <v>98</v>
      </c>
      <c r="D13640" s="6" t="n">
        <f aca="false">(1-Sens!D13638)*(Sens!D13635+Sens!D13637)</f>
        <v>1.42281025374069</v>
      </c>
      <c r="E13640" s="6" t="n">
        <f aca="false">(1-Sens!E13638)*(Sens!E13635+Sens!E13637)</f>
        <v>3.25095598674472</v>
      </c>
      <c r="F13640" s="6" t="n">
        <f aca="false">(1-Sens!F13638)*(Sens!F13635+Sens!F13637)</f>
        <v>6.72135810147489</v>
      </c>
      <c r="G13640" s="6" t="n">
        <f aca="false">(1-Sens!G13638)*(Sens!G13635+Sens!G13637)</f>
        <v>11.3401410201637</v>
      </c>
      <c r="H13640" s="6" t="n">
        <f aca="false">(1-Sens!H13638)*(Sens!H13635+Sens!H13637)</f>
        <v>16.1920771049557</v>
      </c>
      <c r="I13640" s="6" t="n">
        <f aca="false">(1-Sens!I13638)*(Sens!I13635+Sens!I13637)</f>
        <v>20.3917774400264</v>
      </c>
      <c r="J13640" s="6" t="n">
        <f aca="false">(1-Sens!J13638)*(Sens!J13635+Sens!J13637)</f>
        <v>23.2503960207104</v>
      </c>
      <c r="K13640" s="6" t="n">
        <f aca="false">(1-Sens!K13638)*(Sens!K13635+Sens!K13637)</f>
        <v>24.8730801087085</v>
      </c>
    </row>
    <row r="13641" customFormat="false" ht="17.15" hidden="false" customHeight="false" outlineLevel="0" collapsed="false">
      <c r="A13641" s="1" t="s">
        <v>987</v>
      </c>
      <c r="B13641" s="0" t="s">
        <v>414</v>
      </c>
      <c r="C13641" s="8" t="n">
        <f aca="false">cxit_open</f>
        <v>27.5918995</v>
      </c>
      <c r="D13641" s="8" t="n">
        <f aca="false">cxit_open</f>
        <v>27.5918995</v>
      </c>
      <c r="E13641" s="8" t="n">
        <f aca="false">cxit_open</f>
        <v>27.5918995</v>
      </c>
      <c r="F13641" s="8" t="n">
        <f aca="false">((a_g3_27-nonnv*a_mai)*tk_cxit_gb300+nonnv*a_mai*nv_hold_mai*tk_cxit_vr200+(1-a_g3_27)*tk_cxit_vr200)</f>
        <v>32.4975576</v>
      </c>
      <c r="G13641" s="8" t="n">
        <f aca="false">((a_g3_28-nonnv*a_mai)*tk_cxit_gb300+nonnv*a_mai*nv_hold_mai*tk_cxit_vr200+(1-a_g3_28)*tk_cxit_vr200)</f>
        <v>34.6372088</v>
      </c>
      <c r="H13641" s="8" t="n">
        <f aca="false">((a_g3_29-nonnv*a_mai)*tk_cxit_gb300+nonnv*a_mai*nv_hold_mai*tk_cxit_vr200+(1-a_g3_29)*tk_cxit_vr200)</f>
        <v>35.7070344</v>
      </c>
      <c r="I13641" s="8" t="n">
        <f aca="false">((a_g3_29-nonnv*a_mai)*tk_cxit_gb300+nonnv*a_mai*nv_hold_mai*tk_cxit_vr200+(1-a_g3_29)*tk_cxit_vr200)</f>
        <v>35.7070344</v>
      </c>
      <c r="J13641" s="8" t="n">
        <f aca="false">((a_g3_29-nonnv*a_mai)*tk_cxit_gb300+nonnv*a_mai*nv_hold_mai*tk_cxit_vr200+(1-a_g3_29)*tk_cxit_vr200)</f>
        <v>35.7070344</v>
      </c>
      <c r="K13641" s="8" t="n">
        <f aca="false">((a_g3_29-nonnv*a_mai)*tk_cxit_gb300+nonnv*a_mai*nv_hold_mai*tk_cxit_vr200+(1-a_g3_29)*tk_cxit_vr200)</f>
        <v>35.7070344</v>
      </c>
      <c r="L13641" s="12" t="s">
        <v>988</v>
      </c>
    </row>
    <row r="13642" customFormat="false" ht="17.15" hidden="false" customHeight="false" outlineLevel="0" collapsed="false">
      <c r="A13642" s="0" t="s">
        <v>989</v>
      </c>
      <c r="B13642" s="0" t="s">
        <v>456</v>
      </c>
      <c r="F13642" s="30" t="n">
        <f aca="false">Sens!C13621*IF(Sens!F13614-Sens!C13614=life_it,1,0)+Sens!D13621*IF(Sens!F13614-Sens!D13614=life_it,1,0)+Sens!E13621*IF(Sens!F13614-Sens!E13614=life_it,1,0)</f>
        <v>0</v>
      </c>
      <c r="G13642" s="30" t="n">
        <f aca="false">Sens!C13621*IF(Sens!G13614-Sens!C13614=life_it,1,0)+Sens!D13621*IF(Sens!G13614-Sens!D13614=life_it,1,0)+Sens!E13621*IF(Sens!G13614-Sens!E13614=life_it,1,0)+Sens!F13621*IF(Sens!G13614-Sens!F13614=life_it,1,0)</f>
        <v>0</v>
      </c>
      <c r="H13642" s="30" t="n">
        <f aca="false">Sens!C13621*IF(Sens!H13614-Sens!C13614=life_it,1,0)+Sens!D13621*IF(Sens!H13614-Sens!D13614=life_it,1,0)+Sens!E13621*IF(Sens!H13614-Sens!E13614=life_it,1,0)+Sens!F13621*IF(Sens!H13614-Sens!F13614=life_it,1,0)+Sens!G13621*IF(Sens!H13614-Sens!G13614=life_it,1,0)</f>
        <v>0</v>
      </c>
      <c r="I13642" s="30" t="n">
        <f aca="false">Sens!C13621*IF(Sens!I13614-Sens!C13614=life_it,1,0)+Sens!D13621*IF(Sens!I13614-Sens!D13614=life_it,1,0)+Sens!E13621*IF(Sens!I13614-Sens!E13614=life_it,1,0)+Sens!F13621*IF(Sens!I13614-Sens!F13614=life_it,1,0)+Sens!G13621*IF(Sens!I13614-Sens!G13614=life_it,1,0)+Sens!H13621*IF(Sens!I13614-Sens!H13614=life_it,1,0)</f>
        <v>816.666666666667</v>
      </c>
      <c r="J13642" s="30" t="n">
        <f aca="false">Sens!C13621*IF(Sens!J13614-Sens!C13614=life_it,1,0)+Sens!D13621*IF(Sens!J13614-Sens!D13614=life_it,1,0)+Sens!E13621*IF(Sens!J13614-Sens!E13614=life_it,1,0)+Sens!F13621*IF(Sens!J13614-Sens!F13614=life_it,1,0)+Sens!G13621*IF(Sens!J13614-Sens!G13614=life_it,1,0)+Sens!H13621*IF(Sens!J13614-Sens!H13614=life_it,1,0)+Sens!I13621*IF(Sens!J13614-Sens!I13614=life_it,1,0)</f>
        <v>1233.33333333333</v>
      </c>
      <c r="K13642" s="30" t="n">
        <f aca="false">Sens!C13621*IF(Sens!K13614-Sens!C13614=life_it,1,0)+Sens!D13621*IF(Sens!K13614-Sens!D13614=life_it,1,0)+Sens!E13621*IF(Sens!K13614-Sens!E13614=life_it,1,0)+Sens!F13621*IF(Sens!K13614-Sens!F13614=life_it,1,0)+Sens!G13621*IF(Sens!K13614-Sens!G13614=life_it,1,0)+Sens!H13621*IF(Sens!K13614-Sens!H13614=life_it,1,0)+Sens!I13621*IF(Sens!K13614-Sens!I13614=life_it,1,0)+Sens!J13621*IF(Sens!K13614-Sens!J13614=life_it,1,0)</f>
        <v>2450</v>
      </c>
      <c r="L13642" s="1" t="s">
        <v>990</v>
      </c>
    </row>
    <row r="13643" customFormat="false" ht="17.15" hidden="false" customHeight="false" outlineLevel="0" collapsed="false">
      <c r="A13643" s="0" t="s">
        <v>991</v>
      </c>
      <c r="B13643" s="0" t="s">
        <v>98</v>
      </c>
      <c r="C13643" s="6" t="n">
        <f aca="false">Sens!C13621*Sens!C13641/1000</f>
        <v>22.5333845916667</v>
      </c>
      <c r="D13643" s="6" t="n">
        <f aca="false">Sens!D13621*Sens!D13641/1000</f>
        <v>34.0300093833333</v>
      </c>
      <c r="E13643" s="6" t="n">
        <f aca="false">Sens!E13621*Sens!E13641/1000</f>
        <v>67.600153775</v>
      </c>
      <c r="F13643" s="6" t="n">
        <f aca="false">(Sens!F13621+Sens!F13642)*Sens!F13641/1000</f>
        <v>136.51872432512</v>
      </c>
      <c r="G13643" s="6" t="n">
        <f aca="false">(Sens!G13621+Sens!G13642)*Sens!G13641/1000</f>
        <v>157.399275932048</v>
      </c>
      <c r="H13643" s="6" t="n">
        <f aca="false">(Sens!H13621+Sens!H13642)*Sens!H13641/1000</f>
        <v>162.260804347512</v>
      </c>
      <c r="I13643" s="6" t="n">
        <f aca="false">(Sens!I13621+Sens!I13642)*Sens!I13641/1000</f>
        <v>144.136569485434</v>
      </c>
      <c r="J13643" s="6" t="n">
        <f aca="false">(Sens!J13621+Sens!J13642)*Sens!J13641/1000</f>
        <v>114.029037357864</v>
      </c>
      <c r="K13643" s="6" t="n">
        <f aca="false">(Sens!K13621+Sens!K13642)*Sens!K13641/1000</f>
        <v>113.437085350975</v>
      </c>
    </row>
    <row r="13644" customFormat="false" ht="17.15" hidden="false" customHeight="false" outlineLevel="0" collapsed="false">
      <c r="A13644" s="0" t="s">
        <v>992</v>
      </c>
      <c r="B13644" s="0" t="s">
        <v>98</v>
      </c>
      <c r="C13644" s="6" t="n">
        <f aca="false">Sens!C13621*self_build*tk_cxfac/1000</f>
        <v>6.2083</v>
      </c>
      <c r="D13644" s="6" t="n">
        <f aca="false">Sens!D13621*self_build*tk_cxfac/1000</f>
        <v>9.3758</v>
      </c>
      <c r="E13644" s="6" t="n">
        <f aca="false">Sens!E13621*self_build*tk_cxfac/1000</f>
        <v>18.6249</v>
      </c>
      <c r="F13644" s="6" t="n">
        <f aca="false">Sens!F13621*self_build*tk_cxfac/1000</f>
        <v>31.935179717</v>
      </c>
      <c r="G13644" s="6" t="n">
        <f aca="false">Sens!G13621*self_build*tk_cxfac/1000</f>
        <v>34.545199717</v>
      </c>
      <c r="H13644" s="6" t="n">
        <f aca="false">Sens!H13621*self_build*tk_cxfac/1000</f>
        <v>34.545199717</v>
      </c>
      <c r="I13644" s="6" t="n">
        <f aca="false">Sens!I13621*self_build*tk_cxfac/1000</f>
        <v>24.4782641361767</v>
      </c>
      <c r="J13644" s="6" t="n">
        <f aca="false">Sens!J13621*self_build*tk_cxfac/1000</f>
        <v>14.9008938380769</v>
      </c>
      <c r="K13644" s="6" t="n">
        <f aca="false">Sens!K13621*self_build*tk_cxfac/1000</f>
        <v>5.52576771375761</v>
      </c>
    </row>
    <row r="13645" customFormat="false" ht="17.15" hidden="false" customHeight="false" outlineLevel="0" collapsed="false">
      <c r="A13645" s="0" t="s">
        <v>993</v>
      </c>
      <c r="B13645" s="0" t="s">
        <v>98</v>
      </c>
      <c r="F13645" s="15" t="n">
        <f aca="false">capex_floor27-Sens!F13643-Sens!F13644-Sens!F13741</f>
        <v>-0.0799631154216058</v>
      </c>
      <c r="L13645" s="12" t="s">
        <v>994</v>
      </c>
    </row>
    <row r="13646" customFormat="false" ht="17.15" hidden="false" customHeight="false" outlineLevel="0" collapsed="false">
      <c r="A13646" s="0" t="s">
        <v>995</v>
      </c>
      <c r="B13646" s="0" t="s">
        <v>98</v>
      </c>
      <c r="F13646" s="6" t="n">
        <f aca="false">MAX(0,Sens!F13645)</f>
        <v>0</v>
      </c>
    </row>
    <row r="13647" customFormat="false" ht="17.15" hidden="false" customHeight="false" outlineLevel="0" collapsed="false">
      <c r="A13647" s="0" t="s">
        <v>996</v>
      </c>
      <c r="B13647" s="0" t="s">
        <v>98</v>
      </c>
      <c r="C13647" s="6" t="n">
        <f aca="false">Sens!C13643</f>
        <v>22.5333845916667</v>
      </c>
      <c r="D13647" s="6" t="n">
        <f aca="false">Sens!D13643</f>
        <v>34.0300093833333</v>
      </c>
      <c r="E13647" s="6" t="n">
        <f aca="false">Sens!E13643</f>
        <v>67.600153775</v>
      </c>
      <c r="F13647" s="6" t="n">
        <f aca="false">Sens!F13643</f>
        <v>136.51872432512</v>
      </c>
      <c r="G13647" s="6" t="n">
        <f aca="false">Sens!G13643</f>
        <v>157.399275932048</v>
      </c>
      <c r="H13647" s="6" t="n">
        <f aca="false">Sens!H13643</f>
        <v>162.260804347512</v>
      </c>
      <c r="I13647" s="6" t="n">
        <f aca="false">Sens!I13643</f>
        <v>144.136569485434</v>
      </c>
      <c r="J13647" s="6" t="n">
        <f aca="false">Sens!J13643</f>
        <v>114.029037357864</v>
      </c>
      <c r="K13647" s="6" t="n">
        <f aca="false">Sens!K13643</f>
        <v>113.437085350975</v>
      </c>
    </row>
    <row r="13648" customFormat="false" ht="17.15" hidden="false" customHeight="false" outlineLevel="0" collapsed="false">
      <c r="A13648" s="0" t="s">
        <v>997</v>
      </c>
      <c r="B13648" s="0" t="s">
        <v>98</v>
      </c>
      <c r="C13648" s="6" t="n">
        <f aca="false">Sens!C13647+Sens!C13644</f>
        <v>28.7416845916667</v>
      </c>
      <c r="D13648" s="6" t="n">
        <f aca="false">Sens!D13647+Sens!D13644</f>
        <v>43.4058093833333</v>
      </c>
      <c r="E13648" s="6" t="n">
        <f aca="false">Sens!E13647+Sens!E13644</f>
        <v>86.225053775</v>
      </c>
      <c r="F13648" s="6" t="n">
        <f aca="false">Sens!F13647+Sens!F13644</f>
        <v>168.45390404212</v>
      </c>
      <c r="G13648" s="6" t="n">
        <f aca="false">Sens!G13647+Sens!G13644</f>
        <v>191.944475649048</v>
      </c>
      <c r="H13648" s="6" t="n">
        <f aca="false">Sens!H13647+Sens!H13644</f>
        <v>196.806004064512</v>
      </c>
      <c r="I13648" s="6" t="n">
        <f aca="false">Sens!I13647+Sens!I13644</f>
        <v>168.61483362161</v>
      </c>
      <c r="J13648" s="6" t="n">
        <f aca="false">Sens!J13647+Sens!J13644</f>
        <v>128.92993119594</v>
      </c>
      <c r="K13648" s="6" t="n">
        <f aca="false">Sens!K13647+Sens!K13644</f>
        <v>118.962853064733</v>
      </c>
      <c r="L13648" s="12" t="s">
        <v>998</v>
      </c>
    </row>
    <row r="13649" customFormat="false" ht="17.15" hidden="false" customHeight="false" outlineLevel="0" collapsed="false">
      <c r="A13649" s="0" t="s">
        <v>999</v>
      </c>
      <c r="B13649" s="0" t="s">
        <v>98</v>
      </c>
      <c r="E13649" s="6" t="n">
        <f aca="false">(Sens!C13647*IF(2&lt;life_it,1,IF(2=life_it,0.5,0))+Sens!D13647*IF(1&lt;life_it,1,IF(1=life_it,0.5,0))+Sens!E13647*0.5)/life_it</f>
        <v>15.0605784770833</v>
      </c>
      <c r="F13649" s="6" t="n">
        <f aca="false">(Sens!C13647*IF(3&lt;life_it,1,IF(3=life_it,0.5,0))+Sens!D13647*IF(2&lt;life_it,1,IF(2=life_it,0.5,0))+Sens!E13647*IF(1&lt;life_it,1,IF(1=life_it,0.5,0))+Sens!F13647*0.5)/life_it</f>
        <v>32.0704849854266</v>
      </c>
      <c r="G13649" s="6" t="n">
        <f aca="false">(Sens!C13647*IF(4&lt;life_it,1,IF(4=life_it,0.5,0))+Sens!D13647*IF(3&lt;life_it,1,IF(3=life_it,0.5,0))+Sens!E13647*IF(2&lt;life_it,1,IF(2=life_it,0.5,0))+Sens!F13647*IF(1&lt;life_it,1,IF(1=life_it,0.5,0))+Sens!G13647*0.5)/life_it</f>
        <v>56.5636516735239</v>
      </c>
      <c r="H13649" s="6" t="n">
        <f aca="false">(Sens!C13647*IF(5&lt;life_it,1,IF(5=life_it,0.5,0))+Sens!D13647*IF(4&lt;life_it,1,IF(4=life_it,0.5,0))+Sens!E13647*IF(3&lt;life_it,1,IF(3=life_it,0.5,0))+Sens!F13647*IF(2&lt;life_it,1,IF(2=life_it,0.5,0))+Sens!G13647*IF(1&lt;life_it,1,IF(1=life_it,0.5,0))+Sens!H13647*0.5)/life_it</f>
        <v>83.2019916968207</v>
      </c>
      <c r="I13649" s="6" t="n">
        <f aca="false">(Sens!C13647*IF(6&lt;life_it,1,IF(6=life_it,0.5,0))+Sens!D13647*IF(5&lt;life_it,1,IF(5=life_it,0.5,0))+Sens!E13647*IF(4&lt;life_it,1,IF(4=life_it,0.5,0))+Sens!F13647*IF(3&lt;life_it,1,IF(3=life_it,0.5,0))+Sens!G13647*IF(2&lt;life_it,1,IF(2=life_it,0.5,0))+Sens!H13647*IF(1&lt;life_it,1,IF(1=life_it,0.5,0))+Sens!I13647*0.5)/life_it</f>
        <v>106.857324133594</v>
      </c>
      <c r="J13649" s="6" t="n">
        <f aca="false">(Sens!C13647*IF(7&lt;life_it,1,IF(7=life_it,0.5,0))+Sens!D13647*IF(6&lt;life_it,1,IF(6=life_it,0.5,0))+Sens!E13647*IF(5&lt;life_it,1,IF(5=life_it,0.5,0))+Sens!F13647*IF(4&lt;life_it,1,IF(4=life_it,0.5,0))+Sens!G13647*IF(3&lt;life_it,1,IF(3=life_it,0.5,0))+Sens!H13647*IF(2&lt;life_it,1,IF(2=life_it,0.5,0))+Sens!I13647*IF(1&lt;life_it,1,IF(1=life_it,0.5,0))+Sens!J13647*0.5)/life_it</f>
        <v>123.657508539285</v>
      </c>
      <c r="K13649" s="6" t="n">
        <f aca="false">(Sens!C13647*IF(8&lt;life_it,1,IF(8=life_it,0.5,0))+Sens!D13647*IF(7&lt;life_it,1,IF(7=life_it,0.5,0))+Sens!E13647*IF(6&lt;life_it,1,IF(6=life_it,0.5,0))+Sens!F13647*IF(5&lt;life_it,1,IF(5=life_it,0.5,0))+Sens!G13647*IF(4&lt;life_it,1,IF(4=life_it,0.5,0))+Sens!H13647*IF(3&lt;life_it,1,IF(3=life_it,0.5,0))+Sens!I13647*IF(2&lt;life_it,1,IF(2=life_it,0.5,0))+Sens!J13647*IF(1&lt;life_it,1,IF(1=life_it,0.5,0))+Sens!K13647*0.5)/life_it</f>
        <v>134.143838501827</v>
      </c>
    </row>
    <row r="13650" customFormat="false" ht="17.15" hidden="false" customHeight="false" outlineLevel="0" collapsed="false">
      <c r="A13650" s="0" t="s">
        <v>1000</v>
      </c>
      <c r="B13650" s="0" t="s">
        <v>98</v>
      </c>
      <c r="E13650" s="6" t="n">
        <f aca="false">(Sens!C13644*IF(2&lt;life_fac,1,IF(2=life_fac,0.5,0))+Sens!D13644*IF(1&lt;life_fac,1,IF(1=life_fac,0.5,0))+Sens!E13644*0.5)/life_fac</f>
        <v>1.2448275</v>
      </c>
      <c r="F13650" s="6" t="n">
        <f aca="false">(Sens!C13644*IF(3&lt;life_fac,1,IF(3=life_fac,0.5,0))+Sens!D13644*IF(2&lt;life_fac,1,IF(2=life_fac,0.5,0))+Sens!E13644*IF(1&lt;life_fac,1,IF(1=life_fac,0.5,0))+Sens!F13644*0.5)/life_fac</f>
        <v>2.508829492925</v>
      </c>
      <c r="G13650" s="6" t="n">
        <f aca="false">(Sens!C13644*IF(4&lt;life_fac,1,IF(4=life_fac,0.5,0))+Sens!D13644*IF(3&lt;life_fac,1,IF(3=life_fac,0.5,0))+Sens!E13644*IF(2&lt;life_fac,1,IF(2=life_fac,0.5,0))+Sens!F13644*IF(1&lt;life_fac,1,IF(1=life_fac,0.5,0))+Sens!G13644*0.5)/life_fac</f>
        <v>4.170838978775</v>
      </c>
      <c r="H13650" s="6" t="n">
        <f aca="false">(Sens!C13644*IF(5&lt;life_fac,1,IF(5=life_fac,0.5,0))+Sens!D13644*IF(4&lt;life_fac,1,IF(4=life_fac,0.5,0))+Sens!E13644*IF(3&lt;life_fac,1,IF(3=life_fac,0.5,0))+Sens!F13644*IF(2&lt;life_fac,1,IF(2=life_fac,0.5,0))+Sens!G13644*IF(1&lt;life_fac,1,IF(1=life_fac,0.5,0))+Sens!H13644*0.5)/life_fac</f>
        <v>5.898098964625</v>
      </c>
      <c r="I13650" s="6" t="n">
        <f aca="false">(Sens!C13644*IF(6&lt;life_fac,1,IF(6=life_fac,0.5,0))+Sens!D13644*IF(5&lt;life_fac,1,IF(5=life_fac,0.5,0))+Sens!E13644*IF(4&lt;life_fac,1,IF(4=life_fac,0.5,0))+Sens!F13644*IF(3&lt;life_fac,1,IF(3=life_fac,0.5,0))+Sens!G13644*IF(2&lt;life_fac,1,IF(2=life_fac,0.5,0))+Sens!H13644*IF(1&lt;life_fac,1,IF(1=life_fac,0.5,0))+Sens!I13644*0.5)/life_fac</f>
        <v>7.37368556095442</v>
      </c>
      <c r="J13650" s="6" t="n">
        <f aca="false">(Sens!C13644*IF(7&lt;life_fac,1,IF(7=life_fac,0.5,0))+Sens!D13644*IF(6&lt;life_fac,1,IF(6=life_fac,0.5,0))+Sens!E13644*IF(5&lt;life_fac,1,IF(5=life_fac,0.5,0))+Sens!F13644*IF(4&lt;life_fac,1,IF(4=life_fac,0.5,0))+Sens!G13644*IF(3&lt;life_fac,1,IF(3=life_fac,0.5,0))+Sens!H13644*IF(2&lt;life_fac,1,IF(2=life_fac,0.5,0))+Sens!I13644*IF(1&lt;life_fac,1,IF(1=life_fac,0.5,0))+Sens!J13644*0.5)/life_fac</f>
        <v>8.35816451031075</v>
      </c>
      <c r="K13650" s="6" t="n">
        <f aca="false">(Sens!C13644*IF(8&lt;life_fac,1,IF(8=life_fac,0.5,0))+Sens!D13644*IF(7&lt;life_fac,1,IF(7=life_fac,0.5,0))+Sens!E13644*IF(6&lt;life_fac,1,IF(6=life_fac,0.5,0))+Sens!F13644*IF(5&lt;life_fac,1,IF(5=life_fac,0.5,0))+Sens!G13644*IF(4&lt;life_fac,1,IF(4=life_fac,0.5,0))+Sens!H13644*IF(3&lt;life_fac,1,IF(3=life_fac,0.5,0))+Sens!I13644*IF(2&lt;life_fac,1,IF(2=life_fac,0.5,0))+Sens!J13644*IF(1&lt;life_fac,1,IF(1=life_fac,0.5,0))+Sens!K13644*0.5)/life_fac</f>
        <v>8.86883104910662</v>
      </c>
    </row>
    <row r="13651" customFormat="false" ht="17.15" hidden="false" customHeight="false" outlineLevel="0" collapsed="false">
      <c r="A13651" s="0" t="s">
        <v>1001</v>
      </c>
      <c r="B13651" s="0" t="s">
        <v>98</v>
      </c>
      <c r="E13651" s="6" t="n">
        <f aca="false">Sens!E13649+Sens!E13650</f>
        <v>16.3054059770833</v>
      </c>
      <c r="F13651" s="6" t="n">
        <f aca="false">Sens!F13649+Sens!F13650</f>
        <v>34.5793144783516</v>
      </c>
      <c r="G13651" s="6" t="n">
        <f aca="false">Sens!G13649+Sens!G13650</f>
        <v>60.7344906522989</v>
      </c>
      <c r="H13651" s="6" t="n">
        <f aca="false">Sens!H13649+Sens!H13650</f>
        <v>89.1000906614457</v>
      </c>
      <c r="I13651" s="6" t="n">
        <f aca="false">Sens!I13649+Sens!I13650</f>
        <v>114.231009694548</v>
      </c>
      <c r="J13651" s="6" t="n">
        <f aca="false">Sens!J13649+Sens!J13650</f>
        <v>132.015673049596</v>
      </c>
      <c r="K13651" s="6" t="n">
        <f aca="false">Sens!K13649+Sens!K13650</f>
        <v>143.012669550934</v>
      </c>
    </row>
    <row r="13652" customFormat="false" ht="17.15" hidden="false" customHeight="false" outlineLevel="0" collapsed="false">
      <c r="A13652" s="0" t="s">
        <v>1002</v>
      </c>
      <c r="B13652" s="0" t="s">
        <v>98</v>
      </c>
      <c r="E13652" s="6" t="n">
        <f aca="false">Sens!E13639-Sens!E13638*Sens!E13651</f>
        <v>8.92707889977379</v>
      </c>
      <c r="F13652" s="6" t="n">
        <f aca="false">Sens!F13639-Sens!F13638*Sens!F13651</f>
        <v>14.3471335960079</v>
      </c>
      <c r="G13652" s="6" t="n">
        <f aca="false">Sens!G13639-Sens!G13638*Sens!G13651</f>
        <v>16.5202976798683</v>
      </c>
      <c r="H13652" s="6" t="n">
        <f aca="false">Sens!H13639-Sens!H13638*Sens!H13651</f>
        <v>12.9805278875331</v>
      </c>
      <c r="I13652" s="6" t="n">
        <f aca="false">Sens!I13639-Sens!I13638*Sens!I13651</f>
        <v>16.2363335770989</v>
      </c>
      <c r="J13652" s="6" t="n">
        <f aca="false">Sens!J13639-Sens!J13638*Sens!J13651</f>
        <v>18.4432225839805</v>
      </c>
      <c r="K13652" s="6" t="n">
        <f aca="false">Sens!K13639-Sens!K13638*Sens!K13651</f>
        <v>20.1577566819661</v>
      </c>
    </row>
    <row r="13653" customFormat="false" ht="17.15" hidden="false" customHeight="false" outlineLevel="0" collapsed="false">
      <c r="A13653" s="3" t="s">
        <v>1821</v>
      </c>
    </row>
    <row r="13654" customFormat="false" ht="15" hidden="false" customHeight="false" outlineLevel="0" collapsed="false">
      <c r="A13654" s="4" t="s">
        <v>43</v>
      </c>
      <c r="B13654" s="4" t="s">
        <v>65</v>
      </c>
      <c r="C13654" s="23" t="s">
        <v>938</v>
      </c>
      <c r="D13654" s="23" t="s">
        <v>939</v>
      </c>
      <c r="E13654" s="23" t="s">
        <v>940</v>
      </c>
      <c r="F13654" s="23" t="s">
        <v>941</v>
      </c>
      <c r="G13654" s="23" t="s">
        <v>942</v>
      </c>
      <c r="H13654" s="23" t="s">
        <v>943</v>
      </c>
      <c r="I13654" s="23" t="s">
        <v>944</v>
      </c>
      <c r="J13654" s="23" t="s">
        <v>945</v>
      </c>
      <c r="K13654" s="23" t="s">
        <v>946</v>
      </c>
      <c r="L13654" s="4" t="s">
        <v>47</v>
      </c>
    </row>
    <row r="13655" customFormat="false" ht="17.15" hidden="false" customHeight="false" outlineLevel="0" collapsed="false">
      <c r="A13655" s="0" t="s">
        <v>1021</v>
      </c>
      <c r="B13655" s="0" t="s">
        <v>98</v>
      </c>
      <c r="D13655" s="6" t="n">
        <f aca="false">Sens!D13633</f>
        <v>12.9359794422418</v>
      </c>
      <c r="E13655" s="6" t="n">
        <f aca="false">Sens!E13633</f>
        <v>27.8095064661409</v>
      </c>
      <c r="F13655" s="6" t="n">
        <f aca="false">Sens!F13633</f>
        <v>50.9819294352312</v>
      </c>
      <c r="G13655" s="6" t="n">
        <f aca="false">Sens!G13633</f>
        <v>76.6920436014933</v>
      </c>
      <c r="H13655" s="6" t="n">
        <f aca="false">Sens!H13633</f>
        <v>97.4495379418341</v>
      </c>
      <c r="I13655" s="6" t="n">
        <f aca="false">Sens!I13633</f>
        <v>122.083445553868</v>
      </c>
      <c r="J13655" s="6" t="n">
        <f aca="false">Sens!J13633</f>
        <v>139.249060444804</v>
      </c>
      <c r="K13655" s="6" t="n">
        <f aca="false">Sens!K13633</f>
        <v>149.995818575589</v>
      </c>
    </row>
    <row r="13656" customFormat="false" ht="17.15" hidden="false" customHeight="false" outlineLevel="0" collapsed="false">
      <c r="A13656" s="0" t="s">
        <v>1022</v>
      </c>
      <c r="B13656" s="0" t="s">
        <v>98</v>
      </c>
      <c r="D13656" s="6" t="n">
        <f aca="false">Q!L6-Sens!D13655</f>
        <v>59.6740205577583</v>
      </c>
      <c r="E13656" s="6" t="n">
        <f aca="false">Q!M6-Sens!E13655</f>
        <v>74.1284935338591</v>
      </c>
      <c r="F13656" s="6" t="n">
        <f aca="false">Q!$I$6+(Sens!F13655+Sens!E13656*(1+Sens!F13657))*(1-Q!$E$6/Q!M6)-Sens!F13655</f>
        <v>92.2699541184664</v>
      </c>
      <c r="G13656" s="6" t="n">
        <f aca="false">Sens!F13656*(1+Sens!G13657)</f>
        <v>109.630477277949</v>
      </c>
      <c r="H13656" s="6" t="n">
        <f aca="false">Sens!G13656*(1+Sens!H13657)</f>
        <v>127.293256321956</v>
      </c>
      <c r="I13656" s="6" t="n">
        <f aca="false">Sens!H13656*(1+Sens!I13657)</f>
        <v>144.360052269491</v>
      </c>
      <c r="J13656" s="6" t="n">
        <f aca="false">Sens!I13656*(1+Sens!J13657)</f>
        <v>159.811964490216</v>
      </c>
      <c r="K13656" s="6" t="n">
        <f aca="false">Sens!J13656*(1+Sens!K13657)</f>
        <v>172.596921649434</v>
      </c>
      <c r="L13656" s="12" t="s">
        <v>1023</v>
      </c>
    </row>
    <row r="13657" customFormat="false" ht="15" hidden="false" customHeight="false" outlineLevel="0" collapsed="false">
      <c r="A13657" s="1" t="s">
        <v>1024</v>
      </c>
      <c r="B13657" s="0" t="s">
        <v>168</v>
      </c>
      <c r="E13657" s="7" t="n">
        <f aca="false">Sens!E13656/Sens!D13656-1</f>
        <v>0.242223883039864</v>
      </c>
      <c r="F13657" s="7" t="n">
        <f aca="false">Sens!$E$13657+(glt_azo-Sens!$E$13657)*MIN(1,(Sens!F13614-base_fy)/n_conv)</f>
        <v>0.215186569199887</v>
      </c>
      <c r="G13657" s="7" t="n">
        <f aca="false">Sens!$E$13657+(glt_azo-Sens!$E$13657)*MIN(1,(Sens!G13614-base_fy)/n_conv)</f>
        <v>0.18814925535991</v>
      </c>
      <c r="H13657" s="7" t="n">
        <f aca="false">Sens!$E$13657+(glt_azo-Sens!$E$13657)*MIN(1,(Sens!H13614-base_fy)/n_conv)</f>
        <v>0.161111941519932</v>
      </c>
      <c r="I13657" s="7" t="n">
        <f aca="false">Sens!$E$13657+(glt_azo-Sens!$E$13657)*MIN(1,(Sens!I13614-base_fy)/n_conv)</f>
        <v>0.134074627679955</v>
      </c>
      <c r="J13657" s="7" t="n">
        <f aca="false">Sens!$E$13657+(glt_azo-Sens!$E$13657)*MIN(1,(Sens!J13614-base_fy)/n_conv)</f>
        <v>0.107037313839977</v>
      </c>
      <c r="K13657" s="7" t="n">
        <f aca="false">Sens!$E$13657+(glt_azo-Sens!$E$13657)*MIN(1,(Sens!K13614-base_fy)/n_conv)</f>
        <v>0.08</v>
      </c>
    </row>
    <row r="13658" customFormat="false" ht="15" hidden="false" customHeight="false" outlineLevel="0" collapsed="false">
      <c r="A13658" s="0" t="s">
        <v>1025</v>
      </c>
      <c r="B13658" s="0" t="s">
        <v>98</v>
      </c>
      <c r="D13658" s="6" t="n">
        <f aca="false">Sens!D13655+Sens!D13656</f>
        <v>72.61</v>
      </c>
      <c r="E13658" s="6" t="n">
        <f aca="false">Sens!E13655+Sens!E13656</f>
        <v>101.938</v>
      </c>
      <c r="F13658" s="6" t="n">
        <f aca="false">Sens!F13655+Sens!F13656</f>
        <v>143.251883553698</v>
      </c>
      <c r="G13658" s="6" t="n">
        <f aca="false">Sens!G13655+Sens!G13656</f>
        <v>186.322520879442</v>
      </c>
      <c r="H13658" s="6" t="n">
        <f aca="false">Sens!H13655+Sens!H13656</f>
        <v>224.74279426379</v>
      </c>
      <c r="I13658" s="6" t="n">
        <f aca="false">Sens!I13655+Sens!I13656</f>
        <v>266.443497823359</v>
      </c>
      <c r="J13658" s="6" t="n">
        <f aca="false">Sens!J13655+Sens!J13656</f>
        <v>299.06102493502</v>
      </c>
      <c r="K13658" s="6" t="n">
        <f aca="false">Sens!K13655+Sens!K13656</f>
        <v>322.592740225023</v>
      </c>
    </row>
    <row r="13659" customFormat="false" ht="17.15" hidden="false" customHeight="false" outlineLevel="0" collapsed="false">
      <c r="A13659" s="0" t="s">
        <v>1026</v>
      </c>
      <c r="B13659" s="1" t="s">
        <v>610</v>
      </c>
      <c r="C13659" s="30" t="n">
        <f aca="false">cop_s24</f>
        <v>1</v>
      </c>
      <c r="D13659" s="30" t="n">
        <f aca="false">cop_s25</f>
        <v>5</v>
      </c>
      <c r="E13659" s="30" t="n">
        <f aca="false">cop_s26</f>
        <v>30</v>
      </c>
      <c r="F13659" s="30" t="n">
        <f aca="false">Sens!E13659+cop_add_C</f>
        <v>40</v>
      </c>
      <c r="G13659" s="30" t="n">
        <f aca="false">Sens!F13659+cop_add_C</f>
        <v>50</v>
      </c>
      <c r="H13659" s="30" t="n">
        <f aca="false">Sens!G13659+cop_add_C</f>
        <v>60</v>
      </c>
      <c r="I13659" s="30" t="n">
        <f aca="false">Sens!H13659+cop_add_C*cop_tail</f>
        <v>65</v>
      </c>
      <c r="J13659" s="30" t="n">
        <f aca="false">Sens!I13659+cop_add_C*cop_tail</f>
        <v>70</v>
      </c>
      <c r="K13659" s="30" t="n">
        <f aca="false">Sens!J13659+cop_add_C*cop_tail</f>
        <v>75</v>
      </c>
      <c r="L13659" s="12" t="s">
        <v>1027</v>
      </c>
    </row>
    <row r="13660" customFormat="false" ht="17.15" hidden="false" customHeight="false" outlineLevel="0" collapsed="false">
      <c r="A13660" s="0" t="s">
        <v>1028</v>
      </c>
      <c r="B13660" s="0" t="s">
        <v>98</v>
      </c>
      <c r="D13660" s="6" t="n">
        <f aca="false">(Sens!C13659+Sens!D13659)/2*cop_px*12/1000</f>
        <v>0.9</v>
      </c>
      <c r="E13660" s="6" t="n">
        <f aca="false">(Sens!D13659+Sens!E13659)/2*cop_px*12/1000</f>
        <v>5.25</v>
      </c>
      <c r="F13660" s="6" t="n">
        <f aca="false">(Sens!E13659+Sens!F13659)/2*cop_px*12/1000</f>
        <v>10.5</v>
      </c>
      <c r="G13660" s="6" t="n">
        <f aca="false">(Sens!F13659+Sens!G13659)/2*cop_px*12/1000</f>
        <v>13.5</v>
      </c>
      <c r="H13660" s="6" t="n">
        <f aca="false">(Sens!G13659+Sens!H13659)/2*cop_px*12/1000</f>
        <v>16.5</v>
      </c>
      <c r="I13660" s="6" t="n">
        <f aca="false">(Sens!H13659+Sens!I13659)/2*cop_px*12/1000</f>
        <v>18.75</v>
      </c>
      <c r="J13660" s="6" t="n">
        <f aca="false">(Sens!I13659+Sens!J13659)/2*cop_px*12/1000</f>
        <v>20.25</v>
      </c>
      <c r="K13660" s="6" t="n">
        <f aca="false">(Sens!J13659+Sens!K13659)/2*cop_px*12/1000</f>
        <v>21.75</v>
      </c>
      <c r="L13660" s="1" t="s">
        <v>1029</v>
      </c>
    </row>
    <row r="13661" customFormat="false" ht="17.15" hidden="false" customHeight="false" outlineLevel="0" collapsed="false">
      <c r="A13661" s="0" t="s">
        <v>1030</v>
      </c>
      <c r="B13661" s="0" t="s">
        <v>98</v>
      </c>
      <c r="D13661" s="6" t="n">
        <f aca="false">Q!L7-Sens!D13660</f>
        <v>83.705</v>
      </c>
      <c r="E13661" s="6" t="n">
        <f aca="false">Q!M7-Sens!E13660</f>
        <v>95.049</v>
      </c>
      <c r="F13661" s="6" t="n">
        <f aca="false">Q!$I$7+(Sens!E13661*(1+Sens!F13662)+Sens!F13660)*(1-Q!$E$7/Q!M7)-Sens!F13660</f>
        <v>106.938354189776</v>
      </c>
      <c r="G13661" s="6" t="n">
        <f aca="false">Sens!F13661*(1+Sens!G13662)</f>
        <v>119.095360443801</v>
      </c>
      <c r="H13661" s="6" t="n">
        <f aca="false">Sens!G13661*(1+Sens!H13662)</f>
        <v>131.333811964563</v>
      </c>
      <c r="I13661" s="6" t="n">
        <f aca="false">Sens!H13661*(1+Sens!I13662)</f>
        <v>143.395665319381</v>
      </c>
      <c r="J13661" s="6" t="n">
        <f aca="false">Sens!I13661*(1+Sens!J13662)</f>
        <v>154.999327755573</v>
      </c>
      <c r="K13661" s="6" t="n">
        <f aca="false">Sens!J13661*(1+Sens!K13662)</f>
        <v>165.849280698463</v>
      </c>
      <c r="L13661" s="12" t="s">
        <v>1031</v>
      </c>
    </row>
    <row r="13662" customFormat="false" ht="15" hidden="false" customHeight="false" outlineLevel="0" collapsed="false">
      <c r="A13662" s="1" t="s">
        <v>1024</v>
      </c>
      <c r="B13662" s="0" t="s">
        <v>168</v>
      </c>
      <c r="E13662" s="7" t="n">
        <f aca="false">Sens!E13661/Sens!D13661-1</f>
        <v>0.135523564900544</v>
      </c>
      <c r="F13662" s="7" t="n">
        <f aca="false">Sens!$E$13662+(glt_m365b-Sens!$E$13662)*MIN(1,(Sens!F13614-base_fy)/n_conv)</f>
        <v>0.124602970750453</v>
      </c>
      <c r="G13662" s="7" t="n">
        <f aca="false">Sens!$E$13662+(glt_m365b-Sens!$E$13662)*MIN(1,(Sens!G13614-base_fy)/n_conv)</f>
        <v>0.113682376600363</v>
      </c>
      <c r="H13662" s="7" t="n">
        <f aca="false">Sens!$E$13662+(glt_m365b-Sens!$E$13662)*MIN(1,(Sens!H13614-base_fy)/n_conv)</f>
        <v>0.102761782450272</v>
      </c>
      <c r="I13662" s="7" t="n">
        <f aca="false">Sens!$E$13662+(glt_m365b-Sens!$E$13662)*MIN(1,(Sens!I13614-base_fy)/n_conv)</f>
        <v>0.0918411883001813</v>
      </c>
      <c r="J13662" s="7" t="n">
        <f aca="false">Sens!$E$13662+(glt_m365b-Sens!$E$13662)*MIN(1,(Sens!J13614-base_fy)/n_conv)</f>
        <v>0.0809205941500906</v>
      </c>
      <c r="K13662" s="7" t="n">
        <f aca="false">Sens!$E$13662+(glt_m365b-Sens!$E$13662)*MIN(1,(Sens!K13614-base_fy)/n_conv)</f>
        <v>0.07</v>
      </c>
    </row>
    <row r="13663" customFormat="false" ht="15" hidden="false" customHeight="false" outlineLevel="0" collapsed="false">
      <c r="A13663" s="0" t="s">
        <v>1032</v>
      </c>
      <c r="B13663" s="0" t="s">
        <v>98</v>
      </c>
      <c r="D13663" s="6" t="n">
        <f aca="false">Sens!D13661+Sens!D13660</f>
        <v>84.605</v>
      </c>
      <c r="E13663" s="6" t="n">
        <f aca="false">Sens!E13661+Sens!E13660</f>
        <v>100.299</v>
      </c>
      <c r="F13663" s="6" t="n">
        <f aca="false">Sens!F13661+Sens!F13660</f>
        <v>117.438354189776</v>
      </c>
      <c r="G13663" s="6" t="n">
        <f aca="false">Sens!G13661+Sens!G13660</f>
        <v>132.595360443801</v>
      </c>
      <c r="H13663" s="6" t="n">
        <f aca="false">Sens!H13661+Sens!H13660</f>
        <v>147.833811964563</v>
      </c>
      <c r="I13663" s="6" t="n">
        <f aca="false">Sens!I13661+Sens!I13660</f>
        <v>162.145665319381</v>
      </c>
      <c r="J13663" s="6" t="n">
        <f aca="false">Sens!J13661+Sens!J13660</f>
        <v>175.249327755573</v>
      </c>
      <c r="K13663" s="6" t="n">
        <f aca="false">Sens!K13661+Sens!K13660</f>
        <v>187.599280698463</v>
      </c>
    </row>
    <row r="13664" customFormat="false" ht="17.15" hidden="false" customHeight="false" outlineLevel="0" collapsed="false">
      <c r="A13664" s="0" t="s">
        <v>1033</v>
      </c>
      <c r="B13664" s="0" t="s">
        <v>98</v>
      </c>
      <c r="D13664" s="6" t="n">
        <f aca="false">Q!L8</f>
        <v>35.391</v>
      </c>
      <c r="E13664" s="6" t="n">
        <f aca="false">Q!M8</f>
        <v>37.285</v>
      </c>
      <c r="F13664" s="6" t="n">
        <f aca="false">Q!$I$8+(Q!M8-Q!$E$8)*(1+Sens!F13665)</f>
        <v>38.3851437782675</v>
      </c>
      <c r="G13664" s="6" t="n">
        <f aca="false">Sens!F13664*(1+Sens!G13665)</f>
        <v>40.0105353288615</v>
      </c>
      <c r="H13664" s="6" t="n">
        <f aca="false">Sens!G13664*(1+Sens!H13665)</f>
        <v>41.4812512033683</v>
      </c>
      <c r="I13664" s="6" t="n">
        <f aca="false">Sens!H13664*(1+Sens!I13665)</f>
        <v>42.7743107216329</v>
      </c>
      <c r="J13664" s="6" t="n">
        <f aca="false">Sens!I13664*(1+Sens!J13665)</f>
        <v>43.8687373064601</v>
      </c>
      <c r="K13664" s="6" t="n">
        <f aca="false">Sens!J13664*(1+Sens!K13665)</f>
        <v>44.7461120525893</v>
      </c>
      <c r="L13664" s="12" t="s">
        <v>1034</v>
      </c>
    </row>
    <row r="13665" customFormat="false" ht="15" hidden="false" customHeight="false" outlineLevel="0" collapsed="false">
      <c r="A13665" s="1" t="s">
        <v>1024</v>
      </c>
      <c r="B13665" s="0" t="s">
        <v>168</v>
      </c>
      <c r="E13665" s="7" t="n">
        <f aca="false">Sens!E13664/Sens!D13664-1</f>
        <v>0.0535164307309768</v>
      </c>
      <c r="F13665" s="7" t="n">
        <f aca="false">Sens!$E$13665+(glt_lic-Sens!$E$13665)*MIN(1,(Sens!F13614-base_fy)/n_conv)</f>
        <v>0.0479303589424807</v>
      </c>
      <c r="G13665" s="7" t="n">
        <f aca="false">Sens!$E$13665+(glt_lic-Sens!$E$13665)*MIN(1,(Sens!G13614-base_fy)/n_conv)</f>
        <v>0.0423442871539845</v>
      </c>
      <c r="H13665" s="7" t="n">
        <f aca="false">Sens!$E$13665+(glt_lic-Sens!$E$13665)*MIN(1,(Sens!H13614-base_fy)/n_conv)</f>
        <v>0.0367582153654884</v>
      </c>
      <c r="I13665" s="7" t="n">
        <f aca="false">Sens!$E$13665+(glt_lic-Sens!$E$13665)*MIN(1,(Sens!I13614-base_fy)/n_conv)</f>
        <v>0.0311721435769923</v>
      </c>
      <c r="J13665" s="7" t="n">
        <f aca="false">Sens!$E$13665+(glt_lic-Sens!$E$13665)*MIN(1,(Sens!J13614-base_fy)/n_conv)</f>
        <v>0.0255860717884961</v>
      </c>
      <c r="K13665" s="7" t="n">
        <f aca="false">Sens!$E$13665+(glt_lic-Sens!$E$13665)*MIN(1,(Sens!K13614-base_fy)/n_conv)</f>
        <v>0.02</v>
      </c>
    </row>
    <row r="13666" customFormat="false" ht="17.15" hidden="false" customHeight="false" outlineLevel="0" collapsed="false">
      <c r="A13666" s="0" t="s">
        <v>1035</v>
      </c>
      <c r="B13666" s="0" t="s">
        <v>98</v>
      </c>
      <c r="D13666" s="6" t="n">
        <f aca="false">Q!L9</f>
        <v>18.417</v>
      </c>
      <c r="E13666" s="6" t="n">
        <f aca="false">Q!M9</f>
        <v>20.345</v>
      </c>
      <c r="F13666" s="6" t="n">
        <f aca="false">Q!$I$9+(Q!M9-Q!$E$9)*(1+Sens!F13667)</f>
        <v>22.3161797133988</v>
      </c>
      <c r="G13666" s="6" t="n">
        <f aca="false">Sens!F13666*(1+Sens!G13667)</f>
        <v>24.3943499673233</v>
      </c>
      <c r="H13666" s="6" t="n">
        <f aca="false">Sens!G13666*(1+Sens!H13667)</f>
        <v>26.5250243109019</v>
      </c>
      <c r="I13666" s="6" t="n">
        <f aca="false">Sens!H13666*(1+Sens!I13667)</f>
        <v>28.6884573538181</v>
      </c>
      <c r="J13666" s="6" t="n">
        <f aca="false">Sens!I13666*(1+Sens!J13667)</f>
        <v>30.8624968052127</v>
      </c>
      <c r="K13666" s="6" t="n">
        <f aca="false">Sens!J13666*(1+Sens!K13667)</f>
        <v>33.0228715815776</v>
      </c>
      <c r="L13666" s="12" t="s">
        <v>1034</v>
      </c>
    </row>
    <row r="13667" customFormat="false" ht="15" hidden="false" customHeight="false" outlineLevel="0" collapsed="false">
      <c r="A13667" s="1" t="s">
        <v>1024</v>
      </c>
      <c r="B13667" s="0" t="s">
        <v>168</v>
      </c>
      <c r="E13667" s="7" t="n">
        <f aca="false">Sens!E13666/Sens!D13666-1</f>
        <v>0.104685888038225</v>
      </c>
      <c r="F13667" s="7" t="n">
        <f aca="false">Sens!$E$13667+(glt_ind-Sens!$E$13667)*MIN(1,(Sens!F13614-base_fy)/n_conv)</f>
        <v>0.0989049066985211</v>
      </c>
      <c r="G13667" s="7" t="n">
        <f aca="false">Sens!$E$13667+(glt_ind-Sens!$E$13667)*MIN(1,(Sens!G13614-base_fy)/n_conv)</f>
        <v>0.0931239253588169</v>
      </c>
      <c r="H13667" s="7" t="n">
        <f aca="false">Sens!$E$13667+(glt_ind-Sens!$E$13667)*MIN(1,(Sens!H13614-base_fy)/n_conv)</f>
        <v>0.0873429440191127</v>
      </c>
      <c r="I13667" s="7" t="n">
        <f aca="false">Sens!$E$13667+(glt_ind-Sens!$E$13667)*MIN(1,(Sens!I13614-base_fy)/n_conv)</f>
        <v>0.0815619626794085</v>
      </c>
      <c r="J13667" s="7" t="n">
        <f aca="false">Sens!$E$13667+(glt_ind-Sens!$E$13667)*MIN(1,(Sens!J13614-base_fy)/n_conv)</f>
        <v>0.0757809813397042</v>
      </c>
      <c r="K13667" s="7" t="n">
        <f aca="false">Sens!$E$13667+(glt_ind-Sens!$E$13667)*MIN(1,(Sens!K13614-base_fy)/n_conv)</f>
        <v>0.07</v>
      </c>
    </row>
    <row r="13668" customFormat="false" ht="17.15" hidden="false" customHeight="false" outlineLevel="0" collapsed="false">
      <c r="A13668" s="0" t="s">
        <v>1036</v>
      </c>
      <c r="B13668" s="0" t="s">
        <v>98</v>
      </c>
      <c r="D13668" s="6" t="n">
        <f aca="false">Q!L10</f>
        <v>7.76</v>
      </c>
      <c r="E13668" s="6" t="n">
        <f aca="false">Q!M10</f>
        <v>8.26</v>
      </c>
      <c r="F13668" s="6" t="n">
        <f aca="false">Q!$I$10+(Q!M10-Q!$E$10)*(1+Sens!F13669)</f>
        <v>8.75372082474227</v>
      </c>
      <c r="G13668" s="6" t="n">
        <f aca="false">Sens!F13668*(1+Sens!G13669)</f>
        <v>9.33399324642364</v>
      </c>
      <c r="H13668" s="6" t="n">
        <f aca="false">Sens!G13668*(1+Sens!H13669)</f>
        <v>9.96139155535851</v>
      </c>
      <c r="I13668" s="6" t="n">
        <f aca="false">Sens!H13668*(1+Sens!I13669)</f>
        <v>10.6402039077391</v>
      </c>
      <c r="J13668" s="6" t="n">
        <f aca="false">Sens!I13668*(1+Sens!J13669)</f>
        <v>11.3751458271397</v>
      </c>
      <c r="K13668" s="6" t="n">
        <f aca="false">Sens!J13668*(1+Sens!K13669)</f>
        <v>12.1714060350394</v>
      </c>
      <c r="L13668" s="12" t="s">
        <v>1034</v>
      </c>
    </row>
    <row r="13669" customFormat="false" ht="15" hidden="false" customHeight="false" outlineLevel="0" collapsed="false">
      <c r="A13669" s="1" t="s">
        <v>1024</v>
      </c>
      <c r="B13669" s="0" t="s">
        <v>168</v>
      </c>
      <c r="E13669" s="7" t="n">
        <f aca="false">Sens!E13668/Sens!D13668-1</f>
        <v>0.0644329896907216</v>
      </c>
      <c r="F13669" s="7" t="n">
        <f aca="false">Sens!$E$13669+(glt_fro-Sens!$E$13669)*MIN(1,(Sens!F13614-base_fy)/n_conv)</f>
        <v>0.065360824742268</v>
      </c>
      <c r="G13669" s="7" t="n">
        <f aca="false">Sens!$E$13669+(glt_fro-Sens!$E$13669)*MIN(1,(Sens!G13614-base_fy)/n_conv)</f>
        <v>0.0662886597938144</v>
      </c>
      <c r="H13669" s="7" t="n">
        <f aca="false">Sens!$E$13669+(glt_fro-Sens!$E$13669)*MIN(1,(Sens!H13614-base_fy)/n_conv)</f>
        <v>0.0672164948453608</v>
      </c>
      <c r="I13669" s="7" t="n">
        <f aca="false">Sens!$E$13669+(glt_fro-Sens!$E$13669)*MIN(1,(Sens!I13614-base_fy)/n_conv)</f>
        <v>0.0681443298969072</v>
      </c>
      <c r="J13669" s="7" t="n">
        <f aca="false">Sens!$E$13669+(glt_fro-Sens!$E$13669)*MIN(1,(Sens!J13614-base_fy)/n_conv)</f>
        <v>0.0690721649484536</v>
      </c>
      <c r="K13669" s="7" t="n">
        <f aca="false">Sens!$E$13669+(glt_fro-Sens!$E$13669)*MIN(1,(Sens!K13614-base_fy)/n_conv)</f>
        <v>0.07</v>
      </c>
    </row>
    <row r="13670" customFormat="false" ht="15" hidden="false" customHeight="false" outlineLevel="0" collapsed="false">
      <c r="A13670" s="0" t="s">
        <v>852</v>
      </c>
      <c r="B13670" s="0" t="s">
        <v>98</v>
      </c>
      <c r="D13670" s="6" t="n">
        <f aca="false">Sens!D13658+Sens!D13663+Sens!D13664+Sens!D13666+Sens!D13668</f>
        <v>218.783</v>
      </c>
      <c r="E13670" s="6" t="n">
        <f aca="false">Sens!E13658+Sens!E13663+Sens!E13664+Sens!E13666+Sens!E13668</f>
        <v>268.127</v>
      </c>
      <c r="F13670" s="6" t="n">
        <f aca="false">Sens!F13658+Sens!F13663+Sens!F13664+Sens!F13666+Sens!F13668</f>
        <v>330.145282059882</v>
      </c>
      <c r="G13670" s="6" t="n">
        <f aca="false">Sens!G13658+Sens!G13663+Sens!G13664+Sens!G13666+Sens!G13668</f>
        <v>392.656759865851</v>
      </c>
      <c r="H13670" s="6" t="n">
        <f aca="false">Sens!H13658+Sens!H13663+Sens!H13664+Sens!H13666+Sens!H13668</f>
        <v>450.544273297982</v>
      </c>
      <c r="I13670" s="6" t="n">
        <f aca="false">Sens!I13658+Sens!I13663+Sens!I13664+Sens!I13666+Sens!I13668</f>
        <v>510.69213512593</v>
      </c>
      <c r="J13670" s="6" t="n">
        <f aca="false">Sens!J13658+Sens!J13663+Sens!J13664+Sens!J13666+Sens!J13668</f>
        <v>560.416732629406</v>
      </c>
      <c r="K13670" s="6" t="n">
        <f aca="false">Sens!K13658+Sens!K13663+Sens!K13664+Sens!K13666+Sens!K13668</f>
        <v>600.132410592692</v>
      </c>
    </row>
    <row r="13671" customFormat="false" ht="17.15" hidden="false" customHeight="false" outlineLevel="0" collapsed="false">
      <c r="A13671" s="0" t="s">
        <v>1037</v>
      </c>
      <c r="B13671" s="0" t="s">
        <v>98</v>
      </c>
      <c r="D13671" s="6" t="n">
        <f aca="false">Q!L13</f>
        <v>22.171</v>
      </c>
      <c r="E13671" s="6" t="n">
        <f aca="false">Q!M13</f>
        <v>24.835</v>
      </c>
      <c r="F13671" s="6" t="n">
        <f aca="false">Q!$I$13+(Q!M13-Q!$E$13)*(1+Sens!F13672)</f>
        <v>27.5591895660247</v>
      </c>
      <c r="G13671" s="6" t="n">
        <f aca="false">Sens!F13671*(1+Sens!G13672)</f>
        <v>30.4098563144583</v>
      </c>
      <c r="H13671" s="6" t="n">
        <f aca="false">Sens!G13671*(1+Sens!H13672)</f>
        <v>33.3011792571777</v>
      </c>
      <c r="I13671" s="6" t="n">
        <f aca="false">Sens!H13671*(1+Sens!I13672)</f>
        <v>36.189023797112</v>
      </c>
      <c r="J13671" s="6" t="n">
        <f aca="false">Sens!I13671*(1+Sens!J13672)</f>
        <v>39.0247773769199</v>
      </c>
      <c r="K13671" s="6" t="n">
        <f aca="false">Sens!J13671*(1+Sens!K13672)</f>
        <v>41.7565117933043</v>
      </c>
      <c r="L13671" s="12" t="s">
        <v>1034</v>
      </c>
    </row>
    <row r="13672" customFormat="false" ht="15" hidden="false" customHeight="false" outlineLevel="0" collapsed="false">
      <c r="A13672" s="1" t="s">
        <v>1024</v>
      </c>
      <c r="B13672" s="0" t="s">
        <v>168</v>
      </c>
      <c r="E13672" s="7" t="n">
        <f aca="false">Sens!E13671/Sens!D13671-1</f>
        <v>0.120156961796942</v>
      </c>
      <c r="F13672" s="7" t="n">
        <f aca="false">Sens!$E$13672+(glt_srch-Sens!$E$13672)*MIN(1,(Sens!F13614-base_fy)/n_conv)</f>
        <v>0.111797468164118</v>
      </c>
      <c r="G13672" s="7" t="n">
        <f aca="false">Sens!$E$13672+(glt_srch-Sens!$E$13672)*MIN(1,(Sens!G13614-base_fy)/n_conv)</f>
        <v>0.103437974531295</v>
      </c>
      <c r="H13672" s="7" t="n">
        <f aca="false">Sens!$E$13672+(glt_srch-Sens!$E$13672)*MIN(1,(Sens!H13614-base_fy)/n_conv)</f>
        <v>0.095078480898471</v>
      </c>
      <c r="I13672" s="7" t="n">
        <f aca="false">Sens!$E$13672+(glt_srch-Sens!$E$13672)*MIN(1,(Sens!I13614-base_fy)/n_conv)</f>
        <v>0.0867189872656474</v>
      </c>
      <c r="J13672" s="7" t="n">
        <f aca="false">Sens!$E$13672+(glt_srch-Sens!$E$13672)*MIN(1,(Sens!J13614-base_fy)/n_conv)</f>
        <v>0.0783594936328237</v>
      </c>
      <c r="K13672" s="7" t="n">
        <f aca="false">Sens!$E$13672+(glt_srch-Sens!$E$13672)*MIN(1,(Sens!K13614-base_fy)/n_conv)</f>
        <v>0.07</v>
      </c>
    </row>
    <row r="13673" customFormat="false" ht="17.15" hidden="false" customHeight="false" outlineLevel="0" collapsed="false">
      <c r="A13673" s="0" t="s">
        <v>1038</v>
      </c>
      <c r="B13673" s="0" t="s">
        <v>98</v>
      </c>
      <c r="D13673" s="6" t="n">
        <f aca="false">Q!L14</f>
        <v>23.455</v>
      </c>
      <c r="E13673" s="6" t="n">
        <f aca="false">Q!M14</f>
        <v>21.79</v>
      </c>
      <c r="F13673" s="6" t="n">
        <f aca="false">Q!$I$14+(Q!M14-Q!$E$14)*(1+Sens!F13674)</f>
        <v>20.7520981041711</v>
      </c>
      <c r="G13673" s="6" t="n">
        <f aca="false">Sens!F13673*(1+Sens!G13674)</f>
        <v>19.9083593495882</v>
      </c>
      <c r="H13673" s="6" t="n">
        <f aca="false">Sens!G13673*(1+Sens!H13674)</f>
        <v>19.4008256265831</v>
      </c>
      <c r="I13673" s="6" t="n">
        <f aca="false">Sens!H13673*(1+Sens!I13674)</f>
        <v>19.200434522122</v>
      </c>
      <c r="J13673" s="6" t="n">
        <f aca="false">Sens!I13673*(1+Sens!J13674)</f>
        <v>19.2932782348507</v>
      </c>
      <c r="K13673" s="6" t="n">
        <f aca="false">Sens!J13673*(1+Sens!K13674)</f>
        <v>19.6791437995477</v>
      </c>
      <c r="L13673" s="12" t="s">
        <v>1034</v>
      </c>
    </row>
    <row r="13674" customFormat="false" ht="15" hidden="false" customHeight="false" outlineLevel="0" collapsed="false">
      <c r="A13674" s="1" t="s">
        <v>1024</v>
      </c>
      <c r="B13674" s="0" t="s">
        <v>168</v>
      </c>
      <c r="E13674" s="7" t="n">
        <f aca="false">Sens!E13673/Sens!D13673-1</f>
        <v>-0.0709869963760392</v>
      </c>
      <c r="F13674" s="7" t="n">
        <f aca="false">Sens!$E$13674+(glt_xbox-Sens!$E$13674)*MIN(1,(Sens!F13614-base_fy)/n_conv)</f>
        <v>-0.0558224969800327</v>
      </c>
      <c r="G13674" s="7" t="n">
        <f aca="false">Sens!$E$13674+(glt_xbox-Sens!$E$13674)*MIN(1,(Sens!G13614-base_fy)/n_conv)</f>
        <v>-0.0406579975840262</v>
      </c>
      <c r="H13674" s="7" t="n">
        <f aca="false">Sens!$E$13674+(glt_xbox-Sens!$E$13674)*MIN(1,(Sens!H13614-base_fy)/n_conv)</f>
        <v>-0.0254934981880196</v>
      </c>
      <c r="I13674" s="7" t="n">
        <f aca="false">Sens!$E$13674+(glt_xbox-Sens!$E$13674)*MIN(1,(Sens!I13614-base_fy)/n_conv)</f>
        <v>-0.0103289987920131</v>
      </c>
      <c r="J13674" s="7" t="n">
        <f aca="false">Sens!$E$13674+(glt_xbox-Sens!$E$13674)*MIN(1,(Sens!J13614-base_fy)/n_conv)</f>
        <v>0.00483550060399347</v>
      </c>
      <c r="K13674" s="7" t="n">
        <f aca="false">Sens!$E$13674+(glt_xbox-Sens!$E$13674)*MIN(1,(Sens!K13614-base_fy)/n_conv)</f>
        <v>0.02</v>
      </c>
    </row>
    <row r="13675" customFormat="false" ht="17.15" hidden="false" customHeight="false" outlineLevel="0" collapsed="false">
      <c r="A13675" s="0" t="s">
        <v>1039</v>
      </c>
      <c r="B13675" s="0" t="s">
        <v>98</v>
      </c>
      <c r="D13675" s="6" t="n">
        <f aca="false">Q!L15</f>
        <v>17.315</v>
      </c>
      <c r="E13675" s="6" t="n">
        <f aca="false">Q!M15</f>
        <v>17.087</v>
      </c>
      <c r="F13675" s="6" t="n">
        <f aca="false">Q!$I$15+(Q!M15-Q!$E$15)*(1+Sens!F13676)</f>
        <v>15.9912273250553</v>
      </c>
      <c r="G13675" s="6" t="n">
        <f aca="false">Sens!F13675*(1+Sens!G13676)</f>
        <v>15.9574562664827</v>
      </c>
      <c r="H13675" s="6" t="n">
        <f aca="false">Sens!G13675*(1+Sens!H13676)</f>
        <v>16.0119687434196</v>
      </c>
      <c r="I13675" s="6" t="n">
        <f aca="false">Sens!H13675*(1+Sens!I13676)</f>
        <v>16.1551810001948</v>
      </c>
      <c r="J13675" s="6" t="n">
        <f aca="false">Sens!I13675*(1+Sens!J13676)</f>
        <v>16.3889793892005</v>
      </c>
      <c r="K13675" s="6" t="n">
        <f aca="false">Sens!J13675*(1+Sens!K13676)</f>
        <v>16.7167589769845</v>
      </c>
      <c r="L13675" s="12" t="s">
        <v>1034</v>
      </c>
    </row>
    <row r="13676" customFormat="false" ht="15" hidden="false" customHeight="false" outlineLevel="0" collapsed="false">
      <c r="A13676" s="1" t="s">
        <v>1024</v>
      </c>
      <c r="B13676" s="0" t="s">
        <v>168</v>
      </c>
      <c r="E13676" s="7" t="n">
        <f aca="false">Sens!E13675/Sens!D13675-1</f>
        <v>-0.0131677736066995</v>
      </c>
      <c r="F13676" s="7" t="n">
        <f aca="false">Sens!$E$13676+(glt_win-Sens!$E$13676)*MIN(1,(Sens!F13614-base_fy)/n_conv)</f>
        <v>-0.00763981133891627</v>
      </c>
      <c r="G13676" s="7" t="n">
        <f aca="false">Sens!$E$13676+(glt_win-Sens!$E$13676)*MIN(1,(Sens!G13614-base_fy)/n_conv)</f>
        <v>-0.00211184907113301</v>
      </c>
      <c r="H13676" s="7" t="n">
        <f aca="false">Sens!$E$13676+(glt_win-Sens!$E$13676)*MIN(1,(Sens!H13614-base_fy)/n_conv)</f>
        <v>0.00341611319665024</v>
      </c>
      <c r="I13676" s="7" t="n">
        <f aca="false">Sens!$E$13676+(glt_win-Sens!$E$13676)*MIN(1,(Sens!I13614-base_fy)/n_conv)</f>
        <v>0.00894407546443349</v>
      </c>
      <c r="J13676" s="7" t="n">
        <f aca="false">Sens!$E$13676+(glt_win-Sens!$E$13676)*MIN(1,(Sens!J13614-base_fy)/n_conv)</f>
        <v>0.0144720377322168</v>
      </c>
      <c r="K13676" s="7" t="n">
        <f aca="false">Sens!$E$13676+(glt_win-Sens!$E$13676)*MIN(1,(Sens!K13614-base_fy)/n_conv)</f>
        <v>0.02</v>
      </c>
    </row>
    <row r="13677" customFormat="false" ht="15" hidden="false" customHeight="false" outlineLevel="0" collapsed="false">
      <c r="A13677" s="0" t="s">
        <v>866</v>
      </c>
      <c r="B13677" s="0" t="s">
        <v>98</v>
      </c>
      <c r="D13677" s="6" t="n">
        <f aca="false">Sens!D13671+Sens!D13673+Sens!D13675</f>
        <v>62.941</v>
      </c>
      <c r="E13677" s="6" t="n">
        <f aca="false">Sens!E13671+Sens!E13673+Sens!E13675</f>
        <v>63.712</v>
      </c>
      <c r="F13677" s="6" t="n">
        <f aca="false">Sens!F13671+Sens!F13673+Sens!F13675</f>
        <v>64.3025149952511</v>
      </c>
      <c r="G13677" s="6" t="n">
        <f aca="false">Sens!G13671+Sens!G13673+Sens!G13675</f>
        <v>66.2756719305292</v>
      </c>
      <c r="H13677" s="6" t="n">
        <f aca="false">Sens!H13671+Sens!H13673+Sens!H13675</f>
        <v>68.7139736271804</v>
      </c>
      <c r="I13677" s="6" t="n">
        <f aca="false">Sens!I13671+Sens!I13673+Sens!I13675</f>
        <v>71.5446393194289</v>
      </c>
      <c r="J13677" s="6" t="n">
        <f aca="false">Sens!J13671+Sens!J13673+Sens!J13675</f>
        <v>74.707035000971</v>
      </c>
      <c r="K13677" s="6" t="n">
        <f aca="false">Sens!K13671+Sens!K13673+Sens!K13675</f>
        <v>78.1524145698365</v>
      </c>
    </row>
    <row r="13678" customFormat="false" ht="15" hidden="false" customHeight="false" outlineLevel="0" collapsed="false">
      <c r="A13678" s="1" t="s">
        <v>1040</v>
      </c>
      <c r="B13678" s="0" t="s">
        <v>98</v>
      </c>
      <c r="D13678" s="6" t="n">
        <f aca="false">Sens!D13670+Sens!D13677</f>
        <v>281.724</v>
      </c>
      <c r="E13678" s="6" t="n">
        <f aca="false">Sens!E13670+Sens!E13677</f>
        <v>331.839</v>
      </c>
      <c r="F13678" s="6" t="n">
        <f aca="false">Sens!F13670+Sens!F13677</f>
        <v>394.447797055133</v>
      </c>
      <c r="G13678" s="6" t="n">
        <f aca="false">Sens!G13670+Sens!G13677</f>
        <v>458.93243179638</v>
      </c>
      <c r="H13678" s="6" t="n">
        <f aca="false">Sens!H13670+Sens!H13677</f>
        <v>519.258246925162</v>
      </c>
      <c r="I13678" s="6" t="n">
        <f aca="false">Sens!I13670+Sens!I13677</f>
        <v>582.236774445359</v>
      </c>
      <c r="J13678" s="6" t="n">
        <f aca="false">Sens!J13670+Sens!J13677</f>
        <v>635.123767630377</v>
      </c>
      <c r="K13678" s="6" t="n">
        <f aca="false">Sens!K13670+Sens!K13677</f>
        <v>678.284825162529</v>
      </c>
    </row>
    <row r="13679" customFormat="false" ht="15" hidden="false" customHeight="false" outlineLevel="0" collapsed="false">
      <c r="A13679" s="26" t="s">
        <v>1041</v>
      </c>
      <c r="B13679" s="31" t="s">
        <v>98</v>
      </c>
      <c r="C13679" s="31"/>
      <c r="D13679" s="27" t="n">
        <f aca="false">(Sens!D13658+Sens!D13663+Sens!D13664+Sens!D13666+Sens!D13668-Sens!D13670)+(Sens!D13671+Sens!D13673+Sens!D13675-Sens!D13677)+(Sens!D13670-Q!L5)+(Sens!D13677-Q!L12)+(Sens!D13658-Q!L6)+(Sens!D13663-Q!L7)</f>
        <v>0</v>
      </c>
      <c r="E13679" s="27" t="n">
        <f aca="false">(Sens!E13658+Sens!E13663+Sens!E13664+Sens!E13666+Sens!E13668-Sens!E13670)+(Sens!E13671+Sens!E13673+Sens!E13675-Sens!E13677)+(Sens!E13670-Q!M5)+(Sens!E13677-Q!M12)+(Sens!E13658-Q!M6)+(Sens!E13663-Q!M7)</f>
        <v>0</v>
      </c>
      <c r="F13679" s="27" t="n">
        <f aca="false">(Sens!F13658+Sens!F13663+Sens!F13664+Sens!F13666+Sens!F13668-Sens!F13670)+(Sens!F13671+Sens!F13673+Sens!F13675-Sens!F13677)</f>
        <v>0</v>
      </c>
      <c r="G13679" s="27" t="n">
        <f aca="false">(Sens!G13658+Sens!G13663+Sens!G13664+Sens!G13666+Sens!G13668-Sens!G13670)+(Sens!G13671+Sens!G13673+Sens!G13675-Sens!G13677)</f>
        <v>0</v>
      </c>
      <c r="H13679" s="27" t="n">
        <f aca="false">(Sens!H13658+Sens!H13663+Sens!H13664+Sens!H13666+Sens!H13668-Sens!H13670)+(Sens!H13671+Sens!H13673+Sens!H13675-Sens!H13677)</f>
        <v>0</v>
      </c>
      <c r="I13679" s="27" t="n">
        <f aca="false">(Sens!I13658+Sens!I13663+Sens!I13664+Sens!I13666+Sens!I13668-Sens!I13670)+(Sens!I13671+Sens!I13673+Sens!I13675-Sens!I13677)</f>
        <v>0</v>
      </c>
      <c r="J13679" s="27" t="n">
        <f aca="false">(Sens!J13658+Sens!J13663+Sens!J13664+Sens!J13666+Sens!J13668-Sens!J13670)+(Sens!J13671+Sens!J13673+Sens!J13675-Sens!J13677)</f>
        <v>0</v>
      </c>
      <c r="K13679" s="27" t="n">
        <f aca="false">(Sens!K13658+Sens!K13663+Sens!K13664+Sens!K13666+Sens!K13668-Sens!K13670)+(Sens!K13671+Sens!K13673+Sens!K13675-Sens!K13677)</f>
        <v>0</v>
      </c>
    </row>
    <row r="13680" customFormat="false" ht="17.15" hidden="false" customHeight="false" outlineLevel="0" collapsed="false">
      <c r="A13680" s="3" t="s">
        <v>1822</v>
      </c>
    </row>
    <row r="13681" customFormat="false" ht="15" hidden="false" customHeight="false" outlineLevel="0" collapsed="false">
      <c r="A13681" s="4" t="s">
        <v>43</v>
      </c>
      <c r="B13681" s="4" t="s">
        <v>65</v>
      </c>
      <c r="C13681" s="23" t="s">
        <v>938</v>
      </c>
      <c r="D13681" s="23" t="s">
        <v>939</v>
      </c>
      <c r="E13681" s="23" t="s">
        <v>940</v>
      </c>
      <c r="F13681" s="23" t="s">
        <v>941</v>
      </c>
      <c r="G13681" s="23" t="s">
        <v>942</v>
      </c>
      <c r="H13681" s="23" t="s">
        <v>943</v>
      </c>
      <c r="I13681" s="23" t="s">
        <v>944</v>
      </c>
      <c r="J13681" s="23" t="s">
        <v>945</v>
      </c>
      <c r="K13681" s="23" t="s">
        <v>946</v>
      </c>
      <c r="L13681" s="4" t="s">
        <v>47</v>
      </c>
    </row>
    <row r="13682" customFormat="false" ht="15" hidden="false" customHeight="false" outlineLevel="0" collapsed="false">
      <c r="A13682" s="0" t="s">
        <v>1025</v>
      </c>
      <c r="B13682" s="0" t="s">
        <v>98</v>
      </c>
      <c r="D13682" s="6" t="n">
        <f aca="false">Sens!D13658</f>
        <v>72.61</v>
      </c>
      <c r="E13682" s="6" t="n">
        <f aca="false">Sens!E13658</f>
        <v>101.938</v>
      </c>
      <c r="F13682" s="6" t="n">
        <f aca="false">Sens!F13658</f>
        <v>143.251883553698</v>
      </c>
      <c r="G13682" s="6" t="n">
        <f aca="false">Sens!G13658</f>
        <v>186.322520879442</v>
      </c>
      <c r="H13682" s="6" t="n">
        <f aca="false">Sens!H13658</f>
        <v>224.74279426379</v>
      </c>
      <c r="I13682" s="6" t="n">
        <f aca="false">Sens!I13658</f>
        <v>266.443497823359</v>
      </c>
      <c r="J13682" s="6" t="n">
        <f aca="false">Sens!J13658</f>
        <v>299.06102493502</v>
      </c>
      <c r="K13682" s="6" t="n">
        <f aca="false">Sens!K13658</f>
        <v>322.592740225023</v>
      </c>
    </row>
    <row r="13683" customFormat="false" ht="17.15" hidden="false" customHeight="false" outlineLevel="0" collapsed="false">
      <c r="A13683" s="0" t="s">
        <v>1021</v>
      </c>
      <c r="B13683" s="0" t="s">
        <v>98</v>
      </c>
      <c r="D13683" s="6" t="n">
        <f aca="false">Sens!D13655</f>
        <v>12.9359794422418</v>
      </c>
      <c r="E13683" s="6" t="n">
        <f aca="false">Sens!E13655</f>
        <v>27.8095064661409</v>
      </c>
      <c r="F13683" s="6" t="n">
        <f aca="false">Sens!F13655</f>
        <v>50.9819294352312</v>
      </c>
      <c r="G13683" s="6" t="n">
        <f aca="false">Sens!G13655</f>
        <v>76.6920436014933</v>
      </c>
      <c r="H13683" s="6" t="n">
        <f aca="false">Sens!H13655</f>
        <v>97.4495379418341</v>
      </c>
      <c r="I13683" s="6" t="n">
        <f aca="false">Sens!I13655</f>
        <v>122.083445553868</v>
      </c>
      <c r="J13683" s="6" t="n">
        <f aca="false">Sens!J13655</f>
        <v>139.249060444804</v>
      </c>
      <c r="K13683" s="6" t="n">
        <f aca="false">Sens!K13655</f>
        <v>149.995818575589</v>
      </c>
    </row>
    <row r="13684" customFormat="false" ht="17.15" hidden="false" customHeight="false" outlineLevel="0" collapsed="false">
      <c r="A13684" s="0" t="s">
        <v>1052</v>
      </c>
      <c r="B13684" s="0" t="s">
        <v>98</v>
      </c>
      <c r="D13684" s="6" t="n">
        <f aca="false">Sens!D13656</f>
        <v>59.6740205577583</v>
      </c>
      <c r="E13684" s="6" t="n">
        <f aca="false">Sens!E13656</f>
        <v>74.1284935338591</v>
      </c>
      <c r="F13684" s="6" t="n">
        <f aca="false">Sens!F13656</f>
        <v>92.2699541184664</v>
      </c>
      <c r="G13684" s="6" t="n">
        <f aca="false">Sens!G13656</f>
        <v>109.630477277949</v>
      </c>
      <c r="H13684" s="6" t="n">
        <f aca="false">Sens!H13656</f>
        <v>127.293256321956</v>
      </c>
      <c r="I13684" s="6" t="n">
        <f aca="false">Sens!I13656</f>
        <v>144.360052269491</v>
      </c>
      <c r="J13684" s="6" t="n">
        <f aca="false">Sens!J13656</f>
        <v>159.811964490216</v>
      </c>
      <c r="K13684" s="6" t="n">
        <f aca="false">Sens!K13656</f>
        <v>172.596921649434</v>
      </c>
    </row>
    <row r="13685" customFormat="false" ht="15" hidden="false" customHeight="false" outlineLevel="0" collapsed="false">
      <c r="A13685" s="0" t="s">
        <v>1032</v>
      </c>
      <c r="B13685" s="0" t="s">
        <v>98</v>
      </c>
      <c r="D13685" s="6" t="n">
        <f aca="false">Sens!D13663</f>
        <v>84.605</v>
      </c>
      <c r="E13685" s="6" t="n">
        <f aca="false">Sens!E13663</f>
        <v>100.299</v>
      </c>
      <c r="F13685" s="6" t="n">
        <f aca="false">Sens!F13663</f>
        <v>117.438354189776</v>
      </c>
      <c r="G13685" s="6" t="n">
        <f aca="false">Sens!G13663</f>
        <v>132.595360443801</v>
      </c>
      <c r="H13685" s="6" t="n">
        <f aca="false">Sens!H13663</f>
        <v>147.833811964563</v>
      </c>
      <c r="I13685" s="6" t="n">
        <f aca="false">Sens!I13663</f>
        <v>162.145665319381</v>
      </c>
      <c r="J13685" s="6" t="n">
        <f aca="false">Sens!J13663</f>
        <v>175.249327755573</v>
      </c>
      <c r="K13685" s="6" t="n">
        <f aca="false">Sens!K13663</f>
        <v>187.599280698463</v>
      </c>
    </row>
    <row r="13686" customFormat="false" ht="17.15" hidden="false" customHeight="false" outlineLevel="0" collapsed="false">
      <c r="A13686" s="0" t="s">
        <v>1053</v>
      </c>
      <c r="B13686" s="0" t="s">
        <v>98</v>
      </c>
      <c r="D13686" s="6" t="n">
        <f aca="false">Sens!D13661</f>
        <v>83.705</v>
      </c>
      <c r="E13686" s="6" t="n">
        <f aca="false">Sens!E13661</f>
        <v>95.049</v>
      </c>
      <c r="F13686" s="6" t="n">
        <f aca="false">Sens!F13661</f>
        <v>106.938354189776</v>
      </c>
      <c r="G13686" s="6" t="n">
        <f aca="false">Sens!G13661</f>
        <v>119.095360443801</v>
      </c>
      <c r="H13686" s="6" t="n">
        <f aca="false">Sens!H13661</f>
        <v>131.333811964563</v>
      </c>
      <c r="I13686" s="6" t="n">
        <f aca="false">Sens!I13661</f>
        <v>143.395665319381</v>
      </c>
      <c r="J13686" s="6" t="n">
        <f aca="false">Sens!J13661</f>
        <v>154.999327755573</v>
      </c>
      <c r="K13686" s="6" t="n">
        <f aca="false">Sens!K13661</f>
        <v>165.849280698463</v>
      </c>
    </row>
    <row r="13687" customFormat="false" ht="17.15" hidden="false" customHeight="false" outlineLevel="0" collapsed="false">
      <c r="A13687" s="0" t="s">
        <v>1054</v>
      </c>
      <c r="B13687" s="0" t="s">
        <v>98</v>
      </c>
      <c r="D13687" s="6" t="n">
        <f aca="false">Sens!D13660</f>
        <v>0.9</v>
      </c>
      <c r="E13687" s="6" t="n">
        <f aca="false">Sens!E13660</f>
        <v>5.25</v>
      </c>
      <c r="F13687" s="6" t="n">
        <f aca="false">Sens!F13660</f>
        <v>10.5</v>
      </c>
      <c r="G13687" s="6" t="n">
        <f aca="false">Sens!G13660</f>
        <v>13.5</v>
      </c>
      <c r="H13687" s="6" t="n">
        <f aca="false">Sens!H13660</f>
        <v>16.5</v>
      </c>
      <c r="I13687" s="6" t="n">
        <f aca="false">Sens!I13660</f>
        <v>18.75</v>
      </c>
      <c r="J13687" s="6" t="n">
        <f aca="false">Sens!J13660</f>
        <v>20.25</v>
      </c>
      <c r="K13687" s="6" t="n">
        <f aca="false">Sens!K13660</f>
        <v>21.75</v>
      </c>
    </row>
    <row r="13688" customFormat="false" ht="15" hidden="false" customHeight="false" outlineLevel="0" collapsed="false">
      <c r="A13688" s="0" t="s">
        <v>1033</v>
      </c>
      <c r="B13688" s="0" t="s">
        <v>98</v>
      </c>
      <c r="D13688" s="6" t="n">
        <f aca="false">Sens!D13664</f>
        <v>35.391</v>
      </c>
      <c r="E13688" s="6" t="n">
        <f aca="false">Sens!E13664</f>
        <v>37.285</v>
      </c>
      <c r="F13688" s="6" t="n">
        <f aca="false">Sens!F13664</f>
        <v>38.3851437782675</v>
      </c>
      <c r="G13688" s="6" t="n">
        <f aca="false">Sens!G13664</f>
        <v>40.0105353288615</v>
      </c>
      <c r="H13688" s="6" t="n">
        <f aca="false">Sens!H13664</f>
        <v>41.4812512033683</v>
      </c>
      <c r="I13688" s="6" t="n">
        <f aca="false">Sens!I13664</f>
        <v>42.7743107216329</v>
      </c>
      <c r="J13688" s="6" t="n">
        <f aca="false">Sens!J13664</f>
        <v>43.8687373064601</v>
      </c>
      <c r="K13688" s="6" t="n">
        <f aca="false">Sens!K13664</f>
        <v>44.7461120525893</v>
      </c>
    </row>
    <row r="13689" customFormat="false" ht="15" hidden="false" customHeight="false" outlineLevel="0" collapsed="false">
      <c r="A13689" s="0" t="s">
        <v>1035</v>
      </c>
      <c r="B13689" s="0" t="s">
        <v>98</v>
      </c>
      <c r="D13689" s="6" t="n">
        <f aca="false">Sens!D13666</f>
        <v>18.417</v>
      </c>
      <c r="E13689" s="6" t="n">
        <f aca="false">Sens!E13666</f>
        <v>20.345</v>
      </c>
      <c r="F13689" s="6" t="n">
        <f aca="false">Sens!F13666</f>
        <v>22.3161797133988</v>
      </c>
      <c r="G13689" s="6" t="n">
        <f aca="false">Sens!G13666</f>
        <v>24.3943499673233</v>
      </c>
      <c r="H13689" s="6" t="n">
        <f aca="false">Sens!H13666</f>
        <v>26.5250243109019</v>
      </c>
      <c r="I13689" s="6" t="n">
        <f aca="false">Sens!I13666</f>
        <v>28.6884573538181</v>
      </c>
      <c r="J13689" s="6" t="n">
        <f aca="false">Sens!J13666</f>
        <v>30.8624968052127</v>
      </c>
      <c r="K13689" s="6" t="n">
        <f aca="false">Sens!K13666</f>
        <v>33.0228715815776</v>
      </c>
    </row>
    <row r="13690" customFormat="false" ht="15" hidden="false" customHeight="false" outlineLevel="0" collapsed="false">
      <c r="A13690" s="0" t="s">
        <v>1036</v>
      </c>
      <c r="B13690" s="0" t="s">
        <v>98</v>
      </c>
      <c r="D13690" s="6" t="n">
        <f aca="false">Sens!D13668</f>
        <v>7.76</v>
      </c>
      <c r="E13690" s="6" t="n">
        <f aca="false">Sens!E13668</f>
        <v>8.26</v>
      </c>
      <c r="F13690" s="6" t="n">
        <f aca="false">Sens!F13668</f>
        <v>8.75372082474227</v>
      </c>
      <c r="G13690" s="6" t="n">
        <f aca="false">Sens!G13668</f>
        <v>9.33399324642364</v>
      </c>
      <c r="H13690" s="6" t="n">
        <f aca="false">Sens!H13668</f>
        <v>9.96139155535851</v>
      </c>
      <c r="I13690" s="6" t="n">
        <f aca="false">Sens!I13668</f>
        <v>10.6402039077391</v>
      </c>
      <c r="J13690" s="6" t="n">
        <f aca="false">Sens!J13668</f>
        <v>11.3751458271397</v>
      </c>
      <c r="K13690" s="6" t="n">
        <f aca="false">Sens!K13668</f>
        <v>12.1714060350394</v>
      </c>
    </row>
    <row r="13691" customFormat="false" ht="15" hidden="false" customHeight="false" outlineLevel="0" collapsed="false">
      <c r="A13691" s="0" t="s">
        <v>852</v>
      </c>
      <c r="B13691" s="0" t="s">
        <v>98</v>
      </c>
      <c r="D13691" s="6" t="n">
        <f aca="false">Sens!D13670</f>
        <v>218.783</v>
      </c>
      <c r="E13691" s="6" t="n">
        <f aca="false">Sens!E13670</f>
        <v>268.127</v>
      </c>
      <c r="F13691" s="6" t="n">
        <f aca="false">Sens!F13670</f>
        <v>330.145282059882</v>
      </c>
      <c r="G13691" s="6" t="n">
        <f aca="false">Sens!G13670</f>
        <v>392.656759865851</v>
      </c>
      <c r="H13691" s="6" t="n">
        <f aca="false">Sens!H13670</f>
        <v>450.544273297982</v>
      </c>
      <c r="I13691" s="6" t="n">
        <f aca="false">Sens!I13670</f>
        <v>510.69213512593</v>
      </c>
      <c r="J13691" s="6" t="n">
        <f aca="false">Sens!J13670</f>
        <v>560.416732629406</v>
      </c>
      <c r="K13691" s="6" t="n">
        <f aca="false">Sens!K13670</f>
        <v>600.132410592692</v>
      </c>
    </row>
    <row r="13692" customFormat="false" ht="15" hidden="false" customHeight="false" outlineLevel="0" collapsed="false">
      <c r="A13692" s="0" t="s">
        <v>1037</v>
      </c>
      <c r="B13692" s="0" t="s">
        <v>98</v>
      </c>
      <c r="D13692" s="6" t="n">
        <f aca="false">Sens!D13671</f>
        <v>22.171</v>
      </c>
      <c r="E13692" s="6" t="n">
        <f aca="false">Sens!E13671</f>
        <v>24.835</v>
      </c>
      <c r="F13692" s="6" t="n">
        <f aca="false">Sens!F13671</f>
        <v>27.5591895660247</v>
      </c>
      <c r="G13692" s="6" t="n">
        <f aca="false">Sens!G13671</f>
        <v>30.4098563144583</v>
      </c>
      <c r="H13692" s="6" t="n">
        <f aca="false">Sens!H13671</f>
        <v>33.3011792571777</v>
      </c>
      <c r="I13692" s="6" t="n">
        <f aca="false">Sens!I13671</f>
        <v>36.189023797112</v>
      </c>
      <c r="J13692" s="6" t="n">
        <f aca="false">Sens!J13671</f>
        <v>39.0247773769199</v>
      </c>
      <c r="K13692" s="6" t="n">
        <f aca="false">Sens!K13671</f>
        <v>41.7565117933043</v>
      </c>
    </row>
    <row r="13693" customFormat="false" ht="15" hidden="false" customHeight="false" outlineLevel="0" collapsed="false">
      <c r="A13693" s="0" t="s">
        <v>1038</v>
      </c>
      <c r="B13693" s="0" t="s">
        <v>98</v>
      </c>
      <c r="D13693" s="6" t="n">
        <f aca="false">Sens!D13673</f>
        <v>23.455</v>
      </c>
      <c r="E13693" s="6" t="n">
        <f aca="false">Sens!E13673</f>
        <v>21.79</v>
      </c>
      <c r="F13693" s="6" t="n">
        <f aca="false">Sens!F13673</f>
        <v>20.7520981041711</v>
      </c>
      <c r="G13693" s="6" t="n">
        <f aca="false">Sens!G13673</f>
        <v>19.9083593495882</v>
      </c>
      <c r="H13693" s="6" t="n">
        <f aca="false">Sens!H13673</f>
        <v>19.4008256265831</v>
      </c>
      <c r="I13693" s="6" t="n">
        <f aca="false">Sens!I13673</f>
        <v>19.200434522122</v>
      </c>
      <c r="J13693" s="6" t="n">
        <f aca="false">Sens!J13673</f>
        <v>19.2932782348507</v>
      </c>
      <c r="K13693" s="6" t="n">
        <f aca="false">Sens!K13673</f>
        <v>19.6791437995477</v>
      </c>
    </row>
    <row r="13694" customFormat="false" ht="15" hidden="false" customHeight="false" outlineLevel="0" collapsed="false">
      <c r="A13694" s="0" t="s">
        <v>1039</v>
      </c>
      <c r="B13694" s="0" t="s">
        <v>98</v>
      </c>
      <c r="D13694" s="6" t="n">
        <f aca="false">Sens!D13675</f>
        <v>17.315</v>
      </c>
      <c r="E13694" s="6" t="n">
        <f aca="false">Sens!E13675</f>
        <v>17.087</v>
      </c>
      <c r="F13694" s="6" t="n">
        <f aca="false">Sens!F13675</f>
        <v>15.9912273250553</v>
      </c>
      <c r="G13694" s="6" t="n">
        <f aca="false">Sens!G13675</f>
        <v>15.9574562664827</v>
      </c>
      <c r="H13694" s="6" t="n">
        <f aca="false">Sens!H13675</f>
        <v>16.0119687434196</v>
      </c>
      <c r="I13694" s="6" t="n">
        <f aca="false">Sens!I13675</f>
        <v>16.1551810001948</v>
      </c>
      <c r="J13694" s="6" t="n">
        <f aca="false">Sens!J13675</f>
        <v>16.3889793892005</v>
      </c>
      <c r="K13694" s="6" t="n">
        <f aca="false">Sens!K13675</f>
        <v>16.7167589769845</v>
      </c>
    </row>
    <row r="13695" customFormat="false" ht="15" hidden="false" customHeight="false" outlineLevel="0" collapsed="false">
      <c r="A13695" s="0" t="s">
        <v>866</v>
      </c>
      <c r="B13695" s="0" t="s">
        <v>98</v>
      </c>
      <c r="D13695" s="6" t="n">
        <f aca="false">Sens!D13677</f>
        <v>62.941</v>
      </c>
      <c r="E13695" s="6" t="n">
        <f aca="false">Sens!E13677</f>
        <v>63.712</v>
      </c>
      <c r="F13695" s="6" t="n">
        <f aca="false">Sens!F13677</f>
        <v>64.3025149952511</v>
      </c>
      <c r="G13695" s="6" t="n">
        <f aca="false">Sens!G13677</f>
        <v>66.2756719305292</v>
      </c>
      <c r="H13695" s="6" t="n">
        <f aca="false">Sens!H13677</f>
        <v>68.7139736271804</v>
      </c>
      <c r="I13695" s="6" t="n">
        <f aca="false">Sens!I13677</f>
        <v>71.5446393194289</v>
      </c>
      <c r="J13695" s="6" t="n">
        <f aca="false">Sens!J13677</f>
        <v>74.707035000971</v>
      </c>
      <c r="K13695" s="6" t="n">
        <f aca="false">Sens!K13677</f>
        <v>78.1524145698365</v>
      </c>
    </row>
    <row r="13696" customFormat="false" ht="15" hidden="false" customHeight="false" outlineLevel="0" collapsed="false">
      <c r="A13696" s="1" t="s">
        <v>1055</v>
      </c>
      <c r="B13696" s="0" t="s">
        <v>98</v>
      </c>
      <c r="D13696" s="6" t="n">
        <f aca="false">Sens!D13678</f>
        <v>281.724</v>
      </c>
      <c r="E13696" s="6" t="n">
        <f aca="false">Sens!E13678</f>
        <v>331.839</v>
      </c>
      <c r="F13696" s="6" t="n">
        <f aca="false">Sens!F13678</f>
        <v>394.447797055133</v>
      </c>
      <c r="G13696" s="6" t="n">
        <f aca="false">Sens!G13678</f>
        <v>458.93243179638</v>
      </c>
      <c r="H13696" s="6" t="n">
        <f aca="false">Sens!H13678</f>
        <v>519.258246925162</v>
      </c>
      <c r="I13696" s="6" t="n">
        <f aca="false">Sens!I13678</f>
        <v>582.236774445359</v>
      </c>
      <c r="J13696" s="6" t="n">
        <f aca="false">Sens!J13678</f>
        <v>635.123767630377</v>
      </c>
      <c r="K13696" s="6" t="n">
        <f aca="false">Sens!K13678</f>
        <v>678.284825162529</v>
      </c>
    </row>
    <row r="13697" customFormat="false" ht="15" hidden="false" customHeight="false" outlineLevel="0" collapsed="false">
      <c r="A13697" s="1" t="s">
        <v>1056</v>
      </c>
      <c r="B13697" s="0" t="s">
        <v>168</v>
      </c>
      <c r="E13697" s="7" t="n">
        <f aca="false">Sens!E13696/Sens!D13696-1</f>
        <v>0.177886867998467</v>
      </c>
      <c r="F13697" s="7" t="n">
        <f aca="false">Sens!F13696/Sens!E13696-1</f>
        <v>0.188672208676897</v>
      </c>
      <c r="G13697" s="7" t="n">
        <f aca="false">Sens!G13696/Sens!F13696-1</f>
        <v>0.16348078306604</v>
      </c>
      <c r="H13697" s="7" t="n">
        <f aca="false">Sens!H13696/Sens!G13696-1</f>
        <v>0.131448141271366</v>
      </c>
      <c r="I13697" s="7" t="n">
        <f aca="false">Sens!I13696/Sens!H13696-1</f>
        <v>0.121285560495438</v>
      </c>
      <c r="J13697" s="7" t="n">
        <f aca="false">Sens!J13696/Sens!I13696-1</f>
        <v>0.0908341683422489</v>
      </c>
      <c r="K13697" s="7" t="n">
        <f aca="false">Sens!K13696/Sens!J13696-1</f>
        <v>0.0679569238814417</v>
      </c>
    </row>
    <row r="13698" customFormat="false" ht="17.15" hidden="false" customHeight="false" outlineLevel="0" collapsed="false">
      <c r="A13698" s="26" t="s">
        <v>1057</v>
      </c>
      <c r="B13698" s="31" t="s">
        <v>98</v>
      </c>
      <c r="C13698" s="31"/>
      <c r="D13698" s="27" t="n">
        <f aca="false">(Sens!D13691+Sens!D13695-Sens!D13696)+(Sens!D13683+Sens!D13684-Sens!D13682)+(Sens!D13686+Sens!D13687-Sens!D13685)+(Sens!D13696-Q!L18)</f>
        <v>0</v>
      </c>
      <c r="E13698" s="27" t="n">
        <f aca="false">(Sens!E13691+Sens!E13695-Sens!E13696)+(Sens!E13683+Sens!E13684-Sens!E13682)+(Sens!E13686+Sens!E13687-Sens!E13685)+(Sens!E13696-Q!M18)</f>
        <v>0</v>
      </c>
      <c r="F13698" s="27" t="n">
        <f aca="false">(Sens!F13691+Sens!F13695-Sens!F13696)+(Sens!F13683+Sens!F13684-Sens!F13682)+(Sens!F13686+Sens!F13687-Sens!F13685)</f>
        <v>0</v>
      </c>
      <c r="G13698" s="27" t="n">
        <f aca="false">(Sens!G13691+Sens!G13695-Sens!G13696)+(Sens!G13683+Sens!G13684-Sens!G13682)+(Sens!G13686+Sens!G13687-Sens!G13685)</f>
        <v>0</v>
      </c>
      <c r="H13698" s="27" t="n">
        <f aca="false">(Sens!H13691+Sens!H13695-Sens!H13696)+(Sens!H13683+Sens!H13684-Sens!H13682)+(Sens!H13686+Sens!H13687-Sens!H13685)</f>
        <v>0</v>
      </c>
      <c r="I13698" s="27" t="n">
        <f aca="false">(Sens!I13691+Sens!I13695-Sens!I13696)+(Sens!I13683+Sens!I13684-Sens!I13682)+(Sens!I13686+Sens!I13687-Sens!I13685)</f>
        <v>0</v>
      </c>
      <c r="J13698" s="27" t="n">
        <f aca="false">(Sens!J13691+Sens!J13695-Sens!J13696)+(Sens!J13683+Sens!J13684-Sens!J13682)+(Sens!J13686+Sens!J13687-Sens!J13685)</f>
        <v>0</v>
      </c>
      <c r="K13698" s="27" t="n">
        <f aca="false">(Sens!K13691+Sens!K13695-Sens!K13696)+(Sens!K13683+Sens!K13684-Sens!K13682)+(Sens!K13686+Sens!K13687-Sens!K13685)</f>
        <v>0</v>
      </c>
    </row>
    <row r="13699" customFormat="false" ht="17.15" hidden="false" customHeight="false" outlineLevel="0" collapsed="false">
      <c r="A13699" s="0" t="s">
        <v>1058</v>
      </c>
      <c r="B13699" s="0" t="s">
        <v>168</v>
      </c>
      <c r="E13699" s="7" t="n">
        <f aca="false">(Q!M21+Sens!E13635+Sens!E13636+Sens!E13637+Sens!E13651-Sens!E13633)/(Q!M5-Sens!E13633)</f>
        <v>0.570957350878296</v>
      </c>
      <c r="F13699" s="7" t="n">
        <f aca="false">Sens!$E$13699+dm_seg_hi</f>
        <v>0.590957350878296</v>
      </c>
      <c r="G13699" s="7" t="n">
        <f aca="false">Sens!$E$13699+dm_seg_hi</f>
        <v>0.590957350878296</v>
      </c>
      <c r="H13699" s="7" t="n">
        <f aca="false">Sens!$E$13699+dm_seg_hi</f>
        <v>0.590957350878296</v>
      </c>
      <c r="I13699" s="7" t="n">
        <f aca="false">Sens!$E$13699+dm_seg_hi</f>
        <v>0.590957350878296</v>
      </c>
      <c r="J13699" s="7" t="n">
        <f aca="false">Sens!$E$13699+dm_seg_hi</f>
        <v>0.590957350878296</v>
      </c>
      <c r="K13699" s="7" t="n">
        <f aca="false">Sens!$E$13699+dm_seg_hi</f>
        <v>0.590957350878296</v>
      </c>
      <c r="L13699" s="12" t="s">
        <v>1059</v>
      </c>
    </row>
    <row r="13700" customFormat="false" ht="17.15" hidden="false" customHeight="false" outlineLevel="0" collapsed="false">
      <c r="A13700" s="0" t="s">
        <v>880</v>
      </c>
      <c r="B13700" s="0" t="s">
        <v>98</v>
      </c>
      <c r="D13700" s="6" t="n">
        <f aca="false">Q!L21</f>
        <v>110.814</v>
      </c>
      <c r="E13700" s="6" t="n">
        <f aca="false">Q!M21</f>
        <v>136.365</v>
      </c>
      <c r="F13700" s="6" t="n">
        <f aca="false">Q!$I$21+(Sens!F13699*(Sens!F13670-Sens!F13633)+Sens!F13633-(Sens!F13635+Sens!F13636+Sens!F13637)-Sens!F13651-Sens!F13734)*(Sens!F13670-Q!$I$5)/Sens!F13670</f>
        <v>162.394779050799</v>
      </c>
      <c r="G13700" s="6" t="n">
        <f aca="false">(Sens!G13699*(Sens!G13670-Sens!G13633)+Sens!G13633-(Sens!G13635+Sens!G13636+Sens!G13637)-Sens!G13651-Sens!G13734)</f>
        <v>167.608032093382</v>
      </c>
      <c r="H13700" s="6" t="n">
        <f aca="false">(Sens!H13699*(Sens!H13670-Sens!H13633)+Sens!H13633-(Sens!H13635+Sens!H13636+Sens!H13637)-Sens!H13651-Sens!H13734)</f>
        <v>169.812343933141</v>
      </c>
      <c r="I13700" s="6" t="n">
        <f aca="false">(Sens!I13699*(Sens!I13670-Sens!I13633)+Sens!I13633-(Sens!I13635+Sens!I13636+Sens!I13637)-Sens!I13651-Sens!I13734)</f>
        <v>179.803313977045</v>
      </c>
      <c r="J13700" s="6" t="n">
        <f aca="false">(Sens!J13699*(Sens!J13670-Sens!J13633)+Sens!J13633-(Sens!J13635+Sens!J13636+Sens!J13637)-Sens!J13651-Sens!J13734)</f>
        <v>191.278689173223</v>
      </c>
      <c r="K13700" s="6" t="n">
        <f aca="false">(Sens!K13699*(Sens!K13670-Sens!K13633)+Sens!K13633-(Sens!K13635+Sens!K13636+Sens!K13637)-Sens!K13651-Sens!K13734)</f>
        <v>204.091136704696</v>
      </c>
      <c r="L13700" s="1" t="s">
        <v>1060</v>
      </c>
    </row>
    <row r="13701" customFormat="false" ht="17.15" hidden="false" customHeight="false" outlineLevel="0" collapsed="false">
      <c r="A13701" s="0" t="s">
        <v>1061</v>
      </c>
      <c r="B13701" s="0" t="s">
        <v>168</v>
      </c>
      <c r="E13701" s="7" t="n">
        <f aca="false">Q!M22/Q!M12</f>
        <v>0.296207935710698</v>
      </c>
      <c r="F13701" s="7" t="n">
        <f aca="false">Sens!$E$13701+dm_seg_hi</f>
        <v>0.316207935710698</v>
      </c>
      <c r="G13701" s="7" t="n">
        <f aca="false">Sens!$E$13701+dm_seg_hi</f>
        <v>0.316207935710698</v>
      </c>
      <c r="H13701" s="7" t="n">
        <f aca="false">Sens!$E$13701+dm_seg_hi</f>
        <v>0.316207935710698</v>
      </c>
      <c r="I13701" s="7" t="n">
        <f aca="false">Sens!$E$13701+dm_seg_hi</f>
        <v>0.316207935710698</v>
      </c>
      <c r="J13701" s="7" t="n">
        <f aca="false">Sens!$E$13701+dm_seg_hi</f>
        <v>0.316207935710698</v>
      </c>
      <c r="K13701" s="7" t="n">
        <f aca="false">Sens!$E$13701+dm_seg_hi</f>
        <v>0.316207935710698</v>
      </c>
      <c r="L13701" s="12" t="s">
        <v>1062</v>
      </c>
    </row>
    <row r="13702" customFormat="false" ht="17.15" hidden="false" customHeight="false" outlineLevel="0" collapsed="false">
      <c r="A13702" s="0" t="s">
        <v>882</v>
      </c>
      <c r="B13702" s="0" t="s">
        <v>98</v>
      </c>
      <c r="D13702" s="6" t="n">
        <f aca="false">Q!L22</f>
        <v>17.714</v>
      </c>
      <c r="E13702" s="6" t="n">
        <f aca="false">Q!M22</f>
        <v>18.872</v>
      </c>
      <c r="F13702" s="6" t="n">
        <f aca="false">Q!$I$22+(Sens!F13677-Q!$I$12)*Sens!F13701</f>
        <v>20.7938018511101</v>
      </c>
      <c r="G13702" s="6" t="n">
        <f aca="false">Sens!G13677*Sens!G13701</f>
        <v>20.9568934089921</v>
      </c>
      <c r="H13702" s="6" t="n">
        <f aca="false">Sens!H13677*Sens!H13701</f>
        <v>21.7279037551301</v>
      </c>
      <c r="I13702" s="6" t="n">
        <f aca="false">Sens!I13677*Sens!I13701</f>
        <v>22.6229827103631</v>
      </c>
      <c r="J13702" s="6" t="n">
        <f aca="false">Sens!J13677*Sens!J13701</f>
        <v>23.6229573207239</v>
      </c>
      <c r="K13702" s="6" t="n">
        <f aca="false">Sens!K13677*Sens!K13701</f>
        <v>24.7124136819347</v>
      </c>
      <c r="L13702" s="12" t="s">
        <v>1063</v>
      </c>
    </row>
    <row r="13703" customFormat="false" ht="15" hidden="false" customHeight="false" outlineLevel="0" collapsed="false">
      <c r="A13703" s="1" t="s">
        <v>1064</v>
      </c>
      <c r="B13703" s="0" t="s">
        <v>98</v>
      </c>
      <c r="D13703" s="6" t="n">
        <f aca="false">Sens!D13700+Sens!D13702</f>
        <v>128.528</v>
      </c>
      <c r="E13703" s="6" t="n">
        <f aca="false">Sens!E13700+Sens!E13702</f>
        <v>155.237</v>
      </c>
      <c r="F13703" s="6" t="n">
        <f aca="false">Sens!F13700+Sens!F13702</f>
        <v>183.188580901909</v>
      </c>
      <c r="G13703" s="6" t="n">
        <f aca="false">Sens!G13700+Sens!G13702</f>
        <v>188.564925502375</v>
      </c>
      <c r="H13703" s="6" t="n">
        <f aca="false">Sens!H13700+Sens!H13702</f>
        <v>191.540247688271</v>
      </c>
      <c r="I13703" s="6" t="n">
        <f aca="false">Sens!I13700+Sens!I13702</f>
        <v>202.426296687408</v>
      </c>
      <c r="J13703" s="6" t="n">
        <f aca="false">Sens!J13700+Sens!J13702</f>
        <v>214.901646493947</v>
      </c>
      <c r="K13703" s="6" t="n">
        <f aca="false">Sens!K13700+Sens!K13702</f>
        <v>228.80355038663</v>
      </c>
    </row>
    <row r="13704" customFormat="false" ht="15" hidden="false" customHeight="false" outlineLevel="0" collapsed="false">
      <c r="A13704" s="26" t="s">
        <v>1065</v>
      </c>
      <c r="B13704" s="31" t="s">
        <v>98</v>
      </c>
      <c r="C13704" s="31"/>
      <c r="D13704" s="27" t="n">
        <f aca="false">Sens!D13703-Q!L23</f>
        <v>0</v>
      </c>
      <c r="E13704" s="27" t="n">
        <f aca="false">Sens!E13703-Q!M23</f>
        <v>0</v>
      </c>
      <c r="F13704" s="31"/>
      <c r="G13704" s="31"/>
      <c r="H13704" s="31"/>
      <c r="I13704" s="31"/>
      <c r="J13704" s="31"/>
      <c r="K13704" s="31"/>
    </row>
    <row r="13705" customFormat="false" ht="15" hidden="false" customHeight="false" outlineLevel="0" collapsed="false">
      <c r="A13705" s="1" t="s">
        <v>1066</v>
      </c>
      <c r="B13705" s="0" t="s">
        <v>168</v>
      </c>
      <c r="D13705" s="7" t="n">
        <f aca="false">Sens!D13703/Sens!D13696</f>
        <v>0.456219562408598</v>
      </c>
      <c r="E13705" s="7" t="n">
        <f aca="false">Sens!E13703/Sens!E13696</f>
        <v>0.467808184089272</v>
      </c>
      <c r="F13705" s="7" t="n">
        <f aca="false">Sens!F13703/Sens!F13696</f>
        <v>0.464417807044576</v>
      </c>
      <c r="G13705" s="7" t="n">
        <f aca="false">Sens!G13703/Sens!G13696</f>
        <v>0.410877315347452</v>
      </c>
      <c r="H13705" s="7" t="n">
        <f aca="false">Sens!H13703/Sens!H13696</f>
        <v>0.368872808130627</v>
      </c>
      <c r="I13705" s="7" t="n">
        <f aca="false">Sens!I13703/Sens!I13696</f>
        <v>0.347670064090748</v>
      </c>
      <c r="J13705" s="7" t="n">
        <f aca="false">Sens!J13703/Sens!J13696</f>
        <v>0.338361839765085</v>
      </c>
      <c r="K13705" s="7" t="n">
        <f aca="false">Sens!K13703/Sens!K13696</f>
        <v>0.33732665378708</v>
      </c>
    </row>
    <row r="13706" customFormat="false" ht="17.15" hidden="false" customHeight="false" outlineLevel="0" collapsed="false">
      <c r="A13706" s="1" t="s">
        <v>1067</v>
      </c>
      <c r="B13706" s="0" t="s">
        <v>98</v>
      </c>
      <c r="F13706" s="6" t="n">
        <f aca="false">Sens!F13721</f>
        <v>10.4912787979473</v>
      </c>
      <c r="G13706" s="6" t="n">
        <f aca="false">Sens!G13721</f>
        <v>27.679646674932</v>
      </c>
      <c r="H13706" s="6" t="n">
        <f aca="false">Sens!H13721</f>
        <v>46.341205501382</v>
      </c>
      <c r="I13706" s="6" t="n">
        <f aca="false">Sens!I13721</f>
        <v>63.0017778126444</v>
      </c>
      <c r="J13706" s="6" t="n">
        <f aca="false">Sens!J13721</f>
        <v>74.6061222882009</v>
      </c>
      <c r="K13706" s="6" t="n">
        <f aca="false">Sens!K13721</f>
        <v>81.3095437180232</v>
      </c>
      <c r="L13706" s="1" t="s">
        <v>1068</v>
      </c>
    </row>
    <row r="13707" customFormat="false" ht="17.15" hidden="false" customHeight="false" outlineLevel="0" collapsed="false">
      <c r="A13707" s="1" t="s">
        <v>1069</v>
      </c>
      <c r="B13707" s="0" t="s">
        <v>98</v>
      </c>
      <c r="D13707" s="6" t="n">
        <f aca="false">Sens!D13703</f>
        <v>128.528</v>
      </c>
      <c r="E13707" s="6" t="n">
        <f aca="false">Sens!E13703</f>
        <v>155.237</v>
      </c>
      <c r="F13707" s="6" t="n">
        <f aca="false">Sens!F13703+Sens!F13706</f>
        <v>193.679859699856</v>
      </c>
      <c r="G13707" s="6" t="n">
        <f aca="false">Sens!G13703+Sens!G13706</f>
        <v>216.244572177307</v>
      </c>
      <c r="H13707" s="6" t="n">
        <f aca="false">Sens!H13703+Sens!H13706</f>
        <v>237.881453189653</v>
      </c>
      <c r="I13707" s="6" t="n">
        <f aca="false">Sens!I13703+Sens!I13706</f>
        <v>265.428074500053</v>
      </c>
      <c r="J13707" s="6" t="n">
        <f aca="false">Sens!J13703+Sens!J13706</f>
        <v>289.507768782147</v>
      </c>
      <c r="K13707" s="6" t="n">
        <f aca="false">Sens!K13703+Sens!K13706</f>
        <v>310.113094104653</v>
      </c>
    </row>
    <row r="13708" customFormat="false" ht="17.15" hidden="false" customHeight="false" outlineLevel="0" collapsed="false">
      <c r="A13708" s="1" t="s">
        <v>1070</v>
      </c>
      <c r="B13708" s="0" t="s">
        <v>98</v>
      </c>
      <c r="E13708" s="6" t="n">
        <f aca="false">Sens!E13651</f>
        <v>16.3054059770833</v>
      </c>
      <c r="F13708" s="6" t="n">
        <f aca="false">Sens!F13651</f>
        <v>34.5793144783516</v>
      </c>
      <c r="G13708" s="6" t="n">
        <f aca="false">Sens!G13651</f>
        <v>60.7344906522989</v>
      </c>
      <c r="H13708" s="6" t="n">
        <f aca="false">Sens!H13651</f>
        <v>89.1000906614457</v>
      </c>
      <c r="I13708" s="6" t="n">
        <f aca="false">Sens!I13651</f>
        <v>114.231009694548</v>
      </c>
      <c r="J13708" s="6" t="n">
        <f aca="false">Sens!J13651</f>
        <v>132.015673049596</v>
      </c>
      <c r="K13708" s="6" t="n">
        <f aca="false">Sens!K13651</f>
        <v>143.012669550934</v>
      </c>
    </row>
    <row r="13709" customFormat="false" ht="17.15" hidden="false" customHeight="false" outlineLevel="0" collapsed="false">
      <c r="A13709" s="1" t="s">
        <v>1071</v>
      </c>
      <c r="B13709" s="0" t="s">
        <v>98</v>
      </c>
      <c r="E13709" s="6" t="n">
        <f aca="false">Sens!E13733</f>
        <v>22.2285940229167</v>
      </c>
      <c r="F13709" s="6" t="n">
        <f aca="false">Sens!F13733</f>
        <v>23.5883405279552</v>
      </c>
      <c r="G13709" s="6" t="n">
        <f aca="false">Sens!G13733</f>
        <v>25.347608709247</v>
      </c>
      <c r="H13709" s="6" t="n">
        <f aca="false">Sens!H13733</f>
        <v>27.4750934833125</v>
      </c>
      <c r="I13709" s="6" t="n">
        <f aca="false">Sens!I13733</f>
        <v>29.9140127982598</v>
      </c>
      <c r="J13709" s="6" t="n">
        <f aca="false">Sens!J13733</f>
        <v>32.5895147654561</v>
      </c>
      <c r="K13709" s="6" t="n">
        <f aca="false">Sens!K13733</f>
        <v>35.4171979437481</v>
      </c>
    </row>
    <row r="13710" customFormat="false" ht="17.15" hidden="false" customHeight="false" outlineLevel="0" collapsed="false">
      <c r="A13710" s="1" t="s">
        <v>1072</v>
      </c>
      <c r="B13710" s="0" t="s">
        <v>98</v>
      </c>
      <c r="D13710" s="6" t="n">
        <f aca="false">Q!L27</f>
        <v>-4.901</v>
      </c>
      <c r="E13710" s="6" t="n">
        <f aca="false">Q!M27</f>
        <v>10.697</v>
      </c>
      <c r="F13710" s="6" t="n">
        <f aca="false">Q!$I$27+oie_f*(q_per_yr-1)/q_per_yr</f>
        <v>-0.862</v>
      </c>
      <c r="G13710" s="6" t="n">
        <f aca="false">oie_f</f>
        <v>-1.2</v>
      </c>
      <c r="H13710" s="6" t="n">
        <f aca="false">oie_f</f>
        <v>-1.2</v>
      </c>
      <c r="I13710" s="6" t="n">
        <f aca="false">oie_f</f>
        <v>-1.2</v>
      </c>
      <c r="J13710" s="6" t="n">
        <f aca="false">oie_f</f>
        <v>-1.2</v>
      </c>
      <c r="K13710" s="6" t="n">
        <f aca="false">oie_f</f>
        <v>-1.2</v>
      </c>
      <c r="L13710" s="12" t="s">
        <v>1073</v>
      </c>
    </row>
    <row r="13711" customFormat="false" ht="15" hidden="false" customHeight="false" outlineLevel="0" collapsed="false">
      <c r="A13711" s="1" t="s">
        <v>1074</v>
      </c>
      <c r="B13711" s="0" t="s">
        <v>98</v>
      </c>
      <c r="D13711" s="6" t="n">
        <f aca="false">Sens!D13703+Sens!D13710</f>
        <v>123.627</v>
      </c>
      <c r="E13711" s="6" t="n">
        <f aca="false">Sens!E13703+Sens!E13710</f>
        <v>165.934</v>
      </c>
      <c r="F13711" s="6" t="n">
        <f aca="false">Sens!F13703+Sens!F13710</f>
        <v>182.326580901909</v>
      </c>
      <c r="G13711" s="6" t="n">
        <f aca="false">Sens!G13703+Sens!G13710</f>
        <v>187.364925502375</v>
      </c>
      <c r="H13711" s="6" t="n">
        <f aca="false">Sens!H13703+Sens!H13710</f>
        <v>190.340247688271</v>
      </c>
      <c r="I13711" s="6" t="n">
        <f aca="false">Sens!I13703+Sens!I13710</f>
        <v>201.226296687408</v>
      </c>
      <c r="J13711" s="6" t="n">
        <f aca="false">Sens!J13703+Sens!J13710</f>
        <v>213.701646493947</v>
      </c>
      <c r="K13711" s="6" t="n">
        <f aca="false">Sens!K13703+Sens!K13710</f>
        <v>227.60355038663</v>
      </c>
    </row>
    <row r="13712" customFormat="false" ht="15" hidden="false" customHeight="false" outlineLevel="0" collapsed="false">
      <c r="A13712" s="1" t="s">
        <v>1075</v>
      </c>
      <c r="B13712" s="0" t="s">
        <v>98</v>
      </c>
      <c r="D13712" s="6" t="n">
        <f aca="false">Q!L29</f>
        <v>21.795</v>
      </c>
      <c r="E13712" s="6" t="n">
        <f aca="false">Q!M29</f>
        <v>32.185</v>
      </c>
      <c r="F13712" s="6" t="n">
        <f aca="false">Q!$I$29+(Sens!F13711-Q!$I$28)*tax_f</f>
        <v>36.5987161803818</v>
      </c>
      <c r="G13712" s="6" t="n">
        <f aca="false">Sens!G13711*tax_f</f>
        <v>37.4729851004749</v>
      </c>
      <c r="H13712" s="6" t="n">
        <f aca="false">Sens!H13711*tax_f</f>
        <v>38.0680495376543</v>
      </c>
      <c r="I13712" s="6" t="n">
        <f aca="false">Sens!I13711*tax_f</f>
        <v>40.2452593374817</v>
      </c>
      <c r="J13712" s="6" t="n">
        <f aca="false">Sens!J13711*tax_f</f>
        <v>42.7403292987893</v>
      </c>
      <c r="K13712" s="6" t="n">
        <f aca="false">Sens!K13711*tax_f</f>
        <v>45.5207100773261</v>
      </c>
    </row>
    <row r="13713" customFormat="false" ht="15" hidden="false" customHeight="false" outlineLevel="0" collapsed="false">
      <c r="A13713" s="1" t="s">
        <v>1076</v>
      </c>
      <c r="B13713" s="0" t="s">
        <v>98</v>
      </c>
      <c r="D13713" s="6" t="n">
        <f aca="false">Sens!D13711-Sens!D13712</f>
        <v>101.832</v>
      </c>
      <c r="E13713" s="6" t="n">
        <f aca="false">Sens!E13711-Sens!E13712</f>
        <v>133.749</v>
      </c>
      <c r="F13713" s="6" t="n">
        <f aca="false">Sens!F13711-Sens!F13712</f>
        <v>145.727864721527</v>
      </c>
      <c r="G13713" s="6" t="n">
        <f aca="false">Sens!G13711-Sens!G13712</f>
        <v>149.8919404019</v>
      </c>
      <c r="H13713" s="6" t="n">
        <f aca="false">Sens!H13711-Sens!H13712</f>
        <v>152.272198150617</v>
      </c>
      <c r="I13713" s="6" t="n">
        <f aca="false">Sens!I13711-Sens!I13712</f>
        <v>160.981037349927</v>
      </c>
      <c r="J13713" s="6" t="n">
        <f aca="false">Sens!J13711-Sens!J13712</f>
        <v>170.961317195157</v>
      </c>
      <c r="K13713" s="6" t="n">
        <f aca="false">Sens!K13711-Sens!K13712</f>
        <v>182.082840309304</v>
      </c>
    </row>
    <row r="13714" customFormat="false" ht="17.15" hidden="false" customHeight="false" outlineLevel="0" collapsed="false">
      <c r="A13714" s="1" t="s">
        <v>1077</v>
      </c>
      <c r="B13714" s="1" t="s">
        <v>81</v>
      </c>
      <c r="D13714" s="15" t="n">
        <f aca="false">Q!L31</f>
        <v>7.465</v>
      </c>
      <c r="E13714" s="15" t="n">
        <f aca="false">Q!M31</f>
        <v>7.453</v>
      </c>
      <c r="F13714" s="15" t="n">
        <f aca="false">Sens!F13758</f>
        <v>7.47254699553392</v>
      </c>
      <c r="G13714" s="15" t="n">
        <f aca="false">Sens!G13758</f>
        <v>7.51659399106784</v>
      </c>
      <c r="H13714" s="15" t="n">
        <f aca="false">Sens!H13758</f>
        <v>7.55769216331572</v>
      </c>
      <c r="I13714" s="15" t="n">
        <f aca="false">Sens!I13758</f>
        <v>7.58277176059028</v>
      </c>
      <c r="J13714" s="15" t="n">
        <f aca="false">Sens!J13758</f>
        <v>7.59692117175275</v>
      </c>
      <c r="K13714" s="15" t="n">
        <f aca="false">Sens!K13758</f>
        <v>7.613355811718</v>
      </c>
    </row>
    <row r="13715" customFormat="false" ht="17.15" hidden="false" customHeight="false" outlineLevel="0" collapsed="false">
      <c r="A13715" s="0" t="s">
        <v>1078</v>
      </c>
      <c r="B13715" s="0" t="s">
        <v>75</v>
      </c>
      <c r="D13715" s="8" t="n">
        <f aca="false">Sens!D13713/Sens!D13714</f>
        <v>13.641259209645</v>
      </c>
      <c r="E13715" s="8" t="n">
        <f aca="false">Sens!E13713/Sens!E13714</f>
        <v>17.9456594659869</v>
      </c>
      <c r="F13715" s="8" t="n">
        <f aca="false">Sens!F13713/Sens!F13714</f>
        <v>19.5017662396267</v>
      </c>
      <c r="G13715" s="8" t="n">
        <f aca="false">Sens!G13713/Sens!G13714</f>
        <v>19.9414709082358</v>
      </c>
      <c r="H13715" s="8" t="n">
        <f aca="false">Sens!H13713/Sens!H13714</f>
        <v>20.1479757127091</v>
      </c>
      <c r="I13715" s="8" t="n">
        <f aca="false">Sens!I13713/Sens!I13714</f>
        <v>21.2298408065754</v>
      </c>
      <c r="J13715" s="8" t="n">
        <f aca="false">Sens!J13713/Sens!J13714</f>
        <v>22.5040267405741</v>
      </c>
      <c r="K13715" s="8" t="n">
        <f aca="false">Sens!K13713/Sens!K13714</f>
        <v>23.9162394103601</v>
      </c>
      <c r="L13715" s="1" t="s">
        <v>1079</v>
      </c>
    </row>
    <row r="13716" customFormat="false" ht="17.15" hidden="false" customHeight="false" outlineLevel="0" collapsed="false">
      <c r="A13716" s="1" t="s">
        <v>1080</v>
      </c>
      <c r="B13716" s="0" t="s">
        <v>98</v>
      </c>
      <c r="D13716" s="6" t="n">
        <f aca="false">Sens!D13713</f>
        <v>101.832</v>
      </c>
      <c r="E13716" s="6" t="n">
        <f aca="false">Sens!E13713</f>
        <v>133.749</v>
      </c>
      <c r="F13716" s="6" t="n">
        <f aca="false">Sens!F13713+Sens!F13706*(1-tax_f)</f>
        <v>154.120887759885</v>
      </c>
      <c r="G13716" s="6" t="n">
        <f aca="false">Sens!G13713+Sens!G13706*(1-tax_f)</f>
        <v>172.035657741845</v>
      </c>
      <c r="H13716" s="6" t="n">
        <f aca="false">Sens!H13713+Sens!H13706*(1-tax_f)</f>
        <v>189.345162551723</v>
      </c>
      <c r="I13716" s="6" t="n">
        <f aca="false">Sens!I13713+Sens!I13706*(1-tax_f)</f>
        <v>211.382459600042</v>
      </c>
      <c r="J13716" s="6" t="n">
        <f aca="false">Sens!J13713+Sens!J13706*(1-tax_f)</f>
        <v>230.646215025718</v>
      </c>
      <c r="K13716" s="6" t="n">
        <f aca="false">Sens!K13713+Sens!K13706*(1-tax_f)</f>
        <v>247.130475283723</v>
      </c>
    </row>
    <row r="13717" customFormat="false" ht="17.15" hidden="false" customHeight="false" outlineLevel="0" collapsed="false">
      <c r="A13717" s="0" t="s">
        <v>1081</v>
      </c>
      <c r="B13717" s="0" t="s">
        <v>75</v>
      </c>
      <c r="D13717" s="8" t="n">
        <f aca="false">Sens!D13716/Sens!D13714</f>
        <v>13.641259209645</v>
      </c>
      <c r="E13717" s="8" t="n">
        <f aca="false">Sens!E13716/Sens!E13714</f>
        <v>17.9456594659869</v>
      </c>
      <c r="F13717" s="8" t="n">
        <f aca="false">Sens!F13716/Sens!F13714</f>
        <v>20.6249472705889</v>
      </c>
      <c r="G13717" s="8" t="n">
        <f aca="false">Sens!G13716/Sens!G13714</f>
        <v>22.8874484834859</v>
      </c>
      <c r="H13717" s="8" t="n">
        <f aca="false">Sens!H13716/Sens!H13714</f>
        <v>25.0533044294639</v>
      </c>
      <c r="I13717" s="8" t="n">
        <f aca="false">Sens!I13716/Sens!I13714</f>
        <v>27.8766744238109</v>
      </c>
      <c r="J13717" s="8" t="n">
        <f aca="false">Sens!J13716/Sens!J13714</f>
        <v>30.3604854929018</v>
      </c>
      <c r="K13717" s="8" t="n">
        <f aca="false">Sens!K13716/Sens!K13714</f>
        <v>32.4601242074297</v>
      </c>
      <c r="L13717" s="1" t="s">
        <v>1082</v>
      </c>
    </row>
    <row r="13718" customFormat="false" ht="17.15" hidden="false" customHeight="false" outlineLevel="0" collapsed="false">
      <c r="A13718" s="0" t="s">
        <v>1083</v>
      </c>
      <c r="B13718" s="0" t="s">
        <v>168</v>
      </c>
      <c r="E13718" s="7" t="n">
        <f aca="false">Sens!E13717/Sens!D13717-1</f>
        <v>0.315542736208578</v>
      </c>
      <c r="F13718" s="7" t="n">
        <f aca="false">Sens!F13717/Sens!E13717-1</f>
        <v>0.149300047160721</v>
      </c>
      <c r="G13718" s="7" t="n">
        <f aca="false">Sens!G13717/Sens!F13717-1</f>
        <v>0.10969730895377</v>
      </c>
      <c r="H13718" s="7" t="n">
        <f aca="false">Sens!H13717/Sens!G13717-1</f>
        <v>0.0946307294821753</v>
      </c>
      <c r="I13718" s="7" t="n">
        <f aca="false">Sens!I13717/Sens!H13717-1</f>
        <v>0.112694515100631</v>
      </c>
      <c r="J13718" s="7" t="n">
        <f aca="false">Sens!J13717/Sens!I13717-1</f>
        <v>0.0890999776849064</v>
      </c>
      <c r="K13718" s="7" t="n">
        <f aca="false">Sens!K13717/Sens!J13717-1</f>
        <v>0.0691569545229682</v>
      </c>
    </row>
    <row r="13719" customFormat="false" ht="17.15" hidden="false" customHeight="false" outlineLevel="0" collapsed="false">
      <c r="A13719" s="0" t="s">
        <v>1003</v>
      </c>
      <c r="B13719" s="0" t="s">
        <v>98</v>
      </c>
      <c r="E13719" s="6" t="n">
        <f aca="false">Sens!E13660</f>
        <v>5.25</v>
      </c>
      <c r="F13719" s="6" t="n">
        <f aca="false">Sens!F13660</f>
        <v>10.5</v>
      </c>
      <c r="G13719" s="6" t="n">
        <f aca="false">Sens!G13660</f>
        <v>13.5</v>
      </c>
      <c r="H13719" s="6" t="n">
        <f aca="false">Sens!H13660</f>
        <v>16.5</v>
      </c>
      <c r="I13719" s="6" t="n">
        <f aca="false">Sens!I13660</f>
        <v>18.75</v>
      </c>
      <c r="J13719" s="6" t="n">
        <f aca="false">Sens!J13660</f>
        <v>20.25</v>
      </c>
      <c r="K13719" s="6" t="n">
        <f aca="false">Sens!K13660</f>
        <v>21.75</v>
      </c>
    </row>
    <row r="13720" customFormat="false" ht="17.15" hidden="false" customHeight="false" outlineLevel="0" collapsed="false">
      <c r="A13720" s="1" t="s">
        <v>1004</v>
      </c>
      <c r="B13720" s="0" t="s">
        <v>98</v>
      </c>
      <c r="F13720" s="6" t="n">
        <f aca="false">MAX(0,((Sens!E13620+Sens!F13620)/2-(shadow_base*(Sens!$D$13620+Sens!$E$13620)/2+(1-shadow_base)*Sens!$E$13620))*Sens!F13629/1000-(Sens!F13719-Sens!$E$13719)*Sens!F13699)</f>
        <v>10.4912787979473</v>
      </c>
      <c r="G13720" s="6" t="n">
        <f aca="false">MAX(0,((Sens!F13620+Sens!G13620)/2-(shadow_base*(Sens!$D$13620+Sens!$E$13620)/2+(1-shadow_base)*Sens!$E$13620))*Sens!G13629/1000-(Sens!G13719-Sens!$E$13719)*Sens!G13699)</f>
        <v>27.679646674932</v>
      </c>
      <c r="H13720" s="6" t="n">
        <f aca="false">MAX(0,((Sens!G13620+Sens!H13620)/2-(shadow_base*(Sens!$D$13620+Sens!$E$13620)/2+(1-shadow_base)*Sens!$E$13620))*Sens!H13629/1000-(Sens!H13719-Sens!$E$13719)*Sens!H13699)</f>
        <v>46.341205501382</v>
      </c>
      <c r="I13720" s="6" t="n">
        <f aca="false">MAX(0,((Sens!H13620+Sens!I13620)/2-(shadow_base*(Sens!$D$13620+Sens!$E$13620)/2+(1-shadow_base)*Sens!$E$13620))*Sens!I13629/1000-(Sens!I13719-Sens!$E$13719)*Sens!I13699)</f>
        <v>63.0017778126444</v>
      </c>
      <c r="J13720" s="6" t="n">
        <f aca="false">MAX(0,((Sens!I13620+Sens!J13620)/2-(shadow_base*(Sens!$D$13620+Sens!$E$13620)/2+(1-shadow_base)*Sens!$E$13620))*Sens!J13629/1000-(Sens!J13719-Sens!$E$13719)*Sens!J13699)</f>
        <v>74.6061222882009</v>
      </c>
      <c r="K13720" s="6" t="n">
        <f aca="false">MAX(0,((Sens!J13620+Sens!K13620)/2-(shadow_base*(Sens!$D$13620+Sens!$E$13620)/2+(1-shadow_base)*Sens!$E$13620))*Sens!K13629/1000-(Sens!K13719-Sens!$E$13719)*Sens!K13699)</f>
        <v>81.3095437180232</v>
      </c>
      <c r="L13720" s="1" t="s">
        <v>1005</v>
      </c>
    </row>
    <row r="13721" customFormat="false" ht="17.15" hidden="false" customHeight="false" outlineLevel="0" collapsed="false">
      <c r="A13721" s="1" t="s">
        <v>1006</v>
      </c>
      <c r="B13721" s="0" t="s">
        <v>98</v>
      </c>
      <c r="F13721" s="6" t="n">
        <f aca="false">IF(internal_ai_reading=2,1,0)*Sens!F13720</f>
        <v>10.4912787979473</v>
      </c>
      <c r="G13721" s="6" t="n">
        <f aca="false">IF(internal_ai_reading=2,1,0)*Sens!G13720</f>
        <v>27.679646674932</v>
      </c>
      <c r="H13721" s="6" t="n">
        <f aca="false">IF(internal_ai_reading=2,1,0)*Sens!H13720</f>
        <v>46.341205501382</v>
      </c>
      <c r="I13721" s="6" t="n">
        <f aca="false">IF(internal_ai_reading=2,1,0)*Sens!I13720</f>
        <v>63.0017778126444</v>
      </c>
      <c r="J13721" s="6" t="n">
        <f aca="false">IF(internal_ai_reading=2,1,0)*Sens!J13720</f>
        <v>74.6061222882009</v>
      </c>
      <c r="K13721" s="6" t="n">
        <f aca="false">IF(internal_ai_reading=2,1,0)*Sens!K13720</f>
        <v>81.3095437180232</v>
      </c>
    </row>
    <row r="13722" customFormat="false" ht="17.15" hidden="false" customHeight="false" outlineLevel="0" collapsed="false">
      <c r="A13722" s="0" t="s">
        <v>1007</v>
      </c>
      <c r="B13722" s="0" t="s">
        <v>98</v>
      </c>
      <c r="F13722" s="6" t="n">
        <f aca="false">Sens!F13639+Sens!F13719*Sens!F13699+Sens!F13721-Sens!F13640-Sens!F13651</f>
        <v>10.4903806853618</v>
      </c>
      <c r="G13722" s="6" t="n">
        <f aca="false">Sens!G13639+Sens!G13719*Sens!G13699+Sens!G13721-Sens!G13640-Sens!G13651</f>
        <v>16.5439313105741</v>
      </c>
      <c r="H13722" s="6" t="n">
        <f aca="false">Sens!H13639+Sens!H13719*Sens!H13699+Sens!H13721-Sens!H13640-Sens!H13651</f>
        <v>17.240416308873</v>
      </c>
      <c r="I13722" s="6" t="n">
        <f aca="false">Sens!I13639+Sens!I13719*Sens!I13699+Sens!I13721-Sens!I13640-Sens!I13651</f>
        <v>24.2343804008656</v>
      </c>
      <c r="J13722" s="6" t="n">
        <f aca="false">Sens!J13639+Sens!J13719*Sens!J13699+Sens!J13721-Sens!J13640-Sens!J13651</f>
        <v>28.9595659869181</v>
      </c>
      <c r="K13722" s="6" t="n">
        <f aca="false">Sens!K13639+Sens!K13719*Sens!K13699+Sens!K13721-Sens!K13640-Sens!K13651</f>
        <v>32.24247485251</v>
      </c>
    </row>
    <row r="13723" customFormat="false" ht="17.15" hidden="false" customHeight="false" outlineLevel="0" collapsed="false">
      <c r="A13723" s="0" t="s">
        <v>1008</v>
      </c>
      <c r="B13723" s="0" t="s">
        <v>98</v>
      </c>
      <c r="E13723" s="6" t="n">
        <f aca="false">Sens!E13619*(cxit_open+self_build*tk_cxfac)/1000*ai_net_open</f>
        <v>126.6980382</v>
      </c>
      <c r="F13723" s="6" t="n">
        <f aca="false">Sens!E13723+Sens!F13648-Sens!F13651</f>
        <v>260.572627763768</v>
      </c>
      <c r="G13723" s="6" t="n">
        <f aca="false">Sens!F13723+Sens!G13648-Sens!G13651</f>
        <v>391.782612760517</v>
      </c>
      <c r="H13723" s="6" t="n">
        <f aca="false">Sens!G13723+Sens!H13648-Sens!H13651</f>
        <v>499.488526163584</v>
      </c>
      <c r="I13723" s="6" t="n">
        <f aca="false">Sens!H13723+Sens!I13648-Sens!I13651</f>
        <v>553.872350090646</v>
      </c>
      <c r="J13723" s="6" t="n">
        <f aca="false">Sens!I13723+Sens!J13648-Sens!J13651</f>
        <v>550.78660823699</v>
      </c>
      <c r="K13723" s="6" t="n">
        <f aca="false">Sens!J13723+Sens!K13648-Sens!K13651</f>
        <v>526.736791750789</v>
      </c>
      <c r="L13723" s="1" t="s">
        <v>1009</v>
      </c>
    </row>
    <row r="13724" customFormat="false" ht="17.15" hidden="false" customHeight="false" outlineLevel="0" collapsed="false">
      <c r="A13724" s="0" t="s">
        <v>1010</v>
      </c>
      <c r="B13724" s="0" t="s">
        <v>168</v>
      </c>
      <c r="F13724" s="7" t="n">
        <f aca="false">Sens!F13722*(1-tax_f)/((Sens!E13723+Sens!F13723)/2)</f>
        <v>0.043340770607576</v>
      </c>
      <c r="G13724" s="7" t="n">
        <f aca="false">Sens!G13722*(1-tax_f)/((Sens!F13723+Sens!G13723)/2)</f>
        <v>0.0405764964433256</v>
      </c>
      <c r="H13724" s="7" t="n">
        <f aca="false">Sens!H13722*(1-tax_f)/((Sens!G13723+Sens!H13723)/2)</f>
        <v>0.0309498029157498</v>
      </c>
      <c r="I13724" s="7" t="n">
        <f aca="false">Sens!I13722*(1-tax_f)/((Sens!H13723+Sens!I13723)/2)</f>
        <v>0.0368107545243845</v>
      </c>
      <c r="J13724" s="7" t="n">
        <f aca="false">Sens!J13722*(1-tax_f)/((Sens!I13723+Sens!J13723)/2)</f>
        <v>0.0419453490416778</v>
      </c>
      <c r="K13724" s="7" t="n">
        <f aca="false">Sens!K13722*(1-tax_f)/((Sens!J13723+Sens!K13723)/2)</f>
        <v>0.047876417128947</v>
      </c>
    </row>
    <row r="13725" customFormat="false" ht="17.15" hidden="false" customHeight="false" outlineLevel="0" collapsed="false">
      <c r="A13725" s="1" t="s">
        <v>1011</v>
      </c>
      <c r="B13725" s="0" t="s">
        <v>168</v>
      </c>
      <c r="F13725" s="7" t="n">
        <f aca="false">(Sens!F13722-Sens!F13721)*(1-tax_f)/((Sens!E13723+Sens!F13723)/2)</f>
        <v>-3.71053184034466E-006</v>
      </c>
      <c r="G13725" s="7" t="n">
        <f aca="false">(Sens!G13722-Sens!G13721)*(1-tax_f)/((Sens!F13723+Sens!G13723)/2)</f>
        <v>-0.0273120279813395</v>
      </c>
      <c r="H13725" s="7" t="n">
        <f aca="false">(Sens!H13722-Sens!H13721)*(1-tax_f)/((Sens!G13723+Sens!H13723)/2)</f>
        <v>-0.0522414119279357</v>
      </c>
      <c r="I13725" s="7" t="n">
        <f aca="false">(Sens!I13722-Sens!I13721)*(1-tax_f)/((Sens!H13723+Sens!I13723)/2)</f>
        <v>-0.0588856461798906</v>
      </c>
      <c r="J13725" s="7" t="n">
        <f aca="false">(Sens!J13722-Sens!J13721)*(1-tax_f)/((Sens!I13723+Sens!J13723)/2)</f>
        <v>-0.0661149665527729</v>
      </c>
      <c r="K13725" s="7" t="n">
        <f aca="false">(Sens!K13722-Sens!K13721)*(1-tax_f)/((Sens!J13723+Sens!K13723)/2)</f>
        <v>-0.0728590304263568</v>
      </c>
    </row>
    <row r="13726" customFormat="false" ht="17.15" hidden="false" customHeight="false" outlineLevel="0" collapsed="false">
      <c r="A13726" s="1" t="s">
        <v>1012</v>
      </c>
      <c r="B13726" s="0" t="s">
        <v>168</v>
      </c>
      <c r="F13726" s="7" t="n">
        <f aca="false">(Sens!F13722-Sens!F13721+Sens!F13720)*(1-tax_f)/((Sens!E13723+Sens!F13723)/2)</f>
        <v>0.043340770607576</v>
      </c>
      <c r="G13726" s="7" t="n">
        <f aca="false">(Sens!G13722-Sens!G13721+Sens!G13720)*(1-tax_f)/((Sens!F13723+Sens!G13723)/2)</f>
        <v>0.0405764964433256</v>
      </c>
      <c r="H13726" s="7" t="n">
        <f aca="false">(Sens!H13722-Sens!H13721+Sens!H13720)*(1-tax_f)/((Sens!G13723+Sens!H13723)/2)</f>
        <v>0.0309498029157498</v>
      </c>
      <c r="I13726" s="7" t="n">
        <f aca="false">(Sens!I13722-Sens!I13721+Sens!I13720)*(1-tax_f)/((Sens!H13723+Sens!I13723)/2)</f>
        <v>0.0368107545243845</v>
      </c>
      <c r="J13726" s="7" t="n">
        <f aca="false">(Sens!J13722-Sens!J13721+Sens!J13720)*(1-tax_f)/((Sens!I13723+Sens!J13723)/2)</f>
        <v>0.0419453490416778</v>
      </c>
      <c r="K13726" s="7" t="n">
        <f aca="false">(Sens!K13722-Sens!K13721+Sens!K13720)*(1-tax_f)/((Sens!J13723+Sens!K13723)/2)</f>
        <v>0.047876417128947</v>
      </c>
    </row>
    <row r="13727" customFormat="false" ht="17.15" hidden="false" customHeight="false" outlineLevel="0" collapsed="false">
      <c r="A13727" s="1" t="s">
        <v>1013</v>
      </c>
      <c r="B13727" s="0" t="s">
        <v>168</v>
      </c>
      <c r="F13727" s="7" t="n">
        <f aca="false">Sens!F13652*(1-tax_f)/(Sens!F13638*(Sens!E13723+Sens!F13723)/2)</f>
        <v>0.098791430090569</v>
      </c>
      <c r="G13727" s="7" t="n">
        <f aca="false">Sens!G13652*(1-tax_f)/(Sens!G13638*(Sens!F13723+Sens!G13723)/2)</f>
        <v>0.0675308856427828</v>
      </c>
      <c r="H13727" s="7" t="n">
        <f aca="false">Sens!H13652*(1-tax_f)/(Sens!H13638*(Sens!G13723+Sens!H13723)/2)</f>
        <v>0.0388374979528754</v>
      </c>
      <c r="I13727" s="7" t="n">
        <f aca="false">Sens!I13652*(1-tax_f)/(Sens!I13638*(Sens!H13723+Sens!I13723)/2)</f>
        <v>0.0411035671771815</v>
      </c>
      <c r="J13727" s="7" t="n">
        <f aca="false">Sens!J13652*(1-tax_f)/(Sens!J13638*(Sens!I13723+Sens!J13723)/2)</f>
        <v>0.0445222722541192</v>
      </c>
      <c r="K13727" s="7" t="n">
        <f aca="false">Sens!K13652*(1-tax_f)/(Sens!K13638*(Sens!J13723+Sens!K13723)/2)</f>
        <v>0.0498866361688162</v>
      </c>
    </row>
    <row r="13728" customFormat="false" ht="17.15" hidden="false" customHeight="false" outlineLevel="0" collapsed="false">
      <c r="A13728" s="0" t="s">
        <v>1014</v>
      </c>
      <c r="B13728" s="0" t="s">
        <v>253</v>
      </c>
      <c r="F13728" s="7" t="n">
        <f aca="false">Sens!F13724-wacc</f>
        <v>-0.0595958203380213</v>
      </c>
      <c r="G13728" s="7" t="n">
        <f aca="false">Sens!G13724-wacc</f>
        <v>-0.0623600945022717</v>
      </c>
      <c r="H13728" s="7" t="n">
        <f aca="false">Sens!H13724-wacc</f>
        <v>-0.0719867880298475</v>
      </c>
      <c r="I13728" s="7" t="n">
        <f aca="false">Sens!I13724-wacc</f>
        <v>-0.0661258364212128</v>
      </c>
      <c r="J13728" s="7" t="n">
        <f aca="false">Sens!J13724-wacc</f>
        <v>-0.0609912419039195</v>
      </c>
      <c r="K13728" s="7" t="n">
        <f aca="false">Sens!K13724-wacc</f>
        <v>-0.0550601738166503</v>
      </c>
    </row>
    <row r="13729" customFormat="false" ht="17.15" hidden="false" customHeight="false" outlineLevel="0" collapsed="false">
      <c r="A13729" s="0" t="s">
        <v>1015</v>
      </c>
      <c r="B13729" s="0" t="s">
        <v>98</v>
      </c>
      <c r="F13729" s="6" t="n">
        <f aca="false">Sens!F13722*(1-tax_f)-wacc*(Sens!E13723+Sens!F13723)/2</f>
        <v>-11.5398565154813</v>
      </c>
      <c r="G13729" s="6" t="n">
        <f aca="false">Sens!G13722*(1-tax_f)-wacc*(Sens!F13723+Sens!G13723)/2</f>
        <v>-20.3404672240733</v>
      </c>
      <c r="H13729" s="6" t="n">
        <f aca="false">Sens!H13722*(1-tax_f)-wacc*(Sens!G13723+Sens!H13723)/2</f>
        <v>-32.079873277425</v>
      </c>
      <c r="I13729" s="6" t="n">
        <f aca="false">Sens!I13722*(1-tax_f)-wacc*(Sens!H13723+Sens!I13723)/2</f>
        <v>-34.8271844978463</v>
      </c>
      <c r="J13729" s="6" t="n">
        <f aca="false">Sens!J13722*(1-tax_f)-wacc*(Sens!I13723+Sens!J13723)/2</f>
        <v>-33.6872608743463</v>
      </c>
      <c r="K13729" s="6" t="n">
        <f aca="false">Sens!K13722*(1-tax_f)-wacc*(Sens!J13723+Sens!K13723)/2</f>
        <v>-29.6643128474176</v>
      </c>
    </row>
    <row r="13730" customFormat="false" ht="17.15" hidden="false" customHeight="false" outlineLevel="0" collapsed="false">
      <c r="A13730" s="3" t="s">
        <v>1823</v>
      </c>
    </row>
    <row r="13731" customFormat="false" ht="15" hidden="false" customHeight="false" outlineLevel="0" collapsed="false">
      <c r="A13731" s="4" t="s">
        <v>43</v>
      </c>
      <c r="B13731" s="4" t="s">
        <v>65</v>
      </c>
      <c r="C13731" s="23" t="s">
        <v>938</v>
      </c>
      <c r="D13731" s="23" t="s">
        <v>939</v>
      </c>
      <c r="E13731" s="23" t="s">
        <v>940</v>
      </c>
      <c r="F13731" s="23" t="s">
        <v>941</v>
      </c>
      <c r="G13731" s="23" t="s">
        <v>942</v>
      </c>
      <c r="H13731" s="23" t="s">
        <v>943</v>
      </c>
      <c r="I13731" s="23" t="s">
        <v>944</v>
      </c>
      <c r="J13731" s="23" t="s">
        <v>945</v>
      </c>
      <c r="K13731" s="23" t="s">
        <v>946</v>
      </c>
      <c r="L13731" s="4" t="s">
        <v>47</v>
      </c>
    </row>
    <row r="13732" customFormat="false" ht="15" hidden="false" customHeight="false" outlineLevel="0" collapsed="false">
      <c r="A13732" s="1" t="s">
        <v>1076</v>
      </c>
      <c r="B13732" s="0" t="s">
        <v>98</v>
      </c>
      <c r="F13732" s="6" t="n">
        <f aca="false">Sens!F13713</f>
        <v>145.727864721527</v>
      </c>
      <c r="G13732" s="6" t="n">
        <f aca="false">Sens!G13713</f>
        <v>149.8919404019</v>
      </c>
      <c r="H13732" s="6" t="n">
        <f aca="false">Sens!H13713</f>
        <v>152.272198150617</v>
      </c>
      <c r="I13732" s="6" t="n">
        <f aca="false">Sens!I13713</f>
        <v>160.981037349927</v>
      </c>
      <c r="J13732" s="6" t="n">
        <f aca="false">Sens!J13713</f>
        <v>170.961317195157</v>
      </c>
      <c r="K13732" s="6" t="n">
        <f aca="false">Sens!K13713</f>
        <v>182.082840309304</v>
      </c>
    </row>
    <row r="13733" customFormat="false" ht="17.15" hidden="false" customHeight="false" outlineLevel="0" collapsed="false">
      <c r="A13733" s="1" t="s">
        <v>1098</v>
      </c>
      <c r="B13733" s="0" t="s">
        <v>98</v>
      </c>
      <c r="E13733" s="6" t="n">
        <f aca="false">Q!M38-Sens!E13651</f>
        <v>22.2285940229167</v>
      </c>
      <c r="F13733" s="6" t="n">
        <f aca="false">Sens!E13733*(1-1/life_nonai)+(Sens!F13741+Sens!F13742)/life_nonai</f>
        <v>23.5883405279552</v>
      </c>
      <c r="G13733" s="6" t="n">
        <f aca="false">Sens!F13733*(1-1/life_nonai)+(Sens!G13741)/life_nonai</f>
        <v>25.347608709247</v>
      </c>
      <c r="H13733" s="6" t="n">
        <f aca="false">Sens!G13733*(1-1/life_nonai)+(Sens!H13741)/life_nonai</f>
        <v>27.4750934833125</v>
      </c>
      <c r="I13733" s="6" t="n">
        <f aca="false">Sens!H13733*(1-1/life_nonai)+(Sens!I13741)/life_nonai</f>
        <v>29.9140127982598</v>
      </c>
      <c r="J13733" s="6" t="n">
        <f aca="false">Sens!I13733*(1-1/life_nonai)+(Sens!J13741)/life_nonai</f>
        <v>32.5895147654561</v>
      </c>
      <c r="K13733" s="6" t="n">
        <f aca="false">Sens!J13733*(1-1/life_nonai)+(Sens!K13741)/life_nonai</f>
        <v>35.4171979437481</v>
      </c>
      <c r="L13733" s="12" t="s">
        <v>1099</v>
      </c>
    </row>
    <row r="13734" customFormat="false" ht="17.15" hidden="false" customHeight="false" outlineLevel="0" collapsed="false">
      <c r="A13734" s="1" t="s">
        <v>1100</v>
      </c>
      <c r="B13734" s="0" t="s">
        <v>98</v>
      </c>
      <c r="F13734" s="6" t="n">
        <f aca="false">Sens!$F$13742/life_nonai*(1-1/life_nonai)^(Sens!F13614-2027)</f>
        <v>0</v>
      </c>
      <c r="G13734" s="6" t="n">
        <f aca="false">Sens!$F$13742/life_nonai*(1-1/life_nonai)^(Sens!G13614-2027)</f>
        <v>0</v>
      </c>
      <c r="H13734" s="6" t="n">
        <f aca="false">Sens!$F$13742/life_nonai*(1-1/life_nonai)^(Sens!H13614-2027)</f>
        <v>0</v>
      </c>
      <c r="I13734" s="6" t="n">
        <f aca="false">Sens!$F$13742/life_nonai*(1-1/life_nonai)^(Sens!I13614-2027)</f>
        <v>0</v>
      </c>
      <c r="J13734" s="6" t="n">
        <f aca="false">Sens!$F$13742/life_nonai*(1-1/life_nonai)^(Sens!J13614-2027)</f>
        <v>0</v>
      </c>
      <c r="K13734" s="6" t="n">
        <f aca="false">Sens!$F$13742/life_nonai*(1-1/life_nonai)^(Sens!K13614-2027)</f>
        <v>0</v>
      </c>
      <c r="L13734" s="1" t="s">
        <v>1101</v>
      </c>
    </row>
    <row r="13735" customFormat="false" ht="17.15" hidden="false" customHeight="false" outlineLevel="0" collapsed="false">
      <c r="A13735" s="1" t="s">
        <v>1102</v>
      </c>
      <c r="B13735" s="0" t="s">
        <v>98</v>
      </c>
      <c r="E13735" s="6" t="n">
        <f aca="false">Sens!E13651+Sens!E13733</f>
        <v>38.534</v>
      </c>
      <c r="F13735" s="6" t="n">
        <f aca="false">Sens!F13651+Sens!F13733</f>
        <v>58.1676550063068</v>
      </c>
      <c r="G13735" s="6" t="n">
        <f aca="false">Sens!G13651+Sens!G13733</f>
        <v>86.0820993615459</v>
      </c>
      <c r="H13735" s="6" t="n">
        <f aca="false">Sens!H13651+Sens!H13733</f>
        <v>116.575184144758</v>
      </c>
      <c r="I13735" s="6" t="n">
        <f aca="false">Sens!I13651+Sens!I13733</f>
        <v>144.145022492808</v>
      </c>
      <c r="J13735" s="6" t="n">
        <f aca="false">Sens!J13651+Sens!J13733</f>
        <v>164.605187815052</v>
      </c>
      <c r="K13735" s="6" t="n">
        <f aca="false">Sens!K13651+Sens!K13733</f>
        <v>178.429867494682</v>
      </c>
    </row>
    <row r="13736" customFormat="false" ht="17.15" hidden="false" customHeight="false" outlineLevel="0" collapsed="false">
      <c r="A13736" s="1" t="s">
        <v>1103</v>
      </c>
      <c r="B13736" s="0" t="s">
        <v>98</v>
      </c>
      <c r="F13736" s="6" t="n">
        <f aca="false">Sens!F13678*sbc_r</f>
        <v>14.7454787486369</v>
      </c>
      <c r="G13736" s="6" t="n">
        <f aca="false">Sens!G13678*sbc_r</f>
        <v>17.1560811611477</v>
      </c>
      <c r="H13736" s="6" t="n">
        <f aca="false">Sens!H13678*sbc_r</f>
        <v>19.4112161412813</v>
      </c>
      <c r="I13736" s="6" t="n">
        <f aca="false">Sens!I13678*sbc_r</f>
        <v>21.7655163708747</v>
      </c>
      <c r="J13736" s="6" t="n">
        <f aca="false">Sens!J13678*sbc_r</f>
        <v>23.7425689489627</v>
      </c>
      <c r="K13736" s="6" t="n">
        <f aca="false">Sens!K13678*sbc_r</f>
        <v>25.3560408997772</v>
      </c>
    </row>
    <row r="13737" customFormat="false" ht="17.15" hidden="false" customHeight="false" outlineLevel="0" collapsed="false">
      <c r="A13737" s="1" t="s">
        <v>1104</v>
      </c>
      <c r="B13737" s="0" t="s">
        <v>98</v>
      </c>
      <c r="F13737" s="6" t="n">
        <f aca="false">wc27-wc26q1</f>
        <v>-4.677</v>
      </c>
      <c r="G13737" s="6" t="n">
        <f aca="false">wc_f</f>
        <v>0</v>
      </c>
      <c r="H13737" s="6" t="n">
        <f aca="false">wc_f</f>
        <v>0</v>
      </c>
      <c r="I13737" s="6" t="n">
        <f aca="false">wc_f</f>
        <v>0</v>
      </c>
      <c r="J13737" s="6" t="n">
        <f aca="false">wc_f</f>
        <v>0</v>
      </c>
      <c r="K13737" s="6" t="n">
        <f aca="false">wc_f</f>
        <v>0</v>
      </c>
      <c r="L13737" s="12" t="s">
        <v>1105</v>
      </c>
    </row>
    <row r="13738" customFormat="false" ht="17.15" hidden="false" customHeight="false" outlineLevel="0" collapsed="false">
      <c r="A13738" s="0" t="s">
        <v>1106</v>
      </c>
      <c r="B13738" s="0" t="s">
        <v>98</v>
      </c>
      <c r="F13738" s="6" t="n">
        <f aca="false">Q!$I$35-Q!$I$26-Q!$I$38-Q!$I$39</f>
        <v>6.493</v>
      </c>
      <c r="L13738" s="1" t="s">
        <v>1107</v>
      </c>
    </row>
    <row r="13739" customFormat="false" ht="15" hidden="false" customHeight="false" outlineLevel="0" collapsed="false">
      <c r="A13739" s="1" t="s">
        <v>904</v>
      </c>
      <c r="B13739" s="0" t="s">
        <v>98</v>
      </c>
      <c r="E13739" s="6" t="n">
        <f aca="false">Q!M35</f>
        <v>182.935</v>
      </c>
      <c r="F13739" s="6" t="n">
        <f aca="false">Sens!F13732+Sens!F13735+Sens!F13736+Sens!F13737+Sens!F13738</f>
        <v>220.456998476471</v>
      </c>
      <c r="G13739" s="6" t="n">
        <f aca="false">Sens!G13732+Sens!G13735+Sens!G13736+Sens!G13737</f>
        <v>253.130120924593</v>
      </c>
      <c r="H13739" s="6" t="n">
        <f aca="false">Sens!H13732+Sens!H13735+Sens!H13736+Sens!H13737</f>
        <v>288.258598436657</v>
      </c>
      <c r="I13739" s="6" t="n">
        <f aca="false">Sens!I13732+Sens!I13735+Sens!I13736+Sens!I13737</f>
        <v>326.89157621361</v>
      </c>
      <c r="J13739" s="6" t="n">
        <f aca="false">Sens!J13732+Sens!J13735+Sens!J13736+Sens!J13737</f>
        <v>359.309073959172</v>
      </c>
      <c r="K13739" s="6" t="n">
        <f aca="false">Sens!K13732+Sens!K13735+Sens!K13736+Sens!K13737</f>
        <v>385.868748703764</v>
      </c>
    </row>
    <row r="13740" customFormat="false" ht="17.15" hidden="false" customHeight="false" outlineLevel="0" collapsed="false">
      <c r="A13740" s="0" t="s">
        <v>1108</v>
      </c>
      <c r="B13740" s="0" t="s">
        <v>98</v>
      </c>
      <c r="F13740" s="6" t="n">
        <f aca="false">Sens!F13648</f>
        <v>168.45390404212</v>
      </c>
      <c r="G13740" s="6" t="n">
        <f aca="false">Sens!G13648</f>
        <v>191.944475649048</v>
      </c>
      <c r="H13740" s="6" t="n">
        <f aca="false">Sens!H13648</f>
        <v>196.806004064512</v>
      </c>
      <c r="I13740" s="6" t="n">
        <f aca="false">Sens!I13648</f>
        <v>168.61483362161</v>
      </c>
      <c r="J13740" s="6" t="n">
        <f aca="false">Sens!J13648</f>
        <v>128.92993119594</v>
      </c>
      <c r="K13740" s="6" t="n">
        <f aca="false">Sens!K13648</f>
        <v>118.962853064733</v>
      </c>
    </row>
    <row r="13741" customFormat="false" ht="17.15" hidden="false" customHeight="false" outlineLevel="0" collapsed="false">
      <c r="A13741" s="1" t="s">
        <v>1109</v>
      </c>
      <c r="B13741" s="0" t="s">
        <v>98</v>
      </c>
      <c r="E13741" s="6" t="n">
        <f aca="false">Sens!E13656*cx_azo+Sens!E13663*cx_m365+Sens!E13664*cx_lic+(Sens!E13666+Sens!E13668)*cx_ind+Sens!E13671*cx_srch+(Sens!E13673+Sens!E13675)*cx_dev</f>
        <v>30.1846587067718</v>
      </c>
      <c r="F13741" s="6" t="n">
        <f aca="false">Sens!F13656*cx_azo+Sens!F13663*cx_m365+Sens!F13664*cx_lic+(Sens!F13666+Sens!F13668)*cx_ind+Sens!F13671*cx_srch+(Sens!F13673+Sens!F13675)*cx_dev</f>
        <v>35.826059073302</v>
      </c>
      <c r="G13741" s="6" t="n">
        <f aca="false">Sens!G13656*cx_azo+Sens!G13663*cx_m365+Sens!G13664*cx_lic+(Sens!G13666+Sens!G13668)*cx_ind+Sens!G13671*cx_srch+(Sens!G13673+Sens!G13675)*cx_dev</f>
        <v>41.1810223408732</v>
      </c>
      <c r="H13741" s="6" t="n">
        <f aca="false">Sens!H13656*cx_azo+Sens!H13663*cx_m365+Sens!H13664*cx_lic+(Sens!H13666+Sens!H13668)*cx_ind+Sens!H13671*cx_srch+(Sens!H13673+Sens!H13675)*cx_dev</f>
        <v>46.6224564499022</v>
      </c>
      <c r="I13741" s="6" t="n">
        <f aca="false">Sens!I13656*cx_azo+Sens!I13663*cx_m365+Sens!I13664*cx_lic+(Sens!I13666+Sens!I13668)*cx_ind+Sens!I13671*cx_srch+(Sens!I13673+Sens!I13675)*cx_dev</f>
        <v>51.8642866327854</v>
      </c>
      <c r="J13741" s="6" t="n">
        <f aca="false">Sens!J13656*cx_azo+Sens!J13663*cx_m365+Sens!J13664*cx_lic+(Sens!J13666+Sens!J13668)*cx_ind+Sens!J13671*cx_srch+(Sens!J13673+Sens!J13675)*cx_dev</f>
        <v>56.6690324702225</v>
      </c>
      <c r="K13741" s="6" t="n">
        <f aca="false">Sens!K13656*cx_azo+Sens!K13663*cx_m365+Sens!K13664*cx_lic+(Sens!K13666+Sens!K13668)*cx_ind+Sens!K13671*cx_srch+(Sens!K13673+Sens!K13675)*cx_dev</f>
        <v>60.866346548376</v>
      </c>
    </row>
    <row r="13742" customFormat="false" ht="17.15" hidden="false" customHeight="false" outlineLevel="0" collapsed="false">
      <c r="A13742" s="0" t="s">
        <v>1110</v>
      </c>
      <c r="B13742" s="0" t="s">
        <v>98</v>
      </c>
      <c r="F13742" s="6" t="n">
        <f aca="false">Sens!F13646</f>
        <v>0</v>
      </c>
      <c r="L13742" s="1" t="s">
        <v>1111</v>
      </c>
    </row>
    <row r="13743" customFormat="false" ht="17.15" hidden="false" customHeight="false" outlineLevel="0" collapsed="false">
      <c r="A13743" s="1" t="s">
        <v>1112</v>
      </c>
      <c r="B13743" s="0" t="s">
        <v>98</v>
      </c>
      <c r="E13743" s="6" t="n">
        <f aca="false">Q!M43</f>
        <v>145.3</v>
      </c>
      <c r="F13743" s="6" t="n">
        <f aca="false">Sens!F13740+Sens!F13741+Sens!F13742</f>
        <v>204.279963115422</v>
      </c>
      <c r="G13743" s="6" t="n">
        <f aca="false">Sens!G13740+Sens!G13741</f>
        <v>233.125497989921</v>
      </c>
      <c r="H13743" s="6" t="n">
        <f aca="false">Sens!H13740+Sens!H13741</f>
        <v>243.428460514415</v>
      </c>
      <c r="I13743" s="6" t="n">
        <f aca="false">Sens!I13740+Sens!I13741</f>
        <v>220.479120254396</v>
      </c>
      <c r="J13743" s="6" t="n">
        <f aca="false">Sens!J13740+Sens!J13741</f>
        <v>185.598963666163</v>
      </c>
      <c r="K13743" s="6" t="n">
        <f aca="false">Sens!K13740+Sens!K13741</f>
        <v>179.829199613109</v>
      </c>
      <c r="L13743" s="1" t="s">
        <v>1113</v>
      </c>
    </row>
    <row r="13744" customFormat="false" ht="15" hidden="false" customHeight="false" outlineLevel="0" collapsed="false">
      <c r="A13744" s="1" t="s">
        <v>1114</v>
      </c>
      <c r="B13744" s="0" t="s">
        <v>98</v>
      </c>
      <c r="E13744" s="6" t="n">
        <f aca="false">fl_liab</f>
        <v>66.594</v>
      </c>
      <c r="F13744" s="6" t="n">
        <f aca="false">Sens!E13744-Sens!F13745</f>
        <v>62.46973</v>
      </c>
      <c r="G13744" s="6" t="n">
        <f aca="false">Sens!F13744-Sens!G13745</f>
        <v>57.98686785</v>
      </c>
      <c r="H13744" s="6" t="n">
        <f aca="false">Sens!G13744-Sens!H13745</f>
        <v>53.92827690325</v>
      </c>
      <c r="I13744" s="6" t="n">
        <f aca="false">Sens!H13744-Sens!I13745</f>
        <v>49.7850493638962</v>
      </c>
      <c r="J13744" s="6" t="n">
        <f aca="false">Sens!I13744-Sens!J13745</f>
        <v>45.4823765852716</v>
      </c>
      <c r="K13744" s="6" t="n">
        <f aca="false">Sens!J13744-Sens!K13745</f>
        <v>40.9860835316088</v>
      </c>
    </row>
    <row r="13745" customFormat="false" ht="15" hidden="false" customHeight="false" outlineLevel="0" collapsed="false">
      <c r="A13745" s="1" t="s">
        <v>1115</v>
      </c>
      <c r="B13745" s="0" t="s">
        <v>98</v>
      </c>
      <c r="F13745" s="6" t="n">
        <f aca="false">fl_pay_27-Sens!E13744*fl_rate</f>
        <v>4.12427</v>
      </c>
      <c r="G13745" s="6" t="n">
        <f aca="false">fl_pay_28-Sens!F13744*fl_rate</f>
        <v>4.48286215</v>
      </c>
      <c r="H13745" s="6" t="n">
        <f aca="false">fl_pay_29-Sens!G13744*fl_rate</f>
        <v>4.05859094675</v>
      </c>
      <c r="I13745" s="6" t="n">
        <f aca="false">fl_pay_30-Sens!H13744*fl_rate</f>
        <v>4.14322753935375</v>
      </c>
      <c r="J13745" s="6" t="n">
        <f aca="false">fl_pay_31-Sens!I13744*fl_rate</f>
        <v>4.30267277862467</v>
      </c>
      <c r="K13745" s="6" t="n">
        <f aca="false">fl_pay_32-Sens!J13744*fl_rate</f>
        <v>4.49629305366278</v>
      </c>
    </row>
    <row r="13746" customFormat="false" ht="17.15" hidden="false" customHeight="false" outlineLevel="0" collapsed="false">
      <c r="A13746" s="1" t="s">
        <v>1116</v>
      </c>
      <c r="B13746" s="0" t="s">
        <v>98</v>
      </c>
      <c r="E13746" s="6" t="n">
        <f aca="false">Q!M35-Q!M36-Q!M44</f>
        <v>63.886</v>
      </c>
      <c r="F13746" s="6" t="n">
        <f aca="false">Sens!F13739-Sens!F13743-Sens!F13745</f>
        <v>12.0527653610491</v>
      </c>
      <c r="G13746" s="6" t="n">
        <f aca="false">Sens!G13739-Sens!G13743-Sens!G13745</f>
        <v>15.5217607846719</v>
      </c>
      <c r="H13746" s="6" t="n">
        <f aca="false">Sens!H13739-Sens!H13743-Sens!H13745</f>
        <v>40.771546975492</v>
      </c>
      <c r="I13746" s="6" t="n">
        <f aca="false">Sens!I13739-Sens!I13743-Sens!I13745</f>
        <v>102.26922841986</v>
      </c>
      <c r="J13746" s="6" t="n">
        <f aca="false">Sens!J13739-Sens!J13743-Sens!J13745</f>
        <v>169.407437514385</v>
      </c>
      <c r="K13746" s="6" t="n">
        <f aca="false">Sens!K13739-Sens!K13743-Sens!K13745</f>
        <v>201.543256036992</v>
      </c>
      <c r="L13746" s="12" t="s">
        <v>1117</v>
      </c>
    </row>
    <row r="13747" customFormat="false" ht="15" hidden="false" customHeight="false" outlineLevel="0" collapsed="false">
      <c r="A13747" s="1" t="s">
        <v>1118</v>
      </c>
      <c r="B13747" s="0" t="s">
        <v>75</v>
      </c>
      <c r="F13747" s="8" t="n">
        <f aca="false">dps_27</f>
        <v>3.85</v>
      </c>
      <c r="G13747" s="8" t="n">
        <f aca="false">Sens!F13747*(1+dps_g)</f>
        <v>4.158</v>
      </c>
      <c r="H13747" s="8" t="n">
        <f aca="false">Sens!G13747*(1+dps_g)</f>
        <v>4.49064</v>
      </c>
      <c r="I13747" s="8" t="n">
        <f aca="false">Sens!H13747*(1+dps_g)</f>
        <v>4.8498912</v>
      </c>
      <c r="J13747" s="8" t="n">
        <f aca="false">Sens!I13747*(1+dps_g)</f>
        <v>5.237882496</v>
      </c>
      <c r="K13747" s="8" t="n">
        <f aca="false">Sens!J13747*(1+dps_g)</f>
        <v>5.65691309568</v>
      </c>
    </row>
    <row r="13748" customFormat="false" ht="17.15" hidden="false" customHeight="false" outlineLevel="0" collapsed="false">
      <c r="A13748" s="1" t="s">
        <v>1119</v>
      </c>
      <c r="B13748" s="0" t="s">
        <v>98</v>
      </c>
      <c r="E13748" s="6" t="n">
        <f aca="false">Q!M41</f>
        <v>26.445</v>
      </c>
      <c r="F13748" s="6" t="n">
        <f aca="false">Sens!F13747*Sens!E13757</f>
        <v>28.59395</v>
      </c>
      <c r="G13748" s="6" t="n">
        <f aca="false">Sens!G13747*Sens!F13757</f>
        <v>31.0606508148601</v>
      </c>
      <c r="H13748" s="6" t="n">
        <f aca="false">Sens!H13747*Sens!G13757</f>
        <v>33.7475816800489</v>
      </c>
      <c r="I13748" s="6" t="n">
        <f aca="false">Sens!I13747*Sens!H13757</f>
        <v>36.627786438295</v>
      </c>
      <c r="J13748" s="6" t="n">
        <f aca="false">Sens!J13747*Sens!I13757</f>
        <v>39.6259072387512</v>
      </c>
      <c r="K13748" s="6" t="n">
        <f aca="false">Sens!K13747*Sens!J13757</f>
        <v>42.8827340802296</v>
      </c>
      <c r="L13748" s="1" t="s">
        <v>1120</v>
      </c>
    </row>
    <row r="13749" customFormat="false" ht="15" hidden="false" customHeight="false" outlineLevel="0" collapsed="false">
      <c r="A13749" s="1" t="s">
        <v>1121</v>
      </c>
      <c r="B13749" s="0" t="s">
        <v>98</v>
      </c>
      <c r="E13749" s="6" t="n">
        <f aca="false">Sens!E13746-Sens!E13748</f>
        <v>37.441</v>
      </c>
      <c r="F13749" s="6" t="n">
        <f aca="false">Sens!F13746-Sens!F13748</f>
        <v>-16.5411846389509</v>
      </c>
      <c r="G13749" s="6" t="n">
        <f aca="false">Sens!G13746-Sens!G13748</f>
        <v>-15.5388900301881</v>
      </c>
      <c r="H13749" s="6" t="n">
        <f aca="false">Sens!H13746-Sens!H13748</f>
        <v>7.02396529544309</v>
      </c>
      <c r="I13749" s="6" t="n">
        <f aca="false">Sens!I13746-Sens!I13748</f>
        <v>65.6414419815651</v>
      </c>
      <c r="J13749" s="6" t="n">
        <f aca="false">Sens!J13746-Sens!J13748</f>
        <v>129.781530275633</v>
      </c>
      <c r="K13749" s="6" t="n">
        <f aca="false">Sens!K13746-Sens!K13748</f>
        <v>158.660521956763</v>
      </c>
    </row>
    <row r="13750" customFormat="false" ht="15" hidden="false" customHeight="false" outlineLevel="0" collapsed="false">
      <c r="A13750" s="1" t="s">
        <v>1122</v>
      </c>
      <c r="B13750" s="0" t="s">
        <v>98</v>
      </c>
      <c r="F13750" s="6" t="n">
        <f aca="false">debt_mat_27</f>
        <v>9.25</v>
      </c>
      <c r="G13750" s="6" t="n">
        <f aca="false">debt_mat_28</f>
        <v>0</v>
      </c>
      <c r="H13750" s="6" t="n">
        <f aca="false">debt_mat_29</f>
        <v>2.001</v>
      </c>
      <c r="I13750" s="6" t="n">
        <f aca="false">debt_mat_30</f>
        <v>0</v>
      </c>
      <c r="J13750" s="6" t="n">
        <f aca="false">debt_mat_31</f>
        <v>0.5</v>
      </c>
      <c r="K13750" s="6" t="n">
        <f aca="false">debt_mat_32</f>
        <v>0</v>
      </c>
    </row>
    <row r="13751" customFormat="false" ht="15" hidden="false" customHeight="false" outlineLevel="0" collapsed="false">
      <c r="A13751" s="1" t="s">
        <v>1123</v>
      </c>
      <c r="B13751" s="0" t="s">
        <v>98</v>
      </c>
      <c r="E13751" s="6" t="n">
        <f aca="false">Q!M40</f>
        <v>22.271</v>
      </c>
      <c r="F13751" s="6" t="n">
        <f aca="false">MAX(0,MIN(bb_target,Sens!E13753+Sens!F13749-Sens!F13750-min_cash))</f>
        <v>1.05181536104915</v>
      </c>
      <c r="G13751" s="6" t="n">
        <f aca="false">MAX(0,MIN(bb_target,Sens!F13753+Sens!G13749-Sens!G13750-min_cash))</f>
        <v>0</v>
      </c>
      <c r="H13751" s="6" t="n">
        <f aca="false">MAX(0,MIN(bb_target,Sens!G13753+Sens!H13749-Sens!H13750-min_cash))</f>
        <v>5.02296529544309</v>
      </c>
      <c r="I13751" s="6" t="n">
        <f aca="false">MAX(0,MIN(bb_target,Sens!H13753+Sens!I13749-Sens!I13750-min_cash))</f>
        <v>22.271</v>
      </c>
      <c r="J13751" s="6" t="n">
        <f aca="false">MAX(0,MIN(bb_target,Sens!I13753+Sens!J13749-Sens!J13750-min_cash))</f>
        <v>22.271</v>
      </c>
      <c r="K13751" s="6" t="n">
        <f aca="false">MAX(0,MIN(bb_target,Sens!J13753+Sens!K13749-Sens!K13750-min_cash))</f>
        <v>22.271</v>
      </c>
    </row>
    <row r="13752" customFormat="false" ht="15" hidden="false" customHeight="false" outlineLevel="0" collapsed="false">
      <c r="A13752" s="1" t="s">
        <v>1124</v>
      </c>
      <c r="B13752" s="0" t="s">
        <v>98</v>
      </c>
      <c r="F13752" s="6" t="n">
        <f aca="false">MAX(0,min_cash-(Sens!E13753+Sens!F13749-Sens!F13750-Sens!F13751))</f>
        <v>0</v>
      </c>
      <c r="G13752" s="6" t="n">
        <f aca="false">MAX(0,min_cash-(Sens!F13753+Sens!G13749-Sens!G13750-Sens!G13751))</f>
        <v>15.5388900301881</v>
      </c>
      <c r="H13752" s="6" t="n">
        <f aca="false">MAX(0,min_cash-(Sens!G13753+Sens!H13749-Sens!H13750-Sens!H13751))</f>
        <v>0</v>
      </c>
      <c r="I13752" s="6" t="n">
        <f aca="false">MAX(0,min_cash-(Sens!H13753+Sens!I13749-Sens!I13750-Sens!I13751))</f>
        <v>0</v>
      </c>
      <c r="J13752" s="6" t="n">
        <f aca="false">MAX(0,min_cash-(Sens!I13753+Sens!J13749-Sens!J13750-Sens!J13751))</f>
        <v>0</v>
      </c>
      <c r="K13752" s="6" t="n">
        <f aca="false">MAX(0,min_cash-(Sens!J13753+Sens!K13749-Sens!K13750-Sens!K13751))</f>
        <v>0</v>
      </c>
    </row>
    <row r="13753" customFormat="false" ht="15" hidden="false" customHeight="false" outlineLevel="0" collapsed="false">
      <c r="A13753" s="1" t="s">
        <v>1125</v>
      </c>
      <c r="B13753" s="0" t="s">
        <v>98</v>
      </c>
      <c r="E13753" s="6" t="n">
        <f aca="false">cash_open</f>
        <v>76.843</v>
      </c>
      <c r="F13753" s="6" t="n">
        <f aca="false">Sens!E13753+Sens!F13749-Sens!F13750-Sens!F13751+Sens!F13752</f>
        <v>50</v>
      </c>
      <c r="G13753" s="6" t="n">
        <f aca="false">Sens!F13753+Sens!G13749-Sens!G13750-Sens!G13751+Sens!G13752</f>
        <v>50</v>
      </c>
      <c r="H13753" s="6" t="n">
        <f aca="false">Sens!G13753+Sens!H13749-Sens!H13750-Sens!H13751+Sens!H13752</f>
        <v>50</v>
      </c>
      <c r="I13753" s="6" t="n">
        <f aca="false">Sens!H13753+Sens!I13749-Sens!I13750-Sens!I13751+Sens!I13752</f>
        <v>93.3704419815651</v>
      </c>
      <c r="J13753" s="6" t="n">
        <f aca="false">Sens!I13753+Sens!J13749-Sens!J13750-Sens!J13751+Sens!J13752</f>
        <v>200.380972257198</v>
      </c>
      <c r="K13753" s="6" t="n">
        <f aca="false">Sens!J13753+Sens!K13749-Sens!K13750-Sens!K13751+Sens!K13752</f>
        <v>336.770494213961</v>
      </c>
    </row>
    <row r="13754" customFormat="false" ht="15" hidden="false" customHeight="false" outlineLevel="0" collapsed="false">
      <c r="A13754" s="1" t="s">
        <v>1126</v>
      </c>
      <c r="B13754" s="0" t="s">
        <v>98</v>
      </c>
      <c r="E13754" s="6" t="n">
        <f aca="false">debt_face</f>
        <v>46.136</v>
      </c>
      <c r="F13754" s="6" t="n">
        <f aca="false">Sens!E13754-Sens!F13750+Sens!F13752</f>
        <v>36.886</v>
      </c>
      <c r="G13754" s="6" t="n">
        <f aca="false">Sens!F13754-Sens!G13750+Sens!G13752</f>
        <v>52.4248900301881</v>
      </c>
      <c r="H13754" s="6" t="n">
        <f aca="false">Sens!G13754-Sens!H13750+Sens!H13752</f>
        <v>50.4238900301882</v>
      </c>
      <c r="I13754" s="6" t="n">
        <f aca="false">Sens!H13754-Sens!I13750+Sens!I13752</f>
        <v>50.4238900301882</v>
      </c>
      <c r="J13754" s="6" t="n">
        <f aca="false">Sens!I13754-Sens!J13750+Sens!J13752</f>
        <v>49.9238900301882</v>
      </c>
      <c r="K13754" s="6" t="n">
        <f aca="false">Sens!J13754-Sens!K13750+Sens!K13752</f>
        <v>49.9238900301882</v>
      </c>
    </row>
    <row r="13755" customFormat="false" ht="15" hidden="false" customHeight="false" outlineLevel="0" collapsed="false">
      <c r="A13755" s="1" t="s">
        <v>1127</v>
      </c>
      <c r="B13755" s="0" t="s">
        <v>98</v>
      </c>
      <c r="E13755" s="6" t="n">
        <f aca="false">Sens!E13753-Sens!E13754</f>
        <v>30.707</v>
      </c>
      <c r="F13755" s="6" t="n">
        <f aca="false">Sens!F13753-Sens!F13754</f>
        <v>13.114</v>
      </c>
      <c r="G13755" s="6" t="n">
        <f aca="false">Sens!G13753-Sens!G13754</f>
        <v>-2.42489003018815</v>
      </c>
      <c r="H13755" s="6" t="n">
        <f aca="false">Sens!H13753-Sens!H13754</f>
        <v>-0.423890030188147</v>
      </c>
      <c r="I13755" s="6" t="n">
        <f aca="false">Sens!I13753-Sens!I13754</f>
        <v>42.946551951377</v>
      </c>
      <c r="J13755" s="6" t="n">
        <f aca="false">Sens!J13753-Sens!J13754</f>
        <v>150.45708222701</v>
      </c>
      <c r="K13755" s="6" t="n">
        <f aca="false">Sens!K13753-Sens!K13754</f>
        <v>286.846604183773</v>
      </c>
    </row>
    <row r="13756" customFormat="false" ht="15" hidden="false" customHeight="false" outlineLevel="0" collapsed="false">
      <c r="A13756" s="1" t="s">
        <v>1128</v>
      </c>
      <c r="B13756" s="0" t="s">
        <v>75</v>
      </c>
      <c r="F13756" s="30" t="n">
        <f aca="false">px*(1+bb_g)^(Sens!F13614-base_fy-mid_yr)</f>
        <v>551.84177959629</v>
      </c>
      <c r="G13756" s="30" t="n">
        <f aca="false">px*(1+bb_g)^(Sens!G13614-base_fy-mid_yr)</f>
        <v>595.989121963993</v>
      </c>
      <c r="H13756" s="30" t="n">
        <f aca="false">px*(1+bb_g)^(Sens!H13614-base_fy-mid_yr)</f>
        <v>643.668251721112</v>
      </c>
      <c r="I13756" s="30" t="n">
        <f aca="false">px*(1+bb_g)^(Sens!I13614-base_fy-mid_yr)</f>
        <v>695.161711858801</v>
      </c>
      <c r="J13756" s="30" t="n">
        <f aca="false">px*(1+bb_g)^(Sens!J13614-base_fy-mid_yr)</f>
        <v>750.774648807506</v>
      </c>
      <c r="K13756" s="30" t="n">
        <f aca="false">px*(1+bb_g)^(Sens!K13614-base_fy-mid_yr)</f>
        <v>810.836620712106</v>
      </c>
    </row>
    <row r="13757" customFormat="false" ht="15" hidden="false" customHeight="false" outlineLevel="0" collapsed="false">
      <c r="A13757" s="1" t="s">
        <v>1129</v>
      </c>
      <c r="B13757" s="1" t="s">
        <v>81</v>
      </c>
      <c r="E13757" s="15" t="n">
        <f aca="false">sh_out26</f>
        <v>7.427</v>
      </c>
      <c r="F13757" s="15" t="n">
        <f aca="false">Sens!E13757+sh_iss-Sens!F13751/Sens!F13756</f>
        <v>7.47009399106784</v>
      </c>
      <c r="G13757" s="15" t="n">
        <f aca="false">Sens!F13757+sh_iss-Sens!G13751/Sens!G13756</f>
        <v>7.51509399106784</v>
      </c>
      <c r="H13757" s="15" t="n">
        <f aca="false">Sens!G13757+sh_iss-Sens!H13751/Sens!H13756</f>
        <v>7.55229033556361</v>
      </c>
      <c r="I13757" s="15" t="n">
        <f aca="false">Sens!H13757+sh_iss-Sens!I13751/Sens!I13756</f>
        <v>7.56525318561694</v>
      </c>
      <c r="J13757" s="15" t="n">
        <f aca="false">Sens!I13757+sh_iss-Sens!J13751/Sens!J13756</f>
        <v>7.58058915788855</v>
      </c>
      <c r="K13757" s="15" t="n">
        <f aca="false">Sens!J13757+sh_iss-Sens!K13751/Sens!K13756</f>
        <v>7.59812246554745</v>
      </c>
    </row>
    <row r="13758" customFormat="false" ht="15" hidden="false" customHeight="false" outlineLevel="0" collapsed="false">
      <c r="A13758" s="1" t="s">
        <v>1130</v>
      </c>
      <c r="B13758" s="1" t="s">
        <v>81</v>
      </c>
      <c r="E13758" s="15" t="n">
        <f aca="false">sh_dil26</f>
        <v>7.453</v>
      </c>
      <c r="F13758" s="15" t="n">
        <f aca="false">(Sens!E13757+Sens!F13757)/2+dil_gap</f>
        <v>7.47254699553392</v>
      </c>
      <c r="G13758" s="15" t="n">
        <f aca="false">(Sens!F13757+Sens!G13757)/2+dil_gap</f>
        <v>7.51659399106784</v>
      </c>
      <c r="H13758" s="15" t="n">
        <f aca="false">(Sens!G13757+Sens!H13757)/2+dil_gap</f>
        <v>7.55769216331572</v>
      </c>
      <c r="I13758" s="15" t="n">
        <f aca="false">(Sens!H13757+Sens!I13757)/2+dil_gap</f>
        <v>7.58277176059028</v>
      </c>
      <c r="J13758" s="15" t="n">
        <f aca="false">(Sens!I13757+Sens!J13757)/2+dil_gap</f>
        <v>7.59692117175275</v>
      </c>
      <c r="K13758" s="15" t="n">
        <f aca="false">(Sens!J13757+Sens!K13757)/2+dil_gap</f>
        <v>7.613355811718</v>
      </c>
    </row>
    <row r="13759" customFormat="false" ht="17.15" hidden="false" customHeight="false" outlineLevel="0" collapsed="false">
      <c r="A13759" s="1" t="s">
        <v>1131</v>
      </c>
      <c r="B13759" s="0" t="s">
        <v>98</v>
      </c>
      <c r="C13759" s="6" t="n">
        <f aca="false">SUM(Sens!F13749:J13749)</f>
        <v>170.366862883502</v>
      </c>
    </row>
    <row r="13760" customFormat="false" ht="15" hidden="false" customHeight="false" outlineLevel="0" collapsed="false">
      <c r="A13760" s="26" t="s">
        <v>1096</v>
      </c>
      <c r="B13760" s="31" t="s">
        <v>98</v>
      </c>
      <c r="C13760" s="27" t="n">
        <f aca="false">Sens!$C$13759-(Sens!F13749+Sens!G13749+Sens!H13749+Sens!I13749+Sens!J13749)</f>
        <v>0</v>
      </c>
      <c r="D13760" s="31"/>
      <c r="E13760" s="31"/>
      <c r="F13760" s="31"/>
      <c r="G13760" s="31"/>
      <c r="H13760" s="31"/>
      <c r="I13760" s="31"/>
      <c r="J13760" s="31"/>
      <c r="K13760" s="31"/>
    </row>
    <row r="13761" customFormat="false" ht="17.15" hidden="false" customHeight="false" outlineLevel="0" collapsed="false">
      <c r="A13761" s="1" t="s">
        <v>1090</v>
      </c>
      <c r="B13761" s="1" t="s">
        <v>1132</v>
      </c>
      <c r="C13761" s="33" t="str">
        <f aca="false">IF(SUM(Sens!F13752:J13752)&gt;0.05,"需要舉債 "&amp;TEXT(SUM(Sens!F13752:J13752),"0.0")&amp;" 十億美元","不需舉債")&amp;"；"&amp;IF(SUM(Sens!F13751:J13751)&lt;COUNT(Sens!F13751:J13751)*bb_target-0.05,"回購較每年 "&amp;TEXT(bb_target,"0.0")&amp;" 的目標少 "&amp;TEXT(COUNT(Sens!F13751:J13751)*bb_target-SUM(Sens!F13751:J13751),"0.0")&amp;" 十億美元（"&amp;TEXT(COUNTIF(Sens!F13751:J13751,"&lt;"&amp;(bb_target-0.05)),"0")&amp;" 年減少）","回購不減")</f>
        <v>需要舉債 15.5 十億美元；回購較每年 22.3 的目標少 60.7 十億美元（3 年減少）</v>
      </c>
    </row>
    <row r="13762" customFormat="false" ht="17.15" hidden="false" customHeight="false" outlineLevel="0" collapsed="false">
      <c r="A13762" s="3" t="s">
        <v>1824</v>
      </c>
    </row>
    <row r="13763" customFormat="false" ht="15" hidden="false" customHeight="false" outlineLevel="0" collapsed="false">
      <c r="A13763" s="4" t="s">
        <v>43</v>
      </c>
      <c r="B13763" s="4" t="s">
        <v>65</v>
      </c>
      <c r="C13763" s="23" t="s">
        <v>938</v>
      </c>
      <c r="D13763" s="23" t="s">
        <v>939</v>
      </c>
      <c r="E13763" s="23" t="s">
        <v>940</v>
      </c>
      <c r="F13763" s="23" t="s">
        <v>941</v>
      </c>
      <c r="G13763" s="23" t="s">
        <v>942</v>
      </c>
      <c r="H13763" s="23" t="s">
        <v>943</v>
      </c>
      <c r="I13763" s="23" t="s">
        <v>944</v>
      </c>
      <c r="J13763" s="23" t="s">
        <v>945</v>
      </c>
      <c r="K13763" s="23" t="s">
        <v>946</v>
      </c>
      <c r="L13763" s="4" t="s">
        <v>47</v>
      </c>
    </row>
    <row r="13764" customFormat="false" ht="17.15" hidden="false" customHeight="false" outlineLevel="0" collapsed="false">
      <c r="A13764" s="1" t="s">
        <v>1212</v>
      </c>
      <c r="B13764" s="1" t="s">
        <v>279</v>
      </c>
      <c r="F13764" s="8" t="n">
        <f aca="false">(1-v_off)*mid_yr</f>
        <v>0.373972602739726</v>
      </c>
      <c r="G13764" s="8" t="n">
        <f aca="false">Sens!G13614-base_fy-mid_yr-v_off</f>
        <v>1.24794520547945</v>
      </c>
      <c r="H13764" s="8" t="n">
        <f aca="false">Sens!H13614-base_fy-mid_yr-v_off</f>
        <v>2.24794520547945</v>
      </c>
      <c r="I13764" s="8" t="n">
        <f aca="false">Sens!I13614-base_fy-mid_yr-v_off</f>
        <v>3.24794520547945</v>
      </c>
      <c r="J13764" s="8" t="n">
        <f aca="false">Sens!J13614-base_fy-mid_yr-v_off</f>
        <v>4.24794520547945</v>
      </c>
      <c r="K13764" s="8" t="n">
        <f aca="false">Sens!K13614-base_fy-mid_yr-v_off</f>
        <v>5.24794520547945</v>
      </c>
      <c r="L13764" s="12" t="s">
        <v>1213</v>
      </c>
    </row>
    <row r="13765" customFormat="false" ht="15" hidden="false" customHeight="false" outlineLevel="0" collapsed="false">
      <c r="A13765" s="1" t="s">
        <v>1214</v>
      </c>
      <c r="B13765" s="1" t="s">
        <v>279</v>
      </c>
      <c r="F13765" s="8" t="n">
        <f aca="false">Sens!F13614-base_fy-v_off</f>
        <v>0.747945205479452</v>
      </c>
      <c r="G13765" s="8" t="n">
        <f aca="false">Sens!G13614-base_fy-v_off</f>
        <v>1.74794520547945</v>
      </c>
      <c r="H13765" s="8" t="n">
        <f aca="false">Sens!H13614-base_fy-v_off</f>
        <v>2.74794520547945</v>
      </c>
      <c r="I13765" s="8" t="n">
        <f aca="false">Sens!I13614-base_fy-v_off</f>
        <v>3.74794520547945</v>
      </c>
      <c r="J13765" s="8" t="n">
        <f aca="false">Sens!J13614-base_fy-v_off</f>
        <v>4.74794520547945</v>
      </c>
      <c r="K13765" s="8" t="n">
        <f aca="false">Sens!K13614-base_fy-v_off</f>
        <v>5.74794520547945</v>
      </c>
    </row>
    <row r="13766" customFormat="false" ht="15" hidden="false" customHeight="false" outlineLevel="0" collapsed="false">
      <c r="A13766" s="1" t="s">
        <v>1215</v>
      </c>
      <c r="B13766" s="0" t="s">
        <v>229</v>
      </c>
      <c r="F13766" s="15" t="n">
        <f aca="false">1/(1+wacc)^Sens!F13764</f>
        <v>0.964022703286649</v>
      </c>
      <c r="G13766" s="15" t="n">
        <f aca="false">1/(1+wacc)^Sens!G13764</f>
        <v>0.884910302296739</v>
      </c>
      <c r="H13766" s="15" t="n">
        <f aca="false">1/(1+wacc)^Sens!H13764</f>
        <v>0.802322009770358</v>
      </c>
      <c r="I13766" s="15" t="n">
        <f aca="false">1/(1+wacc)^Sens!I13764</f>
        <v>0.727441646561469</v>
      </c>
      <c r="J13766" s="15" t="n">
        <f aca="false">1/(1+wacc)^Sens!J13764</f>
        <v>0.659549834988973</v>
      </c>
      <c r="K13766" s="15" t="n">
        <f aca="false">1/(1+wacc)^Sens!K13764</f>
        <v>0.597994336576966</v>
      </c>
    </row>
    <row r="13767" customFormat="false" ht="17.15" hidden="false" customHeight="false" outlineLevel="0" collapsed="false">
      <c r="A13767" s="1" t="s">
        <v>1216</v>
      </c>
      <c r="B13767" s="0" t="s">
        <v>98</v>
      </c>
      <c r="F13767" s="6" t="n">
        <f aca="false">Q!$I$35-Q!$I$39-Q!$I$43</f>
        <v>9.666</v>
      </c>
      <c r="L13767" s="12" t="s">
        <v>1217</v>
      </c>
    </row>
    <row r="13768" customFormat="false" ht="17.15" hidden="false" customHeight="false" outlineLevel="0" collapsed="false">
      <c r="A13768" s="1" t="s">
        <v>1218</v>
      </c>
      <c r="B13768" s="0" t="s">
        <v>98</v>
      </c>
      <c r="F13768" s="6" t="n">
        <f aca="false">Sens!F13739-Sens!F13736-Sens!F13743+Sens!F13721*(1-tax_f)*(1-v_off)-Sens!F13767</f>
        <v>-1.95692204656941</v>
      </c>
      <c r="G13768" s="6" t="n">
        <f aca="false">Sens!G13739-Sens!G13736-Sens!G13743+Sens!G13721*(1-tax_f)</f>
        <v>24.9922591134698</v>
      </c>
      <c r="H13768" s="6" t="n">
        <f aca="false">Sens!H13739-Sens!H13736-Sens!H13743+Sens!H13721*(1-tax_f)</f>
        <v>62.4918861820663</v>
      </c>
      <c r="I13768" s="6" t="n">
        <f aca="false">Sens!I13739-Sens!I13736-Sens!I13743+Sens!I13721*(1-tax_f)</f>
        <v>135.048361838455</v>
      </c>
      <c r="J13768" s="6" t="n">
        <f aca="false">Sens!J13739-Sens!J13736-Sens!J13743+Sens!J13721*(1-tax_f)</f>
        <v>209.652439174607</v>
      </c>
      <c r="K13768" s="6" t="n">
        <f aca="false">Sens!K13739-Sens!K13736-Sens!K13743+Sens!K13721*(1-tax_f)</f>
        <v>245.731143165296</v>
      </c>
      <c r="L13768" s="1" t="s">
        <v>1219</v>
      </c>
    </row>
    <row r="13769" customFormat="false" ht="15" hidden="false" customHeight="false" outlineLevel="0" collapsed="false">
      <c r="A13769" s="1" t="s">
        <v>1220</v>
      </c>
      <c r="B13769" s="0" t="s">
        <v>98</v>
      </c>
      <c r="F13769" s="6" t="n">
        <f aca="false">Sens!F13768*Sens!F13766</f>
        <v>-1.88651728145508</v>
      </c>
      <c r="G13769" s="6" t="n">
        <f aca="false">Sens!G13768*Sens!G13766</f>
        <v>22.115907567179</v>
      </c>
      <c r="H13769" s="6" t="n">
        <f aca="false">Sens!H13768*Sens!H13766</f>
        <v>50.1386157159359</v>
      </c>
      <c r="I13769" s="6" t="n">
        <f aca="false">Sens!I13768*Sens!I13766</f>
        <v>98.2398027011945</v>
      </c>
      <c r="J13769" s="6" t="n">
        <f aca="false">Sens!J13768*Sens!J13766</f>
        <v>138.276231662648</v>
      </c>
      <c r="K13769" s="6" t="n">
        <f aca="false">Sens!K13768*Sens!K13766</f>
        <v>146.945831933431</v>
      </c>
    </row>
    <row r="13770" customFormat="false" ht="17.15" hidden="false" customHeight="false" outlineLevel="0" collapsed="false">
      <c r="A13770" s="1" t="s">
        <v>1221</v>
      </c>
      <c r="B13770" s="0" t="s">
        <v>98</v>
      </c>
      <c r="C13770" s="6" t="n">
        <f aca="false">SUM(Sens!F13769:K13769)</f>
        <v>453.829872298933</v>
      </c>
    </row>
    <row r="13771" customFormat="false" ht="17.15" hidden="false" customHeight="false" outlineLevel="0" collapsed="false">
      <c r="A13771" s="1" t="s">
        <v>1222</v>
      </c>
      <c r="B13771" s="0" t="s">
        <v>98</v>
      </c>
      <c r="C13771" s="6" t="n">
        <f aca="false">Sens!K13707*(1+g_tv)*(1-tax_f)</f>
        <v>255.533189542234</v>
      </c>
    </row>
    <row r="13772" customFormat="false" ht="17.15" hidden="false" customHeight="false" outlineLevel="0" collapsed="false">
      <c r="A13772" s="1" t="s">
        <v>1223</v>
      </c>
      <c r="B13772" s="0" t="s">
        <v>98</v>
      </c>
      <c r="C13772" s="6" t="n">
        <f aca="false">Sens!$C$13771*(1-g_tv/(wacc+ronic_prem))</f>
        <v>181.060199754584</v>
      </c>
    </row>
    <row r="13773" customFormat="false" ht="17.15" hidden="false" customHeight="false" outlineLevel="0" collapsed="false">
      <c r="A13773" s="1" t="s">
        <v>1224</v>
      </c>
      <c r="B13773" s="0" t="s">
        <v>98</v>
      </c>
      <c r="C13773" s="6" t="n">
        <f aca="false">Sens!$C$13772/(wacc-g_tv)</f>
        <v>2482.43299292169</v>
      </c>
    </row>
    <row r="13774" customFormat="false" ht="15" hidden="false" customHeight="false" outlineLevel="0" collapsed="false">
      <c r="A13774" s="1" t="s">
        <v>1225</v>
      </c>
      <c r="B13774" s="0" t="s">
        <v>98</v>
      </c>
      <c r="C13774" s="6" t="n">
        <f aca="false">Sens!$C$13773/(1+wacc)^Sens!K13765</f>
        <v>1413.51145725517</v>
      </c>
    </row>
    <row r="13775" customFormat="false" ht="17.15" hidden="false" customHeight="false" outlineLevel="0" collapsed="false">
      <c r="A13775" s="0" t="s">
        <v>1226</v>
      </c>
      <c r="B13775" s="0" t="s">
        <v>98</v>
      </c>
      <c r="C13775" s="6" t="n">
        <f aca="false">Sens!$C$13770+Sens!$C$13774</f>
        <v>1867.3413295541</v>
      </c>
    </row>
    <row r="13776" customFormat="false" ht="15" hidden="false" customHeight="false" outlineLevel="0" collapsed="false">
      <c r="A13776" s="1" t="s">
        <v>1141</v>
      </c>
      <c r="B13776" s="0" t="s">
        <v>168</v>
      </c>
      <c r="C13776" s="7" t="n">
        <f aca="false">Sens!$C$13774/Sens!$C$13775</f>
        <v>0.756964693537147</v>
      </c>
    </row>
    <row r="13777" customFormat="false" ht="17.15" hidden="false" customHeight="false" outlineLevel="0" collapsed="false">
      <c r="A13777" s="1" t="s">
        <v>1227</v>
      </c>
      <c r="B13777" s="0" t="s">
        <v>98</v>
      </c>
      <c r="C13777" s="6" t="n">
        <f aca="false">Sens!$C$13775+cash_val-debt_val-fl_val+oai_v</f>
        <v>1983.1923295541</v>
      </c>
    </row>
    <row r="13778" customFormat="false" ht="17.15" hidden="false" customHeight="false" outlineLevel="0" collapsed="false">
      <c r="A13778" s="0" t="s">
        <v>1149</v>
      </c>
      <c r="B13778" s="0" t="s">
        <v>75</v>
      </c>
      <c r="C13778" s="5" t="n">
        <f aca="false">Sens!$C$13777/shd_val</f>
        <v>266.343315814411</v>
      </c>
    </row>
    <row r="13779" customFormat="false" ht="15" hidden="false" customHeight="false" outlineLevel="0" collapsed="false">
      <c r="A13779" s="1" t="s">
        <v>1228</v>
      </c>
      <c r="B13779" s="0" t="s">
        <v>75</v>
      </c>
      <c r="C13779" s="8" t="n">
        <f aca="false">div_rem27+Sens!G13747*roll_div_q/q_per_yr</f>
        <v>3.9795</v>
      </c>
    </row>
    <row r="13780" customFormat="false" ht="17.15" hidden="false" customHeight="false" outlineLevel="0" collapsed="false">
      <c r="A13780" s="0" t="s">
        <v>1229</v>
      </c>
      <c r="B13780" s="0" t="s">
        <v>75</v>
      </c>
      <c r="C13780" s="5" t="n">
        <f aca="false">Sens!$C$13778*(1+wacc)^t_roll-Sens!$C$13779</f>
        <v>292.075960346285</v>
      </c>
    </row>
    <row r="13781" customFormat="false" ht="17.15" hidden="false" customHeight="false" outlineLevel="0" collapsed="false">
      <c r="A13781" s="1" t="s">
        <v>1230</v>
      </c>
      <c r="B13781" s="0" t="s">
        <v>168</v>
      </c>
      <c r="F13781" s="7" t="n">
        <f aca="false">Sens!F13733/(Sens!F13678-Sens!F13633)</f>
        <v>0.068677393452264</v>
      </c>
      <c r="G13781" s="7" t="n">
        <f aca="false">Sens!G13733/(Sens!G13678-Sens!G13633)</f>
        <v>0.0663132664471956</v>
      </c>
      <c r="H13781" s="7" t="n">
        <f aca="false">Sens!H13733/(Sens!H13678-Sens!H13633)</f>
        <v>0.0651363826734039</v>
      </c>
      <c r="I13781" s="7" t="n">
        <f aca="false">Sens!I13733/(Sens!I13678-Sens!I13633)</f>
        <v>0.0650087936347709</v>
      </c>
      <c r="J13781" s="7" t="n">
        <f aca="false">Sens!J13733/(Sens!J13678-Sens!J13633)</f>
        <v>0.0657212684841778</v>
      </c>
      <c r="K13781" s="7" t="n">
        <f aca="false">Sens!K13733/(Sens!K13678-Sens!K13633)</f>
        <v>0.0670413306015285</v>
      </c>
    </row>
    <row r="13782" customFormat="false" ht="17.15" hidden="false" customHeight="false" outlineLevel="0" collapsed="false">
      <c r="A13782" s="0" t="s">
        <v>1231</v>
      </c>
      <c r="B13782" s="0" t="s">
        <v>98</v>
      </c>
      <c r="F13782" s="6" t="n">
        <f aca="false">Sens!F13663*(al_m365+Sens!F13781+sbc_r)</f>
        <v>82.9185219618347</v>
      </c>
      <c r="G13782" s="6" t="n">
        <f aca="false">Sens!G13663*(al_m365+Sens!G13781+sbc_r)</f>
        <v>93.3068052157631</v>
      </c>
      <c r="H13782" s="6" t="n">
        <f aca="false">Sens!H13663*(al_m365+Sens!H13781+sbc_r)</f>
        <v>103.856057136159</v>
      </c>
      <c r="I13782" s="6" t="n">
        <f aca="false">Sens!I13663*(al_m365+Sens!I13781+sbc_r)</f>
        <v>113.889717587147</v>
      </c>
      <c r="J13782" s="6" t="n">
        <f aca="false">Sens!J13663*(al_m365+Sens!J13781+sbc_r)</f>
        <v>123.218477864124</v>
      </c>
      <c r="K13782" s="6" t="n">
        <f aca="false">Sens!K13663*(al_m365+Sens!K13781+sbc_r)</f>
        <v>132.149420086311</v>
      </c>
      <c r="L13782" s="12" t="s">
        <v>1232</v>
      </c>
    </row>
    <row r="13783" customFormat="false" ht="17.15" hidden="false" customHeight="false" outlineLevel="0" collapsed="false">
      <c r="A13783" s="0" t="s">
        <v>1233</v>
      </c>
      <c r="B13783" s="0" t="s">
        <v>98</v>
      </c>
      <c r="F13783" s="6" t="n">
        <f aca="false">Sens!F13664*(al_lic+Sens!F13781+sbc_r)</f>
        <v>32.8599853992256</v>
      </c>
      <c r="G13783" s="6" t="n">
        <f aca="false">Sens!G13664*(al_lic+Sens!G13781+sbc_r)</f>
        <v>34.1568280697879</v>
      </c>
      <c r="H13783" s="6" t="n">
        <f aca="false">Sens!H13664*(al_lic+Sens!H13781+sbc_r)</f>
        <v>35.3635535007213</v>
      </c>
      <c r="I13783" s="6" t="n">
        <f aca="false">Sens!I13664*(al_lic+Sens!I13781+sbc_r)</f>
        <v>36.4604537346553</v>
      </c>
      <c r="J13783" s="6" t="n">
        <f aca="false">Sens!J13664*(al_lic+Sens!J13781+sbc_r)</f>
        <v>37.4245888933574</v>
      </c>
      <c r="K13783" s="6" t="n">
        <f aca="false">Sens!K13664*(al_lic+Sens!K13781+sbc_r)</f>
        <v>38.2321483186439</v>
      </c>
    </row>
    <row r="13784" customFormat="false" ht="17.15" hidden="false" customHeight="false" outlineLevel="0" collapsed="false">
      <c r="A13784" s="0" t="s">
        <v>1234</v>
      </c>
      <c r="B13784" s="0" t="s">
        <v>98</v>
      </c>
      <c r="F13784" s="6" t="n">
        <f aca="false">Sens!F13666*(al_ind+Sens!F13781+sbc_r)</f>
        <v>9.06170747885803</v>
      </c>
      <c r="G13784" s="6" t="n">
        <f aca="false">Sens!G13666*(al_ind+Sens!G13781+sbc_r)</f>
        <v>9.8478979082138</v>
      </c>
      <c r="H13784" s="6" t="n">
        <f aca="false">Sens!H13666*(al_ind+Sens!H13781+sbc_r)</f>
        <v>10.6768254332059</v>
      </c>
      <c r="I13784" s="6" t="n">
        <f aca="false">Sens!I13666*(al_ind+Sens!I13781+sbc_r)</f>
        <v>11.54398793803</v>
      </c>
      <c r="J13784" s="6" t="n">
        <f aca="false">Sens!J13666*(al_ind+Sens!J13781+sbc_r)</f>
        <v>12.4407914253112</v>
      </c>
      <c r="K13784" s="6" t="n">
        <f aca="false">Sens!K13666*(al_ind+Sens!K13781+sbc_r)</f>
        <v>13.355239066864</v>
      </c>
    </row>
    <row r="13785" customFormat="false" ht="17.15" hidden="false" customHeight="false" outlineLevel="0" collapsed="false">
      <c r="A13785" s="0" t="s">
        <v>1235</v>
      </c>
      <c r="B13785" s="0" t="s">
        <v>98</v>
      </c>
      <c r="F13785" s="6" t="n">
        <f aca="false">Sens!F13668*(al_fro+Sens!F13781+sbc_r)</f>
        <v>3.55453569939552</v>
      </c>
      <c r="G13785" s="6" t="n">
        <f aca="false">Sens!G13668*(al_fro+Sens!G13781+sbc_r)</f>
        <v>3.76809436159872</v>
      </c>
      <c r="H13785" s="6" t="n">
        <f aca="false">Sens!H13668*(al_fro+Sens!H13781+sbc_r)</f>
        <v>4.00964905674607</v>
      </c>
      <c r="I13785" s="6" t="n">
        <f aca="false">Sens!I13668*(al_fro+Sens!I13781+sbc_r)</f>
        <v>4.28152633145235</v>
      </c>
      <c r="J13785" s="6" t="n">
        <f aca="false">Sens!J13668*(al_fro+Sens!J13781+sbc_r)</f>
        <v>4.58536512975975</v>
      </c>
      <c r="K13785" s="6" t="n">
        <f aca="false">Sens!K13668*(al_fro+Sens!K13781+sbc_r)</f>
        <v>4.92240770086468</v>
      </c>
    </row>
    <row r="13786" customFormat="false" ht="17.15" hidden="false" customHeight="false" outlineLevel="0" collapsed="false">
      <c r="A13786" s="0" t="s">
        <v>1236</v>
      </c>
      <c r="B13786" s="0" t="s">
        <v>98</v>
      </c>
      <c r="F13786" s="6" t="n">
        <f aca="false">Sens!F13671*(al_srch+Sens!F13781+sbc_r)</f>
        <v>11.190683952584</v>
      </c>
      <c r="G13786" s="6" t="n">
        <f aca="false">Sens!G13671*(al_srch+Sens!G13781+sbc_r)</f>
        <v>12.2763328717258</v>
      </c>
      <c r="H13786" s="6" t="n">
        <f aca="false">Sens!H13671*(al_srch+Sens!H13781+sbc_r)</f>
        <v>13.4043563346576</v>
      </c>
      <c r="I13786" s="6" t="n">
        <f aca="false">Sens!I13671*(al_srch+Sens!I13781+sbc_r)</f>
        <v>14.5621512181916</v>
      </c>
      <c r="J13786" s="6" t="n">
        <f aca="false">Sens!J13671*(al_srch+Sens!J13781+sbc_r)</f>
        <v>15.7310381862385</v>
      </c>
      <c r="K13786" s="6" t="n">
        <f aca="false">Sens!K13671*(al_srch+Sens!K13781+sbc_r)</f>
        <v>16.8873320486462</v>
      </c>
    </row>
    <row r="13787" customFormat="false" ht="17.15" hidden="false" customHeight="false" outlineLevel="0" collapsed="false">
      <c r="A13787" s="0" t="s">
        <v>1237</v>
      </c>
      <c r="B13787" s="0" t="s">
        <v>98</v>
      </c>
      <c r="F13787" s="6" t="n">
        <f aca="false">Sens!F13639-Sens!F13640+Sens!F13721</f>
        <v>38.8646429794913</v>
      </c>
      <c r="G13787" s="6" t="n">
        <f aca="false">Sens!G13639-Sens!G13640+Sens!G13721</f>
        <v>69.300497726016</v>
      </c>
      <c r="H13787" s="6" t="n">
        <f aca="false">Sens!H13639-Sens!H13640+Sens!H13721</f>
        <v>96.5897106808268</v>
      </c>
      <c r="I13787" s="6" t="n">
        <f aca="false">Sens!I13639-Sens!I13640+Sens!I13721</f>
        <v>127.384939766446</v>
      </c>
      <c r="J13787" s="6" t="n">
        <f aca="false">Sens!J13639-Sens!J13640+Sens!J13721</f>
        <v>149.008352681229</v>
      </c>
      <c r="K13787" s="6" t="n">
        <f aca="false">Sens!K13639-Sens!K13640+Sens!K13721</f>
        <v>162.401822021841</v>
      </c>
    </row>
    <row r="13788" customFormat="false" ht="17.15" hidden="false" customHeight="false" outlineLevel="0" collapsed="false">
      <c r="A13788" s="0" t="s">
        <v>1238</v>
      </c>
      <c r="B13788" s="0" t="s">
        <v>98</v>
      </c>
      <c r="F13788" s="6" t="n">
        <f aca="false">Sens!F13700+Sens!F13721+Sens!F13651+Sens!F13781*(Sens!F13670-Sens!F13633)+sbc_r*Sens!F13670</f>
        <v>238.979268175971</v>
      </c>
      <c r="G13788" s="6" t="n">
        <f aca="false">Sens!G13700+Sens!G13721+Sens!G13651+Sens!G13781*(Sens!G13670-Sens!G13633)+sbc_r*Sens!G13670</f>
        <v>291.653346984804</v>
      </c>
      <c r="H13788" s="6" t="n">
        <f aca="false">Sens!H13700+Sens!H13721+Sens!H13651+Sens!H13781*(Sens!H13670-Sens!H13633)+sbc_r*Sens!H13670</f>
        <v>345.09546400167</v>
      </c>
      <c r="I13788" s="6" t="n">
        <f aca="false">Sens!I13700+Sens!I13721+Sens!I13651+Sens!I13781*(Sens!I13670-Sens!I13633)+sbc_r*Sens!I13670</f>
        <v>401.390076318423</v>
      </c>
      <c r="J13788" s="6" t="n">
        <f aca="false">Sens!J13700+Sens!J13721+Sens!J13651+Sens!J13781*(Sens!J13670-Sens!J13633)+sbc_r*Sens!J13670</f>
        <v>446.52998494977</v>
      </c>
      <c r="K13788" s="6" t="n">
        <f aca="false">Sens!K13700+Sens!K13721+Sens!K13651+Sens!K13781*(Sens!K13670-Sens!K13633)+sbc_r*Sens!K13670</f>
        <v>481.025607585485</v>
      </c>
    </row>
    <row r="13789" customFormat="false" ht="17.15" hidden="false" customHeight="false" outlineLevel="0" collapsed="false">
      <c r="A13789" s="0" t="s">
        <v>1239</v>
      </c>
      <c r="B13789" s="0" t="s">
        <v>98</v>
      </c>
      <c r="F13789" s="6" t="n">
        <f aca="false">Sens!F13788-Sens!F13782-Sens!F13783-Sens!F13784-Sens!F13785-Sens!F13787</f>
        <v>71.7198746571661</v>
      </c>
      <c r="G13789" s="6" t="n">
        <f aca="false">Sens!G13788-Sens!G13782-Sens!G13783-Sens!G13784-Sens!G13785-Sens!G13787</f>
        <v>81.2732237034248</v>
      </c>
      <c r="H13789" s="6" t="n">
        <f aca="false">Sens!H13788-Sens!H13782-Sens!H13783-Sens!H13784-Sens!H13785-Sens!H13787</f>
        <v>94.599668194011</v>
      </c>
      <c r="I13789" s="6" t="n">
        <f aca="false">Sens!I13788-Sens!I13782-Sens!I13783-Sens!I13784-Sens!I13785-Sens!I13787</f>
        <v>107.829450960693</v>
      </c>
      <c r="J13789" s="6" t="n">
        <f aca="false">Sens!J13788-Sens!J13782-Sens!J13783-Sens!J13784-Sens!J13785-Sens!J13787</f>
        <v>119.852408955989</v>
      </c>
      <c r="K13789" s="6" t="n">
        <f aca="false">Sens!K13788-Sens!K13782-Sens!K13783-Sens!K13784-Sens!K13785-Sens!K13787</f>
        <v>129.96457039096</v>
      </c>
    </row>
    <row r="13790" customFormat="false" ht="17.15" hidden="false" customHeight="false" outlineLevel="0" collapsed="false">
      <c r="A13790" s="0" t="s">
        <v>1240</v>
      </c>
      <c r="B13790" s="0" t="s">
        <v>98</v>
      </c>
      <c r="F13790" s="6" t="n">
        <f aca="false">Sens!F13702+Sens!F13781*Sens!F13677+sbc_r*Sens!F13677</f>
        <v>27.6137252788286</v>
      </c>
      <c r="G13790" s="6" t="n">
        <f aca="false">Sens!G13702+Sens!G13781*Sens!G13677+sbc_r*Sens!G13677</f>
        <v>27.8294057151959</v>
      </c>
      <c r="H13790" s="6" t="n">
        <f aca="false">Sens!H13702+Sens!H13781*Sens!H13677+sbc_r*Sens!H13677</f>
        <v>28.7723894740228</v>
      </c>
      <c r="I13790" s="6" t="n">
        <f aca="false">Sens!I13702+Sens!I13781*Sens!I13677+sbc_r*Sens!I13677</f>
        <v>29.9485370453125</v>
      </c>
      <c r="J13790" s="6" t="n">
        <f aca="false">Sens!J13702+Sens!J13781*Sens!J13677+sbc_r*Sens!J13677</f>
        <v>31.3255405963921</v>
      </c>
      <c r="K13790" s="6" t="n">
        <f aca="false">Sens!K13702+Sens!K13781*Sens!K13677+sbc_r*Sens!K13677</f>
        <v>32.8733949136274</v>
      </c>
    </row>
    <row r="13791" customFormat="false" ht="17.15" hidden="false" customHeight="false" outlineLevel="0" collapsed="false">
      <c r="A13791" s="0" t="s">
        <v>1241</v>
      </c>
      <c r="B13791" s="0" t="s">
        <v>98</v>
      </c>
      <c r="F13791" s="6" t="n">
        <f aca="false">(Sens!F13790-Sens!F13786)*Sens!F13673/(Sens!F13673+Sens!F13675)</f>
        <v>9.27549591088439</v>
      </c>
      <c r="G13791" s="6" t="n">
        <f aca="false">(Sens!G13790-Sens!G13786)*Sens!G13673/(Sens!G13673+Sens!G13675)</f>
        <v>8.63318337641206</v>
      </c>
      <c r="H13791" s="6" t="n">
        <f aca="false">(Sens!H13790-Sens!H13786)*Sens!H13673/(Sens!H13673+Sens!H13675)</f>
        <v>8.41934494197759</v>
      </c>
      <c r="I13791" s="6" t="n">
        <f aca="false">(Sens!I13790-Sens!I13786)*Sens!I13673/(Sens!I13673+Sens!I13675)</f>
        <v>8.35582379888887</v>
      </c>
      <c r="J13791" s="6" t="n">
        <f aca="false">(Sens!J13790-Sens!J13786)*Sens!J13673/(Sens!J13673+Sens!J13675)</f>
        <v>8.43189568056774</v>
      </c>
      <c r="K13791" s="6" t="n">
        <f aca="false">(Sens!K13790-Sens!K13786)*Sens!K13673/(Sens!K13673+Sens!K13675)</f>
        <v>8.64361111854109</v>
      </c>
    </row>
    <row r="13792" customFormat="false" ht="17.15" hidden="false" customHeight="false" outlineLevel="0" collapsed="false">
      <c r="A13792" s="0" t="s">
        <v>1242</v>
      </c>
      <c r="B13792" s="0" t="s">
        <v>98</v>
      </c>
      <c r="F13792" s="6" t="n">
        <f aca="false">Sens!F13790-Sens!F13786-Sens!F13791</f>
        <v>7.14754541536021</v>
      </c>
      <c r="G13792" s="6" t="n">
        <f aca="false">Sens!G13790-Sens!G13786-Sens!G13791</f>
        <v>6.91988946705796</v>
      </c>
      <c r="H13792" s="6" t="n">
        <f aca="false">Sens!H13790-Sens!H13786-Sens!H13791</f>
        <v>6.9486881973876</v>
      </c>
      <c r="I13792" s="6" t="n">
        <f aca="false">Sens!I13790-Sens!I13786-Sens!I13791</f>
        <v>7.03056202823196</v>
      </c>
      <c r="J13792" s="6" t="n">
        <f aca="false">Sens!J13790-Sens!J13786-Sens!J13791</f>
        <v>7.16260672958581</v>
      </c>
      <c r="K13792" s="6" t="n">
        <f aca="false">Sens!K13790-Sens!K13786-Sens!K13791</f>
        <v>7.34245174644008</v>
      </c>
    </row>
    <row r="13793" customFormat="false" ht="17.15" hidden="false" customHeight="false" outlineLevel="0" collapsed="false">
      <c r="A13793" s="0" t="s">
        <v>1243</v>
      </c>
      <c r="B13793" s="0" t="s">
        <v>98</v>
      </c>
      <c r="F13793" s="6" t="n">
        <f aca="false">Sens!F13787-tax_f*(Sens!F13787-Sens!F13651)-Sens!F13648</f>
        <v>-130.446326762856</v>
      </c>
      <c r="G13793" s="6" t="n">
        <f aca="false">Sens!G13787-tax_f*(Sens!G13787-Sens!G13651)-Sens!G13648</f>
        <v>-124.357179337776</v>
      </c>
      <c r="H13793" s="6" t="n">
        <f aca="false">Sens!H13787-tax_f*(Sens!H13787-Sens!H13651)-Sens!H13648</f>
        <v>-101.714217387562</v>
      </c>
      <c r="I13793" s="6" t="n">
        <f aca="false">Sens!I13787-tax_f*(Sens!I13787-Sens!I13651)-Sens!I13648</f>
        <v>-43.8606798695439</v>
      </c>
      <c r="J13793" s="6" t="n">
        <f aca="false">Sens!J13787-tax_f*(Sens!J13787-Sens!J13651)-Sens!J13648</f>
        <v>16.6798855589618</v>
      </c>
      <c r="K13793" s="6" t="n">
        <f aca="false">Sens!K13787-tax_f*(Sens!K13787-Sens!K13651)-Sens!K13648</f>
        <v>39.5611384629271</v>
      </c>
    </row>
    <row r="13794" customFormat="false" ht="17.15" hidden="false" customHeight="false" outlineLevel="0" collapsed="false">
      <c r="A13794" s="0" t="s">
        <v>1244</v>
      </c>
      <c r="B13794" s="0" t="s">
        <v>98</v>
      </c>
      <c r="G13794" s="6" t="n">
        <f aca="false">Sens!G13793/(1+wacc)^(Sens!G13764-Sens!F13765)</f>
        <v>-118.411965593814</v>
      </c>
      <c r="H13794" s="6" t="n">
        <f aca="false">Sens!H13793/(1+wacc)^(Sens!H13764-Sens!F13765)</f>
        <v>-87.8123994427603</v>
      </c>
      <c r="I13794" s="6" t="n">
        <f aca="false">Sens!I13793/(1+wacc)^(Sens!I13764-Sens!F13765)</f>
        <v>-34.3319915163224</v>
      </c>
      <c r="J13794" s="6" t="n">
        <f aca="false">Sens!J13793/(1+wacc)^(Sens!J13764-Sens!F13765)</f>
        <v>11.8376680888423</v>
      </c>
      <c r="K13794" s="6" t="n">
        <f aca="false">Sens!K13793/(1+wacc)^(Sens!K13764-Sens!F13765)</f>
        <v>25.4560683300434</v>
      </c>
      <c r="L13794" s="1" t="s">
        <v>1245</v>
      </c>
    </row>
    <row r="13795" customFormat="false" ht="17.15" hidden="false" customHeight="false" outlineLevel="0" collapsed="false">
      <c r="A13795" s="0" t="s">
        <v>1246</v>
      </c>
      <c r="B13795" s="0" t="s">
        <v>98</v>
      </c>
      <c r="C13795" s="6" t="n">
        <f aca="false">(Sens!K13787-Sens!K13651)*(1-tax_f)*(1+g_tv)*(1-g_tv/(wacc+ronic_prem))/(wacc-g_tv)/(1+wacc)^(Sens!K13765-Sens!F13765)</f>
        <v>95.0962805449559</v>
      </c>
    </row>
    <row r="13796" customFormat="false" ht="17.15" hidden="false" customHeight="false" outlineLevel="0" collapsed="false">
      <c r="A13796" s="1" t="s">
        <v>1247</v>
      </c>
      <c r="B13796" s="0" t="s">
        <v>98</v>
      </c>
      <c r="C13796" s="6" t="n">
        <f aca="false">(SUM(Sens!G13794:K13794)+Sens!$C$13795)*(1+wacc)^(t_roll-Sens!F13765)</f>
        <v>-111.737237578181</v>
      </c>
      <c r="L13796" s="12" t="s">
        <v>1248</v>
      </c>
    </row>
    <row r="13797" customFormat="false" ht="17.15" hidden="false" customHeight="false" outlineLevel="0" collapsed="false">
      <c r="A13797" s="1" t="s">
        <v>1249</v>
      </c>
      <c r="B13797" s="0" t="s">
        <v>98</v>
      </c>
      <c r="C13797" s="6" t="n">
        <f aca="false">(w_ntm28*Sens!G13639+(1-w_ntm28)*Sens!H13639)*m_ai</f>
        <v>344.355829012336</v>
      </c>
    </row>
    <row r="13798" customFormat="false" ht="17.15" hidden="false" customHeight="false" outlineLevel="0" collapsed="false">
      <c r="A13798" s="1" t="s">
        <v>1250</v>
      </c>
      <c r="B13798" s="0" t="s">
        <v>98</v>
      </c>
      <c r="C13798" s="6" t="n">
        <f aca="false">(w_ntm28*Sens!G13789+(1-w_ntm28)*Sens!H13789)*m_cloud</f>
        <v>1183.74547361746</v>
      </c>
    </row>
    <row r="13799" customFormat="false" ht="17.15" hidden="false" customHeight="false" outlineLevel="0" collapsed="false">
      <c r="A13799" s="1" t="s">
        <v>1251</v>
      </c>
      <c r="B13799" s="0" t="s">
        <v>98</v>
      </c>
      <c r="C13799" s="6" t="n">
        <f aca="false">(w_ntm28*Sens!G13782+(1-w_ntm28)*Sens!H13782)*m_sw</f>
        <v>1045.17056616266</v>
      </c>
    </row>
    <row r="13800" customFormat="false" ht="17.15" hidden="false" customHeight="false" outlineLevel="0" collapsed="false">
      <c r="A13800" s="1" t="s">
        <v>1252</v>
      </c>
      <c r="B13800" s="0" t="s">
        <v>98</v>
      </c>
      <c r="C13800" s="6" t="n">
        <f aca="false">(w_ntm28*Sens!G13783+(1-w_ntm28)*Sens!H13783)*m_sw</f>
        <v>373.178444957791</v>
      </c>
    </row>
    <row r="13801" customFormat="false" ht="17.15" hidden="false" customHeight="false" outlineLevel="0" collapsed="false">
      <c r="A13801" s="1" t="s">
        <v>1253</v>
      </c>
      <c r="B13801" s="0" t="s">
        <v>98</v>
      </c>
      <c r="C13801" s="6" t="n">
        <f aca="false">(w_ntm28*Sens!G13784+(1-w_ntm28)*Sens!H13784)*m_sw</f>
        <v>109.30055788101</v>
      </c>
    </row>
    <row r="13802" customFormat="false" ht="17.15" hidden="false" customHeight="false" outlineLevel="0" collapsed="false">
      <c r="A13802" s="1" t="s">
        <v>1254</v>
      </c>
      <c r="B13802" s="0" t="s">
        <v>98</v>
      </c>
      <c r="C13802" s="6" t="n">
        <f aca="false">(w_ntm28*Sens!G13785+(1-w_ntm28)*Sens!H13785)*m_sw</f>
        <v>41.5531037214606</v>
      </c>
    </row>
    <row r="13803" customFormat="false" ht="17.15" hidden="false" customHeight="false" outlineLevel="0" collapsed="false">
      <c r="A13803" s="1" t="s">
        <v>1255</v>
      </c>
      <c r="B13803" s="0" t="s">
        <v>98</v>
      </c>
      <c r="C13803" s="6" t="n">
        <f aca="false">(w_ntm28*Sens!G13786+(1-w_ntm28)*Sens!H13786)*m_ads</f>
        <v>115.215899994784</v>
      </c>
    </row>
    <row r="13804" customFormat="false" ht="17.15" hidden="false" customHeight="false" outlineLevel="0" collapsed="false">
      <c r="A13804" s="1" t="s">
        <v>1256</v>
      </c>
      <c r="B13804" s="0" t="s">
        <v>98</v>
      </c>
      <c r="C13804" s="6" t="n">
        <f aca="false">(w_ntm28*Sens!G13791+(1-w_ntm28)*Sens!H13791)*m_game</f>
        <v>108.149178561265</v>
      </c>
    </row>
    <row r="13805" customFormat="false" ht="17.15" hidden="false" customHeight="false" outlineLevel="0" collapsed="false">
      <c r="A13805" s="1" t="s">
        <v>1257</v>
      </c>
      <c r="B13805" s="0" t="s">
        <v>98</v>
      </c>
      <c r="C13805" s="6" t="n">
        <f aca="false">(w_ntm28*Sens!G13792+(1-w_ntm28)*Sens!H13792)*m_pc</f>
        <v>100.267803644067</v>
      </c>
    </row>
    <row r="13806" customFormat="false" ht="17.15" hidden="false" customHeight="false" outlineLevel="0" collapsed="false">
      <c r="A13806" s="1" t="s">
        <v>1258</v>
      </c>
      <c r="B13806" s="0" t="s">
        <v>98</v>
      </c>
      <c r="C13806" s="6" t="n">
        <f aca="false">Sens!$C$13796+Sens!$C$13798+Sens!$C$13799+Sens!$C$13800+Sens!$C$13801+Sens!$C$13802+Sens!$C$13803+Sens!$C$13804+Sens!$C$13805</f>
        <v>2964.84379096232</v>
      </c>
    </row>
    <row r="13807" customFormat="false" ht="17.15" hidden="false" customHeight="false" outlineLevel="0" collapsed="false">
      <c r="A13807" s="1" t="s">
        <v>1259</v>
      </c>
      <c r="B13807" s="0" t="s">
        <v>98</v>
      </c>
      <c r="C13807" s="6" t="n">
        <f aca="false">(Sens!G13768-Sens!G13793)*t_stub</f>
        <v>49.5103617879471</v>
      </c>
      <c r="L13807" s="1" t="s">
        <v>1260</v>
      </c>
    </row>
    <row r="13808" customFormat="false" ht="17.15" hidden="false" customHeight="false" outlineLevel="0" collapsed="false">
      <c r="A13808" s="1" t="s">
        <v>1169</v>
      </c>
      <c r="B13808" s="0" t="s">
        <v>98</v>
      </c>
      <c r="C13808" s="6" t="n">
        <f aca="false">Sens!F13755+oai_v-Sens!F13744+Sens!$C$13807</f>
        <v>163.738631787947</v>
      </c>
      <c r="L13808" s="1" t="s">
        <v>1261</v>
      </c>
    </row>
    <row r="13809" customFormat="false" ht="17.15" hidden="false" customHeight="false" outlineLevel="0" collapsed="false">
      <c r="A13809" s="1" t="s">
        <v>1262</v>
      </c>
      <c r="B13809" s="0" t="s">
        <v>75</v>
      </c>
      <c r="C13809" s="5" t="n">
        <f aca="false">(Sens!$C$13806+Sens!$C$13808)/(Sens!F13757+dil_gap)-Sens!G13747*roll_div_q/q_per_yr</f>
        <v>416.433569657147</v>
      </c>
      <c r="L13809" s="1" t="s">
        <v>1263</v>
      </c>
    </row>
    <row r="13810" customFormat="false" ht="17.15" hidden="false" customHeight="false" outlineLevel="0" collapsed="false">
      <c r="A13810" s="1" t="s">
        <v>1264</v>
      </c>
      <c r="B13810" s="0" t="s">
        <v>75</v>
      </c>
      <c r="C13810" s="5" t="n">
        <f aca="false">w_dcf*Sens!$C$13780+(1-w_dcf)*Sens!$C$13809</f>
        <v>354.254765001716</v>
      </c>
    </row>
    <row r="13811" customFormat="false" ht="17.15" hidden="false" customHeight="false" outlineLevel="0" collapsed="false">
      <c r="A13811" s="3" t="s">
        <v>1825</v>
      </c>
    </row>
    <row r="13812" customFormat="false" ht="15" hidden="false" customHeight="false" outlineLevel="0" collapsed="false">
      <c r="A13812" s="4" t="s">
        <v>43</v>
      </c>
      <c r="B13812" s="4" t="s">
        <v>65</v>
      </c>
      <c r="C13812" s="23" t="s">
        <v>938</v>
      </c>
      <c r="D13812" s="23" t="s">
        <v>939</v>
      </c>
      <c r="E13812" s="23" t="s">
        <v>940</v>
      </c>
      <c r="F13812" s="23" t="s">
        <v>941</v>
      </c>
      <c r="G13812" s="23" t="s">
        <v>942</v>
      </c>
      <c r="H13812" s="23" t="s">
        <v>943</v>
      </c>
      <c r="I13812" s="23" t="s">
        <v>944</v>
      </c>
      <c r="J13812" s="23" t="s">
        <v>945</v>
      </c>
      <c r="K13812" s="23" t="s">
        <v>946</v>
      </c>
      <c r="L13812" s="4" t="s">
        <v>47</v>
      </c>
    </row>
    <row r="13813" customFormat="false" ht="17.15" hidden="false" customHeight="false" outlineLevel="0" collapsed="false">
      <c r="A13813" s="1" t="s">
        <v>1212</v>
      </c>
      <c r="B13813" s="1" t="s">
        <v>279</v>
      </c>
      <c r="F13813" s="8" t="n">
        <f aca="false">(1-v_off)*mid_yr</f>
        <v>0.373972602739726</v>
      </c>
      <c r="G13813" s="8" t="n">
        <f aca="false">Thesis!G6-base_fy-mid_yr-v_off</f>
        <v>1.24794520547945</v>
      </c>
      <c r="H13813" s="8" t="n">
        <f aca="false">Thesis!H6-base_fy-mid_yr-v_off</f>
        <v>2.24794520547945</v>
      </c>
      <c r="I13813" s="8" t="n">
        <f aca="false">Thesis!I6-base_fy-mid_yr-v_off</f>
        <v>3.24794520547945</v>
      </c>
      <c r="J13813" s="8" t="n">
        <f aca="false">Thesis!J6-base_fy-mid_yr-v_off</f>
        <v>4.24794520547945</v>
      </c>
      <c r="K13813" s="8" t="n">
        <f aca="false">Thesis!K6-base_fy-mid_yr-v_off</f>
        <v>5.24794520547945</v>
      </c>
      <c r="L13813" s="12" t="s">
        <v>1213</v>
      </c>
    </row>
    <row r="13814" customFormat="false" ht="15" hidden="false" customHeight="false" outlineLevel="0" collapsed="false">
      <c r="A13814" s="1" t="s">
        <v>1214</v>
      </c>
      <c r="B13814" s="1" t="s">
        <v>279</v>
      </c>
      <c r="F13814" s="8" t="n">
        <f aca="false">Thesis!F6-base_fy-v_off</f>
        <v>0.747945205479452</v>
      </c>
      <c r="G13814" s="8" t="n">
        <f aca="false">Thesis!G6-base_fy-v_off</f>
        <v>1.74794520547945</v>
      </c>
      <c r="H13814" s="8" t="n">
        <f aca="false">Thesis!H6-base_fy-v_off</f>
        <v>2.74794520547945</v>
      </c>
      <c r="I13814" s="8" t="n">
        <f aca="false">Thesis!I6-base_fy-v_off</f>
        <v>3.74794520547945</v>
      </c>
      <c r="J13814" s="8" t="n">
        <f aca="false">Thesis!J6-base_fy-v_off</f>
        <v>4.74794520547945</v>
      </c>
      <c r="K13814" s="8" t="n">
        <f aca="false">Thesis!K6-base_fy-v_off</f>
        <v>5.74794520547945</v>
      </c>
    </row>
    <row r="13815" customFormat="false" ht="15" hidden="false" customHeight="false" outlineLevel="0" collapsed="false">
      <c r="A13815" s="1" t="s">
        <v>1215</v>
      </c>
      <c r="B13815" s="0" t="s">
        <v>229</v>
      </c>
      <c r="F13815" s="15" t="n">
        <f aca="false">1/(1+(wacc-0.01))^Sens!F13813</f>
        <v>0.967311921156654</v>
      </c>
      <c r="G13815" s="15" t="n">
        <f aca="false">1/(1+(wacc-0.01))^Sens!G13813</f>
        <v>0.895025887723348</v>
      </c>
      <c r="H13815" s="15" t="n">
        <f aca="false">1/(1+(wacc-0.01))^Sens!H13813</f>
        <v>0.818918403078609</v>
      </c>
      <c r="I13815" s="15" t="n">
        <f aca="false">1/(1+(wacc-0.01))^Sens!I13813</f>
        <v>0.749282629809374</v>
      </c>
      <c r="J13815" s="15" t="n">
        <f aca="false">1/(1+(wacc-0.01))^Sens!J13813</f>
        <v>0.685568253471231</v>
      </c>
      <c r="K13815" s="15" t="n">
        <f aca="false">1/(1+(wacc-0.01))^Sens!K13813</f>
        <v>0.627271754968039</v>
      </c>
    </row>
    <row r="13816" customFormat="false" ht="17.15" hidden="false" customHeight="false" outlineLevel="0" collapsed="false">
      <c r="A13816" s="1" t="s">
        <v>1216</v>
      </c>
      <c r="B13816" s="0" t="s">
        <v>98</v>
      </c>
      <c r="F13816" s="6" t="n">
        <f aca="false">Q!$I$35-Q!$I$39-Q!$I$43</f>
        <v>9.666</v>
      </c>
      <c r="L13816" s="12" t="s">
        <v>1217</v>
      </c>
    </row>
    <row r="13817" customFormat="false" ht="17.15" hidden="false" customHeight="false" outlineLevel="0" collapsed="false">
      <c r="A13817" s="1" t="s">
        <v>1218</v>
      </c>
      <c r="B13817" s="0" t="s">
        <v>98</v>
      </c>
      <c r="F13817" s="6" t="n">
        <f aca="false">CF!F23-CF!F20-CF!F27+Thesis!F47*(1-tax_f)*(1-v_off)-Sens!F13816</f>
        <v>-1.12880264559539</v>
      </c>
      <c r="G13817" s="6" t="n">
        <f aca="false">CF!G23-CF!G20-CF!G27+Thesis!G47*(1-tax_f)</f>
        <v>38.7194421947551</v>
      </c>
      <c r="H13817" s="6" t="n">
        <f aca="false">CF!H23-CF!H20-CF!H27+Thesis!H47*(1-tax_f)</f>
        <v>98.6927474567662</v>
      </c>
      <c r="I13817" s="6" t="n">
        <f aca="false">CF!I23-CF!I20-CF!I27+Thesis!I47*(1-tax_f)</f>
        <v>181.625440536277</v>
      </c>
      <c r="J13817" s="6" t="n">
        <f aca="false">CF!J23-CF!J20-CF!J27+Thesis!J47*(1-tax_f)</f>
        <v>263.350402418584</v>
      </c>
      <c r="K13817" s="6" t="n">
        <f aca="false">CF!K23-CF!K20-CF!K27+Thesis!K47*(1-tax_f)</f>
        <v>303.659068389018</v>
      </c>
      <c r="L13817" s="1" t="s">
        <v>1219</v>
      </c>
    </row>
    <row r="13818" customFormat="false" ht="15" hidden="false" customHeight="false" outlineLevel="0" collapsed="false">
      <c r="A13818" s="1" t="s">
        <v>1220</v>
      </c>
      <c r="B13818" s="0" t="s">
        <v>98</v>
      </c>
      <c r="F13818" s="6" t="n">
        <f aca="false">Sens!F13817*Sens!F13815</f>
        <v>-1.09190425571759</v>
      </c>
      <c r="G13818" s="6" t="n">
        <f aca="false">Sens!G13817*Sens!G13815</f>
        <v>34.6549031225135</v>
      </c>
      <c r="H13818" s="6" t="n">
        <f aca="false">Sens!H13817*Sens!H13815</f>
        <v>80.8213071427355</v>
      </c>
      <c r="I13818" s="6" t="n">
        <f aca="false">Sens!I13817*Sens!I13815</f>
        <v>136.088787725308</v>
      </c>
      <c r="J13818" s="6" t="n">
        <f aca="false">Sens!J13817*Sens!J13815</f>
        <v>180.544675437054</v>
      </c>
      <c r="K13818" s="6" t="n">
        <f aca="false">Sens!K13817*Sens!K13815</f>
        <v>190.476756740339</v>
      </c>
    </row>
    <row r="13819" customFormat="false" ht="17.15" hidden="false" customHeight="false" outlineLevel="0" collapsed="false">
      <c r="A13819" s="1" t="s">
        <v>1221</v>
      </c>
      <c r="B13819" s="0" t="s">
        <v>98</v>
      </c>
      <c r="C13819" s="6" t="n">
        <f aca="false">SUM(Sens!F13818:K13818)</f>
        <v>621.494525912233</v>
      </c>
    </row>
    <row r="13820" customFormat="false" ht="17.15" hidden="false" customHeight="false" outlineLevel="0" collapsed="false">
      <c r="A13820" s="1" t="s">
        <v>1222</v>
      </c>
      <c r="B13820" s="0" t="s">
        <v>98</v>
      </c>
      <c r="C13820" s="6" t="n">
        <f aca="false">PL!K39*(1+g_tv)*(1-tax_f)</f>
        <v>316.501318799308</v>
      </c>
    </row>
    <row r="13821" customFormat="false" ht="17.15" hidden="false" customHeight="false" outlineLevel="0" collapsed="false">
      <c r="A13821" s="1" t="s">
        <v>1223</v>
      </c>
      <c r="B13821" s="0" t="s">
        <v>98</v>
      </c>
      <c r="C13821" s="6" t="n">
        <f aca="false">Sens!$C$13820*(1-g_tv/((wacc-0.01)+ronic_prem))</f>
        <v>214.334460004827</v>
      </c>
    </row>
    <row r="13822" customFormat="false" ht="17.15" hidden="false" customHeight="false" outlineLevel="0" collapsed="false">
      <c r="A13822" s="1" t="s">
        <v>1224</v>
      </c>
      <c r="B13822" s="0" t="s">
        <v>98</v>
      </c>
      <c r="C13822" s="6" t="n">
        <f aca="false">Sens!$C$13821/((wacc-0.01)-g_tv)</f>
        <v>3405.56195981602</v>
      </c>
    </row>
    <row r="13823" customFormat="false" ht="15" hidden="false" customHeight="false" outlineLevel="0" collapsed="false">
      <c r="A13823" s="1" t="s">
        <v>1225</v>
      </c>
      <c r="B13823" s="0" t="s">
        <v>98</v>
      </c>
      <c r="C13823" s="6" t="n">
        <f aca="false">Sens!$C$13822/(1+(wacc-0.01))^Sens!K13814</f>
        <v>2043.37010586099</v>
      </c>
    </row>
    <row r="13824" customFormat="false" ht="17.15" hidden="false" customHeight="false" outlineLevel="0" collapsed="false">
      <c r="A13824" s="0" t="s">
        <v>1226</v>
      </c>
      <c r="B13824" s="0" t="s">
        <v>98</v>
      </c>
      <c r="C13824" s="6" t="n">
        <f aca="false">Sens!$C$13819+Sens!$C$13823</f>
        <v>2664.86463177322</v>
      </c>
    </row>
    <row r="13825" customFormat="false" ht="15" hidden="false" customHeight="false" outlineLevel="0" collapsed="false">
      <c r="A13825" s="1" t="s">
        <v>1141</v>
      </c>
      <c r="B13825" s="0" t="s">
        <v>168</v>
      </c>
      <c r="C13825" s="7" t="n">
        <f aca="false">Sens!$C$13823/Sens!$C$13824</f>
        <v>0.766781952635739</v>
      </c>
    </row>
    <row r="13826" customFormat="false" ht="17.15" hidden="false" customHeight="false" outlineLevel="0" collapsed="false">
      <c r="A13826" s="1" t="s">
        <v>1227</v>
      </c>
      <c r="B13826" s="0" t="s">
        <v>98</v>
      </c>
      <c r="C13826" s="6" t="n">
        <f aca="false">Sens!$C$13824+cash_val-debt_val-fl_val+oai_v</f>
        <v>2780.71563177322</v>
      </c>
    </row>
    <row r="13827" customFormat="false" ht="17.15" hidden="false" customHeight="false" outlineLevel="0" collapsed="false">
      <c r="A13827" s="0" t="s">
        <v>1149</v>
      </c>
      <c r="B13827" s="0" t="s">
        <v>75</v>
      </c>
      <c r="C13827" s="5" t="n">
        <f aca="false">Sens!$C$13826/shd_val</f>
        <v>373.450930939192</v>
      </c>
    </row>
    <row r="13828" customFormat="false" ht="15" hidden="false" customHeight="false" outlineLevel="0" collapsed="false">
      <c r="A13828" s="1" t="s">
        <v>1228</v>
      </c>
      <c r="B13828" s="0" t="s">
        <v>75</v>
      </c>
      <c r="C13828" s="8" t="n">
        <f aca="false">div_rem27+CF!G31*roll_div_q/q_per_yr</f>
        <v>3.9795</v>
      </c>
    </row>
    <row r="13829" customFormat="false" ht="17.15" hidden="false" customHeight="false" outlineLevel="0" collapsed="false">
      <c r="A13829" s="0" t="s">
        <v>1229</v>
      </c>
      <c r="B13829" s="0" t="s">
        <v>75</v>
      </c>
      <c r="C13829" s="5" t="n">
        <f aca="false">Sens!$C$13827*(1+(wacc-0.01))^t_roll-Sens!$C$13828</f>
        <v>407.070792810084</v>
      </c>
    </row>
    <row r="13830" customFormat="false" ht="17.15" hidden="false" customHeight="false" outlineLevel="0" collapsed="false">
      <c r="A13830" s="1" t="s">
        <v>1230</v>
      </c>
      <c r="B13830" s="0" t="s">
        <v>168</v>
      </c>
      <c r="F13830" s="7" t="n">
        <f aca="false">CF!F17/(Seg!F29-Thesis!F25)</f>
        <v>0.0685527305696859</v>
      </c>
      <c r="G13830" s="7" t="n">
        <f aca="false">CF!G17/(Seg!G29-Thesis!G25)</f>
        <v>0.0653567731599844</v>
      </c>
      <c r="H13830" s="7" t="n">
        <f aca="false">CF!H17/(Seg!H29-Thesis!H25)</f>
        <v>0.0636628841026972</v>
      </c>
      <c r="I13830" s="7" t="n">
        <f aca="false">CF!I17/(Seg!I29-Thesis!I25)</f>
        <v>0.0633581084335176</v>
      </c>
      <c r="J13830" s="7" t="n">
        <f aca="false">CF!J17/(Seg!J29-Thesis!J25)</f>
        <v>0.0640873955995062</v>
      </c>
      <c r="K13830" s="7" t="n">
        <f aca="false">CF!K17/(Seg!K29-Thesis!K25)</f>
        <v>0.0653962234835198</v>
      </c>
    </row>
    <row r="13831" customFormat="false" ht="17.15" hidden="false" customHeight="false" outlineLevel="0" collapsed="false">
      <c r="A13831" s="0" t="s">
        <v>1231</v>
      </c>
      <c r="B13831" s="0" t="s">
        <v>98</v>
      </c>
      <c r="F13831" s="6" t="n">
        <f aca="false">Seg!F14*(al_m365+Sens!F13830+sbc_r)</f>
        <v>84.5213906545575</v>
      </c>
      <c r="G13831" s="6" t="n">
        <f aca="false">Seg!G14*(al_m365+Sens!G13830+sbc_r)</f>
        <v>98.949983331796</v>
      </c>
      <c r="H13831" s="6" t="n">
        <f aca="false">Seg!H14*(al_m365+Sens!H13830+sbc_r)</f>
        <v>113.543734275326</v>
      </c>
      <c r="I13831" s="6" t="n">
        <f aca="false">Seg!I14*(al_m365+Sens!I13830+sbc_r)</f>
        <v>126.62058838692</v>
      </c>
      <c r="J13831" s="6" t="n">
        <f aca="false">Seg!J14*(al_m365+Sens!J13830+sbc_r)</f>
        <v>137.994660156303</v>
      </c>
      <c r="K13831" s="6" t="n">
        <f aca="false">Seg!K14*(al_m365+Sens!K13830+sbc_r)</f>
        <v>148.989224092997</v>
      </c>
      <c r="L13831" s="12" t="s">
        <v>1232</v>
      </c>
    </row>
    <row r="13832" customFormat="false" ht="17.15" hidden="false" customHeight="false" outlineLevel="0" collapsed="false">
      <c r="A13832" s="0" t="s">
        <v>1233</v>
      </c>
      <c r="B13832" s="0" t="s">
        <v>98</v>
      </c>
      <c r="F13832" s="6" t="n">
        <f aca="false">Seg!F15*(al_lic+Sens!F13830+sbc_r)</f>
        <v>32.855200196554</v>
      </c>
      <c r="G13832" s="6" t="n">
        <f aca="false">Seg!G15*(al_lic+Sens!G13830+sbc_r)</f>
        <v>34.1185582613282</v>
      </c>
      <c r="H13832" s="6" t="n">
        <f aca="false">Seg!H15*(al_lic+Sens!H13830+sbc_r)</f>
        <v>35.3024309363621</v>
      </c>
      <c r="I13832" s="6" t="n">
        <f aca="false">Seg!I15*(al_lic+Sens!I13830+sbc_r)</f>
        <v>36.3898468129533</v>
      </c>
      <c r="J13832" s="6" t="n">
        <f aca="false">Seg!J15*(al_lic+Sens!J13830+sbc_r)</f>
        <v>37.3529129529876</v>
      </c>
      <c r="K13832" s="6" t="n">
        <f aca="false">Seg!K15*(al_lic+Sens!K13830+sbc_r)</f>
        <v>38.158536171203</v>
      </c>
    </row>
    <row r="13833" customFormat="false" ht="17.15" hidden="false" customHeight="false" outlineLevel="0" collapsed="false">
      <c r="A13833" s="0" t="s">
        <v>1234</v>
      </c>
      <c r="B13833" s="0" t="s">
        <v>98</v>
      </c>
      <c r="F13833" s="6" t="n">
        <f aca="false">Seg!F17*(al_ind+Sens!F13830+sbc_r)</f>
        <v>9.05892547956683</v>
      </c>
      <c r="G13833" s="6" t="n">
        <f aca="false">Seg!G17*(al_ind+Sens!G13830+sbc_r)</f>
        <v>9.82456487622418</v>
      </c>
      <c r="H13833" s="6" t="n">
        <f aca="false">Seg!H17*(al_ind+Sens!H13830+sbc_r)</f>
        <v>10.6377408477959</v>
      </c>
      <c r="I13833" s="6" t="n">
        <f aca="false">Seg!I17*(al_ind+Sens!I13830+sbc_r)</f>
        <v>11.4966323260293</v>
      </c>
      <c r="J13833" s="6" t="n">
        <f aca="false">Seg!J17*(al_ind+Sens!J13830+sbc_r)</f>
        <v>12.3903660286279</v>
      </c>
      <c r="K13833" s="6" t="n">
        <f aca="false">Seg!K17*(al_ind+Sens!K13830+sbc_r)</f>
        <v>13.3009129057681</v>
      </c>
    </row>
    <row r="13834" customFormat="false" ht="17.15" hidden="false" customHeight="false" outlineLevel="0" collapsed="false">
      <c r="A13834" s="0" t="s">
        <v>1235</v>
      </c>
      <c r="B13834" s="0" t="s">
        <v>98</v>
      </c>
      <c r="F13834" s="6" t="n">
        <f aca="false">Seg!F19*(al_fro+Sens!F13830+sbc_r)</f>
        <v>3.55344443532423</v>
      </c>
      <c r="G13834" s="6" t="n">
        <f aca="false">Seg!G19*(al_fro+Sens!G13830+sbc_r)</f>
        <v>3.75916645971565</v>
      </c>
      <c r="H13834" s="6" t="n">
        <f aca="false">Seg!H19*(al_fro+Sens!H13830+sbc_r)</f>
        <v>3.994970960527</v>
      </c>
      <c r="I13834" s="6" t="n">
        <f aca="false">Seg!I19*(al_fro+Sens!I13830+sbc_r)</f>
        <v>4.26396270432353</v>
      </c>
      <c r="J13834" s="6" t="n">
        <f aca="false">Seg!J19*(al_fro+Sens!J13830+sbc_r)</f>
        <v>4.5667795874336</v>
      </c>
      <c r="K13834" s="6" t="n">
        <f aca="false">Seg!K19*(al_fro+Sens!K13830+sbc_r)</f>
        <v>4.90238443416026</v>
      </c>
    </row>
    <row r="13835" customFormat="false" ht="17.15" hidden="false" customHeight="false" outlineLevel="0" collapsed="false">
      <c r="A13835" s="0" t="s">
        <v>1236</v>
      </c>
      <c r="B13835" s="0" t="s">
        <v>98</v>
      </c>
      <c r="F13835" s="6" t="n">
        <f aca="false">Seg!F22*(al_srch+Sens!F13830+sbc_r)</f>
        <v>11.1872483445711</v>
      </c>
      <c r="G13835" s="6" t="n">
        <f aca="false">Seg!G22*(al_srch+Sens!G13830+sbc_r)</f>
        <v>12.247246048296</v>
      </c>
      <c r="H13835" s="6" t="n">
        <f aca="false">Seg!H22*(al_srch+Sens!H13830+sbc_r)</f>
        <v>13.3552870946193</v>
      </c>
      <c r="I13835" s="6" t="n">
        <f aca="false">Seg!I22*(al_srch+Sens!I13830+sbc_r)</f>
        <v>14.5024145321619</v>
      </c>
      <c r="J13835" s="6" t="n">
        <f aca="false">Seg!J22*(al_srch+Sens!J13830+sbc_r)</f>
        <v>15.667276660652</v>
      </c>
      <c r="K13835" s="6" t="n">
        <f aca="false">Seg!K22*(al_srch+Sens!K13830+sbc_r)</f>
        <v>16.8186381138719</v>
      </c>
    </row>
    <row r="13836" customFormat="false" ht="17.15" hidden="false" customHeight="false" outlineLevel="0" collapsed="false">
      <c r="A13836" s="0" t="s">
        <v>1237</v>
      </c>
      <c r="B13836" s="0" t="s">
        <v>98</v>
      </c>
      <c r="F13836" s="6" t="n">
        <f aca="false">Thesis!F31-Thesis!F32+Thesis!F47</f>
        <v>45.3782580567763</v>
      </c>
      <c r="G13836" s="6" t="n">
        <f aca="false">Thesis!G31-Thesis!G32+Thesis!G47</f>
        <v>91.0863367558165</v>
      </c>
      <c r="H13836" s="6" t="n">
        <f aca="false">Thesis!H31-Thesis!H32+Thesis!H47</f>
        <v>144.617532464853</v>
      </c>
      <c r="I13836" s="6" t="n">
        <f aca="false">Thesis!I31-Thesis!I32+Thesis!I47</f>
        <v>187.137304561304</v>
      </c>
      <c r="J13836" s="6" t="n">
        <f aca="false">Thesis!J31-Thesis!J32+Thesis!J47</f>
        <v>217.006854425907</v>
      </c>
      <c r="K13836" s="6" t="n">
        <f aca="false">Thesis!K31-Thesis!K32+Thesis!K47</f>
        <v>234.933637903877</v>
      </c>
    </row>
    <row r="13837" customFormat="false" ht="17.15" hidden="false" customHeight="false" outlineLevel="0" collapsed="false">
      <c r="A13837" s="0" t="s">
        <v>1238</v>
      </c>
      <c r="B13837" s="0" t="s">
        <v>98</v>
      </c>
      <c r="F13837" s="6" t="n">
        <f aca="false">PL!F32+Thesis!F47+Thesis!F43+Sens!F13830*(Seg!F21-Thesis!F25)+sbc_r*Seg!F21</f>
        <v>240.818167741339</v>
      </c>
      <c r="G13837" s="6" t="n">
        <f aca="false">PL!G32+Thesis!G47+Thesis!G43+Sens!G13830*(Seg!G21-Thesis!G25)+sbc_r*Seg!G21</f>
        <v>311.917784140952</v>
      </c>
      <c r="H13837" s="6" t="n">
        <f aca="false">PL!H32+Thesis!H47+Thesis!H43+Sens!H13830*(Seg!H21-Thesis!H25)+sbc_r*Seg!H21</f>
        <v>395.486245683473</v>
      </c>
      <c r="I13837" s="6" t="n">
        <f aca="false">PL!I32+Thesis!I47+Thesis!I43+Sens!I13830*(Seg!I21-Thesis!I25)+sbc_r*Seg!I21</f>
        <v>465.950805948377</v>
      </c>
      <c r="J13837" s="6" t="n">
        <f aca="false">PL!J32+Thesis!J47+Thesis!J43+Sens!J13830*(Seg!J21-Thesis!J25)+sbc_r*Seg!J21</f>
        <v>520.78677388057</v>
      </c>
      <c r="K13837" s="6" t="n">
        <f aca="false">PL!K32+Thesis!K47+Thesis!K43+Sens!K13830*(Seg!K21-Thesis!K25)+sbc_r*Seg!K21</f>
        <v>561.2469767412</v>
      </c>
    </row>
    <row r="13838" customFormat="false" ht="17.15" hidden="false" customHeight="false" outlineLevel="0" collapsed="false">
      <c r="A13838" s="0" t="s">
        <v>1239</v>
      </c>
      <c r="B13838" s="0" t="s">
        <v>98</v>
      </c>
      <c r="F13838" s="6" t="n">
        <f aca="false">Sens!F13837-Sens!F13831-Sens!F13832-Sens!F13833-Sens!F13834-Sens!F13836</f>
        <v>65.4509489185601</v>
      </c>
      <c r="G13838" s="6" t="n">
        <f aca="false">Sens!G13837-Sens!G13831-Sens!G13832-Sens!G13833-Sens!G13834-Sens!G13836</f>
        <v>74.1791744560715</v>
      </c>
      <c r="H13838" s="6" t="n">
        <f aca="false">Sens!H13837-Sens!H13831-Sens!H13832-Sens!H13833-Sens!H13834-Sens!H13836</f>
        <v>87.3898361986086</v>
      </c>
      <c r="I13838" s="6" t="n">
        <f aca="false">Sens!I13837-Sens!I13831-Sens!I13832-Sens!I13833-Sens!I13834-Sens!I13836</f>
        <v>100.042471156846</v>
      </c>
      <c r="J13838" s="6" t="n">
        <f aca="false">Sens!J13837-Sens!J13831-Sens!J13832-Sens!J13833-Sens!J13834-Sens!J13836</f>
        <v>111.475200729312</v>
      </c>
      <c r="K13838" s="6" t="n">
        <f aca="false">Sens!K13837-Sens!K13831-Sens!K13832-Sens!K13833-Sens!K13834-Sens!K13836</f>
        <v>120.962281233195</v>
      </c>
    </row>
    <row r="13839" customFormat="false" ht="17.15" hidden="false" customHeight="false" outlineLevel="0" collapsed="false">
      <c r="A13839" s="0" t="s">
        <v>1240</v>
      </c>
      <c r="B13839" s="0" t="s">
        <v>98</v>
      </c>
      <c r="F13839" s="6" t="n">
        <f aca="false">PL!F34+Sens!F13830*Seg!F28+sbc_r*Seg!F28</f>
        <v>26.6293388420472</v>
      </c>
      <c r="G13839" s="6" t="n">
        <f aca="false">PL!G34+Sens!G13830*Seg!G28+sbc_r*Seg!G28</f>
        <v>26.4405000412783</v>
      </c>
      <c r="H13839" s="6" t="n">
        <f aca="false">PL!H34+Sens!H13830*Seg!H28+sbc_r*Seg!H28</f>
        <v>27.296860059552</v>
      </c>
      <c r="I13839" s="6" t="n">
        <f aca="false">PL!I34+Sens!I13830*Seg!I28+sbc_r*Seg!I28</f>
        <v>28.3995465815703</v>
      </c>
      <c r="J13839" s="6" t="n">
        <f aca="false">PL!J34+Sens!J13830*Seg!J28+sbc_r*Seg!J28</f>
        <v>29.7093380975903</v>
      </c>
      <c r="K13839" s="6" t="n">
        <f aca="false">PL!K34+Sens!K13830*Seg!K28+sbc_r*Seg!K28</f>
        <v>31.1817775287323</v>
      </c>
    </row>
    <row r="13840" customFormat="false" ht="17.15" hidden="false" customHeight="false" outlineLevel="0" collapsed="false">
      <c r="A13840" s="0" t="s">
        <v>1241</v>
      </c>
      <c r="B13840" s="0" t="s">
        <v>98</v>
      </c>
      <c r="F13840" s="6" t="n">
        <f aca="false">(Sens!F13839-Sens!F13835)*Seg!F24/(Seg!F24+Seg!F26)</f>
        <v>8.72146908842971</v>
      </c>
      <c r="G13840" s="6" t="n">
        <f aca="false">(Sens!G13839-Sens!G13835)*Seg!G24/(Seg!G24+Seg!G26)</f>
        <v>7.87837655379173</v>
      </c>
      <c r="H13840" s="6" t="n">
        <f aca="false">(Sens!H13839-Sens!H13835)*Seg!H24/(Seg!H24+Seg!H26)</f>
        <v>7.63786170689933</v>
      </c>
      <c r="I13840" s="6" t="n">
        <f aca="false">(Sens!I13839-Sens!I13835)*Seg!I24/(Seg!I24+Seg!I26)</f>
        <v>7.5470606300581</v>
      </c>
      <c r="J13840" s="6" t="n">
        <f aca="false">(Sens!J13839-Sens!J13835)*Seg!J24/(Seg!J24+Seg!J26)</f>
        <v>7.59249600034024</v>
      </c>
      <c r="K13840" s="6" t="n">
        <f aca="false">(Sens!K13839-Sens!K13835)*Seg!K24/(Seg!K24+Seg!K26)</f>
        <v>7.76610179704742</v>
      </c>
    </row>
    <row r="13841" customFormat="false" ht="17.15" hidden="false" customHeight="false" outlineLevel="0" collapsed="false">
      <c r="A13841" s="0" t="s">
        <v>1242</v>
      </c>
      <c r="B13841" s="0" t="s">
        <v>98</v>
      </c>
      <c r="F13841" s="6" t="n">
        <f aca="false">Sens!F13839-Sens!F13835-Sens!F13840</f>
        <v>6.72062140904636</v>
      </c>
      <c r="G13841" s="6" t="n">
        <f aca="false">Sens!G13839-Sens!G13835-Sens!G13840</f>
        <v>6.31487743919059</v>
      </c>
      <c r="H13841" s="6" t="n">
        <f aca="false">Sens!H13839-Sens!H13835-Sens!H13840</f>
        <v>6.30371125803333</v>
      </c>
      <c r="I13841" s="6" t="n">
        <f aca="false">Sens!I13839-Sens!I13835-Sens!I13840</f>
        <v>6.35007141935025</v>
      </c>
      <c r="J13841" s="6" t="n">
        <f aca="false">Sens!J13839-Sens!J13835-Sens!J13840</f>
        <v>6.44956543659808</v>
      </c>
      <c r="K13841" s="6" t="n">
        <f aca="false">Sens!K13839-Sens!K13835-Sens!K13840</f>
        <v>6.597037617813</v>
      </c>
    </row>
    <row r="13842" customFormat="false" ht="17.15" hidden="false" customHeight="false" outlineLevel="0" collapsed="false">
      <c r="A13842" s="0" t="s">
        <v>1243</v>
      </c>
      <c r="B13842" s="0" t="s">
        <v>98</v>
      </c>
      <c r="F13842" s="6" t="n">
        <f aca="false">Sens!F13836-tax_f*(Sens!F13836-Thesis!F43)-Thesis!F40</f>
        <v>-125.235434701028</v>
      </c>
      <c r="G13842" s="6" t="n">
        <f aca="false">Sens!G13836-tax_f*(Sens!G13836-Thesis!G43)-Thesis!G40</f>
        <v>-106.928508113935</v>
      </c>
      <c r="H13842" s="6" t="n">
        <f aca="false">Sens!H13836-tax_f*(Sens!H13836-Thesis!H43)-Thesis!H40</f>
        <v>-63.2919599603405</v>
      </c>
      <c r="I13842" s="6" t="n">
        <f aca="false">Sens!I13836-tax_f*(Sens!I13836-Thesis!I43)-Thesis!I40</f>
        <v>3.94121196634245</v>
      </c>
      <c r="J13842" s="6" t="n">
        <f aca="false">Sens!J13836-tax_f*(Sens!J13836-Thesis!J43)-Thesis!J40</f>
        <v>71.0786869547042</v>
      </c>
      <c r="K13842" s="6" t="n">
        <f aca="false">Sens!K13836-tax_f*(Sens!K13836-Thesis!K43)-Thesis!K40</f>
        <v>97.5865911685559</v>
      </c>
    </row>
    <row r="13843" customFormat="false" ht="17.15" hidden="false" customHeight="false" outlineLevel="0" collapsed="false">
      <c r="A13843" s="0" t="s">
        <v>1244</v>
      </c>
      <c r="B13843" s="0" t="s">
        <v>98</v>
      </c>
      <c r="G13843" s="6" t="n">
        <f aca="false">Sens!G13842/(1+(wacc-0.01))^(Sens!G13813-Sens!F13814)</f>
        <v>-102.281249397856</v>
      </c>
      <c r="H13843" s="6" t="n">
        <f aca="false">Sens!H13842/(1+(wacc-0.01))^(Sens!H13813-Sens!F13814)</f>
        <v>-55.3931541950558</v>
      </c>
      <c r="I13843" s="6" t="n">
        <f aca="false">Sens!I13842/(1+(wacc-0.01))^(Sens!I13813-Sens!F13814)</f>
        <v>3.15603911681352</v>
      </c>
      <c r="J13843" s="6" t="n">
        <f aca="false">Sens!J13842/(1+(wacc-0.01))^(Sens!J13813-Sens!F13814)</f>
        <v>52.0783258815061</v>
      </c>
      <c r="K13843" s="6" t="n">
        <f aca="false">Sens!K13842/(1+(wacc-0.01))^(Sens!K13813-Sens!F13814)</f>
        <v>65.4203404780441</v>
      </c>
      <c r="L13843" s="1" t="s">
        <v>1245</v>
      </c>
    </row>
    <row r="13844" customFormat="false" ht="17.15" hidden="false" customHeight="false" outlineLevel="0" collapsed="false">
      <c r="A13844" s="0" t="s">
        <v>1246</v>
      </c>
      <c r="B13844" s="0" t="s">
        <v>98</v>
      </c>
      <c r="C13844" s="6" t="n">
        <f aca="false">(Sens!K13836-Thesis!K43)*(1-tax_f)*(1+g_tv)*(1-g_tv/((wacc-0.01)+ronic_prem))/((wacc-0.01)-g_tv)/(1+(wacc-0.01))^(Sens!K13814-Sens!F13814)</f>
        <v>522.613030426907</v>
      </c>
    </row>
    <row r="13845" customFormat="false" ht="17.15" hidden="false" customHeight="false" outlineLevel="0" collapsed="false">
      <c r="A13845" s="1" t="s">
        <v>1247</v>
      </c>
      <c r="B13845" s="0" t="s">
        <v>98</v>
      </c>
      <c r="C13845" s="6" t="n">
        <f aca="false">(SUM(Sens!G13843:K13843)+Sens!$C$13844)*(1+(wacc-0.01))^(t_roll-Sens!F13814)</f>
        <v>500.111925181453</v>
      </c>
      <c r="L13845" s="12" t="s">
        <v>1248</v>
      </c>
    </row>
    <row r="13846" customFormat="false" ht="17.15" hidden="false" customHeight="false" outlineLevel="0" collapsed="false">
      <c r="A13846" s="1" t="s">
        <v>1249</v>
      </c>
      <c r="B13846" s="0" t="s">
        <v>98</v>
      </c>
      <c r="C13846" s="6" t="n">
        <f aca="false">(w_ntm28*Thesis!G31+(1-w_ntm28)*Thesis!H31)*m_ai</f>
        <v>563.316843258668</v>
      </c>
    </row>
    <row r="13847" customFormat="false" ht="17.15" hidden="false" customHeight="false" outlineLevel="0" collapsed="false">
      <c r="A13847" s="1" t="s">
        <v>1250</v>
      </c>
      <c r="B13847" s="0" t="s">
        <v>98</v>
      </c>
      <c r="C13847" s="6" t="n">
        <f aca="false">(w_ntm28*Sens!G13838+(1-w_ntm28)*Sens!H13838)*m_cloud</f>
        <v>1085.17964696599</v>
      </c>
    </row>
    <row r="13848" customFormat="false" ht="17.15" hidden="false" customHeight="false" outlineLevel="0" collapsed="false">
      <c r="A13848" s="1" t="s">
        <v>1251</v>
      </c>
      <c r="B13848" s="0" t="s">
        <v>98</v>
      </c>
      <c r="C13848" s="6" t="n">
        <f aca="false">(w_ntm28*Sens!G13831+(1-w_ntm28)*Sens!H13831)*m_sw</f>
        <v>1120.47763155275</v>
      </c>
    </row>
    <row r="13849" customFormat="false" ht="17.15" hidden="false" customHeight="false" outlineLevel="0" collapsed="false">
      <c r="A13849" s="1" t="s">
        <v>1252</v>
      </c>
      <c r="B13849" s="0" t="s">
        <v>98</v>
      </c>
      <c r="C13849" s="6" t="n">
        <f aca="false">(w_ntm28*Sens!G13832+(1-w_ntm28)*Sens!H13832)*m_sw</f>
        <v>372.68398809041</v>
      </c>
    </row>
    <row r="13850" customFormat="false" ht="17.15" hidden="false" customHeight="false" outlineLevel="0" collapsed="false">
      <c r="A13850" s="1" t="s">
        <v>1253</v>
      </c>
      <c r="B13850" s="0" t="s">
        <v>98</v>
      </c>
      <c r="C13850" s="6" t="n">
        <f aca="false">(w_ntm28*Sens!G13833+(1-w_ntm28)*Sens!H13833)*m_sw</f>
        <v>108.992632332144</v>
      </c>
    </row>
    <row r="13851" customFormat="false" ht="17.15" hidden="false" customHeight="false" outlineLevel="0" collapsed="false">
      <c r="A13851" s="1" t="s">
        <v>1254</v>
      </c>
      <c r="B13851" s="0" t="s">
        <v>98</v>
      </c>
      <c r="C13851" s="6" t="n">
        <f aca="false">(w_ntm28*Sens!G13834+(1-w_ntm28)*Sens!H13834)*m_sw</f>
        <v>41.4362652527414</v>
      </c>
    </row>
    <row r="13852" customFormat="false" ht="17.15" hidden="false" customHeight="false" outlineLevel="0" collapsed="false">
      <c r="A13852" s="1" t="s">
        <v>1255</v>
      </c>
      <c r="B13852" s="0" t="s">
        <v>98</v>
      </c>
      <c r="C13852" s="6" t="n">
        <f aca="false">(w_ntm28*Sens!G13835+(1-w_ntm28)*Sens!H13835)*m_ads</f>
        <v>114.891070326937</v>
      </c>
    </row>
    <row r="13853" customFormat="false" ht="17.15" hidden="false" customHeight="false" outlineLevel="0" collapsed="false">
      <c r="A13853" s="1" t="s">
        <v>1256</v>
      </c>
      <c r="B13853" s="0" t="s">
        <v>98</v>
      </c>
      <c r="C13853" s="6" t="n">
        <f aca="false">(w_ntm28*Sens!G13840+(1-w_ntm28)*Sens!H13840)*m_game</f>
        <v>98.505199156718</v>
      </c>
    </row>
    <row r="13854" customFormat="false" ht="17.15" hidden="false" customHeight="false" outlineLevel="0" collapsed="false">
      <c r="A13854" s="1" t="s">
        <v>1257</v>
      </c>
      <c r="B13854" s="0" t="s">
        <v>98</v>
      </c>
      <c r="C13854" s="6" t="n">
        <f aca="false">(w_ntm28*Sens!G13841+(1-w_ntm28)*Sens!H13841)*m_pc</f>
        <v>91.3231561150564</v>
      </c>
    </row>
    <row r="13855" customFormat="false" ht="17.15" hidden="false" customHeight="false" outlineLevel="0" collapsed="false">
      <c r="A13855" s="1" t="s">
        <v>1258</v>
      </c>
      <c r="B13855" s="0" t="s">
        <v>98</v>
      </c>
      <c r="C13855" s="6" t="n">
        <f aca="false">Sens!$C$13845+Sens!$C$13847+Sens!$C$13848+Sens!$C$13849+Sens!$C$13850+Sens!$C$13851+Sens!$C$13852+Sens!$C$13853+Sens!$C$13854</f>
        <v>3533.6015149742</v>
      </c>
    </row>
    <row r="13856" customFormat="false" ht="17.15" hidden="false" customHeight="false" outlineLevel="0" collapsed="false">
      <c r="A13856" s="1" t="s">
        <v>1259</v>
      </c>
      <c r="B13856" s="0" t="s">
        <v>98</v>
      </c>
      <c r="C13856" s="6" t="n">
        <f aca="false">(Sens!G13817-Sens!G13842)*t_stub</f>
        <v>48.2832931160316</v>
      </c>
      <c r="L13856" s="1" t="s">
        <v>1260</v>
      </c>
    </row>
    <row r="13857" customFormat="false" ht="17.15" hidden="false" customHeight="false" outlineLevel="0" collapsed="false">
      <c r="A13857" s="1" t="s">
        <v>1169</v>
      </c>
      <c r="B13857" s="0" t="s">
        <v>98</v>
      </c>
      <c r="C13857" s="6" t="n">
        <f aca="false">CF!F39+oai_v-CF!F28+Sens!$C$13856</f>
        <v>162.511563116032</v>
      </c>
      <c r="L13857" s="1" t="s">
        <v>1261</v>
      </c>
    </row>
    <row r="13858" customFormat="false" ht="17.15" hidden="false" customHeight="false" outlineLevel="0" collapsed="false">
      <c r="A13858" s="1" t="s">
        <v>1262</v>
      </c>
      <c r="B13858" s="0" t="s">
        <v>75</v>
      </c>
      <c r="C13858" s="5" t="n">
        <f aca="false">(Sens!$C$13855+Sens!$C$13857)/(CF!F41+dil_gap)-CF!G31*roll_div_q/q_per_yr</f>
        <v>492.416057696506</v>
      </c>
      <c r="L13858" s="1" t="s">
        <v>1263</v>
      </c>
    </row>
    <row r="13859" customFormat="false" ht="17.15" hidden="false" customHeight="false" outlineLevel="0" collapsed="false">
      <c r="A13859" s="1" t="s">
        <v>1264</v>
      </c>
      <c r="B13859" s="0" t="s">
        <v>75</v>
      </c>
      <c r="C13859" s="5" t="n">
        <f aca="false">w_dcf*Sens!$C$13829+(1-w_dcf)*Sens!$C$13858</f>
        <v>449.743425253295</v>
      </c>
    </row>
    <row r="13860" customFormat="false" ht="17.15" hidden="false" customHeight="false" outlineLevel="0" collapsed="false">
      <c r="A13860" s="3" t="s">
        <v>1826</v>
      </c>
    </row>
    <row r="13861" customFormat="false" ht="15" hidden="false" customHeight="false" outlineLevel="0" collapsed="false">
      <c r="A13861" s="4" t="s">
        <v>43</v>
      </c>
      <c r="B13861" s="4" t="s">
        <v>65</v>
      </c>
      <c r="C13861" s="23" t="s">
        <v>938</v>
      </c>
      <c r="D13861" s="23" t="s">
        <v>939</v>
      </c>
      <c r="E13861" s="23" t="s">
        <v>940</v>
      </c>
      <c r="F13861" s="23" t="s">
        <v>941</v>
      </c>
      <c r="G13861" s="23" t="s">
        <v>942</v>
      </c>
      <c r="H13861" s="23" t="s">
        <v>943</v>
      </c>
      <c r="I13861" s="23" t="s">
        <v>944</v>
      </c>
      <c r="J13861" s="23" t="s">
        <v>945</v>
      </c>
      <c r="K13861" s="23" t="s">
        <v>946</v>
      </c>
      <c r="L13861" s="4" t="s">
        <v>47</v>
      </c>
    </row>
    <row r="13862" customFormat="false" ht="17.15" hidden="false" customHeight="false" outlineLevel="0" collapsed="false">
      <c r="A13862" s="1" t="s">
        <v>1212</v>
      </c>
      <c r="B13862" s="1" t="s">
        <v>279</v>
      </c>
      <c r="F13862" s="8" t="n">
        <f aca="false">(1-v_off)*mid_yr</f>
        <v>0.373972602739726</v>
      </c>
      <c r="G13862" s="8" t="n">
        <f aca="false">Thesis!G58-base_fy-mid_yr-v_off</f>
        <v>1.24794520547945</v>
      </c>
      <c r="H13862" s="8" t="n">
        <f aca="false">Thesis!H58-base_fy-mid_yr-v_off</f>
        <v>2.24794520547945</v>
      </c>
      <c r="I13862" s="8" t="n">
        <f aca="false">Thesis!I58-base_fy-mid_yr-v_off</f>
        <v>3.24794520547945</v>
      </c>
      <c r="J13862" s="8" t="n">
        <f aca="false">Thesis!J58-base_fy-mid_yr-v_off</f>
        <v>4.24794520547945</v>
      </c>
      <c r="K13862" s="8" t="n">
        <f aca="false">Thesis!K58-base_fy-mid_yr-v_off</f>
        <v>5.24794520547945</v>
      </c>
      <c r="L13862" s="12" t="s">
        <v>1213</v>
      </c>
    </row>
    <row r="13863" customFormat="false" ht="15" hidden="false" customHeight="false" outlineLevel="0" collapsed="false">
      <c r="A13863" s="1" t="s">
        <v>1214</v>
      </c>
      <c r="B13863" s="1" t="s">
        <v>279</v>
      </c>
      <c r="F13863" s="8" t="n">
        <f aca="false">Thesis!F58-base_fy-v_off</f>
        <v>0.747945205479452</v>
      </c>
      <c r="G13863" s="8" t="n">
        <f aca="false">Thesis!G58-base_fy-v_off</f>
        <v>1.74794520547945</v>
      </c>
      <c r="H13863" s="8" t="n">
        <f aca="false">Thesis!H58-base_fy-v_off</f>
        <v>2.74794520547945</v>
      </c>
      <c r="I13863" s="8" t="n">
        <f aca="false">Thesis!I58-base_fy-v_off</f>
        <v>3.74794520547945</v>
      </c>
      <c r="J13863" s="8" t="n">
        <f aca="false">Thesis!J58-base_fy-v_off</f>
        <v>4.74794520547945</v>
      </c>
      <c r="K13863" s="8" t="n">
        <f aca="false">Thesis!K58-base_fy-v_off</f>
        <v>5.74794520547945</v>
      </c>
    </row>
    <row r="13864" customFormat="false" ht="15" hidden="false" customHeight="false" outlineLevel="0" collapsed="false">
      <c r="A13864" s="1" t="s">
        <v>1215</v>
      </c>
      <c r="B13864" s="0" t="s">
        <v>229</v>
      </c>
      <c r="F13864" s="15" t="n">
        <f aca="false">1/(1+(wacc-0.01))^Sens!F13862</f>
        <v>0.967311921156654</v>
      </c>
      <c r="G13864" s="15" t="n">
        <f aca="false">1/(1+(wacc-0.01))^Sens!G13862</f>
        <v>0.895025887723348</v>
      </c>
      <c r="H13864" s="15" t="n">
        <f aca="false">1/(1+(wacc-0.01))^Sens!H13862</f>
        <v>0.818918403078609</v>
      </c>
      <c r="I13864" s="15" t="n">
        <f aca="false">1/(1+(wacc-0.01))^Sens!I13862</f>
        <v>0.749282629809374</v>
      </c>
      <c r="J13864" s="15" t="n">
        <f aca="false">1/(1+(wacc-0.01))^Sens!J13862</f>
        <v>0.685568253471231</v>
      </c>
      <c r="K13864" s="15" t="n">
        <f aca="false">1/(1+(wacc-0.01))^Sens!K13862</f>
        <v>0.627271754968039</v>
      </c>
    </row>
    <row r="13865" customFormat="false" ht="17.15" hidden="false" customHeight="false" outlineLevel="0" collapsed="false">
      <c r="A13865" s="1" t="s">
        <v>1216</v>
      </c>
      <c r="B13865" s="0" t="s">
        <v>98</v>
      </c>
      <c r="F13865" s="6" t="n">
        <f aca="false">Q!$I$35-Q!$I$39-Q!$I$43</f>
        <v>9.666</v>
      </c>
      <c r="L13865" s="12" t="s">
        <v>1217</v>
      </c>
    </row>
    <row r="13866" customFormat="false" ht="17.15" hidden="false" customHeight="false" outlineLevel="0" collapsed="false">
      <c r="A13866" s="1" t="s">
        <v>1218</v>
      </c>
      <c r="B13866" s="0" t="s">
        <v>98</v>
      </c>
      <c r="F13866" s="6" t="n">
        <f aca="false">CF!F55-CF!F52-CF!F59+Thesis!F99*(1-tax_f)*(1-v_off)-Sens!F13865</f>
        <v>-3.35959137570949</v>
      </c>
      <c r="G13866" s="6" t="n">
        <f aca="false">CF!G55-CF!G52-CF!G59+Thesis!G99*(1-tax_f)</f>
        <v>29.8084555066036</v>
      </c>
      <c r="H13866" s="6" t="n">
        <f aca="false">CF!H55-CF!H52-CF!H59+Thesis!H99*(1-tax_f)</f>
        <v>79.3231801478051</v>
      </c>
      <c r="I13866" s="6" t="n">
        <f aca="false">CF!I55-CF!I52-CF!I59+Thesis!I99*(1-tax_f)</f>
        <v>157.29132812061</v>
      </c>
      <c r="J13866" s="6" t="n">
        <f aca="false">CF!J55-CF!J52-CF!J59+Thesis!J99*(1-tax_f)</f>
        <v>235.537601843622</v>
      </c>
      <c r="K13866" s="6" t="n">
        <f aca="false">CF!K55-CF!K52-CF!K59+Thesis!K99*(1-tax_f)</f>
        <v>273.705067207806</v>
      </c>
      <c r="L13866" s="1" t="s">
        <v>1219</v>
      </c>
    </row>
    <row r="13867" customFormat="false" ht="15" hidden="false" customHeight="false" outlineLevel="0" collapsed="false">
      <c r="A13867" s="1" t="s">
        <v>1220</v>
      </c>
      <c r="B13867" s="0" t="s">
        <v>98</v>
      </c>
      <c r="F13867" s="6" t="n">
        <f aca="false">Sens!F13866*Sens!F13864</f>
        <v>-3.24977278793888</v>
      </c>
      <c r="G13867" s="6" t="n">
        <f aca="false">Sens!G13866*Sens!G13864</f>
        <v>26.6793393514598</v>
      </c>
      <c r="H13867" s="6" t="n">
        <f aca="false">Sens!H13866*Sens!H13864</f>
        <v>64.9592120137574</v>
      </c>
      <c r="I13867" s="6" t="n">
        <f aca="false">Sens!I13866*Sens!I13864</f>
        <v>117.85565998042</v>
      </c>
      <c r="J13867" s="6" t="n">
        <f aca="false">Sens!J13866*Sens!J13864</f>
        <v>161.477102322734</v>
      </c>
      <c r="K13867" s="6" t="n">
        <f aca="false">Sens!K13866*Sens!K13864</f>
        <v>171.687457851086</v>
      </c>
    </row>
    <row r="13868" customFormat="false" ht="17.15" hidden="false" customHeight="false" outlineLevel="0" collapsed="false">
      <c r="A13868" s="1" t="s">
        <v>1221</v>
      </c>
      <c r="B13868" s="0" t="s">
        <v>98</v>
      </c>
      <c r="C13868" s="6" t="n">
        <f aca="false">SUM(Sens!F13867:K13867)</f>
        <v>539.408998731518</v>
      </c>
    </row>
    <row r="13869" customFormat="false" ht="17.15" hidden="false" customHeight="false" outlineLevel="0" collapsed="false">
      <c r="A13869" s="1" t="s">
        <v>1222</v>
      </c>
      <c r="B13869" s="0" t="s">
        <v>98</v>
      </c>
      <c r="C13869" s="6" t="n">
        <f aca="false">PL!K78*(1+g_tv)*(1-tax_f)</f>
        <v>284.979534119394</v>
      </c>
    </row>
    <row r="13870" customFormat="false" ht="17.15" hidden="false" customHeight="false" outlineLevel="0" collapsed="false">
      <c r="A13870" s="1" t="s">
        <v>1223</v>
      </c>
      <c r="B13870" s="0" t="s">
        <v>98</v>
      </c>
      <c r="C13870" s="6" t="n">
        <f aca="false">Sens!$C$13869*(1-g_tv/((wacc-0.01)+ronic_prem))</f>
        <v>192.987930633675</v>
      </c>
    </row>
    <row r="13871" customFormat="false" ht="17.15" hidden="false" customHeight="false" outlineLevel="0" collapsed="false">
      <c r="A13871" s="1" t="s">
        <v>1224</v>
      </c>
      <c r="B13871" s="0" t="s">
        <v>98</v>
      </c>
      <c r="C13871" s="6" t="n">
        <f aca="false">Sens!$C$13870/((wacc-0.01)-g_tv)</f>
        <v>3066.38678285728</v>
      </c>
    </row>
    <row r="13872" customFormat="false" ht="15" hidden="false" customHeight="false" outlineLevel="0" collapsed="false">
      <c r="A13872" s="1" t="s">
        <v>1225</v>
      </c>
      <c r="B13872" s="0" t="s">
        <v>98</v>
      </c>
      <c r="C13872" s="6" t="n">
        <f aca="false">Sens!$C$13871/(1+(wacc-0.01))^Sens!K13863</f>
        <v>1839.86172004233</v>
      </c>
    </row>
    <row r="13873" customFormat="false" ht="17.15" hidden="false" customHeight="false" outlineLevel="0" collapsed="false">
      <c r="A13873" s="0" t="s">
        <v>1226</v>
      </c>
      <c r="B13873" s="0" t="s">
        <v>98</v>
      </c>
      <c r="C13873" s="6" t="n">
        <f aca="false">Sens!$C$13868+Sens!$C$13872</f>
        <v>2379.27071877385</v>
      </c>
    </row>
    <row r="13874" customFormat="false" ht="15" hidden="false" customHeight="false" outlineLevel="0" collapsed="false">
      <c r="A13874" s="1" t="s">
        <v>1141</v>
      </c>
      <c r="B13874" s="0" t="s">
        <v>168</v>
      </c>
      <c r="C13874" s="7" t="n">
        <f aca="false">Sens!$C$13872/Sens!$C$13873</f>
        <v>0.773288094341151</v>
      </c>
    </row>
    <row r="13875" customFormat="false" ht="17.15" hidden="false" customHeight="false" outlineLevel="0" collapsed="false">
      <c r="A13875" s="1" t="s">
        <v>1227</v>
      </c>
      <c r="B13875" s="0" t="s">
        <v>98</v>
      </c>
      <c r="C13875" s="6" t="n">
        <f aca="false">Sens!$C$13873+cash_val-debt_val-fl_val+oai_v</f>
        <v>2495.12171877385</v>
      </c>
    </row>
    <row r="13876" customFormat="false" ht="17.15" hidden="false" customHeight="false" outlineLevel="0" collapsed="false">
      <c r="A13876" s="0" t="s">
        <v>1149</v>
      </c>
      <c r="B13876" s="0" t="s">
        <v>75</v>
      </c>
      <c r="C13876" s="5" t="n">
        <f aca="false">Sens!$C$13875/shd_val</f>
        <v>335.095584041613</v>
      </c>
    </row>
    <row r="13877" customFormat="false" ht="15" hidden="false" customHeight="false" outlineLevel="0" collapsed="false">
      <c r="A13877" s="1" t="s">
        <v>1228</v>
      </c>
      <c r="B13877" s="0" t="s">
        <v>75</v>
      </c>
      <c r="C13877" s="8" t="n">
        <f aca="false">div_rem27+CF!G63*roll_div_q/q_per_yr</f>
        <v>3.9795</v>
      </c>
    </row>
    <row r="13878" customFormat="false" ht="17.15" hidden="false" customHeight="false" outlineLevel="0" collapsed="false">
      <c r="A13878" s="0" t="s">
        <v>1229</v>
      </c>
      <c r="B13878" s="0" t="s">
        <v>75</v>
      </c>
      <c r="C13878" s="5" t="n">
        <f aca="false">Sens!$C$13876*(1+(wacc-0.01))^t_roll-Sens!$C$13877</f>
        <v>364.853796501004</v>
      </c>
    </row>
    <row r="13879" customFormat="false" ht="17.15" hidden="false" customHeight="false" outlineLevel="0" collapsed="false">
      <c r="A13879" s="1" t="s">
        <v>1230</v>
      </c>
      <c r="B13879" s="0" t="s">
        <v>168</v>
      </c>
      <c r="F13879" s="7" t="n">
        <f aca="false">CF!F49/(Seg!F56-Thesis!F77)</f>
        <v>0.0686195668908011</v>
      </c>
      <c r="G13879" s="7" t="n">
        <f aca="false">CF!G49/(Seg!G56-Thesis!G77)</f>
        <v>0.0658333569148391</v>
      </c>
      <c r="H13879" s="7" t="n">
        <f aca="false">CF!H49/(Seg!H56-Thesis!H77)</f>
        <v>0.0643895625218926</v>
      </c>
      <c r="I13879" s="7" t="n">
        <f aca="false">CF!I49/(Seg!I56-Thesis!I77)</f>
        <v>0.0641676618157989</v>
      </c>
      <c r="J13879" s="7" t="n">
        <f aca="false">CF!J49/(Seg!J56-Thesis!J77)</f>
        <v>0.0648858606572163</v>
      </c>
      <c r="K13879" s="7" t="n">
        <f aca="false">CF!K49/(Seg!K56-Thesis!K77)</f>
        <v>0.0661974425163768</v>
      </c>
    </row>
    <row r="13880" customFormat="false" ht="17.15" hidden="false" customHeight="false" outlineLevel="0" collapsed="false">
      <c r="A13880" s="0" t="s">
        <v>1231</v>
      </c>
      <c r="B13880" s="0" t="s">
        <v>98</v>
      </c>
      <c r="F13880" s="6" t="n">
        <f aca="false">Seg!F41*(al_m365+Sens!F13879+sbc_r)</f>
        <v>83.7205619248671</v>
      </c>
      <c r="G13880" s="6" t="n">
        <f aca="false">Seg!G41*(al_m365+Sens!G13879+sbc_r)</f>
        <v>96.1301303332381</v>
      </c>
      <c r="H13880" s="6" t="n">
        <f aca="false">Seg!H41*(al_m365+Sens!H13879+sbc_r)</f>
        <v>108.70354073822</v>
      </c>
      <c r="I13880" s="6" t="n">
        <f aca="false">Seg!I41*(al_m365+Sens!I13879+sbc_r)</f>
        <v>120.260101315626</v>
      </c>
      <c r="J13880" s="6" t="n">
        <f aca="false">Seg!J41*(al_m365+Sens!J13879+sbc_r)</f>
        <v>130.611904548619</v>
      </c>
      <c r="K13880" s="6" t="n">
        <f aca="false">Seg!K41*(al_m365+Sens!K13879+sbc_r)</f>
        <v>140.575094974638</v>
      </c>
      <c r="L13880" s="12" t="s">
        <v>1232</v>
      </c>
    </row>
    <row r="13881" customFormat="false" ht="17.15" hidden="false" customHeight="false" outlineLevel="0" collapsed="false">
      <c r="A13881" s="0" t="s">
        <v>1233</v>
      </c>
      <c r="B13881" s="0" t="s">
        <v>98</v>
      </c>
      <c r="F13881" s="6" t="n">
        <f aca="false">Seg!F42*(al_lic+Sens!F13879+sbc_r)</f>
        <v>32.8577657183496</v>
      </c>
      <c r="G13881" s="6" t="n">
        <f aca="false">Seg!G42*(al_lic+Sens!G13879+sbc_r)</f>
        <v>34.1376266324889</v>
      </c>
      <c r="H13881" s="6" t="n">
        <f aca="false">Seg!H42*(al_lic+Sens!H13879+sbc_r)</f>
        <v>35.3325744664128</v>
      </c>
      <c r="I13881" s="6" t="n">
        <f aca="false">Seg!I42*(al_lic+Sens!I13879+sbc_r)</f>
        <v>36.4244749008727</v>
      </c>
      <c r="J13881" s="6" t="n">
        <f aca="false">Seg!J42*(al_lic+Sens!J13879+sbc_r)</f>
        <v>37.3879406068527</v>
      </c>
      <c r="K13881" s="6" t="n">
        <f aca="false">Seg!K42*(al_lic+Sens!K13879+sbc_r)</f>
        <v>38.1943876078259</v>
      </c>
    </row>
    <row r="13882" customFormat="false" ht="17.15" hidden="false" customHeight="false" outlineLevel="0" collapsed="false">
      <c r="A13882" s="0" t="s">
        <v>1234</v>
      </c>
      <c r="B13882" s="0" t="s">
        <v>98</v>
      </c>
      <c r="F13882" s="6" t="n">
        <f aca="false">Seg!F44*(al_ind+Sens!F13879+sbc_r)</f>
        <v>9.06041701092022</v>
      </c>
      <c r="G13882" s="6" t="n">
        <f aca="false">Seg!G44*(al_ind+Sens!G13879+sbc_r)</f>
        <v>9.83619082712885</v>
      </c>
      <c r="H13882" s="6" t="n">
        <f aca="false">Seg!H44*(al_ind+Sens!H13879+sbc_r)</f>
        <v>10.6570160105312</v>
      </c>
      <c r="I13882" s="6" t="n">
        <f aca="false">Seg!I44*(al_ind+Sens!I13879+sbc_r)</f>
        <v>11.5198571637125</v>
      </c>
      <c r="J13882" s="6" t="n">
        <f aca="false">Seg!J44*(al_ind+Sens!J13879+sbc_r)</f>
        <v>12.4150086539206</v>
      </c>
      <c r="K13882" s="6" t="n">
        <f aca="false">Seg!K44*(al_ind+Sens!K13879+sbc_r)</f>
        <v>13.3273714589988</v>
      </c>
    </row>
    <row r="13883" customFormat="false" ht="17.15" hidden="false" customHeight="false" outlineLevel="0" collapsed="false">
      <c r="A13883" s="0" t="s">
        <v>1235</v>
      </c>
      <c r="B13883" s="0" t="s">
        <v>98</v>
      </c>
      <c r="F13883" s="6" t="n">
        <f aca="false">Seg!F46*(al_fro+Sens!F13879+sbc_r)</f>
        <v>3.55402950182022</v>
      </c>
      <c r="G13883" s="6" t="n">
        <f aca="false">Seg!G46*(al_fro+Sens!G13879+sbc_r)</f>
        <v>3.76361488926481</v>
      </c>
      <c r="H13883" s="6" t="n">
        <f aca="false">Seg!H46*(al_fro+Sens!H13879+sbc_r)</f>
        <v>4.00220968879544</v>
      </c>
      <c r="I13883" s="6" t="n">
        <f aca="false">Seg!I46*(al_fro+Sens!I13879+sbc_r)</f>
        <v>4.2725765173852</v>
      </c>
      <c r="J13883" s="6" t="n">
        <f aca="false">Seg!J46*(al_fro+Sens!J13879+sbc_r)</f>
        <v>4.57586224390293</v>
      </c>
      <c r="K13883" s="6" t="n">
        <f aca="false">Seg!K46*(al_fro+Sens!K13879+sbc_r)</f>
        <v>4.91213639633217</v>
      </c>
    </row>
    <row r="13884" customFormat="false" ht="17.15" hidden="false" customHeight="false" outlineLevel="0" collapsed="false">
      <c r="A13884" s="0" t="s">
        <v>1236</v>
      </c>
      <c r="B13884" s="0" t="s">
        <v>98</v>
      </c>
      <c r="F13884" s="6" t="n">
        <f aca="false">Seg!F49*(al_srch+Sens!F13879+sbc_r)</f>
        <v>11.1890902994147</v>
      </c>
      <c r="G13884" s="6" t="n">
        <f aca="false">Seg!G49*(al_srch+Sens!G13879+sbc_r)</f>
        <v>12.261738891803</v>
      </c>
      <c r="H13884" s="6" t="n">
        <f aca="false">Seg!H49*(al_srch+Sens!H13879+sbc_r)</f>
        <v>13.3794863429193</v>
      </c>
      <c r="I13884" s="6" t="n">
        <f aca="false">Seg!I49*(al_srch+Sens!I13879+sbc_r)</f>
        <v>14.5317114787784</v>
      </c>
      <c r="J13884" s="6" t="n">
        <f aca="false">Seg!J49*(al_srch+Sens!J13879+sbc_r)</f>
        <v>15.6984365817724</v>
      </c>
      <c r="K13884" s="6" t="n">
        <f aca="false">Seg!K49*(al_srch+Sens!K13879+sbc_r)</f>
        <v>16.8520942258664</v>
      </c>
    </row>
    <row r="13885" customFormat="false" ht="17.15" hidden="false" customHeight="false" outlineLevel="0" collapsed="false">
      <c r="A13885" s="0" t="s">
        <v>1237</v>
      </c>
      <c r="B13885" s="0" t="s">
        <v>98</v>
      </c>
      <c r="F13885" s="6" t="n">
        <f aca="false">Thesis!F83-Thesis!F84+Thesis!F99</f>
        <v>42.5431090240393</v>
      </c>
      <c r="G13885" s="6" t="n">
        <f aca="false">Thesis!G83-Thesis!G84+Thesis!G99</f>
        <v>81.4922561130847</v>
      </c>
      <c r="H13885" s="6" t="n">
        <f aca="false">Thesis!H83-Thesis!H84+Thesis!H99</f>
        <v>123.278266211349</v>
      </c>
      <c r="I13885" s="6" t="n">
        <f aca="false">Thesis!I83-Thesis!I84+Thesis!I99</f>
        <v>160.60594185192</v>
      </c>
      <c r="J13885" s="6" t="n">
        <f aca="false">Thesis!J83-Thesis!J84+Thesis!J99</f>
        <v>186.818741832633</v>
      </c>
      <c r="K13885" s="6" t="n">
        <f aca="false">Thesis!K83-Thesis!K84+Thesis!K99</f>
        <v>202.776422159652</v>
      </c>
    </row>
    <row r="13886" customFormat="false" ht="17.15" hidden="false" customHeight="false" outlineLevel="0" collapsed="false">
      <c r="A13886" s="0" t="s">
        <v>1238</v>
      </c>
      <c r="B13886" s="0" t="s">
        <v>98</v>
      </c>
      <c r="F13886" s="6" t="n">
        <f aca="false">PL!F71+Thesis!F99+Thesis!F95+Sens!F13879*(Seg!F48-Thesis!F77)+sbc_r*Seg!F48</f>
        <v>238.090727427296</v>
      </c>
      <c r="G13886" s="6" t="n">
        <f aca="false">PL!G71+Thesis!G99+Thesis!G95+Sens!G13879*(Seg!G48-Thesis!G77)+sbc_r*Seg!G48</f>
        <v>299.90836088563</v>
      </c>
      <c r="H13886" s="6" t="n">
        <f aca="false">PL!H71+Thesis!H99+Thesis!H95+Sens!H13879*(Seg!H48-Thesis!H77)+sbc_r*Seg!H48</f>
        <v>369.457709442386</v>
      </c>
      <c r="I13886" s="6" t="n">
        <f aca="false">PL!I71+Thesis!I99+Thesis!I95+Sens!I13879*(Seg!I48-Thesis!I77)+sbc_r*Seg!I48</f>
        <v>433.16585128823</v>
      </c>
      <c r="J13886" s="6" t="n">
        <f aca="false">PL!J71+Thesis!J99+Thesis!J95+Sens!J13879*(Seg!J48-Thesis!J77)+sbc_r*Seg!J48</f>
        <v>483.301303131191</v>
      </c>
      <c r="K13886" s="6" t="n">
        <f aca="false">PL!K71+Thesis!K99+Thesis!K95+Sens!K13879*(Seg!K48-Thesis!K77)+sbc_r*Seg!K48</f>
        <v>520.789002205336</v>
      </c>
    </row>
    <row r="13887" customFormat="false" ht="17.15" hidden="false" customHeight="false" outlineLevel="0" collapsed="false">
      <c r="A13887" s="0" t="s">
        <v>1239</v>
      </c>
      <c r="B13887" s="0" t="s">
        <v>98</v>
      </c>
      <c r="F13887" s="6" t="n">
        <f aca="false">Sens!F13886-Sens!F13880-Sens!F13881-Sens!F13882-Sens!F13883-Sens!F13885</f>
        <v>66.3548442472996</v>
      </c>
      <c r="G13887" s="6" t="n">
        <f aca="false">Sens!G13886-Sens!G13880-Sens!G13881-Sens!G13882-Sens!G13883-Sens!G13885</f>
        <v>74.548542090425</v>
      </c>
      <c r="H13887" s="6" t="n">
        <f aca="false">Sens!H13886-Sens!H13880-Sens!H13881-Sens!H13882-Sens!H13883-Sens!H13885</f>
        <v>87.4841023270775</v>
      </c>
      <c r="I13887" s="6" t="n">
        <f aca="false">Sens!I13886-Sens!I13880-Sens!I13881-Sens!I13882-Sens!I13883-Sens!I13885</f>
        <v>100.082899538713</v>
      </c>
      <c r="J13887" s="6" t="n">
        <f aca="false">Sens!J13886-Sens!J13880-Sens!J13881-Sens!J13882-Sens!J13883-Sens!J13885</f>
        <v>111.491845245262</v>
      </c>
      <c r="K13887" s="6" t="n">
        <f aca="false">Sens!K13886-Sens!K13880-Sens!K13881-Sens!K13882-Sens!K13883-Sens!K13885</f>
        <v>121.003589607889</v>
      </c>
    </row>
    <row r="13888" customFormat="false" ht="17.15" hidden="false" customHeight="false" outlineLevel="0" collapsed="false">
      <c r="A13888" s="0" t="s">
        <v>1240</v>
      </c>
      <c r="B13888" s="0" t="s">
        <v>98</v>
      </c>
      <c r="F13888" s="6" t="n">
        <f aca="false">PL!F73+Sens!F13879*Seg!F55+sbc_r*Seg!F55</f>
        <v>26.6336365855879</v>
      </c>
      <c r="G13888" s="6" t="n">
        <f aca="false">PL!G73+Sens!G13879*Seg!G55+sbc_r*Seg!G55</f>
        <v>26.4720859498625</v>
      </c>
      <c r="H13888" s="6" t="n">
        <f aca="false">PL!H73+Sens!H13879*Seg!H55+sbc_r*Seg!H55</f>
        <v>27.346793021284</v>
      </c>
      <c r="I13888" s="6" t="n">
        <f aca="false">PL!I73+Sens!I13879*Seg!I55+sbc_r*Seg!I55</f>
        <v>28.4574657863154</v>
      </c>
      <c r="J13888" s="6" t="n">
        <f aca="false">PL!J73+Sens!J13879*Seg!J55+sbc_r*Seg!J55</f>
        <v>29.7689890546037</v>
      </c>
      <c r="K13888" s="6" t="n">
        <f aca="false">PL!K73+Sens!K13879*Seg!K55+sbc_r*Seg!K55</f>
        <v>31.2443947307494</v>
      </c>
    </row>
    <row r="13889" customFormat="false" ht="17.15" hidden="false" customHeight="false" outlineLevel="0" collapsed="false">
      <c r="A13889" s="0" t="s">
        <v>1241</v>
      </c>
      <c r="B13889" s="0" t="s">
        <v>98</v>
      </c>
      <c r="F13889" s="6" t="n">
        <f aca="false">(Sens!F13888-Sens!F13884)*Seg!F51/(Seg!F51+Seg!F53)</f>
        <v>8.72285608232241</v>
      </c>
      <c r="G13889" s="6" t="n">
        <f aca="false">(Sens!G13888-Sens!G13884)*Seg!G51/(Seg!G51+Seg!G53)</f>
        <v>7.88786455444355</v>
      </c>
      <c r="H13889" s="6" t="n">
        <f aca="false">(Sens!H13888-Sens!H13884)*Seg!H51/(Seg!H51+Seg!H53)</f>
        <v>7.65195986819674</v>
      </c>
      <c r="I13889" s="6" t="n">
        <f aca="false">(Sens!I13888-Sens!I13884)*Seg!I51/(Seg!I51+Seg!I53)</f>
        <v>7.56260440676676</v>
      </c>
      <c r="J13889" s="6" t="n">
        <f aca="false">(Sens!J13888-Sens!J13884)*Seg!J51/(Seg!J51+Seg!J53)</f>
        <v>7.60790100885945</v>
      </c>
      <c r="K13889" s="6" t="n">
        <f aca="false">(Sens!K13888-Sens!K13884)*Seg!K51/(Seg!K51+Seg!K53)</f>
        <v>7.78186910160995</v>
      </c>
    </row>
    <row r="13890" customFormat="false" ht="17.15" hidden="false" customHeight="false" outlineLevel="0" collapsed="false">
      <c r="A13890" s="0" t="s">
        <v>1242</v>
      </c>
      <c r="B13890" s="0" t="s">
        <v>98</v>
      </c>
      <c r="F13890" s="6" t="n">
        <f aca="false">Sens!F13888-Sens!F13884-Sens!F13889</f>
        <v>6.72169020385088</v>
      </c>
      <c r="G13890" s="6" t="n">
        <f aca="false">Sens!G13888-Sens!G13884-Sens!G13889</f>
        <v>6.322482503616</v>
      </c>
      <c r="H13890" s="6" t="n">
        <f aca="false">Sens!H13888-Sens!H13884-Sens!H13889</f>
        <v>6.315346810168</v>
      </c>
      <c r="I13890" s="6" t="n">
        <f aca="false">Sens!I13888-Sens!I13884-Sens!I13889</f>
        <v>6.36314990077033</v>
      </c>
      <c r="J13890" s="6" t="n">
        <f aca="false">Sens!J13888-Sens!J13884-Sens!J13889</f>
        <v>6.46265146397189</v>
      </c>
      <c r="K13890" s="6" t="n">
        <f aca="false">Sens!K13888-Sens!K13884-Sens!K13889</f>
        <v>6.61043140327304</v>
      </c>
    </row>
    <row r="13891" customFormat="false" ht="17.15" hidden="false" customHeight="false" outlineLevel="0" collapsed="false">
      <c r="A13891" s="0" t="s">
        <v>1243</v>
      </c>
      <c r="B13891" s="0" t="s">
        <v>98</v>
      </c>
      <c r="F13891" s="6" t="n">
        <f aca="false">Sens!F13885-tax_f*(Sens!F13885-Thesis!F95)-Thesis!F92</f>
        <v>-127.503553927218</v>
      </c>
      <c r="G13891" s="6" t="n">
        <f aca="false">Sens!G13885-tax_f*(Sens!G13885-Thesis!G95)-Thesis!G92</f>
        <v>-114.603772628121</v>
      </c>
      <c r="H13891" s="6" t="n">
        <f aca="false">Sens!H13885-tax_f*(Sens!H13885-Thesis!H95)-Thesis!H92</f>
        <v>-80.3633729631438</v>
      </c>
      <c r="I13891" s="6" t="n">
        <f aca="false">Sens!I13885-tax_f*(Sens!I13885-Thesis!I95)-Thesis!I92</f>
        <v>-17.2838782011649</v>
      </c>
      <c r="J13891" s="6" t="n">
        <f aca="false">Sens!J13885-tax_f*(Sens!J13885-Thesis!J95)-Thesis!J92</f>
        <v>46.9281968800854</v>
      </c>
      <c r="K13891" s="6" t="n">
        <f aca="false">Sens!K13885-tax_f*(Sens!K13885-Thesis!K95)-Thesis!K92</f>
        <v>71.8608185731755</v>
      </c>
    </row>
    <row r="13892" customFormat="false" ht="17.15" hidden="false" customHeight="false" outlineLevel="0" collapsed="false">
      <c r="A13892" s="0" t="s">
        <v>1244</v>
      </c>
      <c r="B13892" s="0" t="s">
        <v>98</v>
      </c>
      <c r="G13892" s="6" t="n">
        <f aca="false">Sens!G13891/(1+(wacc-0.01))^(Sens!G13862-Sens!F13863)</f>
        <v>-109.622936454159</v>
      </c>
      <c r="H13892" s="6" t="n">
        <f aca="false">Sens!H13891/(1+(wacc-0.01))^(Sens!H13862-Sens!F13863)</f>
        <v>-70.3340631728203</v>
      </c>
      <c r="I13892" s="6" t="n">
        <f aca="false">Sens!I13891/(1+(wacc-0.01))^(Sens!I13862-Sens!F13863)</f>
        <v>-13.8405638059958</v>
      </c>
      <c r="J13892" s="6" t="n">
        <f aca="false">Sens!J13891/(1+(wacc-0.01))^(Sens!J13862-Sens!F13863)</f>
        <v>34.383611105675</v>
      </c>
      <c r="K13892" s="6" t="n">
        <f aca="false">Sens!K13891/(1+(wacc-0.01))^(Sens!K13862-Sens!F13863)</f>
        <v>48.1742333838472</v>
      </c>
      <c r="L13892" s="1" t="s">
        <v>1245</v>
      </c>
    </row>
    <row r="13893" customFormat="false" ht="17.15" hidden="false" customHeight="false" outlineLevel="0" collapsed="false">
      <c r="A13893" s="0" t="s">
        <v>1246</v>
      </c>
      <c r="B13893" s="0" t="s">
        <v>98</v>
      </c>
      <c r="C13893" s="6" t="n">
        <f aca="false">(Sens!K13885-Thesis!K95)*(1-tax_f)*(1+g_tv)*(1-g_tv/((wacc-0.01)+ronic_prem))/((wacc-0.01)-g_tv)/(1+(wacc-0.01))^(Sens!K13863-Sens!F13863)</f>
        <v>339.784452015358</v>
      </c>
    </row>
    <row r="13894" customFormat="false" ht="17.15" hidden="false" customHeight="false" outlineLevel="0" collapsed="false">
      <c r="A13894" s="1" t="s">
        <v>1247</v>
      </c>
      <c r="B13894" s="0" t="s">
        <v>98</v>
      </c>
      <c r="C13894" s="6" t="n">
        <f aca="false">(SUM(Sens!G13892:K13892)+Sens!$C$13893)*(1+(wacc-0.01))^(t_roll-Sens!F13863)</f>
        <v>235.377915719856</v>
      </c>
      <c r="L13894" s="12" t="s">
        <v>1248</v>
      </c>
    </row>
    <row r="13895" customFormat="false" ht="17.15" hidden="false" customHeight="false" outlineLevel="0" collapsed="false">
      <c r="A13895" s="1" t="s">
        <v>1249</v>
      </c>
      <c r="B13895" s="0" t="s">
        <v>98</v>
      </c>
      <c r="C13895" s="6" t="n">
        <f aca="false">(w_ntm28*Thesis!G83+(1-w_ntm28)*Thesis!H83)*m_ai</f>
        <v>463.789109510335</v>
      </c>
    </row>
    <row r="13896" customFormat="false" ht="17.15" hidden="false" customHeight="false" outlineLevel="0" collapsed="false">
      <c r="A13896" s="1" t="s">
        <v>1250</v>
      </c>
      <c r="B13896" s="0" t="s">
        <v>98</v>
      </c>
      <c r="C13896" s="6" t="n">
        <f aca="false">(w_ntm28*Sens!G13887+(1-w_ntm28)*Sens!H13887)*m_cloud</f>
        <v>1089.03436702245</v>
      </c>
    </row>
    <row r="13897" customFormat="false" ht="17.15" hidden="false" customHeight="false" outlineLevel="0" collapsed="false">
      <c r="A13897" s="1" t="s">
        <v>1251</v>
      </c>
      <c r="B13897" s="0" t="s">
        <v>98</v>
      </c>
      <c r="C13897" s="6" t="n">
        <f aca="false">(w_ntm28*Sens!G13880+(1-w_ntm28)*Sens!H13880)*m_sw</f>
        <v>1082.84962646159</v>
      </c>
    </row>
    <row r="13898" customFormat="false" ht="17.15" hidden="false" customHeight="false" outlineLevel="0" collapsed="false">
      <c r="A13898" s="1" t="s">
        <v>1252</v>
      </c>
      <c r="B13898" s="0" t="s">
        <v>98</v>
      </c>
      <c r="C13898" s="6" t="n">
        <f aca="false">(w_ntm28*Sens!G13881+(1-w_ntm28)*Sens!H13881)*m_sw</f>
        <v>372.929250898731</v>
      </c>
    </row>
    <row r="13899" customFormat="false" ht="17.15" hidden="false" customHeight="false" outlineLevel="0" collapsed="false">
      <c r="A13899" s="1" t="s">
        <v>1253</v>
      </c>
      <c r="B13899" s="0" t="s">
        <v>98</v>
      </c>
      <c r="C13899" s="6" t="n">
        <f aca="false">(w_ntm28*Sens!G13882+(1-w_ntm28)*Sens!H13882)*m_sw</f>
        <v>109.1453525431</v>
      </c>
    </row>
    <row r="13900" customFormat="false" ht="17.15" hidden="false" customHeight="false" outlineLevel="0" collapsed="false">
      <c r="A13900" s="1" t="s">
        <v>1254</v>
      </c>
      <c r="B13900" s="0" t="s">
        <v>98</v>
      </c>
      <c r="C13900" s="6" t="n">
        <f aca="false">(w_ntm28*Sens!G13883+(1-w_ntm28)*Sens!H13883)*m_sw</f>
        <v>41.4942157634893</v>
      </c>
    </row>
    <row r="13901" customFormat="false" ht="17.15" hidden="false" customHeight="false" outlineLevel="0" collapsed="false">
      <c r="A13901" s="1" t="s">
        <v>1255</v>
      </c>
      <c r="B13901" s="0" t="s">
        <v>98</v>
      </c>
      <c r="C13901" s="6" t="n">
        <f aca="false">(w_ntm28*Sens!G13884+(1-w_ntm28)*Sens!H13884)*m_ads</f>
        <v>115.052171478463</v>
      </c>
    </row>
    <row r="13902" customFormat="false" ht="17.15" hidden="false" customHeight="false" outlineLevel="0" collapsed="false">
      <c r="A13902" s="1" t="s">
        <v>1256</v>
      </c>
      <c r="B13902" s="0" t="s">
        <v>98</v>
      </c>
      <c r="C13902" s="6" t="n">
        <f aca="false">(w_ntm28*Sens!G13889+(1-w_ntm28)*Sens!H13889)*m_game</f>
        <v>98.6441755076202</v>
      </c>
    </row>
    <row r="13903" customFormat="false" ht="17.15" hidden="false" customHeight="false" outlineLevel="0" collapsed="false">
      <c r="A13903" s="1" t="s">
        <v>1257</v>
      </c>
      <c r="B13903" s="0" t="s">
        <v>98</v>
      </c>
      <c r="C13903" s="6" t="n">
        <f aca="false">(w_ntm28*Sens!G13890+(1-w_ntm28)*Sens!H13890)*m_pc</f>
        <v>91.4523754763561</v>
      </c>
    </row>
    <row r="13904" customFormat="false" ht="17.15" hidden="false" customHeight="false" outlineLevel="0" collapsed="false">
      <c r="A13904" s="1" t="s">
        <v>1258</v>
      </c>
      <c r="B13904" s="0" t="s">
        <v>98</v>
      </c>
      <c r="C13904" s="6" t="n">
        <f aca="false">Sens!$C$13894+Sens!$C$13896+Sens!$C$13897+Sens!$C$13898+Sens!$C$13899+Sens!$C$13900+Sens!$C$13901+Sens!$C$13902+Sens!$C$13903</f>
        <v>3235.97945087166</v>
      </c>
    </row>
    <row r="13905" customFormat="false" ht="17.15" hidden="false" customHeight="false" outlineLevel="0" collapsed="false">
      <c r="A13905" s="1" t="s">
        <v>1259</v>
      </c>
      <c r="B13905" s="0" t="s">
        <v>98</v>
      </c>
      <c r="C13905" s="6" t="n">
        <f aca="false">(Sens!G13866-Sens!G13891)*t_stub</f>
        <v>47.8736427515113</v>
      </c>
      <c r="L13905" s="1" t="s">
        <v>1260</v>
      </c>
    </row>
    <row r="13906" customFormat="false" ht="17.15" hidden="false" customHeight="false" outlineLevel="0" collapsed="false">
      <c r="A13906" s="1" t="s">
        <v>1169</v>
      </c>
      <c r="B13906" s="0" t="s">
        <v>98</v>
      </c>
      <c r="C13906" s="6" t="n">
        <f aca="false">CF!F71+oai_v-CF!F60+Sens!$C$13905</f>
        <v>162.101912751511</v>
      </c>
      <c r="L13906" s="1" t="s">
        <v>1261</v>
      </c>
    </row>
    <row r="13907" customFormat="false" ht="17.15" hidden="false" customHeight="false" outlineLevel="0" collapsed="false">
      <c r="A13907" s="1" t="s">
        <v>1262</v>
      </c>
      <c r="B13907" s="0" t="s">
        <v>75</v>
      </c>
      <c r="C13907" s="5" t="n">
        <f aca="false">(Sens!$C$13904+Sens!$C$13906)/(CF!F73+dil_gap)-CF!G63*roll_div_q/q_per_yr</f>
        <v>452.309467716259</v>
      </c>
      <c r="L13907" s="1" t="s">
        <v>1263</v>
      </c>
    </row>
    <row r="13908" customFormat="false" ht="17.15" hidden="false" customHeight="false" outlineLevel="0" collapsed="false">
      <c r="A13908" s="1" t="s">
        <v>1264</v>
      </c>
      <c r="B13908" s="0" t="s">
        <v>75</v>
      </c>
      <c r="C13908" s="5" t="n">
        <f aca="false">w_dcf*Sens!$C$13878+(1-w_dcf)*Sens!$C$13907</f>
        <v>408.581632108631</v>
      </c>
    </row>
    <row r="13909" customFormat="false" ht="17.15" hidden="false" customHeight="false" outlineLevel="0" collapsed="false">
      <c r="A13909" s="3" t="s">
        <v>1827</v>
      </c>
    </row>
    <row r="13910" customFormat="false" ht="15" hidden="false" customHeight="false" outlineLevel="0" collapsed="false">
      <c r="A13910" s="4" t="s">
        <v>43</v>
      </c>
      <c r="B13910" s="4" t="s">
        <v>65</v>
      </c>
      <c r="C13910" s="23" t="s">
        <v>938</v>
      </c>
      <c r="D13910" s="23" t="s">
        <v>939</v>
      </c>
      <c r="E13910" s="23" t="s">
        <v>940</v>
      </c>
      <c r="F13910" s="23" t="s">
        <v>941</v>
      </c>
      <c r="G13910" s="23" t="s">
        <v>942</v>
      </c>
      <c r="H13910" s="23" t="s">
        <v>943</v>
      </c>
      <c r="I13910" s="23" t="s">
        <v>944</v>
      </c>
      <c r="J13910" s="23" t="s">
        <v>945</v>
      </c>
      <c r="K13910" s="23" t="s">
        <v>946</v>
      </c>
      <c r="L13910" s="4" t="s">
        <v>47</v>
      </c>
    </row>
    <row r="13911" customFormat="false" ht="17.15" hidden="false" customHeight="false" outlineLevel="0" collapsed="false">
      <c r="A13911" s="1" t="s">
        <v>1212</v>
      </c>
      <c r="B13911" s="1" t="s">
        <v>279</v>
      </c>
      <c r="F13911" s="8" t="n">
        <f aca="false">(1-v_off)*mid_yr</f>
        <v>0.373972602739726</v>
      </c>
      <c r="G13911" s="8" t="n">
        <f aca="false">Thesis!G110-base_fy-mid_yr-v_off</f>
        <v>1.24794520547945</v>
      </c>
      <c r="H13911" s="8" t="n">
        <f aca="false">Thesis!H110-base_fy-mid_yr-v_off</f>
        <v>2.24794520547945</v>
      </c>
      <c r="I13911" s="8" t="n">
        <f aca="false">Thesis!I110-base_fy-mid_yr-v_off</f>
        <v>3.24794520547945</v>
      </c>
      <c r="J13911" s="8" t="n">
        <f aca="false">Thesis!J110-base_fy-mid_yr-v_off</f>
        <v>4.24794520547945</v>
      </c>
      <c r="K13911" s="8" t="n">
        <f aca="false">Thesis!K110-base_fy-mid_yr-v_off</f>
        <v>5.24794520547945</v>
      </c>
      <c r="L13911" s="12" t="s">
        <v>1213</v>
      </c>
    </row>
    <row r="13912" customFormat="false" ht="15" hidden="false" customHeight="false" outlineLevel="0" collapsed="false">
      <c r="A13912" s="1" t="s">
        <v>1214</v>
      </c>
      <c r="B13912" s="1" t="s">
        <v>279</v>
      </c>
      <c r="F13912" s="8" t="n">
        <f aca="false">Thesis!F110-base_fy-v_off</f>
        <v>0.747945205479452</v>
      </c>
      <c r="G13912" s="8" t="n">
        <f aca="false">Thesis!G110-base_fy-v_off</f>
        <v>1.74794520547945</v>
      </c>
      <c r="H13912" s="8" t="n">
        <f aca="false">Thesis!H110-base_fy-v_off</f>
        <v>2.74794520547945</v>
      </c>
      <c r="I13912" s="8" t="n">
        <f aca="false">Thesis!I110-base_fy-v_off</f>
        <v>3.74794520547945</v>
      </c>
      <c r="J13912" s="8" t="n">
        <f aca="false">Thesis!J110-base_fy-v_off</f>
        <v>4.74794520547945</v>
      </c>
      <c r="K13912" s="8" t="n">
        <f aca="false">Thesis!K110-base_fy-v_off</f>
        <v>5.74794520547945</v>
      </c>
    </row>
    <row r="13913" customFormat="false" ht="15" hidden="false" customHeight="false" outlineLevel="0" collapsed="false">
      <c r="A13913" s="1" t="s">
        <v>1215</v>
      </c>
      <c r="B13913" s="0" t="s">
        <v>229</v>
      </c>
      <c r="F13913" s="15" t="n">
        <f aca="false">1/(1+(wacc-0.01))^Sens!F13911</f>
        <v>0.967311921156654</v>
      </c>
      <c r="G13913" s="15" t="n">
        <f aca="false">1/(1+(wacc-0.01))^Sens!G13911</f>
        <v>0.895025887723348</v>
      </c>
      <c r="H13913" s="15" t="n">
        <f aca="false">1/(1+(wacc-0.01))^Sens!H13911</f>
        <v>0.818918403078609</v>
      </c>
      <c r="I13913" s="15" t="n">
        <f aca="false">1/(1+(wacc-0.01))^Sens!I13911</f>
        <v>0.749282629809374</v>
      </c>
      <c r="J13913" s="15" t="n">
        <f aca="false">1/(1+(wacc-0.01))^Sens!J13911</f>
        <v>0.685568253471231</v>
      </c>
      <c r="K13913" s="15" t="n">
        <f aca="false">1/(1+(wacc-0.01))^Sens!K13911</f>
        <v>0.627271754968039</v>
      </c>
    </row>
    <row r="13914" customFormat="false" ht="17.15" hidden="false" customHeight="false" outlineLevel="0" collapsed="false">
      <c r="A13914" s="1" t="s">
        <v>1216</v>
      </c>
      <c r="B13914" s="0" t="s">
        <v>98</v>
      </c>
      <c r="F13914" s="6" t="n">
        <f aca="false">Q!$I$35-Q!$I$39-Q!$I$43</f>
        <v>9.666</v>
      </c>
      <c r="L13914" s="12" t="s">
        <v>1217</v>
      </c>
    </row>
    <row r="13915" customFormat="false" ht="17.15" hidden="false" customHeight="false" outlineLevel="0" collapsed="false">
      <c r="A13915" s="1" t="s">
        <v>1218</v>
      </c>
      <c r="B13915" s="0" t="s">
        <v>98</v>
      </c>
      <c r="F13915" s="6" t="n">
        <f aca="false">CF!F87-CF!F84-CF!F91+Thesis!F151*(1-tax_f)*(1-v_off)-Sens!F13914</f>
        <v>-6.10282680452259</v>
      </c>
      <c r="G13915" s="6" t="n">
        <f aca="false">CF!G87-CF!G84-CF!G91+Thesis!G151*(1-tax_f)</f>
        <v>19.0084129023516</v>
      </c>
      <c r="H13915" s="6" t="n">
        <f aca="false">CF!H87-CF!H84-CF!H91+Thesis!H151*(1-tax_f)</f>
        <v>55.9229468383331</v>
      </c>
      <c r="I13915" s="6" t="n">
        <f aca="false">CF!I87-CF!I84-CF!I91+Thesis!I151*(1-tax_f)</f>
        <v>127.901908576191</v>
      </c>
      <c r="J13915" s="6" t="n">
        <f aca="false">CF!J87-CF!J84-CF!J91+Thesis!J151*(1-tax_f)</f>
        <v>201.958443859638</v>
      </c>
      <c r="K13915" s="6" t="n">
        <f aca="false">CF!K87-CF!K84-CF!K91+Thesis!K151*(1-tax_f)</f>
        <v>237.542519059905</v>
      </c>
      <c r="L13915" s="1" t="s">
        <v>1219</v>
      </c>
    </row>
    <row r="13916" customFormat="false" ht="15" hidden="false" customHeight="false" outlineLevel="0" collapsed="false">
      <c r="A13916" s="1" t="s">
        <v>1220</v>
      </c>
      <c r="B13916" s="0" t="s">
        <v>98</v>
      </c>
      <c r="F13916" s="6" t="n">
        <f aca="false">Sens!F13915*Sens!F13913</f>
        <v>-5.90333712076907</v>
      </c>
      <c r="G13916" s="6" t="n">
        <f aca="false">Sens!G13915*Sens!G13913</f>
        <v>17.0130216321392</v>
      </c>
      <c r="H13916" s="6" t="n">
        <f aca="false">Sens!H13915*Sens!H13913</f>
        <v>45.7963303202977</v>
      </c>
      <c r="I13916" s="6" t="n">
        <f aca="false">Sens!I13915*Sens!I13913</f>
        <v>95.8346784156064</v>
      </c>
      <c r="J13916" s="6" t="n">
        <f aca="false">Sens!J13915*Sens!J13913</f>
        <v>138.45629763062</v>
      </c>
      <c r="K13916" s="6" t="n">
        <f aca="false">Sens!K13915*Sens!K13913</f>
        <v>149.003712810236</v>
      </c>
    </row>
    <row r="13917" customFormat="false" ht="17.15" hidden="false" customHeight="false" outlineLevel="0" collapsed="false">
      <c r="A13917" s="1" t="s">
        <v>1221</v>
      </c>
      <c r="B13917" s="0" t="s">
        <v>98</v>
      </c>
      <c r="C13917" s="6" t="n">
        <f aca="false">SUM(Sens!F13916:K13916)</f>
        <v>440.20070368813</v>
      </c>
    </row>
    <row r="13918" customFormat="false" ht="17.15" hidden="false" customHeight="false" outlineLevel="0" collapsed="false">
      <c r="A13918" s="1" t="s">
        <v>1222</v>
      </c>
      <c r="B13918" s="0" t="s">
        <v>98</v>
      </c>
      <c r="C13918" s="6" t="n">
        <f aca="false">PL!K117*(1+g_tv)*(1-tax_f)</f>
        <v>247.098906713682</v>
      </c>
    </row>
    <row r="13919" customFormat="false" ht="17.15" hidden="false" customHeight="false" outlineLevel="0" collapsed="false">
      <c r="A13919" s="1" t="s">
        <v>1223</v>
      </c>
      <c r="B13919" s="0" t="s">
        <v>98</v>
      </c>
      <c r="C13919" s="6" t="n">
        <f aca="false">Sens!$C$13918*(1-g_tv/((wacc-0.01)+ronic_prem))</f>
        <v>167.335197651556</v>
      </c>
    </row>
    <row r="13920" customFormat="false" ht="17.15" hidden="false" customHeight="false" outlineLevel="0" collapsed="false">
      <c r="A13920" s="1" t="s">
        <v>1224</v>
      </c>
      <c r="B13920" s="0" t="s">
        <v>98</v>
      </c>
      <c r="C13920" s="6" t="n">
        <f aca="false">Sens!$C$13919/((wacc-0.01)-g_tv)</f>
        <v>2658.79030207087</v>
      </c>
    </row>
    <row r="13921" customFormat="false" ht="15" hidden="false" customHeight="false" outlineLevel="0" collapsed="false">
      <c r="A13921" s="1" t="s">
        <v>1225</v>
      </c>
      <c r="B13921" s="0" t="s">
        <v>98</v>
      </c>
      <c r="C13921" s="6" t="n">
        <f aca="false">Sens!$C$13920/(1+(wacc-0.01))^Sens!K13912</f>
        <v>1595.29989032948</v>
      </c>
    </row>
    <row r="13922" customFormat="false" ht="17.15" hidden="false" customHeight="false" outlineLevel="0" collapsed="false">
      <c r="A13922" s="0" t="s">
        <v>1226</v>
      </c>
      <c r="B13922" s="0" t="s">
        <v>98</v>
      </c>
      <c r="C13922" s="6" t="n">
        <f aca="false">Sens!$C$13917+Sens!$C$13921</f>
        <v>2035.50059401761</v>
      </c>
    </row>
    <row r="13923" customFormat="false" ht="15" hidden="false" customHeight="false" outlineLevel="0" collapsed="false">
      <c r="A13923" s="1" t="s">
        <v>1141</v>
      </c>
      <c r="B13923" s="0" t="s">
        <v>168</v>
      </c>
      <c r="C13923" s="7" t="n">
        <f aca="false">Sens!$C$13921/Sens!$C$13922</f>
        <v>0.783738356558631</v>
      </c>
    </row>
    <row r="13924" customFormat="false" ht="17.15" hidden="false" customHeight="false" outlineLevel="0" collapsed="false">
      <c r="A13924" s="1" t="s">
        <v>1227</v>
      </c>
      <c r="B13924" s="0" t="s">
        <v>98</v>
      </c>
      <c r="C13924" s="6" t="n">
        <f aca="false">Sens!$C$13922+cash_val-debt_val-fl_val+oai_v</f>
        <v>2151.35159401761</v>
      </c>
    </row>
    <row r="13925" customFormat="false" ht="17.15" hidden="false" customHeight="false" outlineLevel="0" collapsed="false">
      <c r="A13925" s="0" t="s">
        <v>1149</v>
      </c>
      <c r="B13925" s="0" t="s">
        <v>75</v>
      </c>
      <c r="C13925" s="5" t="n">
        <f aca="false">Sens!$C$13924/shd_val</f>
        <v>288.927154716305</v>
      </c>
    </row>
    <row r="13926" customFormat="false" ht="15" hidden="false" customHeight="false" outlineLevel="0" collapsed="false">
      <c r="A13926" s="1" t="s">
        <v>1228</v>
      </c>
      <c r="B13926" s="0" t="s">
        <v>75</v>
      </c>
      <c r="C13926" s="8" t="n">
        <f aca="false">div_rem27+CF!G95*roll_div_q/q_per_yr</f>
        <v>3.9795</v>
      </c>
    </row>
    <row r="13927" customFormat="false" ht="17.15" hidden="false" customHeight="false" outlineLevel="0" collapsed="false">
      <c r="A13927" s="0" t="s">
        <v>1229</v>
      </c>
      <c r="B13927" s="0" t="s">
        <v>75</v>
      </c>
      <c r="C13927" s="5" t="n">
        <f aca="false">Sens!$C$13925*(1+(wacc-0.01))^t_roll-Sens!$C$13926</f>
        <v>314.037089885699</v>
      </c>
    </row>
    <row r="13928" customFormat="false" ht="17.15" hidden="false" customHeight="false" outlineLevel="0" collapsed="false">
      <c r="A13928" s="1" t="s">
        <v>1230</v>
      </c>
      <c r="B13928" s="0" t="s">
        <v>168</v>
      </c>
      <c r="F13928" s="7" t="n">
        <f aca="false">CF!F81/(Seg!F83-Thesis!F129)</f>
        <v>0.068677393452264</v>
      </c>
      <c r="G13928" s="7" t="n">
        <f aca="false">CF!G81/(Seg!G83-Thesis!G129)</f>
        <v>0.0663132664471956</v>
      </c>
      <c r="H13928" s="7" t="n">
        <f aca="false">CF!H81/(Seg!H83-Thesis!H129)</f>
        <v>0.0651363826734039</v>
      </c>
      <c r="I13928" s="7" t="n">
        <f aca="false">CF!I81/(Seg!I83-Thesis!I129)</f>
        <v>0.0650087936347709</v>
      </c>
      <c r="J13928" s="7" t="n">
        <f aca="false">CF!J81/(Seg!J83-Thesis!J129)</f>
        <v>0.0657212684841778</v>
      </c>
      <c r="K13928" s="7" t="n">
        <f aca="false">CF!K81/(Seg!K83-Thesis!K129)</f>
        <v>0.0670413306015285</v>
      </c>
    </row>
    <row r="13929" customFormat="false" ht="17.15" hidden="false" customHeight="false" outlineLevel="0" collapsed="false">
      <c r="A13929" s="0" t="s">
        <v>1231</v>
      </c>
      <c r="B13929" s="0" t="s">
        <v>98</v>
      </c>
      <c r="F13929" s="6" t="n">
        <f aca="false">Seg!F68*(al_m365+Sens!F13928+sbc_r)</f>
        <v>82.9185219618347</v>
      </c>
      <c r="G13929" s="6" t="n">
        <f aca="false">Seg!G68*(al_m365+Sens!G13928+sbc_r)</f>
        <v>93.3068052157631</v>
      </c>
      <c r="H13929" s="6" t="n">
        <f aca="false">Seg!H68*(al_m365+Sens!H13928+sbc_r)</f>
        <v>103.856057136159</v>
      </c>
      <c r="I13929" s="6" t="n">
        <f aca="false">Seg!I68*(al_m365+Sens!I13928+sbc_r)</f>
        <v>113.889717587147</v>
      </c>
      <c r="J13929" s="6" t="n">
        <f aca="false">Seg!J68*(al_m365+Sens!J13928+sbc_r)</f>
        <v>123.218477864124</v>
      </c>
      <c r="K13929" s="6" t="n">
        <f aca="false">Seg!K68*(al_m365+Sens!K13928+sbc_r)</f>
        <v>132.149420086311</v>
      </c>
      <c r="L13929" s="12" t="s">
        <v>1232</v>
      </c>
    </row>
    <row r="13930" customFormat="false" ht="17.15" hidden="false" customHeight="false" outlineLevel="0" collapsed="false">
      <c r="A13930" s="0" t="s">
        <v>1233</v>
      </c>
      <c r="B13930" s="0" t="s">
        <v>98</v>
      </c>
      <c r="F13930" s="6" t="n">
        <f aca="false">Seg!F69*(al_lic+Sens!F13928+sbc_r)</f>
        <v>32.8599853992256</v>
      </c>
      <c r="G13930" s="6" t="n">
        <f aca="false">Seg!G69*(al_lic+Sens!G13928+sbc_r)</f>
        <v>34.1568280697879</v>
      </c>
      <c r="H13930" s="6" t="n">
        <f aca="false">Seg!H69*(al_lic+Sens!H13928+sbc_r)</f>
        <v>35.3635535007213</v>
      </c>
      <c r="I13930" s="6" t="n">
        <f aca="false">Seg!I69*(al_lic+Sens!I13928+sbc_r)</f>
        <v>36.4604537346553</v>
      </c>
      <c r="J13930" s="6" t="n">
        <f aca="false">Seg!J69*(al_lic+Sens!J13928+sbc_r)</f>
        <v>37.4245888933574</v>
      </c>
      <c r="K13930" s="6" t="n">
        <f aca="false">Seg!K69*(al_lic+Sens!K13928+sbc_r)</f>
        <v>38.2321483186439</v>
      </c>
    </row>
    <row r="13931" customFormat="false" ht="17.15" hidden="false" customHeight="false" outlineLevel="0" collapsed="false">
      <c r="A13931" s="0" t="s">
        <v>1234</v>
      </c>
      <c r="B13931" s="0" t="s">
        <v>98</v>
      </c>
      <c r="F13931" s="6" t="n">
        <f aca="false">Seg!F71*(al_ind+Sens!F13928+sbc_r)</f>
        <v>9.06170747885803</v>
      </c>
      <c r="G13931" s="6" t="n">
        <f aca="false">Seg!G71*(al_ind+Sens!G13928+sbc_r)</f>
        <v>9.8478979082138</v>
      </c>
      <c r="H13931" s="6" t="n">
        <f aca="false">Seg!H71*(al_ind+Sens!H13928+sbc_r)</f>
        <v>10.6768254332059</v>
      </c>
      <c r="I13931" s="6" t="n">
        <f aca="false">Seg!I71*(al_ind+Sens!I13928+sbc_r)</f>
        <v>11.54398793803</v>
      </c>
      <c r="J13931" s="6" t="n">
        <f aca="false">Seg!J71*(al_ind+Sens!J13928+sbc_r)</f>
        <v>12.4407914253112</v>
      </c>
      <c r="K13931" s="6" t="n">
        <f aca="false">Seg!K71*(al_ind+Sens!K13928+sbc_r)</f>
        <v>13.355239066864</v>
      </c>
    </row>
    <row r="13932" customFormat="false" ht="17.15" hidden="false" customHeight="false" outlineLevel="0" collapsed="false">
      <c r="A13932" s="0" t="s">
        <v>1235</v>
      </c>
      <c r="B13932" s="0" t="s">
        <v>98</v>
      </c>
      <c r="F13932" s="6" t="n">
        <f aca="false">Seg!F73*(al_fro+Sens!F13928+sbc_r)</f>
        <v>3.55453569939552</v>
      </c>
      <c r="G13932" s="6" t="n">
        <f aca="false">Seg!G73*(al_fro+Sens!G13928+sbc_r)</f>
        <v>3.76809436159872</v>
      </c>
      <c r="H13932" s="6" t="n">
        <f aca="false">Seg!H73*(al_fro+Sens!H13928+sbc_r)</f>
        <v>4.00964905674607</v>
      </c>
      <c r="I13932" s="6" t="n">
        <f aca="false">Seg!I73*(al_fro+Sens!I13928+sbc_r)</f>
        <v>4.28152633145235</v>
      </c>
      <c r="J13932" s="6" t="n">
        <f aca="false">Seg!J73*(al_fro+Sens!J13928+sbc_r)</f>
        <v>4.58536512975975</v>
      </c>
      <c r="K13932" s="6" t="n">
        <f aca="false">Seg!K73*(al_fro+Sens!K13928+sbc_r)</f>
        <v>4.92240770086468</v>
      </c>
    </row>
    <row r="13933" customFormat="false" ht="17.15" hidden="false" customHeight="false" outlineLevel="0" collapsed="false">
      <c r="A13933" s="0" t="s">
        <v>1236</v>
      </c>
      <c r="B13933" s="0" t="s">
        <v>98</v>
      </c>
      <c r="F13933" s="6" t="n">
        <f aca="false">Seg!F76*(al_srch+Sens!F13928+sbc_r)</f>
        <v>11.190683952584</v>
      </c>
      <c r="G13933" s="6" t="n">
        <f aca="false">Seg!G76*(al_srch+Sens!G13928+sbc_r)</f>
        <v>12.2763328717258</v>
      </c>
      <c r="H13933" s="6" t="n">
        <f aca="false">Seg!H76*(al_srch+Sens!H13928+sbc_r)</f>
        <v>13.4043563346576</v>
      </c>
      <c r="I13933" s="6" t="n">
        <f aca="false">Seg!I76*(al_srch+Sens!I13928+sbc_r)</f>
        <v>14.5621512181916</v>
      </c>
      <c r="J13933" s="6" t="n">
        <f aca="false">Seg!J76*(al_srch+Sens!J13928+sbc_r)</f>
        <v>15.7310381862385</v>
      </c>
      <c r="K13933" s="6" t="n">
        <f aca="false">Seg!K76*(al_srch+Sens!K13928+sbc_r)</f>
        <v>16.8873320486462</v>
      </c>
    </row>
    <row r="13934" customFormat="false" ht="17.15" hidden="false" customHeight="false" outlineLevel="0" collapsed="false">
      <c r="A13934" s="0" t="s">
        <v>1237</v>
      </c>
      <c r="B13934" s="0" t="s">
        <v>98</v>
      </c>
      <c r="F13934" s="6" t="n">
        <f aca="false">Thesis!F135-Thesis!F136+Thesis!F151</f>
        <v>38.9696429794913</v>
      </c>
      <c r="G13934" s="6" t="n">
        <f aca="false">Thesis!G135-Thesis!G136+Thesis!G151</f>
        <v>69.465497726016</v>
      </c>
      <c r="H13934" s="6" t="n">
        <f aca="false">Thesis!H135-Thesis!H136+Thesis!H151</f>
        <v>96.8147106808268</v>
      </c>
      <c r="I13934" s="6" t="n">
        <f aca="false">Thesis!I135-Thesis!I136+Thesis!I151</f>
        <v>127.654939766446</v>
      </c>
      <c r="J13934" s="6" t="n">
        <f aca="false">Thesis!J135-Thesis!J136+Thesis!J151</f>
        <v>149.308352681229</v>
      </c>
      <c r="K13934" s="6" t="n">
        <f aca="false">Thesis!K135-Thesis!K136+Thesis!K151</f>
        <v>162.731822021841</v>
      </c>
    </row>
    <row r="13935" customFormat="false" ht="17.15" hidden="false" customHeight="false" outlineLevel="0" collapsed="false">
      <c r="A13935" s="0" t="s">
        <v>1238</v>
      </c>
      <c r="B13935" s="0" t="s">
        <v>98</v>
      </c>
      <c r="F13935" s="6" t="n">
        <f aca="false">PL!F110+Thesis!F151+Thesis!F147+Sens!F13928*(Seg!F75-Thesis!F129)+sbc_r*Seg!F75</f>
        <v>234.79972328186</v>
      </c>
      <c r="G13935" s="6" t="n">
        <f aca="false">PL!G110+Thesis!G151+Thesis!G147+Sens!G13928*(Seg!G75-Thesis!G129)+sbc_r*Seg!G75</f>
        <v>285.499052659517</v>
      </c>
      <c r="H13935" s="6" t="n">
        <f aca="false">PL!H110+Thesis!H151+Thesis!H147+Sens!H13928*(Seg!H75-Thesis!H129)+sbc_r*Seg!H75</f>
        <v>338.258569294547</v>
      </c>
      <c r="I13935" s="6" t="n">
        <f aca="false">PL!I110+Thesis!I151+Thesis!I147+Sens!I13928*(Seg!I75-Thesis!I129)+sbc_r*Seg!I75</f>
        <v>393.887902526982</v>
      </c>
      <c r="J13935" s="6" t="n">
        <f aca="false">PL!J110+Thesis!J151+Thesis!J147+Sens!J13928*(Seg!J75-Thesis!J129)+sbc_r*Seg!J75</f>
        <v>438.406631506078</v>
      </c>
      <c r="K13935" s="6" t="n">
        <f aca="false">PL!K110+Thesis!K151+Thesis!K147+Sens!K13928*(Seg!K75-Thesis!K129)+sbc_r*Seg!K75</f>
        <v>472.352875745143</v>
      </c>
    </row>
    <row r="13936" customFormat="false" ht="17.15" hidden="false" customHeight="false" outlineLevel="0" collapsed="false">
      <c r="A13936" s="0" t="s">
        <v>1239</v>
      </c>
      <c r="B13936" s="0" t="s">
        <v>98</v>
      </c>
      <c r="F13936" s="6" t="n">
        <f aca="false">Sens!F13935-Sens!F13929-Sens!F13930-Sens!F13931-Sens!F13932-Sens!F13934</f>
        <v>67.4353297630543</v>
      </c>
      <c r="G13936" s="6" t="n">
        <f aca="false">Sens!G13935-Sens!G13929-Sens!G13930-Sens!G13931-Sens!G13932-Sens!G13934</f>
        <v>74.9539293781376</v>
      </c>
      <c r="H13936" s="6" t="n">
        <f aca="false">Sens!H13935-Sens!H13929-Sens!H13930-Sens!H13931-Sens!H13932-Sens!H13934</f>
        <v>87.537773486888</v>
      </c>
      <c r="I13936" s="6" t="n">
        <f aca="false">Sens!I13935-Sens!I13929-Sens!I13930-Sens!I13931-Sens!I13932-Sens!I13934</f>
        <v>100.057277169252</v>
      </c>
      <c r="J13936" s="6" t="n">
        <f aca="false">Sens!J13935-Sens!J13929-Sens!J13930-Sens!J13931-Sens!J13932-Sens!J13934</f>
        <v>111.429055512297</v>
      </c>
      <c r="K13936" s="6" t="n">
        <f aca="false">Sens!K13935-Sens!K13929-Sens!K13930-Sens!K13931-Sens!K13932-Sens!K13934</f>
        <v>120.961838550618</v>
      </c>
    </row>
    <row r="13937" customFormat="false" ht="17.15" hidden="false" customHeight="false" outlineLevel="0" collapsed="false">
      <c r="A13937" s="0" t="s">
        <v>1240</v>
      </c>
      <c r="B13937" s="0" t="s">
        <v>98</v>
      </c>
      <c r="F13937" s="6" t="n">
        <f aca="false">PL!F112+Sens!F13928*Seg!F82+sbc_r*Seg!F82</f>
        <v>26.6373549789235</v>
      </c>
      <c r="G13937" s="6" t="n">
        <f aca="false">PL!G112+Sens!G13928*Seg!G82+sbc_r*Seg!G82</f>
        <v>26.5038922765853</v>
      </c>
      <c r="H13937" s="6" t="n">
        <f aca="false">PL!H112+Sens!H13928*Seg!H82+sbc_r*Seg!H82</f>
        <v>27.3981100014792</v>
      </c>
      <c r="I13937" s="6" t="n">
        <f aca="false">PL!I112+Sens!I13928*Seg!I82+sbc_r*Seg!I82</f>
        <v>28.5176442589239</v>
      </c>
      <c r="J13937" s="6" t="n">
        <f aca="false">PL!J112+Sens!J13928*Seg!J82+sbc_r*Seg!J82</f>
        <v>29.8313998963726</v>
      </c>
      <c r="K13937" s="6" t="n">
        <f aca="false">PL!K112+Sens!K13928*Seg!K82+sbc_r*Seg!K82</f>
        <v>31.3103466222307</v>
      </c>
    </row>
    <row r="13938" customFormat="false" ht="17.15" hidden="false" customHeight="false" outlineLevel="0" collapsed="false">
      <c r="A13938" s="0" t="s">
        <v>1241</v>
      </c>
      <c r="B13938" s="0" t="s">
        <v>98</v>
      </c>
      <c r="F13938" s="6" t="n">
        <f aca="false">(Sens!F13937-Sens!F13933)*Seg!F78/(Seg!F78+Seg!F80)</f>
        <v>8.72405610479892</v>
      </c>
      <c r="G13938" s="6" t="n">
        <f aca="false">(Sens!G13937-Sens!G13933)*Seg!G78/(Seg!G78+Seg!G80)</f>
        <v>7.897418765869</v>
      </c>
      <c r="H13938" s="6" t="n">
        <f aca="false">(Sens!H13937-Sens!H13933)*Seg!H78/(Seg!H78+Seg!H80)</f>
        <v>7.66644879573063</v>
      </c>
      <c r="I13938" s="6" t="n">
        <f aca="false">(Sens!I13937-Sens!I13933)*Seg!I78/(Seg!I78+Seg!I80)</f>
        <v>7.5787545031814</v>
      </c>
      <c r="J13938" s="6" t="n">
        <f aca="false">(Sens!J13937-Sens!J13933)*Seg!J78/(Seg!J78+Seg!J80)</f>
        <v>7.62401876450459</v>
      </c>
      <c r="K13938" s="6" t="n">
        <f aca="false">(Sens!K13937-Sens!K13933)*Seg!K78/(Seg!K78+Seg!K80)</f>
        <v>7.79847609658838</v>
      </c>
    </row>
    <row r="13939" customFormat="false" ht="17.15" hidden="false" customHeight="false" outlineLevel="0" collapsed="false">
      <c r="A13939" s="0" t="s">
        <v>1242</v>
      </c>
      <c r="B13939" s="0" t="s">
        <v>98</v>
      </c>
      <c r="F13939" s="6" t="n">
        <f aca="false">Sens!F13937-Sens!F13933-Sens!F13938</f>
        <v>6.72261492154066</v>
      </c>
      <c r="G13939" s="6" t="n">
        <f aca="false">Sens!G13937-Sens!G13933-Sens!G13938</f>
        <v>6.33014063899044</v>
      </c>
      <c r="H13939" s="6" t="n">
        <f aca="false">Sens!H13937-Sens!H13933-Sens!H13938</f>
        <v>6.32730487109095</v>
      </c>
      <c r="I13939" s="6" t="n">
        <f aca="false">Sens!I13937-Sens!I13933-Sens!I13938</f>
        <v>6.37673853755084</v>
      </c>
      <c r="J13939" s="6" t="n">
        <f aca="false">Sens!J13937-Sens!J13933-Sens!J13938</f>
        <v>6.47634294562954</v>
      </c>
      <c r="K13939" s="6" t="n">
        <f aca="false">Sens!K13937-Sens!K13933-Sens!K13938</f>
        <v>6.62453847699607</v>
      </c>
    </row>
    <row r="13940" customFormat="false" ht="17.15" hidden="false" customHeight="false" outlineLevel="0" collapsed="false">
      <c r="A13940" s="0" t="s">
        <v>1243</v>
      </c>
      <c r="B13940" s="0" t="s">
        <v>98</v>
      </c>
      <c r="F13940" s="6" t="n">
        <f aca="false">Sens!F13934-tax_f*(Sens!F13934-Thesis!F147)-Thesis!F144</f>
        <v>-130.362326762856</v>
      </c>
      <c r="G13940" s="6" t="n">
        <f aca="false">Sens!G13934-tax_f*(Sens!G13934-Thesis!G147)-Thesis!G144</f>
        <v>-124.225179337776</v>
      </c>
      <c r="H13940" s="6" t="n">
        <f aca="false">Sens!H13934-tax_f*(Sens!H13934-Thesis!H147)-Thesis!H144</f>
        <v>-101.534217387562</v>
      </c>
      <c r="I13940" s="6" t="n">
        <f aca="false">Sens!I13934-tax_f*(Sens!I13934-Thesis!I147)-Thesis!I144</f>
        <v>-43.6446798695439</v>
      </c>
      <c r="J13940" s="6" t="n">
        <f aca="false">Sens!J13934-tax_f*(Sens!J13934-Thesis!J147)-Thesis!J144</f>
        <v>16.9198855589618</v>
      </c>
      <c r="K13940" s="6" t="n">
        <f aca="false">Sens!K13934-tax_f*(Sens!K13934-Thesis!K147)-Thesis!K144</f>
        <v>39.8251384629271</v>
      </c>
    </row>
    <row r="13941" customFormat="false" ht="17.15" hidden="false" customHeight="false" outlineLevel="0" collapsed="false">
      <c r="A13941" s="0" t="s">
        <v>1244</v>
      </c>
      <c r="B13941" s="0" t="s">
        <v>98</v>
      </c>
      <c r="G13941" s="6" t="n">
        <f aca="false">Sens!G13940/(1+(wacc-0.01))^(Sens!G13911-Sens!F13912)</f>
        <v>-118.826183713345</v>
      </c>
      <c r="H13941" s="6" t="n">
        <f aca="false">Sens!H13940/(1+(wacc-0.01))^(Sens!H13911-Sens!F13912)</f>
        <v>-88.8627965281495</v>
      </c>
      <c r="I13941" s="6" t="n">
        <f aca="false">Sens!I13940/(1+(wacc-0.01))^(Sens!I13911-Sens!F13912)</f>
        <v>-34.9497357882313</v>
      </c>
      <c r="J13941" s="6" t="n">
        <f aca="false">Sens!J13940/(1+(wacc-0.01))^(Sens!J13911-Sens!F13912)</f>
        <v>12.3969554274255</v>
      </c>
      <c r="K13941" s="6" t="n">
        <f aca="false">Sens!K13940/(1+(wacc-0.01))^(Sens!K13911-Sens!F13912)</f>
        <v>26.6980748751621</v>
      </c>
      <c r="L13941" s="1" t="s">
        <v>1245</v>
      </c>
    </row>
    <row r="13942" customFormat="false" ht="17.15" hidden="false" customHeight="false" outlineLevel="0" collapsed="false">
      <c r="A13942" s="0" t="s">
        <v>1246</v>
      </c>
      <c r="B13942" s="0" t="s">
        <v>98</v>
      </c>
      <c r="C13942" s="6" t="n">
        <f aca="false">(Sens!K13934-Thesis!K147)*(1-tax_f)*(1+g_tv)*(1-g_tv/((wacc-0.01)+ronic_prem))/((wacc-0.01)-g_tv)/(1+(wacc-0.01))^(Sens!K13912-Sens!F13912)</f>
        <v>112.112461551772</v>
      </c>
    </row>
    <row r="13943" customFormat="false" ht="17.15" hidden="false" customHeight="false" outlineLevel="0" collapsed="false">
      <c r="A13943" s="1" t="s">
        <v>1247</v>
      </c>
      <c r="B13943" s="0" t="s">
        <v>98</v>
      </c>
      <c r="C13943" s="6" t="n">
        <f aca="false">(SUM(Sens!G13941:K13941)+Sens!$C$13942)*(1+(wacc-0.01))^(t_roll-Sens!F13912)</f>
        <v>-94.1648958120674</v>
      </c>
      <c r="L13943" s="12" t="s">
        <v>1248</v>
      </c>
    </row>
    <row r="13944" customFormat="false" ht="17.15" hidden="false" customHeight="false" outlineLevel="0" collapsed="false">
      <c r="A13944" s="1" t="s">
        <v>1249</v>
      </c>
      <c r="B13944" s="0" t="s">
        <v>98</v>
      </c>
      <c r="C13944" s="6" t="n">
        <f aca="false">(w_ntm28*Thesis!G135+(1-w_ntm28)*Thesis!H135)*m_ai</f>
        <v>344.355829012336</v>
      </c>
    </row>
    <row r="13945" customFormat="false" ht="17.15" hidden="false" customHeight="false" outlineLevel="0" collapsed="false">
      <c r="A13945" s="1" t="s">
        <v>1250</v>
      </c>
      <c r="B13945" s="0" t="s">
        <v>98</v>
      </c>
      <c r="C13945" s="6" t="n">
        <f aca="false">(w_ntm28*Sens!G13936+(1-w_ntm28)*Sens!H13936)*m_cloud</f>
        <v>1093.03877543039</v>
      </c>
    </row>
    <row r="13946" customFormat="false" ht="17.15" hidden="false" customHeight="false" outlineLevel="0" collapsed="false">
      <c r="A13946" s="1" t="s">
        <v>1251</v>
      </c>
      <c r="B13946" s="0" t="s">
        <v>98</v>
      </c>
      <c r="C13946" s="6" t="n">
        <f aca="false">(w_ntm28*Sens!G13929+(1-w_ntm28)*Sens!H13929)*m_sw</f>
        <v>1045.17056616266</v>
      </c>
    </row>
    <row r="13947" customFormat="false" ht="17.15" hidden="false" customHeight="false" outlineLevel="0" collapsed="false">
      <c r="A13947" s="1" t="s">
        <v>1252</v>
      </c>
      <c r="B13947" s="0" t="s">
        <v>98</v>
      </c>
      <c r="C13947" s="6" t="n">
        <f aca="false">(w_ntm28*Sens!G13930+(1-w_ntm28)*Sens!H13930)*m_sw</f>
        <v>373.178444957791</v>
      </c>
    </row>
    <row r="13948" customFormat="false" ht="17.15" hidden="false" customHeight="false" outlineLevel="0" collapsed="false">
      <c r="A13948" s="1" t="s">
        <v>1253</v>
      </c>
      <c r="B13948" s="0" t="s">
        <v>98</v>
      </c>
      <c r="C13948" s="6" t="n">
        <f aca="false">(w_ntm28*Sens!G13931+(1-w_ntm28)*Sens!H13931)*m_sw</f>
        <v>109.30055788101</v>
      </c>
    </row>
    <row r="13949" customFormat="false" ht="17.15" hidden="false" customHeight="false" outlineLevel="0" collapsed="false">
      <c r="A13949" s="1" t="s">
        <v>1254</v>
      </c>
      <c r="B13949" s="0" t="s">
        <v>98</v>
      </c>
      <c r="C13949" s="6" t="n">
        <f aca="false">(w_ntm28*Sens!G13932+(1-w_ntm28)*Sens!H13932)*m_sw</f>
        <v>41.5531037214606</v>
      </c>
    </row>
    <row r="13950" customFormat="false" ht="17.15" hidden="false" customHeight="false" outlineLevel="0" collapsed="false">
      <c r="A13950" s="1" t="s">
        <v>1255</v>
      </c>
      <c r="B13950" s="0" t="s">
        <v>98</v>
      </c>
      <c r="C13950" s="6" t="n">
        <f aca="false">(w_ntm28*Sens!G13933+(1-w_ntm28)*Sens!H13933)*m_ads</f>
        <v>115.215899994784</v>
      </c>
    </row>
    <row r="13951" customFormat="false" ht="17.15" hidden="false" customHeight="false" outlineLevel="0" collapsed="false">
      <c r="A13951" s="1" t="s">
        <v>1256</v>
      </c>
      <c r="B13951" s="0" t="s">
        <v>98</v>
      </c>
      <c r="C13951" s="6" t="n">
        <f aca="false">(w_ntm28*Sens!G13938+(1-w_ntm28)*Sens!H13938)*m_game</f>
        <v>98.7853357615783</v>
      </c>
    </row>
    <row r="13952" customFormat="false" ht="17.15" hidden="false" customHeight="false" outlineLevel="0" collapsed="false">
      <c r="A13952" s="1" t="s">
        <v>1257</v>
      </c>
      <c r="B13952" s="0" t="s">
        <v>98</v>
      </c>
      <c r="C13952" s="6" t="n">
        <f aca="false">(w_ntm28*Sens!G13939+(1-w_ntm28)*Sens!H13939)*m_pc</f>
        <v>91.5836445602173</v>
      </c>
    </row>
    <row r="13953" customFormat="false" ht="17.15" hidden="false" customHeight="false" outlineLevel="0" collapsed="false">
      <c r="A13953" s="1" t="s">
        <v>1258</v>
      </c>
      <c r="B13953" s="0" t="s">
        <v>98</v>
      </c>
      <c r="C13953" s="6" t="n">
        <f aca="false">Sens!$C$13943+Sens!$C$13945+Sens!$C$13946+Sens!$C$13947+Sens!$C$13948+Sens!$C$13949+Sens!$C$13950+Sens!$C$13951+Sens!$C$13952</f>
        <v>2873.66143265782</v>
      </c>
    </row>
    <row r="13954" customFormat="false" ht="17.15" hidden="false" customHeight="false" outlineLevel="0" collapsed="false">
      <c r="A13954" s="1" t="s">
        <v>1259</v>
      </c>
      <c r="B13954" s="0" t="s">
        <v>98</v>
      </c>
      <c r="C13954" s="6" t="n">
        <f aca="false">(Sens!G13915-Sens!G13940)*t_stub</f>
        <v>47.4829168796038</v>
      </c>
      <c r="L13954" s="1" t="s">
        <v>1260</v>
      </c>
    </row>
    <row r="13955" customFormat="false" ht="17.15" hidden="false" customHeight="false" outlineLevel="0" collapsed="false">
      <c r="A13955" s="1" t="s">
        <v>1169</v>
      </c>
      <c r="B13955" s="0" t="s">
        <v>98</v>
      </c>
      <c r="C13955" s="6" t="n">
        <f aca="false">CF!F103+oai_v-CF!F92+Sens!$C$13954</f>
        <v>158.55427008544</v>
      </c>
      <c r="L13955" s="1" t="s">
        <v>1261</v>
      </c>
    </row>
    <row r="13956" customFormat="false" ht="17.15" hidden="false" customHeight="false" outlineLevel="0" collapsed="false">
      <c r="A13956" s="1" t="s">
        <v>1262</v>
      </c>
      <c r="B13956" s="0" t="s">
        <v>75</v>
      </c>
      <c r="C13956" s="5" t="n">
        <f aca="false">(Sens!$C$13953+Sens!$C$13955)/(CF!F105+dil_gap)-CF!G95*roll_div_q/q_per_yr</f>
        <v>403.471666321139</v>
      </c>
      <c r="L13956" s="1" t="s">
        <v>1263</v>
      </c>
    </row>
    <row r="13957" customFormat="false" ht="17.15" hidden="false" customHeight="false" outlineLevel="0" collapsed="false">
      <c r="A13957" s="1" t="s">
        <v>1264</v>
      </c>
      <c r="B13957" s="0" t="s">
        <v>75</v>
      </c>
      <c r="C13957" s="5" t="n">
        <f aca="false">w_dcf*Sens!$C$13927+(1-w_dcf)*Sens!$C$13956</f>
        <v>358.754378103419</v>
      </c>
    </row>
    <row r="13958" customFormat="false" ht="17.15" hidden="false" customHeight="false" outlineLevel="0" collapsed="false">
      <c r="A13958" s="3" t="s">
        <v>1828</v>
      </c>
    </row>
    <row r="13959" customFormat="false" ht="15" hidden="false" customHeight="false" outlineLevel="0" collapsed="false">
      <c r="A13959" s="4" t="s">
        <v>43</v>
      </c>
      <c r="B13959" s="4" t="s">
        <v>65</v>
      </c>
      <c r="C13959" s="23" t="s">
        <v>938</v>
      </c>
      <c r="D13959" s="23" t="s">
        <v>939</v>
      </c>
      <c r="E13959" s="23" t="s">
        <v>940</v>
      </c>
      <c r="F13959" s="23" t="s">
        <v>941</v>
      </c>
      <c r="G13959" s="23" t="s">
        <v>942</v>
      </c>
      <c r="H13959" s="23" t="s">
        <v>943</v>
      </c>
      <c r="I13959" s="23" t="s">
        <v>944</v>
      </c>
      <c r="J13959" s="23" t="s">
        <v>945</v>
      </c>
      <c r="K13959" s="23" t="s">
        <v>946</v>
      </c>
      <c r="L13959" s="4" t="s">
        <v>47</v>
      </c>
    </row>
    <row r="13960" customFormat="false" ht="17.15" hidden="false" customHeight="false" outlineLevel="0" collapsed="false">
      <c r="A13960" s="1" t="s">
        <v>1212</v>
      </c>
      <c r="B13960" s="1" t="s">
        <v>279</v>
      </c>
      <c r="F13960" s="8" t="n">
        <f aca="false">(1-v_off)*mid_yr</f>
        <v>0.373972602739726</v>
      </c>
      <c r="G13960" s="8" t="n">
        <f aca="false">Thesis!G6-base_fy-mid_yr-v_off</f>
        <v>1.24794520547945</v>
      </c>
      <c r="H13960" s="8" t="n">
        <f aca="false">Thesis!H6-base_fy-mid_yr-v_off</f>
        <v>2.24794520547945</v>
      </c>
      <c r="I13960" s="8" t="n">
        <f aca="false">Thesis!I6-base_fy-mid_yr-v_off</f>
        <v>3.24794520547945</v>
      </c>
      <c r="J13960" s="8" t="n">
        <f aca="false">Thesis!J6-base_fy-mid_yr-v_off</f>
        <v>4.24794520547945</v>
      </c>
      <c r="K13960" s="8" t="n">
        <f aca="false">Thesis!K6-base_fy-mid_yr-v_off</f>
        <v>5.24794520547945</v>
      </c>
      <c r="L13960" s="12" t="s">
        <v>1213</v>
      </c>
    </row>
    <row r="13961" customFormat="false" ht="15" hidden="false" customHeight="false" outlineLevel="0" collapsed="false">
      <c r="A13961" s="1" t="s">
        <v>1214</v>
      </c>
      <c r="B13961" s="1" t="s">
        <v>279</v>
      </c>
      <c r="F13961" s="8" t="n">
        <f aca="false">Thesis!F6-base_fy-v_off</f>
        <v>0.747945205479452</v>
      </c>
      <c r="G13961" s="8" t="n">
        <f aca="false">Thesis!G6-base_fy-v_off</f>
        <v>1.74794520547945</v>
      </c>
      <c r="H13961" s="8" t="n">
        <f aca="false">Thesis!H6-base_fy-v_off</f>
        <v>2.74794520547945</v>
      </c>
      <c r="I13961" s="8" t="n">
        <f aca="false">Thesis!I6-base_fy-v_off</f>
        <v>3.74794520547945</v>
      </c>
      <c r="J13961" s="8" t="n">
        <f aca="false">Thesis!J6-base_fy-v_off</f>
        <v>4.74794520547945</v>
      </c>
      <c r="K13961" s="8" t="n">
        <f aca="false">Thesis!K6-base_fy-v_off</f>
        <v>5.74794520547945</v>
      </c>
    </row>
    <row r="13962" customFormat="false" ht="15" hidden="false" customHeight="false" outlineLevel="0" collapsed="false">
      <c r="A13962" s="1" t="s">
        <v>1215</v>
      </c>
      <c r="B13962" s="0" t="s">
        <v>229</v>
      </c>
      <c r="F13962" s="15" t="n">
        <f aca="false">1/(1+(wacc+0.01))^Sens!F13960</f>
        <v>0.960774207300618</v>
      </c>
      <c r="G13962" s="15" t="n">
        <f aca="false">1/(1+(wacc+0.01))^Sens!G13960</f>
        <v>0.874998806269897</v>
      </c>
      <c r="H13962" s="15" t="n">
        <f aca="false">1/(1+(wacc+0.01))^Sens!H13960</f>
        <v>0.786207240725602</v>
      </c>
      <c r="I13962" s="15" t="n">
        <f aca="false">1/(1+(wacc+0.01))^Sens!I13960</f>
        <v>0.706425907029985</v>
      </c>
      <c r="J13962" s="15" t="n">
        <f aca="false">1/(1+(wacc+0.01))^Sens!J13960</f>
        <v>0.634740480973652</v>
      </c>
      <c r="K13962" s="15" t="n">
        <f aca="false">1/(1+(wacc+0.01))^Sens!K13960</f>
        <v>0.570329420505754</v>
      </c>
    </row>
    <row r="13963" customFormat="false" ht="17.15" hidden="false" customHeight="false" outlineLevel="0" collapsed="false">
      <c r="A13963" s="1" t="s">
        <v>1216</v>
      </c>
      <c r="B13963" s="0" t="s">
        <v>98</v>
      </c>
      <c r="F13963" s="6" t="n">
        <f aca="false">Q!$I$35-Q!$I$39-Q!$I$43</f>
        <v>9.666</v>
      </c>
      <c r="L13963" s="12" t="s">
        <v>1217</v>
      </c>
    </row>
    <row r="13964" customFormat="false" ht="17.15" hidden="false" customHeight="false" outlineLevel="0" collapsed="false">
      <c r="A13964" s="1" t="s">
        <v>1218</v>
      </c>
      <c r="B13964" s="0" t="s">
        <v>98</v>
      </c>
      <c r="F13964" s="6" t="n">
        <f aca="false">CF!F23-CF!F20-CF!F27+Thesis!F47*(1-tax_f)*(1-v_off)-Sens!F13963</f>
        <v>-1.12880264559539</v>
      </c>
      <c r="G13964" s="6" t="n">
        <f aca="false">CF!G23-CF!G20-CF!G27+Thesis!G47*(1-tax_f)</f>
        <v>38.7194421947551</v>
      </c>
      <c r="H13964" s="6" t="n">
        <f aca="false">CF!H23-CF!H20-CF!H27+Thesis!H47*(1-tax_f)</f>
        <v>98.6927474567662</v>
      </c>
      <c r="I13964" s="6" t="n">
        <f aca="false">CF!I23-CF!I20-CF!I27+Thesis!I47*(1-tax_f)</f>
        <v>181.625440536277</v>
      </c>
      <c r="J13964" s="6" t="n">
        <f aca="false">CF!J23-CF!J20-CF!J27+Thesis!J47*(1-tax_f)</f>
        <v>263.350402418584</v>
      </c>
      <c r="K13964" s="6" t="n">
        <f aca="false">CF!K23-CF!K20-CF!K27+Thesis!K47*(1-tax_f)</f>
        <v>303.659068389018</v>
      </c>
      <c r="L13964" s="1" t="s">
        <v>1219</v>
      </c>
    </row>
    <row r="13965" customFormat="false" ht="15" hidden="false" customHeight="false" outlineLevel="0" collapsed="false">
      <c r="A13965" s="1" t="s">
        <v>1220</v>
      </c>
      <c r="B13965" s="0" t="s">
        <v>98</v>
      </c>
      <c r="F13965" s="6" t="n">
        <f aca="false">Sens!F13964*Sens!F13962</f>
        <v>-1.08452446702076</v>
      </c>
      <c r="G13965" s="6" t="n">
        <f aca="false">Sens!G13964*Sens!G13962</f>
        <v>33.879465699847</v>
      </c>
      <c r="H13965" s="6" t="n">
        <f aca="false">Sens!H13964*Sens!H13962</f>
        <v>77.5929526576129</v>
      </c>
      <c r="I13965" s="6" t="n">
        <f aca="false">Sens!I13964*Sens!I13962</f>
        <v>128.30491657056</v>
      </c>
      <c r="J13965" s="6" t="n">
        <f aca="false">Sens!J13964*Sens!J13962</f>
        <v>167.159161095777</v>
      </c>
      <c r="K13965" s="6" t="n">
        <f aca="false">Sens!K13964*Sens!K13962</f>
        <v>173.185700505626</v>
      </c>
    </row>
    <row r="13966" customFormat="false" ht="17.15" hidden="false" customHeight="false" outlineLevel="0" collapsed="false">
      <c r="A13966" s="1" t="s">
        <v>1221</v>
      </c>
      <c r="B13966" s="0" t="s">
        <v>98</v>
      </c>
      <c r="C13966" s="6" t="n">
        <f aca="false">SUM(Sens!F13965:K13965)</f>
        <v>579.037672062401</v>
      </c>
    </row>
    <row r="13967" customFormat="false" ht="17.15" hidden="false" customHeight="false" outlineLevel="0" collapsed="false">
      <c r="A13967" s="1" t="s">
        <v>1222</v>
      </c>
      <c r="B13967" s="0" t="s">
        <v>98</v>
      </c>
      <c r="C13967" s="6" t="n">
        <f aca="false">PL!K39*(1+g_tv)*(1-tax_f)</f>
        <v>316.501318799308</v>
      </c>
    </row>
    <row r="13968" customFormat="false" ht="17.15" hidden="false" customHeight="false" outlineLevel="0" collapsed="false">
      <c r="A13968" s="1" t="s">
        <v>1223</v>
      </c>
      <c r="B13968" s="0" t="s">
        <v>98</v>
      </c>
      <c r="C13968" s="6" t="n">
        <f aca="false">Sens!$C$13967*(1-g_tv/((wacc+0.01)+ronic_prem))</f>
        <v>232.427242501458</v>
      </c>
    </row>
    <row r="13969" customFormat="false" ht="17.15" hidden="false" customHeight="false" outlineLevel="0" collapsed="false">
      <c r="A13969" s="1" t="s">
        <v>1224</v>
      </c>
      <c r="B13969" s="0" t="s">
        <v>98</v>
      </c>
      <c r="C13969" s="6" t="n">
        <f aca="false">Sens!$C$13968/((wacc+0.01)-g_tv)</f>
        <v>2802.46920992834</v>
      </c>
    </row>
    <row r="13970" customFormat="false" ht="15" hidden="false" customHeight="false" outlineLevel="0" collapsed="false">
      <c r="A13970" s="1" t="s">
        <v>1225</v>
      </c>
      <c r="B13970" s="0" t="s">
        <v>98</v>
      </c>
      <c r="C13970" s="6" t="n">
        <f aca="false">Sens!$C$13969/(1+(wacc+0.01))^Sens!K13961</f>
        <v>1515.06551945841</v>
      </c>
    </row>
    <row r="13971" customFormat="false" ht="17.15" hidden="false" customHeight="false" outlineLevel="0" collapsed="false">
      <c r="A13971" s="0" t="s">
        <v>1226</v>
      </c>
      <c r="B13971" s="0" t="s">
        <v>98</v>
      </c>
      <c r="C13971" s="6" t="n">
        <f aca="false">Sens!$C$13966+Sens!$C$13970</f>
        <v>2094.10319152081</v>
      </c>
    </row>
    <row r="13972" customFormat="false" ht="15" hidden="false" customHeight="false" outlineLevel="0" collapsed="false">
      <c r="A13972" s="1" t="s">
        <v>1141</v>
      </c>
      <c r="B13972" s="0" t="s">
        <v>168</v>
      </c>
      <c r="C13972" s="7" t="n">
        <f aca="false">Sens!$C$13970/Sens!$C$13971</f>
        <v>0.723491337768373</v>
      </c>
    </row>
    <row r="13973" customFormat="false" ht="17.15" hidden="false" customHeight="false" outlineLevel="0" collapsed="false">
      <c r="A13973" s="1" t="s">
        <v>1227</v>
      </c>
      <c r="B13973" s="0" t="s">
        <v>98</v>
      </c>
      <c r="C13973" s="6" t="n">
        <f aca="false">Sens!$C$13971+cash_val-debt_val-fl_val+oai_v</f>
        <v>2209.95419152081</v>
      </c>
    </row>
    <row r="13974" customFormat="false" ht="17.15" hidden="false" customHeight="false" outlineLevel="0" collapsed="false">
      <c r="A13974" s="0" t="s">
        <v>1149</v>
      </c>
      <c r="B13974" s="0" t="s">
        <v>75</v>
      </c>
      <c r="C13974" s="5" t="n">
        <f aca="false">Sens!$C$13973/shd_val</f>
        <v>296.797500875747</v>
      </c>
    </row>
    <row r="13975" customFormat="false" ht="15" hidden="false" customHeight="false" outlineLevel="0" collapsed="false">
      <c r="A13975" s="1" t="s">
        <v>1228</v>
      </c>
      <c r="B13975" s="0" t="s">
        <v>75</v>
      </c>
      <c r="C13975" s="8" t="n">
        <f aca="false">div_rem27+CF!G31*roll_div_q/q_per_yr</f>
        <v>3.9795</v>
      </c>
    </row>
    <row r="13976" customFormat="false" ht="17.15" hidden="false" customHeight="false" outlineLevel="0" collapsed="false">
      <c r="A13976" s="0" t="s">
        <v>1229</v>
      </c>
      <c r="B13976" s="0" t="s">
        <v>75</v>
      </c>
      <c r="C13976" s="5" t="n">
        <f aca="false">Sens!$C$13974*(1+(wacc+0.01))^t_roll-Sens!$C$13975</f>
        <v>329.157470110165</v>
      </c>
    </row>
    <row r="13977" customFormat="false" ht="17.15" hidden="false" customHeight="false" outlineLevel="0" collapsed="false">
      <c r="A13977" s="1" t="s">
        <v>1230</v>
      </c>
      <c r="B13977" s="0" t="s">
        <v>168</v>
      </c>
      <c r="F13977" s="7" t="n">
        <f aca="false">CF!F17/(Seg!F29-Thesis!F25)</f>
        <v>0.0685527305696859</v>
      </c>
      <c r="G13977" s="7" t="n">
        <f aca="false">CF!G17/(Seg!G29-Thesis!G25)</f>
        <v>0.0653567731599844</v>
      </c>
      <c r="H13977" s="7" t="n">
        <f aca="false">CF!H17/(Seg!H29-Thesis!H25)</f>
        <v>0.0636628841026972</v>
      </c>
      <c r="I13977" s="7" t="n">
        <f aca="false">CF!I17/(Seg!I29-Thesis!I25)</f>
        <v>0.0633581084335176</v>
      </c>
      <c r="J13977" s="7" t="n">
        <f aca="false">CF!J17/(Seg!J29-Thesis!J25)</f>
        <v>0.0640873955995062</v>
      </c>
      <c r="K13977" s="7" t="n">
        <f aca="false">CF!K17/(Seg!K29-Thesis!K25)</f>
        <v>0.0653962234835198</v>
      </c>
    </row>
    <row r="13978" customFormat="false" ht="17.15" hidden="false" customHeight="false" outlineLevel="0" collapsed="false">
      <c r="A13978" s="0" t="s">
        <v>1231</v>
      </c>
      <c r="B13978" s="0" t="s">
        <v>98</v>
      </c>
      <c r="F13978" s="6" t="n">
        <f aca="false">Seg!F14*(al_m365+Sens!F13977+sbc_r)</f>
        <v>84.5213906545575</v>
      </c>
      <c r="G13978" s="6" t="n">
        <f aca="false">Seg!G14*(al_m365+Sens!G13977+sbc_r)</f>
        <v>98.949983331796</v>
      </c>
      <c r="H13978" s="6" t="n">
        <f aca="false">Seg!H14*(al_m365+Sens!H13977+sbc_r)</f>
        <v>113.543734275326</v>
      </c>
      <c r="I13978" s="6" t="n">
        <f aca="false">Seg!I14*(al_m365+Sens!I13977+sbc_r)</f>
        <v>126.62058838692</v>
      </c>
      <c r="J13978" s="6" t="n">
        <f aca="false">Seg!J14*(al_m365+Sens!J13977+sbc_r)</f>
        <v>137.994660156303</v>
      </c>
      <c r="K13978" s="6" t="n">
        <f aca="false">Seg!K14*(al_m365+Sens!K13977+sbc_r)</f>
        <v>148.989224092997</v>
      </c>
      <c r="L13978" s="12" t="s">
        <v>1232</v>
      </c>
    </row>
    <row r="13979" customFormat="false" ht="17.15" hidden="false" customHeight="false" outlineLevel="0" collapsed="false">
      <c r="A13979" s="0" t="s">
        <v>1233</v>
      </c>
      <c r="B13979" s="0" t="s">
        <v>98</v>
      </c>
      <c r="F13979" s="6" t="n">
        <f aca="false">Seg!F15*(al_lic+Sens!F13977+sbc_r)</f>
        <v>32.855200196554</v>
      </c>
      <c r="G13979" s="6" t="n">
        <f aca="false">Seg!G15*(al_lic+Sens!G13977+sbc_r)</f>
        <v>34.1185582613282</v>
      </c>
      <c r="H13979" s="6" t="n">
        <f aca="false">Seg!H15*(al_lic+Sens!H13977+sbc_r)</f>
        <v>35.3024309363621</v>
      </c>
      <c r="I13979" s="6" t="n">
        <f aca="false">Seg!I15*(al_lic+Sens!I13977+sbc_r)</f>
        <v>36.3898468129533</v>
      </c>
      <c r="J13979" s="6" t="n">
        <f aca="false">Seg!J15*(al_lic+Sens!J13977+sbc_r)</f>
        <v>37.3529129529876</v>
      </c>
      <c r="K13979" s="6" t="n">
        <f aca="false">Seg!K15*(al_lic+Sens!K13977+sbc_r)</f>
        <v>38.158536171203</v>
      </c>
    </row>
    <row r="13980" customFormat="false" ht="17.15" hidden="false" customHeight="false" outlineLevel="0" collapsed="false">
      <c r="A13980" s="0" t="s">
        <v>1234</v>
      </c>
      <c r="B13980" s="0" t="s">
        <v>98</v>
      </c>
      <c r="F13980" s="6" t="n">
        <f aca="false">Seg!F17*(al_ind+Sens!F13977+sbc_r)</f>
        <v>9.05892547956683</v>
      </c>
      <c r="G13980" s="6" t="n">
        <f aca="false">Seg!G17*(al_ind+Sens!G13977+sbc_r)</f>
        <v>9.82456487622418</v>
      </c>
      <c r="H13980" s="6" t="n">
        <f aca="false">Seg!H17*(al_ind+Sens!H13977+sbc_r)</f>
        <v>10.6377408477959</v>
      </c>
      <c r="I13980" s="6" t="n">
        <f aca="false">Seg!I17*(al_ind+Sens!I13977+sbc_r)</f>
        <v>11.4966323260293</v>
      </c>
      <c r="J13980" s="6" t="n">
        <f aca="false">Seg!J17*(al_ind+Sens!J13977+sbc_r)</f>
        <v>12.3903660286279</v>
      </c>
      <c r="K13980" s="6" t="n">
        <f aca="false">Seg!K17*(al_ind+Sens!K13977+sbc_r)</f>
        <v>13.3009129057681</v>
      </c>
    </row>
    <row r="13981" customFormat="false" ht="17.15" hidden="false" customHeight="false" outlineLevel="0" collapsed="false">
      <c r="A13981" s="0" t="s">
        <v>1235</v>
      </c>
      <c r="B13981" s="0" t="s">
        <v>98</v>
      </c>
      <c r="F13981" s="6" t="n">
        <f aca="false">Seg!F19*(al_fro+Sens!F13977+sbc_r)</f>
        <v>3.55344443532423</v>
      </c>
      <c r="G13981" s="6" t="n">
        <f aca="false">Seg!G19*(al_fro+Sens!G13977+sbc_r)</f>
        <v>3.75916645971565</v>
      </c>
      <c r="H13981" s="6" t="n">
        <f aca="false">Seg!H19*(al_fro+Sens!H13977+sbc_r)</f>
        <v>3.994970960527</v>
      </c>
      <c r="I13981" s="6" t="n">
        <f aca="false">Seg!I19*(al_fro+Sens!I13977+sbc_r)</f>
        <v>4.26396270432353</v>
      </c>
      <c r="J13981" s="6" t="n">
        <f aca="false">Seg!J19*(al_fro+Sens!J13977+sbc_r)</f>
        <v>4.5667795874336</v>
      </c>
      <c r="K13981" s="6" t="n">
        <f aca="false">Seg!K19*(al_fro+Sens!K13977+sbc_r)</f>
        <v>4.90238443416026</v>
      </c>
    </row>
    <row r="13982" customFormat="false" ht="17.15" hidden="false" customHeight="false" outlineLevel="0" collapsed="false">
      <c r="A13982" s="0" t="s">
        <v>1236</v>
      </c>
      <c r="B13982" s="0" t="s">
        <v>98</v>
      </c>
      <c r="F13982" s="6" t="n">
        <f aca="false">Seg!F22*(al_srch+Sens!F13977+sbc_r)</f>
        <v>11.1872483445711</v>
      </c>
      <c r="G13982" s="6" t="n">
        <f aca="false">Seg!G22*(al_srch+Sens!G13977+sbc_r)</f>
        <v>12.247246048296</v>
      </c>
      <c r="H13982" s="6" t="n">
        <f aca="false">Seg!H22*(al_srch+Sens!H13977+sbc_r)</f>
        <v>13.3552870946193</v>
      </c>
      <c r="I13982" s="6" t="n">
        <f aca="false">Seg!I22*(al_srch+Sens!I13977+sbc_r)</f>
        <v>14.5024145321619</v>
      </c>
      <c r="J13982" s="6" t="n">
        <f aca="false">Seg!J22*(al_srch+Sens!J13977+sbc_r)</f>
        <v>15.667276660652</v>
      </c>
      <c r="K13982" s="6" t="n">
        <f aca="false">Seg!K22*(al_srch+Sens!K13977+sbc_r)</f>
        <v>16.8186381138719</v>
      </c>
    </row>
    <row r="13983" customFormat="false" ht="17.15" hidden="false" customHeight="false" outlineLevel="0" collapsed="false">
      <c r="A13983" s="0" t="s">
        <v>1237</v>
      </c>
      <c r="B13983" s="0" t="s">
        <v>98</v>
      </c>
      <c r="F13983" s="6" t="n">
        <f aca="false">Thesis!F31-Thesis!F32+Thesis!F47</f>
        <v>45.3782580567763</v>
      </c>
      <c r="G13983" s="6" t="n">
        <f aca="false">Thesis!G31-Thesis!G32+Thesis!G47</f>
        <v>91.0863367558165</v>
      </c>
      <c r="H13983" s="6" t="n">
        <f aca="false">Thesis!H31-Thesis!H32+Thesis!H47</f>
        <v>144.617532464853</v>
      </c>
      <c r="I13983" s="6" t="n">
        <f aca="false">Thesis!I31-Thesis!I32+Thesis!I47</f>
        <v>187.137304561304</v>
      </c>
      <c r="J13983" s="6" t="n">
        <f aca="false">Thesis!J31-Thesis!J32+Thesis!J47</f>
        <v>217.006854425907</v>
      </c>
      <c r="K13983" s="6" t="n">
        <f aca="false">Thesis!K31-Thesis!K32+Thesis!K47</f>
        <v>234.933637903877</v>
      </c>
    </row>
    <row r="13984" customFormat="false" ht="17.15" hidden="false" customHeight="false" outlineLevel="0" collapsed="false">
      <c r="A13984" s="0" t="s">
        <v>1238</v>
      </c>
      <c r="B13984" s="0" t="s">
        <v>98</v>
      </c>
      <c r="F13984" s="6" t="n">
        <f aca="false">PL!F32+Thesis!F47+Thesis!F43+Sens!F13977*(Seg!F21-Thesis!F25)+sbc_r*Seg!F21</f>
        <v>240.818167741339</v>
      </c>
      <c r="G13984" s="6" t="n">
        <f aca="false">PL!G32+Thesis!G47+Thesis!G43+Sens!G13977*(Seg!G21-Thesis!G25)+sbc_r*Seg!G21</f>
        <v>311.917784140952</v>
      </c>
      <c r="H13984" s="6" t="n">
        <f aca="false">PL!H32+Thesis!H47+Thesis!H43+Sens!H13977*(Seg!H21-Thesis!H25)+sbc_r*Seg!H21</f>
        <v>395.486245683473</v>
      </c>
      <c r="I13984" s="6" t="n">
        <f aca="false">PL!I32+Thesis!I47+Thesis!I43+Sens!I13977*(Seg!I21-Thesis!I25)+sbc_r*Seg!I21</f>
        <v>465.950805948377</v>
      </c>
      <c r="J13984" s="6" t="n">
        <f aca="false">PL!J32+Thesis!J47+Thesis!J43+Sens!J13977*(Seg!J21-Thesis!J25)+sbc_r*Seg!J21</f>
        <v>520.78677388057</v>
      </c>
      <c r="K13984" s="6" t="n">
        <f aca="false">PL!K32+Thesis!K47+Thesis!K43+Sens!K13977*(Seg!K21-Thesis!K25)+sbc_r*Seg!K21</f>
        <v>561.2469767412</v>
      </c>
    </row>
    <row r="13985" customFormat="false" ht="17.15" hidden="false" customHeight="false" outlineLevel="0" collapsed="false">
      <c r="A13985" s="0" t="s">
        <v>1239</v>
      </c>
      <c r="B13985" s="0" t="s">
        <v>98</v>
      </c>
      <c r="F13985" s="6" t="n">
        <f aca="false">Sens!F13984-Sens!F13978-Sens!F13979-Sens!F13980-Sens!F13981-Sens!F13983</f>
        <v>65.4509489185601</v>
      </c>
      <c r="G13985" s="6" t="n">
        <f aca="false">Sens!G13984-Sens!G13978-Sens!G13979-Sens!G13980-Sens!G13981-Sens!G13983</f>
        <v>74.1791744560715</v>
      </c>
      <c r="H13985" s="6" t="n">
        <f aca="false">Sens!H13984-Sens!H13978-Sens!H13979-Sens!H13980-Sens!H13981-Sens!H13983</f>
        <v>87.3898361986086</v>
      </c>
      <c r="I13985" s="6" t="n">
        <f aca="false">Sens!I13984-Sens!I13978-Sens!I13979-Sens!I13980-Sens!I13981-Sens!I13983</f>
        <v>100.042471156846</v>
      </c>
      <c r="J13985" s="6" t="n">
        <f aca="false">Sens!J13984-Sens!J13978-Sens!J13979-Sens!J13980-Sens!J13981-Sens!J13983</f>
        <v>111.475200729312</v>
      </c>
      <c r="K13985" s="6" t="n">
        <f aca="false">Sens!K13984-Sens!K13978-Sens!K13979-Sens!K13980-Sens!K13981-Sens!K13983</f>
        <v>120.962281233195</v>
      </c>
    </row>
    <row r="13986" customFormat="false" ht="17.15" hidden="false" customHeight="false" outlineLevel="0" collapsed="false">
      <c r="A13986" s="0" t="s">
        <v>1240</v>
      </c>
      <c r="B13986" s="0" t="s">
        <v>98</v>
      </c>
      <c r="F13986" s="6" t="n">
        <f aca="false">PL!F34+Sens!F13977*Seg!F28+sbc_r*Seg!F28</f>
        <v>26.6293388420472</v>
      </c>
      <c r="G13986" s="6" t="n">
        <f aca="false">PL!G34+Sens!G13977*Seg!G28+sbc_r*Seg!G28</f>
        <v>26.4405000412783</v>
      </c>
      <c r="H13986" s="6" t="n">
        <f aca="false">PL!H34+Sens!H13977*Seg!H28+sbc_r*Seg!H28</f>
        <v>27.296860059552</v>
      </c>
      <c r="I13986" s="6" t="n">
        <f aca="false">PL!I34+Sens!I13977*Seg!I28+sbc_r*Seg!I28</f>
        <v>28.3995465815703</v>
      </c>
      <c r="J13986" s="6" t="n">
        <f aca="false">PL!J34+Sens!J13977*Seg!J28+sbc_r*Seg!J28</f>
        <v>29.7093380975903</v>
      </c>
      <c r="K13986" s="6" t="n">
        <f aca="false">PL!K34+Sens!K13977*Seg!K28+sbc_r*Seg!K28</f>
        <v>31.1817775287323</v>
      </c>
    </row>
    <row r="13987" customFormat="false" ht="17.15" hidden="false" customHeight="false" outlineLevel="0" collapsed="false">
      <c r="A13987" s="0" t="s">
        <v>1241</v>
      </c>
      <c r="B13987" s="0" t="s">
        <v>98</v>
      </c>
      <c r="F13987" s="6" t="n">
        <f aca="false">(Sens!F13986-Sens!F13982)*Seg!F24/(Seg!F24+Seg!F26)</f>
        <v>8.72146908842971</v>
      </c>
      <c r="G13987" s="6" t="n">
        <f aca="false">(Sens!G13986-Sens!G13982)*Seg!G24/(Seg!G24+Seg!G26)</f>
        <v>7.87837655379173</v>
      </c>
      <c r="H13987" s="6" t="n">
        <f aca="false">(Sens!H13986-Sens!H13982)*Seg!H24/(Seg!H24+Seg!H26)</f>
        <v>7.63786170689933</v>
      </c>
      <c r="I13987" s="6" t="n">
        <f aca="false">(Sens!I13986-Sens!I13982)*Seg!I24/(Seg!I24+Seg!I26)</f>
        <v>7.5470606300581</v>
      </c>
      <c r="J13987" s="6" t="n">
        <f aca="false">(Sens!J13986-Sens!J13982)*Seg!J24/(Seg!J24+Seg!J26)</f>
        <v>7.59249600034024</v>
      </c>
      <c r="K13987" s="6" t="n">
        <f aca="false">(Sens!K13986-Sens!K13982)*Seg!K24/(Seg!K24+Seg!K26)</f>
        <v>7.76610179704742</v>
      </c>
    </row>
    <row r="13988" customFormat="false" ht="17.15" hidden="false" customHeight="false" outlineLevel="0" collapsed="false">
      <c r="A13988" s="0" t="s">
        <v>1242</v>
      </c>
      <c r="B13988" s="0" t="s">
        <v>98</v>
      </c>
      <c r="F13988" s="6" t="n">
        <f aca="false">Sens!F13986-Sens!F13982-Sens!F13987</f>
        <v>6.72062140904636</v>
      </c>
      <c r="G13988" s="6" t="n">
        <f aca="false">Sens!G13986-Sens!G13982-Sens!G13987</f>
        <v>6.31487743919059</v>
      </c>
      <c r="H13988" s="6" t="n">
        <f aca="false">Sens!H13986-Sens!H13982-Sens!H13987</f>
        <v>6.30371125803333</v>
      </c>
      <c r="I13988" s="6" t="n">
        <f aca="false">Sens!I13986-Sens!I13982-Sens!I13987</f>
        <v>6.35007141935025</v>
      </c>
      <c r="J13988" s="6" t="n">
        <f aca="false">Sens!J13986-Sens!J13982-Sens!J13987</f>
        <v>6.44956543659808</v>
      </c>
      <c r="K13988" s="6" t="n">
        <f aca="false">Sens!K13986-Sens!K13982-Sens!K13987</f>
        <v>6.597037617813</v>
      </c>
    </row>
    <row r="13989" customFormat="false" ht="17.15" hidden="false" customHeight="false" outlineLevel="0" collapsed="false">
      <c r="A13989" s="0" t="s">
        <v>1243</v>
      </c>
      <c r="B13989" s="0" t="s">
        <v>98</v>
      </c>
      <c r="F13989" s="6" t="n">
        <f aca="false">Sens!F13983-tax_f*(Sens!F13983-Thesis!F43)-Thesis!F40</f>
        <v>-125.235434701028</v>
      </c>
      <c r="G13989" s="6" t="n">
        <f aca="false">Sens!G13983-tax_f*(Sens!G13983-Thesis!G43)-Thesis!G40</f>
        <v>-106.928508113935</v>
      </c>
      <c r="H13989" s="6" t="n">
        <f aca="false">Sens!H13983-tax_f*(Sens!H13983-Thesis!H43)-Thesis!H40</f>
        <v>-63.2919599603405</v>
      </c>
      <c r="I13989" s="6" t="n">
        <f aca="false">Sens!I13983-tax_f*(Sens!I13983-Thesis!I43)-Thesis!I40</f>
        <v>3.94121196634245</v>
      </c>
      <c r="J13989" s="6" t="n">
        <f aca="false">Sens!J13983-tax_f*(Sens!J13983-Thesis!J43)-Thesis!J40</f>
        <v>71.0786869547042</v>
      </c>
      <c r="K13989" s="6" t="n">
        <f aca="false">Sens!K13983-tax_f*(Sens!K13983-Thesis!K43)-Thesis!K40</f>
        <v>97.5865911685559</v>
      </c>
    </row>
    <row r="13990" customFormat="false" ht="17.15" hidden="false" customHeight="false" outlineLevel="0" collapsed="false">
      <c r="A13990" s="0" t="s">
        <v>1244</v>
      </c>
      <c r="B13990" s="0" t="s">
        <v>98</v>
      </c>
      <c r="G13990" s="6" t="n">
        <f aca="false">Sens!G13989/(1+(wacc+0.01))^(Sens!G13960-Sens!F13961)</f>
        <v>-101.358061709642</v>
      </c>
      <c r="H13990" s="6" t="n">
        <f aca="false">Sens!H13989/(1+(wacc+0.01))^(Sens!H13960-Sens!F13961)</f>
        <v>-53.9067206313085</v>
      </c>
      <c r="I13990" s="6" t="n">
        <f aca="false">Sens!I13989/(1+(wacc+0.01))^(Sens!I13960-Sens!F13961)</f>
        <v>3.01615557864842</v>
      </c>
      <c r="J13990" s="6" t="n">
        <f aca="false">Sens!J13989/(1+(wacc+0.01))^(Sens!J13960-Sens!F13961)</f>
        <v>48.8756922813725</v>
      </c>
      <c r="K13990" s="6" t="n">
        <f aca="false">Sens!K13989/(1+(wacc+0.01))^(Sens!K13960-Sens!F13961)</f>
        <v>60.2938827247007</v>
      </c>
      <c r="L13990" s="1" t="s">
        <v>1245</v>
      </c>
    </row>
    <row r="13991" customFormat="false" ht="17.15" hidden="false" customHeight="false" outlineLevel="0" collapsed="false">
      <c r="A13991" s="0" t="s">
        <v>1246</v>
      </c>
      <c r="B13991" s="0" t="s">
        <v>98</v>
      </c>
      <c r="C13991" s="6" t="n">
        <f aca="false">(Sens!K13983-Thesis!K43)*(1-tax_f)*(1+g_tv)*(1-g_tv/((wacc+0.01)+ronic_prem))/((wacc+0.01)-g_tv)/(1+(wacc+0.01))^(Sens!K13961-Sens!F13961)</f>
        <v>392.785115380483</v>
      </c>
    </row>
    <row r="13992" customFormat="false" ht="17.15" hidden="false" customHeight="false" outlineLevel="0" collapsed="false">
      <c r="A13992" s="1" t="s">
        <v>1247</v>
      </c>
      <c r="B13992" s="0" t="s">
        <v>98</v>
      </c>
      <c r="C13992" s="6" t="n">
        <f aca="false">(SUM(Sens!G13990:K13990)+Sens!$C$13991)*(1+(wacc+0.01))^(t_roll-Sens!F13961)</f>
        <v>362.333447034352</v>
      </c>
      <c r="L13992" s="12" t="s">
        <v>1248</v>
      </c>
    </row>
    <row r="13993" customFormat="false" ht="17.15" hidden="false" customHeight="false" outlineLevel="0" collapsed="false">
      <c r="A13993" s="1" t="s">
        <v>1249</v>
      </c>
      <c r="B13993" s="0" t="s">
        <v>98</v>
      </c>
      <c r="C13993" s="6" t="n">
        <f aca="false">(w_ntm28*Thesis!G31+(1-w_ntm28)*Thesis!H31)*m_ai</f>
        <v>563.316843258668</v>
      </c>
    </row>
    <row r="13994" customFormat="false" ht="17.15" hidden="false" customHeight="false" outlineLevel="0" collapsed="false">
      <c r="A13994" s="1" t="s">
        <v>1250</v>
      </c>
      <c r="B13994" s="0" t="s">
        <v>98</v>
      </c>
      <c r="C13994" s="6" t="n">
        <f aca="false">(w_ntm28*Sens!G13985+(1-w_ntm28)*Sens!H13985)*m_cloud</f>
        <v>1085.17964696599</v>
      </c>
    </row>
    <row r="13995" customFormat="false" ht="17.15" hidden="false" customHeight="false" outlineLevel="0" collapsed="false">
      <c r="A13995" s="1" t="s">
        <v>1251</v>
      </c>
      <c r="B13995" s="0" t="s">
        <v>98</v>
      </c>
      <c r="C13995" s="6" t="n">
        <f aca="false">(w_ntm28*Sens!G13978+(1-w_ntm28)*Sens!H13978)*m_sw</f>
        <v>1120.47763155275</v>
      </c>
    </row>
    <row r="13996" customFormat="false" ht="17.15" hidden="false" customHeight="false" outlineLevel="0" collapsed="false">
      <c r="A13996" s="1" t="s">
        <v>1252</v>
      </c>
      <c r="B13996" s="0" t="s">
        <v>98</v>
      </c>
      <c r="C13996" s="6" t="n">
        <f aca="false">(w_ntm28*Sens!G13979+(1-w_ntm28)*Sens!H13979)*m_sw</f>
        <v>372.68398809041</v>
      </c>
    </row>
    <row r="13997" customFormat="false" ht="17.15" hidden="false" customHeight="false" outlineLevel="0" collapsed="false">
      <c r="A13997" s="1" t="s">
        <v>1253</v>
      </c>
      <c r="B13997" s="0" t="s">
        <v>98</v>
      </c>
      <c r="C13997" s="6" t="n">
        <f aca="false">(w_ntm28*Sens!G13980+(1-w_ntm28)*Sens!H13980)*m_sw</f>
        <v>108.992632332144</v>
      </c>
    </row>
    <row r="13998" customFormat="false" ht="17.15" hidden="false" customHeight="false" outlineLevel="0" collapsed="false">
      <c r="A13998" s="1" t="s">
        <v>1254</v>
      </c>
      <c r="B13998" s="0" t="s">
        <v>98</v>
      </c>
      <c r="C13998" s="6" t="n">
        <f aca="false">(w_ntm28*Sens!G13981+(1-w_ntm28)*Sens!H13981)*m_sw</f>
        <v>41.4362652527414</v>
      </c>
    </row>
    <row r="13999" customFormat="false" ht="17.15" hidden="false" customHeight="false" outlineLevel="0" collapsed="false">
      <c r="A13999" s="1" t="s">
        <v>1255</v>
      </c>
      <c r="B13999" s="0" t="s">
        <v>98</v>
      </c>
      <c r="C13999" s="6" t="n">
        <f aca="false">(w_ntm28*Sens!G13982+(1-w_ntm28)*Sens!H13982)*m_ads</f>
        <v>114.891070326937</v>
      </c>
    </row>
    <row r="14000" customFormat="false" ht="17.15" hidden="false" customHeight="false" outlineLevel="0" collapsed="false">
      <c r="A14000" s="1" t="s">
        <v>1256</v>
      </c>
      <c r="B14000" s="0" t="s">
        <v>98</v>
      </c>
      <c r="C14000" s="6" t="n">
        <f aca="false">(w_ntm28*Sens!G13987+(1-w_ntm28)*Sens!H13987)*m_game</f>
        <v>98.505199156718</v>
      </c>
    </row>
    <row r="14001" customFormat="false" ht="17.15" hidden="false" customHeight="false" outlineLevel="0" collapsed="false">
      <c r="A14001" s="1" t="s">
        <v>1257</v>
      </c>
      <c r="B14001" s="0" t="s">
        <v>98</v>
      </c>
      <c r="C14001" s="6" t="n">
        <f aca="false">(w_ntm28*Sens!G13988+(1-w_ntm28)*Sens!H13988)*m_pc</f>
        <v>91.3231561150564</v>
      </c>
    </row>
    <row r="14002" customFormat="false" ht="17.15" hidden="false" customHeight="false" outlineLevel="0" collapsed="false">
      <c r="A14002" s="1" t="s">
        <v>1258</v>
      </c>
      <c r="B14002" s="0" t="s">
        <v>98</v>
      </c>
      <c r="C14002" s="6" t="n">
        <f aca="false">Sens!$C$13992+Sens!$C$13994+Sens!$C$13995+Sens!$C$13996+Sens!$C$13997+Sens!$C$13998+Sens!$C$13999+Sens!$C$14000+Sens!$C$14001</f>
        <v>3395.8230368271</v>
      </c>
    </row>
    <row r="14003" customFormat="false" ht="17.15" hidden="false" customHeight="false" outlineLevel="0" collapsed="false">
      <c r="A14003" s="1" t="s">
        <v>1259</v>
      </c>
      <c r="B14003" s="0" t="s">
        <v>98</v>
      </c>
      <c r="C14003" s="6" t="n">
        <f aca="false">(Sens!G13964-Sens!G13989)*t_stub</f>
        <v>48.2832931160316</v>
      </c>
      <c r="L14003" s="1" t="s">
        <v>1260</v>
      </c>
    </row>
    <row r="14004" customFormat="false" ht="17.15" hidden="false" customHeight="false" outlineLevel="0" collapsed="false">
      <c r="A14004" s="1" t="s">
        <v>1169</v>
      </c>
      <c r="B14004" s="0" t="s">
        <v>98</v>
      </c>
      <c r="C14004" s="6" t="n">
        <f aca="false">CF!F39+oai_v-CF!F28+Sens!$C$14003</f>
        <v>162.511563116032</v>
      </c>
      <c r="L14004" s="1" t="s">
        <v>1261</v>
      </c>
    </row>
    <row r="14005" customFormat="false" ht="17.15" hidden="false" customHeight="false" outlineLevel="0" collapsed="false">
      <c r="A14005" s="1" t="s">
        <v>1262</v>
      </c>
      <c r="B14005" s="0" t="s">
        <v>75</v>
      </c>
      <c r="C14005" s="5" t="n">
        <f aca="false">(Sens!$C$14002+Sens!$C$14004)/(CF!F41+dil_gap)-CF!G31*roll_div_q/q_per_yr</f>
        <v>474.021719012533</v>
      </c>
      <c r="L14005" s="1" t="s">
        <v>1263</v>
      </c>
    </row>
    <row r="14006" customFormat="false" ht="17.15" hidden="false" customHeight="false" outlineLevel="0" collapsed="false">
      <c r="A14006" s="1" t="s">
        <v>1264</v>
      </c>
      <c r="B14006" s="0" t="s">
        <v>75</v>
      </c>
      <c r="C14006" s="5" t="n">
        <f aca="false">w_dcf*Sens!$C$13976+(1-w_dcf)*Sens!$C$14005</f>
        <v>401.589594561349</v>
      </c>
    </row>
    <row r="14007" customFormat="false" ht="17.15" hidden="false" customHeight="false" outlineLevel="0" collapsed="false">
      <c r="A14007" s="3" t="s">
        <v>1829</v>
      </c>
    </row>
    <row r="14008" customFormat="false" ht="15" hidden="false" customHeight="false" outlineLevel="0" collapsed="false">
      <c r="A14008" s="4" t="s">
        <v>43</v>
      </c>
      <c r="B14008" s="4" t="s">
        <v>65</v>
      </c>
      <c r="C14008" s="23" t="s">
        <v>938</v>
      </c>
      <c r="D14008" s="23" t="s">
        <v>939</v>
      </c>
      <c r="E14008" s="23" t="s">
        <v>940</v>
      </c>
      <c r="F14008" s="23" t="s">
        <v>941</v>
      </c>
      <c r="G14008" s="23" t="s">
        <v>942</v>
      </c>
      <c r="H14008" s="23" t="s">
        <v>943</v>
      </c>
      <c r="I14008" s="23" t="s">
        <v>944</v>
      </c>
      <c r="J14008" s="23" t="s">
        <v>945</v>
      </c>
      <c r="K14008" s="23" t="s">
        <v>946</v>
      </c>
      <c r="L14008" s="4" t="s">
        <v>47</v>
      </c>
    </row>
    <row r="14009" customFormat="false" ht="17.15" hidden="false" customHeight="false" outlineLevel="0" collapsed="false">
      <c r="A14009" s="1" t="s">
        <v>1212</v>
      </c>
      <c r="B14009" s="1" t="s">
        <v>279</v>
      </c>
      <c r="F14009" s="8" t="n">
        <f aca="false">(1-v_off)*mid_yr</f>
        <v>0.373972602739726</v>
      </c>
      <c r="G14009" s="8" t="n">
        <f aca="false">Thesis!G58-base_fy-mid_yr-v_off</f>
        <v>1.24794520547945</v>
      </c>
      <c r="H14009" s="8" t="n">
        <f aca="false">Thesis!H58-base_fy-mid_yr-v_off</f>
        <v>2.24794520547945</v>
      </c>
      <c r="I14009" s="8" t="n">
        <f aca="false">Thesis!I58-base_fy-mid_yr-v_off</f>
        <v>3.24794520547945</v>
      </c>
      <c r="J14009" s="8" t="n">
        <f aca="false">Thesis!J58-base_fy-mid_yr-v_off</f>
        <v>4.24794520547945</v>
      </c>
      <c r="K14009" s="8" t="n">
        <f aca="false">Thesis!K58-base_fy-mid_yr-v_off</f>
        <v>5.24794520547945</v>
      </c>
      <c r="L14009" s="12" t="s">
        <v>1213</v>
      </c>
    </row>
    <row r="14010" customFormat="false" ht="15" hidden="false" customHeight="false" outlineLevel="0" collapsed="false">
      <c r="A14010" s="1" t="s">
        <v>1214</v>
      </c>
      <c r="B14010" s="1" t="s">
        <v>279</v>
      </c>
      <c r="F14010" s="8" t="n">
        <f aca="false">Thesis!F58-base_fy-v_off</f>
        <v>0.747945205479452</v>
      </c>
      <c r="G14010" s="8" t="n">
        <f aca="false">Thesis!G58-base_fy-v_off</f>
        <v>1.74794520547945</v>
      </c>
      <c r="H14010" s="8" t="n">
        <f aca="false">Thesis!H58-base_fy-v_off</f>
        <v>2.74794520547945</v>
      </c>
      <c r="I14010" s="8" t="n">
        <f aca="false">Thesis!I58-base_fy-v_off</f>
        <v>3.74794520547945</v>
      </c>
      <c r="J14010" s="8" t="n">
        <f aca="false">Thesis!J58-base_fy-v_off</f>
        <v>4.74794520547945</v>
      </c>
      <c r="K14010" s="8" t="n">
        <f aca="false">Thesis!K58-base_fy-v_off</f>
        <v>5.74794520547945</v>
      </c>
    </row>
    <row r="14011" customFormat="false" ht="15" hidden="false" customHeight="false" outlineLevel="0" collapsed="false">
      <c r="A14011" s="1" t="s">
        <v>1215</v>
      </c>
      <c r="B14011" s="0" t="s">
        <v>229</v>
      </c>
      <c r="F14011" s="15" t="n">
        <f aca="false">1/(1+(wacc+0.01))^Sens!F14009</f>
        <v>0.960774207300618</v>
      </c>
      <c r="G14011" s="15" t="n">
        <f aca="false">1/(1+(wacc+0.01))^Sens!G14009</f>
        <v>0.874998806269897</v>
      </c>
      <c r="H14011" s="15" t="n">
        <f aca="false">1/(1+(wacc+0.01))^Sens!H14009</f>
        <v>0.786207240725602</v>
      </c>
      <c r="I14011" s="15" t="n">
        <f aca="false">1/(1+(wacc+0.01))^Sens!I14009</f>
        <v>0.706425907029985</v>
      </c>
      <c r="J14011" s="15" t="n">
        <f aca="false">1/(1+(wacc+0.01))^Sens!J14009</f>
        <v>0.634740480973652</v>
      </c>
      <c r="K14011" s="15" t="n">
        <f aca="false">1/(1+(wacc+0.01))^Sens!K14009</f>
        <v>0.570329420505754</v>
      </c>
    </row>
    <row r="14012" customFormat="false" ht="17.15" hidden="false" customHeight="false" outlineLevel="0" collapsed="false">
      <c r="A14012" s="1" t="s">
        <v>1216</v>
      </c>
      <c r="B14012" s="0" t="s">
        <v>98</v>
      </c>
      <c r="F14012" s="6" t="n">
        <f aca="false">Q!$I$35-Q!$I$39-Q!$I$43</f>
        <v>9.666</v>
      </c>
      <c r="L14012" s="12" t="s">
        <v>1217</v>
      </c>
    </row>
    <row r="14013" customFormat="false" ht="17.15" hidden="false" customHeight="false" outlineLevel="0" collapsed="false">
      <c r="A14013" s="1" t="s">
        <v>1218</v>
      </c>
      <c r="B14013" s="0" t="s">
        <v>98</v>
      </c>
      <c r="F14013" s="6" t="n">
        <f aca="false">CF!F55-CF!F52-CF!F59+Thesis!F99*(1-tax_f)*(1-v_off)-Sens!F14012</f>
        <v>-3.35959137570949</v>
      </c>
      <c r="G14013" s="6" t="n">
        <f aca="false">CF!G55-CF!G52-CF!G59+Thesis!G99*(1-tax_f)</f>
        <v>29.8084555066036</v>
      </c>
      <c r="H14013" s="6" t="n">
        <f aca="false">CF!H55-CF!H52-CF!H59+Thesis!H99*(1-tax_f)</f>
        <v>79.3231801478051</v>
      </c>
      <c r="I14013" s="6" t="n">
        <f aca="false">CF!I55-CF!I52-CF!I59+Thesis!I99*(1-tax_f)</f>
        <v>157.29132812061</v>
      </c>
      <c r="J14013" s="6" t="n">
        <f aca="false">CF!J55-CF!J52-CF!J59+Thesis!J99*(1-tax_f)</f>
        <v>235.537601843622</v>
      </c>
      <c r="K14013" s="6" t="n">
        <f aca="false">CF!K55-CF!K52-CF!K59+Thesis!K99*(1-tax_f)</f>
        <v>273.705067207806</v>
      </c>
      <c r="L14013" s="1" t="s">
        <v>1219</v>
      </c>
    </row>
    <row r="14014" customFormat="false" ht="15" hidden="false" customHeight="false" outlineLevel="0" collapsed="false">
      <c r="A14014" s="1" t="s">
        <v>1220</v>
      </c>
      <c r="B14014" s="0" t="s">
        <v>98</v>
      </c>
      <c r="F14014" s="6" t="n">
        <f aca="false">Sens!F14013*Sens!F14011</f>
        <v>-3.22780874085128</v>
      </c>
      <c r="G14014" s="6" t="n">
        <f aca="false">Sens!G14013*Sens!G14011</f>
        <v>26.0823629850275</v>
      </c>
      <c r="H14014" s="6" t="n">
        <f aca="false">Sens!H14013*Sens!H14011</f>
        <v>62.3644585895857</v>
      </c>
      <c r="I14014" s="6" t="n">
        <f aca="false">Sens!I14013*Sens!I14011</f>
        <v>111.114669135553</v>
      </c>
      <c r="J14014" s="6" t="n">
        <f aca="false">Sens!J14013*Sens!J14011</f>
        <v>149.505250681601</v>
      </c>
      <c r="K14014" s="6" t="n">
        <f aca="false">Sens!K14013*Sens!K14011</f>
        <v>156.102052370116</v>
      </c>
    </row>
    <row r="14015" customFormat="false" ht="17.15" hidden="false" customHeight="false" outlineLevel="0" collapsed="false">
      <c r="A14015" s="1" t="s">
        <v>1221</v>
      </c>
      <c r="B14015" s="0" t="s">
        <v>98</v>
      </c>
      <c r="C14015" s="6" t="n">
        <f aca="false">SUM(Sens!F14014:K14014)</f>
        <v>501.940985021033</v>
      </c>
    </row>
    <row r="14016" customFormat="false" ht="17.15" hidden="false" customHeight="false" outlineLevel="0" collapsed="false">
      <c r="A14016" s="1" t="s">
        <v>1222</v>
      </c>
      <c r="B14016" s="0" t="s">
        <v>98</v>
      </c>
      <c r="C14016" s="6" t="n">
        <f aca="false">PL!K78*(1+g_tv)*(1-tax_f)</f>
        <v>284.979534119394</v>
      </c>
    </row>
    <row r="14017" customFormat="false" ht="17.15" hidden="false" customHeight="false" outlineLevel="0" collapsed="false">
      <c r="A14017" s="1" t="s">
        <v>1223</v>
      </c>
      <c r="B14017" s="0" t="s">
        <v>98</v>
      </c>
      <c r="C14017" s="6" t="n">
        <f aca="false">Sens!$C$14016*(1-g_tv/((wacc+0.01)+ronic_prem))</f>
        <v>209.278771842089</v>
      </c>
    </row>
    <row r="14018" customFormat="false" ht="17.15" hidden="false" customHeight="false" outlineLevel="0" collapsed="false">
      <c r="A14018" s="1" t="s">
        <v>1224</v>
      </c>
      <c r="B14018" s="0" t="s">
        <v>98</v>
      </c>
      <c r="C14018" s="6" t="n">
        <f aca="false">Sens!$C$14017/((wacc+0.01)-g_tv)</f>
        <v>2523.35874257681</v>
      </c>
    </row>
    <row r="14019" customFormat="false" ht="15" hidden="false" customHeight="false" outlineLevel="0" collapsed="false">
      <c r="A14019" s="1" t="s">
        <v>1225</v>
      </c>
      <c r="B14019" s="0" t="s">
        <v>98</v>
      </c>
      <c r="C14019" s="6" t="n">
        <f aca="false">Sens!$C$14018/(1+(wacc+0.01))^Sens!K14010</f>
        <v>1364.17335489649</v>
      </c>
    </row>
    <row r="14020" customFormat="false" ht="17.15" hidden="false" customHeight="false" outlineLevel="0" collapsed="false">
      <c r="A14020" s="0" t="s">
        <v>1226</v>
      </c>
      <c r="B14020" s="0" t="s">
        <v>98</v>
      </c>
      <c r="C14020" s="6" t="n">
        <f aca="false">Sens!$C$14015+Sens!$C$14019</f>
        <v>1866.11433991752</v>
      </c>
    </row>
    <row r="14021" customFormat="false" ht="15" hidden="false" customHeight="false" outlineLevel="0" collapsed="false">
      <c r="A14021" s="1" t="s">
        <v>1141</v>
      </c>
      <c r="B14021" s="0" t="s">
        <v>168</v>
      </c>
      <c r="C14021" s="7" t="n">
        <f aca="false">Sens!$C$14019/Sens!$C$14020</f>
        <v>0.731023456449503</v>
      </c>
    </row>
    <row r="14022" customFormat="false" ht="17.15" hidden="false" customHeight="false" outlineLevel="0" collapsed="false">
      <c r="A14022" s="1" t="s">
        <v>1227</v>
      </c>
      <c r="B14022" s="0" t="s">
        <v>98</v>
      </c>
      <c r="C14022" s="6" t="n">
        <f aca="false">Sens!$C$14020+cash_val-debt_val-fl_val+oai_v</f>
        <v>1981.96533991752</v>
      </c>
    </row>
    <row r="14023" customFormat="false" ht="17.15" hidden="false" customHeight="false" outlineLevel="0" collapsed="false">
      <c r="A14023" s="0" t="s">
        <v>1149</v>
      </c>
      <c r="B14023" s="0" t="s">
        <v>75</v>
      </c>
      <c r="C14023" s="5" t="n">
        <f aca="false">Sens!$C$14022/shd_val</f>
        <v>266.178530743691</v>
      </c>
    </row>
    <row r="14024" customFormat="false" ht="15" hidden="false" customHeight="false" outlineLevel="0" collapsed="false">
      <c r="A14024" s="1" t="s">
        <v>1228</v>
      </c>
      <c r="B14024" s="0" t="s">
        <v>75</v>
      </c>
      <c r="C14024" s="8" t="n">
        <f aca="false">div_rem27+CF!G63*roll_div_q/q_per_yr</f>
        <v>3.9795</v>
      </c>
    </row>
    <row r="14025" customFormat="false" ht="17.15" hidden="false" customHeight="false" outlineLevel="0" collapsed="false">
      <c r="A14025" s="0" t="s">
        <v>1229</v>
      </c>
      <c r="B14025" s="0" t="s">
        <v>75</v>
      </c>
      <c r="C14025" s="5" t="n">
        <f aca="false">Sens!$C$14023*(1+(wacc+0.01))^t_roll-Sens!$C$14024</f>
        <v>294.789556271304</v>
      </c>
    </row>
    <row r="14026" customFormat="false" ht="17.15" hidden="false" customHeight="false" outlineLevel="0" collapsed="false">
      <c r="A14026" s="1" t="s">
        <v>1230</v>
      </c>
      <c r="B14026" s="0" t="s">
        <v>168</v>
      </c>
      <c r="F14026" s="7" t="n">
        <f aca="false">CF!F49/(Seg!F56-Thesis!F77)</f>
        <v>0.0686195668908011</v>
      </c>
      <c r="G14026" s="7" t="n">
        <f aca="false">CF!G49/(Seg!G56-Thesis!G77)</f>
        <v>0.0658333569148391</v>
      </c>
      <c r="H14026" s="7" t="n">
        <f aca="false">CF!H49/(Seg!H56-Thesis!H77)</f>
        <v>0.0643895625218926</v>
      </c>
      <c r="I14026" s="7" t="n">
        <f aca="false">CF!I49/(Seg!I56-Thesis!I77)</f>
        <v>0.0641676618157989</v>
      </c>
      <c r="J14026" s="7" t="n">
        <f aca="false">CF!J49/(Seg!J56-Thesis!J77)</f>
        <v>0.0648858606572163</v>
      </c>
      <c r="K14026" s="7" t="n">
        <f aca="false">CF!K49/(Seg!K56-Thesis!K77)</f>
        <v>0.0661974425163768</v>
      </c>
    </row>
    <row r="14027" customFormat="false" ht="17.15" hidden="false" customHeight="false" outlineLevel="0" collapsed="false">
      <c r="A14027" s="0" t="s">
        <v>1231</v>
      </c>
      <c r="B14027" s="0" t="s">
        <v>98</v>
      </c>
      <c r="F14027" s="6" t="n">
        <f aca="false">Seg!F41*(al_m365+Sens!F14026+sbc_r)</f>
        <v>83.7205619248671</v>
      </c>
      <c r="G14027" s="6" t="n">
        <f aca="false">Seg!G41*(al_m365+Sens!G14026+sbc_r)</f>
        <v>96.1301303332381</v>
      </c>
      <c r="H14027" s="6" t="n">
        <f aca="false">Seg!H41*(al_m365+Sens!H14026+sbc_r)</f>
        <v>108.70354073822</v>
      </c>
      <c r="I14027" s="6" t="n">
        <f aca="false">Seg!I41*(al_m365+Sens!I14026+sbc_r)</f>
        <v>120.260101315626</v>
      </c>
      <c r="J14027" s="6" t="n">
        <f aca="false">Seg!J41*(al_m365+Sens!J14026+sbc_r)</f>
        <v>130.611904548619</v>
      </c>
      <c r="K14027" s="6" t="n">
        <f aca="false">Seg!K41*(al_m365+Sens!K14026+sbc_r)</f>
        <v>140.575094974638</v>
      </c>
      <c r="L14027" s="12" t="s">
        <v>1232</v>
      </c>
    </row>
    <row r="14028" customFormat="false" ht="17.15" hidden="false" customHeight="false" outlineLevel="0" collapsed="false">
      <c r="A14028" s="0" t="s">
        <v>1233</v>
      </c>
      <c r="B14028" s="0" t="s">
        <v>98</v>
      </c>
      <c r="F14028" s="6" t="n">
        <f aca="false">Seg!F42*(al_lic+Sens!F14026+sbc_r)</f>
        <v>32.8577657183496</v>
      </c>
      <c r="G14028" s="6" t="n">
        <f aca="false">Seg!G42*(al_lic+Sens!G14026+sbc_r)</f>
        <v>34.1376266324889</v>
      </c>
      <c r="H14028" s="6" t="n">
        <f aca="false">Seg!H42*(al_lic+Sens!H14026+sbc_r)</f>
        <v>35.3325744664128</v>
      </c>
      <c r="I14028" s="6" t="n">
        <f aca="false">Seg!I42*(al_lic+Sens!I14026+sbc_r)</f>
        <v>36.4244749008727</v>
      </c>
      <c r="J14028" s="6" t="n">
        <f aca="false">Seg!J42*(al_lic+Sens!J14026+sbc_r)</f>
        <v>37.3879406068527</v>
      </c>
      <c r="K14028" s="6" t="n">
        <f aca="false">Seg!K42*(al_lic+Sens!K14026+sbc_r)</f>
        <v>38.1943876078259</v>
      </c>
    </row>
    <row r="14029" customFormat="false" ht="17.15" hidden="false" customHeight="false" outlineLevel="0" collapsed="false">
      <c r="A14029" s="0" t="s">
        <v>1234</v>
      </c>
      <c r="B14029" s="0" t="s">
        <v>98</v>
      </c>
      <c r="F14029" s="6" t="n">
        <f aca="false">Seg!F44*(al_ind+Sens!F14026+sbc_r)</f>
        <v>9.06041701092022</v>
      </c>
      <c r="G14029" s="6" t="n">
        <f aca="false">Seg!G44*(al_ind+Sens!G14026+sbc_r)</f>
        <v>9.83619082712885</v>
      </c>
      <c r="H14029" s="6" t="n">
        <f aca="false">Seg!H44*(al_ind+Sens!H14026+sbc_r)</f>
        <v>10.6570160105312</v>
      </c>
      <c r="I14029" s="6" t="n">
        <f aca="false">Seg!I44*(al_ind+Sens!I14026+sbc_r)</f>
        <v>11.5198571637125</v>
      </c>
      <c r="J14029" s="6" t="n">
        <f aca="false">Seg!J44*(al_ind+Sens!J14026+sbc_r)</f>
        <v>12.4150086539206</v>
      </c>
      <c r="K14029" s="6" t="n">
        <f aca="false">Seg!K44*(al_ind+Sens!K14026+sbc_r)</f>
        <v>13.3273714589988</v>
      </c>
    </row>
    <row r="14030" customFormat="false" ht="17.15" hidden="false" customHeight="false" outlineLevel="0" collapsed="false">
      <c r="A14030" s="0" t="s">
        <v>1235</v>
      </c>
      <c r="B14030" s="0" t="s">
        <v>98</v>
      </c>
      <c r="F14030" s="6" t="n">
        <f aca="false">Seg!F46*(al_fro+Sens!F14026+sbc_r)</f>
        <v>3.55402950182022</v>
      </c>
      <c r="G14030" s="6" t="n">
        <f aca="false">Seg!G46*(al_fro+Sens!G14026+sbc_r)</f>
        <v>3.76361488926481</v>
      </c>
      <c r="H14030" s="6" t="n">
        <f aca="false">Seg!H46*(al_fro+Sens!H14026+sbc_r)</f>
        <v>4.00220968879544</v>
      </c>
      <c r="I14030" s="6" t="n">
        <f aca="false">Seg!I46*(al_fro+Sens!I14026+sbc_r)</f>
        <v>4.2725765173852</v>
      </c>
      <c r="J14030" s="6" t="n">
        <f aca="false">Seg!J46*(al_fro+Sens!J14026+sbc_r)</f>
        <v>4.57586224390293</v>
      </c>
      <c r="K14030" s="6" t="n">
        <f aca="false">Seg!K46*(al_fro+Sens!K14026+sbc_r)</f>
        <v>4.91213639633217</v>
      </c>
    </row>
    <row r="14031" customFormat="false" ht="17.15" hidden="false" customHeight="false" outlineLevel="0" collapsed="false">
      <c r="A14031" s="0" t="s">
        <v>1236</v>
      </c>
      <c r="B14031" s="0" t="s">
        <v>98</v>
      </c>
      <c r="F14031" s="6" t="n">
        <f aca="false">Seg!F49*(al_srch+Sens!F14026+sbc_r)</f>
        <v>11.1890902994147</v>
      </c>
      <c r="G14031" s="6" t="n">
        <f aca="false">Seg!G49*(al_srch+Sens!G14026+sbc_r)</f>
        <v>12.261738891803</v>
      </c>
      <c r="H14031" s="6" t="n">
        <f aca="false">Seg!H49*(al_srch+Sens!H14026+sbc_r)</f>
        <v>13.3794863429193</v>
      </c>
      <c r="I14031" s="6" t="n">
        <f aca="false">Seg!I49*(al_srch+Sens!I14026+sbc_r)</f>
        <v>14.5317114787784</v>
      </c>
      <c r="J14031" s="6" t="n">
        <f aca="false">Seg!J49*(al_srch+Sens!J14026+sbc_r)</f>
        <v>15.6984365817724</v>
      </c>
      <c r="K14031" s="6" t="n">
        <f aca="false">Seg!K49*(al_srch+Sens!K14026+sbc_r)</f>
        <v>16.8520942258664</v>
      </c>
    </row>
    <row r="14032" customFormat="false" ht="17.15" hidden="false" customHeight="false" outlineLevel="0" collapsed="false">
      <c r="A14032" s="0" t="s">
        <v>1237</v>
      </c>
      <c r="B14032" s="0" t="s">
        <v>98</v>
      </c>
      <c r="F14032" s="6" t="n">
        <f aca="false">Thesis!F83-Thesis!F84+Thesis!F99</f>
        <v>42.5431090240393</v>
      </c>
      <c r="G14032" s="6" t="n">
        <f aca="false">Thesis!G83-Thesis!G84+Thesis!G99</f>
        <v>81.4922561130847</v>
      </c>
      <c r="H14032" s="6" t="n">
        <f aca="false">Thesis!H83-Thesis!H84+Thesis!H99</f>
        <v>123.278266211349</v>
      </c>
      <c r="I14032" s="6" t="n">
        <f aca="false">Thesis!I83-Thesis!I84+Thesis!I99</f>
        <v>160.60594185192</v>
      </c>
      <c r="J14032" s="6" t="n">
        <f aca="false">Thesis!J83-Thesis!J84+Thesis!J99</f>
        <v>186.818741832633</v>
      </c>
      <c r="K14032" s="6" t="n">
        <f aca="false">Thesis!K83-Thesis!K84+Thesis!K99</f>
        <v>202.776422159652</v>
      </c>
    </row>
    <row r="14033" customFormat="false" ht="17.15" hidden="false" customHeight="false" outlineLevel="0" collapsed="false">
      <c r="A14033" s="0" t="s">
        <v>1238</v>
      </c>
      <c r="B14033" s="0" t="s">
        <v>98</v>
      </c>
      <c r="F14033" s="6" t="n">
        <f aca="false">PL!F71+Thesis!F99+Thesis!F95+Sens!F14026*(Seg!F48-Thesis!F77)+sbc_r*Seg!F48</f>
        <v>238.090727427296</v>
      </c>
      <c r="G14033" s="6" t="n">
        <f aca="false">PL!G71+Thesis!G99+Thesis!G95+Sens!G14026*(Seg!G48-Thesis!G77)+sbc_r*Seg!G48</f>
        <v>299.90836088563</v>
      </c>
      <c r="H14033" s="6" t="n">
        <f aca="false">PL!H71+Thesis!H99+Thesis!H95+Sens!H14026*(Seg!H48-Thesis!H77)+sbc_r*Seg!H48</f>
        <v>369.457709442386</v>
      </c>
      <c r="I14033" s="6" t="n">
        <f aca="false">PL!I71+Thesis!I99+Thesis!I95+Sens!I14026*(Seg!I48-Thesis!I77)+sbc_r*Seg!I48</f>
        <v>433.16585128823</v>
      </c>
      <c r="J14033" s="6" t="n">
        <f aca="false">PL!J71+Thesis!J99+Thesis!J95+Sens!J14026*(Seg!J48-Thesis!J77)+sbc_r*Seg!J48</f>
        <v>483.301303131191</v>
      </c>
      <c r="K14033" s="6" t="n">
        <f aca="false">PL!K71+Thesis!K99+Thesis!K95+Sens!K14026*(Seg!K48-Thesis!K77)+sbc_r*Seg!K48</f>
        <v>520.789002205336</v>
      </c>
    </row>
    <row r="14034" customFormat="false" ht="17.15" hidden="false" customHeight="false" outlineLevel="0" collapsed="false">
      <c r="A14034" s="0" t="s">
        <v>1239</v>
      </c>
      <c r="B14034" s="0" t="s">
        <v>98</v>
      </c>
      <c r="F14034" s="6" t="n">
        <f aca="false">Sens!F14033-Sens!F14027-Sens!F14028-Sens!F14029-Sens!F14030-Sens!F14032</f>
        <v>66.3548442472996</v>
      </c>
      <c r="G14034" s="6" t="n">
        <f aca="false">Sens!G14033-Sens!G14027-Sens!G14028-Sens!G14029-Sens!G14030-Sens!G14032</f>
        <v>74.548542090425</v>
      </c>
      <c r="H14034" s="6" t="n">
        <f aca="false">Sens!H14033-Sens!H14027-Sens!H14028-Sens!H14029-Sens!H14030-Sens!H14032</f>
        <v>87.4841023270775</v>
      </c>
      <c r="I14034" s="6" t="n">
        <f aca="false">Sens!I14033-Sens!I14027-Sens!I14028-Sens!I14029-Sens!I14030-Sens!I14032</f>
        <v>100.082899538713</v>
      </c>
      <c r="J14034" s="6" t="n">
        <f aca="false">Sens!J14033-Sens!J14027-Sens!J14028-Sens!J14029-Sens!J14030-Sens!J14032</f>
        <v>111.491845245262</v>
      </c>
      <c r="K14034" s="6" t="n">
        <f aca="false">Sens!K14033-Sens!K14027-Sens!K14028-Sens!K14029-Sens!K14030-Sens!K14032</f>
        <v>121.003589607889</v>
      </c>
    </row>
    <row r="14035" customFormat="false" ht="17.15" hidden="false" customHeight="false" outlineLevel="0" collapsed="false">
      <c r="A14035" s="0" t="s">
        <v>1240</v>
      </c>
      <c r="B14035" s="0" t="s">
        <v>98</v>
      </c>
      <c r="F14035" s="6" t="n">
        <f aca="false">PL!F73+Sens!F14026*Seg!F55+sbc_r*Seg!F55</f>
        <v>26.6336365855879</v>
      </c>
      <c r="G14035" s="6" t="n">
        <f aca="false">PL!G73+Sens!G14026*Seg!G55+sbc_r*Seg!G55</f>
        <v>26.4720859498625</v>
      </c>
      <c r="H14035" s="6" t="n">
        <f aca="false">PL!H73+Sens!H14026*Seg!H55+sbc_r*Seg!H55</f>
        <v>27.346793021284</v>
      </c>
      <c r="I14035" s="6" t="n">
        <f aca="false">PL!I73+Sens!I14026*Seg!I55+sbc_r*Seg!I55</f>
        <v>28.4574657863154</v>
      </c>
      <c r="J14035" s="6" t="n">
        <f aca="false">PL!J73+Sens!J14026*Seg!J55+sbc_r*Seg!J55</f>
        <v>29.7689890546037</v>
      </c>
      <c r="K14035" s="6" t="n">
        <f aca="false">PL!K73+Sens!K14026*Seg!K55+sbc_r*Seg!K55</f>
        <v>31.2443947307494</v>
      </c>
    </row>
    <row r="14036" customFormat="false" ht="17.15" hidden="false" customHeight="false" outlineLevel="0" collapsed="false">
      <c r="A14036" s="0" t="s">
        <v>1241</v>
      </c>
      <c r="B14036" s="0" t="s">
        <v>98</v>
      </c>
      <c r="F14036" s="6" t="n">
        <f aca="false">(Sens!F14035-Sens!F14031)*Seg!F51/(Seg!F51+Seg!F53)</f>
        <v>8.72285608232241</v>
      </c>
      <c r="G14036" s="6" t="n">
        <f aca="false">(Sens!G14035-Sens!G14031)*Seg!G51/(Seg!G51+Seg!G53)</f>
        <v>7.88786455444355</v>
      </c>
      <c r="H14036" s="6" t="n">
        <f aca="false">(Sens!H14035-Sens!H14031)*Seg!H51/(Seg!H51+Seg!H53)</f>
        <v>7.65195986819674</v>
      </c>
      <c r="I14036" s="6" t="n">
        <f aca="false">(Sens!I14035-Sens!I14031)*Seg!I51/(Seg!I51+Seg!I53)</f>
        <v>7.56260440676676</v>
      </c>
      <c r="J14036" s="6" t="n">
        <f aca="false">(Sens!J14035-Sens!J14031)*Seg!J51/(Seg!J51+Seg!J53)</f>
        <v>7.60790100885945</v>
      </c>
      <c r="K14036" s="6" t="n">
        <f aca="false">(Sens!K14035-Sens!K14031)*Seg!K51/(Seg!K51+Seg!K53)</f>
        <v>7.78186910160995</v>
      </c>
    </row>
    <row r="14037" customFormat="false" ht="17.15" hidden="false" customHeight="false" outlineLevel="0" collapsed="false">
      <c r="A14037" s="0" t="s">
        <v>1242</v>
      </c>
      <c r="B14037" s="0" t="s">
        <v>98</v>
      </c>
      <c r="F14037" s="6" t="n">
        <f aca="false">Sens!F14035-Sens!F14031-Sens!F14036</f>
        <v>6.72169020385088</v>
      </c>
      <c r="G14037" s="6" t="n">
        <f aca="false">Sens!G14035-Sens!G14031-Sens!G14036</f>
        <v>6.322482503616</v>
      </c>
      <c r="H14037" s="6" t="n">
        <f aca="false">Sens!H14035-Sens!H14031-Sens!H14036</f>
        <v>6.315346810168</v>
      </c>
      <c r="I14037" s="6" t="n">
        <f aca="false">Sens!I14035-Sens!I14031-Sens!I14036</f>
        <v>6.36314990077033</v>
      </c>
      <c r="J14037" s="6" t="n">
        <f aca="false">Sens!J14035-Sens!J14031-Sens!J14036</f>
        <v>6.46265146397189</v>
      </c>
      <c r="K14037" s="6" t="n">
        <f aca="false">Sens!K14035-Sens!K14031-Sens!K14036</f>
        <v>6.61043140327304</v>
      </c>
    </row>
    <row r="14038" customFormat="false" ht="17.15" hidden="false" customHeight="false" outlineLevel="0" collapsed="false">
      <c r="A14038" s="0" t="s">
        <v>1243</v>
      </c>
      <c r="B14038" s="0" t="s">
        <v>98</v>
      </c>
      <c r="F14038" s="6" t="n">
        <f aca="false">Sens!F14032-tax_f*(Sens!F14032-Thesis!F95)-Thesis!F92</f>
        <v>-127.503553927218</v>
      </c>
      <c r="G14038" s="6" t="n">
        <f aca="false">Sens!G14032-tax_f*(Sens!G14032-Thesis!G95)-Thesis!G92</f>
        <v>-114.603772628121</v>
      </c>
      <c r="H14038" s="6" t="n">
        <f aca="false">Sens!H14032-tax_f*(Sens!H14032-Thesis!H95)-Thesis!H92</f>
        <v>-80.3633729631438</v>
      </c>
      <c r="I14038" s="6" t="n">
        <f aca="false">Sens!I14032-tax_f*(Sens!I14032-Thesis!I95)-Thesis!I92</f>
        <v>-17.2838782011649</v>
      </c>
      <c r="J14038" s="6" t="n">
        <f aca="false">Sens!J14032-tax_f*(Sens!J14032-Thesis!J95)-Thesis!J92</f>
        <v>46.9281968800854</v>
      </c>
      <c r="K14038" s="6" t="n">
        <f aca="false">Sens!K14032-tax_f*(Sens!K14032-Thesis!K95)-Thesis!K92</f>
        <v>71.8608185731755</v>
      </c>
    </row>
    <row r="14039" customFormat="false" ht="17.15" hidden="false" customHeight="false" outlineLevel="0" collapsed="false">
      <c r="A14039" s="0" t="s">
        <v>1244</v>
      </c>
      <c r="B14039" s="0" t="s">
        <v>98</v>
      </c>
      <c r="G14039" s="6" t="n">
        <f aca="false">Sens!G14038/(1+(wacc+0.01))^(Sens!G14009-Sens!F14010)</f>
        <v>-108.633482904499</v>
      </c>
      <c r="H14039" s="6" t="n">
        <f aca="false">Sens!H14038/(1+(wacc+0.01))^(Sens!H14009-Sens!F14010)</f>
        <v>-68.4467015720228</v>
      </c>
      <c r="I14039" s="6" t="n">
        <f aca="false">Sens!I14038/(1+(wacc+0.01))^(Sens!I14009-Sens!F14010)</f>
        <v>-13.2271154412184</v>
      </c>
      <c r="J14039" s="6" t="n">
        <f aca="false">Sens!J14038/(1+(wacc+0.01))^(Sens!J14009-Sens!F14010)</f>
        <v>32.2691401360913</v>
      </c>
      <c r="K14039" s="6" t="n">
        <f aca="false">Sens!K14038/(1+(wacc+0.01))^(Sens!K14009-Sens!F14010)</f>
        <v>44.3992121834473</v>
      </c>
      <c r="L14039" s="1" t="s">
        <v>1245</v>
      </c>
    </row>
    <row r="14040" customFormat="false" ht="17.15" hidden="false" customHeight="false" outlineLevel="0" collapsed="false">
      <c r="A14040" s="0" t="s">
        <v>1246</v>
      </c>
      <c r="B14040" s="0" t="s">
        <v>98</v>
      </c>
      <c r="C14040" s="6" t="n">
        <f aca="false">(Sens!K14032-Thesis!K95)*(1-tax_f)*(1+g_tv)*(1-g_tv/((wacc+0.01)+ronic_prem))/((wacc+0.01)-g_tv)/(1+(wacc+0.01))^(Sens!K14010-Sens!F14010)</f>
        <v>255.37494746414</v>
      </c>
    </row>
    <row r="14041" customFormat="false" ht="17.15" hidden="false" customHeight="false" outlineLevel="0" collapsed="false">
      <c r="A14041" s="1" t="s">
        <v>1247</v>
      </c>
      <c r="B14041" s="0" t="s">
        <v>98</v>
      </c>
      <c r="C14041" s="6" t="n">
        <f aca="false">(SUM(Sens!G14039:K14039)+Sens!$C$14040)*(1+(wacc+0.01))^(t_roll-Sens!F14010)</f>
        <v>146.853883138457</v>
      </c>
      <c r="L14041" s="12" t="s">
        <v>1248</v>
      </c>
    </row>
    <row r="14042" customFormat="false" ht="17.15" hidden="false" customHeight="false" outlineLevel="0" collapsed="false">
      <c r="A14042" s="1" t="s">
        <v>1249</v>
      </c>
      <c r="B14042" s="0" t="s">
        <v>98</v>
      </c>
      <c r="C14042" s="6" t="n">
        <f aca="false">(w_ntm28*Thesis!G83+(1-w_ntm28)*Thesis!H83)*m_ai</f>
        <v>463.789109510335</v>
      </c>
    </row>
    <row r="14043" customFormat="false" ht="17.15" hidden="false" customHeight="false" outlineLevel="0" collapsed="false">
      <c r="A14043" s="1" t="s">
        <v>1250</v>
      </c>
      <c r="B14043" s="0" t="s">
        <v>98</v>
      </c>
      <c r="C14043" s="6" t="n">
        <f aca="false">(w_ntm28*Sens!G14034+(1-w_ntm28)*Sens!H14034)*m_cloud</f>
        <v>1089.03436702245</v>
      </c>
    </row>
    <row r="14044" customFormat="false" ht="17.15" hidden="false" customHeight="false" outlineLevel="0" collapsed="false">
      <c r="A14044" s="1" t="s">
        <v>1251</v>
      </c>
      <c r="B14044" s="0" t="s">
        <v>98</v>
      </c>
      <c r="C14044" s="6" t="n">
        <f aca="false">(w_ntm28*Sens!G14027+(1-w_ntm28)*Sens!H14027)*m_sw</f>
        <v>1082.84962646159</v>
      </c>
    </row>
    <row r="14045" customFormat="false" ht="17.15" hidden="false" customHeight="false" outlineLevel="0" collapsed="false">
      <c r="A14045" s="1" t="s">
        <v>1252</v>
      </c>
      <c r="B14045" s="0" t="s">
        <v>98</v>
      </c>
      <c r="C14045" s="6" t="n">
        <f aca="false">(w_ntm28*Sens!G14028+(1-w_ntm28)*Sens!H14028)*m_sw</f>
        <v>372.929250898731</v>
      </c>
    </row>
    <row r="14046" customFormat="false" ht="17.15" hidden="false" customHeight="false" outlineLevel="0" collapsed="false">
      <c r="A14046" s="1" t="s">
        <v>1253</v>
      </c>
      <c r="B14046" s="0" t="s">
        <v>98</v>
      </c>
      <c r="C14046" s="6" t="n">
        <f aca="false">(w_ntm28*Sens!G14029+(1-w_ntm28)*Sens!H14029)*m_sw</f>
        <v>109.1453525431</v>
      </c>
    </row>
    <row r="14047" customFormat="false" ht="17.15" hidden="false" customHeight="false" outlineLevel="0" collapsed="false">
      <c r="A14047" s="1" t="s">
        <v>1254</v>
      </c>
      <c r="B14047" s="0" t="s">
        <v>98</v>
      </c>
      <c r="C14047" s="6" t="n">
        <f aca="false">(w_ntm28*Sens!G14030+(1-w_ntm28)*Sens!H14030)*m_sw</f>
        <v>41.4942157634893</v>
      </c>
    </row>
    <row r="14048" customFormat="false" ht="17.15" hidden="false" customHeight="false" outlineLevel="0" collapsed="false">
      <c r="A14048" s="1" t="s">
        <v>1255</v>
      </c>
      <c r="B14048" s="0" t="s">
        <v>98</v>
      </c>
      <c r="C14048" s="6" t="n">
        <f aca="false">(w_ntm28*Sens!G14031+(1-w_ntm28)*Sens!H14031)*m_ads</f>
        <v>115.052171478463</v>
      </c>
    </row>
    <row r="14049" customFormat="false" ht="17.15" hidden="false" customHeight="false" outlineLevel="0" collapsed="false">
      <c r="A14049" s="1" t="s">
        <v>1256</v>
      </c>
      <c r="B14049" s="0" t="s">
        <v>98</v>
      </c>
      <c r="C14049" s="6" t="n">
        <f aca="false">(w_ntm28*Sens!G14036+(1-w_ntm28)*Sens!H14036)*m_game</f>
        <v>98.6441755076202</v>
      </c>
    </row>
    <row r="14050" customFormat="false" ht="17.15" hidden="false" customHeight="false" outlineLevel="0" collapsed="false">
      <c r="A14050" s="1" t="s">
        <v>1257</v>
      </c>
      <c r="B14050" s="0" t="s">
        <v>98</v>
      </c>
      <c r="C14050" s="6" t="n">
        <f aca="false">(w_ntm28*Sens!G14037+(1-w_ntm28)*Sens!H14037)*m_pc</f>
        <v>91.4523754763561</v>
      </c>
    </row>
    <row r="14051" customFormat="false" ht="17.15" hidden="false" customHeight="false" outlineLevel="0" collapsed="false">
      <c r="A14051" s="1" t="s">
        <v>1258</v>
      </c>
      <c r="B14051" s="0" t="s">
        <v>98</v>
      </c>
      <c r="C14051" s="6" t="n">
        <f aca="false">Sens!$C$14041+Sens!$C$14043+Sens!$C$14044+Sens!$C$14045+Sens!$C$14046+Sens!$C$14047+Sens!$C$14048+Sens!$C$14049+Sens!$C$14050</f>
        <v>3147.45541829026</v>
      </c>
    </row>
    <row r="14052" customFormat="false" ht="17.15" hidden="false" customHeight="false" outlineLevel="0" collapsed="false">
      <c r="A14052" s="1" t="s">
        <v>1259</v>
      </c>
      <c r="B14052" s="0" t="s">
        <v>98</v>
      </c>
      <c r="C14052" s="6" t="n">
        <f aca="false">(Sens!G14013-Sens!G14038)*t_stub</f>
        <v>47.8736427515113</v>
      </c>
      <c r="L14052" s="1" t="s">
        <v>1260</v>
      </c>
    </row>
    <row r="14053" customFormat="false" ht="17.15" hidden="false" customHeight="false" outlineLevel="0" collapsed="false">
      <c r="A14053" s="1" t="s">
        <v>1169</v>
      </c>
      <c r="B14053" s="0" t="s">
        <v>98</v>
      </c>
      <c r="C14053" s="6" t="n">
        <f aca="false">CF!F71+oai_v-CF!F60+Sens!$C$14052</f>
        <v>162.101912751511</v>
      </c>
      <c r="L14053" s="1" t="s">
        <v>1261</v>
      </c>
    </row>
    <row r="14054" customFormat="false" ht="17.15" hidden="false" customHeight="false" outlineLevel="0" collapsed="false">
      <c r="A14054" s="1" t="s">
        <v>1262</v>
      </c>
      <c r="B14054" s="0" t="s">
        <v>75</v>
      </c>
      <c r="C14054" s="5" t="n">
        <f aca="false">(Sens!$C$14051+Sens!$C$14053)/(CF!F73+dil_gap)-CF!G63*roll_div_q/q_per_yr</f>
        <v>440.499191712135</v>
      </c>
      <c r="L14054" s="1" t="s">
        <v>1263</v>
      </c>
    </row>
    <row r="14055" customFormat="false" ht="17.15" hidden="false" customHeight="false" outlineLevel="0" collapsed="false">
      <c r="A14055" s="1" t="s">
        <v>1264</v>
      </c>
      <c r="B14055" s="0" t="s">
        <v>75</v>
      </c>
      <c r="C14055" s="5" t="n">
        <f aca="false">w_dcf*Sens!$C$14025+(1-w_dcf)*Sens!$C$14054</f>
        <v>367.64437399172</v>
      </c>
    </row>
    <row r="14056" customFormat="false" ht="17.15" hidden="false" customHeight="false" outlineLevel="0" collapsed="false">
      <c r="A14056" s="3" t="s">
        <v>1830</v>
      </c>
    </row>
    <row r="14057" customFormat="false" ht="15" hidden="false" customHeight="false" outlineLevel="0" collapsed="false">
      <c r="A14057" s="4" t="s">
        <v>43</v>
      </c>
      <c r="B14057" s="4" t="s">
        <v>65</v>
      </c>
      <c r="C14057" s="23" t="s">
        <v>938</v>
      </c>
      <c r="D14057" s="23" t="s">
        <v>939</v>
      </c>
      <c r="E14057" s="23" t="s">
        <v>940</v>
      </c>
      <c r="F14057" s="23" t="s">
        <v>941</v>
      </c>
      <c r="G14057" s="23" t="s">
        <v>942</v>
      </c>
      <c r="H14057" s="23" t="s">
        <v>943</v>
      </c>
      <c r="I14057" s="23" t="s">
        <v>944</v>
      </c>
      <c r="J14057" s="23" t="s">
        <v>945</v>
      </c>
      <c r="K14057" s="23" t="s">
        <v>946</v>
      </c>
      <c r="L14057" s="4" t="s">
        <v>47</v>
      </c>
    </row>
    <row r="14058" customFormat="false" ht="17.15" hidden="false" customHeight="false" outlineLevel="0" collapsed="false">
      <c r="A14058" s="1" t="s">
        <v>1212</v>
      </c>
      <c r="B14058" s="1" t="s">
        <v>279</v>
      </c>
      <c r="F14058" s="8" t="n">
        <f aca="false">(1-v_off)*mid_yr</f>
        <v>0.373972602739726</v>
      </c>
      <c r="G14058" s="8" t="n">
        <f aca="false">Thesis!G110-base_fy-mid_yr-v_off</f>
        <v>1.24794520547945</v>
      </c>
      <c r="H14058" s="8" t="n">
        <f aca="false">Thesis!H110-base_fy-mid_yr-v_off</f>
        <v>2.24794520547945</v>
      </c>
      <c r="I14058" s="8" t="n">
        <f aca="false">Thesis!I110-base_fy-mid_yr-v_off</f>
        <v>3.24794520547945</v>
      </c>
      <c r="J14058" s="8" t="n">
        <f aca="false">Thesis!J110-base_fy-mid_yr-v_off</f>
        <v>4.24794520547945</v>
      </c>
      <c r="K14058" s="8" t="n">
        <f aca="false">Thesis!K110-base_fy-mid_yr-v_off</f>
        <v>5.24794520547945</v>
      </c>
      <c r="L14058" s="12" t="s">
        <v>1213</v>
      </c>
    </row>
    <row r="14059" customFormat="false" ht="15" hidden="false" customHeight="false" outlineLevel="0" collapsed="false">
      <c r="A14059" s="1" t="s">
        <v>1214</v>
      </c>
      <c r="B14059" s="1" t="s">
        <v>279</v>
      </c>
      <c r="F14059" s="8" t="n">
        <f aca="false">Thesis!F110-base_fy-v_off</f>
        <v>0.747945205479452</v>
      </c>
      <c r="G14059" s="8" t="n">
        <f aca="false">Thesis!G110-base_fy-v_off</f>
        <v>1.74794520547945</v>
      </c>
      <c r="H14059" s="8" t="n">
        <f aca="false">Thesis!H110-base_fy-v_off</f>
        <v>2.74794520547945</v>
      </c>
      <c r="I14059" s="8" t="n">
        <f aca="false">Thesis!I110-base_fy-v_off</f>
        <v>3.74794520547945</v>
      </c>
      <c r="J14059" s="8" t="n">
        <f aca="false">Thesis!J110-base_fy-v_off</f>
        <v>4.74794520547945</v>
      </c>
      <c r="K14059" s="8" t="n">
        <f aca="false">Thesis!K110-base_fy-v_off</f>
        <v>5.74794520547945</v>
      </c>
    </row>
    <row r="14060" customFormat="false" ht="15" hidden="false" customHeight="false" outlineLevel="0" collapsed="false">
      <c r="A14060" s="1" t="s">
        <v>1215</v>
      </c>
      <c r="B14060" s="0" t="s">
        <v>229</v>
      </c>
      <c r="F14060" s="15" t="n">
        <f aca="false">1/(1+(wacc+0.01))^Sens!F14058</f>
        <v>0.960774207300618</v>
      </c>
      <c r="G14060" s="15" t="n">
        <f aca="false">1/(1+(wacc+0.01))^Sens!G14058</f>
        <v>0.874998806269897</v>
      </c>
      <c r="H14060" s="15" t="n">
        <f aca="false">1/(1+(wacc+0.01))^Sens!H14058</f>
        <v>0.786207240725602</v>
      </c>
      <c r="I14060" s="15" t="n">
        <f aca="false">1/(1+(wacc+0.01))^Sens!I14058</f>
        <v>0.706425907029985</v>
      </c>
      <c r="J14060" s="15" t="n">
        <f aca="false">1/(1+(wacc+0.01))^Sens!J14058</f>
        <v>0.634740480973652</v>
      </c>
      <c r="K14060" s="15" t="n">
        <f aca="false">1/(1+(wacc+0.01))^Sens!K14058</f>
        <v>0.570329420505754</v>
      </c>
    </row>
    <row r="14061" customFormat="false" ht="17.15" hidden="false" customHeight="false" outlineLevel="0" collapsed="false">
      <c r="A14061" s="1" t="s">
        <v>1216</v>
      </c>
      <c r="B14061" s="0" t="s">
        <v>98</v>
      </c>
      <c r="F14061" s="6" t="n">
        <f aca="false">Q!$I$35-Q!$I$39-Q!$I$43</f>
        <v>9.666</v>
      </c>
      <c r="L14061" s="12" t="s">
        <v>1217</v>
      </c>
    </row>
    <row r="14062" customFormat="false" ht="17.15" hidden="false" customHeight="false" outlineLevel="0" collapsed="false">
      <c r="A14062" s="1" t="s">
        <v>1218</v>
      </c>
      <c r="B14062" s="0" t="s">
        <v>98</v>
      </c>
      <c r="F14062" s="6" t="n">
        <f aca="false">CF!F87-CF!F84-CF!F91+Thesis!F151*(1-tax_f)*(1-v_off)-Sens!F14061</f>
        <v>-6.10282680452259</v>
      </c>
      <c r="G14062" s="6" t="n">
        <f aca="false">CF!G87-CF!G84-CF!G91+Thesis!G151*(1-tax_f)</f>
        <v>19.0084129023516</v>
      </c>
      <c r="H14062" s="6" t="n">
        <f aca="false">CF!H87-CF!H84-CF!H91+Thesis!H151*(1-tax_f)</f>
        <v>55.9229468383331</v>
      </c>
      <c r="I14062" s="6" t="n">
        <f aca="false">CF!I87-CF!I84-CF!I91+Thesis!I151*(1-tax_f)</f>
        <v>127.901908576191</v>
      </c>
      <c r="J14062" s="6" t="n">
        <f aca="false">CF!J87-CF!J84-CF!J91+Thesis!J151*(1-tax_f)</f>
        <v>201.958443859638</v>
      </c>
      <c r="K14062" s="6" t="n">
        <f aca="false">CF!K87-CF!K84-CF!K91+Thesis!K151*(1-tax_f)</f>
        <v>237.542519059905</v>
      </c>
      <c r="L14062" s="1" t="s">
        <v>1219</v>
      </c>
    </row>
    <row r="14063" customFormat="false" ht="15" hidden="false" customHeight="false" outlineLevel="0" collapsed="false">
      <c r="A14063" s="1" t="s">
        <v>1220</v>
      </c>
      <c r="B14063" s="0" t="s">
        <v>98</v>
      </c>
      <c r="F14063" s="6" t="n">
        <f aca="false">Sens!F14062*Sens!F14060</f>
        <v>-5.86343858540815</v>
      </c>
      <c r="G14063" s="6" t="n">
        <f aca="false">Sens!G14062*Sens!G14060</f>
        <v>16.632338598643</v>
      </c>
      <c r="H14063" s="6" t="n">
        <f aca="false">Sens!H14062*Sens!H14060</f>
        <v>43.9670257270104</v>
      </c>
      <c r="I14063" s="6" t="n">
        <f aca="false">Sens!I14062*Sens!I14060</f>
        <v>90.3532217768018</v>
      </c>
      <c r="J14063" s="6" t="n">
        <f aca="false">Sens!J14062*Sens!J14060</f>
        <v>128.191199792157</v>
      </c>
      <c r="K14063" s="6" t="n">
        <f aca="false">Sens!K14062*Sens!K14060</f>
        <v>135.477487240913</v>
      </c>
    </row>
    <row r="14064" customFormat="false" ht="17.15" hidden="false" customHeight="false" outlineLevel="0" collapsed="false">
      <c r="A14064" s="1" t="s">
        <v>1221</v>
      </c>
      <c r="B14064" s="0" t="s">
        <v>98</v>
      </c>
      <c r="C14064" s="6" t="n">
        <f aca="false">SUM(Sens!F14063:K14063)</f>
        <v>408.757834550117</v>
      </c>
    </row>
    <row r="14065" customFormat="false" ht="17.15" hidden="false" customHeight="false" outlineLevel="0" collapsed="false">
      <c r="A14065" s="1" t="s">
        <v>1222</v>
      </c>
      <c r="B14065" s="0" t="s">
        <v>98</v>
      </c>
      <c r="C14065" s="6" t="n">
        <f aca="false">PL!K117*(1+g_tv)*(1-tax_f)</f>
        <v>247.098906713682</v>
      </c>
    </row>
    <row r="14066" customFormat="false" ht="17.15" hidden="false" customHeight="false" outlineLevel="0" collapsed="false">
      <c r="A14066" s="1" t="s">
        <v>1223</v>
      </c>
      <c r="B14066" s="0" t="s">
        <v>98</v>
      </c>
      <c r="C14066" s="6" t="n">
        <f aca="false">Sens!$C$14065*(1-g_tv/((wacc+0.01)+ronic_prem))</f>
        <v>181.460594636586</v>
      </c>
    </row>
    <row r="14067" customFormat="false" ht="17.15" hidden="false" customHeight="false" outlineLevel="0" collapsed="false">
      <c r="A14067" s="1" t="s">
        <v>1224</v>
      </c>
      <c r="B14067" s="0" t="s">
        <v>98</v>
      </c>
      <c r="C14067" s="6" t="n">
        <f aca="false">Sens!$C$14066/((wacc+0.01)-g_tv)</f>
        <v>2187.9437359032</v>
      </c>
    </row>
    <row r="14068" customFormat="false" ht="15" hidden="false" customHeight="false" outlineLevel="0" collapsed="false">
      <c r="A14068" s="1" t="s">
        <v>1225</v>
      </c>
      <c r="B14068" s="0" t="s">
        <v>98</v>
      </c>
      <c r="C14068" s="6" t="n">
        <f aca="false">Sens!$C$14067/(1+(wacc+0.01))^Sens!K14059</f>
        <v>1182.8419384728</v>
      </c>
    </row>
    <row r="14069" customFormat="false" ht="17.15" hidden="false" customHeight="false" outlineLevel="0" collapsed="false">
      <c r="A14069" s="0" t="s">
        <v>1226</v>
      </c>
      <c r="B14069" s="0" t="s">
        <v>98</v>
      </c>
      <c r="C14069" s="6" t="n">
        <f aca="false">Sens!$C$14064+Sens!$C$14068</f>
        <v>1591.59977302291</v>
      </c>
    </row>
    <row r="14070" customFormat="false" ht="15" hidden="false" customHeight="false" outlineLevel="0" collapsed="false">
      <c r="A14070" s="1" t="s">
        <v>1141</v>
      </c>
      <c r="B14070" s="0" t="s">
        <v>168</v>
      </c>
      <c r="C14070" s="7" t="n">
        <f aca="false">Sens!$C$14068/Sens!$C$14069</f>
        <v>0.743178001481009</v>
      </c>
    </row>
    <row r="14071" customFormat="false" ht="17.15" hidden="false" customHeight="false" outlineLevel="0" collapsed="false">
      <c r="A14071" s="1" t="s">
        <v>1227</v>
      </c>
      <c r="B14071" s="0" t="s">
        <v>98</v>
      </c>
      <c r="C14071" s="6" t="n">
        <f aca="false">Sens!$C$14069+cash_val-debt_val-fl_val+oai_v</f>
        <v>1707.45077302291</v>
      </c>
    </row>
    <row r="14072" customFormat="false" ht="17.15" hidden="false" customHeight="false" outlineLevel="0" collapsed="false">
      <c r="A14072" s="0" t="s">
        <v>1149</v>
      </c>
      <c r="B14072" s="0" t="s">
        <v>75</v>
      </c>
      <c r="C14072" s="5" t="n">
        <f aca="false">Sens!$C$14071/shd_val</f>
        <v>229.311143301493</v>
      </c>
    </row>
    <row r="14073" customFormat="false" ht="15" hidden="false" customHeight="false" outlineLevel="0" collapsed="false">
      <c r="A14073" s="1" t="s">
        <v>1228</v>
      </c>
      <c r="B14073" s="0" t="s">
        <v>75</v>
      </c>
      <c r="C14073" s="8" t="n">
        <f aca="false">div_rem27+CF!G95*roll_div_q/q_per_yr</f>
        <v>3.9795</v>
      </c>
    </row>
    <row r="14074" customFormat="false" ht="17.15" hidden="false" customHeight="false" outlineLevel="0" collapsed="false">
      <c r="A14074" s="0" t="s">
        <v>1229</v>
      </c>
      <c r="B14074" s="0" t="s">
        <v>75</v>
      </c>
      <c r="C14074" s="5" t="n">
        <f aca="false">Sens!$C$14072*(1+(wacc+0.01))^t_roll-Sens!$C$14073</f>
        <v>253.408177681081</v>
      </c>
    </row>
    <row r="14075" customFormat="false" ht="17.15" hidden="false" customHeight="false" outlineLevel="0" collapsed="false">
      <c r="A14075" s="1" t="s">
        <v>1230</v>
      </c>
      <c r="B14075" s="0" t="s">
        <v>168</v>
      </c>
      <c r="F14075" s="7" t="n">
        <f aca="false">CF!F81/(Seg!F83-Thesis!F129)</f>
        <v>0.068677393452264</v>
      </c>
      <c r="G14075" s="7" t="n">
        <f aca="false">CF!G81/(Seg!G83-Thesis!G129)</f>
        <v>0.0663132664471956</v>
      </c>
      <c r="H14075" s="7" t="n">
        <f aca="false">CF!H81/(Seg!H83-Thesis!H129)</f>
        <v>0.0651363826734039</v>
      </c>
      <c r="I14075" s="7" t="n">
        <f aca="false">CF!I81/(Seg!I83-Thesis!I129)</f>
        <v>0.0650087936347709</v>
      </c>
      <c r="J14075" s="7" t="n">
        <f aca="false">CF!J81/(Seg!J83-Thesis!J129)</f>
        <v>0.0657212684841778</v>
      </c>
      <c r="K14075" s="7" t="n">
        <f aca="false">CF!K81/(Seg!K83-Thesis!K129)</f>
        <v>0.0670413306015285</v>
      </c>
    </row>
    <row r="14076" customFormat="false" ht="17.15" hidden="false" customHeight="false" outlineLevel="0" collapsed="false">
      <c r="A14076" s="0" t="s">
        <v>1231</v>
      </c>
      <c r="B14076" s="0" t="s">
        <v>98</v>
      </c>
      <c r="F14076" s="6" t="n">
        <f aca="false">Seg!F68*(al_m365+Sens!F14075+sbc_r)</f>
        <v>82.9185219618347</v>
      </c>
      <c r="G14076" s="6" t="n">
        <f aca="false">Seg!G68*(al_m365+Sens!G14075+sbc_r)</f>
        <v>93.3068052157631</v>
      </c>
      <c r="H14076" s="6" t="n">
        <f aca="false">Seg!H68*(al_m365+Sens!H14075+sbc_r)</f>
        <v>103.856057136159</v>
      </c>
      <c r="I14076" s="6" t="n">
        <f aca="false">Seg!I68*(al_m365+Sens!I14075+sbc_r)</f>
        <v>113.889717587147</v>
      </c>
      <c r="J14076" s="6" t="n">
        <f aca="false">Seg!J68*(al_m365+Sens!J14075+sbc_r)</f>
        <v>123.218477864124</v>
      </c>
      <c r="K14076" s="6" t="n">
        <f aca="false">Seg!K68*(al_m365+Sens!K14075+sbc_r)</f>
        <v>132.149420086311</v>
      </c>
      <c r="L14076" s="12" t="s">
        <v>1232</v>
      </c>
    </row>
    <row r="14077" customFormat="false" ht="17.15" hidden="false" customHeight="false" outlineLevel="0" collapsed="false">
      <c r="A14077" s="0" t="s">
        <v>1233</v>
      </c>
      <c r="B14077" s="0" t="s">
        <v>98</v>
      </c>
      <c r="F14077" s="6" t="n">
        <f aca="false">Seg!F69*(al_lic+Sens!F14075+sbc_r)</f>
        <v>32.8599853992256</v>
      </c>
      <c r="G14077" s="6" t="n">
        <f aca="false">Seg!G69*(al_lic+Sens!G14075+sbc_r)</f>
        <v>34.1568280697879</v>
      </c>
      <c r="H14077" s="6" t="n">
        <f aca="false">Seg!H69*(al_lic+Sens!H14075+sbc_r)</f>
        <v>35.3635535007213</v>
      </c>
      <c r="I14077" s="6" t="n">
        <f aca="false">Seg!I69*(al_lic+Sens!I14075+sbc_r)</f>
        <v>36.4604537346553</v>
      </c>
      <c r="J14077" s="6" t="n">
        <f aca="false">Seg!J69*(al_lic+Sens!J14075+sbc_r)</f>
        <v>37.4245888933574</v>
      </c>
      <c r="K14077" s="6" t="n">
        <f aca="false">Seg!K69*(al_lic+Sens!K14075+sbc_r)</f>
        <v>38.2321483186439</v>
      </c>
    </row>
    <row r="14078" customFormat="false" ht="17.15" hidden="false" customHeight="false" outlineLevel="0" collapsed="false">
      <c r="A14078" s="0" t="s">
        <v>1234</v>
      </c>
      <c r="B14078" s="0" t="s">
        <v>98</v>
      </c>
      <c r="F14078" s="6" t="n">
        <f aca="false">Seg!F71*(al_ind+Sens!F14075+sbc_r)</f>
        <v>9.06170747885803</v>
      </c>
      <c r="G14078" s="6" t="n">
        <f aca="false">Seg!G71*(al_ind+Sens!G14075+sbc_r)</f>
        <v>9.8478979082138</v>
      </c>
      <c r="H14078" s="6" t="n">
        <f aca="false">Seg!H71*(al_ind+Sens!H14075+sbc_r)</f>
        <v>10.6768254332059</v>
      </c>
      <c r="I14078" s="6" t="n">
        <f aca="false">Seg!I71*(al_ind+Sens!I14075+sbc_r)</f>
        <v>11.54398793803</v>
      </c>
      <c r="J14078" s="6" t="n">
        <f aca="false">Seg!J71*(al_ind+Sens!J14075+sbc_r)</f>
        <v>12.4407914253112</v>
      </c>
      <c r="K14078" s="6" t="n">
        <f aca="false">Seg!K71*(al_ind+Sens!K14075+sbc_r)</f>
        <v>13.355239066864</v>
      </c>
    </row>
    <row r="14079" customFormat="false" ht="17.15" hidden="false" customHeight="false" outlineLevel="0" collapsed="false">
      <c r="A14079" s="0" t="s">
        <v>1235</v>
      </c>
      <c r="B14079" s="0" t="s">
        <v>98</v>
      </c>
      <c r="F14079" s="6" t="n">
        <f aca="false">Seg!F73*(al_fro+Sens!F14075+sbc_r)</f>
        <v>3.55453569939552</v>
      </c>
      <c r="G14079" s="6" t="n">
        <f aca="false">Seg!G73*(al_fro+Sens!G14075+sbc_r)</f>
        <v>3.76809436159872</v>
      </c>
      <c r="H14079" s="6" t="n">
        <f aca="false">Seg!H73*(al_fro+Sens!H14075+sbc_r)</f>
        <v>4.00964905674607</v>
      </c>
      <c r="I14079" s="6" t="n">
        <f aca="false">Seg!I73*(al_fro+Sens!I14075+sbc_r)</f>
        <v>4.28152633145235</v>
      </c>
      <c r="J14079" s="6" t="n">
        <f aca="false">Seg!J73*(al_fro+Sens!J14075+sbc_r)</f>
        <v>4.58536512975975</v>
      </c>
      <c r="K14079" s="6" t="n">
        <f aca="false">Seg!K73*(al_fro+Sens!K14075+sbc_r)</f>
        <v>4.92240770086468</v>
      </c>
    </row>
    <row r="14080" customFormat="false" ht="17.15" hidden="false" customHeight="false" outlineLevel="0" collapsed="false">
      <c r="A14080" s="0" t="s">
        <v>1236</v>
      </c>
      <c r="B14080" s="0" t="s">
        <v>98</v>
      </c>
      <c r="F14080" s="6" t="n">
        <f aca="false">Seg!F76*(al_srch+Sens!F14075+sbc_r)</f>
        <v>11.190683952584</v>
      </c>
      <c r="G14080" s="6" t="n">
        <f aca="false">Seg!G76*(al_srch+Sens!G14075+sbc_r)</f>
        <v>12.2763328717258</v>
      </c>
      <c r="H14080" s="6" t="n">
        <f aca="false">Seg!H76*(al_srch+Sens!H14075+sbc_r)</f>
        <v>13.4043563346576</v>
      </c>
      <c r="I14080" s="6" t="n">
        <f aca="false">Seg!I76*(al_srch+Sens!I14075+sbc_r)</f>
        <v>14.5621512181916</v>
      </c>
      <c r="J14080" s="6" t="n">
        <f aca="false">Seg!J76*(al_srch+Sens!J14075+sbc_r)</f>
        <v>15.7310381862385</v>
      </c>
      <c r="K14080" s="6" t="n">
        <f aca="false">Seg!K76*(al_srch+Sens!K14075+sbc_r)</f>
        <v>16.8873320486462</v>
      </c>
    </row>
    <row r="14081" customFormat="false" ht="17.15" hidden="false" customHeight="false" outlineLevel="0" collapsed="false">
      <c r="A14081" s="0" t="s">
        <v>1237</v>
      </c>
      <c r="B14081" s="0" t="s">
        <v>98</v>
      </c>
      <c r="F14081" s="6" t="n">
        <f aca="false">Thesis!F135-Thesis!F136+Thesis!F151</f>
        <v>38.9696429794913</v>
      </c>
      <c r="G14081" s="6" t="n">
        <f aca="false">Thesis!G135-Thesis!G136+Thesis!G151</f>
        <v>69.465497726016</v>
      </c>
      <c r="H14081" s="6" t="n">
        <f aca="false">Thesis!H135-Thesis!H136+Thesis!H151</f>
        <v>96.8147106808268</v>
      </c>
      <c r="I14081" s="6" t="n">
        <f aca="false">Thesis!I135-Thesis!I136+Thesis!I151</f>
        <v>127.654939766446</v>
      </c>
      <c r="J14081" s="6" t="n">
        <f aca="false">Thesis!J135-Thesis!J136+Thesis!J151</f>
        <v>149.308352681229</v>
      </c>
      <c r="K14081" s="6" t="n">
        <f aca="false">Thesis!K135-Thesis!K136+Thesis!K151</f>
        <v>162.731822021841</v>
      </c>
    </row>
    <row r="14082" customFormat="false" ht="17.15" hidden="false" customHeight="false" outlineLevel="0" collapsed="false">
      <c r="A14082" s="0" t="s">
        <v>1238</v>
      </c>
      <c r="B14082" s="0" t="s">
        <v>98</v>
      </c>
      <c r="F14082" s="6" t="n">
        <f aca="false">PL!F110+Thesis!F151+Thesis!F147+Sens!F14075*(Seg!F75-Thesis!F129)+sbc_r*Seg!F75</f>
        <v>234.79972328186</v>
      </c>
      <c r="G14082" s="6" t="n">
        <f aca="false">PL!G110+Thesis!G151+Thesis!G147+Sens!G14075*(Seg!G75-Thesis!G129)+sbc_r*Seg!G75</f>
        <v>285.499052659517</v>
      </c>
      <c r="H14082" s="6" t="n">
        <f aca="false">PL!H110+Thesis!H151+Thesis!H147+Sens!H14075*(Seg!H75-Thesis!H129)+sbc_r*Seg!H75</f>
        <v>338.258569294547</v>
      </c>
      <c r="I14082" s="6" t="n">
        <f aca="false">PL!I110+Thesis!I151+Thesis!I147+Sens!I14075*(Seg!I75-Thesis!I129)+sbc_r*Seg!I75</f>
        <v>393.887902526982</v>
      </c>
      <c r="J14082" s="6" t="n">
        <f aca="false">PL!J110+Thesis!J151+Thesis!J147+Sens!J14075*(Seg!J75-Thesis!J129)+sbc_r*Seg!J75</f>
        <v>438.406631506078</v>
      </c>
      <c r="K14082" s="6" t="n">
        <f aca="false">PL!K110+Thesis!K151+Thesis!K147+Sens!K14075*(Seg!K75-Thesis!K129)+sbc_r*Seg!K75</f>
        <v>472.352875745143</v>
      </c>
    </row>
    <row r="14083" customFormat="false" ht="17.15" hidden="false" customHeight="false" outlineLevel="0" collapsed="false">
      <c r="A14083" s="0" t="s">
        <v>1239</v>
      </c>
      <c r="B14083" s="0" t="s">
        <v>98</v>
      </c>
      <c r="F14083" s="6" t="n">
        <f aca="false">Sens!F14082-Sens!F14076-Sens!F14077-Sens!F14078-Sens!F14079-Sens!F14081</f>
        <v>67.4353297630543</v>
      </c>
      <c r="G14083" s="6" t="n">
        <f aca="false">Sens!G14082-Sens!G14076-Sens!G14077-Sens!G14078-Sens!G14079-Sens!G14081</f>
        <v>74.9539293781376</v>
      </c>
      <c r="H14083" s="6" t="n">
        <f aca="false">Sens!H14082-Sens!H14076-Sens!H14077-Sens!H14078-Sens!H14079-Sens!H14081</f>
        <v>87.537773486888</v>
      </c>
      <c r="I14083" s="6" t="n">
        <f aca="false">Sens!I14082-Sens!I14076-Sens!I14077-Sens!I14078-Sens!I14079-Sens!I14081</f>
        <v>100.057277169252</v>
      </c>
      <c r="J14083" s="6" t="n">
        <f aca="false">Sens!J14082-Sens!J14076-Sens!J14077-Sens!J14078-Sens!J14079-Sens!J14081</f>
        <v>111.429055512297</v>
      </c>
      <c r="K14083" s="6" t="n">
        <f aca="false">Sens!K14082-Sens!K14076-Sens!K14077-Sens!K14078-Sens!K14079-Sens!K14081</f>
        <v>120.961838550618</v>
      </c>
    </row>
    <row r="14084" customFormat="false" ht="17.15" hidden="false" customHeight="false" outlineLevel="0" collapsed="false">
      <c r="A14084" s="0" t="s">
        <v>1240</v>
      </c>
      <c r="B14084" s="0" t="s">
        <v>98</v>
      </c>
      <c r="F14084" s="6" t="n">
        <f aca="false">PL!F112+Sens!F14075*Seg!F82+sbc_r*Seg!F82</f>
        <v>26.6373549789235</v>
      </c>
      <c r="G14084" s="6" t="n">
        <f aca="false">PL!G112+Sens!G14075*Seg!G82+sbc_r*Seg!G82</f>
        <v>26.5038922765853</v>
      </c>
      <c r="H14084" s="6" t="n">
        <f aca="false">PL!H112+Sens!H14075*Seg!H82+sbc_r*Seg!H82</f>
        <v>27.3981100014792</v>
      </c>
      <c r="I14084" s="6" t="n">
        <f aca="false">PL!I112+Sens!I14075*Seg!I82+sbc_r*Seg!I82</f>
        <v>28.5176442589239</v>
      </c>
      <c r="J14084" s="6" t="n">
        <f aca="false">PL!J112+Sens!J14075*Seg!J82+sbc_r*Seg!J82</f>
        <v>29.8313998963726</v>
      </c>
      <c r="K14084" s="6" t="n">
        <f aca="false">PL!K112+Sens!K14075*Seg!K82+sbc_r*Seg!K82</f>
        <v>31.3103466222307</v>
      </c>
    </row>
    <row r="14085" customFormat="false" ht="17.15" hidden="false" customHeight="false" outlineLevel="0" collapsed="false">
      <c r="A14085" s="0" t="s">
        <v>1241</v>
      </c>
      <c r="B14085" s="0" t="s">
        <v>98</v>
      </c>
      <c r="F14085" s="6" t="n">
        <f aca="false">(Sens!F14084-Sens!F14080)*Seg!F78/(Seg!F78+Seg!F80)</f>
        <v>8.72405610479892</v>
      </c>
      <c r="G14085" s="6" t="n">
        <f aca="false">(Sens!G14084-Sens!G14080)*Seg!G78/(Seg!G78+Seg!G80)</f>
        <v>7.897418765869</v>
      </c>
      <c r="H14085" s="6" t="n">
        <f aca="false">(Sens!H14084-Sens!H14080)*Seg!H78/(Seg!H78+Seg!H80)</f>
        <v>7.66644879573063</v>
      </c>
      <c r="I14085" s="6" t="n">
        <f aca="false">(Sens!I14084-Sens!I14080)*Seg!I78/(Seg!I78+Seg!I80)</f>
        <v>7.5787545031814</v>
      </c>
      <c r="J14085" s="6" t="n">
        <f aca="false">(Sens!J14084-Sens!J14080)*Seg!J78/(Seg!J78+Seg!J80)</f>
        <v>7.62401876450459</v>
      </c>
      <c r="K14085" s="6" t="n">
        <f aca="false">(Sens!K14084-Sens!K14080)*Seg!K78/(Seg!K78+Seg!K80)</f>
        <v>7.79847609658838</v>
      </c>
    </row>
    <row r="14086" customFormat="false" ht="17.15" hidden="false" customHeight="false" outlineLevel="0" collapsed="false">
      <c r="A14086" s="0" t="s">
        <v>1242</v>
      </c>
      <c r="B14086" s="0" t="s">
        <v>98</v>
      </c>
      <c r="F14086" s="6" t="n">
        <f aca="false">Sens!F14084-Sens!F14080-Sens!F14085</f>
        <v>6.72261492154066</v>
      </c>
      <c r="G14086" s="6" t="n">
        <f aca="false">Sens!G14084-Sens!G14080-Sens!G14085</f>
        <v>6.33014063899044</v>
      </c>
      <c r="H14086" s="6" t="n">
        <f aca="false">Sens!H14084-Sens!H14080-Sens!H14085</f>
        <v>6.32730487109095</v>
      </c>
      <c r="I14086" s="6" t="n">
        <f aca="false">Sens!I14084-Sens!I14080-Sens!I14085</f>
        <v>6.37673853755084</v>
      </c>
      <c r="J14086" s="6" t="n">
        <f aca="false">Sens!J14084-Sens!J14080-Sens!J14085</f>
        <v>6.47634294562954</v>
      </c>
      <c r="K14086" s="6" t="n">
        <f aca="false">Sens!K14084-Sens!K14080-Sens!K14085</f>
        <v>6.62453847699607</v>
      </c>
    </row>
    <row r="14087" customFormat="false" ht="17.15" hidden="false" customHeight="false" outlineLevel="0" collapsed="false">
      <c r="A14087" s="0" t="s">
        <v>1243</v>
      </c>
      <c r="B14087" s="0" t="s">
        <v>98</v>
      </c>
      <c r="F14087" s="6" t="n">
        <f aca="false">Sens!F14081-tax_f*(Sens!F14081-Thesis!F147)-Thesis!F144</f>
        <v>-130.362326762856</v>
      </c>
      <c r="G14087" s="6" t="n">
        <f aca="false">Sens!G14081-tax_f*(Sens!G14081-Thesis!G147)-Thesis!G144</f>
        <v>-124.225179337776</v>
      </c>
      <c r="H14087" s="6" t="n">
        <f aca="false">Sens!H14081-tax_f*(Sens!H14081-Thesis!H147)-Thesis!H144</f>
        <v>-101.534217387562</v>
      </c>
      <c r="I14087" s="6" t="n">
        <f aca="false">Sens!I14081-tax_f*(Sens!I14081-Thesis!I147)-Thesis!I144</f>
        <v>-43.6446798695439</v>
      </c>
      <c r="J14087" s="6" t="n">
        <f aca="false">Sens!J14081-tax_f*(Sens!J14081-Thesis!J147)-Thesis!J144</f>
        <v>16.9198855589618</v>
      </c>
      <c r="K14087" s="6" t="n">
        <f aca="false">Sens!K14081-tax_f*(Sens!K14081-Thesis!K147)-Thesis!K144</f>
        <v>39.8251384629271</v>
      </c>
    </row>
    <row r="14088" customFormat="false" ht="17.15" hidden="false" customHeight="false" outlineLevel="0" collapsed="false">
      <c r="A14088" s="0" t="s">
        <v>1244</v>
      </c>
      <c r="B14088" s="0" t="s">
        <v>98</v>
      </c>
      <c r="G14088" s="6" t="n">
        <f aca="false">Sens!G14087/(1+(wacc+0.01))^(Sens!G14058-Sens!F14059)</f>
        <v>-117.753661912062</v>
      </c>
      <c r="H14088" s="6" t="n">
        <f aca="false">Sens!H14087/(1+(wacc+0.01))^(Sens!H14058-Sens!F14059)</f>
        <v>-86.4782303259295</v>
      </c>
      <c r="I14088" s="6" t="n">
        <f aca="false">Sens!I14087/(1+(wacc+0.01))^(Sens!I14058-Sens!F14059)</f>
        <v>-33.4006761856591</v>
      </c>
      <c r="J14088" s="6" t="n">
        <f aca="false">Sens!J14087/(1+(wacc+0.01))^(Sens!J14058-Sens!F14059)</f>
        <v>11.6345863358851</v>
      </c>
      <c r="K14088" s="6" t="n">
        <f aca="false">Sens!K14087/(1+(wacc+0.01))^(Sens!K14058-Sens!F14059)</f>
        <v>24.6059648075135</v>
      </c>
      <c r="L14088" s="1" t="s">
        <v>1245</v>
      </c>
    </row>
    <row r="14089" customFormat="false" ht="17.15" hidden="false" customHeight="false" outlineLevel="0" collapsed="false">
      <c r="A14089" s="0" t="s">
        <v>1246</v>
      </c>
      <c r="B14089" s="0" t="s">
        <v>98</v>
      </c>
      <c r="C14089" s="6" t="n">
        <f aca="false">(Sens!K14081-Thesis!K147)*(1-tax_f)*(1+g_tv)*(1-g_tv/((wacc+0.01)+ronic_prem))/((wacc+0.01)-g_tv)/(1+(wacc+0.01))^(Sens!K14059-Sens!F14059)</f>
        <v>84.2614010412847</v>
      </c>
    </row>
    <row r="14090" customFormat="false" ht="17.15" hidden="false" customHeight="false" outlineLevel="0" collapsed="false">
      <c r="A14090" s="1" t="s">
        <v>1247</v>
      </c>
      <c r="B14090" s="0" t="s">
        <v>98</v>
      </c>
      <c r="C14090" s="6" t="n">
        <f aca="false">(SUM(Sens!G14088:K14088)+Sens!$C$14089)*(1+(wacc+0.01))^(t_roll-Sens!F14059)</f>
        <v>-121.360034468043</v>
      </c>
      <c r="L14090" s="12" t="s">
        <v>1248</v>
      </c>
    </row>
    <row r="14091" customFormat="false" ht="17.15" hidden="false" customHeight="false" outlineLevel="0" collapsed="false">
      <c r="A14091" s="1" t="s">
        <v>1249</v>
      </c>
      <c r="B14091" s="0" t="s">
        <v>98</v>
      </c>
      <c r="C14091" s="6" t="n">
        <f aca="false">(w_ntm28*Thesis!G135+(1-w_ntm28)*Thesis!H135)*m_ai</f>
        <v>344.355829012336</v>
      </c>
    </row>
    <row r="14092" customFormat="false" ht="17.15" hidden="false" customHeight="false" outlineLevel="0" collapsed="false">
      <c r="A14092" s="1" t="s">
        <v>1250</v>
      </c>
      <c r="B14092" s="0" t="s">
        <v>98</v>
      </c>
      <c r="C14092" s="6" t="n">
        <f aca="false">(w_ntm28*Sens!G14083+(1-w_ntm28)*Sens!H14083)*m_cloud</f>
        <v>1093.03877543039</v>
      </c>
    </row>
    <row r="14093" customFormat="false" ht="17.15" hidden="false" customHeight="false" outlineLevel="0" collapsed="false">
      <c r="A14093" s="1" t="s">
        <v>1251</v>
      </c>
      <c r="B14093" s="0" t="s">
        <v>98</v>
      </c>
      <c r="C14093" s="6" t="n">
        <f aca="false">(w_ntm28*Sens!G14076+(1-w_ntm28)*Sens!H14076)*m_sw</f>
        <v>1045.17056616266</v>
      </c>
    </row>
    <row r="14094" customFormat="false" ht="17.15" hidden="false" customHeight="false" outlineLevel="0" collapsed="false">
      <c r="A14094" s="1" t="s">
        <v>1252</v>
      </c>
      <c r="B14094" s="0" t="s">
        <v>98</v>
      </c>
      <c r="C14094" s="6" t="n">
        <f aca="false">(w_ntm28*Sens!G14077+(1-w_ntm28)*Sens!H14077)*m_sw</f>
        <v>373.178444957791</v>
      </c>
    </row>
    <row r="14095" customFormat="false" ht="17.15" hidden="false" customHeight="false" outlineLevel="0" collapsed="false">
      <c r="A14095" s="1" t="s">
        <v>1253</v>
      </c>
      <c r="B14095" s="0" t="s">
        <v>98</v>
      </c>
      <c r="C14095" s="6" t="n">
        <f aca="false">(w_ntm28*Sens!G14078+(1-w_ntm28)*Sens!H14078)*m_sw</f>
        <v>109.30055788101</v>
      </c>
    </row>
    <row r="14096" customFormat="false" ht="17.15" hidden="false" customHeight="false" outlineLevel="0" collapsed="false">
      <c r="A14096" s="1" t="s">
        <v>1254</v>
      </c>
      <c r="B14096" s="0" t="s">
        <v>98</v>
      </c>
      <c r="C14096" s="6" t="n">
        <f aca="false">(w_ntm28*Sens!G14079+(1-w_ntm28)*Sens!H14079)*m_sw</f>
        <v>41.5531037214606</v>
      </c>
    </row>
    <row r="14097" customFormat="false" ht="17.15" hidden="false" customHeight="false" outlineLevel="0" collapsed="false">
      <c r="A14097" s="1" t="s">
        <v>1255</v>
      </c>
      <c r="B14097" s="0" t="s">
        <v>98</v>
      </c>
      <c r="C14097" s="6" t="n">
        <f aca="false">(w_ntm28*Sens!G14080+(1-w_ntm28)*Sens!H14080)*m_ads</f>
        <v>115.215899994784</v>
      </c>
    </row>
    <row r="14098" customFormat="false" ht="17.15" hidden="false" customHeight="false" outlineLevel="0" collapsed="false">
      <c r="A14098" s="1" t="s">
        <v>1256</v>
      </c>
      <c r="B14098" s="0" t="s">
        <v>98</v>
      </c>
      <c r="C14098" s="6" t="n">
        <f aca="false">(w_ntm28*Sens!G14085+(1-w_ntm28)*Sens!H14085)*m_game</f>
        <v>98.7853357615783</v>
      </c>
    </row>
    <row r="14099" customFormat="false" ht="17.15" hidden="false" customHeight="false" outlineLevel="0" collapsed="false">
      <c r="A14099" s="1" t="s">
        <v>1257</v>
      </c>
      <c r="B14099" s="0" t="s">
        <v>98</v>
      </c>
      <c r="C14099" s="6" t="n">
        <f aca="false">(w_ntm28*Sens!G14086+(1-w_ntm28)*Sens!H14086)*m_pc</f>
        <v>91.5836445602173</v>
      </c>
    </row>
    <row r="14100" customFormat="false" ht="17.15" hidden="false" customHeight="false" outlineLevel="0" collapsed="false">
      <c r="A14100" s="1" t="s">
        <v>1258</v>
      </c>
      <c r="B14100" s="0" t="s">
        <v>98</v>
      </c>
      <c r="C14100" s="6" t="n">
        <f aca="false">Sens!$C$14090+Sens!$C$14092+Sens!$C$14093+Sens!$C$14094+Sens!$C$14095+Sens!$C$14096+Sens!$C$14097+Sens!$C$14098+Sens!$C$14099</f>
        <v>2846.46629400185</v>
      </c>
    </row>
    <row r="14101" customFormat="false" ht="17.15" hidden="false" customHeight="false" outlineLevel="0" collapsed="false">
      <c r="A14101" s="1" t="s">
        <v>1259</v>
      </c>
      <c r="B14101" s="0" t="s">
        <v>98</v>
      </c>
      <c r="C14101" s="6" t="n">
        <f aca="false">(Sens!G14062-Sens!G14087)*t_stub</f>
        <v>47.4829168796038</v>
      </c>
      <c r="L14101" s="1" t="s">
        <v>1260</v>
      </c>
    </row>
    <row r="14102" customFormat="false" ht="17.15" hidden="false" customHeight="false" outlineLevel="0" collapsed="false">
      <c r="A14102" s="1" t="s">
        <v>1169</v>
      </c>
      <c r="B14102" s="0" t="s">
        <v>98</v>
      </c>
      <c r="C14102" s="6" t="n">
        <f aca="false">CF!F103+oai_v-CF!F92+Sens!$C$14101</f>
        <v>158.55427008544</v>
      </c>
      <c r="L14102" s="1" t="s">
        <v>1261</v>
      </c>
    </row>
    <row r="14103" customFormat="false" ht="17.15" hidden="false" customHeight="false" outlineLevel="0" collapsed="false">
      <c r="A14103" s="1" t="s">
        <v>1262</v>
      </c>
      <c r="B14103" s="0" t="s">
        <v>75</v>
      </c>
      <c r="C14103" s="5" t="n">
        <f aca="false">(Sens!$C$14100+Sens!$C$14102)/(CF!F105+dil_gap)-CF!G95*roll_div_q/q_per_yr</f>
        <v>399.843712925198</v>
      </c>
      <c r="L14103" s="1" t="s">
        <v>1263</v>
      </c>
    </row>
    <row r="14104" customFormat="false" ht="17.15" hidden="false" customHeight="false" outlineLevel="0" collapsed="false">
      <c r="A14104" s="1" t="s">
        <v>1264</v>
      </c>
      <c r="B14104" s="0" t="s">
        <v>75</v>
      </c>
      <c r="C14104" s="5" t="n">
        <f aca="false">w_dcf*Sens!$C$14074+(1-w_dcf)*Sens!$C$14103</f>
        <v>326.625945303139</v>
      </c>
    </row>
    <row r="14105" customFormat="false" ht="17.15" hidden="false" customHeight="false" outlineLevel="0" collapsed="false">
      <c r="A14105" s="3" t="s">
        <v>1831</v>
      </c>
    </row>
    <row r="14106" customFormat="false" ht="15" hidden="false" customHeight="false" outlineLevel="0" collapsed="false">
      <c r="A14106" s="4" t="s">
        <v>43</v>
      </c>
      <c r="B14106" s="4" t="s">
        <v>65</v>
      </c>
      <c r="C14106" s="23" t="s">
        <v>938</v>
      </c>
      <c r="D14106" s="23" t="s">
        <v>939</v>
      </c>
      <c r="E14106" s="23" t="s">
        <v>940</v>
      </c>
      <c r="F14106" s="23" t="s">
        <v>941</v>
      </c>
      <c r="G14106" s="23" t="s">
        <v>942</v>
      </c>
      <c r="H14106" s="23" t="s">
        <v>943</v>
      </c>
      <c r="I14106" s="23" t="s">
        <v>944</v>
      </c>
      <c r="J14106" s="23" t="s">
        <v>945</v>
      </c>
      <c r="K14106" s="23" t="s">
        <v>946</v>
      </c>
      <c r="L14106" s="4" t="s">
        <v>47</v>
      </c>
    </row>
    <row r="14107" customFormat="false" ht="17.15" hidden="false" customHeight="false" outlineLevel="0" collapsed="false">
      <c r="A14107" s="1" t="s">
        <v>1212</v>
      </c>
      <c r="B14107" s="1" t="s">
        <v>279</v>
      </c>
      <c r="F14107" s="8" t="n">
        <f aca="false">(1-v_off)*mid_yr</f>
        <v>0.373972602739726</v>
      </c>
      <c r="G14107" s="8" t="n">
        <f aca="false">Thesis!G6-base_fy-mid_yr-v_off</f>
        <v>1.24794520547945</v>
      </c>
      <c r="H14107" s="8" t="n">
        <f aca="false">Thesis!H6-base_fy-mid_yr-v_off</f>
        <v>2.24794520547945</v>
      </c>
      <c r="I14107" s="8" t="n">
        <f aca="false">Thesis!I6-base_fy-mid_yr-v_off</f>
        <v>3.24794520547945</v>
      </c>
      <c r="J14107" s="8" t="n">
        <f aca="false">Thesis!J6-base_fy-mid_yr-v_off</f>
        <v>4.24794520547945</v>
      </c>
      <c r="K14107" s="8" t="n">
        <f aca="false">Thesis!K6-base_fy-mid_yr-v_off</f>
        <v>5.24794520547945</v>
      </c>
      <c r="L14107" s="12" t="s">
        <v>1213</v>
      </c>
    </row>
    <row r="14108" customFormat="false" ht="15" hidden="false" customHeight="false" outlineLevel="0" collapsed="false">
      <c r="A14108" s="1" t="s">
        <v>1214</v>
      </c>
      <c r="B14108" s="1" t="s">
        <v>279</v>
      </c>
      <c r="F14108" s="8" t="n">
        <f aca="false">Thesis!F6-base_fy-v_off</f>
        <v>0.747945205479452</v>
      </c>
      <c r="G14108" s="8" t="n">
        <f aca="false">Thesis!G6-base_fy-v_off</f>
        <v>1.74794520547945</v>
      </c>
      <c r="H14108" s="8" t="n">
        <f aca="false">Thesis!H6-base_fy-v_off</f>
        <v>2.74794520547945</v>
      </c>
      <c r="I14108" s="8" t="n">
        <f aca="false">Thesis!I6-base_fy-v_off</f>
        <v>3.74794520547945</v>
      </c>
      <c r="J14108" s="8" t="n">
        <f aca="false">Thesis!J6-base_fy-v_off</f>
        <v>4.74794520547945</v>
      </c>
      <c r="K14108" s="8" t="n">
        <f aca="false">Thesis!K6-base_fy-v_off</f>
        <v>5.74794520547945</v>
      </c>
    </row>
    <row r="14109" customFormat="false" ht="15" hidden="false" customHeight="false" outlineLevel="0" collapsed="false">
      <c r="A14109" s="1" t="s">
        <v>1215</v>
      </c>
      <c r="B14109" s="0" t="s">
        <v>229</v>
      </c>
      <c r="F14109" s="15" t="n">
        <f aca="false">1/(1+wacc)^Sens!F14107</f>
        <v>0.964022703286649</v>
      </c>
      <c r="G14109" s="15" t="n">
        <f aca="false">1/(1+wacc)^Sens!G14107</f>
        <v>0.884910302296739</v>
      </c>
      <c r="H14109" s="15" t="n">
        <f aca="false">1/(1+wacc)^Sens!H14107</f>
        <v>0.802322009770358</v>
      </c>
      <c r="I14109" s="15" t="n">
        <f aca="false">1/(1+wacc)^Sens!I14107</f>
        <v>0.727441646561469</v>
      </c>
      <c r="J14109" s="15" t="n">
        <f aca="false">1/(1+wacc)^Sens!J14107</f>
        <v>0.659549834988973</v>
      </c>
      <c r="K14109" s="15" t="n">
        <f aca="false">1/(1+wacc)^Sens!K14107</f>
        <v>0.597994336576966</v>
      </c>
    </row>
    <row r="14110" customFormat="false" ht="17.15" hidden="false" customHeight="false" outlineLevel="0" collapsed="false">
      <c r="A14110" s="1" t="s">
        <v>1216</v>
      </c>
      <c r="B14110" s="0" t="s">
        <v>98</v>
      </c>
      <c r="F14110" s="6" t="n">
        <f aca="false">Q!$I$35-Q!$I$39-Q!$I$43</f>
        <v>9.666</v>
      </c>
      <c r="L14110" s="12" t="s">
        <v>1217</v>
      </c>
    </row>
    <row r="14111" customFormat="false" ht="17.15" hidden="false" customHeight="false" outlineLevel="0" collapsed="false">
      <c r="A14111" s="1" t="s">
        <v>1218</v>
      </c>
      <c r="B14111" s="0" t="s">
        <v>98</v>
      </c>
      <c r="F14111" s="6" t="n">
        <f aca="false">CF!F23-CF!F20-CF!F27+Thesis!F47*(1-tax_f)*(1-v_off)-Sens!F14110</f>
        <v>-1.12880264559539</v>
      </c>
      <c r="G14111" s="6" t="n">
        <f aca="false">CF!G23-CF!G20-CF!G27+Thesis!G47*(1-tax_f)</f>
        <v>38.7194421947551</v>
      </c>
      <c r="H14111" s="6" t="n">
        <f aca="false">CF!H23-CF!H20-CF!H27+Thesis!H47*(1-tax_f)</f>
        <v>98.6927474567662</v>
      </c>
      <c r="I14111" s="6" t="n">
        <f aca="false">CF!I23-CF!I20-CF!I27+Thesis!I47*(1-tax_f)</f>
        <v>181.625440536277</v>
      </c>
      <c r="J14111" s="6" t="n">
        <f aca="false">CF!J23-CF!J20-CF!J27+Thesis!J47*(1-tax_f)</f>
        <v>263.350402418584</v>
      </c>
      <c r="K14111" s="6" t="n">
        <f aca="false">CF!K23-CF!K20-CF!K27+Thesis!K47*(1-tax_f)</f>
        <v>303.659068389018</v>
      </c>
      <c r="L14111" s="1" t="s">
        <v>1219</v>
      </c>
    </row>
    <row r="14112" customFormat="false" ht="15" hidden="false" customHeight="false" outlineLevel="0" collapsed="false">
      <c r="A14112" s="1" t="s">
        <v>1220</v>
      </c>
      <c r="B14112" s="0" t="s">
        <v>98</v>
      </c>
      <c r="F14112" s="6" t="n">
        <f aca="false">Sens!F14111*Sens!F14109</f>
        <v>-1.08819137788399</v>
      </c>
      <c r="G14112" s="6" t="n">
        <f aca="false">Sens!G14111*Sens!G14109</f>
        <v>34.2632332973219</v>
      </c>
      <c r="H14112" s="6" t="n">
        <f aca="false">Sens!H14111*Sens!H14109</f>
        <v>79.183363489271</v>
      </c>
      <c r="I14112" s="6" t="n">
        <f aca="false">Sens!I14111*Sens!I14109</f>
        <v>132.121909521162</v>
      </c>
      <c r="J14112" s="6" t="n">
        <f aca="false">Sens!J14111*Sens!J14109</f>
        <v>173.692714459456</v>
      </c>
      <c r="K14112" s="6" t="n">
        <f aca="false">Sens!K14111*Sens!K14109</f>
        <v>181.58640314687</v>
      </c>
    </row>
    <row r="14113" customFormat="false" ht="17.15" hidden="false" customHeight="false" outlineLevel="0" collapsed="false">
      <c r="A14113" s="1" t="s">
        <v>1221</v>
      </c>
      <c r="B14113" s="0" t="s">
        <v>98</v>
      </c>
      <c r="C14113" s="6" t="n">
        <f aca="false">SUM(Sens!F14112:K14112)</f>
        <v>599.759432536197</v>
      </c>
    </row>
    <row r="14114" customFormat="false" ht="17.15" hidden="false" customHeight="false" outlineLevel="0" collapsed="false">
      <c r="A14114" s="1" t="s">
        <v>1222</v>
      </c>
      <c r="B14114" s="0" t="s">
        <v>98</v>
      </c>
      <c r="C14114" s="6" t="n">
        <f aca="false">PL!K39*(1+g_tv_lo)*(1-tax_f)</f>
        <v>313.428490461451</v>
      </c>
    </row>
    <row r="14115" customFormat="false" ht="17.15" hidden="false" customHeight="false" outlineLevel="0" collapsed="false">
      <c r="A14115" s="1" t="s">
        <v>1223</v>
      </c>
      <c r="B14115" s="0" t="s">
        <v>98</v>
      </c>
      <c r="C14115" s="6" t="n">
        <f aca="false">Sens!$C$14114*(1-g_tv_lo/(wacc+ronic_prem))</f>
        <v>252.531099634296</v>
      </c>
    </row>
    <row r="14116" customFormat="false" ht="17.15" hidden="false" customHeight="false" outlineLevel="0" collapsed="false">
      <c r="A14116" s="1" t="s">
        <v>1224</v>
      </c>
      <c r="B14116" s="0" t="s">
        <v>98</v>
      </c>
      <c r="C14116" s="6" t="n">
        <f aca="false">Sens!$C$14115/(wacc-g_tv_lo)</f>
        <v>3044.86954135774</v>
      </c>
    </row>
    <row r="14117" customFormat="false" ht="15" hidden="false" customHeight="false" outlineLevel="0" collapsed="false">
      <c r="A14117" s="1" t="s">
        <v>1225</v>
      </c>
      <c r="B14117" s="0" t="s">
        <v>98</v>
      </c>
      <c r="C14117" s="6" t="n">
        <f aca="false">Sens!$C$14116/(1+wacc)^Sens!K14108</f>
        <v>1733.76602503617</v>
      </c>
    </row>
    <row r="14118" customFormat="false" ht="17.15" hidden="false" customHeight="false" outlineLevel="0" collapsed="false">
      <c r="A14118" s="0" t="s">
        <v>1226</v>
      </c>
      <c r="B14118" s="0" t="s">
        <v>98</v>
      </c>
      <c r="C14118" s="6" t="n">
        <f aca="false">Sens!$C$14113+Sens!$C$14117</f>
        <v>2333.52545757237</v>
      </c>
    </row>
    <row r="14119" customFormat="false" ht="15" hidden="false" customHeight="false" outlineLevel="0" collapsed="false">
      <c r="A14119" s="1" t="s">
        <v>1141</v>
      </c>
      <c r="B14119" s="0" t="s">
        <v>168</v>
      </c>
      <c r="C14119" s="7" t="n">
        <f aca="false">Sens!$C$14117/Sens!$C$14118</f>
        <v>0.74298140584241</v>
      </c>
    </row>
    <row r="14120" customFormat="false" ht="17.15" hidden="false" customHeight="false" outlineLevel="0" collapsed="false">
      <c r="A14120" s="1" t="s">
        <v>1227</v>
      </c>
      <c r="B14120" s="0" t="s">
        <v>98</v>
      </c>
      <c r="C14120" s="6" t="n">
        <f aca="false">Sens!$C$14118+cash_val-debt_val-fl_val+oai_v</f>
        <v>2449.37645757237</v>
      </c>
    </row>
    <row r="14121" customFormat="false" ht="17.15" hidden="false" customHeight="false" outlineLevel="0" collapsed="false">
      <c r="A14121" s="0" t="s">
        <v>1149</v>
      </c>
      <c r="B14121" s="0" t="s">
        <v>75</v>
      </c>
      <c r="C14121" s="5" t="n">
        <f aca="false">Sens!$C$14120/shd_val</f>
        <v>328.951981946329</v>
      </c>
    </row>
    <row r="14122" customFormat="false" ht="15" hidden="false" customHeight="false" outlineLevel="0" collapsed="false">
      <c r="A14122" s="1" t="s">
        <v>1228</v>
      </c>
      <c r="B14122" s="0" t="s">
        <v>75</v>
      </c>
      <c r="C14122" s="8" t="n">
        <f aca="false">div_rem27+CF!G31*roll_div_q/q_per_yr</f>
        <v>3.9795</v>
      </c>
    </row>
    <row r="14123" customFormat="false" ht="17.15" hidden="false" customHeight="false" outlineLevel="0" collapsed="false">
      <c r="A14123" s="0" t="s">
        <v>1229</v>
      </c>
      <c r="B14123" s="0" t="s">
        <v>75</v>
      </c>
      <c r="C14123" s="5" t="n">
        <f aca="false">Sens!$C$14121*(1+wacc)^t_roll-Sens!$C$14122</f>
        <v>361.668986988138</v>
      </c>
    </row>
    <row r="14124" customFormat="false" ht="17.15" hidden="false" customHeight="false" outlineLevel="0" collapsed="false">
      <c r="A14124" s="1" t="s">
        <v>1230</v>
      </c>
      <c r="B14124" s="0" t="s">
        <v>168</v>
      </c>
      <c r="F14124" s="7" t="n">
        <f aca="false">CF!F17/(Seg!F29-Thesis!F25)</f>
        <v>0.0685527305696859</v>
      </c>
      <c r="G14124" s="7" t="n">
        <f aca="false">CF!G17/(Seg!G29-Thesis!G25)</f>
        <v>0.0653567731599844</v>
      </c>
      <c r="H14124" s="7" t="n">
        <f aca="false">CF!H17/(Seg!H29-Thesis!H25)</f>
        <v>0.0636628841026972</v>
      </c>
      <c r="I14124" s="7" t="n">
        <f aca="false">CF!I17/(Seg!I29-Thesis!I25)</f>
        <v>0.0633581084335176</v>
      </c>
      <c r="J14124" s="7" t="n">
        <f aca="false">CF!J17/(Seg!J29-Thesis!J25)</f>
        <v>0.0640873955995062</v>
      </c>
      <c r="K14124" s="7" t="n">
        <f aca="false">CF!K17/(Seg!K29-Thesis!K25)</f>
        <v>0.0653962234835198</v>
      </c>
    </row>
    <row r="14125" customFormat="false" ht="17.15" hidden="false" customHeight="false" outlineLevel="0" collapsed="false">
      <c r="A14125" s="0" t="s">
        <v>1231</v>
      </c>
      <c r="B14125" s="0" t="s">
        <v>98</v>
      </c>
      <c r="F14125" s="6" t="n">
        <f aca="false">Seg!F14*(al_m365+Sens!F14124+sbc_r)</f>
        <v>84.5213906545575</v>
      </c>
      <c r="G14125" s="6" t="n">
        <f aca="false">Seg!G14*(al_m365+Sens!G14124+sbc_r)</f>
        <v>98.949983331796</v>
      </c>
      <c r="H14125" s="6" t="n">
        <f aca="false">Seg!H14*(al_m365+Sens!H14124+sbc_r)</f>
        <v>113.543734275326</v>
      </c>
      <c r="I14125" s="6" t="n">
        <f aca="false">Seg!I14*(al_m365+Sens!I14124+sbc_r)</f>
        <v>126.62058838692</v>
      </c>
      <c r="J14125" s="6" t="n">
        <f aca="false">Seg!J14*(al_m365+Sens!J14124+sbc_r)</f>
        <v>137.994660156303</v>
      </c>
      <c r="K14125" s="6" t="n">
        <f aca="false">Seg!K14*(al_m365+Sens!K14124+sbc_r)</f>
        <v>148.989224092997</v>
      </c>
      <c r="L14125" s="12" t="s">
        <v>1232</v>
      </c>
    </row>
    <row r="14126" customFormat="false" ht="17.15" hidden="false" customHeight="false" outlineLevel="0" collapsed="false">
      <c r="A14126" s="0" t="s">
        <v>1233</v>
      </c>
      <c r="B14126" s="0" t="s">
        <v>98</v>
      </c>
      <c r="F14126" s="6" t="n">
        <f aca="false">Seg!F15*(al_lic+Sens!F14124+sbc_r)</f>
        <v>32.855200196554</v>
      </c>
      <c r="G14126" s="6" t="n">
        <f aca="false">Seg!G15*(al_lic+Sens!G14124+sbc_r)</f>
        <v>34.1185582613282</v>
      </c>
      <c r="H14126" s="6" t="n">
        <f aca="false">Seg!H15*(al_lic+Sens!H14124+sbc_r)</f>
        <v>35.3024309363621</v>
      </c>
      <c r="I14126" s="6" t="n">
        <f aca="false">Seg!I15*(al_lic+Sens!I14124+sbc_r)</f>
        <v>36.3898468129533</v>
      </c>
      <c r="J14126" s="6" t="n">
        <f aca="false">Seg!J15*(al_lic+Sens!J14124+sbc_r)</f>
        <v>37.3529129529876</v>
      </c>
      <c r="K14126" s="6" t="n">
        <f aca="false">Seg!K15*(al_lic+Sens!K14124+sbc_r)</f>
        <v>38.158536171203</v>
      </c>
    </row>
    <row r="14127" customFormat="false" ht="17.15" hidden="false" customHeight="false" outlineLevel="0" collapsed="false">
      <c r="A14127" s="0" t="s">
        <v>1234</v>
      </c>
      <c r="B14127" s="0" t="s">
        <v>98</v>
      </c>
      <c r="F14127" s="6" t="n">
        <f aca="false">Seg!F17*(al_ind+Sens!F14124+sbc_r)</f>
        <v>9.05892547956683</v>
      </c>
      <c r="G14127" s="6" t="n">
        <f aca="false">Seg!G17*(al_ind+Sens!G14124+sbc_r)</f>
        <v>9.82456487622418</v>
      </c>
      <c r="H14127" s="6" t="n">
        <f aca="false">Seg!H17*(al_ind+Sens!H14124+sbc_r)</f>
        <v>10.6377408477959</v>
      </c>
      <c r="I14127" s="6" t="n">
        <f aca="false">Seg!I17*(al_ind+Sens!I14124+sbc_r)</f>
        <v>11.4966323260293</v>
      </c>
      <c r="J14127" s="6" t="n">
        <f aca="false">Seg!J17*(al_ind+Sens!J14124+sbc_r)</f>
        <v>12.3903660286279</v>
      </c>
      <c r="K14127" s="6" t="n">
        <f aca="false">Seg!K17*(al_ind+Sens!K14124+sbc_r)</f>
        <v>13.3009129057681</v>
      </c>
    </row>
    <row r="14128" customFormat="false" ht="17.15" hidden="false" customHeight="false" outlineLevel="0" collapsed="false">
      <c r="A14128" s="0" t="s">
        <v>1235</v>
      </c>
      <c r="B14128" s="0" t="s">
        <v>98</v>
      </c>
      <c r="F14128" s="6" t="n">
        <f aca="false">Seg!F19*(al_fro+Sens!F14124+sbc_r)</f>
        <v>3.55344443532423</v>
      </c>
      <c r="G14128" s="6" t="n">
        <f aca="false">Seg!G19*(al_fro+Sens!G14124+sbc_r)</f>
        <v>3.75916645971565</v>
      </c>
      <c r="H14128" s="6" t="n">
        <f aca="false">Seg!H19*(al_fro+Sens!H14124+sbc_r)</f>
        <v>3.994970960527</v>
      </c>
      <c r="I14128" s="6" t="n">
        <f aca="false">Seg!I19*(al_fro+Sens!I14124+sbc_r)</f>
        <v>4.26396270432353</v>
      </c>
      <c r="J14128" s="6" t="n">
        <f aca="false">Seg!J19*(al_fro+Sens!J14124+sbc_r)</f>
        <v>4.5667795874336</v>
      </c>
      <c r="K14128" s="6" t="n">
        <f aca="false">Seg!K19*(al_fro+Sens!K14124+sbc_r)</f>
        <v>4.90238443416026</v>
      </c>
    </row>
    <row r="14129" customFormat="false" ht="17.15" hidden="false" customHeight="false" outlineLevel="0" collapsed="false">
      <c r="A14129" s="0" t="s">
        <v>1236</v>
      </c>
      <c r="B14129" s="0" t="s">
        <v>98</v>
      </c>
      <c r="F14129" s="6" t="n">
        <f aca="false">Seg!F22*(al_srch+Sens!F14124+sbc_r)</f>
        <v>11.1872483445711</v>
      </c>
      <c r="G14129" s="6" t="n">
        <f aca="false">Seg!G22*(al_srch+Sens!G14124+sbc_r)</f>
        <v>12.247246048296</v>
      </c>
      <c r="H14129" s="6" t="n">
        <f aca="false">Seg!H22*(al_srch+Sens!H14124+sbc_r)</f>
        <v>13.3552870946193</v>
      </c>
      <c r="I14129" s="6" t="n">
        <f aca="false">Seg!I22*(al_srch+Sens!I14124+sbc_r)</f>
        <v>14.5024145321619</v>
      </c>
      <c r="J14129" s="6" t="n">
        <f aca="false">Seg!J22*(al_srch+Sens!J14124+sbc_r)</f>
        <v>15.667276660652</v>
      </c>
      <c r="K14129" s="6" t="n">
        <f aca="false">Seg!K22*(al_srch+Sens!K14124+sbc_r)</f>
        <v>16.8186381138719</v>
      </c>
    </row>
    <row r="14130" customFormat="false" ht="17.15" hidden="false" customHeight="false" outlineLevel="0" collapsed="false">
      <c r="A14130" s="0" t="s">
        <v>1237</v>
      </c>
      <c r="B14130" s="0" t="s">
        <v>98</v>
      </c>
      <c r="F14130" s="6" t="n">
        <f aca="false">Thesis!F31-Thesis!F32+Thesis!F47</f>
        <v>45.3782580567763</v>
      </c>
      <c r="G14130" s="6" t="n">
        <f aca="false">Thesis!G31-Thesis!G32+Thesis!G47</f>
        <v>91.0863367558165</v>
      </c>
      <c r="H14130" s="6" t="n">
        <f aca="false">Thesis!H31-Thesis!H32+Thesis!H47</f>
        <v>144.617532464853</v>
      </c>
      <c r="I14130" s="6" t="n">
        <f aca="false">Thesis!I31-Thesis!I32+Thesis!I47</f>
        <v>187.137304561304</v>
      </c>
      <c r="J14130" s="6" t="n">
        <f aca="false">Thesis!J31-Thesis!J32+Thesis!J47</f>
        <v>217.006854425907</v>
      </c>
      <c r="K14130" s="6" t="n">
        <f aca="false">Thesis!K31-Thesis!K32+Thesis!K47</f>
        <v>234.933637903877</v>
      </c>
    </row>
    <row r="14131" customFormat="false" ht="17.15" hidden="false" customHeight="false" outlineLevel="0" collapsed="false">
      <c r="A14131" s="0" t="s">
        <v>1238</v>
      </c>
      <c r="B14131" s="0" t="s">
        <v>98</v>
      </c>
      <c r="F14131" s="6" t="n">
        <f aca="false">PL!F32+Thesis!F47+Thesis!F43+Sens!F14124*(Seg!F21-Thesis!F25)+sbc_r*Seg!F21</f>
        <v>240.818167741339</v>
      </c>
      <c r="G14131" s="6" t="n">
        <f aca="false">PL!G32+Thesis!G47+Thesis!G43+Sens!G14124*(Seg!G21-Thesis!G25)+sbc_r*Seg!G21</f>
        <v>311.917784140952</v>
      </c>
      <c r="H14131" s="6" t="n">
        <f aca="false">PL!H32+Thesis!H47+Thesis!H43+Sens!H14124*(Seg!H21-Thesis!H25)+sbc_r*Seg!H21</f>
        <v>395.486245683473</v>
      </c>
      <c r="I14131" s="6" t="n">
        <f aca="false">PL!I32+Thesis!I47+Thesis!I43+Sens!I14124*(Seg!I21-Thesis!I25)+sbc_r*Seg!I21</f>
        <v>465.950805948377</v>
      </c>
      <c r="J14131" s="6" t="n">
        <f aca="false">PL!J32+Thesis!J47+Thesis!J43+Sens!J14124*(Seg!J21-Thesis!J25)+sbc_r*Seg!J21</f>
        <v>520.78677388057</v>
      </c>
      <c r="K14131" s="6" t="n">
        <f aca="false">PL!K32+Thesis!K47+Thesis!K43+Sens!K14124*(Seg!K21-Thesis!K25)+sbc_r*Seg!K21</f>
        <v>561.2469767412</v>
      </c>
    </row>
    <row r="14132" customFormat="false" ht="17.15" hidden="false" customHeight="false" outlineLevel="0" collapsed="false">
      <c r="A14132" s="0" t="s">
        <v>1239</v>
      </c>
      <c r="B14132" s="0" t="s">
        <v>98</v>
      </c>
      <c r="F14132" s="6" t="n">
        <f aca="false">Sens!F14131-Sens!F14125-Sens!F14126-Sens!F14127-Sens!F14128-Sens!F14130</f>
        <v>65.4509489185601</v>
      </c>
      <c r="G14132" s="6" t="n">
        <f aca="false">Sens!G14131-Sens!G14125-Sens!G14126-Sens!G14127-Sens!G14128-Sens!G14130</f>
        <v>74.1791744560715</v>
      </c>
      <c r="H14132" s="6" t="n">
        <f aca="false">Sens!H14131-Sens!H14125-Sens!H14126-Sens!H14127-Sens!H14128-Sens!H14130</f>
        <v>87.3898361986086</v>
      </c>
      <c r="I14132" s="6" t="n">
        <f aca="false">Sens!I14131-Sens!I14125-Sens!I14126-Sens!I14127-Sens!I14128-Sens!I14130</f>
        <v>100.042471156846</v>
      </c>
      <c r="J14132" s="6" t="n">
        <f aca="false">Sens!J14131-Sens!J14125-Sens!J14126-Sens!J14127-Sens!J14128-Sens!J14130</f>
        <v>111.475200729312</v>
      </c>
      <c r="K14132" s="6" t="n">
        <f aca="false">Sens!K14131-Sens!K14125-Sens!K14126-Sens!K14127-Sens!K14128-Sens!K14130</f>
        <v>120.962281233195</v>
      </c>
    </row>
    <row r="14133" customFormat="false" ht="17.15" hidden="false" customHeight="false" outlineLevel="0" collapsed="false">
      <c r="A14133" s="0" t="s">
        <v>1240</v>
      </c>
      <c r="B14133" s="0" t="s">
        <v>98</v>
      </c>
      <c r="F14133" s="6" t="n">
        <f aca="false">PL!F34+Sens!F14124*Seg!F28+sbc_r*Seg!F28</f>
        <v>26.6293388420472</v>
      </c>
      <c r="G14133" s="6" t="n">
        <f aca="false">PL!G34+Sens!G14124*Seg!G28+sbc_r*Seg!G28</f>
        <v>26.4405000412783</v>
      </c>
      <c r="H14133" s="6" t="n">
        <f aca="false">PL!H34+Sens!H14124*Seg!H28+sbc_r*Seg!H28</f>
        <v>27.296860059552</v>
      </c>
      <c r="I14133" s="6" t="n">
        <f aca="false">PL!I34+Sens!I14124*Seg!I28+sbc_r*Seg!I28</f>
        <v>28.3995465815703</v>
      </c>
      <c r="J14133" s="6" t="n">
        <f aca="false">PL!J34+Sens!J14124*Seg!J28+sbc_r*Seg!J28</f>
        <v>29.7093380975903</v>
      </c>
      <c r="K14133" s="6" t="n">
        <f aca="false">PL!K34+Sens!K14124*Seg!K28+sbc_r*Seg!K28</f>
        <v>31.1817775287323</v>
      </c>
    </row>
    <row r="14134" customFormat="false" ht="17.15" hidden="false" customHeight="false" outlineLevel="0" collapsed="false">
      <c r="A14134" s="0" t="s">
        <v>1241</v>
      </c>
      <c r="B14134" s="0" t="s">
        <v>98</v>
      </c>
      <c r="F14134" s="6" t="n">
        <f aca="false">(Sens!F14133-Sens!F14129)*Seg!F24/(Seg!F24+Seg!F26)</f>
        <v>8.72146908842971</v>
      </c>
      <c r="G14134" s="6" t="n">
        <f aca="false">(Sens!G14133-Sens!G14129)*Seg!G24/(Seg!G24+Seg!G26)</f>
        <v>7.87837655379173</v>
      </c>
      <c r="H14134" s="6" t="n">
        <f aca="false">(Sens!H14133-Sens!H14129)*Seg!H24/(Seg!H24+Seg!H26)</f>
        <v>7.63786170689933</v>
      </c>
      <c r="I14134" s="6" t="n">
        <f aca="false">(Sens!I14133-Sens!I14129)*Seg!I24/(Seg!I24+Seg!I26)</f>
        <v>7.5470606300581</v>
      </c>
      <c r="J14134" s="6" t="n">
        <f aca="false">(Sens!J14133-Sens!J14129)*Seg!J24/(Seg!J24+Seg!J26)</f>
        <v>7.59249600034024</v>
      </c>
      <c r="K14134" s="6" t="n">
        <f aca="false">(Sens!K14133-Sens!K14129)*Seg!K24/(Seg!K24+Seg!K26)</f>
        <v>7.76610179704742</v>
      </c>
    </row>
    <row r="14135" customFormat="false" ht="17.15" hidden="false" customHeight="false" outlineLevel="0" collapsed="false">
      <c r="A14135" s="0" t="s">
        <v>1242</v>
      </c>
      <c r="B14135" s="0" t="s">
        <v>98</v>
      </c>
      <c r="F14135" s="6" t="n">
        <f aca="false">Sens!F14133-Sens!F14129-Sens!F14134</f>
        <v>6.72062140904636</v>
      </c>
      <c r="G14135" s="6" t="n">
        <f aca="false">Sens!G14133-Sens!G14129-Sens!G14134</f>
        <v>6.31487743919059</v>
      </c>
      <c r="H14135" s="6" t="n">
        <f aca="false">Sens!H14133-Sens!H14129-Sens!H14134</f>
        <v>6.30371125803333</v>
      </c>
      <c r="I14135" s="6" t="n">
        <f aca="false">Sens!I14133-Sens!I14129-Sens!I14134</f>
        <v>6.35007141935025</v>
      </c>
      <c r="J14135" s="6" t="n">
        <f aca="false">Sens!J14133-Sens!J14129-Sens!J14134</f>
        <v>6.44956543659808</v>
      </c>
      <c r="K14135" s="6" t="n">
        <f aca="false">Sens!K14133-Sens!K14129-Sens!K14134</f>
        <v>6.597037617813</v>
      </c>
    </row>
    <row r="14136" customFormat="false" ht="17.15" hidden="false" customHeight="false" outlineLevel="0" collapsed="false">
      <c r="A14136" s="0" t="s">
        <v>1243</v>
      </c>
      <c r="B14136" s="0" t="s">
        <v>98</v>
      </c>
      <c r="F14136" s="6" t="n">
        <f aca="false">Sens!F14130-tax_f*(Sens!F14130-Thesis!F43)-Thesis!F40</f>
        <v>-125.235434701028</v>
      </c>
      <c r="G14136" s="6" t="n">
        <f aca="false">Sens!G14130-tax_f*(Sens!G14130-Thesis!G43)-Thesis!G40</f>
        <v>-106.928508113935</v>
      </c>
      <c r="H14136" s="6" t="n">
        <f aca="false">Sens!H14130-tax_f*(Sens!H14130-Thesis!H43)-Thesis!H40</f>
        <v>-63.2919599603405</v>
      </c>
      <c r="I14136" s="6" t="n">
        <f aca="false">Sens!I14130-tax_f*(Sens!I14130-Thesis!I43)-Thesis!I40</f>
        <v>3.94121196634245</v>
      </c>
      <c r="J14136" s="6" t="n">
        <f aca="false">Sens!J14130-tax_f*(Sens!J14130-Thesis!J43)-Thesis!J40</f>
        <v>71.0786869547042</v>
      </c>
      <c r="K14136" s="6" t="n">
        <f aca="false">Sens!K14130-tax_f*(Sens!K14130-Thesis!K43)-Thesis!K40</f>
        <v>97.5865911685559</v>
      </c>
    </row>
    <row r="14137" customFormat="false" ht="17.15" hidden="false" customHeight="false" outlineLevel="0" collapsed="false">
      <c r="A14137" s="0" t="s">
        <v>1244</v>
      </c>
      <c r="B14137" s="0" t="s">
        <v>98</v>
      </c>
      <c r="G14137" s="6" t="n">
        <f aca="false">Sens!G14136/(1+wacc)^(Sens!G14107-Sens!F14108)</f>
        <v>-101.81651667568</v>
      </c>
      <c r="H14137" s="6" t="n">
        <f aca="false">Sens!H14136/(1+wacc)^(Sens!H14107-Sens!F14108)</f>
        <v>-54.6415143556151</v>
      </c>
      <c r="I14137" s="6" t="n">
        <f aca="false">Sens!I14136/(1+wacc)^(Sens!I14107-Sens!F14108)</f>
        <v>3.08498765169516</v>
      </c>
      <c r="J14137" s="6" t="n">
        <f aca="false">Sens!J14136/(1+wacc)^(Sens!J14107-Sens!F14108)</f>
        <v>50.4443451596971</v>
      </c>
      <c r="K14137" s="6" t="n">
        <f aca="false">Sens!K14136/(1+wacc)^(Sens!K14107-Sens!F14108)</f>
        <v>62.7932114544856</v>
      </c>
      <c r="L14137" s="1" t="s">
        <v>1245</v>
      </c>
    </row>
    <row r="14138" customFormat="false" ht="17.15" hidden="false" customHeight="false" outlineLevel="0" collapsed="false">
      <c r="A14138" s="0" t="s">
        <v>1246</v>
      </c>
      <c r="B14138" s="0" t="s">
        <v>98</v>
      </c>
      <c r="C14138" s="6" t="n">
        <f aca="false">(Sens!K14130-Thesis!K43)*(1-tax_f)*(1+g_tv_lo)*(1-g_tv_lo/(wacc+ronic_prem))/(wacc-g_tv_lo)/(1+wacc)^(Sens!K14108-Sens!F14108)</f>
        <v>446.459679323175</v>
      </c>
    </row>
    <row r="14139" customFormat="false" ht="17.15" hidden="false" customHeight="false" outlineLevel="0" collapsed="false">
      <c r="A14139" s="1" t="s">
        <v>1247</v>
      </c>
      <c r="B14139" s="0" t="s">
        <v>98</v>
      </c>
      <c r="C14139" s="6" t="n">
        <f aca="false">(SUM(Sens!G14137:K14137)+Sens!$C$14138)*(1+wacc)^(t_roll-Sens!F14108)</f>
        <v>419.738182969655</v>
      </c>
      <c r="L14139" s="12" t="s">
        <v>1248</v>
      </c>
    </row>
    <row r="14140" customFormat="false" ht="17.15" hidden="false" customHeight="false" outlineLevel="0" collapsed="false">
      <c r="A14140" s="1" t="s">
        <v>1249</v>
      </c>
      <c r="B14140" s="0" t="s">
        <v>98</v>
      </c>
      <c r="C14140" s="6" t="n">
        <f aca="false">(w_ntm28*Thesis!G31+(1-w_ntm28)*Thesis!H31)*m_ai</f>
        <v>563.316843258668</v>
      </c>
    </row>
    <row r="14141" customFormat="false" ht="17.15" hidden="false" customHeight="false" outlineLevel="0" collapsed="false">
      <c r="A14141" s="1" t="s">
        <v>1250</v>
      </c>
      <c r="B14141" s="0" t="s">
        <v>98</v>
      </c>
      <c r="C14141" s="6" t="n">
        <f aca="false">(w_ntm28*Sens!G14132+(1-w_ntm28)*Sens!H14132)*m_cloud</f>
        <v>1085.17964696599</v>
      </c>
    </row>
    <row r="14142" customFormat="false" ht="17.15" hidden="false" customHeight="false" outlineLevel="0" collapsed="false">
      <c r="A14142" s="1" t="s">
        <v>1251</v>
      </c>
      <c r="B14142" s="0" t="s">
        <v>98</v>
      </c>
      <c r="C14142" s="6" t="n">
        <f aca="false">(w_ntm28*Sens!G14125+(1-w_ntm28)*Sens!H14125)*m_sw</f>
        <v>1120.47763155275</v>
      </c>
    </row>
    <row r="14143" customFormat="false" ht="17.15" hidden="false" customHeight="false" outlineLevel="0" collapsed="false">
      <c r="A14143" s="1" t="s">
        <v>1252</v>
      </c>
      <c r="B14143" s="0" t="s">
        <v>98</v>
      </c>
      <c r="C14143" s="6" t="n">
        <f aca="false">(w_ntm28*Sens!G14126+(1-w_ntm28)*Sens!H14126)*m_sw</f>
        <v>372.68398809041</v>
      </c>
    </row>
    <row r="14144" customFormat="false" ht="17.15" hidden="false" customHeight="false" outlineLevel="0" collapsed="false">
      <c r="A14144" s="1" t="s">
        <v>1253</v>
      </c>
      <c r="B14144" s="0" t="s">
        <v>98</v>
      </c>
      <c r="C14144" s="6" t="n">
        <f aca="false">(w_ntm28*Sens!G14127+(1-w_ntm28)*Sens!H14127)*m_sw</f>
        <v>108.992632332144</v>
      </c>
    </row>
    <row r="14145" customFormat="false" ht="17.15" hidden="false" customHeight="false" outlineLevel="0" collapsed="false">
      <c r="A14145" s="1" t="s">
        <v>1254</v>
      </c>
      <c r="B14145" s="0" t="s">
        <v>98</v>
      </c>
      <c r="C14145" s="6" t="n">
        <f aca="false">(w_ntm28*Sens!G14128+(1-w_ntm28)*Sens!H14128)*m_sw</f>
        <v>41.4362652527414</v>
      </c>
    </row>
    <row r="14146" customFormat="false" ht="17.15" hidden="false" customHeight="false" outlineLevel="0" collapsed="false">
      <c r="A14146" s="1" t="s">
        <v>1255</v>
      </c>
      <c r="B14146" s="0" t="s">
        <v>98</v>
      </c>
      <c r="C14146" s="6" t="n">
        <f aca="false">(w_ntm28*Sens!G14129+(1-w_ntm28)*Sens!H14129)*m_ads</f>
        <v>114.891070326937</v>
      </c>
    </row>
    <row r="14147" customFormat="false" ht="17.15" hidden="false" customHeight="false" outlineLevel="0" collapsed="false">
      <c r="A14147" s="1" t="s">
        <v>1256</v>
      </c>
      <c r="B14147" s="0" t="s">
        <v>98</v>
      </c>
      <c r="C14147" s="6" t="n">
        <f aca="false">(w_ntm28*Sens!G14134+(1-w_ntm28)*Sens!H14134)*m_game</f>
        <v>98.505199156718</v>
      </c>
    </row>
    <row r="14148" customFormat="false" ht="17.15" hidden="false" customHeight="false" outlineLevel="0" collapsed="false">
      <c r="A14148" s="1" t="s">
        <v>1257</v>
      </c>
      <c r="B14148" s="0" t="s">
        <v>98</v>
      </c>
      <c r="C14148" s="6" t="n">
        <f aca="false">(w_ntm28*Sens!G14135+(1-w_ntm28)*Sens!H14135)*m_pc</f>
        <v>91.3231561150564</v>
      </c>
    </row>
    <row r="14149" customFormat="false" ht="17.15" hidden="false" customHeight="false" outlineLevel="0" collapsed="false">
      <c r="A14149" s="1" t="s">
        <v>1258</v>
      </c>
      <c r="B14149" s="0" t="s">
        <v>98</v>
      </c>
      <c r="C14149" s="6" t="n">
        <f aca="false">Sens!$C$14139+Sens!$C$14141+Sens!$C$14142+Sens!$C$14143+Sens!$C$14144+Sens!$C$14145+Sens!$C$14146+Sens!$C$14147+Sens!$C$14148</f>
        <v>3453.2277727624</v>
      </c>
    </row>
    <row r="14150" customFormat="false" ht="17.15" hidden="false" customHeight="false" outlineLevel="0" collapsed="false">
      <c r="A14150" s="1" t="s">
        <v>1259</v>
      </c>
      <c r="B14150" s="0" t="s">
        <v>98</v>
      </c>
      <c r="C14150" s="6" t="n">
        <f aca="false">(Sens!G14111-Sens!G14136)*t_stub</f>
        <v>48.2832931160316</v>
      </c>
      <c r="L14150" s="1" t="s">
        <v>1260</v>
      </c>
    </row>
    <row r="14151" customFormat="false" ht="17.15" hidden="false" customHeight="false" outlineLevel="0" collapsed="false">
      <c r="A14151" s="1" t="s">
        <v>1169</v>
      </c>
      <c r="B14151" s="0" t="s">
        <v>98</v>
      </c>
      <c r="C14151" s="6" t="n">
        <f aca="false">CF!F39+oai_v-CF!F28+Sens!$C$14150</f>
        <v>162.511563116032</v>
      </c>
      <c r="L14151" s="1" t="s">
        <v>1261</v>
      </c>
    </row>
    <row r="14152" customFormat="false" ht="17.15" hidden="false" customHeight="false" outlineLevel="0" collapsed="false">
      <c r="A14152" s="1" t="s">
        <v>1262</v>
      </c>
      <c r="B14152" s="0" t="s">
        <v>75</v>
      </c>
      <c r="C14152" s="5" t="n">
        <f aca="false">(Sens!$C$14149+Sens!$C$14151)/(CF!F41+dil_gap)-CF!G31*roll_div_q/q_per_yr</f>
        <v>481.68563117834</v>
      </c>
      <c r="L14152" s="1" t="s">
        <v>1263</v>
      </c>
    </row>
    <row r="14153" customFormat="false" ht="17.15" hidden="false" customHeight="false" outlineLevel="0" collapsed="false">
      <c r="A14153" s="1" t="s">
        <v>1264</v>
      </c>
      <c r="B14153" s="0" t="s">
        <v>75</v>
      </c>
      <c r="C14153" s="5" t="n">
        <f aca="false">w_dcf*Sens!$C$14123+(1-w_dcf)*Sens!$C$14152</f>
        <v>421.677309083239</v>
      </c>
    </row>
    <row r="14154" customFormat="false" ht="17.15" hidden="false" customHeight="false" outlineLevel="0" collapsed="false">
      <c r="A14154" s="3" t="s">
        <v>1832</v>
      </c>
    </row>
    <row r="14155" customFormat="false" ht="15" hidden="false" customHeight="false" outlineLevel="0" collapsed="false">
      <c r="A14155" s="4" t="s">
        <v>43</v>
      </c>
      <c r="B14155" s="4" t="s">
        <v>65</v>
      </c>
      <c r="C14155" s="23" t="s">
        <v>938</v>
      </c>
      <c r="D14155" s="23" t="s">
        <v>939</v>
      </c>
      <c r="E14155" s="23" t="s">
        <v>940</v>
      </c>
      <c r="F14155" s="23" t="s">
        <v>941</v>
      </c>
      <c r="G14155" s="23" t="s">
        <v>942</v>
      </c>
      <c r="H14155" s="23" t="s">
        <v>943</v>
      </c>
      <c r="I14155" s="23" t="s">
        <v>944</v>
      </c>
      <c r="J14155" s="23" t="s">
        <v>945</v>
      </c>
      <c r="K14155" s="23" t="s">
        <v>946</v>
      </c>
      <c r="L14155" s="4" t="s">
        <v>47</v>
      </c>
    </row>
    <row r="14156" customFormat="false" ht="17.15" hidden="false" customHeight="false" outlineLevel="0" collapsed="false">
      <c r="A14156" s="1" t="s">
        <v>1212</v>
      </c>
      <c r="B14156" s="1" t="s">
        <v>279</v>
      </c>
      <c r="F14156" s="8" t="n">
        <f aca="false">(1-v_off)*mid_yr</f>
        <v>0.373972602739726</v>
      </c>
      <c r="G14156" s="8" t="n">
        <f aca="false">Thesis!G58-base_fy-mid_yr-v_off</f>
        <v>1.24794520547945</v>
      </c>
      <c r="H14156" s="8" t="n">
        <f aca="false">Thesis!H58-base_fy-mid_yr-v_off</f>
        <v>2.24794520547945</v>
      </c>
      <c r="I14156" s="8" t="n">
        <f aca="false">Thesis!I58-base_fy-mid_yr-v_off</f>
        <v>3.24794520547945</v>
      </c>
      <c r="J14156" s="8" t="n">
        <f aca="false">Thesis!J58-base_fy-mid_yr-v_off</f>
        <v>4.24794520547945</v>
      </c>
      <c r="K14156" s="8" t="n">
        <f aca="false">Thesis!K58-base_fy-mid_yr-v_off</f>
        <v>5.24794520547945</v>
      </c>
      <c r="L14156" s="12" t="s">
        <v>1213</v>
      </c>
    </row>
    <row r="14157" customFormat="false" ht="15" hidden="false" customHeight="false" outlineLevel="0" collapsed="false">
      <c r="A14157" s="1" t="s">
        <v>1214</v>
      </c>
      <c r="B14157" s="1" t="s">
        <v>279</v>
      </c>
      <c r="F14157" s="8" t="n">
        <f aca="false">Thesis!F58-base_fy-v_off</f>
        <v>0.747945205479452</v>
      </c>
      <c r="G14157" s="8" t="n">
        <f aca="false">Thesis!G58-base_fy-v_off</f>
        <v>1.74794520547945</v>
      </c>
      <c r="H14157" s="8" t="n">
        <f aca="false">Thesis!H58-base_fy-v_off</f>
        <v>2.74794520547945</v>
      </c>
      <c r="I14157" s="8" t="n">
        <f aca="false">Thesis!I58-base_fy-v_off</f>
        <v>3.74794520547945</v>
      </c>
      <c r="J14157" s="8" t="n">
        <f aca="false">Thesis!J58-base_fy-v_off</f>
        <v>4.74794520547945</v>
      </c>
      <c r="K14157" s="8" t="n">
        <f aca="false">Thesis!K58-base_fy-v_off</f>
        <v>5.74794520547945</v>
      </c>
    </row>
    <row r="14158" customFormat="false" ht="15" hidden="false" customHeight="false" outlineLevel="0" collapsed="false">
      <c r="A14158" s="1" t="s">
        <v>1215</v>
      </c>
      <c r="B14158" s="0" t="s">
        <v>229</v>
      </c>
      <c r="F14158" s="15" t="n">
        <f aca="false">1/(1+wacc)^Sens!F14156</f>
        <v>0.964022703286649</v>
      </c>
      <c r="G14158" s="15" t="n">
        <f aca="false">1/(1+wacc)^Sens!G14156</f>
        <v>0.884910302296739</v>
      </c>
      <c r="H14158" s="15" t="n">
        <f aca="false">1/(1+wacc)^Sens!H14156</f>
        <v>0.802322009770358</v>
      </c>
      <c r="I14158" s="15" t="n">
        <f aca="false">1/(1+wacc)^Sens!I14156</f>
        <v>0.727441646561469</v>
      </c>
      <c r="J14158" s="15" t="n">
        <f aca="false">1/(1+wacc)^Sens!J14156</f>
        <v>0.659549834988973</v>
      </c>
      <c r="K14158" s="15" t="n">
        <f aca="false">1/(1+wacc)^Sens!K14156</f>
        <v>0.597994336576966</v>
      </c>
    </row>
    <row r="14159" customFormat="false" ht="17.15" hidden="false" customHeight="false" outlineLevel="0" collapsed="false">
      <c r="A14159" s="1" t="s">
        <v>1216</v>
      </c>
      <c r="B14159" s="0" t="s">
        <v>98</v>
      </c>
      <c r="F14159" s="6" t="n">
        <f aca="false">Q!$I$35-Q!$I$39-Q!$I$43</f>
        <v>9.666</v>
      </c>
      <c r="L14159" s="12" t="s">
        <v>1217</v>
      </c>
    </row>
    <row r="14160" customFormat="false" ht="17.15" hidden="false" customHeight="false" outlineLevel="0" collapsed="false">
      <c r="A14160" s="1" t="s">
        <v>1218</v>
      </c>
      <c r="B14160" s="0" t="s">
        <v>98</v>
      </c>
      <c r="F14160" s="6" t="n">
        <f aca="false">CF!F55-CF!F52-CF!F59+Thesis!F99*(1-tax_f)*(1-v_off)-Sens!F14159</f>
        <v>-3.35959137570949</v>
      </c>
      <c r="G14160" s="6" t="n">
        <f aca="false">CF!G55-CF!G52-CF!G59+Thesis!G99*(1-tax_f)</f>
        <v>29.8084555066036</v>
      </c>
      <c r="H14160" s="6" t="n">
        <f aca="false">CF!H55-CF!H52-CF!H59+Thesis!H99*(1-tax_f)</f>
        <v>79.3231801478051</v>
      </c>
      <c r="I14160" s="6" t="n">
        <f aca="false">CF!I55-CF!I52-CF!I59+Thesis!I99*(1-tax_f)</f>
        <v>157.29132812061</v>
      </c>
      <c r="J14160" s="6" t="n">
        <f aca="false">CF!J55-CF!J52-CF!J59+Thesis!J99*(1-tax_f)</f>
        <v>235.537601843622</v>
      </c>
      <c r="K14160" s="6" t="n">
        <f aca="false">CF!K55-CF!K52-CF!K59+Thesis!K99*(1-tax_f)</f>
        <v>273.705067207806</v>
      </c>
      <c r="L14160" s="1" t="s">
        <v>1219</v>
      </c>
    </row>
    <row r="14161" customFormat="false" ht="15" hidden="false" customHeight="false" outlineLevel="0" collapsed="false">
      <c r="A14161" s="1" t="s">
        <v>1220</v>
      </c>
      <c r="B14161" s="0" t="s">
        <v>98</v>
      </c>
      <c r="F14161" s="6" t="n">
        <f aca="false">Sens!F14160*Sens!F14158</f>
        <v>-3.23872235994998</v>
      </c>
      <c r="G14161" s="6" t="n">
        <f aca="false">Sens!G14160*Sens!G14158</f>
        <v>26.3778093733475</v>
      </c>
      <c r="H14161" s="6" t="n">
        <f aca="false">Sens!H14160*Sens!H14158</f>
        <v>63.6427333175632</v>
      </c>
      <c r="I14161" s="6" t="n">
        <f aca="false">Sens!I14160*Sens!I14158</f>
        <v>114.420262717897</v>
      </c>
      <c r="J14161" s="6" t="n">
        <f aca="false">Sens!J14160*Sens!J14158</f>
        <v>155.348786429659</v>
      </c>
      <c r="K14161" s="6" t="n">
        <f aca="false">Sens!K14160*Sens!K14158</f>
        <v>163.674080082686</v>
      </c>
    </row>
    <row r="14162" customFormat="false" ht="17.15" hidden="false" customHeight="false" outlineLevel="0" collapsed="false">
      <c r="A14162" s="1" t="s">
        <v>1221</v>
      </c>
      <c r="B14162" s="0" t="s">
        <v>98</v>
      </c>
      <c r="C14162" s="6" t="n">
        <f aca="false">SUM(Sens!F14161:K14161)</f>
        <v>520.224949561203</v>
      </c>
    </row>
    <row r="14163" customFormat="false" ht="17.15" hidden="false" customHeight="false" outlineLevel="0" collapsed="false">
      <c r="A14163" s="1" t="s">
        <v>1222</v>
      </c>
      <c r="B14163" s="0" t="s">
        <v>98</v>
      </c>
      <c r="C14163" s="6" t="n">
        <f aca="false">PL!K78*(1+g_tv_lo)*(1-tax_f)</f>
        <v>282.212742526001</v>
      </c>
    </row>
    <row r="14164" customFormat="false" ht="17.15" hidden="false" customHeight="false" outlineLevel="0" collapsed="false">
      <c r="A14164" s="1" t="s">
        <v>1223</v>
      </c>
      <c r="B14164" s="0" t="s">
        <v>98</v>
      </c>
      <c r="C14164" s="6" t="n">
        <f aca="false">Sens!$C$14163*(1-g_tv_lo/(wacc+ronic_prem))</f>
        <v>227.380395751441</v>
      </c>
    </row>
    <row r="14165" customFormat="false" ht="17.15" hidden="false" customHeight="false" outlineLevel="0" collapsed="false">
      <c r="A14165" s="1" t="s">
        <v>1224</v>
      </c>
      <c r="B14165" s="0" t="s">
        <v>98</v>
      </c>
      <c r="C14165" s="6" t="n">
        <f aca="false">Sens!$C$14164/(wacc-g_tv_lo)</f>
        <v>2741.617338728</v>
      </c>
    </row>
    <row r="14166" customFormat="false" ht="15" hidden="false" customHeight="false" outlineLevel="0" collapsed="false">
      <c r="A14166" s="1" t="s">
        <v>1225</v>
      </c>
      <c r="B14166" s="0" t="s">
        <v>98</v>
      </c>
      <c r="C14166" s="6" t="n">
        <f aca="false">Sens!$C$14165/(1+wacc)^Sens!K14157</f>
        <v>1561.09249705888</v>
      </c>
    </row>
    <row r="14167" customFormat="false" ht="17.15" hidden="false" customHeight="false" outlineLevel="0" collapsed="false">
      <c r="A14167" s="0" t="s">
        <v>1226</v>
      </c>
      <c r="B14167" s="0" t="s">
        <v>98</v>
      </c>
      <c r="C14167" s="6" t="n">
        <f aca="false">Sens!$C$14162+Sens!$C$14166</f>
        <v>2081.31744662008</v>
      </c>
    </row>
    <row r="14168" customFormat="false" ht="15" hidden="false" customHeight="false" outlineLevel="0" collapsed="false">
      <c r="A14168" s="1" t="s">
        <v>1141</v>
      </c>
      <c r="B14168" s="0" t="s">
        <v>168</v>
      </c>
      <c r="C14168" s="7" t="n">
        <f aca="false">Sens!$C$14166/Sens!$C$14167</f>
        <v>0.750050166347276</v>
      </c>
    </row>
    <row r="14169" customFormat="false" ht="17.15" hidden="false" customHeight="false" outlineLevel="0" collapsed="false">
      <c r="A14169" s="1" t="s">
        <v>1227</v>
      </c>
      <c r="B14169" s="0" t="s">
        <v>98</v>
      </c>
      <c r="C14169" s="6" t="n">
        <f aca="false">Sens!$C$14167+cash_val-debt_val-fl_val+oai_v</f>
        <v>2197.16844662008</v>
      </c>
    </row>
    <row r="14170" customFormat="false" ht="17.15" hidden="false" customHeight="false" outlineLevel="0" collapsed="false">
      <c r="A14170" s="0" t="s">
        <v>1149</v>
      </c>
      <c r="B14170" s="0" t="s">
        <v>75</v>
      </c>
      <c r="C14170" s="5" t="n">
        <f aca="false">Sens!$C$14169/shd_val</f>
        <v>295.080371557895</v>
      </c>
    </row>
    <row r="14171" customFormat="false" ht="15" hidden="false" customHeight="false" outlineLevel="0" collapsed="false">
      <c r="A14171" s="1" t="s">
        <v>1228</v>
      </c>
      <c r="B14171" s="0" t="s">
        <v>75</v>
      </c>
      <c r="C14171" s="8" t="n">
        <f aca="false">div_rem27+CF!G63*roll_div_q/q_per_yr</f>
        <v>3.9795</v>
      </c>
    </row>
    <row r="14172" customFormat="false" ht="17.15" hidden="false" customHeight="false" outlineLevel="0" collapsed="false">
      <c r="A14172" s="0" t="s">
        <v>1229</v>
      </c>
      <c r="B14172" s="0" t="s">
        <v>75</v>
      </c>
      <c r="C14172" s="5" t="n">
        <f aca="false">Sens!$C$14170*(1+wacc)^t_roll-Sens!$C$14171</f>
        <v>324.018801641623</v>
      </c>
    </row>
    <row r="14173" customFormat="false" ht="17.15" hidden="false" customHeight="false" outlineLevel="0" collapsed="false">
      <c r="A14173" s="1" t="s">
        <v>1230</v>
      </c>
      <c r="B14173" s="0" t="s">
        <v>168</v>
      </c>
      <c r="F14173" s="7" t="n">
        <f aca="false">CF!F49/(Seg!F56-Thesis!F77)</f>
        <v>0.0686195668908011</v>
      </c>
      <c r="G14173" s="7" t="n">
        <f aca="false">CF!G49/(Seg!G56-Thesis!G77)</f>
        <v>0.0658333569148391</v>
      </c>
      <c r="H14173" s="7" t="n">
        <f aca="false">CF!H49/(Seg!H56-Thesis!H77)</f>
        <v>0.0643895625218926</v>
      </c>
      <c r="I14173" s="7" t="n">
        <f aca="false">CF!I49/(Seg!I56-Thesis!I77)</f>
        <v>0.0641676618157989</v>
      </c>
      <c r="J14173" s="7" t="n">
        <f aca="false">CF!J49/(Seg!J56-Thesis!J77)</f>
        <v>0.0648858606572163</v>
      </c>
      <c r="K14173" s="7" t="n">
        <f aca="false">CF!K49/(Seg!K56-Thesis!K77)</f>
        <v>0.0661974425163768</v>
      </c>
    </row>
    <row r="14174" customFormat="false" ht="17.15" hidden="false" customHeight="false" outlineLevel="0" collapsed="false">
      <c r="A14174" s="0" t="s">
        <v>1231</v>
      </c>
      <c r="B14174" s="0" t="s">
        <v>98</v>
      </c>
      <c r="F14174" s="6" t="n">
        <f aca="false">Seg!F41*(al_m365+Sens!F14173+sbc_r)</f>
        <v>83.7205619248671</v>
      </c>
      <c r="G14174" s="6" t="n">
        <f aca="false">Seg!G41*(al_m365+Sens!G14173+sbc_r)</f>
        <v>96.1301303332381</v>
      </c>
      <c r="H14174" s="6" t="n">
        <f aca="false">Seg!H41*(al_m365+Sens!H14173+sbc_r)</f>
        <v>108.70354073822</v>
      </c>
      <c r="I14174" s="6" t="n">
        <f aca="false">Seg!I41*(al_m365+Sens!I14173+sbc_r)</f>
        <v>120.260101315626</v>
      </c>
      <c r="J14174" s="6" t="n">
        <f aca="false">Seg!J41*(al_m365+Sens!J14173+sbc_r)</f>
        <v>130.611904548619</v>
      </c>
      <c r="K14174" s="6" t="n">
        <f aca="false">Seg!K41*(al_m365+Sens!K14173+sbc_r)</f>
        <v>140.575094974638</v>
      </c>
      <c r="L14174" s="12" t="s">
        <v>1232</v>
      </c>
    </row>
    <row r="14175" customFormat="false" ht="17.15" hidden="false" customHeight="false" outlineLevel="0" collapsed="false">
      <c r="A14175" s="0" t="s">
        <v>1233</v>
      </c>
      <c r="B14175" s="0" t="s">
        <v>98</v>
      </c>
      <c r="F14175" s="6" t="n">
        <f aca="false">Seg!F42*(al_lic+Sens!F14173+sbc_r)</f>
        <v>32.8577657183496</v>
      </c>
      <c r="G14175" s="6" t="n">
        <f aca="false">Seg!G42*(al_lic+Sens!G14173+sbc_r)</f>
        <v>34.1376266324889</v>
      </c>
      <c r="H14175" s="6" t="n">
        <f aca="false">Seg!H42*(al_lic+Sens!H14173+sbc_r)</f>
        <v>35.3325744664128</v>
      </c>
      <c r="I14175" s="6" t="n">
        <f aca="false">Seg!I42*(al_lic+Sens!I14173+sbc_r)</f>
        <v>36.4244749008727</v>
      </c>
      <c r="J14175" s="6" t="n">
        <f aca="false">Seg!J42*(al_lic+Sens!J14173+sbc_r)</f>
        <v>37.3879406068527</v>
      </c>
      <c r="K14175" s="6" t="n">
        <f aca="false">Seg!K42*(al_lic+Sens!K14173+sbc_r)</f>
        <v>38.1943876078259</v>
      </c>
    </row>
    <row r="14176" customFormat="false" ht="17.15" hidden="false" customHeight="false" outlineLevel="0" collapsed="false">
      <c r="A14176" s="0" t="s">
        <v>1234</v>
      </c>
      <c r="B14176" s="0" t="s">
        <v>98</v>
      </c>
      <c r="F14176" s="6" t="n">
        <f aca="false">Seg!F44*(al_ind+Sens!F14173+sbc_r)</f>
        <v>9.06041701092022</v>
      </c>
      <c r="G14176" s="6" t="n">
        <f aca="false">Seg!G44*(al_ind+Sens!G14173+sbc_r)</f>
        <v>9.83619082712885</v>
      </c>
      <c r="H14176" s="6" t="n">
        <f aca="false">Seg!H44*(al_ind+Sens!H14173+sbc_r)</f>
        <v>10.6570160105312</v>
      </c>
      <c r="I14176" s="6" t="n">
        <f aca="false">Seg!I44*(al_ind+Sens!I14173+sbc_r)</f>
        <v>11.5198571637125</v>
      </c>
      <c r="J14176" s="6" t="n">
        <f aca="false">Seg!J44*(al_ind+Sens!J14173+sbc_r)</f>
        <v>12.4150086539206</v>
      </c>
      <c r="K14176" s="6" t="n">
        <f aca="false">Seg!K44*(al_ind+Sens!K14173+sbc_r)</f>
        <v>13.3273714589988</v>
      </c>
    </row>
    <row r="14177" customFormat="false" ht="17.15" hidden="false" customHeight="false" outlineLevel="0" collapsed="false">
      <c r="A14177" s="0" t="s">
        <v>1235</v>
      </c>
      <c r="B14177" s="0" t="s">
        <v>98</v>
      </c>
      <c r="F14177" s="6" t="n">
        <f aca="false">Seg!F46*(al_fro+Sens!F14173+sbc_r)</f>
        <v>3.55402950182022</v>
      </c>
      <c r="G14177" s="6" t="n">
        <f aca="false">Seg!G46*(al_fro+Sens!G14173+sbc_r)</f>
        <v>3.76361488926481</v>
      </c>
      <c r="H14177" s="6" t="n">
        <f aca="false">Seg!H46*(al_fro+Sens!H14173+sbc_r)</f>
        <v>4.00220968879544</v>
      </c>
      <c r="I14177" s="6" t="n">
        <f aca="false">Seg!I46*(al_fro+Sens!I14173+sbc_r)</f>
        <v>4.2725765173852</v>
      </c>
      <c r="J14177" s="6" t="n">
        <f aca="false">Seg!J46*(al_fro+Sens!J14173+sbc_r)</f>
        <v>4.57586224390293</v>
      </c>
      <c r="K14177" s="6" t="n">
        <f aca="false">Seg!K46*(al_fro+Sens!K14173+sbc_r)</f>
        <v>4.91213639633217</v>
      </c>
    </row>
    <row r="14178" customFormat="false" ht="17.15" hidden="false" customHeight="false" outlineLevel="0" collapsed="false">
      <c r="A14178" s="0" t="s">
        <v>1236</v>
      </c>
      <c r="B14178" s="0" t="s">
        <v>98</v>
      </c>
      <c r="F14178" s="6" t="n">
        <f aca="false">Seg!F49*(al_srch+Sens!F14173+sbc_r)</f>
        <v>11.1890902994147</v>
      </c>
      <c r="G14178" s="6" t="n">
        <f aca="false">Seg!G49*(al_srch+Sens!G14173+sbc_r)</f>
        <v>12.261738891803</v>
      </c>
      <c r="H14178" s="6" t="n">
        <f aca="false">Seg!H49*(al_srch+Sens!H14173+sbc_r)</f>
        <v>13.3794863429193</v>
      </c>
      <c r="I14178" s="6" t="n">
        <f aca="false">Seg!I49*(al_srch+Sens!I14173+sbc_r)</f>
        <v>14.5317114787784</v>
      </c>
      <c r="J14178" s="6" t="n">
        <f aca="false">Seg!J49*(al_srch+Sens!J14173+sbc_r)</f>
        <v>15.6984365817724</v>
      </c>
      <c r="K14178" s="6" t="n">
        <f aca="false">Seg!K49*(al_srch+Sens!K14173+sbc_r)</f>
        <v>16.8520942258664</v>
      </c>
    </row>
    <row r="14179" customFormat="false" ht="17.15" hidden="false" customHeight="false" outlineLevel="0" collapsed="false">
      <c r="A14179" s="0" t="s">
        <v>1237</v>
      </c>
      <c r="B14179" s="0" t="s">
        <v>98</v>
      </c>
      <c r="F14179" s="6" t="n">
        <f aca="false">Thesis!F83-Thesis!F84+Thesis!F99</f>
        <v>42.5431090240393</v>
      </c>
      <c r="G14179" s="6" t="n">
        <f aca="false">Thesis!G83-Thesis!G84+Thesis!G99</f>
        <v>81.4922561130847</v>
      </c>
      <c r="H14179" s="6" t="n">
        <f aca="false">Thesis!H83-Thesis!H84+Thesis!H99</f>
        <v>123.278266211349</v>
      </c>
      <c r="I14179" s="6" t="n">
        <f aca="false">Thesis!I83-Thesis!I84+Thesis!I99</f>
        <v>160.60594185192</v>
      </c>
      <c r="J14179" s="6" t="n">
        <f aca="false">Thesis!J83-Thesis!J84+Thesis!J99</f>
        <v>186.818741832633</v>
      </c>
      <c r="K14179" s="6" t="n">
        <f aca="false">Thesis!K83-Thesis!K84+Thesis!K99</f>
        <v>202.776422159652</v>
      </c>
    </row>
    <row r="14180" customFormat="false" ht="17.15" hidden="false" customHeight="false" outlineLevel="0" collapsed="false">
      <c r="A14180" s="0" t="s">
        <v>1238</v>
      </c>
      <c r="B14180" s="0" t="s">
        <v>98</v>
      </c>
      <c r="F14180" s="6" t="n">
        <f aca="false">PL!F71+Thesis!F99+Thesis!F95+Sens!F14173*(Seg!F48-Thesis!F77)+sbc_r*Seg!F48</f>
        <v>238.090727427296</v>
      </c>
      <c r="G14180" s="6" t="n">
        <f aca="false">PL!G71+Thesis!G99+Thesis!G95+Sens!G14173*(Seg!G48-Thesis!G77)+sbc_r*Seg!G48</f>
        <v>299.90836088563</v>
      </c>
      <c r="H14180" s="6" t="n">
        <f aca="false">PL!H71+Thesis!H99+Thesis!H95+Sens!H14173*(Seg!H48-Thesis!H77)+sbc_r*Seg!H48</f>
        <v>369.457709442386</v>
      </c>
      <c r="I14180" s="6" t="n">
        <f aca="false">PL!I71+Thesis!I99+Thesis!I95+Sens!I14173*(Seg!I48-Thesis!I77)+sbc_r*Seg!I48</f>
        <v>433.16585128823</v>
      </c>
      <c r="J14180" s="6" t="n">
        <f aca="false">PL!J71+Thesis!J99+Thesis!J95+Sens!J14173*(Seg!J48-Thesis!J77)+sbc_r*Seg!J48</f>
        <v>483.301303131191</v>
      </c>
      <c r="K14180" s="6" t="n">
        <f aca="false">PL!K71+Thesis!K99+Thesis!K95+Sens!K14173*(Seg!K48-Thesis!K77)+sbc_r*Seg!K48</f>
        <v>520.789002205336</v>
      </c>
    </row>
    <row r="14181" customFormat="false" ht="17.15" hidden="false" customHeight="false" outlineLevel="0" collapsed="false">
      <c r="A14181" s="0" t="s">
        <v>1239</v>
      </c>
      <c r="B14181" s="0" t="s">
        <v>98</v>
      </c>
      <c r="F14181" s="6" t="n">
        <f aca="false">Sens!F14180-Sens!F14174-Sens!F14175-Sens!F14176-Sens!F14177-Sens!F14179</f>
        <v>66.3548442472996</v>
      </c>
      <c r="G14181" s="6" t="n">
        <f aca="false">Sens!G14180-Sens!G14174-Sens!G14175-Sens!G14176-Sens!G14177-Sens!G14179</f>
        <v>74.548542090425</v>
      </c>
      <c r="H14181" s="6" t="n">
        <f aca="false">Sens!H14180-Sens!H14174-Sens!H14175-Sens!H14176-Sens!H14177-Sens!H14179</f>
        <v>87.4841023270775</v>
      </c>
      <c r="I14181" s="6" t="n">
        <f aca="false">Sens!I14180-Sens!I14174-Sens!I14175-Sens!I14176-Sens!I14177-Sens!I14179</f>
        <v>100.082899538713</v>
      </c>
      <c r="J14181" s="6" t="n">
        <f aca="false">Sens!J14180-Sens!J14174-Sens!J14175-Sens!J14176-Sens!J14177-Sens!J14179</f>
        <v>111.491845245262</v>
      </c>
      <c r="K14181" s="6" t="n">
        <f aca="false">Sens!K14180-Sens!K14174-Sens!K14175-Sens!K14176-Sens!K14177-Sens!K14179</f>
        <v>121.003589607889</v>
      </c>
    </row>
    <row r="14182" customFormat="false" ht="17.15" hidden="false" customHeight="false" outlineLevel="0" collapsed="false">
      <c r="A14182" s="0" t="s">
        <v>1240</v>
      </c>
      <c r="B14182" s="0" t="s">
        <v>98</v>
      </c>
      <c r="F14182" s="6" t="n">
        <f aca="false">PL!F73+Sens!F14173*Seg!F55+sbc_r*Seg!F55</f>
        <v>26.6336365855879</v>
      </c>
      <c r="G14182" s="6" t="n">
        <f aca="false">PL!G73+Sens!G14173*Seg!G55+sbc_r*Seg!G55</f>
        <v>26.4720859498625</v>
      </c>
      <c r="H14182" s="6" t="n">
        <f aca="false">PL!H73+Sens!H14173*Seg!H55+sbc_r*Seg!H55</f>
        <v>27.346793021284</v>
      </c>
      <c r="I14182" s="6" t="n">
        <f aca="false">PL!I73+Sens!I14173*Seg!I55+sbc_r*Seg!I55</f>
        <v>28.4574657863154</v>
      </c>
      <c r="J14182" s="6" t="n">
        <f aca="false">PL!J73+Sens!J14173*Seg!J55+sbc_r*Seg!J55</f>
        <v>29.7689890546037</v>
      </c>
      <c r="K14182" s="6" t="n">
        <f aca="false">PL!K73+Sens!K14173*Seg!K55+sbc_r*Seg!K55</f>
        <v>31.2443947307494</v>
      </c>
    </row>
    <row r="14183" customFormat="false" ht="17.15" hidden="false" customHeight="false" outlineLevel="0" collapsed="false">
      <c r="A14183" s="0" t="s">
        <v>1241</v>
      </c>
      <c r="B14183" s="0" t="s">
        <v>98</v>
      </c>
      <c r="F14183" s="6" t="n">
        <f aca="false">(Sens!F14182-Sens!F14178)*Seg!F51/(Seg!F51+Seg!F53)</f>
        <v>8.72285608232241</v>
      </c>
      <c r="G14183" s="6" t="n">
        <f aca="false">(Sens!G14182-Sens!G14178)*Seg!G51/(Seg!G51+Seg!G53)</f>
        <v>7.88786455444355</v>
      </c>
      <c r="H14183" s="6" t="n">
        <f aca="false">(Sens!H14182-Sens!H14178)*Seg!H51/(Seg!H51+Seg!H53)</f>
        <v>7.65195986819674</v>
      </c>
      <c r="I14183" s="6" t="n">
        <f aca="false">(Sens!I14182-Sens!I14178)*Seg!I51/(Seg!I51+Seg!I53)</f>
        <v>7.56260440676676</v>
      </c>
      <c r="J14183" s="6" t="n">
        <f aca="false">(Sens!J14182-Sens!J14178)*Seg!J51/(Seg!J51+Seg!J53)</f>
        <v>7.60790100885945</v>
      </c>
      <c r="K14183" s="6" t="n">
        <f aca="false">(Sens!K14182-Sens!K14178)*Seg!K51/(Seg!K51+Seg!K53)</f>
        <v>7.78186910160995</v>
      </c>
    </row>
    <row r="14184" customFormat="false" ht="17.15" hidden="false" customHeight="false" outlineLevel="0" collapsed="false">
      <c r="A14184" s="0" t="s">
        <v>1242</v>
      </c>
      <c r="B14184" s="0" t="s">
        <v>98</v>
      </c>
      <c r="F14184" s="6" t="n">
        <f aca="false">Sens!F14182-Sens!F14178-Sens!F14183</f>
        <v>6.72169020385088</v>
      </c>
      <c r="G14184" s="6" t="n">
        <f aca="false">Sens!G14182-Sens!G14178-Sens!G14183</f>
        <v>6.322482503616</v>
      </c>
      <c r="H14184" s="6" t="n">
        <f aca="false">Sens!H14182-Sens!H14178-Sens!H14183</f>
        <v>6.315346810168</v>
      </c>
      <c r="I14184" s="6" t="n">
        <f aca="false">Sens!I14182-Sens!I14178-Sens!I14183</f>
        <v>6.36314990077033</v>
      </c>
      <c r="J14184" s="6" t="n">
        <f aca="false">Sens!J14182-Sens!J14178-Sens!J14183</f>
        <v>6.46265146397189</v>
      </c>
      <c r="K14184" s="6" t="n">
        <f aca="false">Sens!K14182-Sens!K14178-Sens!K14183</f>
        <v>6.61043140327304</v>
      </c>
    </row>
    <row r="14185" customFormat="false" ht="17.15" hidden="false" customHeight="false" outlineLevel="0" collapsed="false">
      <c r="A14185" s="0" t="s">
        <v>1243</v>
      </c>
      <c r="B14185" s="0" t="s">
        <v>98</v>
      </c>
      <c r="F14185" s="6" t="n">
        <f aca="false">Sens!F14179-tax_f*(Sens!F14179-Thesis!F95)-Thesis!F92</f>
        <v>-127.503553927218</v>
      </c>
      <c r="G14185" s="6" t="n">
        <f aca="false">Sens!G14179-tax_f*(Sens!G14179-Thesis!G95)-Thesis!G92</f>
        <v>-114.603772628121</v>
      </c>
      <c r="H14185" s="6" t="n">
        <f aca="false">Sens!H14179-tax_f*(Sens!H14179-Thesis!H95)-Thesis!H92</f>
        <v>-80.3633729631438</v>
      </c>
      <c r="I14185" s="6" t="n">
        <f aca="false">Sens!I14179-tax_f*(Sens!I14179-Thesis!I95)-Thesis!I92</f>
        <v>-17.2838782011649</v>
      </c>
      <c r="J14185" s="6" t="n">
        <f aca="false">Sens!J14179-tax_f*(Sens!J14179-Thesis!J95)-Thesis!J92</f>
        <v>46.9281968800854</v>
      </c>
      <c r="K14185" s="6" t="n">
        <f aca="false">Sens!K14179-tax_f*(Sens!K14179-Thesis!K95)-Thesis!K92</f>
        <v>71.8608185731755</v>
      </c>
    </row>
    <row r="14186" customFormat="false" ht="17.15" hidden="false" customHeight="false" outlineLevel="0" collapsed="false">
      <c r="A14186" s="0" t="s">
        <v>1244</v>
      </c>
      <c r="B14186" s="0" t="s">
        <v>98</v>
      </c>
      <c r="G14186" s="6" t="n">
        <f aca="false">Sens!G14185/(1+wacc)^(Sens!G14156-Sens!F14157)</f>
        <v>-109.124845494465</v>
      </c>
      <c r="H14186" s="6" t="n">
        <f aca="false">Sens!H14185/(1+wacc)^(Sens!H14156-Sens!F14157)</f>
        <v>-69.3796874071025</v>
      </c>
      <c r="I14186" s="6" t="n">
        <f aca="false">Sens!I14185/(1+wacc)^(Sens!I14156-Sens!F14157)</f>
        <v>-13.5289731380471</v>
      </c>
      <c r="J14186" s="6" t="n">
        <f aca="false">Sens!J14185/(1+wacc)^(Sens!J14156-Sens!F14157)</f>
        <v>33.3048099587126</v>
      </c>
      <c r="K14186" s="6" t="n">
        <f aca="false">Sens!K14185/(1+wacc)^(Sens!K14156-Sens!F14157)</f>
        <v>46.2396679904913</v>
      </c>
      <c r="L14186" s="1" t="s">
        <v>1245</v>
      </c>
    </row>
    <row r="14187" customFormat="false" ht="17.15" hidden="false" customHeight="false" outlineLevel="0" collapsed="false">
      <c r="A14187" s="0" t="s">
        <v>1246</v>
      </c>
      <c r="B14187" s="0" t="s">
        <v>98</v>
      </c>
      <c r="C14187" s="6" t="n">
        <f aca="false">(Sens!K14179-Thesis!K95)*(1-tax_f)*(1+g_tv_lo)*(1-g_tv_lo/(wacc+ronic_prem))/(wacc-g_tv_lo)/(1+wacc)^(Sens!K14157-Sens!F14157)</f>
        <v>290.272244765612</v>
      </c>
    </row>
    <row r="14188" customFormat="false" ht="17.15" hidden="false" customHeight="false" outlineLevel="0" collapsed="false">
      <c r="A14188" s="1" t="s">
        <v>1247</v>
      </c>
      <c r="B14188" s="0" t="s">
        <v>98</v>
      </c>
      <c r="C14188" s="6" t="n">
        <f aca="false">(SUM(Sens!G14186:K14186)+Sens!$C$14187)*(1+wacc)^(t_roll-Sens!F14157)</f>
        <v>183.652378314003</v>
      </c>
      <c r="L14188" s="12" t="s">
        <v>1248</v>
      </c>
    </row>
    <row r="14189" customFormat="false" ht="17.15" hidden="false" customHeight="false" outlineLevel="0" collapsed="false">
      <c r="A14189" s="1" t="s">
        <v>1249</v>
      </c>
      <c r="B14189" s="0" t="s">
        <v>98</v>
      </c>
      <c r="C14189" s="6" t="n">
        <f aca="false">(w_ntm28*Thesis!G83+(1-w_ntm28)*Thesis!H83)*m_ai</f>
        <v>463.789109510335</v>
      </c>
    </row>
    <row r="14190" customFormat="false" ht="17.15" hidden="false" customHeight="false" outlineLevel="0" collapsed="false">
      <c r="A14190" s="1" t="s">
        <v>1250</v>
      </c>
      <c r="B14190" s="0" t="s">
        <v>98</v>
      </c>
      <c r="C14190" s="6" t="n">
        <f aca="false">(w_ntm28*Sens!G14181+(1-w_ntm28)*Sens!H14181)*m_cloud</f>
        <v>1089.03436702245</v>
      </c>
    </row>
    <row r="14191" customFormat="false" ht="17.15" hidden="false" customHeight="false" outlineLevel="0" collapsed="false">
      <c r="A14191" s="1" t="s">
        <v>1251</v>
      </c>
      <c r="B14191" s="0" t="s">
        <v>98</v>
      </c>
      <c r="C14191" s="6" t="n">
        <f aca="false">(w_ntm28*Sens!G14174+(1-w_ntm28)*Sens!H14174)*m_sw</f>
        <v>1082.84962646159</v>
      </c>
    </row>
    <row r="14192" customFormat="false" ht="17.15" hidden="false" customHeight="false" outlineLevel="0" collapsed="false">
      <c r="A14192" s="1" t="s">
        <v>1252</v>
      </c>
      <c r="B14192" s="0" t="s">
        <v>98</v>
      </c>
      <c r="C14192" s="6" t="n">
        <f aca="false">(w_ntm28*Sens!G14175+(1-w_ntm28)*Sens!H14175)*m_sw</f>
        <v>372.929250898731</v>
      </c>
    </row>
    <row r="14193" customFormat="false" ht="17.15" hidden="false" customHeight="false" outlineLevel="0" collapsed="false">
      <c r="A14193" s="1" t="s">
        <v>1253</v>
      </c>
      <c r="B14193" s="0" t="s">
        <v>98</v>
      </c>
      <c r="C14193" s="6" t="n">
        <f aca="false">(w_ntm28*Sens!G14176+(1-w_ntm28)*Sens!H14176)*m_sw</f>
        <v>109.1453525431</v>
      </c>
    </row>
    <row r="14194" customFormat="false" ht="17.15" hidden="false" customHeight="false" outlineLevel="0" collapsed="false">
      <c r="A14194" s="1" t="s">
        <v>1254</v>
      </c>
      <c r="B14194" s="0" t="s">
        <v>98</v>
      </c>
      <c r="C14194" s="6" t="n">
        <f aca="false">(w_ntm28*Sens!G14177+(1-w_ntm28)*Sens!H14177)*m_sw</f>
        <v>41.4942157634893</v>
      </c>
    </row>
    <row r="14195" customFormat="false" ht="17.15" hidden="false" customHeight="false" outlineLevel="0" collapsed="false">
      <c r="A14195" s="1" t="s">
        <v>1255</v>
      </c>
      <c r="B14195" s="0" t="s">
        <v>98</v>
      </c>
      <c r="C14195" s="6" t="n">
        <f aca="false">(w_ntm28*Sens!G14178+(1-w_ntm28)*Sens!H14178)*m_ads</f>
        <v>115.052171478463</v>
      </c>
    </row>
    <row r="14196" customFormat="false" ht="17.15" hidden="false" customHeight="false" outlineLevel="0" collapsed="false">
      <c r="A14196" s="1" t="s">
        <v>1256</v>
      </c>
      <c r="B14196" s="0" t="s">
        <v>98</v>
      </c>
      <c r="C14196" s="6" t="n">
        <f aca="false">(w_ntm28*Sens!G14183+(1-w_ntm28)*Sens!H14183)*m_game</f>
        <v>98.6441755076202</v>
      </c>
    </row>
    <row r="14197" customFormat="false" ht="17.15" hidden="false" customHeight="false" outlineLevel="0" collapsed="false">
      <c r="A14197" s="1" t="s">
        <v>1257</v>
      </c>
      <c r="B14197" s="0" t="s">
        <v>98</v>
      </c>
      <c r="C14197" s="6" t="n">
        <f aca="false">(w_ntm28*Sens!G14184+(1-w_ntm28)*Sens!H14184)*m_pc</f>
        <v>91.4523754763561</v>
      </c>
    </row>
    <row r="14198" customFormat="false" ht="17.15" hidden="false" customHeight="false" outlineLevel="0" collapsed="false">
      <c r="A14198" s="1" t="s">
        <v>1258</v>
      </c>
      <c r="B14198" s="0" t="s">
        <v>98</v>
      </c>
      <c r="C14198" s="6" t="n">
        <f aca="false">Sens!$C$14188+Sens!$C$14190+Sens!$C$14191+Sens!$C$14192+Sens!$C$14193+Sens!$C$14194+Sens!$C$14195+Sens!$C$14196+Sens!$C$14197</f>
        <v>3184.25391346581</v>
      </c>
    </row>
    <row r="14199" customFormat="false" ht="17.15" hidden="false" customHeight="false" outlineLevel="0" collapsed="false">
      <c r="A14199" s="1" t="s">
        <v>1259</v>
      </c>
      <c r="B14199" s="0" t="s">
        <v>98</v>
      </c>
      <c r="C14199" s="6" t="n">
        <f aca="false">(Sens!G14160-Sens!G14185)*t_stub</f>
        <v>47.8736427515113</v>
      </c>
      <c r="L14199" s="1" t="s">
        <v>1260</v>
      </c>
    </row>
    <row r="14200" customFormat="false" ht="17.15" hidden="false" customHeight="false" outlineLevel="0" collapsed="false">
      <c r="A14200" s="1" t="s">
        <v>1169</v>
      </c>
      <c r="B14200" s="0" t="s">
        <v>98</v>
      </c>
      <c r="C14200" s="6" t="n">
        <f aca="false">CF!F71+oai_v-CF!F60+Sens!$C$14199</f>
        <v>162.101912751511</v>
      </c>
      <c r="L14200" s="1" t="s">
        <v>1261</v>
      </c>
    </row>
    <row r="14201" customFormat="false" ht="17.15" hidden="false" customHeight="false" outlineLevel="0" collapsed="false">
      <c r="A14201" s="1" t="s">
        <v>1262</v>
      </c>
      <c r="B14201" s="0" t="s">
        <v>75</v>
      </c>
      <c r="C14201" s="5" t="n">
        <f aca="false">(Sens!$C$14198+Sens!$C$14200)/(CF!F73+dil_gap)-CF!G63*roll_div_q/q_per_yr</f>
        <v>445.408597349073</v>
      </c>
      <c r="L14201" s="1" t="s">
        <v>1263</v>
      </c>
    </row>
    <row r="14202" customFormat="false" ht="17.15" hidden="false" customHeight="false" outlineLevel="0" collapsed="false">
      <c r="A14202" s="1" t="s">
        <v>1264</v>
      </c>
      <c r="B14202" s="0" t="s">
        <v>75</v>
      </c>
      <c r="C14202" s="5" t="n">
        <f aca="false">w_dcf*Sens!$C$14172+(1-w_dcf)*Sens!$C$14201</f>
        <v>384.713699495348</v>
      </c>
    </row>
    <row r="14203" customFormat="false" ht="17.15" hidden="false" customHeight="false" outlineLevel="0" collapsed="false">
      <c r="A14203" s="3" t="s">
        <v>1833</v>
      </c>
    </row>
    <row r="14204" customFormat="false" ht="15" hidden="false" customHeight="false" outlineLevel="0" collapsed="false">
      <c r="A14204" s="4" t="s">
        <v>43</v>
      </c>
      <c r="B14204" s="4" t="s">
        <v>65</v>
      </c>
      <c r="C14204" s="23" t="s">
        <v>938</v>
      </c>
      <c r="D14204" s="23" t="s">
        <v>939</v>
      </c>
      <c r="E14204" s="23" t="s">
        <v>940</v>
      </c>
      <c r="F14204" s="23" t="s">
        <v>941</v>
      </c>
      <c r="G14204" s="23" t="s">
        <v>942</v>
      </c>
      <c r="H14204" s="23" t="s">
        <v>943</v>
      </c>
      <c r="I14204" s="23" t="s">
        <v>944</v>
      </c>
      <c r="J14204" s="23" t="s">
        <v>945</v>
      </c>
      <c r="K14204" s="23" t="s">
        <v>946</v>
      </c>
      <c r="L14204" s="4" t="s">
        <v>47</v>
      </c>
    </row>
    <row r="14205" customFormat="false" ht="17.15" hidden="false" customHeight="false" outlineLevel="0" collapsed="false">
      <c r="A14205" s="1" t="s">
        <v>1212</v>
      </c>
      <c r="B14205" s="1" t="s">
        <v>279</v>
      </c>
      <c r="F14205" s="8" t="n">
        <f aca="false">(1-v_off)*mid_yr</f>
        <v>0.373972602739726</v>
      </c>
      <c r="G14205" s="8" t="n">
        <f aca="false">Thesis!G110-base_fy-mid_yr-v_off</f>
        <v>1.24794520547945</v>
      </c>
      <c r="H14205" s="8" t="n">
        <f aca="false">Thesis!H110-base_fy-mid_yr-v_off</f>
        <v>2.24794520547945</v>
      </c>
      <c r="I14205" s="8" t="n">
        <f aca="false">Thesis!I110-base_fy-mid_yr-v_off</f>
        <v>3.24794520547945</v>
      </c>
      <c r="J14205" s="8" t="n">
        <f aca="false">Thesis!J110-base_fy-mid_yr-v_off</f>
        <v>4.24794520547945</v>
      </c>
      <c r="K14205" s="8" t="n">
        <f aca="false">Thesis!K110-base_fy-mid_yr-v_off</f>
        <v>5.24794520547945</v>
      </c>
      <c r="L14205" s="12" t="s">
        <v>1213</v>
      </c>
    </row>
    <row r="14206" customFormat="false" ht="15" hidden="false" customHeight="false" outlineLevel="0" collapsed="false">
      <c r="A14206" s="1" t="s">
        <v>1214</v>
      </c>
      <c r="B14206" s="1" t="s">
        <v>279</v>
      </c>
      <c r="F14206" s="8" t="n">
        <f aca="false">Thesis!F110-base_fy-v_off</f>
        <v>0.747945205479452</v>
      </c>
      <c r="G14206" s="8" t="n">
        <f aca="false">Thesis!G110-base_fy-v_off</f>
        <v>1.74794520547945</v>
      </c>
      <c r="H14206" s="8" t="n">
        <f aca="false">Thesis!H110-base_fy-v_off</f>
        <v>2.74794520547945</v>
      </c>
      <c r="I14206" s="8" t="n">
        <f aca="false">Thesis!I110-base_fy-v_off</f>
        <v>3.74794520547945</v>
      </c>
      <c r="J14206" s="8" t="n">
        <f aca="false">Thesis!J110-base_fy-v_off</f>
        <v>4.74794520547945</v>
      </c>
      <c r="K14206" s="8" t="n">
        <f aca="false">Thesis!K110-base_fy-v_off</f>
        <v>5.74794520547945</v>
      </c>
    </row>
    <row r="14207" customFormat="false" ht="15" hidden="false" customHeight="false" outlineLevel="0" collapsed="false">
      <c r="A14207" s="1" t="s">
        <v>1215</v>
      </c>
      <c r="B14207" s="0" t="s">
        <v>229</v>
      </c>
      <c r="F14207" s="15" t="n">
        <f aca="false">1/(1+wacc)^Sens!F14205</f>
        <v>0.964022703286649</v>
      </c>
      <c r="G14207" s="15" t="n">
        <f aca="false">1/(1+wacc)^Sens!G14205</f>
        <v>0.884910302296739</v>
      </c>
      <c r="H14207" s="15" t="n">
        <f aca="false">1/(1+wacc)^Sens!H14205</f>
        <v>0.802322009770358</v>
      </c>
      <c r="I14207" s="15" t="n">
        <f aca="false">1/(1+wacc)^Sens!I14205</f>
        <v>0.727441646561469</v>
      </c>
      <c r="J14207" s="15" t="n">
        <f aca="false">1/(1+wacc)^Sens!J14205</f>
        <v>0.659549834988973</v>
      </c>
      <c r="K14207" s="15" t="n">
        <f aca="false">1/(1+wacc)^Sens!K14205</f>
        <v>0.597994336576966</v>
      </c>
    </row>
    <row r="14208" customFormat="false" ht="17.15" hidden="false" customHeight="false" outlineLevel="0" collapsed="false">
      <c r="A14208" s="1" t="s">
        <v>1216</v>
      </c>
      <c r="B14208" s="0" t="s">
        <v>98</v>
      </c>
      <c r="F14208" s="6" t="n">
        <f aca="false">Q!$I$35-Q!$I$39-Q!$I$43</f>
        <v>9.666</v>
      </c>
      <c r="L14208" s="12" t="s">
        <v>1217</v>
      </c>
    </row>
    <row r="14209" customFormat="false" ht="17.15" hidden="false" customHeight="false" outlineLevel="0" collapsed="false">
      <c r="A14209" s="1" t="s">
        <v>1218</v>
      </c>
      <c r="B14209" s="0" t="s">
        <v>98</v>
      </c>
      <c r="F14209" s="6" t="n">
        <f aca="false">CF!F87-CF!F84-CF!F91+Thesis!F151*(1-tax_f)*(1-v_off)-Sens!F14208</f>
        <v>-6.10282680452259</v>
      </c>
      <c r="G14209" s="6" t="n">
        <f aca="false">CF!G87-CF!G84-CF!G91+Thesis!G151*(1-tax_f)</f>
        <v>19.0084129023516</v>
      </c>
      <c r="H14209" s="6" t="n">
        <f aca="false">CF!H87-CF!H84-CF!H91+Thesis!H151*(1-tax_f)</f>
        <v>55.9229468383331</v>
      </c>
      <c r="I14209" s="6" t="n">
        <f aca="false">CF!I87-CF!I84-CF!I91+Thesis!I151*(1-tax_f)</f>
        <v>127.901908576191</v>
      </c>
      <c r="J14209" s="6" t="n">
        <f aca="false">CF!J87-CF!J84-CF!J91+Thesis!J151*(1-tax_f)</f>
        <v>201.958443859638</v>
      </c>
      <c r="K14209" s="6" t="n">
        <f aca="false">CF!K87-CF!K84-CF!K91+Thesis!K151*(1-tax_f)</f>
        <v>237.542519059905</v>
      </c>
      <c r="L14209" s="1" t="s">
        <v>1219</v>
      </c>
    </row>
    <row r="14210" customFormat="false" ht="15" hidden="false" customHeight="false" outlineLevel="0" collapsed="false">
      <c r="A14210" s="1" t="s">
        <v>1220</v>
      </c>
      <c r="B14210" s="0" t="s">
        <v>98</v>
      </c>
      <c r="F14210" s="6" t="n">
        <f aca="false">Sens!F14209*Sens!F14207</f>
        <v>-5.88326359378609</v>
      </c>
      <c r="G14210" s="6" t="n">
        <f aca="false">Sens!G14209*Sens!G14207</f>
        <v>16.8207404076012</v>
      </c>
      <c r="H14210" s="6" t="n">
        <f aca="false">Sens!H14209*Sens!H14207</f>
        <v>44.8682110996123</v>
      </c>
      <c r="I14210" s="6" t="n">
        <f aca="false">Sens!I14209*Sens!I14207</f>
        <v>93.0411749730187</v>
      </c>
      <c r="J14210" s="6" t="n">
        <f aca="false">Sens!J14209*Sens!J14207</f>
        <v>133.201658322254</v>
      </c>
      <c r="K14210" s="6" t="n">
        <f aca="false">Sens!K14209*Sens!K14207</f>
        <v>142.049081094049</v>
      </c>
    </row>
    <row r="14211" customFormat="false" ht="17.15" hidden="false" customHeight="false" outlineLevel="0" collapsed="false">
      <c r="A14211" s="1" t="s">
        <v>1221</v>
      </c>
      <c r="B14211" s="0" t="s">
        <v>98</v>
      </c>
      <c r="C14211" s="6" t="n">
        <f aca="false">SUM(Sens!F14210:K14210)</f>
        <v>424.097602302749</v>
      </c>
    </row>
    <row r="14212" customFormat="false" ht="17.15" hidden="false" customHeight="false" outlineLevel="0" collapsed="false">
      <c r="A14212" s="1" t="s">
        <v>1222</v>
      </c>
      <c r="B14212" s="0" t="s">
        <v>98</v>
      </c>
      <c r="C14212" s="6" t="n">
        <f aca="false">PL!K117*(1+g_tv_lo)*(1-tax_f)</f>
        <v>244.699888201898</v>
      </c>
    </row>
    <row r="14213" customFormat="false" ht="17.15" hidden="false" customHeight="false" outlineLevel="0" collapsed="false">
      <c r="A14213" s="1" t="s">
        <v>1223</v>
      </c>
      <c r="B14213" s="0" t="s">
        <v>98</v>
      </c>
      <c r="C14213" s="6" t="n">
        <f aca="false">Sens!$C$14212*(1-g_tv_lo/(wacc+ronic_prem))</f>
        <v>197.156077793173</v>
      </c>
    </row>
    <row r="14214" customFormat="false" ht="17.15" hidden="false" customHeight="false" outlineLevel="0" collapsed="false">
      <c r="A14214" s="1" t="s">
        <v>1224</v>
      </c>
      <c r="B14214" s="0" t="s">
        <v>98</v>
      </c>
      <c r="C14214" s="6" t="n">
        <f aca="false">Sens!$C$14213/(wacc-g_tv_lo)</f>
        <v>2377.19052043626</v>
      </c>
    </row>
    <row r="14215" customFormat="false" ht="15" hidden="false" customHeight="false" outlineLevel="0" collapsed="false">
      <c r="A14215" s="1" t="s">
        <v>1225</v>
      </c>
      <c r="B14215" s="0" t="s">
        <v>98</v>
      </c>
      <c r="C14215" s="6" t="n">
        <f aca="false">Sens!$C$14214/(1+wacc)^Sens!K14206</f>
        <v>1353.58579518405</v>
      </c>
    </row>
    <row r="14216" customFormat="false" ht="17.15" hidden="false" customHeight="false" outlineLevel="0" collapsed="false">
      <c r="A14216" s="0" t="s">
        <v>1226</v>
      </c>
      <c r="B14216" s="0" t="s">
        <v>98</v>
      </c>
      <c r="C14216" s="6" t="n">
        <f aca="false">Sens!$C$14211+Sens!$C$14215</f>
        <v>1777.6833974868</v>
      </c>
    </row>
    <row r="14217" customFormat="false" ht="15" hidden="false" customHeight="false" outlineLevel="0" collapsed="false">
      <c r="A14217" s="1" t="s">
        <v>1141</v>
      </c>
      <c r="B14217" s="0" t="s">
        <v>168</v>
      </c>
      <c r="C14217" s="7" t="n">
        <f aca="false">Sens!$C$14215/Sens!$C$14216</f>
        <v>0.761432433411756</v>
      </c>
    </row>
    <row r="14218" customFormat="false" ht="17.15" hidden="false" customHeight="false" outlineLevel="0" collapsed="false">
      <c r="A14218" s="1" t="s">
        <v>1227</v>
      </c>
      <c r="B14218" s="0" t="s">
        <v>98</v>
      </c>
      <c r="C14218" s="6" t="n">
        <f aca="false">Sens!$C$14216+cash_val-debt_val-fl_val+oai_v</f>
        <v>1893.5343974868</v>
      </c>
    </row>
    <row r="14219" customFormat="false" ht="17.15" hidden="false" customHeight="false" outlineLevel="0" collapsed="false">
      <c r="A14219" s="0" t="s">
        <v>1149</v>
      </c>
      <c r="B14219" s="0" t="s">
        <v>75</v>
      </c>
      <c r="C14219" s="5" t="n">
        <f aca="false">Sens!$C$14218/shd_val</f>
        <v>254.302229047382</v>
      </c>
    </row>
    <row r="14220" customFormat="false" ht="15" hidden="false" customHeight="false" outlineLevel="0" collapsed="false">
      <c r="A14220" s="1" t="s">
        <v>1228</v>
      </c>
      <c r="B14220" s="0" t="s">
        <v>75</v>
      </c>
      <c r="C14220" s="8" t="n">
        <f aca="false">div_rem27+CF!G95*roll_div_q/q_per_yr</f>
        <v>3.9795</v>
      </c>
    </row>
    <row r="14221" customFormat="false" ht="17.15" hidden="false" customHeight="false" outlineLevel="0" collapsed="false">
      <c r="A14221" s="0" t="s">
        <v>1229</v>
      </c>
      <c r="B14221" s="0" t="s">
        <v>75</v>
      </c>
      <c r="C14221" s="5" t="n">
        <f aca="false">Sens!$C$14219*(1+wacc)^t_roll-Sens!$C$14220</f>
        <v>278.691620382723</v>
      </c>
    </row>
    <row r="14222" customFormat="false" ht="17.15" hidden="false" customHeight="false" outlineLevel="0" collapsed="false">
      <c r="A14222" s="1" t="s">
        <v>1230</v>
      </c>
      <c r="B14222" s="0" t="s">
        <v>168</v>
      </c>
      <c r="F14222" s="7" t="n">
        <f aca="false">CF!F81/(Seg!F83-Thesis!F129)</f>
        <v>0.068677393452264</v>
      </c>
      <c r="G14222" s="7" t="n">
        <f aca="false">CF!G81/(Seg!G83-Thesis!G129)</f>
        <v>0.0663132664471956</v>
      </c>
      <c r="H14222" s="7" t="n">
        <f aca="false">CF!H81/(Seg!H83-Thesis!H129)</f>
        <v>0.0651363826734039</v>
      </c>
      <c r="I14222" s="7" t="n">
        <f aca="false">CF!I81/(Seg!I83-Thesis!I129)</f>
        <v>0.0650087936347709</v>
      </c>
      <c r="J14222" s="7" t="n">
        <f aca="false">CF!J81/(Seg!J83-Thesis!J129)</f>
        <v>0.0657212684841778</v>
      </c>
      <c r="K14222" s="7" t="n">
        <f aca="false">CF!K81/(Seg!K83-Thesis!K129)</f>
        <v>0.0670413306015285</v>
      </c>
    </row>
    <row r="14223" customFormat="false" ht="17.15" hidden="false" customHeight="false" outlineLevel="0" collapsed="false">
      <c r="A14223" s="0" t="s">
        <v>1231</v>
      </c>
      <c r="B14223" s="0" t="s">
        <v>98</v>
      </c>
      <c r="F14223" s="6" t="n">
        <f aca="false">Seg!F68*(al_m365+Sens!F14222+sbc_r)</f>
        <v>82.9185219618347</v>
      </c>
      <c r="G14223" s="6" t="n">
        <f aca="false">Seg!G68*(al_m365+Sens!G14222+sbc_r)</f>
        <v>93.3068052157631</v>
      </c>
      <c r="H14223" s="6" t="n">
        <f aca="false">Seg!H68*(al_m365+Sens!H14222+sbc_r)</f>
        <v>103.856057136159</v>
      </c>
      <c r="I14223" s="6" t="n">
        <f aca="false">Seg!I68*(al_m365+Sens!I14222+sbc_r)</f>
        <v>113.889717587147</v>
      </c>
      <c r="J14223" s="6" t="n">
        <f aca="false">Seg!J68*(al_m365+Sens!J14222+sbc_r)</f>
        <v>123.218477864124</v>
      </c>
      <c r="K14223" s="6" t="n">
        <f aca="false">Seg!K68*(al_m365+Sens!K14222+sbc_r)</f>
        <v>132.149420086311</v>
      </c>
      <c r="L14223" s="12" t="s">
        <v>1232</v>
      </c>
    </row>
    <row r="14224" customFormat="false" ht="17.15" hidden="false" customHeight="false" outlineLevel="0" collapsed="false">
      <c r="A14224" s="0" t="s">
        <v>1233</v>
      </c>
      <c r="B14224" s="0" t="s">
        <v>98</v>
      </c>
      <c r="F14224" s="6" t="n">
        <f aca="false">Seg!F69*(al_lic+Sens!F14222+sbc_r)</f>
        <v>32.8599853992256</v>
      </c>
      <c r="G14224" s="6" t="n">
        <f aca="false">Seg!G69*(al_lic+Sens!G14222+sbc_r)</f>
        <v>34.1568280697879</v>
      </c>
      <c r="H14224" s="6" t="n">
        <f aca="false">Seg!H69*(al_lic+Sens!H14222+sbc_r)</f>
        <v>35.3635535007213</v>
      </c>
      <c r="I14224" s="6" t="n">
        <f aca="false">Seg!I69*(al_lic+Sens!I14222+sbc_r)</f>
        <v>36.4604537346553</v>
      </c>
      <c r="J14224" s="6" t="n">
        <f aca="false">Seg!J69*(al_lic+Sens!J14222+sbc_r)</f>
        <v>37.4245888933574</v>
      </c>
      <c r="K14224" s="6" t="n">
        <f aca="false">Seg!K69*(al_lic+Sens!K14222+sbc_r)</f>
        <v>38.2321483186439</v>
      </c>
    </row>
    <row r="14225" customFormat="false" ht="17.15" hidden="false" customHeight="false" outlineLevel="0" collapsed="false">
      <c r="A14225" s="0" t="s">
        <v>1234</v>
      </c>
      <c r="B14225" s="0" t="s">
        <v>98</v>
      </c>
      <c r="F14225" s="6" t="n">
        <f aca="false">Seg!F71*(al_ind+Sens!F14222+sbc_r)</f>
        <v>9.06170747885803</v>
      </c>
      <c r="G14225" s="6" t="n">
        <f aca="false">Seg!G71*(al_ind+Sens!G14222+sbc_r)</f>
        <v>9.8478979082138</v>
      </c>
      <c r="H14225" s="6" t="n">
        <f aca="false">Seg!H71*(al_ind+Sens!H14222+sbc_r)</f>
        <v>10.6768254332059</v>
      </c>
      <c r="I14225" s="6" t="n">
        <f aca="false">Seg!I71*(al_ind+Sens!I14222+sbc_r)</f>
        <v>11.54398793803</v>
      </c>
      <c r="J14225" s="6" t="n">
        <f aca="false">Seg!J71*(al_ind+Sens!J14222+sbc_r)</f>
        <v>12.4407914253112</v>
      </c>
      <c r="K14225" s="6" t="n">
        <f aca="false">Seg!K71*(al_ind+Sens!K14222+sbc_r)</f>
        <v>13.355239066864</v>
      </c>
    </row>
    <row r="14226" customFormat="false" ht="17.15" hidden="false" customHeight="false" outlineLevel="0" collapsed="false">
      <c r="A14226" s="0" t="s">
        <v>1235</v>
      </c>
      <c r="B14226" s="0" t="s">
        <v>98</v>
      </c>
      <c r="F14226" s="6" t="n">
        <f aca="false">Seg!F73*(al_fro+Sens!F14222+sbc_r)</f>
        <v>3.55453569939552</v>
      </c>
      <c r="G14226" s="6" t="n">
        <f aca="false">Seg!G73*(al_fro+Sens!G14222+sbc_r)</f>
        <v>3.76809436159872</v>
      </c>
      <c r="H14226" s="6" t="n">
        <f aca="false">Seg!H73*(al_fro+Sens!H14222+sbc_r)</f>
        <v>4.00964905674607</v>
      </c>
      <c r="I14226" s="6" t="n">
        <f aca="false">Seg!I73*(al_fro+Sens!I14222+sbc_r)</f>
        <v>4.28152633145235</v>
      </c>
      <c r="J14226" s="6" t="n">
        <f aca="false">Seg!J73*(al_fro+Sens!J14222+sbc_r)</f>
        <v>4.58536512975975</v>
      </c>
      <c r="K14226" s="6" t="n">
        <f aca="false">Seg!K73*(al_fro+Sens!K14222+sbc_r)</f>
        <v>4.92240770086468</v>
      </c>
    </row>
    <row r="14227" customFormat="false" ht="17.15" hidden="false" customHeight="false" outlineLevel="0" collapsed="false">
      <c r="A14227" s="0" t="s">
        <v>1236</v>
      </c>
      <c r="B14227" s="0" t="s">
        <v>98</v>
      </c>
      <c r="F14227" s="6" t="n">
        <f aca="false">Seg!F76*(al_srch+Sens!F14222+sbc_r)</f>
        <v>11.190683952584</v>
      </c>
      <c r="G14227" s="6" t="n">
        <f aca="false">Seg!G76*(al_srch+Sens!G14222+sbc_r)</f>
        <v>12.2763328717258</v>
      </c>
      <c r="H14227" s="6" t="n">
        <f aca="false">Seg!H76*(al_srch+Sens!H14222+sbc_r)</f>
        <v>13.4043563346576</v>
      </c>
      <c r="I14227" s="6" t="n">
        <f aca="false">Seg!I76*(al_srch+Sens!I14222+sbc_r)</f>
        <v>14.5621512181916</v>
      </c>
      <c r="J14227" s="6" t="n">
        <f aca="false">Seg!J76*(al_srch+Sens!J14222+sbc_r)</f>
        <v>15.7310381862385</v>
      </c>
      <c r="K14227" s="6" t="n">
        <f aca="false">Seg!K76*(al_srch+Sens!K14222+sbc_r)</f>
        <v>16.8873320486462</v>
      </c>
    </row>
    <row r="14228" customFormat="false" ht="17.15" hidden="false" customHeight="false" outlineLevel="0" collapsed="false">
      <c r="A14228" s="0" t="s">
        <v>1237</v>
      </c>
      <c r="B14228" s="0" t="s">
        <v>98</v>
      </c>
      <c r="F14228" s="6" t="n">
        <f aca="false">Thesis!F135-Thesis!F136+Thesis!F151</f>
        <v>38.9696429794913</v>
      </c>
      <c r="G14228" s="6" t="n">
        <f aca="false">Thesis!G135-Thesis!G136+Thesis!G151</f>
        <v>69.465497726016</v>
      </c>
      <c r="H14228" s="6" t="n">
        <f aca="false">Thesis!H135-Thesis!H136+Thesis!H151</f>
        <v>96.8147106808268</v>
      </c>
      <c r="I14228" s="6" t="n">
        <f aca="false">Thesis!I135-Thesis!I136+Thesis!I151</f>
        <v>127.654939766446</v>
      </c>
      <c r="J14228" s="6" t="n">
        <f aca="false">Thesis!J135-Thesis!J136+Thesis!J151</f>
        <v>149.308352681229</v>
      </c>
      <c r="K14228" s="6" t="n">
        <f aca="false">Thesis!K135-Thesis!K136+Thesis!K151</f>
        <v>162.731822021841</v>
      </c>
    </row>
    <row r="14229" customFormat="false" ht="17.15" hidden="false" customHeight="false" outlineLevel="0" collapsed="false">
      <c r="A14229" s="0" t="s">
        <v>1238</v>
      </c>
      <c r="B14229" s="0" t="s">
        <v>98</v>
      </c>
      <c r="F14229" s="6" t="n">
        <f aca="false">PL!F110+Thesis!F151+Thesis!F147+Sens!F14222*(Seg!F75-Thesis!F129)+sbc_r*Seg!F75</f>
        <v>234.79972328186</v>
      </c>
      <c r="G14229" s="6" t="n">
        <f aca="false">PL!G110+Thesis!G151+Thesis!G147+Sens!G14222*(Seg!G75-Thesis!G129)+sbc_r*Seg!G75</f>
        <v>285.499052659517</v>
      </c>
      <c r="H14229" s="6" t="n">
        <f aca="false">PL!H110+Thesis!H151+Thesis!H147+Sens!H14222*(Seg!H75-Thesis!H129)+sbc_r*Seg!H75</f>
        <v>338.258569294547</v>
      </c>
      <c r="I14229" s="6" t="n">
        <f aca="false">PL!I110+Thesis!I151+Thesis!I147+Sens!I14222*(Seg!I75-Thesis!I129)+sbc_r*Seg!I75</f>
        <v>393.887902526982</v>
      </c>
      <c r="J14229" s="6" t="n">
        <f aca="false">PL!J110+Thesis!J151+Thesis!J147+Sens!J14222*(Seg!J75-Thesis!J129)+sbc_r*Seg!J75</f>
        <v>438.406631506078</v>
      </c>
      <c r="K14229" s="6" t="n">
        <f aca="false">PL!K110+Thesis!K151+Thesis!K147+Sens!K14222*(Seg!K75-Thesis!K129)+sbc_r*Seg!K75</f>
        <v>472.352875745143</v>
      </c>
    </row>
    <row r="14230" customFormat="false" ht="17.15" hidden="false" customHeight="false" outlineLevel="0" collapsed="false">
      <c r="A14230" s="0" t="s">
        <v>1239</v>
      </c>
      <c r="B14230" s="0" t="s">
        <v>98</v>
      </c>
      <c r="F14230" s="6" t="n">
        <f aca="false">Sens!F14229-Sens!F14223-Sens!F14224-Sens!F14225-Sens!F14226-Sens!F14228</f>
        <v>67.4353297630543</v>
      </c>
      <c r="G14230" s="6" t="n">
        <f aca="false">Sens!G14229-Sens!G14223-Sens!G14224-Sens!G14225-Sens!G14226-Sens!G14228</f>
        <v>74.9539293781376</v>
      </c>
      <c r="H14230" s="6" t="n">
        <f aca="false">Sens!H14229-Sens!H14223-Sens!H14224-Sens!H14225-Sens!H14226-Sens!H14228</f>
        <v>87.537773486888</v>
      </c>
      <c r="I14230" s="6" t="n">
        <f aca="false">Sens!I14229-Sens!I14223-Sens!I14224-Sens!I14225-Sens!I14226-Sens!I14228</f>
        <v>100.057277169252</v>
      </c>
      <c r="J14230" s="6" t="n">
        <f aca="false">Sens!J14229-Sens!J14223-Sens!J14224-Sens!J14225-Sens!J14226-Sens!J14228</f>
        <v>111.429055512297</v>
      </c>
      <c r="K14230" s="6" t="n">
        <f aca="false">Sens!K14229-Sens!K14223-Sens!K14224-Sens!K14225-Sens!K14226-Sens!K14228</f>
        <v>120.961838550618</v>
      </c>
    </row>
    <row r="14231" customFormat="false" ht="17.15" hidden="false" customHeight="false" outlineLevel="0" collapsed="false">
      <c r="A14231" s="0" t="s">
        <v>1240</v>
      </c>
      <c r="B14231" s="0" t="s">
        <v>98</v>
      </c>
      <c r="F14231" s="6" t="n">
        <f aca="false">PL!F112+Sens!F14222*Seg!F82+sbc_r*Seg!F82</f>
        <v>26.6373549789235</v>
      </c>
      <c r="G14231" s="6" t="n">
        <f aca="false">PL!G112+Sens!G14222*Seg!G82+sbc_r*Seg!G82</f>
        <v>26.5038922765853</v>
      </c>
      <c r="H14231" s="6" t="n">
        <f aca="false">PL!H112+Sens!H14222*Seg!H82+sbc_r*Seg!H82</f>
        <v>27.3981100014792</v>
      </c>
      <c r="I14231" s="6" t="n">
        <f aca="false">PL!I112+Sens!I14222*Seg!I82+sbc_r*Seg!I82</f>
        <v>28.5176442589239</v>
      </c>
      <c r="J14231" s="6" t="n">
        <f aca="false">PL!J112+Sens!J14222*Seg!J82+sbc_r*Seg!J82</f>
        <v>29.8313998963726</v>
      </c>
      <c r="K14231" s="6" t="n">
        <f aca="false">PL!K112+Sens!K14222*Seg!K82+sbc_r*Seg!K82</f>
        <v>31.3103466222307</v>
      </c>
    </row>
    <row r="14232" customFormat="false" ht="17.15" hidden="false" customHeight="false" outlineLevel="0" collapsed="false">
      <c r="A14232" s="0" t="s">
        <v>1241</v>
      </c>
      <c r="B14232" s="0" t="s">
        <v>98</v>
      </c>
      <c r="F14232" s="6" t="n">
        <f aca="false">(Sens!F14231-Sens!F14227)*Seg!F78/(Seg!F78+Seg!F80)</f>
        <v>8.72405610479892</v>
      </c>
      <c r="G14232" s="6" t="n">
        <f aca="false">(Sens!G14231-Sens!G14227)*Seg!G78/(Seg!G78+Seg!G80)</f>
        <v>7.897418765869</v>
      </c>
      <c r="H14232" s="6" t="n">
        <f aca="false">(Sens!H14231-Sens!H14227)*Seg!H78/(Seg!H78+Seg!H80)</f>
        <v>7.66644879573063</v>
      </c>
      <c r="I14232" s="6" t="n">
        <f aca="false">(Sens!I14231-Sens!I14227)*Seg!I78/(Seg!I78+Seg!I80)</f>
        <v>7.5787545031814</v>
      </c>
      <c r="J14232" s="6" t="n">
        <f aca="false">(Sens!J14231-Sens!J14227)*Seg!J78/(Seg!J78+Seg!J80)</f>
        <v>7.62401876450459</v>
      </c>
      <c r="K14232" s="6" t="n">
        <f aca="false">(Sens!K14231-Sens!K14227)*Seg!K78/(Seg!K78+Seg!K80)</f>
        <v>7.79847609658838</v>
      </c>
    </row>
    <row r="14233" customFormat="false" ht="17.15" hidden="false" customHeight="false" outlineLevel="0" collapsed="false">
      <c r="A14233" s="0" t="s">
        <v>1242</v>
      </c>
      <c r="B14233" s="0" t="s">
        <v>98</v>
      </c>
      <c r="F14233" s="6" t="n">
        <f aca="false">Sens!F14231-Sens!F14227-Sens!F14232</f>
        <v>6.72261492154066</v>
      </c>
      <c r="G14233" s="6" t="n">
        <f aca="false">Sens!G14231-Sens!G14227-Sens!G14232</f>
        <v>6.33014063899044</v>
      </c>
      <c r="H14233" s="6" t="n">
        <f aca="false">Sens!H14231-Sens!H14227-Sens!H14232</f>
        <v>6.32730487109095</v>
      </c>
      <c r="I14233" s="6" t="n">
        <f aca="false">Sens!I14231-Sens!I14227-Sens!I14232</f>
        <v>6.37673853755084</v>
      </c>
      <c r="J14233" s="6" t="n">
        <f aca="false">Sens!J14231-Sens!J14227-Sens!J14232</f>
        <v>6.47634294562954</v>
      </c>
      <c r="K14233" s="6" t="n">
        <f aca="false">Sens!K14231-Sens!K14227-Sens!K14232</f>
        <v>6.62453847699607</v>
      </c>
    </row>
    <row r="14234" customFormat="false" ht="17.15" hidden="false" customHeight="false" outlineLevel="0" collapsed="false">
      <c r="A14234" s="0" t="s">
        <v>1243</v>
      </c>
      <c r="B14234" s="0" t="s">
        <v>98</v>
      </c>
      <c r="F14234" s="6" t="n">
        <f aca="false">Sens!F14228-tax_f*(Sens!F14228-Thesis!F147)-Thesis!F144</f>
        <v>-130.362326762856</v>
      </c>
      <c r="G14234" s="6" t="n">
        <f aca="false">Sens!G14228-tax_f*(Sens!G14228-Thesis!G147)-Thesis!G144</f>
        <v>-124.225179337776</v>
      </c>
      <c r="H14234" s="6" t="n">
        <f aca="false">Sens!H14228-tax_f*(Sens!H14228-Thesis!H147)-Thesis!H144</f>
        <v>-101.534217387562</v>
      </c>
      <c r="I14234" s="6" t="n">
        <f aca="false">Sens!I14228-tax_f*(Sens!I14228-Thesis!I147)-Thesis!I144</f>
        <v>-43.6446798695439</v>
      </c>
      <c r="J14234" s="6" t="n">
        <f aca="false">Sens!J14228-tax_f*(Sens!J14228-Thesis!J147)-Thesis!J144</f>
        <v>16.9198855589618</v>
      </c>
      <c r="K14234" s="6" t="n">
        <f aca="false">Sens!K14228-tax_f*(Sens!K14228-Thesis!K147)-Thesis!K144</f>
        <v>39.8251384629271</v>
      </c>
    </row>
    <row r="14235" customFormat="false" ht="17.15" hidden="false" customHeight="false" outlineLevel="0" collapsed="false">
      <c r="A14235" s="0" t="s">
        <v>1244</v>
      </c>
      <c r="B14235" s="0" t="s">
        <v>98</v>
      </c>
      <c r="G14235" s="6" t="n">
        <f aca="false">Sens!G14234/(1+wacc)^(Sens!G14205-Sens!F14206)</f>
        <v>-118.286276192192</v>
      </c>
      <c r="H14235" s="6" t="n">
        <f aca="false">Sens!H14234/(1+wacc)^(Sens!H14205-Sens!F14206)</f>
        <v>-87.6570009910427</v>
      </c>
      <c r="I14235" s="6" t="n">
        <f aca="false">Sens!I14234/(1+wacc)^(Sens!I14205-Sens!F14206)</f>
        <v>-34.1629172979204</v>
      </c>
      <c r="J14235" s="6" t="n">
        <f aca="false">Sens!J14234/(1+wacc)^(Sens!J14205-Sens!F14206)</f>
        <v>12.0079954170053</v>
      </c>
      <c r="K14235" s="6" t="n">
        <f aca="false">Sens!K14234/(1+wacc)^(Sens!K14205-Sens!F14206)</f>
        <v>25.6259421582556</v>
      </c>
      <c r="L14235" s="1" t="s">
        <v>1245</v>
      </c>
    </row>
    <row r="14236" customFormat="false" ht="17.15" hidden="false" customHeight="false" outlineLevel="0" collapsed="false">
      <c r="A14236" s="0" t="s">
        <v>1246</v>
      </c>
      <c r="B14236" s="0" t="s">
        <v>98</v>
      </c>
      <c r="C14236" s="6" t="n">
        <f aca="false">(Sens!K14228-Thesis!K147)*(1-tax_f)*(1+g_tv_lo)*(1-g_tv_lo/(wacc+ronic_prem))/(wacc-g_tv_lo)/(1+wacc)^(Sens!K14206-Sens!F14206)</f>
        <v>95.7758240196356</v>
      </c>
    </row>
    <row r="14237" customFormat="false" ht="17.15" hidden="false" customHeight="false" outlineLevel="0" collapsed="false">
      <c r="A14237" s="1" t="s">
        <v>1247</v>
      </c>
      <c r="B14237" s="0" t="s">
        <v>98</v>
      </c>
      <c r="C14237" s="6" t="n">
        <f aca="false">(SUM(Sens!G14235:K14235)+Sens!$C$14236)*(1+wacc)^(t_roll-Sens!F14206)</f>
        <v>-110.218804809797</v>
      </c>
      <c r="L14237" s="12" t="s">
        <v>1248</v>
      </c>
    </row>
    <row r="14238" customFormat="false" ht="17.15" hidden="false" customHeight="false" outlineLevel="0" collapsed="false">
      <c r="A14238" s="1" t="s">
        <v>1249</v>
      </c>
      <c r="B14238" s="0" t="s">
        <v>98</v>
      </c>
      <c r="C14238" s="6" t="n">
        <f aca="false">(w_ntm28*Thesis!G135+(1-w_ntm28)*Thesis!H135)*m_ai</f>
        <v>344.355829012336</v>
      </c>
    </row>
    <row r="14239" customFormat="false" ht="17.15" hidden="false" customHeight="false" outlineLevel="0" collapsed="false">
      <c r="A14239" s="1" t="s">
        <v>1250</v>
      </c>
      <c r="B14239" s="0" t="s">
        <v>98</v>
      </c>
      <c r="C14239" s="6" t="n">
        <f aca="false">(w_ntm28*Sens!G14230+(1-w_ntm28)*Sens!H14230)*m_cloud</f>
        <v>1093.03877543039</v>
      </c>
    </row>
    <row r="14240" customFormat="false" ht="17.15" hidden="false" customHeight="false" outlineLevel="0" collapsed="false">
      <c r="A14240" s="1" t="s">
        <v>1251</v>
      </c>
      <c r="B14240" s="0" t="s">
        <v>98</v>
      </c>
      <c r="C14240" s="6" t="n">
        <f aca="false">(w_ntm28*Sens!G14223+(1-w_ntm28)*Sens!H14223)*m_sw</f>
        <v>1045.17056616266</v>
      </c>
    </row>
    <row r="14241" customFormat="false" ht="17.15" hidden="false" customHeight="false" outlineLevel="0" collapsed="false">
      <c r="A14241" s="1" t="s">
        <v>1252</v>
      </c>
      <c r="B14241" s="0" t="s">
        <v>98</v>
      </c>
      <c r="C14241" s="6" t="n">
        <f aca="false">(w_ntm28*Sens!G14224+(1-w_ntm28)*Sens!H14224)*m_sw</f>
        <v>373.178444957791</v>
      </c>
    </row>
    <row r="14242" customFormat="false" ht="17.15" hidden="false" customHeight="false" outlineLevel="0" collapsed="false">
      <c r="A14242" s="1" t="s">
        <v>1253</v>
      </c>
      <c r="B14242" s="0" t="s">
        <v>98</v>
      </c>
      <c r="C14242" s="6" t="n">
        <f aca="false">(w_ntm28*Sens!G14225+(1-w_ntm28)*Sens!H14225)*m_sw</f>
        <v>109.30055788101</v>
      </c>
    </row>
    <row r="14243" customFormat="false" ht="17.15" hidden="false" customHeight="false" outlineLevel="0" collapsed="false">
      <c r="A14243" s="1" t="s">
        <v>1254</v>
      </c>
      <c r="B14243" s="0" t="s">
        <v>98</v>
      </c>
      <c r="C14243" s="6" t="n">
        <f aca="false">(w_ntm28*Sens!G14226+(1-w_ntm28)*Sens!H14226)*m_sw</f>
        <v>41.5531037214606</v>
      </c>
    </row>
    <row r="14244" customFormat="false" ht="17.15" hidden="false" customHeight="false" outlineLevel="0" collapsed="false">
      <c r="A14244" s="1" t="s">
        <v>1255</v>
      </c>
      <c r="B14244" s="0" t="s">
        <v>98</v>
      </c>
      <c r="C14244" s="6" t="n">
        <f aca="false">(w_ntm28*Sens!G14227+(1-w_ntm28)*Sens!H14227)*m_ads</f>
        <v>115.215899994784</v>
      </c>
    </row>
    <row r="14245" customFormat="false" ht="17.15" hidden="false" customHeight="false" outlineLevel="0" collapsed="false">
      <c r="A14245" s="1" t="s">
        <v>1256</v>
      </c>
      <c r="B14245" s="0" t="s">
        <v>98</v>
      </c>
      <c r="C14245" s="6" t="n">
        <f aca="false">(w_ntm28*Sens!G14232+(1-w_ntm28)*Sens!H14232)*m_game</f>
        <v>98.7853357615783</v>
      </c>
    </row>
    <row r="14246" customFormat="false" ht="17.15" hidden="false" customHeight="false" outlineLevel="0" collapsed="false">
      <c r="A14246" s="1" t="s">
        <v>1257</v>
      </c>
      <c r="B14246" s="0" t="s">
        <v>98</v>
      </c>
      <c r="C14246" s="6" t="n">
        <f aca="false">(w_ntm28*Sens!G14233+(1-w_ntm28)*Sens!H14233)*m_pc</f>
        <v>91.5836445602173</v>
      </c>
    </row>
    <row r="14247" customFormat="false" ht="17.15" hidden="false" customHeight="false" outlineLevel="0" collapsed="false">
      <c r="A14247" s="1" t="s">
        <v>1258</v>
      </c>
      <c r="B14247" s="0" t="s">
        <v>98</v>
      </c>
      <c r="C14247" s="6" t="n">
        <f aca="false">Sens!$C$14237+Sens!$C$14239+Sens!$C$14240+Sens!$C$14241+Sens!$C$14242+Sens!$C$14243+Sens!$C$14244+Sens!$C$14245+Sens!$C$14246</f>
        <v>2857.60752366009</v>
      </c>
    </row>
    <row r="14248" customFormat="false" ht="17.15" hidden="false" customHeight="false" outlineLevel="0" collapsed="false">
      <c r="A14248" s="1" t="s">
        <v>1259</v>
      </c>
      <c r="B14248" s="0" t="s">
        <v>98</v>
      </c>
      <c r="C14248" s="6" t="n">
        <f aca="false">(Sens!G14209-Sens!G14234)*t_stub</f>
        <v>47.4829168796038</v>
      </c>
      <c r="L14248" s="1" t="s">
        <v>1260</v>
      </c>
    </row>
    <row r="14249" customFormat="false" ht="17.15" hidden="false" customHeight="false" outlineLevel="0" collapsed="false">
      <c r="A14249" s="1" t="s">
        <v>1169</v>
      </c>
      <c r="B14249" s="0" t="s">
        <v>98</v>
      </c>
      <c r="C14249" s="6" t="n">
        <f aca="false">CF!F103+oai_v-CF!F92+Sens!$C$14248</f>
        <v>158.55427008544</v>
      </c>
      <c r="L14249" s="1" t="s">
        <v>1261</v>
      </c>
    </row>
    <row r="14250" customFormat="false" ht="17.15" hidden="false" customHeight="false" outlineLevel="0" collapsed="false">
      <c r="A14250" s="1" t="s">
        <v>1262</v>
      </c>
      <c r="B14250" s="0" t="s">
        <v>75</v>
      </c>
      <c r="C14250" s="5" t="n">
        <f aca="false">(Sens!$C$14247+Sens!$C$14249)/(CF!F105+dil_gap)-CF!G95*roll_div_q/q_per_yr</f>
        <v>401.330002900951</v>
      </c>
      <c r="L14250" s="1" t="s">
        <v>1263</v>
      </c>
    </row>
    <row r="14251" customFormat="false" ht="17.15" hidden="false" customHeight="false" outlineLevel="0" collapsed="false">
      <c r="A14251" s="1" t="s">
        <v>1264</v>
      </c>
      <c r="B14251" s="0" t="s">
        <v>75</v>
      </c>
      <c r="C14251" s="5" t="n">
        <f aca="false">w_dcf*Sens!$C$14221+(1-w_dcf)*Sens!$C$14250</f>
        <v>340.010811641837</v>
      </c>
    </row>
    <row r="14252" customFormat="false" ht="17.15" hidden="false" customHeight="false" outlineLevel="0" collapsed="false">
      <c r="A14252" s="3" t="s">
        <v>1834</v>
      </c>
    </row>
    <row r="14253" customFormat="false" ht="15" hidden="false" customHeight="false" outlineLevel="0" collapsed="false">
      <c r="A14253" s="4" t="s">
        <v>43</v>
      </c>
      <c r="B14253" s="4" t="s">
        <v>65</v>
      </c>
      <c r="C14253" s="23" t="s">
        <v>938</v>
      </c>
      <c r="D14253" s="23" t="s">
        <v>939</v>
      </c>
      <c r="E14253" s="23" t="s">
        <v>940</v>
      </c>
      <c r="F14253" s="23" t="s">
        <v>941</v>
      </c>
      <c r="G14253" s="23" t="s">
        <v>942</v>
      </c>
      <c r="H14253" s="23" t="s">
        <v>943</v>
      </c>
      <c r="I14253" s="23" t="s">
        <v>944</v>
      </c>
      <c r="J14253" s="23" t="s">
        <v>945</v>
      </c>
      <c r="K14253" s="23" t="s">
        <v>946</v>
      </c>
      <c r="L14253" s="4" t="s">
        <v>47</v>
      </c>
    </row>
    <row r="14254" customFormat="false" ht="17.15" hidden="false" customHeight="false" outlineLevel="0" collapsed="false">
      <c r="A14254" s="1" t="s">
        <v>1212</v>
      </c>
      <c r="B14254" s="1" t="s">
        <v>279</v>
      </c>
      <c r="F14254" s="8" t="n">
        <f aca="false">(1-v_off)*mid_yr</f>
        <v>0.373972602739726</v>
      </c>
      <c r="G14254" s="8" t="n">
        <f aca="false">Thesis!G6-base_fy-mid_yr-v_off</f>
        <v>1.24794520547945</v>
      </c>
      <c r="H14254" s="8" t="n">
        <f aca="false">Thesis!H6-base_fy-mid_yr-v_off</f>
        <v>2.24794520547945</v>
      </c>
      <c r="I14254" s="8" t="n">
        <f aca="false">Thesis!I6-base_fy-mid_yr-v_off</f>
        <v>3.24794520547945</v>
      </c>
      <c r="J14254" s="8" t="n">
        <f aca="false">Thesis!J6-base_fy-mid_yr-v_off</f>
        <v>4.24794520547945</v>
      </c>
      <c r="K14254" s="8" t="n">
        <f aca="false">Thesis!K6-base_fy-mid_yr-v_off</f>
        <v>5.24794520547945</v>
      </c>
      <c r="L14254" s="12" t="s">
        <v>1213</v>
      </c>
    </row>
    <row r="14255" customFormat="false" ht="15" hidden="false" customHeight="false" outlineLevel="0" collapsed="false">
      <c r="A14255" s="1" t="s">
        <v>1214</v>
      </c>
      <c r="B14255" s="1" t="s">
        <v>279</v>
      </c>
      <c r="F14255" s="8" t="n">
        <f aca="false">Thesis!F6-base_fy-v_off</f>
        <v>0.747945205479452</v>
      </c>
      <c r="G14255" s="8" t="n">
        <f aca="false">Thesis!G6-base_fy-v_off</f>
        <v>1.74794520547945</v>
      </c>
      <c r="H14255" s="8" t="n">
        <f aca="false">Thesis!H6-base_fy-v_off</f>
        <v>2.74794520547945</v>
      </c>
      <c r="I14255" s="8" t="n">
        <f aca="false">Thesis!I6-base_fy-v_off</f>
        <v>3.74794520547945</v>
      </c>
      <c r="J14255" s="8" t="n">
        <f aca="false">Thesis!J6-base_fy-v_off</f>
        <v>4.74794520547945</v>
      </c>
      <c r="K14255" s="8" t="n">
        <f aca="false">Thesis!K6-base_fy-v_off</f>
        <v>5.74794520547945</v>
      </c>
    </row>
    <row r="14256" customFormat="false" ht="15" hidden="false" customHeight="false" outlineLevel="0" collapsed="false">
      <c r="A14256" s="1" t="s">
        <v>1215</v>
      </c>
      <c r="B14256" s="0" t="s">
        <v>229</v>
      </c>
      <c r="F14256" s="15" t="n">
        <f aca="false">1/(1+wacc)^Sens!F14254</f>
        <v>0.964022703286649</v>
      </c>
      <c r="G14256" s="15" t="n">
        <f aca="false">1/(1+wacc)^Sens!G14254</f>
        <v>0.884910302296739</v>
      </c>
      <c r="H14256" s="15" t="n">
        <f aca="false">1/(1+wacc)^Sens!H14254</f>
        <v>0.802322009770358</v>
      </c>
      <c r="I14256" s="15" t="n">
        <f aca="false">1/(1+wacc)^Sens!I14254</f>
        <v>0.727441646561469</v>
      </c>
      <c r="J14256" s="15" t="n">
        <f aca="false">1/(1+wacc)^Sens!J14254</f>
        <v>0.659549834988973</v>
      </c>
      <c r="K14256" s="15" t="n">
        <f aca="false">1/(1+wacc)^Sens!K14254</f>
        <v>0.597994336576966</v>
      </c>
    </row>
    <row r="14257" customFormat="false" ht="17.15" hidden="false" customHeight="false" outlineLevel="0" collapsed="false">
      <c r="A14257" s="1" t="s">
        <v>1216</v>
      </c>
      <c r="B14257" s="0" t="s">
        <v>98</v>
      </c>
      <c r="F14257" s="6" t="n">
        <f aca="false">Q!$I$35-Q!$I$39-Q!$I$43</f>
        <v>9.666</v>
      </c>
      <c r="L14257" s="12" t="s">
        <v>1217</v>
      </c>
    </row>
    <row r="14258" customFormat="false" ht="17.15" hidden="false" customHeight="false" outlineLevel="0" collapsed="false">
      <c r="A14258" s="1" t="s">
        <v>1218</v>
      </c>
      <c r="B14258" s="0" t="s">
        <v>98</v>
      </c>
      <c r="F14258" s="6" t="n">
        <f aca="false">CF!F23-CF!F20-CF!F27+Thesis!F47*(1-tax_f)*(1-v_off)-Sens!F14257</f>
        <v>-1.12880264559539</v>
      </c>
      <c r="G14258" s="6" t="n">
        <f aca="false">CF!G23-CF!G20-CF!G27+Thesis!G47*(1-tax_f)</f>
        <v>38.7194421947551</v>
      </c>
      <c r="H14258" s="6" t="n">
        <f aca="false">CF!H23-CF!H20-CF!H27+Thesis!H47*(1-tax_f)</f>
        <v>98.6927474567662</v>
      </c>
      <c r="I14258" s="6" t="n">
        <f aca="false">CF!I23-CF!I20-CF!I27+Thesis!I47*(1-tax_f)</f>
        <v>181.625440536277</v>
      </c>
      <c r="J14258" s="6" t="n">
        <f aca="false">CF!J23-CF!J20-CF!J27+Thesis!J47*(1-tax_f)</f>
        <v>263.350402418584</v>
      </c>
      <c r="K14258" s="6" t="n">
        <f aca="false">CF!K23-CF!K20-CF!K27+Thesis!K47*(1-tax_f)</f>
        <v>303.659068389018</v>
      </c>
      <c r="L14258" s="1" t="s">
        <v>1219</v>
      </c>
    </row>
    <row r="14259" customFormat="false" ht="15" hidden="false" customHeight="false" outlineLevel="0" collapsed="false">
      <c r="A14259" s="1" t="s">
        <v>1220</v>
      </c>
      <c r="B14259" s="0" t="s">
        <v>98</v>
      </c>
      <c r="F14259" s="6" t="n">
        <f aca="false">Sens!F14258*Sens!F14256</f>
        <v>-1.08819137788399</v>
      </c>
      <c r="G14259" s="6" t="n">
        <f aca="false">Sens!G14258*Sens!G14256</f>
        <v>34.2632332973219</v>
      </c>
      <c r="H14259" s="6" t="n">
        <f aca="false">Sens!H14258*Sens!H14256</f>
        <v>79.183363489271</v>
      </c>
      <c r="I14259" s="6" t="n">
        <f aca="false">Sens!I14258*Sens!I14256</f>
        <v>132.121909521162</v>
      </c>
      <c r="J14259" s="6" t="n">
        <f aca="false">Sens!J14258*Sens!J14256</f>
        <v>173.692714459456</v>
      </c>
      <c r="K14259" s="6" t="n">
        <f aca="false">Sens!K14258*Sens!K14256</f>
        <v>181.58640314687</v>
      </c>
    </row>
    <row r="14260" customFormat="false" ht="17.15" hidden="false" customHeight="false" outlineLevel="0" collapsed="false">
      <c r="A14260" s="1" t="s">
        <v>1221</v>
      </c>
      <c r="B14260" s="0" t="s">
        <v>98</v>
      </c>
      <c r="C14260" s="6" t="n">
        <f aca="false">SUM(Sens!F14259:K14259)</f>
        <v>599.759432536197</v>
      </c>
    </row>
    <row r="14261" customFormat="false" ht="17.15" hidden="false" customHeight="false" outlineLevel="0" collapsed="false">
      <c r="A14261" s="1" t="s">
        <v>1222</v>
      </c>
      <c r="B14261" s="0" t="s">
        <v>98</v>
      </c>
      <c r="C14261" s="6" t="n">
        <f aca="false">PL!K39*(1+g_tv_hi)*(1-tax_f)</f>
        <v>319.574147137165</v>
      </c>
    </row>
    <row r="14262" customFormat="false" ht="17.15" hidden="false" customHeight="false" outlineLevel="0" collapsed="false">
      <c r="A14262" s="1" t="s">
        <v>1223</v>
      </c>
      <c r="B14262" s="0" t="s">
        <v>98</v>
      </c>
      <c r="C14262" s="6" t="n">
        <f aca="false">Sens!$C$14261*(1-g_tv_hi/(wacc+ronic_prem))</f>
        <v>195.391232509242</v>
      </c>
    </row>
    <row r="14263" customFormat="false" ht="17.15" hidden="false" customHeight="false" outlineLevel="0" collapsed="false">
      <c r="A14263" s="1" t="s">
        <v>1224</v>
      </c>
      <c r="B14263" s="0" t="s">
        <v>98</v>
      </c>
      <c r="C14263" s="6" t="n">
        <f aca="false">Sens!$C$14262/(wacc-g_tv_hi)</f>
        <v>3104.57286569809</v>
      </c>
    </row>
    <row r="14264" customFormat="false" ht="15" hidden="false" customHeight="false" outlineLevel="0" collapsed="false">
      <c r="A14264" s="1" t="s">
        <v>1225</v>
      </c>
      <c r="B14264" s="0" t="s">
        <v>98</v>
      </c>
      <c r="C14264" s="6" t="n">
        <f aca="false">Sens!$C$14263/(1+wacc)^Sens!K14255</f>
        <v>1767.76143729178</v>
      </c>
    </row>
    <row r="14265" customFormat="false" ht="17.15" hidden="false" customHeight="false" outlineLevel="0" collapsed="false">
      <c r="A14265" s="0" t="s">
        <v>1226</v>
      </c>
      <c r="B14265" s="0" t="s">
        <v>98</v>
      </c>
      <c r="C14265" s="6" t="n">
        <f aca="false">Sens!$C$14260+Sens!$C$14264</f>
        <v>2367.52086982798</v>
      </c>
    </row>
    <row r="14266" customFormat="false" ht="15" hidden="false" customHeight="false" outlineLevel="0" collapsed="false">
      <c r="A14266" s="1" t="s">
        <v>1141</v>
      </c>
      <c r="B14266" s="0" t="s">
        <v>168</v>
      </c>
      <c r="C14266" s="7" t="n">
        <f aca="false">Sens!$C$14264/Sens!$C$14265</f>
        <v>0.746671955386068</v>
      </c>
    </row>
    <row r="14267" customFormat="false" ht="17.15" hidden="false" customHeight="false" outlineLevel="0" collapsed="false">
      <c r="A14267" s="1" t="s">
        <v>1227</v>
      </c>
      <c r="B14267" s="0" t="s">
        <v>98</v>
      </c>
      <c r="C14267" s="6" t="n">
        <f aca="false">Sens!$C$14265+cash_val-debt_val-fl_val+oai_v</f>
        <v>2483.37186982798</v>
      </c>
    </row>
    <row r="14268" customFormat="false" ht="17.15" hidden="false" customHeight="false" outlineLevel="0" collapsed="false">
      <c r="A14268" s="0" t="s">
        <v>1149</v>
      </c>
      <c r="B14268" s="0" t="s">
        <v>75</v>
      </c>
      <c r="C14268" s="5" t="n">
        <f aca="false">Sens!$C$14267/shd_val</f>
        <v>333.517575856564</v>
      </c>
    </row>
    <row r="14269" customFormat="false" ht="15" hidden="false" customHeight="false" outlineLevel="0" collapsed="false">
      <c r="A14269" s="1" t="s">
        <v>1228</v>
      </c>
      <c r="B14269" s="0" t="s">
        <v>75</v>
      </c>
      <c r="C14269" s="8" t="n">
        <f aca="false">div_rem27+CF!G31*roll_div_q/q_per_yr</f>
        <v>3.9795</v>
      </c>
    </row>
    <row r="14270" customFormat="false" ht="17.15" hidden="false" customHeight="false" outlineLevel="0" collapsed="false">
      <c r="A14270" s="0" t="s">
        <v>1229</v>
      </c>
      <c r="B14270" s="0" t="s">
        <v>75</v>
      </c>
      <c r="C14270" s="5" t="n">
        <f aca="false">Sens!$C$14268*(1+wacc)^t_roll-Sens!$C$14269</f>
        <v>366.743899428557</v>
      </c>
    </row>
    <row r="14271" customFormat="false" ht="17.15" hidden="false" customHeight="false" outlineLevel="0" collapsed="false">
      <c r="A14271" s="1" t="s">
        <v>1230</v>
      </c>
      <c r="B14271" s="0" t="s">
        <v>168</v>
      </c>
      <c r="F14271" s="7" t="n">
        <f aca="false">CF!F17/(Seg!F29-Thesis!F25)</f>
        <v>0.0685527305696859</v>
      </c>
      <c r="G14271" s="7" t="n">
        <f aca="false">CF!G17/(Seg!G29-Thesis!G25)</f>
        <v>0.0653567731599844</v>
      </c>
      <c r="H14271" s="7" t="n">
        <f aca="false">CF!H17/(Seg!H29-Thesis!H25)</f>
        <v>0.0636628841026972</v>
      </c>
      <c r="I14271" s="7" t="n">
        <f aca="false">CF!I17/(Seg!I29-Thesis!I25)</f>
        <v>0.0633581084335176</v>
      </c>
      <c r="J14271" s="7" t="n">
        <f aca="false">CF!J17/(Seg!J29-Thesis!J25)</f>
        <v>0.0640873955995062</v>
      </c>
      <c r="K14271" s="7" t="n">
        <f aca="false">CF!K17/(Seg!K29-Thesis!K25)</f>
        <v>0.0653962234835198</v>
      </c>
    </row>
    <row r="14272" customFormat="false" ht="17.15" hidden="false" customHeight="false" outlineLevel="0" collapsed="false">
      <c r="A14272" s="0" t="s">
        <v>1231</v>
      </c>
      <c r="B14272" s="0" t="s">
        <v>98</v>
      </c>
      <c r="F14272" s="6" t="n">
        <f aca="false">Seg!F14*(al_m365+Sens!F14271+sbc_r)</f>
        <v>84.5213906545575</v>
      </c>
      <c r="G14272" s="6" t="n">
        <f aca="false">Seg!G14*(al_m365+Sens!G14271+sbc_r)</f>
        <v>98.949983331796</v>
      </c>
      <c r="H14272" s="6" t="n">
        <f aca="false">Seg!H14*(al_m365+Sens!H14271+sbc_r)</f>
        <v>113.543734275326</v>
      </c>
      <c r="I14272" s="6" t="n">
        <f aca="false">Seg!I14*(al_m365+Sens!I14271+sbc_r)</f>
        <v>126.62058838692</v>
      </c>
      <c r="J14272" s="6" t="n">
        <f aca="false">Seg!J14*(al_m365+Sens!J14271+sbc_r)</f>
        <v>137.994660156303</v>
      </c>
      <c r="K14272" s="6" t="n">
        <f aca="false">Seg!K14*(al_m365+Sens!K14271+sbc_r)</f>
        <v>148.989224092997</v>
      </c>
      <c r="L14272" s="12" t="s">
        <v>1232</v>
      </c>
    </row>
    <row r="14273" customFormat="false" ht="17.15" hidden="false" customHeight="false" outlineLevel="0" collapsed="false">
      <c r="A14273" s="0" t="s">
        <v>1233</v>
      </c>
      <c r="B14273" s="0" t="s">
        <v>98</v>
      </c>
      <c r="F14273" s="6" t="n">
        <f aca="false">Seg!F15*(al_lic+Sens!F14271+sbc_r)</f>
        <v>32.855200196554</v>
      </c>
      <c r="G14273" s="6" t="n">
        <f aca="false">Seg!G15*(al_lic+Sens!G14271+sbc_r)</f>
        <v>34.1185582613282</v>
      </c>
      <c r="H14273" s="6" t="n">
        <f aca="false">Seg!H15*(al_lic+Sens!H14271+sbc_r)</f>
        <v>35.3024309363621</v>
      </c>
      <c r="I14273" s="6" t="n">
        <f aca="false">Seg!I15*(al_lic+Sens!I14271+sbc_r)</f>
        <v>36.3898468129533</v>
      </c>
      <c r="J14273" s="6" t="n">
        <f aca="false">Seg!J15*(al_lic+Sens!J14271+sbc_r)</f>
        <v>37.3529129529876</v>
      </c>
      <c r="K14273" s="6" t="n">
        <f aca="false">Seg!K15*(al_lic+Sens!K14271+sbc_r)</f>
        <v>38.158536171203</v>
      </c>
    </row>
    <row r="14274" customFormat="false" ht="17.15" hidden="false" customHeight="false" outlineLevel="0" collapsed="false">
      <c r="A14274" s="0" t="s">
        <v>1234</v>
      </c>
      <c r="B14274" s="0" t="s">
        <v>98</v>
      </c>
      <c r="F14274" s="6" t="n">
        <f aca="false">Seg!F17*(al_ind+Sens!F14271+sbc_r)</f>
        <v>9.05892547956683</v>
      </c>
      <c r="G14274" s="6" t="n">
        <f aca="false">Seg!G17*(al_ind+Sens!G14271+sbc_r)</f>
        <v>9.82456487622418</v>
      </c>
      <c r="H14274" s="6" t="n">
        <f aca="false">Seg!H17*(al_ind+Sens!H14271+sbc_r)</f>
        <v>10.6377408477959</v>
      </c>
      <c r="I14274" s="6" t="n">
        <f aca="false">Seg!I17*(al_ind+Sens!I14271+sbc_r)</f>
        <v>11.4966323260293</v>
      </c>
      <c r="J14274" s="6" t="n">
        <f aca="false">Seg!J17*(al_ind+Sens!J14271+sbc_r)</f>
        <v>12.3903660286279</v>
      </c>
      <c r="K14274" s="6" t="n">
        <f aca="false">Seg!K17*(al_ind+Sens!K14271+sbc_r)</f>
        <v>13.3009129057681</v>
      </c>
    </row>
    <row r="14275" customFormat="false" ht="17.15" hidden="false" customHeight="false" outlineLevel="0" collapsed="false">
      <c r="A14275" s="0" t="s">
        <v>1235</v>
      </c>
      <c r="B14275" s="0" t="s">
        <v>98</v>
      </c>
      <c r="F14275" s="6" t="n">
        <f aca="false">Seg!F19*(al_fro+Sens!F14271+sbc_r)</f>
        <v>3.55344443532423</v>
      </c>
      <c r="G14275" s="6" t="n">
        <f aca="false">Seg!G19*(al_fro+Sens!G14271+sbc_r)</f>
        <v>3.75916645971565</v>
      </c>
      <c r="H14275" s="6" t="n">
        <f aca="false">Seg!H19*(al_fro+Sens!H14271+sbc_r)</f>
        <v>3.994970960527</v>
      </c>
      <c r="I14275" s="6" t="n">
        <f aca="false">Seg!I19*(al_fro+Sens!I14271+sbc_r)</f>
        <v>4.26396270432353</v>
      </c>
      <c r="J14275" s="6" t="n">
        <f aca="false">Seg!J19*(al_fro+Sens!J14271+sbc_r)</f>
        <v>4.5667795874336</v>
      </c>
      <c r="K14275" s="6" t="n">
        <f aca="false">Seg!K19*(al_fro+Sens!K14271+sbc_r)</f>
        <v>4.90238443416026</v>
      </c>
    </row>
    <row r="14276" customFormat="false" ht="17.15" hidden="false" customHeight="false" outlineLevel="0" collapsed="false">
      <c r="A14276" s="0" t="s">
        <v>1236</v>
      </c>
      <c r="B14276" s="0" t="s">
        <v>98</v>
      </c>
      <c r="F14276" s="6" t="n">
        <f aca="false">Seg!F22*(al_srch+Sens!F14271+sbc_r)</f>
        <v>11.1872483445711</v>
      </c>
      <c r="G14276" s="6" t="n">
        <f aca="false">Seg!G22*(al_srch+Sens!G14271+sbc_r)</f>
        <v>12.247246048296</v>
      </c>
      <c r="H14276" s="6" t="n">
        <f aca="false">Seg!H22*(al_srch+Sens!H14271+sbc_r)</f>
        <v>13.3552870946193</v>
      </c>
      <c r="I14276" s="6" t="n">
        <f aca="false">Seg!I22*(al_srch+Sens!I14271+sbc_r)</f>
        <v>14.5024145321619</v>
      </c>
      <c r="J14276" s="6" t="n">
        <f aca="false">Seg!J22*(al_srch+Sens!J14271+sbc_r)</f>
        <v>15.667276660652</v>
      </c>
      <c r="K14276" s="6" t="n">
        <f aca="false">Seg!K22*(al_srch+Sens!K14271+sbc_r)</f>
        <v>16.8186381138719</v>
      </c>
    </row>
    <row r="14277" customFormat="false" ht="17.15" hidden="false" customHeight="false" outlineLevel="0" collapsed="false">
      <c r="A14277" s="0" t="s">
        <v>1237</v>
      </c>
      <c r="B14277" s="0" t="s">
        <v>98</v>
      </c>
      <c r="F14277" s="6" t="n">
        <f aca="false">Thesis!F31-Thesis!F32+Thesis!F47</f>
        <v>45.3782580567763</v>
      </c>
      <c r="G14277" s="6" t="n">
        <f aca="false">Thesis!G31-Thesis!G32+Thesis!G47</f>
        <v>91.0863367558165</v>
      </c>
      <c r="H14277" s="6" t="n">
        <f aca="false">Thesis!H31-Thesis!H32+Thesis!H47</f>
        <v>144.617532464853</v>
      </c>
      <c r="I14277" s="6" t="n">
        <f aca="false">Thesis!I31-Thesis!I32+Thesis!I47</f>
        <v>187.137304561304</v>
      </c>
      <c r="J14277" s="6" t="n">
        <f aca="false">Thesis!J31-Thesis!J32+Thesis!J47</f>
        <v>217.006854425907</v>
      </c>
      <c r="K14277" s="6" t="n">
        <f aca="false">Thesis!K31-Thesis!K32+Thesis!K47</f>
        <v>234.933637903877</v>
      </c>
    </row>
    <row r="14278" customFormat="false" ht="17.15" hidden="false" customHeight="false" outlineLevel="0" collapsed="false">
      <c r="A14278" s="0" t="s">
        <v>1238</v>
      </c>
      <c r="B14278" s="0" t="s">
        <v>98</v>
      </c>
      <c r="F14278" s="6" t="n">
        <f aca="false">PL!F32+Thesis!F47+Thesis!F43+Sens!F14271*(Seg!F21-Thesis!F25)+sbc_r*Seg!F21</f>
        <v>240.818167741339</v>
      </c>
      <c r="G14278" s="6" t="n">
        <f aca="false">PL!G32+Thesis!G47+Thesis!G43+Sens!G14271*(Seg!G21-Thesis!G25)+sbc_r*Seg!G21</f>
        <v>311.917784140952</v>
      </c>
      <c r="H14278" s="6" t="n">
        <f aca="false">PL!H32+Thesis!H47+Thesis!H43+Sens!H14271*(Seg!H21-Thesis!H25)+sbc_r*Seg!H21</f>
        <v>395.486245683473</v>
      </c>
      <c r="I14278" s="6" t="n">
        <f aca="false">PL!I32+Thesis!I47+Thesis!I43+Sens!I14271*(Seg!I21-Thesis!I25)+sbc_r*Seg!I21</f>
        <v>465.950805948377</v>
      </c>
      <c r="J14278" s="6" t="n">
        <f aca="false">PL!J32+Thesis!J47+Thesis!J43+Sens!J14271*(Seg!J21-Thesis!J25)+sbc_r*Seg!J21</f>
        <v>520.78677388057</v>
      </c>
      <c r="K14278" s="6" t="n">
        <f aca="false">PL!K32+Thesis!K47+Thesis!K43+Sens!K14271*(Seg!K21-Thesis!K25)+sbc_r*Seg!K21</f>
        <v>561.2469767412</v>
      </c>
    </row>
    <row r="14279" customFormat="false" ht="17.15" hidden="false" customHeight="false" outlineLevel="0" collapsed="false">
      <c r="A14279" s="0" t="s">
        <v>1239</v>
      </c>
      <c r="B14279" s="0" t="s">
        <v>98</v>
      </c>
      <c r="F14279" s="6" t="n">
        <f aca="false">Sens!F14278-Sens!F14272-Sens!F14273-Sens!F14274-Sens!F14275-Sens!F14277</f>
        <v>65.4509489185601</v>
      </c>
      <c r="G14279" s="6" t="n">
        <f aca="false">Sens!G14278-Sens!G14272-Sens!G14273-Sens!G14274-Sens!G14275-Sens!G14277</f>
        <v>74.1791744560715</v>
      </c>
      <c r="H14279" s="6" t="n">
        <f aca="false">Sens!H14278-Sens!H14272-Sens!H14273-Sens!H14274-Sens!H14275-Sens!H14277</f>
        <v>87.3898361986086</v>
      </c>
      <c r="I14279" s="6" t="n">
        <f aca="false">Sens!I14278-Sens!I14272-Sens!I14273-Sens!I14274-Sens!I14275-Sens!I14277</f>
        <v>100.042471156846</v>
      </c>
      <c r="J14279" s="6" t="n">
        <f aca="false">Sens!J14278-Sens!J14272-Sens!J14273-Sens!J14274-Sens!J14275-Sens!J14277</f>
        <v>111.475200729312</v>
      </c>
      <c r="K14279" s="6" t="n">
        <f aca="false">Sens!K14278-Sens!K14272-Sens!K14273-Sens!K14274-Sens!K14275-Sens!K14277</f>
        <v>120.962281233195</v>
      </c>
    </row>
    <row r="14280" customFormat="false" ht="17.15" hidden="false" customHeight="false" outlineLevel="0" collapsed="false">
      <c r="A14280" s="0" t="s">
        <v>1240</v>
      </c>
      <c r="B14280" s="0" t="s">
        <v>98</v>
      </c>
      <c r="F14280" s="6" t="n">
        <f aca="false">PL!F34+Sens!F14271*Seg!F28+sbc_r*Seg!F28</f>
        <v>26.6293388420472</v>
      </c>
      <c r="G14280" s="6" t="n">
        <f aca="false">PL!G34+Sens!G14271*Seg!G28+sbc_r*Seg!G28</f>
        <v>26.4405000412783</v>
      </c>
      <c r="H14280" s="6" t="n">
        <f aca="false">PL!H34+Sens!H14271*Seg!H28+sbc_r*Seg!H28</f>
        <v>27.296860059552</v>
      </c>
      <c r="I14280" s="6" t="n">
        <f aca="false">PL!I34+Sens!I14271*Seg!I28+sbc_r*Seg!I28</f>
        <v>28.3995465815703</v>
      </c>
      <c r="J14280" s="6" t="n">
        <f aca="false">PL!J34+Sens!J14271*Seg!J28+sbc_r*Seg!J28</f>
        <v>29.7093380975903</v>
      </c>
      <c r="K14280" s="6" t="n">
        <f aca="false">PL!K34+Sens!K14271*Seg!K28+sbc_r*Seg!K28</f>
        <v>31.1817775287323</v>
      </c>
    </row>
    <row r="14281" customFormat="false" ht="17.15" hidden="false" customHeight="false" outlineLevel="0" collapsed="false">
      <c r="A14281" s="0" t="s">
        <v>1241</v>
      </c>
      <c r="B14281" s="0" t="s">
        <v>98</v>
      </c>
      <c r="F14281" s="6" t="n">
        <f aca="false">(Sens!F14280-Sens!F14276)*Seg!F24/(Seg!F24+Seg!F26)</f>
        <v>8.72146908842971</v>
      </c>
      <c r="G14281" s="6" t="n">
        <f aca="false">(Sens!G14280-Sens!G14276)*Seg!G24/(Seg!G24+Seg!G26)</f>
        <v>7.87837655379173</v>
      </c>
      <c r="H14281" s="6" t="n">
        <f aca="false">(Sens!H14280-Sens!H14276)*Seg!H24/(Seg!H24+Seg!H26)</f>
        <v>7.63786170689933</v>
      </c>
      <c r="I14281" s="6" t="n">
        <f aca="false">(Sens!I14280-Sens!I14276)*Seg!I24/(Seg!I24+Seg!I26)</f>
        <v>7.5470606300581</v>
      </c>
      <c r="J14281" s="6" t="n">
        <f aca="false">(Sens!J14280-Sens!J14276)*Seg!J24/(Seg!J24+Seg!J26)</f>
        <v>7.59249600034024</v>
      </c>
      <c r="K14281" s="6" t="n">
        <f aca="false">(Sens!K14280-Sens!K14276)*Seg!K24/(Seg!K24+Seg!K26)</f>
        <v>7.76610179704742</v>
      </c>
    </row>
    <row r="14282" customFormat="false" ht="17.15" hidden="false" customHeight="false" outlineLevel="0" collapsed="false">
      <c r="A14282" s="0" t="s">
        <v>1242</v>
      </c>
      <c r="B14282" s="0" t="s">
        <v>98</v>
      </c>
      <c r="F14282" s="6" t="n">
        <f aca="false">Sens!F14280-Sens!F14276-Sens!F14281</f>
        <v>6.72062140904636</v>
      </c>
      <c r="G14282" s="6" t="n">
        <f aca="false">Sens!G14280-Sens!G14276-Sens!G14281</f>
        <v>6.31487743919059</v>
      </c>
      <c r="H14282" s="6" t="n">
        <f aca="false">Sens!H14280-Sens!H14276-Sens!H14281</f>
        <v>6.30371125803333</v>
      </c>
      <c r="I14282" s="6" t="n">
        <f aca="false">Sens!I14280-Sens!I14276-Sens!I14281</f>
        <v>6.35007141935025</v>
      </c>
      <c r="J14282" s="6" t="n">
        <f aca="false">Sens!J14280-Sens!J14276-Sens!J14281</f>
        <v>6.44956543659808</v>
      </c>
      <c r="K14282" s="6" t="n">
        <f aca="false">Sens!K14280-Sens!K14276-Sens!K14281</f>
        <v>6.597037617813</v>
      </c>
    </row>
    <row r="14283" customFormat="false" ht="17.15" hidden="false" customHeight="false" outlineLevel="0" collapsed="false">
      <c r="A14283" s="0" t="s">
        <v>1243</v>
      </c>
      <c r="B14283" s="0" t="s">
        <v>98</v>
      </c>
      <c r="F14283" s="6" t="n">
        <f aca="false">Sens!F14277-tax_f*(Sens!F14277-Thesis!F43)-Thesis!F40</f>
        <v>-125.235434701028</v>
      </c>
      <c r="G14283" s="6" t="n">
        <f aca="false">Sens!G14277-tax_f*(Sens!G14277-Thesis!G43)-Thesis!G40</f>
        <v>-106.928508113935</v>
      </c>
      <c r="H14283" s="6" t="n">
        <f aca="false">Sens!H14277-tax_f*(Sens!H14277-Thesis!H43)-Thesis!H40</f>
        <v>-63.2919599603405</v>
      </c>
      <c r="I14283" s="6" t="n">
        <f aca="false">Sens!I14277-tax_f*(Sens!I14277-Thesis!I43)-Thesis!I40</f>
        <v>3.94121196634245</v>
      </c>
      <c r="J14283" s="6" t="n">
        <f aca="false">Sens!J14277-tax_f*(Sens!J14277-Thesis!J43)-Thesis!J40</f>
        <v>71.0786869547042</v>
      </c>
      <c r="K14283" s="6" t="n">
        <f aca="false">Sens!K14277-tax_f*(Sens!K14277-Thesis!K43)-Thesis!K40</f>
        <v>97.5865911685559</v>
      </c>
    </row>
    <row r="14284" customFormat="false" ht="17.15" hidden="false" customHeight="false" outlineLevel="0" collapsed="false">
      <c r="A14284" s="0" t="s">
        <v>1244</v>
      </c>
      <c r="B14284" s="0" t="s">
        <v>98</v>
      </c>
      <c r="G14284" s="6" t="n">
        <f aca="false">Sens!G14283/(1+wacc)^(Sens!G14254-Sens!F14255)</f>
        <v>-101.81651667568</v>
      </c>
      <c r="H14284" s="6" t="n">
        <f aca="false">Sens!H14283/(1+wacc)^(Sens!H14254-Sens!F14255)</f>
        <v>-54.6415143556151</v>
      </c>
      <c r="I14284" s="6" t="n">
        <f aca="false">Sens!I14283/(1+wacc)^(Sens!I14254-Sens!F14255)</f>
        <v>3.08498765169516</v>
      </c>
      <c r="J14284" s="6" t="n">
        <f aca="false">Sens!J14283/(1+wacc)^(Sens!J14254-Sens!F14255)</f>
        <v>50.4443451596971</v>
      </c>
      <c r="K14284" s="6" t="n">
        <f aca="false">Sens!K14283/(1+wacc)^(Sens!K14254-Sens!F14255)</f>
        <v>62.7932114544856</v>
      </c>
      <c r="L14284" s="1" t="s">
        <v>1245</v>
      </c>
    </row>
    <row r="14285" customFormat="false" ht="17.15" hidden="false" customHeight="false" outlineLevel="0" collapsed="false">
      <c r="A14285" s="0" t="s">
        <v>1246</v>
      </c>
      <c r="B14285" s="0" t="s">
        <v>98</v>
      </c>
      <c r="C14285" s="6" t="n">
        <f aca="false">(Sens!K14277-Thesis!K43)*(1-tax_f)*(1+g_tv_hi)*(1-g_tv_hi/(wacc+ronic_prem))/(wacc-g_tv_hi)/(1+wacc)^(Sens!K14255-Sens!F14255)</f>
        <v>455.213790682452</v>
      </c>
    </row>
    <row r="14286" customFormat="false" ht="17.15" hidden="false" customHeight="false" outlineLevel="0" collapsed="false">
      <c r="A14286" s="1" t="s">
        <v>1247</v>
      </c>
      <c r="B14286" s="0" t="s">
        <v>98</v>
      </c>
      <c r="C14286" s="6" t="n">
        <f aca="false">(SUM(Sens!G14284:K14284)+Sens!$C$14285)*(1+wacc)^(t_roll-Sens!F14255)</f>
        <v>428.7812940193</v>
      </c>
      <c r="L14286" s="12" t="s">
        <v>1248</v>
      </c>
    </row>
    <row r="14287" customFormat="false" ht="17.15" hidden="false" customHeight="false" outlineLevel="0" collapsed="false">
      <c r="A14287" s="1" t="s">
        <v>1249</v>
      </c>
      <c r="B14287" s="0" t="s">
        <v>98</v>
      </c>
      <c r="C14287" s="6" t="n">
        <f aca="false">(w_ntm28*Thesis!G31+(1-w_ntm28)*Thesis!H31)*m_ai</f>
        <v>563.316843258668</v>
      </c>
    </row>
    <row r="14288" customFormat="false" ht="17.15" hidden="false" customHeight="false" outlineLevel="0" collapsed="false">
      <c r="A14288" s="1" t="s">
        <v>1250</v>
      </c>
      <c r="B14288" s="0" t="s">
        <v>98</v>
      </c>
      <c r="C14288" s="6" t="n">
        <f aca="false">(w_ntm28*Sens!G14279+(1-w_ntm28)*Sens!H14279)*m_cloud</f>
        <v>1085.17964696599</v>
      </c>
    </row>
    <row r="14289" customFormat="false" ht="17.15" hidden="false" customHeight="false" outlineLevel="0" collapsed="false">
      <c r="A14289" s="1" t="s">
        <v>1251</v>
      </c>
      <c r="B14289" s="0" t="s">
        <v>98</v>
      </c>
      <c r="C14289" s="6" t="n">
        <f aca="false">(w_ntm28*Sens!G14272+(1-w_ntm28)*Sens!H14272)*m_sw</f>
        <v>1120.47763155275</v>
      </c>
    </row>
    <row r="14290" customFormat="false" ht="17.15" hidden="false" customHeight="false" outlineLevel="0" collapsed="false">
      <c r="A14290" s="1" t="s">
        <v>1252</v>
      </c>
      <c r="B14290" s="0" t="s">
        <v>98</v>
      </c>
      <c r="C14290" s="6" t="n">
        <f aca="false">(w_ntm28*Sens!G14273+(1-w_ntm28)*Sens!H14273)*m_sw</f>
        <v>372.68398809041</v>
      </c>
    </row>
    <row r="14291" customFormat="false" ht="17.15" hidden="false" customHeight="false" outlineLevel="0" collapsed="false">
      <c r="A14291" s="1" t="s">
        <v>1253</v>
      </c>
      <c r="B14291" s="0" t="s">
        <v>98</v>
      </c>
      <c r="C14291" s="6" t="n">
        <f aca="false">(w_ntm28*Sens!G14274+(1-w_ntm28)*Sens!H14274)*m_sw</f>
        <v>108.992632332144</v>
      </c>
    </row>
    <row r="14292" customFormat="false" ht="17.15" hidden="false" customHeight="false" outlineLevel="0" collapsed="false">
      <c r="A14292" s="1" t="s">
        <v>1254</v>
      </c>
      <c r="B14292" s="0" t="s">
        <v>98</v>
      </c>
      <c r="C14292" s="6" t="n">
        <f aca="false">(w_ntm28*Sens!G14275+(1-w_ntm28)*Sens!H14275)*m_sw</f>
        <v>41.4362652527414</v>
      </c>
    </row>
    <row r="14293" customFormat="false" ht="17.15" hidden="false" customHeight="false" outlineLevel="0" collapsed="false">
      <c r="A14293" s="1" t="s">
        <v>1255</v>
      </c>
      <c r="B14293" s="0" t="s">
        <v>98</v>
      </c>
      <c r="C14293" s="6" t="n">
        <f aca="false">(w_ntm28*Sens!G14276+(1-w_ntm28)*Sens!H14276)*m_ads</f>
        <v>114.891070326937</v>
      </c>
    </row>
    <row r="14294" customFormat="false" ht="17.15" hidden="false" customHeight="false" outlineLevel="0" collapsed="false">
      <c r="A14294" s="1" t="s">
        <v>1256</v>
      </c>
      <c r="B14294" s="0" t="s">
        <v>98</v>
      </c>
      <c r="C14294" s="6" t="n">
        <f aca="false">(w_ntm28*Sens!G14281+(1-w_ntm28)*Sens!H14281)*m_game</f>
        <v>98.505199156718</v>
      </c>
    </row>
    <row r="14295" customFormat="false" ht="17.15" hidden="false" customHeight="false" outlineLevel="0" collapsed="false">
      <c r="A14295" s="1" t="s">
        <v>1257</v>
      </c>
      <c r="B14295" s="0" t="s">
        <v>98</v>
      </c>
      <c r="C14295" s="6" t="n">
        <f aca="false">(w_ntm28*Sens!G14282+(1-w_ntm28)*Sens!H14282)*m_pc</f>
        <v>91.3231561150564</v>
      </c>
    </row>
    <row r="14296" customFormat="false" ht="17.15" hidden="false" customHeight="false" outlineLevel="0" collapsed="false">
      <c r="A14296" s="1" t="s">
        <v>1258</v>
      </c>
      <c r="B14296" s="0" t="s">
        <v>98</v>
      </c>
      <c r="C14296" s="6" t="n">
        <f aca="false">Sens!$C$14286+Sens!$C$14288+Sens!$C$14289+Sens!$C$14290+Sens!$C$14291+Sens!$C$14292+Sens!$C$14293+Sens!$C$14294+Sens!$C$14295</f>
        <v>3462.27088381205</v>
      </c>
    </row>
    <row r="14297" customFormat="false" ht="17.15" hidden="false" customHeight="false" outlineLevel="0" collapsed="false">
      <c r="A14297" s="1" t="s">
        <v>1259</v>
      </c>
      <c r="B14297" s="0" t="s">
        <v>98</v>
      </c>
      <c r="C14297" s="6" t="n">
        <f aca="false">(Sens!G14258-Sens!G14283)*t_stub</f>
        <v>48.2832931160316</v>
      </c>
      <c r="L14297" s="1" t="s">
        <v>1260</v>
      </c>
    </row>
    <row r="14298" customFormat="false" ht="17.15" hidden="false" customHeight="false" outlineLevel="0" collapsed="false">
      <c r="A14298" s="1" t="s">
        <v>1169</v>
      </c>
      <c r="B14298" s="0" t="s">
        <v>98</v>
      </c>
      <c r="C14298" s="6" t="n">
        <f aca="false">CF!F39+oai_v-CF!F28+Sens!$C$14297</f>
        <v>162.511563116032</v>
      </c>
      <c r="L14298" s="1" t="s">
        <v>1261</v>
      </c>
    </row>
    <row r="14299" customFormat="false" ht="17.15" hidden="false" customHeight="false" outlineLevel="0" collapsed="false">
      <c r="A14299" s="1" t="s">
        <v>1262</v>
      </c>
      <c r="B14299" s="0" t="s">
        <v>75</v>
      </c>
      <c r="C14299" s="5" t="n">
        <f aca="false">(Sens!$C$14296+Sens!$C$14298)/(CF!F41+dil_gap)-CF!G31*roll_div_q/q_per_yr</f>
        <v>482.892946352967</v>
      </c>
      <c r="L14299" s="1" t="s">
        <v>1263</v>
      </c>
    </row>
    <row r="14300" customFormat="false" ht="17.15" hidden="false" customHeight="false" outlineLevel="0" collapsed="false">
      <c r="A14300" s="1" t="s">
        <v>1264</v>
      </c>
      <c r="B14300" s="0" t="s">
        <v>75</v>
      </c>
      <c r="C14300" s="5" t="n">
        <f aca="false">w_dcf*Sens!$C$14270+(1-w_dcf)*Sens!$C$14299</f>
        <v>424.818422890762</v>
      </c>
    </row>
    <row r="14301" customFormat="false" ht="17.15" hidden="false" customHeight="false" outlineLevel="0" collapsed="false">
      <c r="A14301" s="3" t="s">
        <v>1835</v>
      </c>
    </row>
    <row r="14302" customFormat="false" ht="15" hidden="false" customHeight="false" outlineLevel="0" collapsed="false">
      <c r="A14302" s="4" t="s">
        <v>43</v>
      </c>
      <c r="B14302" s="4" t="s">
        <v>65</v>
      </c>
      <c r="C14302" s="23" t="s">
        <v>938</v>
      </c>
      <c r="D14302" s="23" t="s">
        <v>939</v>
      </c>
      <c r="E14302" s="23" t="s">
        <v>940</v>
      </c>
      <c r="F14302" s="23" t="s">
        <v>941</v>
      </c>
      <c r="G14302" s="23" t="s">
        <v>942</v>
      </c>
      <c r="H14302" s="23" t="s">
        <v>943</v>
      </c>
      <c r="I14302" s="23" t="s">
        <v>944</v>
      </c>
      <c r="J14302" s="23" t="s">
        <v>945</v>
      </c>
      <c r="K14302" s="23" t="s">
        <v>946</v>
      </c>
      <c r="L14302" s="4" t="s">
        <v>47</v>
      </c>
    </row>
    <row r="14303" customFormat="false" ht="17.15" hidden="false" customHeight="false" outlineLevel="0" collapsed="false">
      <c r="A14303" s="1" t="s">
        <v>1212</v>
      </c>
      <c r="B14303" s="1" t="s">
        <v>279</v>
      </c>
      <c r="F14303" s="8" t="n">
        <f aca="false">(1-v_off)*mid_yr</f>
        <v>0.373972602739726</v>
      </c>
      <c r="G14303" s="8" t="n">
        <f aca="false">Thesis!G58-base_fy-mid_yr-v_off</f>
        <v>1.24794520547945</v>
      </c>
      <c r="H14303" s="8" t="n">
        <f aca="false">Thesis!H58-base_fy-mid_yr-v_off</f>
        <v>2.24794520547945</v>
      </c>
      <c r="I14303" s="8" t="n">
        <f aca="false">Thesis!I58-base_fy-mid_yr-v_off</f>
        <v>3.24794520547945</v>
      </c>
      <c r="J14303" s="8" t="n">
        <f aca="false">Thesis!J58-base_fy-mid_yr-v_off</f>
        <v>4.24794520547945</v>
      </c>
      <c r="K14303" s="8" t="n">
        <f aca="false">Thesis!K58-base_fy-mid_yr-v_off</f>
        <v>5.24794520547945</v>
      </c>
      <c r="L14303" s="12" t="s">
        <v>1213</v>
      </c>
    </row>
    <row r="14304" customFormat="false" ht="15" hidden="false" customHeight="false" outlineLevel="0" collapsed="false">
      <c r="A14304" s="1" t="s">
        <v>1214</v>
      </c>
      <c r="B14304" s="1" t="s">
        <v>279</v>
      </c>
      <c r="F14304" s="8" t="n">
        <f aca="false">Thesis!F58-base_fy-v_off</f>
        <v>0.747945205479452</v>
      </c>
      <c r="G14304" s="8" t="n">
        <f aca="false">Thesis!G58-base_fy-v_off</f>
        <v>1.74794520547945</v>
      </c>
      <c r="H14304" s="8" t="n">
        <f aca="false">Thesis!H58-base_fy-v_off</f>
        <v>2.74794520547945</v>
      </c>
      <c r="I14304" s="8" t="n">
        <f aca="false">Thesis!I58-base_fy-v_off</f>
        <v>3.74794520547945</v>
      </c>
      <c r="J14304" s="8" t="n">
        <f aca="false">Thesis!J58-base_fy-v_off</f>
        <v>4.74794520547945</v>
      </c>
      <c r="K14304" s="8" t="n">
        <f aca="false">Thesis!K58-base_fy-v_off</f>
        <v>5.74794520547945</v>
      </c>
    </row>
    <row r="14305" customFormat="false" ht="15" hidden="false" customHeight="false" outlineLevel="0" collapsed="false">
      <c r="A14305" s="1" t="s">
        <v>1215</v>
      </c>
      <c r="B14305" s="0" t="s">
        <v>229</v>
      </c>
      <c r="F14305" s="15" t="n">
        <f aca="false">1/(1+wacc)^Sens!F14303</f>
        <v>0.964022703286649</v>
      </c>
      <c r="G14305" s="15" t="n">
        <f aca="false">1/(1+wacc)^Sens!G14303</f>
        <v>0.884910302296739</v>
      </c>
      <c r="H14305" s="15" t="n">
        <f aca="false">1/(1+wacc)^Sens!H14303</f>
        <v>0.802322009770358</v>
      </c>
      <c r="I14305" s="15" t="n">
        <f aca="false">1/(1+wacc)^Sens!I14303</f>
        <v>0.727441646561469</v>
      </c>
      <c r="J14305" s="15" t="n">
        <f aca="false">1/(1+wacc)^Sens!J14303</f>
        <v>0.659549834988973</v>
      </c>
      <c r="K14305" s="15" t="n">
        <f aca="false">1/(1+wacc)^Sens!K14303</f>
        <v>0.597994336576966</v>
      </c>
    </row>
    <row r="14306" customFormat="false" ht="17.15" hidden="false" customHeight="false" outlineLevel="0" collapsed="false">
      <c r="A14306" s="1" t="s">
        <v>1216</v>
      </c>
      <c r="B14306" s="0" t="s">
        <v>98</v>
      </c>
      <c r="F14306" s="6" t="n">
        <f aca="false">Q!$I$35-Q!$I$39-Q!$I$43</f>
        <v>9.666</v>
      </c>
      <c r="L14306" s="12" t="s">
        <v>1217</v>
      </c>
    </row>
    <row r="14307" customFormat="false" ht="17.15" hidden="false" customHeight="false" outlineLevel="0" collapsed="false">
      <c r="A14307" s="1" t="s">
        <v>1218</v>
      </c>
      <c r="B14307" s="0" t="s">
        <v>98</v>
      </c>
      <c r="F14307" s="6" t="n">
        <f aca="false">CF!F55-CF!F52-CF!F59+Thesis!F99*(1-tax_f)*(1-v_off)-Sens!F14306</f>
        <v>-3.35959137570949</v>
      </c>
      <c r="G14307" s="6" t="n">
        <f aca="false">CF!G55-CF!G52-CF!G59+Thesis!G99*(1-tax_f)</f>
        <v>29.8084555066036</v>
      </c>
      <c r="H14307" s="6" t="n">
        <f aca="false">CF!H55-CF!H52-CF!H59+Thesis!H99*(1-tax_f)</f>
        <v>79.3231801478051</v>
      </c>
      <c r="I14307" s="6" t="n">
        <f aca="false">CF!I55-CF!I52-CF!I59+Thesis!I99*(1-tax_f)</f>
        <v>157.29132812061</v>
      </c>
      <c r="J14307" s="6" t="n">
        <f aca="false">CF!J55-CF!J52-CF!J59+Thesis!J99*(1-tax_f)</f>
        <v>235.537601843622</v>
      </c>
      <c r="K14307" s="6" t="n">
        <f aca="false">CF!K55-CF!K52-CF!K59+Thesis!K99*(1-tax_f)</f>
        <v>273.705067207806</v>
      </c>
      <c r="L14307" s="1" t="s">
        <v>1219</v>
      </c>
    </row>
    <row r="14308" customFormat="false" ht="15" hidden="false" customHeight="false" outlineLevel="0" collapsed="false">
      <c r="A14308" s="1" t="s">
        <v>1220</v>
      </c>
      <c r="B14308" s="0" t="s">
        <v>98</v>
      </c>
      <c r="F14308" s="6" t="n">
        <f aca="false">Sens!F14307*Sens!F14305</f>
        <v>-3.23872235994998</v>
      </c>
      <c r="G14308" s="6" t="n">
        <f aca="false">Sens!G14307*Sens!G14305</f>
        <v>26.3778093733475</v>
      </c>
      <c r="H14308" s="6" t="n">
        <f aca="false">Sens!H14307*Sens!H14305</f>
        <v>63.6427333175632</v>
      </c>
      <c r="I14308" s="6" t="n">
        <f aca="false">Sens!I14307*Sens!I14305</f>
        <v>114.420262717897</v>
      </c>
      <c r="J14308" s="6" t="n">
        <f aca="false">Sens!J14307*Sens!J14305</f>
        <v>155.348786429659</v>
      </c>
      <c r="K14308" s="6" t="n">
        <f aca="false">Sens!K14307*Sens!K14305</f>
        <v>163.674080082686</v>
      </c>
    </row>
    <row r="14309" customFormat="false" ht="17.15" hidden="false" customHeight="false" outlineLevel="0" collapsed="false">
      <c r="A14309" s="1" t="s">
        <v>1221</v>
      </c>
      <c r="B14309" s="0" t="s">
        <v>98</v>
      </c>
      <c r="C14309" s="6" t="n">
        <f aca="false">SUM(Sens!F14308:K14308)</f>
        <v>520.224949561203</v>
      </c>
    </row>
    <row r="14310" customFormat="false" ht="17.15" hidden="false" customHeight="false" outlineLevel="0" collapsed="false">
      <c r="A14310" s="1" t="s">
        <v>1222</v>
      </c>
      <c r="B14310" s="0" t="s">
        <v>98</v>
      </c>
      <c r="C14310" s="6" t="n">
        <f aca="false">PL!K78*(1+g_tv_hi)*(1-tax_f)</f>
        <v>287.746325712786</v>
      </c>
    </row>
    <row r="14311" customFormat="false" ht="17.15" hidden="false" customHeight="false" outlineLevel="0" collapsed="false">
      <c r="A14311" s="1" t="s">
        <v>1223</v>
      </c>
      <c r="B14311" s="0" t="s">
        <v>98</v>
      </c>
      <c r="C14311" s="6" t="n">
        <f aca="false">Sens!$C$14310*(1-g_tv_hi/(wacc+ronic_prem))</f>
        <v>175.931344054859</v>
      </c>
    </row>
    <row r="14312" customFormat="false" ht="17.15" hidden="false" customHeight="false" outlineLevel="0" collapsed="false">
      <c r="A14312" s="1" t="s">
        <v>1224</v>
      </c>
      <c r="B14312" s="0" t="s">
        <v>98</v>
      </c>
      <c r="C14312" s="6" t="n">
        <f aca="false">Sens!$C$14311/(wacc-g_tv_hi)</f>
        <v>2795.37454144816</v>
      </c>
    </row>
    <row r="14313" customFormat="false" ht="15" hidden="false" customHeight="false" outlineLevel="0" collapsed="false">
      <c r="A14313" s="1" t="s">
        <v>1225</v>
      </c>
      <c r="B14313" s="0" t="s">
        <v>98</v>
      </c>
      <c r="C14313" s="6" t="n">
        <f aca="false">Sens!$C$14312/(1+wacc)^Sens!K14304</f>
        <v>1591.70215386396</v>
      </c>
    </row>
    <row r="14314" customFormat="false" ht="17.15" hidden="false" customHeight="false" outlineLevel="0" collapsed="false">
      <c r="A14314" s="0" t="s">
        <v>1226</v>
      </c>
      <c r="B14314" s="0" t="s">
        <v>98</v>
      </c>
      <c r="C14314" s="6" t="n">
        <f aca="false">Sens!$C$14309+Sens!$C$14313</f>
        <v>2111.92710342516</v>
      </c>
    </row>
    <row r="14315" customFormat="false" ht="15" hidden="false" customHeight="false" outlineLevel="0" collapsed="false">
      <c r="A14315" s="1" t="s">
        <v>1141</v>
      </c>
      <c r="B14315" s="0" t="s">
        <v>168</v>
      </c>
      <c r="C14315" s="7" t="n">
        <f aca="false">Sens!$C$14313/Sens!$C$14314</f>
        <v>0.753672866493596</v>
      </c>
    </row>
    <row r="14316" customFormat="false" ht="17.15" hidden="false" customHeight="false" outlineLevel="0" collapsed="false">
      <c r="A14316" s="1" t="s">
        <v>1227</v>
      </c>
      <c r="B14316" s="0" t="s">
        <v>98</v>
      </c>
      <c r="C14316" s="6" t="n">
        <f aca="false">Sens!$C$14314+cash_val-debt_val-fl_val+oai_v</f>
        <v>2227.77810342516</v>
      </c>
    </row>
    <row r="14317" customFormat="false" ht="17.15" hidden="false" customHeight="false" outlineLevel="0" collapsed="false">
      <c r="A14317" s="0" t="s">
        <v>1149</v>
      </c>
      <c r="B14317" s="0" t="s">
        <v>75</v>
      </c>
      <c r="C14317" s="5" t="n">
        <f aca="false">Sens!$C$14316/shd_val</f>
        <v>299.191257510765</v>
      </c>
    </row>
    <row r="14318" customFormat="false" ht="15" hidden="false" customHeight="false" outlineLevel="0" collapsed="false">
      <c r="A14318" s="1" t="s">
        <v>1228</v>
      </c>
      <c r="B14318" s="0" t="s">
        <v>75</v>
      </c>
      <c r="C14318" s="8" t="n">
        <f aca="false">div_rem27+CF!G63*roll_div_q/q_per_yr</f>
        <v>3.9795</v>
      </c>
    </row>
    <row r="14319" customFormat="false" ht="17.15" hidden="false" customHeight="false" outlineLevel="0" collapsed="false">
      <c r="A14319" s="0" t="s">
        <v>1229</v>
      </c>
      <c r="B14319" s="0" t="s">
        <v>75</v>
      </c>
      <c r="C14319" s="5" t="n">
        <f aca="false">Sens!$C$14317*(1+wacc)^t_roll-Sens!$C$14318</f>
        <v>328.588280809842</v>
      </c>
    </row>
    <row r="14320" customFormat="false" ht="17.15" hidden="false" customHeight="false" outlineLevel="0" collapsed="false">
      <c r="A14320" s="1" t="s">
        <v>1230</v>
      </c>
      <c r="B14320" s="0" t="s">
        <v>168</v>
      </c>
      <c r="F14320" s="7" t="n">
        <f aca="false">CF!F49/(Seg!F56-Thesis!F77)</f>
        <v>0.0686195668908011</v>
      </c>
      <c r="G14320" s="7" t="n">
        <f aca="false">CF!G49/(Seg!G56-Thesis!G77)</f>
        <v>0.0658333569148391</v>
      </c>
      <c r="H14320" s="7" t="n">
        <f aca="false">CF!H49/(Seg!H56-Thesis!H77)</f>
        <v>0.0643895625218926</v>
      </c>
      <c r="I14320" s="7" t="n">
        <f aca="false">CF!I49/(Seg!I56-Thesis!I77)</f>
        <v>0.0641676618157989</v>
      </c>
      <c r="J14320" s="7" t="n">
        <f aca="false">CF!J49/(Seg!J56-Thesis!J77)</f>
        <v>0.0648858606572163</v>
      </c>
      <c r="K14320" s="7" t="n">
        <f aca="false">CF!K49/(Seg!K56-Thesis!K77)</f>
        <v>0.0661974425163768</v>
      </c>
    </row>
    <row r="14321" customFormat="false" ht="17.15" hidden="false" customHeight="false" outlineLevel="0" collapsed="false">
      <c r="A14321" s="0" t="s">
        <v>1231</v>
      </c>
      <c r="B14321" s="0" t="s">
        <v>98</v>
      </c>
      <c r="F14321" s="6" t="n">
        <f aca="false">Seg!F41*(al_m365+Sens!F14320+sbc_r)</f>
        <v>83.7205619248671</v>
      </c>
      <c r="G14321" s="6" t="n">
        <f aca="false">Seg!G41*(al_m365+Sens!G14320+sbc_r)</f>
        <v>96.1301303332381</v>
      </c>
      <c r="H14321" s="6" t="n">
        <f aca="false">Seg!H41*(al_m365+Sens!H14320+sbc_r)</f>
        <v>108.70354073822</v>
      </c>
      <c r="I14321" s="6" t="n">
        <f aca="false">Seg!I41*(al_m365+Sens!I14320+sbc_r)</f>
        <v>120.260101315626</v>
      </c>
      <c r="J14321" s="6" t="n">
        <f aca="false">Seg!J41*(al_m365+Sens!J14320+sbc_r)</f>
        <v>130.611904548619</v>
      </c>
      <c r="K14321" s="6" t="n">
        <f aca="false">Seg!K41*(al_m365+Sens!K14320+sbc_r)</f>
        <v>140.575094974638</v>
      </c>
      <c r="L14321" s="12" t="s">
        <v>1232</v>
      </c>
    </row>
    <row r="14322" customFormat="false" ht="17.15" hidden="false" customHeight="false" outlineLevel="0" collapsed="false">
      <c r="A14322" s="0" t="s">
        <v>1233</v>
      </c>
      <c r="B14322" s="0" t="s">
        <v>98</v>
      </c>
      <c r="F14322" s="6" t="n">
        <f aca="false">Seg!F42*(al_lic+Sens!F14320+sbc_r)</f>
        <v>32.8577657183496</v>
      </c>
      <c r="G14322" s="6" t="n">
        <f aca="false">Seg!G42*(al_lic+Sens!G14320+sbc_r)</f>
        <v>34.1376266324889</v>
      </c>
      <c r="H14322" s="6" t="n">
        <f aca="false">Seg!H42*(al_lic+Sens!H14320+sbc_r)</f>
        <v>35.3325744664128</v>
      </c>
      <c r="I14322" s="6" t="n">
        <f aca="false">Seg!I42*(al_lic+Sens!I14320+sbc_r)</f>
        <v>36.4244749008727</v>
      </c>
      <c r="J14322" s="6" t="n">
        <f aca="false">Seg!J42*(al_lic+Sens!J14320+sbc_r)</f>
        <v>37.3879406068527</v>
      </c>
      <c r="K14322" s="6" t="n">
        <f aca="false">Seg!K42*(al_lic+Sens!K14320+sbc_r)</f>
        <v>38.1943876078259</v>
      </c>
    </row>
    <row r="14323" customFormat="false" ht="17.15" hidden="false" customHeight="false" outlineLevel="0" collapsed="false">
      <c r="A14323" s="0" t="s">
        <v>1234</v>
      </c>
      <c r="B14323" s="0" t="s">
        <v>98</v>
      </c>
      <c r="F14323" s="6" t="n">
        <f aca="false">Seg!F44*(al_ind+Sens!F14320+sbc_r)</f>
        <v>9.06041701092022</v>
      </c>
      <c r="G14323" s="6" t="n">
        <f aca="false">Seg!G44*(al_ind+Sens!G14320+sbc_r)</f>
        <v>9.83619082712885</v>
      </c>
      <c r="H14323" s="6" t="n">
        <f aca="false">Seg!H44*(al_ind+Sens!H14320+sbc_r)</f>
        <v>10.6570160105312</v>
      </c>
      <c r="I14323" s="6" t="n">
        <f aca="false">Seg!I44*(al_ind+Sens!I14320+sbc_r)</f>
        <v>11.5198571637125</v>
      </c>
      <c r="J14323" s="6" t="n">
        <f aca="false">Seg!J44*(al_ind+Sens!J14320+sbc_r)</f>
        <v>12.4150086539206</v>
      </c>
      <c r="K14323" s="6" t="n">
        <f aca="false">Seg!K44*(al_ind+Sens!K14320+sbc_r)</f>
        <v>13.3273714589988</v>
      </c>
    </row>
    <row r="14324" customFormat="false" ht="17.15" hidden="false" customHeight="false" outlineLevel="0" collapsed="false">
      <c r="A14324" s="0" t="s">
        <v>1235</v>
      </c>
      <c r="B14324" s="0" t="s">
        <v>98</v>
      </c>
      <c r="F14324" s="6" t="n">
        <f aca="false">Seg!F46*(al_fro+Sens!F14320+sbc_r)</f>
        <v>3.55402950182022</v>
      </c>
      <c r="G14324" s="6" t="n">
        <f aca="false">Seg!G46*(al_fro+Sens!G14320+sbc_r)</f>
        <v>3.76361488926481</v>
      </c>
      <c r="H14324" s="6" t="n">
        <f aca="false">Seg!H46*(al_fro+Sens!H14320+sbc_r)</f>
        <v>4.00220968879544</v>
      </c>
      <c r="I14324" s="6" t="n">
        <f aca="false">Seg!I46*(al_fro+Sens!I14320+sbc_r)</f>
        <v>4.2725765173852</v>
      </c>
      <c r="J14324" s="6" t="n">
        <f aca="false">Seg!J46*(al_fro+Sens!J14320+sbc_r)</f>
        <v>4.57586224390293</v>
      </c>
      <c r="K14324" s="6" t="n">
        <f aca="false">Seg!K46*(al_fro+Sens!K14320+sbc_r)</f>
        <v>4.91213639633217</v>
      </c>
    </row>
    <row r="14325" customFormat="false" ht="17.15" hidden="false" customHeight="false" outlineLevel="0" collapsed="false">
      <c r="A14325" s="0" t="s">
        <v>1236</v>
      </c>
      <c r="B14325" s="0" t="s">
        <v>98</v>
      </c>
      <c r="F14325" s="6" t="n">
        <f aca="false">Seg!F49*(al_srch+Sens!F14320+sbc_r)</f>
        <v>11.1890902994147</v>
      </c>
      <c r="G14325" s="6" t="n">
        <f aca="false">Seg!G49*(al_srch+Sens!G14320+sbc_r)</f>
        <v>12.261738891803</v>
      </c>
      <c r="H14325" s="6" t="n">
        <f aca="false">Seg!H49*(al_srch+Sens!H14320+sbc_r)</f>
        <v>13.3794863429193</v>
      </c>
      <c r="I14325" s="6" t="n">
        <f aca="false">Seg!I49*(al_srch+Sens!I14320+sbc_r)</f>
        <v>14.5317114787784</v>
      </c>
      <c r="J14325" s="6" t="n">
        <f aca="false">Seg!J49*(al_srch+Sens!J14320+sbc_r)</f>
        <v>15.6984365817724</v>
      </c>
      <c r="K14325" s="6" t="n">
        <f aca="false">Seg!K49*(al_srch+Sens!K14320+sbc_r)</f>
        <v>16.8520942258664</v>
      </c>
    </row>
    <row r="14326" customFormat="false" ht="17.15" hidden="false" customHeight="false" outlineLevel="0" collapsed="false">
      <c r="A14326" s="0" t="s">
        <v>1237</v>
      </c>
      <c r="B14326" s="0" t="s">
        <v>98</v>
      </c>
      <c r="F14326" s="6" t="n">
        <f aca="false">Thesis!F83-Thesis!F84+Thesis!F99</f>
        <v>42.5431090240393</v>
      </c>
      <c r="G14326" s="6" t="n">
        <f aca="false">Thesis!G83-Thesis!G84+Thesis!G99</f>
        <v>81.4922561130847</v>
      </c>
      <c r="H14326" s="6" t="n">
        <f aca="false">Thesis!H83-Thesis!H84+Thesis!H99</f>
        <v>123.278266211349</v>
      </c>
      <c r="I14326" s="6" t="n">
        <f aca="false">Thesis!I83-Thesis!I84+Thesis!I99</f>
        <v>160.60594185192</v>
      </c>
      <c r="J14326" s="6" t="n">
        <f aca="false">Thesis!J83-Thesis!J84+Thesis!J99</f>
        <v>186.818741832633</v>
      </c>
      <c r="K14326" s="6" t="n">
        <f aca="false">Thesis!K83-Thesis!K84+Thesis!K99</f>
        <v>202.776422159652</v>
      </c>
    </row>
    <row r="14327" customFormat="false" ht="17.15" hidden="false" customHeight="false" outlineLevel="0" collapsed="false">
      <c r="A14327" s="0" t="s">
        <v>1238</v>
      </c>
      <c r="B14327" s="0" t="s">
        <v>98</v>
      </c>
      <c r="F14327" s="6" t="n">
        <f aca="false">PL!F71+Thesis!F99+Thesis!F95+Sens!F14320*(Seg!F48-Thesis!F77)+sbc_r*Seg!F48</f>
        <v>238.090727427296</v>
      </c>
      <c r="G14327" s="6" t="n">
        <f aca="false">PL!G71+Thesis!G99+Thesis!G95+Sens!G14320*(Seg!G48-Thesis!G77)+sbc_r*Seg!G48</f>
        <v>299.90836088563</v>
      </c>
      <c r="H14327" s="6" t="n">
        <f aca="false">PL!H71+Thesis!H99+Thesis!H95+Sens!H14320*(Seg!H48-Thesis!H77)+sbc_r*Seg!H48</f>
        <v>369.457709442386</v>
      </c>
      <c r="I14327" s="6" t="n">
        <f aca="false">PL!I71+Thesis!I99+Thesis!I95+Sens!I14320*(Seg!I48-Thesis!I77)+sbc_r*Seg!I48</f>
        <v>433.16585128823</v>
      </c>
      <c r="J14327" s="6" t="n">
        <f aca="false">PL!J71+Thesis!J99+Thesis!J95+Sens!J14320*(Seg!J48-Thesis!J77)+sbc_r*Seg!J48</f>
        <v>483.301303131191</v>
      </c>
      <c r="K14327" s="6" t="n">
        <f aca="false">PL!K71+Thesis!K99+Thesis!K95+Sens!K14320*(Seg!K48-Thesis!K77)+sbc_r*Seg!K48</f>
        <v>520.789002205336</v>
      </c>
    </row>
    <row r="14328" customFormat="false" ht="17.15" hidden="false" customHeight="false" outlineLevel="0" collapsed="false">
      <c r="A14328" s="0" t="s">
        <v>1239</v>
      </c>
      <c r="B14328" s="0" t="s">
        <v>98</v>
      </c>
      <c r="F14328" s="6" t="n">
        <f aca="false">Sens!F14327-Sens!F14321-Sens!F14322-Sens!F14323-Sens!F14324-Sens!F14326</f>
        <v>66.3548442472996</v>
      </c>
      <c r="G14328" s="6" t="n">
        <f aca="false">Sens!G14327-Sens!G14321-Sens!G14322-Sens!G14323-Sens!G14324-Sens!G14326</f>
        <v>74.548542090425</v>
      </c>
      <c r="H14328" s="6" t="n">
        <f aca="false">Sens!H14327-Sens!H14321-Sens!H14322-Sens!H14323-Sens!H14324-Sens!H14326</f>
        <v>87.4841023270775</v>
      </c>
      <c r="I14328" s="6" t="n">
        <f aca="false">Sens!I14327-Sens!I14321-Sens!I14322-Sens!I14323-Sens!I14324-Sens!I14326</f>
        <v>100.082899538713</v>
      </c>
      <c r="J14328" s="6" t="n">
        <f aca="false">Sens!J14327-Sens!J14321-Sens!J14322-Sens!J14323-Sens!J14324-Sens!J14326</f>
        <v>111.491845245262</v>
      </c>
      <c r="K14328" s="6" t="n">
        <f aca="false">Sens!K14327-Sens!K14321-Sens!K14322-Sens!K14323-Sens!K14324-Sens!K14326</f>
        <v>121.003589607889</v>
      </c>
    </row>
    <row r="14329" customFormat="false" ht="17.15" hidden="false" customHeight="false" outlineLevel="0" collapsed="false">
      <c r="A14329" s="0" t="s">
        <v>1240</v>
      </c>
      <c r="B14329" s="0" t="s">
        <v>98</v>
      </c>
      <c r="F14329" s="6" t="n">
        <f aca="false">PL!F73+Sens!F14320*Seg!F55+sbc_r*Seg!F55</f>
        <v>26.6336365855879</v>
      </c>
      <c r="G14329" s="6" t="n">
        <f aca="false">PL!G73+Sens!G14320*Seg!G55+sbc_r*Seg!G55</f>
        <v>26.4720859498625</v>
      </c>
      <c r="H14329" s="6" t="n">
        <f aca="false">PL!H73+Sens!H14320*Seg!H55+sbc_r*Seg!H55</f>
        <v>27.346793021284</v>
      </c>
      <c r="I14329" s="6" t="n">
        <f aca="false">PL!I73+Sens!I14320*Seg!I55+sbc_r*Seg!I55</f>
        <v>28.4574657863154</v>
      </c>
      <c r="J14329" s="6" t="n">
        <f aca="false">PL!J73+Sens!J14320*Seg!J55+sbc_r*Seg!J55</f>
        <v>29.7689890546037</v>
      </c>
      <c r="K14329" s="6" t="n">
        <f aca="false">PL!K73+Sens!K14320*Seg!K55+sbc_r*Seg!K55</f>
        <v>31.2443947307494</v>
      </c>
    </row>
    <row r="14330" customFormat="false" ht="17.15" hidden="false" customHeight="false" outlineLevel="0" collapsed="false">
      <c r="A14330" s="0" t="s">
        <v>1241</v>
      </c>
      <c r="B14330" s="0" t="s">
        <v>98</v>
      </c>
      <c r="F14330" s="6" t="n">
        <f aca="false">(Sens!F14329-Sens!F14325)*Seg!F51/(Seg!F51+Seg!F53)</f>
        <v>8.72285608232241</v>
      </c>
      <c r="G14330" s="6" t="n">
        <f aca="false">(Sens!G14329-Sens!G14325)*Seg!G51/(Seg!G51+Seg!G53)</f>
        <v>7.88786455444355</v>
      </c>
      <c r="H14330" s="6" t="n">
        <f aca="false">(Sens!H14329-Sens!H14325)*Seg!H51/(Seg!H51+Seg!H53)</f>
        <v>7.65195986819674</v>
      </c>
      <c r="I14330" s="6" t="n">
        <f aca="false">(Sens!I14329-Sens!I14325)*Seg!I51/(Seg!I51+Seg!I53)</f>
        <v>7.56260440676676</v>
      </c>
      <c r="J14330" s="6" t="n">
        <f aca="false">(Sens!J14329-Sens!J14325)*Seg!J51/(Seg!J51+Seg!J53)</f>
        <v>7.60790100885945</v>
      </c>
      <c r="K14330" s="6" t="n">
        <f aca="false">(Sens!K14329-Sens!K14325)*Seg!K51/(Seg!K51+Seg!K53)</f>
        <v>7.78186910160995</v>
      </c>
    </row>
    <row r="14331" customFormat="false" ht="17.15" hidden="false" customHeight="false" outlineLevel="0" collapsed="false">
      <c r="A14331" s="0" t="s">
        <v>1242</v>
      </c>
      <c r="B14331" s="0" t="s">
        <v>98</v>
      </c>
      <c r="F14331" s="6" t="n">
        <f aca="false">Sens!F14329-Sens!F14325-Sens!F14330</f>
        <v>6.72169020385088</v>
      </c>
      <c r="G14331" s="6" t="n">
        <f aca="false">Sens!G14329-Sens!G14325-Sens!G14330</f>
        <v>6.322482503616</v>
      </c>
      <c r="H14331" s="6" t="n">
        <f aca="false">Sens!H14329-Sens!H14325-Sens!H14330</f>
        <v>6.315346810168</v>
      </c>
      <c r="I14331" s="6" t="n">
        <f aca="false">Sens!I14329-Sens!I14325-Sens!I14330</f>
        <v>6.36314990077033</v>
      </c>
      <c r="J14331" s="6" t="n">
        <f aca="false">Sens!J14329-Sens!J14325-Sens!J14330</f>
        <v>6.46265146397189</v>
      </c>
      <c r="K14331" s="6" t="n">
        <f aca="false">Sens!K14329-Sens!K14325-Sens!K14330</f>
        <v>6.61043140327304</v>
      </c>
    </row>
    <row r="14332" customFormat="false" ht="17.15" hidden="false" customHeight="false" outlineLevel="0" collapsed="false">
      <c r="A14332" s="0" t="s">
        <v>1243</v>
      </c>
      <c r="B14332" s="0" t="s">
        <v>98</v>
      </c>
      <c r="F14332" s="6" t="n">
        <f aca="false">Sens!F14326-tax_f*(Sens!F14326-Thesis!F95)-Thesis!F92</f>
        <v>-127.503553927218</v>
      </c>
      <c r="G14332" s="6" t="n">
        <f aca="false">Sens!G14326-tax_f*(Sens!G14326-Thesis!G95)-Thesis!G92</f>
        <v>-114.603772628121</v>
      </c>
      <c r="H14332" s="6" t="n">
        <f aca="false">Sens!H14326-tax_f*(Sens!H14326-Thesis!H95)-Thesis!H92</f>
        <v>-80.3633729631438</v>
      </c>
      <c r="I14332" s="6" t="n">
        <f aca="false">Sens!I14326-tax_f*(Sens!I14326-Thesis!I95)-Thesis!I92</f>
        <v>-17.2838782011649</v>
      </c>
      <c r="J14332" s="6" t="n">
        <f aca="false">Sens!J14326-tax_f*(Sens!J14326-Thesis!J95)-Thesis!J92</f>
        <v>46.9281968800854</v>
      </c>
      <c r="K14332" s="6" t="n">
        <f aca="false">Sens!K14326-tax_f*(Sens!K14326-Thesis!K95)-Thesis!K92</f>
        <v>71.8608185731755</v>
      </c>
    </row>
    <row r="14333" customFormat="false" ht="17.15" hidden="false" customHeight="false" outlineLevel="0" collapsed="false">
      <c r="A14333" s="0" t="s">
        <v>1244</v>
      </c>
      <c r="B14333" s="0" t="s">
        <v>98</v>
      </c>
      <c r="G14333" s="6" t="n">
        <f aca="false">Sens!G14332/(1+wacc)^(Sens!G14303-Sens!F14304)</f>
        <v>-109.124845494465</v>
      </c>
      <c r="H14333" s="6" t="n">
        <f aca="false">Sens!H14332/(1+wacc)^(Sens!H14303-Sens!F14304)</f>
        <v>-69.3796874071025</v>
      </c>
      <c r="I14333" s="6" t="n">
        <f aca="false">Sens!I14332/(1+wacc)^(Sens!I14303-Sens!F14304)</f>
        <v>-13.5289731380471</v>
      </c>
      <c r="J14333" s="6" t="n">
        <f aca="false">Sens!J14332/(1+wacc)^(Sens!J14303-Sens!F14304)</f>
        <v>33.3048099587126</v>
      </c>
      <c r="K14333" s="6" t="n">
        <f aca="false">Sens!K14332/(1+wacc)^(Sens!K14303-Sens!F14304)</f>
        <v>46.2396679904913</v>
      </c>
      <c r="L14333" s="1" t="s">
        <v>1245</v>
      </c>
    </row>
    <row r="14334" customFormat="false" ht="17.15" hidden="false" customHeight="false" outlineLevel="0" collapsed="false">
      <c r="A14334" s="0" t="s">
        <v>1246</v>
      </c>
      <c r="B14334" s="0" t="s">
        <v>98</v>
      </c>
      <c r="C14334" s="6" t="n">
        <f aca="false">(Sens!K14326-Thesis!K95)*(1-tax_f)*(1+g_tv_hi)*(1-g_tv_hi/(wacc+ronic_prem))/(wacc-g_tv_hi)/(1+wacc)^(Sens!K14304-Sens!F14304)</f>
        <v>295.963857408075</v>
      </c>
    </row>
    <row r="14335" customFormat="false" ht="17.15" hidden="false" customHeight="false" outlineLevel="0" collapsed="false">
      <c r="A14335" s="1" t="s">
        <v>1247</v>
      </c>
      <c r="B14335" s="0" t="s">
        <v>98</v>
      </c>
      <c r="C14335" s="6" t="n">
        <f aca="false">(SUM(Sens!G14333:K14333)+Sens!$C$14334)*(1+wacc)^(t_roll-Sens!F14304)</f>
        <v>189.531888302508</v>
      </c>
      <c r="L14335" s="12" t="s">
        <v>1248</v>
      </c>
    </row>
    <row r="14336" customFormat="false" ht="17.15" hidden="false" customHeight="false" outlineLevel="0" collapsed="false">
      <c r="A14336" s="1" t="s">
        <v>1249</v>
      </c>
      <c r="B14336" s="0" t="s">
        <v>98</v>
      </c>
      <c r="C14336" s="6" t="n">
        <f aca="false">(w_ntm28*Thesis!G83+(1-w_ntm28)*Thesis!H83)*m_ai</f>
        <v>463.789109510335</v>
      </c>
    </row>
    <row r="14337" customFormat="false" ht="17.15" hidden="false" customHeight="false" outlineLevel="0" collapsed="false">
      <c r="A14337" s="1" t="s">
        <v>1250</v>
      </c>
      <c r="B14337" s="0" t="s">
        <v>98</v>
      </c>
      <c r="C14337" s="6" t="n">
        <f aca="false">(w_ntm28*Sens!G14328+(1-w_ntm28)*Sens!H14328)*m_cloud</f>
        <v>1089.03436702245</v>
      </c>
    </row>
    <row r="14338" customFormat="false" ht="17.15" hidden="false" customHeight="false" outlineLevel="0" collapsed="false">
      <c r="A14338" s="1" t="s">
        <v>1251</v>
      </c>
      <c r="B14338" s="0" t="s">
        <v>98</v>
      </c>
      <c r="C14338" s="6" t="n">
        <f aca="false">(w_ntm28*Sens!G14321+(1-w_ntm28)*Sens!H14321)*m_sw</f>
        <v>1082.84962646159</v>
      </c>
    </row>
    <row r="14339" customFormat="false" ht="17.15" hidden="false" customHeight="false" outlineLevel="0" collapsed="false">
      <c r="A14339" s="1" t="s">
        <v>1252</v>
      </c>
      <c r="B14339" s="0" t="s">
        <v>98</v>
      </c>
      <c r="C14339" s="6" t="n">
        <f aca="false">(w_ntm28*Sens!G14322+(1-w_ntm28)*Sens!H14322)*m_sw</f>
        <v>372.929250898731</v>
      </c>
    </row>
    <row r="14340" customFormat="false" ht="17.15" hidden="false" customHeight="false" outlineLevel="0" collapsed="false">
      <c r="A14340" s="1" t="s">
        <v>1253</v>
      </c>
      <c r="B14340" s="0" t="s">
        <v>98</v>
      </c>
      <c r="C14340" s="6" t="n">
        <f aca="false">(w_ntm28*Sens!G14323+(1-w_ntm28)*Sens!H14323)*m_sw</f>
        <v>109.1453525431</v>
      </c>
    </row>
    <row r="14341" customFormat="false" ht="17.15" hidden="false" customHeight="false" outlineLevel="0" collapsed="false">
      <c r="A14341" s="1" t="s">
        <v>1254</v>
      </c>
      <c r="B14341" s="0" t="s">
        <v>98</v>
      </c>
      <c r="C14341" s="6" t="n">
        <f aca="false">(w_ntm28*Sens!G14324+(1-w_ntm28)*Sens!H14324)*m_sw</f>
        <v>41.4942157634893</v>
      </c>
    </row>
    <row r="14342" customFormat="false" ht="17.15" hidden="false" customHeight="false" outlineLevel="0" collapsed="false">
      <c r="A14342" s="1" t="s">
        <v>1255</v>
      </c>
      <c r="B14342" s="0" t="s">
        <v>98</v>
      </c>
      <c r="C14342" s="6" t="n">
        <f aca="false">(w_ntm28*Sens!G14325+(1-w_ntm28)*Sens!H14325)*m_ads</f>
        <v>115.052171478463</v>
      </c>
    </row>
    <row r="14343" customFormat="false" ht="17.15" hidden="false" customHeight="false" outlineLevel="0" collapsed="false">
      <c r="A14343" s="1" t="s">
        <v>1256</v>
      </c>
      <c r="B14343" s="0" t="s">
        <v>98</v>
      </c>
      <c r="C14343" s="6" t="n">
        <f aca="false">(w_ntm28*Sens!G14330+(1-w_ntm28)*Sens!H14330)*m_game</f>
        <v>98.6441755076202</v>
      </c>
    </row>
    <row r="14344" customFormat="false" ht="17.15" hidden="false" customHeight="false" outlineLevel="0" collapsed="false">
      <c r="A14344" s="1" t="s">
        <v>1257</v>
      </c>
      <c r="B14344" s="0" t="s">
        <v>98</v>
      </c>
      <c r="C14344" s="6" t="n">
        <f aca="false">(w_ntm28*Sens!G14331+(1-w_ntm28)*Sens!H14331)*m_pc</f>
        <v>91.4523754763561</v>
      </c>
    </row>
    <row r="14345" customFormat="false" ht="17.15" hidden="false" customHeight="false" outlineLevel="0" collapsed="false">
      <c r="A14345" s="1" t="s">
        <v>1258</v>
      </c>
      <c r="B14345" s="0" t="s">
        <v>98</v>
      </c>
      <c r="C14345" s="6" t="n">
        <f aca="false">Sens!$C$14335+Sens!$C$14337+Sens!$C$14338+Sens!$C$14339+Sens!$C$14340+Sens!$C$14341+Sens!$C$14342+Sens!$C$14343+Sens!$C$14344</f>
        <v>3190.13342345431</v>
      </c>
    </row>
    <row r="14346" customFormat="false" ht="17.15" hidden="false" customHeight="false" outlineLevel="0" collapsed="false">
      <c r="A14346" s="1" t="s">
        <v>1259</v>
      </c>
      <c r="B14346" s="0" t="s">
        <v>98</v>
      </c>
      <c r="C14346" s="6" t="n">
        <f aca="false">(Sens!G14307-Sens!G14332)*t_stub</f>
        <v>47.8736427515113</v>
      </c>
      <c r="L14346" s="1" t="s">
        <v>1260</v>
      </c>
    </row>
    <row r="14347" customFormat="false" ht="17.15" hidden="false" customHeight="false" outlineLevel="0" collapsed="false">
      <c r="A14347" s="1" t="s">
        <v>1169</v>
      </c>
      <c r="B14347" s="0" t="s">
        <v>98</v>
      </c>
      <c r="C14347" s="6" t="n">
        <f aca="false">CF!F71+oai_v-CF!F60+Sens!$C$14346</f>
        <v>162.101912751511</v>
      </c>
      <c r="L14347" s="1" t="s">
        <v>1261</v>
      </c>
    </row>
    <row r="14348" customFormat="false" ht="17.15" hidden="false" customHeight="false" outlineLevel="0" collapsed="false">
      <c r="A14348" s="1" t="s">
        <v>1262</v>
      </c>
      <c r="B14348" s="0" t="s">
        <v>75</v>
      </c>
      <c r="C14348" s="5" t="n">
        <f aca="false">(Sens!$C$14345+Sens!$C$14347)/(CF!F73+dil_gap)-CF!G63*roll_div_q/q_per_yr</f>
        <v>446.193001693389</v>
      </c>
      <c r="L14348" s="1" t="s">
        <v>1263</v>
      </c>
    </row>
    <row r="14349" customFormat="false" ht="17.15" hidden="false" customHeight="false" outlineLevel="0" collapsed="false">
      <c r="A14349" s="1" t="s">
        <v>1264</v>
      </c>
      <c r="B14349" s="0" t="s">
        <v>75</v>
      </c>
      <c r="C14349" s="5" t="n">
        <f aca="false">w_dcf*Sens!$C$14319+(1-w_dcf)*Sens!$C$14348</f>
        <v>387.390641251616</v>
      </c>
    </row>
    <row r="14350" customFormat="false" ht="17.15" hidden="false" customHeight="false" outlineLevel="0" collapsed="false">
      <c r="A14350" s="3" t="s">
        <v>1836</v>
      </c>
    </row>
    <row r="14351" customFormat="false" ht="15" hidden="false" customHeight="false" outlineLevel="0" collapsed="false">
      <c r="A14351" s="4" t="s">
        <v>43</v>
      </c>
      <c r="B14351" s="4" t="s">
        <v>65</v>
      </c>
      <c r="C14351" s="23" t="s">
        <v>938</v>
      </c>
      <c r="D14351" s="23" t="s">
        <v>939</v>
      </c>
      <c r="E14351" s="23" t="s">
        <v>940</v>
      </c>
      <c r="F14351" s="23" t="s">
        <v>941</v>
      </c>
      <c r="G14351" s="23" t="s">
        <v>942</v>
      </c>
      <c r="H14351" s="23" t="s">
        <v>943</v>
      </c>
      <c r="I14351" s="23" t="s">
        <v>944</v>
      </c>
      <c r="J14351" s="23" t="s">
        <v>945</v>
      </c>
      <c r="K14351" s="23" t="s">
        <v>946</v>
      </c>
      <c r="L14351" s="4" t="s">
        <v>47</v>
      </c>
    </row>
    <row r="14352" customFormat="false" ht="17.15" hidden="false" customHeight="false" outlineLevel="0" collapsed="false">
      <c r="A14352" s="1" t="s">
        <v>1212</v>
      </c>
      <c r="B14352" s="1" t="s">
        <v>279</v>
      </c>
      <c r="F14352" s="8" t="n">
        <f aca="false">(1-v_off)*mid_yr</f>
        <v>0.373972602739726</v>
      </c>
      <c r="G14352" s="8" t="n">
        <f aca="false">Thesis!G110-base_fy-mid_yr-v_off</f>
        <v>1.24794520547945</v>
      </c>
      <c r="H14352" s="8" t="n">
        <f aca="false">Thesis!H110-base_fy-mid_yr-v_off</f>
        <v>2.24794520547945</v>
      </c>
      <c r="I14352" s="8" t="n">
        <f aca="false">Thesis!I110-base_fy-mid_yr-v_off</f>
        <v>3.24794520547945</v>
      </c>
      <c r="J14352" s="8" t="n">
        <f aca="false">Thesis!J110-base_fy-mid_yr-v_off</f>
        <v>4.24794520547945</v>
      </c>
      <c r="K14352" s="8" t="n">
        <f aca="false">Thesis!K110-base_fy-mid_yr-v_off</f>
        <v>5.24794520547945</v>
      </c>
      <c r="L14352" s="12" t="s">
        <v>1213</v>
      </c>
    </row>
    <row r="14353" customFormat="false" ht="15" hidden="false" customHeight="false" outlineLevel="0" collapsed="false">
      <c r="A14353" s="1" t="s">
        <v>1214</v>
      </c>
      <c r="B14353" s="1" t="s">
        <v>279</v>
      </c>
      <c r="F14353" s="8" t="n">
        <f aca="false">Thesis!F110-base_fy-v_off</f>
        <v>0.747945205479452</v>
      </c>
      <c r="G14353" s="8" t="n">
        <f aca="false">Thesis!G110-base_fy-v_off</f>
        <v>1.74794520547945</v>
      </c>
      <c r="H14353" s="8" t="n">
        <f aca="false">Thesis!H110-base_fy-v_off</f>
        <v>2.74794520547945</v>
      </c>
      <c r="I14353" s="8" t="n">
        <f aca="false">Thesis!I110-base_fy-v_off</f>
        <v>3.74794520547945</v>
      </c>
      <c r="J14353" s="8" t="n">
        <f aca="false">Thesis!J110-base_fy-v_off</f>
        <v>4.74794520547945</v>
      </c>
      <c r="K14353" s="8" t="n">
        <f aca="false">Thesis!K110-base_fy-v_off</f>
        <v>5.74794520547945</v>
      </c>
    </row>
    <row r="14354" customFormat="false" ht="15" hidden="false" customHeight="false" outlineLevel="0" collapsed="false">
      <c r="A14354" s="1" t="s">
        <v>1215</v>
      </c>
      <c r="B14354" s="0" t="s">
        <v>229</v>
      </c>
      <c r="F14354" s="15" t="n">
        <f aca="false">1/(1+wacc)^Sens!F14352</f>
        <v>0.964022703286649</v>
      </c>
      <c r="G14354" s="15" t="n">
        <f aca="false">1/(1+wacc)^Sens!G14352</f>
        <v>0.884910302296739</v>
      </c>
      <c r="H14354" s="15" t="n">
        <f aca="false">1/(1+wacc)^Sens!H14352</f>
        <v>0.802322009770358</v>
      </c>
      <c r="I14354" s="15" t="n">
        <f aca="false">1/(1+wacc)^Sens!I14352</f>
        <v>0.727441646561469</v>
      </c>
      <c r="J14354" s="15" t="n">
        <f aca="false">1/(1+wacc)^Sens!J14352</f>
        <v>0.659549834988973</v>
      </c>
      <c r="K14354" s="15" t="n">
        <f aca="false">1/(1+wacc)^Sens!K14352</f>
        <v>0.597994336576966</v>
      </c>
    </row>
    <row r="14355" customFormat="false" ht="17.15" hidden="false" customHeight="false" outlineLevel="0" collapsed="false">
      <c r="A14355" s="1" t="s">
        <v>1216</v>
      </c>
      <c r="B14355" s="0" t="s">
        <v>98</v>
      </c>
      <c r="F14355" s="6" t="n">
        <f aca="false">Q!$I$35-Q!$I$39-Q!$I$43</f>
        <v>9.666</v>
      </c>
      <c r="L14355" s="12" t="s">
        <v>1217</v>
      </c>
    </row>
    <row r="14356" customFormat="false" ht="17.15" hidden="false" customHeight="false" outlineLevel="0" collapsed="false">
      <c r="A14356" s="1" t="s">
        <v>1218</v>
      </c>
      <c r="B14356" s="0" t="s">
        <v>98</v>
      </c>
      <c r="F14356" s="6" t="n">
        <f aca="false">CF!F87-CF!F84-CF!F91+Thesis!F151*(1-tax_f)*(1-v_off)-Sens!F14355</f>
        <v>-6.10282680452259</v>
      </c>
      <c r="G14356" s="6" t="n">
        <f aca="false">CF!G87-CF!G84-CF!G91+Thesis!G151*(1-tax_f)</f>
        <v>19.0084129023516</v>
      </c>
      <c r="H14356" s="6" t="n">
        <f aca="false">CF!H87-CF!H84-CF!H91+Thesis!H151*(1-tax_f)</f>
        <v>55.9229468383331</v>
      </c>
      <c r="I14356" s="6" t="n">
        <f aca="false">CF!I87-CF!I84-CF!I91+Thesis!I151*(1-tax_f)</f>
        <v>127.901908576191</v>
      </c>
      <c r="J14356" s="6" t="n">
        <f aca="false">CF!J87-CF!J84-CF!J91+Thesis!J151*(1-tax_f)</f>
        <v>201.958443859638</v>
      </c>
      <c r="K14356" s="6" t="n">
        <f aca="false">CF!K87-CF!K84-CF!K91+Thesis!K151*(1-tax_f)</f>
        <v>237.542519059905</v>
      </c>
      <c r="L14356" s="1" t="s">
        <v>1219</v>
      </c>
    </row>
    <row r="14357" customFormat="false" ht="15" hidden="false" customHeight="false" outlineLevel="0" collapsed="false">
      <c r="A14357" s="1" t="s">
        <v>1220</v>
      </c>
      <c r="B14357" s="0" t="s">
        <v>98</v>
      </c>
      <c r="F14357" s="6" t="n">
        <f aca="false">Sens!F14356*Sens!F14354</f>
        <v>-5.88326359378609</v>
      </c>
      <c r="G14357" s="6" t="n">
        <f aca="false">Sens!G14356*Sens!G14354</f>
        <v>16.8207404076012</v>
      </c>
      <c r="H14357" s="6" t="n">
        <f aca="false">Sens!H14356*Sens!H14354</f>
        <v>44.8682110996123</v>
      </c>
      <c r="I14357" s="6" t="n">
        <f aca="false">Sens!I14356*Sens!I14354</f>
        <v>93.0411749730187</v>
      </c>
      <c r="J14357" s="6" t="n">
        <f aca="false">Sens!J14356*Sens!J14354</f>
        <v>133.201658322254</v>
      </c>
      <c r="K14357" s="6" t="n">
        <f aca="false">Sens!K14356*Sens!K14354</f>
        <v>142.049081094049</v>
      </c>
    </row>
    <row r="14358" customFormat="false" ht="17.15" hidden="false" customHeight="false" outlineLevel="0" collapsed="false">
      <c r="A14358" s="1" t="s">
        <v>1221</v>
      </c>
      <c r="B14358" s="0" t="s">
        <v>98</v>
      </c>
      <c r="C14358" s="6" t="n">
        <f aca="false">SUM(Sens!F14357:K14357)</f>
        <v>424.097602302749</v>
      </c>
    </row>
    <row r="14359" customFormat="false" ht="17.15" hidden="false" customHeight="false" outlineLevel="0" collapsed="false">
      <c r="A14359" s="1" t="s">
        <v>1222</v>
      </c>
      <c r="B14359" s="0" t="s">
        <v>98</v>
      </c>
      <c r="C14359" s="6" t="n">
        <f aca="false">PL!K117*(1+g_tv_hi)*(1-tax_f)</f>
        <v>249.497925225465</v>
      </c>
    </row>
    <row r="14360" customFormat="false" ht="17.15" hidden="false" customHeight="false" outlineLevel="0" collapsed="false">
      <c r="A14360" s="1" t="s">
        <v>1223</v>
      </c>
      <c r="B14360" s="0" t="s">
        <v>98</v>
      </c>
      <c r="C14360" s="6" t="n">
        <f aca="false">Sens!$C$14359*(1-g_tv_hi/(wacc+ronic_prem))</f>
        <v>152.545841254731</v>
      </c>
    </row>
    <row r="14361" customFormat="false" ht="17.15" hidden="false" customHeight="false" outlineLevel="0" collapsed="false">
      <c r="A14361" s="1" t="s">
        <v>1224</v>
      </c>
      <c r="B14361" s="0" t="s">
        <v>98</v>
      </c>
      <c r="C14361" s="6" t="n">
        <f aca="false">Sens!$C$14360/(wacc-g_tv_hi)</f>
        <v>2423.80209926834</v>
      </c>
    </row>
    <row r="14362" customFormat="false" ht="15" hidden="false" customHeight="false" outlineLevel="0" collapsed="false">
      <c r="A14362" s="1" t="s">
        <v>1225</v>
      </c>
      <c r="B14362" s="0" t="s">
        <v>98</v>
      </c>
      <c r="C14362" s="6" t="n">
        <f aca="false">Sens!$C$14361/(1+wacc)^Sens!K14353</f>
        <v>1380.12669312884</v>
      </c>
    </row>
    <row r="14363" customFormat="false" ht="17.15" hidden="false" customHeight="false" outlineLevel="0" collapsed="false">
      <c r="A14363" s="0" t="s">
        <v>1226</v>
      </c>
      <c r="B14363" s="0" t="s">
        <v>98</v>
      </c>
      <c r="C14363" s="6" t="n">
        <f aca="false">Sens!$C$14358+Sens!$C$14362</f>
        <v>1804.22429543159</v>
      </c>
    </row>
    <row r="14364" customFormat="false" ht="15" hidden="false" customHeight="false" outlineLevel="0" collapsed="false">
      <c r="A14364" s="1" t="s">
        <v>1141</v>
      </c>
      <c r="B14364" s="0" t="s">
        <v>168</v>
      </c>
      <c r="C14364" s="7" t="n">
        <f aca="false">Sens!$C$14362/Sens!$C$14363</f>
        <v>0.764941862618416</v>
      </c>
    </row>
    <row r="14365" customFormat="false" ht="17.15" hidden="false" customHeight="false" outlineLevel="0" collapsed="false">
      <c r="A14365" s="1" t="s">
        <v>1227</v>
      </c>
      <c r="B14365" s="0" t="s">
        <v>98</v>
      </c>
      <c r="C14365" s="6" t="n">
        <f aca="false">Sens!$C$14363+cash_val-debt_val-fl_val+oai_v</f>
        <v>1920.07529543159</v>
      </c>
    </row>
    <row r="14366" customFormat="false" ht="17.15" hidden="false" customHeight="false" outlineLevel="0" collapsed="false">
      <c r="A14366" s="0" t="s">
        <v>1149</v>
      </c>
      <c r="B14366" s="0" t="s">
        <v>75</v>
      </c>
      <c r="C14366" s="5" t="n">
        <f aca="false">Sens!$C$14365/shd_val</f>
        <v>257.866679483157</v>
      </c>
    </row>
    <row r="14367" customFormat="false" ht="15" hidden="false" customHeight="false" outlineLevel="0" collapsed="false">
      <c r="A14367" s="1" t="s">
        <v>1228</v>
      </c>
      <c r="B14367" s="0" t="s">
        <v>75</v>
      </c>
      <c r="C14367" s="8" t="n">
        <f aca="false">div_rem27+CF!G95*roll_div_q/q_per_yr</f>
        <v>3.9795</v>
      </c>
    </row>
    <row r="14368" customFormat="false" ht="17.15" hidden="false" customHeight="false" outlineLevel="0" collapsed="false">
      <c r="A14368" s="0" t="s">
        <v>1229</v>
      </c>
      <c r="B14368" s="0" t="s">
        <v>75</v>
      </c>
      <c r="C14368" s="5" t="n">
        <f aca="false">Sens!$C$14366*(1+wacc)^t_roll-Sens!$C$14367</f>
        <v>282.653705976718</v>
      </c>
    </row>
    <row r="14369" customFormat="false" ht="17.15" hidden="false" customHeight="false" outlineLevel="0" collapsed="false">
      <c r="A14369" s="1" t="s">
        <v>1230</v>
      </c>
      <c r="B14369" s="0" t="s">
        <v>168</v>
      </c>
      <c r="F14369" s="7" t="n">
        <f aca="false">CF!F81/(Seg!F83-Thesis!F129)</f>
        <v>0.068677393452264</v>
      </c>
      <c r="G14369" s="7" t="n">
        <f aca="false">CF!G81/(Seg!G83-Thesis!G129)</f>
        <v>0.0663132664471956</v>
      </c>
      <c r="H14369" s="7" t="n">
        <f aca="false">CF!H81/(Seg!H83-Thesis!H129)</f>
        <v>0.0651363826734039</v>
      </c>
      <c r="I14369" s="7" t="n">
        <f aca="false">CF!I81/(Seg!I83-Thesis!I129)</f>
        <v>0.0650087936347709</v>
      </c>
      <c r="J14369" s="7" t="n">
        <f aca="false">CF!J81/(Seg!J83-Thesis!J129)</f>
        <v>0.0657212684841778</v>
      </c>
      <c r="K14369" s="7" t="n">
        <f aca="false">CF!K81/(Seg!K83-Thesis!K129)</f>
        <v>0.0670413306015285</v>
      </c>
    </row>
    <row r="14370" customFormat="false" ht="17.15" hidden="false" customHeight="false" outlineLevel="0" collapsed="false">
      <c r="A14370" s="0" t="s">
        <v>1231</v>
      </c>
      <c r="B14370" s="0" t="s">
        <v>98</v>
      </c>
      <c r="F14370" s="6" t="n">
        <f aca="false">Seg!F68*(al_m365+Sens!F14369+sbc_r)</f>
        <v>82.9185219618347</v>
      </c>
      <c r="G14370" s="6" t="n">
        <f aca="false">Seg!G68*(al_m365+Sens!G14369+sbc_r)</f>
        <v>93.3068052157631</v>
      </c>
      <c r="H14370" s="6" t="n">
        <f aca="false">Seg!H68*(al_m365+Sens!H14369+sbc_r)</f>
        <v>103.856057136159</v>
      </c>
      <c r="I14370" s="6" t="n">
        <f aca="false">Seg!I68*(al_m365+Sens!I14369+sbc_r)</f>
        <v>113.889717587147</v>
      </c>
      <c r="J14370" s="6" t="n">
        <f aca="false">Seg!J68*(al_m365+Sens!J14369+sbc_r)</f>
        <v>123.218477864124</v>
      </c>
      <c r="K14370" s="6" t="n">
        <f aca="false">Seg!K68*(al_m365+Sens!K14369+sbc_r)</f>
        <v>132.149420086311</v>
      </c>
      <c r="L14370" s="12" t="s">
        <v>1232</v>
      </c>
    </row>
    <row r="14371" customFormat="false" ht="17.15" hidden="false" customHeight="false" outlineLevel="0" collapsed="false">
      <c r="A14371" s="0" t="s">
        <v>1233</v>
      </c>
      <c r="B14371" s="0" t="s">
        <v>98</v>
      </c>
      <c r="F14371" s="6" t="n">
        <f aca="false">Seg!F69*(al_lic+Sens!F14369+sbc_r)</f>
        <v>32.8599853992256</v>
      </c>
      <c r="G14371" s="6" t="n">
        <f aca="false">Seg!G69*(al_lic+Sens!G14369+sbc_r)</f>
        <v>34.1568280697879</v>
      </c>
      <c r="H14371" s="6" t="n">
        <f aca="false">Seg!H69*(al_lic+Sens!H14369+sbc_r)</f>
        <v>35.3635535007213</v>
      </c>
      <c r="I14371" s="6" t="n">
        <f aca="false">Seg!I69*(al_lic+Sens!I14369+sbc_r)</f>
        <v>36.4604537346553</v>
      </c>
      <c r="J14371" s="6" t="n">
        <f aca="false">Seg!J69*(al_lic+Sens!J14369+sbc_r)</f>
        <v>37.4245888933574</v>
      </c>
      <c r="K14371" s="6" t="n">
        <f aca="false">Seg!K69*(al_lic+Sens!K14369+sbc_r)</f>
        <v>38.2321483186439</v>
      </c>
    </row>
    <row r="14372" customFormat="false" ht="17.15" hidden="false" customHeight="false" outlineLevel="0" collapsed="false">
      <c r="A14372" s="0" t="s">
        <v>1234</v>
      </c>
      <c r="B14372" s="0" t="s">
        <v>98</v>
      </c>
      <c r="F14372" s="6" t="n">
        <f aca="false">Seg!F71*(al_ind+Sens!F14369+sbc_r)</f>
        <v>9.06170747885803</v>
      </c>
      <c r="G14372" s="6" t="n">
        <f aca="false">Seg!G71*(al_ind+Sens!G14369+sbc_r)</f>
        <v>9.8478979082138</v>
      </c>
      <c r="H14372" s="6" t="n">
        <f aca="false">Seg!H71*(al_ind+Sens!H14369+sbc_r)</f>
        <v>10.6768254332059</v>
      </c>
      <c r="I14372" s="6" t="n">
        <f aca="false">Seg!I71*(al_ind+Sens!I14369+sbc_r)</f>
        <v>11.54398793803</v>
      </c>
      <c r="J14372" s="6" t="n">
        <f aca="false">Seg!J71*(al_ind+Sens!J14369+sbc_r)</f>
        <v>12.4407914253112</v>
      </c>
      <c r="K14372" s="6" t="n">
        <f aca="false">Seg!K71*(al_ind+Sens!K14369+sbc_r)</f>
        <v>13.355239066864</v>
      </c>
    </row>
    <row r="14373" customFormat="false" ht="17.15" hidden="false" customHeight="false" outlineLevel="0" collapsed="false">
      <c r="A14373" s="0" t="s">
        <v>1235</v>
      </c>
      <c r="B14373" s="0" t="s">
        <v>98</v>
      </c>
      <c r="F14373" s="6" t="n">
        <f aca="false">Seg!F73*(al_fro+Sens!F14369+sbc_r)</f>
        <v>3.55453569939552</v>
      </c>
      <c r="G14373" s="6" t="n">
        <f aca="false">Seg!G73*(al_fro+Sens!G14369+sbc_r)</f>
        <v>3.76809436159872</v>
      </c>
      <c r="H14373" s="6" t="n">
        <f aca="false">Seg!H73*(al_fro+Sens!H14369+sbc_r)</f>
        <v>4.00964905674607</v>
      </c>
      <c r="I14373" s="6" t="n">
        <f aca="false">Seg!I73*(al_fro+Sens!I14369+sbc_r)</f>
        <v>4.28152633145235</v>
      </c>
      <c r="J14373" s="6" t="n">
        <f aca="false">Seg!J73*(al_fro+Sens!J14369+sbc_r)</f>
        <v>4.58536512975975</v>
      </c>
      <c r="K14373" s="6" t="n">
        <f aca="false">Seg!K73*(al_fro+Sens!K14369+sbc_r)</f>
        <v>4.92240770086468</v>
      </c>
    </row>
    <row r="14374" customFormat="false" ht="17.15" hidden="false" customHeight="false" outlineLevel="0" collapsed="false">
      <c r="A14374" s="0" t="s">
        <v>1236</v>
      </c>
      <c r="B14374" s="0" t="s">
        <v>98</v>
      </c>
      <c r="F14374" s="6" t="n">
        <f aca="false">Seg!F76*(al_srch+Sens!F14369+sbc_r)</f>
        <v>11.190683952584</v>
      </c>
      <c r="G14374" s="6" t="n">
        <f aca="false">Seg!G76*(al_srch+Sens!G14369+sbc_r)</f>
        <v>12.2763328717258</v>
      </c>
      <c r="H14374" s="6" t="n">
        <f aca="false">Seg!H76*(al_srch+Sens!H14369+sbc_r)</f>
        <v>13.4043563346576</v>
      </c>
      <c r="I14374" s="6" t="n">
        <f aca="false">Seg!I76*(al_srch+Sens!I14369+sbc_r)</f>
        <v>14.5621512181916</v>
      </c>
      <c r="J14374" s="6" t="n">
        <f aca="false">Seg!J76*(al_srch+Sens!J14369+sbc_r)</f>
        <v>15.7310381862385</v>
      </c>
      <c r="K14374" s="6" t="n">
        <f aca="false">Seg!K76*(al_srch+Sens!K14369+sbc_r)</f>
        <v>16.8873320486462</v>
      </c>
    </row>
    <row r="14375" customFormat="false" ht="17.15" hidden="false" customHeight="false" outlineLevel="0" collapsed="false">
      <c r="A14375" s="0" t="s">
        <v>1237</v>
      </c>
      <c r="B14375" s="0" t="s">
        <v>98</v>
      </c>
      <c r="F14375" s="6" t="n">
        <f aca="false">Thesis!F135-Thesis!F136+Thesis!F151</f>
        <v>38.9696429794913</v>
      </c>
      <c r="G14375" s="6" t="n">
        <f aca="false">Thesis!G135-Thesis!G136+Thesis!G151</f>
        <v>69.465497726016</v>
      </c>
      <c r="H14375" s="6" t="n">
        <f aca="false">Thesis!H135-Thesis!H136+Thesis!H151</f>
        <v>96.8147106808268</v>
      </c>
      <c r="I14375" s="6" t="n">
        <f aca="false">Thesis!I135-Thesis!I136+Thesis!I151</f>
        <v>127.654939766446</v>
      </c>
      <c r="J14375" s="6" t="n">
        <f aca="false">Thesis!J135-Thesis!J136+Thesis!J151</f>
        <v>149.308352681229</v>
      </c>
      <c r="K14375" s="6" t="n">
        <f aca="false">Thesis!K135-Thesis!K136+Thesis!K151</f>
        <v>162.731822021841</v>
      </c>
    </row>
    <row r="14376" customFormat="false" ht="17.15" hidden="false" customHeight="false" outlineLevel="0" collapsed="false">
      <c r="A14376" s="0" t="s">
        <v>1238</v>
      </c>
      <c r="B14376" s="0" t="s">
        <v>98</v>
      </c>
      <c r="F14376" s="6" t="n">
        <f aca="false">PL!F110+Thesis!F151+Thesis!F147+Sens!F14369*(Seg!F75-Thesis!F129)+sbc_r*Seg!F75</f>
        <v>234.79972328186</v>
      </c>
      <c r="G14376" s="6" t="n">
        <f aca="false">PL!G110+Thesis!G151+Thesis!G147+Sens!G14369*(Seg!G75-Thesis!G129)+sbc_r*Seg!G75</f>
        <v>285.499052659517</v>
      </c>
      <c r="H14376" s="6" t="n">
        <f aca="false">PL!H110+Thesis!H151+Thesis!H147+Sens!H14369*(Seg!H75-Thesis!H129)+sbc_r*Seg!H75</f>
        <v>338.258569294547</v>
      </c>
      <c r="I14376" s="6" t="n">
        <f aca="false">PL!I110+Thesis!I151+Thesis!I147+Sens!I14369*(Seg!I75-Thesis!I129)+sbc_r*Seg!I75</f>
        <v>393.887902526982</v>
      </c>
      <c r="J14376" s="6" t="n">
        <f aca="false">PL!J110+Thesis!J151+Thesis!J147+Sens!J14369*(Seg!J75-Thesis!J129)+sbc_r*Seg!J75</f>
        <v>438.406631506078</v>
      </c>
      <c r="K14376" s="6" t="n">
        <f aca="false">PL!K110+Thesis!K151+Thesis!K147+Sens!K14369*(Seg!K75-Thesis!K129)+sbc_r*Seg!K75</f>
        <v>472.352875745143</v>
      </c>
    </row>
    <row r="14377" customFormat="false" ht="17.15" hidden="false" customHeight="false" outlineLevel="0" collapsed="false">
      <c r="A14377" s="0" t="s">
        <v>1239</v>
      </c>
      <c r="B14377" s="0" t="s">
        <v>98</v>
      </c>
      <c r="F14377" s="6" t="n">
        <f aca="false">Sens!F14376-Sens!F14370-Sens!F14371-Sens!F14372-Sens!F14373-Sens!F14375</f>
        <v>67.4353297630543</v>
      </c>
      <c r="G14377" s="6" t="n">
        <f aca="false">Sens!G14376-Sens!G14370-Sens!G14371-Sens!G14372-Sens!G14373-Sens!G14375</f>
        <v>74.9539293781376</v>
      </c>
      <c r="H14377" s="6" t="n">
        <f aca="false">Sens!H14376-Sens!H14370-Sens!H14371-Sens!H14372-Sens!H14373-Sens!H14375</f>
        <v>87.537773486888</v>
      </c>
      <c r="I14377" s="6" t="n">
        <f aca="false">Sens!I14376-Sens!I14370-Sens!I14371-Sens!I14372-Sens!I14373-Sens!I14375</f>
        <v>100.057277169252</v>
      </c>
      <c r="J14377" s="6" t="n">
        <f aca="false">Sens!J14376-Sens!J14370-Sens!J14371-Sens!J14372-Sens!J14373-Sens!J14375</f>
        <v>111.429055512297</v>
      </c>
      <c r="K14377" s="6" t="n">
        <f aca="false">Sens!K14376-Sens!K14370-Sens!K14371-Sens!K14372-Sens!K14373-Sens!K14375</f>
        <v>120.961838550618</v>
      </c>
    </row>
    <row r="14378" customFormat="false" ht="17.15" hidden="false" customHeight="false" outlineLevel="0" collapsed="false">
      <c r="A14378" s="0" t="s">
        <v>1240</v>
      </c>
      <c r="B14378" s="0" t="s">
        <v>98</v>
      </c>
      <c r="F14378" s="6" t="n">
        <f aca="false">PL!F112+Sens!F14369*Seg!F82+sbc_r*Seg!F82</f>
        <v>26.6373549789235</v>
      </c>
      <c r="G14378" s="6" t="n">
        <f aca="false">PL!G112+Sens!G14369*Seg!G82+sbc_r*Seg!G82</f>
        <v>26.5038922765853</v>
      </c>
      <c r="H14378" s="6" t="n">
        <f aca="false">PL!H112+Sens!H14369*Seg!H82+sbc_r*Seg!H82</f>
        <v>27.3981100014792</v>
      </c>
      <c r="I14378" s="6" t="n">
        <f aca="false">PL!I112+Sens!I14369*Seg!I82+sbc_r*Seg!I82</f>
        <v>28.5176442589239</v>
      </c>
      <c r="J14378" s="6" t="n">
        <f aca="false">PL!J112+Sens!J14369*Seg!J82+sbc_r*Seg!J82</f>
        <v>29.8313998963726</v>
      </c>
      <c r="K14378" s="6" t="n">
        <f aca="false">PL!K112+Sens!K14369*Seg!K82+sbc_r*Seg!K82</f>
        <v>31.3103466222307</v>
      </c>
    </row>
    <row r="14379" customFormat="false" ht="17.15" hidden="false" customHeight="false" outlineLevel="0" collapsed="false">
      <c r="A14379" s="0" t="s">
        <v>1241</v>
      </c>
      <c r="B14379" s="0" t="s">
        <v>98</v>
      </c>
      <c r="F14379" s="6" t="n">
        <f aca="false">(Sens!F14378-Sens!F14374)*Seg!F78/(Seg!F78+Seg!F80)</f>
        <v>8.72405610479892</v>
      </c>
      <c r="G14379" s="6" t="n">
        <f aca="false">(Sens!G14378-Sens!G14374)*Seg!G78/(Seg!G78+Seg!G80)</f>
        <v>7.897418765869</v>
      </c>
      <c r="H14379" s="6" t="n">
        <f aca="false">(Sens!H14378-Sens!H14374)*Seg!H78/(Seg!H78+Seg!H80)</f>
        <v>7.66644879573063</v>
      </c>
      <c r="I14379" s="6" t="n">
        <f aca="false">(Sens!I14378-Sens!I14374)*Seg!I78/(Seg!I78+Seg!I80)</f>
        <v>7.5787545031814</v>
      </c>
      <c r="J14379" s="6" t="n">
        <f aca="false">(Sens!J14378-Sens!J14374)*Seg!J78/(Seg!J78+Seg!J80)</f>
        <v>7.62401876450459</v>
      </c>
      <c r="K14379" s="6" t="n">
        <f aca="false">(Sens!K14378-Sens!K14374)*Seg!K78/(Seg!K78+Seg!K80)</f>
        <v>7.79847609658838</v>
      </c>
    </row>
    <row r="14380" customFormat="false" ht="17.15" hidden="false" customHeight="false" outlineLevel="0" collapsed="false">
      <c r="A14380" s="0" t="s">
        <v>1242</v>
      </c>
      <c r="B14380" s="0" t="s">
        <v>98</v>
      </c>
      <c r="F14380" s="6" t="n">
        <f aca="false">Sens!F14378-Sens!F14374-Sens!F14379</f>
        <v>6.72261492154066</v>
      </c>
      <c r="G14380" s="6" t="n">
        <f aca="false">Sens!G14378-Sens!G14374-Sens!G14379</f>
        <v>6.33014063899044</v>
      </c>
      <c r="H14380" s="6" t="n">
        <f aca="false">Sens!H14378-Sens!H14374-Sens!H14379</f>
        <v>6.32730487109095</v>
      </c>
      <c r="I14380" s="6" t="n">
        <f aca="false">Sens!I14378-Sens!I14374-Sens!I14379</f>
        <v>6.37673853755084</v>
      </c>
      <c r="J14380" s="6" t="n">
        <f aca="false">Sens!J14378-Sens!J14374-Sens!J14379</f>
        <v>6.47634294562954</v>
      </c>
      <c r="K14380" s="6" t="n">
        <f aca="false">Sens!K14378-Sens!K14374-Sens!K14379</f>
        <v>6.62453847699607</v>
      </c>
    </row>
    <row r="14381" customFormat="false" ht="17.15" hidden="false" customHeight="false" outlineLevel="0" collapsed="false">
      <c r="A14381" s="0" t="s">
        <v>1243</v>
      </c>
      <c r="B14381" s="0" t="s">
        <v>98</v>
      </c>
      <c r="F14381" s="6" t="n">
        <f aca="false">Sens!F14375-tax_f*(Sens!F14375-Thesis!F147)-Thesis!F144</f>
        <v>-130.362326762856</v>
      </c>
      <c r="G14381" s="6" t="n">
        <f aca="false">Sens!G14375-tax_f*(Sens!G14375-Thesis!G147)-Thesis!G144</f>
        <v>-124.225179337776</v>
      </c>
      <c r="H14381" s="6" t="n">
        <f aca="false">Sens!H14375-tax_f*(Sens!H14375-Thesis!H147)-Thesis!H144</f>
        <v>-101.534217387562</v>
      </c>
      <c r="I14381" s="6" t="n">
        <f aca="false">Sens!I14375-tax_f*(Sens!I14375-Thesis!I147)-Thesis!I144</f>
        <v>-43.6446798695439</v>
      </c>
      <c r="J14381" s="6" t="n">
        <f aca="false">Sens!J14375-tax_f*(Sens!J14375-Thesis!J147)-Thesis!J144</f>
        <v>16.9198855589618</v>
      </c>
      <c r="K14381" s="6" t="n">
        <f aca="false">Sens!K14375-tax_f*(Sens!K14375-Thesis!K147)-Thesis!K144</f>
        <v>39.8251384629271</v>
      </c>
    </row>
    <row r="14382" customFormat="false" ht="17.15" hidden="false" customHeight="false" outlineLevel="0" collapsed="false">
      <c r="A14382" s="0" t="s">
        <v>1244</v>
      </c>
      <c r="B14382" s="0" t="s">
        <v>98</v>
      </c>
      <c r="G14382" s="6" t="n">
        <f aca="false">Sens!G14381/(1+wacc)^(Sens!G14352-Sens!F14353)</f>
        <v>-118.286276192192</v>
      </c>
      <c r="H14382" s="6" t="n">
        <f aca="false">Sens!H14381/(1+wacc)^(Sens!H14352-Sens!F14353)</f>
        <v>-87.6570009910427</v>
      </c>
      <c r="I14382" s="6" t="n">
        <f aca="false">Sens!I14381/(1+wacc)^(Sens!I14352-Sens!F14353)</f>
        <v>-34.1629172979204</v>
      </c>
      <c r="J14382" s="6" t="n">
        <f aca="false">Sens!J14381/(1+wacc)^(Sens!J14352-Sens!F14353)</f>
        <v>12.0079954170053</v>
      </c>
      <c r="K14382" s="6" t="n">
        <f aca="false">Sens!K14381/(1+wacc)^(Sens!K14352-Sens!F14353)</f>
        <v>25.6259421582556</v>
      </c>
      <c r="L14382" s="1" t="s">
        <v>1245</v>
      </c>
    </row>
    <row r="14383" customFormat="false" ht="17.15" hidden="false" customHeight="false" outlineLevel="0" collapsed="false">
      <c r="A14383" s="0" t="s">
        <v>1246</v>
      </c>
      <c r="B14383" s="0" t="s">
        <v>98</v>
      </c>
      <c r="C14383" s="6" t="n">
        <f aca="false">(Sens!K14375-Thesis!K147)*(1-tax_f)*(1+g_tv_hi)*(1-g_tv_hi/(wacc+ronic_prem))/(wacc-g_tv_hi)/(1+wacc)^(Sens!K14353-Sens!F14353)</f>
        <v>97.653781353354</v>
      </c>
    </row>
    <row r="14384" customFormat="false" ht="17.15" hidden="false" customHeight="false" outlineLevel="0" collapsed="false">
      <c r="A14384" s="1" t="s">
        <v>1247</v>
      </c>
      <c r="B14384" s="0" t="s">
        <v>98</v>
      </c>
      <c r="C14384" s="6" t="n">
        <f aca="false">(SUM(Sens!G14382:K14382)+Sens!$C$14383)*(1+wacc)^(t_roll-Sens!F14353)</f>
        <v>-108.278850425128</v>
      </c>
      <c r="L14384" s="12" t="s">
        <v>1248</v>
      </c>
    </row>
    <row r="14385" customFormat="false" ht="17.15" hidden="false" customHeight="false" outlineLevel="0" collapsed="false">
      <c r="A14385" s="1" t="s">
        <v>1249</v>
      </c>
      <c r="B14385" s="0" t="s">
        <v>98</v>
      </c>
      <c r="C14385" s="6" t="n">
        <f aca="false">(w_ntm28*Thesis!G135+(1-w_ntm28)*Thesis!H135)*m_ai</f>
        <v>344.355829012336</v>
      </c>
    </row>
    <row r="14386" customFormat="false" ht="17.15" hidden="false" customHeight="false" outlineLevel="0" collapsed="false">
      <c r="A14386" s="1" t="s">
        <v>1250</v>
      </c>
      <c r="B14386" s="0" t="s">
        <v>98</v>
      </c>
      <c r="C14386" s="6" t="n">
        <f aca="false">(w_ntm28*Sens!G14377+(1-w_ntm28)*Sens!H14377)*m_cloud</f>
        <v>1093.03877543039</v>
      </c>
    </row>
    <row r="14387" customFormat="false" ht="17.15" hidden="false" customHeight="false" outlineLevel="0" collapsed="false">
      <c r="A14387" s="1" t="s">
        <v>1251</v>
      </c>
      <c r="B14387" s="0" t="s">
        <v>98</v>
      </c>
      <c r="C14387" s="6" t="n">
        <f aca="false">(w_ntm28*Sens!G14370+(1-w_ntm28)*Sens!H14370)*m_sw</f>
        <v>1045.17056616266</v>
      </c>
    </row>
    <row r="14388" customFormat="false" ht="17.15" hidden="false" customHeight="false" outlineLevel="0" collapsed="false">
      <c r="A14388" s="1" t="s">
        <v>1252</v>
      </c>
      <c r="B14388" s="0" t="s">
        <v>98</v>
      </c>
      <c r="C14388" s="6" t="n">
        <f aca="false">(w_ntm28*Sens!G14371+(1-w_ntm28)*Sens!H14371)*m_sw</f>
        <v>373.178444957791</v>
      </c>
    </row>
    <row r="14389" customFormat="false" ht="17.15" hidden="false" customHeight="false" outlineLevel="0" collapsed="false">
      <c r="A14389" s="1" t="s">
        <v>1253</v>
      </c>
      <c r="B14389" s="0" t="s">
        <v>98</v>
      </c>
      <c r="C14389" s="6" t="n">
        <f aca="false">(w_ntm28*Sens!G14372+(1-w_ntm28)*Sens!H14372)*m_sw</f>
        <v>109.30055788101</v>
      </c>
    </row>
    <row r="14390" customFormat="false" ht="17.15" hidden="false" customHeight="false" outlineLevel="0" collapsed="false">
      <c r="A14390" s="1" t="s">
        <v>1254</v>
      </c>
      <c r="B14390" s="0" t="s">
        <v>98</v>
      </c>
      <c r="C14390" s="6" t="n">
        <f aca="false">(w_ntm28*Sens!G14373+(1-w_ntm28)*Sens!H14373)*m_sw</f>
        <v>41.5531037214606</v>
      </c>
    </row>
    <row r="14391" customFormat="false" ht="17.15" hidden="false" customHeight="false" outlineLevel="0" collapsed="false">
      <c r="A14391" s="1" t="s">
        <v>1255</v>
      </c>
      <c r="B14391" s="0" t="s">
        <v>98</v>
      </c>
      <c r="C14391" s="6" t="n">
        <f aca="false">(w_ntm28*Sens!G14374+(1-w_ntm28)*Sens!H14374)*m_ads</f>
        <v>115.215899994784</v>
      </c>
    </row>
    <row r="14392" customFormat="false" ht="17.15" hidden="false" customHeight="false" outlineLevel="0" collapsed="false">
      <c r="A14392" s="1" t="s">
        <v>1256</v>
      </c>
      <c r="B14392" s="0" t="s">
        <v>98</v>
      </c>
      <c r="C14392" s="6" t="n">
        <f aca="false">(w_ntm28*Sens!G14379+(1-w_ntm28)*Sens!H14379)*m_game</f>
        <v>98.7853357615783</v>
      </c>
    </row>
    <row r="14393" customFormat="false" ht="17.15" hidden="false" customHeight="false" outlineLevel="0" collapsed="false">
      <c r="A14393" s="1" t="s">
        <v>1257</v>
      </c>
      <c r="B14393" s="0" t="s">
        <v>98</v>
      </c>
      <c r="C14393" s="6" t="n">
        <f aca="false">(w_ntm28*Sens!G14380+(1-w_ntm28)*Sens!H14380)*m_pc</f>
        <v>91.5836445602173</v>
      </c>
    </row>
    <row r="14394" customFormat="false" ht="17.15" hidden="false" customHeight="false" outlineLevel="0" collapsed="false">
      <c r="A14394" s="1" t="s">
        <v>1258</v>
      </c>
      <c r="B14394" s="0" t="s">
        <v>98</v>
      </c>
      <c r="C14394" s="6" t="n">
        <f aca="false">Sens!$C$14384+Sens!$C$14386+Sens!$C$14387+Sens!$C$14388+Sens!$C$14389+Sens!$C$14390+Sens!$C$14391+Sens!$C$14392+Sens!$C$14393</f>
        <v>2859.54747804476</v>
      </c>
    </row>
    <row r="14395" customFormat="false" ht="17.15" hidden="false" customHeight="false" outlineLevel="0" collapsed="false">
      <c r="A14395" s="1" t="s">
        <v>1259</v>
      </c>
      <c r="B14395" s="0" t="s">
        <v>98</v>
      </c>
      <c r="C14395" s="6" t="n">
        <f aca="false">(Sens!G14356-Sens!G14381)*t_stub</f>
        <v>47.4829168796038</v>
      </c>
      <c r="L14395" s="1" t="s">
        <v>1260</v>
      </c>
    </row>
    <row r="14396" customFormat="false" ht="17.15" hidden="false" customHeight="false" outlineLevel="0" collapsed="false">
      <c r="A14396" s="1" t="s">
        <v>1169</v>
      </c>
      <c r="B14396" s="0" t="s">
        <v>98</v>
      </c>
      <c r="C14396" s="6" t="n">
        <f aca="false">CF!F103+oai_v-CF!F92+Sens!$C$14395</f>
        <v>158.55427008544</v>
      </c>
      <c r="L14396" s="1" t="s">
        <v>1261</v>
      </c>
    </row>
    <row r="14397" customFormat="false" ht="17.15" hidden="false" customHeight="false" outlineLevel="0" collapsed="false">
      <c r="A14397" s="1" t="s">
        <v>1262</v>
      </c>
      <c r="B14397" s="0" t="s">
        <v>75</v>
      </c>
      <c r="C14397" s="5" t="n">
        <f aca="false">(Sens!$C$14394+Sens!$C$14396)/(CF!F105+dil_gap)-CF!G95*roll_div_q/q_per_yr</f>
        <v>401.588801511499</v>
      </c>
      <c r="L14397" s="1" t="s">
        <v>1263</v>
      </c>
    </row>
    <row r="14398" customFormat="false" ht="17.15" hidden="false" customHeight="false" outlineLevel="0" collapsed="false">
      <c r="A14398" s="1" t="s">
        <v>1264</v>
      </c>
      <c r="B14398" s="0" t="s">
        <v>75</v>
      </c>
      <c r="C14398" s="5" t="n">
        <f aca="false">w_dcf*Sens!$C$14368+(1-w_dcf)*Sens!$C$14397</f>
        <v>342.121253744109</v>
      </c>
    </row>
    <row r="14399" customFormat="false" ht="17.15" hidden="false" customHeight="false" outlineLevel="0" collapsed="false">
      <c r="A14399" s="3" t="s">
        <v>1837</v>
      </c>
    </row>
    <row r="14400" customFormat="false" ht="15" hidden="false" customHeight="false" outlineLevel="0" collapsed="false">
      <c r="A14400" s="4" t="s">
        <v>43</v>
      </c>
      <c r="B14400" s="4" t="s">
        <v>65</v>
      </c>
      <c r="C14400" s="23" t="s">
        <v>938</v>
      </c>
      <c r="D14400" s="23" t="s">
        <v>939</v>
      </c>
      <c r="E14400" s="23" t="s">
        <v>940</v>
      </c>
      <c r="F14400" s="23" t="s">
        <v>941</v>
      </c>
      <c r="G14400" s="23" t="s">
        <v>942</v>
      </c>
      <c r="H14400" s="23" t="s">
        <v>943</v>
      </c>
      <c r="I14400" s="23" t="s">
        <v>944</v>
      </c>
      <c r="J14400" s="23" t="s">
        <v>945</v>
      </c>
      <c r="K14400" s="23" t="s">
        <v>946</v>
      </c>
      <c r="L14400" s="4" t="s">
        <v>47</v>
      </c>
    </row>
    <row r="14401" customFormat="false" ht="17.15" hidden="false" customHeight="false" outlineLevel="0" collapsed="false">
      <c r="A14401" s="1" t="s">
        <v>1212</v>
      </c>
      <c r="B14401" s="1" t="s">
        <v>279</v>
      </c>
      <c r="F14401" s="8" t="n">
        <f aca="false">(1-v_off)*mid_yr</f>
        <v>0.373972602739726</v>
      </c>
      <c r="G14401" s="8" t="n">
        <f aca="false">Thesis!G6-base_fy-mid_yr-v_off</f>
        <v>1.24794520547945</v>
      </c>
      <c r="H14401" s="8" t="n">
        <f aca="false">Thesis!H6-base_fy-mid_yr-v_off</f>
        <v>2.24794520547945</v>
      </c>
      <c r="I14401" s="8" t="n">
        <f aca="false">Thesis!I6-base_fy-mid_yr-v_off</f>
        <v>3.24794520547945</v>
      </c>
      <c r="J14401" s="8" t="n">
        <f aca="false">Thesis!J6-base_fy-mid_yr-v_off</f>
        <v>4.24794520547945</v>
      </c>
      <c r="K14401" s="8" t="n">
        <f aca="false">Thesis!K6-base_fy-mid_yr-v_off</f>
        <v>5.24794520547945</v>
      </c>
      <c r="L14401" s="12" t="s">
        <v>1213</v>
      </c>
    </row>
    <row r="14402" customFormat="false" ht="15" hidden="false" customHeight="false" outlineLevel="0" collapsed="false">
      <c r="A14402" s="1" t="s">
        <v>1214</v>
      </c>
      <c r="B14402" s="1" t="s">
        <v>279</v>
      </c>
      <c r="F14402" s="8" t="n">
        <f aca="false">Thesis!F6-base_fy-v_off</f>
        <v>0.747945205479452</v>
      </c>
      <c r="G14402" s="8" t="n">
        <f aca="false">Thesis!G6-base_fy-v_off</f>
        <v>1.74794520547945</v>
      </c>
      <c r="H14402" s="8" t="n">
        <f aca="false">Thesis!H6-base_fy-v_off</f>
        <v>2.74794520547945</v>
      </c>
      <c r="I14402" s="8" t="n">
        <f aca="false">Thesis!I6-base_fy-v_off</f>
        <v>3.74794520547945</v>
      </c>
      <c r="J14402" s="8" t="n">
        <f aca="false">Thesis!J6-base_fy-v_off</f>
        <v>4.74794520547945</v>
      </c>
      <c r="K14402" s="8" t="n">
        <f aca="false">Thesis!K6-base_fy-v_off</f>
        <v>5.74794520547945</v>
      </c>
    </row>
    <row r="14403" customFormat="false" ht="15" hidden="false" customHeight="false" outlineLevel="0" collapsed="false">
      <c r="A14403" s="1" t="s">
        <v>1215</v>
      </c>
      <c r="B14403" s="0" t="s">
        <v>229</v>
      </c>
      <c r="F14403" s="15" t="n">
        <f aca="false">1/(1+((px*sh_val*(rf+beta*erp_lo)+(debt_val+fl_val)*kd*(1-tax_w))/(px*sh_val+debt_val+fl_val)))^Sens!F14401</f>
        <v>0.965763509382425</v>
      </c>
      <c r="G14403" s="15" t="n">
        <f aca="false">1/(1+((px*sh_val*(rf+beta*erp_lo)+(debt_val+fl_val)*kd*(1-tax_w))/(px*sh_val+debt_val+fl_val)))^Sens!G14401</f>
        <v>0.890253906323253</v>
      </c>
      <c r="H14403" s="15" t="n">
        <f aca="false">1/(1+((px*sh_val*(rf+beta*erp_lo)+(debt_val+fl_val)*kd*(1-tax_w))/(px*sh_val+debt_val+fl_val)))^Sens!H14401</f>
        <v>0.811070295847671</v>
      </c>
      <c r="I14403" s="15" t="n">
        <f aca="false">1/(1+((px*sh_val*(rf+beta*erp_lo)+(debt_val+fl_val)*kd*(1-tax_w))/(px*sh_val+debt_val+fl_val)))^Sens!I14401</f>
        <v>0.738929669540329</v>
      </c>
      <c r="J14403" s="15" t="n">
        <f aca="false">1/(1+((px*sh_val*(rf+beta*erp_lo)+(debt_val+fl_val)*kd*(1-tax_w))/(px*sh_val+debt_val+fl_val)))^Sens!J14401</f>
        <v>0.6732055893581</v>
      </c>
      <c r="K14403" s="15" t="n">
        <f aca="false">1/(1+((px*sh_val*(rf+beta*erp_lo)+(debt_val+fl_val)*kd*(1-tax_w))/(px*sh_val+debt_val+fl_val)))^Sens!K14401</f>
        <v>0.613327335773261</v>
      </c>
    </row>
    <row r="14404" customFormat="false" ht="17.15" hidden="false" customHeight="false" outlineLevel="0" collapsed="false">
      <c r="A14404" s="1" t="s">
        <v>1216</v>
      </c>
      <c r="B14404" s="0" t="s">
        <v>98</v>
      </c>
      <c r="F14404" s="6" t="n">
        <f aca="false">Q!$I$35-Q!$I$39-Q!$I$43</f>
        <v>9.666</v>
      </c>
      <c r="L14404" s="12" t="s">
        <v>1217</v>
      </c>
    </row>
    <row r="14405" customFormat="false" ht="17.15" hidden="false" customHeight="false" outlineLevel="0" collapsed="false">
      <c r="A14405" s="1" t="s">
        <v>1218</v>
      </c>
      <c r="B14405" s="0" t="s">
        <v>98</v>
      </c>
      <c r="F14405" s="6" t="n">
        <f aca="false">CF!F23-CF!F20-CF!F27+Thesis!F47*(1-tax_f)*(1-v_off)-Sens!F14404</f>
        <v>-1.12880264559539</v>
      </c>
      <c r="G14405" s="6" t="n">
        <f aca="false">CF!G23-CF!G20-CF!G27+Thesis!G47*(1-tax_f)</f>
        <v>38.7194421947551</v>
      </c>
      <c r="H14405" s="6" t="n">
        <f aca="false">CF!H23-CF!H20-CF!H27+Thesis!H47*(1-tax_f)</f>
        <v>98.6927474567662</v>
      </c>
      <c r="I14405" s="6" t="n">
        <f aca="false">CF!I23-CF!I20-CF!I27+Thesis!I47*(1-tax_f)</f>
        <v>181.625440536277</v>
      </c>
      <c r="J14405" s="6" t="n">
        <f aca="false">CF!J23-CF!J20-CF!J27+Thesis!J47*(1-tax_f)</f>
        <v>263.350402418584</v>
      </c>
      <c r="K14405" s="6" t="n">
        <f aca="false">CF!K23-CF!K20-CF!K27+Thesis!K47*(1-tax_f)</f>
        <v>303.659068389018</v>
      </c>
      <c r="L14405" s="1" t="s">
        <v>1219</v>
      </c>
    </row>
    <row r="14406" customFormat="false" ht="15" hidden="false" customHeight="false" outlineLevel="0" collapsed="false">
      <c r="A14406" s="1" t="s">
        <v>1220</v>
      </c>
      <c r="B14406" s="0" t="s">
        <v>98</v>
      </c>
      <c r="F14406" s="6" t="n">
        <f aca="false">Sens!F14405*Sens!F14403</f>
        <v>-1.09015640441037</v>
      </c>
      <c r="G14406" s="6" t="n">
        <f aca="false">Sens!G14405*Sens!G14403</f>
        <v>34.4701346645381</v>
      </c>
      <c r="H14406" s="6" t="n">
        <f aca="false">Sens!H14405*Sens!H14403</f>
        <v>80.0467558777788</v>
      </c>
      <c r="I14406" s="6" t="n">
        <f aca="false">Sens!I14405*Sens!I14403</f>
        <v>134.208426755588</v>
      </c>
      <c r="J14406" s="6" t="n">
        <f aca="false">Sens!J14405*Sens!J14403</f>
        <v>177.288962867895</v>
      </c>
      <c r="K14406" s="6" t="n">
        <f aca="false">Sens!K14405*Sens!K14403</f>
        <v>186.242407398427</v>
      </c>
    </row>
    <row r="14407" customFormat="false" ht="17.15" hidden="false" customHeight="false" outlineLevel="0" collapsed="false">
      <c r="A14407" s="1" t="s">
        <v>1221</v>
      </c>
      <c r="B14407" s="0" t="s">
        <v>98</v>
      </c>
      <c r="C14407" s="6" t="n">
        <f aca="false">SUM(Sens!F14406:K14406)</f>
        <v>611.166531159817</v>
      </c>
    </row>
    <row r="14408" customFormat="false" ht="17.15" hidden="false" customHeight="false" outlineLevel="0" collapsed="false">
      <c r="A14408" s="1" t="s">
        <v>1222</v>
      </c>
      <c r="B14408" s="0" t="s">
        <v>98</v>
      </c>
      <c r="C14408" s="6" t="n">
        <f aca="false">PL!K39*(1+g_tv)*(1-tax_f)</f>
        <v>316.501318799308</v>
      </c>
    </row>
    <row r="14409" customFormat="false" ht="17.15" hidden="false" customHeight="false" outlineLevel="0" collapsed="false">
      <c r="A14409" s="1" t="s">
        <v>1223</v>
      </c>
      <c r="B14409" s="0" t="s">
        <v>98</v>
      </c>
      <c r="C14409" s="6" t="n">
        <f aca="false">Sens!$C$14408*(1-g_tv/(((px*sh_val*(rf+beta*erp_lo)+(debt_val+fl_val)*kd*(1-tax_w))/(px*sh_val+debt_val+fl_val))+ronic_prem))</f>
        <v>219.24451904001</v>
      </c>
    </row>
    <row r="14410" customFormat="false" ht="17.15" hidden="false" customHeight="false" outlineLevel="0" collapsed="false">
      <c r="A14410" s="1" t="s">
        <v>1224</v>
      </c>
      <c r="B14410" s="0" t="s">
        <v>98</v>
      </c>
      <c r="C14410" s="6" t="n">
        <f aca="false">Sens!$C$14409/(((px*sh_val*(rf+beta*erp_lo)+(debt_val+fl_val)*kd*(1-tax_w))/(px*sh_val+debt_val+fl_val))-g_tv)</f>
        <v>3241.89332530994</v>
      </c>
    </row>
    <row r="14411" customFormat="false" ht="15" hidden="false" customHeight="false" outlineLevel="0" collapsed="false">
      <c r="A14411" s="1" t="s">
        <v>1225</v>
      </c>
      <c r="B14411" s="0" t="s">
        <v>98</v>
      </c>
      <c r="C14411" s="6" t="n">
        <f aca="false">Sens!$C$14410/(1+((px*sh_val*(rf+beta*erp_lo)+(debt_val+fl_val)*kd*(1-tax_w))/(px*sh_val+debt_val+fl_val)))^Sens!K14402</f>
        <v>1897.8563876351</v>
      </c>
    </row>
    <row r="14412" customFormat="false" ht="17.15" hidden="false" customHeight="false" outlineLevel="0" collapsed="false">
      <c r="A14412" s="0" t="s">
        <v>1226</v>
      </c>
      <c r="B14412" s="0" t="s">
        <v>98</v>
      </c>
      <c r="C14412" s="6" t="n">
        <f aca="false">Sens!$C$14407+Sens!$C$14411</f>
        <v>2509.02291879492</v>
      </c>
    </row>
    <row r="14413" customFormat="false" ht="15" hidden="false" customHeight="false" outlineLevel="0" collapsed="false">
      <c r="A14413" s="1" t="s">
        <v>1141</v>
      </c>
      <c r="B14413" s="0" t="s">
        <v>168</v>
      </c>
      <c r="C14413" s="7" t="n">
        <f aca="false">Sens!$C$14411/Sens!$C$14412</f>
        <v>0.756412535500728</v>
      </c>
    </row>
    <row r="14414" customFormat="false" ht="17.15" hidden="false" customHeight="false" outlineLevel="0" collapsed="false">
      <c r="A14414" s="1" t="s">
        <v>1227</v>
      </c>
      <c r="B14414" s="0" t="s">
        <v>98</v>
      </c>
      <c r="C14414" s="6" t="n">
        <f aca="false">Sens!$C$14412+cash_val-debt_val-fl_val+oai_v</f>
        <v>2624.87391879492</v>
      </c>
    </row>
    <row r="14415" customFormat="false" ht="17.15" hidden="false" customHeight="false" outlineLevel="0" collapsed="false">
      <c r="A14415" s="0" t="s">
        <v>1149</v>
      </c>
      <c r="B14415" s="0" t="s">
        <v>75</v>
      </c>
      <c r="C14415" s="5" t="n">
        <f aca="false">Sens!$C$14414/shd_val</f>
        <v>352.521342841111</v>
      </c>
    </row>
    <row r="14416" customFormat="false" ht="15" hidden="false" customHeight="false" outlineLevel="0" collapsed="false">
      <c r="A14416" s="1" t="s">
        <v>1228</v>
      </c>
      <c r="B14416" s="0" t="s">
        <v>75</v>
      </c>
      <c r="C14416" s="8" t="n">
        <f aca="false">div_rem27+CF!G31*roll_div_q/q_per_yr</f>
        <v>3.9795</v>
      </c>
    </row>
    <row r="14417" customFormat="false" ht="17.15" hidden="false" customHeight="false" outlineLevel="0" collapsed="false">
      <c r="A14417" s="0" t="s">
        <v>1229</v>
      </c>
      <c r="B14417" s="0" t="s">
        <v>75</v>
      </c>
      <c r="C14417" s="5" t="n">
        <f aca="false">Sens!$C$14415*(1+((px*sh_val*(rf+beta*erp_lo)+(debt_val+fl_val)*kd*(1-tax_w))/(px*sh_val+debt_val+fl_val)))^t_roll-Sens!$C$14416</f>
        <v>385.832380686132</v>
      </c>
    </row>
    <row r="14418" customFormat="false" ht="17.15" hidden="false" customHeight="false" outlineLevel="0" collapsed="false">
      <c r="A14418" s="1" t="s">
        <v>1230</v>
      </c>
      <c r="B14418" s="0" t="s">
        <v>168</v>
      </c>
      <c r="F14418" s="7" t="n">
        <f aca="false">CF!F17/(Seg!F29-Thesis!F25)</f>
        <v>0.0685527305696859</v>
      </c>
      <c r="G14418" s="7" t="n">
        <f aca="false">CF!G17/(Seg!G29-Thesis!G25)</f>
        <v>0.0653567731599844</v>
      </c>
      <c r="H14418" s="7" t="n">
        <f aca="false">CF!H17/(Seg!H29-Thesis!H25)</f>
        <v>0.0636628841026972</v>
      </c>
      <c r="I14418" s="7" t="n">
        <f aca="false">CF!I17/(Seg!I29-Thesis!I25)</f>
        <v>0.0633581084335176</v>
      </c>
      <c r="J14418" s="7" t="n">
        <f aca="false">CF!J17/(Seg!J29-Thesis!J25)</f>
        <v>0.0640873955995062</v>
      </c>
      <c r="K14418" s="7" t="n">
        <f aca="false">CF!K17/(Seg!K29-Thesis!K25)</f>
        <v>0.0653962234835198</v>
      </c>
    </row>
    <row r="14419" customFormat="false" ht="17.15" hidden="false" customHeight="false" outlineLevel="0" collapsed="false">
      <c r="A14419" s="0" t="s">
        <v>1231</v>
      </c>
      <c r="B14419" s="0" t="s">
        <v>98</v>
      </c>
      <c r="F14419" s="6" t="n">
        <f aca="false">Seg!F14*(al_m365+Sens!F14418+sbc_r)</f>
        <v>84.5213906545575</v>
      </c>
      <c r="G14419" s="6" t="n">
        <f aca="false">Seg!G14*(al_m365+Sens!G14418+sbc_r)</f>
        <v>98.949983331796</v>
      </c>
      <c r="H14419" s="6" t="n">
        <f aca="false">Seg!H14*(al_m365+Sens!H14418+sbc_r)</f>
        <v>113.543734275326</v>
      </c>
      <c r="I14419" s="6" t="n">
        <f aca="false">Seg!I14*(al_m365+Sens!I14418+sbc_r)</f>
        <v>126.62058838692</v>
      </c>
      <c r="J14419" s="6" t="n">
        <f aca="false">Seg!J14*(al_m365+Sens!J14418+sbc_r)</f>
        <v>137.994660156303</v>
      </c>
      <c r="K14419" s="6" t="n">
        <f aca="false">Seg!K14*(al_m365+Sens!K14418+sbc_r)</f>
        <v>148.989224092997</v>
      </c>
      <c r="L14419" s="12" t="s">
        <v>1232</v>
      </c>
    </row>
    <row r="14420" customFormat="false" ht="17.15" hidden="false" customHeight="false" outlineLevel="0" collapsed="false">
      <c r="A14420" s="0" t="s">
        <v>1233</v>
      </c>
      <c r="B14420" s="0" t="s">
        <v>98</v>
      </c>
      <c r="F14420" s="6" t="n">
        <f aca="false">Seg!F15*(al_lic+Sens!F14418+sbc_r)</f>
        <v>32.855200196554</v>
      </c>
      <c r="G14420" s="6" t="n">
        <f aca="false">Seg!G15*(al_lic+Sens!G14418+sbc_r)</f>
        <v>34.1185582613282</v>
      </c>
      <c r="H14420" s="6" t="n">
        <f aca="false">Seg!H15*(al_lic+Sens!H14418+sbc_r)</f>
        <v>35.3024309363621</v>
      </c>
      <c r="I14420" s="6" t="n">
        <f aca="false">Seg!I15*(al_lic+Sens!I14418+sbc_r)</f>
        <v>36.3898468129533</v>
      </c>
      <c r="J14420" s="6" t="n">
        <f aca="false">Seg!J15*(al_lic+Sens!J14418+sbc_r)</f>
        <v>37.3529129529876</v>
      </c>
      <c r="K14420" s="6" t="n">
        <f aca="false">Seg!K15*(al_lic+Sens!K14418+sbc_r)</f>
        <v>38.158536171203</v>
      </c>
    </row>
    <row r="14421" customFormat="false" ht="17.15" hidden="false" customHeight="false" outlineLevel="0" collapsed="false">
      <c r="A14421" s="0" t="s">
        <v>1234</v>
      </c>
      <c r="B14421" s="0" t="s">
        <v>98</v>
      </c>
      <c r="F14421" s="6" t="n">
        <f aca="false">Seg!F17*(al_ind+Sens!F14418+sbc_r)</f>
        <v>9.05892547956683</v>
      </c>
      <c r="G14421" s="6" t="n">
        <f aca="false">Seg!G17*(al_ind+Sens!G14418+sbc_r)</f>
        <v>9.82456487622418</v>
      </c>
      <c r="H14421" s="6" t="n">
        <f aca="false">Seg!H17*(al_ind+Sens!H14418+sbc_r)</f>
        <v>10.6377408477959</v>
      </c>
      <c r="I14421" s="6" t="n">
        <f aca="false">Seg!I17*(al_ind+Sens!I14418+sbc_r)</f>
        <v>11.4966323260293</v>
      </c>
      <c r="J14421" s="6" t="n">
        <f aca="false">Seg!J17*(al_ind+Sens!J14418+sbc_r)</f>
        <v>12.3903660286279</v>
      </c>
      <c r="K14421" s="6" t="n">
        <f aca="false">Seg!K17*(al_ind+Sens!K14418+sbc_r)</f>
        <v>13.3009129057681</v>
      </c>
    </row>
    <row r="14422" customFormat="false" ht="17.15" hidden="false" customHeight="false" outlineLevel="0" collapsed="false">
      <c r="A14422" s="0" t="s">
        <v>1235</v>
      </c>
      <c r="B14422" s="0" t="s">
        <v>98</v>
      </c>
      <c r="F14422" s="6" t="n">
        <f aca="false">Seg!F19*(al_fro+Sens!F14418+sbc_r)</f>
        <v>3.55344443532423</v>
      </c>
      <c r="G14422" s="6" t="n">
        <f aca="false">Seg!G19*(al_fro+Sens!G14418+sbc_r)</f>
        <v>3.75916645971565</v>
      </c>
      <c r="H14422" s="6" t="n">
        <f aca="false">Seg!H19*(al_fro+Sens!H14418+sbc_r)</f>
        <v>3.994970960527</v>
      </c>
      <c r="I14422" s="6" t="n">
        <f aca="false">Seg!I19*(al_fro+Sens!I14418+sbc_r)</f>
        <v>4.26396270432353</v>
      </c>
      <c r="J14422" s="6" t="n">
        <f aca="false">Seg!J19*(al_fro+Sens!J14418+sbc_r)</f>
        <v>4.5667795874336</v>
      </c>
      <c r="K14422" s="6" t="n">
        <f aca="false">Seg!K19*(al_fro+Sens!K14418+sbc_r)</f>
        <v>4.90238443416026</v>
      </c>
    </row>
    <row r="14423" customFormat="false" ht="17.15" hidden="false" customHeight="false" outlineLevel="0" collapsed="false">
      <c r="A14423" s="0" t="s">
        <v>1236</v>
      </c>
      <c r="B14423" s="0" t="s">
        <v>98</v>
      </c>
      <c r="F14423" s="6" t="n">
        <f aca="false">Seg!F22*(al_srch+Sens!F14418+sbc_r)</f>
        <v>11.1872483445711</v>
      </c>
      <c r="G14423" s="6" t="n">
        <f aca="false">Seg!G22*(al_srch+Sens!G14418+sbc_r)</f>
        <v>12.247246048296</v>
      </c>
      <c r="H14423" s="6" t="n">
        <f aca="false">Seg!H22*(al_srch+Sens!H14418+sbc_r)</f>
        <v>13.3552870946193</v>
      </c>
      <c r="I14423" s="6" t="n">
        <f aca="false">Seg!I22*(al_srch+Sens!I14418+sbc_r)</f>
        <v>14.5024145321619</v>
      </c>
      <c r="J14423" s="6" t="n">
        <f aca="false">Seg!J22*(al_srch+Sens!J14418+sbc_r)</f>
        <v>15.667276660652</v>
      </c>
      <c r="K14423" s="6" t="n">
        <f aca="false">Seg!K22*(al_srch+Sens!K14418+sbc_r)</f>
        <v>16.8186381138719</v>
      </c>
    </row>
    <row r="14424" customFormat="false" ht="17.15" hidden="false" customHeight="false" outlineLevel="0" collapsed="false">
      <c r="A14424" s="0" t="s">
        <v>1237</v>
      </c>
      <c r="B14424" s="0" t="s">
        <v>98</v>
      </c>
      <c r="F14424" s="6" t="n">
        <f aca="false">Thesis!F31-Thesis!F32+Thesis!F47</f>
        <v>45.3782580567763</v>
      </c>
      <c r="G14424" s="6" t="n">
        <f aca="false">Thesis!G31-Thesis!G32+Thesis!G47</f>
        <v>91.0863367558165</v>
      </c>
      <c r="H14424" s="6" t="n">
        <f aca="false">Thesis!H31-Thesis!H32+Thesis!H47</f>
        <v>144.617532464853</v>
      </c>
      <c r="I14424" s="6" t="n">
        <f aca="false">Thesis!I31-Thesis!I32+Thesis!I47</f>
        <v>187.137304561304</v>
      </c>
      <c r="J14424" s="6" t="n">
        <f aca="false">Thesis!J31-Thesis!J32+Thesis!J47</f>
        <v>217.006854425907</v>
      </c>
      <c r="K14424" s="6" t="n">
        <f aca="false">Thesis!K31-Thesis!K32+Thesis!K47</f>
        <v>234.933637903877</v>
      </c>
    </row>
    <row r="14425" customFormat="false" ht="17.15" hidden="false" customHeight="false" outlineLevel="0" collapsed="false">
      <c r="A14425" s="0" t="s">
        <v>1238</v>
      </c>
      <c r="B14425" s="0" t="s">
        <v>98</v>
      </c>
      <c r="F14425" s="6" t="n">
        <f aca="false">PL!F32+Thesis!F47+Thesis!F43+Sens!F14418*(Seg!F21-Thesis!F25)+sbc_r*Seg!F21</f>
        <v>240.818167741339</v>
      </c>
      <c r="G14425" s="6" t="n">
        <f aca="false">PL!G32+Thesis!G47+Thesis!G43+Sens!G14418*(Seg!G21-Thesis!G25)+sbc_r*Seg!G21</f>
        <v>311.917784140952</v>
      </c>
      <c r="H14425" s="6" t="n">
        <f aca="false">PL!H32+Thesis!H47+Thesis!H43+Sens!H14418*(Seg!H21-Thesis!H25)+sbc_r*Seg!H21</f>
        <v>395.486245683473</v>
      </c>
      <c r="I14425" s="6" t="n">
        <f aca="false">PL!I32+Thesis!I47+Thesis!I43+Sens!I14418*(Seg!I21-Thesis!I25)+sbc_r*Seg!I21</f>
        <v>465.950805948377</v>
      </c>
      <c r="J14425" s="6" t="n">
        <f aca="false">PL!J32+Thesis!J47+Thesis!J43+Sens!J14418*(Seg!J21-Thesis!J25)+sbc_r*Seg!J21</f>
        <v>520.78677388057</v>
      </c>
      <c r="K14425" s="6" t="n">
        <f aca="false">PL!K32+Thesis!K47+Thesis!K43+Sens!K14418*(Seg!K21-Thesis!K25)+sbc_r*Seg!K21</f>
        <v>561.2469767412</v>
      </c>
    </row>
    <row r="14426" customFormat="false" ht="17.15" hidden="false" customHeight="false" outlineLevel="0" collapsed="false">
      <c r="A14426" s="0" t="s">
        <v>1239</v>
      </c>
      <c r="B14426" s="0" t="s">
        <v>98</v>
      </c>
      <c r="F14426" s="6" t="n">
        <f aca="false">Sens!F14425-Sens!F14419-Sens!F14420-Sens!F14421-Sens!F14422-Sens!F14424</f>
        <v>65.4509489185601</v>
      </c>
      <c r="G14426" s="6" t="n">
        <f aca="false">Sens!G14425-Sens!G14419-Sens!G14420-Sens!G14421-Sens!G14422-Sens!G14424</f>
        <v>74.1791744560715</v>
      </c>
      <c r="H14426" s="6" t="n">
        <f aca="false">Sens!H14425-Sens!H14419-Sens!H14420-Sens!H14421-Sens!H14422-Sens!H14424</f>
        <v>87.3898361986086</v>
      </c>
      <c r="I14426" s="6" t="n">
        <f aca="false">Sens!I14425-Sens!I14419-Sens!I14420-Sens!I14421-Sens!I14422-Sens!I14424</f>
        <v>100.042471156846</v>
      </c>
      <c r="J14426" s="6" t="n">
        <f aca="false">Sens!J14425-Sens!J14419-Sens!J14420-Sens!J14421-Sens!J14422-Sens!J14424</f>
        <v>111.475200729312</v>
      </c>
      <c r="K14426" s="6" t="n">
        <f aca="false">Sens!K14425-Sens!K14419-Sens!K14420-Sens!K14421-Sens!K14422-Sens!K14424</f>
        <v>120.962281233195</v>
      </c>
    </row>
    <row r="14427" customFormat="false" ht="17.15" hidden="false" customHeight="false" outlineLevel="0" collapsed="false">
      <c r="A14427" s="0" t="s">
        <v>1240</v>
      </c>
      <c r="B14427" s="0" t="s">
        <v>98</v>
      </c>
      <c r="F14427" s="6" t="n">
        <f aca="false">PL!F34+Sens!F14418*Seg!F28+sbc_r*Seg!F28</f>
        <v>26.6293388420472</v>
      </c>
      <c r="G14427" s="6" t="n">
        <f aca="false">PL!G34+Sens!G14418*Seg!G28+sbc_r*Seg!G28</f>
        <v>26.4405000412783</v>
      </c>
      <c r="H14427" s="6" t="n">
        <f aca="false">PL!H34+Sens!H14418*Seg!H28+sbc_r*Seg!H28</f>
        <v>27.296860059552</v>
      </c>
      <c r="I14427" s="6" t="n">
        <f aca="false">PL!I34+Sens!I14418*Seg!I28+sbc_r*Seg!I28</f>
        <v>28.3995465815703</v>
      </c>
      <c r="J14427" s="6" t="n">
        <f aca="false">PL!J34+Sens!J14418*Seg!J28+sbc_r*Seg!J28</f>
        <v>29.7093380975903</v>
      </c>
      <c r="K14427" s="6" t="n">
        <f aca="false">PL!K34+Sens!K14418*Seg!K28+sbc_r*Seg!K28</f>
        <v>31.1817775287323</v>
      </c>
    </row>
    <row r="14428" customFormat="false" ht="17.15" hidden="false" customHeight="false" outlineLevel="0" collapsed="false">
      <c r="A14428" s="0" t="s">
        <v>1241</v>
      </c>
      <c r="B14428" s="0" t="s">
        <v>98</v>
      </c>
      <c r="F14428" s="6" t="n">
        <f aca="false">(Sens!F14427-Sens!F14423)*Seg!F24/(Seg!F24+Seg!F26)</f>
        <v>8.72146908842971</v>
      </c>
      <c r="G14428" s="6" t="n">
        <f aca="false">(Sens!G14427-Sens!G14423)*Seg!G24/(Seg!G24+Seg!G26)</f>
        <v>7.87837655379173</v>
      </c>
      <c r="H14428" s="6" t="n">
        <f aca="false">(Sens!H14427-Sens!H14423)*Seg!H24/(Seg!H24+Seg!H26)</f>
        <v>7.63786170689933</v>
      </c>
      <c r="I14428" s="6" t="n">
        <f aca="false">(Sens!I14427-Sens!I14423)*Seg!I24/(Seg!I24+Seg!I26)</f>
        <v>7.5470606300581</v>
      </c>
      <c r="J14428" s="6" t="n">
        <f aca="false">(Sens!J14427-Sens!J14423)*Seg!J24/(Seg!J24+Seg!J26)</f>
        <v>7.59249600034024</v>
      </c>
      <c r="K14428" s="6" t="n">
        <f aca="false">(Sens!K14427-Sens!K14423)*Seg!K24/(Seg!K24+Seg!K26)</f>
        <v>7.76610179704742</v>
      </c>
    </row>
    <row r="14429" customFormat="false" ht="17.15" hidden="false" customHeight="false" outlineLevel="0" collapsed="false">
      <c r="A14429" s="0" t="s">
        <v>1242</v>
      </c>
      <c r="B14429" s="0" t="s">
        <v>98</v>
      </c>
      <c r="F14429" s="6" t="n">
        <f aca="false">Sens!F14427-Sens!F14423-Sens!F14428</f>
        <v>6.72062140904636</v>
      </c>
      <c r="G14429" s="6" t="n">
        <f aca="false">Sens!G14427-Sens!G14423-Sens!G14428</f>
        <v>6.31487743919059</v>
      </c>
      <c r="H14429" s="6" t="n">
        <f aca="false">Sens!H14427-Sens!H14423-Sens!H14428</f>
        <v>6.30371125803333</v>
      </c>
      <c r="I14429" s="6" t="n">
        <f aca="false">Sens!I14427-Sens!I14423-Sens!I14428</f>
        <v>6.35007141935025</v>
      </c>
      <c r="J14429" s="6" t="n">
        <f aca="false">Sens!J14427-Sens!J14423-Sens!J14428</f>
        <v>6.44956543659808</v>
      </c>
      <c r="K14429" s="6" t="n">
        <f aca="false">Sens!K14427-Sens!K14423-Sens!K14428</f>
        <v>6.597037617813</v>
      </c>
    </row>
    <row r="14430" customFormat="false" ht="17.15" hidden="false" customHeight="false" outlineLevel="0" collapsed="false">
      <c r="A14430" s="0" t="s">
        <v>1243</v>
      </c>
      <c r="B14430" s="0" t="s">
        <v>98</v>
      </c>
      <c r="F14430" s="6" t="n">
        <f aca="false">Sens!F14424-tax_f*(Sens!F14424-Thesis!F43)-Thesis!F40</f>
        <v>-125.235434701028</v>
      </c>
      <c r="G14430" s="6" t="n">
        <f aca="false">Sens!G14424-tax_f*(Sens!G14424-Thesis!G43)-Thesis!G40</f>
        <v>-106.928508113935</v>
      </c>
      <c r="H14430" s="6" t="n">
        <f aca="false">Sens!H14424-tax_f*(Sens!H14424-Thesis!H43)-Thesis!H40</f>
        <v>-63.2919599603405</v>
      </c>
      <c r="I14430" s="6" t="n">
        <f aca="false">Sens!I14424-tax_f*(Sens!I14424-Thesis!I43)-Thesis!I40</f>
        <v>3.94121196634245</v>
      </c>
      <c r="J14430" s="6" t="n">
        <f aca="false">Sens!J14424-tax_f*(Sens!J14424-Thesis!J43)-Thesis!J40</f>
        <v>71.0786869547042</v>
      </c>
      <c r="K14430" s="6" t="n">
        <f aca="false">Sens!K14424-tax_f*(Sens!K14424-Thesis!K43)-Thesis!K40</f>
        <v>97.5865911685559</v>
      </c>
    </row>
    <row r="14431" customFormat="false" ht="17.15" hidden="false" customHeight="false" outlineLevel="0" collapsed="false">
      <c r="A14431" s="0" t="s">
        <v>1244</v>
      </c>
      <c r="B14431" s="0" t="s">
        <v>98</v>
      </c>
      <c r="G14431" s="6" t="n">
        <f aca="false">Sens!G14430/(1+((px*sh_val*(rf+beta*erp_lo)+(debt_val+fl_val)*kd*(1-tax_w))/(px*sh_val+debt_val+fl_val)))^(Sens!G14401-Sens!F14402)</f>
        <v>-102.062408256505</v>
      </c>
      <c r="H14431" s="6" t="n">
        <f aca="false">Sens!H14430/(1+((px*sh_val*(rf+beta*erp_lo)+(debt_val+fl_val)*kd*(1-tax_w))/(px*sh_val+debt_val+fl_val)))^(Sens!H14401-Sens!F14402)</f>
        <v>-55.0383565339091</v>
      </c>
      <c r="I14431" s="6" t="n">
        <f aca="false">Sens!I14430/(1+((px*sh_val*(rf+beta*erp_lo)+(debt_val+fl_val)*kd*(1-tax_w))/(px*sh_val+debt_val+fl_val)))^(Sens!I14401-Sens!F14402)</f>
        <v>3.12241995392902</v>
      </c>
      <c r="J14431" s="6" t="n">
        <f aca="false">Sens!J14430/(1+((px*sh_val*(rf+beta*erp_lo)+(debt_val+fl_val)*kd*(1-tax_w))/(px*sh_val+debt_val+fl_val)))^(Sens!J14401-Sens!F14402)</f>
        <v>51.3033265137183</v>
      </c>
      <c r="K14431" s="6" t="n">
        <f aca="false">Sens!K14430/(1+((px*sh_val*(rf+beta*erp_lo)+(debt_val+fl_val)*kd*(1-tax_w))/(px*sh_val+debt_val+fl_val)))^(Sens!K14401-Sens!F14402)</f>
        <v>64.1713070930424</v>
      </c>
      <c r="L14431" s="1" t="s">
        <v>1245</v>
      </c>
    </row>
    <row r="14432" customFormat="false" ht="17.15" hidden="false" customHeight="false" outlineLevel="0" collapsed="false">
      <c r="A14432" s="0" t="s">
        <v>1246</v>
      </c>
      <c r="B14432" s="0" t="s">
        <v>98</v>
      </c>
      <c r="C14432" s="6" t="n">
        <f aca="false">(Sens!K14424-Thesis!K43)*(1-tax_f)*(1+g_tv)*(1-g_tv/(((px*sh_val*(rf+beta*erp_lo)+(debt_val+fl_val)*kd*(1-tax_w))/(px*sh_val+debt_val+fl_val))+ronic_prem))/(((px*sh_val*(rf+beta*erp_lo)+(debt_val+fl_val)*kd*(1-tax_w))/(px*sh_val+debt_val+fl_val))-g_tv)/(1+((px*sh_val*(rf+beta*erp_lo)+(debt_val+fl_val)*kd*(1-tax_w))/(px*sh_val+debt_val+fl_val)))^(Sens!K14402-Sens!F14402)</f>
        <v>486.954115542786</v>
      </c>
    </row>
    <row r="14433" customFormat="false" ht="17.15" hidden="false" customHeight="false" outlineLevel="0" collapsed="false">
      <c r="A14433" s="1" t="s">
        <v>1247</v>
      </c>
      <c r="B14433" s="0" t="s">
        <v>98</v>
      </c>
      <c r="C14433" s="6" t="n">
        <f aca="false">(SUM(Sens!G14431:K14431)+Sens!$C$14432)*(1+((px*sh_val*(rf+beta*erp_lo)+(debt_val+fl_val)*kd*(1-tax_w))/(px*sh_val+debt_val+fl_val)))^(t_roll-Sens!F14402)</f>
        <v>462.514826669399</v>
      </c>
      <c r="L14433" s="12" t="s">
        <v>1248</v>
      </c>
    </row>
    <row r="14434" customFormat="false" ht="17.15" hidden="false" customHeight="false" outlineLevel="0" collapsed="false">
      <c r="A14434" s="1" t="s">
        <v>1249</v>
      </c>
      <c r="B14434" s="0" t="s">
        <v>98</v>
      </c>
      <c r="C14434" s="6" t="n">
        <f aca="false">(w_ntm28*Thesis!G31+(1-w_ntm28)*Thesis!H31)*m_ai</f>
        <v>563.316843258668</v>
      </c>
    </row>
    <row r="14435" customFormat="false" ht="17.15" hidden="false" customHeight="false" outlineLevel="0" collapsed="false">
      <c r="A14435" s="1" t="s">
        <v>1250</v>
      </c>
      <c r="B14435" s="0" t="s">
        <v>98</v>
      </c>
      <c r="C14435" s="6" t="n">
        <f aca="false">(w_ntm28*Sens!G14426+(1-w_ntm28)*Sens!H14426)*m_cloud</f>
        <v>1085.17964696599</v>
      </c>
    </row>
    <row r="14436" customFormat="false" ht="17.15" hidden="false" customHeight="false" outlineLevel="0" collapsed="false">
      <c r="A14436" s="1" t="s">
        <v>1251</v>
      </c>
      <c r="B14436" s="0" t="s">
        <v>98</v>
      </c>
      <c r="C14436" s="6" t="n">
        <f aca="false">(w_ntm28*Sens!G14419+(1-w_ntm28)*Sens!H14419)*m_sw</f>
        <v>1120.47763155275</v>
      </c>
    </row>
    <row r="14437" customFormat="false" ht="17.15" hidden="false" customHeight="false" outlineLevel="0" collapsed="false">
      <c r="A14437" s="1" t="s">
        <v>1252</v>
      </c>
      <c r="B14437" s="0" t="s">
        <v>98</v>
      </c>
      <c r="C14437" s="6" t="n">
        <f aca="false">(w_ntm28*Sens!G14420+(1-w_ntm28)*Sens!H14420)*m_sw</f>
        <v>372.68398809041</v>
      </c>
    </row>
    <row r="14438" customFormat="false" ht="17.15" hidden="false" customHeight="false" outlineLevel="0" collapsed="false">
      <c r="A14438" s="1" t="s">
        <v>1253</v>
      </c>
      <c r="B14438" s="0" t="s">
        <v>98</v>
      </c>
      <c r="C14438" s="6" t="n">
        <f aca="false">(w_ntm28*Sens!G14421+(1-w_ntm28)*Sens!H14421)*m_sw</f>
        <v>108.992632332144</v>
      </c>
    </row>
    <row r="14439" customFormat="false" ht="17.15" hidden="false" customHeight="false" outlineLevel="0" collapsed="false">
      <c r="A14439" s="1" t="s">
        <v>1254</v>
      </c>
      <c r="B14439" s="0" t="s">
        <v>98</v>
      </c>
      <c r="C14439" s="6" t="n">
        <f aca="false">(w_ntm28*Sens!G14422+(1-w_ntm28)*Sens!H14422)*m_sw</f>
        <v>41.4362652527414</v>
      </c>
    </row>
    <row r="14440" customFormat="false" ht="17.15" hidden="false" customHeight="false" outlineLevel="0" collapsed="false">
      <c r="A14440" s="1" t="s">
        <v>1255</v>
      </c>
      <c r="B14440" s="0" t="s">
        <v>98</v>
      </c>
      <c r="C14440" s="6" t="n">
        <f aca="false">(w_ntm28*Sens!G14423+(1-w_ntm28)*Sens!H14423)*m_ads</f>
        <v>114.891070326937</v>
      </c>
    </row>
    <row r="14441" customFormat="false" ht="17.15" hidden="false" customHeight="false" outlineLevel="0" collapsed="false">
      <c r="A14441" s="1" t="s">
        <v>1256</v>
      </c>
      <c r="B14441" s="0" t="s">
        <v>98</v>
      </c>
      <c r="C14441" s="6" t="n">
        <f aca="false">(w_ntm28*Sens!G14428+(1-w_ntm28)*Sens!H14428)*m_game</f>
        <v>98.505199156718</v>
      </c>
    </row>
    <row r="14442" customFormat="false" ht="17.15" hidden="false" customHeight="false" outlineLevel="0" collapsed="false">
      <c r="A14442" s="1" t="s">
        <v>1257</v>
      </c>
      <c r="B14442" s="0" t="s">
        <v>98</v>
      </c>
      <c r="C14442" s="6" t="n">
        <f aca="false">(w_ntm28*Sens!G14429+(1-w_ntm28)*Sens!H14429)*m_pc</f>
        <v>91.3231561150564</v>
      </c>
    </row>
    <row r="14443" customFormat="false" ht="17.15" hidden="false" customHeight="false" outlineLevel="0" collapsed="false">
      <c r="A14443" s="1" t="s">
        <v>1258</v>
      </c>
      <c r="B14443" s="0" t="s">
        <v>98</v>
      </c>
      <c r="C14443" s="6" t="n">
        <f aca="false">Sens!$C$14433+Sens!$C$14435+Sens!$C$14436+Sens!$C$14437+Sens!$C$14438+Sens!$C$14439+Sens!$C$14440+Sens!$C$14441+Sens!$C$14442</f>
        <v>3496.00441646214</v>
      </c>
    </row>
    <row r="14444" customFormat="false" ht="17.15" hidden="false" customHeight="false" outlineLevel="0" collapsed="false">
      <c r="A14444" s="1" t="s">
        <v>1259</v>
      </c>
      <c r="B14444" s="0" t="s">
        <v>98</v>
      </c>
      <c r="C14444" s="6" t="n">
        <f aca="false">(Sens!G14405-Sens!G14430)*t_stub</f>
        <v>48.2832931160316</v>
      </c>
      <c r="L14444" s="1" t="s">
        <v>1260</v>
      </c>
    </row>
    <row r="14445" customFormat="false" ht="17.15" hidden="false" customHeight="false" outlineLevel="0" collapsed="false">
      <c r="A14445" s="1" t="s">
        <v>1169</v>
      </c>
      <c r="B14445" s="0" t="s">
        <v>98</v>
      </c>
      <c r="C14445" s="6" t="n">
        <f aca="false">CF!F39+oai_v-CF!F28+Sens!$C$14444</f>
        <v>162.511563116032</v>
      </c>
      <c r="L14445" s="1" t="s">
        <v>1261</v>
      </c>
    </row>
    <row r="14446" customFormat="false" ht="17.15" hidden="false" customHeight="false" outlineLevel="0" collapsed="false">
      <c r="A14446" s="1" t="s">
        <v>1262</v>
      </c>
      <c r="B14446" s="0" t="s">
        <v>75</v>
      </c>
      <c r="C14446" s="5" t="n">
        <f aca="false">(Sens!$C$14443+Sens!$C$14445)/(CF!F41+dil_gap)-CF!G31*roll_div_q/q_per_yr</f>
        <v>487.396596218444</v>
      </c>
      <c r="L14446" s="1" t="s">
        <v>1263</v>
      </c>
    </row>
    <row r="14447" customFormat="false" ht="17.15" hidden="false" customHeight="false" outlineLevel="0" collapsed="false">
      <c r="A14447" s="1" t="s">
        <v>1264</v>
      </c>
      <c r="B14447" s="0" t="s">
        <v>75</v>
      </c>
      <c r="C14447" s="5" t="n">
        <f aca="false">w_dcf*Sens!$C$14417+(1-w_dcf)*Sens!$C$14446</f>
        <v>436.614488452288</v>
      </c>
    </row>
    <row r="14448" customFormat="false" ht="17.15" hidden="false" customHeight="false" outlineLevel="0" collapsed="false">
      <c r="A14448" s="3" t="s">
        <v>1838</v>
      </c>
    </row>
    <row r="14449" customFormat="false" ht="15" hidden="false" customHeight="false" outlineLevel="0" collapsed="false">
      <c r="A14449" s="4" t="s">
        <v>43</v>
      </c>
      <c r="B14449" s="4" t="s">
        <v>65</v>
      </c>
      <c r="C14449" s="23" t="s">
        <v>938</v>
      </c>
      <c r="D14449" s="23" t="s">
        <v>939</v>
      </c>
      <c r="E14449" s="23" t="s">
        <v>940</v>
      </c>
      <c r="F14449" s="23" t="s">
        <v>941</v>
      </c>
      <c r="G14449" s="23" t="s">
        <v>942</v>
      </c>
      <c r="H14449" s="23" t="s">
        <v>943</v>
      </c>
      <c r="I14449" s="23" t="s">
        <v>944</v>
      </c>
      <c r="J14449" s="23" t="s">
        <v>945</v>
      </c>
      <c r="K14449" s="23" t="s">
        <v>946</v>
      </c>
      <c r="L14449" s="4" t="s">
        <v>47</v>
      </c>
    </row>
    <row r="14450" customFormat="false" ht="17.15" hidden="false" customHeight="false" outlineLevel="0" collapsed="false">
      <c r="A14450" s="1" t="s">
        <v>1212</v>
      </c>
      <c r="B14450" s="1" t="s">
        <v>279</v>
      </c>
      <c r="F14450" s="8" t="n">
        <f aca="false">(1-v_off)*mid_yr</f>
        <v>0.373972602739726</v>
      </c>
      <c r="G14450" s="8" t="n">
        <f aca="false">Thesis!G58-base_fy-mid_yr-v_off</f>
        <v>1.24794520547945</v>
      </c>
      <c r="H14450" s="8" t="n">
        <f aca="false">Thesis!H58-base_fy-mid_yr-v_off</f>
        <v>2.24794520547945</v>
      </c>
      <c r="I14450" s="8" t="n">
        <f aca="false">Thesis!I58-base_fy-mid_yr-v_off</f>
        <v>3.24794520547945</v>
      </c>
      <c r="J14450" s="8" t="n">
        <f aca="false">Thesis!J58-base_fy-mid_yr-v_off</f>
        <v>4.24794520547945</v>
      </c>
      <c r="K14450" s="8" t="n">
        <f aca="false">Thesis!K58-base_fy-mid_yr-v_off</f>
        <v>5.24794520547945</v>
      </c>
      <c r="L14450" s="12" t="s">
        <v>1213</v>
      </c>
    </row>
    <row r="14451" customFormat="false" ht="15" hidden="false" customHeight="false" outlineLevel="0" collapsed="false">
      <c r="A14451" s="1" t="s">
        <v>1214</v>
      </c>
      <c r="B14451" s="1" t="s">
        <v>279</v>
      </c>
      <c r="F14451" s="8" t="n">
        <f aca="false">Thesis!F58-base_fy-v_off</f>
        <v>0.747945205479452</v>
      </c>
      <c r="G14451" s="8" t="n">
        <f aca="false">Thesis!G58-base_fy-v_off</f>
        <v>1.74794520547945</v>
      </c>
      <c r="H14451" s="8" t="n">
        <f aca="false">Thesis!H58-base_fy-v_off</f>
        <v>2.74794520547945</v>
      </c>
      <c r="I14451" s="8" t="n">
        <f aca="false">Thesis!I58-base_fy-v_off</f>
        <v>3.74794520547945</v>
      </c>
      <c r="J14451" s="8" t="n">
        <f aca="false">Thesis!J58-base_fy-v_off</f>
        <v>4.74794520547945</v>
      </c>
      <c r="K14451" s="8" t="n">
        <f aca="false">Thesis!K58-base_fy-v_off</f>
        <v>5.74794520547945</v>
      </c>
    </row>
    <row r="14452" customFormat="false" ht="15" hidden="false" customHeight="false" outlineLevel="0" collapsed="false">
      <c r="A14452" s="1" t="s">
        <v>1215</v>
      </c>
      <c r="B14452" s="0" t="s">
        <v>229</v>
      </c>
      <c r="F14452" s="15" t="n">
        <f aca="false">1/(1+((px*sh_val*(rf+beta*erp_lo)+(debt_val+fl_val)*kd*(1-tax_w))/(px*sh_val+debt_val+fl_val)))^Sens!F14450</f>
        <v>0.965763509382425</v>
      </c>
      <c r="G14452" s="15" t="n">
        <f aca="false">1/(1+((px*sh_val*(rf+beta*erp_lo)+(debt_val+fl_val)*kd*(1-tax_w))/(px*sh_val+debt_val+fl_val)))^Sens!G14450</f>
        <v>0.890253906323253</v>
      </c>
      <c r="H14452" s="15" t="n">
        <f aca="false">1/(1+((px*sh_val*(rf+beta*erp_lo)+(debt_val+fl_val)*kd*(1-tax_w))/(px*sh_val+debt_val+fl_val)))^Sens!H14450</f>
        <v>0.811070295847671</v>
      </c>
      <c r="I14452" s="15" t="n">
        <f aca="false">1/(1+((px*sh_val*(rf+beta*erp_lo)+(debt_val+fl_val)*kd*(1-tax_w))/(px*sh_val+debt_val+fl_val)))^Sens!I14450</f>
        <v>0.738929669540329</v>
      </c>
      <c r="J14452" s="15" t="n">
        <f aca="false">1/(1+((px*sh_val*(rf+beta*erp_lo)+(debt_val+fl_val)*kd*(1-tax_w))/(px*sh_val+debt_val+fl_val)))^Sens!J14450</f>
        <v>0.6732055893581</v>
      </c>
      <c r="K14452" s="15" t="n">
        <f aca="false">1/(1+((px*sh_val*(rf+beta*erp_lo)+(debt_val+fl_val)*kd*(1-tax_w))/(px*sh_val+debt_val+fl_val)))^Sens!K14450</f>
        <v>0.613327335773261</v>
      </c>
    </row>
    <row r="14453" customFormat="false" ht="17.15" hidden="false" customHeight="false" outlineLevel="0" collapsed="false">
      <c r="A14453" s="1" t="s">
        <v>1216</v>
      </c>
      <c r="B14453" s="0" t="s">
        <v>98</v>
      </c>
      <c r="F14453" s="6" t="n">
        <f aca="false">Q!$I$35-Q!$I$39-Q!$I$43</f>
        <v>9.666</v>
      </c>
      <c r="L14453" s="12" t="s">
        <v>1217</v>
      </c>
    </row>
    <row r="14454" customFormat="false" ht="17.15" hidden="false" customHeight="false" outlineLevel="0" collapsed="false">
      <c r="A14454" s="1" t="s">
        <v>1218</v>
      </c>
      <c r="B14454" s="0" t="s">
        <v>98</v>
      </c>
      <c r="F14454" s="6" t="n">
        <f aca="false">CF!F55-CF!F52-CF!F59+Thesis!F99*(1-tax_f)*(1-v_off)-Sens!F14453</f>
        <v>-3.35959137570949</v>
      </c>
      <c r="G14454" s="6" t="n">
        <f aca="false">CF!G55-CF!G52-CF!G59+Thesis!G99*(1-tax_f)</f>
        <v>29.8084555066036</v>
      </c>
      <c r="H14454" s="6" t="n">
        <f aca="false">CF!H55-CF!H52-CF!H59+Thesis!H99*(1-tax_f)</f>
        <v>79.3231801478051</v>
      </c>
      <c r="I14454" s="6" t="n">
        <f aca="false">CF!I55-CF!I52-CF!I59+Thesis!I99*(1-tax_f)</f>
        <v>157.29132812061</v>
      </c>
      <c r="J14454" s="6" t="n">
        <f aca="false">CF!J55-CF!J52-CF!J59+Thesis!J99*(1-tax_f)</f>
        <v>235.537601843622</v>
      </c>
      <c r="K14454" s="6" t="n">
        <f aca="false">CF!K55-CF!K52-CF!K59+Thesis!K99*(1-tax_f)</f>
        <v>273.705067207806</v>
      </c>
      <c r="L14454" s="1" t="s">
        <v>1219</v>
      </c>
    </row>
    <row r="14455" customFormat="false" ht="15" hidden="false" customHeight="false" outlineLevel="0" collapsed="false">
      <c r="A14455" s="1" t="s">
        <v>1220</v>
      </c>
      <c r="B14455" s="0" t="s">
        <v>98</v>
      </c>
      <c r="F14455" s="6" t="n">
        <f aca="false">Sens!F14454*Sens!F14452</f>
        <v>-3.24457075709613</v>
      </c>
      <c r="G14455" s="6" t="n">
        <f aca="false">Sens!G14454*Sens!G14452</f>
        <v>26.5370939562168</v>
      </c>
      <c r="H14455" s="6" t="n">
        <f aca="false">Sens!H14454*Sens!H14452</f>
        <v>64.3366751900584</v>
      </c>
      <c r="I14455" s="6" t="n">
        <f aca="false">Sens!I14454*Sens!I14452</f>
        <v>116.227229109722</v>
      </c>
      <c r="J14455" s="6" t="n">
        <f aca="false">Sens!J14454*Sens!J14452</f>
        <v>158.565230065129</v>
      </c>
      <c r="K14455" s="6" t="n">
        <f aca="false">Sens!K14454*Sens!K14452</f>
        <v>167.870799658205</v>
      </c>
    </row>
    <row r="14456" customFormat="false" ht="17.15" hidden="false" customHeight="false" outlineLevel="0" collapsed="false">
      <c r="A14456" s="1" t="s">
        <v>1221</v>
      </c>
      <c r="B14456" s="0" t="s">
        <v>98</v>
      </c>
      <c r="C14456" s="6" t="n">
        <f aca="false">SUM(Sens!F14455:K14455)</f>
        <v>530.292457222235</v>
      </c>
    </row>
    <row r="14457" customFormat="false" ht="17.15" hidden="false" customHeight="false" outlineLevel="0" collapsed="false">
      <c r="A14457" s="1" t="s">
        <v>1222</v>
      </c>
      <c r="B14457" s="0" t="s">
        <v>98</v>
      </c>
      <c r="C14457" s="6" t="n">
        <f aca="false">PL!K78*(1+g_tv)*(1-tax_f)</f>
        <v>284.979534119394</v>
      </c>
    </row>
    <row r="14458" customFormat="false" ht="17.15" hidden="false" customHeight="false" outlineLevel="0" collapsed="false">
      <c r="A14458" s="1" t="s">
        <v>1223</v>
      </c>
      <c r="B14458" s="0" t="s">
        <v>98</v>
      </c>
      <c r="C14458" s="6" t="n">
        <f aca="false">Sens!$C$14457*(1-g_tv/(((px*sh_val*(rf+beta*erp_lo)+(debt_val+fl_val)*kd*(1-tax_w))/(px*sh_val+debt_val+fl_val))+ronic_prem))</f>
        <v>197.408974886044</v>
      </c>
    </row>
    <row r="14459" customFormat="false" ht="17.15" hidden="false" customHeight="false" outlineLevel="0" collapsed="false">
      <c r="A14459" s="1" t="s">
        <v>1224</v>
      </c>
      <c r="B14459" s="0" t="s">
        <v>98</v>
      </c>
      <c r="C14459" s="6" t="n">
        <f aca="false">Sens!$C$14458/(((px*sh_val*(rf+beta*erp_lo)+(debt_val+fl_val)*kd*(1-tax_w))/(px*sh_val+debt_val+fl_val))-g_tv)</f>
        <v>2919.01864111164</v>
      </c>
    </row>
    <row r="14460" customFormat="false" ht="15" hidden="false" customHeight="false" outlineLevel="0" collapsed="false">
      <c r="A14460" s="1" t="s">
        <v>1225</v>
      </c>
      <c r="B14460" s="0" t="s">
        <v>98</v>
      </c>
      <c r="C14460" s="6" t="n">
        <f aca="false">Sens!$C$14459/(1+((px*sh_val*(rf+beta*erp_lo)+(debt_val+fl_val)*kd*(1-tax_w))/(px*sh_val+debt_val+fl_val)))^Sens!K14451</f>
        <v>1708.84036510671</v>
      </c>
    </row>
    <row r="14461" customFormat="false" ht="17.15" hidden="false" customHeight="false" outlineLevel="0" collapsed="false">
      <c r="A14461" s="0" t="s">
        <v>1226</v>
      </c>
      <c r="B14461" s="0" t="s">
        <v>98</v>
      </c>
      <c r="C14461" s="6" t="n">
        <f aca="false">Sens!$C$14456+Sens!$C$14460</f>
        <v>2239.13282232895</v>
      </c>
    </row>
    <row r="14462" customFormat="false" ht="15" hidden="false" customHeight="false" outlineLevel="0" collapsed="false">
      <c r="A14462" s="1" t="s">
        <v>1141</v>
      </c>
      <c r="B14462" s="0" t="s">
        <v>168</v>
      </c>
      <c r="C14462" s="7" t="n">
        <f aca="false">Sens!$C$14460/Sens!$C$14461</f>
        <v>0.763170611437569</v>
      </c>
    </row>
    <row r="14463" customFormat="false" ht="17.15" hidden="false" customHeight="false" outlineLevel="0" collapsed="false">
      <c r="A14463" s="1" t="s">
        <v>1227</v>
      </c>
      <c r="B14463" s="0" t="s">
        <v>98</v>
      </c>
      <c r="C14463" s="6" t="n">
        <f aca="false">Sens!$C$14461+cash_val-debt_val-fl_val+oai_v</f>
        <v>2354.98382232895</v>
      </c>
    </row>
    <row r="14464" customFormat="false" ht="17.15" hidden="false" customHeight="false" outlineLevel="0" collapsed="false">
      <c r="A14464" s="0" t="s">
        <v>1149</v>
      </c>
      <c r="B14464" s="0" t="s">
        <v>75</v>
      </c>
      <c r="C14464" s="5" t="n">
        <f aca="false">Sens!$C$14463/shd_val</f>
        <v>316.275023143829</v>
      </c>
    </row>
    <row r="14465" customFormat="false" ht="15" hidden="false" customHeight="false" outlineLevel="0" collapsed="false">
      <c r="A14465" s="1" t="s">
        <v>1228</v>
      </c>
      <c r="B14465" s="0" t="s">
        <v>75</v>
      </c>
      <c r="C14465" s="8" t="n">
        <f aca="false">div_rem27+CF!G63*roll_div_q/q_per_yr</f>
        <v>3.9795</v>
      </c>
    </row>
    <row r="14466" customFormat="false" ht="17.15" hidden="false" customHeight="false" outlineLevel="0" collapsed="false">
      <c r="A14466" s="0" t="s">
        <v>1229</v>
      </c>
      <c r="B14466" s="0" t="s">
        <v>75</v>
      </c>
      <c r="C14466" s="5" t="n">
        <f aca="false">Sens!$C$14464*(1+((px*sh_val*(rf+beta*erp_lo)+(debt_val+fl_val)*kd*(1-tax_w))/(px*sh_val+debt_val+fl_val)))^t_roll-Sens!$C$14465</f>
        <v>345.751839930003</v>
      </c>
    </row>
    <row r="14467" customFormat="false" ht="17.15" hidden="false" customHeight="false" outlineLevel="0" collapsed="false">
      <c r="A14467" s="1" t="s">
        <v>1230</v>
      </c>
      <c r="B14467" s="0" t="s">
        <v>168</v>
      </c>
      <c r="F14467" s="7" t="n">
        <f aca="false">CF!F49/(Seg!F56-Thesis!F77)</f>
        <v>0.0686195668908011</v>
      </c>
      <c r="G14467" s="7" t="n">
        <f aca="false">CF!G49/(Seg!G56-Thesis!G77)</f>
        <v>0.0658333569148391</v>
      </c>
      <c r="H14467" s="7" t="n">
        <f aca="false">CF!H49/(Seg!H56-Thesis!H77)</f>
        <v>0.0643895625218926</v>
      </c>
      <c r="I14467" s="7" t="n">
        <f aca="false">CF!I49/(Seg!I56-Thesis!I77)</f>
        <v>0.0641676618157989</v>
      </c>
      <c r="J14467" s="7" t="n">
        <f aca="false">CF!J49/(Seg!J56-Thesis!J77)</f>
        <v>0.0648858606572163</v>
      </c>
      <c r="K14467" s="7" t="n">
        <f aca="false">CF!K49/(Seg!K56-Thesis!K77)</f>
        <v>0.0661974425163768</v>
      </c>
    </row>
    <row r="14468" customFormat="false" ht="17.15" hidden="false" customHeight="false" outlineLevel="0" collapsed="false">
      <c r="A14468" s="0" t="s">
        <v>1231</v>
      </c>
      <c r="B14468" s="0" t="s">
        <v>98</v>
      </c>
      <c r="F14468" s="6" t="n">
        <f aca="false">Seg!F41*(al_m365+Sens!F14467+sbc_r)</f>
        <v>83.7205619248671</v>
      </c>
      <c r="G14468" s="6" t="n">
        <f aca="false">Seg!G41*(al_m365+Sens!G14467+sbc_r)</f>
        <v>96.1301303332381</v>
      </c>
      <c r="H14468" s="6" t="n">
        <f aca="false">Seg!H41*(al_m365+Sens!H14467+sbc_r)</f>
        <v>108.70354073822</v>
      </c>
      <c r="I14468" s="6" t="n">
        <f aca="false">Seg!I41*(al_m365+Sens!I14467+sbc_r)</f>
        <v>120.260101315626</v>
      </c>
      <c r="J14468" s="6" t="n">
        <f aca="false">Seg!J41*(al_m365+Sens!J14467+sbc_r)</f>
        <v>130.611904548619</v>
      </c>
      <c r="K14468" s="6" t="n">
        <f aca="false">Seg!K41*(al_m365+Sens!K14467+sbc_r)</f>
        <v>140.575094974638</v>
      </c>
      <c r="L14468" s="12" t="s">
        <v>1232</v>
      </c>
    </row>
    <row r="14469" customFormat="false" ht="17.15" hidden="false" customHeight="false" outlineLevel="0" collapsed="false">
      <c r="A14469" s="0" t="s">
        <v>1233</v>
      </c>
      <c r="B14469" s="0" t="s">
        <v>98</v>
      </c>
      <c r="F14469" s="6" t="n">
        <f aca="false">Seg!F42*(al_lic+Sens!F14467+sbc_r)</f>
        <v>32.8577657183496</v>
      </c>
      <c r="G14469" s="6" t="n">
        <f aca="false">Seg!G42*(al_lic+Sens!G14467+sbc_r)</f>
        <v>34.1376266324889</v>
      </c>
      <c r="H14469" s="6" t="n">
        <f aca="false">Seg!H42*(al_lic+Sens!H14467+sbc_r)</f>
        <v>35.3325744664128</v>
      </c>
      <c r="I14469" s="6" t="n">
        <f aca="false">Seg!I42*(al_lic+Sens!I14467+sbc_r)</f>
        <v>36.4244749008727</v>
      </c>
      <c r="J14469" s="6" t="n">
        <f aca="false">Seg!J42*(al_lic+Sens!J14467+sbc_r)</f>
        <v>37.3879406068527</v>
      </c>
      <c r="K14469" s="6" t="n">
        <f aca="false">Seg!K42*(al_lic+Sens!K14467+sbc_r)</f>
        <v>38.1943876078259</v>
      </c>
    </row>
    <row r="14470" customFormat="false" ht="17.15" hidden="false" customHeight="false" outlineLevel="0" collapsed="false">
      <c r="A14470" s="0" t="s">
        <v>1234</v>
      </c>
      <c r="B14470" s="0" t="s">
        <v>98</v>
      </c>
      <c r="F14470" s="6" t="n">
        <f aca="false">Seg!F44*(al_ind+Sens!F14467+sbc_r)</f>
        <v>9.06041701092022</v>
      </c>
      <c r="G14470" s="6" t="n">
        <f aca="false">Seg!G44*(al_ind+Sens!G14467+sbc_r)</f>
        <v>9.83619082712885</v>
      </c>
      <c r="H14470" s="6" t="n">
        <f aca="false">Seg!H44*(al_ind+Sens!H14467+sbc_r)</f>
        <v>10.6570160105312</v>
      </c>
      <c r="I14470" s="6" t="n">
        <f aca="false">Seg!I44*(al_ind+Sens!I14467+sbc_r)</f>
        <v>11.5198571637125</v>
      </c>
      <c r="J14470" s="6" t="n">
        <f aca="false">Seg!J44*(al_ind+Sens!J14467+sbc_r)</f>
        <v>12.4150086539206</v>
      </c>
      <c r="K14470" s="6" t="n">
        <f aca="false">Seg!K44*(al_ind+Sens!K14467+sbc_r)</f>
        <v>13.3273714589988</v>
      </c>
    </row>
    <row r="14471" customFormat="false" ht="17.15" hidden="false" customHeight="false" outlineLevel="0" collapsed="false">
      <c r="A14471" s="0" t="s">
        <v>1235</v>
      </c>
      <c r="B14471" s="0" t="s">
        <v>98</v>
      </c>
      <c r="F14471" s="6" t="n">
        <f aca="false">Seg!F46*(al_fro+Sens!F14467+sbc_r)</f>
        <v>3.55402950182022</v>
      </c>
      <c r="G14471" s="6" t="n">
        <f aca="false">Seg!G46*(al_fro+Sens!G14467+sbc_r)</f>
        <v>3.76361488926481</v>
      </c>
      <c r="H14471" s="6" t="n">
        <f aca="false">Seg!H46*(al_fro+Sens!H14467+sbc_r)</f>
        <v>4.00220968879544</v>
      </c>
      <c r="I14471" s="6" t="n">
        <f aca="false">Seg!I46*(al_fro+Sens!I14467+sbc_r)</f>
        <v>4.2725765173852</v>
      </c>
      <c r="J14471" s="6" t="n">
        <f aca="false">Seg!J46*(al_fro+Sens!J14467+sbc_r)</f>
        <v>4.57586224390293</v>
      </c>
      <c r="K14471" s="6" t="n">
        <f aca="false">Seg!K46*(al_fro+Sens!K14467+sbc_r)</f>
        <v>4.91213639633217</v>
      </c>
    </row>
    <row r="14472" customFormat="false" ht="17.15" hidden="false" customHeight="false" outlineLevel="0" collapsed="false">
      <c r="A14472" s="0" t="s">
        <v>1236</v>
      </c>
      <c r="B14472" s="0" t="s">
        <v>98</v>
      </c>
      <c r="F14472" s="6" t="n">
        <f aca="false">Seg!F49*(al_srch+Sens!F14467+sbc_r)</f>
        <v>11.1890902994147</v>
      </c>
      <c r="G14472" s="6" t="n">
        <f aca="false">Seg!G49*(al_srch+Sens!G14467+sbc_r)</f>
        <v>12.261738891803</v>
      </c>
      <c r="H14472" s="6" t="n">
        <f aca="false">Seg!H49*(al_srch+Sens!H14467+sbc_r)</f>
        <v>13.3794863429193</v>
      </c>
      <c r="I14472" s="6" t="n">
        <f aca="false">Seg!I49*(al_srch+Sens!I14467+sbc_r)</f>
        <v>14.5317114787784</v>
      </c>
      <c r="J14472" s="6" t="n">
        <f aca="false">Seg!J49*(al_srch+Sens!J14467+sbc_r)</f>
        <v>15.6984365817724</v>
      </c>
      <c r="K14472" s="6" t="n">
        <f aca="false">Seg!K49*(al_srch+Sens!K14467+sbc_r)</f>
        <v>16.8520942258664</v>
      </c>
    </row>
    <row r="14473" customFormat="false" ht="17.15" hidden="false" customHeight="false" outlineLevel="0" collapsed="false">
      <c r="A14473" s="0" t="s">
        <v>1237</v>
      </c>
      <c r="B14473" s="0" t="s">
        <v>98</v>
      </c>
      <c r="F14473" s="6" t="n">
        <f aca="false">Thesis!F83-Thesis!F84+Thesis!F99</f>
        <v>42.5431090240393</v>
      </c>
      <c r="G14473" s="6" t="n">
        <f aca="false">Thesis!G83-Thesis!G84+Thesis!G99</f>
        <v>81.4922561130847</v>
      </c>
      <c r="H14473" s="6" t="n">
        <f aca="false">Thesis!H83-Thesis!H84+Thesis!H99</f>
        <v>123.278266211349</v>
      </c>
      <c r="I14473" s="6" t="n">
        <f aca="false">Thesis!I83-Thesis!I84+Thesis!I99</f>
        <v>160.60594185192</v>
      </c>
      <c r="J14473" s="6" t="n">
        <f aca="false">Thesis!J83-Thesis!J84+Thesis!J99</f>
        <v>186.818741832633</v>
      </c>
      <c r="K14473" s="6" t="n">
        <f aca="false">Thesis!K83-Thesis!K84+Thesis!K99</f>
        <v>202.776422159652</v>
      </c>
    </row>
    <row r="14474" customFormat="false" ht="17.15" hidden="false" customHeight="false" outlineLevel="0" collapsed="false">
      <c r="A14474" s="0" t="s">
        <v>1238</v>
      </c>
      <c r="B14474" s="0" t="s">
        <v>98</v>
      </c>
      <c r="F14474" s="6" t="n">
        <f aca="false">PL!F71+Thesis!F99+Thesis!F95+Sens!F14467*(Seg!F48-Thesis!F77)+sbc_r*Seg!F48</f>
        <v>238.090727427296</v>
      </c>
      <c r="G14474" s="6" t="n">
        <f aca="false">PL!G71+Thesis!G99+Thesis!G95+Sens!G14467*(Seg!G48-Thesis!G77)+sbc_r*Seg!G48</f>
        <v>299.90836088563</v>
      </c>
      <c r="H14474" s="6" t="n">
        <f aca="false">PL!H71+Thesis!H99+Thesis!H95+Sens!H14467*(Seg!H48-Thesis!H77)+sbc_r*Seg!H48</f>
        <v>369.457709442386</v>
      </c>
      <c r="I14474" s="6" t="n">
        <f aca="false">PL!I71+Thesis!I99+Thesis!I95+Sens!I14467*(Seg!I48-Thesis!I77)+sbc_r*Seg!I48</f>
        <v>433.16585128823</v>
      </c>
      <c r="J14474" s="6" t="n">
        <f aca="false">PL!J71+Thesis!J99+Thesis!J95+Sens!J14467*(Seg!J48-Thesis!J77)+sbc_r*Seg!J48</f>
        <v>483.301303131191</v>
      </c>
      <c r="K14474" s="6" t="n">
        <f aca="false">PL!K71+Thesis!K99+Thesis!K95+Sens!K14467*(Seg!K48-Thesis!K77)+sbc_r*Seg!K48</f>
        <v>520.789002205336</v>
      </c>
    </row>
    <row r="14475" customFormat="false" ht="17.15" hidden="false" customHeight="false" outlineLevel="0" collapsed="false">
      <c r="A14475" s="0" t="s">
        <v>1239</v>
      </c>
      <c r="B14475" s="0" t="s">
        <v>98</v>
      </c>
      <c r="F14475" s="6" t="n">
        <f aca="false">Sens!F14474-Sens!F14468-Sens!F14469-Sens!F14470-Sens!F14471-Sens!F14473</f>
        <v>66.3548442472996</v>
      </c>
      <c r="G14475" s="6" t="n">
        <f aca="false">Sens!G14474-Sens!G14468-Sens!G14469-Sens!G14470-Sens!G14471-Sens!G14473</f>
        <v>74.548542090425</v>
      </c>
      <c r="H14475" s="6" t="n">
        <f aca="false">Sens!H14474-Sens!H14468-Sens!H14469-Sens!H14470-Sens!H14471-Sens!H14473</f>
        <v>87.4841023270775</v>
      </c>
      <c r="I14475" s="6" t="n">
        <f aca="false">Sens!I14474-Sens!I14468-Sens!I14469-Sens!I14470-Sens!I14471-Sens!I14473</f>
        <v>100.082899538713</v>
      </c>
      <c r="J14475" s="6" t="n">
        <f aca="false">Sens!J14474-Sens!J14468-Sens!J14469-Sens!J14470-Sens!J14471-Sens!J14473</f>
        <v>111.491845245262</v>
      </c>
      <c r="K14475" s="6" t="n">
        <f aca="false">Sens!K14474-Sens!K14468-Sens!K14469-Sens!K14470-Sens!K14471-Sens!K14473</f>
        <v>121.003589607889</v>
      </c>
    </row>
    <row r="14476" customFormat="false" ht="17.15" hidden="false" customHeight="false" outlineLevel="0" collapsed="false">
      <c r="A14476" s="0" t="s">
        <v>1240</v>
      </c>
      <c r="B14476" s="0" t="s">
        <v>98</v>
      </c>
      <c r="F14476" s="6" t="n">
        <f aca="false">PL!F73+Sens!F14467*Seg!F55+sbc_r*Seg!F55</f>
        <v>26.6336365855879</v>
      </c>
      <c r="G14476" s="6" t="n">
        <f aca="false">PL!G73+Sens!G14467*Seg!G55+sbc_r*Seg!G55</f>
        <v>26.4720859498625</v>
      </c>
      <c r="H14476" s="6" t="n">
        <f aca="false">PL!H73+Sens!H14467*Seg!H55+sbc_r*Seg!H55</f>
        <v>27.346793021284</v>
      </c>
      <c r="I14476" s="6" t="n">
        <f aca="false">PL!I73+Sens!I14467*Seg!I55+sbc_r*Seg!I55</f>
        <v>28.4574657863154</v>
      </c>
      <c r="J14476" s="6" t="n">
        <f aca="false">PL!J73+Sens!J14467*Seg!J55+sbc_r*Seg!J55</f>
        <v>29.7689890546037</v>
      </c>
      <c r="K14476" s="6" t="n">
        <f aca="false">PL!K73+Sens!K14467*Seg!K55+sbc_r*Seg!K55</f>
        <v>31.2443947307494</v>
      </c>
    </row>
    <row r="14477" customFormat="false" ht="17.15" hidden="false" customHeight="false" outlineLevel="0" collapsed="false">
      <c r="A14477" s="0" t="s">
        <v>1241</v>
      </c>
      <c r="B14477" s="0" t="s">
        <v>98</v>
      </c>
      <c r="F14477" s="6" t="n">
        <f aca="false">(Sens!F14476-Sens!F14472)*Seg!F51/(Seg!F51+Seg!F53)</f>
        <v>8.72285608232241</v>
      </c>
      <c r="G14477" s="6" t="n">
        <f aca="false">(Sens!G14476-Sens!G14472)*Seg!G51/(Seg!G51+Seg!G53)</f>
        <v>7.88786455444355</v>
      </c>
      <c r="H14477" s="6" t="n">
        <f aca="false">(Sens!H14476-Sens!H14472)*Seg!H51/(Seg!H51+Seg!H53)</f>
        <v>7.65195986819674</v>
      </c>
      <c r="I14477" s="6" t="n">
        <f aca="false">(Sens!I14476-Sens!I14472)*Seg!I51/(Seg!I51+Seg!I53)</f>
        <v>7.56260440676676</v>
      </c>
      <c r="J14477" s="6" t="n">
        <f aca="false">(Sens!J14476-Sens!J14472)*Seg!J51/(Seg!J51+Seg!J53)</f>
        <v>7.60790100885945</v>
      </c>
      <c r="K14477" s="6" t="n">
        <f aca="false">(Sens!K14476-Sens!K14472)*Seg!K51/(Seg!K51+Seg!K53)</f>
        <v>7.78186910160995</v>
      </c>
    </row>
    <row r="14478" customFormat="false" ht="17.15" hidden="false" customHeight="false" outlineLevel="0" collapsed="false">
      <c r="A14478" s="0" t="s">
        <v>1242</v>
      </c>
      <c r="B14478" s="0" t="s">
        <v>98</v>
      </c>
      <c r="F14478" s="6" t="n">
        <f aca="false">Sens!F14476-Sens!F14472-Sens!F14477</f>
        <v>6.72169020385088</v>
      </c>
      <c r="G14478" s="6" t="n">
        <f aca="false">Sens!G14476-Sens!G14472-Sens!G14477</f>
        <v>6.322482503616</v>
      </c>
      <c r="H14478" s="6" t="n">
        <f aca="false">Sens!H14476-Sens!H14472-Sens!H14477</f>
        <v>6.315346810168</v>
      </c>
      <c r="I14478" s="6" t="n">
        <f aca="false">Sens!I14476-Sens!I14472-Sens!I14477</f>
        <v>6.36314990077033</v>
      </c>
      <c r="J14478" s="6" t="n">
        <f aca="false">Sens!J14476-Sens!J14472-Sens!J14477</f>
        <v>6.46265146397189</v>
      </c>
      <c r="K14478" s="6" t="n">
        <f aca="false">Sens!K14476-Sens!K14472-Sens!K14477</f>
        <v>6.61043140327304</v>
      </c>
    </row>
    <row r="14479" customFormat="false" ht="17.15" hidden="false" customHeight="false" outlineLevel="0" collapsed="false">
      <c r="A14479" s="0" t="s">
        <v>1243</v>
      </c>
      <c r="B14479" s="0" t="s">
        <v>98</v>
      </c>
      <c r="F14479" s="6" t="n">
        <f aca="false">Sens!F14473-tax_f*(Sens!F14473-Thesis!F95)-Thesis!F92</f>
        <v>-127.503553927218</v>
      </c>
      <c r="G14479" s="6" t="n">
        <f aca="false">Sens!G14473-tax_f*(Sens!G14473-Thesis!G95)-Thesis!G92</f>
        <v>-114.603772628121</v>
      </c>
      <c r="H14479" s="6" t="n">
        <f aca="false">Sens!H14473-tax_f*(Sens!H14473-Thesis!H95)-Thesis!H92</f>
        <v>-80.3633729631438</v>
      </c>
      <c r="I14479" s="6" t="n">
        <f aca="false">Sens!I14473-tax_f*(Sens!I14473-Thesis!I95)-Thesis!I92</f>
        <v>-17.2838782011649</v>
      </c>
      <c r="J14479" s="6" t="n">
        <f aca="false">Sens!J14473-tax_f*(Sens!J14473-Thesis!J95)-Thesis!J92</f>
        <v>46.9281968800854</v>
      </c>
      <c r="K14479" s="6" t="n">
        <f aca="false">Sens!K14473-tax_f*(Sens!K14473-Thesis!K95)-Thesis!K92</f>
        <v>71.8608185731755</v>
      </c>
    </row>
    <row r="14480" customFormat="false" ht="17.15" hidden="false" customHeight="false" outlineLevel="0" collapsed="false">
      <c r="A14480" s="0" t="s">
        <v>1244</v>
      </c>
      <c r="B14480" s="0" t="s">
        <v>98</v>
      </c>
      <c r="G14480" s="6" t="n">
        <f aca="false">Sens!G14479/(1+((px*sh_val*(rf+beta*erp_lo)+(debt_val+fl_val)*kd*(1-tax_w))/(px*sh_val+debt_val+fl_val)))^(Sens!G14450-Sens!F14451)</f>
        <v>-109.388387026253</v>
      </c>
      <c r="H14480" s="6" t="n">
        <f aca="false">Sens!H14479/(1+((px*sh_val*(rf+beta*erp_lo)+(debt_val+fl_val)*kd*(1-tax_w))/(px*sh_val+debt_val+fl_val)))^(Sens!H14450-Sens!F14451)</f>
        <v>-69.8835677736092</v>
      </c>
      <c r="I14480" s="6" t="n">
        <f aca="false">Sens!I14479/(1+((px*sh_val*(rf+beta*erp_lo)+(debt_val+fl_val)*kd*(1-tax_w))/(px*sh_val+debt_val+fl_val)))^(Sens!I14450-Sens!F14451)</f>
        <v>-13.6931295848772</v>
      </c>
      <c r="J14480" s="6" t="n">
        <f aca="false">Sens!J14479/(1+((px*sh_val*(rf+beta*erp_lo)+(debt_val+fl_val)*kd*(1-tax_w))/(px*sh_val+debt_val+fl_val)))^(Sens!J14450-Sens!F14451)</f>
        <v>33.8719341955955</v>
      </c>
      <c r="K14480" s="6" t="n">
        <f aca="false">Sens!K14479/(1+((px*sh_val*(rf+beta*erp_lo)+(debt_val+fl_val)*kd*(1-tax_w))/(px*sh_val+debt_val+fl_val)))^(Sens!K14450-Sens!F14451)</f>
        <v>47.2544701213267</v>
      </c>
      <c r="L14480" s="1" t="s">
        <v>1245</v>
      </c>
    </row>
    <row r="14481" customFormat="false" ht="17.15" hidden="false" customHeight="false" outlineLevel="0" collapsed="false">
      <c r="A14481" s="0" t="s">
        <v>1246</v>
      </c>
      <c r="B14481" s="0" t="s">
        <v>98</v>
      </c>
      <c r="C14481" s="6" t="n">
        <f aca="false">(Sens!K14473-Thesis!K95)*(1-tax_f)*(1+g_tv)*(1-g_tv/(((px*sh_val*(rf+beta*erp_lo)+(debt_val+fl_val)*kd*(1-tax_w))/(px*sh_val+debt_val+fl_val))+ronic_prem))/(((px*sh_val*(rf+beta*erp_lo)+(debt_val+fl_val)*kd*(1-tax_w))/(px*sh_val+debt_val+fl_val))-g_tv)/(1+((px*sh_val*(rf+beta*erp_lo)+(debt_val+fl_val)*kd*(1-tax_w))/(px*sh_val+debt_val+fl_val)))^(Sens!K14451-Sens!F14451)</f>
        <v>316.600290603489</v>
      </c>
    </row>
    <row r="14482" customFormat="false" ht="17.15" hidden="false" customHeight="false" outlineLevel="0" collapsed="false">
      <c r="A14482" s="1" t="s">
        <v>1247</v>
      </c>
      <c r="B14482" s="0" t="s">
        <v>98</v>
      </c>
      <c r="C14482" s="6" t="n">
        <f aca="false">(SUM(Sens!G14480:K14480)+Sens!$C$14481)*(1+((px*sh_val*(rf+beta*erp_lo)+(debt_val+fl_val)*kd*(1-tax_w))/(px*sh_val+debt_val+fl_val)))^(t_roll-Sens!F14451)</f>
        <v>211.18339931151</v>
      </c>
      <c r="L14482" s="12" t="s">
        <v>1248</v>
      </c>
    </row>
    <row r="14483" customFormat="false" ht="17.15" hidden="false" customHeight="false" outlineLevel="0" collapsed="false">
      <c r="A14483" s="1" t="s">
        <v>1249</v>
      </c>
      <c r="B14483" s="0" t="s">
        <v>98</v>
      </c>
      <c r="C14483" s="6" t="n">
        <f aca="false">(w_ntm28*Thesis!G83+(1-w_ntm28)*Thesis!H83)*m_ai</f>
        <v>463.789109510335</v>
      </c>
    </row>
    <row r="14484" customFormat="false" ht="17.15" hidden="false" customHeight="false" outlineLevel="0" collapsed="false">
      <c r="A14484" s="1" t="s">
        <v>1250</v>
      </c>
      <c r="B14484" s="0" t="s">
        <v>98</v>
      </c>
      <c r="C14484" s="6" t="n">
        <f aca="false">(w_ntm28*Sens!G14475+(1-w_ntm28)*Sens!H14475)*m_cloud</f>
        <v>1089.03436702245</v>
      </c>
    </row>
    <row r="14485" customFormat="false" ht="17.15" hidden="false" customHeight="false" outlineLevel="0" collapsed="false">
      <c r="A14485" s="1" t="s">
        <v>1251</v>
      </c>
      <c r="B14485" s="0" t="s">
        <v>98</v>
      </c>
      <c r="C14485" s="6" t="n">
        <f aca="false">(w_ntm28*Sens!G14468+(1-w_ntm28)*Sens!H14468)*m_sw</f>
        <v>1082.84962646159</v>
      </c>
    </row>
    <row r="14486" customFormat="false" ht="17.15" hidden="false" customHeight="false" outlineLevel="0" collapsed="false">
      <c r="A14486" s="1" t="s">
        <v>1252</v>
      </c>
      <c r="B14486" s="0" t="s">
        <v>98</v>
      </c>
      <c r="C14486" s="6" t="n">
        <f aca="false">(w_ntm28*Sens!G14469+(1-w_ntm28)*Sens!H14469)*m_sw</f>
        <v>372.929250898731</v>
      </c>
    </row>
    <row r="14487" customFormat="false" ht="17.15" hidden="false" customHeight="false" outlineLevel="0" collapsed="false">
      <c r="A14487" s="1" t="s">
        <v>1253</v>
      </c>
      <c r="B14487" s="0" t="s">
        <v>98</v>
      </c>
      <c r="C14487" s="6" t="n">
        <f aca="false">(w_ntm28*Sens!G14470+(1-w_ntm28)*Sens!H14470)*m_sw</f>
        <v>109.1453525431</v>
      </c>
    </row>
    <row r="14488" customFormat="false" ht="17.15" hidden="false" customHeight="false" outlineLevel="0" collapsed="false">
      <c r="A14488" s="1" t="s">
        <v>1254</v>
      </c>
      <c r="B14488" s="0" t="s">
        <v>98</v>
      </c>
      <c r="C14488" s="6" t="n">
        <f aca="false">(w_ntm28*Sens!G14471+(1-w_ntm28)*Sens!H14471)*m_sw</f>
        <v>41.4942157634893</v>
      </c>
    </row>
    <row r="14489" customFormat="false" ht="17.15" hidden="false" customHeight="false" outlineLevel="0" collapsed="false">
      <c r="A14489" s="1" t="s">
        <v>1255</v>
      </c>
      <c r="B14489" s="0" t="s">
        <v>98</v>
      </c>
      <c r="C14489" s="6" t="n">
        <f aca="false">(w_ntm28*Sens!G14472+(1-w_ntm28)*Sens!H14472)*m_ads</f>
        <v>115.052171478463</v>
      </c>
    </row>
    <row r="14490" customFormat="false" ht="17.15" hidden="false" customHeight="false" outlineLevel="0" collapsed="false">
      <c r="A14490" s="1" t="s">
        <v>1256</v>
      </c>
      <c r="B14490" s="0" t="s">
        <v>98</v>
      </c>
      <c r="C14490" s="6" t="n">
        <f aca="false">(w_ntm28*Sens!G14477+(1-w_ntm28)*Sens!H14477)*m_game</f>
        <v>98.6441755076202</v>
      </c>
    </row>
    <row r="14491" customFormat="false" ht="17.15" hidden="false" customHeight="false" outlineLevel="0" collapsed="false">
      <c r="A14491" s="1" t="s">
        <v>1257</v>
      </c>
      <c r="B14491" s="0" t="s">
        <v>98</v>
      </c>
      <c r="C14491" s="6" t="n">
        <f aca="false">(w_ntm28*Sens!G14478+(1-w_ntm28)*Sens!H14478)*m_pc</f>
        <v>91.4523754763561</v>
      </c>
    </row>
    <row r="14492" customFormat="false" ht="17.15" hidden="false" customHeight="false" outlineLevel="0" collapsed="false">
      <c r="A14492" s="1" t="s">
        <v>1258</v>
      </c>
      <c r="B14492" s="0" t="s">
        <v>98</v>
      </c>
      <c r="C14492" s="6" t="n">
        <f aca="false">Sens!$C$14482+Sens!$C$14484+Sens!$C$14485+Sens!$C$14486+Sens!$C$14487+Sens!$C$14488+Sens!$C$14489+Sens!$C$14490+Sens!$C$14491</f>
        <v>3211.78493446331</v>
      </c>
    </row>
    <row r="14493" customFormat="false" ht="17.15" hidden="false" customHeight="false" outlineLevel="0" collapsed="false">
      <c r="A14493" s="1" t="s">
        <v>1259</v>
      </c>
      <c r="B14493" s="0" t="s">
        <v>98</v>
      </c>
      <c r="C14493" s="6" t="n">
        <f aca="false">(Sens!G14454-Sens!G14479)*t_stub</f>
        <v>47.8736427515113</v>
      </c>
      <c r="L14493" s="1" t="s">
        <v>1260</v>
      </c>
    </row>
    <row r="14494" customFormat="false" ht="17.15" hidden="false" customHeight="false" outlineLevel="0" collapsed="false">
      <c r="A14494" s="1" t="s">
        <v>1169</v>
      </c>
      <c r="B14494" s="0" t="s">
        <v>98</v>
      </c>
      <c r="C14494" s="6" t="n">
        <f aca="false">CF!F71+oai_v-CF!F60+Sens!$C$14493</f>
        <v>162.101912751511</v>
      </c>
      <c r="L14494" s="1" t="s">
        <v>1261</v>
      </c>
    </row>
    <row r="14495" customFormat="false" ht="17.15" hidden="false" customHeight="false" outlineLevel="0" collapsed="false">
      <c r="A14495" s="1" t="s">
        <v>1262</v>
      </c>
      <c r="B14495" s="0" t="s">
        <v>75</v>
      </c>
      <c r="C14495" s="5" t="n">
        <f aca="false">(Sens!$C$14492+Sens!$C$14494)/(CF!F73+dil_gap)-CF!G63*roll_div_q/q_per_yr</f>
        <v>449.081599438725</v>
      </c>
      <c r="L14495" s="1" t="s">
        <v>1263</v>
      </c>
    </row>
    <row r="14496" customFormat="false" ht="17.15" hidden="false" customHeight="false" outlineLevel="0" collapsed="false">
      <c r="A14496" s="1" t="s">
        <v>1264</v>
      </c>
      <c r="B14496" s="0" t="s">
        <v>75</v>
      </c>
      <c r="C14496" s="5" t="n">
        <f aca="false">w_dcf*Sens!$C$14466+(1-w_dcf)*Sens!$C$14495</f>
        <v>397.416719684364</v>
      </c>
    </row>
    <row r="14497" customFormat="false" ht="17.15" hidden="false" customHeight="false" outlineLevel="0" collapsed="false">
      <c r="A14497" s="3" t="s">
        <v>1839</v>
      </c>
    </row>
    <row r="14498" customFormat="false" ht="15" hidden="false" customHeight="false" outlineLevel="0" collapsed="false">
      <c r="A14498" s="4" t="s">
        <v>43</v>
      </c>
      <c r="B14498" s="4" t="s">
        <v>65</v>
      </c>
      <c r="C14498" s="23" t="s">
        <v>938</v>
      </c>
      <c r="D14498" s="23" t="s">
        <v>939</v>
      </c>
      <c r="E14498" s="23" t="s">
        <v>940</v>
      </c>
      <c r="F14498" s="23" t="s">
        <v>941</v>
      </c>
      <c r="G14498" s="23" t="s">
        <v>942</v>
      </c>
      <c r="H14498" s="23" t="s">
        <v>943</v>
      </c>
      <c r="I14498" s="23" t="s">
        <v>944</v>
      </c>
      <c r="J14498" s="23" t="s">
        <v>945</v>
      </c>
      <c r="K14498" s="23" t="s">
        <v>946</v>
      </c>
      <c r="L14498" s="4" t="s">
        <v>47</v>
      </c>
    </row>
    <row r="14499" customFormat="false" ht="17.15" hidden="false" customHeight="false" outlineLevel="0" collapsed="false">
      <c r="A14499" s="1" t="s">
        <v>1212</v>
      </c>
      <c r="B14499" s="1" t="s">
        <v>279</v>
      </c>
      <c r="F14499" s="8" t="n">
        <f aca="false">(1-v_off)*mid_yr</f>
        <v>0.373972602739726</v>
      </c>
      <c r="G14499" s="8" t="n">
        <f aca="false">Thesis!G110-base_fy-mid_yr-v_off</f>
        <v>1.24794520547945</v>
      </c>
      <c r="H14499" s="8" t="n">
        <f aca="false">Thesis!H110-base_fy-mid_yr-v_off</f>
        <v>2.24794520547945</v>
      </c>
      <c r="I14499" s="8" t="n">
        <f aca="false">Thesis!I110-base_fy-mid_yr-v_off</f>
        <v>3.24794520547945</v>
      </c>
      <c r="J14499" s="8" t="n">
        <f aca="false">Thesis!J110-base_fy-mid_yr-v_off</f>
        <v>4.24794520547945</v>
      </c>
      <c r="K14499" s="8" t="n">
        <f aca="false">Thesis!K110-base_fy-mid_yr-v_off</f>
        <v>5.24794520547945</v>
      </c>
      <c r="L14499" s="12" t="s">
        <v>1213</v>
      </c>
    </row>
    <row r="14500" customFormat="false" ht="15" hidden="false" customHeight="false" outlineLevel="0" collapsed="false">
      <c r="A14500" s="1" t="s">
        <v>1214</v>
      </c>
      <c r="B14500" s="1" t="s">
        <v>279</v>
      </c>
      <c r="F14500" s="8" t="n">
        <f aca="false">Thesis!F110-base_fy-v_off</f>
        <v>0.747945205479452</v>
      </c>
      <c r="G14500" s="8" t="n">
        <f aca="false">Thesis!G110-base_fy-v_off</f>
        <v>1.74794520547945</v>
      </c>
      <c r="H14500" s="8" t="n">
        <f aca="false">Thesis!H110-base_fy-v_off</f>
        <v>2.74794520547945</v>
      </c>
      <c r="I14500" s="8" t="n">
        <f aca="false">Thesis!I110-base_fy-v_off</f>
        <v>3.74794520547945</v>
      </c>
      <c r="J14500" s="8" t="n">
        <f aca="false">Thesis!J110-base_fy-v_off</f>
        <v>4.74794520547945</v>
      </c>
      <c r="K14500" s="8" t="n">
        <f aca="false">Thesis!K110-base_fy-v_off</f>
        <v>5.74794520547945</v>
      </c>
    </row>
    <row r="14501" customFormat="false" ht="15" hidden="false" customHeight="false" outlineLevel="0" collapsed="false">
      <c r="A14501" s="1" t="s">
        <v>1215</v>
      </c>
      <c r="B14501" s="0" t="s">
        <v>229</v>
      </c>
      <c r="F14501" s="15" t="n">
        <f aca="false">1/(1+((px*sh_val*(rf+beta*erp_lo)+(debt_val+fl_val)*kd*(1-tax_w))/(px*sh_val+debt_val+fl_val)))^Sens!F14499</f>
        <v>0.965763509382425</v>
      </c>
      <c r="G14501" s="15" t="n">
        <f aca="false">1/(1+((px*sh_val*(rf+beta*erp_lo)+(debt_val+fl_val)*kd*(1-tax_w))/(px*sh_val+debt_val+fl_val)))^Sens!G14499</f>
        <v>0.890253906323253</v>
      </c>
      <c r="H14501" s="15" t="n">
        <f aca="false">1/(1+((px*sh_val*(rf+beta*erp_lo)+(debt_val+fl_val)*kd*(1-tax_w))/(px*sh_val+debt_val+fl_val)))^Sens!H14499</f>
        <v>0.811070295847671</v>
      </c>
      <c r="I14501" s="15" t="n">
        <f aca="false">1/(1+((px*sh_val*(rf+beta*erp_lo)+(debt_val+fl_val)*kd*(1-tax_w))/(px*sh_val+debt_val+fl_val)))^Sens!I14499</f>
        <v>0.738929669540329</v>
      </c>
      <c r="J14501" s="15" t="n">
        <f aca="false">1/(1+((px*sh_val*(rf+beta*erp_lo)+(debt_val+fl_val)*kd*(1-tax_w))/(px*sh_val+debt_val+fl_val)))^Sens!J14499</f>
        <v>0.6732055893581</v>
      </c>
      <c r="K14501" s="15" t="n">
        <f aca="false">1/(1+((px*sh_val*(rf+beta*erp_lo)+(debt_val+fl_val)*kd*(1-tax_w))/(px*sh_val+debt_val+fl_val)))^Sens!K14499</f>
        <v>0.613327335773261</v>
      </c>
    </row>
    <row r="14502" customFormat="false" ht="17.15" hidden="false" customHeight="false" outlineLevel="0" collapsed="false">
      <c r="A14502" s="1" t="s">
        <v>1216</v>
      </c>
      <c r="B14502" s="0" t="s">
        <v>98</v>
      </c>
      <c r="F14502" s="6" t="n">
        <f aca="false">Q!$I$35-Q!$I$39-Q!$I$43</f>
        <v>9.666</v>
      </c>
      <c r="L14502" s="12" t="s">
        <v>1217</v>
      </c>
    </row>
    <row r="14503" customFormat="false" ht="17.15" hidden="false" customHeight="false" outlineLevel="0" collapsed="false">
      <c r="A14503" s="1" t="s">
        <v>1218</v>
      </c>
      <c r="B14503" s="0" t="s">
        <v>98</v>
      </c>
      <c r="F14503" s="6" t="n">
        <f aca="false">CF!F87-CF!F84-CF!F91+Thesis!F151*(1-tax_f)*(1-v_off)-Sens!F14502</f>
        <v>-6.10282680452259</v>
      </c>
      <c r="G14503" s="6" t="n">
        <f aca="false">CF!G87-CF!G84-CF!G91+Thesis!G151*(1-tax_f)</f>
        <v>19.0084129023516</v>
      </c>
      <c r="H14503" s="6" t="n">
        <f aca="false">CF!H87-CF!H84-CF!H91+Thesis!H151*(1-tax_f)</f>
        <v>55.9229468383331</v>
      </c>
      <c r="I14503" s="6" t="n">
        <f aca="false">CF!I87-CF!I84-CF!I91+Thesis!I151*(1-tax_f)</f>
        <v>127.901908576191</v>
      </c>
      <c r="J14503" s="6" t="n">
        <f aca="false">CF!J87-CF!J84-CF!J91+Thesis!J151*(1-tax_f)</f>
        <v>201.958443859638</v>
      </c>
      <c r="K14503" s="6" t="n">
        <f aca="false">CF!K87-CF!K84-CF!K91+Thesis!K151*(1-tax_f)</f>
        <v>237.542519059905</v>
      </c>
      <c r="L14503" s="1" t="s">
        <v>1219</v>
      </c>
    </row>
    <row r="14504" customFormat="false" ht="15" hidden="false" customHeight="false" outlineLevel="0" collapsed="false">
      <c r="A14504" s="1" t="s">
        <v>1220</v>
      </c>
      <c r="B14504" s="0" t="s">
        <v>98</v>
      </c>
      <c r="F14504" s="6" t="n">
        <f aca="false">Sens!F14503*Sens!F14501</f>
        <v>-5.89388743188886</v>
      </c>
      <c r="G14504" s="6" t="n">
        <f aca="false">Sens!G14503*Sens!G14501</f>
        <v>16.9223138393239</v>
      </c>
      <c r="H14504" s="6" t="n">
        <f aca="false">Sens!H14503*Sens!H14501</f>
        <v>45.3574410368404</v>
      </c>
      <c r="I14504" s="6" t="n">
        <f aca="false">Sens!I14503*Sens!I14501</f>
        <v>94.510515037782</v>
      </c>
      <c r="J14504" s="6" t="n">
        <f aca="false">Sens!J14503*Sens!J14501</f>
        <v>135.959553224372</v>
      </c>
      <c r="K14504" s="6" t="n">
        <f aca="false">Sens!K14503*Sens!K14501</f>
        <v>145.691320347881</v>
      </c>
    </row>
    <row r="14505" customFormat="false" ht="17.15" hidden="false" customHeight="false" outlineLevel="0" collapsed="false">
      <c r="A14505" s="1" t="s">
        <v>1221</v>
      </c>
      <c r="B14505" s="0" t="s">
        <v>98</v>
      </c>
      <c r="C14505" s="6" t="n">
        <f aca="false">SUM(Sens!F14504:K14504)</f>
        <v>432.547256054311</v>
      </c>
    </row>
    <row r="14506" customFormat="false" ht="17.15" hidden="false" customHeight="false" outlineLevel="0" collapsed="false">
      <c r="A14506" s="1" t="s">
        <v>1222</v>
      </c>
      <c r="B14506" s="0" t="s">
        <v>98</v>
      </c>
      <c r="C14506" s="6" t="n">
        <f aca="false">PL!K117*(1+g_tv)*(1-tax_f)</f>
        <v>247.098906713682</v>
      </c>
    </row>
    <row r="14507" customFormat="false" ht="17.15" hidden="false" customHeight="false" outlineLevel="0" collapsed="false">
      <c r="A14507" s="1" t="s">
        <v>1223</v>
      </c>
      <c r="B14507" s="0" t="s">
        <v>98</v>
      </c>
      <c r="C14507" s="6" t="n">
        <f aca="false">Sens!$C$14506*(1-g_tv/(((px*sh_val*(rf+beta*erp_lo)+(debt_val+fl_val)*kd*(1-tax_w))/(px*sh_val+debt_val+fl_val))+ronic_prem))</f>
        <v>171.168578896524</v>
      </c>
    </row>
    <row r="14508" customFormat="false" ht="17.15" hidden="false" customHeight="false" outlineLevel="0" collapsed="false">
      <c r="A14508" s="1" t="s">
        <v>1224</v>
      </c>
      <c r="B14508" s="0" t="s">
        <v>98</v>
      </c>
      <c r="C14508" s="6" t="n">
        <f aca="false">Sens!$C$14507/(((px*sh_val*(rf+beta*erp_lo)+(debt_val+fl_val)*kd*(1-tax_w))/(px*sh_val+debt_val+fl_val))-g_tv)</f>
        <v>2531.01092723858</v>
      </c>
    </row>
    <row r="14509" customFormat="false" ht="15" hidden="false" customHeight="false" outlineLevel="0" collapsed="false">
      <c r="A14509" s="1" t="s">
        <v>1225</v>
      </c>
      <c r="B14509" s="0" t="s">
        <v>98</v>
      </c>
      <c r="C14509" s="6" t="n">
        <f aca="false">Sens!$C$14508/(1+((px*sh_val*(rf+beta*erp_lo)+(debt_val+fl_val)*kd*(1-tax_w))/(px*sh_val+debt_val+fl_val)))^Sens!K14500</f>
        <v>1481.69442156914</v>
      </c>
    </row>
    <row r="14510" customFormat="false" ht="17.15" hidden="false" customHeight="false" outlineLevel="0" collapsed="false">
      <c r="A14510" s="0" t="s">
        <v>1226</v>
      </c>
      <c r="B14510" s="0" t="s">
        <v>98</v>
      </c>
      <c r="C14510" s="6" t="n">
        <f aca="false">Sens!$C$14505+Sens!$C$14509</f>
        <v>1914.24167762345</v>
      </c>
    </row>
    <row r="14511" customFormat="false" ht="15" hidden="false" customHeight="false" outlineLevel="0" collapsed="false">
      <c r="A14511" s="1" t="s">
        <v>1141</v>
      </c>
      <c r="B14511" s="0" t="s">
        <v>168</v>
      </c>
      <c r="C14511" s="7" t="n">
        <f aca="false">Sens!$C$14509/Sens!$C$14510</f>
        <v>0.774037280082982</v>
      </c>
    </row>
    <row r="14512" customFormat="false" ht="17.15" hidden="false" customHeight="false" outlineLevel="0" collapsed="false">
      <c r="A14512" s="1" t="s">
        <v>1227</v>
      </c>
      <c r="B14512" s="0" t="s">
        <v>98</v>
      </c>
      <c r="C14512" s="6" t="n">
        <f aca="false">Sens!$C$14510+cash_val-debt_val-fl_val+oai_v</f>
        <v>2030.09267762345</v>
      </c>
    </row>
    <row r="14513" customFormat="false" ht="17.15" hidden="false" customHeight="false" outlineLevel="0" collapsed="false">
      <c r="A14513" s="0" t="s">
        <v>1149</v>
      </c>
      <c r="B14513" s="0" t="s">
        <v>75</v>
      </c>
      <c r="C14513" s="5" t="n">
        <f aca="false">Sens!$C$14512/shd_val</f>
        <v>272.642046417331</v>
      </c>
    </row>
    <row r="14514" customFormat="false" ht="15" hidden="false" customHeight="false" outlineLevel="0" collapsed="false">
      <c r="A14514" s="1" t="s">
        <v>1228</v>
      </c>
      <c r="B14514" s="0" t="s">
        <v>75</v>
      </c>
      <c r="C14514" s="8" t="n">
        <f aca="false">div_rem27+CF!G95*roll_div_q/q_per_yr</f>
        <v>3.9795</v>
      </c>
    </row>
    <row r="14515" customFormat="false" ht="17.15" hidden="false" customHeight="false" outlineLevel="0" collapsed="false">
      <c r="A14515" s="0" t="s">
        <v>1229</v>
      </c>
      <c r="B14515" s="0" t="s">
        <v>75</v>
      </c>
      <c r="C14515" s="5" t="n">
        <f aca="false">Sens!$C$14513*(1+((px*sh_val*(rf+beta*erp_lo)+(debt_val+fl_val)*kd*(1-tax_w))/(px*sh_val+debt_val+fl_val)))^t_roll-Sens!$C$14514</f>
        <v>297.50326416829</v>
      </c>
    </row>
    <row r="14516" customFormat="false" ht="17.15" hidden="false" customHeight="false" outlineLevel="0" collapsed="false">
      <c r="A14516" s="1" t="s">
        <v>1230</v>
      </c>
      <c r="B14516" s="0" t="s">
        <v>168</v>
      </c>
      <c r="F14516" s="7" t="n">
        <f aca="false">CF!F81/(Seg!F83-Thesis!F129)</f>
        <v>0.068677393452264</v>
      </c>
      <c r="G14516" s="7" t="n">
        <f aca="false">CF!G81/(Seg!G83-Thesis!G129)</f>
        <v>0.0663132664471956</v>
      </c>
      <c r="H14516" s="7" t="n">
        <f aca="false">CF!H81/(Seg!H83-Thesis!H129)</f>
        <v>0.0651363826734039</v>
      </c>
      <c r="I14516" s="7" t="n">
        <f aca="false">CF!I81/(Seg!I83-Thesis!I129)</f>
        <v>0.0650087936347709</v>
      </c>
      <c r="J14516" s="7" t="n">
        <f aca="false">CF!J81/(Seg!J83-Thesis!J129)</f>
        <v>0.0657212684841778</v>
      </c>
      <c r="K14516" s="7" t="n">
        <f aca="false">CF!K81/(Seg!K83-Thesis!K129)</f>
        <v>0.0670413306015285</v>
      </c>
    </row>
    <row r="14517" customFormat="false" ht="17.15" hidden="false" customHeight="false" outlineLevel="0" collapsed="false">
      <c r="A14517" s="0" t="s">
        <v>1231</v>
      </c>
      <c r="B14517" s="0" t="s">
        <v>98</v>
      </c>
      <c r="F14517" s="6" t="n">
        <f aca="false">Seg!F68*(al_m365+Sens!F14516+sbc_r)</f>
        <v>82.9185219618347</v>
      </c>
      <c r="G14517" s="6" t="n">
        <f aca="false">Seg!G68*(al_m365+Sens!G14516+sbc_r)</f>
        <v>93.3068052157631</v>
      </c>
      <c r="H14517" s="6" t="n">
        <f aca="false">Seg!H68*(al_m365+Sens!H14516+sbc_r)</f>
        <v>103.856057136159</v>
      </c>
      <c r="I14517" s="6" t="n">
        <f aca="false">Seg!I68*(al_m365+Sens!I14516+sbc_r)</f>
        <v>113.889717587147</v>
      </c>
      <c r="J14517" s="6" t="n">
        <f aca="false">Seg!J68*(al_m365+Sens!J14516+sbc_r)</f>
        <v>123.218477864124</v>
      </c>
      <c r="K14517" s="6" t="n">
        <f aca="false">Seg!K68*(al_m365+Sens!K14516+sbc_r)</f>
        <v>132.149420086311</v>
      </c>
      <c r="L14517" s="12" t="s">
        <v>1232</v>
      </c>
    </row>
    <row r="14518" customFormat="false" ht="17.15" hidden="false" customHeight="false" outlineLevel="0" collapsed="false">
      <c r="A14518" s="0" t="s">
        <v>1233</v>
      </c>
      <c r="B14518" s="0" t="s">
        <v>98</v>
      </c>
      <c r="F14518" s="6" t="n">
        <f aca="false">Seg!F69*(al_lic+Sens!F14516+sbc_r)</f>
        <v>32.8599853992256</v>
      </c>
      <c r="G14518" s="6" t="n">
        <f aca="false">Seg!G69*(al_lic+Sens!G14516+sbc_r)</f>
        <v>34.1568280697879</v>
      </c>
      <c r="H14518" s="6" t="n">
        <f aca="false">Seg!H69*(al_lic+Sens!H14516+sbc_r)</f>
        <v>35.3635535007213</v>
      </c>
      <c r="I14518" s="6" t="n">
        <f aca="false">Seg!I69*(al_lic+Sens!I14516+sbc_r)</f>
        <v>36.4604537346553</v>
      </c>
      <c r="J14518" s="6" t="n">
        <f aca="false">Seg!J69*(al_lic+Sens!J14516+sbc_r)</f>
        <v>37.4245888933574</v>
      </c>
      <c r="K14518" s="6" t="n">
        <f aca="false">Seg!K69*(al_lic+Sens!K14516+sbc_r)</f>
        <v>38.2321483186439</v>
      </c>
    </row>
    <row r="14519" customFormat="false" ht="17.15" hidden="false" customHeight="false" outlineLevel="0" collapsed="false">
      <c r="A14519" s="0" t="s">
        <v>1234</v>
      </c>
      <c r="B14519" s="0" t="s">
        <v>98</v>
      </c>
      <c r="F14519" s="6" t="n">
        <f aca="false">Seg!F71*(al_ind+Sens!F14516+sbc_r)</f>
        <v>9.06170747885803</v>
      </c>
      <c r="G14519" s="6" t="n">
        <f aca="false">Seg!G71*(al_ind+Sens!G14516+sbc_r)</f>
        <v>9.8478979082138</v>
      </c>
      <c r="H14519" s="6" t="n">
        <f aca="false">Seg!H71*(al_ind+Sens!H14516+sbc_r)</f>
        <v>10.6768254332059</v>
      </c>
      <c r="I14519" s="6" t="n">
        <f aca="false">Seg!I71*(al_ind+Sens!I14516+sbc_r)</f>
        <v>11.54398793803</v>
      </c>
      <c r="J14519" s="6" t="n">
        <f aca="false">Seg!J71*(al_ind+Sens!J14516+sbc_r)</f>
        <v>12.4407914253112</v>
      </c>
      <c r="K14519" s="6" t="n">
        <f aca="false">Seg!K71*(al_ind+Sens!K14516+sbc_r)</f>
        <v>13.355239066864</v>
      </c>
    </row>
    <row r="14520" customFormat="false" ht="17.15" hidden="false" customHeight="false" outlineLevel="0" collapsed="false">
      <c r="A14520" s="0" t="s">
        <v>1235</v>
      </c>
      <c r="B14520" s="0" t="s">
        <v>98</v>
      </c>
      <c r="F14520" s="6" t="n">
        <f aca="false">Seg!F73*(al_fro+Sens!F14516+sbc_r)</f>
        <v>3.55453569939552</v>
      </c>
      <c r="G14520" s="6" t="n">
        <f aca="false">Seg!G73*(al_fro+Sens!G14516+sbc_r)</f>
        <v>3.76809436159872</v>
      </c>
      <c r="H14520" s="6" t="n">
        <f aca="false">Seg!H73*(al_fro+Sens!H14516+sbc_r)</f>
        <v>4.00964905674607</v>
      </c>
      <c r="I14520" s="6" t="n">
        <f aca="false">Seg!I73*(al_fro+Sens!I14516+sbc_r)</f>
        <v>4.28152633145235</v>
      </c>
      <c r="J14520" s="6" t="n">
        <f aca="false">Seg!J73*(al_fro+Sens!J14516+sbc_r)</f>
        <v>4.58536512975975</v>
      </c>
      <c r="K14520" s="6" t="n">
        <f aca="false">Seg!K73*(al_fro+Sens!K14516+sbc_r)</f>
        <v>4.92240770086468</v>
      </c>
    </row>
    <row r="14521" customFormat="false" ht="17.15" hidden="false" customHeight="false" outlineLevel="0" collapsed="false">
      <c r="A14521" s="0" t="s">
        <v>1236</v>
      </c>
      <c r="B14521" s="0" t="s">
        <v>98</v>
      </c>
      <c r="F14521" s="6" t="n">
        <f aca="false">Seg!F76*(al_srch+Sens!F14516+sbc_r)</f>
        <v>11.190683952584</v>
      </c>
      <c r="G14521" s="6" t="n">
        <f aca="false">Seg!G76*(al_srch+Sens!G14516+sbc_r)</f>
        <v>12.2763328717258</v>
      </c>
      <c r="H14521" s="6" t="n">
        <f aca="false">Seg!H76*(al_srch+Sens!H14516+sbc_r)</f>
        <v>13.4043563346576</v>
      </c>
      <c r="I14521" s="6" t="n">
        <f aca="false">Seg!I76*(al_srch+Sens!I14516+sbc_r)</f>
        <v>14.5621512181916</v>
      </c>
      <c r="J14521" s="6" t="n">
        <f aca="false">Seg!J76*(al_srch+Sens!J14516+sbc_r)</f>
        <v>15.7310381862385</v>
      </c>
      <c r="K14521" s="6" t="n">
        <f aca="false">Seg!K76*(al_srch+Sens!K14516+sbc_r)</f>
        <v>16.8873320486462</v>
      </c>
    </row>
    <row r="14522" customFormat="false" ht="17.15" hidden="false" customHeight="false" outlineLevel="0" collapsed="false">
      <c r="A14522" s="0" t="s">
        <v>1237</v>
      </c>
      <c r="B14522" s="0" t="s">
        <v>98</v>
      </c>
      <c r="F14522" s="6" t="n">
        <f aca="false">Thesis!F135-Thesis!F136+Thesis!F151</f>
        <v>38.9696429794913</v>
      </c>
      <c r="G14522" s="6" t="n">
        <f aca="false">Thesis!G135-Thesis!G136+Thesis!G151</f>
        <v>69.465497726016</v>
      </c>
      <c r="H14522" s="6" t="n">
        <f aca="false">Thesis!H135-Thesis!H136+Thesis!H151</f>
        <v>96.8147106808268</v>
      </c>
      <c r="I14522" s="6" t="n">
        <f aca="false">Thesis!I135-Thesis!I136+Thesis!I151</f>
        <v>127.654939766446</v>
      </c>
      <c r="J14522" s="6" t="n">
        <f aca="false">Thesis!J135-Thesis!J136+Thesis!J151</f>
        <v>149.308352681229</v>
      </c>
      <c r="K14522" s="6" t="n">
        <f aca="false">Thesis!K135-Thesis!K136+Thesis!K151</f>
        <v>162.731822021841</v>
      </c>
    </row>
    <row r="14523" customFormat="false" ht="17.15" hidden="false" customHeight="false" outlineLevel="0" collapsed="false">
      <c r="A14523" s="0" t="s">
        <v>1238</v>
      </c>
      <c r="B14523" s="0" t="s">
        <v>98</v>
      </c>
      <c r="F14523" s="6" t="n">
        <f aca="false">PL!F110+Thesis!F151+Thesis!F147+Sens!F14516*(Seg!F75-Thesis!F129)+sbc_r*Seg!F75</f>
        <v>234.79972328186</v>
      </c>
      <c r="G14523" s="6" t="n">
        <f aca="false">PL!G110+Thesis!G151+Thesis!G147+Sens!G14516*(Seg!G75-Thesis!G129)+sbc_r*Seg!G75</f>
        <v>285.499052659517</v>
      </c>
      <c r="H14523" s="6" t="n">
        <f aca="false">PL!H110+Thesis!H151+Thesis!H147+Sens!H14516*(Seg!H75-Thesis!H129)+sbc_r*Seg!H75</f>
        <v>338.258569294547</v>
      </c>
      <c r="I14523" s="6" t="n">
        <f aca="false">PL!I110+Thesis!I151+Thesis!I147+Sens!I14516*(Seg!I75-Thesis!I129)+sbc_r*Seg!I75</f>
        <v>393.887902526982</v>
      </c>
      <c r="J14523" s="6" t="n">
        <f aca="false">PL!J110+Thesis!J151+Thesis!J147+Sens!J14516*(Seg!J75-Thesis!J129)+sbc_r*Seg!J75</f>
        <v>438.406631506078</v>
      </c>
      <c r="K14523" s="6" t="n">
        <f aca="false">PL!K110+Thesis!K151+Thesis!K147+Sens!K14516*(Seg!K75-Thesis!K129)+sbc_r*Seg!K75</f>
        <v>472.352875745143</v>
      </c>
    </row>
    <row r="14524" customFormat="false" ht="17.15" hidden="false" customHeight="false" outlineLevel="0" collapsed="false">
      <c r="A14524" s="0" t="s">
        <v>1239</v>
      </c>
      <c r="B14524" s="0" t="s">
        <v>98</v>
      </c>
      <c r="F14524" s="6" t="n">
        <f aca="false">Sens!F14523-Sens!F14517-Sens!F14518-Sens!F14519-Sens!F14520-Sens!F14522</f>
        <v>67.4353297630543</v>
      </c>
      <c r="G14524" s="6" t="n">
        <f aca="false">Sens!G14523-Sens!G14517-Sens!G14518-Sens!G14519-Sens!G14520-Sens!G14522</f>
        <v>74.9539293781376</v>
      </c>
      <c r="H14524" s="6" t="n">
        <f aca="false">Sens!H14523-Sens!H14517-Sens!H14518-Sens!H14519-Sens!H14520-Sens!H14522</f>
        <v>87.537773486888</v>
      </c>
      <c r="I14524" s="6" t="n">
        <f aca="false">Sens!I14523-Sens!I14517-Sens!I14518-Sens!I14519-Sens!I14520-Sens!I14522</f>
        <v>100.057277169252</v>
      </c>
      <c r="J14524" s="6" t="n">
        <f aca="false">Sens!J14523-Sens!J14517-Sens!J14518-Sens!J14519-Sens!J14520-Sens!J14522</f>
        <v>111.429055512297</v>
      </c>
      <c r="K14524" s="6" t="n">
        <f aca="false">Sens!K14523-Sens!K14517-Sens!K14518-Sens!K14519-Sens!K14520-Sens!K14522</f>
        <v>120.961838550618</v>
      </c>
    </row>
    <row r="14525" customFormat="false" ht="17.15" hidden="false" customHeight="false" outlineLevel="0" collapsed="false">
      <c r="A14525" s="0" t="s">
        <v>1240</v>
      </c>
      <c r="B14525" s="0" t="s">
        <v>98</v>
      </c>
      <c r="F14525" s="6" t="n">
        <f aca="false">PL!F112+Sens!F14516*Seg!F82+sbc_r*Seg!F82</f>
        <v>26.6373549789235</v>
      </c>
      <c r="G14525" s="6" t="n">
        <f aca="false">PL!G112+Sens!G14516*Seg!G82+sbc_r*Seg!G82</f>
        <v>26.5038922765853</v>
      </c>
      <c r="H14525" s="6" t="n">
        <f aca="false">PL!H112+Sens!H14516*Seg!H82+sbc_r*Seg!H82</f>
        <v>27.3981100014792</v>
      </c>
      <c r="I14525" s="6" t="n">
        <f aca="false">PL!I112+Sens!I14516*Seg!I82+sbc_r*Seg!I82</f>
        <v>28.5176442589239</v>
      </c>
      <c r="J14525" s="6" t="n">
        <f aca="false">PL!J112+Sens!J14516*Seg!J82+sbc_r*Seg!J82</f>
        <v>29.8313998963726</v>
      </c>
      <c r="K14525" s="6" t="n">
        <f aca="false">PL!K112+Sens!K14516*Seg!K82+sbc_r*Seg!K82</f>
        <v>31.3103466222307</v>
      </c>
    </row>
    <row r="14526" customFormat="false" ht="17.15" hidden="false" customHeight="false" outlineLevel="0" collapsed="false">
      <c r="A14526" s="0" t="s">
        <v>1241</v>
      </c>
      <c r="B14526" s="0" t="s">
        <v>98</v>
      </c>
      <c r="F14526" s="6" t="n">
        <f aca="false">(Sens!F14525-Sens!F14521)*Seg!F78/(Seg!F78+Seg!F80)</f>
        <v>8.72405610479892</v>
      </c>
      <c r="G14526" s="6" t="n">
        <f aca="false">(Sens!G14525-Sens!G14521)*Seg!G78/(Seg!G78+Seg!G80)</f>
        <v>7.897418765869</v>
      </c>
      <c r="H14526" s="6" t="n">
        <f aca="false">(Sens!H14525-Sens!H14521)*Seg!H78/(Seg!H78+Seg!H80)</f>
        <v>7.66644879573063</v>
      </c>
      <c r="I14526" s="6" t="n">
        <f aca="false">(Sens!I14525-Sens!I14521)*Seg!I78/(Seg!I78+Seg!I80)</f>
        <v>7.5787545031814</v>
      </c>
      <c r="J14526" s="6" t="n">
        <f aca="false">(Sens!J14525-Sens!J14521)*Seg!J78/(Seg!J78+Seg!J80)</f>
        <v>7.62401876450459</v>
      </c>
      <c r="K14526" s="6" t="n">
        <f aca="false">(Sens!K14525-Sens!K14521)*Seg!K78/(Seg!K78+Seg!K80)</f>
        <v>7.79847609658838</v>
      </c>
    </row>
    <row r="14527" customFormat="false" ht="17.15" hidden="false" customHeight="false" outlineLevel="0" collapsed="false">
      <c r="A14527" s="0" t="s">
        <v>1242</v>
      </c>
      <c r="B14527" s="0" t="s">
        <v>98</v>
      </c>
      <c r="F14527" s="6" t="n">
        <f aca="false">Sens!F14525-Sens!F14521-Sens!F14526</f>
        <v>6.72261492154066</v>
      </c>
      <c r="G14527" s="6" t="n">
        <f aca="false">Sens!G14525-Sens!G14521-Sens!G14526</f>
        <v>6.33014063899044</v>
      </c>
      <c r="H14527" s="6" t="n">
        <f aca="false">Sens!H14525-Sens!H14521-Sens!H14526</f>
        <v>6.32730487109095</v>
      </c>
      <c r="I14527" s="6" t="n">
        <f aca="false">Sens!I14525-Sens!I14521-Sens!I14526</f>
        <v>6.37673853755084</v>
      </c>
      <c r="J14527" s="6" t="n">
        <f aca="false">Sens!J14525-Sens!J14521-Sens!J14526</f>
        <v>6.47634294562954</v>
      </c>
      <c r="K14527" s="6" t="n">
        <f aca="false">Sens!K14525-Sens!K14521-Sens!K14526</f>
        <v>6.62453847699607</v>
      </c>
    </row>
    <row r="14528" customFormat="false" ht="17.15" hidden="false" customHeight="false" outlineLevel="0" collapsed="false">
      <c r="A14528" s="0" t="s">
        <v>1243</v>
      </c>
      <c r="B14528" s="0" t="s">
        <v>98</v>
      </c>
      <c r="F14528" s="6" t="n">
        <f aca="false">Sens!F14522-tax_f*(Sens!F14522-Thesis!F147)-Thesis!F144</f>
        <v>-130.362326762856</v>
      </c>
      <c r="G14528" s="6" t="n">
        <f aca="false">Sens!G14522-tax_f*(Sens!G14522-Thesis!G147)-Thesis!G144</f>
        <v>-124.225179337776</v>
      </c>
      <c r="H14528" s="6" t="n">
        <f aca="false">Sens!H14522-tax_f*(Sens!H14522-Thesis!H147)-Thesis!H144</f>
        <v>-101.534217387562</v>
      </c>
      <c r="I14528" s="6" t="n">
        <f aca="false">Sens!I14522-tax_f*(Sens!I14522-Thesis!I147)-Thesis!I144</f>
        <v>-43.6446798695439</v>
      </c>
      <c r="J14528" s="6" t="n">
        <f aca="false">Sens!J14522-tax_f*(Sens!J14522-Thesis!J147)-Thesis!J144</f>
        <v>16.9198855589618</v>
      </c>
      <c r="K14528" s="6" t="n">
        <f aca="false">Sens!K14522-tax_f*(Sens!K14522-Thesis!K147)-Thesis!K144</f>
        <v>39.8251384629271</v>
      </c>
    </row>
    <row r="14529" customFormat="false" ht="17.15" hidden="false" customHeight="false" outlineLevel="0" collapsed="false">
      <c r="A14529" s="0" t="s">
        <v>1244</v>
      </c>
      <c r="B14529" s="0" t="s">
        <v>98</v>
      </c>
      <c r="G14529" s="6" t="n">
        <f aca="false">Sens!G14528/(1+((px*sh_val*(rf+beta*erp_lo)+(debt_val+fl_val)*kd*(1-tax_w))/(px*sh_val+debt_val+fl_val)))^(Sens!G14499-Sens!F14500)</f>
        <v>-118.571943001394</v>
      </c>
      <c r="H14529" s="6" t="n">
        <f aca="false">Sens!H14528/(1+((px*sh_val*(rf+beta*erp_lo)+(debt_val+fl_val)*kd*(1-tax_w))/(px*sh_val+debt_val+fl_val)))^(Sens!H14499-Sens!F14500)</f>
        <v>-88.2936230837176</v>
      </c>
      <c r="I14529" s="6" t="n">
        <f aca="false">Sens!I14528/(1+((px*sh_val*(rf+beta*erp_lo)+(debt_val+fl_val)*kd*(1-tax_w))/(px*sh_val+debt_val+fl_val)))^(Sens!I14499-Sens!F14500)</f>
        <v>-34.5774397498282</v>
      </c>
      <c r="J14529" s="6" t="n">
        <f aca="false">Sens!J14528/(1+((px*sh_val*(rf+beta*erp_lo)+(debt_val+fl_val)*kd*(1-tax_w))/(px*sh_val+debt_val+fl_val)))^(Sens!J14499-Sens!F14500)</f>
        <v>12.2124711442593</v>
      </c>
      <c r="K14529" s="6" t="n">
        <f aca="false">Sens!K14528/(1+((px*sh_val*(rf+beta*erp_lo)+(debt_val+fl_val)*kd*(1-tax_w))/(px*sh_val+debt_val+fl_val)))^(Sens!K14499-Sens!F14500)</f>
        <v>26.1883437030117</v>
      </c>
      <c r="L14529" s="1" t="s">
        <v>1245</v>
      </c>
    </row>
    <row r="14530" customFormat="false" ht="17.15" hidden="false" customHeight="false" outlineLevel="0" collapsed="false">
      <c r="A14530" s="0" t="s">
        <v>1246</v>
      </c>
      <c r="B14530" s="0" t="s">
        <v>98</v>
      </c>
      <c r="C14530" s="6" t="n">
        <f aca="false">(Sens!K14522-Thesis!K147)*(1-tax_f)*(1+g_tv)*(1-g_tv/(((px*sh_val*(rf+beta*erp_lo)+(debt_val+fl_val)*kd*(1-tax_w))/(px*sh_val+debt_val+fl_val))+ronic_prem))/(((px*sh_val*(rf+beta*erp_lo)+(debt_val+fl_val)*kd*(1-tax_w))/(px*sh_val+debt_val+fl_val))-g_tv)/(1+((px*sh_val*(rf+beta*erp_lo)+(debt_val+fl_val)*kd*(1-tax_w))/(px*sh_val+debt_val+fl_val)))^(Sens!K14500-Sens!F14500)</f>
        <v>104.462807809579</v>
      </c>
    </row>
    <row r="14531" customFormat="false" ht="17.15" hidden="false" customHeight="false" outlineLevel="0" collapsed="false">
      <c r="A14531" s="1" t="s">
        <v>1247</v>
      </c>
      <c r="B14531" s="0" t="s">
        <v>98</v>
      </c>
      <c r="C14531" s="6" t="n">
        <f aca="false">(SUM(Sens!G14529:K14529)+Sens!$C$14530)*(1+((px*sh_val*(rf+beta*erp_lo)+(debt_val+fl_val)*kd*(1-tax_w))/(px*sh_val+debt_val+fl_val)))^(t_roll-Sens!F14500)</f>
        <v>-101.671056342634</v>
      </c>
      <c r="L14531" s="12" t="s">
        <v>1248</v>
      </c>
    </row>
    <row r="14532" customFormat="false" ht="17.15" hidden="false" customHeight="false" outlineLevel="0" collapsed="false">
      <c r="A14532" s="1" t="s">
        <v>1249</v>
      </c>
      <c r="B14532" s="0" t="s">
        <v>98</v>
      </c>
      <c r="C14532" s="6" t="n">
        <f aca="false">(w_ntm28*Thesis!G135+(1-w_ntm28)*Thesis!H135)*m_ai</f>
        <v>344.355829012336</v>
      </c>
    </row>
    <row r="14533" customFormat="false" ht="17.15" hidden="false" customHeight="false" outlineLevel="0" collapsed="false">
      <c r="A14533" s="1" t="s">
        <v>1250</v>
      </c>
      <c r="B14533" s="0" t="s">
        <v>98</v>
      </c>
      <c r="C14533" s="6" t="n">
        <f aca="false">(w_ntm28*Sens!G14524+(1-w_ntm28)*Sens!H14524)*m_cloud</f>
        <v>1093.03877543039</v>
      </c>
    </row>
    <row r="14534" customFormat="false" ht="17.15" hidden="false" customHeight="false" outlineLevel="0" collapsed="false">
      <c r="A14534" s="1" t="s">
        <v>1251</v>
      </c>
      <c r="B14534" s="0" t="s">
        <v>98</v>
      </c>
      <c r="C14534" s="6" t="n">
        <f aca="false">(w_ntm28*Sens!G14517+(1-w_ntm28)*Sens!H14517)*m_sw</f>
        <v>1045.17056616266</v>
      </c>
    </row>
    <row r="14535" customFormat="false" ht="17.15" hidden="false" customHeight="false" outlineLevel="0" collapsed="false">
      <c r="A14535" s="1" t="s">
        <v>1252</v>
      </c>
      <c r="B14535" s="0" t="s">
        <v>98</v>
      </c>
      <c r="C14535" s="6" t="n">
        <f aca="false">(w_ntm28*Sens!G14518+(1-w_ntm28)*Sens!H14518)*m_sw</f>
        <v>373.178444957791</v>
      </c>
    </row>
    <row r="14536" customFormat="false" ht="17.15" hidden="false" customHeight="false" outlineLevel="0" collapsed="false">
      <c r="A14536" s="1" t="s">
        <v>1253</v>
      </c>
      <c r="B14536" s="0" t="s">
        <v>98</v>
      </c>
      <c r="C14536" s="6" t="n">
        <f aca="false">(w_ntm28*Sens!G14519+(1-w_ntm28)*Sens!H14519)*m_sw</f>
        <v>109.30055788101</v>
      </c>
    </row>
    <row r="14537" customFormat="false" ht="17.15" hidden="false" customHeight="false" outlineLevel="0" collapsed="false">
      <c r="A14537" s="1" t="s">
        <v>1254</v>
      </c>
      <c r="B14537" s="0" t="s">
        <v>98</v>
      </c>
      <c r="C14537" s="6" t="n">
        <f aca="false">(w_ntm28*Sens!G14520+(1-w_ntm28)*Sens!H14520)*m_sw</f>
        <v>41.5531037214606</v>
      </c>
    </row>
    <row r="14538" customFormat="false" ht="17.15" hidden="false" customHeight="false" outlineLevel="0" collapsed="false">
      <c r="A14538" s="1" t="s">
        <v>1255</v>
      </c>
      <c r="B14538" s="0" t="s">
        <v>98</v>
      </c>
      <c r="C14538" s="6" t="n">
        <f aca="false">(w_ntm28*Sens!G14521+(1-w_ntm28)*Sens!H14521)*m_ads</f>
        <v>115.215899994784</v>
      </c>
    </row>
    <row r="14539" customFormat="false" ht="17.15" hidden="false" customHeight="false" outlineLevel="0" collapsed="false">
      <c r="A14539" s="1" t="s">
        <v>1256</v>
      </c>
      <c r="B14539" s="0" t="s">
        <v>98</v>
      </c>
      <c r="C14539" s="6" t="n">
        <f aca="false">(w_ntm28*Sens!G14526+(1-w_ntm28)*Sens!H14526)*m_game</f>
        <v>98.7853357615783</v>
      </c>
    </row>
    <row r="14540" customFormat="false" ht="17.15" hidden="false" customHeight="false" outlineLevel="0" collapsed="false">
      <c r="A14540" s="1" t="s">
        <v>1257</v>
      </c>
      <c r="B14540" s="0" t="s">
        <v>98</v>
      </c>
      <c r="C14540" s="6" t="n">
        <f aca="false">(w_ntm28*Sens!G14527+(1-w_ntm28)*Sens!H14527)*m_pc</f>
        <v>91.5836445602173</v>
      </c>
    </row>
    <row r="14541" customFormat="false" ht="17.15" hidden="false" customHeight="false" outlineLevel="0" collapsed="false">
      <c r="A14541" s="1" t="s">
        <v>1258</v>
      </c>
      <c r="B14541" s="0" t="s">
        <v>98</v>
      </c>
      <c r="C14541" s="6" t="n">
        <f aca="false">Sens!$C$14531+Sens!$C$14533+Sens!$C$14534+Sens!$C$14535+Sens!$C$14536+Sens!$C$14537+Sens!$C$14538+Sens!$C$14539+Sens!$C$14540</f>
        <v>2866.15527212725</v>
      </c>
    </row>
    <row r="14542" customFormat="false" ht="17.15" hidden="false" customHeight="false" outlineLevel="0" collapsed="false">
      <c r="A14542" s="1" t="s">
        <v>1259</v>
      </c>
      <c r="B14542" s="0" t="s">
        <v>98</v>
      </c>
      <c r="C14542" s="6" t="n">
        <f aca="false">(Sens!G14503-Sens!G14528)*t_stub</f>
        <v>47.4829168796038</v>
      </c>
      <c r="L14542" s="1" t="s">
        <v>1260</v>
      </c>
    </row>
    <row r="14543" customFormat="false" ht="17.15" hidden="false" customHeight="false" outlineLevel="0" collapsed="false">
      <c r="A14543" s="1" t="s">
        <v>1169</v>
      </c>
      <c r="B14543" s="0" t="s">
        <v>98</v>
      </c>
      <c r="C14543" s="6" t="n">
        <f aca="false">CF!F103+oai_v-CF!F92+Sens!$C$14542</f>
        <v>158.55427008544</v>
      </c>
      <c r="L14543" s="1" t="s">
        <v>1261</v>
      </c>
    </row>
    <row r="14544" customFormat="false" ht="17.15" hidden="false" customHeight="false" outlineLevel="0" collapsed="false">
      <c r="A14544" s="1" t="s">
        <v>1262</v>
      </c>
      <c r="B14544" s="0" t="s">
        <v>75</v>
      </c>
      <c r="C14544" s="5" t="n">
        <f aca="false">(Sens!$C$14541+Sens!$C$14543)/(CF!F105+dil_gap)-CF!G95*roll_div_q/q_per_yr</f>
        <v>402.470310860818</v>
      </c>
      <c r="L14544" s="1" t="s">
        <v>1263</v>
      </c>
    </row>
    <row r="14545" customFormat="false" ht="17.15" hidden="false" customHeight="false" outlineLevel="0" collapsed="false">
      <c r="A14545" s="1" t="s">
        <v>1264</v>
      </c>
      <c r="B14545" s="0" t="s">
        <v>75</v>
      </c>
      <c r="C14545" s="5" t="n">
        <f aca="false">w_dcf*Sens!$C$14515+(1-w_dcf)*Sens!$C$14544</f>
        <v>349.986787514554</v>
      </c>
    </row>
    <row r="14546" customFormat="false" ht="17.15" hidden="false" customHeight="false" outlineLevel="0" collapsed="false">
      <c r="A14546" s="3" t="s">
        <v>1840</v>
      </c>
    </row>
    <row r="14547" customFormat="false" ht="15" hidden="false" customHeight="false" outlineLevel="0" collapsed="false">
      <c r="A14547" s="4" t="s">
        <v>43</v>
      </c>
      <c r="B14547" s="4" t="s">
        <v>65</v>
      </c>
      <c r="C14547" s="23" t="s">
        <v>938</v>
      </c>
      <c r="D14547" s="23" t="s">
        <v>939</v>
      </c>
      <c r="E14547" s="23" t="s">
        <v>940</v>
      </c>
      <c r="F14547" s="23" t="s">
        <v>941</v>
      </c>
      <c r="G14547" s="23" t="s">
        <v>942</v>
      </c>
      <c r="H14547" s="23" t="s">
        <v>943</v>
      </c>
      <c r="I14547" s="23" t="s">
        <v>944</v>
      </c>
      <c r="J14547" s="23" t="s">
        <v>945</v>
      </c>
      <c r="K14547" s="23" t="s">
        <v>946</v>
      </c>
      <c r="L14547" s="4" t="s">
        <v>47</v>
      </c>
    </row>
    <row r="14548" customFormat="false" ht="17.15" hidden="false" customHeight="false" outlineLevel="0" collapsed="false">
      <c r="A14548" s="1" t="s">
        <v>1212</v>
      </c>
      <c r="B14548" s="1" t="s">
        <v>279</v>
      </c>
      <c r="F14548" s="8" t="n">
        <f aca="false">(1-v_off)*mid_yr</f>
        <v>0.373972602739726</v>
      </c>
      <c r="G14548" s="8" t="n">
        <f aca="false">Thesis!G6-base_fy-mid_yr-v_off</f>
        <v>1.24794520547945</v>
      </c>
      <c r="H14548" s="8" t="n">
        <f aca="false">Thesis!H6-base_fy-mid_yr-v_off</f>
        <v>2.24794520547945</v>
      </c>
      <c r="I14548" s="8" t="n">
        <f aca="false">Thesis!I6-base_fy-mid_yr-v_off</f>
        <v>3.24794520547945</v>
      </c>
      <c r="J14548" s="8" t="n">
        <f aca="false">Thesis!J6-base_fy-mid_yr-v_off</f>
        <v>4.24794520547945</v>
      </c>
      <c r="K14548" s="8" t="n">
        <f aca="false">Thesis!K6-base_fy-mid_yr-v_off</f>
        <v>5.24794520547945</v>
      </c>
      <c r="L14548" s="12" t="s">
        <v>1213</v>
      </c>
    </row>
    <row r="14549" customFormat="false" ht="15" hidden="false" customHeight="false" outlineLevel="0" collapsed="false">
      <c r="A14549" s="1" t="s">
        <v>1214</v>
      </c>
      <c r="B14549" s="1" t="s">
        <v>279</v>
      </c>
      <c r="F14549" s="8" t="n">
        <f aca="false">Thesis!F6-base_fy-v_off</f>
        <v>0.747945205479452</v>
      </c>
      <c r="G14549" s="8" t="n">
        <f aca="false">Thesis!G6-base_fy-v_off</f>
        <v>1.74794520547945</v>
      </c>
      <c r="H14549" s="8" t="n">
        <f aca="false">Thesis!H6-base_fy-v_off</f>
        <v>2.74794520547945</v>
      </c>
      <c r="I14549" s="8" t="n">
        <f aca="false">Thesis!I6-base_fy-v_off</f>
        <v>3.74794520547945</v>
      </c>
      <c r="J14549" s="8" t="n">
        <f aca="false">Thesis!J6-base_fy-v_off</f>
        <v>4.74794520547945</v>
      </c>
      <c r="K14549" s="8" t="n">
        <f aca="false">Thesis!K6-base_fy-v_off</f>
        <v>5.74794520547945</v>
      </c>
    </row>
    <row r="14550" customFormat="false" ht="15" hidden="false" customHeight="false" outlineLevel="0" collapsed="false">
      <c r="A14550" s="1" t="s">
        <v>1215</v>
      </c>
      <c r="B14550" s="0" t="s">
        <v>229</v>
      </c>
      <c r="F14550" s="15" t="n">
        <f aca="false">1/(1+((px*sh_val*(rf+beta*erp_hi)+(debt_val+fl_val)*kd*(1-tax_w))/(px*sh_val+debt_val+fl_val)))^Sens!F14548</f>
        <v>0.96057538035295</v>
      </c>
      <c r="G14550" s="15" t="n">
        <f aca="false">1/(1+((px*sh_val*(rf+beta*erp_hi)+(debt_val+fl_val)*kd*(1-tax_w))/(px*sh_val+debt_val+fl_val)))^Sens!G14548</f>
        <v>0.874394701758995</v>
      </c>
      <c r="H14550" s="15" t="n">
        <f aca="false">1/(1+((px*sh_val*(rf+beta*erp_hi)+(debt_val+fl_val)*kd*(1-tax_w))/(px*sh_val+debt_val+fl_val)))^Sens!H14548</f>
        <v>0.785229752114597</v>
      </c>
      <c r="I14550" s="15" t="n">
        <f aca="false">1/(1+((px*sh_val*(rf+beta*erp_hi)+(debt_val+fl_val)*kd*(1-tax_w))/(px*sh_val+debt_val+fl_val)))^Sens!I14548</f>
        <v>0.705157250341961</v>
      </c>
      <c r="J14550" s="15" t="n">
        <f aca="false">1/(1+((px*sh_val*(rf+beta*erp_hi)+(debt_val+fl_val)*kd*(1-tax_w))/(px*sh_val+debt_val+fl_val)))^Sens!J14548</f>
        <v>0.63325000914798</v>
      </c>
      <c r="K14550" s="15" t="n">
        <f aca="false">1/(1+((px*sh_val*(rf+beta*erp_hi)+(debt_val+fl_val)*kd*(1-tax_w))/(px*sh_val+debt_val+fl_val)))^Sens!K14548</f>
        <v>0.568675389626147</v>
      </c>
    </row>
    <row r="14551" customFormat="false" ht="17.15" hidden="false" customHeight="false" outlineLevel="0" collapsed="false">
      <c r="A14551" s="1" t="s">
        <v>1216</v>
      </c>
      <c r="B14551" s="0" t="s">
        <v>98</v>
      </c>
      <c r="F14551" s="6" t="n">
        <f aca="false">Q!$I$35-Q!$I$39-Q!$I$43</f>
        <v>9.666</v>
      </c>
      <c r="L14551" s="12" t="s">
        <v>1217</v>
      </c>
    </row>
    <row r="14552" customFormat="false" ht="17.15" hidden="false" customHeight="false" outlineLevel="0" collapsed="false">
      <c r="A14552" s="1" t="s">
        <v>1218</v>
      </c>
      <c r="B14552" s="0" t="s">
        <v>98</v>
      </c>
      <c r="F14552" s="6" t="n">
        <f aca="false">CF!F23-CF!F20-CF!F27+Thesis!F47*(1-tax_f)*(1-v_off)-Sens!F14551</f>
        <v>-1.12880264559539</v>
      </c>
      <c r="G14552" s="6" t="n">
        <f aca="false">CF!G23-CF!G20-CF!G27+Thesis!G47*(1-tax_f)</f>
        <v>38.7194421947551</v>
      </c>
      <c r="H14552" s="6" t="n">
        <f aca="false">CF!H23-CF!H20-CF!H27+Thesis!H47*(1-tax_f)</f>
        <v>98.6927474567662</v>
      </c>
      <c r="I14552" s="6" t="n">
        <f aca="false">CF!I23-CF!I20-CF!I27+Thesis!I47*(1-tax_f)</f>
        <v>181.625440536277</v>
      </c>
      <c r="J14552" s="6" t="n">
        <f aca="false">CF!J23-CF!J20-CF!J27+Thesis!J47*(1-tax_f)</f>
        <v>263.350402418584</v>
      </c>
      <c r="K14552" s="6" t="n">
        <f aca="false">CF!K23-CF!K20-CF!K27+Thesis!K47*(1-tax_f)</f>
        <v>303.659068389018</v>
      </c>
      <c r="L14552" s="1" t="s">
        <v>1219</v>
      </c>
    </row>
    <row r="14553" customFormat="false" ht="15" hidden="false" customHeight="false" outlineLevel="0" collapsed="false">
      <c r="A14553" s="1" t="s">
        <v>1220</v>
      </c>
      <c r="B14553" s="0" t="s">
        <v>98</v>
      </c>
      <c r="F14553" s="6" t="n">
        <f aca="false">Sens!F14552*Sens!F14550</f>
        <v>-1.08430003063621</v>
      </c>
      <c r="G14553" s="6" t="n">
        <f aca="false">Sens!G14552*Sens!G14550</f>
        <v>33.8560751101575</v>
      </c>
      <c r="H14553" s="6" t="n">
        <f aca="false">Sens!H14552*Sens!H14550</f>
        <v>77.4964816209851</v>
      </c>
      <c r="I14553" s="6" t="n">
        <f aca="false">Sens!I14552*Sens!I14550</f>
        <v>128.074496240709</v>
      </c>
      <c r="J14553" s="6" t="n">
        <f aca="false">Sens!J14552*Sens!J14550</f>
        <v>166.766644740692</v>
      </c>
      <c r="K14553" s="6" t="n">
        <f aca="false">Sens!K14552*Sens!K14550</f>
        <v>172.683439029637</v>
      </c>
    </row>
    <row r="14554" customFormat="false" ht="17.15" hidden="false" customHeight="false" outlineLevel="0" collapsed="false">
      <c r="A14554" s="1" t="s">
        <v>1221</v>
      </c>
      <c r="B14554" s="0" t="s">
        <v>98</v>
      </c>
      <c r="C14554" s="6" t="n">
        <f aca="false">SUM(Sens!F14553:K14553)</f>
        <v>577.792836711545</v>
      </c>
    </row>
    <row r="14555" customFormat="false" ht="17.15" hidden="false" customHeight="false" outlineLevel="0" collapsed="false">
      <c r="A14555" s="1" t="s">
        <v>1222</v>
      </c>
      <c r="B14555" s="0" t="s">
        <v>98</v>
      </c>
      <c r="C14555" s="6" t="n">
        <f aca="false">PL!K39*(1+g_tv)*(1-tax_f)</f>
        <v>316.501318799308</v>
      </c>
    </row>
    <row r="14556" customFormat="false" ht="17.15" hidden="false" customHeight="false" outlineLevel="0" collapsed="false">
      <c r="A14556" s="1" t="s">
        <v>1223</v>
      </c>
      <c r="B14556" s="0" t="s">
        <v>98</v>
      </c>
      <c r="C14556" s="6" t="n">
        <f aca="false">Sens!$C$14555*(1-g_tv/(((px*sh_val*(rf+beta*erp_hi)+(debt_val+fl_val)*kd*(1-tax_w))/(px*sh_val+debt_val+fl_val))+ronic_prem))</f>
        <v>232.883399506173</v>
      </c>
    </row>
    <row r="14557" customFormat="false" ht="17.15" hidden="false" customHeight="false" outlineLevel="0" collapsed="false">
      <c r="A14557" s="1" t="s">
        <v>1224</v>
      </c>
      <c r="B14557" s="0" t="s">
        <v>98</v>
      </c>
      <c r="C14557" s="6" t="n">
        <f aca="false">Sens!$C$14556/(((px*sh_val*(rf+beta*erp_hi)+(debt_val+fl_val)*kd*(1-tax_w))/(px*sh_val+debt_val+fl_val))-g_tv)</f>
        <v>2787.26397643784</v>
      </c>
    </row>
    <row r="14558" customFormat="false" ht="15" hidden="false" customHeight="false" outlineLevel="0" collapsed="false">
      <c r="A14558" s="1" t="s">
        <v>1225</v>
      </c>
      <c r="B14558" s="0" t="s">
        <v>98</v>
      </c>
      <c r="C14558" s="6" t="n">
        <f aca="false">Sens!$C$14557/(1+((px*sh_val*(rf+beta*erp_hi)+(debt_val+fl_val)*kd*(1-tax_w))/(px*sh_val+debt_val+fl_val)))^Sens!K14549</f>
        <v>1502.05954791168</v>
      </c>
    </row>
    <row r="14559" customFormat="false" ht="17.15" hidden="false" customHeight="false" outlineLevel="0" collapsed="false">
      <c r="A14559" s="0" t="s">
        <v>1226</v>
      </c>
      <c r="B14559" s="0" t="s">
        <v>98</v>
      </c>
      <c r="C14559" s="6" t="n">
        <f aca="false">Sens!$C$14554+Sens!$C$14558</f>
        <v>2079.85238462322</v>
      </c>
    </row>
    <row r="14560" customFormat="false" ht="15" hidden="false" customHeight="false" outlineLevel="0" collapsed="false">
      <c r="A14560" s="1" t="s">
        <v>1141</v>
      </c>
      <c r="B14560" s="0" t="s">
        <v>168</v>
      </c>
      <c r="C14560" s="7" t="n">
        <f aca="false">Sens!$C$14558/Sens!$C$14559</f>
        <v>0.72219526684524</v>
      </c>
    </row>
    <row r="14561" customFormat="false" ht="17.15" hidden="false" customHeight="false" outlineLevel="0" collapsed="false">
      <c r="A14561" s="1" t="s">
        <v>1227</v>
      </c>
      <c r="B14561" s="0" t="s">
        <v>98</v>
      </c>
      <c r="C14561" s="6" t="n">
        <f aca="false">Sens!$C$14559+cash_val-debt_val-fl_val+oai_v</f>
        <v>2195.70338462322</v>
      </c>
    </row>
    <row r="14562" customFormat="false" ht="17.15" hidden="false" customHeight="false" outlineLevel="0" collapsed="false">
      <c r="A14562" s="0" t="s">
        <v>1149</v>
      </c>
      <c r="B14562" s="0" t="s">
        <v>75</v>
      </c>
      <c r="C14562" s="5" t="n">
        <f aca="false">Sens!$C$14561/shd_val</f>
        <v>294.883613298848</v>
      </c>
    </row>
    <row r="14563" customFormat="false" ht="15" hidden="false" customHeight="false" outlineLevel="0" collapsed="false">
      <c r="A14563" s="1" t="s">
        <v>1228</v>
      </c>
      <c r="B14563" s="0" t="s">
        <v>75</v>
      </c>
      <c r="C14563" s="8" t="n">
        <f aca="false">div_rem27+CF!G31*roll_div_q/q_per_yr</f>
        <v>3.9795</v>
      </c>
    </row>
    <row r="14564" customFormat="false" ht="17.15" hidden="false" customHeight="false" outlineLevel="0" collapsed="false">
      <c r="A14564" s="0" t="s">
        <v>1229</v>
      </c>
      <c r="B14564" s="0" t="s">
        <v>75</v>
      </c>
      <c r="C14564" s="5" t="n">
        <f aca="false">Sens!$C$14562*(1+((px*sh_val*(rf+beta*erp_hi)+(debt_val+fl_val)*kd*(1-tax_w))/(px*sh_val+debt_val+fl_val)))^t_roll-Sens!$C$14563</f>
        <v>327.207039304872</v>
      </c>
    </row>
    <row r="14565" customFormat="false" ht="17.15" hidden="false" customHeight="false" outlineLevel="0" collapsed="false">
      <c r="A14565" s="1" t="s">
        <v>1230</v>
      </c>
      <c r="B14565" s="0" t="s">
        <v>168</v>
      </c>
      <c r="F14565" s="7" t="n">
        <f aca="false">CF!F17/(Seg!F29-Thesis!F25)</f>
        <v>0.0685527305696859</v>
      </c>
      <c r="G14565" s="7" t="n">
        <f aca="false">CF!G17/(Seg!G29-Thesis!G25)</f>
        <v>0.0653567731599844</v>
      </c>
      <c r="H14565" s="7" t="n">
        <f aca="false">CF!H17/(Seg!H29-Thesis!H25)</f>
        <v>0.0636628841026972</v>
      </c>
      <c r="I14565" s="7" t="n">
        <f aca="false">CF!I17/(Seg!I29-Thesis!I25)</f>
        <v>0.0633581084335176</v>
      </c>
      <c r="J14565" s="7" t="n">
        <f aca="false">CF!J17/(Seg!J29-Thesis!J25)</f>
        <v>0.0640873955995062</v>
      </c>
      <c r="K14565" s="7" t="n">
        <f aca="false">CF!K17/(Seg!K29-Thesis!K25)</f>
        <v>0.0653962234835198</v>
      </c>
    </row>
    <row r="14566" customFormat="false" ht="17.15" hidden="false" customHeight="false" outlineLevel="0" collapsed="false">
      <c r="A14566" s="0" t="s">
        <v>1231</v>
      </c>
      <c r="B14566" s="0" t="s">
        <v>98</v>
      </c>
      <c r="F14566" s="6" t="n">
        <f aca="false">Seg!F14*(al_m365+Sens!F14565+sbc_r)</f>
        <v>84.5213906545575</v>
      </c>
      <c r="G14566" s="6" t="n">
        <f aca="false">Seg!G14*(al_m365+Sens!G14565+sbc_r)</f>
        <v>98.949983331796</v>
      </c>
      <c r="H14566" s="6" t="n">
        <f aca="false">Seg!H14*(al_m365+Sens!H14565+sbc_r)</f>
        <v>113.543734275326</v>
      </c>
      <c r="I14566" s="6" t="n">
        <f aca="false">Seg!I14*(al_m365+Sens!I14565+sbc_r)</f>
        <v>126.62058838692</v>
      </c>
      <c r="J14566" s="6" t="n">
        <f aca="false">Seg!J14*(al_m365+Sens!J14565+sbc_r)</f>
        <v>137.994660156303</v>
      </c>
      <c r="K14566" s="6" t="n">
        <f aca="false">Seg!K14*(al_m365+Sens!K14565+sbc_r)</f>
        <v>148.989224092997</v>
      </c>
      <c r="L14566" s="12" t="s">
        <v>1232</v>
      </c>
    </row>
    <row r="14567" customFormat="false" ht="17.15" hidden="false" customHeight="false" outlineLevel="0" collapsed="false">
      <c r="A14567" s="0" t="s">
        <v>1233</v>
      </c>
      <c r="B14567" s="0" t="s">
        <v>98</v>
      </c>
      <c r="F14567" s="6" t="n">
        <f aca="false">Seg!F15*(al_lic+Sens!F14565+sbc_r)</f>
        <v>32.855200196554</v>
      </c>
      <c r="G14567" s="6" t="n">
        <f aca="false">Seg!G15*(al_lic+Sens!G14565+sbc_r)</f>
        <v>34.1185582613282</v>
      </c>
      <c r="H14567" s="6" t="n">
        <f aca="false">Seg!H15*(al_lic+Sens!H14565+sbc_r)</f>
        <v>35.3024309363621</v>
      </c>
      <c r="I14567" s="6" t="n">
        <f aca="false">Seg!I15*(al_lic+Sens!I14565+sbc_r)</f>
        <v>36.3898468129533</v>
      </c>
      <c r="J14567" s="6" t="n">
        <f aca="false">Seg!J15*(al_lic+Sens!J14565+sbc_r)</f>
        <v>37.3529129529876</v>
      </c>
      <c r="K14567" s="6" t="n">
        <f aca="false">Seg!K15*(al_lic+Sens!K14565+sbc_r)</f>
        <v>38.158536171203</v>
      </c>
    </row>
    <row r="14568" customFormat="false" ht="17.15" hidden="false" customHeight="false" outlineLevel="0" collapsed="false">
      <c r="A14568" s="0" t="s">
        <v>1234</v>
      </c>
      <c r="B14568" s="0" t="s">
        <v>98</v>
      </c>
      <c r="F14568" s="6" t="n">
        <f aca="false">Seg!F17*(al_ind+Sens!F14565+sbc_r)</f>
        <v>9.05892547956683</v>
      </c>
      <c r="G14568" s="6" t="n">
        <f aca="false">Seg!G17*(al_ind+Sens!G14565+sbc_r)</f>
        <v>9.82456487622418</v>
      </c>
      <c r="H14568" s="6" t="n">
        <f aca="false">Seg!H17*(al_ind+Sens!H14565+sbc_r)</f>
        <v>10.6377408477959</v>
      </c>
      <c r="I14568" s="6" t="n">
        <f aca="false">Seg!I17*(al_ind+Sens!I14565+sbc_r)</f>
        <v>11.4966323260293</v>
      </c>
      <c r="J14568" s="6" t="n">
        <f aca="false">Seg!J17*(al_ind+Sens!J14565+sbc_r)</f>
        <v>12.3903660286279</v>
      </c>
      <c r="K14568" s="6" t="n">
        <f aca="false">Seg!K17*(al_ind+Sens!K14565+sbc_r)</f>
        <v>13.3009129057681</v>
      </c>
    </row>
    <row r="14569" customFormat="false" ht="17.15" hidden="false" customHeight="false" outlineLevel="0" collapsed="false">
      <c r="A14569" s="0" t="s">
        <v>1235</v>
      </c>
      <c r="B14569" s="0" t="s">
        <v>98</v>
      </c>
      <c r="F14569" s="6" t="n">
        <f aca="false">Seg!F19*(al_fro+Sens!F14565+sbc_r)</f>
        <v>3.55344443532423</v>
      </c>
      <c r="G14569" s="6" t="n">
        <f aca="false">Seg!G19*(al_fro+Sens!G14565+sbc_r)</f>
        <v>3.75916645971565</v>
      </c>
      <c r="H14569" s="6" t="n">
        <f aca="false">Seg!H19*(al_fro+Sens!H14565+sbc_r)</f>
        <v>3.994970960527</v>
      </c>
      <c r="I14569" s="6" t="n">
        <f aca="false">Seg!I19*(al_fro+Sens!I14565+sbc_r)</f>
        <v>4.26396270432353</v>
      </c>
      <c r="J14569" s="6" t="n">
        <f aca="false">Seg!J19*(al_fro+Sens!J14565+sbc_r)</f>
        <v>4.5667795874336</v>
      </c>
      <c r="K14569" s="6" t="n">
        <f aca="false">Seg!K19*(al_fro+Sens!K14565+sbc_r)</f>
        <v>4.90238443416026</v>
      </c>
    </row>
    <row r="14570" customFormat="false" ht="17.15" hidden="false" customHeight="false" outlineLevel="0" collapsed="false">
      <c r="A14570" s="0" t="s">
        <v>1236</v>
      </c>
      <c r="B14570" s="0" t="s">
        <v>98</v>
      </c>
      <c r="F14570" s="6" t="n">
        <f aca="false">Seg!F22*(al_srch+Sens!F14565+sbc_r)</f>
        <v>11.1872483445711</v>
      </c>
      <c r="G14570" s="6" t="n">
        <f aca="false">Seg!G22*(al_srch+Sens!G14565+sbc_r)</f>
        <v>12.247246048296</v>
      </c>
      <c r="H14570" s="6" t="n">
        <f aca="false">Seg!H22*(al_srch+Sens!H14565+sbc_r)</f>
        <v>13.3552870946193</v>
      </c>
      <c r="I14570" s="6" t="n">
        <f aca="false">Seg!I22*(al_srch+Sens!I14565+sbc_r)</f>
        <v>14.5024145321619</v>
      </c>
      <c r="J14570" s="6" t="n">
        <f aca="false">Seg!J22*(al_srch+Sens!J14565+sbc_r)</f>
        <v>15.667276660652</v>
      </c>
      <c r="K14570" s="6" t="n">
        <f aca="false">Seg!K22*(al_srch+Sens!K14565+sbc_r)</f>
        <v>16.8186381138719</v>
      </c>
    </row>
    <row r="14571" customFormat="false" ht="17.15" hidden="false" customHeight="false" outlineLevel="0" collapsed="false">
      <c r="A14571" s="0" t="s">
        <v>1237</v>
      </c>
      <c r="B14571" s="0" t="s">
        <v>98</v>
      </c>
      <c r="F14571" s="6" t="n">
        <f aca="false">Thesis!F31-Thesis!F32+Thesis!F47</f>
        <v>45.3782580567763</v>
      </c>
      <c r="G14571" s="6" t="n">
        <f aca="false">Thesis!G31-Thesis!G32+Thesis!G47</f>
        <v>91.0863367558165</v>
      </c>
      <c r="H14571" s="6" t="n">
        <f aca="false">Thesis!H31-Thesis!H32+Thesis!H47</f>
        <v>144.617532464853</v>
      </c>
      <c r="I14571" s="6" t="n">
        <f aca="false">Thesis!I31-Thesis!I32+Thesis!I47</f>
        <v>187.137304561304</v>
      </c>
      <c r="J14571" s="6" t="n">
        <f aca="false">Thesis!J31-Thesis!J32+Thesis!J47</f>
        <v>217.006854425907</v>
      </c>
      <c r="K14571" s="6" t="n">
        <f aca="false">Thesis!K31-Thesis!K32+Thesis!K47</f>
        <v>234.933637903877</v>
      </c>
    </row>
    <row r="14572" customFormat="false" ht="17.15" hidden="false" customHeight="false" outlineLevel="0" collapsed="false">
      <c r="A14572" s="0" t="s">
        <v>1238</v>
      </c>
      <c r="B14572" s="0" t="s">
        <v>98</v>
      </c>
      <c r="F14572" s="6" t="n">
        <f aca="false">PL!F32+Thesis!F47+Thesis!F43+Sens!F14565*(Seg!F21-Thesis!F25)+sbc_r*Seg!F21</f>
        <v>240.818167741339</v>
      </c>
      <c r="G14572" s="6" t="n">
        <f aca="false">PL!G32+Thesis!G47+Thesis!G43+Sens!G14565*(Seg!G21-Thesis!G25)+sbc_r*Seg!G21</f>
        <v>311.917784140952</v>
      </c>
      <c r="H14572" s="6" t="n">
        <f aca="false">PL!H32+Thesis!H47+Thesis!H43+Sens!H14565*(Seg!H21-Thesis!H25)+sbc_r*Seg!H21</f>
        <v>395.486245683473</v>
      </c>
      <c r="I14572" s="6" t="n">
        <f aca="false">PL!I32+Thesis!I47+Thesis!I43+Sens!I14565*(Seg!I21-Thesis!I25)+sbc_r*Seg!I21</f>
        <v>465.950805948377</v>
      </c>
      <c r="J14572" s="6" t="n">
        <f aca="false">PL!J32+Thesis!J47+Thesis!J43+Sens!J14565*(Seg!J21-Thesis!J25)+sbc_r*Seg!J21</f>
        <v>520.78677388057</v>
      </c>
      <c r="K14572" s="6" t="n">
        <f aca="false">PL!K32+Thesis!K47+Thesis!K43+Sens!K14565*(Seg!K21-Thesis!K25)+sbc_r*Seg!K21</f>
        <v>561.2469767412</v>
      </c>
    </row>
    <row r="14573" customFormat="false" ht="17.15" hidden="false" customHeight="false" outlineLevel="0" collapsed="false">
      <c r="A14573" s="0" t="s">
        <v>1239</v>
      </c>
      <c r="B14573" s="0" t="s">
        <v>98</v>
      </c>
      <c r="F14573" s="6" t="n">
        <f aca="false">Sens!F14572-Sens!F14566-Sens!F14567-Sens!F14568-Sens!F14569-Sens!F14571</f>
        <v>65.4509489185601</v>
      </c>
      <c r="G14573" s="6" t="n">
        <f aca="false">Sens!G14572-Sens!G14566-Sens!G14567-Sens!G14568-Sens!G14569-Sens!G14571</f>
        <v>74.1791744560715</v>
      </c>
      <c r="H14573" s="6" t="n">
        <f aca="false">Sens!H14572-Sens!H14566-Sens!H14567-Sens!H14568-Sens!H14569-Sens!H14571</f>
        <v>87.3898361986086</v>
      </c>
      <c r="I14573" s="6" t="n">
        <f aca="false">Sens!I14572-Sens!I14566-Sens!I14567-Sens!I14568-Sens!I14569-Sens!I14571</f>
        <v>100.042471156846</v>
      </c>
      <c r="J14573" s="6" t="n">
        <f aca="false">Sens!J14572-Sens!J14566-Sens!J14567-Sens!J14568-Sens!J14569-Sens!J14571</f>
        <v>111.475200729312</v>
      </c>
      <c r="K14573" s="6" t="n">
        <f aca="false">Sens!K14572-Sens!K14566-Sens!K14567-Sens!K14568-Sens!K14569-Sens!K14571</f>
        <v>120.962281233195</v>
      </c>
    </row>
    <row r="14574" customFormat="false" ht="17.15" hidden="false" customHeight="false" outlineLevel="0" collapsed="false">
      <c r="A14574" s="0" t="s">
        <v>1240</v>
      </c>
      <c r="B14574" s="0" t="s">
        <v>98</v>
      </c>
      <c r="F14574" s="6" t="n">
        <f aca="false">PL!F34+Sens!F14565*Seg!F28+sbc_r*Seg!F28</f>
        <v>26.6293388420472</v>
      </c>
      <c r="G14574" s="6" t="n">
        <f aca="false">PL!G34+Sens!G14565*Seg!G28+sbc_r*Seg!G28</f>
        <v>26.4405000412783</v>
      </c>
      <c r="H14574" s="6" t="n">
        <f aca="false">PL!H34+Sens!H14565*Seg!H28+sbc_r*Seg!H28</f>
        <v>27.296860059552</v>
      </c>
      <c r="I14574" s="6" t="n">
        <f aca="false">PL!I34+Sens!I14565*Seg!I28+sbc_r*Seg!I28</f>
        <v>28.3995465815703</v>
      </c>
      <c r="J14574" s="6" t="n">
        <f aca="false">PL!J34+Sens!J14565*Seg!J28+sbc_r*Seg!J28</f>
        <v>29.7093380975903</v>
      </c>
      <c r="K14574" s="6" t="n">
        <f aca="false">PL!K34+Sens!K14565*Seg!K28+sbc_r*Seg!K28</f>
        <v>31.1817775287323</v>
      </c>
    </row>
    <row r="14575" customFormat="false" ht="17.15" hidden="false" customHeight="false" outlineLevel="0" collapsed="false">
      <c r="A14575" s="0" t="s">
        <v>1241</v>
      </c>
      <c r="B14575" s="0" t="s">
        <v>98</v>
      </c>
      <c r="F14575" s="6" t="n">
        <f aca="false">(Sens!F14574-Sens!F14570)*Seg!F24/(Seg!F24+Seg!F26)</f>
        <v>8.72146908842971</v>
      </c>
      <c r="G14575" s="6" t="n">
        <f aca="false">(Sens!G14574-Sens!G14570)*Seg!G24/(Seg!G24+Seg!G26)</f>
        <v>7.87837655379173</v>
      </c>
      <c r="H14575" s="6" t="n">
        <f aca="false">(Sens!H14574-Sens!H14570)*Seg!H24/(Seg!H24+Seg!H26)</f>
        <v>7.63786170689933</v>
      </c>
      <c r="I14575" s="6" t="n">
        <f aca="false">(Sens!I14574-Sens!I14570)*Seg!I24/(Seg!I24+Seg!I26)</f>
        <v>7.5470606300581</v>
      </c>
      <c r="J14575" s="6" t="n">
        <f aca="false">(Sens!J14574-Sens!J14570)*Seg!J24/(Seg!J24+Seg!J26)</f>
        <v>7.59249600034024</v>
      </c>
      <c r="K14575" s="6" t="n">
        <f aca="false">(Sens!K14574-Sens!K14570)*Seg!K24/(Seg!K24+Seg!K26)</f>
        <v>7.76610179704742</v>
      </c>
    </row>
    <row r="14576" customFormat="false" ht="17.15" hidden="false" customHeight="false" outlineLevel="0" collapsed="false">
      <c r="A14576" s="0" t="s">
        <v>1242</v>
      </c>
      <c r="B14576" s="0" t="s">
        <v>98</v>
      </c>
      <c r="F14576" s="6" t="n">
        <f aca="false">Sens!F14574-Sens!F14570-Sens!F14575</f>
        <v>6.72062140904636</v>
      </c>
      <c r="G14576" s="6" t="n">
        <f aca="false">Sens!G14574-Sens!G14570-Sens!G14575</f>
        <v>6.31487743919059</v>
      </c>
      <c r="H14576" s="6" t="n">
        <f aca="false">Sens!H14574-Sens!H14570-Sens!H14575</f>
        <v>6.30371125803333</v>
      </c>
      <c r="I14576" s="6" t="n">
        <f aca="false">Sens!I14574-Sens!I14570-Sens!I14575</f>
        <v>6.35007141935025</v>
      </c>
      <c r="J14576" s="6" t="n">
        <f aca="false">Sens!J14574-Sens!J14570-Sens!J14575</f>
        <v>6.44956543659808</v>
      </c>
      <c r="K14576" s="6" t="n">
        <f aca="false">Sens!K14574-Sens!K14570-Sens!K14575</f>
        <v>6.597037617813</v>
      </c>
    </row>
    <row r="14577" customFormat="false" ht="17.15" hidden="false" customHeight="false" outlineLevel="0" collapsed="false">
      <c r="A14577" s="0" t="s">
        <v>1243</v>
      </c>
      <c r="B14577" s="0" t="s">
        <v>98</v>
      </c>
      <c r="F14577" s="6" t="n">
        <f aca="false">Sens!F14571-tax_f*(Sens!F14571-Thesis!F43)-Thesis!F40</f>
        <v>-125.235434701028</v>
      </c>
      <c r="G14577" s="6" t="n">
        <f aca="false">Sens!G14571-tax_f*(Sens!G14571-Thesis!G43)-Thesis!G40</f>
        <v>-106.928508113935</v>
      </c>
      <c r="H14577" s="6" t="n">
        <f aca="false">Sens!H14571-tax_f*(Sens!H14571-Thesis!H43)-Thesis!H40</f>
        <v>-63.2919599603405</v>
      </c>
      <c r="I14577" s="6" t="n">
        <f aca="false">Sens!I14571-tax_f*(Sens!I14571-Thesis!I43)-Thesis!I40</f>
        <v>3.94121196634245</v>
      </c>
      <c r="J14577" s="6" t="n">
        <f aca="false">Sens!J14571-tax_f*(Sens!J14571-Thesis!J43)-Thesis!J40</f>
        <v>71.0786869547042</v>
      </c>
      <c r="K14577" s="6" t="n">
        <f aca="false">Sens!K14571-tax_f*(Sens!K14571-Thesis!K43)-Thesis!K40</f>
        <v>97.5865911685559</v>
      </c>
    </row>
    <row r="14578" customFormat="false" ht="17.15" hidden="false" customHeight="false" outlineLevel="0" collapsed="false">
      <c r="A14578" s="0" t="s">
        <v>1244</v>
      </c>
      <c r="B14578" s="0" t="s">
        <v>98</v>
      </c>
      <c r="G14578" s="6" t="n">
        <f aca="false">Sens!G14577/(1+((px*sh_val*(rf+beta*erp_hi)+(debt_val+fl_val)*kd*(1-tax_w))/(px*sh_val+debt_val+fl_val)))^(Sens!G14548-Sens!F14549)</f>
        <v>-101.330018528363</v>
      </c>
      <c r="H14578" s="6" t="n">
        <f aca="false">Sens!H14577/(1+((px*sh_val*(rf+beta*erp_hi)+(debt_val+fl_val)*kd*(1-tax_w))/(px*sh_val+debt_val+fl_val)))^(Sens!H14548-Sens!F14549)</f>
        <v>-53.8619891802897</v>
      </c>
      <c r="I14578" s="6" t="n">
        <f aca="false">Sens!I14577/(1+((px*sh_val*(rf+beta*erp_hi)+(debt_val+fl_val)*kd*(1-tax_w))/(px*sh_val+debt_val+fl_val)))^(Sens!I14548-Sens!F14549)</f>
        <v>3.01198542160825</v>
      </c>
      <c r="J14578" s="6" t="n">
        <f aca="false">Sens!J14577/(1+((px*sh_val*(rf+beta*erp_hi)+(debt_val+fl_val)*kd*(1-tax_w))/(px*sh_val+debt_val+fl_val)))^(Sens!J14548-Sens!F14549)</f>
        <v>48.7811122428609</v>
      </c>
      <c r="K14578" s="6" t="n">
        <f aca="false">Sens!K14577/(1+((px*sh_val*(rf+beta*erp_hi)+(debt_val+fl_val)*kd*(1-tax_w))/(px*sh_val+debt_val+fl_val)))^(Sens!K14548-Sens!F14549)</f>
        <v>60.1439128061791</v>
      </c>
      <c r="L14578" s="1" t="s">
        <v>1245</v>
      </c>
    </row>
    <row r="14579" customFormat="false" ht="17.15" hidden="false" customHeight="false" outlineLevel="0" collapsed="false">
      <c r="A14579" s="0" t="s">
        <v>1246</v>
      </c>
      <c r="B14579" s="0" t="s">
        <v>98</v>
      </c>
      <c r="C14579" s="6" t="n">
        <f aca="false">(Sens!K14571-Thesis!K43)*(1-tax_f)*(1+g_tv)*(1-g_tv/(((px*sh_val*(rf+beta*erp_hi)+(debt_val+fl_val)*kd*(1-tax_w))/(px*sh_val+debt_val+fl_val))+ronic_prem))/(((px*sh_val*(rf+beta*erp_hi)+(debt_val+fl_val)*kd*(1-tax_w))/(px*sh_val+debt_val+fl_val))-g_tv)/(1+((px*sh_val*(rf+beta*erp_hi)+(debt_val+fl_val)*kd*(1-tax_w))/(px*sh_val+debt_val+fl_val)))^(Sens!K14549-Sens!F14549)</f>
        <v>389.574503587495</v>
      </c>
    </row>
    <row r="14580" customFormat="false" ht="17.15" hidden="false" customHeight="false" outlineLevel="0" collapsed="false">
      <c r="A14580" s="1" t="s">
        <v>1247</v>
      </c>
      <c r="B14580" s="0" t="s">
        <v>98</v>
      </c>
      <c r="C14580" s="6" t="n">
        <f aca="false">(SUM(Sens!G14578:K14578)+Sens!$C$14579)*(1+((px*sh_val*(rf+beta*erp_hi)+(debt_val+fl_val)*kd*(1-tax_w))/(px*sh_val+debt_val+fl_val)))^(t_roll-Sens!F14549)</f>
        <v>358.890443587758</v>
      </c>
      <c r="L14580" s="12" t="s">
        <v>1248</v>
      </c>
    </row>
    <row r="14581" customFormat="false" ht="17.15" hidden="false" customHeight="false" outlineLevel="0" collapsed="false">
      <c r="A14581" s="1" t="s">
        <v>1249</v>
      </c>
      <c r="B14581" s="0" t="s">
        <v>98</v>
      </c>
      <c r="C14581" s="6" t="n">
        <f aca="false">(w_ntm28*Thesis!G31+(1-w_ntm28)*Thesis!H31)*m_ai</f>
        <v>563.316843258668</v>
      </c>
    </row>
    <row r="14582" customFormat="false" ht="17.15" hidden="false" customHeight="false" outlineLevel="0" collapsed="false">
      <c r="A14582" s="1" t="s">
        <v>1250</v>
      </c>
      <c r="B14582" s="0" t="s">
        <v>98</v>
      </c>
      <c r="C14582" s="6" t="n">
        <f aca="false">(w_ntm28*Sens!G14573+(1-w_ntm28)*Sens!H14573)*m_cloud</f>
        <v>1085.17964696599</v>
      </c>
    </row>
    <row r="14583" customFormat="false" ht="17.15" hidden="false" customHeight="false" outlineLevel="0" collapsed="false">
      <c r="A14583" s="1" t="s">
        <v>1251</v>
      </c>
      <c r="B14583" s="0" t="s">
        <v>98</v>
      </c>
      <c r="C14583" s="6" t="n">
        <f aca="false">(w_ntm28*Sens!G14566+(1-w_ntm28)*Sens!H14566)*m_sw</f>
        <v>1120.47763155275</v>
      </c>
    </row>
    <row r="14584" customFormat="false" ht="17.15" hidden="false" customHeight="false" outlineLevel="0" collapsed="false">
      <c r="A14584" s="1" t="s">
        <v>1252</v>
      </c>
      <c r="B14584" s="0" t="s">
        <v>98</v>
      </c>
      <c r="C14584" s="6" t="n">
        <f aca="false">(w_ntm28*Sens!G14567+(1-w_ntm28)*Sens!H14567)*m_sw</f>
        <v>372.68398809041</v>
      </c>
    </row>
    <row r="14585" customFormat="false" ht="17.15" hidden="false" customHeight="false" outlineLevel="0" collapsed="false">
      <c r="A14585" s="1" t="s">
        <v>1253</v>
      </c>
      <c r="B14585" s="0" t="s">
        <v>98</v>
      </c>
      <c r="C14585" s="6" t="n">
        <f aca="false">(w_ntm28*Sens!G14568+(1-w_ntm28)*Sens!H14568)*m_sw</f>
        <v>108.992632332144</v>
      </c>
    </row>
    <row r="14586" customFormat="false" ht="17.15" hidden="false" customHeight="false" outlineLevel="0" collapsed="false">
      <c r="A14586" s="1" t="s">
        <v>1254</v>
      </c>
      <c r="B14586" s="0" t="s">
        <v>98</v>
      </c>
      <c r="C14586" s="6" t="n">
        <f aca="false">(w_ntm28*Sens!G14569+(1-w_ntm28)*Sens!H14569)*m_sw</f>
        <v>41.4362652527414</v>
      </c>
    </row>
    <row r="14587" customFormat="false" ht="17.15" hidden="false" customHeight="false" outlineLevel="0" collapsed="false">
      <c r="A14587" s="1" t="s">
        <v>1255</v>
      </c>
      <c r="B14587" s="0" t="s">
        <v>98</v>
      </c>
      <c r="C14587" s="6" t="n">
        <f aca="false">(w_ntm28*Sens!G14570+(1-w_ntm28)*Sens!H14570)*m_ads</f>
        <v>114.891070326937</v>
      </c>
    </row>
    <row r="14588" customFormat="false" ht="17.15" hidden="false" customHeight="false" outlineLevel="0" collapsed="false">
      <c r="A14588" s="1" t="s">
        <v>1256</v>
      </c>
      <c r="B14588" s="0" t="s">
        <v>98</v>
      </c>
      <c r="C14588" s="6" t="n">
        <f aca="false">(w_ntm28*Sens!G14575+(1-w_ntm28)*Sens!H14575)*m_game</f>
        <v>98.505199156718</v>
      </c>
    </row>
    <row r="14589" customFormat="false" ht="17.15" hidden="false" customHeight="false" outlineLevel="0" collapsed="false">
      <c r="A14589" s="1" t="s">
        <v>1257</v>
      </c>
      <c r="B14589" s="0" t="s">
        <v>98</v>
      </c>
      <c r="C14589" s="6" t="n">
        <f aca="false">(w_ntm28*Sens!G14576+(1-w_ntm28)*Sens!H14576)*m_pc</f>
        <v>91.3231561150564</v>
      </c>
    </row>
    <row r="14590" customFormat="false" ht="17.15" hidden="false" customHeight="false" outlineLevel="0" collapsed="false">
      <c r="A14590" s="1" t="s">
        <v>1258</v>
      </c>
      <c r="B14590" s="0" t="s">
        <v>98</v>
      </c>
      <c r="C14590" s="6" t="n">
        <f aca="false">Sens!$C$14580+Sens!$C$14582+Sens!$C$14583+Sens!$C$14584+Sens!$C$14585+Sens!$C$14586+Sens!$C$14587+Sens!$C$14588+Sens!$C$14589</f>
        <v>3392.3800333805</v>
      </c>
    </row>
    <row r="14591" customFormat="false" ht="17.15" hidden="false" customHeight="false" outlineLevel="0" collapsed="false">
      <c r="A14591" s="1" t="s">
        <v>1259</v>
      </c>
      <c r="B14591" s="0" t="s">
        <v>98</v>
      </c>
      <c r="C14591" s="6" t="n">
        <f aca="false">(Sens!G14552-Sens!G14577)*t_stub</f>
        <v>48.2832931160316</v>
      </c>
      <c r="L14591" s="1" t="s">
        <v>1260</v>
      </c>
    </row>
    <row r="14592" customFormat="false" ht="17.15" hidden="false" customHeight="false" outlineLevel="0" collapsed="false">
      <c r="A14592" s="1" t="s">
        <v>1169</v>
      </c>
      <c r="B14592" s="0" t="s">
        <v>98</v>
      </c>
      <c r="C14592" s="6" t="n">
        <f aca="false">CF!F39+oai_v-CF!F28+Sens!$C$14591</f>
        <v>162.511563116032</v>
      </c>
      <c r="L14592" s="1" t="s">
        <v>1261</v>
      </c>
    </row>
    <row r="14593" customFormat="false" ht="17.15" hidden="false" customHeight="false" outlineLevel="0" collapsed="false">
      <c r="A14593" s="1" t="s">
        <v>1262</v>
      </c>
      <c r="B14593" s="0" t="s">
        <v>75</v>
      </c>
      <c r="C14593" s="5" t="n">
        <f aca="false">(Sens!$C$14590+Sens!$C$14592)/(CF!F41+dil_gap)-CF!G31*roll_div_q/q_per_yr</f>
        <v>473.562055265782</v>
      </c>
      <c r="L14593" s="1" t="s">
        <v>1263</v>
      </c>
    </row>
    <row r="14594" customFormat="false" ht="17.15" hidden="false" customHeight="false" outlineLevel="0" collapsed="false">
      <c r="A14594" s="1" t="s">
        <v>1264</v>
      </c>
      <c r="B14594" s="0" t="s">
        <v>75</v>
      </c>
      <c r="C14594" s="5" t="n">
        <f aca="false">w_dcf*Sens!$C$14564+(1-w_dcf)*Sens!$C$14593</f>
        <v>400.384547285327</v>
      </c>
    </row>
    <row r="14595" customFormat="false" ht="17.15" hidden="false" customHeight="false" outlineLevel="0" collapsed="false">
      <c r="A14595" s="3" t="s">
        <v>1841</v>
      </c>
    </row>
    <row r="14596" customFormat="false" ht="15" hidden="false" customHeight="false" outlineLevel="0" collapsed="false">
      <c r="A14596" s="4" t="s">
        <v>43</v>
      </c>
      <c r="B14596" s="4" t="s">
        <v>65</v>
      </c>
      <c r="C14596" s="23" t="s">
        <v>938</v>
      </c>
      <c r="D14596" s="23" t="s">
        <v>939</v>
      </c>
      <c r="E14596" s="23" t="s">
        <v>940</v>
      </c>
      <c r="F14596" s="23" t="s">
        <v>941</v>
      </c>
      <c r="G14596" s="23" t="s">
        <v>942</v>
      </c>
      <c r="H14596" s="23" t="s">
        <v>943</v>
      </c>
      <c r="I14596" s="23" t="s">
        <v>944</v>
      </c>
      <c r="J14596" s="23" t="s">
        <v>945</v>
      </c>
      <c r="K14596" s="23" t="s">
        <v>946</v>
      </c>
      <c r="L14596" s="4" t="s">
        <v>47</v>
      </c>
    </row>
    <row r="14597" customFormat="false" ht="17.15" hidden="false" customHeight="false" outlineLevel="0" collapsed="false">
      <c r="A14597" s="1" t="s">
        <v>1212</v>
      </c>
      <c r="B14597" s="1" t="s">
        <v>279</v>
      </c>
      <c r="F14597" s="8" t="n">
        <f aca="false">(1-v_off)*mid_yr</f>
        <v>0.373972602739726</v>
      </c>
      <c r="G14597" s="8" t="n">
        <f aca="false">Thesis!G58-base_fy-mid_yr-v_off</f>
        <v>1.24794520547945</v>
      </c>
      <c r="H14597" s="8" t="n">
        <f aca="false">Thesis!H58-base_fy-mid_yr-v_off</f>
        <v>2.24794520547945</v>
      </c>
      <c r="I14597" s="8" t="n">
        <f aca="false">Thesis!I58-base_fy-mid_yr-v_off</f>
        <v>3.24794520547945</v>
      </c>
      <c r="J14597" s="8" t="n">
        <f aca="false">Thesis!J58-base_fy-mid_yr-v_off</f>
        <v>4.24794520547945</v>
      </c>
      <c r="K14597" s="8" t="n">
        <f aca="false">Thesis!K58-base_fy-mid_yr-v_off</f>
        <v>5.24794520547945</v>
      </c>
      <c r="L14597" s="12" t="s">
        <v>1213</v>
      </c>
    </row>
    <row r="14598" customFormat="false" ht="15" hidden="false" customHeight="false" outlineLevel="0" collapsed="false">
      <c r="A14598" s="1" t="s">
        <v>1214</v>
      </c>
      <c r="B14598" s="1" t="s">
        <v>279</v>
      </c>
      <c r="F14598" s="8" t="n">
        <f aca="false">Thesis!F58-base_fy-v_off</f>
        <v>0.747945205479452</v>
      </c>
      <c r="G14598" s="8" t="n">
        <f aca="false">Thesis!G58-base_fy-v_off</f>
        <v>1.74794520547945</v>
      </c>
      <c r="H14598" s="8" t="n">
        <f aca="false">Thesis!H58-base_fy-v_off</f>
        <v>2.74794520547945</v>
      </c>
      <c r="I14598" s="8" t="n">
        <f aca="false">Thesis!I58-base_fy-v_off</f>
        <v>3.74794520547945</v>
      </c>
      <c r="J14598" s="8" t="n">
        <f aca="false">Thesis!J58-base_fy-v_off</f>
        <v>4.74794520547945</v>
      </c>
      <c r="K14598" s="8" t="n">
        <f aca="false">Thesis!K58-base_fy-v_off</f>
        <v>5.74794520547945</v>
      </c>
    </row>
    <row r="14599" customFormat="false" ht="15" hidden="false" customHeight="false" outlineLevel="0" collapsed="false">
      <c r="A14599" s="1" t="s">
        <v>1215</v>
      </c>
      <c r="B14599" s="0" t="s">
        <v>229</v>
      </c>
      <c r="F14599" s="15" t="n">
        <f aca="false">1/(1+((px*sh_val*(rf+beta*erp_hi)+(debt_val+fl_val)*kd*(1-tax_w))/(px*sh_val+debt_val+fl_val)))^Sens!F14597</f>
        <v>0.96057538035295</v>
      </c>
      <c r="G14599" s="15" t="n">
        <f aca="false">1/(1+((px*sh_val*(rf+beta*erp_hi)+(debt_val+fl_val)*kd*(1-tax_w))/(px*sh_val+debt_val+fl_val)))^Sens!G14597</f>
        <v>0.874394701758995</v>
      </c>
      <c r="H14599" s="15" t="n">
        <f aca="false">1/(1+((px*sh_val*(rf+beta*erp_hi)+(debt_val+fl_val)*kd*(1-tax_w))/(px*sh_val+debt_val+fl_val)))^Sens!H14597</f>
        <v>0.785229752114597</v>
      </c>
      <c r="I14599" s="15" t="n">
        <f aca="false">1/(1+((px*sh_val*(rf+beta*erp_hi)+(debt_val+fl_val)*kd*(1-tax_w))/(px*sh_val+debt_val+fl_val)))^Sens!I14597</f>
        <v>0.705157250341961</v>
      </c>
      <c r="J14599" s="15" t="n">
        <f aca="false">1/(1+((px*sh_val*(rf+beta*erp_hi)+(debt_val+fl_val)*kd*(1-tax_w))/(px*sh_val+debt_val+fl_val)))^Sens!J14597</f>
        <v>0.63325000914798</v>
      </c>
      <c r="K14599" s="15" t="n">
        <f aca="false">1/(1+((px*sh_val*(rf+beta*erp_hi)+(debt_val+fl_val)*kd*(1-tax_w))/(px*sh_val+debt_val+fl_val)))^Sens!K14597</f>
        <v>0.568675389626147</v>
      </c>
    </row>
    <row r="14600" customFormat="false" ht="17.15" hidden="false" customHeight="false" outlineLevel="0" collapsed="false">
      <c r="A14600" s="1" t="s">
        <v>1216</v>
      </c>
      <c r="B14600" s="0" t="s">
        <v>98</v>
      </c>
      <c r="F14600" s="6" t="n">
        <f aca="false">Q!$I$35-Q!$I$39-Q!$I$43</f>
        <v>9.666</v>
      </c>
      <c r="L14600" s="12" t="s">
        <v>1217</v>
      </c>
    </row>
    <row r="14601" customFormat="false" ht="17.15" hidden="false" customHeight="false" outlineLevel="0" collapsed="false">
      <c r="A14601" s="1" t="s">
        <v>1218</v>
      </c>
      <c r="B14601" s="0" t="s">
        <v>98</v>
      </c>
      <c r="F14601" s="6" t="n">
        <f aca="false">CF!F55-CF!F52-CF!F59+Thesis!F99*(1-tax_f)*(1-v_off)-Sens!F14600</f>
        <v>-3.35959137570949</v>
      </c>
      <c r="G14601" s="6" t="n">
        <f aca="false">CF!G55-CF!G52-CF!G59+Thesis!G99*(1-tax_f)</f>
        <v>29.8084555066036</v>
      </c>
      <c r="H14601" s="6" t="n">
        <f aca="false">CF!H55-CF!H52-CF!H59+Thesis!H99*(1-tax_f)</f>
        <v>79.3231801478051</v>
      </c>
      <c r="I14601" s="6" t="n">
        <f aca="false">CF!I55-CF!I52-CF!I59+Thesis!I99*(1-tax_f)</f>
        <v>157.29132812061</v>
      </c>
      <c r="J14601" s="6" t="n">
        <f aca="false">CF!J55-CF!J52-CF!J59+Thesis!J99*(1-tax_f)</f>
        <v>235.537601843622</v>
      </c>
      <c r="K14601" s="6" t="n">
        <f aca="false">CF!K55-CF!K52-CF!K59+Thesis!K99*(1-tax_f)</f>
        <v>273.705067207806</v>
      </c>
      <c r="L14601" s="1" t="s">
        <v>1219</v>
      </c>
    </row>
    <row r="14602" customFormat="false" ht="15" hidden="false" customHeight="false" outlineLevel="0" collapsed="false">
      <c r="A14602" s="1" t="s">
        <v>1220</v>
      </c>
      <c r="B14602" s="0" t="s">
        <v>98</v>
      </c>
      <c r="F14602" s="6" t="n">
        <f aca="false">Sens!F14601*Sens!F14599</f>
        <v>-3.22714076355264</v>
      </c>
      <c r="G14602" s="6" t="n">
        <f aca="false">Sens!G14601*Sens!G14599</f>
        <v>26.064355562593</v>
      </c>
      <c r="H14602" s="6" t="n">
        <f aca="false">Sens!H14601*Sens!H14599</f>
        <v>62.2869210844026</v>
      </c>
      <c r="I14602" s="6" t="n">
        <f aca="false">Sens!I14601*Sens!I14599</f>
        <v>110.915120440165</v>
      </c>
      <c r="J14602" s="6" t="n">
        <f aca="false">Sens!J14601*Sens!J14599</f>
        <v>149.154188522167</v>
      </c>
      <c r="K14602" s="6" t="n">
        <f aca="false">Sens!K14601*Sens!K14599</f>
        <v>155.64933573705</v>
      </c>
    </row>
    <row r="14603" customFormat="false" ht="17.15" hidden="false" customHeight="false" outlineLevel="0" collapsed="false">
      <c r="A14603" s="1" t="s">
        <v>1221</v>
      </c>
      <c r="B14603" s="0" t="s">
        <v>98</v>
      </c>
      <c r="C14603" s="6" t="n">
        <f aca="false">SUM(Sens!F14602:K14602)</f>
        <v>500.842780582824</v>
      </c>
    </row>
    <row r="14604" customFormat="false" ht="17.15" hidden="false" customHeight="false" outlineLevel="0" collapsed="false">
      <c r="A14604" s="1" t="s">
        <v>1222</v>
      </c>
      <c r="B14604" s="0" t="s">
        <v>98</v>
      </c>
      <c r="C14604" s="6" t="n">
        <f aca="false">PL!K78*(1+g_tv)*(1-tax_f)</f>
        <v>284.979534119394</v>
      </c>
    </row>
    <row r="14605" customFormat="false" ht="17.15" hidden="false" customHeight="false" outlineLevel="0" collapsed="false">
      <c r="A14605" s="1" t="s">
        <v>1223</v>
      </c>
      <c r="B14605" s="0" t="s">
        <v>98</v>
      </c>
      <c r="C14605" s="6" t="n">
        <f aca="false">Sens!$C$14604*(1-g_tv/(((px*sh_val*(rf+beta*erp_hi)+(debt_val+fl_val)*kd*(1-tax_w))/(px*sh_val+debt_val+fl_val))+ronic_prem))</f>
        <v>209.689498126524</v>
      </c>
    </row>
    <row r="14606" customFormat="false" ht="17.15" hidden="false" customHeight="false" outlineLevel="0" collapsed="false">
      <c r="A14606" s="1" t="s">
        <v>1224</v>
      </c>
      <c r="B14606" s="0" t="s">
        <v>98</v>
      </c>
      <c r="C14606" s="6" t="n">
        <f aca="false">Sens!$C$14605/(((px*sh_val*(rf+beta*erp_hi)+(debt_val+fl_val)*kd*(1-tax_w))/(px*sh_val+debt_val+fl_val))-g_tv)</f>
        <v>2509.667866429</v>
      </c>
    </row>
    <row r="14607" customFormat="false" ht="15" hidden="false" customHeight="false" outlineLevel="0" collapsed="false">
      <c r="A14607" s="1" t="s">
        <v>1225</v>
      </c>
      <c r="B14607" s="0" t="s">
        <v>98</v>
      </c>
      <c r="C14607" s="6" t="n">
        <f aca="false">Sens!$C$14606/(1+((px*sh_val*(rf+beta*erp_hi)+(debt_val+fl_val)*kd*(1-tax_w))/(px*sh_val+debt_val+fl_val)))^Sens!K14598</f>
        <v>1352.46270633989</v>
      </c>
    </row>
    <row r="14608" customFormat="false" ht="17.15" hidden="false" customHeight="false" outlineLevel="0" collapsed="false">
      <c r="A14608" s="0" t="s">
        <v>1226</v>
      </c>
      <c r="B14608" s="0" t="s">
        <v>98</v>
      </c>
      <c r="C14608" s="6" t="n">
        <f aca="false">Sens!$C$14603+Sens!$C$14607</f>
        <v>1853.30548692271</v>
      </c>
    </row>
    <row r="14609" customFormat="false" ht="15" hidden="false" customHeight="false" outlineLevel="0" collapsed="false">
      <c r="A14609" s="1" t="s">
        <v>1141</v>
      </c>
      <c r="B14609" s="0" t="s">
        <v>168</v>
      </c>
      <c r="C14609" s="7" t="n">
        <f aca="false">Sens!$C$14607/Sens!$C$14608</f>
        <v>0.729757029201678</v>
      </c>
    </row>
    <row r="14610" customFormat="false" ht="17.15" hidden="false" customHeight="false" outlineLevel="0" collapsed="false">
      <c r="A14610" s="1" t="s">
        <v>1227</v>
      </c>
      <c r="B14610" s="0" t="s">
        <v>98</v>
      </c>
      <c r="C14610" s="6" t="n">
        <f aca="false">Sens!$C$14608+cash_val-debt_val-fl_val+oai_v</f>
        <v>1969.15648692271</v>
      </c>
    </row>
    <row r="14611" customFormat="false" ht="17.15" hidden="false" customHeight="false" outlineLevel="0" collapsed="false">
      <c r="A14611" s="0" t="s">
        <v>1149</v>
      </c>
      <c r="B14611" s="0" t="s">
        <v>75</v>
      </c>
      <c r="C14611" s="5" t="n">
        <f aca="false">Sens!$C$14610/shd_val</f>
        <v>264.458298001976</v>
      </c>
    </row>
    <row r="14612" customFormat="false" ht="15" hidden="false" customHeight="false" outlineLevel="0" collapsed="false">
      <c r="A14612" s="1" t="s">
        <v>1228</v>
      </c>
      <c r="B14612" s="0" t="s">
        <v>75</v>
      </c>
      <c r="C14612" s="8" t="n">
        <f aca="false">div_rem27+CF!G63*roll_div_q/q_per_yr</f>
        <v>3.9795</v>
      </c>
    </row>
    <row r="14613" customFormat="false" ht="17.15" hidden="false" customHeight="false" outlineLevel="0" collapsed="false">
      <c r="A14613" s="0" t="s">
        <v>1229</v>
      </c>
      <c r="B14613" s="0" t="s">
        <v>75</v>
      </c>
      <c r="C14613" s="5" t="n">
        <f aca="false">Sens!$C$14611*(1+((px*sh_val*(rf+beta*erp_hi)+(debt_val+fl_val)*kd*(1-tax_w))/(px*sh_val+debt_val+fl_val)))^t_roll-Sens!$C$14612</f>
        <v>293.036083626102</v>
      </c>
    </row>
    <row r="14614" customFormat="false" ht="17.15" hidden="false" customHeight="false" outlineLevel="0" collapsed="false">
      <c r="A14614" s="1" t="s">
        <v>1230</v>
      </c>
      <c r="B14614" s="0" t="s">
        <v>168</v>
      </c>
      <c r="F14614" s="7" t="n">
        <f aca="false">CF!F49/(Seg!F56-Thesis!F77)</f>
        <v>0.0686195668908011</v>
      </c>
      <c r="G14614" s="7" t="n">
        <f aca="false">CF!G49/(Seg!G56-Thesis!G77)</f>
        <v>0.0658333569148391</v>
      </c>
      <c r="H14614" s="7" t="n">
        <f aca="false">CF!H49/(Seg!H56-Thesis!H77)</f>
        <v>0.0643895625218926</v>
      </c>
      <c r="I14614" s="7" t="n">
        <f aca="false">CF!I49/(Seg!I56-Thesis!I77)</f>
        <v>0.0641676618157989</v>
      </c>
      <c r="J14614" s="7" t="n">
        <f aca="false">CF!J49/(Seg!J56-Thesis!J77)</f>
        <v>0.0648858606572163</v>
      </c>
      <c r="K14614" s="7" t="n">
        <f aca="false">CF!K49/(Seg!K56-Thesis!K77)</f>
        <v>0.0661974425163768</v>
      </c>
    </row>
    <row r="14615" customFormat="false" ht="17.15" hidden="false" customHeight="false" outlineLevel="0" collapsed="false">
      <c r="A14615" s="0" t="s">
        <v>1231</v>
      </c>
      <c r="B14615" s="0" t="s">
        <v>98</v>
      </c>
      <c r="F14615" s="6" t="n">
        <f aca="false">Seg!F41*(al_m365+Sens!F14614+sbc_r)</f>
        <v>83.7205619248671</v>
      </c>
      <c r="G14615" s="6" t="n">
        <f aca="false">Seg!G41*(al_m365+Sens!G14614+sbc_r)</f>
        <v>96.1301303332381</v>
      </c>
      <c r="H14615" s="6" t="n">
        <f aca="false">Seg!H41*(al_m365+Sens!H14614+sbc_r)</f>
        <v>108.70354073822</v>
      </c>
      <c r="I14615" s="6" t="n">
        <f aca="false">Seg!I41*(al_m365+Sens!I14614+sbc_r)</f>
        <v>120.260101315626</v>
      </c>
      <c r="J14615" s="6" t="n">
        <f aca="false">Seg!J41*(al_m365+Sens!J14614+sbc_r)</f>
        <v>130.611904548619</v>
      </c>
      <c r="K14615" s="6" t="n">
        <f aca="false">Seg!K41*(al_m365+Sens!K14614+sbc_r)</f>
        <v>140.575094974638</v>
      </c>
      <c r="L14615" s="12" t="s">
        <v>1232</v>
      </c>
    </row>
    <row r="14616" customFormat="false" ht="17.15" hidden="false" customHeight="false" outlineLevel="0" collapsed="false">
      <c r="A14616" s="0" t="s">
        <v>1233</v>
      </c>
      <c r="B14616" s="0" t="s">
        <v>98</v>
      </c>
      <c r="F14616" s="6" t="n">
        <f aca="false">Seg!F42*(al_lic+Sens!F14614+sbc_r)</f>
        <v>32.8577657183496</v>
      </c>
      <c r="G14616" s="6" t="n">
        <f aca="false">Seg!G42*(al_lic+Sens!G14614+sbc_r)</f>
        <v>34.1376266324889</v>
      </c>
      <c r="H14616" s="6" t="n">
        <f aca="false">Seg!H42*(al_lic+Sens!H14614+sbc_r)</f>
        <v>35.3325744664128</v>
      </c>
      <c r="I14616" s="6" t="n">
        <f aca="false">Seg!I42*(al_lic+Sens!I14614+sbc_r)</f>
        <v>36.4244749008727</v>
      </c>
      <c r="J14616" s="6" t="n">
        <f aca="false">Seg!J42*(al_lic+Sens!J14614+sbc_r)</f>
        <v>37.3879406068527</v>
      </c>
      <c r="K14616" s="6" t="n">
        <f aca="false">Seg!K42*(al_lic+Sens!K14614+sbc_r)</f>
        <v>38.1943876078259</v>
      </c>
    </row>
    <row r="14617" customFormat="false" ht="17.15" hidden="false" customHeight="false" outlineLevel="0" collapsed="false">
      <c r="A14617" s="0" t="s">
        <v>1234</v>
      </c>
      <c r="B14617" s="0" t="s">
        <v>98</v>
      </c>
      <c r="F14617" s="6" t="n">
        <f aca="false">Seg!F44*(al_ind+Sens!F14614+sbc_r)</f>
        <v>9.06041701092022</v>
      </c>
      <c r="G14617" s="6" t="n">
        <f aca="false">Seg!G44*(al_ind+Sens!G14614+sbc_r)</f>
        <v>9.83619082712885</v>
      </c>
      <c r="H14617" s="6" t="n">
        <f aca="false">Seg!H44*(al_ind+Sens!H14614+sbc_r)</f>
        <v>10.6570160105312</v>
      </c>
      <c r="I14617" s="6" t="n">
        <f aca="false">Seg!I44*(al_ind+Sens!I14614+sbc_r)</f>
        <v>11.5198571637125</v>
      </c>
      <c r="J14617" s="6" t="n">
        <f aca="false">Seg!J44*(al_ind+Sens!J14614+sbc_r)</f>
        <v>12.4150086539206</v>
      </c>
      <c r="K14617" s="6" t="n">
        <f aca="false">Seg!K44*(al_ind+Sens!K14614+sbc_r)</f>
        <v>13.3273714589988</v>
      </c>
    </row>
    <row r="14618" customFormat="false" ht="17.15" hidden="false" customHeight="false" outlineLevel="0" collapsed="false">
      <c r="A14618" s="0" t="s">
        <v>1235</v>
      </c>
      <c r="B14618" s="0" t="s">
        <v>98</v>
      </c>
      <c r="F14618" s="6" t="n">
        <f aca="false">Seg!F46*(al_fro+Sens!F14614+sbc_r)</f>
        <v>3.55402950182022</v>
      </c>
      <c r="G14618" s="6" t="n">
        <f aca="false">Seg!G46*(al_fro+Sens!G14614+sbc_r)</f>
        <v>3.76361488926481</v>
      </c>
      <c r="H14618" s="6" t="n">
        <f aca="false">Seg!H46*(al_fro+Sens!H14614+sbc_r)</f>
        <v>4.00220968879544</v>
      </c>
      <c r="I14618" s="6" t="n">
        <f aca="false">Seg!I46*(al_fro+Sens!I14614+sbc_r)</f>
        <v>4.2725765173852</v>
      </c>
      <c r="J14618" s="6" t="n">
        <f aca="false">Seg!J46*(al_fro+Sens!J14614+sbc_r)</f>
        <v>4.57586224390293</v>
      </c>
      <c r="K14618" s="6" t="n">
        <f aca="false">Seg!K46*(al_fro+Sens!K14614+sbc_r)</f>
        <v>4.91213639633217</v>
      </c>
    </row>
    <row r="14619" customFormat="false" ht="17.15" hidden="false" customHeight="false" outlineLevel="0" collapsed="false">
      <c r="A14619" s="0" t="s">
        <v>1236</v>
      </c>
      <c r="B14619" s="0" t="s">
        <v>98</v>
      </c>
      <c r="F14619" s="6" t="n">
        <f aca="false">Seg!F49*(al_srch+Sens!F14614+sbc_r)</f>
        <v>11.1890902994147</v>
      </c>
      <c r="G14619" s="6" t="n">
        <f aca="false">Seg!G49*(al_srch+Sens!G14614+sbc_r)</f>
        <v>12.261738891803</v>
      </c>
      <c r="H14619" s="6" t="n">
        <f aca="false">Seg!H49*(al_srch+Sens!H14614+sbc_r)</f>
        <v>13.3794863429193</v>
      </c>
      <c r="I14619" s="6" t="n">
        <f aca="false">Seg!I49*(al_srch+Sens!I14614+sbc_r)</f>
        <v>14.5317114787784</v>
      </c>
      <c r="J14619" s="6" t="n">
        <f aca="false">Seg!J49*(al_srch+Sens!J14614+sbc_r)</f>
        <v>15.6984365817724</v>
      </c>
      <c r="K14619" s="6" t="n">
        <f aca="false">Seg!K49*(al_srch+Sens!K14614+sbc_r)</f>
        <v>16.8520942258664</v>
      </c>
    </row>
    <row r="14620" customFormat="false" ht="17.15" hidden="false" customHeight="false" outlineLevel="0" collapsed="false">
      <c r="A14620" s="0" t="s">
        <v>1237</v>
      </c>
      <c r="B14620" s="0" t="s">
        <v>98</v>
      </c>
      <c r="F14620" s="6" t="n">
        <f aca="false">Thesis!F83-Thesis!F84+Thesis!F99</f>
        <v>42.5431090240393</v>
      </c>
      <c r="G14620" s="6" t="n">
        <f aca="false">Thesis!G83-Thesis!G84+Thesis!G99</f>
        <v>81.4922561130847</v>
      </c>
      <c r="H14620" s="6" t="n">
        <f aca="false">Thesis!H83-Thesis!H84+Thesis!H99</f>
        <v>123.278266211349</v>
      </c>
      <c r="I14620" s="6" t="n">
        <f aca="false">Thesis!I83-Thesis!I84+Thesis!I99</f>
        <v>160.60594185192</v>
      </c>
      <c r="J14620" s="6" t="n">
        <f aca="false">Thesis!J83-Thesis!J84+Thesis!J99</f>
        <v>186.818741832633</v>
      </c>
      <c r="K14620" s="6" t="n">
        <f aca="false">Thesis!K83-Thesis!K84+Thesis!K99</f>
        <v>202.776422159652</v>
      </c>
    </row>
    <row r="14621" customFormat="false" ht="17.15" hidden="false" customHeight="false" outlineLevel="0" collapsed="false">
      <c r="A14621" s="0" t="s">
        <v>1238</v>
      </c>
      <c r="B14621" s="0" t="s">
        <v>98</v>
      </c>
      <c r="F14621" s="6" t="n">
        <f aca="false">PL!F71+Thesis!F99+Thesis!F95+Sens!F14614*(Seg!F48-Thesis!F77)+sbc_r*Seg!F48</f>
        <v>238.090727427296</v>
      </c>
      <c r="G14621" s="6" t="n">
        <f aca="false">PL!G71+Thesis!G99+Thesis!G95+Sens!G14614*(Seg!G48-Thesis!G77)+sbc_r*Seg!G48</f>
        <v>299.90836088563</v>
      </c>
      <c r="H14621" s="6" t="n">
        <f aca="false">PL!H71+Thesis!H99+Thesis!H95+Sens!H14614*(Seg!H48-Thesis!H77)+sbc_r*Seg!H48</f>
        <v>369.457709442386</v>
      </c>
      <c r="I14621" s="6" t="n">
        <f aca="false">PL!I71+Thesis!I99+Thesis!I95+Sens!I14614*(Seg!I48-Thesis!I77)+sbc_r*Seg!I48</f>
        <v>433.16585128823</v>
      </c>
      <c r="J14621" s="6" t="n">
        <f aca="false">PL!J71+Thesis!J99+Thesis!J95+Sens!J14614*(Seg!J48-Thesis!J77)+sbc_r*Seg!J48</f>
        <v>483.301303131191</v>
      </c>
      <c r="K14621" s="6" t="n">
        <f aca="false">PL!K71+Thesis!K99+Thesis!K95+Sens!K14614*(Seg!K48-Thesis!K77)+sbc_r*Seg!K48</f>
        <v>520.789002205336</v>
      </c>
    </row>
    <row r="14622" customFormat="false" ht="17.15" hidden="false" customHeight="false" outlineLevel="0" collapsed="false">
      <c r="A14622" s="0" t="s">
        <v>1239</v>
      </c>
      <c r="B14622" s="0" t="s">
        <v>98</v>
      </c>
      <c r="F14622" s="6" t="n">
        <f aca="false">Sens!F14621-Sens!F14615-Sens!F14616-Sens!F14617-Sens!F14618-Sens!F14620</f>
        <v>66.3548442472996</v>
      </c>
      <c r="G14622" s="6" t="n">
        <f aca="false">Sens!G14621-Sens!G14615-Sens!G14616-Sens!G14617-Sens!G14618-Sens!G14620</f>
        <v>74.548542090425</v>
      </c>
      <c r="H14622" s="6" t="n">
        <f aca="false">Sens!H14621-Sens!H14615-Sens!H14616-Sens!H14617-Sens!H14618-Sens!H14620</f>
        <v>87.4841023270775</v>
      </c>
      <c r="I14622" s="6" t="n">
        <f aca="false">Sens!I14621-Sens!I14615-Sens!I14616-Sens!I14617-Sens!I14618-Sens!I14620</f>
        <v>100.082899538713</v>
      </c>
      <c r="J14622" s="6" t="n">
        <f aca="false">Sens!J14621-Sens!J14615-Sens!J14616-Sens!J14617-Sens!J14618-Sens!J14620</f>
        <v>111.491845245262</v>
      </c>
      <c r="K14622" s="6" t="n">
        <f aca="false">Sens!K14621-Sens!K14615-Sens!K14616-Sens!K14617-Sens!K14618-Sens!K14620</f>
        <v>121.003589607889</v>
      </c>
    </row>
    <row r="14623" customFormat="false" ht="17.15" hidden="false" customHeight="false" outlineLevel="0" collapsed="false">
      <c r="A14623" s="0" t="s">
        <v>1240</v>
      </c>
      <c r="B14623" s="0" t="s">
        <v>98</v>
      </c>
      <c r="F14623" s="6" t="n">
        <f aca="false">PL!F73+Sens!F14614*Seg!F55+sbc_r*Seg!F55</f>
        <v>26.6336365855879</v>
      </c>
      <c r="G14623" s="6" t="n">
        <f aca="false">PL!G73+Sens!G14614*Seg!G55+sbc_r*Seg!G55</f>
        <v>26.4720859498625</v>
      </c>
      <c r="H14623" s="6" t="n">
        <f aca="false">PL!H73+Sens!H14614*Seg!H55+sbc_r*Seg!H55</f>
        <v>27.346793021284</v>
      </c>
      <c r="I14623" s="6" t="n">
        <f aca="false">PL!I73+Sens!I14614*Seg!I55+sbc_r*Seg!I55</f>
        <v>28.4574657863154</v>
      </c>
      <c r="J14623" s="6" t="n">
        <f aca="false">PL!J73+Sens!J14614*Seg!J55+sbc_r*Seg!J55</f>
        <v>29.7689890546037</v>
      </c>
      <c r="K14623" s="6" t="n">
        <f aca="false">PL!K73+Sens!K14614*Seg!K55+sbc_r*Seg!K55</f>
        <v>31.2443947307494</v>
      </c>
    </row>
    <row r="14624" customFormat="false" ht="17.15" hidden="false" customHeight="false" outlineLevel="0" collapsed="false">
      <c r="A14624" s="0" t="s">
        <v>1241</v>
      </c>
      <c r="B14624" s="0" t="s">
        <v>98</v>
      </c>
      <c r="F14624" s="6" t="n">
        <f aca="false">(Sens!F14623-Sens!F14619)*Seg!F51/(Seg!F51+Seg!F53)</f>
        <v>8.72285608232241</v>
      </c>
      <c r="G14624" s="6" t="n">
        <f aca="false">(Sens!G14623-Sens!G14619)*Seg!G51/(Seg!G51+Seg!G53)</f>
        <v>7.88786455444355</v>
      </c>
      <c r="H14624" s="6" t="n">
        <f aca="false">(Sens!H14623-Sens!H14619)*Seg!H51/(Seg!H51+Seg!H53)</f>
        <v>7.65195986819674</v>
      </c>
      <c r="I14624" s="6" t="n">
        <f aca="false">(Sens!I14623-Sens!I14619)*Seg!I51/(Seg!I51+Seg!I53)</f>
        <v>7.56260440676676</v>
      </c>
      <c r="J14624" s="6" t="n">
        <f aca="false">(Sens!J14623-Sens!J14619)*Seg!J51/(Seg!J51+Seg!J53)</f>
        <v>7.60790100885945</v>
      </c>
      <c r="K14624" s="6" t="n">
        <f aca="false">(Sens!K14623-Sens!K14619)*Seg!K51/(Seg!K51+Seg!K53)</f>
        <v>7.78186910160995</v>
      </c>
    </row>
    <row r="14625" customFormat="false" ht="17.15" hidden="false" customHeight="false" outlineLevel="0" collapsed="false">
      <c r="A14625" s="0" t="s">
        <v>1242</v>
      </c>
      <c r="B14625" s="0" t="s">
        <v>98</v>
      </c>
      <c r="F14625" s="6" t="n">
        <f aca="false">Sens!F14623-Sens!F14619-Sens!F14624</f>
        <v>6.72169020385088</v>
      </c>
      <c r="G14625" s="6" t="n">
        <f aca="false">Sens!G14623-Sens!G14619-Sens!G14624</f>
        <v>6.322482503616</v>
      </c>
      <c r="H14625" s="6" t="n">
        <f aca="false">Sens!H14623-Sens!H14619-Sens!H14624</f>
        <v>6.315346810168</v>
      </c>
      <c r="I14625" s="6" t="n">
        <f aca="false">Sens!I14623-Sens!I14619-Sens!I14624</f>
        <v>6.36314990077033</v>
      </c>
      <c r="J14625" s="6" t="n">
        <f aca="false">Sens!J14623-Sens!J14619-Sens!J14624</f>
        <v>6.46265146397189</v>
      </c>
      <c r="K14625" s="6" t="n">
        <f aca="false">Sens!K14623-Sens!K14619-Sens!K14624</f>
        <v>6.61043140327304</v>
      </c>
    </row>
    <row r="14626" customFormat="false" ht="17.15" hidden="false" customHeight="false" outlineLevel="0" collapsed="false">
      <c r="A14626" s="0" t="s">
        <v>1243</v>
      </c>
      <c r="B14626" s="0" t="s">
        <v>98</v>
      </c>
      <c r="F14626" s="6" t="n">
        <f aca="false">Sens!F14620-tax_f*(Sens!F14620-Thesis!F95)-Thesis!F92</f>
        <v>-127.503553927218</v>
      </c>
      <c r="G14626" s="6" t="n">
        <f aca="false">Sens!G14620-tax_f*(Sens!G14620-Thesis!G95)-Thesis!G92</f>
        <v>-114.603772628121</v>
      </c>
      <c r="H14626" s="6" t="n">
        <f aca="false">Sens!H14620-tax_f*(Sens!H14620-Thesis!H95)-Thesis!H92</f>
        <v>-80.3633729631438</v>
      </c>
      <c r="I14626" s="6" t="n">
        <f aca="false">Sens!I14620-tax_f*(Sens!I14620-Thesis!I95)-Thesis!I92</f>
        <v>-17.2838782011649</v>
      </c>
      <c r="J14626" s="6" t="n">
        <f aca="false">Sens!J14620-tax_f*(Sens!J14620-Thesis!J95)-Thesis!J92</f>
        <v>46.9281968800854</v>
      </c>
      <c r="K14626" s="6" t="n">
        <f aca="false">Sens!K14620-tax_f*(Sens!K14620-Thesis!K95)-Thesis!K92</f>
        <v>71.8608185731755</v>
      </c>
    </row>
    <row r="14627" customFormat="false" ht="17.15" hidden="false" customHeight="false" outlineLevel="0" collapsed="false">
      <c r="A14627" s="0" t="s">
        <v>1244</v>
      </c>
      <c r="B14627" s="0" t="s">
        <v>98</v>
      </c>
      <c r="G14627" s="6" t="n">
        <f aca="false">Sens!G14626/(1+((px*sh_val*(rf+beta*erp_hi)+(debt_val+fl_val)*kd*(1-tax_w))/(px*sh_val+debt_val+fl_val)))^(Sens!G14597-Sens!F14598)</f>
        <v>-108.603426800401</v>
      </c>
      <c r="H14627" s="6" t="n">
        <f aca="false">Sens!H14626/(1+((px*sh_val*(rf+beta*erp_hi)+(debt_val+fl_val)*kd*(1-tax_w))/(px*sh_val+debt_val+fl_val)))^(Sens!H14597-Sens!F14598)</f>
        <v>-68.3899049380798</v>
      </c>
      <c r="I14627" s="6" t="n">
        <f aca="false">Sens!I14626/(1+((px*sh_val*(rf+beta*erp_hi)+(debt_val+fl_val)*kd*(1-tax_w))/(px*sh_val+debt_val+fl_val)))^(Sens!I14597-Sens!F14598)</f>
        <v>-13.2088275422226</v>
      </c>
      <c r="J14627" s="6" t="n">
        <f aca="false">Sens!J14626/(1+((px*sh_val*(rf+beta*erp_hi)+(debt_val+fl_val)*kd*(1-tax_w))/(px*sh_val+debt_val+fl_val)))^(Sens!J14597-Sens!F14598)</f>
        <v>32.2066956698475</v>
      </c>
      <c r="K14627" s="6" t="n">
        <f aca="false">Sens!K14626/(1+((px*sh_val*(rf+beta*erp_hi)+(debt_val+fl_val)*kd*(1-tax_w))/(px*sh_val+debt_val+fl_val)))^(Sens!K14597-Sens!F14598)</f>
        <v>44.2887773278256</v>
      </c>
      <c r="L14627" s="1" t="s">
        <v>1245</v>
      </c>
    </row>
    <row r="14628" customFormat="false" ht="17.15" hidden="false" customHeight="false" outlineLevel="0" collapsed="false">
      <c r="A14628" s="0" t="s">
        <v>1246</v>
      </c>
      <c r="B14628" s="0" t="s">
        <v>98</v>
      </c>
      <c r="C14628" s="6" t="n">
        <f aca="false">(Sens!K14620-Thesis!K95)*(1-tax_f)*(1+g_tv)*(1-g_tv/(((px*sh_val*(rf+beta*erp_hi)+(debt_val+fl_val)*kd*(1-tax_w))/(px*sh_val+debt_val+fl_val))+ronic_prem))/(((px*sh_val*(rf+beta*erp_hi)+(debt_val+fl_val)*kd*(1-tax_w))/(px*sh_val+debt_val+fl_val))-g_tv)/(1+((px*sh_val*(rf+beta*erp_hi)+(debt_val+fl_val)*kd*(1-tax_w))/(px*sh_val+debt_val+fl_val)))^(Sens!K14598-Sens!F14598)</f>
        <v>253.287521576915</v>
      </c>
    </row>
    <row r="14629" customFormat="false" ht="17.15" hidden="false" customHeight="false" outlineLevel="0" collapsed="false">
      <c r="A14629" s="1" t="s">
        <v>1247</v>
      </c>
      <c r="B14629" s="0" t="s">
        <v>98</v>
      </c>
      <c r="C14629" s="6" t="n">
        <f aca="false">(SUM(Sens!G14627:K14627)+Sens!$C$14628)*(1+((px*sh_val*(rf+beta*erp_hi)+(debt_val+fl_val)*kd*(1-tax_w))/(px*sh_val+debt_val+fl_val)))^(t_roll-Sens!F14598)</f>
        <v>144.64743387691</v>
      </c>
      <c r="L14629" s="12" t="s">
        <v>1248</v>
      </c>
    </row>
    <row r="14630" customFormat="false" ht="17.15" hidden="false" customHeight="false" outlineLevel="0" collapsed="false">
      <c r="A14630" s="1" t="s">
        <v>1249</v>
      </c>
      <c r="B14630" s="0" t="s">
        <v>98</v>
      </c>
      <c r="C14630" s="6" t="n">
        <f aca="false">(w_ntm28*Thesis!G83+(1-w_ntm28)*Thesis!H83)*m_ai</f>
        <v>463.789109510335</v>
      </c>
    </row>
    <row r="14631" customFormat="false" ht="17.15" hidden="false" customHeight="false" outlineLevel="0" collapsed="false">
      <c r="A14631" s="1" t="s">
        <v>1250</v>
      </c>
      <c r="B14631" s="0" t="s">
        <v>98</v>
      </c>
      <c r="C14631" s="6" t="n">
        <f aca="false">(w_ntm28*Sens!G14622+(1-w_ntm28)*Sens!H14622)*m_cloud</f>
        <v>1089.03436702245</v>
      </c>
    </row>
    <row r="14632" customFormat="false" ht="17.15" hidden="false" customHeight="false" outlineLevel="0" collapsed="false">
      <c r="A14632" s="1" t="s">
        <v>1251</v>
      </c>
      <c r="B14632" s="0" t="s">
        <v>98</v>
      </c>
      <c r="C14632" s="6" t="n">
        <f aca="false">(w_ntm28*Sens!G14615+(1-w_ntm28)*Sens!H14615)*m_sw</f>
        <v>1082.84962646159</v>
      </c>
    </row>
    <row r="14633" customFormat="false" ht="17.15" hidden="false" customHeight="false" outlineLevel="0" collapsed="false">
      <c r="A14633" s="1" t="s">
        <v>1252</v>
      </c>
      <c r="B14633" s="0" t="s">
        <v>98</v>
      </c>
      <c r="C14633" s="6" t="n">
        <f aca="false">(w_ntm28*Sens!G14616+(1-w_ntm28)*Sens!H14616)*m_sw</f>
        <v>372.929250898731</v>
      </c>
    </row>
    <row r="14634" customFormat="false" ht="17.15" hidden="false" customHeight="false" outlineLevel="0" collapsed="false">
      <c r="A14634" s="1" t="s">
        <v>1253</v>
      </c>
      <c r="B14634" s="0" t="s">
        <v>98</v>
      </c>
      <c r="C14634" s="6" t="n">
        <f aca="false">(w_ntm28*Sens!G14617+(1-w_ntm28)*Sens!H14617)*m_sw</f>
        <v>109.1453525431</v>
      </c>
    </row>
    <row r="14635" customFormat="false" ht="17.15" hidden="false" customHeight="false" outlineLevel="0" collapsed="false">
      <c r="A14635" s="1" t="s">
        <v>1254</v>
      </c>
      <c r="B14635" s="0" t="s">
        <v>98</v>
      </c>
      <c r="C14635" s="6" t="n">
        <f aca="false">(w_ntm28*Sens!G14618+(1-w_ntm28)*Sens!H14618)*m_sw</f>
        <v>41.4942157634893</v>
      </c>
    </row>
    <row r="14636" customFormat="false" ht="17.15" hidden="false" customHeight="false" outlineLevel="0" collapsed="false">
      <c r="A14636" s="1" t="s">
        <v>1255</v>
      </c>
      <c r="B14636" s="0" t="s">
        <v>98</v>
      </c>
      <c r="C14636" s="6" t="n">
        <f aca="false">(w_ntm28*Sens!G14619+(1-w_ntm28)*Sens!H14619)*m_ads</f>
        <v>115.052171478463</v>
      </c>
    </row>
    <row r="14637" customFormat="false" ht="17.15" hidden="false" customHeight="false" outlineLevel="0" collapsed="false">
      <c r="A14637" s="1" t="s">
        <v>1256</v>
      </c>
      <c r="B14637" s="0" t="s">
        <v>98</v>
      </c>
      <c r="C14637" s="6" t="n">
        <f aca="false">(w_ntm28*Sens!G14624+(1-w_ntm28)*Sens!H14624)*m_game</f>
        <v>98.6441755076202</v>
      </c>
    </row>
    <row r="14638" customFormat="false" ht="17.15" hidden="false" customHeight="false" outlineLevel="0" collapsed="false">
      <c r="A14638" s="1" t="s">
        <v>1257</v>
      </c>
      <c r="B14638" s="0" t="s">
        <v>98</v>
      </c>
      <c r="C14638" s="6" t="n">
        <f aca="false">(w_ntm28*Sens!G14625+(1-w_ntm28)*Sens!H14625)*m_pc</f>
        <v>91.4523754763561</v>
      </c>
    </row>
    <row r="14639" customFormat="false" ht="17.15" hidden="false" customHeight="false" outlineLevel="0" collapsed="false">
      <c r="A14639" s="1" t="s">
        <v>1258</v>
      </c>
      <c r="B14639" s="0" t="s">
        <v>98</v>
      </c>
      <c r="C14639" s="6" t="n">
        <f aca="false">Sens!$C$14629+Sens!$C$14631+Sens!$C$14632+Sens!$C$14633+Sens!$C$14634+Sens!$C$14635+Sens!$C$14636+Sens!$C$14637+Sens!$C$14638</f>
        <v>3145.24896902871</v>
      </c>
    </row>
    <row r="14640" customFormat="false" ht="17.15" hidden="false" customHeight="false" outlineLevel="0" collapsed="false">
      <c r="A14640" s="1" t="s">
        <v>1259</v>
      </c>
      <c r="B14640" s="0" t="s">
        <v>98</v>
      </c>
      <c r="C14640" s="6" t="n">
        <f aca="false">(Sens!G14601-Sens!G14626)*t_stub</f>
        <v>47.8736427515113</v>
      </c>
      <c r="L14640" s="1" t="s">
        <v>1260</v>
      </c>
    </row>
    <row r="14641" customFormat="false" ht="17.15" hidden="false" customHeight="false" outlineLevel="0" collapsed="false">
      <c r="A14641" s="1" t="s">
        <v>1169</v>
      </c>
      <c r="B14641" s="0" t="s">
        <v>98</v>
      </c>
      <c r="C14641" s="6" t="n">
        <f aca="false">CF!F71+oai_v-CF!F60+Sens!$C$14640</f>
        <v>162.101912751511</v>
      </c>
      <c r="L14641" s="1" t="s">
        <v>1261</v>
      </c>
    </row>
    <row r="14642" customFormat="false" ht="17.15" hidden="false" customHeight="false" outlineLevel="0" collapsed="false">
      <c r="A14642" s="1" t="s">
        <v>1262</v>
      </c>
      <c r="B14642" s="0" t="s">
        <v>75</v>
      </c>
      <c r="C14642" s="5" t="n">
        <f aca="false">(Sens!$C$14639+Sens!$C$14641)/(CF!F73+dil_gap)-CF!G63*roll_div_q/q_per_yr</f>
        <v>440.204822217117</v>
      </c>
      <c r="L14642" s="1" t="s">
        <v>1263</v>
      </c>
    </row>
    <row r="14643" customFormat="false" ht="17.15" hidden="false" customHeight="false" outlineLevel="0" collapsed="false">
      <c r="A14643" s="1" t="s">
        <v>1264</v>
      </c>
      <c r="B14643" s="0" t="s">
        <v>75</v>
      </c>
      <c r="C14643" s="5" t="n">
        <f aca="false">w_dcf*Sens!$C$14613+(1-w_dcf)*Sens!$C$14642</f>
        <v>366.620452921609</v>
      </c>
    </row>
    <row r="14644" customFormat="false" ht="17.15" hidden="false" customHeight="false" outlineLevel="0" collapsed="false">
      <c r="A14644" s="3" t="s">
        <v>1842</v>
      </c>
    </row>
    <row r="14645" customFormat="false" ht="15" hidden="false" customHeight="false" outlineLevel="0" collapsed="false">
      <c r="A14645" s="4" t="s">
        <v>43</v>
      </c>
      <c r="B14645" s="4" t="s">
        <v>65</v>
      </c>
      <c r="C14645" s="23" t="s">
        <v>938</v>
      </c>
      <c r="D14645" s="23" t="s">
        <v>939</v>
      </c>
      <c r="E14645" s="23" t="s">
        <v>940</v>
      </c>
      <c r="F14645" s="23" t="s">
        <v>941</v>
      </c>
      <c r="G14645" s="23" t="s">
        <v>942</v>
      </c>
      <c r="H14645" s="23" t="s">
        <v>943</v>
      </c>
      <c r="I14645" s="23" t="s">
        <v>944</v>
      </c>
      <c r="J14645" s="23" t="s">
        <v>945</v>
      </c>
      <c r="K14645" s="23" t="s">
        <v>946</v>
      </c>
      <c r="L14645" s="4" t="s">
        <v>47</v>
      </c>
    </row>
    <row r="14646" customFormat="false" ht="17.15" hidden="false" customHeight="false" outlineLevel="0" collapsed="false">
      <c r="A14646" s="1" t="s">
        <v>1212</v>
      </c>
      <c r="B14646" s="1" t="s">
        <v>279</v>
      </c>
      <c r="F14646" s="8" t="n">
        <f aca="false">(1-v_off)*mid_yr</f>
        <v>0.373972602739726</v>
      </c>
      <c r="G14646" s="8" t="n">
        <f aca="false">Thesis!G110-base_fy-mid_yr-v_off</f>
        <v>1.24794520547945</v>
      </c>
      <c r="H14646" s="8" t="n">
        <f aca="false">Thesis!H110-base_fy-mid_yr-v_off</f>
        <v>2.24794520547945</v>
      </c>
      <c r="I14646" s="8" t="n">
        <f aca="false">Thesis!I110-base_fy-mid_yr-v_off</f>
        <v>3.24794520547945</v>
      </c>
      <c r="J14646" s="8" t="n">
        <f aca="false">Thesis!J110-base_fy-mid_yr-v_off</f>
        <v>4.24794520547945</v>
      </c>
      <c r="K14646" s="8" t="n">
        <f aca="false">Thesis!K110-base_fy-mid_yr-v_off</f>
        <v>5.24794520547945</v>
      </c>
      <c r="L14646" s="12" t="s">
        <v>1213</v>
      </c>
    </row>
    <row r="14647" customFormat="false" ht="15" hidden="false" customHeight="false" outlineLevel="0" collapsed="false">
      <c r="A14647" s="1" t="s">
        <v>1214</v>
      </c>
      <c r="B14647" s="1" t="s">
        <v>279</v>
      </c>
      <c r="F14647" s="8" t="n">
        <f aca="false">Thesis!F110-base_fy-v_off</f>
        <v>0.747945205479452</v>
      </c>
      <c r="G14647" s="8" t="n">
        <f aca="false">Thesis!G110-base_fy-v_off</f>
        <v>1.74794520547945</v>
      </c>
      <c r="H14647" s="8" t="n">
        <f aca="false">Thesis!H110-base_fy-v_off</f>
        <v>2.74794520547945</v>
      </c>
      <c r="I14647" s="8" t="n">
        <f aca="false">Thesis!I110-base_fy-v_off</f>
        <v>3.74794520547945</v>
      </c>
      <c r="J14647" s="8" t="n">
        <f aca="false">Thesis!J110-base_fy-v_off</f>
        <v>4.74794520547945</v>
      </c>
      <c r="K14647" s="8" t="n">
        <f aca="false">Thesis!K110-base_fy-v_off</f>
        <v>5.74794520547945</v>
      </c>
    </row>
    <row r="14648" customFormat="false" ht="15" hidden="false" customHeight="false" outlineLevel="0" collapsed="false">
      <c r="A14648" s="1" t="s">
        <v>1215</v>
      </c>
      <c r="B14648" s="0" t="s">
        <v>229</v>
      </c>
      <c r="F14648" s="15" t="n">
        <f aca="false">1/(1+((px*sh_val*(rf+beta*erp_hi)+(debt_val+fl_val)*kd*(1-tax_w))/(px*sh_val+debt_val+fl_val)))^Sens!F14646</f>
        <v>0.96057538035295</v>
      </c>
      <c r="G14648" s="15" t="n">
        <f aca="false">1/(1+((px*sh_val*(rf+beta*erp_hi)+(debt_val+fl_val)*kd*(1-tax_w))/(px*sh_val+debt_val+fl_val)))^Sens!G14646</f>
        <v>0.874394701758995</v>
      </c>
      <c r="H14648" s="15" t="n">
        <f aca="false">1/(1+((px*sh_val*(rf+beta*erp_hi)+(debt_val+fl_val)*kd*(1-tax_w))/(px*sh_val+debt_val+fl_val)))^Sens!H14646</f>
        <v>0.785229752114597</v>
      </c>
      <c r="I14648" s="15" t="n">
        <f aca="false">1/(1+((px*sh_val*(rf+beta*erp_hi)+(debt_val+fl_val)*kd*(1-tax_w))/(px*sh_val+debt_val+fl_val)))^Sens!I14646</f>
        <v>0.705157250341961</v>
      </c>
      <c r="J14648" s="15" t="n">
        <f aca="false">1/(1+((px*sh_val*(rf+beta*erp_hi)+(debt_val+fl_val)*kd*(1-tax_w))/(px*sh_val+debt_val+fl_val)))^Sens!J14646</f>
        <v>0.63325000914798</v>
      </c>
      <c r="K14648" s="15" t="n">
        <f aca="false">1/(1+((px*sh_val*(rf+beta*erp_hi)+(debt_val+fl_val)*kd*(1-tax_w))/(px*sh_val+debt_val+fl_val)))^Sens!K14646</f>
        <v>0.568675389626147</v>
      </c>
    </row>
    <row r="14649" customFormat="false" ht="17.15" hidden="false" customHeight="false" outlineLevel="0" collapsed="false">
      <c r="A14649" s="1" t="s">
        <v>1216</v>
      </c>
      <c r="B14649" s="0" t="s">
        <v>98</v>
      </c>
      <c r="F14649" s="6" t="n">
        <f aca="false">Q!$I$35-Q!$I$39-Q!$I$43</f>
        <v>9.666</v>
      </c>
      <c r="L14649" s="12" t="s">
        <v>1217</v>
      </c>
    </row>
    <row r="14650" customFormat="false" ht="17.15" hidden="false" customHeight="false" outlineLevel="0" collapsed="false">
      <c r="A14650" s="1" t="s">
        <v>1218</v>
      </c>
      <c r="B14650" s="0" t="s">
        <v>98</v>
      </c>
      <c r="F14650" s="6" t="n">
        <f aca="false">CF!F87-CF!F84-CF!F91+Thesis!F151*(1-tax_f)*(1-v_off)-Sens!F14649</f>
        <v>-6.10282680452259</v>
      </c>
      <c r="G14650" s="6" t="n">
        <f aca="false">CF!G87-CF!G84-CF!G91+Thesis!G151*(1-tax_f)</f>
        <v>19.0084129023516</v>
      </c>
      <c r="H14650" s="6" t="n">
        <f aca="false">CF!H87-CF!H84-CF!H91+Thesis!H151*(1-tax_f)</f>
        <v>55.9229468383331</v>
      </c>
      <c r="I14650" s="6" t="n">
        <f aca="false">CF!I87-CF!I84-CF!I91+Thesis!I151*(1-tax_f)</f>
        <v>127.901908576191</v>
      </c>
      <c r="J14650" s="6" t="n">
        <f aca="false">CF!J87-CF!J84-CF!J91+Thesis!J151*(1-tax_f)</f>
        <v>201.958443859638</v>
      </c>
      <c r="K14650" s="6" t="n">
        <f aca="false">CF!K87-CF!K84-CF!K91+Thesis!K151*(1-tax_f)</f>
        <v>237.542519059905</v>
      </c>
      <c r="L14650" s="1" t="s">
        <v>1219</v>
      </c>
    </row>
    <row r="14651" customFormat="false" ht="15" hidden="false" customHeight="false" outlineLevel="0" collapsed="false">
      <c r="A14651" s="1" t="s">
        <v>1220</v>
      </c>
      <c r="B14651" s="0" t="s">
        <v>98</v>
      </c>
      <c r="F14651" s="6" t="n">
        <f aca="false">Sens!F14650*Sens!F14648</f>
        <v>-5.86222517898246</v>
      </c>
      <c r="G14651" s="6" t="n">
        <f aca="false">Sens!G14650*Sens!G14648</f>
        <v>16.6208555306636</v>
      </c>
      <c r="H14651" s="6" t="n">
        <f aca="false">Sens!H14650*Sens!H14648</f>
        <v>43.9123616833821</v>
      </c>
      <c r="I14651" s="6" t="n">
        <f aca="false">Sens!I14650*Sens!I14648</f>
        <v>90.1909581650756</v>
      </c>
      <c r="J14651" s="6" t="n">
        <f aca="false">Sens!J14650*Sens!J14648</f>
        <v>127.890186421628</v>
      </c>
      <c r="K14651" s="6" t="n">
        <f aca="false">Sens!K14650*Sens!K14648</f>
        <v>135.084584579168</v>
      </c>
    </row>
    <row r="14652" customFormat="false" ht="17.15" hidden="false" customHeight="false" outlineLevel="0" collapsed="false">
      <c r="A14652" s="1" t="s">
        <v>1221</v>
      </c>
      <c r="B14652" s="0" t="s">
        <v>98</v>
      </c>
      <c r="C14652" s="6" t="n">
        <f aca="false">SUM(Sens!F14651:K14651)</f>
        <v>407.836721200934</v>
      </c>
    </row>
    <row r="14653" customFormat="false" ht="17.15" hidden="false" customHeight="false" outlineLevel="0" collapsed="false">
      <c r="A14653" s="1" t="s">
        <v>1222</v>
      </c>
      <c r="B14653" s="0" t="s">
        <v>98</v>
      </c>
      <c r="C14653" s="6" t="n">
        <f aca="false">PL!K117*(1+g_tv)*(1-tax_f)</f>
        <v>247.098906713682</v>
      </c>
    </row>
    <row r="14654" customFormat="false" ht="17.15" hidden="false" customHeight="false" outlineLevel="0" collapsed="false">
      <c r="A14654" s="1" t="s">
        <v>1223</v>
      </c>
      <c r="B14654" s="0" t="s">
        <v>98</v>
      </c>
      <c r="C14654" s="6" t="n">
        <f aca="false">Sens!$C$14653*(1-g_tv/(((px*sh_val*(rf+beta*erp_hi)+(debt_val+fl_val)*kd*(1-tax_w))/(px*sh_val+debt_val+fl_val))+ronic_prem))</f>
        <v>181.816725529128</v>
      </c>
    </row>
    <row r="14655" customFormat="false" ht="17.15" hidden="false" customHeight="false" outlineLevel="0" collapsed="false">
      <c r="A14655" s="1" t="s">
        <v>1224</v>
      </c>
      <c r="B14655" s="0" t="s">
        <v>98</v>
      </c>
      <c r="C14655" s="6" t="n">
        <f aca="false">Sens!$C$14654/(((px*sh_val*(rf+beta*erp_hi)+(debt_val+fl_val)*kd*(1-tax_w))/(px*sh_val+debt_val+fl_val))-g_tv)</f>
        <v>2176.07270615179</v>
      </c>
    </row>
    <row r="14656" customFormat="false" ht="15" hidden="false" customHeight="false" outlineLevel="0" collapsed="false">
      <c r="A14656" s="1" t="s">
        <v>1225</v>
      </c>
      <c r="B14656" s="0" t="s">
        <v>98</v>
      </c>
      <c r="C14656" s="6" t="n">
        <f aca="false">Sens!$C$14655/(1+((px*sh_val*(rf+beta*erp_hi)+(debt_val+fl_val)*kd*(1-tax_w))/(px*sh_val+debt_val+fl_val)))^Sens!K14647</f>
        <v>1172.68791648597</v>
      </c>
    </row>
    <row r="14657" customFormat="false" ht="17.15" hidden="false" customHeight="false" outlineLevel="0" collapsed="false">
      <c r="A14657" s="0" t="s">
        <v>1226</v>
      </c>
      <c r="B14657" s="0" t="s">
        <v>98</v>
      </c>
      <c r="C14657" s="6" t="n">
        <f aca="false">Sens!$C$14652+Sens!$C$14656</f>
        <v>1580.5246376869</v>
      </c>
    </row>
    <row r="14658" customFormat="false" ht="15" hidden="false" customHeight="false" outlineLevel="0" collapsed="false">
      <c r="A14658" s="1" t="s">
        <v>1141</v>
      </c>
      <c r="B14658" s="0" t="s">
        <v>168</v>
      </c>
      <c r="C14658" s="7" t="n">
        <f aca="false">Sens!$C$14656/Sens!$C$14657</f>
        <v>0.741961174488363</v>
      </c>
    </row>
    <row r="14659" customFormat="false" ht="17.15" hidden="false" customHeight="false" outlineLevel="0" collapsed="false">
      <c r="A14659" s="1" t="s">
        <v>1227</v>
      </c>
      <c r="B14659" s="0" t="s">
        <v>98</v>
      </c>
      <c r="C14659" s="6" t="n">
        <f aca="false">Sens!$C$14657+cash_val-debt_val-fl_val+oai_v</f>
        <v>1696.3756376869</v>
      </c>
    </row>
    <row r="14660" customFormat="false" ht="17.15" hidden="false" customHeight="false" outlineLevel="0" collapsed="false">
      <c r="A14660" s="0" t="s">
        <v>1149</v>
      </c>
      <c r="B14660" s="0" t="s">
        <v>75</v>
      </c>
      <c r="C14660" s="5" t="n">
        <f aca="false">Sens!$C$14659/shd_val</f>
        <v>227.8237493536</v>
      </c>
    </row>
    <row r="14661" customFormat="false" ht="15" hidden="false" customHeight="false" outlineLevel="0" collapsed="false">
      <c r="A14661" s="1" t="s">
        <v>1228</v>
      </c>
      <c r="B14661" s="0" t="s">
        <v>75</v>
      </c>
      <c r="C14661" s="8" t="n">
        <f aca="false">div_rem27+CF!G95*roll_div_q/q_per_yr</f>
        <v>3.9795</v>
      </c>
    </row>
    <row r="14662" customFormat="false" ht="17.15" hidden="false" customHeight="false" outlineLevel="0" collapsed="false">
      <c r="A14662" s="0" t="s">
        <v>1229</v>
      </c>
      <c r="B14662" s="0" t="s">
        <v>75</v>
      </c>
      <c r="C14662" s="5" t="n">
        <f aca="false">Sens!$C$14660*(1+((px*sh_val*(rf+beta*erp_hi)+(debt_val+fl_val)*kd*(1-tax_w))/(px*sh_val+debt_val+fl_val)))^t_roll-Sens!$C$14661</f>
        <v>251.891479997158</v>
      </c>
    </row>
    <row r="14663" customFormat="false" ht="17.15" hidden="false" customHeight="false" outlineLevel="0" collapsed="false">
      <c r="A14663" s="1" t="s">
        <v>1230</v>
      </c>
      <c r="B14663" s="0" t="s">
        <v>168</v>
      </c>
      <c r="F14663" s="7" t="n">
        <f aca="false">CF!F81/(Seg!F83-Thesis!F129)</f>
        <v>0.068677393452264</v>
      </c>
      <c r="G14663" s="7" t="n">
        <f aca="false">CF!G81/(Seg!G83-Thesis!G129)</f>
        <v>0.0663132664471956</v>
      </c>
      <c r="H14663" s="7" t="n">
        <f aca="false">CF!H81/(Seg!H83-Thesis!H129)</f>
        <v>0.0651363826734039</v>
      </c>
      <c r="I14663" s="7" t="n">
        <f aca="false">CF!I81/(Seg!I83-Thesis!I129)</f>
        <v>0.0650087936347709</v>
      </c>
      <c r="J14663" s="7" t="n">
        <f aca="false">CF!J81/(Seg!J83-Thesis!J129)</f>
        <v>0.0657212684841778</v>
      </c>
      <c r="K14663" s="7" t="n">
        <f aca="false">CF!K81/(Seg!K83-Thesis!K129)</f>
        <v>0.0670413306015285</v>
      </c>
    </row>
    <row r="14664" customFormat="false" ht="17.15" hidden="false" customHeight="false" outlineLevel="0" collapsed="false">
      <c r="A14664" s="0" t="s">
        <v>1231</v>
      </c>
      <c r="B14664" s="0" t="s">
        <v>98</v>
      </c>
      <c r="F14664" s="6" t="n">
        <f aca="false">Seg!F68*(al_m365+Sens!F14663+sbc_r)</f>
        <v>82.9185219618347</v>
      </c>
      <c r="G14664" s="6" t="n">
        <f aca="false">Seg!G68*(al_m365+Sens!G14663+sbc_r)</f>
        <v>93.3068052157631</v>
      </c>
      <c r="H14664" s="6" t="n">
        <f aca="false">Seg!H68*(al_m365+Sens!H14663+sbc_r)</f>
        <v>103.856057136159</v>
      </c>
      <c r="I14664" s="6" t="n">
        <f aca="false">Seg!I68*(al_m365+Sens!I14663+sbc_r)</f>
        <v>113.889717587147</v>
      </c>
      <c r="J14664" s="6" t="n">
        <f aca="false">Seg!J68*(al_m365+Sens!J14663+sbc_r)</f>
        <v>123.218477864124</v>
      </c>
      <c r="K14664" s="6" t="n">
        <f aca="false">Seg!K68*(al_m365+Sens!K14663+sbc_r)</f>
        <v>132.149420086311</v>
      </c>
      <c r="L14664" s="12" t="s">
        <v>1232</v>
      </c>
    </row>
    <row r="14665" customFormat="false" ht="17.15" hidden="false" customHeight="false" outlineLevel="0" collapsed="false">
      <c r="A14665" s="0" t="s">
        <v>1233</v>
      </c>
      <c r="B14665" s="0" t="s">
        <v>98</v>
      </c>
      <c r="F14665" s="6" t="n">
        <f aca="false">Seg!F69*(al_lic+Sens!F14663+sbc_r)</f>
        <v>32.8599853992256</v>
      </c>
      <c r="G14665" s="6" t="n">
        <f aca="false">Seg!G69*(al_lic+Sens!G14663+sbc_r)</f>
        <v>34.1568280697879</v>
      </c>
      <c r="H14665" s="6" t="n">
        <f aca="false">Seg!H69*(al_lic+Sens!H14663+sbc_r)</f>
        <v>35.3635535007213</v>
      </c>
      <c r="I14665" s="6" t="n">
        <f aca="false">Seg!I69*(al_lic+Sens!I14663+sbc_r)</f>
        <v>36.4604537346553</v>
      </c>
      <c r="J14665" s="6" t="n">
        <f aca="false">Seg!J69*(al_lic+Sens!J14663+sbc_r)</f>
        <v>37.4245888933574</v>
      </c>
      <c r="K14665" s="6" t="n">
        <f aca="false">Seg!K69*(al_lic+Sens!K14663+sbc_r)</f>
        <v>38.2321483186439</v>
      </c>
    </row>
    <row r="14666" customFormat="false" ht="17.15" hidden="false" customHeight="false" outlineLevel="0" collapsed="false">
      <c r="A14666" s="0" t="s">
        <v>1234</v>
      </c>
      <c r="B14666" s="0" t="s">
        <v>98</v>
      </c>
      <c r="F14666" s="6" t="n">
        <f aca="false">Seg!F71*(al_ind+Sens!F14663+sbc_r)</f>
        <v>9.06170747885803</v>
      </c>
      <c r="G14666" s="6" t="n">
        <f aca="false">Seg!G71*(al_ind+Sens!G14663+sbc_r)</f>
        <v>9.8478979082138</v>
      </c>
      <c r="H14666" s="6" t="n">
        <f aca="false">Seg!H71*(al_ind+Sens!H14663+sbc_r)</f>
        <v>10.6768254332059</v>
      </c>
      <c r="I14666" s="6" t="n">
        <f aca="false">Seg!I71*(al_ind+Sens!I14663+sbc_r)</f>
        <v>11.54398793803</v>
      </c>
      <c r="J14666" s="6" t="n">
        <f aca="false">Seg!J71*(al_ind+Sens!J14663+sbc_r)</f>
        <v>12.4407914253112</v>
      </c>
      <c r="K14666" s="6" t="n">
        <f aca="false">Seg!K71*(al_ind+Sens!K14663+sbc_r)</f>
        <v>13.355239066864</v>
      </c>
    </row>
    <row r="14667" customFormat="false" ht="17.15" hidden="false" customHeight="false" outlineLevel="0" collapsed="false">
      <c r="A14667" s="0" t="s">
        <v>1235</v>
      </c>
      <c r="B14667" s="0" t="s">
        <v>98</v>
      </c>
      <c r="F14667" s="6" t="n">
        <f aca="false">Seg!F73*(al_fro+Sens!F14663+sbc_r)</f>
        <v>3.55453569939552</v>
      </c>
      <c r="G14667" s="6" t="n">
        <f aca="false">Seg!G73*(al_fro+Sens!G14663+sbc_r)</f>
        <v>3.76809436159872</v>
      </c>
      <c r="H14667" s="6" t="n">
        <f aca="false">Seg!H73*(al_fro+Sens!H14663+sbc_r)</f>
        <v>4.00964905674607</v>
      </c>
      <c r="I14667" s="6" t="n">
        <f aca="false">Seg!I73*(al_fro+Sens!I14663+sbc_r)</f>
        <v>4.28152633145235</v>
      </c>
      <c r="J14667" s="6" t="n">
        <f aca="false">Seg!J73*(al_fro+Sens!J14663+sbc_r)</f>
        <v>4.58536512975975</v>
      </c>
      <c r="K14667" s="6" t="n">
        <f aca="false">Seg!K73*(al_fro+Sens!K14663+sbc_r)</f>
        <v>4.92240770086468</v>
      </c>
    </row>
    <row r="14668" customFormat="false" ht="17.15" hidden="false" customHeight="false" outlineLevel="0" collapsed="false">
      <c r="A14668" s="0" t="s">
        <v>1236</v>
      </c>
      <c r="B14668" s="0" t="s">
        <v>98</v>
      </c>
      <c r="F14668" s="6" t="n">
        <f aca="false">Seg!F76*(al_srch+Sens!F14663+sbc_r)</f>
        <v>11.190683952584</v>
      </c>
      <c r="G14668" s="6" t="n">
        <f aca="false">Seg!G76*(al_srch+Sens!G14663+sbc_r)</f>
        <v>12.2763328717258</v>
      </c>
      <c r="H14668" s="6" t="n">
        <f aca="false">Seg!H76*(al_srch+Sens!H14663+sbc_r)</f>
        <v>13.4043563346576</v>
      </c>
      <c r="I14668" s="6" t="n">
        <f aca="false">Seg!I76*(al_srch+Sens!I14663+sbc_r)</f>
        <v>14.5621512181916</v>
      </c>
      <c r="J14668" s="6" t="n">
        <f aca="false">Seg!J76*(al_srch+Sens!J14663+sbc_r)</f>
        <v>15.7310381862385</v>
      </c>
      <c r="K14668" s="6" t="n">
        <f aca="false">Seg!K76*(al_srch+Sens!K14663+sbc_r)</f>
        <v>16.8873320486462</v>
      </c>
    </row>
    <row r="14669" customFormat="false" ht="17.15" hidden="false" customHeight="false" outlineLevel="0" collapsed="false">
      <c r="A14669" s="0" t="s">
        <v>1237</v>
      </c>
      <c r="B14669" s="0" t="s">
        <v>98</v>
      </c>
      <c r="F14669" s="6" t="n">
        <f aca="false">Thesis!F135-Thesis!F136+Thesis!F151</f>
        <v>38.9696429794913</v>
      </c>
      <c r="G14669" s="6" t="n">
        <f aca="false">Thesis!G135-Thesis!G136+Thesis!G151</f>
        <v>69.465497726016</v>
      </c>
      <c r="H14669" s="6" t="n">
        <f aca="false">Thesis!H135-Thesis!H136+Thesis!H151</f>
        <v>96.8147106808268</v>
      </c>
      <c r="I14669" s="6" t="n">
        <f aca="false">Thesis!I135-Thesis!I136+Thesis!I151</f>
        <v>127.654939766446</v>
      </c>
      <c r="J14669" s="6" t="n">
        <f aca="false">Thesis!J135-Thesis!J136+Thesis!J151</f>
        <v>149.308352681229</v>
      </c>
      <c r="K14669" s="6" t="n">
        <f aca="false">Thesis!K135-Thesis!K136+Thesis!K151</f>
        <v>162.731822021841</v>
      </c>
    </row>
    <row r="14670" customFormat="false" ht="17.15" hidden="false" customHeight="false" outlineLevel="0" collapsed="false">
      <c r="A14670" s="0" t="s">
        <v>1238</v>
      </c>
      <c r="B14670" s="0" t="s">
        <v>98</v>
      </c>
      <c r="F14670" s="6" t="n">
        <f aca="false">PL!F110+Thesis!F151+Thesis!F147+Sens!F14663*(Seg!F75-Thesis!F129)+sbc_r*Seg!F75</f>
        <v>234.79972328186</v>
      </c>
      <c r="G14670" s="6" t="n">
        <f aca="false">PL!G110+Thesis!G151+Thesis!G147+Sens!G14663*(Seg!G75-Thesis!G129)+sbc_r*Seg!G75</f>
        <v>285.499052659517</v>
      </c>
      <c r="H14670" s="6" t="n">
        <f aca="false">PL!H110+Thesis!H151+Thesis!H147+Sens!H14663*(Seg!H75-Thesis!H129)+sbc_r*Seg!H75</f>
        <v>338.258569294547</v>
      </c>
      <c r="I14670" s="6" t="n">
        <f aca="false">PL!I110+Thesis!I151+Thesis!I147+Sens!I14663*(Seg!I75-Thesis!I129)+sbc_r*Seg!I75</f>
        <v>393.887902526982</v>
      </c>
      <c r="J14670" s="6" t="n">
        <f aca="false">PL!J110+Thesis!J151+Thesis!J147+Sens!J14663*(Seg!J75-Thesis!J129)+sbc_r*Seg!J75</f>
        <v>438.406631506078</v>
      </c>
      <c r="K14670" s="6" t="n">
        <f aca="false">PL!K110+Thesis!K151+Thesis!K147+Sens!K14663*(Seg!K75-Thesis!K129)+sbc_r*Seg!K75</f>
        <v>472.352875745143</v>
      </c>
    </row>
    <row r="14671" customFormat="false" ht="17.15" hidden="false" customHeight="false" outlineLevel="0" collapsed="false">
      <c r="A14671" s="0" t="s">
        <v>1239</v>
      </c>
      <c r="B14671" s="0" t="s">
        <v>98</v>
      </c>
      <c r="F14671" s="6" t="n">
        <f aca="false">Sens!F14670-Sens!F14664-Sens!F14665-Sens!F14666-Sens!F14667-Sens!F14669</f>
        <v>67.4353297630543</v>
      </c>
      <c r="G14671" s="6" t="n">
        <f aca="false">Sens!G14670-Sens!G14664-Sens!G14665-Sens!G14666-Sens!G14667-Sens!G14669</f>
        <v>74.9539293781376</v>
      </c>
      <c r="H14671" s="6" t="n">
        <f aca="false">Sens!H14670-Sens!H14664-Sens!H14665-Sens!H14666-Sens!H14667-Sens!H14669</f>
        <v>87.537773486888</v>
      </c>
      <c r="I14671" s="6" t="n">
        <f aca="false">Sens!I14670-Sens!I14664-Sens!I14665-Sens!I14666-Sens!I14667-Sens!I14669</f>
        <v>100.057277169252</v>
      </c>
      <c r="J14671" s="6" t="n">
        <f aca="false">Sens!J14670-Sens!J14664-Sens!J14665-Sens!J14666-Sens!J14667-Sens!J14669</f>
        <v>111.429055512297</v>
      </c>
      <c r="K14671" s="6" t="n">
        <f aca="false">Sens!K14670-Sens!K14664-Sens!K14665-Sens!K14666-Sens!K14667-Sens!K14669</f>
        <v>120.961838550618</v>
      </c>
    </row>
    <row r="14672" customFormat="false" ht="17.15" hidden="false" customHeight="false" outlineLevel="0" collapsed="false">
      <c r="A14672" s="0" t="s">
        <v>1240</v>
      </c>
      <c r="B14672" s="0" t="s">
        <v>98</v>
      </c>
      <c r="F14672" s="6" t="n">
        <f aca="false">PL!F112+Sens!F14663*Seg!F82+sbc_r*Seg!F82</f>
        <v>26.6373549789235</v>
      </c>
      <c r="G14672" s="6" t="n">
        <f aca="false">PL!G112+Sens!G14663*Seg!G82+sbc_r*Seg!G82</f>
        <v>26.5038922765853</v>
      </c>
      <c r="H14672" s="6" t="n">
        <f aca="false">PL!H112+Sens!H14663*Seg!H82+sbc_r*Seg!H82</f>
        <v>27.3981100014792</v>
      </c>
      <c r="I14672" s="6" t="n">
        <f aca="false">PL!I112+Sens!I14663*Seg!I82+sbc_r*Seg!I82</f>
        <v>28.5176442589239</v>
      </c>
      <c r="J14672" s="6" t="n">
        <f aca="false">PL!J112+Sens!J14663*Seg!J82+sbc_r*Seg!J82</f>
        <v>29.8313998963726</v>
      </c>
      <c r="K14672" s="6" t="n">
        <f aca="false">PL!K112+Sens!K14663*Seg!K82+sbc_r*Seg!K82</f>
        <v>31.3103466222307</v>
      </c>
    </row>
    <row r="14673" customFormat="false" ht="17.15" hidden="false" customHeight="false" outlineLevel="0" collapsed="false">
      <c r="A14673" s="0" t="s">
        <v>1241</v>
      </c>
      <c r="B14673" s="0" t="s">
        <v>98</v>
      </c>
      <c r="F14673" s="6" t="n">
        <f aca="false">(Sens!F14672-Sens!F14668)*Seg!F78/(Seg!F78+Seg!F80)</f>
        <v>8.72405610479892</v>
      </c>
      <c r="G14673" s="6" t="n">
        <f aca="false">(Sens!G14672-Sens!G14668)*Seg!G78/(Seg!G78+Seg!G80)</f>
        <v>7.897418765869</v>
      </c>
      <c r="H14673" s="6" t="n">
        <f aca="false">(Sens!H14672-Sens!H14668)*Seg!H78/(Seg!H78+Seg!H80)</f>
        <v>7.66644879573063</v>
      </c>
      <c r="I14673" s="6" t="n">
        <f aca="false">(Sens!I14672-Sens!I14668)*Seg!I78/(Seg!I78+Seg!I80)</f>
        <v>7.5787545031814</v>
      </c>
      <c r="J14673" s="6" t="n">
        <f aca="false">(Sens!J14672-Sens!J14668)*Seg!J78/(Seg!J78+Seg!J80)</f>
        <v>7.62401876450459</v>
      </c>
      <c r="K14673" s="6" t="n">
        <f aca="false">(Sens!K14672-Sens!K14668)*Seg!K78/(Seg!K78+Seg!K80)</f>
        <v>7.79847609658838</v>
      </c>
    </row>
    <row r="14674" customFormat="false" ht="17.15" hidden="false" customHeight="false" outlineLevel="0" collapsed="false">
      <c r="A14674" s="0" t="s">
        <v>1242</v>
      </c>
      <c r="B14674" s="0" t="s">
        <v>98</v>
      </c>
      <c r="F14674" s="6" t="n">
        <f aca="false">Sens!F14672-Sens!F14668-Sens!F14673</f>
        <v>6.72261492154066</v>
      </c>
      <c r="G14674" s="6" t="n">
        <f aca="false">Sens!G14672-Sens!G14668-Sens!G14673</f>
        <v>6.33014063899044</v>
      </c>
      <c r="H14674" s="6" t="n">
        <f aca="false">Sens!H14672-Sens!H14668-Sens!H14673</f>
        <v>6.32730487109095</v>
      </c>
      <c r="I14674" s="6" t="n">
        <f aca="false">Sens!I14672-Sens!I14668-Sens!I14673</f>
        <v>6.37673853755084</v>
      </c>
      <c r="J14674" s="6" t="n">
        <f aca="false">Sens!J14672-Sens!J14668-Sens!J14673</f>
        <v>6.47634294562954</v>
      </c>
      <c r="K14674" s="6" t="n">
        <f aca="false">Sens!K14672-Sens!K14668-Sens!K14673</f>
        <v>6.62453847699607</v>
      </c>
    </row>
    <row r="14675" customFormat="false" ht="17.15" hidden="false" customHeight="false" outlineLevel="0" collapsed="false">
      <c r="A14675" s="0" t="s">
        <v>1243</v>
      </c>
      <c r="B14675" s="0" t="s">
        <v>98</v>
      </c>
      <c r="F14675" s="6" t="n">
        <f aca="false">Sens!F14669-tax_f*(Sens!F14669-Thesis!F147)-Thesis!F144</f>
        <v>-130.362326762856</v>
      </c>
      <c r="G14675" s="6" t="n">
        <f aca="false">Sens!G14669-tax_f*(Sens!G14669-Thesis!G147)-Thesis!G144</f>
        <v>-124.225179337776</v>
      </c>
      <c r="H14675" s="6" t="n">
        <f aca="false">Sens!H14669-tax_f*(Sens!H14669-Thesis!H147)-Thesis!H144</f>
        <v>-101.534217387562</v>
      </c>
      <c r="I14675" s="6" t="n">
        <f aca="false">Sens!I14669-tax_f*(Sens!I14669-Thesis!I147)-Thesis!I144</f>
        <v>-43.6446798695439</v>
      </c>
      <c r="J14675" s="6" t="n">
        <f aca="false">Sens!J14669-tax_f*(Sens!J14669-Thesis!J147)-Thesis!J144</f>
        <v>16.9198855589618</v>
      </c>
      <c r="K14675" s="6" t="n">
        <f aca="false">Sens!K14669-tax_f*(Sens!K14669-Thesis!K147)-Thesis!K144</f>
        <v>39.8251384629271</v>
      </c>
    </row>
    <row r="14676" customFormat="false" ht="17.15" hidden="false" customHeight="false" outlineLevel="0" collapsed="false">
      <c r="A14676" s="0" t="s">
        <v>1244</v>
      </c>
      <c r="B14676" s="0" t="s">
        <v>98</v>
      </c>
      <c r="G14676" s="6" t="n">
        <f aca="false">Sens!G14675/(1+((px*sh_val*(rf+beta*erp_hi)+(debt_val+fl_val)*kd*(1-tax_w))/(px*sh_val+debt_val+fl_val)))^(Sens!G14646-Sens!F14647)</f>
        <v>-117.721082487876</v>
      </c>
      <c r="H14676" s="6" t="n">
        <f aca="false">Sens!H14675/(1+((px*sh_val*(rf+beta*erp_hi)+(debt_val+fl_val)*kd*(1-tax_w))/(px*sh_val+debt_val+fl_val)))^(Sens!H14646-Sens!F14647)</f>
        <v>-86.4064712450819</v>
      </c>
      <c r="I14676" s="6" t="n">
        <f aca="false">Sens!I14675/(1+((px*sh_val*(rf+beta*erp_hi)+(debt_val+fl_val)*kd*(1-tax_w))/(px*sh_val+debt_val+fl_val)))^(Sens!I14646-Sens!F14647)</f>
        <v>-33.3544961855531</v>
      </c>
      <c r="J14676" s="6" t="n">
        <f aca="false">Sens!J14675/(1+((px*sh_val*(rf+beta*erp_hi)+(debt_val+fl_val)*kd*(1-tax_w))/(px*sh_val+debt_val+fl_val)))^(Sens!J14646-Sens!F14647)</f>
        <v>11.6120720844781</v>
      </c>
      <c r="K14676" s="6" t="n">
        <f aca="false">Sens!K14675/(1+((px*sh_val*(rf+beta*erp_hi)+(debt_val+fl_val)*kd*(1-tax_w))/(px*sh_val+debt_val+fl_val)))^(Sens!K14646-Sens!F14647)</f>
        <v>24.5447620059926</v>
      </c>
      <c r="L14676" s="1" t="s">
        <v>1245</v>
      </c>
    </row>
    <row r="14677" customFormat="false" ht="17.15" hidden="false" customHeight="false" outlineLevel="0" collapsed="false">
      <c r="A14677" s="0" t="s">
        <v>1246</v>
      </c>
      <c r="B14677" s="0" t="s">
        <v>98</v>
      </c>
      <c r="C14677" s="6" t="n">
        <f aca="false">(Sens!K14669-Thesis!K147)*(1-tax_f)*(1+g_tv)*(1-g_tv/(((px*sh_val*(rf+beta*erp_hi)+(debt_val+fl_val)*kd*(1-tax_w))/(px*sh_val+debt_val+fl_val))+ronic_prem))/(((px*sh_val*(rf+beta*erp_hi)+(debt_val+fl_val)*kd*(1-tax_w))/(px*sh_val+debt_val+fl_val))-g_tv)/(1+((px*sh_val*(rf+beta*erp_hi)+(debt_val+fl_val)*kd*(1-tax_w))/(px*sh_val+debt_val+fl_val)))^(Sens!K14647-Sens!F14647)</f>
        <v>83.5726512967463</v>
      </c>
    </row>
    <row r="14678" customFormat="false" ht="17.15" hidden="false" customHeight="false" outlineLevel="0" collapsed="false">
      <c r="A14678" s="1" t="s">
        <v>1247</v>
      </c>
      <c r="B14678" s="0" t="s">
        <v>98</v>
      </c>
      <c r="C14678" s="6" t="n">
        <f aca="false">(SUM(Sens!G14676:K14676)+Sens!$C$14677)*(1+((px*sh_val*(rf+beta*erp_hi)+(debt_val+fl_val)*kd*(1-tax_w))/(px*sh_val+debt_val+fl_val)))^(t_roll-Sens!F14647)</f>
        <v>-122.026825932193</v>
      </c>
      <c r="L14678" s="12" t="s">
        <v>1248</v>
      </c>
    </row>
    <row r="14679" customFormat="false" ht="17.15" hidden="false" customHeight="false" outlineLevel="0" collapsed="false">
      <c r="A14679" s="1" t="s">
        <v>1249</v>
      </c>
      <c r="B14679" s="0" t="s">
        <v>98</v>
      </c>
      <c r="C14679" s="6" t="n">
        <f aca="false">(w_ntm28*Thesis!G135+(1-w_ntm28)*Thesis!H135)*m_ai</f>
        <v>344.355829012336</v>
      </c>
    </row>
    <row r="14680" customFormat="false" ht="17.15" hidden="false" customHeight="false" outlineLevel="0" collapsed="false">
      <c r="A14680" s="1" t="s">
        <v>1250</v>
      </c>
      <c r="B14680" s="0" t="s">
        <v>98</v>
      </c>
      <c r="C14680" s="6" t="n">
        <f aca="false">(w_ntm28*Sens!G14671+(1-w_ntm28)*Sens!H14671)*m_cloud</f>
        <v>1093.03877543039</v>
      </c>
    </row>
    <row r="14681" customFormat="false" ht="17.15" hidden="false" customHeight="false" outlineLevel="0" collapsed="false">
      <c r="A14681" s="1" t="s">
        <v>1251</v>
      </c>
      <c r="B14681" s="0" t="s">
        <v>98</v>
      </c>
      <c r="C14681" s="6" t="n">
        <f aca="false">(w_ntm28*Sens!G14664+(1-w_ntm28)*Sens!H14664)*m_sw</f>
        <v>1045.17056616266</v>
      </c>
    </row>
    <row r="14682" customFormat="false" ht="17.15" hidden="false" customHeight="false" outlineLevel="0" collapsed="false">
      <c r="A14682" s="1" t="s">
        <v>1252</v>
      </c>
      <c r="B14682" s="0" t="s">
        <v>98</v>
      </c>
      <c r="C14682" s="6" t="n">
        <f aca="false">(w_ntm28*Sens!G14665+(1-w_ntm28)*Sens!H14665)*m_sw</f>
        <v>373.178444957791</v>
      </c>
    </row>
    <row r="14683" customFormat="false" ht="17.15" hidden="false" customHeight="false" outlineLevel="0" collapsed="false">
      <c r="A14683" s="1" t="s">
        <v>1253</v>
      </c>
      <c r="B14683" s="0" t="s">
        <v>98</v>
      </c>
      <c r="C14683" s="6" t="n">
        <f aca="false">(w_ntm28*Sens!G14666+(1-w_ntm28)*Sens!H14666)*m_sw</f>
        <v>109.30055788101</v>
      </c>
    </row>
    <row r="14684" customFormat="false" ht="17.15" hidden="false" customHeight="false" outlineLevel="0" collapsed="false">
      <c r="A14684" s="1" t="s">
        <v>1254</v>
      </c>
      <c r="B14684" s="0" t="s">
        <v>98</v>
      </c>
      <c r="C14684" s="6" t="n">
        <f aca="false">(w_ntm28*Sens!G14667+(1-w_ntm28)*Sens!H14667)*m_sw</f>
        <v>41.5531037214606</v>
      </c>
    </row>
    <row r="14685" customFormat="false" ht="17.15" hidden="false" customHeight="false" outlineLevel="0" collapsed="false">
      <c r="A14685" s="1" t="s">
        <v>1255</v>
      </c>
      <c r="B14685" s="0" t="s">
        <v>98</v>
      </c>
      <c r="C14685" s="6" t="n">
        <f aca="false">(w_ntm28*Sens!G14668+(1-w_ntm28)*Sens!H14668)*m_ads</f>
        <v>115.215899994784</v>
      </c>
    </row>
    <row r="14686" customFormat="false" ht="17.15" hidden="false" customHeight="false" outlineLevel="0" collapsed="false">
      <c r="A14686" s="1" t="s">
        <v>1256</v>
      </c>
      <c r="B14686" s="0" t="s">
        <v>98</v>
      </c>
      <c r="C14686" s="6" t="n">
        <f aca="false">(w_ntm28*Sens!G14673+(1-w_ntm28)*Sens!H14673)*m_game</f>
        <v>98.7853357615783</v>
      </c>
    </row>
    <row r="14687" customFormat="false" ht="17.15" hidden="false" customHeight="false" outlineLevel="0" collapsed="false">
      <c r="A14687" s="1" t="s">
        <v>1257</v>
      </c>
      <c r="B14687" s="0" t="s">
        <v>98</v>
      </c>
      <c r="C14687" s="6" t="n">
        <f aca="false">(w_ntm28*Sens!G14674+(1-w_ntm28)*Sens!H14674)*m_pc</f>
        <v>91.5836445602173</v>
      </c>
    </row>
    <row r="14688" customFormat="false" ht="17.15" hidden="false" customHeight="false" outlineLevel="0" collapsed="false">
      <c r="A14688" s="1" t="s">
        <v>1258</v>
      </c>
      <c r="B14688" s="0" t="s">
        <v>98</v>
      </c>
      <c r="C14688" s="6" t="n">
        <f aca="false">Sens!$C$14678+Sens!$C$14680+Sens!$C$14681+Sens!$C$14682+Sens!$C$14683+Sens!$C$14684+Sens!$C$14685+Sens!$C$14686+Sens!$C$14687</f>
        <v>2845.7995025377</v>
      </c>
    </row>
    <row r="14689" customFormat="false" ht="17.15" hidden="false" customHeight="false" outlineLevel="0" collapsed="false">
      <c r="A14689" s="1" t="s">
        <v>1259</v>
      </c>
      <c r="B14689" s="0" t="s">
        <v>98</v>
      </c>
      <c r="C14689" s="6" t="n">
        <f aca="false">(Sens!G14650-Sens!G14675)*t_stub</f>
        <v>47.4829168796038</v>
      </c>
      <c r="L14689" s="1" t="s">
        <v>1260</v>
      </c>
    </row>
    <row r="14690" customFormat="false" ht="17.15" hidden="false" customHeight="false" outlineLevel="0" collapsed="false">
      <c r="A14690" s="1" t="s">
        <v>1169</v>
      </c>
      <c r="B14690" s="0" t="s">
        <v>98</v>
      </c>
      <c r="C14690" s="6" t="n">
        <f aca="false">CF!F103+oai_v-CF!F92+Sens!$C$14689</f>
        <v>158.55427008544</v>
      </c>
      <c r="L14690" s="1" t="s">
        <v>1261</v>
      </c>
    </row>
    <row r="14691" customFormat="false" ht="17.15" hidden="false" customHeight="false" outlineLevel="0" collapsed="false">
      <c r="A14691" s="1" t="s">
        <v>1262</v>
      </c>
      <c r="B14691" s="0" t="s">
        <v>75</v>
      </c>
      <c r="C14691" s="5" t="n">
        <f aca="false">(Sens!$C$14688+Sens!$C$14690)/(CF!F105+dil_gap)-CF!G95*roll_div_q/q_per_yr</f>
        <v>399.754759955061</v>
      </c>
      <c r="L14691" s="1" t="s">
        <v>1263</v>
      </c>
    </row>
    <row r="14692" customFormat="false" ht="17.15" hidden="false" customHeight="false" outlineLevel="0" collapsed="false">
      <c r="A14692" s="1" t="s">
        <v>1264</v>
      </c>
      <c r="B14692" s="0" t="s">
        <v>75</v>
      </c>
      <c r="C14692" s="5" t="n">
        <f aca="false">w_dcf*Sens!$C$14662+(1-w_dcf)*Sens!$C$14691</f>
        <v>325.82311997611</v>
      </c>
    </row>
    <row r="14693" customFormat="false" ht="17.15" hidden="false" customHeight="false" outlineLevel="0" collapsed="false">
      <c r="A14693" s="3" t="s">
        <v>1843</v>
      </c>
    </row>
    <row r="14694" customFormat="false" ht="15" hidden="false" customHeight="false" outlineLevel="0" collapsed="false">
      <c r="A14694" s="4" t="s">
        <v>43</v>
      </c>
      <c r="B14694" s="4" t="s">
        <v>65</v>
      </c>
      <c r="C14694" s="23" t="s">
        <v>938</v>
      </c>
      <c r="D14694" s="23" t="s">
        <v>939</v>
      </c>
      <c r="E14694" s="23" t="s">
        <v>940</v>
      </c>
      <c r="F14694" s="23" t="s">
        <v>941</v>
      </c>
      <c r="G14694" s="23" t="s">
        <v>942</v>
      </c>
      <c r="H14694" s="23" t="s">
        <v>943</v>
      </c>
      <c r="I14694" s="23" t="s">
        <v>944</v>
      </c>
      <c r="J14694" s="23" t="s">
        <v>945</v>
      </c>
      <c r="K14694" s="23" t="s">
        <v>946</v>
      </c>
      <c r="L14694" s="4" t="s">
        <v>47</v>
      </c>
    </row>
    <row r="14695" customFormat="false" ht="17.15" hidden="false" customHeight="false" outlineLevel="0" collapsed="false">
      <c r="A14695" s="1" t="s">
        <v>1212</v>
      </c>
      <c r="B14695" s="1" t="s">
        <v>279</v>
      </c>
      <c r="F14695" s="8" t="n">
        <f aca="false">(1-v_off)*mid_yr</f>
        <v>0.373972602739726</v>
      </c>
      <c r="G14695" s="8" t="n">
        <f aca="false">Thesis!G6-base_fy-mid_yr-v_off</f>
        <v>1.24794520547945</v>
      </c>
      <c r="H14695" s="8" t="n">
        <f aca="false">Thesis!H6-base_fy-mid_yr-v_off</f>
        <v>2.24794520547945</v>
      </c>
      <c r="I14695" s="8" t="n">
        <f aca="false">Thesis!I6-base_fy-mid_yr-v_off</f>
        <v>3.24794520547945</v>
      </c>
      <c r="J14695" s="8" t="n">
        <f aca="false">Thesis!J6-base_fy-mid_yr-v_off</f>
        <v>4.24794520547945</v>
      </c>
      <c r="K14695" s="8" t="n">
        <f aca="false">Thesis!K6-base_fy-mid_yr-v_off</f>
        <v>5.24794520547945</v>
      </c>
      <c r="L14695" s="12" t="s">
        <v>1213</v>
      </c>
    </row>
    <row r="14696" customFormat="false" ht="15" hidden="false" customHeight="false" outlineLevel="0" collapsed="false">
      <c r="A14696" s="1" t="s">
        <v>1214</v>
      </c>
      <c r="B14696" s="1" t="s">
        <v>279</v>
      </c>
      <c r="F14696" s="8" t="n">
        <f aca="false">Thesis!F6-base_fy-v_off</f>
        <v>0.747945205479452</v>
      </c>
      <c r="G14696" s="8" t="n">
        <f aca="false">Thesis!G6-base_fy-v_off</f>
        <v>1.74794520547945</v>
      </c>
      <c r="H14696" s="8" t="n">
        <f aca="false">Thesis!H6-base_fy-v_off</f>
        <v>2.74794520547945</v>
      </c>
      <c r="I14696" s="8" t="n">
        <f aca="false">Thesis!I6-base_fy-v_off</f>
        <v>3.74794520547945</v>
      </c>
      <c r="J14696" s="8" t="n">
        <f aca="false">Thesis!J6-base_fy-v_off</f>
        <v>4.74794520547945</v>
      </c>
      <c r="K14696" s="8" t="n">
        <f aca="false">Thesis!K6-base_fy-v_off</f>
        <v>5.74794520547945</v>
      </c>
    </row>
    <row r="14697" customFormat="false" ht="15" hidden="false" customHeight="false" outlineLevel="0" collapsed="false">
      <c r="A14697" s="1" t="s">
        <v>1215</v>
      </c>
      <c r="B14697" s="0" t="s">
        <v>229</v>
      </c>
      <c r="F14697" s="15" t="n">
        <f aca="false">1/(1+wacc)^Sens!F14695</f>
        <v>0.964022703286649</v>
      </c>
      <c r="G14697" s="15" t="n">
        <f aca="false">1/(1+wacc)^Sens!G14695</f>
        <v>0.884910302296739</v>
      </c>
      <c r="H14697" s="15" t="n">
        <f aca="false">1/(1+wacc)^Sens!H14695</f>
        <v>0.802322009770358</v>
      </c>
      <c r="I14697" s="15" t="n">
        <f aca="false">1/(1+wacc)^Sens!I14695</f>
        <v>0.727441646561469</v>
      </c>
      <c r="J14697" s="15" t="n">
        <f aca="false">1/(1+wacc)^Sens!J14695</f>
        <v>0.659549834988973</v>
      </c>
      <c r="K14697" s="15" t="n">
        <f aca="false">1/(1+wacc)^Sens!K14695</f>
        <v>0.597994336576966</v>
      </c>
    </row>
    <row r="14698" customFormat="false" ht="17.15" hidden="false" customHeight="false" outlineLevel="0" collapsed="false">
      <c r="A14698" s="1" t="s">
        <v>1216</v>
      </c>
      <c r="B14698" s="0" t="s">
        <v>98</v>
      </c>
      <c r="F14698" s="6" t="n">
        <f aca="false">Q!$I$35-Q!$I$39-Q!$I$43</f>
        <v>9.666</v>
      </c>
      <c r="L14698" s="12" t="s">
        <v>1217</v>
      </c>
    </row>
    <row r="14699" customFormat="false" ht="17.15" hidden="false" customHeight="false" outlineLevel="0" collapsed="false">
      <c r="A14699" s="1" t="s">
        <v>1218</v>
      </c>
      <c r="B14699" s="0" t="s">
        <v>98</v>
      </c>
      <c r="F14699" s="6" t="n">
        <f aca="false">CF!F23-CF!F20-CF!F27+Thesis!F47*(1-tax_f)*(1-v_off)-Sens!F14698</f>
        <v>-1.12880264559539</v>
      </c>
      <c r="G14699" s="6" t="n">
        <f aca="false">CF!G23-CF!G20-CF!G27+Thesis!G47*(1-tax_f)</f>
        <v>38.7194421947551</v>
      </c>
      <c r="H14699" s="6" t="n">
        <f aca="false">CF!H23-CF!H20-CF!H27+Thesis!H47*(1-tax_f)</f>
        <v>98.6927474567662</v>
      </c>
      <c r="I14699" s="6" t="n">
        <f aca="false">CF!I23-CF!I20-CF!I27+Thesis!I47*(1-tax_f)</f>
        <v>181.625440536277</v>
      </c>
      <c r="J14699" s="6" t="n">
        <f aca="false">CF!J23-CF!J20-CF!J27+Thesis!J47*(1-tax_f)</f>
        <v>263.350402418584</v>
      </c>
      <c r="K14699" s="6" t="n">
        <f aca="false">CF!K23-CF!K20-CF!K27+Thesis!K47*(1-tax_f)</f>
        <v>303.659068389018</v>
      </c>
      <c r="L14699" s="1" t="s">
        <v>1219</v>
      </c>
    </row>
    <row r="14700" customFormat="false" ht="15" hidden="false" customHeight="false" outlineLevel="0" collapsed="false">
      <c r="A14700" s="1" t="s">
        <v>1220</v>
      </c>
      <c r="B14700" s="0" t="s">
        <v>98</v>
      </c>
      <c r="F14700" s="6" t="n">
        <f aca="false">Sens!F14699*Sens!F14697</f>
        <v>-1.08819137788399</v>
      </c>
      <c r="G14700" s="6" t="n">
        <f aca="false">Sens!G14699*Sens!G14697</f>
        <v>34.2632332973219</v>
      </c>
      <c r="H14700" s="6" t="n">
        <f aca="false">Sens!H14699*Sens!H14697</f>
        <v>79.183363489271</v>
      </c>
      <c r="I14700" s="6" t="n">
        <f aca="false">Sens!I14699*Sens!I14697</f>
        <v>132.121909521162</v>
      </c>
      <c r="J14700" s="6" t="n">
        <f aca="false">Sens!J14699*Sens!J14697</f>
        <v>173.692714459456</v>
      </c>
      <c r="K14700" s="6" t="n">
        <f aca="false">Sens!K14699*Sens!K14697</f>
        <v>181.58640314687</v>
      </c>
    </row>
    <row r="14701" customFormat="false" ht="17.15" hidden="false" customHeight="false" outlineLevel="0" collapsed="false">
      <c r="A14701" s="1" t="s">
        <v>1221</v>
      </c>
      <c r="B14701" s="0" t="s">
        <v>98</v>
      </c>
      <c r="C14701" s="6" t="n">
        <f aca="false">SUM(Sens!F14700:K14700)</f>
        <v>599.759432536197</v>
      </c>
    </row>
    <row r="14702" customFormat="false" ht="17.15" hidden="false" customHeight="false" outlineLevel="0" collapsed="false">
      <c r="A14702" s="1" t="s">
        <v>1222</v>
      </c>
      <c r="B14702" s="0" t="s">
        <v>98</v>
      </c>
      <c r="C14702" s="6" t="n">
        <f aca="false">PL!K39*(1+g_tv)*(1-tax_f)</f>
        <v>316.501318799308</v>
      </c>
    </row>
    <row r="14703" customFormat="false" ht="17.15" hidden="false" customHeight="false" outlineLevel="0" collapsed="false">
      <c r="A14703" s="1" t="s">
        <v>1223</v>
      </c>
      <c r="B14703" s="0" t="s">
        <v>98</v>
      </c>
      <c r="C14703" s="6" t="n">
        <f aca="false">Sens!$C$14702*(1-g_tv/(wacc+ronic_prem_hi))</f>
        <v>254.416506359904</v>
      </c>
    </row>
    <row r="14704" customFormat="false" ht="17.15" hidden="false" customHeight="false" outlineLevel="0" collapsed="false">
      <c r="A14704" s="1" t="s">
        <v>1224</v>
      </c>
      <c r="B14704" s="0" t="s">
        <v>98</v>
      </c>
      <c r="C14704" s="6" t="n">
        <f aca="false">Sens!$C$14703/(wacc-g_tv)</f>
        <v>3488.1875209889</v>
      </c>
    </row>
    <row r="14705" customFormat="false" ht="15" hidden="false" customHeight="false" outlineLevel="0" collapsed="false">
      <c r="A14705" s="1" t="s">
        <v>1225</v>
      </c>
      <c r="B14705" s="0" t="s">
        <v>98</v>
      </c>
      <c r="C14705" s="6" t="n">
        <f aca="false">Sens!$C$14704/(1+wacc)^Sens!K14696</f>
        <v>1986.19380262477</v>
      </c>
    </row>
    <row r="14706" customFormat="false" ht="17.15" hidden="false" customHeight="false" outlineLevel="0" collapsed="false">
      <c r="A14706" s="0" t="s">
        <v>1226</v>
      </c>
      <c r="B14706" s="0" t="s">
        <v>98</v>
      </c>
      <c r="C14706" s="6" t="n">
        <f aca="false">Sens!$C$14701+Sens!$C$14705</f>
        <v>2585.95323516097</v>
      </c>
    </row>
    <row r="14707" customFormat="false" ht="15" hidden="false" customHeight="false" outlineLevel="0" collapsed="false">
      <c r="A14707" s="1" t="s">
        <v>1141</v>
      </c>
      <c r="B14707" s="0" t="s">
        <v>168</v>
      </c>
      <c r="C14707" s="7" t="n">
        <f aca="false">Sens!$C$14705/Sens!$C$14706</f>
        <v>0.768070271193878</v>
      </c>
    </row>
    <row r="14708" customFormat="false" ht="17.15" hidden="false" customHeight="false" outlineLevel="0" collapsed="false">
      <c r="A14708" s="1" t="s">
        <v>1227</v>
      </c>
      <c r="B14708" s="0" t="s">
        <v>98</v>
      </c>
      <c r="C14708" s="6" t="n">
        <f aca="false">Sens!$C$14706+cash_val-debt_val-fl_val+oai_v</f>
        <v>2701.80423516097</v>
      </c>
    </row>
    <row r="14709" customFormat="false" ht="17.15" hidden="false" customHeight="false" outlineLevel="0" collapsed="false">
      <c r="A14709" s="0" t="s">
        <v>1149</v>
      </c>
      <c r="B14709" s="0" t="s">
        <v>75</v>
      </c>
      <c r="C14709" s="5" t="n">
        <f aca="false">Sens!$C$14708/shd_val</f>
        <v>362.853107058954</v>
      </c>
    </row>
    <row r="14710" customFormat="false" ht="15" hidden="false" customHeight="false" outlineLevel="0" collapsed="false">
      <c r="A14710" s="1" t="s">
        <v>1228</v>
      </c>
      <c r="B14710" s="0" t="s">
        <v>75</v>
      </c>
      <c r="C14710" s="8" t="n">
        <f aca="false">div_rem27+CF!G31*roll_div_q/q_per_yr</f>
        <v>3.9795</v>
      </c>
    </row>
    <row r="14711" customFormat="false" ht="17.15" hidden="false" customHeight="false" outlineLevel="0" collapsed="false">
      <c r="A14711" s="0" t="s">
        <v>1229</v>
      </c>
      <c r="B14711" s="0" t="s">
        <v>75</v>
      </c>
      <c r="C14711" s="5" t="n">
        <f aca="false">Sens!$C$14709*(1+wacc)^t_roll-Sens!$C$14710</f>
        <v>399.351979597829</v>
      </c>
    </row>
    <row r="14712" customFormat="false" ht="17.15" hidden="false" customHeight="false" outlineLevel="0" collapsed="false">
      <c r="A14712" s="1" t="s">
        <v>1230</v>
      </c>
      <c r="B14712" s="0" t="s">
        <v>168</v>
      </c>
      <c r="F14712" s="7" t="n">
        <f aca="false">CF!F17/(Seg!F29-Thesis!F25)</f>
        <v>0.0685527305696859</v>
      </c>
      <c r="G14712" s="7" t="n">
        <f aca="false">CF!G17/(Seg!G29-Thesis!G25)</f>
        <v>0.0653567731599844</v>
      </c>
      <c r="H14712" s="7" t="n">
        <f aca="false">CF!H17/(Seg!H29-Thesis!H25)</f>
        <v>0.0636628841026972</v>
      </c>
      <c r="I14712" s="7" t="n">
        <f aca="false">CF!I17/(Seg!I29-Thesis!I25)</f>
        <v>0.0633581084335176</v>
      </c>
      <c r="J14712" s="7" t="n">
        <f aca="false">CF!J17/(Seg!J29-Thesis!J25)</f>
        <v>0.0640873955995062</v>
      </c>
      <c r="K14712" s="7" t="n">
        <f aca="false">CF!K17/(Seg!K29-Thesis!K25)</f>
        <v>0.0653962234835198</v>
      </c>
    </row>
    <row r="14713" customFormat="false" ht="17.15" hidden="false" customHeight="false" outlineLevel="0" collapsed="false">
      <c r="A14713" s="0" t="s">
        <v>1231</v>
      </c>
      <c r="B14713" s="0" t="s">
        <v>98</v>
      </c>
      <c r="F14713" s="6" t="n">
        <f aca="false">Seg!F14*(al_m365+Sens!F14712+sbc_r)</f>
        <v>84.5213906545575</v>
      </c>
      <c r="G14713" s="6" t="n">
        <f aca="false">Seg!G14*(al_m365+Sens!G14712+sbc_r)</f>
        <v>98.949983331796</v>
      </c>
      <c r="H14713" s="6" t="n">
        <f aca="false">Seg!H14*(al_m365+Sens!H14712+sbc_r)</f>
        <v>113.543734275326</v>
      </c>
      <c r="I14713" s="6" t="n">
        <f aca="false">Seg!I14*(al_m365+Sens!I14712+sbc_r)</f>
        <v>126.62058838692</v>
      </c>
      <c r="J14713" s="6" t="n">
        <f aca="false">Seg!J14*(al_m365+Sens!J14712+sbc_r)</f>
        <v>137.994660156303</v>
      </c>
      <c r="K14713" s="6" t="n">
        <f aca="false">Seg!K14*(al_m365+Sens!K14712+sbc_r)</f>
        <v>148.989224092997</v>
      </c>
      <c r="L14713" s="12" t="s">
        <v>1232</v>
      </c>
    </row>
    <row r="14714" customFormat="false" ht="17.15" hidden="false" customHeight="false" outlineLevel="0" collapsed="false">
      <c r="A14714" s="0" t="s">
        <v>1233</v>
      </c>
      <c r="B14714" s="0" t="s">
        <v>98</v>
      </c>
      <c r="F14714" s="6" t="n">
        <f aca="false">Seg!F15*(al_lic+Sens!F14712+sbc_r)</f>
        <v>32.855200196554</v>
      </c>
      <c r="G14714" s="6" t="n">
        <f aca="false">Seg!G15*(al_lic+Sens!G14712+sbc_r)</f>
        <v>34.1185582613282</v>
      </c>
      <c r="H14714" s="6" t="n">
        <f aca="false">Seg!H15*(al_lic+Sens!H14712+sbc_r)</f>
        <v>35.3024309363621</v>
      </c>
      <c r="I14714" s="6" t="n">
        <f aca="false">Seg!I15*(al_lic+Sens!I14712+sbc_r)</f>
        <v>36.3898468129533</v>
      </c>
      <c r="J14714" s="6" t="n">
        <f aca="false">Seg!J15*(al_lic+Sens!J14712+sbc_r)</f>
        <v>37.3529129529876</v>
      </c>
      <c r="K14714" s="6" t="n">
        <f aca="false">Seg!K15*(al_lic+Sens!K14712+sbc_r)</f>
        <v>38.158536171203</v>
      </c>
    </row>
    <row r="14715" customFormat="false" ht="17.15" hidden="false" customHeight="false" outlineLevel="0" collapsed="false">
      <c r="A14715" s="0" t="s">
        <v>1234</v>
      </c>
      <c r="B14715" s="0" t="s">
        <v>98</v>
      </c>
      <c r="F14715" s="6" t="n">
        <f aca="false">Seg!F17*(al_ind+Sens!F14712+sbc_r)</f>
        <v>9.05892547956683</v>
      </c>
      <c r="G14715" s="6" t="n">
        <f aca="false">Seg!G17*(al_ind+Sens!G14712+sbc_r)</f>
        <v>9.82456487622418</v>
      </c>
      <c r="H14715" s="6" t="n">
        <f aca="false">Seg!H17*(al_ind+Sens!H14712+sbc_r)</f>
        <v>10.6377408477959</v>
      </c>
      <c r="I14715" s="6" t="n">
        <f aca="false">Seg!I17*(al_ind+Sens!I14712+sbc_r)</f>
        <v>11.4966323260293</v>
      </c>
      <c r="J14715" s="6" t="n">
        <f aca="false">Seg!J17*(al_ind+Sens!J14712+sbc_r)</f>
        <v>12.3903660286279</v>
      </c>
      <c r="K14715" s="6" t="n">
        <f aca="false">Seg!K17*(al_ind+Sens!K14712+sbc_r)</f>
        <v>13.3009129057681</v>
      </c>
    </row>
    <row r="14716" customFormat="false" ht="17.15" hidden="false" customHeight="false" outlineLevel="0" collapsed="false">
      <c r="A14716" s="0" t="s">
        <v>1235</v>
      </c>
      <c r="B14716" s="0" t="s">
        <v>98</v>
      </c>
      <c r="F14716" s="6" t="n">
        <f aca="false">Seg!F19*(al_fro+Sens!F14712+sbc_r)</f>
        <v>3.55344443532423</v>
      </c>
      <c r="G14716" s="6" t="n">
        <f aca="false">Seg!G19*(al_fro+Sens!G14712+sbc_r)</f>
        <v>3.75916645971565</v>
      </c>
      <c r="H14716" s="6" t="n">
        <f aca="false">Seg!H19*(al_fro+Sens!H14712+sbc_r)</f>
        <v>3.994970960527</v>
      </c>
      <c r="I14716" s="6" t="n">
        <f aca="false">Seg!I19*(al_fro+Sens!I14712+sbc_r)</f>
        <v>4.26396270432353</v>
      </c>
      <c r="J14716" s="6" t="n">
        <f aca="false">Seg!J19*(al_fro+Sens!J14712+sbc_r)</f>
        <v>4.5667795874336</v>
      </c>
      <c r="K14716" s="6" t="n">
        <f aca="false">Seg!K19*(al_fro+Sens!K14712+sbc_r)</f>
        <v>4.90238443416026</v>
      </c>
    </row>
    <row r="14717" customFormat="false" ht="17.15" hidden="false" customHeight="false" outlineLevel="0" collapsed="false">
      <c r="A14717" s="0" t="s">
        <v>1236</v>
      </c>
      <c r="B14717" s="0" t="s">
        <v>98</v>
      </c>
      <c r="F14717" s="6" t="n">
        <f aca="false">Seg!F22*(al_srch+Sens!F14712+sbc_r)</f>
        <v>11.1872483445711</v>
      </c>
      <c r="G14717" s="6" t="n">
        <f aca="false">Seg!G22*(al_srch+Sens!G14712+sbc_r)</f>
        <v>12.247246048296</v>
      </c>
      <c r="H14717" s="6" t="n">
        <f aca="false">Seg!H22*(al_srch+Sens!H14712+sbc_r)</f>
        <v>13.3552870946193</v>
      </c>
      <c r="I14717" s="6" t="n">
        <f aca="false">Seg!I22*(al_srch+Sens!I14712+sbc_r)</f>
        <v>14.5024145321619</v>
      </c>
      <c r="J14717" s="6" t="n">
        <f aca="false">Seg!J22*(al_srch+Sens!J14712+sbc_r)</f>
        <v>15.667276660652</v>
      </c>
      <c r="K14717" s="6" t="n">
        <f aca="false">Seg!K22*(al_srch+Sens!K14712+sbc_r)</f>
        <v>16.8186381138719</v>
      </c>
    </row>
    <row r="14718" customFormat="false" ht="17.15" hidden="false" customHeight="false" outlineLevel="0" collapsed="false">
      <c r="A14718" s="0" t="s">
        <v>1237</v>
      </c>
      <c r="B14718" s="0" t="s">
        <v>98</v>
      </c>
      <c r="F14718" s="6" t="n">
        <f aca="false">Thesis!F31-Thesis!F32+Thesis!F47</f>
        <v>45.3782580567763</v>
      </c>
      <c r="G14718" s="6" t="n">
        <f aca="false">Thesis!G31-Thesis!G32+Thesis!G47</f>
        <v>91.0863367558165</v>
      </c>
      <c r="H14718" s="6" t="n">
        <f aca="false">Thesis!H31-Thesis!H32+Thesis!H47</f>
        <v>144.617532464853</v>
      </c>
      <c r="I14718" s="6" t="n">
        <f aca="false">Thesis!I31-Thesis!I32+Thesis!I47</f>
        <v>187.137304561304</v>
      </c>
      <c r="J14718" s="6" t="n">
        <f aca="false">Thesis!J31-Thesis!J32+Thesis!J47</f>
        <v>217.006854425907</v>
      </c>
      <c r="K14718" s="6" t="n">
        <f aca="false">Thesis!K31-Thesis!K32+Thesis!K47</f>
        <v>234.933637903877</v>
      </c>
    </row>
    <row r="14719" customFormat="false" ht="17.15" hidden="false" customHeight="false" outlineLevel="0" collapsed="false">
      <c r="A14719" s="0" t="s">
        <v>1238</v>
      </c>
      <c r="B14719" s="0" t="s">
        <v>98</v>
      </c>
      <c r="F14719" s="6" t="n">
        <f aca="false">PL!F32+Thesis!F47+Thesis!F43+Sens!F14712*(Seg!F21-Thesis!F25)+sbc_r*Seg!F21</f>
        <v>240.818167741339</v>
      </c>
      <c r="G14719" s="6" t="n">
        <f aca="false">PL!G32+Thesis!G47+Thesis!G43+Sens!G14712*(Seg!G21-Thesis!G25)+sbc_r*Seg!G21</f>
        <v>311.917784140952</v>
      </c>
      <c r="H14719" s="6" t="n">
        <f aca="false">PL!H32+Thesis!H47+Thesis!H43+Sens!H14712*(Seg!H21-Thesis!H25)+sbc_r*Seg!H21</f>
        <v>395.486245683473</v>
      </c>
      <c r="I14719" s="6" t="n">
        <f aca="false">PL!I32+Thesis!I47+Thesis!I43+Sens!I14712*(Seg!I21-Thesis!I25)+sbc_r*Seg!I21</f>
        <v>465.950805948377</v>
      </c>
      <c r="J14719" s="6" t="n">
        <f aca="false">PL!J32+Thesis!J47+Thesis!J43+Sens!J14712*(Seg!J21-Thesis!J25)+sbc_r*Seg!J21</f>
        <v>520.78677388057</v>
      </c>
      <c r="K14719" s="6" t="n">
        <f aca="false">PL!K32+Thesis!K47+Thesis!K43+Sens!K14712*(Seg!K21-Thesis!K25)+sbc_r*Seg!K21</f>
        <v>561.2469767412</v>
      </c>
    </row>
    <row r="14720" customFormat="false" ht="17.15" hidden="false" customHeight="false" outlineLevel="0" collapsed="false">
      <c r="A14720" s="0" t="s">
        <v>1239</v>
      </c>
      <c r="B14720" s="0" t="s">
        <v>98</v>
      </c>
      <c r="F14720" s="6" t="n">
        <f aca="false">Sens!F14719-Sens!F14713-Sens!F14714-Sens!F14715-Sens!F14716-Sens!F14718</f>
        <v>65.4509489185601</v>
      </c>
      <c r="G14720" s="6" t="n">
        <f aca="false">Sens!G14719-Sens!G14713-Sens!G14714-Sens!G14715-Sens!G14716-Sens!G14718</f>
        <v>74.1791744560715</v>
      </c>
      <c r="H14720" s="6" t="n">
        <f aca="false">Sens!H14719-Sens!H14713-Sens!H14714-Sens!H14715-Sens!H14716-Sens!H14718</f>
        <v>87.3898361986086</v>
      </c>
      <c r="I14720" s="6" t="n">
        <f aca="false">Sens!I14719-Sens!I14713-Sens!I14714-Sens!I14715-Sens!I14716-Sens!I14718</f>
        <v>100.042471156846</v>
      </c>
      <c r="J14720" s="6" t="n">
        <f aca="false">Sens!J14719-Sens!J14713-Sens!J14714-Sens!J14715-Sens!J14716-Sens!J14718</f>
        <v>111.475200729312</v>
      </c>
      <c r="K14720" s="6" t="n">
        <f aca="false">Sens!K14719-Sens!K14713-Sens!K14714-Sens!K14715-Sens!K14716-Sens!K14718</f>
        <v>120.962281233195</v>
      </c>
    </row>
    <row r="14721" customFormat="false" ht="17.15" hidden="false" customHeight="false" outlineLevel="0" collapsed="false">
      <c r="A14721" s="0" t="s">
        <v>1240</v>
      </c>
      <c r="B14721" s="0" t="s">
        <v>98</v>
      </c>
      <c r="F14721" s="6" t="n">
        <f aca="false">PL!F34+Sens!F14712*Seg!F28+sbc_r*Seg!F28</f>
        <v>26.6293388420472</v>
      </c>
      <c r="G14721" s="6" t="n">
        <f aca="false">PL!G34+Sens!G14712*Seg!G28+sbc_r*Seg!G28</f>
        <v>26.4405000412783</v>
      </c>
      <c r="H14721" s="6" t="n">
        <f aca="false">PL!H34+Sens!H14712*Seg!H28+sbc_r*Seg!H28</f>
        <v>27.296860059552</v>
      </c>
      <c r="I14721" s="6" t="n">
        <f aca="false">PL!I34+Sens!I14712*Seg!I28+sbc_r*Seg!I28</f>
        <v>28.3995465815703</v>
      </c>
      <c r="J14721" s="6" t="n">
        <f aca="false">PL!J34+Sens!J14712*Seg!J28+sbc_r*Seg!J28</f>
        <v>29.7093380975903</v>
      </c>
      <c r="K14721" s="6" t="n">
        <f aca="false">PL!K34+Sens!K14712*Seg!K28+sbc_r*Seg!K28</f>
        <v>31.1817775287323</v>
      </c>
    </row>
    <row r="14722" customFormat="false" ht="17.15" hidden="false" customHeight="false" outlineLevel="0" collapsed="false">
      <c r="A14722" s="0" t="s">
        <v>1241</v>
      </c>
      <c r="B14722" s="0" t="s">
        <v>98</v>
      </c>
      <c r="F14722" s="6" t="n">
        <f aca="false">(Sens!F14721-Sens!F14717)*Seg!F24/(Seg!F24+Seg!F26)</f>
        <v>8.72146908842971</v>
      </c>
      <c r="G14722" s="6" t="n">
        <f aca="false">(Sens!G14721-Sens!G14717)*Seg!G24/(Seg!G24+Seg!G26)</f>
        <v>7.87837655379173</v>
      </c>
      <c r="H14722" s="6" t="n">
        <f aca="false">(Sens!H14721-Sens!H14717)*Seg!H24/(Seg!H24+Seg!H26)</f>
        <v>7.63786170689933</v>
      </c>
      <c r="I14722" s="6" t="n">
        <f aca="false">(Sens!I14721-Sens!I14717)*Seg!I24/(Seg!I24+Seg!I26)</f>
        <v>7.5470606300581</v>
      </c>
      <c r="J14722" s="6" t="n">
        <f aca="false">(Sens!J14721-Sens!J14717)*Seg!J24/(Seg!J24+Seg!J26)</f>
        <v>7.59249600034024</v>
      </c>
      <c r="K14722" s="6" t="n">
        <f aca="false">(Sens!K14721-Sens!K14717)*Seg!K24/(Seg!K24+Seg!K26)</f>
        <v>7.76610179704742</v>
      </c>
    </row>
    <row r="14723" customFormat="false" ht="17.15" hidden="false" customHeight="false" outlineLevel="0" collapsed="false">
      <c r="A14723" s="0" t="s">
        <v>1242</v>
      </c>
      <c r="B14723" s="0" t="s">
        <v>98</v>
      </c>
      <c r="F14723" s="6" t="n">
        <f aca="false">Sens!F14721-Sens!F14717-Sens!F14722</f>
        <v>6.72062140904636</v>
      </c>
      <c r="G14723" s="6" t="n">
        <f aca="false">Sens!G14721-Sens!G14717-Sens!G14722</f>
        <v>6.31487743919059</v>
      </c>
      <c r="H14723" s="6" t="n">
        <f aca="false">Sens!H14721-Sens!H14717-Sens!H14722</f>
        <v>6.30371125803333</v>
      </c>
      <c r="I14723" s="6" t="n">
        <f aca="false">Sens!I14721-Sens!I14717-Sens!I14722</f>
        <v>6.35007141935025</v>
      </c>
      <c r="J14723" s="6" t="n">
        <f aca="false">Sens!J14721-Sens!J14717-Sens!J14722</f>
        <v>6.44956543659808</v>
      </c>
      <c r="K14723" s="6" t="n">
        <f aca="false">Sens!K14721-Sens!K14717-Sens!K14722</f>
        <v>6.597037617813</v>
      </c>
    </row>
    <row r="14724" customFormat="false" ht="17.15" hidden="false" customHeight="false" outlineLevel="0" collapsed="false">
      <c r="A14724" s="0" t="s">
        <v>1243</v>
      </c>
      <c r="B14724" s="0" t="s">
        <v>98</v>
      </c>
      <c r="F14724" s="6" t="n">
        <f aca="false">Sens!F14718-tax_f*(Sens!F14718-Thesis!F43)-Thesis!F40</f>
        <v>-125.235434701028</v>
      </c>
      <c r="G14724" s="6" t="n">
        <f aca="false">Sens!G14718-tax_f*(Sens!G14718-Thesis!G43)-Thesis!G40</f>
        <v>-106.928508113935</v>
      </c>
      <c r="H14724" s="6" t="n">
        <f aca="false">Sens!H14718-tax_f*(Sens!H14718-Thesis!H43)-Thesis!H40</f>
        <v>-63.2919599603405</v>
      </c>
      <c r="I14724" s="6" t="n">
        <f aca="false">Sens!I14718-tax_f*(Sens!I14718-Thesis!I43)-Thesis!I40</f>
        <v>3.94121196634245</v>
      </c>
      <c r="J14724" s="6" t="n">
        <f aca="false">Sens!J14718-tax_f*(Sens!J14718-Thesis!J43)-Thesis!J40</f>
        <v>71.0786869547042</v>
      </c>
      <c r="K14724" s="6" t="n">
        <f aca="false">Sens!K14718-tax_f*(Sens!K14718-Thesis!K43)-Thesis!K40</f>
        <v>97.5865911685559</v>
      </c>
    </row>
    <row r="14725" customFormat="false" ht="17.15" hidden="false" customHeight="false" outlineLevel="0" collapsed="false">
      <c r="A14725" s="0" t="s">
        <v>1244</v>
      </c>
      <c r="B14725" s="0" t="s">
        <v>98</v>
      </c>
      <c r="G14725" s="6" t="n">
        <f aca="false">Sens!G14724/(1+wacc)^(Sens!G14695-Sens!F14696)</f>
        <v>-101.81651667568</v>
      </c>
      <c r="H14725" s="6" t="n">
        <f aca="false">Sens!H14724/(1+wacc)^(Sens!H14695-Sens!F14696)</f>
        <v>-54.6415143556151</v>
      </c>
      <c r="I14725" s="6" t="n">
        <f aca="false">Sens!I14724/(1+wacc)^(Sens!I14695-Sens!F14696)</f>
        <v>3.08498765169516</v>
      </c>
      <c r="J14725" s="6" t="n">
        <f aca="false">Sens!J14724/(1+wacc)^(Sens!J14695-Sens!F14696)</f>
        <v>50.4443451596971</v>
      </c>
      <c r="K14725" s="6" t="n">
        <f aca="false">Sens!K14724/(1+wacc)^(Sens!K14695-Sens!F14696)</f>
        <v>62.7932114544856</v>
      </c>
      <c r="L14725" s="1" t="s">
        <v>1245</v>
      </c>
    </row>
    <row r="14726" customFormat="false" ht="17.15" hidden="false" customHeight="false" outlineLevel="0" collapsed="false">
      <c r="A14726" s="0" t="s">
        <v>1246</v>
      </c>
      <c r="B14726" s="0" t="s">
        <v>98</v>
      </c>
      <c r="C14726" s="6" t="n">
        <f aca="false">(Sens!K14718-Thesis!K43)*(1-tax_f)*(1+g_tv)*(1-g_tv/(wacc+ronic_prem_hi))/(wacc-g_tv)/(1+wacc)^(Sens!K14696-Sens!F14696)</f>
        <v>511.462005477373</v>
      </c>
    </row>
    <row r="14727" customFormat="false" ht="17.15" hidden="false" customHeight="false" outlineLevel="0" collapsed="false">
      <c r="A14727" s="1" t="s">
        <v>1247</v>
      </c>
      <c r="B14727" s="0" t="s">
        <v>98</v>
      </c>
      <c r="C14727" s="6" t="n">
        <f aca="false">(SUM(Sens!G14725:K14725)+Sens!$C$14726)*(1+wacc)^(t_roll-Sens!F14696)</f>
        <v>486.886432491828</v>
      </c>
      <c r="L14727" s="12" t="s">
        <v>1248</v>
      </c>
    </row>
    <row r="14728" customFormat="false" ht="17.15" hidden="false" customHeight="false" outlineLevel="0" collapsed="false">
      <c r="A14728" s="1" t="s">
        <v>1249</v>
      </c>
      <c r="B14728" s="0" t="s">
        <v>98</v>
      </c>
      <c r="C14728" s="6" t="n">
        <f aca="false">(w_ntm28*Thesis!G31+(1-w_ntm28)*Thesis!H31)*m_ai</f>
        <v>563.316843258668</v>
      </c>
    </row>
    <row r="14729" customFormat="false" ht="17.15" hidden="false" customHeight="false" outlineLevel="0" collapsed="false">
      <c r="A14729" s="1" t="s">
        <v>1250</v>
      </c>
      <c r="B14729" s="0" t="s">
        <v>98</v>
      </c>
      <c r="C14729" s="6" t="n">
        <f aca="false">(w_ntm28*Sens!G14720+(1-w_ntm28)*Sens!H14720)*m_cloud</f>
        <v>1085.17964696599</v>
      </c>
    </row>
    <row r="14730" customFormat="false" ht="17.15" hidden="false" customHeight="false" outlineLevel="0" collapsed="false">
      <c r="A14730" s="1" t="s">
        <v>1251</v>
      </c>
      <c r="B14730" s="0" t="s">
        <v>98</v>
      </c>
      <c r="C14730" s="6" t="n">
        <f aca="false">(w_ntm28*Sens!G14713+(1-w_ntm28)*Sens!H14713)*m_sw</f>
        <v>1120.47763155275</v>
      </c>
    </row>
    <row r="14731" customFormat="false" ht="17.15" hidden="false" customHeight="false" outlineLevel="0" collapsed="false">
      <c r="A14731" s="1" t="s">
        <v>1252</v>
      </c>
      <c r="B14731" s="0" t="s">
        <v>98</v>
      </c>
      <c r="C14731" s="6" t="n">
        <f aca="false">(w_ntm28*Sens!G14714+(1-w_ntm28)*Sens!H14714)*m_sw</f>
        <v>372.68398809041</v>
      </c>
    </row>
    <row r="14732" customFormat="false" ht="17.15" hidden="false" customHeight="false" outlineLevel="0" collapsed="false">
      <c r="A14732" s="1" t="s">
        <v>1253</v>
      </c>
      <c r="B14732" s="0" t="s">
        <v>98</v>
      </c>
      <c r="C14732" s="6" t="n">
        <f aca="false">(w_ntm28*Sens!G14715+(1-w_ntm28)*Sens!H14715)*m_sw</f>
        <v>108.992632332144</v>
      </c>
    </row>
    <row r="14733" customFormat="false" ht="17.15" hidden="false" customHeight="false" outlineLevel="0" collapsed="false">
      <c r="A14733" s="1" t="s">
        <v>1254</v>
      </c>
      <c r="B14733" s="0" t="s">
        <v>98</v>
      </c>
      <c r="C14733" s="6" t="n">
        <f aca="false">(w_ntm28*Sens!G14716+(1-w_ntm28)*Sens!H14716)*m_sw</f>
        <v>41.4362652527414</v>
      </c>
    </row>
    <row r="14734" customFormat="false" ht="17.15" hidden="false" customHeight="false" outlineLevel="0" collapsed="false">
      <c r="A14734" s="1" t="s">
        <v>1255</v>
      </c>
      <c r="B14734" s="0" t="s">
        <v>98</v>
      </c>
      <c r="C14734" s="6" t="n">
        <f aca="false">(w_ntm28*Sens!G14717+(1-w_ntm28)*Sens!H14717)*m_ads</f>
        <v>114.891070326937</v>
      </c>
    </row>
    <row r="14735" customFormat="false" ht="17.15" hidden="false" customHeight="false" outlineLevel="0" collapsed="false">
      <c r="A14735" s="1" t="s">
        <v>1256</v>
      </c>
      <c r="B14735" s="0" t="s">
        <v>98</v>
      </c>
      <c r="C14735" s="6" t="n">
        <f aca="false">(w_ntm28*Sens!G14722+(1-w_ntm28)*Sens!H14722)*m_game</f>
        <v>98.505199156718</v>
      </c>
    </row>
    <row r="14736" customFormat="false" ht="17.15" hidden="false" customHeight="false" outlineLevel="0" collapsed="false">
      <c r="A14736" s="1" t="s">
        <v>1257</v>
      </c>
      <c r="B14736" s="0" t="s">
        <v>98</v>
      </c>
      <c r="C14736" s="6" t="n">
        <f aca="false">(w_ntm28*Sens!G14723+(1-w_ntm28)*Sens!H14723)*m_pc</f>
        <v>91.3231561150564</v>
      </c>
    </row>
    <row r="14737" customFormat="false" ht="17.15" hidden="false" customHeight="false" outlineLevel="0" collapsed="false">
      <c r="A14737" s="1" t="s">
        <v>1258</v>
      </c>
      <c r="B14737" s="0" t="s">
        <v>98</v>
      </c>
      <c r="C14737" s="6" t="n">
        <f aca="false">Sens!$C$14727+Sens!$C$14729+Sens!$C$14730+Sens!$C$14731+Sens!$C$14732+Sens!$C$14733+Sens!$C$14734+Sens!$C$14735+Sens!$C$14736</f>
        <v>3520.37602228457</v>
      </c>
    </row>
    <row r="14738" customFormat="false" ht="17.15" hidden="false" customHeight="false" outlineLevel="0" collapsed="false">
      <c r="A14738" s="1" t="s">
        <v>1259</v>
      </c>
      <c r="B14738" s="0" t="s">
        <v>98</v>
      </c>
      <c r="C14738" s="6" t="n">
        <f aca="false">(Sens!G14699-Sens!G14724)*t_stub</f>
        <v>48.2832931160316</v>
      </c>
      <c r="L14738" s="1" t="s">
        <v>1260</v>
      </c>
    </row>
    <row r="14739" customFormat="false" ht="17.15" hidden="false" customHeight="false" outlineLevel="0" collapsed="false">
      <c r="A14739" s="1" t="s">
        <v>1169</v>
      </c>
      <c r="B14739" s="0" t="s">
        <v>98</v>
      </c>
      <c r="C14739" s="6" t="n">
        <f aca="false">CF!F39+oai_v-CF!F28+Sens!$C$14738</f>
        <v>162.511563116032</v>
      </c>
      <c r="L14739" s="1" t="s">
        <v>1261</v>
      </c>
    </row>
    <row r="14740" customFormat="false" ht="17.15" hidden="false" customHeight="false" outlineLevel="0" collapsed="false">
      <c r="A14740" s="1" t="s">
        <v>1262</v>
      </c>
      <c r="B14740" s="0" t="s">
        <v>75</v>
      </c>
      <c r="C14740" s="5" t="n">
        <f aca="false">(Sens!$C$14737+Sens!$C$14739)/(CF!F41+dil_gap)-CF!G31*roll_div_q/q_per_yr</f>
        <v>490.650366892927</v>
      </c>
      <c r="L14740" s="1" t="s">
        <v>1263</v>
      </c>
    </row>
    <row r="14741" customFormat="false" ht="17.15" hidden="false" customHeight="false" outlineLevel="0" collapsed="false">
      <c r="A14741" s="1" t="s">
        <v>1264</v>
      </c>
      <c r="B14741" s="0" t="s">
        <v>75</v>
      </c>
      <c r="C14741" s="5" t="n">
        <f aca="false">w_dcf*Sens!$C$14711+(1-w_dcf)*Sens!$C$14740</f>
        <v>445.001173245378</v>
      </c>
    </row>
    <row r="14742" customFormat="false" ht="17.15" hidden="false" customHeight="false" outlineLevel="0" collapsed="false">
      <c r="A14742" s="3" t="s">
        <v>1844</v>
      </c>
    </row>
    <row r="14743" customFormat="false" ht="15" hidden="false" customHeight="false" outlineLevel="0" collapsed="false">
      <c r="A14743" s="4" t="s">
        <v>43</v>
      </c>
      <c r="B14743" s="4" t="s">
        <v>65</v>
      </c>
      <c r="C14743" s="23" t="s">
        <v>938</v>
      </c>
      <c r="D14743" s="23" t="s">
        <v>939</v>
      </c>
      <c r="E14743" s="23" t="s">
        <v>940</v>
      </c>
      <c r="F14743" s="23" t="s">
        <v>941</v>
      </c>
      <c r="G14743" s="23" t="s">
        <v>942</v>
      </c>
      <c r="H14743" s="23" t="s">
        <v>943</v>
      </c>
      <c r="I14743" s="23" t="s">
        <v>944</v>
      </c>
      <c r="J14743" s="23" t="s">
        <v>945</v>
      </c>
      <c r="K14743" s="23" t="s">
        <v>946</v>
      </c>
      <c r="L14743" s="4" t="s">
        <v>47</v>
      </c>
    </row>
    <row r="14744" customFormat="false" ht="17.15" hidden="false" customHeight="false" outlineLevel="0" collapsed="false">
      <c r="A14744" s="1" t="s">
        <v>1212</v>
      </c>
      <c r="B14744" s="1" t="s">
        <v>279</v>
      </c>
      <c r="F14744" s="8" t="n">
        <f aca="false">(1-v_off)*mid_yr</f>
        <v>0.373972602739726</v>
      </c>
      <c r="G14744" s="8" t="n">
        <f aca="false">Thesis!G58-base_fy-mid_yr-v_off</f>
        <v>1.24794520547945</v>
      </c>
      <c r="H14744" s="8" t="n">
        <f aca="false">Thesis!H58-base_fy-mid_yr-v_off</f>
        <v>2.24794520547945</v>
      </c>
      <c r="I14744" s="8" t="n">
        <f aca="false">Thesis!I58-base_fy-mid_yr-v_off</f>
        <v>3.24794520547945</v>
      </c>
      <c r="J14744" s="8" t="n">
        <f aca="false">Thesis!J58-base_fy-mid_yr-v_off</f>
        <v>4.24794520547945</v>
      </c>
      <c r="K14744" s="8" t="n">
        <f aca="false">Thesis!K58-base_fy-mid_yr-v_off</f>
        <v>5.24794520547945</v>
      </c>
      <c r="L14744" s="12" t="s">
        <v>1213</v>
      </c>
    </row>
    <row r="14745" customFormat="false" ht="15" hidden="false" customHeight="false" outlineLevel="0" collapsed="false">
      <c r="A14745" s="1" t="s">
        <v>1214</v>
      </c>
      <c r="B14745" s="1" t="s">
        <v>279</v>
      </c>
      <c r="F14745" s="8" t="n">
        <f aca="false">Thesis!F58-base_fy-v_off</f>
        <v>0.747945205479452</v>
      </c>
      <c r="G14745" s="8" t="n">
        <f aca="false">Thesis!G58-base_fy-v_off</f>
        <v>1.74794520547945</v>
      </c>
      <c r="H14745" s="8" t="n">
        <f aca="false">Thesis!H58-base_fy-v_off</f>
        <v>2.74794520547945</v>
      </c>
      <c r="I14745" s="8" t="n">
        <f aca="false">Thesis!I58-base_fy-v_off</f>
        <v>3.74794520547945</v>
      </c>
      <c r="J14745" s="8" t="n">
        <f aca="false">Thesis!J58-base_fy-v_off</f>
        <v>4.74794520547945</v>
      </c>
      <c r="K14745" s="8" t="n">
        <f aca="false">Thesis!K58-base_fy-v_off</f>
        <v>5.74794520547945</v>
      </c>
    </row>
    <row r="14746" customFormat="false" ht="15" hidden="false" customHeight="false" outlineLevel="0" collapsed="false">
      <c r="A14746" s="1" t="s">
        <v>1215</v>
      </c>
      <c r="B14746" s="0" t="s">
        <v>229</v>
      </c>
      <c r="F14746" s="15" t="n">
        <f aca="false">1/(1+wacc)^Sens!F14744</f>
        <v>0.964022703286649</v>
      </c>
      <c r="G14746" s="15" t="n">
        <f aca="false">1/(1+wacc)^Sens!G14744</f>
        <v>0.884910302296739</v>
      </c>
      <c r="H14746" s="15" t="n">
        <f aca="false">1/(1+wacc)^Sens!H14744</f>
        <v>0.802322009770358</v>
      </c>
      <c r="I14746" s="15" t="n">
        <f aca="false">1/(1+wacc)^Sens!I14744</f>
        <v>0.727441646561469</v>
      </c>
      <c r="J14746" s="15" t="n">
        <f aca="false">1/(1+wacc)^Sens!J14744</f>
        <v>0.659549834988973</v>
      </c>
      <c r="K14746" s="15" t="n">
        <f aca="false">1/(1+wacc)^Sens!K14744</f>
        <v>0.597994336576966</v>
      </c>
    </row>
    <row r="14747" customFormat="false" ht="17.15" hidden="false" customHeight="false" outlineLevel="0" collapsed="false">
      <c r="A14747" s="1" t="s">
        <v>1216</v>
      </c>
      <c r="B14747" s="0" t="s">
        <v>98</v>
      </c>
      <c r="F14747" s="6" t="n">
        <f aca="false">Q!$I$35-Q!$I$39-Q!$I$43</f>
        <v>9.666</v>
      </c>
      <c r="L14747" s="12" t="s">
        <v>1217</v>
      </c>
    </row>
    <row r="14748" customFormat="false" ht="17.15" hidden="false" customHeight="false" outlineLevel="0" collapsed="false">
      <c r="A14748" s="1" t="s">
        <v>1218</v>
      </c>
      <c r="B14748" s="0" t="s">
        <v>98</v>
      </c>
      <c r="F14748" s="6" t="n">
        <f aca="false">CF!F55-CF!F52-CF!F59+Thesis!F99*(1-tax_f)*(1-v_off)-Sens!F14747</f>
        <v>-3.35959137570949</v>
      </c>
      <c r="G14748" s="6" t="n">
        <f aca="false">CF!G55-CF!G52-CF!G59+Thesis!G99*(1-tax_f)</f>
        <v>29.8084555066036</v>
      </c>
      <c r="H14748" s="6" t="n">
        <f aca="false">CF!H55-CF!H52-CF!H59+Thesis!H99*(1-tax_f)</f>
        <v>79.3231801478051</v>
      </c>
      <c r="I14748" s="6" t="n">
        <f aca="false">CF!I55-CF!I52-CF!I59+Thesis!I99*(1-tax_f)</f>
        <v>157.29132812061</v>
      </c>
      <c r="J14748" s="6" t="n">
        <f aca="false">CF!J55-CF!J52-CF!J59+Thesis!J99*(1-tax_f)</f>
        <v>235.537601843622</v>
      </c>
      <c r="K14748" s="6" t="n">
        <f aca="false">CF!K55-CF!K52-CF!K59+Thesis!K99*(1-tax_f)</f>
        <v>273.705067207806</v>
      </c>
      <c r="L14748" s="1" t="s">
        <v>1219</v>
      </c>
    </row>
    <row r="14749" customFormat="false" ht="15" hidden="false" customHeight="false" outlineLevel="0" collapsed="false">
      <c r="A14749" s="1" t="s">
        <v>1220</v>
      </c>
      <c r="B14749" s="0" t="s">
        <v>98</v>
      </c>
      <c r="F14749" s="6" t="n">
        <f aca="false">Sens!F14748*Sens!F14746</f>
        <v>-3.23872235994998</v>
      </c>
      <c r="G14749" s="6" t="n">
        <f aca="false">Sens!G14748*Sens!G14746</f>
        <v>26.3778093733475</v>
      </c>
      <c r="H14749" s="6" t="n">
        <f aca="false">Sens!H14748*Sens!H14746</f>
        <v>63.6427333175632</v>
      </c>
      <c r="I14749" s="6" t="n">
        <f aca="false">Sens!I14748*Sens!I14746</f>
        <v>114.420262717897</v>
      </c>
      <c r="J14749" s="6" t="n">
        <f aca="false">Sens!J14748*Sens!J14746</f>
        <v>155.348786429659</v>
      </c>
      <c r="K14749" s="6" t="n">
        <f aca="false">Sens!K14748*Sens!K14746</f>
        <v>163.674080082686</v>
      </c>
    </row>
    <row r="14750" customFormat="false" ht="17.15" hidden="false" customHeight="false" outlineLevel="0" collapsed="false">
      <c r="A14750" s="1" t="s">
        <v>1221</v>
      </c>
      <c r="B14750" s="0" t="s">
        <v>98</v>
      </c>
      <c r="C14750" s="6" t="n">
        <f aca="false">SUM(Sens!F14749:K14749)</f>
        <v>520.224949561203</v>
      </c>
    </row>
    <row r="14751" customFormat="false" ht="17.15" hidden="false" customHeight="false" outlineLevel="0" collapsed="false">
      <c r="A14751" s="1" t="s">
        <v>1222</v>
      </c>
      <c r="B14751" s="0" t="s">
        <v>98</v>
      </c>
      <c r="C14751" s="6" t="n">
        <f aca="false">PL!K78*(1+g_tv)*(1-tax_f)</f>
        <v>284.979534119394</v>
      </c>
    </row>
    <row r="14752" customFormat="false" ht="17.15" hidden="false" customHeight="false" outlineLevel="0" collapsed="false">
      <c r="A14752" s="1" t="s">
        <v>1223</v>
      </c>
      <c r="B14752" s="0" t="s">
        <v>98</v>
      </c>
      <c r="C14752" s="6" t="n">
        <f aca="false">Sens!$C$14751*(1-g_tv/(wacc+ronic_prem_hi))</f>
        <v>229.078026372153</v>
      </c>
    </row>
    <row r="14753" customFormat="false" ht="17.15" hidden="false" customHeight="false" outlineLevel="0" collapsed="false">
      <c r="A14753" s="1" t="s">
        <v>1224</v>
      </c>
      <c r="B14753" s="0" t="s">
        <v>98</v>
      </c>
      <c r="C14753" s="6" t="n">
        <f aca="false">Sens!$C$14752/(wacc-g_tv)</f>
        <v>3140.78329412216</v>
      </c>
    </row>
    <row r="14754" customFormat="false" ht="15" hidden="false" customHeight="false" outlineLevel="0" collapsed="false">
      <c r="A14754" s="1" t="s">
        <v>1225</v>
      </c>
      <c r="B14754" s="0" t="s">
        <v>98</v>
      </c>
      <c r="C14754" s="6" t="n">
        <f aca="false">Sens!$C$14753/(1+wacc)^Sens!K14745</f>
        <v>1788.37986107018</v>
      </c>
    </row>
    <row r="14755" customFormat="false" ht="17.15" hidden="false" customHeight="false" outlineLevel="0" collapsed="false">
      <c r="A14755" s="0" t="s">
        <v>1226</v>
      </c>
      <c r="B14755" s="0" t="s">
        <v>98</v>
      </c>
      <c r="C14755" s="6" t="n">
        <f aca="false">Sens!$C$14750+Sens!$C$14754</f>
        <v>2308.60481063138</v>
      </c>
    </row>
    <row r="14756" customFormat="false" ht="15" hidden="false" customHeight="false" outlineLevel="0" collapsed="false">
      <c r="A14756" s="1" t="s">
        <v>1141</v>
      </c>
      <c r="B14756" s="0" t="s">
        <v>168</v>
      </c>
      <c r="C14756" s="7" t="n">
        <f aca="false">Sens!$C$14754/Sens!$C$14755</f>
        <v>0.774658292677244</v>
      </c>
    </row>
    <row r="14757" customFormat="false" ht="17.15" hidden="false" customHeight="false" outlineLevel="0" collapsed="false">
      <c r="A14757" s="1" t="s">
        <v>1227</v>
      </c>
      <c r="B14757" s="0" t="s">
        <v>98</v>
      </c>
      <c r="C14757" s="6" t="n">
        <f aca="false">Sens!$C$14755+cash_val-debt_val-fl_val+oai_v</f>
        <v>2424.45581063138</v>
      </c>
    </row>
    <row r="14758" customFormat="false" ht="17.15" hidden="false" customHeight="false" outlineLevel="0" collapsed="false">
      <c r="A14758" s="0" t="s">
        <v>1149</v>
      </c>
      <c r="B14758" s="0" t="s">
        <v>75</v>
      </c>
      <c r="C14758" s="5" t="n">
        <f aca="false">Sens!$C$14757/shd_val</f>
        <v>325.605131699084</v>
      </c>
    </row>
    <row r="14759" customFormat="false" ht="15" hidden="false" customHeight="false" outlineLevel="0" collapsed="false">
      <c r="A14759" s="1" t="s">
        <v>1228</v>
      </c>
      <c r="B14759" s="0" t="s">
        <v>75</v>
      </c>
      <c r="C14759" s="8" t="n">
        <f aca="false">div_rem27+CF!G63*roll_div_q/q_per_yr</f>
        <v>3.9795</v>
      </c>
    </row>
    <row r="14760" customFormat="false" ht="17.15" hidden="false" customHeight="false" outlineLevel="0" collapsed="false">
      <c r="A14760" s="0" t="s">
        <v>1229</v>
      </c>
      <c r="B14760" s="0" t="s">
        <v>75</v>
      </c>
      <c r="C14760" s="5" t="n">
        <f aca="false">Sens!$C$14758*(1+wacc)^t_roll-Sens!$C$14759</f>
        <v>357.948776148123</v>
      </c>
    </row>
    <row r="14761" customFormat="false" ht="17.15" hidden="false" customHeight="false" outlineLevel="0" collapsed="false">
      <c r="A14761" s="1" t="s">
        <v>1230</v>
      </c>
      <c r="B14761" s="0" t="s">
        <v>168</v>
      </c>
      <c r="F14761" s="7" t="n">
        <f aca="false">CF!F49/(Seg!F56-Thesis!F77)</f>
        <v>0.0686195668908011</v>
      </c>
      <c r="G14761" s="7" t="n">
        <f aca="false">CF!G49/(Seg!G56-Thesis!G77)</f>
        <v>0.0658333569148391</v>
      </c>
      <c r="H14761" s="7" t="n">
        <f aca="false">CF!H49/(Seg!H56-Thesis!H77)</f>
        <v>0.0643895625218926</v>
      </c>
      <c r="I14761" s="7" t="n">
        <f aca="false">CF!I49/(Seg!I56-Thesis!I77)</f>
        <v>0.0641676618157989</v>
      </c>
      <c r="J14761" s="7" t="n">
        <f aca="false">CF!J49/(Seg!J56-Thesis!J77)</f>
        <v>0.0648858606572163</v>
      </c>
      <c r="K14761" s="7" t="n">
        <f aca="false">CF!K49/(Seg!K56-Thesis!K77)</f>
        <v>0.0661974425163768</v>
      </c>
    </row>
    <row r="14762" customFormat="false" ht="17.15" hidden="false" customHeight="false" outlineLevel="0" collapsed="false">
      <c r="A14762" s="0" t="s">
        <v>1231</v>
      </c>
      <c r="B14762" s="0" t="s">
        <v>98</v>
      </c>
      <c r="F14762" s="6" t="n">
        <f aca="false">Seg!F41*(al_m365+Sens!F14761+sbc_r)</f>
        <v>83.7205619248671</v>
      </c>
      <c r="G14762" s="6" t="n">
        <f aca="false">Seg!G41*(al_m365+Sens!G14761+sbc_r)</f>
        <v>96.1301303332381</v>
      </c>
      <c r="H14762" s="6" t="n">
        <f aca="false">Seg!H41*(al_m365+Sens!H14761+sbc_r)</f>
        <v>108.70354073822</v>
      </c>
      <c r="I14762" s="6" t="n">
        <f aca="false">Seg!I41*(al_m365+Sens!I14761+sbc_r)</f>
        <v>120.260101315626</v>
      </c>
      <c r="J14762" s="6" t="n">
        <f aca="false">Seg!J41*(al_m365+Sens!J14761+sbc_r)</f>
        <v>130.611904548619</v>
      </c>
      <c r="K14762" s="6" t="n">
        <f aca="false">Seg!K41*(al_m365+Sens!K14761+sbc_r)</f>
        <v>140.575094974638</v>
      </c>
      <c r="L14762" s="12" t="s">
        <v>1232</v>
      </c>
    </row>
    <row r="14763" customFormat="false" ht="17.15" hidden="false" customHeight="false" outlineLevel="0" collapsed="false">
      <c r="A14763" s="0" t="s">
        <v>1233</v>
      </c>
      <c r="B14763" s="0" t="s">
        <v>98</v>
      </c>
      <c r="F14763" s="6" t="n">
        <f aca="false">Seg!F42*(al_lic+Sens!F14761+sbc_r)</f>
        <v>32.8577657183496</v>
      </c>
      <c r="G14763" s="6" t="n">
        <f aca="false">Seg!G42*(al_lic+Sens!G14761+sbc_r)</f>
        <v>34.1376266324889</v>
      </c>
      <c r="H14763" s="6" t="n">
        <f aca="false">Seg!H42*(al_lic+Sens!H14761+sbc_r)</f>
        <v>35.3325744664128</v>
      </c>
      <c r="I14763" s="6" t="n">
        <f aca="false">Seg!I42*(al_lic+Sens!I14761+sbc_r)</f>
        <v>36.4244749008727</v>
      </c>
      <c r="J14763" s="6" t="n">
        <f aca="false">Seg!J42*(al_lic+Sens!J14761+sbc_r)</f>
        <v>37.3879406068527</v>
      </c>
      <c r="K14763" s="6" t="n">
        <f aca="false">Seg!K42*(al_lic+Sens!K14761+sbc_r)</f>
        <v>38.1943876078259</v>
      </c>
    </row>
    <row r="14764" customFormat="false" ht="17.15" hidden="false" customHeight="false" outlineLevel="0" collapsed="false">
      <c r="A14764" s="0" t="s">
        <v>1234</v>
      </c>
      <c r="B14764" s="0" t="s">
        <v>98</v>
      </c>
      <c r="F14764" s="6" t="n">
        <f aca="false">Seg!F44*(al_ind+Sens!F14761+sbc_r)</f>
        <v>9.06041701092022</v>
      </c>
      <c r="G14764" s="6" t="n">
        <f aca="false">Seg!G44*(al_ind+Sens!G14761+sbc_r)</f>
        <v>9.83619082712885</v>
      </c>
      <c r="H14764" s="6" t="n">
        <f aca="false">Seg!H44*(al_ind+Sens!H14761+sbc_r)</f>
        <v>10.6570160105312</v>
      </c>
      <c r="I14764" s="6" t="n">
        <f aca="false">Seg!I44*(al_ind+Sens!I14761+sbc_r)</f>
        <v>11.5198571637125</v>
      </c>
      <c r="J14764" s="6" t="n">
        <f aca="false">Seg!J44*(al_ind+Sens!J14761+sbc_r)</f>
        <v>12.4150086539206</v>
      </c>
      <c r="K14764" s="6" t="n">
        <f aca="false">Seg!K44*(al_ind+Sens!K14761+sbc_r)</f>
        <v>13.3273714589988</v>
      </c>
    </row>
    <row r="14765" customFormat="false" ht="17.15" hidden="false" customHeight="false" outlineLevel="0" collapsed="false">
      <c r="A14765" s="0" t="s">
        <v>1235</v>
      </c>
      <c r="B14765" s="0" t="s">
        <v>98</v>
      </c>
      <c r="F14765" s="6" t="n">
        <f aca="false">Seg!F46*(al_fro+Sens!F14761+sbc_r)</f>
        <v>3.55402950182022</v>
      </c>
      <c r="G14765" s="6" t="n">
        <f aca="false">Seg!G46*(al_fro+Sens!G14761+sbc_r)</f>
        <v>3.76361488926481</v>
      </c>
      <c r="H14765" s="6" t="n">
        <f aca="false">Seg!H46*(al_fro+Sens!H14761+sbc_r)</f>
        <v>4.00220968879544</v>
      </c>
      <c r="I14765" s="6" t="n">
        <f aca="false">Seg!I46*(al_fro+Sens!I14761+sbc_r)</f>
        <v>4.2725765173852</v>
      </c>
      <c r="J14765" s="6" t="n">
        <f aca="false">Seg!J46*(al_fro+Sens!J14761+sbc_r)</f>
        <v>4.57586224390293</v>
      </c>
      <c r="K14765" s="6" t="n">
        <f aca="false">Seg!K46*(al_fro+Sens!K14761+sbc_r)</f>
        <v>4.91213639633217</v>
      </c>
    </row>
    <row r="14766" customFormat="false" ht="17.15" hidden="false" customHeight="false" outlineLevel="0" collapsed="false">
      <c r="A14766" s="0" t="s">
        <v>1236</v>
      </c>
      <c r="B14766" s="0" t="s">
        <v>98</v>
      </c>
      <c r="F14766" s="6" t="n">
        <f aca="false">Seg!F49*(al_srch+Sens!F14761+sbc_r)</f>
        <v>11.1890902994147</v>
      </c>
      <c r="G14766" s="6" t="n">
        <f aca="false">Seg!G49*(al_srch+Sens!G14761+sbc_r)</f>
        <v>12.261738891803</v>
      </c>
      <c r="H14766" s="6" t="n">
        <f aca="false">Seg!H49*(al_srch+Sens!H14761+sbc_r)</f>
        <v>13.3794863429193</v>
      </c>
      <c r="I14766" s="6" t="n">
        <f aca="false">Seg!I49*(al_srch+Sens!I14761+sbc_r)</f>
        <v>14.5317114787784</v>
      </c>
      <c r="J14766" s="6" t="n">
        <f aca="false">Seg!J49*(al_srch+Sens!J14761+sbc_r)</f>
        <v>15.6984365817724</v>
      </c>
      <c r="K14766" s="6" t="n">
        <f aca="false">Seg!K49*(al_srch+Sens!K14761+sbc_r)</f>
        <v>16.8520942258664</v>
      </c>
    </row>
    <row r="14767" customFormat="false" ht="17.15" hidden="false" customHeight="false" outlineLevel="0" collapsed="false">
      <c r="A14767" s="0" t="s">
        <v>1237</v>
      </c>
      <c r="B14767" s="0" t="s">
        <v>98</v>
      </c>
      <c r="F14767" s="6" t="n">
        <f aca="false">Thesis!F83-Thesis!F84+Thesis!F99</f>
        <v>42.5431090240393</v>
      </c>
      <c r="G14767" s="6" t="n">
        <f aca="false">Thesis!G83-Thesis!G84+Thesis!G99</f>
        <v>81.4922561130847</v>
      </c>
      <c r="H14767" s="6" t="n">
        <f aca="false">Thesis!H83-Thesis!H84+Thesis!H99</f>
        <v>123.278266211349</v>
      </c>
      <c r="I14767" s="6" t="n">
        <f aca="false">Thesis!I83-Thesis!I84+Thesis!I99</f>
        <v>160.60594185192</v>
      </c>
      <c r="J14767" s="6" t="n">
        <f aca="false">Thesis!J83-Thesis!J84+Thesis!J99</f>
        <v>186.818741832633</v>
      </c>
      <c r="K14767" s="6" t="n">
        <f aca="false">Thesis!K83-Thesis!K84+Thesis!K99</f>
        <v>202.776422159652</v>
      </c>
    </row>
    <row r="14768" customFormat="false" ht="17.15" hidden="false" customHeight="false" outlineLevel="0" collapsed="false">
      <c r="A14768" s="0" t="s">
        <v>1238</v>
      </c>
      <c r="B14768" s="0" t="s">
        <v>98</v>
      </c>
      <c r="F14768" s="6" t="n">
        <f aca="false">PL!F71+Thesis!F99+Thesis!F95+Sens!F14761*(Seg!F48-Thesis!F77)+sbc_r*Seg!F48</f>
        <v>238.090727427296</v>
      </c>
      <c r="G14768" s="6" t="n">
        <f aca="false">PL!G71+Thesis!G99+Thesis!G95+Sens!G14761*(Seg!G48-Thesis!G77)+sbc_r*Seg!G48</f>
        <v>299.90836088563</v>
      </c>
      <c r="H14768" s="6" t="n">
        <f aca="false">PL!H71+Thesis!H99+Thesis!H95+Sens!H14761*(Seg!H48-Thesis!H77)+sbc_r*Seg!H48</f>
        <v>369.457709442386</v>
      </c>
      <c r="I14768" s="6" t="n">
        <f aca="false">PL!I71+Thesis!I99+Thesis!I95+Sens!I14761*(Seg!I48-Thesis!I77)+sbc_r*Seg!I48</f>
        <v>433.16585128823</v>
      </c>
      <c r="J14768" s="6" t="n">
        <f aca="false">PL!J71+Thesis!J99+Thesis!J95+Sens!J14761*(Seg!J48-Thesis!J77)+sbc_r*Seg!J48</f>
        <v>483.301303131191</v>
      </c>
      <c r="K14768" s="6" t="n">
        <f aca="false">PL!K71+Thesis!K99+Thesis!K95+Sens!K14761*(Seg!K48-Thesis!K77)+sbc_r*Seg!K48</f>
        <v>520.789002205336</v>
      </c>
    </row>
    <row r="14769" customFormat="false" ht="17.15" hidden="false" customHeight="false" outlineLevel="0" collapsed="false">
      <c r="A14769" s="0" t="s">
        <v>1239</v>
      </c>
      <c r="B14769" s="0" t="s">
        <v>98</v>
      </c>
      <c r="F14769" s="6" t="n">
        <f aca="false">Sens!F14768-Sens!F14762-Sens!F14763-Sens!F14764-Sens!F14765-Sens!F14767</f>
        <v>66.3548442472996</v>
      </c>
      <c r="G14769" s="6" t="n">
        <f aca="false">Sens!G14768-Sens!G14762-Sens!G14763-Sens!G14764-Sens!G14765-Sens!G14767</f>
        <v>74.548542090425</v>
      </c>
      <c r="H14769" s="6" t="n">
        <f aca="false">Sens!H14768-Sens!H14762-Sens!H14763-Sens!H14764-Sens!H14765-Sens!H14767</f>
        <v>87.4841023270775</v>
      </c>
      <c r="I14769" s="6" t="n">
        <f aca="false">Sens!I14768-Sens!I14762-Sens!I14763-Sens!I14764-Sens!I14765-Sens!I14767</f>
        <v>100.082899538713</v>
      </c>
      <c r="J14769" s="6" t="n">
        <f aca="false">Sens!J14768-Sens!J14762-Sens!J14763-Sens!J14764-Sens!J14765-Sens!J14767</f>
        <v>111.491845245262</v>
      </c>
      <c r="K14769" s="6" t="n">
        <f aca="false">Sens!K14768-Sens!K14762-Sens!K14763-Sens!K14764-Sens!K14765-Sens!K14767</f>
        <v>121.003589607889</v>
      </c>
    </row>
    <row r="14770" customFormat="false" ht="17.15" hidden="false" customHeight="false" outlineLevel="0" collapsed="false">
      <c r="A14770" s="0" t="s">
        <v>1240</v>
      </c>
      <c r="B14770" s="0" t="s">
        <v>98</v>
      </c>
      <c r="F14770" s="6" t="n">
        <f aca="false">PL!F73+Sens!F14761*Seg!F55+sbc_r*Seg!F55</f>
        <v>26.6336365855879</v>
      </c>
      <c r="G14770" s="6" t="n">
        <f aca="false">PL!G73+Sens!G14761*Seg!G55+sbc_r*Seg!G55</f>
        <v>26.4720859498625</v>
      </c>
      <c r="H14770" s="6" t="n">
        <f aca="false">PL!H73+Sens!H14761*Seg!H55+sbc_r*Seg!H55</f>
        <v>27.346793021284</v>
      </c>
      <c r="I14770" s="6" t="n">
        <f aca="false">PL!I73+Sens!I14761*Seg!I55+sbc_r*Seg!I55</f>
        <v>28.4574657863154</v>
      </c>
      <c r="J14770" s="6" t="n">
        <f aca="false">PL!J73+Sens!J14761*Seg!J55+sbc_r*Seg!J55</f>
        <v>29.7689890546037</v>
      </c>
      <c r="K14770" s="6" t="n">
        <f aca="false">PL!K73+Sens!K14761*Seg!K55+sbc_r*Seg!K55</f>
        <v>31.2443947307494</v>
      </c>
    </row>
    <row r="14771" customFormat="false" ht="17.15" hidden="false" customHeight="false" outlineLevel="0" collapsed="false">
      <c r="A14771" s="0" t="s">
        <v>1241</v>
      </c>
      <c r="B14771" s="0" t="s">
        <v>98</v>
      </c>
      <c r="F14771" s="6" t="n">
        <f aca="false">(Sens!F14770-Sens!F14766)*Seg!F51/(Seg!F51+Seg!F53)</f>
        <v>8.72285608232241</v>
      </c>
      <c r="G14771" s="6" t="n">
        <f aca="false">(Sens!G14770-Sens!G14766)*Seg!G51/(Seg!G51+Seg!G53)</f>
        <v>7.88786455444355</v>
      </c>
      <c r="H14771" s="6" t="n">
        <f aca="false">(Sens!H14770-Sens!H14766)*Seg!H51/(Seg!H51+Seg!H53)</f>
        <v>7.65195986819674</v>
      </c>
      <c r="I14771" s="6" t="n">
        <f aca="false">(Sens!I14770-Sens!I14766)*Seg!I51/(Seg!I51+Seg!I53)</f>
        <v>7.56260440676676</v>
      </c>
      <c r="J14771" s="6" t="n">
        <f aca="false">(Sens!J14770-Sens!J14766)*Seg!J51/(Seg!J51+Seg!J53)</f>
        <v>7.60790100885945</v>
      </c>
      <c r="K14771" s="6" t="n">
        <f aca="false">(Sens!K14770-Sens!K14766)*Seg!K51/(Seg!K51+Seg!K53)</f>
        <v>7.78186910160995</v>
      </c>
    </row>
    <row r="14772" customFormat="false" ht="17.15" hidden="false" customHeight="false" outlineLevel="0" collapsed="false">
      <c r="A14772" s="0" t="s">
        <v>1242</v>
      </c>
      <c r="B14772" s="0" t="s">
        <v>98</v>
      </c>
      <c r="F14772" s="6" t="n">
        <f aca="false">Sens!F14770-Sens!F14766-Sens!F14771</f>
        <v>6.72169020385088</v>
      </c>
      <c r="G14772" s="6" t="n">
        <f aca="false">Sens!G14770-Sens!G14766-Sens!G14771</f>
        <v>6.322482503616</v>
      </c>
      <c r="H14772" s="6" t="n">
        <f aca="false">Sens!H14770-Sens!H14766-Sens!H14771</f>
        <v>6.315346810168</v>
      </c>
      <c r="I14772" s="6" t="n">
        <f aca="false">Sens!I14770-Sens!I14766-Sens!I14771</f>
        <v>6.36314990077033</v>
      </c>
      <c r="J14772" s="6" t="n">
        <f aca="false">Sens!J14770-Sens!J14766-Sens!J14771</f>
        <v>6.46265146397189</v>
      </c>
      <c r="K14772" s="6" t="n">
        <f aca="false">Sens!K14770-Sens!K14766-Sens!K14771</f>
        <v>6.61043140327304</v>
      </c>
    </row>
    <row r="14773" customFormat="false" ht="17.15" hidden="false" customHeight="false" outlineLevel="0" collapsed="false">
      <c r="A14773" s="0" t="s">
        <v>1243</v>
      </c>
      <c r="B14773" s="0" t="s">
        <v>98</v>
      </c>
      <c r="F14773" s="6" t="n">
        <f aca="false">Sens!F14767-tax_f*(Sens!F14767-Thesis!F95)-Thesis!F92</f>
        <v>-127.503553927218</v>
      </c>
      <c r="G14773" s="6" t="n">
        <f aca="false">Sens!G14767-tax_f*(Sens!G14767-Thesis!G95)-Thesis!G92</f>
        <v>-114.603772628121</v>
      </c>
      <c r="H14773" s="6" t="n">
        <f aca="false">Sens!H14767-tax_f*(Sens!H14767-Thesis!H95)-Thesis!H92</f>
        <v>-80.3633729631438</v>
      </c>
      <c r="I14773" s="6" t="n">
        <f aca="false">Sens!I14767-tax_f*(Sens!I14767-Thesis!I95)-Thesis!I92</f>
        <v>-17.2838782011649</v>
      </c>
      <c r="J14773" s="6" t="n">
        <f aca="false">Sens!J14767-tax_f*(Sens!J14767-Thesis!J95)-Thesis!J92</f>
        <v>46.9281968800854</v>
      </c>
      <c r="K14773" s="6" t="n">
        <f aca="false">Sens!K14767-tax_f*(Sens!K14767-Thesis!K95)-Thesis!K92</f>
        <v>71.8608185731755</v>
      </c>
    </row>
    <row r="14774" customFormat="false" ht="17.15" hidden="false" customHeight="false" outlineLevel="0" collapsed="false">
      <c r="A14774" s="0" t="s">
        <v>1244</v>
      </c>
      <c r="B14774" s="0" t="s">
        <v>98</v>
      </c>
      <c r="G14774" s="6" t="n">
        <f aca="false">Sens!G14773/(1+wacc)^(Sens!G14744-Sens!F14745)</f>
        <v>-109.124845494465</v>
      </c>
      <c r="H14774" s="6" t="n">
        <f aca="false">Sens!H14773/(1+wacc)^(Sens!H14744-Sens!F14745)</f>
        <v>-69.3796874071025</v>
      </c>
      <c r="I14774" s="6" t="n">
        <f aca="false">Sens!I14773/(1+wacc)^(Sens!I14744-Sens!F14745)</f>
        <v>-13.5289731380471</v>
      </c>
      <c r="J14774" s="6" t="n">
        <f aca="false">Sens!J14773/(1+wacc)^(Sens!J14744-Sens!F14745)</f>
        <v>33.3048099587126</v>
      </c>
      <c r="K14774" s="6" t="n">
        <f aca="false">Sens!K14773/(1+wacc)^(Sens!K14744-Sens!F14745)</f>
        <v>46.2396679904913</v>
      </c>
      <c r="L14774" s="1" t="s">
        <v>1245</v>
      </c>
    </row>
    <row r="14775" customFormat="false" ht="17.15" hidden="false" customHeight="false" outlineLevel="0" collapsed="false">
      <c r="A14775" s="0" t="s">
        <v>1246</v>
      </c>
      <c r="B14775" s="0" t="s">
        <v>98</v>
      </c>
      <c r="C14775" s="6" t="n">
        <f aca="false">(Sens!K14767-Thesis!K95)*(1-tax_f)*(1+g_tv)*(1-g_tv/(wacc+ronic_prem_hi))/(wacc-g_tv)/(1+wacc)^(Sens!K14745-Sens!F14745)</f>
        <v>332.534451190097</v>
      </c>
    </row>
    <row r="14776" customFormat="false" ht="17.15" hidden="false" customHeight="false" outlineLevel="0" collapsed="false">
      <c r="A14776" s="1" t="s">
        <v>1247</v>
      </c>
      <c r="B14776" s="0" t="s">
        <v>98</v>
      </c>
      <c r="C14776" s="6" t="n">
        <f aca="false">(SUM(Sens!G14774:K14774)+Sens!$C$14775)*(1+wacc)^(t_roll-Sens!F14745)</f>
        <v>227.30978798296</v>
      </c>
      <c r="L14776" s="12" t="s">
        <v>1248</v>
      </c>
    </row>
    <row r="14777" customFormat="false" ht="17.15" hidden="false" customHeight="false" outlineLevel="0" collapsed="false">
      <c r="A14777" s="1" t="s">
        <v>1249</v>
      </c>
      <c r="B14777" s="0" t="s">
        <v>98</v>
      </c>
      <c r="C14777" s="6" t="n">
        <f aca="false">(w_ntm28*Thesis!G83+(1-w_ntm28)*Thesis!H83)*m_ai</f>
        <v>463.789109510335</v>
      </c>
    </row>
    <row r="14778" customFormat="false" ht="17.15" hidden="false" customHeight="false" outlineLevel="0" collapsed="false">
      <c r="A14778" s="1" t="s">
        <v>1250</v>
      </c>
      <c r="B14778" s="0" t="s">
        <v>98</v>
      </c>
      <c r="C14778" s="6" t="n">
        <f aca="false">(w_ntm28*Sens!G14769+(1-w_ntm28)*Sens!H14769)*m_cloud</f>
        <v>1089.03436702245</v>
      </c>
    </row>
    <row r="14779" customFormat="false" ht="17.15" hidden="false" customHeight="false" outlineLevel="0" collapsed="false">
      <c r="A14779" s="1" t="s">
        <v>1251</v>
      </c>
      <c r="B14779" s="0" t="s">
        <v>98</v>
      </c>
      <c r="C14779" s="6" t="n">
        <f aca="false">(w_ntm28*Sens!G14762+(1-w_ntm28)*Sens!H14762)*m_sw</f>
        <v>1082.84962646159</v>
      </c>
    </row>
    <row r="14780" customFormat="false" ht="17.15" hidden="false" customHeight="false" outlineLevel="0" collapsed="false">
      <c r="A14780" s="1" t="s">
        <v>1252</v>
      </c>
      <c r="B14780" s="0" t="s">
        <v>98</v>
      </c>
      <c r="C14780" s="6" t="n">
        <f aca="false">(w_ntm28*Sens!G14763+(1-w_ntm28)*Sens!H14763)*m_sw</f>
        <v>372.929250898731</v>
      </c>
    </row>
    <row r="14781" customFormat="false" ht="17.15" hidden="false" customHeight="false" outlineLevel="0" collapsed="false">
      <c r="A14781" s="1" t="s">
        <v>1253</v>
      </c>
      <c r="B14781" s="0" t="s">
        <v>98</v>
      </c>
      <c r="C14781" s="6" t="n">
        <f aca="false">(w_ntm28*Sens!G14764+(1-w_ntm28)*Sens!H14764)*m_sw</f>
        <v>109.1453525431</v>
      </c>
    </row>
    <row r="14782" customFormat="false" ht="17.15" hidden="false" customHeight="false" outlineLevel="0" collapsed="false">
      <c r="A14782" s="1" t="s">
        <v>1254</v>
      </c>
      <c r="B14782" s="0" t="s">
        <v>98</v>
      </c>
      <c r="C14782" s="6" t="n">
        <f aca="false">(w_ntm28*Sens!G14765+(1-w_ntm28)*Sens!H14765)*m_sw</f>
        <v>41.4942157634893</v>
      </c>
    </row>
    <row r="14783" customFormat="false" ht="17.15" hidden="false" customHeight="false" outlineLevel="0" collapsed="false">
      <c r="A14783" s="1" t="s">
        <v>1255</v>
      </c>
      <c r="B14783" s="0" t="s">
        <v>98</v>
      </c>
      <c r="C14783" s="6" t="n">
        <f aca="false">(w_ntm28*Sens!G14766+(1-w_ntm28)*Sens!H14766)*m_ads</f>
        <v>115.052171478463</v>
      </c>
    </row>
    <row r="14784" customFormat="false" ht="17.15" hidden="false" customHeight="false" outlineLevel="0" collapsed="false">
      <c r="A14784" s="1" t="s">
        <v>1256</v>
      </c>
      <c r="B14784" s="0" t="s">
        <v>98</v>
      </c>
      <c r="C14784" s="6" t="n">
        <f aca="false">(w_ntm28*Sens!G14771+(1-w_ntm28)*Sens!H14771)*m_game</f>
        <v>98.6441755076202</v>
      </c>
    </row>
    <row r="14785" customFormat="false" ht="17.15" hidden="false" customHeight="false" outlineLevel="0" collapsed="false">
      <c r="A14785" s="1" t="s">
        <v>1257</v>
      </c>
      <c r="B14785" s="0" t="s">
        <v>98</v>
      </c>
      <c r="C14785" s="6" t="n">
        <f aca="false">(w_ntm28*Sens!G14772+(1-w_ntm28)*Sens!H14772)*m_pc</f>
        <v>91.4523754763561</v>
      </c>
    </row>
    <row r="14786" customFormat="false" ht="17.15" hidden="false" customHeight="false" outlineLevel="0" collapsed="false">
      <c r="A14786" s="1" t="s">
        <v>1258</v>
      </c>
      <c r="B14786" s="0" t="s">
        <v>98</v>
      </c>
      <c r="C14786" s="6" t="n">
        <f aca="false">Sens!$C$14776+Sens!$C$14778+Sens!$C$14779+Sens!$C$14780+Sens!$C$14781+Sens!$C$14782+Sens!$C$14783+Sens!$C$14784+Sens!$C$14785</f>
        <v>3227.91132313476</v>
      </c>
    </row>
    <row r="14787" customFormat="false" ht="17.15" hidden="false" customHeight="false" outlineLevel="0" collapsed="false">
      <c r="A14787" s="1" t="s">
        <v>1259</v>
      </c>
      <c r="B14787" s="0" t="s">
        <v>98</v>
      </c>
      <c r="C14787" s="6" t="n">
        <f aca="false">(Sens!G14748-Sens!G14773)*t_stub</f>
        <v>47.8736427515113</v>
      </c>
      <c r="L14787" s="1" t="s">
        <v>1260</v>
      </c>
    </row>
    <row r="14788" customFormat="false" ht="17.15" hidden="false" customHeight="false" outlineLevel="0" collapsed="false">
      <c r="A14788" s="1" t="s">
        <v>1169</v>
      </c>
      <c r="B14788" s="0" t="s">
        <v>98</v>
      </c>
      <c r="C14788" s="6" t="n">
        <f aca="false">CF!F71+oai_v-CF!F60+Sens!$C$14787</f>
        <v>162.101912751511</v>
      </c>
      <c r="L14788" s="1" t="s">
        <v>1261</v>
      </c>
    </row>
    <row r="14789" customFormat="false" ht="17.15" hidden="false" customHeight="false" outlineLevel="0" collapsed="false">
      <c r="A14789" s="1" t="s">
        <v>1262</v>
      </c>
      <c r="B14789" s="0" t="s">
        <v>75</v>
      </c>
      <c r="C14789" s="5" t="n">
        <f aca="false">(Sens!$C$14786+Sens!$C$14788)/(CF!F73+dil_gap)-CF!G63*roll_div_q/q_per_yr</f>
        <v>451.233072836465</v>
      </c>
      <c r="L14789" s="1" t="s">
        <v>1263</v>
      </c>
    </row>
    <row r="14790" customFormat="false" ht="17.15" hidden="false" customHeight="false" outlineLevel="0" collapsed="false">
      <c r="A14790" s="1" t="s">
        <v>1264</v>
      </c>
      <c r="B14790" s="0" t="s">
        <v>75</v>
      </c>
      <c r="C14790" s="5" t="n">
        <f aca="false">w_dcf*Sens!$C$14760+(1-w_dcf)*Sens!$C$14789</f>
        <v>404.590924492294</v>
      </c>
    </row>
    <row r="14791" customFormat="false" ht="17.15" hidden="false" customHeight="false" outlineLevel="0" collapsed="false">
      <c r="A14791" s="3" t="s">
        <v>1845</v>
      </c>
    </row>
    <row r="14792" customFormat="false" ht="15" hidden="false" customHeight="false" outlineLevel="0" collapsed="false">
      <c r="A14792" s="4" t="s">
        <v>43</v>
      </c>
      <c r="B14792" s="4" t="s">
        <v>65</v>
      </c>
      <c r="C14792" s="23" t="s">
        <v>938</v>
      </c>
      <c r="D14792" s="23" t="s">
        <v>939</v>
      </c>
      <c r="E14792" s="23" t="s">
        <v>940</v>
      </c>
      <c r="F14792" s="23" t="s">
        <v>941</v>
      </c>
      <c r="G14792" s="23" t="s">
        <v>942</v>
      </c>
      <c r="H14792" s="23" t="s">
        <v>943</v>
      </c>
      <c r="I14792" s="23" t="s">
        <v>944</v>
      </c>
      <c r="J14792" s="23" t="s">
        <v>945</v>
      </c>
      <c r="K14792" s="23" t="s">
        <v>946</v>
      </c>
      <c r="L14792" s="4" t="s">
        <v>47</v>
      </c>
    </row>
    <row r="14793" customFormat="false" ht="17.15" hidden="false" customHeight="false" outlineLevel="0" collapsed="false">
      <c r="A14793" s="1" t="s">
        <v>1212</v>
      </c>
      <c r="B14793" s="1" t="s">
        <v>279</v>
      </c>
      <c r="F14793" s="8" t="n">
        <f aca="false">(1-v_off)*mid_yr</f>
        <v>0.373972602739726</v>
      </c>
      <c r="G14793" s="8" t="n">
        <f aca="false">Thesis!G110-base_fy-mid_yr-v_off</f>
        <v>1.24794520547945</v>
      </c>
      <c r="H14793" s="8" t="n">
        <f aca="false">Thesis!H110-base_fy-mid_yr-v_off</f>
        <v>2.24794520547945</v>
      </c>
      <c r="I14793" s="8" t="n">
        <f aca="false">Thesis!I110-base_fy-mid_yr-v_off</f>
        <v>3.24794520547945</v>
      </c>
      <c r="J14793" s="8" t="n">
        <f aca="false">Thesis!J110-base_fy-mid_yr-v_off</f>
        <v>4.24794520547945</v>
      </c>
      <c r="K14793" s="8" t="n">
        <f aca="false">Thesis!K110-base_fy-mid_yr-v_off</f>
        <v>5.24794520547945</v>
      </c>
      <c r="L14793" s="12" t="s">
        <v>1213</v>
      </c>
    </row>
    <row r="14794" customFormat="false" ht="15" hidden="false" customHeight="false" outlineLevel="0" collapsed="false">
      <c r="A14794" s="1" t="s">
        <v>1214</v>
      </c>
      <c r="B14794" s="1" t="s">
        <v>279</v>
      </c>
      <c r="F14794" s="8" t="n">
        <f aca="false">Thesis!F110-base_fy-v_off</f>
        <v>0.747945205479452</v>
      </c>
      <c r="G14794" s="8" t="n">
        <f aca="false">Thesis!G110-base_fy-v_off</f>
        <v>1.74794520547945</v>
      </c>
      <c r="H14794" s="8" t="n">
        <f aca="false">Thesis!H110-base_fy-v_off</f>
        <v>2.74794520547945</v>
      </c>
      <c r="I14794" s="8" t="n">
        <f aca="false">Thesis!I110-base_fy-v_off</f>
        <v>3.74794520547945</v>
      </c>
      <c r="J14794" s="8" t="n">
        <f aca="false">Thesis!J110-base_fy-v_off</f>
        <v>4.74794520547945</v>
      </c>
      <c r="K14794" s="8" t="n">
        <f aca="false">Thesis!K110-base_fy-v_off</f>
        <v>5.74794520547945</v>
      </c>
    </row>
    <row r="14795" customFormat="false" ht="15" hidden="false" customHeight="false" outlineLevel="0" collapsed="false">
      <c r="A14795" s="1" t="s">
        <v>1215</v>
      </c>
      <c r="B14795" s="0" t="s">
        <v>229</v>
      </c>
      <c r="F14795" s="15" t="n">
        <f aca="false">1/(1+wacc)^Sens!F14793</f>
        <v>0.964022703286649</v>
      </c>
      <c r="G14795" s="15" t="n">
        <f aca="false">1/(1+wacc)^Sens!G14793</f>
        <v>0.884910302296739</v>
      </c>
      <c r="H14795" s="15" t="n">
        <f aca="false">1/(1+wacc)^Sens!H14793</f>
        <v>0.802322009770358</v>
      </c>
      <c r="I14795" s="15" t="n">
        <f aca="false">1/(1+wacc)^Sens!I14793</f>
        <v>0.727441646561469</v>
      </c>
      <c r="J14795" s="15" t="n">
        <f aca="false">1/(1+wacc)^Sens!J14793</f>
        <v>0.659549834988973</v>
      </c>
      <c r="K14795" s="15" t="n">
        <f aca="false">1/(1+wacc)^Sens!K14793</f>
        <v>0.597994336576966</v>
      </c>
    </row>
    <row r="14796" customFormat="false" ht="17.15" hidden="false" customHeight="false" outlineLevel="0" collapsed="false">
      <c r="A14796" s="1" t="s">
        <v>1216</v>
      </c>
      <c r="B14796" s="0" t="s">
        <v>98</v>
      </c>
      <c r="F14796" s="6" t="n">
        <f aca="false">Q!$I$35-Q!$I$39-Q!$I$43</f>
        <v>9.666</v>
      </c>
      <c r="L14796" s="12" t="s">
        <v>1217</v>
      </c>
    </row>
    <row r="14797" customFormat="false" ht="17.15" hidden="false" customHeight="false" outlineLevel="0" collapsed="false">
      <c r="A14797" s="1" t="s">
        <v>1218</v>
      </c>
      <c r="B14797" s="0" t="s">
        <v>98</v>
      </c>
      <c r="F14797" s="6" t="n">
        <f aca="false">CF!F87-CF!F84-CF!F91+Thesis!F151*(1-tax_f)*(1-v_off)-Sens!F14796</f>
        <v>-6.10282680452259</v>
      </c>
      <c r="G14797" s="6" t="n">
        <f aca="false">CF!G87-CF!G84-CF!G91+Thesis!G151*(1-tax_f)</f>
        <v>19.0084129023516</v>
      </c>
      <c r="H14797" s="6" t="n">
        <f aca="false">CF!H87-CF!H84-CF!H91+Thesis!H151*(1-tax_f)</f>
        <v>55.9229468383331</v>
      </c>
      <c r="I14797" s="6" t="n">
        <f aca="false">CF!I87-CF!I84-CF!I91+Thesis!I151*(1-tax_f)</f>
        <v>127.901908576191</v>
      </c>
      <c r="J14797" s="6" t="n">
        <f aca="false">CF!J87-CF!J84-CF!J91+Thesis!J151*(1-tax_f)</f>
        <v>201.958443859638</v>
      </c>
      <c r="K14797" s="6" t="n">
        <f aca="false">CF!K87-CF!K84-CF!K91+Thesis!K151*(1-tax_f)</f>
        <v>237.542519059905</v>
      </c>
      <c r="L14797" s="1" t="s">
        <v>1219</v>
      </c>
    </row>
    <row r="14798" customFormat="false" ht="15" hidden="false" customHeight="false" outlineLevel="0" collapsed="false">
      <c r="A14798" s="1" t="s">
        <v>1220</v>
      </c>
      <c r="B14798" s="0" t="s">
        <v>98</v>
      </c>
      <c r="F14798" s="6" t="n">
        <f aca="false">Sens!F14797*Sens!F14795</f>
        <v>-5.88326359378609</v>
      </c>
      <c r="G14798" s="6" t="n">
        <f aca="false">Sens!G14797*Sens!G14795</f>
        <v>16.8207404076012</v>
      </c>
      <c r="H14798" s="6" t="n">
        <f aca="false">Sens!H14797*Sens!H14795</f>
        <v>44.8682110996123</v>
      </c>
      <c r="I14798" s="6" t="n">
        <f aca="false">Sens!I14797*Sens!I14795</f>
        <v>93.0411749730187</v>
      </c>
      <c r="J14798" s="6" t="n">
        <f aca="false">Sens!J14797*Sens!J14795</f>
        <v>133.201658322254</v>
      </c>
      <c r="K14798" s="6" t="n">
        <f aca="false">Sens!K14797*Sens!K14795</f>
        <v>142.049081094049</v>
      </c>
    </row>
    <row r="14799" customFormat="false" ht="17.15" hidden="false" customHeight="false" outlineLevel="0" collapsed="false">
      <c r="A14799" s="1" t="s">
        <v>1221</v>
      </c>
      <c r="B14799" s="0" t="s">
        <v>98</v>
      </c>
      <c r="C14799" s="6" t="n">
        <f aca="false">SUM(Sens!F14798:K14798)</f>
        <v>424.097602302749</v>
      </c>
    </row>
    <row r="14800" customFormat="false" ht="17.15" hidden="false" customHeight="false" outlineLevel="0" collapsed="false">
      <c r="A14800" s="1" t="s">
        <v>1222</v>
      </c>
      <c r="B14800" s="0" t="s">
        <v>98</v>
      </c>
      <c r="C14800" s="6" t="n">
        <f aca="false">PL!K117*(1+g_tv)*(1-tax_f)</f>
        <v>247.098906713682</v>
      </c>
    </row>
    <row r="14801" customFormat="false" ht="17.15" hidden="false" customHeight="false" outlineLevel="0" collapsed="false">
      <c r="A14801" s="1" t="s">
        <v>1223</v>
      </c>
      <c r="B14801" s="0" t="s">
        <v>98</v>
      </c>
      <c r="C14801" s="6" t="n">
        <f aca="false">Sens!$C$14800*(1-g_tv/(wacc+ronic_prem_hi))</f>
        <v>198.628052514719</v>
      </c>
    </row>
    <row r="14802" customFormat="false" ht="17.15" hidden="false" customHeight="false" outlineLevel="0" collapsed="false">
      <c r="A14802" s="1" t="s">
        <v>1224</v>
      </c>
      <c r="B14802" s="0" t="s">
        <v>98</v>
      </c>
      <c r="C14802" s="6" t="n">
        <f aca="false">Sens!$C$14801/(wacc-g_tv)</f>
        <v>2723.29772943287</v>
      </c>
    </row>
    <row r="14803" customFormat="false" ht="15" hidden="false" customHeight="false" outlineLevel="0" collapsed="false">
      <c r="A14803" s="1" t="s">
        <v>1225</v>
      </c>
      <c r="B14803" s="0" t="s">
        <v>98</v>
      </c>
      <c r="C14803" s="6" t="n">
        <f aca="false">Sens!$C$14802/(1+wacc)^Sens!K14794</f>
        <v>1550.66120739066</v>
      </c>
    </row>
    <row r="14804" customFormat="false" ht="17.15" hidden="false" customHeight="false" outlineLevel="0" collapsed="false">
      <c r="A14804" s="0" t="s">
        <v>1226</v>
      </c>
      <c r="B14804" s="0" t="s">
        <v>98</v>
      </c>
      <c r="C14804" s="6" t="n">
        <f aca="false">Sens!$C$14799+Sens!$C$14803</f>
        <v>1974.75880969341</v>
      </c>
    </row>
    <row r="14805" customFormat="false" ht="15" hidden="false" customHeight="false" outlineLevel="0" collapsed="false">
      <c r="A14805" s="1" t="s">
        <v>1141</v>
      </c>
      <c r="B14805" s="0" t="s">
        <v>168</v>
      </c>
      <c r="C14805" s="7" t="n">
        <f aca="false">Sens!$C$14803/Sens!$C$14804</f>
        <v>0.785240810056904</v>
      </c>
    </row>
    <row r="14806" customFormat="false" ht="17.15" hidden="false" customHeight="false" outlineLevel="0" collapsed="false">
      <c r="A14806" s="1" t="s">
        <v>1227</v>
      </c>
      <c r="B14806" s="0" t="s">
        <v>98</v>
      </c>
      <c r="C14806" s="6" t="n">
        <f aca="false">Sens!$C$14804+cash_val-debt_val-fl_val+oai_v</f>
        <v>2090.60980969341</v>
      </c>
    </row>
    <row r="14807" customFormat="false" ht="17.15" hidden="false" customHeight="false" outlineLevel="0" collapsed="false">
      <c r="A14807" s="0" t="s">
        <v>1149</v>
      </c>
      <c r="B14807" s="0" t="s">
        <v>75</v>
      </c>
      <c r="C14807" s="5" t="n">
        <f aca="false">Sens!$C$14806/shd_val</f>
        <v>280.769515134758</v>
      </c>
    </row>
    <row r="14808" customFormat="false" ht="15" hidden="false" customHeight="false" outlineLevel="0" collapsed="false">
      <c r="A14808" s="1" t="s">
        <v>1228</v>
      </c>
      <c r="B14808" s="0" t="s">
        <v>75</v>
      </c>
      <c r="C14808" s="8" t="n">
        <f aca="false">div_rem27+CF!G95*roll_div_q/q_per_yr</f>
        <v>3.9795</v>
      </c>
    </row>
    <row r="14809" customFormat="false" ht="17.15" hidden="false" customHeight="false" outlineLevel="0" collapsed="false">
      <c r="A14809" s="0" t="s">
        <v>1229</v>
      </c>
      <c r="B14809" s="0" t="s">
        <v>75</v>
      </c>
      <c r="C14809" s="5" t="n">
        <f aca="false">Sens!$C$14807*(1+wacc)^t_roll-Sens!$C$14808</f>
        <v>308.111486027765</v>
      </c>
    </row>
    <row r="14810" customFormat="false" ht="17.15" hidden="false" customHeight="false" outlineLevel="0" collapsed="false">
      <c r="A14810" s="1" t="s">
        <v>1230</v>
      </c>
      <c r="B14810" s="0" t="s">
        <v>168</v>
      </c>
      <c r="F14810" s="7" t="n">
        <f aca="false">CF!F81/(Seg!F83-Thesis!F129)</f>
        <v>0.068677393452264</v>
      </c>
      <c r="G14810" s="7" t="n">
        <f aca="false">CF!G81/(Seg!G83-Thesis!G129)</f>
        <v>0.0663132664471956</v>
      </c>
      <c r="H14810" s="7" t="n">
        <f aca="false">CF!H81/(Seg!H83-Thesis!H129)</f>
        <v>0.0651363826734039</v>
      </c>
      <c r="I14810" s="7" t="n">
        <f aca="false">CF!I81/(Seg!I83-Thesis!I129)</f>
        <v>0.0650087936347709</v>
      </c>
      <c r="J14810" s="7" t="n">
        <f aca="false">CF!J81/(Seg!J83-Thesis!J129)</f>
        <v>0.0657212684841778</v>
      </c>
      <c r="K14810" s="7" t="n">
        <f aca="false">CF!K81/(Seg!K83-Thesis!K129)</f>
        <v>0.0670413306015285</v>
      </c>
    </row>
    <row r="14811" customFormat="false" ht="17.15" hidden="false" customHeight="false" outlineLevel="0" collapsed="false">
      <c r="A14811" s="0" t="s">
        <v>1231</v>
      </c>
      <c r="B14811" s="0" t="s">
        <v>98</v>
      </c>
      <c r="F14811" s="6" t="n">
        <f aca="false">Seg!F68*(al_m365+Sens!F14810+sbc_r)</f>
        <v>82.9185219618347</v>
      </c>
      <c r="G14811" s="6" t="n">
        <f aca="false">Seg!G68*(al_m365+Sens!G14810+sbc_r)</f>
        <v>93.3068052157631</v>
      </c>
      <c r="H14811" s="6" t="n">
        <f aca="false">Seg!H68*(al_m365+Sens!H14810+sbc_r)</f>
        <v>103.856057136159</v>
      </c>
      <c r="I14811" s="6" t="n">
        <f aca="false">Seg!I68*(al_m365+Sens!I14810+sbc_r)</f>
        <v>113.889717587147</v>
      </c>
      <c r="J14811" s="6" t="n">
        <f aca="false">Seg!J68*(al_m365+Sens!J14810+sbc_r)</f>
        <v>123.218477864124</v>
      </c>
      <c r="K14811" s="6" t="n">
        <f aca="false">Seg!K68*(al_m365+Sens!K14810+sbc_r)</f>
        <v>132.149420086311</v>
      </c>
      <c r="L14811" s="12" t="s">
        <v>1232</v>
      </c>
    </row>
    <row r="14812" customFormat="false" ht="17.15" hidden="false" customHeight="false" outlineLevel="0" collapsed="false">
      <c r="A14812" s="0" t="s">
        <v>1233</v>
      </c>
      <c r="B14812" s="0" t="s">
        <v>98</v>
      </c>
      <c r="F14812" s="6" t="n">
        <f aca="false">Seg!F69*(al_lic+Sens!F14810+sbc_r)</f>
        <v>32.8599853992256</v>
      </c>
      <c r="G14812" s="6" t="n">
        <f aca="false">Seg!G69*(al_lic+Sens!G14810+sbc_r)</f>
        <v>34.1568280697879</v>
      </c>
      <c r="H14812" s="6" t="n">
        <f aca="false">Seg!H69*(al_lic+Sens!H14810+sbc_r)</f>
        <v>35.3635535007213</v>
      </c>
      <c r="I14812" s="6" t="n">
        <f aca="false">Seg!I69*(al_lic+Sens!I14810+sbc_r)</f>
        <v>36.4604537346553</v>
      </c>
      <c r="J14812" s="6" t="n">
        <f aca="false">Seg!J69*(al_lic+Sens!J14810+sbc_r)</f>
        <v>37.4245888933574</v>
      </c>
      <c r="K14812" s="6" t="n">
        <f aca="false">Seg!K69*(al_lic+Sens!K14810+sbc_r)</f>
        <v>38.2321483186439</v>
      </c>
    </row>
    <row r="14813" customFormat="false" ht="17.15" hidden="false" customHeight="false" outlineLevel="0" collapsed="false">
      <c r="A14813" s="0" t="s">
        <v>1234</v>
      </c>
      <c r="B14813" s="0" t="s">
        <v>98</v>
      </c>
      <c r="F14813" s="6" t="n">
        <f aca="false">Seg!F71*(al_ind+Sens!F14810+sbc_r)</f>
        <v>9.06170747885803</v>
      </c>
      <c r="G14813" s="6" t="n">
        <f aca="false">Seg!G71*(al_ind+Sens!G14810+sbc_r)</f>
        <v>9.8478979082138</v>
      </c>
      <c r="H14813" s="6" t="n">
        <f aca="false">Seg!H71*(al_ind+Sens!H14810+sbc_r)</f>
        <v>10.6768254332059</v>
      </c>
      <c r="I14813" s="6" t="n">
        <f aca="false">Seg!I71*(al_ind+Sens!I14810+sbc_r)</f>
        <v>11.54398793803</v>
      </c>
      <c r="J14813" s="6" t="n">
        <f aca="false">Seg!J71*(al_ind+Sens!J14810+sbc_r)</f>
        <v>12.4407914253112</v>
      </c>
      <c r="K14813" s="6" t="n">
        <f aca="false">Seg!K71*(al_ind+Sens!K14810+sbc_r)</f>
        <v>13.355239066864</v>
      </c>
    </row>
    <row r="14814" customFormat="false" ht="17.15" hidden="false" customHeight="false" outlineLevel="0" collapsed="false">
      <c r="A14814" s="0" t="s">
        <v>1235</v>
      </c>
      <c r="B14814" s="0" t="s">
        <v>98</v>
      </c>
      <c r="F14814" s="6" t="n">
        <f aca="false">Seg!F73*(al_fro+Sens!F14810+sbc_r)</f>
        <v>3.55453569939552</v>
      </c>
      <c r="G14814" s="6" t="n">
        <f aca="false">Seg!G73*(al_fro+Sens!G14810+sbc_r)</f>
        <v>3.76809436159872</v>
      </c>
      <c r="H14814" s="6" t="n">
        <f aca="false">Seg!H73*(al_fro+Sens!H14810+sbc_r)</f>
        <v>4.00964905674607</v>
      </c>
      <c r="I14814" s="6" t="n">
        <f aca="false">Seg!I73*(al_fro+Sens!I14810+sbc_r)</f>
        <v>4.28152633145235</v>
      </c>
      <c r="J14814" s="6" t="n">
        <f aca="false">Seg!J73*(al_fro+Sens!J14810+sbc_r)</f>
        <v>4.58536512975975</v>
      </c>
      <c r="K14814" s="6" t="n">
        <f aca="false">Seg!K73*(al_fro+Sens!K14810+sbc_r)</f>
        <v>4.92240770086468</v>
      </c>
    </row>
    <row r="14815" customFormat="false" ht="17.15" hidden="false" customHeight="false" outlineLevel="0" collapsed="false">
      <c r="A14815" s="0" t="s">
        <v>1236</v>
      </c>
      <c r="B14815" s="0" t="s">
        <v>98</v>
      </c>
      <c r="F14815" s="6" t="n">
        <f aca="false">Seg!F76*(al_srch+Sens!F14810+sbc_r)</f>
        <v>11.190683952584</v>
      </c>
      <c r="G14815" s="6" t="n">
        <f aca="false">Seg!G76*(al_srch+Sens!G14810+sbc_r)</f>
        <v>12.2763328717258</v>
      </c>
      <c r="H14815" s="6" t="n">
        <f aca="false">Seg!H76*(al_srch+Sens!H14810+sbc_r)</f>
        <v>13.4043563346576</v>
      </c>
      <c r="I14815" s="6" t="n">
        <f aca="false">Seg!I76*(al_srch+Sens!I14810+sbc_r)</f>
        <v>14.5621512181916</v>
      </c>
      <c r="J14815" s="6" t="n">
        <f aca="false">Seg!J76*(al_srch+Sens!J14810+sbc_r)</f>
        <v>15.7310381862385</v>
      </c>
      <c r="K14815" s="6" t="n">
        <f aca="false">Seg!K76*(al_srch+Sens!K14810+sbc_r)</f>
        <v>16.8873320486462</v>
      </c>
    </row>
    <row r="14816" customFormat="false" ht="17.15" hidden="false" customHeight="false" outlineLevel="0" collapsed="false">
      <c r="A14816" s="0" t="s">
        <v>1237</v>
      </c>
      <c r="B14816" s="0" t="s">
        <v>98</v>
      </c>
      <c r="F14816" s="6" t="n">
        <f aca="false">Thesis!F135-Thesis!F136+Thesis!F151</f>
        <v>38.9696429794913</v>
      </c>
      <c r="G14816" s="6" t="n">
        <f aca="false">Thesis!G135-Thesis!G136+Thesis!G151</f>
        <v>69.465497726016</v>
      </c>
      <c r="H14816" s="6" t="n">
        <f aca="false">Thesis!H135-Thesis!H136+Thesis!H151</f>
        <v>96.8147106808268</v>
      </c>
      <c r="I14816" s="6" t="n">
        <f aca="false">Thesis!I135-Thesis!I136+Thesis!I151</f>
        <v>127.654939766446</v>
      </c>
      <c r="J14816" s="6" t="n">
        <f aca="false">Thesis!J135-Thesis!J136+Thesis!J151</f>
        <v>149.308352681229</v>
      </c>
      <c r="K14816" s="6" t="n">
        <f aca="false">Thesis!K135-Thesis!K136+Thesis!K151</f>
        <v>162.731822021841</v>
      </c>
    </row>
    <row r="14817" customFormat="false" ht="17.15" hidden="false" customHeight="false" outlineLevel="0" collapsed="false">
      <c r="A14817" s="0" t="s">
        <v>1238</v>
      </c>
      <c r="B14817" s="0" t="s">
        <v>98</v>
      </c>
      <c r="F14817" s="6" t="n">
        <f aca="false">PL!F110+Thesis!F151+Thesis!F147+Sens!F14810*(Seg!F75-Thesis!F129)+sbc_r*Seg!F75</f>
        <v>234.79972328186</v>
      </c>
      <c r="G14817" s="6" t="n">
        <f aca="false">PL!G110+Thesis!G151+Thesis!G147+Sens!G14810*(Seg!G75-Thesis!G129)+sbc_r*Seg!G75</f>
        <v>285.499052659517</v>
      </c>
      <c r="H14817" s="6" t="n">
        <f aca="false">PL!H110+Thesis!H151+Thesis!H147+Sens!H14810*(Seg!H75-Thesis!H129)+sbc_r*Seg!H75</f>
        <v>338.258569294547</v>
      </c>
      <c r="I14817" s="6" t="n">
        <f aca="false">PL!I110+Thesis!I151+Thesis!I147+Sens!I14810*(Seg!I75-Thesis!I129)+sbc_r*Seg!I75</f>
        <v>393.887902526982</v>
      </c>
      <c r="J14817" s="6" t="n">
        <f aca="false">PL!J110+Thesis!J151+Thesis!J147+Sens!J14810*(Seg!J75-Thesis!J129)+sbc_r*Seg!J75</f>
        <v>438.406631506078</v>
      </c>
      <c r="K14817" s="6" t="n">
        <f aca="false">PL!K110+Thesis!K151+Thesis!K147+Sens!K14810*(Seg!K75-Thesis!K129)+sbc_r*Seg!K75</f>
        <v>472.352875745143</v>
      </c>
    </row>
    <row r="14818" customFormat="false" ht="17.15" hidden="false" customHeight="false" outlineLevel="0" collapsed="false">
      <c r="A14818" s="0" t="s">
        <v>1239</v>
      </c>
      <c r="B14818" s="0" t="s">
        <v>98</v>
      </c>
      <c r="F14818" s="6" t="n">
        <f aca="false">Sens!F14817-Sens!F14811-Sens!F14812-Sens!F14813-Sens!F14814-Sens!F14816</f>
        <v>67.4353297630543</v>
      </c>
      <c r="G14818" s="6" t="n">
        <f aca="false">Sens!G14817-Sens!G14811-Sens!G14812-Sens!G14813-Sens!G14814-Sens!G14816</f>
        <v>74.9539293781376</v>
      </c>
      <c r="H14818" s="6" t="n">
        <f aca="false">Sens!H14817-Sens!H14811-Sens!H14812-Sens!H14813-Sens!H14814-Sens!H14816</f>
        <v>87.537773486888</v>
      </c>
      <c r="I14818" s="6" t="n">
        <f aca="false">Sens!I14817-Sens!I14811-Sens!I14812-Sens!I14813-Sens!I14814-Sens!I14816</f>
        <v>100.057277169252</v>
      </c>
      <c r="J14818" s="6" t="n">
        <f aca="false">Sens!J14817-Sens!J14811-Sens!J14812-Sens!J14813-Sens!J14814-Sens!J14816</f>
        <v>111.429055512297</v>
      </c>
      <c r="K14818" s="6" t="n">
        <f aca="false">Sens!K14817-Sens!K14811-Sens!K14812-Sens!K14813-Sens!K14814-Sens!K14816</f>
        <v>120.961838550618</v>
      </c>
    </row>
    <row r="14819" customFormat="false" ht="17.15" hidden="false" customHeight="false" outlineLevel="0" collapsed="false">
      <c r="A14819" s="0" t="s">
        <v>1240</v>
      </c>
      <c r="B14819" s="0" t="s">
        <v>98</v>
      </c>
      <c r="F14819" s="6" t="n">
        <f aca="false">PL!F112+Sens!F14810*Seg!F82+sbc_r*Seg!F82</f>
        <v>26.6373549789235</v>
      </c>
      <c r="G14819" s="6" t="n">
        <f aca="false">PL!G112+Sens!G14810*Seg!G82+sbc_r*Seg!G82</f>
        <v>26.5038922765853</v>
      </c>
      <c r="H14819" s="6" t="n">
        <f aca="false">PL!H112+Sens!H14810*Seg!H82+sbc_r*Seg!H82</f>
        <v>27.3981100014792</v>
      </c>
      <c r="I14819" s="6" t="n">
        <f aca="false">PL!I112+Sens!I14810*Seg!I82+sbc_r*Seg!I82</f>
        <v>28.5176442589239</v>
      </c>
      <c r="J14819" s="6" t="n">
        <f aca="false">PL!J112+Sens!J14810*Seg!J82+sbc_r*Seg!J82</f>
        <v>29.8313998963726</v>
      </c>
      <c r="K14819" s="6" t="n">
        <f aca="false">PL!K112+Sens!K14810*Seg!K82+sbc_r*Seg!K82</f>
        <v>31.3103466222307</v>
      </c>
    </row>
    <row r="14820" customFormat="false" ht="17.15" hidden="false" customHeight="false" outlineLevel="0" collapsed="false">
      <c r="A14820" s="0" t="s">
        <v>1241</v>
      </c>
      <c r="B14820" s="0" t="s">
        <v>98</v>
      </c>
      <c r="F14820" s="6" t="n">
        <f aca="false">(Sens!F14819-Sens!F14815)*Seg!F78/(Seg!F78+Seg!F80)</f>
        <v>8.72405610479892</v>
      </c>
      <c r="G14820" s="6" t="n">
        <f aca="false">(Sens!G14819-Sens!G14815)*Seg!G78/(Seg!G78+Seg!G80)</f>
        <v>7.897418765869</v>
      </c>
      <c r="H14820" s="6" t="n">
        <f aca="false">(Sens!H14819-Sens!H14815)*Seg!H78/(Seg!H78+Seg!H80)</f>
        <v>7.66644879573063</v>
      </c>
      <c r="I14820" s="6" t="n">
        <f aca="false">(Sens!I14819-Sens!I14815)*Seg!I78/(Seg!I78+Seg!I80)</f>
        <v>7.5787545031814</v>
      </c>
      <c r="J14820" s="6" t="n">
        <f aca="false">(Sens!J14819-Sens!J14815)*Seg!J78/(Seg!J78+Seg!J80)</f>
        <v>7.62401876450459</v>
      </c>
      <c r="K14820" s="6" t="n">
        <f aca="false">(Sens!K14819-Sens!K14815)*Seg!K78/(Seg!K78+Seg!K80)</f>
        <v>7.79847609658838</v>
      </c>
    </row>
    <row r="14821" customFormat="false" ht="17.15" hidden="false" customHeight="false" outlineLevel="0" collapsed="false">
      <c r="A14821" s="0" t="s">
        <v>1242</v>
      </c>
      <c r="B14821" s="0" t="s">
        <v>98</v>
      </c>
      <c r="F14821" s="6" t="n">
        <f aca="false">Sens!F14819-Sens!F14815-Sens!F14820</f>
        <v>6.72261492154066</v>
      </c>
      <c r="G14821" s="6" t="n">
        <f aca="false">Sens!G14819-Sens!G14815-Sens!G14820</f>
        <v>6.33014063899044</v>
      </c>
      <c r="H14821" s="6" t="n">
        <f aca="false">Sens!H14819-Sens!H14815-Sens!H14820</f>
        <v>6.32730487109095</v>
      </c>
      <c r="I14821" s="6" t="n">
        <f aca="false">Sens!I14819-Sens!I14815-Sens!I14820</f>
        <v>6.37673853755084</v>
      </c>
      <c r="J14821" s="6" t="n">
        <f aca="false">Sens!J14819-Sens!J14815-Sens!J14820</f>
        <v>6.47634294562954</v>
      </c>
      <c r="K14821" s="6" t="n">
        <f aca="false">Sens!K14819-Sens!K14815-Sens!K14820</f>
        <v>6.62453847699607</v>
      </c>
    </row>
    <row r="14822" customFormat="false" ht="17.15" hidden="false" customHeight="false" outlineLevel="0" collapsed="false">
      <c r="A14822" s="0" t="s">
        <v>1243</v>
      </c>
      <c r="B14822" s="0" t="s">
        <v>98</v>
      </c>
      <c r="F14822" s="6" t="n">
        <f aca="false">Sens!F14816-tax_f*(Sens!F14816-Thesis!F147)-Thesis!F144</f>
        <v>-130.362326762856</v>
      </c>
      <c r="G14822" s="6" t="n">
        <f aca="false">Sens!G14816-tax_f*(Sens!G14816-Thesis!G147)-Thesis!G144</f>
        <v>-124.225179337776</v>
      </c>
      <c r="H14822" s="6" t="n">
        <f aca="false">Sens!H14816-tax_f*(Sens!H14816-Thesis!H147)-Thesis!H144</f>
        <v>-101.534217387562</v>
      </c>
      <c r="I14822" s="6" t="n">
        <f aca="false">Sens!I14816-tax_f*(Sens!I14816-Thesis!I147)-Thesis!I144</f>
        <v>-43.6446798695439</v>
      </c>
      <c r="J14822" s="6" t="n">
        <f aca="false">Sens!J14816-tax_f*(Sens!J14816-Thesis!J147)-Thesis!J144</f>
        <v>16.9198855589618</v>
      </c>
      <c r="K14822" s="6" t="n">
        <f aca="false">Sens!K14816-tax_f*(Sens!K14816-Thesis!K147)-Thesis!K144</f>
        <v>39.8251384629271</v>
      </c>
    </row>
    <row r="14823" customFormat="false" ht="17.15" hidden="false" customHeight="false" outlineLevel="0" collapsed="false">
      <c r="A14823" s="0" t="s">
        <v>1244</v>
      </c>
      <c r="B14823" s="0" t="s">
        <v>98</v>
      </c>
      <c r="G14823" s="6" t="n">
        <f aca="false">Sens!G14822/(1+wacc)^(Sens!G14793-Sens!F14794)</f>
        <v>-118.286276192192</v>
      </c>
      <c r="H14823" s="6" t="n">
        <f aca="false">Sens!H14822/(1+wacc)^(Sens!H14793-Sens!F14794)</f>
        <v>-87.6570009910427</v>
      </c>
      <c r="I14823" s="6" t="n">
        <f aca="false">Sens!I14822/(1+wacc)^(Sens!I14793-Sens!F14794)</f>
        <v>-34.1629172979204</v>
      </c>
      <c r="J14823" s="6" t="n">
        <f aca="false">Sens!J14822/(1+wacc)^(Sens!J14793-Sens!F14794)</f>
        <v>12.0079954170053</v>
      </c>
      <c r="K14823" s="6" t="n">
        <f aca="false">Sens!K14822/(1+wacc)^(Sens!K14793-Sens!F14794)</f>
        <v>25.6259421582556</v>
      </c>
      <c r="L14823" s="1" t="s">
        <v>1245</v>
      </c>
    </row>
    <row r="14824" customFormat="false" ht="17.15" hidden="false" customHeight="false" outlineLevel="0" collapsed="false">
      <c r="A14824" s="0" t="s">
        <v>1246</v>
      </c>
      <c r="B14824" s="0" t="s">
        <v>98</v>
      </c>
      <c r="C14824" s="6" t="n">
        <f aca="false">(Sens!K14816-Thesis!K147)*(1-tax_f)*(1+g_tv)*(1-g_tv/(wacc+ronic_prem_hi))/(wacc-g_tv)/(1+wacc)^(Sens!K14794-Sens!F14794)</f>
        <v>109.720311369646</v>
      </c>
    </row>
    <row r="14825" customFormat="false" ht="17.15" hidden="false" customHeight="false" outlineLevel="0" collapsed="false">
      <c r="A14825" s="1" t="s">
        <v>1247</v>
      </c>
      <c r="B14825" s="0" t="s">
        <v>98</v>
      </c>
      <c r="C14825" s="6" t="n">
        <f aca="false">(SUM(Sens!G14823:K14823)+Sens!$C$14824)*(1+wacc)^(t_roll-Sens!F14794)</f>
        <v>-95.8139677611032</v>
      </c>
      <c r="L14825" s="12" t="s">
        <v>1248</v>
      </c>
    </row>
    <row r="14826" customFormat="false" ht="17.15" hidden="false" customHeight="false" outlineLevel="0" collapsed="false">
      <c r="A14826" s="1" t="s">
        <v>1249</v>
      </c>
      <c r="B14826" s="0" t="s">
        <v>98</v>
      </c>
      <c r="C14826" s="6" t="n">
        <f aca="false">(w_ntm28*Thesis!G135+(1-w_ntm28)*Thesis!H135)*m_ai</f>
        <v>344.355829012336</v>
      </c>
    </row>
    <row r="14827" customFormat="false" ht="17.15" hidden="false" customHeight="false" outlineLevel="0" collapsed="false">
      <c r="A14827" s="1" t="s">
        <v>1250</v>
      </c>
      <c r="B14827" s="0" t="s">
        <v>98</v>
      </c>
      <c r="C14827" s="6" t="n">
        <f aca="false">(w_ntm28*Sens!G14818+(1-w_ntm28)*Sens!H14818)*m_cloud</f>
        <v>1093.03877543039</v>
      </c>
    </row>
    <row r="14828" customFormat="false" ht="17.15" hidden="false" customHeight="false" outlineLevel="0" collapsed="false">
      <c r="A14828" s="1" t="s">
        <v>1251</v>
      </c>
      <c r="B14828" s="0" t="s">
        <v>98</v>
      </c>
      <c r="C14828" s="6" t="n">
        <f aca="false">(w_ntm28*Sens!G14811+(1-w_ntm28)*Sens!H14811)*m_sw</f>
        <v>1045.17056616266</v>
      </c>
    </row>
    <row r="14829" customFormat="false" ht="17.15" hidden="false" customHeight="false" outlineLevel="0" collapsed="false">
      <c r="A14829" s="1" t="s">
        <v>1252</v>
      </c>
      <c r="B14829" s="0" t="s">
        <v>98</v>
      </c>
      <c r="C14829" s="6" t="n">
        <f aca="false">(w_ntm28*Sens!G14812+(1-w_ntm28)*Sens!H14812)*m_sw</f>
        <v>373.178444957791</v>
      </c>
    </row>
    <row r="14830" customFormat="false" ht="17.15" hidden="false" customHeight="false" outlineLevel="0" collapsed="false">
      <c r="A14830" s="1" t="s">
        <v>1253</v>
      </c>
      <c r="B14830" s="0" t="s">
        <v>98</v>
      </c>
      <c r="C14830" s="6" t="n">
        <f aca="false">(w_ntm28*Sens!G14813+(1-w_ntm28)*Sens!H14813)*m_sw</f>
        <v>109.30055788101</v>
      </c>
    </row>
    <row r="14831" customFormat="false" ht="17.15" hidden="false" customHeight="false" outlineLevel="0" collapsed="false">
      <c r="A14831" s="1" t="s">
        <v>1254</v>
      </c>
      <c r="B14831" s="0" t="s">
        <v>98</v>
      </c>
      <c r="C14831" s="6" t="n">
        <f aca="false">(w_ntm28*Sens!G14814+(1-w_ntm28)*Sens!H14814)*m_sw</f>
        <v>41.5531037214606</v>
      </c>
    </row>
    <row r="14832" customFormat="false" ht="17.15" hidden="false" customHeight="false" outlineLevel="0" collapsed="false">
      <c r="A14832" s="1" t="s">
        <v>1255</v>
      </c>
      <c r="B14832" s="0" t="s">
        <v>98</v>
      </c>
      <c r="C14832" s="6" t="n">
        <f aca="false">(w_ntm28*Sens!G14815+(1-w_ntm28)*Sens!H14815)*m_ads</f>
        <v>115.215899994784</v>
      </c>
    </row>
    <row r="14833" customFormat="false" ht="17.15" hidden="false" customHeight="false" outlineLevel="0" collapsed="false">
      <c r="A14833" s="1" t="s">
        <v>1256</v>
      </c>
      <c r="B14833" s="0" t="s">
        <v>98</v>
      </c>
      <c r="C14833" s="6" t="n">
        <f aca="false">(w_ntm28*Sens!G14820+(1-w_ntm28)*Sens!H14820)*m_game</f>
        <v>98.7853357615783</v>
      </c>
    </row>
    <row r="14834" customFormat="false" ht="17.15" hidden="false" customHeight="false" outlineLevel="0" collapsed="false">
      <c r="A14834" s="1" t="s">
        <v>1257</v>
      </c>
      <c r="B14834" s="0" t="s">
        <v>98</v>
      </c>
      <c r="C14834" s="6" t="n">
        <f aca="false">(w_ntm28*Sens!G14821+(1-w_ntm28)*Sens!H14821)*m_pc</f>
        <v>91.5836445602173</v>
      </c>
    </row>
    <row r="14835" customFormat="false" ht="17.15" hidden="false" customHeight="false" outlineLevel="0" collapsed="false">
      <c r="A14835" s="1" t="s">
        <v>1258</v>
      </c>
      <c r="B14835" s="0" t="s">
        <v>98</v>
      </c>
      <c r="C14835" s="6" t="n">
        <f aca="false">Sens!$C$14825+Sens!$C$14827+Sens!$C$14828+Sens!$C$14829+Sens!$C$14830+Sens!$C$14831+Sens!$C$14832+Sens!$C$14833+Sens!$C$14834</f>
        <v>2872.01236070879</v>
      </c>
    </row>
    <row r="14836" customFormat="false" ht="17.15" hidden="false" customHeight="false" outlineLevel="0" collapsed="false">
      <c r="A14836" s="1" t="s">
        <v>1259</v>
      </c>
      <c r="B14836" s="0" t="s">
        <v>98</v>
      </c>
      <c r="C14836" s="6" t="n">
        <f aca="false">(Sens!G14797-Sens!G14822)*t_stub</f>
        <v>47.4829168796038</v>
      </c>
      <c r="L14836" s="1" t="s">
        <v>1260</v>
      </c>
    </row>
    <row r="14837" customFormat="false" ht="17.15" hidden="false" customHeight="false" outlineLevel="0" collapsed="false">
      <c r="A14837" s="1" t="s">
        <v>1169</v>
      </c>
      <c r="B14837" s="0" t="s">
        <v>98</v>
      </c>
      <c r="C14837" s="6" t="n">
        <f aca="false">CF!F103+oai_v-CF!F92+Sens!$C$14836</f>
        <v>158.55427008544</v>
      </c>
      <c r="L14837" s="1" t="s">
        <v>1261</v>
      </c>
    </row>
    <row r="14838" customFormat="false" ht="17.15" hidden="false" customHeight="false" outlineLevel="0" collapsed="false">
      <c r="A14838" s="1" t="s">
        <v>1262</v>
      </c>
      <c r="B14838" s="0" t="s">
        <v>75</v>
      </c>
      <c r="C14838" s="5" t="n">
        <f aca="false">(Sens!$C$14835+Sens!$C$14837)/(CF!F105+dil_gap)-CF!G95*roll_div_q/q_per_yr</f>
        <v>403.251672731353</v>
      </c>
      <c r="L14838" s="1" t="s">
        <v>1263</v>
      </c>
    </row>
    <row r="14839" customFormat="false" ht="17.15" hidden="false" customHeight="false" outlineLevel="0" collapsed="false">
      <c r="A14839" s="1" t="s">
        <v>1264</v>
      </c>
      <c r="B14839" s="0" t="s">
        <v>75</v>
      </c>
      <c r="C14839" s="5" t="n">
        <f aca="false">w_dcf*Sens!$C$14809+(1-w_dcf)*Sens!$C$14838</f>
        <v>355.681579379559</v>
      </c>
    </row>
    <row r="14840" customFormat="false" ht="17.15" hidden="false" customHeight="false" outlineLevel="0" collapsed="false">
      <c r="A14840" s="3" t="s">
        <v>1846</v>
      </c>
    </row>
    <row r="14841" customFormat="false" ht="15" hidden="false" customHeight="false" outlineLevel="0" collapsed="false">
      <c r="A14841" s="4" t="s">
        <v>43</v>
      </c>
      <c r="B14841" s="4" t="s">
        <v>65</v>
      </c>
      <c r="C14841" s="23" t="s">
        <v>938</v>
      </c>
      <c r="D14841" s="23" t="s">
        <v>939</v>
      </c>
      <c r="E14841" s="23" t="s">
        <v>940</v>
      </c>
      <c r="F14841" s="23" t="s">
        <v>941</v>
      </c>
      <c r="G14841" s="23" t="s">
        <v>942</v>
      </c>
      <c r="H14841" s="23" t="s">
        <v>943</v>
      </c>
      <c r="I14841" s="23" t="s">
        <v>944</v>
      </c>
      <c r="J14841" s="23" t="s">
        <v>945</v>
      </c>
      <c r="K14841" s="23" t="s">
        <v>946</v>
      </c>
      <c r="L14841" s="4" t="s">
        <v>47</v>
      </c>
    </row>
    <row r="14842" customFormat="false" ht="17.15" hidden="false" customHeight="false" outlineLevel="0" collapsed="false">
      <c r="A14842" s="1" t="s">
        <v>1212</v>
      </c>
      <c r="B14842" s="1" t="s">
        <v>279</v>
      </c>
      <c r="F14842" s="8" t="n">
        <f aca="false">(1-v_off)*mid_yr</f>
        <v>0.373972602739726</v>
      </c>
      <c r="G14842" s="8" t="n">
        <f aca="false">Thesis!G6-base_fy-mid_yr-v_off</f>
        <v>1.24794520547945</v>
      </c>
      <c r="H14842" s="8" t="n">
        <f aca="false">Thesis!H6-base_fy-mid_yr-v_off</f>
        <v>2.24794520547945</v>
      </c>
      <c r="I14842" s="8" t="n">
        <f aca="false">Thesis!I6-base_fy-mid_yr-v_off</f>
        <v>3.24794520547945</v>
      </c>
      <c r="J14842" s="8" t="n">
        <f aca="false">Thesis!J6-base_fy-mid_yr-v_off</f>
        <v>4.24794520547945</v>
      </c>
      <c r="K14842" s="8" t="n">
        <f aca="false">Thesis!K6-base_fy-mid_yr-v_off</f>
        <v>5.24794520547945</v>
      </c>
      <c r="L14842" s="12" t="s">
        <v>1213</v>
      </c>
    </row>
    <row r="14843" customFormat="false" ht="15" hidden="false" customHeight="false" outlineLevel="0" collapsed="false">
      <c r="A14843" s="1" t="s">
        <v>1214</v>
      </c>
      <c r="B14843" s="1" t="s">
        <v>279</v>
      </c>
      <c r="F14843" s="8" t="n">
        <f aca="false">Thesis!F6-base_fy-v_off</f>
        <v>0.747945205479452</v>
      </c>
      <c r="G14843" s="8" t="n">
        <f aca="false">Thesis!G6-base_fy-v_off</f>
        <v>1.74794520547945</v>
      </c>
      <c r="H14843" s="8" t="n">
        <f aca="false">Thesis!H6-base_fy-v_off</f>
        <v>2.74794520547945</v>
      </c>
      <c r="I14843" s="8" t="n">
        <f aca="false">Thesis!I6-base_fy-v_off</f>
        <v>3.74794520547945</v>
      </c>
      <c r="J14843" s="8" t="n">
        <f aca="false">Thesis!J6-base_fy-v_off</f>
        <v>4.74794520547945</v>
      </c>
      <c r="K14843" s="8" t="n">
        <f aca="false">Thesis!K6-base_fy-v_off</f>
        <v>5.74794520547945</v>
      </c>
    </row>
    <row r="14844" customFormat="false" ht="15" hidden="false" customHeight="false" outlineLevel="0" collapsed="false">
      <c r="A14844" s="1" t="s">
        <v>1215</v>
      </c>
      <c r="B14844" s="0" t="s">
        <v>229</v>
      </c>
      <c r="F14844" s="15" t="n">
        <f aca="false">1/(1+wacc)^Sens!F14842</f>
        <v>0.964022703286649</v>
      </c>
      <c r="G14844" s="15" t="n">
        <f aca="false">1/(1+wacc)^Sens!G14842</f>
        <v>0.884910302296739</v>
      </c>
      <c r="H14844" s="15" t="n">
        <f aca="false">1/(1+wacc)^Sens!H14842</f>
        <v>0.802322009770358</v>
      </c>
      <c r="I14844" s="15" t="n">
        <f aca="false">1/(1+wacc)^Sens!I14842</f>
        <v>0.727441646561469</v>
      </c>
      <c r="J14844" s="15" t="n">
        <f aca="false">1/(1+wacc)^Sens!J14842</f>
        <v>0.659549834988973</v>
      </c>
      <c r="K14844" s="15" t="n">
        <f aca="false">1/(1+wacc)^Sens!K14842</f>
        <v>0.597994336576966</v>
      </c>
    </row>
    <row r="14845" customFormat="false" ht="17.15" hidden="false" customHeight="false" outlineLevel="0" collapsed="false">
      <c r="A14845" s="1" t="s">
        <v>1216</v>
      </c>
      <c r="B14845" s="0" t="s">
        <v>98</v>
      </c>
      <c r="F14845" s="6" t="n">
        <f aca="false">Q!$I$35-Q!$I$39-Q!$I$43</f>
        <v>9.666</v>
      </c>
      <c r="L14845" s="12" t="s">
        <v>1217</v>
      </c>
    </row>
    <row r="14846" customFormat="false" ht="17.15" hidden="false" customHeight="false" outlineLevel="0" collapsed="false">
      <c r="A14846" s="1" t="s">
        <v>1218</v>
      </c>
      <c r="B14846" s="0" t="s">
        <v>98</v>
      </c>
      <c r="F14846" s="6" t="n">
        <f aca="false">CF!F23-CF!F20-CF!F27+Thesis!F47*(1-tax_f)*(1-v_off)-Sens!F14845</f>
        <v>-1.12880264559539</v>
      </c>
      <c r="G14846" s="6" t="n">
        <f aca="false">CF!G23-CF!G20-CF!G27+Thesis!G47*(1-tax_f)</f>
        <v>38.7194421947551</v>
      </c>
      <c r="H14846" s="6" t="n">
        <f aca="false">CF!H23-CF!H20-CF!H27+Thesis!H47*(1-tax_f)</f>
        <v>98.6927474567662</v>
      </c>
      <c r="I14846" s="6" t="n">
        <f aca="false">CF!I23-CF!I20-CF!I27+Thesis!I47*(1-tax_f)</f>
        <v>181.625440536277</v>
      </c>
      <c r="J14846" s="6" t="n">
        <f aca="false">CF!J23-CF!J20-CF!J27+Thesis!J47*(1-tax_f)</f>
        <v>263.350402418584</v>
      </c>
      <c r="K14846" s="6" t="n">
        <f aca="false">CF!K23-CF!K20-CF!K27+Thesis!K47*(1-tax_f)</f>
        <v>303.659068389018</v>
      </c>
      <c r="L14846" s="1" t="s">
        <v>1219</v>
      </c>
    </row>
    <row r="14847" customFormat="false" ht="15" hidden="false" customHeight="false" outlineLevel="0" collapsed="false">
      <c r="A14847" s="1" t="s">
        <v>1220</v>
      </c>
      <c r="B14847" s="0" t="s">
        <v>98</v>
      </c>
      <c r="F14847" s="6" t="n">
        <f aca="false">Sens!F14846*Sens!F14844</f>
        <v>-1.08819137788399</v>
      </c>
      <c r="G14847" s="6" t="n">
        <f aca="false">Sens!G14846*Sens!G14844</f>
        <v>34.2632332973219</v>
      </c>
      <c r="H14847" s="6" t="n">
        <f aca="false">Sens!H14846*Sens!H14844</f>
        <v>79.183363489271</v>
      </c>
      <c r="I14847" s="6" t="n">
        <f aca="false">Sens!I14846*Sens!I14844</f>
        <v>132.121909521162</v>
      </c>
      <c r="J14847" s="6" t="n">
        <f aca="false">Sens!J14846*Sens!J14844</f>
        <v>173.692714459456</v>
      </c>
      <c r="K14847" s="6" t="n">
        <f aca="false">Sens!K14846*Sens!K14844</f>
        <v>181.58640314687</v>
      </c>
    </row>
    <row r="14848" customFormat="false" ht="17.15" hidden="false" customHeight="false" outlineLevel="0" collapsed="false">
      <c r="A14848" s="1" t="s">
        <v>1221</v>
      </c>
      <c r="B14848" s="0" t="s">
        <v>98</v>
      </c>
      <c r="C14848" s="6" t="n">
        <f aca="false">SUM(Sens!F14847:K14847)</f>
        <v>599.759432536197</v>
      </c>
    </row>
    <row r="14849" customFormat="false" ht="17.15" hidden="false" customHeight="false" outlineLevel="0" collapsed="false">
      <c r="A14849" s="1" t="s">
        <v>1222</v>
      </c>
      <c r="B14849" s="0" t="s">
        <v>98</v>
      </c>
      <c r="C14849" s="6" t="n">
        <f aca="false">PL!K39*(1+g_tv)*(1-tax_f)</f>
        <v>316.501318799308</v>
      </c>
    </row>
    <row r="14850" customFormat="false" ht="17.15" hidden="false" customHeight="false" outlineLevel="0" collapsed="false">
      <c r="A14850" s="1" t="s">
        <v>1223</v>
      </c>
      <c r="B14850" s="0" t="s">
        <v>98</v>
      </c>
      <c r="C14850" s="6" t="n">
        <f aca="false">Sens!$C$14849*(1-g_tv/(wacc+ronic_prem))</f>
        <v>224.25968269347</v>
      </c>
    </row>
    <row r="14851" customFormat="false" ht="17.15" hidden="false" customHeight="false" outlineLevel="0" collapsed="false">
      <c r="A14851" s="1" t="s">
        <v>1224</v>
      </c>
      <c r="B14851" s="0" t="s">
        <v>98</v>
      </c>
      <c r="C14851" s="6" t="n">
        <f aca="false">Sens!$C$14850/(wacc-g_tv)</f>
        <v>3074.72120352792</v>
      </c>
    </row>
    <row r="14852" customFormat="false" ht="15" hidden="false" customHeight="false" outlineLevel="0" collapsed="false">
      <c r="A14852" s="1" t="s">
        <v>1225</v>
      </c>
      <c r="B14852" s="0" t="s">
        <v>98</v>
      </c>
      <c r="C14852" s="6" t="n">
        <f aca="false">Sens!$C$14851/(1+wacc)^Sens!K14843</f>
        <v>1750.76373116397</v>
      </c>
    </row>
    <row r="14853" customFormat="false" ht="17.15" hidden="false" customHeight="false" outlineLevel="0" collapsed="false">
      <c r="A14853" s="0" t="s">
        <v>1226</v>
      </c>
      <c r="B14853" s="0" t="s">
        <v>98</v>
      </c>
      <c r="C14853" s="6" t="n">
        <f aca="false">Sens!$C$14848+Sens!$C$14852</f>
        <v>2350.52316370017</v>
      </c>
    </row>
    <row r="14854" customFormat="false" ht="15" hidden="false" customHeight="false" outlineLevel="0" collapsed="false">
      <c r="A14854" s="1" t="s">
        <v>1141</v>
      </c>
      <c r="B14854" s="0" t="s">
        <v>168</v>
      </c>
      <c r="C14854" s="7" t="n">
        <f aca="false">Sens!$C$14852/Sens!$C$14853</f>
        <v>0.744840024638574</v>
      </c>
    </row>
    <row r="14855" customFormat="false" ht="17.15" hidden="false" customHeight="false" outlineLevel="0" collapsed="false">
      <c r="A14855" s="1" t="s">
        <v>1227</v>
      </c>
      <c r="B14855" s="0" t="s">
        <v>98</v>
      </c>
      <c r="C14855" s="6" t="n">
        <f aca="false">Sens!$C$14853+cash_val-debt_val-fl_val+oai_v</f>
        <v>2466.37416370017</v>
      </c>
    </row>
    <row r="14856" customFormat="false" ht="17.15" hidden="false" customHeight="false" outlineLevel="0" collapsed="false">
      <c r="A14856" s="0" t="s">
        <v>1149</v>
      </c>
      <c r="B14856" s="0" t="s">
        <v>75</v>
      </c>
      <c r="C14856" s="5" t="n">
        <f aca="false">Sens!$C$14855/shd_val</f>
        <v>331.234778901447</v>
      </c>
    </row>
    <row r="14857" customFormat="false" ht="15" hidden="false" customHeight="false" outlineLevel="0" collapsed="false">
      <c r="A14857" s="1" t="s">
        <v>1228</v>
      </c>
      <c r="B14857" s="0" t="s">
        <v>75</v>
      </c>
      <c r="C14857" s="8" t="n">
        <f aca="false">div_rem27+CF!G31*roll_div_q/q_per_yr</f>
        <v>3.9795</v>
      </c>
    </row>
    <row r="14858" customFormat="false" ht="17.15" hidden="false" customHeight="false" outlineLevel="0" collapsed="false">
      <c r="A14858" s="0" t="s">
        <v>1229</v>
      </c>
      <c r="B14858" s="0" t="s">
        <v>75</v>
      </c>
      <c r="C14858" s="5" t="n">
        <f aca="false">Sens!$C$14856*(1+wacc)^t_roll-Sens!$C$14857</f>
        <v>364.206443208347</v>
      </c>
    </row>
    <row r="14859" customFormat="false" ht="17.15" hidden="false" customHeight="false" outlineLevel="0" collapsed="false">
      <c r="A14859" s="1" t="s">
        <v>1230</v>
      </c>
      <c r="B14859" s="0" t="s">
        <v>168</v>
      </c>
      <c r="F14859" s="7" t="n">
        <f aca="false">CF!F17/(Seg!F29-Thesis!F25)</f>
        <v>0.0685527305696859</v>
      </c>
      <c r="G14859" s="7" t="n">
        <f aca="false">CF!G17/(Seg!G29-Thesis!G25)</f>
        <v>0.0653567731599844</v>
      </c>
      <c r="H14859" s="7" t="n">
        <f aca="false">CF!H17/(Seg!H29-Thesis!H25)</f>
        <v>0.0636628841026972</v>
      </c>
      <c r="I14859" s="7" t="n">
        <f aca="false">CF!I17/(Seg!I29-Thesis!I25)</f>
        <v>0.0633581084335176</v>
      </c>
      <c r="J14859" s="7" t="n">
        <f aca="false">CF!J17/(Seg!J29-Thesis!J25)</f>
        <v>0.0640873955995062</v>
      </c>
      <c r="K14859" s="7" t="n">
        <f aca="false">CF!K17/(Seg!K29-Thesis!K25)</f>
        <v>0.0653962234835198</v>
      </c>
    </row>
    <row r="14860" customFormat="false" ht="17.15" hidden="false" customHeight="false" outlineLevel="0" collapsed="false">
      <c r="A14860" s="0" t="s">
        <v>1231</v>
      </c>
      <c r="B14860" s="0" t="s">
        <v>98</v>
      </c>
      <c r="F14860" s="6" t="n">
        <f aca="false">Seg!F14*(al_m365+Sens!F14859+sbc_r)</f>
        <v>84.5213906545575</v>
      </c>
      <c r="G14860" s="6" t="n">
        <f aca="false">Seg!G14*(al_m365+Sens!G14859+sbc_r)</f>
        <v>98.949983331796</v>
      </c>
      <c r="H14860" s="6" t="n">
        <f aca="false">Seg!H14*(al_m365+Sens!H14859+sbc_r)</f>
        <v>113.543734275326</v>
      </c>
      <c r="I14860" s="6" t="n">
        <f aca="false">Seg!I14*(al_m365+Sens!I14859+sbc_r)</f>
        <v>126.62058838692</v>
      </c>
      <c r="J14860" s="6" t="n">
        <f aca="false">Seg!J14*(al_m365+Sens!J14859+sbc_r)</f>
        <v>137.994660156303</v>
      </c>
      <c r="K14860" s="6" t="n">
        <f aca="false">Seg!K14*(al_m365+Sens!K14859+sbc_r)</f>
        <v>148.989224092997</v>
      </c>
      <c r="L14860" s="12" t="s">
        <v>1232</v>
      </c>
    </row>
    <row r="14861" customFormat="false" ht="17.15" hidden="false" customHeight="false" outlineLevel="0" collapsed="false">
      <c r="A14861" s="0" t="s">
        <v>1233</v>
      </c>
      <c r="B14861" s="0" t="s">
        <v>98</v>
      </c>
      <c r="F14861" s="6" t="n">
        <f aca="false">Seg!F15*(al_lic+Sens!F14859+sbc_r)</f>
        <v>32.855200196554</v>
      </c>
      <c r="G14861" s="6" t="n">
        <f aca="false">Seg!G15*(al_lic+Sens!G14859+sbc_r)</f>
        <v>34.1185582613282</v>
      </c>
      <c r="H14861" s="6" t="n">
        <f aca="false">Seg!H15*(al_lic+Sens!H14859+sbc_r)</f>
        <v>35.3024309363621</v>
      </c>
      <c r="I14861" s="6" t="n">
        <f aca="false">Seg!I15*(al_lic+Sens!I14859+sbc_r)</f>
        <v>36.3898468129533</v>
      </c>
      <c r="J14861" s="6" t="n">
        <f aca="false">Seg!J15*(al_lic+Sens!J14859+sbc_r)</f>
        <v>37.3529129529876</v>
      </c>
      <c r="K14861" s="6" t="n">
        <f aca="false">Seg!K15*(al_lic+Sens!K14859+sbc_r)</f>
        <v>38.158536171203</v>
      </c>
    </row>
    <row r="14862" customFormat="false" ht="17.15" hidden="false" customHeight="false" outlineLevel="0" collapsed="false">
      <c r="A14862" s="0" t="s">
        <v>1234</v>
      </c>
      <c r="B14862" s="0" t="s">
        <v>98</v>
      </c>
      <c r="F14862" s="6" t="n">
        <f aca="false">Seg!F17*(al_ind+Sens!F14859+sbc_r)</f>
        <v>9.05892547956683</v>
      </c>
      <c r="G14862" s="6" t="n">
        <f aca="false">Seg!G17*(al_ind+Sens!G14859+sbc_r)</f>
        <v>9.82456487622418</v>
      </c>
      <c r="H14862" s="6" t="n">
        <f aca="false">Seg!H17*(al_ind+Sens!H14859+sbc_r)</f>
        <v>10.6377408477959</v>
      </c>
      <c r="I14862" s="6" t="n">
        <f aca="false">Seg!I17*(al_ind+Sens!I14859+sbc_r)</f>
        <v>11.4966323260293</v>
      </c>
      <c r="J14862" s="6" t="n">
        <f aca="false">Seg!J17*(al_ind+Sens!J14859+sbc_r)</f>
        <v>12.3903660286279</v>
      </c>
      <c r="K14862" s="6" t="n">
        <f aca="false">Seg!K17*(al_ind+Sens!K14859+sbc_r)</f>
        <v>13.3009129057681</v>
      </c>
    </row>
    <row r="14863" customFormat="false" ht="17.15" hidden="false" customHeight="false" outlineLevel="0" collapsed="false">
      <c r="A14863" s="0" t="s">
        <v>1235</v>
      </c>
      <c r="B14863" s="0" t="s">
        <v>98</v>
      </c>
      <c r="F14863" s="6" t="n">
        <f aca="false">Seg!F19*(al_fro+Sens!F14859+sbc_r)</f>
        <v>3.55344443532423</v>
      </c>
      <c r="G14863" s="6" t="n">
        <f aca="false">Seg!G19*(al_fro+Sens!G14859+sbc_r)</f>
        <v>3.75916645971565</v>
      </c>
      <c r="H14863" s="6" t="n">
        <f aca="false">Seg!H19*(al_fro+Sens!H14859+sbc_r)</f>
        <v>3.994970960527</v>
      </c>
      <c r="I14863" s="6" t="n">
        <f aca="false">Seg!I19*(al_fro+Sens!I14859+sbc_r)</f>
        <v>4.26396270432353</v>
      </c>
      <c r="J14863" s="6" t="n">
        <f aca="false">Seg!J19*(al_fro+Sens!J14859+sbc_r)</f>
        <v>4.5667795874336</v>
      </c>
      <c r="K14863" s="6" t="n">
        <f aca="false">Seg!K19*(al_fro+Sens!K14859+sbc_r)</f>
        <v>4.90238443416026</v>
      </c>
    </row>
    <row r="14864" customFormat="false" ht="17.15" hidden="false" customHeight="false" outlineLevel="0" collapsed="false">
      <c r="A14864" s="0" t="s">
        <v>1236</v>
      </c>
      <c r="B14864" s="0" t="s">
        <v>98</v>
      </c>
      <c r="F14864" s="6" t="n">
        <f aca="false">Seg!F22*(al_srch+Sens!F14859+sbc_r)</f>
        <v>11.1872483445711</v>
      </c>
      <c r="G14864" s="6" t="n">
        <f aca="false">Seg!G22*(al_srch+Sens!G14859+sbc_r)</f>
        <v>12.247246048296</v>
      </c>
      <c r="H14864" s="6" t="n">
        <f aca="false">Seg!H22*(al_srch+Sens!H14859+sbc_r)</f>
        <v>13.3552870946193</v>
      </c>
      <c r="I14864" s="6" t="n">
        <f aca="false">Seg!I22*(al_srch+Sens!I14859+sbc_r)</f>
        <v>14.5024145321619</v>
      </c>
      <c r="J14864" s="6" t="n">
        <f aca="false">Seg!J22*(al_srch+Sens!J14859+sbc_r)</f>
        <v>15.667276660652</v>
      </c>
      <c r="K14864" s="6" t="n">
        <f aca="false">Seg!K22*(al_srch+Sens!K14859+sbc_r)</f>
        <v>16.8186381138719</v>
      </c>
    </row>
    <row r="14865" customFormat="false" ht="17.15" hidden="false" customHeight="false" outlineLevel="0" collapsed="false">
      <c r="A14865" s="0" t="s">
        <v>1237</v>
      </c>
      <c r="B14865" s="0" t="s">
        <v>98</v>
      </c>
      <c r="F14865" s="6" t="n">
        <f aca="false">Thesis!F31-Thesis!F32+Thesis!F47</f>
        <v>45.3782580567763</v>
      </c>
      <c r="G14865" s="6" t="n">
        <f aca="false">Thesis!G31-Thesis!G32+Thesis!G47</f>
        <v>91.0863367558165</v>
      </c>
      <c r="H14865" s="6" t="n">
        <f aca="false">Thesis!H31-Thesis!H32+Thesis!H47</f>
        <v>144.617532464853</v>
      </c>
      <c r="I14865" s="6" t="n">
        <f aca="false">Thesis!I31-Thesis!I32+Thesis!I47</f>
        <v>187.137304561304</v>
      </c>
      <c r="J14865" s="6" t="n">
        <f aca="false">Thesis!J31-Thesis!J32+Thesis!J47</f>
        <v>217.006854425907</v>
      </c>
      <c r="K14865" s="6" t="n">
        <f aca="false">Thesis!K31-Thesis!K32+Thesis!K47</f>
        <v>234.933637903877</v>
      </c>
    </row>
    <row r="14866" customFormat="false" ht="17.15" hidden="false" customHeight="false" outlineLevel="0" collapsed="false">
      <c r="A14866" s="0" t="s">
        <v>1238</v>
      </c>
      <c r="B14866" s="0" t="s">
        <v>98</v>
      </c>
      <c r="F14866" s="6" t="n">
        <f aca="false">PL!F32+Thesis!F47+Thesis!F43+Sens!F14859*(Seg!F21-Thesis!F25)+sbc_r*Seg!F21</f>
        <v>240.818167741339</v>
      </c>
      <c r="G14866" s="6" t="n">
        <f aca="false">PL!G32+Thesis!G47+Thesis!G43+Sens!G14859*(Seg!G21-Thesis!G25)+sbc_r*Seg!G21</f>
        <v>311.917784140952</v>
      </c>
      <c r="H14866" s="6" t="n">
        <f aca="false">PL!H32+Thesis!H47+Thesis!H43+Sens!H14859*(Seg!H21-Thesis!H25)+sbc_r*Seg!H21</f>
        <v>395.486245683473</v>
      </c>
      <c r="I14866" s="6" t="n">
        <f aca="false">PL!I32+Thesis!I47+Thesis!I43+Sens!I14859*(Seg!I21-Thesis!I25)+sbc_r*Seg!I21</f>
        <v>465.950805948377</v>
      </c>
      <c r="J14866" s="6" t="n">
        <f aca="false">PL!J32+Thesis!J47+Thesis!J43+Sens!J14859*(Seg!J21-Thesis!J25)+sbc_r*Seg!J21</f>
        <v>520.78677388057</v>
      </c>
      <c r="K14866" s="6" t="n">
        <f aca="false">PL!K32+Thesis!K47+Thesis!K43+Sens!K14859*(Seg!K21-Thesis!K25)+sbc_r*Seg!K21</f>
        <v>561.2469767412</v>
      </c>
    </row>
    <row r="14867" customFormat="false" ht="17.15" hidden="false" customHeight="false" outlineLevel="0" collapsed="false">
      <c r="A14867" s="0" t="s">
        <v>1239</v>
      </c>
      <c r="B14867" s="0" t="s">
        <v>98</v>
      </c>
      <c r="F14867" s="6" t="n">
        <f aca="false">Sens!F14866-Sens!F14860-Sens!F14861-Sens!F14862-Sens!F14863-Sens!F14865</f>
        <v>65.4509489185601</v>
      </c>
      <c r="G14867" s="6" t="n">
        <f aca="false">Sens!G14866-Sens!G14860-Sens!G14861-Sens!G14862-Sens!G14863-Sens!G14865</f>
        <v>74.1791744560715</v>
      </c>
      <c r="H14867" s="6" t="n">
        <f aca="false">Sens!H14866-Sens!H14860-Sens!H14861-Sens!H14862-Sens!H14863-Sens!H14865</f>
        <v>87.3898361986086</v>
      </c>
      <c r="I14867" s="6" t="n">
        <f aca="false">Sens!I14866-Sens!I14860-Sens!I14861-Sens!I14862-Sens!I14863-Sens!I14865</f>
        <v>100.042471156846</v>
      </c>
      <c r="J14867" s="6" t="n">
        <f aca="false">Sens!J14866-Sens!J14860-Sens!J14861-Sens!J14862-Sens!J14863-Sens!J14865</f>
        <v>111.475200729312</v>
      </c>
      <c r="K14867" s="6" t="n">
        <f aca="false">Sens!K14866-Sens!K14860-Sens!K14861-Sens!K14862-Sens!K14863-Sens!K14865</f>
        <v>120.962281233195</v>
      </c>
    </row>
    <row r="14868" customFormat="false" ht="17.15" hidden="false" customHeight="false" outlineLevel="0" collapsed="false">
      <c r="A14868" s="0" t="s">
        <v>1240</v>
      </c>
      <c r="B14868" s="0" t="s">
        <v>98</v>
      </c>
      <c r="F14868" s="6" t="n">
        <f aca="false">PL!F34+Sens!F14859*Seg!F28+sbc_r*Seg!F28</f>
        <v>26.6293388420472</v>
      </c>
      <c r="G14868" s="6" t="n">
        <f aca="false">PL!G34+Sens!G14859*Seg!G28+sbc_r*Seg!G28</f>
        <v>26.4405000412783</v>
      </c>
      <c r="H14868" s="6" t="n">
        <f aca="false">PL!H34+Sens!H14859*Seg!H28+sbc_r*Seg!H28</f>
        <v>27.296860059552</v>
      </c>
      <c r="I14868" s="6" t="n">
        <f aca="false">PL!I34+Sens!I14859*Seg!I28+sbc_r*Seg!I28</f>
        <v>28.3995465815703</v>
      </c>
      <c r="J14868" s="6" t="n">
        <f aca="false">PL!J34+Sens!J14859*Seg!J28+sbc_r*Seg!J28</f>
        <v>29.7093380975903</v>
      </c>
      <c r="K14868" s="6" t="n">
        <f aca="false">PL!K34+Sens!K14859*Seg!K28+sbc_r*Seg!K28</f>
        <v>31.1817775287323</v>
      </c>
    </row>
    <row r="14869" customFormat="false" ht="17.15" hidden="false" customHeight="false" outlineLevel="0" collapsed="false">
      <c r="A14869" s="0" t="s">
        <v>1241</v>
      </c>
      <c r="B14869" s="0" t="s">
        <v>98</v>
      </c>
      <c r="F14869" s="6" t="n">
        <f aca="false">(Sens!F14868-Sens!F14864)*Seg!F24/(Seg!F24+Seg!F26)</f>
        <v>8.72146908842971</v>
      </c>
      <c r="G14869" s="6" t="n">
        <f aca="false">(Sens!G14868-Sens!G14864)*Seg!G24/(Seg!G24+Seg!G26)</f>
        <v>7.87837655379173</v>
      </c>
      <c r="H14869" s="6" t="n">
        <f aca="false">(Sens!H14868-Sens!H14864)*Seg!H24/(Seg!H24+Seg!H26)</f>
        <v>7.63786170689933</v>
      </c>
      <c r="I14869" s="6" t="n">
        <f aca="false">(Sens!I14868-Sens!I14864)*Seg!I24/(Seg!I24+Seg!I26)</f>
        <v>7.5470606300581</v>
      </c>
      <c r="J14869" s="6" t="n">
        <f aca="false">(Sens!J14868-Sens!J14864)*Seg!J24/(Seg!J24+Seg!J26)</f>
        <v>7.59249600034024</v>
      </c>
      <c r="K14869" s="6" t="n">
        <f aca="false">(Sens!K14868-Sens!K14864)*Seg!K24/(Seg!K24+Seg!K26)</f>
        <v>7.76610179704742</v>
      </c>
    </row>
    <row r="14870" customFormat="false" ht="17.15" hidden="false" customHeight="false" outlineLevel="0" collapsed="false">
      <c r="A14870" s="0" t="s">
        <v>1242</v>
      </c>
      <c r="B14870" s="0" t="s">
        <v>98</v>
      </c>
      <c r="F14870" s="6" t="n">
        <f aca="false">Sens!F14868-Sens!F14864-Sens!F14869</f>
        <v>6.72062140904636</v>
      </c>
      <c r="G14870" s="6" t="n">
        <f aca="false">Sens!G14868-Sens!G14864-Sens!G14869</f>
        <v>6.31487743919059</v>
      </c>
      <c r="H14870" s="6" t="n">
        <f aca="false">Sens!H14868-Sens!H14864-Sens!H14869</f>
        <v>6.30371125803333</v>
      </c>
      <c r="I14870" s="6" t="n">
        <f aca="false">Sens!I14868-Sens!I14864-Sens!I14869</f>
        <v>6.35007141935025</v>
      </c>
      <c r="J14870" s="6" t="n">
        <f aca="false">Sens!J14868-Sens!J14864-Sens!J14869</f>
        <v>6.44956543659808</v>
      </c>
      <c r="K14870" s="6" t="n">
        <f aca="false">Sens!K14868-Sens!K14864-Sens!K14869</f>
        <v>6.597037617813</v>
      </c>
    </row>
    <row r="14871" customFormat="false" ht="17.15" hidden="false" customHeight="false" outlineLevel="0" collapsed="false">
      <c r="A14871" s="0" t="s">
        <v>1243</v>
      </c>
      <c r="B14871" s="0" t="s">
        <v>98</v>
      </c>
      <c r="F14871" s="6" t="n">
        <f aca="false">Sens!F14865-tax_f*(Sens!F14865-Thesis!F43)-Thesis!F40</f>
        <v>-125.235434701028</v>
      </c>
      <c r="G14871" s="6" t="n">
        <f aca="false">Sens!G14865-tax_f*(Sens!G14865-Thesis!G43)-Thesis!G40</f>
        <v>-106.928508113935</v>
      </c>
      <c r="H14871" s="6" t="n">
        <f aca="false">Sens!H14865-tax_f*(Sens!H14865-Thesis!H43)-Thesis!H40</f>
        <v>-63.2919599603405</v>
      </c>
      <c r="I14871" s="6" t="n">
        <f aca="false">Sens!I14865-tax_f*(Sens!I14865-Thesis!I43)-Thesis!I40</f>
        <v>3.94121196634245</v>
      </c>
      <c r="J14871" s="6" t="n">
        <f aca="false">Sens!J14865-tax_f*(Sens!J14865-Thesis!J43)-Thesis!J40</f>
        <v>71.0786869547042</v>
      </c>
      <c r="K14871" s="6" t="n">
        <f aca="false">Sens!K14865-tax_f*(Sens!K14865-Thesis!K43)-Thesis!K40</f>
        <v>97.5865911685559</v>
      </c>
    </row>
    <row r="14872" customFormat="false" ht="17.15" hidden="false" customHeight="false" outlineLevel="0" collapsed="false">
      <c r="A14872" s="0" t="s">
        <v>1244</v>
      </c>
      <c r="B14872" s="0" t="s">
        <v>98</v>
      </c>
      <c r="G14872" s="6" t="n">
        <f aca="false">Sens!G14871/(1+wacc)^(Sens!G14842-Sens!F14843)</f>
        <v>-101.81651667568</v>
      </c>
      <c r="H14872" s="6" t="n">
        <f aca="false">Sens!H14871/(1+wacc)^(Sens!H14842-Sens!F14843)</f>
        <v>-54.6415143556151</v>
      </c>
      <c r="I14872" s="6" t="n">
        <f aca="false">Sens!I14871/(1+wacc)^(Sens!I14842-Sens!F14843)</f>
        <v>3.08498765169516</v>
      </c>
      <c r="J14872" s="6" t="n">
        <f aca="false">Sens!J14871/(1+wacc)^(Sens!J14842-Sens!F14843)</f>
        <v>50.4443451596971</v>
      </c>
      <c r="K14872" s="6" t="n">
        <f aca="false">Sens!K14871/(1+wacc)^(Sens!K14842-Sens!F14843)</f>
        <v>62.7932114544856</v>
      </c>
      <c r="L14872" s="1" t="s">
        <v>1245</v>
      </c>
    </row>
    <row r="14873" customFormat="false" ht="17.15" hidden="false" customHeight="false" outlineLevel="0" collapsed="false">
      <c r="A14873" s="0" t="s">
        <v>1246</v>
      </c>
      <c r="B14873" s="0" t="s">
        <v>98</v>
      </c>
      <c r="C14873" s="6" t="n">
        <f aca="false">(Sens!K14865-Thesis!K43)*(1-tax_f)*(1+g_tv)*(1-g_tv/(wacc+ronic_prem))/(wacc-g_tv)/(1+wacc)^(Sens!K14843-Sens!F14843)</f>
        <v>450.836735002813</v>
      </c>
    </row>
    <row r="14874" customFormat="false" ht="17.15" hidden="false" customHeight="false" outlineLevel="0" collapsed="false">
      <c r="A14874" s="1" t="s">
        <v>1247</v>
      </c>
      <c r="B14874" s="0" t="s">
        <v>98</v>
      </c>
      <c r="C14874" s="6" t="n">
        <f aca="false">(SUM(Sens!G14872:K14872)+Sens!$C$14873)*(1+wacc)^(t_roll-Sens!F14843)</f>
        <v>424.259738494477</v>
      </c>
      <c r="L14874" s="12" t="s">
        <v>1248</v>
      </c>
    </row>
    <row r="14875" customFormat="false" ht="17.15" hidden="false" customHeight="false" outlineLevel="0" collapsed="false">
      <c r="A14875" s="1" t="s">
        <v>1249</v>
      </c>
      <c r="B14875" s="0" t="s">
        <v>98</v>
      </c>
      <c r="C14875" s="6" t="n">
        <f aca="false">(w_ntm28*Thesis!G31+(1-w_ntm28)*Thesis!H31)*m_ai*0.8</f>
        <v>450.653474606935</v>
      </c>
    </row>
    <row r="14876" customFormat="false" ht="17.15" hidden="false" customHeight="false" outlineLevel="0" collapsed="false">
      <c r="A14876" s="1" t="s">
        <v>1250</v>
      </c>
      <c r="B14876" s="0" t="s">
        <v>98</v>
      </c>
      <c r="C14876" s="6" t="n">
        <f aca="false">(w_ntm28*Sens!G14867+(1-w_ntm28)*Sens!H14867)*m_cloud*0.8</f>
        <v>868.143717572789</v>
      </c>
    </row>
    <row r="14877" customFormat="false" ht="17.15" hidden="false" customHeight="false" outlineLevel="0" collapsed="false">
      <c r="A14877" s="1" t="s">
        <v>1251</v>
      </c>
      <c r="B14877" s="0" t="s">
        <v>98</v>
      </c>
      <c r="C14877" s="6" t="n">
        <f aca="false">(w_ntm28*Sens!G14860+(1-w_ntm28)*Sens!H14860)*m_sw*0.8</f>
        <v>896.382105242201</v>
      </c>
    </row>
    <row r="14878" customFormat="false" ht="17.15" hidden="false" customHeight="false" outlineLevel="0" collapsed="false">
      <c r="A14878" s="1" t="s">
        <v>1252</v>
      </c>
      <c r="B14878" s="0" t="s">
        <v>98</v>
      </c>
      <c r="C14878" s="6" t="n">
        <f aca="false">(w_ntm28*Sens!G14861+(1-w_ntm28)*Sens!H14861)*m_sw*0.8</f>
        <v>298.147190472328</v>
      </c>
    </row>
    <row r="14879" customFormat="false" ht="17.15" hidden="false" customHeight="false" outlineLevel="0" collapsed="false">
      <c r="A14879" s="1" t="s">
        <v>1253</v>
      </c>
      <c r="B14879" s="0" t="s">
        <v>98</v>
      </c>
      <c r="C14879" s="6" t="n">
        <f aca="false">(w_ntm28*Sens!G14862+(1-w_ntm28)*Sens!H14862)*m_sw*0.8</f>
        <v>87.1941058657153</v>
      </c>
    </row>
    <row r="14880" customFormat="false" ht="17.15" hidden="false" customHeight="false" outlineLevel="0" collapsed="false">
      <c r="A14880" s="1" t="s">
        <v>1254</v>
      </c>
      <c r="B14880" s="0" t="s">
        <v>98</v>
      </c>
      <c r="C14880" s="6" t="n">
        <f aca="false">(w_ntm28*Sens!G14863+(1-w_ntm28)*Sens!H14863)*m_sw*0.8</f>
        <v>33.1490122021931</v>
      </c>
    </row>
    <row r="14881" customFormat="false" ht="17.15" hidden="false" customHeight="false" outlineLevel="0" collapsed="false">
      <c r="A14881" s="1" t="s">
        <v>1255</v>
      </c>
      <c r="B14881" s="0" t="s">
        <v>98</v>
      </c>
      <c r="C14881" s="6" t="n">
        <f aca="false">(w_ntm28*Sens!G14864+(1-w_ntm28)*Sens!H14864)*m_ads*0.8</f>
        <v>91.9128562615498</v>
      </c>
    </row>
    <row r="14882" customFormat="false" ht="17.15" hidden="false" customHeight="false" outlineLevel="0" collapsed="false">
      <c r="A14882" s="1" t="s">
        <v>1256</v>
      </c>
      <c r="B14882" s="0" t="s">
        <v>98</v>
      </c>
      <c r="C14882" s="6" t="n">
        <f aca="false">(w_ntm28*Sens!G14869+(1-w_ntm28)*Sens!H14869)*m_game*0.8</f>
        <v>78.8041593253744</v>
      </c>
    </row>
    <row r="14883" customFormat="false" ht="17.15" hidden="false" customHeight="false" outlineLevel="0" collapsed="false">
      <c r="A14883" s="1" t="s">
        <v>1257</v>
      </c>
      <c r="B14883" s="0" t="s">
        <v>98</v>
      </c>
      <c r="C14883" s="6" t="n">
        <f aca="false">(w_ntm28*Sens!G14870+(1-w_ntm28)*Sens!H14870)*m_pc*0.8</f>
        <v>73.0585248920451</v>
      </c>
    </row>
    <row r="14884" customFormat="false" ht="17.15" hidden="false" customHeight="false" outlineLevel="0" collapsed="false">
      <c r="A14884" s="1" t="s">
        <v>1258</v>
      </c>
      <c r="B14884" s="0" t="s">
        <v>98</v>
      </c>
      <c r="C14884" s="6" t="n">
        <f aca="false">Sens!$C$14874+Sens!$C$14876+Sens!$C$14877+Sens!$C$14878+Sens!$C$14879+Sens!$C$14880+Sens!$C$14881+Sens!$C$14882+Sens!$C$14883</f>
        <v>2851.05141032867</v>
      </c>
    </row>
    <row r="14885" customFormat="false" ht="17.15" hidden="false" customHeight="false" outlineLevel="0" collapsed="false">
      <c r="A14885" s="1" t="s">
        <v>1259</v>
      </c>
      <c r="B14885" s="0" t="s">
        <v>98</v>
      </c>
      <c r="C14885" s="6" t="n">
        <f aca="false">(Sens!G14846-Sens!G14871)*t_stub</f>
        <v>48.2832931160316</v>
      </c>
      <c r="L14885" s="1" t="s">
        <v>1260</v>
      </c>
    </row>
    <row r="14886" customFormat="false" ht="17.15" hidden="false" customHeight="false" outlineLevel="0" collapsed="false">
      <c r="A14886" s="1" t="s">
        <v>1169</v>
      </c>
      <c r="B14886" s="0" t="s">
        <v>98</v>
      </c>
      <c r="C14886" s="6" t="n">
        <f aca="false">CF!F39+oai_v-CF!F28+Sens!$C$14885</f>
        <v>162.511563116032</v>
      </c>
      <c r="L14886" s="1" t="s">
        <v>1261</v>
      </c>
    </row>
    <row r="14887" customFormat="false" ht="17.15" hidden="false" customHeight="false" outlineLevel="0" collapsed="false">
      <c r="A14887" s="1" t="s">
        <v>1262</v>
      </c>
      <c r="B14887" s="0" t="s">
        <v>75</v>
      </c>
      <c r="C14887" s="5" t="n">
        <f aca="false">(Sens!$C$14884+Sens!$C$14886)/(CF!F41+dil_gap)-CF!G31*roll_div_q/q_per_yr</f>
        <v>401.291101444438</v>
      </c>
      <c r="L14887" s="1" t="s">
        <v>1263</v>
      </c>
    </row>
    <row r="14888" customFormat="false" ht="17.15" hidden="false" customHeight="false" outlineLevel="0" collapsed="false">
      <c r="A14888" s="1" t="s">
        <v>1264</v>
      </c>
      <c r="B14888" s="0" t="s">
        <v>75</v>
      </c>
      <c r="C14888" s="5" t="n">
        <f aca="false">w_dcf*Sens!$C$14858+(1-w_dcf)*Sens!$C$14887</f>
        <v>382.748772326393</v>
      </c>
    </row>
    <row r="14889" customFormat="false" ht="17.15" hidden="false" customHeight="false" outlineLevel="0" collapsed="false">
      <c r="A14889" s="3" t="s">
        <v>1847</v>
      </c>
    </row>
    <row r="14890" customFormat="false" ht="15" hidden="false" customHeight="false" outlineLevel="0" collapsed="false">
      <c r="A14890" s="4" t="s">
        <v>43</v>
      </c>
      <c r="B14890" s="4" t="s">
        <v>65</v>
      </c>
      <c r="C14890" s="23" t="s">
        <v>938</v>
      </c>
      <c r="D14890" s="23" t="s">
        <v>939</v>
      </c>
      <c r="E14890" s="23" t="s">
        <v>940</v>
      </c>
      <c r="F14890" s="23" t="s">
        <v>941</v>
      </c>
      <c r="G14890" s="23" t="s">
        <v>942</v>
      </c>
      <c r="H14890" s="23" t="s">
        <v>943</v>
      </c>
      <c r="I14890" s="23" t="s">
        <v>944</v>
      </c>
      <c r="J14890" s="23" t="s">
        <v>945</v>
      </c>
      <c r="K14890" s="23" t="s">
        <v>946</v>
      </c>
      <c r="L14890" s="4" t="s">
        <v>47</v>
      </c>
    </row>
    <row r="14891" customFormat="false" ht="17.15" hidden="false" customHeight="false" outlineLevel="0" collapsed="false">
      <c r="A14891" s="1" t="s">
        <v>1212</v>
      </c>
      <c r="B14891" s="1" t="s">
        <v>279</v>
      </c>
      <c r="F14891" s="8" t="n">
        <f aca="false">(1-v_off)*mid_yr</f>
        <v>0.373972602739726</v>
      </c>
      <c r="G14891" s="8" t="n">
        <f aca="false">Thesis!G58-base_fy-mid_yr-v_off</f>
        <v>1.24794520547945</v>
      </c>
      <c r="H14891" s="8" t="n">
        <f aca="false">Thesis!H58-base_fy-mid_yr-v_off</f>
        <v>2.24794520547945</v>
      </c>
      <c r="I14891" s="8" t="n">
        <f aca="false">Thesis!I58-base_fy-mid_yr-v_off</f>
        <v>3.24794520547945</v>
      </c>
      <c r="J14891" s="8" t="n">
        <f aca="false">Thesis!J58-base_fy-mid_yr-v_off</f>
        <v>4.24794520547945</v>
      </c>
      <c r="K14891" s="8" t="n">
        <f aca="false">Thesis!K58-base_fy-mid_yr-v_off</f>
        <v>5.24794520547945</v>
      </c>
      <c r="L14891" s="12" t="s">
        <v>1213</v>
      </c>
    </row>
    <row r="14892" customFormat="false" ht="15" hidden="false" customHeight="false" outlineLevel="0" collapsed="false">
      <c r="A14892" s="1" t="s">
        <v>1214</v>
      </c>
      <c r="B14892" s="1" t="s">
        <v>279</v>
      </c>
      <c r="F14892" s="8" t="n">
        <f aca="false">Thesis!F58-base_fy-v_off</f>
        <v>0.747945205479452</v>
      </c>
      <c r="G14892" s="8" t="n">
        <f aca="false">Thesis!G58-base_fy-v_off</f>
        <v>1.74794520547945</v>
      </c>
      <c r="H14892" s="8" t="n">
        <f aca="false">Thesis!H58-base_fy-v_off</f>
        <v>2.74794520547945</v>
      </c>
      <c r="I14892" s="8" t="n">
        <f aca="false">Thesis!I58-base_fy-v_off</f>
        <v>3.74794520547945</v>
      </c>
      <c r="J14892" s="8" t="n">
        <f aca="false">Thesis!J58-base_fy-v_off</f>
        <v>4.74794520547945</v>
      </c>
      <c r="K14892" s="8" t="n">
        <f aca="false">Thesis!K58-base_fy-v_off</f>
        <v>5.74794520547945</v>
      </c>
    </row>
    <row r="14893" customFormat="false" ht="15" hidden="false" customHeight="false" outlineLevel="0" collapsed="false">
      <c r="A14893" s="1" t="s">
        <v>1215</v>
      </c>
      <c r="B14893" s="0" t="s">
        <v>229</v>
      </c>
      <c r="F14893" s="15" t="n">
        <f aca="false">1/(1+wacc)^Sens!F14891</f>
        <v>0.964022703286649</v>
      </c>
      <c r="G14893" s="15" t="n">
        <f aca="false">1/(1+wacc)^Sens!G14891</f>
        <v>0.884910302296739</v>
      </c>
      <c r="H14893" s="15" t="n">
        <f aca="false">1/(1+wacc)^Sens!H14891</f>
        <v>0.802322009770358</v>
      </c>
      <c r="I14893" s="15" t="n">
        <f aca="false">1/(1+wacc)^Sens!I14891</f>
        <v>0.727441646561469</v>
      </c>
      <c r="J14893" s="15" t="n">
        <f aca="false">1/(1+wacc)^Sens!J14891</f>
        <v>0.659549834988973</v>
      </c>
      <c r="K14893" s="15" t="n">
        <f aca="false">1/(1+wacc)^Sens!K14891</f>
        <v>0.597994336576966</v>
      </c>
    </row>
    <row r="14894" customFormat="false" ht="17.15" hidden="false" customHeight="false" outlineLevel="0" collapsed="false">
      <c r="A14894" s="1" t="s">
        <v>1216</v>
      </c>
      <c r="B14894" s="0" t="s">
        <v>98</v>
      </c>
      <c r="F14894" s="6" t="n">
        <f aca="false">Q!$I$35-Q!$I$39-Q!$I$43</f>
        <v>9.666</v>
      </c>
      <c r="L14894" s="12" t="s">
        <v>1217</v>
      </c>
    </row>
    <row r="14895" customFormat="false" ht="17.15" hidden="false" customHeight="false" outlineLevel="0" collapsed="false">
      <c r="A14895" s="1" t="s">
        <v>1218</v>
      </c>
      <c r="B14895" s="0" t="s">
        <v>98</v>
      </c>
      <c r="F14895" s="6" t="n">
        <f aca="false">CF!F55-CF!F52-CF!F59+Thesis!F99*(1-tax_f)*(1-v_off)-Sens!F14894</f>
        <v>-3.35959137570949</v>
      </c>
      <c r="G14895" s="6" t="n">
        <f aca="false">CF!G55-CF!G52-CF!G59+Thesis!G99*(1-tax_f)</f>
        <v>29.8084555066036</v>
      </c>
      <c r="H14895" s="6" t="n">
        <f aca="false">CF!H55-CF!H52-CF!H59+Thesis!H99*(1-tax_f)</f>
        <v>79.3231801478051</v>
      </c>
      <c r="I14895" s="6" t="n">
        <f aca="false">CF!I55-CF!I52-CF!I59+Thesis!I99*(1-tax_f)</f>
        <v>157.29132812061</v>
      </c>
      <c r="J14895" s="6" t="n">
        <f aca="false">CF!J55-CF!J52-CF!J59+Thesis!J99*(1-tax_f)</f>
        <v>235.537601843622</v>
      </c>
      <c r="K14895" s="6" t="n">
        <f aca="false">CF!K55-CF!K52-CF!K59+Thesis!K99*(1-tax_f)</f>
        <v>273.705067207806</v>
      </c>
      <c r="L14895" s="1" t="s">
        <v>1219</v>
      </c>
    </row>
    <row r="14896" customFormat="false" ht="15" hidden="false" customHeight="false" outlineLevel="0" collapsed="false">
      <c r="A14896" s="1" t="s">
        <v>1220</v>
      </c>
      <c r="B14896" s="0" t="s">
        <v>98</v>
      </c>
      <c r="F14896" s="6" t="n">
        <f aca="false">Sens!F14895*Sens!F14893</f>
        <v>-3.23872235994998</v>
      </c>
      <c r="G14896" s="6" t="n">
        <f aca="false">Sens!G14895*Sens!G14893</f>
        <v>26.3778093733475</v>
      </c>
      <c r="H14896" s="6" t="n">
        <f aca="false">Sens!H14895*Sens!H14893</f>
        <v>63.6427333175632</v>
      </c>
      <c r="I14896" s="6" t="n">
        <f aca="false">Sens!I14895*Sens!I14893</f>
        <v>114.420262717897</v>
      </c>
      <c r="J14896" s="6" t="n">
        <f aca="false">Sens!J14895*Sens!J14893</f>
        <v>155.348786429659</v>
      </c>
      <c r="K14896" s="6" t="n">
        <f aca="false">Sens!K14895*Sens!K14893</f>
        <v>163.674080082686</v>
      </c>
    </row>
    <row r="14897" customFormat="false" ht="17.15" hidden="false" customHeight="false" outlineLevel="0" collapsed="false">
      <c r="A14897" s="1" t="s">
        <v>1221</v>
      </c>
      <c r="B14897" s="0" t="s">
        <v>98</v>
      </c>
      <c r="C14897" s="6" t="n">
        <f aca="false">SUM(Sens!F14896:K14896)</f>
        <v>520.224949561203</v>
      </c>
    </row>
    <row r="14898" customFormat="false" ht="17.15" hidden="false" customHeight="false" outlineLevel="0" collapsed="false">
      <c r="A14898" s="1" t="s">
        <v>1222</v>
      </c>
      <c r="B14898" s="0" t="s">
        <v>98</v>
      </c>
      <c r="C14898" s="6" t="n">
        <f aca="false">PL!K78*(1+g_tv)*(1-tax_f)</f>
        <v>284.979534119394</v>
      </c>
    </row>
    <row r="14899" customFormat="false" ht="17.15" hidden="false" customHeight="false" outlineLevel="0" collapsed="false">
      <c r="A14899" s="1" t="s">
        <v>1223</v>
      </c>
      <c r="B14899" s="0" t="s">
        <v>98</v>
      </c>
      <c r="C14899" s="6" t="n">
        <f aca="false">Sens!$C$14898*(1-g_tv/(wacc+ronic_prem))</f>
        <v>201.924655916751</v>
      </c>
    </row>
    <row r="14900" customFormat="false" ht="17.15" hidden="false" customHeight="false" outlineLevel="0" collapsed="false">
      <c r="A14900" s="1" t="s">
        <v>1224</v>
      </c>
      <c r="B14900" s="0" t="s">
        <v>98</v>
      </c>
      <c r="C14900" s="6" t="n">
        <f aca="false">Sens!$C$14899/(wacc-g_tv)</f>
        <v>2768.49594008808</v>
      </c>
    </row>
    <row r="14901" customFormat="false" ht="15" hidden="false" customHeight="false" outlineLevel="0" collapsed="false">
      <c r="A14901" s="1" t="s">
        <v>1225</v>
      </c>
      <c r="B14901" s="0" t="s">
        <v>98</v>
      </c>
      <c r="C14901" s="6" t="n">
        <f aca="false">Sens!$C$14900/(1+wacc)^Sens!K14892</f>
        <v>1576.39732546142</v>
      </c>
    </row>
    <row r="14902" customFormat="false" ht="17.15" hidden="false" customHeight="false" outlineLevel="0" collapsed="false">
      <c r="A14902" s="0" t="s">
        <v>1226</v>
      </c>
      <c r="B14902" s="0" t="s">
        <v>98</v>
      </c>
      <c r="C14902" s="6" t="n">
        <f aca="false">Sens!$C$14897+Sens!$C$14901</f>
        <v>2096.62227502262</v>
      </c>
    </row>
    <row r="14903" customFormat="false" ht="15" hidden="false" customHeight="false" outlineLevel="0" collapsed="false">
      <c r="A14903" s="1" t="s">
        <v>1141</v>
      </c>
      <c r="B14903" s="0" t="s">
        <v>168</v>
      </c>
      <c r="C14903" s="7" t="n">
        <f aca="false">Sens!$C$14901/Sens!$C$14902</f>
        <v>0.751874738831729</v>
      </c>
    </row>
    <row r="14904" customFormat="false" ht="17.15" hidden="false" customHeight="false" outlineLevel="0" collapsed="false">
      <c r="A14904" s="1" t="s">
        <v>1227</v>
      </c>
      <c r="B14904" s="0" t="s">
        <v>98</v>
      </c>
      <c r="C14904" s="6" t="n">
        <f aca="false">Sens!$C$14902+cash_val-debt_val-fl_val+oai_v</f>
        <v>2212.47327502262</v>
      </c>
    </row>
    <row r="14905" customFormat="false" ht="17.15" hidden="false" customHeight="false" outlineLevel="0" collapsed="false">
      <c r="A14905" s="0" t="s">
        <v>1149</v>
      </c>
      <c r="B14905" s="0" t="s">
        <v>75</v>
      </c>
      <c r="C14905" s="5" t="n">
        <f aca="false">Sens!$C$14904/shd_val</f>
        <v>297.13581453433</v>
      </c>
    </row>
    <row r="14906" customFormat="false" ht="15" hidden="false" customHeight="false" outlineLevel="0" collapsed="false">
      <c r="A14906" s="1" t="s">
        <v>1228</v>
      </c>
      <c r="B14906" s="0" t="s">
        <v>75</v>
      </c>
      <c r="C14906" s="8" t="n">
        <f aca="false">div_rem27+CF!G63*roll_div_q/q_per_yr</f>
        <v>3.9795</v>
      </c>
    </row>
    <row r="14907" customFormat="false" ht="17.15" hidden="false" customHeight="false" outlineLevel="0" collapsed="false">
      <c r="A14907" s="0" t="s">
        <v>1229</v>
      </c>
      <c r="B14907" s="0" t="s">
        <v>75</v>
      </c>
      <c r="C14907" s="5" t="n">
        <f aca="false">Sens!$C$14905*(1+wacc)^t_roll-Sens!$C$14906</f>
        <v>326.303541225732</v>
      </c>
    </row>
    <row r="14908" customFormat="false" ht="17.15" hidden="false" customHeight="false" outlineLevel="0" collapsed="false">
      <c r="A14908" s="1" t="s">
        <v>1230</v>
      </c>
      <c r="B14908" s="0" t="s">
        <v>168</v>
      </c>
      <c r="F14908" s="7" t="n">
        <f aca="false">CF!F49/(Seg!F56-Thesis!F77)</f>
        <v>0.0686195668908011</v>
      </c>
      <c r="G14908" s="7" t="n">
        <f aca="false">CF!G49/(Seg!G56-Thesis!G77)</f>
        <v>0.0658333569148391</v>
      </c>
      <c r="H14908" s="7" t="n">
        <f aca="false">CF!H49/(Seg!H56-Thesis!H77)</f>
        <v>0.0643895625218926</v>
      </c>
      <c r="I14908" s="7" t="n">
        <f aca="false">CF!I49/(Seg!I56-Thesis!I77)</f>
        <v>0.0641676618157989</v>
      </c>
      <c r="J14908" s="7" t="n">
        <f aca="false">CF!J49/(Seg!J56-Thesis!J77)</f>
        <v>0.0648858606572163</v>
      </c>
      <c r="K14908" s="7" t="n">
        <f aca="false">CF!K49/(Seg!K56-Thesis!K77)</f>
        <v>0.0661974425163768</v>
      </c>
    </row>
    <row r="14909" customFormat="false" ht="17.15" hidden="false" customHeight="false" outlineLevel="0" collapsed="false">
      <c r="A14909" s="0" t="s">
        <v>1231</v>
      </c>
      <c r="B14909" s="0" t="s">
        <v>98</v>
      </c>
      <c r="F14909" s="6" t="n">
        <f aca="false">Seg!F41*(al_m365+Sens!F14908+sbc_r)</f>
        <v>83.7205619248671</v>
      </c>
      <c r="G14909" s="6" t="n">
        <f aca="false">Seg!G41*(al_m365+Sens!G14908+sbc_r)</f>
        <v>96.1301303332381</v>
      </c>
      <c r="H14909" s="6" t="n">
        <f aca="false">Seg!H41*(al_m365+Sens!H14908+sbc_r)</f>
        <v>108.70354073822</v>
      </c>
      <c r="I14909" s="6" t="n">
        <f aca="false">Seg!I41*(al_m365+Sens!I14908+sbc_r)</f>
        <v>120.260101315626</v>
      </c>
      <c r="J14909" s="6" t="n">
        <f aca="false">Seg!J41*(al_m365+Sens!J14908+sbc_r)</f>
        <v>130.611904548619</v>
      </c>
      <c r="K14909" s="6" t="n">
        <f aca="false">Seg!K41*(al_m365+Sens!K14908+sbc_r)</f>
        <v>140.575094974638</v>
      </c>
      <c r="L14909" s="12" t="s">
        <v>1232</v>
      </c>
    </row>
    <row r="14910" customFormat="false" ht="17.15" hidden="false" customHeight="false" outlineLevel="0" collapsed="false">
      <c r="A14910" s="0" t="s">
        <v>1233</v>
      </c>
      <c r="B14910" s="0" t="s">
        <v>98</v>
      </c>
      <c r="F14910" s="6" t="n">
        <f aca="false">Seg!F42*(al_lic+Sens!F14908+sbc_r)</f>
        <v>32.8577657183496</v>
      </c>
      <c r="G14910" s="6" t="n">
        <f aca="false">Seg!G42*(al_lic+Sens!G14908+sbc_r)</f>
        <v>34.1376266324889</v>
      </c>
      <c r="H14910" s="6" t="n">
        <f aca="false">Seg!H42*(al_lic+Sens!H14908+sbc_r)</f>
        <v>35.3325744664128</v>
      </c>
      <c r="I14910" s="6" t="n">
        <f aca="false">Seg!I42*(al_lic+Sens!I14908+sbc_r)</f>
        <v>36.4244749008727</v>
      </c>
      <c r="J14910" s="6" t="n">
        <f aca="false">Seg!J42*(al_lic+Sens!J14908+sbc_r)</f>
        <v>37.3879406068527</v>
      </c>
      <c r="K14910" s="6" t="n">
        <f aca="false">Seg!K42*(al_lic+Sens!K14908+sbc_r)</f>
        <v>38.1943876078259</v>
      </c>
    </row>
    <row r="14911" customFormat="false" ht="17.15" hidden="false" customHeight="false" outlineLevel="0" collapsed="false">
      <c r="A14911" s="0" t="s">
        <v>1234</v>
      </c>
      <c r="B14911" s="0" t="s">
        <v>98</v>
      </c>
      <c r="F14911" s="6" t="n">
        <f aca="false">Seg!F44*(al_ind+Sens!F14908+sbc_r)</f>
        <v>9.06041701092022</v>
      </c>
      <c r="G14911" s="6" t="n">
        <f aca="false">Seg!G44*(al_ind+Sens!G14908+sbc_r)</f>
        <v>9.83619082712885</v>
      </c>
      <c r="H14911" s="6" t="n">
        <f aca="false">Seg!H44*(al_ind+Sens!H14908+sbc_r)</f>
        <v>10.6570160105312</v>
      </c>
      <c r="I14911" s="6" t="n">
        <f aca="false">Seg!I44*(al_ind+Sens!I14908+sbc_r)</f>
        <v>11.5198571637125</v>
      </c>
      <c r="J14911" s="6" t="n">
        <f aca="false">Seg!J44*(al_ind+Sens!J14908+sbc_r)</f>
        <v>12.4150086539206</v>
      </c>
      <c r="K14911" s="6" t="n">
        <f aca="false">Seg!K44*(al_ind+Sens!K14908+sbc_r)</f>
        <v>13.3273714589988</v>
      </c>
    </row>
    <row r="14912" customFormat="false" ht="17.15" hidden="false" customHeight="false" outlineLevel="0" collapsed="false">
      <c r="A14912" s="0" t="s">
        <v>1235</v>
      </c>
      <c r="B14912" s="0" t="s">
        <v>98</v>
      </c>
      <c r="F14912" s="6" t="n">
        <f aca="false">Seg!F46*(al_fro+Sens!F14908+sbc_r)</f>
        <v>3.55402950182022</v>
      </c>
      <c r="G14912" s="6" t="n">
        <f aca="false">Seg!G46*(al_fro+Sens!G14908+sbc_r)</f>
        <v>3.76361488926481</v>
      </c>
      <c r="H14912" s="6" t="n">
        <f aca="false">Seg!H46*(al_fro+Sens!H14908+sbc_r)</f>
        <v>4.00220968879544</v>
      </c>
      <c r="I14912" s="6" t="n">
        <f aca="false">Seg!I46*(al_fro+Sens!I14908+sbc_r)</f>
        <v>4.2725765173852</v>
      </c>
      <c r="J14912" s="6" t="n">
        <f aca="false">Seg!J46*(al_fro+Sens!J14908+sbc_r)</f>
        <v>4.57586224390293</v>
      </c>
      <c r="K14912" s="6" t="n">
        <f aca="false">Seg!K46*(al_fro+Sens!K14908+sbc_r)</f>
        <v>4.91213639633217</v>
      </c>
    </row>
    <row r="14913" customFormat="false" ht="17.15" hidden="false" customHeight="false" outlineLevel="0" collapsed="false">
      <c r="A14913" s="0" t="s">
        <v>1236</v>
      </c>
      <c r="B14913" s="0" t="s">
        <v>98</v>
      </c>
      <c r="F14913" s="6" t="n">
        <f aca="false">Seg!F49*(al_srch+Sens!F14908+sbc_r)</f>
        <v>11.1890902994147</v>
      </c>
      <c r="G14913" s="6" t="n">
        <f aca="false">Seg!G49*(al_srch+Sens!G14908+sbc_r)</f>
        <v>12.261738891803</v>
      </c>
      <c r="H14913" s="6" t="n">
        <f aca="false">Seg!H49*(al_srch+Sens!H14908+sbc_r)</f>
        <v>13.3794863429193</v>
      </c>
      <c r="I14913" s="6" t="n">
        <f aca="false">Seg!I49*(al_srch+Sens!I14908+sbc_r)</f>
        <v>14.5317114787784</v>
      </c>
      <c r="J14913" s="6" t="n">
        <f aca="false">Seg!J49*(al_srch+Sens!J14908+sbc_r)</f>
        <v>15.6984365817724</v>
      </c>
      <c r="K14913" s="6" t="n">
        <f aca="false">Seg!K49*(al_srch+Sens!K14908+sbc_r)</f>
        <v>16.8520942258664</v>
      </c>
    </row>
    <row r="14914" customFormat="false" ht="17.15" hidden="false" customHeight="false" outlineLevel="0" collapsed="false">
      <c r="A14914" s="0" t="s">
        <v>1237</v>
      </c>
      <c r="B14914" s="0" t="s">
        <v>98</v>
      </c>
      <c r="F14914" s="6" t="n">
        <f aca="false">Thesis!F83-Thesis!F84+Thesis!F99</f>
        <v>42.5431090240393</v>
      </c>
      <c r="G14914" s="6" t="n">
        <f aca="false">Thesis!G83-Thesis!G84+Thesis!G99</f>
        <v>81.4922561130847</v>
      </c>
      <c r="H14914" s="6" t="n">
        <f aca="false">Thesis!H83-Thesis!H84+Thesis!H99</f>
        <v>123.278266211349</v>
      </c>
      <c r="I14914" s="6" t="n">
        <f aca="false">Thesis!I83-Thesis!I84+Thesis!I99</f>
        <v>160.60594185192</v>
      </c>
      <c r="J14914" s="6" t="n">
        <f aca="false">Thesis!J83-Thesis!J84+Thesis!J99</f>
        <v>186.818741832633</v>
      </c>
      <c r="K14914" s="6" t="n">
        <f aca="false">Thesis!K83-Thesis!K84+Thesis!K99</f>
        <v>202.776422159652</v>
      </c>
    </row>
    <row r="14915" customFormat="false" ht="17.15" hidden="false" customHeight="false" outlineLevel="0" collapsed="false">
      <c r="A14915" s="0" t="s">
        <v>1238</v>
      </c>
      <c r="B14915" s="0" t="s">
        <v>98</v>
      </c>
      <c r="F14915" s="6" t="n">
        <f aca="false">PL!F71+Thesis!F99+Thesis!F95+Sens!F14908*(Seg!F48-Thesis!F77)+sbc_r*Seg!F48</f>
        <v>238.090727427296</v>
      </c>
      <c r="G14915" s="6" t="n">
        <f aca="false">PL!G71+Thesis!G99+Thesis!G95+Sens!G14908*(Seg!G48-Thesis!G77)+sbc_r*Seg!G48</f>
        <v>299.90836088563</v>
      </c>
      <c r="H14915" s="6" t="n">
        <f aca="false">PL!H71+Thesis!H99+Thesis!H95+Sens!H14908*(Seg!H48-Thesis!H77)+sbc_r*Seg!H48</f>
        <v>369.457709442386</v>
      </c>
      <c r="I14915" s="6" t="n">
        <f aca="false">PL!I71+Thesis!I99+Thesis!I95+Sens!I14908*(Seg!I48-Thesis!I77)+sbc_r*Seg!I48</f>
        <v>433.16585128823</v>
      </c>
      <c r="J14915" s="6" t="n">
        <f aca="false">PL!J71+Thesis!J99+Thesis!J95+Sens!J14908*(Seg!J48-Thesis!J77)+sbc_r*Seg!J48</f>
        <v>483.301303131191</v>
      </c>
      <c r="K14915" s="6" t="n">
        <f aca="false">PL!K71+Thesis!K99+Thesis!K95+Sens!K14908*(Seg!K48-Thesis!K77)+sbc_r*Seg!K48</f>
        <v>520.789002205336</v>
      </c>
    </row>
    <row r="14916" customFormat="false" ht="17.15" hidden="false" customHeight="false" outlineLevel="0" collapsed="false">
      <c r="A14916" s="0" t="s">
        <v>1239</v>
      </c>
      <c r="B14916" s="0" t="s">
        <v>98</v>
      </c>
      <c r="F14916" s="6" t="n">
        <f aca="false">Sens!F14915-Sens!F14909-Sens!F14910-Sens!F14911-Sens!F14912-Sens!F14914</f>
        <v>66.3548442472996</v>
      </c>
      <c r="G14916" s="6" t="n">
        <f aca="false">Sens!G14915-Sens!G14909-Sens!G14910-Sens!G14911-Sens!G14912-Sens!G14914</f>
        <v>74.548542090425</v>
      </c>
      <c r="H14916" s="6" t="n">
        <f aca="false">Sens!H14915-Sens!H14909-Sens!H14910-Sens!H14911-Sens!H14912-Sens!H14914</f>
        <v>87.4841023270775</v>
      </c>
      <c r="I14916" s="6" t="n">
        <f aca="false">Sens!I14915-Sens!I14909-Sens!I14910-Sens!I14911-Sens!I14912-Sens!I14914</f>
        <v>100.082899538713</v>
      </c>
      <c r="J14916" s="6" t="n">
        <f aca="false">Sens!J14915-Sens!J14909-Sens!J14910-Sens!J14911-Sens!J14912-Sens!J14914</f>
        <v>111.491845245262</v>
      </c>
      <c r="K14916" s="6" t="n">
        <f aca="false">Sens!K14915-Sens!K14909-Sens!K14910-Sens!K14911-Sens!K14912-Sens!K14914</f>
        <v>121.003589607889</v>
      </c>
    </row>
    <row r="14917" customFormat="false" ht="17.15" hidden="false" customHeight="false" outlineLevel="0" collapsed="false">
      <c r="A14917" s="0" t="s">
        <v>1240</v>
      </c>
      <c r="B14917" s="0" t="s">
        <v>98</v>
      </c>
      <c r="F14917" s="6" t="n">
        <f aca="false">PL!F73+Sens!F14908*Seg!F55+sbc_r*Seg!F55</f>
        <v>26.6336365855879</v>
      </c>
      <c r="G14917" s="6" t="n">
        <f aca="false">PL!G73+Sens!G14908*Seg!G55+sbc_r*Seg!G55</f>
        <v>26.4720859498625</v>
      </c>
      <c r="H14917" s="6" t="n">
        <f aca="false">PL!H73+Sens!H14908*Seg!H55+sbc_r*Seg!H55</f>
        <v>27.346793021284</v>
      </c>
      <c r="I14917" s="6" t="n">
        <f aca="false">PL!I73+Sens!I14908*Seg!I55+sbc_r*Seg!I55</f>
        <v>28.4574657863154</v>
      </c>
      <c r="J14917" s="6" t="n">
        <f aca="false">PL!J73+Sens!J14908*Seg!J55+sbc_r*Seg!J55</f>
        <v>29.7689890546037</v>
      </c>
      <c r="K14917" s="6" t="n">
        <f aca="false">PL!K73+Sens!K14908*Seg!K55+sbc_r*Seg!K55</f>
        <v>31.2443947307494</v>
      </c>
    </row>
    <row r="14918" customFormat="false" ht="17.15" hidden="false" customHeight="false" outlineLevel="0" collapsed="false">
      <c r="A14918" s="0" t="s">
        <v>1241</v>
      </c>
      <c r="B14918" s="0" t="s">
        <v>98</v>
      </c>
      <c r="F14918" s="6" t="n">
        <f aca="false">(Sens!F14917-Sens!F14913)*Seg!F51/(Seg!F51+Seg!F53)</f>
        <v>8.72285608232241</v>
      </c>
      <c r="G14918" s="6" t="n">
        <f aca="false">(Sens!G14917-Sens!G14913)*Seg!G51/(Seg!G51+Seg!G53)</f>
        <v>7.88786455444355</v>
      </c>
      <c r="H14918" s="6" t="n">
        <f aca="false">(Sens!H14917-Sens!H14913)*Seg!H51/(Seg!H51+Seg!H53)</f>
        <v>7.65195986819674</v>
      </c>
      <c r="I14918" s="6" t="n">
        <f aca="false">(Sens!I14917-Sens!I14913)*Seg!I51/(Seg!I51+Seg!I53)</f>
        <v>7.56260440676676</v>
      </c>
      <c r="J14918" s="6" t="n">
        <f aca="false">(Sens!J14917-Sens!J14913)*Seg!J51/(Seg!J51+Seg!J53)</f>
        <v>7.60790100885945</v>
      </c>
      <c r="K14918" s="6" t="n">
        <f aca="false">(Sens!K14917-Sens!K14913)*Seg!K51/(Seg!K51+Seg!K53)</f>
        <v>7.78186910160995</v>
      </c>
    </row>
    <row r="14919" customFormat="false" ht="17.15" hidden="false" customHeight="false" outlineLevel="0" collapsed="false">
      <c r="A14919" s="0" t="s">
        <v>1242</v>
      </c>
      <c r="B14919" s="0" t="s">
        <v>98</v>
      </c>
      <c r="F14919" s="6" t="n">
        <f aca="false">Sens!F14917-Sens!F14913-Sens!F14918</f>
        <v>6.72169020385088</v>
      </c>
      <c r="G14919" s="6" t="n">
        <f aca="false">Sens!G14917-Sens!G14913-Sens!G14918</f>
        <v>6.322482503616</v>
      </c>
      <c r="H14919" s="6" t="n">
        <f aca="false">Sens!H14917-Sens!H14913-Sens!H14918</f>
        <v>6.315346810168</v>
      </c>
      <c r="I14919" s="6" t="n">
        <f aca="false">Sens!I14917-Sens!I14913-Sens!I14918</f>
        <v>6.36314990077033</v>
      </c>
      <c r="J14919" s="6" t="n">
        <f aca="false">Sens!J14917-Sens!J14913-Sens!J14918</f>
        <v>6.46265146397189</v>
      </c>
      <c r="K14919" s="6" t="n">
        <f aca="false">Sens!K14917-Sens!K14913-Sens!K14918</f>
        <v>6.61043140327304</v>
      </c>
    </row>
    <row r="14920" customFormat="false" ht="17.15" hidden="false" customHeight="false" outlineLevel="0" collapsed="false">
      <c r="A14920" s="0" t="s">
        <v>1243</v>
      </c>
      <c r="B14920" s="0" t="s">
        <v>98</v>
      </c>
      <c r="F14920" s="6" t="n">
        <f aca="false">Sens!F14914-tax_f*(Sens!F14914-Thesis!F95)-Thesis!F92</f>
        <v>-127.503553927218</v>
      </c>
      <c r="G14920" s="6" t="n">
        <f aca="false">Sens!G14914-tax_f*(Sens!G14914-Thesis!G95)-Thesis!G92</f>
        <v>-114.603772628121</v>
      </c>
      <c r="H14920" s="6" t="n">
        <f aca="false">Sens!H14914-tax_f*(Sens!H14914-Thesis!H95)-Thesis!H92</f>
        <v>-80.3633729631438</v>
      </c>
      <c r="I14920" s="6" t="n">
        <f aca="false">Sens!I14914-tax_f*(Sens!I14914-Thesis!I95)-Thesis!I92</f>
        <v>-17.2838782011649</v>
      </c>
      <c r="J14920" s="6" t="n">
        <f aca="false">Sens!J14914-tax_f*(Sens!J14914-Thesis!J95)-Thesis!J92</f>
        <v>46.9281968800854</v>
      </c>
      <c r="K14920" s="6" t="n">
        <f aca="false">Sens!K14914-tax_f*(Sens!K14914-Thesis!K95)-Thesis!K92</f>
        <v>71.8608185731755</v>
      </c>
    </row>
    <row r="14921" customFormat="false" ht="17.15" hidden="false" customHeight="false" outlineLevel="0" collapsed="false">
      <c r="A14921" s="0" t="s">
        <v>1244</v>
      </c>
      <c r="B14921" s="0" t="s">
        <v>98</v>
      </c>
      <c r="G14921" s="6" t="n">
        <f aca="false">Sens!G14920/(1+wacc)^(Sens!G14891-Sens!F14892)</f>
        <v>-109.124845494465</v>
      </c>
      <c r="H14921" s="6" t="n">
        <f aca="false">Sens!H14920/(1+wacc)^(Sens!H14891-Sens!F14892)</f>
        <v>-69.3796874071025</v>
      </c>
      <c r="I14921" s="6" t="n">
        <f aca="false">Sens!I14920/(1+wacc)^(Sens!I14891-Sens!F14892)</f>
        <v>-13.5289731380471</v>
      </c>
      <c r="J14921" s="6" t="n">
        <f aca="false">Sens!J14920/(1+wacc)^(Sens!J14891-Sens!F14892)</f>
        <v>33.3048099587126</v>
      </c>
      <c r="K14921" s="6" t="n">
        <f aca="false">Sens!K14920/(1+wacc)^(Sens!K14891-Sens!F14892)</f>
        <v>46.2396679904913</v>
      </c>
      <c r="L14921" s="1" t="s">
        <v>1245</v>
      </c>
    </row>
    <row r="14922" customFormat="false" ht="17.15" hidden="false" customHeight="false" outlineLevel="0" collapsed="false">
      <c r="A14922" s="0" t="s">
        <v>1246</v>
      </c>
      <c r="B14922" s="0" t="s">
        <v>98</v>
      </c>
      <c r="C14922" s="6" t="n">
        <f aca="false">(Sens!K14914-Thesis!K95)*(1-tax_f)*(1+g_tv)*(1-g_tv/(wacc+ronic_prem))/(wacc-g_tv)/(1+wacc)^(Sens!K14892-Sens!F14892)</f>
        <v>293.118051086843</v>
      </c>
    </row>
    <row r="14923" customFormat="false" ht="17.15" hidden="false" customHeight="false" outlineLevel="0" collapsed="false">
      <c r="A14923" s="1" t="s">
        <v>1247</v>
      </c>
      <c r="B14923" s="0" t="s">
        <v>98</v>
      </c>
      <c r="C14923" s="6" t="n">
        <f aca="false">(SUM(Sens!G14921:K14921)+Sens!$C$14922)*(1+wacc)^(t_roll-Sens!F14892)</f>
        <v>186.592133308255</v>
      </c>
      <c r="L14923" s="12" t="s">
        <v>1248</v>
      </c>
    </row>
    <row r="14924" customFormat="false" ht="17.15" hidden="false" customHeight="false" outlineLevel="0" collapsed="false">
      <c r="A14924" s="1" t="s">
        <v>1249</v>
      </c>
      <c r="B14924" s="0" t="s">
        <v>98</v>
      </c>
      <c r="C14924" s="6" t="n">
        <f aca="false">(w_ntm28*Thesis!G83+(1-w_ntm28)*Thesis!H83)*m_ai*0.8</f>
        <v>371.031287608268</v>
      </c>
    </row>
    <row r="14925" customFormat="false" ht="17.15" hidden="false" customHeight="false" outlineLevel="0" collapsed="false">
      <c r="A14925" s="1" t="s">
        <v>1250</v>
      </c>
      <c r="B14925" s="0" t="s">
        <v>98</v>
      </c>
      <c r="C14925" s="6" t="n">
        <f aca="false">(w_ntm28*Sens!G14916+(1-w_ntm28)*Sens!H14916)*m_cloud*0.8</f>
        <v>871.227493617963</v>
      </c>
    </row>
    <row r="14926" customFormat="false" ht="17.15" hidden="false" customHeight="false" outlineLevel="0" collapsed="false">
      <c r="A14926" s="1" t="s">
        <v>1251</v>
      </c>
      <c r="B14926" s="0" t="s">
        <v>98</v>
      </c>
      <c r="C14926" s="6" t="n">
        <f aca="false">(w_ntm28*Sens!G14909+(1-w_ntm28)*Sens!H14909)*m_sw*0.8</f>
        <v>866.279701169273</v>
      </c>
    </row>
    <row r="14927" customFormat="false" ht="17.15" hidden="false" customHeight="false" outlineLevel="0" collapsed="false">
      <c r="A14927" s="1" t="s">
        <v>1252</v>
      </c>
      <c r="B14927" s="0" t="s">
        <v>98</v>
      </c>
      <c r="C14927" s="6" t="n">
        <f aca="false">(w_ntm28*Sens!G14910+(1-w_ntm28)*Sens!H14910)*m_sw*0.8</f>
        <v>298.343400718984</v>
      </c>
    </row>
    <row r="14928" customFormat="false" ht="17.15" hidden="false" customHeight="false" outlineLevel="0" collapsed="false">
      <c r="A14928" s="1" t="s">
        <v>1253</v>
      </c>
      <c r="B14928" s="0" t="s">
        <v>98</v>
      </c>
      <c r="C14928" s="6" t="n">
        <f aca="false">(w_ntm28*Sens!G14911+(1-w_ntm28)*Sens!H14911)*m_sw*0.8</f>
        <v>87.3162820344798</v>
      </c>
    </row>
    <row r="14929" customFormat="false" ht="17.15" hidden="false" customHeight="false" outlineLevel="0" collapsed="false">
      <c r="A14929" s="1" t="s">
        <v>1254</v>
      </c>
      <c r="B14929" s="0" t="s">
        <v>98</v>
      </c>
      <c r="C14929" s="6" t="n">
        <f aca="false">(w_ntm28*Sens!G14912+(1-w_ntm28)*Sens!H14912)*m_sw*0.8</f>
        <v>33.1953726107914</v>
      </c>
    </row>
    <row r="14930" customFormat="false" ht="17.15" hidden="false" customHeight="false" outlineLevel="0" collapsed="false">
      <c r="A14930" s="1" t="s">
        <v>1255</v>
      </c>
      <c r="B14930" s="0" t="s">
        <v>98</v>
      </c>
      <c r="C14930" s="6" t="n">
        <f aca="false">(w_ntm28*Sens!G14913+(1-w_ntm28)*Sens!H14913)*m_ads*0.8</f>
        <v>92.0417371827703</v>
      </c>
    </row>
    <row r="14931" customFormat="false" ht="17.15" hidden="false" customHeight="false" outlineLevel="0" collapsed="false">
      <c r="A14931" s="1" t="s">
        <v>1256</v>
      </c>
      <c r="B14931" s="0" t="s">
        <v>98</v>
      </c>
      <c r="C14931" s="6" t="n">
        <f aca="false">(w_ntm28*Sens!G14918+(1-w_ntm28)*Sens!H14918)*m_game*0.8</f>
        <v>78.9153404060962</v>
      </c>
    </row>
    <row r="14932" customFormat="false" ht="17.15" hidden="false" customHeight="false" outlineLevel="0" collapsed="false">
      <c r="A14932" s="1" t="s">
        <v>1257</v>
      </c>
      <c r="B14932" s="0" t="s">
        <v>98</v>
      </c>
      <c r="C14932" s="6" t="n">
        <f aca="false">(w_ntm28*Sens!G14919+(1-w_ntm28)*Sens!H14919)*m_pc*0.8</f>
        <v>73.1619003810849</v>
      </c>
    </row>
    <row r="14933" customFormat="false" ht="17.15" hidden="false" customHeight="false" outlineLevel="0" collapsed="false">
      <c r="A14933" s="1" t="s">
        <v>1258</v>
      </c>
      <c r="B14933" s="0" t="s">
        <v>98</v>
      </c>
      <c r="C14933" s="6" t="n">
        <f aca="false">Sens!$C$14923+Sens!$C$14925+Sens!$C$14926+Sens!$C$14927+Sens!$C$14928+Sens!$C$14929+Sens!$C$14930+Sens!$C$14931+Sens!$C$14932</f>
        <v>2587.0733614297</v>
      </c>
    </row>
    <row r="14934" customFormat="false" ht="17.15" hidden="false" customHeight="false" outlineLevel="0" collapsed="false">
      <c r="A14934" s="1" t="s">
        <v>1259</v>
      </c>
      <c r="B14934" s="0" t="s">
        <v>98</v>
      </c>
      <c r="C14934" s="6" t="n">
        <f aca="false">(Sens!G14895-Sens!G14920)*t_stub</f>
        <v>47.8736427515113</v>
      </c>
      <c r="L14934" s="1" t="s">
        <v>1260</v>
      </c>
    </row>
    <row r="14935" customFormat="false" ht="17.15" hidden="false" customHeight="false" outlineLevel="0" collapsed="false">
      <c r="A14935" s="1" t="s">
        <v>1169</v>
      </c>
      <c r="B14935" s="0" t="s">
        <v>98</v>
      </c>
      <c r="C14935" s="6" t="n">
        <f aca="false">CF!F71+oai_v-CF!F60+Sens!$C$14934</f>
        <v>162.101912751511</v>
      </c>
      <c r="L14935" s="1" t="s">
        <v>1261</v>
      </c>
    </row>
    <row r="14936" customFormat="false" ht="17.15" hidden="false" customHeight="false" outlineLevel="0" collapsed="false">
      <c r="A14936" s="1" t="s">
        <v>1262</v>
      </c>
      <c r="B14936" s="0" t="s">
        <v>75</v>
      </c>
      <c r="C14936" s="5" t="n">
        <f aca="false">(Sens!$C$14933+Sens!$C$14935)/(CF!F73+dil_gap)-CF!G63*roll_div_q/q_per_yr</f>
        <v>365.736818531767</v>
      </c>
      <c r="L14936" s="1" t="s">
        <v>1263</v>
      </c>
    </row>
    <row r="14937" customFormat="false" ht="17.15" hidden="false" customHeight="false" outlineLevel="0" collapsed="false">
      <c r="A14937" s="1" t="s">
        <v>1264</v>
      </c>
      <c r="B14937" s="0" t="s">
        <v>75</v>
      </c>
      <c r="C14937" s="5" t="n">
        <f aca="false">w_dcf*Sens!$C$14907+(1-w_dcf)*Sens!$C$14936</f>
        <v>346.02017987875</v>
      </c>
    </row>
    <row r="14938" customFormat="false" ht="17.15" hidden="false" customHeight="false" outlineLevel="0" collapsed="false">
      <c r="A14938" s="3" t="s">
        <v>1848</v>
      </c>
    </row>
    <row r="14939" customFormat="false" ht="15" hidden="false" customHeight="false" outlineLevel="0" collapsed="false">
      <c r="A14939" s="4" t="s">
        <v>43</v>
      </c>
      <c r="B14939" s="4" t="s">
        <v>65</v>
      </c>
      <c r="C14939" s="23" t="s">
        <v>938</v>
      </c>
      <c r="D14939" s="23" t="s">
        <v>939</v>
      </c>
      <c r="E14939" s="23" t="s">
        <v>940</v>
      </c>
      <c r="F14939" s="23" t="s">
        <v>941</v>
      </c>
      <c r="G14939" s="23" t="s">
        <v>942</v>
      </c>
      <c r="H14939" s="23" t="s">
        <v>943</v>
      </c>
      <c r="I14939" s="23" t="s">
        <v>944</v>
      </c>
      <c r="J14939" s="23" t="s">
        <v>945</v>
      </c>
      <c r="K14939" s="23" t="s">
        <v>946</v>
      </c>
      <c r="L14939" s="4" t="s">
        <v>47</v>
      </c>
    </row>
    <row r="14940" customFormat="false" ht="17.15" hidden="false" customHeight="false" outlineLevel="0" collapsed="false">
      <c r="A14940" s="1" t="s">
        <v>1212</v>
      </c>
      <c r="B14940" s="1" t="s">
        <v>279</v>
      </c>
      <c r="F14940" s="8" t="n">
        <f aca="false">(1-v_off)*mid_yr</f>
        <v>0.373972602739726</v>
      </c>
      <c r="G14940" s="8" t="n">
        <f aca="false">Thesis!G110-base_fy-mid_yr-v_off</f>
        <v>1.24794520547945</v>
      </c>
      <c r="H14940" s="8" t="n">
        <f aca="false">Thesis!H110-base_fy-mid_yr-v_off</f>
        <v>2.24794520547945</v>
      </c>
      <c r="I14940" s="8" t="n">
        <f aca="false">Thesis!I110-base_fy-mid_yr-v_off</f>
        <v>3.24794520547945</v>
      </c>
      <c r="J14940" s="8" t="n">
        <f aca="false">Thesis!J110-base_fy-mid_yr-v_off</f>
        <v>4.24794520547945</v>
      </c>
      <c r="K14940" s="8" t="n">
        <f aca="false">Thesis!K110-base_fy-mid_yr-v_off</f>
        <v>5.24794520547945</v>
      </c>
      <c r="L14940" s="12" t="s">
        <v>1213</v>
      </c>
    </row>
    <row r="14941" customFormat="false" ht="15" hidden="false" customHeight="false" outlineLevel="0" collapsed="false">
      <c r="A14941" s="1" t="s">
        <v>1214</v>
      </c>
      <c r="B14941" s="1" t="s">
        <v>279</v>
      </c>
      <c r="F14941" s="8" t="n">
        <f aca="false">Thesis!F110-base_fy-v_off</f>
        <v>0.747945205479452</v>
      </c>
      <c r="G14941" s="8" t="n">
        <f aca="false">Thesis!G110-base_fy-v_off</f>
        <v>1.74794520547945</v>
      </c>
      <c r="H14941" s="8" t="n">
        <f aca="false">Thesis!H110-base_fy-v_off</f>
        <v>2.74794520547945</v>
      </c>
      <c r="I14941" s="8" t="n">
        <f aca="false">Thesis!I110-base_fy-v_off</f>
        <v>3.74794520547945</v>
      </c>
      <c r="J14941" s="8" t="n">
        <f aca="false">Thesis!J110-base_fy-v_off</f>
        <v>4.74794520547945</v>
      </c>
      <c r="K14941" s="8" t="n">
        <f aca="false">Thesis!K110-base_fy-v_off</f>
        <v>5.74794520547945</v>
      </c>
    </row>
    <row r="14942" customFormat="false" ht="15" hidden="false" customHeight="false" outlineLevel="0" collapsed="false">
      <c r="A14942" s="1" t="s">
        <v>1215</v>
      </c>
      <c r="B14942" s="0" t="s">
        <v>229</v>
      </c>
      <c r="F14942" s="15" t="n">
        <f aca="false">1/(1+wacc)^Sens!F14940</f>
        <v>0.964022703286649</v>
      </c>
      <c r="G14942" s="15" t="n">
        <f aca="false">1/(1+wacc)^Sens!G14940</f>
        <v>0.884910302296739</v>
      </c>
      <c r="H14942" s="15" t="n">
        <f aca="false">1/(1+wacc)^Sens!H14940</f>
        <v>0.802322009770358</v>
      </c>
      <c r="I14942" s="15" t="n">
        <f aca="false">1/(1+wacc)^Sens!I14940</f>
        <v>0.727441646561469</v>
      </c>
      <c r="J14942" s="15" t="n">
        <f aca="false">1/(1+wacc)^Sens!J14940</f>
        <v>0.659549834988973</v>
      </c>
      <c r="K14942" s="15" t="n">
        <f aca="false">1/(1+wacc)^Sens!K14940</f>
        <v>0.597994336576966</v>
      </c>
    </row>
    <row r="14943" customFormat="false" ht="17.15" hidden="false" customHeight="false" outlineLevel="0" collapsed="false">
      <c r="A14943" s="1" t="s">
        <v>1216</v>
      </c>
      <c r="B14943" s="0" t="s">
        <v>98</v>
      </c>
      <c r="F14943" s="6" t="n">
        <f aca="false">Q!$I$35-Q!$I$39-Q!$I$43</f>
        <v>9.666</v>
      </c>
      <c r="L14943" s="12" t="s">
        <v>1217</v>
      </c>
    </row>
    <row r="14944" customFormat="false" ht="17.15" hidden="false" customHeight="false" outlineLevel="0" collapsed="false">
      <c r="A14944" s="1" t="s">
        <v>1218</v>
      </c>
      <c r="B14944" s="0" t="s">
        <v>98</v>
      </c>
      <c r="F14944" s="6" t="n">
        <f aca="false">CF!F87-CF!F84-CF!F91+Thesis!F151*(1-tax_f)*(1-v_off)-Sens!F14943</f>
        <v>-6.10282680452259</v>
      </c>
      <c r="G14944" s="6" t="n">
        <f aca="false">CF!G87-CF!G84-CF!G91+Thesis!G151*(1-tax_f)</f>
        <v>19.0084129023516</v>
      </c>
      <c r="H14944" s="6" t="n">
        <f aca="false">CF!H87-CF!H84-CF!H91+Thesis!H151*(1-tax_f)</f>
        <v>55.9229468383331</v>
      </c>
      <c r="I14944" s="6" t="n">
        <f aca="false">CF!I87-CF!I84-CF!I91+Thesis!I151*(1-tax_f)</f>
        <v>127.901908576191</v>
      </c>
      <c r="J14944" s="6" t="n">
        <f aca="false">CF!J87-CF!J84-CF!J91+Thesis!J151*(1-tax_f)</f>
        <v>201.958443859638</v>
      </c>
      <c r="K14944" s="6" t="n">
        <f aca="false">CF!K87-CF!K84-CF!K91+Thesis!K151*(1-tax_f)</f>
        <v>237.542519059905</v>
      </c>
      <c r="L14944" s="1" t="s">
        <v>1219</v>
      </c>
    </row>
    <row r="14945" customFormat="false" ht="15" hidden="false" customHeight="false" outlineLevel="0" collapsed="false">
      <c r="A14945" s="1" t="s">
        <v>1220</v>
      </c>
      <c r="B14945" s="0" t="s">
        <v>98</v>
      </c>
      <c r="F14945" s="6" t="n">
        <f aca="false">Sens!F14944*Sens!F14942</f>
        <v>-5.88326359378609</v>
      </c>
      <c r="G14945" s="6" t="n">
        <f aca="false">Sens!G14944*Sens!G14942</f>
        <v>16.8207404076012</v>
      </c>
      <c r="H14945" s="6" t="n">
        <f aca="false">Sens!H14944*Sens!H14942</f>
        <v>44.8682110996123</v>
      </c>
      <c r="I14945" s="6" t="n">
        <f aca="false">Sens!I14944*Sens!I14942</f>
        <v>93.0411749730187</v>
      </c>
      <c r="J14945" s="6" t="n">
        <f aca="false">Sens!J14944*Sens!J14942</f>
        <v>133.201658322254</v>
      </c>
      <c r="K14945" s="6" t="n">
        <f aca="false">Sens!K14944*Sens!K14942</f>
        <v>142.049081094049</v>
      </c>
    </row>
    <row r="14946" customFormat="false" ht="17.15" hidden="false" customHeight="false" outlineLevel="0" collapsed="false">
      <c r="A14946" s="1" t="s">
        <v>1221</v>
      </c>
      <c r="B14946" s="0" t="s">
        <v>98</v>
      </c>
      <c r="C14946" s="6" t="n">
        <f aca="false">SUM(Sens!F14945:K14945)</f>
        <v>424.097602302749</v>
      </c>
    </row>
    <row r="14947" customFormat="false" ht="17.15" hidden="false" customHeight="false" outlineLevel="0" collapsed="false">
      <c r="A14947" s="1" t="s">
        <v>1222</v>
      </c>
      <c r="B14947" s="0" t="s">
        <v>98</v>
      </c>
      <c r="C14947" s="6" t="n">
        <f aca="false">PL!K117*(1+g_tv)*(1-tax_f)</f>
        <v>247.098906713682</v>
      </c>
    </row>
    <row r="14948" customFormat="false" ht="17.15" hidden="false" customHeight="false" outlineLevel="0" collapsed="false">
      <c r="A14948" s="1" t="s">
        <v>1223</v>
      </c>
      <c r="B14948" s="0" t="s">
        <v>98</v>
      </c>
      <c r="C14948" s="6" t="n">
        <f aca="false">Sens!$C$14947*(1-g_tv/(wacc+ronic_prem))</f>
        <v>175.084017418113</v>
      </c>
    </row>
    <row r="14949" customFormat="false" ht="17.15" hidden="false" customHeight="false" outlineLevel="0" collapsed="false">
      <c r="A14949" s="1" t="s">
        <v>1224</v>
      </c>
      <c r="B14949" s="0" t="s">
        <v>98</v>
      </c>
      <c r="C14949" s="6" t="n">
        <f aca="false">Sens!$C$14948/(wacc-g_tv)</f>
        <v>2400.4963098523</v>
      </c>
    </row>
    <row r="14950" customFormat="false" ht="15" hidden="false" customHeight="false" outlineLevel="0" collapsed="false">
      <c r="A14950" s="1" t="s">
        <v>1225</v>
      </c>
      <c r="B14950" s="0" t="s">
        <v>98</v>
      </c>
      <c r="C14950" s="6" t="n">
        <f aca="false">Sens!$C$14949/(1+wacc)^Sens!K14941</f>
        <v>1366.85624415645</v>
      </c>
    </row>
    <row r="14951" customFormat="false" ht="17.15" hidden="false" customHeight="false" outlineLevel="0" collapsed="false">
      <c r="A14951" s="0" t="s">
        <v>1226</v>
      </c>
      <c r="B14951" s="0" t="s">
        <v>98</v>
      </c>
      <c r="C14951" s="6" t="n">
        <f aca="false">Sens!$C$14946+Sens!$C$14950</f>
        <v>1790.9538464592</v>
      </c>
    </row>
    <row r="14952" customFormat="false" ht="15" hidden="false" customHeight="false" outlineLevel="0" collapsed="false">
      <c r="A14952" s="1" t="s">
        <v>1141</v>
      </c>
      <c r="B14952" s="0" t="s">
        <v>168</v>
      </c>
      <c r="C14952" s="7" t="n">
        <f aca="false">Sens!$C$14950/Sens!$C$14951</f>
        <v>0.763200149941769</v>
      </c>
    </row>
    <row r="14953" customFormat="false" ht="17.15" hidden="false" customHeight="false" outlineLevel="0" collapsed="false">
      <c r="A14953" s="1" t="s">
        <v>1227</v>
      </c>
      <c r="B14953" s="0" t="s">
        <v>98</v>
      </c>
      <c r="C14953" s="6" t="n">
        <f aca="false">Sens!$C$14951+cash_val-debt_val-fl_val+oai_v</f>
        <v>1906.8048464592</v>
      </c>
    </row>
    <row r="14954" customFormat="false" ht="17.15" hidden="false" customHeight="false" outlineLevel="0" collapsed="false">
      <c r="A14954" s="0" t="s">
        <v>1149</v>
      </c>
      <c r="B14954" s="0" t="s">
        <v>75</v>
      </c>
      <c r="C14954" s="5" t="n">
        <f aca="false">Sens!$C$14953/shd_val</f>
        <v>256.084454265269</v>
      </c>
    </row>
    <row r="14955" customFormat="false" ht="15" hidden="false" customHeight="false" outlineLevel="0" collapsed="false">
      <c r="A14955" s="1" t="s">
        <v>1228</v>
      </c>
      <c r="B14955" s="0" t="s">
        <v>75</v>
      </c>
      <c r="C14955" s="8" t="n">
        <f aca="false">div_rem27+CF!G95*roll_div_q/q_per_yr</f>
        <v>3.9795</v>
      </c>
    </row>
    <row r="14956" customFormat="false" ht="17.15" hidden="false" customHeight="false" outlineLevel="0" collapsed="false">
      <c r="A14956" s="0" t="s">
        <v>1229</v>
      </c>
      <c r="B14956" s="0" t="s">
        <v>75</v>
      </c>
      <c r="C14956" s="5" t="n">
        <f aca="false">Sens!$C$14954*(1+wacc)^t_roll-Sens!$C$14955</f>
        <v>280.67266317972</v>
      </c>
    </row>
    <row r="14957" customFormat="false" ht="17.15" hidden="false" customHeight="false" outlineLevel="0" collapsed="false">
      <c r="A14957" s="1" t="s">
        <v>1230</v>
      </c>
      <c r="B14957" s="0" t="s">
        <v>168</v>
      </c>
      <c r="F14957" s="7" t="n">
        <f aca="false">CF!F81/(Seg!F83-Thesis!F129)</f>
        <v>0.068677393452264</v>
      </c>
      <c r="G14957" s="7" t="n">
        <f aca="false">CF!G81/(Seg!G83-Thesis!G129)</f>
        <v>0.0663132664471956</v>
      </c>
      <c r="H14957" s="7" t="n">
        <f aca="false">CF!H81/(Seg!H83-Thesis!H129)</f>
        <v>0.0651363826734039</v>
      </c>
      <c r="I14957" s="7" t="n">
        <f aca="false">CF!I81/(Seg!I83-Thesis!I129)</f>
        <v>0.0650087936347709</v>
      </c>
      <c r="J14957" s="7" t="n">
        <f aca="false">CF!J81/(Seg!J83-Thesis!J129)</f>
        <v>0.0657212684841778</v>
      </c>
      <c r="K14957" s="7" t="n">
        <f aca="false">CF!K81/(Seg!K83-Thesis!K129)</f>
        <v>0.0670413306015285</v>
      </c>
    </row>
    <row r="14958" customFormat="false" ht="17.15" hidden="false" customHeight="false" outlineLevel="0" collapsed="false">
      <c r="A14958" s="0" t="s">
        <v>1231</v>
      </c>
      <c r="B14958" s="0" t="s">
        <v>98</v>
      </c>
      <c r="F14958" s="6" t="n">
        <f aca="false">Seg!F68*(al_m365+Sens!F14957+sbc_r)</f>
        <v>82.9185219618347</v>
      </c>
      <c r="G14958" s="6" t="n">
        <f aca="false">Seg!G68*(al_m365+Sens!G14957+sbc_r)</f>
        <v>93.3068052157631</v>
      </c>
      <c r="H14958" s="6" t="n">
        <f aca="false">Seg!H68*(al_m365+Sens!H14957+sbc_r)</f>
        <v>103.856057136159</v>
      </c>
      <c r="I14958" s="6" t="n">
        <f aca="false">Seg!I68*(al_m365+Sens!I14957+sbc_r)</f>
        <v>113.889717587147</v>
      </c>
      <c r="J14958" s="6" t="n">
        <f aca="false">Seg!J68*(al_m365+Sens!J14957+sbc_r)</f>
        <v>123.218477864124</v>
      </c>
      <c r="K14958" s="6" t="n">
        <f aca="false">Seg!K68*(al_m365+Sens!K14957+sbc_r)</f>
        <v>132.149420086311</v>
      </c>
      <c r="L14958" s="12" t="s">
        <v>1232</v>
      </c>
    </row>
    <row r="14959" customFormat="false" ht="17.15" hidden="false" customHeight="false" outlineLevel="0" collapsed="false">
      <c r="A14959" s="0" t="s">
        <v>1233</v>
      </c>
      <c r="B14959" s="0" t="s">
        <v>98</v>
      </c>
      <c r="F14959" s="6" t="n">
        <f aca="false">Seg!F69*(al_lic+Sens!F14957+sbc_r)</f>
        <v>32.8599853992256</v>
      </c>
      <c r="G14959" s="6" t="n">
        <f aca="false">Seg!G69*(al_lic+Sens!G14957+sbc_r)</f>
        <v>34.1568280697879</v>
      </c>
      <c r="H14959" s="6" t="n">
        <f aca="false">Seg!H69*(al_lic+Sens!H14957+sbc_r)</f>
        <v>35.3635535007213</v>
      </c>
      <c r="I14959" s="6" t="n">
        <f aca="false">Seg!I69*(al_lic+Sens!I14957+sbc_r)</f>
        <v>36.4604537346553</v>
      </c>
      <c r="J14959" s="6" t="n">
        <f aca="false">Seg!J69*(al_lic+Sens!J14957+sbc_r)</f>
        <v>37.4245888933574</v>
      </c>
      <c r="K14959" s="6" t="n">
        <f aca="false">Seg!K69*(al_lic+Sens!K14957+sbc_r)</f>
        <v>38.2321483186439</v>
      </c>
    </row>
    <row r="14960" customFormat="false" ht="17.15" hidden="false" customHeight="false" outlineLevel="0" collapsed="false">
      <c r="A14960" s="0" t="s">
        <v>1234</v>
      </c>
      <c r="B14960" s="0" t="s">
        <v>98</v>
      </c>
      <c r="F14960" s="6" t="n">
        <f aca="false">Seg!F71*(al_ind+Sens!F14957+sbc_r)</f>
        <v>9.06170747885803</v>
      </c>
      <c r="G14960" s="6" t="n">
        <f aca="false">Seg!G71*(al_ind+Sens!G14957+sbc_r)</f>
        <v>9.8478979082138</v>
      </c>
      <c r="H14960" s="6" t="n">
        <f aca="false">Seg!H71*(al_ind+Sens!H14957+sbc_r)</f>
        <v>10.6768254332059</v>
      </c>
      <c r="I14960" s="6" t="n">
        <f aca="false">Seg!I71*(al_ind+Sens!I14957+sbc_r)</f>
        <v>11.54398793803</v>
      </c>
      <c r="J14960" s="6" t="n">
        <f aca="false">Seg!J71*(al_ind+Sens!J14957+sbc_r)</f>
        <v>12.4407914253112</v>
      </c>
      <c r="K14960" s="6" t="n">
        <f aca="false">Seg!K71*(al_ind+Sens!K14957+sbc_r)</f>
        <v>13.355239066864</v>
      </c>
    </row>
    <row r="14961" customFormat="false" ht="17.15" hidden="false" customHeight="false" outlineLevel="0" collapsed="false">
      <c r="A14961" s="0" t="s">
        <v>1235</v>
      </c>
      <c r="B14961" s="0" t="s">
        <v>98</v>
      </c>
      <c r="F14961" s="6" t="n">
        <f aca="false">Seg!F73*(al_fro+Sens!F14957+sbc_r)</f>
        <v>3.55453569939552</v>
      </c>
      <c r="G14961" s="6" t="n">
        <f aca="false">Seg!G73*(al_fro+Sens!G14957+sbc_r)</f>
        <v>3.76809436159872</v>
      </c>
      <c r="H14961" s="6" t="n">
        <f aca="false">Seg!H73*(al_fro+Sens!H14957+sbc_r)</f>
        <v>4.00964905674607</v>
      </c>
      <c r="I14961" s="6" t="n">
        <f aca="false">Seg!I73*(al_fro+Sens!I14957+sbc_r)</f>
        <v>4.28152633145235</v>
      </c>
      <c r="J14961" s="6" t="n">
        <f aca="false">Seg!J73*(al_fro+Sens!J14957+sbc_r)</f>
        <v>4.58536512975975</v>
      </c>
      <c r="K14961" s="6" t="n">
        <f aca="false">Seg!K73*(al_fro+Sens!K14957+sbc_r)</f>
        <v>4.92240770086468</v>
      </c>
    </row>
    <row r="14962" customFormat="false" ht="17.15" hidden="false" customHeight="false" outlineLevel="0" collapsed="false">
      <c r="A14962" s="0" t="s">
        <v>1236</v>
      </c>
      <c r="B14962" s="0" t="s">
        <v>98</v>
      </c>
      <c r="F14962" s="6" t="n">
        <f aca="false">Seg!F76*(al_srch+Sens!F14957+sbc_r)</f>
        <v>11.190683952584</v>
      </c>
      <c r="G14962" s="6" t="n">
        <f aca="false">Seg!G76*(al_srch+Sens!G14957+sbc_r)</f>
        <v>12.2763328717258</v>
      </c>
      <c r="H14962" s="6" t="n">
        <f aca="false">Seg!H76*(al_srch+Sens!H14957+sbc_r)</f>
        <v>13.4043563346576</v>
      </c>
      <c r="I14962" s="6" t="n">
        <f aca="false">Seg!I76*(al_srch+Sens!I14957+sbc_r)</f>
        <v>14.5621512181916</v>
      </c>
      <c r="J14962" s="6" t="n">
        <f aca="false">Seg!J76*(al_srch+Sens!J14957+sbc_r)</f>
        <v>15.7310381862385</v>
      </c>
      <c r="K14962" s="6" t="n">
        <f aca="false">Seg!K76*(al_srch+Sens!K14957+sbc_r)</f>
        <v>16.8873320486462</v>
      </c>
    </row>
    <row r="14963" customFormat="false" ht="17.15" hidden="false" customHeight="false" outlineLevel="0" collapsed="false">
      <c r="A14963" s="0" t="s">
        <v>1237</v>
      </c>
      <c r="B14963" s="0" t="s">
        <v>98</v>
      </c>
      <c r="F14963" s="6" t="n">
        <f aca="false">Thesis!F135-Thesis!F136+Thesis!F151</f>
        <v>38.9696429794913</v>
      </c>
      <c r="G14963" s="6" t="n">
        <f aca="false">Thesis!G135-Thesis!G136+Thesis!G151</f>
        <v>69.465497726016</v>
      </c>
      <c r="H14963" s="6" t="n">
        <f aca="false">Thesis!H135-Thesis!H136+Thesis!H151</f>
        <v>96.8147106808268</v>
      </c>
      <c r="I14963" s="6" t="n">
        <f aca="false">Thesis!I135-Thesis!I136+Thesis!I151</f>
        <v>127.654939766446</v>
      </c>
      <c r="J14963" s="6" t="n">
        <f aca="false">Thesis!J135-Thesis!J136+Thesis!J151</f>
        <v>149.308352681229</v>
      </c>
      <c r="K14963" s="6" t="n">
        <f aca="false">Thesis!K135-Thesis!K136+Thesis!K151</f>
        <v>162.731822021841</v>
      </c>
    </row>
    <row r="14964" customFormat="false" ht="17.15" hidden="false" customHeight="false" outlineLevel="0" collapsed="false">
      <c r="A14964" s="0" t="s">
        <v>1238</v>
      </c>
      <c r="B14964" s="0" t="s">
        <v>98</v>
      </c>
      <c r="F14964" s="6" t="n">
        <f aca="false">PL!F110+Thesis!F151+Thesis!F147+Sens!F14957*(Seg!F75-Thesis!F129)+sbc_r*Seg!F75</f>
        <v>234.79972328186</v>
      </c>
      <c r="G14964" s="6" t="n">
        <f aca="false">PL!G110+Thesis!G151+Thesis!G147+Sens!G14957*(Seg!G75-Thesis!G129)+sbc_r*Seg!G75</f>
        <v>285.499052659517</v>
      </c>
      <c r="H14964" s="6" t="n">
        <f aca="false">PL!H110+Thesis!H151+Thesis!H147+Sens!H14957*(Seg!H75-Thesis!H129)+sbc_r*Seg!H75</f>
        <v>338.258569294547</v>
      </c>
      <c r="I14964" s="6" t="n">
        <f aca="false">PL!I110+Thesis!I151+Thesis!I147+Sens!I14957*(Seg!I75-Thesis!I129)+sbc_r*Seg!I75</f>
        <v>393.887902526982</v>
      </c>
      <c r="J14964" s="6" t="n">
        <f aca="false">PL!J110+Thesis!J151+Thesis!J147+Sens!J14957*(Seg!J75-Thesis!J129)+sbc_r*Seg!J75</f>
        <v>438.406631506078</v>
      </c>
      <c r="K14964" s="6" t="n">
        <f aca="false">PL!K110+Thesis!K151+Thesis!K147+Sens!K14957*(Seg!K75-Thesis!K129)+sbc_r*Seg!K75</f>
        <v>472.352875745143</v>
      </c>
    </row>
    <row r="14965" customFormat="false" ht="17.15" hidden="false" customHeight="false" outlineLevel="0" collapsed="false">
      <c r="A14965" s="0" t="s">
        <v>1239</v>
      </c>
      <c r="B14965" s="0" t="s">
        <v>98</v>
      </c>
      <c r="F14965" s="6" t="n">
        <f aca="false">Sens!F14964-Sens!F14958-Sens!F14959-Sens!F14960-Sens!F14961-Sens!F14963</f>
        <v>67.4353297630543</v>
      </c>
      <c r="G14965" s="6" t="n">
        <f aca="false">Sens!G14964-Sens!G14958-Sens!G14959-Sens!G14960-Sens!G14961-Sens!G14963</f>
        <v>74.9539293781376</v>
      </c>
      <c r="H14965" s="6" t="n">
        <f aca="false">Sens!H14964-Sens!H14958-Sens!H14959-Sens!H14960-Sens!H14961-Sens!H14963</f>
        <v>87.537773486888</v>
      </c>
      <c r="I14965" s="6" t="n">
        <f aca="false">Sens!I14964-Sens!I14958-Sens!I14959-Sens!I14960-Sens!I14961-Sens!I14963</f>
        <v>100.057277169252</v>
      </c>
      <c r="J14965" s="6" t="n">
        <f aca="false">Sens!J14964-Sens!J14958-Sens!J14959-Sens!J14960-Sens!J14961-Sens!J14963</f>
        <v>111.429055512297</v>
      </c>
      <c r="K14965" s="6" t="n">
        <f aca="false">Sens!K14964-Sens!K14958-Sens!K14959-Sens!K14960-Sens!K14961-Sens!K14963</f>
        <v>120.961838550618</v>
      </c>
    </row>
    <row r="14966" customFormat="false" ht="17.15" hidden="false" customHeight="false" outlineLevel="0" collapsed="false">
      <c r="A14966" s="0" t="s">
        <v>1240</v>
      </c>
      <c r="B14966" s="0" t="s">
        <v>98</v>
      </c>
      <c r="F14966" s="6" t="n">
        <f aca="false">PL!F112+Sens!F14957*Seg!F82+sbc_r*Seg!F82</f>
        <v>26.6373549789235</v>
      </c>
      <c r="G14966" s="6" t="n">
        <f aca="false">PL!G112+Sens!G14957*Seg!G82+sbc_r*Seg!G82</f>
        <v>26.5038922765853</v>
      </c>
      <c r="H14966" s="6" t="n">
        <f aca="false">PL!H112+Sens!H14957*Seg!H82+sbc_r*Seg!H82</f>
        <v>27.3981100014792</v>
      </c>
      <c r="I14966" s="6" t="n">
        <f aca="false">PL!I112+Sens!I14957*Seg!I82+sbc_r*Seg!I82</f>
        <v>28.5176442589239</v>
      </c>
      <c r="J14966" s="6" t="n">
        <f aca="false">PL!J112+Sens!J14957*Seg!J82+sbc_r*Seg!J82</f>
        <v>29.8313998963726</v>
      </c>
      <c r="K14966" s="6" t="n">
        <f aca="false">PL!K112+Sens!K14957*Seg!K82+sbc_r*Seg!K82</f>
        <v>31.3103466222307</v>
      </c>
    </row>
    <row r="14967" customFormat="false" ht="17.15" hidden="false" customHeight="false" outlineLevel="0" collapsed="false">
      <c r="A14967" s="0" t="s">
        <v>1241</v>
      </c>
      <c r="B14967" s="0" t="s">
        <v>98</v>
      </c>
      <c r="F14967" s="6" t="n">
        <f aca="false">(Sens!F14966-Sens!F14962)*Seg!F78/(Seg!F78+Seg!F80)</f>
        <v>8.72405610479892</v>
      </c>
      <c r="G14967" s="6" t="n">
        <f aca="false">(Sens!G14966-Sens!G14962)*Seg!G78/(Seg!G78+Seg!G80)</f>
        <v>7.897418765869</v>
      </c>
      <c r="H14967" s="6" t="n">
        <f aca="false">(Sens!H14966-Sens!H14962)*Seg!H78/(Seg!H78+Seg!H80)</f>
        <v>7.66644879573063</v>
      </c>
      <c r="I14967" s="6" t="n">
        <f aca="false">(Sens!I14966-Sens!I14962)*Seg!I78/(Seg!I78+Seg!I80)</f>
        <v>7.5787545031814</v>
      </c>
      <c r="J14967" s="6" t="n">
        <f aca="false">(Sens!J14966-Sens!J14962)*Seg!J78/(Seg!J78+Seg!J80)</f>
        <v>7.62401876450459</v>
      </c>
      <c r="K14967" s="6" t="n">
        <f aca="false">(Sens!K14966-Sens!K14962)*Seg!K78/(Seg!K78+Seg!K80)</f>
        <v>7.79847609658838</v>
      </c>
    </row>
    <row r="14968" customFormat="false" ht="17.15" hidden="false" customHeight="false" outlineLevel="0" collapsed="false">
      <c r="A14968" s="0" t="s">
        <v>1242</v>
      </c>
      <c r="B14968" s="0" t="s">
        <v>98</v>
      </c>
      <c r="F14968" s="6" t="n">
        <f aca="false">Sens!F14966-Sens!F14962-Sens!F14967</f>
        <v>6.72261492154066</v>
      </c>
      <c r="G14968" s="6" t="n">
        <f aca="false">Sens!G14966-Sens!G14962-Sens!G14967</f>
        <v>6.33014063899044</v>
      </c>
      <c r="H14968" s="6" t="n">
        <f aca="false">Sens!H14966-Sens!H14962-Sens!H14967</f>
        <v>6.32730487109095</v>
      </c>
      <c r="I14968" s="6" t="n">
        <f aca="false">Sens!I14966-Sens!I14962-Sens!I14967</f>
        <v>6.37673853755084</v>
      </c>
      <c r="J14968" s="6" t="n">
        <f aca="false">Sens!J14966-Sens!J14962-Sens!J14967</f>
        <v>6.47634294562954</v>
      </c>
      <c r="K14968" s="6" t="n">
        <f aca="false">Sens!K14966-Sens!K14962-Sens!K14967</f>
        <v>6.62453847699607</v>
      </c>
    </row>
    <row r="14969" customFormat="false" ht="17.15" hidden="false" customHeight="false" outlineLevel="0" collapsed="false">
      <c r="A14969" s="0" t="s">
        <v>1243</v>
      </c>
      <c r="B14969" s="0" t="s">
        <v>98</v>
      </c>
      <c r="F14969" s="6" t="n">
        <f aca="false">Sens!F14963-tax_f*(Sens!F14963-Thesis!F147)-Thesis!F144</f>
        <v>-130.362326762856</v>
      </c>
      <c r="G14969" s="6" t="n">
        <f aca="false">Sens!G14963-tax_f*(Sens!G14963-Thesis!G147)-Thesis!G144</f>
        <v>-124.225179337776</v>
      </c>
      <c r="H14969" s="6" t="n">
        <f aca="false">Sens!H14963-tax_f*(Sens!H14963-Thesis!H147)-Thesis!H144</f>
        <v>-101.534217387562</v>
      </c>
      <c r="I14969" s="6" t="n">
        <f aca="false">Sens!I14963-tax_f*(Sens!I14963-Thesis!I147)-Thesis!I144</f>
        <v>-43.6446798695439</v>
      </c>
      <c r="J14969" s="6" t="n">
        <f aca="false">Sens!J14963-tax_f*(Sens!J14963-Thesis!J147)-Thesis!J144</f>
        <v>16.9198855589618</v>
      </c>
      <c r="K14969" s="6" t="n">
        <f aca="false">Sens!K14963-tax_f*(Sens!K14963-Thesis!K147)-Thesis!K144</f>
        <v>39.8251384629271</v>
      </c>
    </row>
    <row r="14970" customFormat="false" ht="17.15" hidden="false" customHeight="false" outlineLevel="0" collapsed="false">
      <c r="A14970" s="0" t="s">
        <v>1244</v>
      </c>
      <c r="B14970" s="0" t="s">
        <v>98</v>
      </c>
      <c r="G14970" s="6" t="n">
        <f aca="false">Sens!G14969/(1+wacc)^(Sens!G14940-Sens!F14941)</f>
        <v>-118.286276192192</v>
      </c>
      <c r="H14970" s="6" t="n">
        <f aca="false">Sens!H14969/(1+wacc)^(Sens!H14940-Sens!F14941)</f>
        <v>-87.6570009910427</v>
      </c>
      <c r="I14970" s="6" t="n">
        <f aca="false">Sens!I14969/(1+wacc)^(Sens!I14940-Sens!F14941)</f>
        <v>-34.1629172979204</v>
      </c>
      <c r="J14970" s="6" t="n">
        <f aca="false">Sens!J14969/(1+wacc)^(Sens!J14940-Sens!F14941)</f>
        <v>12.0079954170053</v>
      </c>
      <c r="K14970" s="6" t="n">
        <f aca="false">Sens!K14969/(1+wacc)^(Sens!K14940-Sens!F14941)</f>
        <v>25.6259421582556</v>
      </c>
      <c r="L14970" s="1" t="s">
        <v>1245</v>
      </c>
    </row>
    <row r="14971" customFormat="false" ht="17.15" hidden="false" customHeight="false" outlineLevel="0" collapsed="false">
      <c r="A14971" s="0" t="s">
        <v>1246</v>
      </c>
      <c r="B14971" s="0" t="s">
        <v>98</v>
      </c>
      <c r="C14971" s="6" t="n">
        <f aca="false">(Sens!K14963-Thesis!K147)*(1-tax_f)*(1+g_tv)*(1-g_tv/(wacc+ronic_prem))/(wacc-g_tv)/(1+wacc)^(Sens!K14941-Sens!F14941)</f>
        <v>96.7148026864948</v>
      </c>
    </row>
    <row r="14972" customFormat="false" ht="17.15" hidden="false" customHeight="false" outlineLevel="0" collapsed="false">
      <c r="A14972" s="1" t="s">
        <v>1247</v>
      </c>
      <c r="B14972" s="0" t="s">
        <v>98</v>
      </c>
      <c r="C14972" s="6" t="n">
        <f aca="false">(SUM(Sens!G14970:K14970)+Sens!$C$14971)*(1+wacc)^(t_roll-Sens!F14941)</f>
        <v>-109.248827617462</v>
      </c>
      <c r="L14972" s="12" t="s">
        <v>1248</v>
      </c>
    </row>
    <row r="14973" customFormat="false" ht="17.15" hidden="false" customHeight="false" outlineLevel="0" collapsed="false">
      <c r="A14973" s="1" t="s">
        <v>1249</v>
      </c>
      <c r="B14973" s="0" t="s">
        <v>98</v>
      </c>
      <c r="C14973" s="6" t="n">
        <f aca="false">(w_ntm28*Thesis!G135+(1-w_ntm28)*Thesis!H135)*m_ai*0.8</f>
        <v>275.484663209869</v>
      </c>
    </row>
    <row r="14974" customFormat="false" ht="17.15" hidden="false" customHeight="false" outlineLevel="0" collapsed="false">
      <c r="A14974" s="1" t="s">
        <v>1250</v>
      </c>
      <c r="B14974" s="0" t="s">
        <v>98</v>
      </c>
      <c r="C14974" s="6" t="n">
        <f aca="false">(w_ntm28*Sens!G14965+(1-w_ntm28)*Sens!H14965)*m_cloud*0.8</f>
        <v>874.43102034431</v>
      </c>
    </row>
    <row r="14975" customFormat="false" ht="17.15" hidden="false" customHeight="false" outlineLevel="0" collapsed="false">
      <c r="A14975" s="1" t="s">
        <v>1251</v>
      </c>
      <c r="B14975" s="0" t="s">
        <v>98</v>
      </c>
      <c r="C14975" s="6" t="n">
        <f aca="false">(w_ntm28*Sens!G14958+(1-w_ntm28)*Sens!H14958)*m_sw*0.8</f>
        <v>836.136452930128</v>
      </c>
    </row>
    <row r="14976" customFormat="false" ht="17.15" hidden="false" customHeight="false" outlineLevel="0" collapsed="false">
      <c r="A14976" s="1" t="s">
        <v>1252</v>
      </c>
      <c r="B14976" s="0" t="s">
        <v>98</v>
      </c>
      <c r="C14976" s="6" t="n">
        <f aca="false">(w_ntm28*Sens!G14959+(1-w_ntm28)*Sens!H14959)*m_sw*0.8</f>
        <v>298.542755966233</v>
      </c>
    </row>
    <row r="14977" customFormat="false" ht="17.15" hidden="false" customHeight="false" outlineLevel="0" collapsed="false">
      <c r="A14977" s="1" t="s">
        <v>1253</v>
      </c>
      <c r="B14977" s="0" t="s">
        <v>98</v>
      </c>
      <c r="C14977" s="6" t="n">
        <f aca="false">(w_ntm28*Sens!G14960+(1-w_ntm28)*Sens!H14960)*m_sw*0.8</f>
        <v>87.4404463048079</v>
      </c>
    </row>
    <row r="14978" customFormat="false" ht="17.15" hidden="false" customHeight="false" outlineLevel="0" collapsed="false">
      <c r="A14978" s="1" t="s">
        <v>1254</v>
      </c>
      <c r="B14978" s="0" t="s">
        <v>98</v>
      </c>
      <c r="C14978" s="6" t="n">
        <f aca="false">(w_ntm28*Sens!G14961+(1-w_ntm28)*Sens!H14961)*m_sw*0.8</f>
        <v>33.2424829771685</v>
      </c>
    </row>
    <row r="14979" customFormat="false" ht="17.15" hidden="false" customHeight="false" outlineLevel="0" collapsed="false">
      <c r="A14979" s="1" t="s">
        <v>1255</v>
      </c>
      <c r="B14979" s="0" t="s">
        <v>98</v>
      </c>
      <c r="C14979" s="6" t="n">
        <f aca="false">(w_ntm28*Sens!G14962+(1-w_ntm28)*Sens!H14962)*m_ads*0.8</f>
        <v>92.1727199958273</v>
      </c>
    </row>
    <row r="14980" customFormat="false" ht="17.15" hidden="false" customHeight="false" outlineLevel="0" collapsed="false">
      <c r="A14980" s="1" t="s">
        <v>1256</v>
      </c>
      <c r="B14980" s="0" t="s">
        <v>98</v>
      </c>
      <c r="C14980" s="6" t="n">
        <f aca="false">(w_ntm28*Sens!G14967+(1-w_ntm28)*Sens!H14967)*m_game*0.8</f>
        <v>79.0282686092626</v>
      </c>
    </row>
    <row r="14981" customFormat="false" ht="17.15" hidden="false" customHeight="false" outlineLevel="0" collapsed="false">
      <c r="A14981" s="1" t="s">
        <v>1257</v>
      </c>
      <c r="B14981" s="0" t="s">
        <v>98</v>
      </c>
      <c r="C14981" s="6" t="n">
        <f aca="false">(w_ntm28*Sens!G14968+(1-w_ntm28)*Sens!H14968)*m_pc*0.8</f>
        <v>73.2669156481738</v>
      </c>
    </row>
    <row r="14982" customFormat="false" ht="17.15" hidden="false" customHeight="false" outlineLevel="0" collapsed="false">
      <c r="A14982" s="1" t="s">
        <v>1258</v>
      </c>
      <c r="B14982" s="0" t="s">
        <v>98</v>
      </c>
      <c r="C14982" s="6" t="n">
        <f aca="false">Sens!$C$14972+Sens!$C$14974+Sens!$C$14975+Sens!$C$14976+Sens!$C$14977+Sens!$C$14978+Sens!$C$14979+Sens!$C$14980+Sens!$C$14981</f>
        <v>2265.01223515845</v>
      </c>
    </row>
    <row r="14983" customFormat="false" ht="17.15" hidden="false" customHeight="false" outlineLevel="0" collapsed="false">
      <c r="A14983" s="1" t="s">
        <v>1259</v>
      </c>
      <c r="B14983" s="0" t="s">
        <v>98</v>
      </c>
      <c r="C14983" s="6" t="n">
        <f aca="false">(Sens!G14944-Sens!G14969)*t_stub</f>
        <v>47.4829168796038</v>
      </c>
      <c r="L14983" s="1" t="s">
        <v>1260</v>
      </c>
    </row>
    <row r="14984" customFormat="false" ht="17.15" hidden="false" customHeight="false" outlineLevel="0" collapsed="false">
      <c r="A14984" s="1" t="s">
        <v>1169</v>
      </c>
      <c r="B14984" s="0" t="s">
        <v>98</v>
      </c>
      <c r="C14984" s="6" t="n">
        <f aca="false">CF!F103+oai_v-CF!F92+Sens!$C$14983</f>
        <v>158.55427008544</v>
      </c>
      <c r="L14984" s="1" t="s">
        <v>1261</v>
      </c>
    </row>
    <row r="14985" customFormat="false" ht="17.15" hidden="false" customHeight="false" outlineLevel="0" collapsed="false">
      <c r="A14985" s="1" t="s">
        <v>1262</v>
      </c>
      <c r="B14985" s="0" t="s">
        <v>75</v>
      </c>
      <c r="C14985" s="5" t="n">
        <f aca="false">(Sens!$C$14982+Sens!$C$14984)/(CF!F105+dil_gap)-CF!G95*roll_div_q/q_per_yr</f>
        <v>322.275135171277</v>
      </c>
      <c r="L14985" s="1" t="s">
        <v>1263</v>
      </c>
    </row>
    <row r="14986" customFormat="false" ht="17.15" hidden="false" customHeight="false" outlineLevel="0" collapsed="false">
      <c r="A14986" s="1" t="s">
        <v>1264</v>
      </c>
      <c r="B14986" s="0" t="s">
        <v>75</v>
      </c>
      <c r="C14986" s="5" t="n">
        <f aca="false">w_dcf*Sens!$C$14956+(1-w_dcf)*Sens!$C$14985</f>
        <v>301.473899175498</v>
      </c>
    </row>
    <row r="14987" customFormat="false" ht="17.15" hidden="false" customHeight="false" outlineLevel="0" collapsed="false">
      <c r="A14987" s="3" t="s">
        <v>1849</v>
      </c>
    </row>
    <row r="14988" customFormat="false" ht="15" hidden="false" customHeight="false" outlineLevel="0" collapsed="false">
      <c r="A14988" s="4" t="s">
        <v>43</v>
      </c>
      <c r="B14988" s="4" t="s">
        <v>65</v>
      </c>
      <c r="C14988" s="23" t="s">
        <v>938</v>
      </c>
      <c r="D14988" s="23" t="s">
        <v>939</v>
      </c>
      <c r="E14988" s="23" t="s">
        <v>940</v>
      </c>
      <c r="F14988" s="23" t="s">
        <v>941</v>
      </c>
      <c r="G14988" s="23" t="s">
        <v>942</v>
      </c>
      <c r="H14988" s="23" t="s">
        <v>943</v>
      </c>
      <c r="I14988" s="23" t="s">
        <v>944</v>
      </c>
      <c r="J14988" s="23" t="s">
        <v>945</v>
      </c>
      <c r="K14988" s="23" t="s">
        <v>946</v>
      </c>
      <c r="L14988" s="4" t="s">
        <v>47</v>
      </c>
    </row>
    <row r="14989" customFormat="false" ht="17.15" hidden="false" customHeight="false" outlineLevel="0" collapsed="false">
      <c r="A14989" s="1" t="s">
        <v>1212</v>
      </c>
      <c r="B14989" s="1" t="s">
        <v>279</v>
      </c>
      <c r="F14989" s="8" t="n">
        <f aca="false">(1-v_off)*mid_yr</f>
        <v>0.373972602739726</v>
      </c>
      <c r="G14989" s="8" t="n">
        <f aca="false">Thesis!G6-base_fy-mid_yr-v_off</f>
        <v>1.24794520547945</v>
      </c>
      <c r="H14989" s="8" t="n">
        <f aca="false">Thesis!H6-base_fy-mid_yr-v_off</f>
        <v>2.24794520547945</v>
      </c>
      <c r="I14989" s="8" t="n">
        <f aca="false">Thesis!I6-base_fy-mid_yr-v_off</f>
        <v>3.24794520547945</v>
      </c>
      <c r="J14989" s="8" t="n">
        <f aca="false">Thesis!J6-base_fy-mid_yr-v_off</f>
        <v>4.24794520547945</v>
      </c>
      <c r="K14989" s="8" t="n">
        <f aca="false">Thesis!K6-base_fy-mid_yr-v_off</f>
        <v>5.24794520547945</v>
      </c>
      <c r="L14989" s="12" t="s">
        <v>1213</v>
      </c>
    </row>
    <row r="14990" customFormat="false" ht="15" hidden="false" customHeight="false" outlineLevel="0" collapsed="false">
      <c r="A14990" s="1" t="s">
        <v>1214</v>
      </c>
      <c r="B14990" s="1" t="s">
        <v>279</v>
      </c>
      <c r="F14990" s="8" t="n">
        <f aca="false">Thesis!F6-base_fy-v_off</f>
        <v>0.747945205479452</v>
      </c>
      <c r="G14990" s="8" t="n">
        <f aca="false">Thesis!G6-base_fy-v_off</f>
        <v>1.74794520547945</v>
      </c>
      <c r="H14990" s="8" t="n">
        <f aca="false">Thesis!H6-base_fy-v_off</f>
        <v>2.74794520547945</v>
      </c>
      <c r="I14990" s="8" t="n">
        <f aca="false">Thesis!I6-base_fy-v_off</f>
        <v>3.74794520547945</v>
      </c>
      <c r="J14990" s="8" t="n">
        <f aca="false">Thesis!J6-base_fy-v_off</f>
        <v>4.74794520547945</v>
      </c>
      <c r="K14990" s="8" t="n">
        <f aca="false">Thesis!K6-base_fy-v_off</f>
        <v>5.74794520547945</v>
      </c>
    </row>
    <row r="14991" customFormat="false" ht="15" hidden="false" customHeight="false" outlineLevel="0" collapsed="false">
      <c r="A14991" s="1" t="s">
        <v>1215</v>
      </c>
      <c r="B14991" s="0" t="s">
        <v>229</v>
      </c>
      <c r="F14991" s="15" t="n">
        <f aca="false">1/(1+wacc)^Sens!F14989</f>
        <v>0.964022703286649</v>
      </c>
      <c r="G14991" s="15" t="n">
        <f aca="false">1/(1+wacc)^Sens!G14989</f>
        <v>0.884910302296739</v>
      </c>
      <c r="H14991" s="15" t="n">
        <f aca="false">1/(1+wacc)^Sens!H14989</f>
        <v>0.802322009770358</v>
      </c>
      <c r="I14991" s="15" t="n">
        <f aca="false">1/(1+wacc)^Sens!I14989</f>
        <v>0.727441646561469</v>
      </c>
      <c r="J14991" s="15" t="n">
        <f aca="false">1/(1+wacc)^Sens!J14989</f>
        <v>0.659549834988973</v>
      </c>
      <c r="K14991" s="15" t="n">
        <f aca="false">1/(1+wacc)^Sens!K14989</f>
        <v>0.597994336576966</v>
      </c>
    </row>
    <row r="14992" customFormat="false" ht="17.15" hidden="false" customHeight="false" outlineLevel="0" collapsed="false">
      <c r="A14992" s="1" t="s">
        <v>1216</v>
      </c>
      <c r="B14992" s="0" t="s">
        <v>98</v>
      </c>
      <c r="F14992" s="6" t="n">
        <f aca="false">Q!$I$35-Q!$I$39-Q!$I$43</f>
        <v>9.666</v>
      </c>
      <c r="L14992" s="12" t="s">
        <v>1217</v>
      </c>
    </row>
    <row r="14993" customFormat="false" ht="17.15" hidden="false" customHeight="false" outlineLevel="0" collapsed="false">
      <c r="A14993" s="1" t="s">
        <v>1218</v>
      </c>
      <c r="B14993" s="0" t="s">
        <v>98</v>
      </c>
      <c r="F14993" s="6" t="n">
        <f aca="false">CF!F23-CF!F20-CF!F27+Thesis!F47*(1-tax_f)*(1-v_off)-Sens!F14992</f>
        <v>-1.12880264559539</v>
      </c>
      <c r="G14993" s="6" t="n">
        <f aca="false">CF!G23-CF!G20-CF!G27+Thesis!G47*(1-tax_f)</f>
        <v>38.7194421947551</v>
      </c>
      <c r="H14993" s="6" t="n">
        <f aca="false">CF!H23-CF!H20-CF!H27+Thesis!H47*(1-tax_f)</f>
        <v>98.6927474567662</v>
      </c>
      <c r="I14993" s="6" t="n">
        <f aca="false">CF!I23-CF!I20-CF!I27+Thesis!I47*(1-tax_f)</f>
        <v>181.625440536277</v>
      </c>
      <c r="J14993" s="6" t="n">
        <f aca="false">CF!J23-CF!J20-CF!J27+Thesis!J47*(1-tax_f)</f>
        <v>263.350402418584</v>
      </c>
      <c r="K14993" s="6" t="n">
        <f aca="false">CF!K23-CF!K20-CF!K27+Thesis!K47*(1-tax_f)</f>
        <v>303.659068389018</v>
      </c>
      <c r="L14993" s="1" t="s">
        <v>1219</v>
      </c>
    </row>
    <row r="14994" customFormat="false" ht="15" hidden="false" customHeight="false" outlineLevel="0" collapsed="false">
      <c r="A14994" s="1" t="s">
        <v>1220</v>
      </c>
      <c r="B14994" s="0" t="s">
        <v>98</v>
      </c>
      <c r="F14994" s="6" t="n">
        <f aca="false">Sens!F14993*Sens!F14991</f>
        <v>-1.08819137788399</v>
      </c>
      <c r="G14994" s="6" t="n">
        <f aca="false">Sens!G14993*Sens!G14991</f>
        <v>34.2632332973219</v>
      </c>
      <c r="H14994" s="6" t="n">
        <f aca="false">Sens!H14993*Sens!H14991</f>
        <v>79.183363489271</v>
      </c>
      <c r="I14994" s="6" t="n">
        <f aca="false">Sens!I14993*Sens!I14991</f>
        <v>132.121909521162</v>
      </c>
      <c r="J14994" s="6" t="n">
        <f aca="false">Sens!J14993*Sens!J14991</f>
        <v>173.692714459456</v>
      </c>
      <c r="K14994" s="6" t="n">
        <f aca="false">Sens!K14993*Sens!K14991</f>
        <v>181.58640314687</v>
      </c>
    </row>
    <row r="14995" customFormat="false" ht="17.15" hidden="false" customHeight="false" outlineLevel="0" collapsed="false">
      <c r="A14995" s="1" t="s">
        <v>1221</v>
      </c>
      <c r="B14995" s="0" t="s">
        <v>98</v>
      </c>
      <c r="C14995" s="6" t="n">
        <f aca="false">SUM(Sens!F14994:K14994)</f>
        <v>599.759432536197</v>
      </c>
    </row>
    <row r="14996" customFormat="false" ht="17.15" hidden="false" customHeight="false" outlineLevel="0" collapsed="false">
      <c r="A14996" s="1" t="s">
        <v>1222</v>
      </c>
      <c r="B14996" s="0" t="s">
        <v>98</v>
      </c>
      <c r="C14996" s="6" t="n">
        <f aca="false">PL!K39*(1+g_tv)*(1-tax_f)</f>
        <v>316.501318799308</v>
      </c>
    </row>
    <row r="14997" customFormat="false" ht="17.15" hidden="false" customHeight="false" outlineLevel="0" collapsed="false">
      <c r="A14997" s="1" t="s">
        <v>1223</v>
      </c>
      <c r="B14997" s="0" t="s">
        <v>98</v>
      </c>
      <c r="C14997" s="6" t="n">
        <f aca="false">Sens!$C$14996*(1-g_tv/(wacc+ronic_prem))</f>
        <v>224.25968269347</v>
      </c>
    </row>
    <row r="14998" customFormat="false" ht="17.15" hidden="false" customHeight="false" outlineLevel="0" collapsed="false">
      <c r="A14998" s="1" t="s">
        <v>1224</v>
      </c>
      <c r="B14998" s="0" t="s">
        <v>98</v>
      </c>
      <c r="C14998" s="6" t="n">
        <f aca="false">Sens!$C$14997/(wacc-g_tv)</f>
        <v>3074.72120352792</v>
      </c>
    </row>
    <row r="14999" customFormat="false" ht="15" hidden="false" customHeight="false" outlineLevel="0" collapsed="false">
      <c r="A14999" s="1" t="s">
        <v>1225</v>
      </c>
      <c r="B14999" s="0" t="s">
        <v>98</v>
      </c>
      <c r="C14999" s="6" t="n">
        <f aca="false">Sens!$C$14998/(1+wacc)^Sens!K14990</f>
        <v>1750.76373116397</v>
      </c>
    </row>
    <row r="15000" customFormat="false" ht="17.15" hidden="false" customHeight="false" outlineLevel="0" collapsed="false">
      <c r="A15000" s="0" t="s">
        <v>1226</v>
      </c>
      <c r="B15000" s="0" t="s">
        <v>98</v>
      </c>
      <c r="C15000" s="6" t="n">
        <f aca="false">Sens!$C$14995+Sens!$C$14999</f>
        <v>2350.52316370017</v>
      </c>
    </row>
    <row r="15001" customFormat="false" ht="15" hidden="false" customHeight="false" outlineLevel="0" collapsed="false">
      <c r="A15001" s="1" t="s">
        <v>1141</v>
      </c>
      <c r="B15001" s="0" t="s">
        <v>168</v>
      </c>
      <c r="C15001" s="7" t="n">
        <f aca="false">Sens!$C$14999/Sens!$C$15000</f>
        <v>0.744840024638574</v>
      </c>
    </row>
    <row r="15002" customFormat="false" ht="17.15" hidden="false" customHeight="false" outlineLevel="0" collapsed="false">
      <c r="A15002" s="1" t="s">
        <v>1227</v>
      </c>
      <c r="B15002" s="0" t="s">
        <v>98</v>
      </c>
      <c r="C15002" s="6" t="n">
        <f aca="false">Sens!$C$15000+cash_val-debt_val-fl_val+oai_v</f>
        <v>2466.37416370017</v>
      </c>
    </row>
    <row r="15003" customFormat="false" ht="17.15" hidden="false" customHeight="false" outlineLevel="0" collapsed="false">
      <c r="A15003" s="0" t="s">
        <v>1149</v>
      </c>
      <c r="B15003" s="0" t="s">
        <v>75</v>
      </c>
      <c r="C15003" s="5" t="n">
        <f aca="false">Sens!$C$15002/shd_val</f>
        <v>331.234778901447</v>
      </c>
    </row>
    <row r="15004" customFormat="false" ht="15" hidden="false" customHeight="false" outlineLevel="0" collapsed="false">
      <c r="A15004" s="1" t="s">
        <v>1228</v>
      </c>
      <c r="B15004" s="0" t="s">
        <v>75</v>
      </c>
      <c r="C15004" s="8" t="n">
        <f aca="false">div_rem27+CF!G31*roll_div_q/q_per_yr</f>
        <v>3.9795</v>
      </c>
    </row>
    <row r="15005" customFormat="false" ht="17.15" hidden="false" customHeight="false" outlineLevel="0" collapsed="false">
      <c r="A15005" s="0" t="s">
        <v>1229</v>
      </c>
      <c r="B15005" s="0" t="s">
        <v>75</v>
      </c>
      <c r="C15005" s="5" t="n">
        <f aca="false">Sens!$C$15003*(1+wacc)^t_roll-Sens!$C$15004</f>
        <v>364.206443208347</v>
      </c>
    </row>
    <row r="15006" customFormat="false" ht="17.15" hidden="false" customHeight="false" outlineLevel="0" collapsed="false">
      <c r="A15006" s="1" t="s">
        <v>1230</v>
      </c>
      <c r="B15006" s="0" t="s">
        <v>168</v>
      </c>
      <c r="F15006" s="7" t="n">
        <f aca="false">CF!F17/(Seg!F29-Thesis!F25)</f>
        <v>0.0685527305696859</v>
      </c>
      <c r="G15006" s="7" t="n">
        <f aca="false">CF!G17/(Seg!G29-Thesis!G25)</f>
        <v>0.0653567731599844</v>
      </c>
      <c r="H15006" s="7" t="n">
        <f aca="false">CF!H17/(Seg!H29-Thesis!H25)</f>
        <v>0.0636628841026972</v>
      </c>
      <c r="I15006" s="7" t="n">
        <f aca="false">CF!I17/(Seg!I29-Thesis!I25)</f>
        <v>0.0633581084335176</v>
      </c>
      <c r="J15006" s="7" t="n">
        <f aca="false">CF!J17/(Seg!J29-Thesis!J25)</f>
        <v>0.0640873955995062</v>
      </c>
      <c r="K15006" s="7" t="n">
        <f aca="false">CF!K17/(Seg!K29-Thesis!K25)</f>
        <v>0.0653962234835198</v>
      </c>
    </row>
    <row r="15007" customFormat="false" ht="17.15" hidden="false" customHeight="false" outlineLevel="0" collapsed="false">
      <c r="A15007" s="0" t="s">
        <v>1231</v>
      </c>
      <c r="B15007" s="0" t="s">
        <v>98</v>
      </c>
      <c r="F15007" s="6" t="n">
        <f aca="false">Seg!F14*(al_m365+Sens!F15006+sbc_r)</f>
        <v>84.5213906545575</v>
      </c>
      <c r="G15007" s="6" t="n">
        <f aca="false">Seg!G14*(al_m365+Sens!G15006+sbc_r)</f>
        <v>98.949983331796</v>
      </c>
      <c r="H15007" s="6" t="n">
        <f aca="false">Seg!H14*(al_m365+Sens!H15006+sbc_r)</f>
        <v>113.543734275326</v>
      </c>
      <c r="I15007" s="6" t="n">
        <f aca="false">Seg!I14*(al_m365+Sens!I15006+sbc_r)</f>
        <v>126.62058838692</v>
      </c>
      <c r="J15007" s="6" t="n">
        <f aca="false">Seg!J14*(al_m365+Sens!J15006+sbc_r)</f>
        <v>137.994660156303</v>
      </c>
      <c r="K15007" s="6" t="n">
        <f aca="false">Seg!K14*(al_m365+Sens!K15006+sbc_r)</f>
        <v>148.989224092997</v>
      </c>
      <c r="L15007" s="12" t="s">
        <v>1232</v>
      </c>
    </row>
    <row r="15008" customFormat="false" ht="17.15" hidden="false" customHeight="false" outlineLevel="0" collapsed="false">
      <c r="A15008" s="0" t="s">
        <v>1233</v>
      </c>
      <c r="B15008" s="0" t="s">
        <v>98</v>
      </c>
      <c r="F15008" s="6" t="n">
        <f aca="false">Seg!F15*(al_lic+Sens!F15006+sbc_r)</f>
        <v>32.855200196554</v>
      </c>
      <c r="G15008" s="6" t="n">
        <f aca="false">Seg!G15*(al_lic+Sens!G15006+sbc_r)</f>
        <v>34.1185582613282</v>
      </c>
      <c r="H15008" s="6" t="n">
        <f aca="false">Seg!H15*(al_lic+Sens!H15006+sbc_r)</f>
        <v>35.3024309363621</v>
      </c>
      <c r="I15008" s="6" t="n">
        <f aca="false">Seg!I15*(al_lic+Sens!I15006+sbc_r)</f>
        <v>36.3898468129533</v>
      </c>
      <c r="J15008" s="6" t="n">
        <f aca="false">Seg!J15*(al_lic+Sens!J15006+sbc_r)</f>
        <v>37.3529129529876</v>
      </c>
      <c r="K15008" s="6" t="n">
        <f aca="false">Seg!K15*(al_lic+Sens!K15006+sbc_r)</f>
        <v>38.158536171203</v>
      </c>
    </row>
    <row r="15009" customFormat="false" ht="17.15" hidden="false" customHeight="false" outlineLevel="0" collapsed="false">
      <c r="A15009" s="0" t="s">
        <v>1234</v>
      </c>
      <c r="B15009" s="0" t="s">
        <v>98</v>
      </c>
      <c r="F15009" s="6" t="n">
        <f aca="false">Seg!F17*(al_ind+Sens!F15006+sbc_r)</f>
        <v>9.05892547956683</v>
      </c>
      <c r="G15009" s="6" t="n">
        <f aca="false">Seg!G17*(al_ind+Sens!G15006+sbc_r)</f>
        <v>9.82456487622418</v>
      </c>
      <c r="H15009" s="6" t="n">
        <f aca="false">Seg!H17*(al_ind+Sens!H15006+sbc_r)</f>
        <v>10.6377408477959</v>
      </c>
      <c r="I15009" s="6" t="n">
        <f aca="false">Seg!I17*(al_ind+Sens!I15006+sbc_r)</f>
        <v>11.4966323260293</v>
      </c>
      <c r="J15009" s="6" t="n">
        <f aca="false">Seg!J17*(al_ind+Sens!J15006+sbc_r)</f>
        <v>12.3903660286279</v>
      </c>
      <c r="K15009" s="6" t="n">
        <f aca="false">Seg!K17*(al_ind+Sens!K15006+sbc_r)</f>
        <v>13.3009129057681</v>
      </c>
    </row>
    <row r="15010" customFormat="false" ht="17.15" hidden="false" customHeight="false" outlineLevel="0" collapsed="false">
      <c r="A15010" s="0" t="s">
        <v>1235</v>
      </c>
      <c r="B15010" s="0" t="s">
        <v>98</v>
      </c>
      <c r="F15010" s="6" t="n">
        <f aca="false">Seg!F19*(al_fro+Sens!F15006+sbc_r)</f>
        <v>3.55344443532423</v>
      </c>
      <c r="G15010" s="6" t="n">
        <f aca="false">Seg!G19*(al_fro+Sens!G15006+sbc_r)</f>
        <v>3.75916645971565</v>
      </c>
      <c r="H15010" s="6" t="n">
        <f aca="false">Seg!H19*(al_fro+Sens!H15006+sbc_r)</f>
        <v>3.994970960527</v>
      </c>
      <c r="I15010" s="6" t="n">
        <f aca="false">Seg!I19*(al_fro+Sens!I15006+sbc_r)</f>
        <v>4.26396270432353</v>
      </c>
      <c r="J15010" s="6" t="n">
        <f aca="false">Seg!J19*(al_fro+Sens!J15006+sbc_r)</f>
        <v>4.5667795874336</v>
      </c>
      <c r="K15010" s="6" t="n">
        <f aca="false">Seg!K19*(al_fro+Sens!K15006+sbc_r)</f>
        <v>4.90238443416026</v>
      </c>
    </row>
    <row r="15011" customFormat="false" ht="17.15" hidden="false" customHeight="false" outlineLevel="0" collapsed="false">
      <c r="A15011" s="0" t="s">
        <v>1236</v>
      </c>
      <c r="B15011" s="0" t="s">
        <v>98</v>
      </c>
      <c r="F15011" s="6" t="n">
        <f aca="false">Seg!F22*(al_srch+Sens!F15006+sbc_r)</f>
        <v>11.1872483445711</v>
      </c>
      <c r="G15011" s="6" t="n">
        <f aca="false">Seg!G22*(al_srch+Sens!G15006+sbc_r)</f>
        <v>12.247246048296</v>
      </c>
      <c r="H15011" s="6" t="n">
        <f aca="false">Seg!H22*(al_srch+Sens!H15006+sbc_r)</f>
        <v>13.3552870946193</v>
      </c>
      <c r="I15011" s="6" t="n">
        <f aca="false">Seg!I22*(al_srch+Sens!I15006+sbc_r)</f>
        <v>14.5024145321619</v>
      </c>
      <c r="J15011" s="6" t="n">
        <f aca="false">Seg!J22*(al_srch+Sens!J15006+sbc_r)</f>
        <v>15.667276660652</v>
      </c>
      <c r="K15011" s="6" t="n">
        <f aca="false">Seg!K22*(al_srch+Sens!K15006+sbc_r)</f>
        <v>16.8186381138719</v>
      </c>
    </row>
    <row r="15012" customFormat="false" ht="17.15" hidden="false" customHeight="false" outlineLevel="0" collapsed="false">
      <c r="A15012" s="0" t="s">
        <v>1237</v>
      </c>
      <c r="B15012" s="0" t="s">
        <v>98</v>
      </c>
      <c r="F15012" s="6" t="n">
        <f aca="false">Thesis!F31-Thesis!F32+Thesis!F47</f>
        <v>45.3782580567763</v>
      </c>
      <c r="G15012" s="6" t="n">
        <f aca="false">Thesis!G31-Thesis!G32+Thesis!G47</f>
        <v>91.0863367558165</v>
      </c>
      <c r="H15012" s="6" t="n">
        <f aca="false">Thesis!H31-Thesis!H32+Thesis!H47</f>
        <v>144.617532464853</v>
      </c>
      <c r="I15012" s="6" t="n">
        <f aca="false">Thesis!I31-Thesis!I32+Thesis!I47</f>
        <v>187.137304561304</v>
      </c>
      <c r="J15012" s="6" t="n">
        <f aca="false">Thesis!J31-Thesis!J32+Thesis!J47</f>
        <v>217.006854425907</v>
      </c>
      <c r="K15012" s="6" t="n">
        <f aca="false">Thesis!K31-Thesis!K32+Thesis!K47</f>
        <v>234.933637903877</v>
      </c>
    </row>
    <row r="15013" customFormat="false" ht="17.15" hidden="false" customHeight="false" outlineLevel="0" collapsed="false">
      <c r="A15013" s="0" t="s">
        <v>1238</v>
      </c>
      <c r="B15013" s="0" t="s">
        <v>98</v>
      </c>
      <c r="F15013" s="6" t="n">
        <f aca="false">PL!F32+Thesis!F47+Thesis!F43+Sens!F15006*(Seg!F21-Thesis!F25)+sbc_r*Seg!F21</f>
        <v>240.818167741339</v>
      </c>
      <c r="G15013" s="6" t="n">
        <f aca="false">PL!G32+Thesis!G47+Thesis!G43+Sens!G15006*(Seg!G21-Thesis!G25)+sbc_r*Seg!G21</f>
        <v>311.917784140952</v>
      </c>
      <c r="H15013" s="6" t="n">
        <f aca="false">PL!H32+Thesis!H47+Thesis!H43+Sens!H15006*(Seg!H21-Thesis!H25)+sbc_r*Seg!H21</f>
        <v>395.486245683473</v>
      </c>
      <c r="I15013" s="6" t="n">
        <f aca="false">PL!I32+Thesis!I47+Thesis!I43+Sens!I15006*(Seg!I21-Thesis!I25)+sbc_r*Seg!I21</f>
        <v>465.950805948377</v>
      </c>
      <c r="J15013" s="6" t="n">
        <f aca="false">PL!J32+Thesis!J47+Thesis!J43+Sens!J15006*(Seg!J21-Thesis!J25)+sbc_r*Seg!J21</f>
        <v>520.78677388057</v>
      </c>
      <c r="K15013" s="6" t="n">
        <f aca="false">PL!K32+Thesis!K47+Thesis!K43+Sens!K15006*(Seg!K21-Thesis!K25)+sbc_r*Seg!K21</f>
        <v>561.2469767412</v>
      </c>
    </row>
    <row r="15014" customFormat="false" ht="17.15" hidden="false" customHeight="false" outlineLevel="0" collapsed="false">
      <c r="A15014" s="0" t="s">
        <v>1239</v>
      </c>
      <c r="B15014" s="0" t="s">
        <v>98</v>
      </c>
      <c r="F15014" s="6" t="n">
        <f aca="false">Sens!F15013-Sens!F15007-Sens!F15008-Sens!F15009-Sens!F15010-Sens!F15012</f>
        <v>65.4509489185601</v>
      </c>
      <c r="G15014" s="6" t="n">
        <f aca="false">Sens!G15013-Sens!G15007-Sens!G15008-Sens!G15009-Sens!G15010-Sens!G15012</f>
        <v>74.1791744560715</v>
      </c>
      <c r="H15014" s="6" t="n">
        <f aca="false">Sens!H15013-Sens!H15007-Sens!H15008-Sens!H15009-Sens!H15010-Sens!H15012</f>
        <v>87.3898361986086</v>
      </c>
      <c r="I15014" s="6" t="n">
        <f aca="false">Sens!I15013-Sens!I15007-Sens!I15008-Sens!I15009-Sens!I15010-Sens!I15012</f>
        <v>100.042471156846</v>
      </c>
      <c r="J15014" s="6" t="n">
        <f aca="false">Sens!J15013-Sens!J15007-Sens!J15008-Sens!J15009-Sens!J15010-Sens!J15012</f>
        <v>111.475200729312</v>
      </c>
      <c r="K15014" s="6" t="n">
        <f aca="false">Sens!K15013-Sens!K15007-Sens!K15008-Sens!K15009-Sens!K15010-Sens!K15012</f>
        <v>120.962281233195</v>
      </c>
    </row>
    <row r="15015" customFormat="false" ht="17.15" hidden="false" customHeight="false" outlineLevel="0" collapsed="false">
      <c r="A15015" s="0" t="s">
        <v>1240</v>
      </c>
      <c r="B15015" s="0" t="s">
        <v>98</v>
      </c>
      <c r="F15015" s="6" t="n">
        <f aca="false">PL!F34+Sens!F15006*Seg!F28+sbc_r*Seg!F28</f>
        <v>26.6293388420472</v>
      </c>
      <c r="G15015" s="6" t="n">
        <f aca="false">PL!G34+Sens!G15006*Seg!G28+sbc_r*Seg!G28</f>
        <v>26.4405000412783</v>
      </c>
      <c r="H15015" s="6" t="n">
        <f aca="false">PL!H34+Sens!H15006*Seg!H28+sbc_r*Seg!H28</f>
        <v>27.296860059552</v>
      </c>
      <c r="I15015" s="6" t="n">
        <f aca="false">PL!I34+Sens!I15006*Seg!I28+sbc_r*Seg!I28</f>
        <v>28.3995465815703</v>
      </c>
      <c r="J15015" s="6" t="n">
        <f aca="false">PL!J34+Sens!J15006*Seg!J28+sbc_r*Seg!J28</f>
        <v>29.7093380975903</v>
      </c>
      <c r="K15015" s="6" t="n">
        <f aca="false">PL!K34+Sens!K15006*Seg!K28+sbc_r*Seg!K28</f>
        <v>31.1817775287323</v>
      </c>
    </row>
    <row r="15016" customFormat="false" ht="17.15" hidden="false" customHeight="false" outlineLevel="0" collapsed="false">
      <c r="A15016" s="0" t="s">
        <v>1241</v>
      </c>
      <c r="B15016" s="0" t="s">
        <v>98</v>
      </c>
      <c r="F15016" s="6" t="n">
        <f aca="false">(Sens!F15015-Sens!F15011)*Seg!F24/(Seg!F24+Seg!F26)</f>
        <v>8.72146908842971</v>
      </c>
      <c r="G15016" s="6" t="n">
        <f aca="false">(Sens!G15015-Sens!G15011)*Seg!G24/(Seg!G24+Seg!G26)</f>
        <v>7.87837655379173</v>
      </c>
      <c r="H15016" s="6" t="n">
        <f aca="false">(Sens!H15015-Sens!H15011)*Seg!H24/(Seg!H24+Seg!H26)</f>
        <v>7.63786170689933</v>
      </c>
      <c r="I15016" s="6" t="n">
        <f aca="false">(Sens!I15015-Sens!I15011)*Seg!I24/(Seg!I24+Seg!I26)</f>
        <v>7.5470606300581</v>
      </c>
      <c r="J15016" s="6" t="n">
        <f aca="false">(Sens!J15015-Sens!J15011)*Seg!J24/(Seg!J24+Seg!J26)</f>
        <v>7.59249600034024</v>
      </c>
      <c r="K15016" s="6" t="n">
        <f aca="false">(Sens!K15015-Sens!K15011)*Seg!K24/(Seg!K24+Seg!K26)</f>
        <v>7.76610179704742</v>
      </c>
    </row>
    <row r="15017" customFormat="false" ht="17.15" hidden="false" customHeight="false" outlineLevel="0" collapsed="false">
      <c r="A15017" s="0" t="s">
        <v>1242</v>
      </c>
      <c r="B15017" s="0" t="s">
        <v>98</v>
      </c>
      <c r="F15017" s="6" t="n">
        <f aca="false">Sens!F15015-Sens!F15011-Sens!F15016</f>
        <v>6.72062140904636</v>
      </c>
      <c r="G15017" s="6" t="n">
        <f aca="false">Sens!G15015-Sens!G15011-Sens!G15016</f>
        <v>6.31487743919059</v>
      </c>
      <c r="H15017" s="6" t="n">
        <f aca="false">Sens!H15015-Sens!H15011-Sens!H15016</f>
        <v>6.30371125803333</v>
      </c>
      <c r="I15017" s="6" t="n">
        <f aca="false">Sens!I15015-Sens!I15011-Sens!I15016</f>
        <v>6.35007141935025</v>
      </c>
      <c r="J15017" s="6" t="n">
        <f aca="false">Sens!J15015-Sens!J15011-Sens!J15016</f>
        <v>6.44956543659808</v>
      </c>
      <c r="K15017" s="6" t="n">
        <f aca="false">Sens!K15015-Sens!K15011-Sens!K15016</f>
        <v>6.597037617813</v>
      </c>
    </row>
    <row r="15018" customFormat="false" ht="17.15" hidden="false" customHeight="false" outlineLevel="0" collapsed="false">
      <c r="A15018" s="0" t="s">
        <v>1243</v>
      </c>
      <c r="B15018" s="0" t="s">
        <v>98</v>
      </c>
      <c r="F15018" s="6" t="n">
        <f aca="false">Sens!F15012-tax_f*(Sens!F15012-Thesis!F43)-Thesis!F40</f>
        <v>-125.235434701028</v>
      </c>
      <c r="G15018" s="6" t="n">
        <f aca="false">Sens!G15012-tax_f*(Sens!G15012-Thesis!G43)-Thesis!G40</f>
        <v>-106.928508113935</v>
      </c>
      <c r="H15018" s="6" t="n">
        <f aca="false">Sens!H15012-tax_f*(Sens!H15012-Thesis!H43)-Thesis!H40</f>
        <v>-63.2919599603405</v>
      </c>
      <c r="I15018" s="6" t="n">
        <f aca="false">Sens!I15012-tax_f*(Sens!I15012-Thesis!I43)-Thesis!I40</f>
        <v>3.94121196634245</v>
      </c>
      <c r="J15018" s="6" t="n">
        <f aca="false">Sens!J15012-tax_f*(Sens!J15012-Thesis!J43)-Thesis!J40</f>
        <v>71.0786869547042</v>
      </c>
      <c r="K15018" s="6" t="n">
        <f aca="false">Sens!K15012-tax_f*(Sens!K15012-Thesis!K43)-Thesis!K40</f>
        <v>97.5865911685559</v>
      </c>
    </row>
    <row r="15019" customFormat="false" ht="17.15" hidden="false" customHeight="false" outlineLevel="0" collapsed="false">
      <c r="A15019" s="0" t="s">
        <v>1244</v>
      </c>
      <c r="B15019" s="0" t="s">
        <v>98</v>
      </c>
      <c r="G15019" s="6" t="n">
        <f aca="false">Sens!G15018/(1+wacc)^(Sens!G14989-Sens!F14990)</f>
        <v>-101.81651667568</v>
      </c>
      <c r="H15019" s="6" t="n">
        <f aca="false">Sens!H15018/(1+wacc)^(Sens!H14989-Sens!F14990)</f>
        <v>-54.6415143556151</v>
      </c>
      <c r="I15019" s="6" t="n">
        <f aca="false">Sens!I15018/(1+wacc)^(Sens!I14989-Sens!F14990)</f>
        <v>3.08498765169516</v>
      </c>
      <c r="J15019" s="6" t="n">
        <f aca="false">Sens!J15018/(1+wacc)^(Sens!J14989-Sens!F14990)</f>
        <v>50.4443451596971</v>
      </c>
      <c r="K15019" s="6" t="n">
        <f aca="false">Sens!K15018/(1+wacc)^(Sens!K14989-Sens!F14990)</f>
        <v>62.7932114544856</v>
      </c>
      <c r="L15019" s="1" t="s">
        <v>1245</v>
      </c>
    </row>
    <row r="15020" customFormat="false" ht="17.15" hidden="false" customHeight="false" outlineLevel="0" collapsed="false">
      <c r="A15020" s="0" t="s">
        <v>1246</v>
      </c>
      <c r="B15020" s="0" t="s">
        <v>98</v>
      </c>
      <c r="C15020" s="6" t="n">
        <f aca="false">(Sens!K15012-Thesis!K43)*(1-tax_f)*(1+g_tv)*(1-g_tv/(wacc+ronic_prem))/(wacc-g_tv)/(1+wacc)^(Sens!K14990-Sens!F14990)</f>
        <v>450.836735002813</v>
      </c>
    </row>
    <row r="15021" customFormat="false" ht="17.15" hidden="false" customHeight="false" outlineLevel="0" collapsed="false">
      <c r="A15021" s="1" t="s">
        <v>1247</v>
      </c>
      <c r="B15021" s="0" t="s">
        <v>98</v>
      </c>
      <c r="C15021" s="6" t="n">
        <f aca="false">(SUM(Sens!G15019:K15019)+Sens!$C$15020)*(1+wacc)^(t_roll-Sens!F14990)</f>
        <v>424.259738494477</v>
      </c>
      <c r="L15021" s="12" t="s">
        <v>1248</v>
      </c>
    </row>
    <row r="15022" customFormat="false" ht="17.15" hidden="false" customHeight="false" outlineLevel="0" collapsed="false">
      <c r="A15022" s="1" t="s">
        <v>1249</v>
      </c>
      <c r="B15022" s="0" t="s">
        <v>98</v>
      </c>
      <c r="C15022" s="6" t="n">
        <f aca="false">(w_ntm28*Thesis!G31+(1-w_ntm28)*Thesis!H31)*m_ai*1.2</f>
        <v>675.980211910402</v>
      </c>
    </row>
    <row r="15023" customFormat="false" ht="17.15" hidden="false" customHeight="false" outlineLevel="0" collapsed="false">
      <c r="A15023" s="1" t="s">
        <v>1250</v>
      </c>
      <c r="B15023" s="0" t="s">
        <v>98</v>
      </c>
      <c r="C15023" s="6" t="n">
        <f aca="false">(w_ntm28*Sens!G15014+(1-w_ntm28)*Sens!H15014)*m_cloud*1.2</f>
        <v>1302.21557635918</v>
      </c>
    </row>
    <row r="15024" customFormat="false" ht="17.15" hidden="false" customHeight="false" outlineLevel="0" collapsed="false">
      <c r="A15024" s="1" t="s">
        <v>1251</v>
      </c>
      <c r="B15024" s="0" t="s">
        <v>98</v>
      </c>
      <c r="C15024" s="6" t="n">
        <f aca="false">(w_ntm28*Sens!G15007+(1-w_ntm28)*Sens!H15007)*m_sw*1.2</f>
        <v>1344.5731578633</v>
      </c>
    </row>
    <row r="15025" customFormat="false" ht="17.15" hidden="false" customHeight="false" outlineLevel="0" collapsed="false">
      <c r="A15025" s="1" t="s">
        <v>1252</v>
      </c>
      <c r="B15025" s="0" t="s">
        <v>98</v>
      </c>
      <c r="C15025" s="6" t="n">
        <f aca="false">(w_ntm28*Sens!G15008+(1-w_ntm28)*Sens!H15008)*m_sw*1.2</f>
        <v>447.220785708492</v>
      </c>
    </row>
    <row r="15026" customFormat="false" ht="17.15" hidden="false" customHeight="false" outlineLevel="0" collapsed="false">
      <c r="A15026" s="1" t="s">
        <v>1253</v>
      </c>
      <c r="B15026" s="0" t="s">
        <v>98</v>
      </c>
      <c r="C15026" s="6" t="n">
        <f aca="false">(w_ntm28*Sens!G15009+(1-w_ntm28)*Sens!H15009)*m_sw*1.2</f>
        <v>130.791158798573</v>
      </c>
    </row>
    <row r="15027" customFormat="false" ht="17.15" hidden="false" customHeight="false" outlineLevel="0" collapsed="false">
      <c r="A15027" s="1" t="s">
        <v>1254</v>
      </c>
      <c r="B15027" s="0" t="s">
        <v>98</v>
      </c>
      <c r="C15027" s="6" t="n">
        <f aca="false">(w_ntm28*Sens!G15010+(1-w_ntm28)*Sens!H15010)*m_sw*1.2</f>
        <v>49.7235183032896</v>
      </c>
    </row>
    <row r="15028" customFormat="false" ht="17.15" hidden="false" customHeight="false" outlineLevel="0" collapsed="false">
      <c r="A15028" s="1" t="s">
        <v>1255</v>
      </c>
      <c r="B15028" s="0" t="s">
        <v>98</v>
      </c>
      <c r="C15028" s="6" t="n">
        <f aca="false">(w_ntm28*Sens!G15011+(1-w_ntm28)*Sens!H15011)*m_ads*1.2</f>
        <v>137.869284392325</v>
      </c>
    </row>
    <row r="15029" customFormat="false" ht="17.15" hidden="false" customHeight="false" outlineLevel="0" collapsed="false">
      <c r="A15029" s="1" t="s">
        <v>1256</v>
      </c>
      <c r="B15029" s="0" t="s">
        <v>98</v>
      </c>
      <c r="C15029" s="6" t="n">
        <f aca="false">(w_ntm28*Sens!G15016+(1-w_ntm28)*Sens!H15016)*m_game*1.2</f>
        <v>118.206238988062</v>
      </c>
    </row>
    <row r="15030" customFormat="false" ht="17.15" hidden="false" customHeight="false" outlineLevel="0" collapsed="false">
      <c r="A15030" s="1" t="s">
        <v>1257</v>
      </c>
      <c r="B15030" s="0" t="s">
        <v>98</v>
      </c>
      <c r="C15030" s="6" t="n">
        <f aca="false">(w_ntm28*Sens!G15017+(1-w_ntm28)*Sens!H15017)*m_pc*1.2</f>
        <v>109.587787338068</v>
      </c>
    </row>
    <row r="15031" customFormat="false" ht="17.15" hidden="false" customHeight="false" outlineLevel="0" collapsed="false">
      <c r="A15031" s="1" t="s">
        <v>1258</v>
      </c>
      <c r="B15031" s="0" t="s">
        <v>98</v>
      </c>
      <c r="C15031" s="6" t="n">
        <f aca="false">Sens!$C$15021+Sens!$C$15023+Sens!$C$15024+Sens!$C$15025+Sens!$C$15026+Sens!$C$15027+Sens!$C$15028+Sens!$C$15029+Sens!$C$15030</f>
        <v>4064.44724624577</v>
      </c>
    </row>
    <row r="15032" customFormat="false" ht="17.15" hidden="false" customHeight="false" outlineLevel="0" collapsed="false">
      <c r="A15032" s="1" t="s">
        <v>1259</v>
      </c>
      <c r="B15032" s="0" t="s">
        <v>98</v>
      </c>
      <c r="C15032" s="6" t="n">
        <f aca="false">(Sens!G14993-Sens!G15018)*t_stub</f>
        <v>48.2832931160316</v>
      </c>
      <c r="L15032" s="1" t="s">
        <v>1260</v>
      </c>
    </row>
    <row r="15033" customFormat="false" ht="17.15" hidden="false" customHeight="false" outlineLevel="0" collapsed="false">
      <c r="A15033" s="1" t="s">
        <v>1169</v>
      </c>
      <c r="B15033" s="0" t="s">
        <v>98</v>
      </c>
      <c r="C15033" s="6" t="n">
        <f aca="false">CF!F39+oai_v-CF!F28+Sens!$C$15032</f>
        <v>162.511563116032</v>
      </c>
      <c r="L15033" s="1" t="s">
        <v>1261</v>
      </c>
    </row>
    <row r="15034" customFormat="false" ht="17.15" hidden="false" customHeight="false" outlineLevel="0" collapsed="false">
      <c r="A15034" s="1" t="s">
        <v>1262</v>
      </c>
      <c r="B15034" s="0" t="s">
        <v>75</v>
      </c>
      <c r="C15034" s="5" t="n">
        <f aca="false">(Sens!$C$15031+Sens!$C$15033)/(CF!F41+dil_gap)-CF!G31*roll_div_q/q_per_yr</f>
        <v>563.287476086868</v>
      </c>
      <c r="L15034" s="1" t="s">
        <v>1263</v>
      </c>
    </row>
    <row r="15035" customFormat="false" ht="17.15" hidden="false" customHeight="false" outlineLevel="0" collapsed="false">
      <c r="A15035" s="1" t="s">
        <v>1264</v>
      </c>
      <c r="B15035" s="0" t="s">
        <v>75</v>
      </c>
      <c r="C15035" s="5" t="n">
        <f aca="false">w_dcf*Sens!$C$15005+(1-w_dcf)*Sens!$C$15034</f>
        <v>463.746959647608</v>
      </c>
    </row>
    <row r="15036" customFormat="false" ht="17.15" hidden="false" customHeight="false" outlineLevel="0" collapsed="false">
      <c r="A15036" s="3" t="s">
        <v>1850</v>
      </c>
    </row>
    <row r="15037" customFormat="false" ht="15" hidden="false" customHeight="false" outlineLevel="0" collapsed="false">
      <c r="A15037" s="4" t="s">
        <v>43</v>
      </c>
      <c r="B15037" s="4" t="s">
        <v>65</v>
      </c>
      <c r="C15037" s="23" t="s">
        <v>938</v>
      </c>
      <c r="D15037" s="23" t="s">
        <v>939</v>
      </c>
      <c r="E15037" s="23" t="s">
        <v>940</v>
      </c>
      <c r="F15037" s="23" t="s">
        <v>941</v>
      </c>
      <c r="G15037" s="23" t="s">
        <v>942</v>
      </c>
      <c r="H15037" s="23" t="s">
        <v>943</v>
      </c>
      <c r="I15037" s="23" t="s">
        <v>944</v>
      </c>
      <c r="J15037" s="23" t="s">
        <v>945</v>
      </c>
      <c r="K15037" s="23" t="s">
        <v>946</v>
      </c>
      <c r="L15037" s="4" t="s">
        <v>47</v>
      </c>
    </row>
    <row r="15038" customFormat="false" ht="17.15" hidden="false" customHeight="false" outlineLevel="0" collapsed="false">
      <c r="A15038" s="1" t="s">
        <v>1212</v>
      </c>
      <c r="B15038" s="1" t="s">
        <v>279</v>
      </c>
      <c r="F15038" s="8" t="n">
        <f aca="false">(1-v_off)*mid_yr</f>
        <v>0.373972602739726</v>
      </c>
      <c r="G15038" s="8" t="n">
        <f aca="false">Thesis!G58-base_fy-mid_yr-v_off</f>
        <v>1.24794520547945</v>
      </c>
      <c r="H15038" s="8" t="n">
        <f aca="false">Thesis!H58-base_fy-mid_yr-v_off</f>
        <v>2.24794520547945</v>
      </c>
      <c r="I15038" s="8" t="n">
        <f aca="false">Thesis!I58-base_fy-mid_yr-v_off</f>
        <v>3.24794520547945</v>
      </c>
      <c r="J15038" s="8" t="n">
        <f aca="false">Thesis!J58-base_fy-mid_yr-v_off</f>
        <v>4.24794520547945</v>
      </c>
      <c r="K15038" s="8" t="n">
        <f aca="false">Thesis!K58-base_fy-mid_yr-v_off</f>
        <v>5.24794520547945</v>
      </c>
      <c r="L15038" s="12" t="s">
        <v>1213</v>
      </c>
    </row>
    <row r="15039" customFormat="false" ht="15" hidden="false" customHeight="false" outlineLevel="0" collapsed="false">
      <c r="A15039" s="1" t="s">
        <v>1214</v>
      </c>
      <c r="B15039" s="1" t="s">
        <v>279</v>
      </c>
      <c r="F15039" s="8" t="n">
        <f aca="false">Thesis!F58-base_fy-v_off</f>
        <v>0.747945205479452</v>
      </c>
      <c r="G15039" s="8" t="n">
        <f aca="false">Thesis!G58-base_fy-v_off</f>
        <v>1.74794520547945</v>
      </c>
      <c r="H15039" s="8" t="n">
        <f aca="false">Thesis!H58-base_fy-v_off</f>
        <v>2.74794520547945</v>
      </c>
      <c r="I15039" s="8" t="n">
        <f aca="false">Thesis!I58-base_fy-v_off</f>
        <v>3.74794520547945</v>
      </c>
      <c r="J15039" s="8" t="n">
        <f aca="false">Thesis!J58-base_fy-v_off</f>
        <v>4.74794520547945</v>
      </c>
      <c r="K15039" s="8" t="n">
        <f aca="false">Thesis!K58-base_fy-v_off</f>
        <v>5.74794520547945</v>
      </c>
    </row>
    <row r="15040" customFormat="false" ht="15" hidden="false" customHeight="false" outlineLevel="0" collapsed="false">
      <c r="A15040" s="1" t="s">
        <v>1215</v>
      </c>
      <c r="B15040" s="0" t="s">
        <v>229</v>
      </c>
      <c r="F15040" s="15" t="n">
        <f aca="false">1/(1+wacc)^Sens!F15038</f>
        <v>0.964022703286649</v>
      </c>
      <c r="G15040" s="15" t="n">
        <f aca="false">1/(1+wacc)^Sens!G15038</f>
        <v>0.884910302296739</v>
      </c>
      <c r="H15040" s="15" t="n">
        <f aca="false">1/(1+wacc)^Sens!H15038</f>
        <v>0.802322009770358</v>
      </c>
      <c r="I15040" s="15" t="n">
        <f aca="false">1/(1+wacc)^Sens!I15038</f>
        <v>0.727441646561469</v>
      </c>
      <c r="J15040" s="15" t="n">
        <f aca="false">1/(1+wacc)^Sens!J15038</f>
        <v>0.659549834988973</v>
      </c>
      <c r="K15040" s="15" t="n">
        <f aca="false">1/(1+wacc)^Sens!K15038</f>
        <v>0.597994336576966</v>
      </c>
    </row>
    <row r="15041" customFormat="false" ht="17.15" hidden="false" customHeight="false" outlineLevel="0" collapsed="false">
      <c r="A15041" s="1" t="s">
        <v>1216</v>
      </c>
      <c r="B15041" s="0" t="s">
        <v>98</v>
      </c>
      <c r="F15041" s="6" t="n">
        <f aca="false">Q!$I$35-Q!$I$39-Q!$I$43</f>
        <v>9.666</v>
      </c>
      <c r="L15041" s="12" t="s">
        <v>1217</v>
      </c>
    </row>
    <row r="15042" customFormat="false" ht="17.15" hidden="false" customHeight="false" outlineLevel="0" collapsed="false">
      <c r="A15042" s="1" t="s">
        <v>1218</v>
      </c>
      <c r="B15042" s="0" t="s">
        <v>98</v>
      </c>
      <c r="F15042" s="6" t="n">
        <f aca="false">CF!F55-CF!F52-CF!F59+Thesis!F99*(1-tax_f)*(1-v_off)-Sens!F15041</f>
        <v>-3.35959137570949</v>
      </c>
      <c r="G15042" s="6" t="n">
        <f aca="false">CF!G55-CF!G52-CF!G59+Thesis!G99*(1-tax_f)</f>
        <v>29.8084555066036</v>
      </c>
      <c r="H15042" s="6" t="n">
        <f aca="false">CF!H55-CF!H52-CF!H59+Thesis!H99*(1-tax_f)</f>
        <v>79.3231801478051</v>
      </c>
      <c r="I15042" s="6" t="n">
        <f aca="false">CF!I55-CF!I52-CF!I59+Thesis!I99*(1-tax_f)</f>
        <v>157.29132812061</v>
      </c>
      <c r="J15042" s="6" t="n">
        <f aca="false">CF!J55-CF!J52-CF!J59+Thesis!J99*(1-tax_f)</f>
        <v>235.537601843622</v>
      </c>
      <c r="K15042" s="6" t="n">
        <f aca="false">CF!K55-CF!K52-CF!K59+Thesis!K99*(1-tax_f)</f>
        <v>273.705067207806</v>
      </c>
      <c r="L15042" s="1" t="s">
        <v>1219</v>
      </c>
    </row>
    <row r="15043" customFormat="false" ht="15" hidden="false" customHeight="false" outlineLevel="0" collapsed="false">
      <c r="A15043" s="1" t="s">
        <v>1220</v>
      </c>
      <c r="B15043" s="0" t="s">
        <v>98</v>
      </c>
      <c r="F15043" s="6" t="n">
        <f aca="false">Sens!F15042*Sens!F15040</f>
        <v>-3.23872235994998</v>
      </c>
      <c r="G15043" s="6" t="n">
        <f aca="false">Sens!G15042*Sens!G15040</f>
        <v>26.3778093733475</v>
      </c>
      <c r="H15043" s="6" t="n">
        <f aca="false">Sens!H15042*Sens!H15040</f>
        <v>63.6427333175632</v>
      </c>
      <c r="I15043" s="6" t="n">
        <f aca="false">Sens!I15042*Sens!I15040</f>
        <v>114.420262717897</v>
      </c>
      <c r="J15043" s="6" t="n">
        <f aca="false">Sens!J15042*Sens!J15040</f>
        <v>155.348786429659</v>
      </c>
      <c r="K15043" s="6" t="n">
        <f aca="false">Sens!K15042*Sens!K15040</f>
        <v>163.674080082686</v>
      </c>
    </row>
    <row r="15044" customFormat="false" ht="17.15" hidden="false" customHeight="false" outlineLevel="0" collapsed="false">
      <c r="A15044" s="1" t="s">
        <v>1221</v>
      </c>
      <c r="B15044" s="0" t="s">
        <v>98</v>
      </c>
      <c r="C15044" s="6" t="n">
        <f aca="false">SUM(Sens!F15043:K15043)</f>
        <v>520.224949561203</v>
      </c>
    </row>
    <row r="15045" customFormat="false" ht="17.15" hidden="false" customHeight="false" outlineLevel="0" collapsed="false">
      <c r="A15045" s="1" t="s">
        <v>1222</v>
      </c>
      <c r="B15045" s="0" t="s">
        <v>98</v>
      </c>
      <c r="C15045" s="6" t="n">
        <f aca="false">PL!K78*(1+g_tv)*(1-tax_f)</f>
        <v>284.979534119394</v>
      </c>
    </row>
    <row r="15046" customFormat="false" ht="17.15" hidden="false" customHeight="false" outlineLevel="0" collapsed="false">
      <c r="A15046" s="1" t="s">
        <v>1223</v>
      </c>
      <c r="B15046" s="0" t="s">
        <v>98</v>
      </c>
      <c r="C15046" s="6" t="n">
        <f aca="false">Sens!$C$15045*(1-g_tv/(wacc+ronic_prem))</f>
        <v>201.924655916751</v>
      </c>
    </row>
    <row r="15047" customFormat="false" ht="17.15" hidden="false" customHeight="false" outlineLevel="0" collapsed="false">
      <c r="A15047" s="1" t="s">
        <v>1224</v>
      </c>
      <c r="B15047" s="0" t="s">
        <v>98</v>
      </c>
      <c r="C15047" s="6" t="n">
        <f aca="false">Sens!$C$15046/(wacc-g_tv)</f>
        <v>2768.49594008808</v>
      </c>
    </row>
    <row r="15048" customFormat="false" ht="15" hidden="false" customHeight="false" outlineLevel="0" collapsed="false">
      <c r="A15048" s="1" t="s">
        <v>1225</v>
      </c>
      <c r="B15048" s="0" t="s">
        <v>98</v>
      </c>
      <c r="C15048" s="6" t="n">
        <f aca="false">Sens!$C$15047/(1+wacc)^Sens!K15039</f>
        <v>1576.39732546142</v>
      </c>
    </row>
    <row r="15049" customFormat="false" ht="17.15" hidden="false" customHeight="false" outlineLevel="0" collapsed="false">
      <c r="A15049" s="0" t="s">
        <v>1226</v>
      </c>
      <c r="B15049" s="0" t="s">
        <v>98</v>
      </c>
      <c r="C15049" s="6" t="n">
        <f aca="false">Sens!$C$15044+Sens!$C$15048</f>
        <v>2096.62227502262</v>
      </c>
    </row>
    <row r="15050" customFormat="false" ht="15" hidden="false" customHeight="false" outlineLevel="0" collapsed="false">
      <c r="A15050" s="1" t="s">
        <v>1141</v>
      </c>
      <c r="B15050" s="0" t="s">
        <v>168</v>
      </c>
      <c r="C15050" s="7" t="n">
        <f aca="false">Sens!$C$15048/Sens!$C$15049</f>
        <v>0.751874738831729</v>
      </c>
    </row>
    <row r="15051" customFormat="false" ht="17.15" hidden="false" customHeight="false" outlineLevel="0" collapsed="false">
      <c r="A15051" s="1" t="s">
        <v>1227</v>
      </c>
      <c r="B15051" s="0" t="s">
        <v>98</v>
      </c>
      <c r="C15051" s="6" t="n">
        <f aca="false">Sens!$C$15049+cash_val-debt_val-fl_val+oai_v</f>
        <v>2212.47327502262</v>
      </c>
    </row>
    <row r="15052" customFormat="false" ht="17.15" hidden="false" customHeight="false" outlineLevel="0" collapsed="false">
      <c r="A15052" s="0" t="s">
        <v>1149</v>
      </c>
      <c r="B15052" s="0" t="s">
        <v>75</v>
      </c>
      <c r="C15052" s="5" t="n">
        <f aca="false">Sens!$C$15051/shd_val</f>
        <v>297.13581453433</v>
      </c>
    </row>
    <row r="15053" customFormat="false" ht="15" hidden="false" customHeight="false" outlineLevel="0" collapsed="false">
      <c r="A15053" s="1" t="s">
        <v>1228</v>
      </c>
      <c r="B15053" s="0" t="s">
        <v>75</v>
      </c>
      <c r="C15053" s="8" t="n">
        <f aca="false">div_rem27+CF!G63*roll_div_q/q_per_yr</f>
        <v>3.9795</v>
      </c>
    </row>
    <row r="15054" customFormat="false" ht="17.15" hidden="false" customHeight="false" outlineLevel="0" collapsed="false">
      <c r="A15054" s="0" t="s">
        <v>1229</v>
      </c>
      <c r="B15054" s="0" t="s">
        <v>75</v>
      </c>
      <c r="C15054" s="5" t="n">
        <f aca="false">Sens!$C$15052*(1+wacc)^t_roll-Sens!$C$15053</f>
        <v>326.303541225732</v>
      </c>
    </row>
    <row r="15055" customFormat="false" ht="17.15" hidden="false" customHeight="false" outlineLevel="0" collapsed="false">
      <c r="A15055" s="1" t="s">
        <v>1230</v>
      </c>
      <c r="B15055" s="0" t="s">
        <v>168</v>
      </c>
      <c r="F15055" s="7" t="n">
        <f aca="false">CF!F49/(Seg!F56-Thesis!F77)</f>
        <v>0.0686195668908011</v>
      </c>
      <c r="G15055" s="7" t="n">
        <f aca="false">CF!G49/(Seg!G56-Thesis!G77)</f>
        <v>0.0658333569148391</v>
      </c>
      <c r="H15055" s="7" t="n">
        <f aca="false">CF!H49/(Seg!H56-Thesis!H77)</f>
        <v>0.0643895625218926</v>
      </c>
      <c r="I15055" s="7" t="n">
        <f aca="false">CF!I49/(Seg!I56-Thesis!I77)</f>
        <v>0.0641676618157989</v>
      </c>
      <c r="J15055" s="7" t="n">
        <f aca="false">CF!J49/(Seg!J56-Thesis!J77)</f>
        <v>0.0648858606572163</v>
      </c>
      <c r="K15055" s="7" t="n">
        <f aca="false">CF!K49/(Seg!K56-Thesis!K77)</f>
        <v>0.0661974425163768</v>
      </c>
    </row>
    <row r="15056" customFormat="false" ht="17.15" hidden="false" customHeight="false" outlineLevel="0" collapsed="false">
      <c r="A15056" s="0" t="s">
        <v>1231</v>
      </c>
      <c r="B15056" s="0" t="s">
        <v>98</v>
      </c>
      <c r="F15056" s="6" t="n">
        <f aca="false">Seg!F41*(al_m365+Sens!F15055+sbc_r)</f>
        <v>83.7205619248671</v>
      </c>
      <c r="G15056" s="6" t="n">
        <f aca="false">Seg!G41*(al_m365+Sens!G15055+sbc_r)</f>
        <v>96.1301303332381</v>
      </c>
      <c r="H15056" s="6" t="n">
        <f aca="false">Seg!H41*(al_m365+Sens!H15055+sbc_r)</f>
        <v>108.70354073822</v>
      </c>
      <c r="I15056" s="6" t="n">
        <f aca="false">Seg!I41*(al_m365+Sens!I15055+sbc_r)</f>
        <v>120.260101315626</v>
      </c>
      <c r="J15056" s="6" t="n">
        <f aca="false">Seg!J41*(al_m365+Sens!J15055+sbc_r)</f>
        <v>130.611904548619</v>
      </c>
      <c r="K15056" s="6" t="n">
        <f aca="false">Seg!K41*(al_m365+Sens!K15055+sbc_r)</f>
        <v>140.575094974638</v>
      </c>
      <c r="L15056" s="12" t="s">
        <v>1232</v>
      </c>
    </row>
    <row r="15057" customFormat="false" ht="17.15" hidden="false" customHeight="false" outlineLevel="0" collapsed="false">
      <c r="A15057" s="0" t="s">
        <v>1233</v>
      </c>
      <c r="B15057" s="0" t="s">
        <v>98</v>
      </c>
      <c r="F15057" s="6" t="n">
        <f aca="false">Seg!F42*(al_lic+Sens!F15055+sbc_r)</f>
        <v>32.8577657183496</v>
      </c>
      <c r="G15057" s="6" t="n">
        <f aca="false">Seg!G42*(al_lic+Sens!G15055+sbc_r)</f>
        <v>34.1376266324889</v>
      </c>
      <c r="H15057" s="6" t="n">
        <f aca="false">Seg!H42*(al_lic+Sens!H15055+sbc_r)</f>
        <v>35.3325744664128</v>
      </c>
      <c r="I15057" s="6" t="n">
        <f aca="false">Seg!I42*(al_lic+Sens!I15055+sbc_r)</f>
        <v>36.4244749008727</v>
      </c>
      <c r="J15057" s="6" t="n">
        <f aca="false">Seg!J42*(al_lic+Sens!J15055+sbc_r)</f>
        <v>37.3879406068527</v>
      </c>
      <c r="K15057" s="6" t="n">
        <f aca="false">Seg!K42*(al_lic+Sens!K15055+sbc_r)</f>
        <v>38.1943876078259</v>
      </c>
    </row>
    <row r="15058" customFormat="false" ht="17.15" hidden="false" customHeight="false" outlineLevel="0" collapsed="false">
      <c r="A15058" s="0" t="s">
        <v>1234</v>
      </c>
      <c r="B15058" s="0" t="s">
        <v>98</v>
      </c>
      <c r="F15058" s="6" t="n">
        <f aca="false">Seg!F44*(al_ind+Sens!F15055+sbc_r)</f>
        <v>9.06041701092022</v>
      </c>
      <c r="G15058" s="6" t="n">
        <f aca="false">Seg!G44*(al_ind+Sens!G15055+sbc_r)</f>
        <v>9.83619082712885</v>
      </c>
      <c r="H15058" s="6" t="n">
        <f aca="false">Seg!H44*(al_ind+Sens!H15055+sbc_r)</f>
        <v>10.6570160105312</v>
      </c>
      <c r="I15058" s="6" t="n">
        <f aca="false">Seg!I44*(al_ind+Sens!I15055+sbc_r)</f>
        <v>11.5198571637125</v>
      </c>
      <c r="J15058" s="6" t="n">
        <f aca="false">Seg!J44*(al_ind+Sens!J15055+sbc_r)</f>
        <v>12.4150086539206</v>
      </c>
      <c r="K15058" s="6" t="n">
        <f aca="false">Seg!K44*(al_ind+Sens!K15055+sbc_r)</f>
        <v>13.3273714589988</v>
      </c>
    </row>
    <row r="15059" customFormat="false" ht="17.15" hidden="false" customHeight="false" outlineLevel="0" collapsed="false">
      <c r="A15059" s="0" t="s">
        <v>1235</v>
      </c>
      <c r="B15059" s="0" t="s">
        <v>98</v>
      </c>
      <c r="F15059" s="6" t="n">
        <f aca="false">Seg!F46*(al_fro+Sens!F15055+sbc_r)</f>
        <v>3.55402950182022</v>
      </c>
      <c r="G15059" s="6" t="n">
        <f aca="false">Seg!G46*(al_fro+Sens!G15055+sbc_r)</f>
        <v>3.76361488926481</v>
      </c>
      <c r="H15059" s="6" t="n">
        <f aca="false">Seg!H46*(al_fro+Sens!H15055+sbc_r)</f>
        <v>4.00220968879544</v>
      </c>
      <c r="I15059" s="6" t="n">
        <f aca="false">Seg!I46*(al_fro+Sens!I15055+sbc_r)</f>
        <v>4.2725765173852</v>
      </c>
      <c r="J15059" s="6" t="n">
        <f aca="false">Seg!J46*(al_fro+Sens!J15055+sbc_r)</f>
        <v>4.57586224390293</v>
      </c>
      <c r="K15059" s="6" t="n">
        <f aca="false">Seg!K46*(al_fro+Sens!K15055+sbc_r)</f>
        <v>4.91213639633217</v>
      </c>
    </row>
    <row r="15060" customFormat="false" ht="17.15" hidden="false" customHeight="false" outlineLevel="0" collapsed="false">
      <c r="A15060" s="0" t="s">
        <v>1236</v>
      </c>
      <c r="B15060" s="0" t="s">
        <v>98</v>
      </c>
      <c r="F15060" s="6" t="n">
        <f aca="false">Seg!F49*(al_srch+Sens!F15055+sbc_r)</f>
        <v>11.1890902994147</v>
      </c>
      <c r="G15060" s="6" t="n">
        <f aca="false">Seg!G49*(al_srch+Sens!G15055+sbc_r)</f>
        <v>12.261738891803</v>
      </c>
      <c r="H15060" s="6" t="n">
        <f aca="false">Seg!H49*(al_srch+Sens!H15055+sbc_r)</f>
        <v>13.3794863429193</v>
      </c>
      <c r="I15060" s="6" t="n">
        <f aca="false">Seg!I49*(al_srch+Sens!I15055+sbc_r)</f>
        <v>14.5317114787784</v>
      </c>
      <c r="J15060" s="6" t="n">
        <f aca="false">Seg!J49*(al_srch+Sens!J15055+sbc_r)</f>
        <v>15.6984365817724</v>
      </c>
      <c r="K15060" s="6" t="n">
        <f aca="false">Seg!K49*(al_srch+Sens!K15055+sbc_r)</f>
        <v>16.8520942258664</v>
      </c>
    </row>
    <row r="15061" customFormat="false" ht="17.15" hidden="false" customHeight="false" outlineLevel="0" collapsed="false">
      <c r="A15061" s="0" t="s">
        <v>1237</v>
      </c>
      <c r="B15061" s="0" t="s">
        <v>98</v>
      </c>
      <c r="F15061" s="6" t="n">
        <f aca="false">Thesis!F83-Thesis!F84+Thesis!F99</f>
        <v>42.5431090240393</v>
      </c>
      <c r="G15061" s="6" t="n">
        <f aca="false">Thesis!G83-Thesis!G84+Thesis!G99</f>
        <v>81.4922561130847</v>
      </c>
      <c r="H15061" s="6" t="n">
        <f aca="false">Thesis!H83-Thesis!H84+Thesis!H99</f>
        <v>123.278266211349</v>
      </c>
      <c r="I15061" s="6" t="n">
        <f aca="false">Thesis!I83-Thesis!I84+Thesis!I99</f>
        <v>160.60594185192</v>
      </c>
      <c r="J15061" s="6" t="n">
        <f aca="false">Thesis!J83-Thesis!J84+Thesis!J99</f>
        <v>186.818741832633</v>
      </c>
      <c r="K15061" s="6" t="n">
        <f aca="false">Thesis!K83-Thesis!K84+Thesis!K99</f>
        <v>202.776422159652</v>
      </c>
    </row>
    <row r="15062" customFormat="false" ht="17.15" hidden="false" customHeight="false" outlineLevel="0" collapsed="false">
      <c r="A15062" s="0" t="s">
        <v>1238</v>
      </c>
      <c r="B15062" s="0" t="s">
        <v>98</v>
      </c>
      <c r="F15062" s="6" t="n">
        <f aca="false">PL!F71+Thesis!F99+Thesis!F95+Sens!F15055*(Seg!F48-Thesis!F77)+sbc_r*Seg!F48</f>
        <v>238.090727427296</v>
      </c>
      <c r="G15062" s="6" t="n">
        <f aca="false">PL!G71+Thesis!G99+Thesis!G95+Sens!G15055*(Seg!G48-Thesis!G77)+sbc_r*Seg!G48</f>
        <v>299.90836088563</v>
      </c>
      <c r="H15062" s="6" t="n">
        <f aca="false">PL!H71+Thesis!H99+Thesis!H95+Sens!H15055*(Seg!H48-Thesis!H77)+sbc_r*Seg!H48</f>
        <v>369.457709442386</v>
      </c>
      <c r="I15062" s="6" t="n">
        <f aca="false">PL!I71+Thesis!I99+Thesis!I95+Sens!I15055*(Seg!I48-Thesis!I77)+sbc_r*Seg!I48</f>
        <v>433.16585128823</v>
      </c>
      <c r="J15062" s="6" t="n">
        <f aca="false">PL!J71+Thesis!J99+Thesis!J95+Sens!J15055*(Seg!J48-Thesis!J77)+sbc_r*Seg!J48</f>
        <v>483.301303131191</v>
      </c>
      <c r="K15062" s="6" t="n">
        <f aca="false">PL!K71+Thesis!K99+Thesis!K95+Sens!K15055*(Seg!K48-Thesis!K77)+sbc_r*Seg!K48</f>
        <v>520.789002205336</v>
      </c>
    </row>
    <row r="15063" customFormat="false" ht="17.15" hidden="false" customHeight="false" outlineLevel="0" collapsed="false">
      <c r="A15063" s="0" t="s">
        <v>1239</v>
      </c>
      <c r="B15063" s="0" t="s">
        <v>98</v>
      </c>
      <c r="F15063" s="6" t="n">
        <f aca="false">Sens!F15062-Sens!F15056-Sens!F15057-Sens!F15058-Sens!F15059-Sens!F15061</f>
        <v>66.3548442472996</v>
      </c>
      <c r="G15063" s="6" t="n">
        <f aca="false">Sens!G15062-Sens!G15056-Sens!G15057-Sens!G15058-Sens!G15059-Sens!G15061</f>
        <v>74.548542090425</v>
      </c>
      <c r="H15063" s="6" t="n">
        <f aca="false">Sens!H15062-Sens!H15056-Sens!H15057-Sens!H15058-Sens!H15059-Sens!H15061</f>
        <v>87.4841023270775</v>
      </c>
      <c r="I15063" s="6" t="n">
        <f aca="false">Sens!I15062-Sens!I15056-Sens!I15057-Sens!I15058-Sens!I15059-Sens!I15061</f>
        <v>100.082899538713</v>
      </c>
      <c r="J15063" s="6" t="n">
        <f aca="false">Sens!J15062-Sens!J15056-Sens!J15057-Sens!J15058-Sens!J15059-Sens!J15061</f>
        <v>111.491845245262</v>
      </c>
      <c r="K15063" s="6" t="n">
        <f aca="false">Sens!K15062-Sens!K15056-Sens!K15057-Sens!K15058-Sens!K15059-Sens!K15061</f>
        <v>121.003589607889</v>
      </c>
    </row>
    <row r="15064" customFormat="false" ht="17.15" hidden="false" customHeight="false" outlineLevel="0" collapsed="false">
      <c r="A15064" s="0" t="s">
        <v>1240</v>
      </c>
      <c r="B15064" s="0" t="s">
        <v>98</v>
      </c>
      <c r="F15064" s="6" t="n">
        <f aca="false">PL!F73+Sens!F15055*Seg!F55+sbc_r*Seg!F55</f>
        <v>26.6336365855879</v>
      </c>
      <c r="G15064" s="6" t="n">
        <f aca="false">PL!G73+Sens!G15055*Seg!G55+sbc_r*Seg!G55</f>
        <v>26.4720859498625</v>
      </c>
      <c r="H15064" s="6" t="n">
        <f aca="false">PL!H73+Sens!H15055*Seg!H55+sbc_r*Seg!H55</f>
        <v>27.346793021284</v>
      </c>
      <c r="I15064" s="6" t="n">
        <f aca="false">PL!I73+Sens!I15055*Seg!I55+sbc_r*Seg!I55</f>
        <v>28.4574657863154</v>
      </c>
      <c r="J15064" s="6" t="n">
        <f aca="false">PL!J73+Sens!J15055*Seg!J55+sbc_r*Seg!J55</f>
        <v>29.7689890546037</v>
      </c>
      <c r="K15064" s="6" t="n">
        <f aca="false">PL!K73+Sens!K15055*Seg!K55+sbc_r*Seg!K55</f>
        <v>31.2443947307494</v>
      </c>
    </row>
    <row r="15065" customFormat="false" ht="17.15" hidden="false" customHeight="false" outlineLevel="0" collapsed="false">
      <c r="A15065" s="0" t="s">
        <v>1241</v>
      </c>
      <c r="B15065" s="0" t="s">
        <v>98</v>
      </c>
      <c r="F15065" s="6" t="n">
        <f aca="false">(Sens!F15064-Sens!F15060)*Seg!F51/(Seg!F51+Seg!F53)</f>
        <v>8.72285608232241</v>
      </c>
      <c r="G15065" s="6" t="n">
        <f aca="false">(Sens!G15064-Sens!G15060)*Seg!G51/(Seg!G51+Seg!G53)</f>
        <v>7.88786455444355</v>
      </c>
      <c r="H15065" s="6" t="n">
        <f aca="false">(Sens!H15064-Sens!H15060)*Seg!H51/(Seg!H51+Seg!H53)</f>
        <v>7.65195986819674</v>
      </c>
      <c r="I15065" s="6" t="n">
        <f aca="false">(Sens!I15064-Sens!I15060)*Seg!I51/(Seg!I51+Seg!I53)</f>
        <v>7.56260440676676</v>
      </c>
      <c r="J15065" s="6" t="n">
        <f aca="false">(Sens!J15064-Sens!J15060)*Seg!J51/(Seg!J51+Seg!J53)</f>
        <v>7.60790100885945</v>
      </c>
      <c r="K15065" s="6" t="n">
        <f aca="false">(Sens!K15064-Sens!K15060)*Seg!K51/(Seg!K51+Seg!K53)</f>
        <v>7.78186910160995</v>
      </c>
    </row>
    <row r="15066" customFormat="false" ht="17.15" hidden="false" customHeight="false" outlineLevel="0" collapsed="false">
      <c r="A15066" s="0" t="s">
        <v>1242</v>
      </c>
      <c r="B15066" s="0" t="s">
        <v>98</v>
      </c>
      <c r="F15066" s="6" t="n">
        <f aca="false">Sens!F15064-Sens!F15060-Sens!F15065</f>
        <v>6.72169020385088</v>
      </c>
      <c r="G15066" s="6" t="n">
        <f aca="false">Sens!G15064-Sens!G15060-Sens!G15065</f>
        <v>6.322482503616</v>
      </c>
      <c r="H15066" s="6" t="n">
        <f aca="false">Sens!H15064-Sens!H15060-Sens!H15065</f>
        <v>6.315346810168</v>
      </c>
      <c r="I15066" s="6" t="n">
        <f aca="false">Sens!I15064-Sens!I15060-Sens!I15065</f>
        <v>6.36314990077033</v>
      </c>
      <c r="J15066" s="6" t="n">
        <f aca="false">Sens!J15064-Sens!J15060-Sens!J15065</f>
        <v>6.46265146397189</v>
      </c>
      <c r="K15066" s="6" t="n">
        <f aca="false">Sens!K15064-Sens!K15060-Sens!K15065</f>
        <v>6.61043140327304</v>
      </c>
    </row>
    <row r="15067" customFormat="false" ht="17.15" hidden="false" customHeight="false" outlineLevel="0" collapsed="false">
      <c r="A15067" s="0" t="s">
        <v>1243</v>
      </c>
      <c r="B15067" s="0" t="s">
        <v>98</v>
      </c>
      <c r="F15067" s="6" t="n">
        <f aca="false">Sens!F15061-tax_f*(Sens!F15061-Thesis!F95)-Thesis!F92</f>
        <v>-127.503553927218</v>
      </c>
      <c r="G15067" s="6" t="n">
        <f aca="false">Sens!G15061-tax_f*(Sens!G15061-Thesis!G95)-Thesis!G92</f>
        <v>-114.603772628121</v>
      </c>
      <c r="H15067" s="6" t="n">
        <f aca="false">Sens!H15061-tax_f*(Sens!H15061-Thesis!H95)-Thesis!H92</f>
        <v>-80.3633729631438</v>
      </c>
      <c r="I15067" s="6" t="n">
        <f aca="false">Sens!I15061-tax_f*(Sens!I15061-Thesis!I95)-Thesis!I92</f>
        <v>-17.2838782011649</v>
      </c>
      <c r="J15067" s="6" t="n">
        <f aca="false">Sens!J15061-tax_f*(Sens!J15061-Thesis!J95)-Thesis!J92</f>
        <v>46.9281968800854</v>
      </c>
      <c r="K15067" s="6" t="n">
        <f aca="false">Sens!K15061-tax_f*(Sens!K15061-Thesis!K95)-Thesis!K92</f>
        <v>71.8608185731755</v>
      </c>
    </row>
    <row r="15068" customFormat="false" ht="17.15" hidden="false" customHeight="false" outlineLevel="0" collapsed="false">
      <c r="A15068" s="0" t="s">
        <v>1244</v>
      </c>
      <c r="B15068" s="0" t="s">
        <v>98</v>
      </c>
      <c r="G15068" s="6" t="n">
        <f aca="false">Sens!G15067/(1+wacc)^(Sens!G15038-Sens!F15039)</f>
        <v>-109.124845494465</v>
      </c>
      <c r="H15068" s="6" t="n">
        <f aca="false">Sens!H15067/(1+wacc)^(Sens!H15038-Sens!F15039)</f>
        <v>-69.3796874071025</v>
      </c>
      <c r="I15068" s="6" t="n">
        <f aca="false">Sens!I15067/(1+wacc)^(Sens!I15038-Sens!F15039)</f>
        <v>-13.5289731380471</v>
      </c>
      <c r="J15068" s="6" t="n">
        <f aca="false">Sens!J15067/(1+wacc)^(Sens!J15038-Sens!F15039)</f>
        <v>33.3048099587126</v>
      </c>
      <c r="K15068" s="6" t="n">
        <f aca="false">Sens!K15067/(1+wacc)^(Sens!K15038-Sens!F15039)</f>
        <v>46.2396679904913</v>
      </c>
      <c r="L15068" s="1" t="s">
        <v>1245</v>
      </c>
    </row>
    <row r="15069" customFormat="false" ht="17.15" hidden="false" customHeight="false" outlineLevel="0" collapsed="false">
      <c r="A15069" s="0" t="s">
        <v>1246</v>
      </c>
      <c r="B15069" s="0" t="s">
        <v>98</v>
      </c>
      <c r="C15069" s="6" t="n">
        <f aca="false">(Sens!K15061-Thesis!K95)*(1-tax_f)*(1+g_tv)*(1-g_tv/(wacc+ronic_prem))/(wacc-g_tv)/(1+wacc)^(Sens!K15039-Sens!F15039)</f>
        <v>293.118051086843</v>
      </c>
    </row>
    <row r="15070" customFormat="false" ht="17.15" hidden="false" customHeight="false" outlineLevel="0" collapsed="false">
      <c r="A15070" s="1" t="s">
        <v>1247</v>
      </c>
      <c r="B15070" s="0" t="s">
        <v>98</v>
      </c>
      <c r="C15070" s="6" t="n">
        <f aca="false">(SUM(Sens!G15068:K15068)+Sens!$C$15069)*(1+wacc)^(t_roll-Sens!F15039)</f>
        <v>186.592133308255</v>
      </c>
      <c r="L15070" s="12" t="s">
        <v>1248</v>
      </c>
    </row>
    <row r="15071" customFormat="false" ht="17.15" hidden="false" customHeight="false" outlineLevel="0" collapsed="false">
      <c r="A15071" s="1" t="s">
        <v>1249</v>
      </c>
      <c r="B15071" s="0" t="s">
        <v>98</v>
      </c>
      <c r="C15071" s="6" t="n">
        <f aca="false">(w_ntm28*Thesis!G83+(1-w_ntm28)*Thesis!H83)*m_ai*1.2</f>
        <v>556.546931412402</v>
      </c>
    </row>
    <row r="15072" customFormat="false" ht="17.15" hidden="false" customHeight="false" outlineLevel="0" collapsed="false">
      <c r="A15072" s="1" t="s">
        <v>1250</v>
      </c>
      <c r="B15072" s="0" t="s">
        <v>98</v>
      </c>
      <c r="C15072" s="6" t="n">
        <f aca="false">(w_ntm28*Sens!G15063+(1-w_ntm28)*Sens!H15063)*m_cloud*1.2</f>
        <v>1306.84124042694</v>
      </c>
    </row>
    <row r="15073" customFormat="false" ht="17.15" hidden="false" customHeight="false" outlineLevel="0" collapsed="false">
      <c r="A15073" s="1" t="s">
        <v>1251</v>
      </c>
      <c r="B15073" s="0" t="s">
        <v>98</v>
      </c>
      <c r="C15073" s="6" t="n">
        <f aca="false">(w_ntm28*Sens!G15056+(1-w_ntm28)*Sens!H15056)*m_sw*1.2</f>
        <v>1299.41955175391</v>
      </c>
    </row>
    <row r="15074" customFormat="false" ht="17.15" hidden="false" customHeight="false" outlineLevel="0" collapsed="false">
      <c r="A15074" s="1" t="s">
        <v>1252</v>
      </c>
      <c r="B15074" s="0" t="s">
        <v>98</v>
      </c>
      <c r="C15074" s="6" t="n">
        <f aca="false">(w_ntm28*Sens!G15057+(1-w_ntm28)*Sens!H15057)*m_sw*1.2</f>
        <v>447.515101078477</v>
      </c>
    </row>
    <row r="15075" customFormat="false" ht="17.15" hidden="false" customHeight="false" outlineLevel="0" collapsed="false">
      <c r="A15075" s="1" t="s">
        <v>1253</v>
      </c>
      <c r="B15075" s="0" t="s">
        <v>98</v>
      </c>
      <c r="C15075" s="6" t="n">
        <f aca="false">(w_ntm28*Sens!G15058+(1-w_ntm28)*Sens!H15058)*m_sw*1.2</f>
        <v>130.97442305172</v>
      </c>
    </row>
    <row r="15076" customFormat="false" ht="17.15" hidden="false" customHeight="false" outlineLevel="0" collapsed="false">
      <c r="A15076" s="1" t="s">
        <v>1254</v>
      </c>
      <c r="B15076" s="0" t="s">
        <v>98</v>
      </c>
      <c r="C15076" s="6" t="n">
        <f aca="false">(w_ntm28*Sens!G15059+(1-w_ntm28)*Sens!H15059)*m_sw*1.2</f>
        <v>49.7930589161871</v>
      </c>
    </row>
    <row r="15077" customFormat="false" ht="17.15" hidden="false" customHeight="false" outlineLevel="0" collapsed="false">
      <c r="A15077" s="1" t="s">
        <v>1255</v>
      </c>
      <c r="B15077" s="0" t="s">
        <v>98</v>
      </c>
      <c r="C15077" s="6" t="n">
        <f aca="false">(w_ntm28*Sens!G15060+(1-w_ntm28)*Sens!H15060)*m_ads*1.2</f>
        <v>138.062605774155</v>
      </c>
    </row>
    <row r="15078" customFormat="false" ht="17.15" hidden="false" customHeight="false" outlineLevel="0" collapsed="false">
      <c r="A15078" s="1" t="s">
        <v>1256</v>
      </c>
      <c r="B15078" s="0" t="s">
        <v>98</v>
      </c>
      <c r="C15078" s="6" t="n">
        <f aca="false">(w_ntm28*Sens!G15065+(1-w_ntm28)*Sens!H15065)*m_game*1.2</f>
        <v>118.373010609144</v>
      </c>
    </row>
    <row r="15079" customFormat="false" ht="17.15" hidden="false" customHeight="false" outlineLevel="0" collapsed="false">
      <c r="A15079" s="1" t="s">
        <v>1257</v>
      </c>
      <c r="B15079" s="0" t="s">
        <v>98</v>
      </c>
      <c r="C15079" s="6" t="n">
        <f aca="false">(w_ntm28*Sens!G15066+(1-w_ntm28)*Sens!H15066)*m_pc*1.2</f>
        <v>109.742850571627</v>
      </c>
    </row>
    <row r="15080" customFormat="false" ht="17.15" hidden="false" customHeight="false" outlineLevel="0" collapsed="false">
      <c r="A15080" s="1" t="s">
        <v>1258</v>
      </c>
      <c r="B15080" s="0" t="s">
        <v>98</v>
      </c>
      <c r="C15080" s="6" t="n">
        <f aca="false">Sens!$C$15070+Sens!$C$15072+Sens!$C$15073+Sens!$C$15074+Sens!$C$15075+Sens!$C$15076+Sens!$C$15077+Sens!$C$15078+Sens!$C$15079</f>
        <v>3787.31397549042</v>
      </c>
    </row>
    <row r="15081" customFormat="false" ht="17.15" hidden="false" customHeight="false" outlineLevel="0" collapsed="false">
      <c r="A15081" s="1" t="s">
        <v>1259</v>
      </c>
      <c r="B15081" s="0" t="s">
        <v>98</v>
      </c>
      <c r="C15081" s="6" t="n">
        <f aca="false">(Sens!G15042-Sens!G15067)*t_stub</f>
        <v>47.8736427515113</v>
      </c>
      <c r="L15081" s="1" t="s">
        <v>1260</v>
      </c>
    </row>
    <row r="15082" customFormat="false" ht="17.15" hidden="false" customHeight="false" outlineLevel="0" collapsed="false">
      <c r="A15082" s="1" t="s">
        <v>1169</v>
      </c>
      <c r="B15082" s="0" t="s">
        <v>98</v>
      </c>
      <c r="C15082" s="6" t="n">
        <f aca="false">CF!F71+oai_v-CF!F60+Sens!$C$15081</f>
        <v>162.101912751511</v>
      </c>
      <c r="L15082" s="1" t="s">
        <v>1261</v>
      </c>
    </row>
    <row r="15083" customFormat="false" ht="17.15" hidden="false" customHeight="false" outlineLevel="0" collapsed="false">
      <c r="A15083" s="1" t="s">
        <v>1262</v>
      </c>
      <c r="B15083" s="0" t="s">
        <v>75</v>
      </c>
      <c r="C15083" s="5" t="n">
        <f aca="false">(Sens!$C$15080+Sens!$C$15082)/(CF!F73+dil_gap)-CF!G63*roll_div_q/q_per_yr</f>
        <v>525.864780510695</v>
      </c>
      <c r="L15083" s="1" t="s">
        <v>1263</v>
      </c>
    </row>
    <row r="15084" customFormat="false" ht="17.15" hidden="false" customHeight="false" outlineLevel="0" collapsed="false">
      <c r="A15084" s="1" t="s">
        <v>1264</v>
      </c>
      <c r="B15084" s="0" t="s">
        <v>75</v>
      </c>
      <c r="C15084" s="5" t="n">
        <f aca="false">w_dcf*Sens!$C$15054+(1-w_dcf)*Sens!$C$15083</f>
        <v>426.084160868214</v>
      </c>
    </row>
    <row r="15085" customFormat="false" ht="17.15" hidden="false" customHeight="false" outlineLevel="0" collapsed="false">
      <c r="A15085" s="3" t="s">
        <v>1851</v>
      </c>
    </row>
    <row r="15086" customFormat="false" ht="15" hidden="false" customHeight="false" outlineLevel="0" collapsed="false">
      <c r="A15086" s="4" t="s">
        <v>43</v>
      </c>
      <c r="B15086" s="4" t="s">
        <v>65</v>
      </c>
      <c r="C15086" s="23" t="s">
        <v>938</v>
      </c>
      <c r="D15086" s="23" t="s">
        <v>939</v>
      </c>
      <c r="E15086" s="23" t="s">
        <v>940</v>
      </c>
      <c r="F15086" s="23" t="s">
        <v>941</v>
      </c>
      <c r="G15086" s="23" t="s">
        <v>942</v>
      </c>
      <c r="H15086" s="23" t="s">
        <v>943</v>
      </c>
      <c r="I15086" s="23" t="s">
        <v>944</v>
      </c>
      <c r="J15086" s="23" t="s">
        <v>945</v>
      </c>
      <c r="K15086" s="23" t="s">
        <v>946</v>
      </c>
      <c r="L15086" s="4" t="s">
        <v>47</v>
      </c>
    </row>
    <row r="15087" customFormat="false" ht="17.15" hidden="false" customHeight="false" outlineLevel="0" collapsed="false">
      <c r="A15087" s="1" t="s">
        <v>1212</v>
      </c>
      <c r="B15087" s="1" t="s">
        <v>279</v>
      </c>
      <c r="F15087" s="8" t="n">
        <f aca="false">(1-v_off)*mid_yr</f>
        <v>0.373972602739726</v>
      </c>
      <c r="G15087" s="8" t="n">
        <f aca="false">Thesis!G110-base_fy-mid_yr-v_off</f>
        <v>1.24794520547945</v>
      </c>
      <c r="H15087" s="8" t="n">
        <f aca="false">Thesis!H110-base_fy-mid_yr-v_off</f>
        <v>2.24794520547945</v>
      </c>
      <c r="I15087" s="8" t="n">
        <f aca="false">Thesis!I110-base_fy-mid_yr-v_off</f>
        <v>3.24794520547945</v>
      </c>
      <c r="J15087" s="8" t="n">
        <f aca="false">Thesis!J110-base_fy-mid_yr-v_off</f>
        <v>4.24794520547945</v>
      </c>
      <c r="K15087" s="8" t="n">
        <f aca="false">Thesis!K110-base_fy-mid_yr-v_off</f>
        <v>5.24794520547945</v>
      </c>
      <c r="L15087" s="12" t="s">
        <v>1213</v>
      </c>
    </row>
    <row r="15088" customFormat="false" ht="15" hidden="false" customHeight="false" outlineLevel="0" collapsed="false">
      <c r="A15088" s="1" t="s">
        <v>1214</v>
      </c>
      <c r="B15088" s="1" t="s">
        <v>279</v>
      </c>
      <c r="F15088" s="8" t="n">
        <f aca="false">Thesis!F110-base_fy-v_off</f>
        <v>0.747945205479452</v>
      </c>
      <c r="G15088" s="8" t="n">
        <f aca="false">Thesis!G110-base_fy-v_off</f>
        <v>1.74794520547945</v>
      </c>
      <c r="H15088" s="8" t="n">
        <f aca="false">Thesis!H110-base_fy-v_off</f>
        <v>2.74794520547945</v>
      </c>
      <c r="I15088" s="8" t="n">
        <f aca="false">Thesis!I110-base_fy-v_off</f>
        <v>3.74794520547945</v>
      </c>
      <c r="J15088" s="8" t="n">
        <f aca="false">Thesis!J110-base_fy-v_off</f>
        <v>4.74794520547945</v>
      </c>
      <c r="K15088" s="8" t="n">
        <f aca="false">Thesis!K110-base_fy-v_off</f>
        <v>5.74794520547945</v>
      </c>
    </row>
    <row r="15089" customFormat="false" ht="15" hidden="false" customHeight="false" outlineLevel="0" collapsed="false">
      <c r="A15089" s="1" t="s">
        <v>1215</v>
      </c>
      <c r="B15089" s="0" t="s">
        <v>229</v>
      </c>
      <c r="F15089" s="15" t="n">
        <f aca="false">1/(1+wacc)^Sens!F15087</f>
        <v>0.964022703286649</v>
      </c>
      <c r="G15089" s="15" t="n">
        <f aca="false">1/(1+wacc)^Sens!G15087</f>
        <v>0.884910302296739</v>
      </c>
      <c r="H15089" s="15" t="n">
        <f aca="false">1/(1+wacc)^Sens!H15087</f>
        <v>0.802322009770358</v>
      </c>
      <c r="I15089" s="15" t="n">
        <f aca="false">1/(1+wacc)^Sens!I15087</f>
        <v>0.727441646561469</v>
      </c>
      <c r="J15089" s="15" t="n">
        <f aca="false">1/(1+wacc)^Sens!J15087</f>
        <v>0.659549834988973</v>
      </c>
      <c r="K15089" s="15" t="n">
        <f aca="false">1/(1+wacc)^Sens!K15087</f>
        <v>0.597994336576966</v>
      </c>
    </row>
    <row r="15090" customFormat="false" ht="17.15" hidden="false" customHeight="false" outlineLevel="0" collapsed="false">
      <c r="A15090" s="1" t="s">
        <v>1216</v>
      </c>
      <c r="B15090" s="0" t="s">
        <v>98</v>
      </c>
      <c r="F15090" s="6" t="n">
        <f aca="false">Q!$I$35-Q!$I$39-Q!$I$43</f>
        <v>9.666</v>
      </c>
      <c r="L15090" s="12" t="s">
        <v>1217</v>
      </c>
    </row>
    <row r="15091" customFormat="false" ht="17.15" hidden="false" customHeight="false" outlineLevel="0" collapsed="false">
      <c r="A15091" s="1" t="s">
        <v>1218</v>
      </c>
      <c r="B15091" s="0" t="s">
        <v>98</v>
      </c>
      <c r="F15091" s="6" t="n">
        <f aca="false">CF!F87-CF!F84-CF!F91+Thesis!F151*(1-tax_f)*(1-v_off)-Sens!F15090</f>
        <v>-6.10282680452259</v>
      </c>
      <c r="G15091" s="6" t="n">
        <f aca="false">CF!G87-CF!G84-CF!G91+Thesis!G151*(1-tax_f)</f>
        <v>19.0084129023516</v>
      </c>
      <c r="H15091" s="6" t="n">
        <f aca="false">CF!H87-CF!H84-CF!H91+Thesis!H151*(1-tax_f)</f>
        <v>55.9229468383331</v>
      </c>
      <c r="I15091" s="6" t="n">
        <f aca="false">CF!I87-CF!I84-CF!I91+Thesis!I151*(1-tax_f)</f>
        <v>127.901908576191</v>
      </c>
      <c r="J15091" s="6" t="n">
        <f aca="false">CF!J87-CF!J84-CF!J91+Thesis!J151*(1-tax_f)</f>
        <v>201.958443859638</v>
      </c>
      <c r="K15091" s="6" t="n">
        <f aca="false">CF!K87-CF!K84-CF!K91+Thesis!K151*(1-tax_f)</f>
        <v>237.542519059905</v>
      </c>
      <c r="L15091" s="1" t="s">
        <v>1219</v>
      </c>
    </row>
    <row r="15092" customFormat="false" ht="15" hidden="false" customHeight="false" outlineLevel="0" collapsed="false">
      <c r="A15092" s="1" t="s">
        <v>1220</v>
      </c>
      <c r="B15092" s="0" t="s">
        <v>98</v>
      </c>
      <c r="F15092" s="6" t="n">
        <f aca="false">Sens!F15091*Sens!F15089</f>
        <v>-5.88326359378609</v>
      </c>
      <c r="G15092" s="6" t="n">
        <f aca="false">Sens!G15091*Sens!G15089</f>
        <v>16.8207404076012</v>
      </c>
      <c r="H15092" s="6" t="n">
        <f aca="false">Sens!H15091*Sens!H15089</f>
        <v>44.8682110996123</v>
      </c>
      <c r="I15092" s="6" t="n">
        <f aca="false">Sens!I15091*Sens!I15089</f>
        <v>93.0411749730187</v>
      </c>
      <c r="J15092" s="6" t="n">
        <f aca="false">Sens!J15091*Sens!J15089</f>
        <v>133.201658322254</v>
      </c>
      <c r="K15092" s="6" t="n">
        <f aca="false">Sens!K15091*Sens!K15089</f>
        <v>142.049081094049</v>
      </c>
    </row>
    <row r="15093" customFormat="false" ht="17.15" hidden="false" customHeight="false" outlineLevel="0" collapsed="false">
      <c r="A15093" s="1" t="s">
        <v>1221</v>
      </c>
      <c r="B15093" s="0" t="s">
        <v>98</v>
      </c>
      <c r="C15093" s="6" t="n">
        <f aca="false">SUM(Sens!F15092:K15092)</f>
        <v>424.097602302749</v>
      </c>
    </row>
    <row r="15094" customFormat="false" ht="17.15" hidden="false" customHeight="false" outlineLevel="0" collapsed="false">
      <c r="A15094" s="1" t="s">
        <v>1222</v>
      </c>
      <c r="B15094" s="0" t="s">
        <v>98</v>
      </c>
      <c r="C15094" s="6" t="n">
        <f aca="false">PL!K117*(1+g_tv)*(1-tax_f)</f>
        <v>247.098906713682</v>
      </c>
    </row>
    <row r="15095" customFormat="false" ht="17.15" hidden="false" customHeight="false" outlineLevel="0" collapsed="false">
      <c r="A15095" s="1" t="s">
        <v>1223</v>
      </c>
      <c r="B15095" s="0" t="s">
        <v>98</v>
      </c>
      <c r="C15095" s="6" t="n">
        <f aca="false">Sens!$C$15094*(1-g_tv/(wacc+ronic_prem))</f>
        <v>175.084017418113</v>
      </c>
    </row>
    <row r="15096" customFormat="false" ht="17.15" hidden="false" customHeight="false" outlineLevel="0" collapsed="false">
      <c r="A15096" s="1" t="s">
        <v>1224</v>
      </c>
      <c r="B15096" s="0" t="s">
        <v>98</v>
      </c>
      <c r="C15096" s="6" t="n">
        <f aca="false">Sens!$C$15095/(wacc-g_tv)</f>
        <v>2400.4963098523</v>
      </c>
    </row>
    <row r="15097" customFormat="false" ht="15" hidden="false" customHeight="false" outlineLevel="0" collapsed="false">
      <c r="A15097" s="1" t="s">
        <v>1225</v>
      </c>
      <c r="B15097" s="0" t="s">
        <v>98</v>
      </c>
      <c r="C15097" s="6" t="n">
        <f aca="false">Sens!$C$15096/(1+wacc)^Sens!K15088</f>
        <v>1366.85624415645</v>
      </c>
    </row>
    <row r="15098" customFormat="false" ht="17.15" hidden="false" customHeight="false" outlineLevel="0" collapsed="false">
      <c r="A15098" s="0" t="s">
        <v>1226</v>
      </c>
      <c r="B15098" s="0" t="s">
        <v>98</v>
      </c>
      <c r="C15098" s="6" t="n">
        <f aca="false">Sens!$C$15093+Sens!$C$15097</f>
        <v>1790.9538464592</v>
      </c>
    </row>
    <row r="15099" customFormat="false" ht="15" hidden="false" customHeight="false" outlineLevel="0" collapsed="false">
      <c r="A15099" s="1" t="s">
        <v>1141</v>
      </c>
      <c r="B15099" s="0" t="s">
        <v>168</v>
      </c>
      <c r="C15099" s="7" t="n">
        <f aca="false">Sens!$C$15097/Sens!$C$15098</f>
        <v>0.763200149941769</v>
      </c>
    </row>
    <row r="15100" customFormat="false" ht="17.15" hidden="false" customHeight="false" outlineLevel="0" collapsed="false">
      <c r="A15100" s="1" t="s">
        <v>1227</v>
      </c>
      <c r="B15100" s="0" t="s">
        <v>98</v>
      </c>
      <c r="C15100" s="6" t="n">
        <f aca="false">Sens!$C$15098+cash_val-debt_val-fl_val+oai_v</f>
        <v>1906.8048464592</v>
      </c>
    </row>
    <row r="15101" customFormat="false" ht="17.15" hidden="false" customHeight="false" outlineLevel="0" collapsed="false">
      <c r="A15101" s="0" t="s">
        <v>1149</v>
      </c>
      <c r="B15101" s="0" t="s">
        <v>75</v>
      </c>
      <c r="C15101" s="5" t="n">
        <f aca="false">Sens!$C$15100/shd_val</f>
        <v>256.084454265269</v>
      </c>
    </row>
    <row r="15102" customFormat="false" ht="15" hidden="false" customHeight="false" outlineLevel="0" collapsed="false">
      <c r="A15102" s="1" t="s">
        <v>1228</v>
      </c>
      <c r="B15102" s="0" t="s">
        <v>75</v>
      </c>
      <c r="C15102" s="8" t="n">
        <f aca="false">div_rem27+CF!G95*roll_div_q/q_per_yr</f>
        <v>3.9795</v>
      </c>
    </row>
    <row r="15103" customFormat="false" ht="17.15" hidden="false" customHeight="false" outlineLevel="0" collapsed="false">
      <c r="A15103" s="0" t="s">
        <v>1229</v>
      </c>
      <c r="B15103" s="0" t="s">
        <v>75</v>
      </c>
      <c r="C15103" s="5" t="n">
        <f aca="false">Sens!$C$15101*(1+wacc)^t_roll-Sens!$C$15102</f>
        <v>280.67266317972</v>
      </c>
    </row>
    <row r="15104" customFormat="false" ht="17.15" hidden="false" customHeight="false" outlineLevel="0" collapsed="false">
      <c r="A15104" s="1" t="s">
        <v>1230</v>
      </c>
      <c r="B15104" s="0" t="s">
        <v>168</v>
      </c>
      <c r="F15104" s="7" t="n">
        <f aca="false">CF!F81/(Seg!F83-Thesis!F129)</f>
        <v>0.068677393452264</v>
      </c>
      <c r="G15104" s="7" t="n">
        <f aca="false">CF!G81/(Seg!G83-Thesis!G129)</f>
        <v>0.0663132664471956</v>
      </c>
      <c r="H15104" s="7" t="n">
        <f aca="false">CF!H81/(Seg!H83-Thesis!H129)</f>
        <v>0.0651363826734039</v>
      </c>
      <c r="I15104" s="7" t="n">
        <f aca="false">CF!I81/(Seg!I83-Thesis!I129)</f>
        <v>0.0650087936347709</v>
      </c>
      <c r="J15104" s="7" t="n">
        <f aca="false">CF!J81/(Seg!J83-Thesis!J129)</f>
        <v>0.0657212684841778</v>
      </c>
      <c r="K15104" s="7" t="n">
        <f aca="false">CF!K81/(Seg!K83-Thesis!K129)</f>
        <v>0.0670413306015285</v>
      </c>
    </row>
    <row r="15105" customFormat="false" ht="17.15" hidden="false" customHeight="false" outlineLevel="0" collapsed="false">
      <c r="A15105" s="0" t="s">
        <v>1231</v>
      </c>
      <c r="B15105" s="0" t="s">
        <v>98</v>
      </c>
      <c r="F15105" s="6" t="n">
        <f aca="false">Seg!F68*(al_m365+Sens!F15104+sbc_r)</f>
        <v>82.9185219618347</v>
      </c>
      <c r="G15105" s="6" t="n">
        <f aca="false">Seg!G68*(al_m365+Sens!G15104+sbc_r)</f>
        <v>93.3068052157631</v>
      </c>
      <c r="H15105" s="6" t="n">
        <f aca="false">Seg!H68*(al_m365+Sens!H15104+sbc_r)</f>
        <v>103.856057136159</v>
      </c>
      <c r="I15105" s="6" t="n">
        <f aca="false">Seg!I68*(al_m365+Sens!I15104+sbc_r)</f>
        <v>113.889717587147</v>
      </c>
      <c r="J15105" s="6" t="n">
        <f aca="false">Seg!J68*(al_m365+Sens!J15104+sbc_r)</f>
        <v>123.218477864124</v>
      </c>
      <c r="K15105" s="6" t="n">
        <f aca="false">Seg!K68*(al_m365+Sens!K15104+sbc_r)</f>
        <v>132.149420086311</v>
      </c>
      <c r="L15105" s="12" t="s">
        <v>1232</v>
      </c>
    </row>
    <row r="15106" customFormat="false" ht="17.15" hidden="false" customHeight="false" outlineLevel="0" collapsed="false">
      <c r="A15106" s="0" t="s">
        <v>1233</v>
      </c>
      <c r="B15106" s="0" t="s">
        <v>98</v>
      </c>
      <c r="F15106" s="6" t="n">
        <f aca="false">Seg!F69*(al_lic+Sens!F15104+sbc_r)</f>
        <v>32.8599853992256</v>
      </c>
      <c r="G15106" s="6" t="n">
        <f aca="false">Seg!G69*(al_lic+Sens!G15104+sbc_r)</f>
        <v>34.1568280697879</v>
      </c>
      <c r="H15106" s="6" t="n">
        <f aca="false">Seg!H69*(al_lic+Sens!H15104+sbc_r)</f>
        <v>35.3635535007213</v>
      </c>
      <c r="I15106" s="6" t="n">
        <f aca="false">Seg!I69*(al_lic+Sens!I15104+sbc_r)</f>
        <v>36.4604537346553</v>
      </c>
      <c r="J15106" s="6" t="n">
        <f aca="false">Seg!J69*(al_lic+Sens!J15104+sbc_r)</f>
        <v>37.4245888933574</v>
      </c>
      <c r="K15106" s="6" t="n">
        <f aca="false">Seg!K69*(al_lic+Sens!K15104+sbc_r)</f>
        <v>38.2321483186439</v>
      </c>
    </row>
    <row r="15107" customFormat="false" ht="17.15" hidden="false" customHeight="false" outlineLevel="0" collapsed="false">
      <c r="A15107" s="0" t="s">
        <v>1234</v>
      </c>
      <c r="B15107" s="0" t="s">
        <v>98</v>
      </c>
      <c r="F15107" s="6" t="n">
        <f aca="false">Seg!F71*(al_ind+Sens!F15104+sbc_r)</f>
        <v>9.06170747885803</v>
      </c>
      <c r="G15107" s="6" t="n">
        <f aca="false">Seg!G71*(al_ind+Sens!G15104+sbc_r)</f>
        <v>9.8478979082138</v>
      </c>
      <c r="H15107" s="6" t="n">
        <f aca="false">Seg!H71*(al_ind+Sens!H15104+sbc_r)</f>
        <v>10.6768254332059</v>
      </c>
      <c r="I15107" s="6" t="n">
        <f aca="false">Seg!I71*(al_ind+Sens!I15104+sbc_r)</f>
        <v>11.54398793803</v>
      </c>
      <c r="J15107" s="6" t="n">
        <f aca="false">Seg!J71*(al_ind+Sens!J15104+sbc_r)</f>
        <v>12.4407914253112</v>
      </c>
      <c r="K15107" s="6" t="n">
        <f aca="false">Seg!K71*(al_ind+Sens!K15104+sbc_r)</f>
        <v>13.355239066864</v>
      </c>
    </row>
    <row r="15108" customFormat="false" ht="17.15" hidden="false" customHeight="false" outlineLevel="0" collapsed="false">
      <c r="A15108" s="0" t="s">
        <v>1235</v>
      </c>
      <c r="B15108" s="0" t="s">
        <v>98</v>
      </c>
      <c r="F15108" s="6" t="n">
        <f aca="false">Seg!F73*(al_fro+Sens!F15104+sbc_r)</f>
        <v>3.55453569939552</v>
      </c>
      <c r="G15108" s="6" t="n">
        <f aca="false">Seg!G73*(al_fro+Sens!G15104+sbc_r)</f>
        <v>3.76809436159872</v>
      </c>
      <c r="H15108" s="6" t="n">
        <f aca="false">Seg!H73*(al_fro+Sens!H15104+sbc_r)</f>
        <v>4.00964905674607</v>
      </c>
      <c r="I15108" s="6" t="n">
        <f aca="false">Seg!I73*(al_fro+Sens!I15104+sbc_r)</f>
        <v>4.28152633145235</v>
      </c>
      <c r="J15108" s="6" t="n">
        <f aca="false">Seg!J73*(al_fro+Sens!J15104+sbc_r)</f>
        <v>4.58536512975975</v>
      </c>
      <c r="K15108" s="6" t="n">
        <f aca="false">Seg!K73*(al_fro+Sens!K15104+sbc_r)</f>
        <v>4.92240770086468</v>
      </c>
    </row>
    <row r="15109" customFormat="false" ht="17.15" hidden="false" customHeight="false" outlineLevel="0" collapsed="false">
      <c r="A15109" s="0" t="s">
        <v>1236</v>
      </c>
      <c r="B15109" s="0" t="s">
        <v>98</v>
      </c>
      <c r="F15109" s="6" t="n">
        <f aca="false">Seg!F76*(al_srch+Sens!F15104+sbc_r)</f>
        <v>11.190683952584</v>
      </c>
      <c r="G15109" s="6" t="n">
        <f aca="false">Seg!G76*(al_srch+Sens!G15104+sbc_r)</f>
        <v>12.2763328717258</v>
      </c>
      <c r="H15109" s="6" t="n">
        <f aca="false">Seg!H76*(al_srch+Sens!H15104+sbc_r)</f>
        <v>13.4043563346576</v>
      </c>
      <c r="I15109" s="6" t="n">
        <f aca="false">Seg!I76*(al_srch+Sens!I15104+sbc_r)</f>
        <v>14.5621512181916</v>
      </c>
      <c r="J15109" s="6" t="n">
        <f aca="false">Seg!J76*(al_srch+Sens!J15104+sbc_r)</f>
        <v>15.7310381862385</v>
      </c>
      <c r="K15109" s="6" t="n">
        <f aca="false">Seg!K76*(al_srch+Sens!K15104+sbc_r)</f>
        <v>16.8873320486462</v>
      </c>
    </row>
    <row r="15110" customFormat="false" ht="17.15" hidden="false" customHeight="false" outlineLevel="0" collapsed="false">
      <c r="A15110" s="0" t="s">
        <v>1237</v>
      </c>
      <c r="B15110" s="0" t="s">
        <v>98</v>
      </c>
      <c r="F15110" s="6" t="n">
        <f aca="false">Thesis!F135-Thesis!F136+Thesis!F151</f>
        <v>38.9696429794913</v>
      </c>
      <c r="G15110" s="6" t="n">
        <f aca="false">Thesis!G135-Thesis!G136+Thesis!G151</f>
        <v>69.465497726016</v>
      </c>
      <c r="H15110" s="6" t="n">
        <f aca="false">Thesis!H135-Thesis!H136+Thesis!H151</f>
        <v>96.8147106808268</v>
      </c>
      <c r="I15110" s="6" t="n">
        <f aca="false">Thesis!I135-Thesis!I136+Thesis!I151</f>
        <v>127.654939766446</v>
      </c>
      <c r="J15110" s="6" t="n">
        <f aca="false">Thesis!J135-Thesis!J136+Thesis!J151</f>
        <v>149.308352681229</v>
      </c>
      <c r="K15110" s="6" t="n">
        <f aca="false">Thesis!K135-Thesis!K136+Thesis!K151</f>
        <v>162.731822021841</v>
      </c>
    </row>
    <row r="15111" customFormat="false" ht="17.15" hidden="false" customHeight="false" outlineLevel="0" collapsed="false">
      <c r="A15111" s="0" t="s">
        <v>1238</v>
      </c>
      <c r="B15111" s="0" t="s">
        <v>98</v>
      </c>
      <c r="F15111" s="6" t="n">
        <f aca="false">PL!F110+Thesis!F151+Thesis!F147+Sens!F15104*(Seg!F75-Thesis!F129)+sbc_r*Seg!F75</f>
        <v>234.79972328186</v>
      </c>
      <c r="G15111" s="6" t="n">
        <f aca="false">PL!G110+Thesis!G151+Thesis!G147+Sens!G15104*(Seg!G75-Thesis!G129)+sbc_r*Seg!G75</f>
        <v>285.499052659517</v>
      </c>
      <c r="H15111" s="6" t="n">
        <f aca="false">PL!H110+Thesis!H151+Thesis!H147+Sens!H15104*(Seg!H75-Thesis!H129)+sbc_r*Seg!H75</f>
        <v>338.258569294547</v>
      </c>
      <c r="I15111" s="6" t="n">
        <f aca="false">PL!I110+Thesis!I151+Thesis!I147+Sens!I15104*(Seg!I75-Thesis!I129)+sbc_r*Seg!I75</f>
        <v>393.887902526982</v>
      </c>
      <c r="J15111" s="6" t="n">
        <f aca="false">PL!J110+Thesis!J151+Thesis!J147+Sens!J15104*(Seg!J75-Thesis!J129)+sbc_r*Seg!J75</f>
        <v>438.406631506078</v>
      </c>
      <c r="K15111" s="6" t="n">
        <f aca="false">PL!K110+Thesis!K151+Thesis!K147+Sens!K15104*(Seg!K75-Thesis!K129)+sbc_r*Seg!K75</f>
        <v>472.352875745143</v>
      </c>
    </row>
    <row r="15112" customFormat="false" ht="17.15" hidden="false" customHeight="false" outlineLevel="0" collapsed="false">
      <c r="A15112" s="0" t="s">
        <v>1239</v>
      </c>
      <c r="B15112" s="0" t="s">
        <v>98</v>
      </c>
      <c r="F15112" s="6" t="n">
        <f aca="false">Sens!F15111-Sens!F15105-Sens!F15106-Sens!F15107-Sens!F15108-Sens!F15110</f>
        <v>67.4353297630543</v>
      </c>
      <c r="G15112" s="6" t="n">
        <f aca="false">Sens!G15111-Sens!G15105-Sens!G15106-Sens!G15107-Sens!G15108-Sens!G15110</f>
        <v>74.9539293781376</v>
      </c>
      <c r="H15112" s="6" t="n">
        <f aca="false">Sens!H15111-Sens!H15105-Sens!H15106-Sens!H15107-Sens!H15108-Sens!H15110</f>
        <v>87.537773486888</v>
      </c>
      <c r="I15112" s="6" t="n">
        <f aca="false">Sens!I15111-Sens!I15105-Sens!I15106-Sens!I15107-Sens!I15108-Sens!I15110</f>
        <v>100.057277169252</v>
      </c>
      <c r="J15112" s="6" t="n">
        <f aca="false">Sens!J15111-Sens!J15105-Sens!J15106-Sens!J15107-Sens!J15108-Sens!J15110</f>
        <v>111.429055512297</v>
      </c>
      <c r="K15112" s="6" t="n">
        <f aca="false">Sens!K15111-Sens!K15105-Sens!K15106-Sens!K15107-Sens!K15108-Sens!K15110</f>
        <v>120.961838550618</v>
      </c>
    </row>
    <row r="15113" customFormat="false" ht="17.15" hidden="false" customHeight="false" outlineLevel="0" collapsed="false">
      <c r="A15113" s="0" t="s">
        <v>1240</v>
      </c>
      <c r="B15113" s="0" t="s">
        <v>98</v>
      </c>
      <c r="F15113" s="6" t="n">
        <f aca="false">PL!F112+Sens!F15104*Seg!F82+sbc_r*Seg!F82</f>
        <v>26.6373549789235</v>
      </c>
      <c r="G15113" s="6" t="n">
        <f aca="false">PL!G112+Sens!G15104*Seg!G82+sbc_r*Seg!G82</f>
        <v>26.5038922765853</v>
      </c>
      <c r="H15113" s="6" t="n">
        <f aca="false">PL!H112+Sens!H15104*Seg!H82+sbc_r*Seg!H82</f>
        <v>27.3981100014792</v>
      </c>
      <c r="I15113" s="6" t="n">
        <f aca="false">PL!I112+Sens!I15104*Seg!I82+sbc_r*Seg!I82</f>
        <v>28.5176442589239</v>
      </c>
      <c r="J15113" s="6" t="n">
        <f aca="false">PL!J112+Sens!J15104*Seg!J82+sbc_r*Seg!J82</f>
        <v>29.8313998963726</v>
      </c>
      <c r="K15113" s="6" t="n">
        <f aca="false">PL!K112+Sens!K15104*Seg!K82+sbc_r*Seg!K82</f>
        <v>31.3103466222307</v>
      </c>
    </row>
    <row r="15114" customFormat="false" ht="17.15" hidden="false" customHeight="false" outlineLevel="0" collapsed="false">
      <c r="A15114" s="0" t="s">
        <v>1241</v>
      </c>
      <c r="B15114" s="0" t="s">
        <v>98</v>
      </c>
      <c r="F15114" s="6" t="n">
        <f aca="false">(Sens!F15113-Sens!F15109)*Seg!F78/(Seg!F78+Seg!F80)</f>
        <v>8.72405610479892</v>
      </c>
      <c r="G15114" s="6" t="n">
        <f aca="false">(Sens!G15113-Sens!G15109)*Seg!G78/(Seg!G78+Seg!G80)</f>
        <v>7.897418765869</v>
      </c>
      <c r="H15114" s="6" t="n">
        <f aca="false">(Sens!H15113-Sens!H15109)*Seg!H78/(Seg!H78+Seg!H80)</f>
        <v>7.66644879573063</v>
      </c>
      <c r="I15114" s="6" t="n">
        <f aca="false">(Sens!I15113-Sens!I15109)*Seg!I78/(Seg!I78+Seg!I80)</f>
        <v>7.5787545031814</v>
      </c>
      <c r="J15114" s="6" t="n">
        <f aca="false">(Sens!J15113-Sens!J15109)*Seg!J78/(Seg!J78+Seg!J80)</f>
        <v>7.62401876450459</v>
      </c>
      <c r="K15114" s="6" t="n">
        <f aca="false">(Sens!K15113-Sens!K15109)*Seg!K78/(Seg!K78+Seg!K80)</f>
        <v>7.79847609658838</v>
      </c>
    </row>
    <row r="15115" customFormat="false" ht="17.15" hidden="false" customHeight="false" outlineLevel="0" collapsed="false">
      <c r="A15115" s="0" t="s">
        <v>1242</v>
      </c>
      <c r="B15115" s="0" t="s">
        <v>98</v>
      </c>
      <c r="F15115" s="6" t="n">
        <f aca="false">Sens!F15113-Sens!F15109-Sens!F15114</f>
        <v>6.72261492154066</v>
      </c>
      <c r="G15115" s="6" t="n">
        <f aca="false">Sens!G15113-Sens!G15109-Sens!G15114</f>
        <v>6.33014063899044</v>
      </c>
      <c r="H15115" s="6" t="n">
        <f aca="false">Sens!H15113-Sens!H15109-Sens!H15114</f>
        <v>6.32730487109095</v>
      </c>
      <c r="I15115" s="6" t="n">
        <f aca="false">Sens!I15113-Sens!I15109-Sens!I15114</f>
        <v>6.37673853755084</v>
      </c>
      <c r="J15115" s="6" t="n">
        <f aca="false">Sens!J15113-Sens!J15109-Sens!J15114</f>
        <v>6.47634294562954</v>
      </c>
      <c r="K15115" s="6" t="n">
        <f aca="false">Sens!K15113-Sens!K15109-Sens!K15114</f>
        <v>6.62453847699607</v>
      </c>
    </row>
    <row r="15116" customFormat="false" ht="17.15" hidden="false" customHeight="false" outlineLevel="0" collapsed="false">
      <c r="A15116" s="0" t="s">
        <v>1243</v>
      </c>
      <c r="B15116" s="0" t="s">
        <v>98</v>
      </c>
      <c r="F15116" s="6" t="n">
        <f aca="false">Sens!F15110-tax_f*(Sens!F15110-Thesis!F147)-Thesis!F144</f>
        <v>-130.362326762856</v>
      </c>
      <c r="G15116" s="6" t="n">
        <f aca="false">Sens!G15110-tax_f*(Sens!G15110-Thesis!G147)-Thesis!G144</f>
        <v>-124.225179337776</v>
      </c>
      <c r="H15116" s="6" t="n">
        <f aca="false">Sens!H15110-tax_f*(Sens!H15110-Thesis!H147)-Thesis!H144</f>
        <v>-101.534217387562</v>
      </c>
      <c r="I15116" s="6" t="n">
        <f aca="false">Sens!I15110-tax_f*(Sens!I15110-Thesis!I147)-Thesis!I144</f>
        <v>-43.6446798695439</v>
      </c>
      <c r="J15116" s="6" t="n">
        <f aca="false">Sens!J15110-tax_f*(Sens!J15110-Thesis!J147)-Thesis!J144</f>
        <v>16.9198855589618</v>
      </c>
      <c r="K15116" s="6" t="n">
        <f aca="false">Sens!K15110-tax_f*(Sens!K15110-Thesis!K147)-Thesis!K144</f>
        <v>39.8251384629271</v>
      </c>
    </row>
    <row r="15117" customFormat="false" ht="17.15" hidden="false" customHeight="false" outlineLevel="0" collapsed="false">
      <c r="A15117" s="0" t="s">
        <v>1244</v>
      </c>
      <c r="B15117" s="0" t="s">
        <v>98</v>
      </c>
      <c r="G15117" s="6" t="n">
        <f aca="false">Sens!G15116/(1+wacc)^(Sens!G15087-Sens!F15088)</f>
        <v>-118.286276192192</v>
      </c>
      <c r="H15117" s="6" t="n">
        <f aca="false">Sens!H15116/(1+wacc)^(Sens!H15087-Sens!F15088)</f>
        <v>-87.6570009910427</v>
      </c>
      <c r="I15117" s="6" t="n">
        <f aca="false">Sens!I15116/(1+wacc)^(Sens!I15087-Sens!F15088)</f>
        <v>-34.1629172979204</v>
      </c>
      <c r="J15117" s="6" t="n">
        <f aca="false">Sens!J15116/(1+wacc)^(Sens!J15087-Sens!F15088)</f>
        <v>12.0079954170053</v>
      </c>
      <c r="K15117" s="6" t="n">
        <f aca="false">Sens!K15116/(1+wacc)^(Sens!K15087-Sens!F15088)</f>
        <v>25.6259421582556</v>
      </c>
      <c r="L15117" s="1" t="s">
        <v>1245</v>
      </c>
    </row>
    <row r="15118" customFormat="false" ht="17.15" hidden="false" customHeight="false" outlineLevel="0" collapsed="false">
      <c r="A15118" s="0" t="s">
        <v>1246</v>
      </c>
      <c r="B15118" s="0" t="s">
        <v>98</v>
      </c>
      <c r="C15118" s="6" t="n">
        <f aca="false">(Sens!K15110-Thesis!K147)*(1-tax_f)*(1+g_tv)*(1-g_tv/(wacc+ronic_prem))/(wacc-g_tv)/(1+wacc)^(Sens!K15088-Sens!F15088)</f>
        <v>96.7148026864948</v>
      </c>
    </row>
    <row r="15119" customFormat="false" ht="17.15" hidden="false" customHeight="false" outlineLevel="0" collapsed="false">
      <c r="A15119" s="1" t="s">
        <v>1247</v>
      </c>
      <c r="B15119" s="0" t="s">
        <v>98</v>
      </c>
      <c r="C15119" s="6" t="n">
        <f aca="false">(SUM(Sens!G15117:K15117)+Sens!$C$15118)*(1+wacc)^(t_roll-Sens!F15088)</f>
        <v>-109.248827617462</v>
      </c>
      <c r="L15119" s="12" t="s">
        <v>1248</v>
      </c>
    </row>
    <row r="15120" customFormat="false" ht="17.15" hidden="false" customHeight="false" outlineLevel="0" collapsed="false">
      <c r="A15120" s="1" t="s">
        <v>1249</v>
      </c>
      <c r="B15120" s="0" t="s">
        <v>98</v>
      </c>
      <c r="C15120" s="6" t="n">
        <f aca="false">(w_ntm28*Thesis!G135+(1-w_ntm28)*Thesis!H135)*m_ai*1.2</f>
        <v>413.226994814803</v>
      </c>
    </row>
    <row r="15121" customFormat="false" ht="17.15" hidden="false" customHeight="false" outlineLevel="0" collapsed="false">
      <c r="A15121" s="1" t="s">
        <v>1250</v>
      </c>
      <c r="B15121" s="0" t="s">
        <v>98</v>
      </c>
      <c r="C15121" s="6" t="n">
        <f aca="false">(w_ntm28*Sens!G15112+(1-w_ntm28)*Sens!H15112)*m_cloud*1.2</f>
        <v>1311.64653051646</v>
      </c>
    </row>
    <row r="15122" customFormat="false" ht="17.15" hidden="false" customHeight="false" outlineLevel="0" collapsed="false">
      <c r="A15122" s="1" t="s">
        <v>1251</v>
      </c>
      <c r="B15122" s="0" t="s">
        <v>98</v>
      </c>
      <c r="C15122" s="6" t="n">
        <f aca="false">(w_ntm28*Sens!G15105+(1-w_ntm28)*Sens!H15105)*m_sw*1.2</f>
        <v>1254.20467939519</v>
      </c>
    </row>
    <row r="15123" customFormat="false" ht="17.15" hidden="false" customHeight="false" outlineLevel="0" collapsed="false">
      <c r="A15123" s="1" t="s">
        <v>1252</v>
      </c>
      <c r="B15123" s="0" t="s">
        <v>98</v>
      </c>
      <c r="C15123" s="6" t="n">
        <f aca="false">(w_ntm28*Sens!G15106+(1-w_ntm28)*Sens!H15106)*m_sw*1.2</f>
        <v>447.814133949349</v>
      </c>
    </row>
    <row r="15124" customFormat="false" ht="17.15" hidden="false" customHeight="false" outlineLevel="0" collapsed="false">
      <c r="A15124" s="1" t="s">
        <v>1253</v>
      </c>
      <c r="B15124" s="0" t="s">
        <v>98</v>
      </c>
      <c r="C15124" s="6" t="n">
        <f aca="false">(w_ntm28*Sens!G15107+(1-w_ntm28)*Sens!H15107)*m_sw*1.2</f>
        <v>131.160669457212</v>
      </c>
    </row>
    <row r="15125" customFormat="false" ht="17.15" hidden="false" customHeight="false" outlineLevel="0" collapsed="false">
      <c r="A15125" s="1" t="s">
        <v>1254</v>
      </c>
      <c r="B15125" s="0" t="s">
        <v>98</v>
      </c>
      <c r="C15125" s="6" t="n">
        <f aca="false">(w_ntm28*Sens!G15108+(1-w_ntm28)*Sens!H15108)*m_sw*1.2</f>
        <v>49.8637244657528</v>
      </c>
    </row>
    <row r="15126" customFormat="false" ht="17.15" hidden="false" customHeight="false" outlineLevel="0" collapsed="false">
      <c r="A15126" s="1" t="s">
        <v>1255</v>
      </c>
      <c r="B15126" s="0" t="s">
        <v>98</v>
      </c>
      <c r="C15126" s="6" t="n">
        <f aca="false">(w_ntm28*Sens!G15109+(1-w_ntm28)*Sens!H15109)*m_ads*1.2</f>
        <v>138.259079993741</v>
      </c>
    </row>
    <row r="15127" customFormat="false" ht="17.15" hidden="false" customHeight="false" outlineLevel="0" collapsed="false">
      <c r="A15127" s="1" t="s">
        <v>1256</v>
      </c>
      <c r="B15127" s="0" t="s">
        <v>98</v>
      </c>
      <c r="C15127" s="6" t="n">
        <f aca="false">(w_ntm28*Sens!G15114+(1-w_ntm28)*Sens!H15114)*m_game*1.2</f>
        <v>118.542402913894</v>
      </c>
    </row>
    <row r="15128" customFormat="false" ht="17.15" hidden="false" customHeight="false" outlineLevel="0" collapsed="false">
      <c r="A15128" s="1" t="s">
        <v>1257</v>
      </c>
      <c r="B15128" s="0" t="s">
        <v>98</v>
      </c>
      <c r="C15128" s="6" t="n">
        <f aca="false">(w_ntm28*Sens!G15115+(1-w_ntm28)*Sens!H15115)*m_pc*1.2</f>
        <v>109.900373472261</v>
      </c>
    </row>
    <row r="15129" customFormat="false" ht="17.15" hidden="false" customHeight="false" outlineLevel="0" collapsed="false">
      <c r="A15129" s="1" t="s">
        <v>1258</v>
      </c>
      <c r="B15129" s="0" t="s">
        <v>98</v>
      </c>
      <c r="C15129" s="6" t="n">
        <f aca="false">Sens!$C$15119+Sens!$C$15121+Sens!$C$15122+Sens!$C$15123+Sens!$C$15124+Sens!$C$15125+Sens!$C$15126+Sens!$C$15127+Sens!$C$15128</f>
        <v>3452.1427665464</v>
      </c>
    </row>
    <row r="15130" customFormat="false" ht="17.15" hidden="false" customHeight="false" outlineLevel="0" collapsed="false">
      <c r="A15130" s="1" t="s">
        <v>1259</v>
      </c>
      <c r="B15130" s="0" t="s">
        <v>98</v>
      </c>
      <c r="C15130" s="6" t="n">
        <f aca="false">(Sens!G15091-Sens!G15116)*t_stub</f>
        <v>47.4829168796038</v>
      </c>
      <c r="L15130" s="1" t="s">
        <v>1260</v>
      </c>
    </row>
    <row r="15131" customFormat="false" ht="17.15" hidden="false" customHeight="false" outlineLevel="0" collapsed="false">
      <c r="A15131" s="1" t="s">
        <v>1169</v>
      </c>
      <c r="B15131" s="0" t="s">
        <v>98</v>
      </c>
      <c r="C15131" s="6" t="n">
        <f aca="false">CF!F103+oai_v-CF!F92+Sens!$C$15130</f>
        <v>158.55427008544</v>
      </c>
      <c r="L15131" s="1" t="s">
        <v>1261</v>
      </c>
    </row>
    <row r="15132" customFormat="false" ht="17.15" hidden="false" customHeight="false" outlineLevel="0" collapsed="false">
      <c r="A15132" s="1" t="s">
        <v>1262</v>
      </c>
      <c r="B15132" s="0" t="s">
        <v>75</v>
      </c>
      <c r="C15132" s="5" t="n">
        <f aca="false">(Sens!$C$15129+Sens!$C$15131)/(CF!F105+dil_gap)-CF!G95*roll_div_q/q_per_yr</f>
        <v>480.643669241174</v>
      </c>
      <c r="L15132" s="1" t="s">
        <v>1263</v>
      </c>
    </row>
    <row r="15133" customFormat="false" ht="17.15" hidden="false" customHeight="false" outlineLevel="0" collapsed="false">
      <c r="A15133" s="1" t="s">
        <v>1264</v>
      </c>
      <c r="B15133" s="0" t="s">
        <v>75</v>
      </c>
      <c r="C15133" s="5" t="n">
        <f aca="false">w_dcf*Sens!$C$15103+(1-w_dcf)*Sens!$C$15132</f>
        <v>380.658166210447</v>
      </c>
    </row>
    <row r="15134" customFormat="false" ht="17.15" hidden="false" customHeight="false" outlineLevel="0" collapsed="false">
      <c r="A15134" s="3" t="s">
        <v>1852</v>
      </c>
    </row>
    <row r="15135" customFormat="false" ht="15" hidden="false" customHeight="false" outlineLevel="0" collapsed="false">
      <c r="A15135" s="4" t="s">
        <v>43</v>
      </c>
      <c r="B15135" s="4" t="s">
        <v>65</v>
      </c>
      <c r="C15135" s="23" t="s">
        <v>938</v>
      </c>
      <c r="D15135" s="23" t="s">
        <v>939</v>
      </c>
      <c r="E15135" s="23" t="s">
        <v>940</v>
      </c>
      <c r="F15135" s="23" t="s">
        <v>941</v>
      </c>
      <c r="G15135" s="23" t="s">
        <v>942</v>
      </c>
      <c r="H15135" s="23" t="s">
        <v>943</v>
      </c>
      <c r="I15135" s="23" t="s">
        <v>944</v>
      </c>
      <c r="J15135" s="23" t="s">
        <v>945</v>
      </c>
      <c r="K15135" s="23" t="s">
        <v>946</v>
      </c>
      <c r="L15135" s="4" t="s">
        <v>47</v>
      </c>
    </row>
    <row r="15136" customFormat="false" ht="17.15" hidden="false" customHeight="false" outlineLevel="0" collapsed="false">
      <c r="A15136" s="1" t="s">
        <v>947</v>
      </c>
      <c r="B15136" s="1" t="s">
        <v>279</v>
      </c>
      <c r="C15136" s="21" t="n">
        <v>2024</v>
      </c>
      <c r="D15136" s="21" t="n">
        <v>2025</v>
      </c>
      <c r="E15136" s="21" t="n">
        <v>2026</v>
      </c>
      <c r="F15136" s="21" t="n">
        <v>2027</v>
      </c>
      <c r="G15136" s="21" t="n">
        <v>2028</v>
      </c>
      <c r="H15136" s="21" t="n">
        <v>2029</v>
      </c>
      <c r="I15136" s="21" t="n">
        <v>2030</v>
      </c>
      <c r="J15136" s="21" t="n">
        <v>2031</v>
      </c>
      <c r="K15136" s="21" t="n">
        <v>2032</v>
      </c>
    </row>
    <row r="15137" customFormat="false" ht="17.15" hidden="false" customHeight="false" outlineLevel="0" collapsed="false">
      <c r="A15137" s="1" t="s">
        <v>948</v>
      </c>
      <c r="B15137" s="0" t="s">
        <v>456</v>
      </c>
      <c r="F15137" s="30" t="n">
        <f aca="false">pace_epoch</f>
        <v>650</v>
      </c>
      <c r="G15137" s="30" t="n">
        <f aca="false">pace_epoch</f>
        <v>650</v>
      </c>
      <c r="H15137" s="30" t="n">
        <f aca="false">pace_epoch</f>
        <v>650</v>
      </c>
      <c r="I15137" s="30" t="n">
        <f aca="false">pace_epoch+(g_tv*Sens!H15138-pace_epoch)*MIN(1,(Sens!I15136-pace_y0)/(pace_y1-pace_y0))</f>
        <v>477.193333333333</v>
      </c>
      <c r="J15137" s="30" t="n">
        <f aca="false">pace_epoch+(g_tv*Sens!I15138-pace_epoch)*MIN(1,(Sens!J15136-pace_y0)/(pace_y1-pace_y0))</f>
        <v>304.386666666667</v>
      </c>
      <c r="K15137" s="30" t="n">
        <f aca="false">pace_epoch+(g_tv*Sens!J15138-pace_epoch)*MIN(1,(Sens!K15136-pace_y0)/(pace_y1-pace_y0))</f>
        <v>131.58</v>
      </c>
      <c r="L15137" s="12" t="s">
        <v>949</v>
      </c>
    </row>
    <row r="15138" customFormat="false" ht="17.15" hidden="false" customHeight="false" outlineLevel="0" collapsed="false">
      <c r="A15138" s="1" t="s">
        <v>950</v>
      </c>
      <c r="B15138" s="0" t="s">
        <v>456</v>
      </c>
      <c r="C15138" s="30" t="n">
        <f aca="false">mw_ext_24</f>
        <v>640</v>
      </c>
      <c r="D15138" s="30" t="n">
        <f aca="false">mw_ext_25</f>
        <v>1630</v>
      </c>
      <c r="E15138" s="30" t="n">
        <f aca="false">mw_ext_26</f>
        <v>3250</v>
      </c>
      <c r="F15138" s="30" t="n">
        <f aca="false">MIN(cap_epoch,Sens!E15138+Sens!F15137)</f>
        <v>3900</v>
      </c>
      <c r="G15138" s="30" t="n">
        <f aca="false">MIN(cap_epoch,Sens!F15138+Sens!G15137)</f>
        <v>4386</v>
      </c>
      <c r="H15138" s="30" t="n">
        <f aca="false">MIN(cap_epoch,Sens!G15138+Sens!H15137)</f>
        <v>4386</v>
      </c>
      <c r="I15138" s="30" t="n">
        <f aca="false">MIN(cap_epoch,Sens!H15138+Sens!I15137)</f>
        <v>4386</v>
      </c>
      <c r="J15138" s="30" t="n">
        <f aca="false">MIN(cap_epoch,Sens!I15138+Sens!J15137)</f>
        <v>4386</v>
      </c>
      <c r="K15138" s="30" t="n">
        <f aca="false">MIN(cap_epoch,Sens!J15138+Sens!K15137)</f>
        <v>4386</v>
      </c>
      <c r="L15138" s="1" t="s">
        <v>951</v>
      </c>
    </row>
    <row r="15139" customFormat="false" ht="17.15" hidden="false" customHeight="false" outlineLevel="0" collapsed="false">
      <c r="A15139" s="1" t="s">
        <v>952</v>
      </c>
      <c r="B15139" s="0" t="s">
        <v>456</v>
      </c>
      <c r="C15139" s="30" t="n">
        <f aca="false">rent_ext_24</f>
        <v>150</v>
      </c>
      <c r="D15139" s="30" t="n">
        <f aca="false">rent_ext_25</f>
        <v>400</v>
      </c>
      <c r="E15139" s="30" t="n">
        <f aca="false">rent_ext_26</f>
        <v>550</v>
      </c>
      <c r="F15139" s="30" t="n">
        <f aca="false">rent_ext_f</f>
        <v>756</v>
      </c>
      <c r="G15139" s="30" t="n">
        <f aca="false">rent_ext_f</f>
        <v>756</v>
      </c>
      <c r="H15139" s="30" t="n">
        <f aca="false">rent_ext_f</f>
        <v>756</v>
      </c>
      <c r="I15139" s="30" t="n">
        <f aca="false">rent_ext_f</f>
        <v>756</v>
      </c>
      <c r="J15139" s="30" t="n">
        <f aca="false">rent_ext_f</f>
        <v>756</v>
      </c>
      <c r="K15139" s="30" t="n">
        <f aca="false">rent_ext_f</f>
        <v>756</v>
      </c>
      <c r="L15139" s="1" t="s">
        <v>953</v>
      </c>
    </row>
    <row r="15140" customFormat="false" ht="17.15" hidden="false" customHeight="false" outlineLevel="0" collapsed="false">
      <c r="A15140" s="1" t="s">
        <v>954</v>
      </c>
      <c r="B15140" s="0" t="s">
        <v>456</v>
      </c>
      <c r="C15140" s="30" t="n">
        <f aca="false">Sens!C15138-Sens!C15139</f>
        <v>490</v>
      </c>
      <c r="D15140" s="30" t="n">
        <f aca="false">Sens!D15138-Sens!D15139</f>
        <v>1230</v>
      </c>
      <c r="E15140" s="30" t="n">
        <f aca="false">Sens!E15138-Sens!E15139</f>
        <v>2700</v>
      </c>
      <c r="F15140" s="30" t="n">
        <f aca="false">Sens!F15138-Sens!F15139</f>
        <v>3144</v>
      </c>
      <c r="G15140" s="30" t="n">
        <f aca="false">Sens!G15138-Sens!G15139</f>
        <v>3630</v>
      </c>
      <c r="H15140" s="30" t="n">
        <f aca="false">Sens!H15138-Sens!H15139</f>
        <v>3630</v>
      </c>
      <c r="I15140" s="30" t="n">
        <f aca="false">Sens!I15138-Sens!I15139</f>
        <v>3630</v>
      </c>
      <c r="J15140" s="30" t="n">
        <f aca="false">Sens!J15138-Sens!J15139</f>
        <v>3630</v>
      </c>
      <c r="K15140" s="30" t="n">
        <f aca="false">Sens!K15138-Sens!K15139</f>
        <v>3630</v>
      </c>
    </row>
    <row r="15141" customFormat="false" ht="17.15" hidden="false" customHeight="false" outlineLevel="0" collapsed="false">
      <c r="A15141" s="1" t="s">
        <v>955</v>
      </c>
      <c r="B15141" s="0" t="s">
        <v>456</v>
      </c>
      <c r="C15141" s="30" t="n">
        <f aca="false">Sens!C15140/ext_sh</f>
        <v>816.666666666667</v>
      </c>
      <c r="D15141" s="30" t="n">
        <f aca="false">Sens!D15140/ext_sh</f>
        <v>2050</v>
      </c>
      <c r="E15141" s="30" t="n">
        <f aca="false">Sens!E15140/ext_sh</f>
        <v>4500</v>
      </c>
      <c r="F15141" s="30" t="n">
        <f aca="false">Sens!F15140/ext_sh</f>
        <v>5240</v>
      </c>
      <c r="G15141" s="30" t="n">
        <f aca="false">Sens!G15140/ext_sh</f>
        <v>6050</v>
      </c>
      <c r="H15141" s="30" t="n">
        <f aca="false">Sens!H15140/ext_sh</f>
        <v>6050</v>
      </c>
      <c r="I15141" s="30" t="n">
        <f aca="false">Sens!I15140/ext_sh</f>
        <v>6050</v>
      </c>
      <c r="J15141" s="30" t="n">
        <f aca="false">Sens!J15140/ext_sh</f>
        <v>6050</v>
      </c>
      <c r="K15141" s="30" t="n">
        <f aca="false">Sens!K15140/ext_sh</f>
        <v>6050</v>
      </c>
      <c r="L15141" s="1" t="s">
        <v>956</v>
      </c>
    </row>
    <row r="15142" customFormat="false" ht="17.15" hidden="false" customHeight="false" outlineLevel="0" collapsed="false">
      <c r="A15142" s="1" t="s">
        <v>957</v>
      </c>
      <c r="B15142" s="0" t="s">
        <v>456</v>
      </c>
      <c r="C15142" s="30" t="n">
        <f aca="false">Sens!C15141-Sens!C15140</f>
        <v>326.666666666667</v>
      </c>
      <c r="D15142" s="30" t="n">
        <f aca="false">Sens!D15141-Sens!D15140</f>
        <v>820</v>
      </c>
      <c r="E15142" s="30" t="n">
        <f aca="false">Sens!E15141-Sens!E15140</f>
        <v>1800</v>
      </c>
      <c r="F15142" s="30" t="n">
        <f aca="false">Sens!F15141-Sens!F15140</f>
        <v>2096</v>
      </c>
      <c r="G15142" s="30" t="n">
        <f aca="false">Sens!G15141-Sens!G15140</f>
        <v>2420</v>
      </c>
      <c r="H15142" s="30" t="n">
        <f aca="false">Sens!H15141-Sens!H15140</f>
        <v>2420</v>
      </c>
      <c r="I15142" s="30" t="n">
        <f aca="false">Sens!I15141-Sens!I15140</f>
        <v>2420</v>
      </c>
      <c r="J15142" s="30" t="n">
        <f aca="false">Sens!J15141-Sens!J15140</f>
        <v>2420</v>
      </c>
      <c r="K15142" s="30" t="n">
        <f aca="false">Sens!K15141-Sens!K15140</f>
        <v>2420</v>
      </c>
    </row>
    <row r="15143" customFormat="false" ht="17.15" hidden="false" customHeight="false" outlineLevel="0" collapsed="false">
      <c r="A15143" s="1" t="s">
        <v>958</v>
      </c>
      <c r="B15143" s="0" t="s">
        <v>456</v>
      </c>
      <c r="C15143" s="30" t="n">
        <f aca="false">Sens!C15141</f>
        <v>816.666666666667</v>
      </c>
      <c r="D15143" s="30" t="n">
        <f aca="false">Sens!D15141-Sens!C15141</f>
        <v>1233.33333333333</v>
      </c>
      <c r="E15143" s="30" t="n">
        <f aca="false">Sens!E15141-Sens!D15141</f>
        <v>2450</v>
      </c>
      <c r="F15143" s="30" t="n">
        <f aca="false">Sens!F15141-Sens!E15141</f>
        <v>740</v>
      </c>
      <c r="G15143" s="30" t="n">
        <f aca="false">Sens!G15141-Sens!F15141</f>
        <v>810</v>
      </c>
      <c r="H15143" s="30" t="n">
        <f aca="false">Sens!H15141-Sens!G15141</f>
        <v>0</v>
      </c>
      <c r="I15143" s="30" t="n">
        <f aca="false">Sens!I15141-Sens!H15141</f>
        <v>0</v>
      </c>
      <c r="J15143" s="30" t="n">
        <f aca="false">Sens!J15141-Sens!I15141</f>
        <v>0</v>
      </c>
      <c r="K15143" s="30" t="n">
        <f aca="false">Sens!K15141-Sens!J15141</f>
        <v>0</v>
      </c>
    </row>
    <row r="15144" customFormat="false" ht="17.15" hidden="false" customHeight="false" outlineLevel="0" collapsed="false">
      <c r="A15144" s="1" t="s">
        <v>959</v>
      </c>
      <c r="B15144" s="0" t="s">
        <v>456</v>
      </c>
      <c r="D15144" s="30" t="n">
        <f aca="false">Sens!D15138-Sens!C15138</f>
        <v>990</v>
      </c>
      <c r="E15144" s="30" t="n">
        <f aca="false">Sens!E15138-Sens!D15138</f>
        <v>1620</v>
      </c>
      <c r="F15144" s="30" t="n">
        <f aca="false">Sens!F15138-Sens!E15138</f>
        <v>650</v>
      </c>
      <c r="G15144" s="30" t="n">
        <f aca="false">Sens!G15138-Sens!F15138</f>
        <v>486</v>
      </c>
      <c r="H15144" s="30" t="n">
        <f aca="false">Sens!H15138-Sens!G15138</f>
        <v>0</v>
      </c>
      <c r="I15144" s="30" t="n">
        <f aca="false">Sens!I15138-Sens!H15138</f>
        <v>0</v>
      </c>
      <c r="J15144" s="30" t="n">
        <f aca="false">Sens!J15138-Sens!I15138</f>
        <v>0</v>
      </c>
      <c r="K15144" s="30" t="n">
        <f aca="false">Sens!K15138-Sens!J15138</f>
        <v>0</v>
      </c>
    </row>
    <row r="15145" customFormat="false" ht="17.15" hidden="false" customHeight="false" outlineLevel="0" collapsed="false">
      <c r="A15145" s="1" t="s">
        <v>960</v>
      </c>
      <c r="B15145" s="0" t="s">
        <v>456</v>
      </c>
      <c r="F15145" s="30" t="n">
        <f aca="false">Sens!F15164*ext_sh</f>
        <v>0</v>
      </c>
      <c r="G15145" s="30" t="n">
        <f aca="false">Sens!G15164*ext_sh</f>
        <v>0</v>
      </c>
      <c r="H15145" s="30" t="n">
        <f aca="false">Sens!H15164*ext_sh</f>
        <v>0</v>
      </c>
      <c r="I15145" s="30" t="n">
        <f aca="false">Sens!I15164*ext_sh</f>
        <v>490</v>
      </c>
      <c r="J15145" s="30" t="n">
        <f aca="false">Sens!J15164*ext_sh</f>
        <v>740</v>
      </c>
      <c r="K15145" s="30" t="n">
        <f aca="false">Sens!K15164*ext_sh</f>
        <v>1470</v>
      </c>
      <c r="L15145" s="1" t="s">
        <v>961</v>
      </c>
    </row>
    <row r="15146" customFormat="false" ht="17.15" hidden="false" customHeight="false" outlineLevel="0" collapsed="false">
      <c r="A15146" s="1" t="s">
        <v>962</v>
      </c>
      <c r="B15146" s="0" t="s">
        <v>456</v>
      </c>
      <c r="C15146" s="30" t="n">
        <f aca="false">mix_h*Sens!C15138</f>
        <v>128</v>
      </c>
      <c r="D15146" s="30" t="n">
        <f aca="false">mix_h*Sens!D15138</f>
        <v>326</v>
      </c>
      <c r="E15146" s="30" t="n">
        <f aca="false">mix_h*Sens!E15138</f>
        <v>650</v>
      </c>
      <c r="F15146" s="30" t="n">
        <f aca="false">Sens!E15146-Sens!F15145*mix_h</f>
        <v>650</v>
      </c>
      <c r="G15146" s="30" t="n">
        <f aca="false">Sens!F15146-Sens!G15145*mix_h</f>
        <v>650</v>
      </c>
      <c r="H15146" s="30" t="n">
        <f aca="false">Sens!G15146-Sens!H15145*mix_h</f>
        <v>650</v>
      </c>
      <c r="I15146" s="30" t="n">
        <f aca="false">Sens!H15146-Sens!I15145*mix_h</f>
        <v>552</v>
      </c>
      <c r="J15146" s="30" t="n">
        <f aca="false">Sens!I15146-Sens!J15145*mix_h</f>
        <v>404</v>
      </c>
      <c r="K15146" s="30" t="n">
        <f aca="false">Sens!J15146-Sens!K15145*mix_h</f>
        <v>110</v>
      </c>
    </row>
    <row r="15147" customFormat="false" ht="17.15" hidden="false" customHeight="false" outlineLevel="0" collapsed="false">
      <c r="A15147" s="1" t="s">
        <v>963</v>
      </c>
      <c r="B15147" s="0" t="s">
        <v>456</v>
      </c>
      <c r="C15147" s="30" t="n">
        <f aca="false">mix_g2*Sens!C15138</f>
        <v>288</v>
      </c>
      <c r="D15147" s="30" t="n">
        <f aca="false">mix_g2*Sens!D15138</f>
        <v>733.5</v>
      </c>
      <c r="E15147" s="30" t="n">
        <f aca="false">mix_g2*Sens!E15138</f>
        <v>1462.5</v>
      </c>
      <c r="F15147" s="30" t="n">
        <f aca="false">Sens!E15147-Sens!F15145*mix_g2</f>
        <v>1462.5</v>
      </c>
      <c r="G15147" s="30" t="n">
        <f aca="false">Sens!F15147-Sens!G15145*mix_g2</f>
        <v>1462.5</v>
      </c>
      <c r="H15147" s="30" t="n">
        <f aca="false">Sens!G15147-Sens!H15145*mix_g2</f>
        <v>1462.5</v>
      </c>
      <c r="I15147" s="30" t="n">
        <f aca="false">Sens!H15147-Sens!I15145*mix_g2</f>
        <v>1242</v>
      </c>
      <c r="J15147" s="30" t="n">
        <f aca="false">Sens!I15147-Sens!J15145*mix_g2</f>
        <v>909</v>
      </c>
      <c r="K15147" s="30" t="n">
        <f aca="false">Sens!J15147-Sens!K15145*mix_g2</f>
        <v>247.5</v>
      </c>
    </row>
    <row r="15148" customFormat="false" ht="17.15" hidden="false" customHeight="false" outlineLevel="0" collapsed="false">
      <c r="A15148" s="1" t="s">
        <v>964</v>
      </c>
      <c r="B15148" s="0" t="s">
        <v>456</v>
      </c>
      <c r="C15148" s="30" t="n">
        <f aca="false">mix_g3*Sens!C15138</f>
        <v>224</v>
      </c>
      <c r="D15148" s="30" t="n">
        <f aca="false">mix_g3*Sens!D15138</f>
        <v>570.5</v>
      </c>
      <c r="E15148" s="30" t="n">
        <f aca="false">mix_g3*Sens!E15138</f>
        <v>1137.5</v>
      </c>
      <c r="F15148" s="30" t="n">
        <f aca="false">Sens!E15148+(Sens!F15144+Sens!F15145)*(a_g3_27-nonnv*a_mai)-Sens!F15145*mix_g3</f>
        <v>1527.5</v>
      </c>
      <c r="G15148" s="30" t="n">
        <f aca="false">Sens!F15148+(Sens!G15144+Sens!G15145)*(a_g3_28-nonnv*a_mai)-Sens!G15145*mix_g3</f>
        <v>1624.7</v>
      </c>
      <c r="H15148" s="30" t="n">
        <f aca="false">Sens!G15148+(Sens!H15144+Sens!H15145)*(a_g3_29-nonnv*a_mai)-Sens!H15145*mix_g3</f>
        <v>1624.7</v>
      </c>
      <c r="I15148" s="30" t="n">
        <f aca="false">Sens!H15148+(Sens!I15144+Sens!I15145)*(a_g3_29-nonnv*a_mai)-Sens!I15145*mix_g3</f>
        <v>1453.2</v>
      </c>
      <c r="J15148" s="30" t="n">
        <f aca="false">Sens!I15148+(Sens!J15144+Sens!J15145)*(a_g3_29-nonnv*a_mai)-Sens!J15145*mix_g3</f>
        <v>1194.2</v>
      </c>
      <c r="K15148" s="30" t="n">
        <f aca="false">Sens!J15148+(Sens!K15144+Sens!K15145)*(a_g3_29-nonnv*a_mai)-Sens!K15145*mix_g3</f>
        <v>679.7</v>
      </c>
    </row>
    <row r="15149" customFormat="false" ht="17.15" hidden="false" customHeight="false" outlineLevel="0" collapsed="false">
      <c r="A15149" s="1" t="s">
        <v>965</v>
      </c>
      <c r="B15149" s="0" t="s">
        <v>456</v>
      </c>
      <c r="C15149" s="30" t="n">
        <v>0</v>
      </c>
      <c r="D15149" s="30" t="n">
        <v>0</v>
      </c>
      <c r="E15149" s="30" t="n">
        <v>0</v>
      </c>
      <c r="F15149" s="30" t="n">
        <f aca="false">Sens!E15149+(Sens!F15144+Sens!F15145)*nonnv*a_mai</f>
        <v>65</v>
      </c>
      <c r="G15149" s="30" t="n">
        <f aca="false">Sens!F15149+(Sens!G15144+Sens!G15145)*nonnv*a_mai</f>
        <v>113.6</v>
      </c>
      <c r="H15149" s="30" t="n">
        <f aca="false">Sens!G15149+(Sens!H15144+Sens!H15145)*nonnv*a_mai</f>
        <v>113.6</v>
      </c>
      <c r="I15149" s="30" t="n">
        <f aca="false">Sens!H15149+(Sens!I15144+Sens!I15145)*nonnv*a_mai</f>
        <v>162.6</v>
      </c>
      <c r="J15149" s="30" t="n">
        <f aca="false">Sens!I15149+(Sens!J15144+Sens!J15145)*nonnv*a_mai</f>
        <v>236.6</v>
      </c>
      <c r="K15149" s="30" t="n">
        <f aca="false">Sens!J15149+(Sens!K15144+Sens!K15145)*nonnv*a_mai</f>
        <v>383.6</v>
      </c>
      <c r="L15149" s="12" t="s">
        <v>966</v>
      </c>
    </row>
    <row r="15150" customFormat="false" ht="17.15" hidden="false" customHeight="false" outlineLevel="0" collapsed="false">
      <c r="A15150" s="1" t="s">
        <v>967</v>
      </c>
      <c r="B15150" s="0" t="s">
        <v>456</v>
      </c>
      <c r="C15150" s="30" t="n">
        <v>0</v>
      </c>
      <c r="D15150" s="30" t="n">
        <v>0</v>
      </c>
      <c r="E15150" s="30" t="n">
        <v>0</v>
      </c>
      <c r="F15150" s="30" t="n">
        <f aca="false">Sens!E15150+(Sens!F15144+Sens!F15145)*(1-a_g3_27)</f>
        <v>195</v>
      </c>
      <c r="G15150" s="30" t="n">
        <f aca="false">Sens!F15150+(Sens!G15144+Sens!G15145)*(1-a_g3_28)</f>
        <v>535.2</v>
      </c>
      <c r="H15150" s="30" t="n">
        <f aca="false">Sens!G15150+(Sens!H15144+Sens!H15145)*(1-a_g3_29)</f>
        <v>535.2</v>
      </c>
      <c r="I15150" s="30" t="n">
        <f aca="false">Sens!H15150+(Sens!I15144+Sens!I15145)*(1-a_g3_29)</f>
        <v>976.2</v>
      </c>
      <c r="J15150" s="30" t="n">
        <f aca="false">Sens!I15150+(Sens!J15144+Sens!J15145)*(1-a_g3_29)</f>
        <v>1642.2</v>
      </c>
      <c r="K15150" s="30" t="n">
        <f aca="false">Sens!J15150+(Sens!K15144+Sens!K15145)*(1-a_g3_29)</f>
        <v>2965.2</v>
      </c>
    </row>
    <row r="15151" customFormat="false" ht="17.15" hidden="false" customHeight="false" outlineLevel="0" collapsed="false">
      <c r="A15151" s="1" t="s">
        <v>968</v>
      </c>
      <c r="B15151" s="0" t="s">
        <v>403</v>
      </c>
      <c r="C15151" s="15" t="n">
        <f aca="false">(Sens!C15146*tk_hold_h100+Sens!C15147*tk_hold_gb200+Sens!C15148*tk_hold_gb300+Sens!C15150*tk_hold_vr200+Sens!C15149*nv_hold_mai*tk_hold_vr200)/Sens!C15138</f>
        <v>9.7235358126469</v>
      </c>
      <c r="D15151" s="15" t="n">
        <f aca="false">(Sens!D15146*tk_hold_h100+Sens!D15147*tk_hold_gb200+Sens!D15148*tk_hold_gb300+Sens!D15150*tk_hold_vr200+Sens!D15149*nv_hold_mai*tk_hold_vr200)/Sens!D15138</f>
        <v>9.7235358126469</v>
      </c>
      <c r="E15151" s="15" t="n">
        <f aca="false">(Sens!E15146*tk_hold_h100+Sens!E15147*tk_hold_gb200+Sens!E15148*tk_hold_gb300+Sens!E15150*tk_hold_vr200+Sens!E15149*nv_hold_mai*tk_hold_vr200)/Sens!E15138</f>
        <v>9.7235358126469</v>
      </c>
      <c r="F15151" s="15" t="n">
        <f aca="false">(Sens!F15146*tk_hold_h100+Sens!F15147*tk_hold_gb200+Sens!F15148*tk_hold_gb300+Sens!F15150*tk_hold_vr200+Sens!F15149*nv_hold_mai*tk_hold_vr200)/Sens!F15138</f>
        <v>9.9047400860175</v>
      </c>
      <c r="G15151" s="15" t="n">
        <f aca="false">(Sens!G15146*tk_hold_h100+Sens!G15147*tk_hold_gb200+Sens!G15148*tk_hold_gb300+Sens!G15150*tk_hold_vr200+Sens!G15149*nv_hold_mai*tk_hold_vr200)/Sens!G15138</f>
        <v>10.0644846479809</v>
      </c>
      <c r="H15151" s="15" t="n">
        <f aca="false">(Sens!H15146*tk_hold_h100+Sens!H15147*tk_hold_gb200+Sens!H15148*tk_hold_gb300+Sens!H15150*tk_hold_vr200+Sens!H15149*nv_hold_mai*tk_hold_vr200)/Sens!H15138</f>
        <v>10.0644846479809</v>
      </c>
      <c r="I15151" s="15" t="n">
        <f aca="false">(Sens!I15146*tk_hold_h100+Sens!I15147*tk_hold_gb200+Sens!I15148*tk_hold_gb300+Sens!I15150*tk_hold_vr200+Sens!I15149*nv_hold_mai*tk_hold_vr200)/Sens!I15138</f>
        <v>10.2757076768083</v>
      </c>
      <c r="J15151" s="15" t="n">
        <f aca="false">(Sens!J15146*tk_hold_h100+Sens!J15147*tk_hold_gb200+Sens!J15148*tk_hold_gb300+Sens!J15150*tk_hold_vr200+Sens!J15149*nv_hold_mai*tk_hold_vr200)/Sens!J15138</f>
        <v>10.5946975570782</v>
      </c>
      <c r="K15151" s="15" t="n">
        <f aca="false">(Sens!K15146*tk_hold_h100+Sens!K15147*tk_hold_gb200+Sens!K15148*tk_hold_gb300+Sens!K15150*tk_hold_vr200+Sens!K15149*nv_hold_mai*tk_hold_vr200)/Sens!K15138</f>
        <v>11.2283666435604</v>
      </c>
      <c r="L15151" s="1" t="s">
        <v>969</v>
      </c>
    </row>
    <row r="15152" customFormat="false" ht="17.15" hidden="false" customHeight="false" outlineLevel="0" collapsed="false">
      <c r="A15152" s="1" t="s">
        <v>970</v>
      </c>
      <c r="B15152" s="0" t="s">
        <v>403</v>
      </c>
      <c r="C15152" s="15" t="n">
        <f aca="false">(Sens!C15146*tk_hold_h100+Sens!C15147*tk_hold_gb200+Sens!C15148*tk_hold_gb300+Sens!C15150*tk_hold_vr200+Sens!C15149*nv_out_mai*tk_hold_vr200)/Sens!C15138</f>
        <v>9.7235358126469</v>
      </c>
      <c r="D15152" s="15" t="n">
        <f aca="false">(Sens!D15146*tk_hold_h100+Sens!D15147*tk_hold_gb200+Sens!D15148*tk_hold_gb300+Sens!D15150*tk_hold_vr200+Sens!D15149*nv_out_mai*tk_hold_vr200)/Sens!D15138</f>
        <v>9.7235358126469</v>
      </c>
      <c r="E15152" s="15" t="n">
        <f aca="false">(Sens!E15146*tk_hold_h100+Sens!E15147*tk_hold_gb200+Sens!E15148*tk_hold_gb300+Sens!E15150*tk_hold_vr200+Sens!E15149*nv_out_mai*tk_hold_vr200)/Sens!E15138</f>
        <v>9.7235358126469</v>
      </c>
      <c r="F15152" s="15" t="n">
        <f aca="false">(Sens!F15146*tk_hold_h100+Sens!F15147*tk_hold_gb200+Sens!F15148*tk_hold_gb300+Sens!F15150*tk_hold_vr200+Sens!F15149*nv_out_mai*tk_hold_vr200)/Sens!F15138</f>
        <v>9.91492797852132</v>
      </c>
      <c r="G15152" s="15" t="n">
        <f aca="false">(Sens!G15146*tk_hold_h100+Sens!G15147*tk_hold_gb200+Sens!G15148*tk_hold_gb300+Sens!G15150*tk_hold_vr200+Sens!G15149*nv_out_mai*tk_hold_vr200)/Sens!G15138</f>
        <v>10.0803169952919</v>
      </c>
      <c r="H15152" s="15" t="n">
        <f aca="false">(Sens!H15146*tk_hold_h100+Sens!H15147*tk_hold_gb200+Sens!H15148*tk_hold_gb300+Sens!H15150*tk_hold_vr200+Sens!H15149*nv_out_mai*tk_hold_vr200)/Sens!H15138</f>
        <v>10.0803169952919</v>
      </c>
      <c r="I15152" s="15" t="n">
        <f aca="false">(Sens!I15146*tk_hold_h100+Sens!I15147*tk_hold_gb200+Sens!I15148*tk_hold_gb300+Sens!I15150*tk_hold_vr200+Sens!I15149*nv_out_mai*tk_hold_vr200)/Sens!I15138</f>
        <v>10.2983691175897</v>
      </c>
      <c r="J15152" s="15" t="n">
        <f aca="false">(Sens!J15146*tk_hold_h100+Sens!J15147*tk_hold_gb200+Sens!J15148*tk_hold_gb300+Sens!J15150*tk_hold_vr200+Sens!J15149*nv_out_mai*tk_hold_vr200)/Sens!J15138</f>
        <v>10.6276723226925</v>
      </c>
      <c r="K15152" s="15" t="n">
        <f aca="false">(Sens!K15146*tk_hold_h100+Sens!K15147*tk_hold_gb200+Sens!K15148*tk_hold_gb300+Sens!K15150*tk_hold_vr200+Sens!K15149*nv_out_mai*tk_hold_vr200)/Sens!K15138</f>
        <v>11.2818286895859</v>
      </c>
      <c r="L15152" s="12" t="s">
        <v>971</v>
      </c>
    </row>
    <row r="15153" customFormat="false" ht="17.15" hidden="false" customHeight="false" outlineLevel="0" collapsed="false">
      <c r="A15153" s="0" t="s">
        <v>972</v>
      </c>
      <c r="B15153" s="0" t="s">
        <v>229</v>
      </c>
      <c r="C15153" s="15" t="n">
        <f aca="false">k_B</f>
        <v>1.17213932619116</v>
      </c>
      <c r="D15153" s="15" t="n">
        <f aca="false">k_B</f>
        <v>1.17213932619116</v>
      </c>
      <c r="E15153" s="15" t="n">
        <f aca="false">k_B</f>
        <v>1.17213932619116</v>
      </c>
      <c r="F15153" s="15" t="n">
        <f aca="false">(k_B+((ls_C*k_long+(1-ls_C)*k_spot)-k_B)*MIN(1,(Sens!F15136-base_fy)/k_ramp))</f>
        <v>1.07843258004497</v>
      </c>
      <c r="G15153" s="15" t="n">
        <f aca="false">(k_B+((ls_C*k_long+(1-ls_C)*k_spot)-k_B)*MIN(1,(Sens!G15136-base_fy)/k_ramp))</f>
        <v>0.984725833898784</v>
      </c>
      <c r="H15153" s="15" t="n">
        <f aca="false">(k_B+((ls_C*k_long+(1-ls_C)*k_spot)-k_B)*MIN(1,(Sens!H15136-base_fy)/k_ramp))</f>
        <v>0.891019087752599</v>
      </c>
      <c r="I15153" s="15" t="n">
        <f aca="false">(k_B+((ls_C*k_long+(1-ls_C)*k_spot)-k_B)*MIN(1,(Sens!I15136-base_fy)/k_ramp))</f>
        <v>0.891019087752599</v>
      </c>
      <c r="J15153" s="15" t="n">
        <f aca="false">(k_B+((ls_C*k_long+(1-ls_C)*k_spot)-k_B)*MIN(1,(Sens!J15136-base_fy)/k_ramp))</f>
        <v>0.891019087752599</v>
      </c>
      <c r="K15153" s="15" t="n">
        <f aca="false">(k_B+((ls_C*k_long+(1-ls_C)*k_spot)-k_B)*MIN(1,(Sens!K15136-base_fy)/k_ramp))</f>
        <v>0.891019087752599</v>
      </c>
      <c r="L15153" s="1" t="s">
        <v>973</v>
      </c>
    </row>
    <row r="15154" customFormat="false" ht="17.15" hidden="false" customHeight="false" outlineLevel="0" collapsed="false">
      <c r="A15154" s="1" t="s">
        <v>974</v>
      </c>
      <c r="B15154" s="0" t="s">
        <v>403</v>
      </c>
      <c r="C15154" s="15" t="n">
        <f aca="false">Sens!C15152*Sens!C15153*chip_f</f>
        <v>11.3973387156315</v>
      </c>
      <c r="D15154" s="15" t="n">
        <f aca="false">Sens!D15152*Sens!D15153*chip_f</f>
        <v>11.3973387156315</v>
      </c>
      <c r="E15154" s="15" t="n">
        <f aca="false">Sens!E15152*Sens!E15153*chip_f</f>
        <v>11.3973387156315</v>
      </c>
      <c r="F15154" s="15" t="n">
        <f aca="false">Sens!F15152*Sens!F15153*chip_f</f>
        <v>10.6925813608368</v>
      </c>
      <c r="G15154" s="15" t="n">
        <f aca="false">Sens!G15152*Sens!G15153*chip_f</f>
        <v>9.92634855915291</v>
      </c>
      <c r="H15154" s="15" t="n">
        <f aca="false">Sens!H15152*Sens!H15153*chip_f</f>
        <v>8.98175485340201</v>
      </c>
      <c r="I15154" s="15" t="n">
        <f aca="false">Sens!I15152*Sens!I15153*chip_f</f>
        <v>9.17604345649432</v>
      </c>
      <c r="J15154" s="15" t="n">
        <f aca="false">Sens!J15152*Sens!J15153*chip_f</f>
        <v>9.46945889789902</v>
      </c>
      <c r="K15154" s="15" t="n">
        <f aca="false">Sens!K15152*Sens!K15153*chip_f</f>
        <v>10.0523247071759</v>
      </c>
      <c r="L15154" s="1" t="s">
        <v>975</v>
      </c>
    </row>
    <row r="15155" customFormat="false" ht="17.15" hidden="false" customHeight="false" outlineLevel="0" collapsed="false">
      <c r="A15155" s="0" t="s">
        <v>976</v>
      </c>
      <c r="B15155" s="0" t="s">
        <v>98</v>
      </c>
      <c r="D15155" s="6" t="n">
        <f aca="false">(Sens!C15138+Sens!D15138)/2*Sens!D15154/1000</f>
        <v>12.9359794422418</v>
      </c>
      <c r="E15155" s="6" t="n">
        <f aca="false">(Sens!D15138+Sens!E15138)/2*Sens!E15154/1000</f>
        <v>27.8095064661409</v>
      </c>
      <c r="F15155" s="6" t="n">
        <f aca="false">(Sens!E15138+Sens!F15138)/2*Sens!F15154/1000</f>
        <v>38.2259783649916</v>
      </c>
      <c r="G15155" s="6" t="n">
        <f aca="false">(Sens!F15138+Sens!G15138)/2*Sens!G15154/1000</f>
        <v>41.1248620805705</v>
      </c>
      <c r="H15155" s="6" t="n">
        <f aca="false">(Sens!G15138+Sens!H15138)/2*Sens!H15154/1000</f>
        <v>39.3939767870212</v>
      </c>
      <c r="I15155" s="6" t="n">
        <f aca="false">(Sens!H15138+Sens!I15138)/2*Sens!I15154/1000</f>
        <v>40.2461266001841</v>
      </c>
      <c r="J15155" s="6" t="n">
        <f aca="false">(Sens!I15138+Sens!J15138)/2*Sens!J15154/1000</f>
        <v>41.5330467261851</v>
      </c>
      <c r="K15155" s="6" t="n">
        <f aca="false">(Sens!J15138+Sens!K15138)/2*Sens!K15154/1000</f>
        <v>44.0894961656736</v>
      </c>
      <c r="L15155" s="12" t="s">
        <v>977</v>
      </c>
    </row>
    <row r="15156" customFormat="false" ht="17.15" hidden="false" customHeight="false" outlineLevel="0" collapsed="false">
      <c r="A15156" s="1" t="s">
        <v>978</v>
      </c>
      <c r="B15156" s="0" t="s">
        <v>403</v>
      </c>
      <c r="C15156" s="15" t="n">
        <f aca="false">(Sens!C15146*tk_opex_h100+Sens!C15147*tk_opex_gb200+Sens!C15148*tk_opex_gb300+(Sens!C15150+Sens!C15149)*tk_opex_vr200)/Sens!C15138</f>
        <v>1.88636041306092</v>
      </c>
      <c r="D15156" s="15" t="n">
        <f aca="false">(Sens!D15146*tk_opex_h100+Sens!D15147*tk_opex_gb200+Sens!D15148*tk_opex_gb300+(Sens!D15150+Sens!D15149)*tk_opex_vr200)/Sens!D15138</f>
        <v>1.88636041306092</v>
      </c>
      <c r="E15156" s="15" t="n">
        <f aca="false">(Sens!E15146*tk_opex_h100+Sens!E15147*tk_opex_gb200+Sens!E15148*tk_opex_gb300+(Sens!E15150+Sens!E15149)*tk_opex_vr200)/Sens!E15138</f>
        <v>1.88636041306092</v>
      </c>
      <c r="F15156" s="15" t="n">
        <f aca="false">(Sens!F15146*tk_opex_h100+Sens!F15147*tk_opex_gb200+Sens!F15148*tk_opex_gb300+(Sens!F15150+Sens!F15149)*tk_opex_vr200)/Sens!F15138</f>
        <v>1.90979686208616</v>
      </c>
      <c r="G15156" s="15" t="n">
        <f aca="false">(Sens!G15146*tk_opex_h100+Sens!G15147*tk_opex_gb200+Sens!G15148*tk_opex_gb300+(Sens!G15150+Sens!G15149)*tk_opex_vr200)/Sens!G15138</f>
        <v>1.92769515165485</v>
      </c>
      <c r="H15156" s="15" t="n">
        <f aca="false">(Sens!H15146*tk_opex_h100+Sens!H15147*tk_opex_gb200+Sens!H15148*tk_opex_gb300+(Sens!H15150+Sens!H15149)*tk_opex_vr200)/Sens!H15138</f>
        <v>1.92769515165485</v>
      </c>
      <c r="I15156" s="15" t="n">
        <f aca="false">(Sens!I15146*tk_opex_h100+Sens!I15147*tk_opex_gb200+Sens!I15148*tk_opex_gb300+(Sens!I15150+Sens!I15149)*tk_opex_vr200)/Sens!I15138</f>
        <v>1.95083610383771</v>
      </c>
      <c r="J15156" s="15" t="n">
        <f aca="false">(Sens!J15146*tk_opex_h100+Sens!J15147*tk_opex_gb200+Sens!J15148*tk_opex_gb300+(Sens!J15150+Sens!J15149)*tk_opex_vr200)/Sens!J15138</f>
        <v>1.98578366427713</v>
      </c>
      <c r="K15156" s="15" t="n">
        <f aca="false">(Sens!K15146*tk_opex_h100+Sens!K15147*tk_opex_gb200+Sens!K15148*tk_opex_gb300+(Sens!K15150+Sens!K15149)*tk_opex_vr200)/Sens!K15138</f>
        <v>2.05520652082571</v>
      </c>
      <c r="L15156" s="12" t="s">
        <v>979</v>
      </c>
    </row>
    <row r="15157" customFormat="false" ht="17.15" hidden="false" customHeight="false" outlineLevel="0" collapsed="false">
      <c r="A15157" s="0" t="s">
        <v>980</v>
      </c>
      <c r="B15157" s="0" t="s">
        <v>98</v>
      </c>
      <c r="D15157" s="6" t="n">
        <f aca="false">(Sens!C15141+Sens!D15141)/2*Sens!D15156/1000</f>
        <v>2.70378325872065</v>
      </c>
      <c r="E15157" s="6" t="n">
        <f aca="false">(Sens!D15141+Sens!E15141)/2*Sens!E15156/1000</f>
        <v>6.17783035277451</v>
      </c>
      <c r="F15157" s="6" t="n">
        <f aca="false">(Sens!E15141+Sens!F15141)/2*Sens!F15156/1000</f>
        <v>9.30071071835958</v>
      </c>
      <c r="G15157" s="6" t="n">
        <f aca="false">(Sens!F15141+Sens!G15141)/2*Sens!G15156/1000</f>
        <v>10.8818391310916</v>
      </c>
      <c r="H15157" s="6" t="n">
        <f aca="false">(Sens!G15141+Sens!H15141)/2*Sens!H15156/1000</f>
        <v>11.6625556675118</v>
      </c>
      <c r="I15157" s="6" t="n">
        <f aca="false">(Sens!H15141+Sens!I15141)/2*Sens!I15156/1000</f>
        <v>11.8025584282181</v>
      </c>
      <c r="J15157" s="6" t="n">
        <f aca="false">(Sens!I15141+Sens!J15141)/2*Sens!J15156/1000</f>
        <v>12.0139911688766</v>
      </c>
      <c r="K15157" s="6" t="n">
        <f aca="false">(Sens!J15141+Sens!K15141)/2*Sens!K15156/1000</f>
        <v>12.4339994509955</v>
      </c>
    </row>
    <row r="15158" customFormat="false" ht="17.15" hidden="false" customHeight="false" outlineLevel="0" collapsed="false">
      <c r="A15158" s="0" t="s">
        <v>981</v>
      </c>
      <c r="B15158" s="0" t="s">
        <v>98</v>
      </c>
      <c r="D15158" s="6" t="n">
        <f aca="false">(Sens!C15139+Sens!D15139)/2*rent_mw/1000</f>
        <v>2.44475</v>
      </c>
      <c r="E15158" s="6" t="n">
        <f aca="false">(Sens!D15139+Sens!E15139)/2*rent_mw/1000</f>
        <v>4.22275</v>
      </c>
      <c r="F15158" s="6" t="n">
        <f aca="false">(Sens!E15139+Sens!F15139)/2*rent_mw/1000</f>
        <v>5.80517</v>
      </c>
      <c r="G15158" s="6" t="n">
        <f aca="false">(Sens!F15139+Sens!G15139)/2*rent_mw/1000</f>
        <v>6.72084</v>
      </c>
      <c r="H15158" s="6" t="n">
        <f aca="false">(Sens!G15139+Sens!H15139)/2*rent_mw/1000</f>
        <v>6.72084</v>
      </c>
      <c r="I15158" s="6" t="n">
        <f aca="false">(Sens!H15139+Sens!I15139)/2*rent_mw/1000</f>
        <v>6.72084</v>
      </c>
      <c r="J15158" s="6" t="n">
        <f aca="false">(Sens!I15139+Sens!J15139)/2*rent_mw/1000</f>
        <v>6.72084</v>
      </c>
      <c r="K15158" s="6" t="n">
        <f aca="false">(Sens!J15139+Sens!K15139)/2*rent_mw/1000</f>
        <v>6.72084</v>
      </c>
    </row>
    <row r="15159" customFormat="false" ht="17.15" hidden="false" customHeight="false" outlineLevel="0" collapsed="false">
      <c r="A15159" s="0" t="s">
        <v>982</v>
      </c>
      <c r="B15159" s="0" t="s">
        <v>98</v>
      </c>
      <c r="D15159" s="6" t="n">
        <f aca="false">(Sens!C15141+Sens!D15141)/2*(1-self_build)*fac_rent/1000</f>
        <v>0.853242375631075</v>
      </c>
      <c r="E15159" s="6" t="n">
        <f aca="false">(Sens!D15141+Sens!E15141)/2*(1-self_build)*fac_rent/1000</f>
        <v>1.94955961408728</v>
      </c>
      <c r="F15159" s="6" t="n">
        <f aca="false">(Sens!E15141+Sens!F15141)/2*(1-self_build)*fac_rent/1000</f>
        <v>2.89903979255117</v>
      </c>
      <c r="G15159" s="6" t="n">
        <f aca="false">(Sens!F15141+Sens!G15141)/2*(1-self_build)*fac_rent/1000</f>
        <v>3.36038596077029</v>
      </c>
      <c r="H15159" s="6" t="n">
        <f aca="false">(Sens!G15141+Sens!H15141)/2*(1-self_build)*fac_rent/1000</f>
        <v>3.60147653900094</v>
      </c>
      <c r="I15159" s="6" t="n">
        <f aca="false">(Sens!H15141+Sens!I15141)/2*(1-self_build)*fac_rent/1000</f>
        <v>3.60147653900094</v>
      </c>
      <c r="J15159" s="6" t="n">
        <f aca="false">(Sens!I15141+Sens!J15141)/2*(1-self_build)*fac_rent/1000</f>
        <v>3.60147653900094</v>
      </c>
      <c r="K15159" s="6" t="n">
        <f aca="false">(Sens!J15141+Sens!K15141)/2*(1-self_build)*fac_rent/1000</f>
        <v>3.60147653900094</v>
      </c>
      <c r="L15159" s="12" t="s">
        <v>983</v>
      </c>
    </row>
    <row r="15160" customFormat="false" ht="17.15" hidden="false" customHeight="false" outlineLevel="0" collapsed="false">
      <c r="A15160" s="1" t="s">
        <v>984</v>
      </c>
      <c r="B15160" s="0" t="s">
        <v>168</v>
      </c>
      <c r="D15160" s="7" t="n">
        <f aca="false">(Sens!C15140+Sens!D15140)/(Sens!C15141+Sens!D15141)</f>
        <v>0.6</v>
      </c>
      <c r="E15160" s="7" t="n">
        <f aca="false">(Sens!D15140+Sens!E15140)/(Sens!D15141+Sens!E15141)</f>
        <v>0.6</v>
      </c>
      <c r="F15160" s="7" t="n">
        <f aca="false">(Sens!E15140+Sens!F15140)/(Sens!E15141+Sens!F15141)</f>
        <v>0.6</v>
      </c>
      <c r="G15160" s="7" t="n">
        <f aca="false">(Sens!F15140+Sens!G15140)/(Sens!F15141+Sens!G15141)</f>
        <v>0.6</v>
      </c>
      <c r="H15160" s="7" t="n">
        <f aca="false">(Sens!G15140+Sens!H15140)/(Sens!G15141+Sens!H15141)</f>
        <v>0.6</v>
      </c>
      <c r="I15160" s="7" t="n">
        <f aca="false">(Sens!H15140+Sens!I15140)/(Sens!H15141+Sens!I15141)</f>
        <v>0.6</v>
      </c>
      <c r="J15160" s="7" t="n">
        <f aca="false">(Sens!I15140+Sens!J15140)/(Sens!I15141+Sens!J15141)</f>
        <v>0.6</v>
      </c>
      <c r="K15160" s="7" t="n">
        <f aca="false">(Sens!J15140+Sens!K15140)/(Sens!J15141+Sens!K15141)</f>
        <v>0.6</v>
      </c>
    </row>
    <row r="15161" customFormat="false" ht="17.15" hidden="false" customHeight="false" outlineLevel="0" collapsed="false">
      <c r="A15161" s="0" t="s">
        <v>985</v>
      </c>
      <c r="B15161" s="0" t="s">
        <v>98</v>
      </c>
      <c r="D15161" s="6" t="n">
        <f aca="false">Sens!D15155-Sens!D15160*(Sens!D15157+Sens!D15159)-Sens!D15158</f>
        <v>8.35701406163072</v>
      </c>
      <c r="E15161" s="6" t="n">
        <f aca="false">Sens!E15155-Sens!E15160*(Sens!E15157+Sens!E15159)-Sens!E15158</f>
        <v>18.7103224860238</v>
      </c>
      <c r="F15161" s="6" t="n">
        <f aca="false">Sens!F15155-Sens!F15160*(Sens!F15157+Sens!F15159)-Sens!F15158</f>
        <v>25.1009580584451</v>
      </c>
      <c r="G15161" s="6" t="n">
        <f aca="false">Sens!G15155-Sens!G15160*(Sens!G15157+Sens!G15159)-Sens!G15158</f>
        <v>25.8586870254534</v>
      </c>
      <c r="H15161" s="6" t="n">
        <f aca="false">Sens!H15155-Sens!H15160*(Sens!H15157+Sens!H15159)-Sens!H15158</f>
        <v>23.5147174631136</v>
      </c>
      <c r="I15161" s="6" t="n">
        <f aca="false">Sens!I15155-Sens!I15160*(Sens!I15157+Sens!I15159)-Sens!I15158</f>
        <v>24.2828656198526</v>
      </c>
      <c r="J15161" s="6" t="n">
        <f aca="false">Sens!J15155-Sens!J15160*(Sens!J15157+Sens!J15159)-Sens!J15158</f>
        <v>25.4429261014586</v>
      </c>
      <c r="K15161" s="6" t="n">
        <f aca="false">Sens!K15155-Sens!K15160*(Sens!K15157+Sens!K15159)-Sens!K15158</f>
        <v>27.7473705716757</v>
      </c>
    </row>
    <row r="15162" customFormat="false" ht="17.15" hidden="false" customHeight="false" outlineLevel="0" collapsed="false">
      <c r="A15162" s="1" t="s">
        <v>986</v>
      </c>
      <c r="B15162" s="0" t="s">
        <v>98</v>
      </c>
      <c r="D15162" s="6" t="n">
        <f aca="false">(1-Sens!D15160)*(Sens!D15157+Sens!D15159)</f>
        <v>1.42281025374069</v>
      </c>
      <c r="E15162" s="6" t="n">
        <f aca="false">(1-Sens!E15160)*(Sens!E15157+Sens!E15159)</f>
        <v>3.25095598674472</v>
      </c>
      <c r="F15162" s="6" t="n">
        <f aca="false">(1-Sens!F15160)*(Sens!F15157+Sens!F15159)</f>
        <v>4.8799002043643</v>
      </c>
      <c r="G15162" s="6" t="n">
        <f aca="false">(1-Sens!G15160)*(Sens!G15157+Sens!G15159)</f>
        <v>5.69689003674476</v>
      </c>
      <c r="H15162" s="6" t="n">
        <f aca="false">(1-Sens!H15160)*(Sens!H15157+Sens!H15159)</f>
        <v>6.1056128826051</v>
      </c>
      <c r="I15162" s="6" t="n">
        <f aca="false">(1-Sens!I15160)*(Sens!I15157+Sens!I15159)</f>
        <v>6.16161398688763</v>
      </c>
      <c r="J15162" s="6" t="n">
        <f aca="false">(1-Sens!J15160)*(Sens!J15157+Sens!J15159)</f>
        <v>6.24618708315103</v>
      </c>
      <c r="K15162" s="6" t="n">
        <f aca="false">(1-Sens!K15160)*(Sens!K15157+Sens!K15159)</f>
        <v>6.41419039599859</v>
      </c>
    </row>
    <row r="15163" customFormat="false" ht="17.15" hidden="false" customHeight="false" outlineLevel="0" collapsed="false">
      <c r="A15163" s="1" t="s">
        <v>987</v>
      </c>
      <c r="B15163" s="0" t="s">
        <v>414</v>
      </c>
      <c r="C15163" s="8" t="n">
        <f aca="false">cxit_open</f>
        <v>27.5918995</v>
      </c>
      <c r="D15163" s="8" t="n">
        <f aca="false">cxit_open</f>
        <v>27.5918995</v>
      </c>
      <c r="E15163" s="8" t="n">
        <f aca="false">cxit_open</f>
        <v>27.5918995</v>
      </c>
      <c r="F15163" s="8" t="n">
        <f aca="false">((a_g3_27-nonnv*a_mai)*tk_cxit_gb300+nonnv*a_mai*nv_hold_mai*tk_cxit_vr200+(1-a_g3_27)*tk_cxit_vr200)</f>
        <v>32.4975576</v>
      </c>
      <c r="G15163" s="8" t="n">
        <f aca="false">((a_g3_28-nonnv*a_mai)*tk_cxit_gb300+nonnv*a_mai*nv_hold_mai*tk_cxit_vr200+(1-a_g3_28)*tk_cxit_vr200)</f>
        <v>34.6372088</v>
      </c>
      <c r="H15163" s="8" t="n">
        <f aca="false">((a_g3_29-nonnv*a_mai)*tk_cxit_gb300+nonnv*a_mai*nv_hold_mai*tk_cxit_vr200+(1-a_g3_29)*tk_cxit_vr200)</f>
        <v>35.7070344</v>
      </c>
      <c r="I15163" s="8" t="n">
        <f aca="false">((a_g3_29-nonnv*a_mai)*tk_cxit_gb300+nonnv*a_mai*nv_hold_mai*tk_cxit_vr200+(1-a_g3_29)*tk_cxit_vr200)</f>
        <v>35.7070344</v>
      </c>
      <c r="J15163" s="8" t="n">
        <f aca="false">((a_g3_29-nonnv*a_mai)*tk_cxit_gb300+nonnv*a_mai*nv_hold_mai*tk_cxit_vr200+(1-a_g3_29)*tk_cxit_vr200)</f>
        <v>35.7070344</v>
      </c>
      <c r="K15163" s="8" t="n">
        <f aca="false">((a_g3_29-nonnv*a_mai)*tk_cxit_gb300+nonnv*a_mai*nv_hold_mai*tk_cxit_vr200+(1-a_g3_29)*tk_cxit_vr200)</f>
        <v>35.7070344</v>
      </c>
      <c r="L15163" s="12" t="s">
        <v>988</v>
      </c>
    </row>
    <row r="15164" customFormat="false" ht="17.15" hidden="false" customHeight="false" outlineLevel="0" collapsed="false">
      <c r="A15164" s="0" t="s">
        <v>989</v>
      </c>
      <c r="B15164" s="0" t="s">
        <v>456</v>
      </c>
      <c r="F15164" s="30" t="n">
        <f aca="false">Sens!C15143*IF(Sens!F15136-Sens!C15136=life_it,1,0)+Sens!D15143*IF(Sens!F15136-Sens!D15136=life_it,1,0)+Sens!E15143*IF(Sens!F15136-Sens!E15136=life_it,1,0)</f>
        <v>0</v>
      </c>
      <c r="G15164" s="30" t="n">
        <f aca="false">Sens!C15143*IF(Sens!G15136-Sens!C15136=life_it,1,0)+Sens!D15143*IF(Sens!G15136-Sens!D15136=life_it,1,0)+Sens!E15143*IF(Sens!G15136-Sens!E15136=life_it,1,0)+Sens!F15143*IF(Sens!G15136-Sens!F15136=life_it,1,0)</f>
        <v>0</v>
      </c>
      <c r="H15164" s="30" t="n">
        <f aca="false">Sens!C15143*IF(Sens!H15136-Sens!C15136=life_it,1,0)+Sens!D15143*IF(Sens!H15136-Sens!D15136=life_it,1,0)+Sens!E15143*IF(Sens!H15136-Sens!E15136=life_it,1,0)+Sens!F15143*IF(Sens!H15136-Sens!F15136=life_it,1,0)+Sens!G15143*IF(Sens!H15136-Sens!G15136=life_it,1,0)</f>
        <v>0</v>
      </c>
      <c r="I15164" s="30" t="n">
        <f aca="false">Sens!C15143*IF(Sens!I15136-Sens!C15136=life_it,1,0)+Sens!D15143*IF(Sens!I15136-Sens!D15136=life_it,1,0)+Sens!E15143*IF(Sens!I15136-Sens!E15136=life_it,1,0)+Sens!F15143*IF(Sens!I15136-Sens!F15136=life_it,1,0)+Sens!G15143*IF(Sens!I15136-Sens!G15136=life_it,1,0)+Sens!H15143*IF(Sens!I15136-Sens!H15136=life_it,1,0)</f>
        <v>816.666666666667</v>
      </c>
      <c r="J15164" s="30" t="n">
        <f aca="false">Sens!C15143*IF(Sens!J15136-Sens!C15136=life_it,1,0)+Sens!D15143*IF(Sens!J15136-Sens!D15136=life_it,1,0)+Sens!E15143*IF(Sens!J15136-Sens!E15136=life_it,1,0)+Sens!F15143*IF(Sens!J15136-Sens!F15136=life_it,1,0)+Sens!G15143*IF(Sens!J15136-Sens!G15136=life_it,1,0)+Sens!H15143*IF(Sens!J15136-Sens!H15136=life_it,1,0)+Sens!I15143*IF(Sens!J15136-Sens!I15136=life_it,1,0)</f>
        <v>1233.33333333333</v>
      </c>
      <c r="K15164" s="30" t="n">
        <f aca="false">Sens!C15143*IF(Sens!K15136-Sens!C15136=life_it,1,0)+Sens!D15143*IF(Sens!K15136-Sens!D15136=life_it,1,0)+Sens!E15143*IF(Sens!K15136-Sens!E15136=life_it,1,0)+Sens!F15143*IF(Sens!K15136-Sens!F15136=life_it,1,0)+Sens!G15143*IF(Sens!K15136-Sens!G15136=life_it,1,0)+Sens!H15143*IF(Sens!K15136-Sens!H15136=life_it,1,0)+Sens!I15143*IF(Sens!K15136-Sens!I15136=life_it,1,0)+Sens!J15143*IF(Sens!K15136-Sens!J15136=life_it,1,0)</f>
        <v>2450</v>
      </c>
      <c r="L15164" s="1" t="s">
        <v>990</v>
      </c>
    </row>
    <row r="15165" customFormat="false" ht="17.15" hidden="false" customHeight="false" outlineLevel="0" collapsed="false">
      <c r="A15165" s="0" t="s">
        <v>991</v>
      </c>
      <c r="B15165" s="0" t="s">
        <v>98</v>
      </c>
      <c r="C15165" s="6" t="n">
        <f aca="false">Sens!C15143*Sens!C15163/1000</f>
        <v>22.5333845916667</v>
      </c>
      <c r="D15165" s="6" t="n">
        <f aca="false">Sens!D15143*Sens!D15163/1000</f>
        <v>34.0300093833333</v>
      </c>
      <c r="E15165" s="6" t="n">
        <f aca="false">Sens!E15143*Sens!E15163/1000</f>
        <v>67.600153775</v>
      </c>
      <c r="F15165" s="6" t="n">
        <f aca="false">(Sens!F15143+Sens!F15164)*Sens!F15163/1000</f>
        <v>24.048192624</v>
      </c>
      <c r="G15165" s="6" t="n">
        <f aca="false">(Sens!G15143+Sens!G15164)*Sens!G15163/1000</f>
        <v>28.056139128</v>
      </c>
      <c r="H15165" s="6" t="n">
        <f aca="false">(Sens!H15143+Sens!H15164)*Sens!H15163/1000</f>
        <v>0</v>
      </c>
      <c r="I15165" s="6" t="n">
        <f aca="false">(Sens!I15143+Sens!I15164)*Sens!I15163/1000</f>
        <v>29.16074476</v>
      </c>
      <c r="J15165" s="6" t="n">
        <f aca="false">(Sens!J15143+Sens!J15164)*Sens!J15163/1000</f>
        <v>44.03867576</v>
      </c>
      <c r="K15165" s="6" t="n">
        <f aca="false">(Sens!K15143+Sens!K15164)*Sens!K15163/1000</f>
        <v>87.48223428</v>
      </c>
    </row>
    <row r="15166" customFormat="false" ht="17.15" hidden="false" customHeight="false" outlineLevel="0" collapsed="false">
      <c r="A15166" s="0" t="s">
        <v>992</v>
      </c>
      <c r="B15166" s="0" t="s">
        <v>98</v>
      </c>
      <c r="C15166" s="6" t="n">
        <f aca="false">Sens!C15143*self_build*tk_cxfac/1000</f>
        <v>6.2083</v>
      </c>
      <c r="D15166" s="6" t="n">
        <f aca="false">Sens!D15143*self_build*tk_cxfac/1000</f>
        <v>9.3758</v>
      </c>
      <c r="E15166" s="6" t="n">
        <f aca="false">Sens!E15143*self_build*tk_cxfac/1000</f>
        <v>18.6249</v>
      </c>
      <c r="F15166" s="6" t="n">
        <f aca="false">Sens!F15143*self_build*tk_cxfac/1000</f>
        <v>5.62548</v>
      </c>
      <c r="G15166" s="6" t="n">
        <f aca="false">Sens!G15143*self_build*tk_cxfac/1000</f>
        <v>6.15762</v>
      </c>
      <c r="H15166" s="6" t="n">
        <f aca="false">Sens!H15143*self_build*tk_cxfac/1000</f>
        <v>0</v>
      </c>
      <c r="I15166" s="6" t="n">
        <f aca="false">Sens!I15143*self_build*tk_cxfac/1000</f>
        <v>0</v>
      </c>
      <c r="J15166" s="6" t="n">
        <f aca="false">Sens!J15143*self_build*tk_cxfac/1000</f>
        <v>0</v>
      </c>
      <c r="K15166" s="6" t="n">
        <f aca="false">Sens!K15143*self_build*tk_cxfac/1000</f>
        <v>0</v>
      </c>
    </row>
    <row r="15167" customFormat="false" ht="17.15" hidden="false" customHeight="false" outlineLevel="0" collapsed="false">
      <c r="A15167" s="0" t="s">
        <v>993</v>
      </c>
      <c r="B15167" s="0" t="s">
        <v>98</v>
      </c>
      <c r="F15167" s="15" t="n">
        <f aca="false">capex_floor27-Sens!F15165-Sens!F15166-Sens!F15263</f>
        <v>138.140066594294</v>
      </c>
      <c r="L15167" s="12" t="s">
        <v>994</v>
      </c>
    </row>
    <row r="15168" customFormat="false" ht="17.15" hidden="false" customHeight="false" outlineLevel="0" collapsed="false">
      <c r="A15168" s="0" t="s">
        <v>995</v>
      </c>
      <c r="B15168" s="0" t="s">
        <v>98</v>
      </c>
      <c r="F15168" s="6" t="n">
        <f aca="false">MAX(0,Sens!F15167)</f>
        <v>138.140066594294</v>
      </c>
    </row>
    <row r="15169" customFormat="false" ht="17.15" hidden="false" customHeight="false" outlineLevel="0" collapsed="false">
      <c r="A15169" s="0" t="s">
        <v>996</v>
      </c>
      <c r="B15169" s="0" t="s">
        <v>98</v>
      </c>
      <c r="C15169" s="6" t="n">
        <f aca="false">Sens!C15165</f>
        <v>22.5333845916667</v>
      </c>
      <c r="D15169" s="6" t="n">
        <f aca="false">Sens!D15165</f>
        <v>34.0300093833333</v>
      </c>
      <c r="E15169" s="6" t="n">
        <f aca="false">Sens!E15165</f>
        <v>67.600153775</v>
      </c>
      <c r="F15169" s="6" t="n">
        <f aca="false">Sens!F15165</f>
        <v>24.048192624</v>
      </c>
      <c r="G15169" s="6" t="n">
        <f aca="false">Sens!G15165</f>
        <v>28.056139128</v>
      </c>
      <c r="H15169" s="6" t="n">
        <f aca="false">Sens!H15165</f>
        <v>0</v>
      </c>
      <c r="I15169" s="6" t="n">
        <f aca="false">Sens!I15165</f>
        <v>29.16074476</v>
      </c>
      <c r="J15169" s="6" t="n">
        <f aca="false">Sens!J15165</f>
        <v>44.03867576</v>
      </c>
      <c r="K15169" s="6" t="n">
        <f aca="false">Sens!K15165</f>
        <v>87.48223428</v>
      </c>
    </row>
    <row r="15170" customFormat="false" ht="17.15" hidden="false" customHeight="false" outlineLevel="0" collapsed="false">
      <c r="A15170" s="0" t="s">
        <v>997</v>
      </c>
      <c r="B15170" s="0" t="s">
        <v>98</v>
      </c>
      <c r="C15170" s="6" t="n">
        <f aca="false">Sens!C15169+Sens!C15166</f>
        <v>28.7416845916667</v>
      </c>
      <c r="D15170" s="6" t="n">
        <f aca="false">Sens!D15169+Sens!D15166</f>
        <v>43.4058093833333</v>
      </c>
      <c r="E15170" s="6" t="n">
        <f aca="false">Sens!E15169+Sens!E15166</f>
        <v>86.225053775</v>
      </c>
      <c r="F15170" s="6" t="n">
        <f aca="false">Sens!F15169+Sens!F15166</f>
        <v>29.673672624</v>
      </c>
      <c r="G15170" s="6" t="n">
        <f aca="false">Sens!G15169+Sens!G15166</f>
        <v>34.213759128</v>
      </c>
      <c r="H15170" s="6" t="n">
        <f aca="false">Sens!H15169+Sens!H15166</f>
        <v>0</v>
      </c>
      <c r="I15170" s="6" t="n">
        <f aca="false">Sens!I15169+Sens!I15166</f>
        <v>29.16074476</v>
      </c>
      <c r="J15170" s="6" t="n">
        <f aca="false">Sens!J15169+Sens!J15166</f>
        <v>44.03867576</v>
      </c>
      <c r="K15170" s="6" t="n">
        <f aca="false">Sens!K15169+Sens!K15166</f>
        <v>87.48223428</v>
      </c>
      <c r="L15170" s="12" t="s">
        <v>998</v>
      </c>
    </row>
    <row r="15171" customFormat="false" ht="17.15" hidden="false" customHeight="false" outlineLevel="0" collapsed="false">
      <c r="A15171" s="0" t="s">
        <v>999</v>
      </c>
      <c r="B15171" s="0" t="s">
        <v>98</v>
      </c>
      <c r="E15171" s="6" t="n">
        <f aca="false">(Sens!C15169*IF(2&lt;life_it,1,IF(2=life_it,0.5,0))+Sens!D15169*IF(1&lt;life_it,1,IF(1=life_it,0.5,0))+Sens!E15169*0.5)/life_it</f>
        <v>15.0605784770833</v>
      </c>
      <c r="F15171" s="6" t="n">
        <f aca="false">(Sens!C15169*IF(3&lt;life_it,1,IF(3=life_it,0.5,0))+Sens!D15169*IF(2&lt;life_it,1,IF(2=life_it,0.5,0))+Sens!E15169*IF(1&lt;life_it,1,IF(1=life_it,0.5,0))+Sens!F15169*0.5)/life_it</f>
        <v>22.697940677</v>
      </c>
      <c r="G15171" s="6" t="n">
        <f aca="false">(Sens!C15169*IF(4&lt;life_it,1,IF(4=life_it,0.5,0))+Sens!D15169*IF(3&lt;life_it,1,IF(3=life_it,0.5,0))+Sens!E15169*IF(2&lt;life_it,1,IF(2=life_it,0.5,0))+Sens!F15169*IF(1&lt;life_it,1,IF(1=life_it,0.5,0))+Sens!G15169*0.5)/life_it</f>
        <v>27.039968323</v>
      </c>
      <c r="H15171" s="6" t="n">
        <f aca="false">(Sens!C15169*IF(5&lt;life_it,1,IF(5=life_it,0.5,0))+Sens!D15169*IF(4&lt;life_it,1,IF(4=life_it,0.5,0))+Sens!E15169*IF(3&lt;life_it,1,IF(3=life_it,0.5,0))+Sens!F15169*IF(2&lt;life_it,1,IF(2=life_it,0.5,0))+Sens!G15169*IF(1&lt;life_it,1,IF(1=life_it,0.5,0))+Sens!H15169*0.5)/life_it</f>
        <v>29.377979917</v>
      </c>
      <c r="I15171" s="6" t="n">
        <f aca="false">(Sens!C15169*IF(6&lt;life_it,1,IF(6=life_it,0.5,0))+Sens!D15169*IF(5&lt;life_it,1,IF(5=life_it,0.5,0))+Sens!E15169*IF(4&lt;life_it,1,IF(4=life_it,0.5,0))+Sens!F15169*IF(3&lt;life_it,1,IF(3=life_it,0.5,0))+Sens!G15169*IF(2&lt;life_it,1,IF(2=life_it,0.5,0))+Sens!H15169*IF(1&lt;life_it,1,IF(1=life_it,0.5,0))+Sens!I15169*0.5)/life_it</f>
        <v>29.9302599310278</v>
      </c>
      <c r="J15171" s="6" t="n">
        <f aca="false">(Sens!C15169*IF(7&lt;life_it,1,IF(7=life_it,0.5,0))+Sens!D15169*IF(6&lt;life_it,1,IF(6=life_it,0.5,0))+Sens!E15169*IF(5&lt;life_it,1,IF(5=life_it,0.5,0))+Sens!F15169*IF(4&lt;life_it,1,IF(4=life_it,0.5,0))+Sens!G15169*IF(3&lt;life_it,1,IF(3=life_it,0.5,0))+Sens!H15169*IF(2&lt;life_it,1,IF(2=life_it,0.5,0))+Sens!I15169*IF(1&lt;life_it,1,IF(1=life_it,0.5,0))+Sens!J15169*0.5)/life_it</f>
        <v>31.3165954764444</v>
      </c>
      <c r="K15171" s="6" t="n">
        <f aca="false">(Sens!C15169*IF(8&lt;life_it,1,IF(8=life_it,0.5,0))+Sens!D15169*IF(7&lt;life_it,1,IF(7=life_it,0.5,0))+Sens!E15169*IF(6&lt;life_it,1,IF(6=life_it,0.5,0))+Sens!F15169*IF(5&lt;life_it,1,IF(5=life_it,0.5,0))+Sens!G15169*IF(4&lt;life_it,1,IF(4=life_it,0.5,0))+Sens!H15169*IF(3&lt;life_it,1,IF(3=life_it,0.5,0))+Sens!I15169*IF(2&lt;life_it,1,IF(2=life_it,0.5,0))+Sens!J15169*IF(1&lt;life_it,1,IF(1=life_it,0.5,0))+Sens!K15169*0.5)/life_it</f>
        <v>33.8074910499167</v>
      </c>
    </row>
    <row r="15172" customFormat="false" ht="17.15" hidden="false" customHeight="false" outlineLevel="0" collapsed="false">
      <c r="A15172" s="0" t="s">
        <v>1000</v>
      </c>
      <c r="B15172" s="0" t="s">
        <v>98</v>
      </c>
      <c r="E15172" s="6" t="n">
        <f aca="false">(Sens!C15166*IF(2&lt;life_fac,1,IF(2=life_fac,0.5,0))+Sens!D15166*IF(1&lt;life_fac,1,IF(1=life_fac,0.5,0))+Sens!E15166*0.5)/life_fac</f>
        <v>1.2448275</v>
      </c>
      <c r="F15172" s="6" t="n">
        <f aca="false">(Sens!C15166*IF(3&lt;life_fac,1,IF(3=life_fac,0.5,0))+Sens!D15166*IF(2&lt;life_fac,1,IF(2=life_fac,0.5,0))+Sens!E15166*IF(1&lt;life_fac,1,IF(1=life_fac,0.5,0))+Sens!F15166*0.5)/life_fac</f>
        <v>1.851087</v>
      </c>
      <c r="G15172" s="6" t="n">
        <f aca="false">(Sens!C15166*IF(4&lt;life_fac,1,IF(4=life_fac,0.5,0))+Sens!D15166*IF(3&lt;life_fac,1,IF(3=life_fac,0.5,0))+Sens!E15166*IF(2&lt;life_fac,1,IF(2=life_fac,0.5,0))+Sens!F15166*IF(1&lt;life_fac,1,IF(1=life_fac,0.5,0))+Sens!G15166*0.5)/life_fac</f>
        <v>2.1456645</v>
      </c>
      <c r="H15172" s="6" t="n">
        <f aca="false">(Sens!C15166*IF(5&lt;life_fac,1,IF(5=life_fac,0.5,0))+Sens!D15166*IF(4&lt;life_fac,1,IF(4=life_fac,0.5,0))+Sens!E15166*IF(3&lt;life_fac,1,IF(3=life_fac,0.5,0))+Sens!F15166*IF(2&lt;life_fac,1,IF(2=life_fac,0.5,0))+Sens!G15166*IF(1&lt;life_fac,1,IF(1=life_fac,0.5,0))+Sens!H15166*0.5)/life_fac</f>
        <v>2.299605</v>
      </c>
      <c r="I15172" s="6" t="n">
        <f aca="false">(Sens!C15166*IF(6&lt;life_fac,1,IF(6=life_fac,0.5,0))+Sens!D15166*IF(5&lt;life_fac,1,IF(5=life_fac,0.5,0))+Sens!E15166*IF(4&lt;life_fac,1,IF(4=life_fac,0.5,0))+Sens!F15166*IF(3&lt;life_fac,1,IF(3=life_fac,0.5,0))+Sens!G15166*IF(2&lt;life_fac,1,IF(2=life_fac,0.5,0))+Sens!H15166*IF(1&lt;life_fac,1,IF(1=life_fac,0.5,0))+Sens!I15166*0.5)/life_fac</f>
        <v>2.299605</v>
      </c>
      <c r="J15172" s="6" t="n">
        <f aca="false">(Sens!C15166*IF(7&lt;life_fac,1,IF(7=life_fac,0.5,0))+Sens!D15166*IF(6&lt;life_fac,1,IF(6=life_fac,0.5,0))+Sens!E15166*IF(5&lt;life_fac,1,IF(5=life_fac,0.5,0))+Sens!F15166*IF(4&lt;life_fac,1,IF(4=life_fac,0.5,0))+Sens!G15166*IF(3&lt;life_fac,1,IF(3=life_fac,0.5,0))+Sens!H15166*IF(2&lt;life_fac,1,IF(2=life_fac,0.5,0))+Sens!I15166*IF(1&lt;life_fac,1,IF(1=life_fac,0.5,0))+Sens!J15166*0.5)/life_fac</f>
        <v>2.299605</v>
      </c>
      <c r="K15172" s="6" t="n">
        <f aca="false">(Sens!C15166*IF(8&lt;life_fac,1,IF(8=life_fac,0.5,0))+Sens!D15166*IF(7&lt;life_fac,1,IF(7=life_fac,0.5,0))+Sens!E15166*IF(6&lt;life_fac,1,IF(6=life_fac,0.5,0))+Sens!F15166*IF(5&lt;life_fac,1,IF(5=life_fac,0.5,0))+Sens!G15166*IF(4&lt;life_fac,1,IF(4=life_fac,0.5,0))+Sens!H15166*IF(3&lt;life_fac,1,IF(3=life_fac,0.5,0))+Sens!I15166*IF(2&lt;life_fac,1,IF(2=life_fac,0.5,0))+Sens!J15166*IF(1&lt;life_fac,1,IF(1=life_fac,0.5,0))+Sens!K15166*0.5)/life_fac</f>
        <v>2.299605</v>
      </c>
    </row>
    <row r="15173" customFormat="false" ht="17.15" hidden="false" customHeight="false" outlineLevel="0" collapsed="false">
      <c r="A15173" s="0" t="s">
        <v>1001</v>
      </c>
      <c r="B15173" s="0" t="s">
        <v>98</v>
      </c>
      <c r="E15173" s="6" t="n">
        <f aca="false">Sens!E15171+Sens!E15172</f>
        <v>16.3054059770833</v>
      </c>
      <c r="F15173" s="6" t="n">
        <f aca="false">Sens!F15171+Sens!F15172</f>
        <v>24.549027677</v>
      </c>
      <c r="G15173" s="6" t="n">
        <f aca="false">Sens!G15171+Sens!G15172</f>
        <v>29.185632823</v>
      </c>
      <c r="H15173" s="6" t="n">
        <f aca="false">Sens!H15171+Sens!H15172</f>
        <v>31.677584917</v>
      </c>
      <c r="I15173" s="6" t="n">
        <f aca="false">Sens!I15171+Sens!I15172</f>
        <v>32.2298649310278</v>
      </c>
      <c r="J15173" s="6" t="n">
        <f aca="false">Sens!J15171+Sens!J15172</f>
        <v>33.6162004764444</v>
      </c>
      <c r="K15173" s="6" t="n">
        <f aca="false">Sens!K15171+Sens!K15172</f>
        <v>36.1070960499167</v>
      </c>
    </row>
    <row r="15174" customFormat="false" ht="17.15" hidden="false" customHeight="false" outlineLevel="0" collapsed="false">
      <c r="A15174" s="0" t="s">
        <v>1002</v>
      </c>
      <c r="B15174" s="0" t="s">
        <v>98</v>
      </c>
      <c r="E15174" s="6" t="n">
        <f aca="false">Sens!E15161-Sens!E15160*Sens!E15173</f>
        <v>8.92707889977379</v>
      </c>
      <c r="F15174" s="6" t="n">
        <f aca="false">Sens!F15161-Sens!F15160*Sens!F15173</f>
        <v>10.3715414522451</v>
      </c>
      <c r="G15174" s="6" t="n">
        <f aca="false">Sens!G15161-Sens!G15160*Sens!G15173</f>
        <v>8.34730733165337</v>
      </c>
      <c r="H15174" s="6" t="n">
        <f aca="false">Sens!H15161-Sens!H15160*Sens!H15173</f>
        <v>4.50816651291358</v>
      </c>
      <c r="I15174" s="6" t="n">
        <f aca="false">Sens!I15161-Sens!I15160*Sens!I15173</f>
        <v>4.94494666123597</v>
      </c>
      <c r="J15174" s="6" t="n">
        <f aca="false">Sens!J15161-Sens!J15160*Sens!J15173</f>
        <v>5.27320581559189</v>
      </c>
      <c r="K15174" s="6" t="n">
        <f aca="false">Sens!K15161-Sens!K15160*Sens!K15173</f>
        <v>6.08311294172574</v>
      </c>
    </row>
    <row r="15175" customFormat="false" ht="17.15" hidden="false" customHeight="false" outlineLevel="0" collapsed="false">
      <c r="A15175" s="3" t="s">
        <v>1853</v>
      </c>
    </row>
    <row r="15176" customFormat="false" ht="15" hidden="false" customHeight="false" outlineLevel="0" collapsed="false">
      <c r="A15176" s="4" t="s">
        <v>43</v>
      </c>
      <c r="B15176" s="4" t="s">
        <v>65</v>
      </c>
      <c r="C15176" s="23" t="s">
        <v>938</v>
      </c>
      <c r="D15176" s="23" t="s">
        <v>939</v>
      </c>
      <c r="E15176" s="23" t="s">
        <v>940</v>
      </c>
      <c r="F15176" s="23" t="s">
        <v>941</v>
      </c>
      <c r="G15176" s="23" t="s">
        <v>942</v>
      </c>
      <c r="H15176" s="23" t="s">
        <v>943</v>
      </c>
      <c r="I15176" s="23" t="s">
        <v>944</v>
      </c>
      <c r="J15176" s="23" t="s">
        <v>945</v>
      </c>
      <c r="K15176" s="23" t="s">
        <v>946</v>
      </c>
      <c r="L15176" s="4" t="s">
        <v>47</v>
      </c>
    </row>
    <row r="15177" customFormat="false" ht="17.15" hidden="false" customHeight="false" outlineLevel="0" collapsed="false">
      <c r="A15177" s="0" t="s">
        <v>1021</v>
      </c>
      <c r="B15177" s="0" t="s">
        <v>98</v>
      </c>
      <c r="D15177" s="6" t="n">
        <f aca="false">Sens!D15155</f>
        <v>12.9359794422418</v>
      </c>
      <c r="E15177" s="6" t="n">
        <f aca="false">Sens!E15155</f>
        <v>27.8095064661409</v>
      </c>
      <c r="F15177" s="6" t="n">
        <f aca="false">Sens!F15155</f>
        <v>38.2259783649916</v>
      </c>
      <c r="G15177" s="6" t="n">
        <f aca="false">Sens!G15155</f>
        <v>41.1248620805705</v>
      </c>
      <c r="H15177" s="6" t="n">
        <f aca="false">Sens!H15155</f>
        <v>39.3939767870212</v>
      </c>
      <c r="I15177" s="6" t="n">
        <f aca="false">Sens!I15155</f>
        <v>40.2461266001841</v>
      </c>
      <c r="J15177" s="6" t="n">
        <f aca="false">Sens!J15155</f>
        <v>41.5330467261851</v>
      </c>
      <c r="K15177" s="6" t="n">
        <f aca="false">Sens!K15155</f>
        <v>44.0894961656736</v>
      </c>
    </row>
    <row r="15178" customFormat="false" ht="17.15" hidden="false" customHeight="false" outlineLevel="0" collapsed="false">
      <c r="A15178" s="0" t="s">
        <v>1022</v>
      </c>
      <c r="B15178" s="0" t="s">
        <v>98</v>
      </c>
      <c r="D15178" s="6" t="n">
        <f aca="false">Q!L6-Sens!D15177</f>
        <v>59.6740205577583</v>
      </c>
      <c r="E15178" s="6" t="n">
        <f aca="false">Q!M6-Sens!E15177</f>
        <v>74.1284935338591</v>
      </c>
      <c r="F15178" s="6" t="n">
        <f aca="false">Q!$I$6+(Sens!F15177+Sens!E15178*(1+Sens!F15179))*(1-Q!$E$6/Q!M6)-Sens!F15177</f>
        <v>95.0709626604845</v>
      </c>
      <c r="G15178" s="6" t="n">
        <f aca="false">Sens!F15178*(1+Sens!G15179)</f>
        <v>112.958493491404</v>
      </c>
      <c r="H15178" s="6" t="n">
        <f aca="false">Sens!G15178*(1+Sens!H15179)</f>
        <v>131.157455688971</v>
      </c>
      <c r="I15178" s="6" t="n">
        <f aca="false">Sens!H15178*(1+Sens!I15179)</f>
        <v>148.74234272792</v>
      </c>
      <c r="J15178" s="6" t="n">
        <f aca="false">Sens!I15178*(1+Sens!J15179)</f>
        <v>164.663323547782</v>
      </c>
      <c r="K15178" s="6" t="n">
        <f aca="false">Sens!J15178*(1+Sens!K15179)</f>
        <v>177.836389431605</v>
      </c>
      <c r="L15178" s="12" t="s">
        <v>1023</v>
      </c>
    </row>
    <row r="15179" customFormat="false" ht="15" hidden="false" customHeight="false" outlineLevel="0" collapsed="false">
      <c r="A15179" s="1" t="s">
        <v>1024</v>
      </c>
      <c r="B15179" s="0" t="s">
        <v>168</v>
      </c>
      <c r="E15179" s="7" t="n">
        <f aca="false">Sens!E15178/Sens!D15178-1</f>
        <v>0.242223883039864</v>
      </c>
      <c r="F15179" s="7" t="n">
        <f aca="false">Sens!$E$15179+(glt_azo-Sens!$E$15179)*MIN(1,(Sens!F15136-base_fy)/n_conv)</f>
        <v>0.215186569199887</v>
      </c>
      <c r="G15179" s="7" t="n">
        <f aca="false">Sens!$E$15179+(glt_azo-Sens!$E$15179)*MIN(1,(Sens!G15136-base_fy)/n_conv)</f>
        <v>0.18814925535991</v>
      </c>
      <c r="H15179" s="7" t="n">
        <f aca="false">Sens!$E$15179+(glt_azo-Sens!$E$15179)*MIN(1,(Sens!H15136-base_fy)/n_conv)</f>
        <v>0.161111941519932</v>
      </c>
      <c r="I15179" s="7" t="n">
        <f aca="false">Sens!$E$15179+(glt_azo-Sens!$E$15179)*MIN(1,(Sens!I15136-base_fy)/n_conv)</f>
        <v>0.134074627679955</v>
      </c>
      <c r="J15179" s="7" t="n">
        <f aca="false">Sens!$E$15179+(glt_azo-Sens!$E$15179)*MIN(1,(Sens!J15136-base_fy)/n_conv)</f>
        <v>0.107037313839977</v>
      </c>
      <c r="K15179" s="7" t="n">
        <f aca="false">Sens!$E$15179+(glt_azo-Sens!$E$15179)*MIN(1,(Sens!K15136-base_fy)/n_conv)</f>
        <v>0.08</v>
      </c>
    </row>
    <row r="15180" customFormat="false" ht="15" hidden="false" customHeight="false" outlineLevel="0" collapsed="false">
      <c r="A15180" s="0" t="s">
        <v>1025</v>
      </c>
      <c r="B15180" s="0" t="s">
        <v>98</v>
      </c>
      <c r="D15180" s="6" t="n">
        <f aca="false">Sens!D15177+Sens!D15178</f>
        <v>72.61</v>
      </c>
      <c r="E15180" s="6" t="n">
        <f aca="false">Sens!E15177+Sens!E15178</f>
        <v>101.938</v>
      </c>
      <c r="F15180" s="6" t="n">
        <f aca="false">Sens!F15177+Sens!F15178</f>
        <v>133.296941025476</v>
      </c>
      <c r="G15180" s="6" t="n">
        <f aca="false">Sens!G15177+Sens!G15178</f>
        <v>154.083355571975</v>
      </c>
      <c r="H15180" s="6" t="n">
        <f aca="false">Sens!H15177+Sens!H15178</f>
        <v>170.551432475992</v>
      </c>
      <c r="I15180" s="6" t="n">
        <f aca="false">Sens!I15177+Sens!I15178</f>
        <v>188.988469328104</v>
      </c>
      <c r="J15180" s="6" t="n">
        <f aca="false">Sens!J15177+Sens!J15178</f>
        <v>206.196370273967</v>
      </c>
      <c r="K15180" s="6" t="n">
        <f aca="false">Sens!K15177+Sens!K15178</f>
        <v>221.925885597278</v>
      </c>
    </row>
    <row r="15181" customFormat="false" ht="17.15" hidden="false" customHeight="false" outlineLevel="0" collapsed="false">
      <c r="A15181" s="0" t="s">
        <v>1026</v>
      </c>
      <c r="B15181" s="1" t="s">
        <v>610</v>
      </c>
      <c r="C15181" s="30" t="n">
        <f aca="false">cop_s24</f>
        <v>1</v>
      </c>
      <c r="D15181" s="30" t="n">
        <f aca="false">cop_s25</f>
        <v>5</v>
      </c>
      <c r="E15181" s="30" t="n">
        <f aca="false">cop_s26</f>
        <v>30</v>
      </c>
      <c r="F15181" s="30" t="n">
        <f aca="false">Sens!E15181+cop_add_C</f>
        <v>40</v>
      </c>
      <c r="G15181" s="30" t="n">
        <f aca="false">Sens!F15181+cop_add_C</f>
        <v>50</v>
      </c>
      <c r="H15181" s="30" t="n">
        <f aca="false">Sens!G15181+cop_add_C</f>
        <v>60</v>
      </c>
      <c r="I15181" s="30" t="n">
        <f aca="false">Sens!H15181+cop_add_C*cop_tail</f>
        <v>65</v>
      </c>
      <c r="J15181" s="30" t="n">
        <f aca="false">Sens!I15181+cop_add_C*cop_tail</f>
        <v>70</v>
      </c>
      <c r="K15181" s="30" t="n">
        <f aca="false">Sens!J15181+cop_add_C*cop_tail</f>
        <v>75</v>
      </c>
      <c r="L15181" s="12" t="s">
        <v>1027</v>
      </c>
    </row>
    <row r="15182" customFormat="false" ht="17.15" hidden="false" customHeight="false" outlineLevel="0" collapsed="false">
      <c r="A15182" s="0" t="s">
        <v>1028</v>
      </c>
      <c r="B15182" s="0" t="s">
        <v>98</v>
      </c>
      <c r="D15182" s="6" t="n">
        <f aca="false">(Sens!C15181+Sens!D15181)/2*cop_px*12/1000</f>
        <v>0.9</v>
      </c>
      <c r="E15182" s="6" t="n">
        <f aca="false">(Sens!D15181+Sens!E15181)/2*cop_px*12/1000</f>
        <v>5.25</v>
      </c>
      <c r="F15182" s="6" t="n">
        <f aca="false">(Sens!E15181+Sens!F15181)/2*cop_px*12/1000</f>
        <v>10.5</v>
      </c>
      <c r="G15182" s="6" t="n">
        <f aca="false">(Sens!F15181+Sens!G15181)/2*cop_px*12/1000</f>
        <v>13.5</v>
      </c>
      <c r="H15182" s="6" t="n">
        <f aca="false">(Sens!G15181+Sens!H15181)/2*cop_px*12/1000</f>
        <v>16.5</v>
      </c>
      <c r="I15182" s="6" t="n">
        <f aca="false">(Sens!H15181+Sens!I15181)/2*cop_px*12/1000</f>
        <v>18.75</v>
      </c>
      <c r="J15182" s="6" t="n">
        <f aca="false">(Sens!I15181+Sens!J15181)/2*cop_px*12/1000</f>
        <v>20.25</v>
      </c>
      <c r="K15182" s="6" t="n">
        <f aca="false">(Sens!J15181+Sens!K15181)/2*cop_px*12/1000</f>
        <v>21.75</v>
      </c>
      <c r="L15182" s="1" t="s">
        <v>1029</v>
      </c>
    </row>
    <row r="15183" customFormat="false" ht="17.15" hidden="false" customHeight="false" outlineLevel="0" collapsed="false">
      <c r="A15183" s="0" t="s">
        <v>1030</v>
      </c>
      <c r="B15183" s="0" t="s">
        <v>98</v>
      </c>
      <c r="D15183" s="6" t="n">
        <f aca="false">Q!L7-Sens!D15182</f>
        <v>83.705</v>
      </c>
      <c r="E15183" s="6" t="n">
        <f aca="false">Q!M7-Sens!E15182</f>
        <v>95.049</v>
      </c>
      <c r="F15183" s="6" t="n">
        <f aca="false">Q!$I$7+(Sens!E15183*(1+Sens!F15184)+Sens!F15182)*(1-Q!$E$7/Q!M7)-Sens!F15182</f>
        <v>106.938354189776</v>
      </c>
      <c r="G15183" s="6" t="n">
        <f aca="false">Sens!F15183*(1+Sens!G15184)</f>
        <v>119.095360443801</v>
      </c>
      <c r="H15183" s="6" t="n">
        <f aca="false">Sens!G15183*(1+Sens!H15184)</f>
        <v>131.333811964563</v>
      </c>
      <c r="I15183" s="6" t="n">
        <f aca="false">Sens!H15183*(1+Sens!I15184)</f>
        <v>143.395665319381</v>
      </c>
      <c r="J15183" s="6" t="n">
        <f aca="false">Sens!I15183*(1+Sens!J15184)</f>
        <v>154.999327755573</v>
      </c>
      <c r="K15183" s="6" t="n">
        <f aca="false">Sens!J15183*(1+Sens!K15184)</f>
        <v>165.849280698463</v>
      </c>
      <c r="L15183" s="12" t="s">
        <v>1031</v>
      </c>
    </row>
    <row r="15184" customFormat="false" ht="15" hidden="false" customHeight="false" outlineLevel="0" collapsed="false">
      <c r="A15184" s="1" t="s">
        <v>1024</v>
      </c>
      <c r="B15184" s="0" t="s">
        <v>168</v>
      </c>
      <c r="E15184" s="7" t="n">
        <f aca="false">Sens!E15183/Sens!D15183-1</f>
        <v>0.135523564900544</v>
      </c>
      <c r="F15184" s="7" t="n">
        <f aca="false">Sens!$E$15184+(glt_m365b-Sens!$E$15184)*MIN(1,(Sens!F15136-base_fy)/n_conv)</f>
        <v>0.124602970750453</v>
      </c>
      <c r="G15184" s="7" t="n">
        <f aca="false">Sens!$E$15184+(glt_m365b-Sens!$E$15184)*MIN(1,(Sens!G15136-base_fy)/n_conv)</f>
        <v>0.113682376600363</v>
      </c>
      <c r="H15184" s="7" t="n">
        <f aca="false">Sens!$E$15184+(glt_m365b-Sens!$E$15184)*MIN(1,(Sens!H15136-base_fy)/n_conv)</f>
        <v>0.102761782450272</v>
      </c>
      <c r="I15184" s="7" t="n">
        <f aca="false">Sens!$E$15184+(glt_m365b-Sens!$E$15184)*MIN(1,(Sens!I15136-base_fy)/n_conv)</f>
        <v>0.0918411883001813</v>
      </c>
      <c r="J15184" s="7" t="n">
        <f aca="false">Sens!$E$15184+(glt_m365b-Sens!$E$15184)*MIN(1,(Sens!J15136-base_fy)/n_conv)</f>
        <v>0.0809205941500906</v>
      </c>
      <c r="K15184" s="7" t="n">
        <f aca="false">Sens!$E$15184+(glt_m365b-Sens!$E$15184)*MIN(1,(Sens!K15136-base_fy)/n_conv)</f>
        <v>0.07</v>
      </c>
    </row>
    <row r="15185" customFormat="false" ht="15" hidden="false" customHeight="false" outlineLevel="0" collapsed="false">
      <c r="A15185" s="0" t="s">
        <v>1032</v>
      </c>
      <c r="B15185" s="0" t="s">
        <v>98</v>
      </c>
      <c r="D15185" s="6" t="n">
        <f aca="false">Sens!D15183+Sens!D15182</f>
        <v>84.605</v>
      </c>
      <c r="E15185" s="6" t="n">
        <f aca="false">Sens!E15183+Sens!E15182</f>
        <v>100.299</v>
      </c>
      <c r="F15185" s="6" t="n">
        <f aca="false">Sens!F15183+Sens!F15182</f>
        <v>117.438354189776</v>
      </c>
      <c r="G15185" s="6" t="n">
        <f aca="false">Sens!G15183+Sens!G15182</f>
        <v>132.595360443801</v>
      </c>
      <c r="H15185" s="6" t="n">
        <f aca="false">Sens!H15183+Sens!H15182</f>
        <v>147.833811964563</v>
      </c>
      <c r="I15185" s="6" t="n">
        <f aca="false">Sens!I15183+Sens!I15182</f>
        <v>162.145665319381</v>
      </c>
      <c r="J15185" s="6" t="n">
        <f aca="false">Sens!J15183+Sens!J15182</f>
        <v>175.249327755573</v>
      </c>
      <c r="K15185" s="6" t="n">
        <f aca="false">Sens!K15183+Sens!K15182</f>
        <v>187.599280698463</v>
      </c>
    </row>
    <row r="15186" customFormat="false" ht="17.15" hidden="false" customHeight="false" outlineLevel="0" collapsed="false">
      <c r="A15186" s="0" t="s">
        <v>1033</v>
      </c>
      <c r="B15186" s="0" t="s">
        <v>98</v>
      </c>
      <c r="D15186" s="6" t="n">
        <f aca="false">Q!L8</f>
        <v>35.391</v>
      </c>
      <c r="E15186" s="6" t="n">
        <f aca="false">Q!M8</f>
        <v>37.285</v>
      </c>
      <c r="F15186" s="6" t="n">
        <f aca="false">Q!$I$8+(Q!M8-Q!$E$8)*(1+Sens!F15187)</f>
        <v>38.3851437782675</v>
      </c>
      <c r="G15186" s="6" t="n">
        <f aca="false">Sens!F15186*(1+Sens!G15187)</f>
        <v>40.0105353288615</v>
      </c>
      <c r="H15186" s="6" t="n">
        <f aca="false">Sens!G15186*(1+Sens!H15187)</f>
        <v>41.4812512033683</v>
      </c>
      <c r="I15186" s="6" t="n">
        <f aca="false">Sens!H15186*(1+Sens!I15187)</f>
        <v>42.7743107216329</v>
      </c>
      <c r="J15186" s="6" t="n">
        <f aca="false">Sens!I15186*(1+Sens!J15187)</f>
        <v>43.8687373064601</v>
      </c>
      <c r="K15186" s="6" t="n">
        <f aca="false">Sens!J15186*(1+Sens!K15187)</f>
        <v>44.7461120525893</v>
      </c>
      <c r="L15186" s="12" t="s">
        <v>1034</v>
      </c>
    </row>
    <row r="15187" customFormat="false" ht="15" hidden="false" customHeight="false" outlineLevel="0" collapsed="false">
      <c r="A15187" s="1" t="s">
        <v>1024</v>
      </c>
      <c r="B15187" s="0" t="s">
        <v>168</v>
      </c>
      <c r="E15187" s="7" t="n">
        <f aca="false">Sens!E15186/Sens!D15186-1</f>
        <v>0.0535164307309768</v>
      </c>
      <c r="F15187" s="7" t="n">
        <f aca="false">Sens!$E$15187+(glt_lic-Sens!$E$15187)*MIN(1,(Sens!F15136-base_fy)/n_conv)</f>
        <v>0.0479303589424807</v>
      </c>
      <c r="G15187" s="7" t="n">
        <f aca="false">Sens!$E$15187+(glt_lic-Sens!$E$15187)*MIN(1,(Sens!G15136-base_fy)/n_conv)</f>
        <v>0.0423442871539845</v>
      </c>
      <c r="H15187" s="7" t="n">
        <f aca="false">Sens!$E$15187+(glt_lic-Sens!$E$15187)*MIN(1,(Sens!H15136-base_fy)/n_conv)</f>
        <v>0.0367582153654884</v>
      </c>
      <c r="I15187" s="7" t="n">
        <f aca="false">Sens!$E$15187+(glt_lic-Sens!$E$15187)*MIN(1,(Sens!I15136-base_fy)/n_conv)</f>
        <v>0.0311721435769923</v>
      </c>
      <c r="J15187" s="7" t="n">
        <f aca="false">Sens!$E$15187+(glt_lic-Sens!$E$15187)*MIN(1,(Sens!J15136-base_fy)/n_conv)</f>
        <v>0.0255860717884961</v>
      </c>
      <c r="K15187" s="7" t="n">
        <f aca="false">Sens!$E$15187+(glt_lic-Sens!$E$15187)*MIN(1,(Sens!K15136-base_fy)/n_conv)</f>
        <v>0.02</v>
      </c>
    </row>
    <row r="15188" customFormat="false" ht="17.15" hidden="false" customHeight="false" outlineLevel="0" collapsed="false">
      <c r="A15188" s="0" t="s">
        <v>1035</v>
      </c>
      <c r="B15188" s="0" t="s">
        <v>98</v>
      </c>
      <c r="D15188" s="6" t="n">
        <f aca="false">Q!L9</f>
        <v>18.417</v>
      </c>
      <c r="E15188" s="6" t="n">
        <f aca="false">Q!M9</f>
        <v>20.345</v>
      </c>
      <c r="F15188" s="6" t="n">
        <f aca="false">Q!$I$9+(Q!M9-Q!$E$9)*(1+Sens!F15189)</f>
        <v>22.3161797133988</v>
      </c>
      <c r="G15188" s="6" t="n">
        <f aca="false">Sens!F15188*(1+Sens!G15189)</f>
        <v>24.3943499673233</v>
      </c>
      <c r="H15188" s="6" t="n">
        <f aca="false">Sens!G15188*(1+Sens!H15189)</f>
        <v>26.5250243109019</v>
      </c>
      <c r="I15188" s="6" t="n">
        <f aca="false">Sens!H15188*(1+Sens!I15189)</f>
        <v>28.6884573538181</v>
      </c>
      <c r="J15188" s="6" t="n">
        <f aca="false">Sens!I15188*(1+Sens!J15189)</f>
        <v>30.8624968052127</v>
      </c>
      <c r="K15188" s="6" t="n">
        <f aca="false">Sens!J15188*(1+Sens!K15189)</f>
        <v>33.0228715815776</v>
      </c>
      <c r="L15188" s="12" t="s">
        <v>1034</v>
      </c>
    </row>
    <row r="15189" customFormat="false" ht="15" hidden="false" customHeight="false" outlineLevel="0" collapsed="false">
      <c r="A15189" s="1" t="s">
        <v>1024</v>
      </c>
      <c r="B15189" s="0" t="s">
        <v>168</v>
      </c>
      <c r="E15189" s="7" t="n">
        <f aca="false">Sens!E15188/Sens!D15188-1</f>
        <v>0.104685888038225</v>
      </c>
      <c r="F15189" s="7" t="n">
        <f aca="false">Sens!$E$15189+(glt_ind-Sens!$E$15189)*MIN(1,(Sens!F15136-base_fy)/n_conv)</f>
        <v>0.0989049066985211</v>
      </c>
      <c r="G15189" s="7" t="n">
        <f aca="false">Sens!$E$15189+(glt_ind-Sens!$E$15189)*MIN(1,(Sens!G15136-base_fy)/n_conv)</f>
        <v>0.0931239253588169</v>
      </c>
      <c r="H15189" s="7" t="n">
        <f aca="false">Sens!$E$15189+(glt_ind-Sens!$E$15189)*MIN(1,(Sens!H15136-base_fy)/n_conv)</f>
        <v>0.0873429440191127</v>
      </c>
      <c r="I15189" s="7" t="n">
        <f aca="false">Sens!$E$15189+(glt_ind-Sens!$E$15189)*MIN(1,(Sens!I15136-base_fy)/n_conv)</f>
        <v>0.0815619626794085</v>
      </c>
      <c r="J15189" s="7" t="n">
        <f aca="false">Sens!$E$15189+(glt_ind-Sens!$E$15189)*MIN(1,(Sens!J15136-base_fy)/n_conv)</f>
        <v>0.0757809813397042</v>
      </c>
      <c r="K15189" s="7" t="n">
        <f aca="false">Sens!$E$15189+(glt_ind-Sens!$E$15189)*MIN(1,(Sens!K15136-base_fy)/n_conv)</f>
        <v>0.07</v>
      </c>
    </row>
    <row r="15190" customFormat="false" ht="17.15" hidden="false" customHeight="false" outlineLevel="0" collapsed="false">
      <c r="A15190" s="0" t="s">
        <v>1036</v>
      </c>
      <c r="B15190" s="0" t="s">
        <v>98</v>
      </c>
      <c r="D15190" s="6" t="n">
        <f aca="false">Q!L10</f>
        <v>7.76</v>
      </c>
      <c r="E15190" s="6" t="n">
        <f aca="false">Q!M10</f>
        <v>8.26</v>
      </c>
      <c r="F15190" s="6" t="n">
        <f aca="false">Q!$I$10+(Q!M10-Q!$E$10)*(1+Sens!F15191)</f>
        <v>8.75372082474227</v>
      </c>
      <c r="G15190" s="6" t="n">
        <f aca="false">Sens!F15190*(1+Sens!G15191)</f>
        <v>9.33399324642364</v>
      </c>
      <c r="H15190" s="6" t="n">
        <f aca="false">Sens!G15190*(1+Sens!H15191)</f>
        <v>9.96139155535851</v>
      </c>
      <c r="I15190" s="6" t="n">
        <f aca="false">Sens!H15190*(1+Sens!I15191)</f>
        <v>10.6402039077391</v>
      </c>
      <c r="J15190" s="6" t="n">
        <f aca="false">Sens!I15190*(1+Sens!J15191)</f>
        <v>11.3751458271397</v>
      </c>
      <c r="K15190" s="6" t="n">
        <f aca="false">Sens!J15190*(1+Sens!K15191)</f>
        <v>12.1714060350394</v>
      </c>
      <c r="L15190" s="12" t="s">
        <v>1034</v>
      </c>
    </row>
    <row r="15191" customFormat="false" ht="15" hidden="false" customHeight="false" outlineLevel="0" collapsed="false">
      <c r="A15191" s="1" t="s">
        <v>1024</v>
      </c>
      <c r="B15191" s="0" t="s">
        <v>168</v>
      </c>
      <c r="E15191" s="7" t="n">
        <f aca="false">Sens!E15190/Sens!D15190-1</f>
        <v>0.0644329896907216</v>
      </c>
      <c r="F15191" s="7" t="n">
        <f aca="false">Sens!$E$15191+(glt_fro-Sens!$E$15191)*MIN(1,(Sens!F15136-base_fy)/n_conv)</f>
        <v>0.065360824742268</v>
      </c>
      <c r="G15191" s="7" t="n">
        <f aca="false">Sens!$E$15191+(glt_fro-Sens!$E$15191)*MIN(1,(Sens!G15136-base_fy)/n_conv)</f>
        <v>0.0662886597938144</v>
      </c>
      <c r="H15191" s="7" t="n">
        <f aca="false">Sens!$E$15191+(glt_fro-Sens!$E$15191)*MIN(1,(Sens!H15136-base_fy)/n_conv)</f>
        <v>0.0672164948453608</v>
      </c>
      <c r="I15191" s="7" t="n">
        <f aca="false">Sens!$E$15191+(glt_fro-Sens!$E$15191)*MIN(1,(Sens!I15136-base_fy)/n_conv)</f>
        <v>0.0681443298969072</v>
      </c>
      <c r="J15191" s="7" t="n">
        <f aca="false">Sens!$E$15191+(glt_fro-Sens!$E$15191)*MIN(1,(Sens!J15136-base_fy)/n_conv)</f>
        <v>0.0690721649484536</v>
      </c>
      <c r="K15191" s="7" t="n">
        <f aca="false">Sens!$E$15191+(glt_fro-Sens!$E$15191)*MIN(1,(Sens!K15136-base_fy)/n_conv)</f>
        <v>0.07</v>
      </c>
    </row>
    <row r="15192" customFormat="false" ht="15" hidden="false" customHeight="false" outlineLevel="0" collapsed="false">
      <c r="A15192" s="0" t="s">
        <v>852</v>
      </c>
      <c r="B15192" s="0" t="s">
        <v>98</v>
      </c>
      <c r="D15192" s="6" t="n">
        <f aca="false">Sens!D15180+Sens!D15185+Sens!D15186+Sens!D15188+Sens!D15190</f>
        <v>218.783</v>
      </c>
      <c r="E15192" s="6" t="n">
        <f aca="false">Sens!E15180+Sens!E15185+Sens!E15186+Sens!E15188+Sens!E15190</f>
        <v>268.127</v>
      </c>
      <c r="F15192" s="6" t="n">
        <f aca="false">Sens!F15180+Sens!F15185+Sens!F15186+Sens!F15188+Sens!F15190</f>
        <v>320.19033953166</v>
      </c>
      <c r="G15192" s="6" t="n">
        <f aca="false">Sens!G15180+Sens!G15185+Sens!G15186+Sens!G15188+Sens!G15190</f>
        <v>360.417594558384</v>
      </c>
      <c r="H15192" s="6" t="n">
        <f aca="false">Sens!H15180+Sens!H15185+Sens!H15186+Sens!H15188+Sens!H15190</f>
        <v>396.352911510184</v>
      </c>
      <c r="I15192" s="6" t="n">
        <f aca="false">Sens!I15180+Sens!I15185+Sens!I15186+Sens!I15188+Sens!I15190</f>
        <v>433.237106630676</v>
      </c>
      <c r="J15192" s="6" t="n">
        <f aca="false">Sens!J15180+Sens!J15185+Sens!J15186+Sens!J15188+Sens!J15190</f>
        <v>467.552077968353</v>
      </c>
      <c r="K15192" s="6" t="n">
        <f aca="false">Sens!K15180+Sens!K15185+Sens!K15186+Sens!K15188+Sens!K15190</f>
        <v>499.465555964948</v>
      </c>
    </row>
    <row r="15193" customFormat="false" ht="17.15" hidden="false" customHeight="false" outlineLevel="0" collapsed="false">
      <c r="A15193" s="0" t="s">
        <v>1037</v>
      </c>
      <c r="B15193" s="0" t="s">
        <v>98</v>
      </c>
      <c r="D15193" s="6" t="n">
        <f aca="false">Q!L13</f>
        <v>22.171</v>
      </c>
      <c r="E15193" s="6" t="n">
        <f aca="false">Q!M13</f>
        <v>24.835</v>
      </c>
      <c r="F15193" s="6" t="n">
        <f aca="false">Q!$I$13+(Q!M13-Q!$E$13)*(1+Sens!F15194)</f>
        <v>27.5591895660247</v>
      </c>
      <c r="G15193" s="6" t="n">
        <f aca="false">Sens!F15193*(1+Sens!G15194)</f>
        <v>30.4098563144583</v>
      </c>
      <c r="H15193" s="6" t="n">
        <f aca="false">Sens!G15193*(1+Sens!H15194)</f>
        <v>33.3011792571777</v>
      </c>
      <c r="I15193" s="6" t="n">
        <f aca="false">Sens!H15193*(1+Sens!I15194)</f>
        <v>36.189023797112</v>
      </c>
      <c r="J15193" s="6" t="n">
        <f aca="false">Sens!I15193*(1+Sens!J15194)</f>
        <v>39.0247773769199</v>
      </c>
      <c r="K15193" s="6" t="n">
        <f aca="false">Sens!J15193*(1+Sens!K15194)</f>
        <v>41.7565117933043</v>
      </c>
      <c r="L15193" s="12" t="s">
        <v>1034</v>
      </c>
    </row>
    <row r="15194" customFormat="false" ht="15" hidden="false" customHeight="false" outlineLevel="0" collapsed="false">
      <c r="A15194" s="1" t="s">
        <v>1024</v>
      </c>
      <c r="B15194" s="0" t="s">
        <v>168</v>
      </c>
      <c r="E15194" s="7" t="n">
        <f aca="false">Sens!E15193/Sens!D15193-1</f>
        <v>0.120156961796942</v>
      </c>
      <c r="F15194" s="7" t="n">
        <f aca="false">Sens!$E$15194+(glt_srch-Sens!$E$15194)*MIN(1,(Sens!F15136-base_fy)/n_conv)</f>
        <v>0.111797468164118</v>
      </c>
      <c r="G15194" s="7" t="n">
        <f aca="false">Sens!$E$15194+(glt_srch-Sens!$E$15194)*MIN(1,(Sens!G15136-base_fy)/n_conv)</f>
        <v>0.103437974531295</v>
      </c>
      <c r="H15194" s="7" t="n">
        <f aca="false">Sens!$E$15194+(glt_srch-Sens!$E$15194)*MIN(1,(Sens!H15136-base_fy)/n_conv)</f>
        <v>0.095078480898471</v>
      </c>
      <c r="I15194" s="7" t="n">
        <f aca="false">Sens!$E$15194+(glt_srch-Sens!$E$15194)*MIN(1,(Sens!I15136-base_fy)/n_conv)</f>
        <v>0.0867189872656474</v>
      </c>
      <c r="J15194" s="7" t="n">
        <f aca="false">Sens!$E$15194+(glt_srch-Sens!$E$15194)*MIN(1,(Sens!J15136-base_fy)/n_conv)</f>
        <v>0.0783594936328237</v>
      </c>
      <c r="K15194" s="7" t="n">
        <f aca="false">Sens!$E$15194+(glt_srch-Sens!$E$15194)*MIN(1,(Sens!K15136-base_fy)/n_conv)</f>
        <v>0.07</v>
      </c>
    </row>
    <row r="15195" customFormat="false" ht="17.15" hidden="false" customHeight="false" outlineLevel="0" collapsed="false">
      <c r="A15195" s="0" t="s">
        <v>1038</v>
      </c>
      <c r="B15195" s="0" t="s">
        <v>98</v>
      </c>
      <c r="D15195" s="6" t="n">
        <f aca="false">Q!L14</f>
        <v>23.455</v>
      </c>
      <c r="E15195" s="6" t="n">
        <f aca="false">Q!M14</f>
        <v>21.79</v>
      </c>
      <c r="F15195" s="6" t="n">
        <f aca="false">Q!$I$14+(Q!M14-Q!$E$14)*(1+Sens!F15196)</f>
        <v>20.7520981041711</v>
      </c>
      <c r="G15195" s="6" t="n">
        <f aca="false">Sens!F15195*(1+Sens!G15196)</f>
        <v>19.9083593495882</v>
      </c>
      <c r="H15195" s="6" t="n">
        <f aca="false">Sens!G15195*(1+Sens!H15196)</f>
        <v>19.4008256265831</v>
      </c>
      <c r="I15195" s="6" t="n">
        <f aca="false">Sens!H15195*(1+Sens!I15196)</f>
        <v>19.200434522122</v>
      </c>
      <c r="J15195" s="6" t="n">
        <f aca="false">Sens!I15195*(1+Sens!J15196)</f>
        <v>19.2932782348507</v>
      </c>
      <c r="K15195" s="6" t="n">
        <f aca="false">Sens!J15195*(1+Sens!K15196)</f>
        <v>19.6791437995477</v>
      </c>
      <c r="L15195" s="12" t="s">
        <v>1034</v>
      </c>
    </row>
    <row r="15196" customFormat="false" ht="15" hidden="false" customHeight="false" outlineLevel="0" collapsed="false">
      <c r="A15196" s="1" t="s">
        <v>1024</v>
      </c>
      <c r="B15196" s="0" t="s">
        <v>168</v>
      </c>
      <c r="E15196" s="7" t="n">
        <f aca="false">Sens!E15195/Sens!D15195-1</f>
        <v>-0.0709869963760392</v>
      </c>
      <c r="F15196" s="7" t="n">
        <f aca="false">Sens!$E$15196+(glt_xbox-Sens!$E$15196)*MIN(1,(Sens!F15136-base_fy)/n_conv)</f>
        <v>-0.0558224969800327</v>
      </c>
      <c r="G15196" s="7" t="n">
        <f aca="false">Sens!$E$15196+(glt_xbox-Sens!$E$15196)*MIN(1,(Sens!G15136-base_fy)/n_conv)</f>
        <v>-0.0406579975840262</v>
      </c>
      <c r="H15196" s="7" t="n">
        <f aca="false">Sens!$E$15196+(glt_xbox-Sens!$E$15196)*MIN(1,(Sens!H15136-base_fy)/n_conv)</f>
        <v>-0.0254934981880196</v>
      </c>
      <c r="I15196" s="7" t="n">
        <f aca="false">Sens!$E$15196+(glt_xbox-Sens!$E$15196)*MIN(1,(Sens!I15136-base_fy)/n_conv)</f>
        <v>-0.0103289987920131</v>
      </c>
      <c r="J15196" s="7" t="n">
        <f aca="false">Sens!$E$15196+(glt_xbox-Sens!$E$15196)*MIN(1,(Sens!J15136-base_fy)/n_conv)</f>
        <v>0.00483550060399347</v>
      </c>
      <c r="K15196" s="7" t="n">
        <f aca="false">Sens!$E$15196+(glt_xbox-Sens!$E$15196)*MIN(1,(Sens!K15136-base_fy)/n_conv)</f>
        <v>0.02</v>
      </c>
    </row>
    <row r="15197" customFormat="false" ht="17.15" hidden="false" customHeight="false" outlineLevel="0" collapsed="false">
      <c r="A15197" s="0" t="s">
        <v>1039</v>
      </c>
      <c r="B15197" s="0" t="s">
        <v>98</v>
      </c>
      <c r="D15197" s="6" t="n">
        <f aca="false">Q!L15</f>
        <v>17.315</v>
      </c>
      <c r="E15197" s="6" t="n">
        <f aca="false">Q!M15</f>
        <v>17.087</v>
      </c>
      <c r="F15197" s="6" t="n">
        <f aca="false">Q!$I$15+(Q!M15-Q!$E$15)*(1+Sens!F15198)</f>
        <v>15.9912273250553</v>
      </c>
      <c r="G15197" s="6" t="n">
        <f aca="false">Sens!F15197*(1+Sens!G15198)</f>
        <v>15.9574562664827</v>
      </c>
      <c r="H15197" s="6" t="n">
        <f aca="false">Sens!G15197*(1+Sens!H15198)</f>
        <v>16.0119687434196</v>
      </c>
      <c r="I15197" s="6" t="n">
        <f aca="false">Sens!H15197*(1+Sens!I15198)</f>
        <v>16.1551810001948</v>
      </c>
      <c r="J15197" s="6" t="n">
        <f aca="false">Sens!I15197*(1+Sens!J15198)</f>
        <v>16.3889793892005</v>
      </c>
      <c r="K15197" s="6" t="n">
        <f aca="false">Sens!J15197*(1+Sens!K15198)</f>
        <v>16.7167589769845</v>
      </c>
      <c r="L15197" s="12" t="s">
        <v>1034</v>
      </c>
    </row>
    <row r="15198" customFormat="false" ht="15" hidden="false" customHeight="false" outlineLevel="0" collapsed="false">
      <c r="A15198" s="1" t="s">
        <v>1024</v>
      </c>
      <c r="B15198" s="0" t="s">
        <v>168</v>
      </c>
      <c r="E15198" s="7" t="n">
        <f aca="false">Sens!E15197/Sens!D15197-1</f>
        <v>-0.0131677736066995</v>
      </c>
      <c r="F15198" s="7" t="n">
        <f aca="false">Sens!$E$15198+(glt_win-Sens!$E$15198)*MIN(1,(Sens!F15136-base_fy)/n_conv)</f>
        <v>-0.00763981133891627</v>
      </c>
      <c r="G15198" s="7" t="n">
        <f aca="false">Sens!$E$15198+(glt_win-Sens!$E$15198)*MIN(1,(Sens!G15136-base_fy)/n_conv)</f>
        <v>-0.00211184907113301</v>
      </c>
      <c r="H15198" s="7" t="n">
        <f aca="false">Sens!$E$15198+(glt_win-Sens!$E$15198)*MIN(1,(Sens!H15136-base_fy)/n_conv)</f>
        <v>0.00341611319665024</v>
      </c>
      <c r="I15198" s="7" t="n">
        <f aca="false">Sens!$E$15198+(glt_win-Sens!$E$15198)*MIN(1,(Sens!I15136-base_fy)/n_conv)</f>
        <v>0.00894407546443349</v>
      </c>
      <c r="J15198" s="7" t="n">
        <f aca="false">Sens!$E$15198+(glt_win-Sens!$E$15198)*MIN(1,(Sens!J15136-base_fy)/n_conv)</f>
        <v>0.0144720377322168</v>
      </c>
      <c r="K15198" s="7" t="n">
        <f aca="false">Sens!$E$15198+(glt_win-Sens!$E$15198)*MIN(1,(Sens!K15136-base_fy)/n_conv)</f>
        <v>0.02</v>
      </c>
    </row>
    <row r="15199" customFormat="false" ht="15" hidden="false" customHeight="false" outlineLevel="0" collapsed="false">
      <c r="A15199" s="0" t="s">
        <v>866</v>
      </c>
      <c r="B15199" s="0" t="s">
        <v>98</v>
      </c>
      <c r="D15199" s="6" t="n">
        <f aca="false">Sens!D15193+Sens!D15195+Sens!D15197</f>
        <v>62.941</v>
      </c>
      <c r="E15199" s="6" t="n">
        <f aca="false">Sens!E15193+Sens!E15195+Sens!E15197</f>
        <v>63.712</v>
      </c>
      <c r="F15199" s="6" t="n">
        <f aca="false">Sens!F15193+Sens!F15195+Sens!F15197</f>
        <v>64.3025149952511</v>
      </c>
      <c r="G15199" s="6" t="n">
        <f aca="false">Sens!G15193+Sens!G15195+Sens!G15197</f>
        <v>66.2756719305292</v>
      </c>
      <c r="H15199" s="6" t="n">
        <f aca="false">Sens!H15193+Sens!H15195+Sens!H15197</f>
        <v>68.7139736271804</v>
      </c>
      <c r="I15199" s="6" t="n">
        <f aca="false">Sens!I15193+Sens!I15195+Sens!I15197</f>
        <v>71.5446393194289</v>
      </c>
      <c r="J15199" s="6" t="n">
        <f aca="false">Sens!J15193+Sens!J15195+Sens!J15197</f>
        <v>74.707035000971</v>
      </c>
      <c r="K15199" s="6" t="n">
        <f aca="false">Sens!K15193+Sens!K15195+Sens!K15197</f>
        <v>78.1524145698365</v>
      </c>
    </row>
    <row r="15200" customFormat="false" ht="15" hidden="false" customHeight="false" outlineLevel="0" collapsed="false">
      <c r="A15200" s="1" t="s">
        <v>1040</v>
      </c>
      <c r="B15200" s="0" t="s">
        <v>98</v>
      </c>
      <c r="D15200" s="6" t="n">
        <f aca="false">Sens!D15192+Sens!D15199</f>
        <v>281.724</v>
      </c>
      <c r="E15200" s="6" t="n">
        <f aca="false">Sens!E15192+Sens!E15199</f>
        <v>331.839</v>
      </c>
      <c r="F15200" s="6" t="n">
        <f aca="false">Sens!F15192+Sens!F15199</f>
        <v>384.492854526911</v>
      </c>
      <c r="G15200" s="6" t="n">
        <f aca="false">Sens!G15192+Sens!G15199</f>
        <v>426.693266488913</v>
      </c>
      <c r="H15200" s="6" t="n">
        <f aca="false">Sens!H15192+Sens!H15199</f>
        <v>465.066885137364</v>
      </c>
      <c r="I15200" s="6" t="n">
        <f aca="false">Sens!I15192+Sens!I15199</f>
        <v>504.781745950104</v>
      </c>
      <c r="J15200" s="6" t="n">
        <f aca="false">Sens!J15192+Sens!J15199</f>
        <v>542.259112969324</v>
      </c>
      <c r="K15200" s="6" t="n">
        <f aca="false">Sens!K15192+Sens!K15199</f>
        <v>577.617970534784</v>
      </c>
    </row>
    <row r="15201" customFormat="false" ht="15" hidden="false" customHeight="false" outlineLevel="0" collapsed="false">
      <c r="A15201" s="26" t="s">
        <v>1041</v>
      </c>
      <c r="B15201" s="31" t="s">
        <v>98</v>
      </c>
      <c r="C15201" s="31"/>
      <c r="D15201" s="27" t="n">
        <f aca="false">(Sens!D15180+Sens!D15185+Sens!D15186+Sens!D15188+Sens!D15190-Sens!D15192)+(Sens!D15193+Sens!D15195+Sens!D15197-Sens!D15199)+(Sens!D15192-Q!L5)+(Sens!D15199-Q!L12)+(Sens!D15180-Q!L6)+(Sens!D15185-Q!L7)</f>
        <v>0</v>
      </c>
      <c r="E15201" s="27" t="n">
        <f aca="false">(Sens!E15180+Sens!E15185+Sens!E15186+Sens!E15188+Sens!E15190-Sens!E15192)+(Sens!E15193+Sens!E15195+Sens!E15197-Sens!E15199)+(Sens!E15192-Q!M5)+(Sens!E15199-Q!M12)+(Sens!E15180-Q!M6)+(Sens!E15185-Q!M7)</f>
        <v>0</v>
      </c>
      <c r="F15201" s="27" t="n">
        <f aca="false">(Sens!F15180+Sens!F15185+Sens!F15186+Sens!F15188+Sens!F15190-Sens!F15192)+(Sens!F15193+Sens!F15195+Sens!F15197-Sens!F15199)</f>
        <v>0</v>
      </c>
      <c r="G15201" s="27" t="n">
        <f aca="false">(Sens!G15180+Sens!G15185+Sens!G15186+Sens!G15188+Sens!G15190-Sens!G15192)+(Sens!G15193+Sens!G15195+Sens!G15197-Sens!G15199)</f>
        <v>0</v>
      </c>
      <c r="H15201" s="27" t="n">
        <f aca="false">(Sens!H15180+Sens!H15185+Sens!H15186+Sens!H15188+Sens!H15190-Sens!H15192)+(Sens!H15193+Sens!H15195+Sens!H15197-Sens!H15199)</f>
        <v>0</v>
      </c>
      <c r="I15201" s="27" t="n">
        <f aca="false">(Sens!I15180+Sens!I15185+Sens!I15186+Sens!I15188+Sens!I15190-Sens!I15192)+(Sens!I15193+Sens!I15195+Sens!I15197-Sens!I15199)</f>
        <v>0</v>
      </c>
      <c r="J15201" s="27" t="n">
        <f aca="false">(Sens!J15180+Sens!J15185+Sens!J15186+Sens!J15188+Sens!J15190-Sens!J15192)+(Sens!J15193+Sens!J15195+Sens!J15197-Sens!J15199)</f>
        <v>0</v>
      </c>
      <c r="K15201" s="27" t="n">
        <f aca="false">(Sens!K15180+Sens!K15185+Sens!K15186+Sens!K15188+Sens!K15190-Sens!K15192)+(Sens!K15193+Sens!K15195+Sens!K15197-Sens!K15199)</f>
        <v>0</v>
      </c>
    </row>
    <row r="15202" customFormat="false" ht="17.15" hidden="false" customHeight="false" outlineLevel="0" collapsed="false">
      <c r="A15202" s="3" t="s">
        <v>1854</v>
      </c>
    </row>
    <row r="15203" customFormat="false" ht="15" hidden="false" customHeight="false" outlineLevel="0" collapsed="false">
      <c r="A15203" s="4" t="s">
        <v>43</v>
      </c>
      <c r="B15203" s="4" t="s">
        <v>65</v>
      </c>
      <c r="C15203" s="23" t="s">
        <v>938</v>
      </c>
      <c r="D15203" s="23" t="s">
        <v>939</v>
      </c>
      <c r="E15203" s="23" t="s">
        <v>940</v>
      </c>
      <c r="F15203" s="23" t="s">
        <v>941</v>
      </c>
      <c r="G15203" s="23" t="s">
        <v>942</v>
      </c>
      <c r="H15203" s="23" t="s">
        <v>943</v>
      </c>
      <c r="I15203" s="23" t="s">
        <v>944</v>
      </c>
      <c r="J15203" s="23" t="s">
        <v>945</v>
      </c>
      <c r="K15203" s="23" t="s">
        <v>946</v>
      </c>
      <c r="L15203" s="4" t="s">
        <v>47</v>
      </c>
    </row>
    <row r="15204" customFormat="false" ht="15" hidden="false" customHeight="false" outlineLevel="0" collapsed="false">
      <c r="A15204" s="0" t="s">
        <v>1025</v>
      </c>
      <c r="B15204" s="0" t="s">
        <v>98</v>
      </c>
      <c r="D15204" s="6" t="n">
        <f aca="false">Sens!D15180</f>
        <v>72.61</v>
      </c>
      <c r="E15204" s="6" t="n">
        <f aca="false">Sens!E15180</f>
        <v>101.938</v>
      </c>
      <c r="F15204" s="6" t="n">
        <f aca="false">Sens!F15180</f>
        <v>133.296941025476</v>
      </c>
      <c r="G15204" s="6" t="n">
        <f aca="false">Sens!G15180</f>
        <v>154.083355571975</v>
      </c>
      <c r="H15204" s="6" t="n">
        <f aca="false">Sens!H15180</f>
        <v>170.551432475992</v>
      </c>
      <c r="I15204" s="6" t="n">
        <f aca="false">Sens!I15180</f>
        <v>188.988469328104</v>
      </c>
      <c r="J15204" s="6" t="n">
        <f aca="false">Sens!J15180</f>
        <v>206.196370273967</v>
      </c>
      <c r="K15204" s="6" t="n">
        <f aca="false">Sens!K15180</f>
        <v>221.925885597278</v>
      </c>
    </row>
    <row r="15205" customFormat="false" ht="17.15" hidden="false" customHeight="false" outlineLevel="0" collapsed="false">
      <c r="A15205" s="0" t="s">
        <v>1021</v>
      </c>
      <c r="B15205" s="0" t="s">
        <v>98</v>
      </c>
      <c r="D15205" s="6" t="n">
        <f aca="false">Sens!D15177</f>
        <v>12.9359794422418</v>
      </c>
      <c r="E15205" s="6" t="n">
        <f aca="false">Sens!E15177</f>
        <v>27.8095064661409</v>
      </c>
      <c r="F15205" s="6" t="n">
        <f aca="false">Sens!F15177</f>
        <v>38.2259783649916</v>
      </c>
      <c r="G15205" s="6" t="n">
        <f aca="false">Sens!G15177</f>
        <v>41.1248620805705</v>
      </c>
      <c r="H15205" s="6" t="n">
        <f aca="false">Sens!H15177</f>
        <v>39.3939767870212</v>
      </c>
      <c r="I15205" s="6" t="n">
        <f aca="false">Sens!I15177</f>
        <v>40.2461266001841</v>
      </c>
      <c r="J15205" s="6" t="n">
        <f aca="false">Sens!J15177</f>
        <v>41.5330467261851</v>
      </c>
      <c r="K15205" s="6" t="n">
        <f aca="false">Sens!K15177</f>
        <v>44.0894961656736</v>
      </c>
    </row>
    <row r="15206" customFormat="false" ht="17.15" hidden="false" customHeight="false" outlineLevel="0" collapsed="false">
      <c r="A15206" s="0" t="s">
        <v>1052</v>
      </c>
      <c r="B15206" s="0" t="s">
        <v>98</v>
      </c>
      <c r="D15206" s="6" t="n">
        <f aca="false">Sens!D15178</f>
        <v>59.6740205577583</v>
      </c>
      <c r="E15206" s="6" t="n">
        <f aca="false">Sens!E15178</f>
        <v>74.1284935338591</v>
      </c>
      <c r="F15206" s="6" t="n">
        <f aca="false">Sens!F15178</f>
        <v>95.0709626604845</v>
      </c>
      <c r="G15206" s="6" t="n">
        <f aca="false">Sens!G15178</f>
        <v>112.958493491404</v>
      </c>
      <c r="H15206" s="6" t="n">
        <f aca="false">Sens!H15178</f>
        <v>131.157455688971</v>
      </c>
      <c r="I15206" s="6" t="n">
        <f aca="false">Sens!I15178</f>
        <v>148.74234272792</v>
      </c>
      <c r="J15206" s="6" t="n">
        <f aca="false">Sens!J15178</f>
        <v>164.663323547782</v>
      </c>
      <c r="K15206" s="6" t="n">
        <f aca="false">Sens!K15178</f>
        <v>177.836389431605</v>
      </c>
    </row>
    <row r="15207" customFormat="false" ht="15" hidden="false" customHeight="false" outlineLevel="0" collapsed="false">
      <c r="A15207" s="0" t="s">
        <v>1032</v>
      </c>
      <c r="B15207" s="0" t="s">
        <v>98</v>
      </c>
      <c r="D15207" s="6" t="n">
        <f aca="false">Sens!D15185</f>
        <v>84.605</v>
      </c>
      <c r="E15207" s="6" t="n">
        <f aca="false">Sens!E15185</f>
        <v>100.299</v>
      </c>
      <c r="F15207" s="6" t="n">
        <f aca="false">Sens!F15185</f>
        <v>117.438354189776</v>
      </c>
      <c r="G15207" s="6" t="n">
        <f aca="false">Sens!G15185</f>
        <v>132.595360443801</v>
      </c>
      <c r="H15207" s="6" t="n">
        <f aca="false">Sens!H15185</f>
        <v>147.833811964563</v>
      </c>
      <c r="I15207" s="6" t="n">
        <f aca="false">Sens!I15185</f>
        <v>162.145665319381</v>
      </c>
      <c r="J15207" s="6" t="n">
        <f aca="false">Sens!J15185</f>
        <v>175.249327755573</v>
      </c>
      <c r="K15207" s="6" t="n">
        <f aca="false">Sens!K15185</f>
        <v>187.599280698463</v>
      </c>
    </row>
    <row r="15208" customFormat="false" ht="17.15" hidden="false" customHeight="false" outlineLevel="0" collapsed="false">
      <c r="A15208" s="0" t="s">
        <v>1053</v>
      </c>
      <c r="B15208" s="0" t="s">
        <v>98</v>
      </c>
      <c r="D15208" s="6" t="n">
        <f aca="false">Sens!D15183</f>
        <v>83.705</v>
      </c>
      <c r="E15208" s="6" t="n">
        <f aca="false">Sens!E15183</f>
        <v>95.049</v>
      </c>
      <c r="F15208" s="6" t="n">
        <f aca="false">Sens!F15183</f>
        <v>106.938354189776</v>
      </c>
      <c r="G15208" s="6" t="n">
        <f aca="false">Sens!G15183</f>
        <v>119.095360443801</v>
      </c>
      <c r="H15208" s="6" t="n">
        <f aca="false">Sens!H15183</f>
        <v>131.333811964563</v>
      </c>
      <c r="I15208" s="6" t="n">
        <f aca="false">Sens!I15183</f>
        <v>143.395665319381</v>
      </c>
      <c r="J15208" s="6" t="n">
        <f aca="false">Sens!J15183</f>
        <v>154.999327755573</v>
      </c>
      <c r="K15208" s="6" t="n">
        <f aca="false">Sens!K15183</f>
        <v>165.849280698463</v>
      </c>
    </row>
    <row r="15209" customFormat="false" ht="17.15" hidden="false" customHeight="false" outlineLevel="0" collapsed="false">
      <c r="A15209" s="0" t="s">
        <v>1054</v>
      </c>
      <c r="B15209" s="0" t="s">
        <v>98</v>
      </c>
      <c r="D15209" s="6" t="n">
        <f aca="false">Sens!D15182</f>
        <v>0.9</v>
      </c>
      <c r="E15209" s="6" t="n">
        <f aca="false">Sens!E15182</f>
        <v>5.25</v>
      </c>
      <c r="F15209" s="6" t="n">
        <f aca="false">Sens!F15182</f>
        <v>10.5</v>
      </c>
      <c r="G15209" s="6" t="n">
        <f aca="false">Sens!G15182</f>
        <v>13.5</v>
      </c>
      <c r="H15209" s="6" t="n">
        <f aca="false">Sens!H15182</f>
        <v>16.5</v>
      </c>
      <c r="I15209" s="6" t="n">
        <f aca="false">Sens!I15182</f>
        <v>18.75</v>
      </c>
      <c r="J15209" s="6" t="n">
        <f aca="false">Sens!J15182</f>
        <v>20.25</v>
      </c>
      <c r="K15209" s="6" t="n">
        <f aca="false">Sens!K15182</f>
        <v>21.75</v>
      </c>
    </row>
    <row r="15210" customFormat="false" ht="15" hidden="false" customHeight="false" outlineLevel="0" collapsed="false">
      <c r="A15210" s="0" t="s">
        <v>1033</v>
      </c>
      <c r="B15210" s="0" t="s">
        <v>98</v>
      </c>
      <c r="D15210" s="6" t="n">
        <f aca="false">Sens!D15186</f>
        <v>35.391</v>
      </c>
      <c r="E15210" s="6" t="n">
        <f aca="false">Sens!E15186</f>
        <v>37.285</v>
      </c>
      <c r="F15210" s="6" t="n">
        <f aca="false">Sens!F15186</f>
        <v>38.3851437782675</v>
      </c>
      <c r="G15210" s="6" t="n">
        <f aca="false">Sens!G15186</f>
        <v>40.0105353288615</v>
      </c>
      <c r="H15210" s="6" t="n">
        <f aca="false">Sens!H15186</f>
        <v>41.4812512033683</v>
      </c>
      <c r="I15210" s="6" t="n">
        <f aca="false">Sens!I15186</f>
        <v>42.7743107216329</v>
      </c>
      <c r="J15210" s="6" t="n">
        <f aca="false">Sens!J15186</f>
        <v>43.8687373064601</v>
      </c>
      <c r="K15210" s="6" t="n">
        <f aca="false">Sens!K15186</f>
        <v>44.7461120525893</v>
      </c>
    </row>
    <row r="15211" customFormat="false" ht="15" hidden="false" customHeight="false" outlineLevel="0" collapsed="false">
      <c r="A15211" s="0" t="s">
        <v>1035</v>
      </c>
      <c r="B15211" s="0" t="s">
        <v>98</v>
      </c>
      <c r="D15211" s="6" t="n">
        <f aca="false">Sens!D15188</f>
        <v>18.417</v>
      </c>
      <c r="E15211" s="6" t="n">
        <f aca="false">Sens!E15188</f>
        <v>20.345</v>
      </c>
      <c r="F15211" s="6" t="n">
        <f aca="false">Sens!F15188</f>
        <v>22.3161797133988</v>
      </c>
      <c r="G15211" s="6" t="n">
        <f aca="false">Sens!G15188</f>
        <v>24.3943499673233</v>
      </c>
      <c r="H15211" s="6" t="n">
        <f aca="false">Sens!H15188</f>
        <v>26.5250243109019</v>
      </c>
      <c r="I15211" s="6" t="n">
        <f aca="false">Sens!I15188</f>
        <v>28.6884573538181</v>
      </c>
      <c r="J15211" s="6" t="n">
        <f aca="false">Sens!J15188</f>
        <v>30.8624968052127</v>
      </c>
      <c r="K15211" s="6" t="n">
        <f aca="false">Sens!K15188</f>
        <v>33.0228715815776</v>
      </c>
    </row>
    <row r="15212" customFormat="false" ht="15" hidden="false" customHeight="false" outlineLevel="0" collapsed="false">
      <c r="A15212" s="0" t="s">
        <v>1036</v>
      </c>
      <c r="B15212" s="0" t="s">
        <v>98</v>
      </c>
      <c r="D15212" s="6" t="n">
        <f aca="false">Sens!D15190</f>
        <v>7.76</v>
      </c>
      <c r="E15212" s="6" t="n">
        <f aca="false">Sens!E15190</f>
        <v>8.26</v>
      </c>
      <c r="F15212" s="6" t="n">
        <f aca="false">Sens!F15190</f>
        <v>8.75372082474227</v>
      </c>
      <c r="G15212" s="6" t="n">
        <f aca="false">Sens!G15190</f>
        <v>9.33399324642364</v>
      </c>
      <c r="H15212" s="6" t="n">
        <f aca="false">Sens!H15190</f>
        <v>9.96139155535851</v>
      </c>
      <c r="I15212" s="6" t="n">
        <f aca="false">Sens!I15190</f>
        <v>10.6402039077391</v>
      </c>
      <c r="J15212" s="6" t="n">
        <f aca="false">Sens!J15190</f>
        <v>11.3751458271397</v>
      </c>
      <c r="K15212" s="6" t="n">
        <f aca="false">Sens!K15190</f>
        <v>12.1714060350394</v>
      </c>
    </row>
    <row r="15213" customFormat="false" ht="15" hidden="false" customHeight="false" outlineLevel="0" collapsed="false">
      <c r="A15213" s="0" t="s">
        <v>852</v>
      </c>
      <c r="B15213" s="0" t="s">
        <v>98</v>
      </c>
      <c r="D15213" s="6" t="n">
        <f aca="false">Sens!D15192</f>
        <v>218.783</v>
      </c>
      <c r="E15213" s="6" t="n">
        <f aca="false">Sens!E15192</f>
        <v>268.127</v>
      </c>
      <c r="F15213" s="6" t="n">
        <f aca="false">Sens!F15192</f>
        <v>320.19033953166</v>
      </c>
      <c r="G15213" s="6" t="n">
        <f aca="false">Sens!G15192</f>
        <v>360.417594558384</v>
      </c>
      <c r="H15213" s="6" t="n">
        <f aca="false">Sens!H15192</f>
        <v>396.352911510184</v>
      </c>
      <c r="I15213" s="6" t="n">
        <f aca="false">Sens!I15192</f>
        <v>433.237106630676</v>
      </c>
      <c r="J15213" s="6" t="n">
        <f aca="false">Sens!J15192</f>
        <v>467.552077968353</v>
      </c>
      <c r="K15213" s="6" t="n">
        <f aca="false">Sens!K15192</f>
        <v>499.465555964948</v>
      </c>
    </row>
    <row r="15214" customFormat="false" ht="15" hidden="false" customHeight="false" outlineLevel="0" collapsed="false">
      <c r="A15214" s="0" t="s">
        <v>1037</v>
      </c>
      <c r="B15214" s="0" t="s">
        <v>98</v>
      </c>
      <c r="D15214" s="6" t="n">
        <f aca="false">Sens!D15193</f>
        <v>22.171</v>
      </c>
      <c r="E15214" s="6" t="n">
        <f aca="false">Sens!E15193</f>
        <v>24.835</v>
      </c>
      <c r="F15214" s="6" t="n">
        <f aca="false">Sens!F15193</f>
        <v>27.5591895660247</v>
      </c>
      <c r="G15214" s="6" t="n">
        <f aca="false">Sens!G15193</f>
        <v>30.4098563144583</v>
      </c>
      <c r="H15214" s="6" t="n">
        <f aca="false">Sens!H15193</f>
        <v>33.3011792571777</v>
      </c>
      <c r="I15214" s="6" t="n">
        <f aca="false">Sens!I15193</f>
        <v>36.189023797112</v>
      </c>
      <c r="J15214" s="6" t="n">
        <f aca="false">Sens!J15193</f>
        <v>39.0247773769199</v>
      </c>
      <c r="K15214" s="6" t="n">
        <f aca="false">Sens!K15193</f>
        <v>41.7565117933043</v>
      </c>
    </row>
    <row r="15215" customFormat="false" ht="15" hidden="false" customHeight="false" outlineLevel="0" collapsed="false">
      <c r="A15215" s="0" t="s">
        <v>1038</v>
      </c>
      <c r="B15215" s="0" t="s">
        <v>98</v>
      </c>
      <c r="D15215" s="6" t="n">
        <f aca="false">Sens!D15195</f>
        <v>23.455</v>
      </c>
      <c r="E15215" s="6" t="n">
        <f aca="false">Sens!E15195</f>
        <v>21.79</v>
      </c>
      <c r="F15215" s="6" t="n">
        <f aca="false">Sens!F15195</f>
        <v>20.7520981041711</v>
      </c>
      <c r="G15215" s="6" t="n">
        <f aca="false">Sens!G15195</f>
        <v>19.9083593495882</v>
      </c>
      <c r="H15215" s="6" t="n">
        <f aca="false">Sens!H15195</f>
        <v>19.4008256265831</v>
      </c>
      <c r="I15215" s="6" t="n">
        <f aca="false">Sens!I15195</f>
        <v>19.200434522122</v>
      </c>
      <c r="J15215" s="6" t="n">
        <f aca="false">Sens!J15195</f>
        <v>19.2932782348507</v>
      </c>
      <c r="K15215" s="6" t="n">
        <f aca="false">Sens!K15195</f>
        <v>19.6791437995477</v>
      </c>
    </row>
    <row r="15216" customFormat="false" ht="15" hidden="false" customHeight="false" outlineLevel="0" collapsed="false">
      <c r="A15216" s="0" t="s">
        <v>1039</v>
      </c>
      <c r="B15216" s="0" t="s">
        <v>98</v>
      </c>
      <c r="D15216" s="6" t="n">
        <f aca="false">Sens!D15197</f>
        <v>17.315</v>
      </c>
      <c r="E15216" s="6" t="n">
        <f aca="false">Sens!E15197</f>
        <v>17.087</v>
      </c>
      <c r="F15216" s="6" t="n">
        <f aca="false">Sens!F15197</f>
        <v>15.9912273250553</v>
      </c>
      <c r="G15216" s="6" t="n">
        <f aca="false">Sens!G15197</f>
        <v>15.9574562664827</v>
      </c>
      <c r="H15216" s="6" t="n">
        <f aca="false">Sens!H15197</f>
        <v>16.0119687434196</v>
      </c>
      <c r="I15216" s="6" t="n">
        <f aca="false">Sens!I15197</f>
        <v>16.1551810001948</v>
      </c>
      <c r="J15216" s="6" t="n">
        <f aca="false">Sens!J15197</f>
        <v>16.3889793892005</v>
      </c>
      <c r="K15216" s="6" t="n">
        <f aca="false">Sens!K15197</f>
        <v>16.7167589769845</v>
      </c>
    </row>
    <row r="15217" customFormat="false" ht="15" hidden="false" customHeight="false" outlineLevel="0" collapsed="false">
      <c r="A15217" s="0" t="s">
        <v>866</v>
      </c>
      <c r="B15217" s="0" t="s">
        <v>98</v>
      </c>
      <c r="D15217" s="6" t="n">
        <f aca="false">Sens!D15199</f>
        <v>62.941</v>
      </c>
      <c r="E15217" s="6" t="n">
        <f aca="false">Sens!E15199</f>
        <v>63.712</v>
      </c>
      <c r="F15217" s="6" t="n">
        <f aca="false">Sens!F15199</f>
        <v>64.3025149952511</v>
      </c>
      <c r="G15217" s="6" t="n">
        <f aca="false">Sens!G15199</f>
        <v>66.2756719305292</v>
      </c>
      <c r="H15217" s="6" t="n">
        <f aca="false">Sens!H15199</f>
        <v>68.7139736271804</v>
      </c>
      <c r="I15217" s="6" t="n">
        <f aca="false">Sens!I15199</f>
        <v>71.5446393194289</v>
      </c>
      <c r="J15217" s="6" t="n">
        <f aca="false">Sens!J15199</f>
        <v>74.707035000971</v>
      </c>
      <c r="K15217" s="6" t="n">
        <f aca="false">Sens!K15199</f>
        <v>78.1524145698365</v>
      </c>
    </row>
    <row r="15218" customFormat="false" ht="15" hidden="false" customHeight="false" outlineLevel="0" collapsed="false">
      <c r="A15218" s="1" t="s">
        <v>1055</v>
      </c>
      <c r="B15218" s="0" t="s">
        <v>98</v>
      </c>
      <c r="D15218" s="6" t="n">
        <f aca="false">Sens!D15200</f>
        <v>281.724</v>
      </c>
      <c r="E15218" s="6" t="n">
        <f aca="false">Sens!E15200</f>
        <v>331.839</v>
      </c>
      <c r="F15218" s="6" t="n">
        <f aca="false">Sens!F15200</f>
        <v>384.492854526911</v>
      </c>
      <c r="G15218" s="6" t="n">
        <f aca="false">Sens!G15200</f>
        <v>426.693266488913</v>
      </c>
      <c r="H15218" s="6" t="n">
        <f aca="false">Sens!H15200</f>
        <v>465.066885137364</v>
      </c>
      <c r="I15218" s="6" t="n">
        <f aca="false">Sens!I15200</f>
        <v>504.781745950104</v>
      </c>
      <c r="J15218" s="6" t="n">
        <f aca="false">Sens!J15200</f>
        <v>542.259112969324</v>
      </c>
      <c r="K15218" s="6" t="n">
        <f aca="false">Sens!K15200</f>
        <v>577.617970534784</v>
      </c>
    </row>
    <row r="15219" customFormat="false" ht="15" hidden="false" customHeight="false" outlineLevel="0" collapsed="false">
      <c r="A15219" s="1" t="s">
        <v>1056</v>
      </c>
      <c r="B15219" s="0" t="s">
        <v>168</v>
      </c>
      <c r="E15219" s="7" t="n">
        <f aca="false">Sens!E15218/Sens!D15218-1</f>
        <v>0.177886867998467</v>
      </c>
      <c r="F15219" s="7" t="n">
        <f aca="false">Sens!F15218/Sens!E15218-1</f>
        <v>0.158672894165277</v>
      </c>
      <c r="G15219" s="7" t="n">
        <f aca="false">Sens!G15218/Sens!F15218-1</f>
        <v>0.109756036985202</v>
      </c>
      <c r="H15219" s="7" t="n">
        <f aca="false">Sens!H15218/Sens!G15218-1</f>
        <v>0.0899325620116118</v>
      </c>
      <c r="I15219" s="7" t="n">
        <f aca="false">Sens!I15218/Sens!H15218-1</f>
        <v>0.0853960195446071</v>
      </c>
      <c r="J15219" s="7" t="n">
        <f aca="false">Sens!J15218/Sens!I15218-1</f>
        <v>0.0742446954944438</v>
      </c>
      <c r="K15219" s="7" t="n">
        <f aca="false">Sens!K15218/Sens!J15218-1</f>
        <v>0.0652065713969121</v>
      </c>
    </row>
    <row r="15220" customFormat="false" ht="17.15" hidden="false" customHeight="false" outlineLevel="0" collapsed="false">
      <c r="A15220" s="26" t="s">
        <v>1057</v>
      </c>
      <c r="B15220" s="31" t="s">
        <v>98</v>
      </c>
      <c r="C15220" s="31"/>
      <c r="D15220" s="27" t="n">
        <f aca="false">(Sens!D15213+Sens!D15217-Sens!D15218)+(Sens!D15205+Sens!D15206-Sens!D15204)+(Sens!D15208+Sens!D15209-Sens!D15207)+(Sens!D15218-Q!L18)</f>
        <v>0</v>
      </c>
      <c r="E15220" s="27" t="n">
        <f aca="false">(Sens!E15213+Sens!E15217-Sens!E15218)+(Sens!E15205+Sens!E15206-Sens!E15204)+(Sens!E15208+Sens!E15209-Sens!E15207)+(Sens!E15218-Q!M18)</f>
        <v>0</v>
      </c>
      <c r="F15220" s="27" t="n">
        <f aca="false">(Sens!F15213+Sens!F15217-Sens!F15218)+(Sens!F15205+Sens!F15206-Sens!F15204)+(Sens!F15208+Sens!F15209-Sens!F15207)</f>
        <v>0</v>
      </c>
      <c r="G15220" s="27" t="n">
        <f aca="false">(Sens!G15213+Sens!G15217-Sens!G15218)+(Sens!G15205+Sens!G15206-Sens!G15204)+(Sens!G15208+Sens!G15209-Sens!G15207)</f>
        <v>0</v>
      </c>
      <c r="H15220" s="27" t="n">
        <f aca="false">(Sens!H15213+Sens!H15217-Sens!H15218)+(Sens!H15205+Sens!H15206-Sens!H15204)+(Sens!H15208+Sens!H15209-Sens!H15207)</f>
        <v>0</v>
      </c>
      <c r="I15220" s="27" t="n">
        <f aca="false">(Sens!I15213+Sens!I15217-Sens!I15218)+(Sens!I15205+Sens!I15206-Sens!I15204)+(Sens!I15208+Sens!I15209-Sens!I15207)</f>
        <v>0</v>
      </c>
      <c r="J15220" s="27" t="n">
        <f aca="false">(Sens!J15213+Sens!J15217-Sens!J15218)+(Sens!J15205+Sens!J15206-Sens!J15204)+(Sens!J15208+Sens!J15209-Sens!J15207)</f>
        <v>0</v>
      </c>
      <c r="K15220" s="27" t="n">
        <f aca="false">(Sens!K15213+Sens!K15217-Sens!K15218)+(Sens!K15205+Sens!K15206-Sens!K15204)+(Sens!K15208+Sens!K15209-Sens!K15207)</f>
        <v>0</v>
      </c>
    </row>
    <row r="15221" customFormat="false" ht="17.15" hidden="false" customHeight="false" outlineLevel="0" collapsed="false">
      <c r="A15221" s="0" t="s">
        <v>1058</v>
      </c>
      <c r="B15221" s="0" t="s">
        <v>168</v>
      </c>
      <c r="E15221" s="7" t="n">
        <f aca="false">(Q!M21+Sens!E15157+Sens!E15158+Sens!E15159+Sens!E15173-Sens!E15155)/(Q!M5-Sens!E15155)</f>
        <v>0.570957350878296</v>
      </c>
      <c r="F15221" s="7" t="n">
        <f aca="false">Sens!$E$15221+dm_seg</f>
        <v>0.570957350878296</v>
      </c>
      <c r="G15221" s="7" t="n">
        <f aca="false">Sens!$E$15221+dm_seg</f>
        <v>0.570957350878296</v>
      </c>
      <c r="H15221" s="7" t="n">
        <f aca="false">Sens!$E$15221+dm_seg</f>
        <v>0.570957350878296</v>
      </c>
      <c r="I15221" s="7" t="n">
        <f aca="false">Sens!$E$15221+dm_seg</f>
        <v>0.570957350878296</v>
      </c>
      <c r="J15221" s="7" t="n">
        <f aca="false">Sens!$E$15221+dm_seg</f>
        <v>0.570957350878296</v>
      </c>
      <c r="K15221" s="7" t="n">
        <f aca="false">Sens!$E$15221+dm_seg</f>
        <v>0.570957350878296</v>
      </c>
      <c r="L15221" s="12" t="s">
        <v>1059</v>
      </c>
    </row>
    <row r="15222" customFormat="false" ht="17.15" hidden="false" customHeight="false" outlineLevel="0" collapsed="false">
      <c r="A15222" s="0" t="s">
        <v>880</v>
      </c>
      <c r="B15222" s="0" t="s">
        <v>98</v>
      </c>
      <c r="D15222" s="6" t="n">
        <f aca="false">Q!L21</f>
        <v>110.814</v>
      </c>
      <c r="E15222" s="6" t="n">
        <f aca="false">Q!M21</f>
        <v>136.365</v>
      </c>
      <c r="F15222" s="6" t="n">
        <f aca="false">Q!$I$21+(Sens!F15221*(Sens!F15192-Sens!F15155)+Sens!F15155-(Sens!F15157+Sens!F15158+Sens!F15159)-Sens!F15173-Sens!F15256)*(Sens!F15192-Q!$I$5)/Sens!F15192</f>
        <v>149.14482335196</v>
      </c>
      <c r="G15222" s="6" t="n">
        <f aca="false">(Sens!G15221*(Sens!G15192-Sens!G15155)+Sens!G15155-(Sens!G15157+Sens!G15158+Sens!G15159)-Sens!G15173-Sens!G15256)</f>
        <v>160.846090862447</v>
      </c>
      <c r="H15222" s="6" t="n">
        <f aca="false">(Sens!H15221*(Sens!H15192-Sens!H15155)+Sens!H15155-(Sens!H15157+Sens!H15158+Sens!H15159)-Sens!H15173-Sens!H15256)</f>
        <v>178.350502011246</v>
      </c>
      <c r="I15222" s="6" t="n">
        <f aca="false">(Sens!I15221*(Sens!I15192-Sens!I15155)+Sens!I15155-(Sens!I15157+Sens!I15158+Sens!I15159)-Sens!I15173-Sens!I15256)</f>
        <v>200.202064724488</v>
      </c>
      <c r="J15222" s="6" t="n">
        <f aca="false">(Sens!J15221*(Sens!J15192-Sens!J15155)+Sens!J15155-(Sens!J15157+Sens!J15158+Sens!J15159)-Sens!J15173-Sens!J15256)</f>
        <v>219.755866274377</v>
      </c>
      <c r="K15222" s="6" t="n">
        <f aca="false">(Sens!K15221*(Sens!K15192-Sens!K15155)+Sens!K15155-(Sens!K15157+Sens!K15158+Sens!K15159)-Sens!K15173-Sens!K15256)</f>
        <v>237.069360089824</v>
      </c>
      <c r="L15222" s="1" t="s">
        <v>1060</v>
      </c>
    </row>
    <row r="15223" customFormat="false" ht="17.15" hidden="false" customHeight="false" outlineLevel="0" collapsed="false">
      <c r="A15223" s="0" t="s">
        <v>1061</v>
      </c>
      <c r="B15223" s="0" t="s">
        <v>168</v>
      </c>
      <c r="E15223" s="7" t="n">
        <f aca="false">Q!M22/Q!M12</f>
        <v>0.296207935710698</v>
      </c>
      <c r="F15223" s="7" t="n">
        <f aca="false">Sens!$E$15223+dm_seg</f>
        <v>0.296207935710698</v>
      </c>
      <c r="G15223" s="7" t="n">
        <f aca="false">Sens!$E$15223+dm_seg</f>
        <v>0.296207935710698</v>
      </c>
      <c r="H15223" s="7" t="n">
        <f aca="false">Sens!$E$15223+dm_seg</f>
        <v>0.296207935710698</v>
      </c>
      <c r="I15223" s="7" t="n">
        <f aca="false">Sens!$E$15223+dm_seg</f>
        <v>0.296207935710698</v>
      </c>
      <c r="J15223" s="7" t="n">
        <f aca="false">Sens!$E$15223+dm_seg</f>
        <v>0.296207935710698</v>
      </c>
      <c r="K15223" s="7" t="n">
        <f aca="false">Sens!$E$15223+dm_seg</f>
        <v>0.296207935710698</v>
      </c>
      <c r="L15223" s="12" t="s">
        <v>1062</v>
      </c>
    </row>
    <row r="15224" customFormat="false" ht="17.15" hidden="false" customHeight="false" outlineLevel="0" collapsed="false">
      <c r="A15224" s="0" t="s">
        <v>882</v>
      </c>
      <c r="B15224" s="0" t="s">
        <v>98</v>
      </c>
      <c r="D15224" s="6" t="n">
        <f aca="false">Q!L22</f>
        <v>17.714</v>
      </c>
      <c r="E15224" s="6" t="n">
        <f aca="false">Q!M22</f>
        <v>18.872</v>
      </c>
      <c r="F15224" s="6" t="n">
        <f aca="false">Q!$I$22+(Sens!F15199-Q!$I$12)*Sens!F15223</f>
        <v>19.8174315512051</v>
      </c>
      <c r="G15224" s="6" t="n">
        <f aca="false">Sens!G15199*Sens!G15223</f>
        <v>19.6313799703815</v>
      </c>
      <c r="H15224" s="6" t="n">
        <f aca="false">Sens!H15199*Sens!H15223</f>
        <v>20.3536242825865</v>
      </c>
      <c r="I15224" s="6" t="n">
        <f aca="false">Sens!I15199*Sens!I15223</f>
        <v>21.1920899239745</v>
      </c>
      <c r="J15224" s="6" t="n">
        <f aca="false">Sens!J15199*Sens!J15223</f>
        <v>22.1288166207045</v>
      </c>
      <c r="K15224" s="6" t="n">
        <f aca="false">Sens!K15199*Sens!K15223</f>
        <v>23.1493653905379</v>
      </c>
      <c r="L15224" s="12" t="s">
        <v>1063</v>
      </c>
    </row>
    <row r="15225" customFormat="false" ht="15" hidden="false" customHeight="false" outlineLevel="0" collapsed="false">
      <c r="A15225" s="1" t="s">
        <v>1064</v>
      </c>
      <c r="B15225" s="0" t="s">
        <v>98</v>
      </c>
      <c r="D15225" s="6" t="n">
        <f aca="false">Sens!D15222+Sens!D15224</f>
        <v>128.528</v>
      </c>
      <c r="E15225" s="6" t="n">
        <f aca="false">Sens!E15222+Sens!E15224</f>
        <v>155.237</v>
      </c>
      <c r="F15225" s="6" t="n">
        <f aca="false">Sens!F15222+Sens!F15224</f>
        <v>168.962254903165</v>
      </c>
      <c r="G15225" s="6" t="n">
        <f aca="false">Sens!G15222+Sens!G15224</f>
        <v>180.477470832828</v>
      </c>
      <c r="H15225" s="6" t="n">
        <f aca="false">Sens!H15222+Sens!H15224</f>
        <v>198.704126293833</v>
      </c>
      <c r="I15225" s="6" t="n">
        <f aca="false">Sens!I15222+Sens!I15224</f>
        <v>221.394154648462</v>
      </c>
      <c r="J15225" s="6" t="n">
        <f aca="false">Sens!J15222+Sens!J15224</f>
        <v>241.884682895082</v>
      </c>
      <c r="K15225" s="6" t="n">
        <f aca="false">Sens!K15222+Sens!K15224</f>
        <v>260.218725480362</v>
      </c>
    </row>
    <row r="15226" customFormat="false" ht="15" hidden="false" customHeight="false" outlineLevel="0" collapsed="false">
      <c r="A15226" s="26" t="s">
        <v>1065</v>
      </c>
      <c r="B15226" s="31" t="s">
        <v>98</v>
      </c>
      <c r="C15226" s="31"/>
      <c r="D15226" s="27" t="n">
        <f aca="false">Sens!D15225-Q!L23</f>
        <v>0</v>
      </c>
      <c r="E15226" s="27" t="n">
        <f aca="false">Sens!E15225-Q!M23</f>
        <v>0</v>
      </c>
      <c r="F15226" s="31"/>
      <c r="G15226" s="31"/>
      <c r="H15226" s="31"/>
      <c r="I15226" s="31"/>
      <c r="J15226" s="31"/>
      <c r="K15226" s="31"/>
    </row>
    <row r="15227" customFormat="false" ht="15" hidden="false" customHeight="false" outlineLevel="0" collapsed="false">
      <c r="A15227" s="1" t="s">
        <v>1066</v>
      </c>
      <c r="B15227" s="0" t="s">
        <v>168</v>
      </c>
      <c r="D15227" s="7" t="n">
        <f aca="false">Sens!D15225/Sens!D15218</f>
        <v>0.456219562408598</v>
      </c>
      <c r="E15227" s="7" t="n">
        <f aca="false">Sens!E15225/Sens!E15218</f>
        <v>0.467808184089272</v>
      </c>
      <c r="F15227" s="7" t="n">
        <f aca="false">Sens!F15225/Sens!F15218</f>
        <v>0.439441859357984</v>
      </c>
      <c r="G15227" s="7" t="n">
        <f aca="false">Sens!G15225/Sens!G15218</f>
        <v>0.422967703047917</v>
      </c>
      <c r="H15227" s="7" t="n">
        <f aca="false">Sens!H15225/Sens!H15218</f>
        <v>0.42725924516243</v>
      </c>
      <c r="I15227" s="7" t="n">
        <f aca="false">Sens!I15225/Sens!I15218</f>
        <v>0.438593820843803</v>
      </c>
      <c r="J15227" s="7" t="n">
        <f aca="false">Sens!J15225/Sens!J15218</f>
        <v>0.446068451612662</v>
      </c>
      <c r="K15227" s="7" t="n">
        <f aca="false">Sens!K15225/Sens!K15218</f>
        <v>0.450503167758856</v>
      </c>
    </row>
    <row r="15228" customFormat="false" ht="17.15" hidden="false" customHeight="false" outlineLevel="0" collapsed="false">
      <c r="A15228" s="1" t="s">
        <v>1067</v>
      </c>
      <c r="B15228" s="0" t="s">
        <v>98</v>
      </c>
      <c r="F15228" s="6" t="n">
        <f aca="false">Sens!F15243</f>
        <v>3.32169808276811</v>
      </c>
      <c r="G15228" s="6" t="n">
        <f aca="false">Sens!G15243</f>
        <v>4.83073330153996</v>
      </c>
      <c r="H15228" s="6" t="n">
        <f aca="false">Sens!H15243</f>
        <v>4.74830776187797</v>
      </c>
      <c r="I15228" s="6" t="n">
        <f aca="false">Sens!I15243</f>
        <v>3.69811128440021</v>
      </c>
      <c r="J15228" s="6" t="n">
        <f aca="false">Sens!J15243</f>
        <v>3.19575402518239</v>
      </c>
      <c r="K15228" s="6" t="n">
        <f aca="false">Sens!K15243</f>
        <v>3.04269068486014</v>
      </c>
      <c r="L15228" s="1" t="s">
        <v>1068</v>
      </c>
    </row>
    <row r="15229" customFormat="false" ht="17.15" hidden="false" customHeight="false" outlineLevel="0" collapsed="false">
      <c r="A15229" s="1" t="s">
        <v>1069</v>
      </c>
      <c r="B15229" s="0" t="s">
        <v>98</v>
      </c>
      <c r="D15229" s="6" t="n">
        <f aca="false">Sens!D15225</f>
        <v>128.528</v>
      </c>
      <c r="E15229" s="6" t="n">
        <f aca="false">Sens!E15225</f>
        <v>155.237</v>
      </c>
      <c r="F15229" s="6" t="n">
        <f aca="false">Sens!F15225+Sens!F15228</f>
        <v>172.283952985933</v>
      </c>
      <c r="G15229" s="6" t="n">
        <f aca="false">Sens!G15225+Sens!G15228</f>
        <v>185.308204134368</v>
      </c>
      <c r="H15229" s="6" t="n">
        <f aca="false">Sens!H15225+Sens!H15228</f>
        <v>203.452434055711</v>
      </c>
      <c r="I15229" s="6" t="n">
        <f aca="false">Sens!I15225+Sens!I15228</f>
        <v>225.092265932863</v>
      </c>
      <c r="J15229" s="6" t="n">
        <f aca="false">Sens!J15225+Sens!J15228</f>
        <v>245.080436920264</v>
      </c>
      <c r="K15229" s="6" t="n">
        <f aca="false">Sens!K15225+Sens!K15228</f>
        <v>263.261416165222</v>
      </c>
    </row>
    <row r="15230" customFormat="false" ht="17.15" hidden="false" customHeight="false" outlineLevel="0" collapsed="false">
      <c r="A15230" s="1" t="s">
        <v>1070</v>
      </c>
      <c r="B15230" s="0" t="s">
        <v>98</v>
      </c>
      <c r="E15230" s="6" t="n">
        <f aca="false">Sens!E15173</f>
        <v>16.3054059770833</v>
      </c>
      <c r="F15230" s="6" t="n">
        <f aca="false">Sens!F15173</f>
        <v>24.549027677</v>
      </c>
      <c r="G15230" s="6" t="n">
        <f aca="false">Sens!G15173</f>
        <v>29.185632823</v>
      </c>
      <c r="H15230" s="6" t="n">
        <f aca="false">Sens!H15173</f>
        <v>31.677584917</v>
      </c>
      <c r="I15230" s="6" t="n">
        <f aca="false">Sens!I15173</f>
        <v>32.2298649310278</v>
      </c>
      <c r="J15230" s="6" t="n">
        <f aca="false">Sens!J15173</f>
        <v>33.6162004764444</v>
      </c>
      <c r="K15230" s="6" t="n">
        <f aca="false">Sens!K15173</f>
        <v>36.1070960499167</v>
      </c>
    </row>
    <row r="15231" customFormat="false" ht="17.15" hidden="false" customHeight="false" outlineLevel="0" collapsed="false">
      <c r="A15231" s="1" t="s">
        <v>1071</v>
      </c>
      <c r="B15231" s="0" t="s">
        <v>98</v>
      </c>
      <c r="E15231" s="6" t="n">
        <f aca="false">Sens!E15255</f>
        <v>22.2285940229167</v>
      </c>
      <c r="F15231" s="6" t="n">
        <f aca="false">Sens!F15255</f>
        <v>37.458367358225</v>
      </c>
      <c r="G15231" s="6" t="n">
        <f aca="false">Sens!G15255</f>
        <v>37.8971931807589</v>
      </c>
      <c r="H15231" s="6" t="n">
        <f aca="false">Sens!H15255</f>
        <v>38.8470034950136</v>
      </c>
      <c r="I15231" s="6" t="n">
        <f aca="false">Sens!I15255</f>
        <v>40.2363776179593</v>
      </c>
      <c r="J15231" s="6" t="n">
        <f aca="false">Sens!J15255</f>
        <v>41.976670284337</v>
      </c>
      <c r="K15231" s="6" t="n">
        <f aca="false">Sens!K15255</f>
        <v>43.9704272663843</v>
      </c>
    </row>
    <row r="15232" customFormat="false" ht="17.15" hidden="false" customHeight="false" outlineLevel="0" collapsed="false">
      <c r="A15232" s="1" t="s">
        <v>1072</v>
      </c>
      <c r="B15232" s="0" t="s">
        <v>98</v>
      </c>
      <c r="D15232" s="6" t="n">
        <f aca="false">Q!L27</f>
        <v>-4.901</v>
      </c>
      <c r="E15232" s="6" t="n">
        <f aca="false">Q!M27</f>
        <v>10.697</v>
      </c>
      <c r="F15232" s="6" t="n">
        <f aca="false">Q!$I$27+oie_f*(q_per_yr-1)/q_per_yr</f>
        <v>-0.862</v>
      </c>
      <c r="G15232" s="6" t="n">
        <f aca="false">oie_f</f>
        <v>-1.2</v>
      </c>
      <c r="H15232" s="6" t="n">
        <f aca="false">oie_f</f>
        <v>-1.2</v>
      </c>
      <c r="I15232" s="6" t="n">
        <f aca="false">oie_f</f>
        <v>-1.2</v>
      </c>
      <c r="J15232" s="6" t="n">
        <f aca="false">oie_f</f>
        <v>-1.2</v>
      </c>
      <c r="K15232" s="6" t="n">
        <f aca="false">oie_f</f>
        <v>-1.2</v>
      </c>
      <c r="L15232" s="12" t="s">
        <v>1073</v>
      </c>
    </row>
    <row r="15233" customFormat="false" ht="15" hidden="false" customHeight="false" outlineLevel="0" collapsed="false">
      <c r="A15233" s="1" t="s">
        <v>1074</v>
      </c>
      <c r="B15233" s="0" t="s">
        <v>98</v>
      </c>
      <c r="D15233" s="6" t="n">
        <f aca="false">Sens!D15225+Sens!D15232</f>
        <v>123.627</v>
      </c>
      <c r="E15233" s="6" t="n">
        <f aca="false">Sens!E15225+Sens!E15232</f>
        <v>165.934</v>
      </c>
      <c r="F15233" s="6" t="n">
        <f aca="false">Sens!F15225+Sens!F15232</f>
        <v>168.100254903165</v>
      </c>
      <c r="G15233" s="6" t="n">
        <f aca="false">Sens!G15225+Sens!G15232</f>
        <v>179.277470832828</v>
      </c>
      <c r="H15233" s="6" t="n">
        <f aca="false">Sens!H15225+Sens!H15232</f>
        <v>197.504126293833</v>
      </c>
      <c r="I15233" s="6" t="n">
        <f aca="false">Sens!I15225+Sens!I15232</f>
        <v>220.194154648462</v>
      </c>
      <c r="J15233" s="6" t="n">
        <f aca="false">Sens!J15225+Sens!J15232</f>
        <v>240.684682895082</v>
      </c>
      <c r="K15233" s="6" t="n">
        <f aca="false">Sens!K15225+Sens!K15232</f>
        <v>259.018725480362</v>
      </c>
    </row>
    <row r="15234" customFormat="false" ht="15" hidden="false" customHeight="false" outlineLevel="0" collapsed="false">
      <c r="A15234" s="1" t="s">
        <v>1075</v>
      </c>
      <c r="B15234" s="0" t="s">
        <v>98</v>
      </c>
      <c r="D15234" s="6" t="n">
        <f aca="false">Q!L29</f>
        <v>21.795</v>
      </c>
      <c r="E15234" s="6" t="n">
        <f aca="false">Q!M29</f>
        <v>32.185</v>
      </c>
      <c r="F15234" s="6" t="n">
        <f aca="false">Q!$I$29+(Sens!F15233-Q!$I$28)*tax_f</f>
        <v>33.7534509806329</v>
      </c>
      <c r="G15234" s="6" t="n">
        <f aca="false">Sens!G15233*tax_f</f>
        <v>35.8554941665657</v>
      </c>
      <c r="H15234" s="6" t="n">
        <f aca="false">Sens!H15233*tax_f</f>
        <v>39.5008252587666</v>
      </c>
      <c r="I15234" s="6" t="n">
        <f aca="false">Sens!I15233*tax_f</f>
        <v>44.0388309296925</v>
      </c>
      <c r="J15234" s="6" t="n">
        <f aca="false">Sens!J15233*tax_f</f>
        <v>48.1369365790164</v>
      </c>
      <c r="K15234" s="6" t="n">
        <f aca="false">Sens!K15233*tax_f</f>
        <v>51.8037450960724</v>
      </c>
    </row>
    <row r="15235" customFormat="false" ht="15" hidden="false" customHeight="false" outlineLevel="0" collapsed="false">
      <c r="A15235" s="1" t="s">
        <v>1076</v>
      </c>
      <c r="B15235" s="0" t="s">
        <v>98</v>
      </c>
      <c r="D15235" s="6" t="n">
        <f aca="false">Sens!D15233-Sens!D15234</f>
        <v>101.832</v>
      </c>
      <c r="E15235" s="6" t="n">
        <f aca="false">Sens!E15233-Sens!E15234</f>
        <v>133.749</v>
      </c>
      <c r="F15235" s="6" t="n">
        <f aca="false">Sens!F15233-Sens!F15234</f>
        <v>134.346803922532</v>
      </c>
      <c r="G15235" s="6" t="n">
        <f aca="false">Sens!G15233-Sens!G15234</f>
        <v>143.421976666263</v>
      </c>
      <c r="H15235" s="6" t="n">
        <f aca="false">Sens!H15233-Sens!H15234</f>
        <v>158.003301035066</v>
      </c>
      <c r="I15235" s="6" t="n">
        <f aca="false">Sens!I15233-Sens!I15234</f>
        <v>176.15532371877</v>
      </c>
      <c r="J15235" s="6" t="n">
        <f aca="false">Sens!J15233-Sens!J15234</f>
        <v>192.547746316066</v>
      </c>
      <c r="K15235" s="6" t="n">
        <f aca="false">Sens!K15233-Sens!K15234</f>
        <v>207.21498038429</v>
      </c>
    </row>
    <row r="15236" customFormat="false" ht="17.15" hidden="false" customHeight="false" outlineLevel="0" collapsed="false">
      <c r="A15236" s="1" t="s">
        <v>1077</v>
      </c>
      <c r="B15236" s="1" t="s">
        <v>81</v>
      </c>
      <c r="D15236" s="15" t="n">
        <f aca="false">Q!L31</f>
        <v>7.465</v>
      </c>
      <c r="E15236" s="15" t="n">
        <f aca="false">Q!M31</f>
        <v>7.453</v>
      </c>
      <c r="F15236" s="15" t="n">
        <f aca="false">Sens!F15280</f>
        <v>7.4735</v>
      </c>
      <c r="G15236" s="15" t="n">
        <f aca="false">Sens!G15280</f>
        <v>7.49981593415111</v>
      </c>
      <c r="H15236" s="15" t="n">
        <f aca="false">Sens!H15280</f>
        <v>7.50883180733101</v>
      </c>
      <c r="I15236" s="15" t="n">
        <f aca="false">Sens!I15280</f>
        <v>7.52051317138648</v>
      </c>
      <c r="J15236" s="15" t="n">
        <f aca="false">Sens!J15280</f>
        <v>7.53466258254895</v>
      </c>
      <c r="K15236" s="15" t="n">
        <f aca="false">Sens!K15280</f>
        <v>7.55109722251421</v>
      </c>
    </row>
    <row r="15237" customFormat="false" ht="17.15" hidden="false" customHeight="false" outlineLevel="0" collapsed="false">
      <c r="A15237" s="0" t="s">
        <v>1078</v>
      </c>
      <c r="B15237" s="0" t="s">
        <v>75</v>
      </c>
      <c r="D15237" s="8" t="n">
        <f aca="false">Sens!D15235/Sens!D15236</f>
        <v>13.641259209645</v>
      </c>
      <c r="E15237" s="8" t="n">
        <f aca="false">Sens!E15235/Sens!E15236</f>
        <v>17.9456594659869</v>
      </c>
      <c r="F15237" s="8" t="n">
        <f aca="false">Sens!F15235/Sens!F15236</f>
        <v>17.9764238874064</v>
      </c>
      <c r="G15237" s="8" t="n">
        <f aca="false">Sens!G15235/Sens!G15236</f>
        <v>19.1233995508046</v>
      </c>
      <c r="H15237" s="8" t="n">
        <f aca="false">Sens!H15235/Sens!H15236</f>
        <v>21.0423278999011</v>
      </c>
      <c r="I15237" s="8" t="n">
        <f aca="false">Sens!I15235/Sens!I15236</f>
        <v>23.4233116416833</v>
      </c>
      <c r="J15237" s="8" t="n">
        <f aca="false">Sens!J15235/Sens!J15236</f>
        <v>25.5549262102361</v>
      </c>
      <c r="K15237" s="8" t="n">
        <f aca="false">Sens!K15235/Sens!K15236</f>
        <v>27.4417047321893</v>
      </c>
      <c r="L15237" s="1" t="s">
        <v>1079</v>
      </c>
    </row>
    <row r="15238" customFormat="false" ht="17.15" hidden="false" customHeight="false" outlineLevel="0" collapsed="false">
      <c r="A15238" s="1" t="s">
        <v>1080</v>
      </c>
      <c r="B15238" s="0" t="s">
        <v>98</v>
      </c>
      <c r="D15238" s="6" t="n">
        <f aca="false">Sens!D15235</f>
        <v>101.832</v>
      </c>
      <c r="E15238" s="6" t="n">
        <f aca="false">Sens!E15235</f>
        <v>133.749</v>
      </c>
      <c r="F15238" s="6" t="n">
        <f aca="false">Sens!F15235+Sens!F15228*(1-tax_f)</f>
        <v>137.004162388746</v>
      </c>
      <c r="G15238" s="6" t="n">
        <f aca="false">Sens!G15235+Sens!G15228*(1-tax_f)</f>
        <v>147.286563307495</v>
      </c>
      <c r="H15238" s="6" t="n">
        <f aca="false">Sens!H15235+Sens!H15228*(1-tax_f)</f>
        <v>161.801947244569</v>
      </c>
      <c r="I15238" s="6" t="n">
        <f aca="false">Sens!I15235+Sens!I15228*(1-tax_f)</f>
        <v>179.11381274629</v>
      </c>
      <c r="J15238" s="6" t="n">
        <f aca="false">Sens!J15235+Sens!J15228*(1-tax_f)</f>
        <v>195.104349536211</v>
      </c>
      <c r="K15238" s="6" t="n">
        <f aca="false">Sens!K15235+Sens!K15228*(1-tax_f)</f>
        <v>209.649132932178</v>
      </c>
    </row>
    <row r="15239" customFormat="false" ht="17.15" hidden="false" customHeight="false" outlineLevel="0" collapsed="false">
      <c r="A15239" s="0" t="s">
        <v>1081</v>
      </c>
      <c r="B15239" s="0" t="s">
        <v>75</v>
      </c>
      <c r="D15239" s="8" t="n">
        <f aca="false">Sens!D15238/Sens!D15236</f>
        <v>13.641259209645</v>
      </c>
      <c r="E15239" s="8" t="n">
        <f aca="false">Sens!E15238/Sens!E15236</f>
        <v>17.9456594659869</v>
      </c>
      <c r="F15239" s="8" t="n">
        <f aca="false">Sens!F15238/Sens!F15236</f>
        <v>18.331994699772</v>
      </c>
      <c r="G15239" s="8" t="n">
        <f aca="false">Sens!G15238/Sens!G15236</f>
        <v>19.6386904159623</v>
      </c>
      <c r="H15239" s="8" t="n">
        <f aca="false">Sens!H15238/Sens!H15236</f>
        <v>21.5482183375846</v>
      </c>
      <c r="I15239" s="8" t="n">
        <f aca="false">Sens!I15238/Sens!I15236</f>
        <v>23.8167008905416</v>
      </c>
      <c r="J15239" s="8" t="n">
        <f aca="false">Sens!J15238/Sens!J15236</f>
        <v>25.8942384477963</v>
      </c>
      <c r="K15239" s="8" t="n">
        <f aca="false">Sens!K15238/Sens!K15236</f>
        <v>27.7640621957683</v>
      </c>
      <c r="L15239" s="1" t="s">
        <v>1082</v>
      </c>
    </row>
    <row r="15240" customFormat="false" ht="17.15" hidden="false" customHeight="false" outlineLevel="0" collapsed="false">
      <c r="A15240" s="0" t="s">
        <v>1083</v>
      </c>
      <c r="B15240" s="0" t="s">
        <v>168</v>
      </c>
      <c r="E15240" s="7" t="n">
        <f aca="false">Sens!E15239/Sens!D15239-1</f>
        <v>0.315542736208578</v>
      </c>
      <c r="F15240" s="7" t="n">
        <f aca="false">Sens!F15239/Sens!E15239-1</f>
        <v>0.021528060003446</v>
      </c>
      <c r="G15240" s="7" t="n">
        <f aca="false">Sens!G15239/Sens!F15239-1</f>
        <v>0.0712795163641702</v>
      </c>
      <c r="H15240" s="7" t="n">
        <f aca="false">Sens!H15239/Sens!G15239-1</f>
        <v>0.0972329560259386</v>
      </c>
      <c r="I15240" s="7" t="n">
        <f aca="false">Sens!I15239/Sens!H15239-1</f>
        <v>0.105274715404209</v>
      </c>
      <c r="J15240" s="7" t="n">
        <f aca="false">Sens!J15239/Sens!I15239-1</f>
        <v>0.0872302829347706</v>
      </c>
      <c r="K15240" s="7" t="n">
        <f aca="false">Sens!K15239/Sens!J15239-1</f>
        <v>0.0722100304954558</v>
      </c>
    </row>
    <row r="15241" customFormat="false" ht="17.15" hidden="false" customHeight="false" outlineLevel="0" collapsed="false">
      <c r="A15241" s="0" t="s">
        <v>1003</v>
      </c>
      <c r="B15241" s="0" t="s">
        <v>98</v>
      </c>
      <c r="E15241" s="6" t="n">
        <f aca="false">Sens!E15182</f>
        <v>5.25</v>
      </c>
      <c r="F15241" s="6" t="n">
        <f aca="false">Sens!F15182</f>
        <v>10.5</v>
      </c>
      <c r="G15241" s="6" t="n">
        <f aca="false">Sens!G15182</f>
        <v>13.5</v>
      </c>
      <c r="H15241" s="6" t="n">
        <f aca="false">Sens!H15182</f>
        <v>16.5</v>
      </c>
      <c r="I15241" s="6" t="n">
        <f aca="false">Sens!I15182</f>
        <v>18.75</v>
      </c>
      <c r="J15241" s="6" t="n">
        <f aca="false">Sens!J15182</f>
        <v>20.25</v>
      </c>
      <c r="K15241" s="6" t="n">
        <f aca="false">Sens!K15182</f>
        <v>21.75</v>
      </c>
    </row>
    <row r="15242" customFormat="false" ht="17.15" hidden="false" customHeight="false" outlineLevel="0" collapsed="false">
      <c r="A15242" s="1" t="s">
        <v>1004</v>
      </c>
      <c r="B15242" s="0" t="s">
        <v>98</v>
      </c>
      <c r="F15242" s="6" t="n">
        <f aca="false">MAX(0,((Sens!E15142+Sens!F15142)/2-(shadow_base*(Sens!$D$15142+Sens!$E$15142)/2+(1-shadow_base)*Sens!$E$15142))*Sens!F15151/1000-(Sens!F15241-Sens!$E$15241)*Sens!F15221)</f>
        <v>3.32169808276811</v>
      </c>
      <c r="G15242" s="6" t="n">
        <f aca="false">MAX(0,((Sens!F15142+Sens!G15142)/2-(shadow_base*(Sens!$D$15142+Sens!$E$15142)/2+(1-shadow_base)*Sens!$E$15142))*Sens!G15151/1000-(Sens!G15241-Sens!$E$15241)*Sens!G15221)</f>
        <v>4.83073330153996</v>
      </c>
      <c r="H15242" s="6" t="n">
        <f aca="false">MAX(0,((Sens!G15142+Sens!H15142)/2-(shadow_base*(Sens!$D$15142+Sens!$E$15142)/2+(1-shadow_base)*Sens!$E$15142))*Sens!H15151/1000-(Sens!H15241-Sens!$E$15241)*Sens!H15221)</f>
        <v>4.74830776187797</v>
      </c>
      <c r="I15242" s="6" t="n">
        <f aca="false">MAX(0,((Sens!H15142+Sens!I15142)/2-(shadow_base*(Sens!$D$15142+Sens!$E$15142)/2+(1-shadow_base)*Sens!$E$15142))*Sens!I15151/1000-(Sens!I15241-Sens!$E$15241)*Sens!I15221)</f>
        <v>3.69811128440021</v>
      </c>
      <c r="J15242" s="6" t="n">
        <f aca="false">MAX(0,((Sens!I15142+Sens!J15142)/2-(shadow_base*(Sens!$D$15142+Sens!$E$15142)/2+(1-shadow_base)*Sens!$E$15142))*Sens!J15151/1000-(Sens!J15241-Sens!$E$15241)*Sens!J15221)</f>
        <v>3.19575402518239</v>
      </c>
      <c r="K15242" s="6" t="n">
        <f aca="false">MAX(0,((Sens!J15142+Sens!K15142)/2-(shadow_base*(Sens!$D$15142+Sens!$E$15142)/2+(1-shadow_base)*Sens!$E$15142))*Sens!K15151/1000-(Sens!K15241-Sens!$E$15241)*Sens!K15221)</f>
        <v>3.04269068486014</v>
      </c>
      <c r="L15242" s="1" t="s">
        <v>1005</v>
      </c>
    </row>
    <row r="15243" customFormat="false" ht="17.15" hidden="false" customHeight="false" outlineLevel="0" collapsed="false">
      <c r="A15243" s="1" t="s">
        <v>1006</v>
      </c>
      <c r="B15243" s="0" t="s">
        <v>98</v>
      </c>
      <c r="F15243" s="6" t="n">
        <f aca="false">IF(internal_ai_reading=2,1,0)*Sens!F15242</f>
        <v>3.32169808276811</v>
      </c>
      <c r="G15243" s="6" t="n">
        <f aca="false">IF(internal_ai_reading=2,1,0)*Sens!G15242</f>
        <v>4.83073330153996</v>
      </c>
      <c r="H15243" s="6" t="n">
        <f aca="false">IF(internal_ai_reading=2,1,0)*Sens!H15242</f>
        <v>4.74830776187797</v>
      </c>
      <c r="I15243" s="6" t="n">
        <f aca="false">IF(internal_ai_reading=2,1,0)*Sens!I15242</f>
        <v>3.69811128440021</v>
      </c>
      <c r="J15243" s="6" t="n">
        <f aca="false">IF(internal_ai_reading=2,1,0)*Sens!J15242</f>
        <v>3.19575402518239</v>
      </c>
      <c r="K15243" s="6" t="n">
        <f aca="false">IF(internal_ai_reading=2,1,0)*Sens!K15242</f>
        <v>3.04269068486014</v>
      </c>
    </row>
    <row r="15244" customFormat="false" ht="17.15" hidden="false" customHeight="false" outlineLevel="0" collapsed="false">
      <c r="A15244" s="0" t="s">
        <v>1007</v>
      </c>
      <c r="B15244" s="0" t="s">
        <v>98</v>
      </c>
      <c r="F15244" s="6" t="n">
        <f aca="false">Sens!F15161+Sens!F15241*Sens!F15221+Sens!F15243-Sens!F15162-Sens!F15173</f>
        <v>4.98878044407102</v>
      </c>
      <c r="G15244" s="6" t="n">
        <f aca="false">Sens!G15161+Sens!G15241*Sens!G15221+Sens!G15243-Sens!G15162-Sens!G15173</f>
        <v>3.51482170410556</v>
      </c>
      <c r="H15244" s="6" t="n">
        <f aca="false">Sens!H15161+Sens!H15241*Sens!H15221+Sens!H15243-Sens!H15162-Sens!H15173</f>
        <v>-0.0993762851216644</v>
      </c>
      <c r="I15244" s="6" t="n">
        <f aca="false">Sens!I15161+Sens!I15241*Sens!I15221+Sens!I15243-Sens!I15162-Sens!I15173</f>
        <v>0.29494831530549</v>
      </c>
      <c r="J15244" s="6" t="n">
        <f aca="false">Sens!J15161+Sens!J15241*Sens!J15221+Sens!J15243-Sens!J15162-Sens!J15173</f>
        <v>0.338178922330961</v>
      </c>
      <c r="K15244" s="6" t="n">
        <f aca="false">Sens!K15161+Sens!K15241*Sens!K15221+Sens!K15243-Sens!K15162-Sens!K15173</f>
        <v>0.687097192223561</v>
      </c>
    </row>
    <row r="15245" customFormat="false" ht="17.15" hidden="false" customHeight="false" outlineLevel="0" collapsed="false">
      <c r="A15245" s="0" t="s">
        <v>1008</v>
      </c>
      <c r="B15245" s="0" t="s">
        <v>98</v>
      </c>
      <c r="E15245" s="6" t="n">
        <f aca="false">Sens!E15141*(cxit_open+self_build*tk_cxfac)/1000*ai_net_open</f>
        <v>126.6980382</v>
      </c>
      <c r="F15245" s="6" t="n">
        <f aca="false">Sens!E15245+Sens!F15170-Sens!F15173</f>
        <v>131.822683147</v>
      </c>
      <c r="G15245" s="6" t="n">
        <f aca="false">Sens!F15245+Sens!G15170-Sens!G15173</f>
        <v>136.850809452</v>
      </c>
      <c r="H15245" s="6" t="n">
        <f aca="false">Sens!G15245+Sens!H15170-Sens!H15173</f>
        <v>105.173224535</v>
      </c>
      <c r="I15245" s="6" t="n">
        <f aca="false">Sens!H15245+Sens!I15170-Sens!I15173</f>
        <v>102.104104363972</v>
      </c>
      <c r="J15245" s="6" t="n">
        <f aca="false">Sens!I15245+Sens!J15170-Sens!J15173</f>
        <v>112.526579647528</v>
      </c>
      <c r="K15245" s="6" t="n">
        <f aca="false">Sens!J15245+Sens!K15170-Sens!K15173</f>
        <v>163.901717877611</v>
      </c>
      <c r="L15245" s="1" t="s">
        <v>1009</v>
      </c>
    </row>
    <row r="15246" customFormat="false" ht="17.15" hidden="false" customHeight="false" outlineLevel="0" collapsed="false">
      <c r="A15246" s="0" t="s">
        <v>1010</v>
      </c>
      <c r="B15246" s="0" t="s">
        <v>168</v>
      </c>
      <c r="F15246" s="7" t="n">
        <f aca="false">Sens!F15244*(1-tax_f)/((Sens!E15245+Sens!F15245)/2)</f>
        <v>0.0308758565616089</v>
      </c>
      <c r="G15246" s="7" t="n">
        <f aca="false">Sens!G15244*(1-tax_f)/((Sens!F15245+Sens!G15245)/2)</f>
        <v>0.0209314088716686</v>
      </c>
      <c r="H15246" s="7" t="n">
        <f aca="false">Sens!H15244*(1-tax_f)/((Sens!G15245+Sens!H15245)/2)</f>
        <v>-0.00065696804393899</v>
      </c>
      <c r="I15246" s="7" t="n">
        <f aca="false">Sens!I15244*(1-tax_f)/((Sens!H15245+Sens!I15245)/2)</f>
        <v>0.00227674346729351</v>
      </c>
      <c r="J15246" s="7" t="n">
        <f aca="false">Sens!J15244*(1-tax_f)/((Sens!I15245+Sens!J15245)/2)</f>
        <v>0.00252101081549247</v>
      </c>
      <c r="K15246" s="7" t="n">
        <f aca="false">Sens!K15244*(1-tax_f)/((Sens!J15245+Sens!K15245)/2)</f>
        <v>0.00397700060883861</v>
      </c>
    </row>
    <row r="15247" customFormat="false" ht="17.15" hidden="false" customHeight="false" outlineLevel="0" collapsed="false">
      <c r="A15247" s="1" t="s">
        <v>1011</v>
      </c>
      <c r="B15247" s="0" t="s">
        <v>168</v>
      </c>
      <c r="F15247" s="7" t="n">
        <f aca="false">(Sens!F15244-Sens!F15243)*(1-tax_f)/((Sens!E15245+Sens!F15245)/2)</f>
        <v>0.0103176711104114</v>
      </c>
      <c r="G15247" s="7" t="n">
        <f aca="false">(Sens!G15244-Sens!G15243)*(1-tax_f)/((Sens!F15245+Sens!G15245)/2)</f>
        <v>-0.00783649527732706</v>
      </c>
      <c r="H15247" s="7" t="n">
        <f aca="false">(Sens!H15244-Sens!H15243)*(1-tax_f)/((Sens!G15245+Sens!H15245)/2)</f>
        <v>-0.0320476208392429</v>
      </c>
      <c r="I15247" s="7" t="n">
        <f aca="false">(Sens!I15244-Sens!I15243)*(1-tax_f)/((Sens!H15245+Sens!I15245)/2)</f>
        <v>-0.0262694467333931</v>
      </c>
      <c r="J15247" s="7" t="n">
        <f aca="false">(Sens!J15244-Sens!J15243)*(1-tax_f)/((Sens!I15245+Sens!J15245)/2)</f>
        <v>-0.0213022671274593</v>
      </c>
      <c r="K15247" s="7" t="n">
        <f aca="false">(Sens!K15244-Sens!K15243)*(1-tax_f)/((Sens!J15245+Sens!K15245)/2)</f>
        <v>-0.0136344564647032</v>
      </c>
    </row>
    <row r="15248" customFormat="false" ht="17.15" hidden="false" customHeight="false" outlineLevel="0" collapsed="false">
      <c r="A15248" s="1" t="s">
        <v>1012</v>
      </c>
      <c r="B15248" s="0" t="s">
        <v>168</v>
      </c>
      <c r="F15248" s="7" t="n">
        <f aca="false">(Sens!F15244-Sens!F15243+Sens!F15242)*(1-tax_f)/((Sens!E15245+Sens!F15245)/2)</f>
        <v>0.0308758565616089</v>
      </c>
      <c r="G15248" s="7" t="n">
        <f aca="false">(Sens!G15244-Sens!G15243+Sens!G15242)*(1-tax_f)/((Sens!F15245+Sens!G15245)/2)</f>
        <v>0.0209314088716686</v>
      </c>
      <c r="H15248" s="7" t="n">
        <f aca="false">(Sens!H15244-Sens!H15243+Sens!H15242)*(1-tax_f)/((Sens!G15245+Sens!H15245)/2)</f>
        <v>-0.00065696804393899</v>
      </c>
      <c r="I15248" s="7" t="n">
        <f aca="false">(Sens!I15244-Sens!I15243+Sens!I15242)*(1-tax_f)/((Sens!H15245+Sens!I15245)/2)</f>
        <v>0.00227674346729351</v>
      </c>
      <c r="J15248" s="7" t="n">
        <f aca="false">(Sens!J15244-Sens!J15243+Sens!J15242)*(1-tax_f)/((Sens!I15245+Sens!J15245)/2)</f>
        <v>0.00252101081549247</v>
      </c>
      <c r="K15248" s="7" t="n">
        <f aca="false">(Sens!K15244-Sens!K15243+Sens!K15242)*(1-tax_f)/((Sens!J15245+Sens!K15245)/2)</f>
        <v>0.00397700060883861</v>
      </c>
    </row>
    <row r="15249" customFormat="false" ht="17.15" hidden="false" customHeight="false" outlineLevel="0" collapsed="false">
      <c r="A15249" s="1" t="s">
        <v>1013</v>
      </c>
      <c r="B15249" s="0" t="s">
        <v>168</v>
      </c>
      <c r="F15249" s="7" t="n">
        <f aca="false">Sens!F15174*(1-tax_f)/(Sens!F15160*(Sens!E15245+Sens!F15245)/2)</f>
        <v>0.106983470139441</v>
      </c>
      <c r="G15249" s="7" t="n">
        <f aca="false">Sens!G15174*(1-tax_f)/(Sens!G15160*(Sens!F15245+Sens!G15245)/2)</f>
        <v>0.0828495807398649</v>
      </c>
      <c r="H15249" s="7" t="n">
        <f aca="false">Sens!H15174*(1-tax_f)/(Sens!H15160*(Sens!G15245+Sens!H15245)/2)</f>
        <v>0.049671832874314</v>
      </c>
      <c r="I15249" s="7" t="n">
        <f aca="false">Sens!I15174*(1-tax_f)/(Sens!I15160*(Sens!H15245+Sens!I15245)/2)</f>
        <v>0.063617784443709</v>
      </c>
      <c r="J15249" s="7" t="n">
        <f aca="false">Sens!J15174*(1-tax_f)/(Sens!J15160*(Sens!I15245+Sens!J15245)/2)</f>
        <v>0.0655166442751414</v>
      </c>
      <c r="K15249" s="7" t="n">
        <f aca="false">Sens!K15174*(1-tax_f)/(Sens!K15160*(Sens!J15245+Sens!K15245)/2)</f>
        <v>0.0586829736915535</v>
      </c>
    </row>
    <row r="15250" customFormat="false" ht="17.15" hidden="false" customHeight="false" outlineLevel="0" collapsed="false">
      <c r="A15250" s="0" t="s">
        <v>1014</v>
      </c>
      <c r="B15250" s="0" t="s">
        <v>253</v>
      </c>
      <c r="F15250" s="7" t="n">
        <f aca="false">Sens!F15246-wacc</f>
        <v>-0.0720607343839884</v>
      </c>
      <c r="G15250" s="7" t="n">
        <f aca="false">Sens!G15246-wacc</f>
        <v>-0.0820051820739287</v>
      </c>
      <c r="H15250" s="7" t="n">
        <f aca="false">Sens!H15246-wacc</f>
        <v>-0.103593558989536</v>
      </c>
      <c r="I15250" s="7" t="n">
        <f aca="false">Sens!I15246-wacc</f>
        <v>-0.100659847478304</v>
      </c>
      <c r="J15250" s="7" t="n">
        <f aca="false">Sens!J15246-wacc</f>
        <v>-0.100415580130105</v>
      </c>
      <c r="K15250" s="7" t="n">
        <f aca="false">Sens!K15246-wacc</f>
        <v>-0.0989595903367587</v>
      </c>
    </row>
    <row r="15251" customFormat="false" ht="17.15" hidden="false" customHeight="false" outlineLevel="0" collapsed="false">
      <c r="A15251" s="0" t="s">
        <v>1015</v>
      </c>
      <c r="B15251" s="0" t="s">
        <v>98</v>
      </c>
      <c r="F15251" s="6" t="n">
        <f aca="false">Sens!F15244*(1-tax_f)-wacc*(Sens!E15245+Sens!F15245)/2</f>
        <v>-9.31459651687162</v>
      </c>
      <c r="G15251" s="6" t="n">
        <f aca="false">Sens!G15244*(1-tax_f)-wacc*(Sens!F15245+Sens!G15245)/2</f>
        <v>-11.0163093395097</v>
      </c>
      <c r="H15251" s="6" t="n">
        <f aca="false">Sens!H15244*(1-tax_f)-wacc*(Sens!G15245+Sens!H15245)/2</f>
        <v>-12.5360655208589</v>
      </c>
      <c r="I15251" s="6" t="n">
        <f aca="false">Sens!I15244*(1-tax_f)-wacc*(Sens!H15245+Sens!I15245)/2</f>
        <v>-10.4322521563404</v>
      </c>
      <c r="J15251" s="6" t="n">
        <f aca="false">Sens!J15244*(1-tax_f)-wacc*(Sens!I15245+Sens!J15245)/2</f>
        <v>-10.776132324368</v>
      </c>
      <c r="K15251" s="6" t="n">
        <f aca="false">Sens!K15244*(1-tax_f)-wacc*(Sens!J15245+Sens!K15245)/2</f>
        <v>-13.6776155402877</v>
      </c>
    </row>
    <row r="15252" customFormat="false" ht="17.15" hidden="false" customHeight="false" outlineLevel="0" collapsed="false">
      <c r="A15252" s="3" t="s">
        <v>1855</v>
      </c>
    </row>
    <row r="15253" customFormat="false" ht="15" hidden="false" customHeight="false" outlineLevel="0" collapsed="false">
      <c r="A15253" s="4" t="s">
        <v>43</v>
      </c>
      <c r="B15253" s="4" t="s">
        <v>65</v>
      </c>
      <c r="C15253" s="23" t="s">
        <v>938</v>
      </c>
      <c r="D15253" s="23" t="s">
        <v>939</v>
      </c>
      <c r="E15253" s="23" t="s">
        <v>940</v>
      </c>
      <c r="F15253" s="23" t="s">
        <v>941</v>
      </c>
      <c r="G15253" s="23" t="s">
        <v>942</v>
      </c>
      <c r="H15253" s="23" t="s">
        <v>943</v>
      </c>
      <c r="I15253" s="23" t="s">
        <v>944</v>
      </c>
      <c r="J15253" s="23" t="s">
        <v>945</v>
      </c>
      <c r="K15253" s="23" t="s">
        <v>946</v>
      </c>
      <c r="L15253" s="4" t="s">
        <v>47</v>
      </c>
    </row>
    <row r="15254" customFormat="false" ht="15" hidden="false" customHeight="false" outlineLevel="0" collapsed="false">
      <c r="A15254" s="1" t="s">
        <v>1076</v>
      </c>
      <c r="B15254" s="0" t="s">
        <v>98</v>
      </c>
      <c r="F15254" s="6" t="n">
        <f aca="false">Sens!F15235</f>
        <v>134.346803922532</v>
      </c>
      <c r="G15254" s="6" t="n">
        <f aca="false">Sens!G15235</f>
        <v>143.421976666263</v>
      </c>
      <c r="H15254" s="6" t="n">
        <f aca="false">Sens!H15235</f>
        <v>158.003301035066</v>
      </c>
      <c r="I15254" s="6" t="n">
        <f aca="false">Sens!I15235</f>
        <v>176.15532371877</v>
      </c>
      <c r="J15254" s="6" t="n">
        <f aca="false">Sens!J15235</f>
        <v>192.547746316066</v>
      </c>
      <c r="K15254" s="6" t="n">
        <f aca="false">Sens!K15235</f>
        <v>207.21498038429</v>
      </c>
    </row>
    <row r="15255" customFormat="false" ht="17.15" hidden="false" customHeight="false" outlineLevel="0" collapsed="false">
      <c r="A15255" s="1" t="s">
        <v>1098</v>
      </c>
      <c r="B15255" s="0" t="s">
        <v>98</v>
      </c>
      <c r="E15255" s="6" t="n">
        <f aca="false">Q!M38-Sens!E15173</f>
        <v>22.2285940229167</v>
      </c>
      <c r="F15255" s="6" t="n">
        <f aca="false">Sens!E15255*(1-1/life_nonai)+(Sens!F15263+Sens!F15264)/life_nonai</f>
        <v>37.458367358225</v>
      </c>
      <c r="G15255" s="6" t="n">
        <f aca="false">Sens!F15255*(1-1/life_nonai)+(Sens!G15263)/life_nonai</f>
        <v>37.8971931807589</v>
      </c>
      <c r="H15255" s="6" t="n">
        <f aca="false">Sens!G15255*(1-1/life_nonai)+(Sens!H15263)/life_nonai</f>
        <v>38.8470034950136</v>
      </c>
      <c r="I15255" s="6" t="n">
        <f aca="false">Sens!H15255*(1-1/life_nonai)+(Sens!I15263)/life_nonai</f>
        <v>40.2363776179593</v>
      </c>
      <c r="J15255" s="6" t="n">
        <f aca="false">Sens!I15255*(1-1/life_nonai)+(Sens!J15263)/life_nonai</f>
        <v>41.976670284337</v>
      </c>
      <c r="K15255" s="6" t="n">
        <f aca="false">Sens!J15255*(1-1/life_nonai)+(Sens!K15263)/life_nonai</f>
        <v>43.9704272663843</v>
      </c>
      <c r="L15255" s="12" t="s">
        <v>1099</v>
      </c>
    </row>
    <row r="15256" customFormat="false" ht="17.15" hidden="false" customHeight="false" outlineLevel="0" collapsed="false">
      <c r="A15256" s="1" t="s">
        <v>1100</v>
      </c>
      <c r="B15256" s="0" t="s">
        <v>98</v>
      </c>
      <c r="F15256" s="6" t="n">
        <f aca="false">Sens!$F$15264/life_nonai*(1-1/life_nonai)^(Sens!F15136-2027)</f>
        <v>13.8140066594294</v>
      </c>
      <c r="G15256" s="6" t="n">
        <f aca="false">Sens!$F$15264/life_nonai*(1-1/life_nonai)^(Sens!G15136-2027)</f>
        <v>12.4326059934865</v>
      </c>
      <c r="H15256" s="6" t="n">
        <f aca="false">Sens!$F$15264/life_nonai*(1-1/life_nonai)^(Sens!H15136-2027)</f>
        <v>11.1893453941378</v>
      </c>
      <c r="I15256" s="6" t="n">
        <f aca="false">Sens!$F$15264/life_nonai*(1-1/life_nonai)^(Sens!I15136-2027)</f>
        <v>10.0704108547241</v>
      </c>
      <c r="J15256" s="6" t="n">
        <f aca="false">Sens!$F$15264/life_nonai*(1-1/life_nonai)^(Sens!J15136-2027)</f>
        <v>9.06336976925165</v>
      </c>
      <c r="K15256" s="6" t="n">
        <f aca="false">Sens!$F$15264/life_nonai*(1-1/life_nonai)^(Sens!K15136-2027)</f>
        <v>8.15703279232649</v>
      </c>
      <c r="L15256" s="1" t="s">
        <v>1101</v>
      </c>
    </row>
    <row r="15257" customFormat="false" ht="17.15" hidden="false" customHeight="false" outlineLevel="0" collapsed="false">
      <c r="A15257" s="1" t="s">
        <v>1102</v>
      </c>
      <c r="B15257" s="0" t="s">
        <v>98</v>
      </c>
      <c r="E15257" s="6" t="n">
        <f aca="false">Sens!E15173+Sens!E15255</f>
        <v>38.534</v>
      </c>
      <c r="F15257" s="6" t="n">
        <f aca="false">Sens!F15173+Sens!F15255</f>
        <v>62.007395035225</v>
      </c>
      <c r="G15257" s="6" t="n">
        <f aca="false">Sens!G15173+Sens!G15255</f>
        <v>67.0828260037589</v>
      </c>
      <c r="H15257" s="6" t="n">
        <f aca="false">Sens!H15173+Sens!H15255</f>
        <v>70.5245884120136</v>
      </c>
      <c r="I15257" s="6" t="n">
        <f aca="false">Sens!I15173+Sens!I15255</f>
        <v>72.4662425489871</v>
      </c>
      <c r="J15257" s="6" t="n">
        <f aca="false">Sens!J15173+Sens!J15255</f>
        <v>75.5928707607814</v>
      </c>
      <c r="K15257" s="6" t="n">
        <f aca="false">Sens!K15173+Sens!K15255</f>
        <v>80.0775233163009</v>
      </c>
    </row>
    <row r="15258" customFormat="false" ht="17.15" hidden="false" customHeight="false" outlineLevel="0" collapsed="false">
      <c r="A15258" s="1" t="s">
        <v>1103</v>
      </c>
      <c r="B15258" s="0" t="s">
        <v>98</v>
      </c>
      <c r="F15258" s="6" t="n">
        <f aca="false">Sens!F15200*sbc_r</f>
        <v>14.3733372521203</v>
      </c>
      <c r="G15258" s="6" t="n">
        <f aca="false">Sens!G15200*sbc_r</f>
        <v>15.9508977871648</v>
      </c>
      <c r="H15258" s="6" t="n">
        <f aca="false">Sens!H15200*sbc_r</f>
        <v>17.3854028915498</v>
      </c>
      <c r="I15258" s="6" t="n">
        <f aca="false">Sens!I15200*sbc_r</f>
        <v>18.8700470966675</v>
      </c>
      <c r="J15258" s="6" t="n">
        <f aca="false">Sens!J15200*sbc_r</f>
        <v>20.2710479973254</v>
      </c>
      <c r="K15258" s="6" t="n">
        <f aca="false">Sens!K15200*sbc_r</f>
        <v>21.5928535358532</v>
      </c>
    </row>
    <row r="15259" customFormat="false" ht="17.15" hidden="false" customHeight="false" outlineLevel="0" collapsed="false">
      <c r="A15259" s="1" t="s">
        <v>1104</v>
      </c>
      <c r="B15259" s="0" t="s">
        <v>98</v>
      </c>
      <c r="F15259" s="6" t="n">
        <f aca="false">wc27-wc26q1</f>
        <v>-4.677</v>
      </c>
      <c r="G15259" s="6" t="n">
        <f aca="false">wc_f</f>
        <v>0</v>
      </c>
      <c r="H15259" s="6" t="n">
        <f aca="false">wc_f</f>
        <v>0</v>
      </c>
      <c r="I15259" s="6" t="n">
        <f aca="false">wc_f</f>
        <v>0</v>
      </c>
      <c r="J15259" s="6" t="n">
        <f aca="false">wc_f</f>
        <v>0</v>
      </c>
      <c r="K15259" s="6" t="n">
        <f aca="false">wc_f</f>
        <v>0</v>
      </c>
      <c r="L15259" s="12" t="s">
        <v>1105</v>
      </c>
    </row>
    <row r="15260" customFormat="false" ht="17.15" hidden="false" customHeight="false" outlineLevel="0" collapsed="false">
      <c r="A15260" s="0" t="s">
        <v>1106</v>
      </c>
      <c r="B15260" s="0" t="s">
        <v>98</v>
      </c>
      <c r="F15260" s="6" t="n">
        <f aca="false">Q!$I$35-Q!$I$26-Q!$I$38-Q!$I$39</f>
        <v>6.493</v>
      </c>
      <c r="L15260" s="1" t="s">
        <v>1107</v>
      </c>
    </row>
    <row r="15261" customFormat="false" ht="15" hidden="false" customHeight="false" outlineLevel="0" collapsed="false">
      <c r="A15261" s="1" t="s">
        <v>904</v>
      </c>
      <c r="B15261" s="0" t="s">
        <v>98</v>
      </c>
      <c r="E15261" s="6" t="n">
        <f aca="false">Q!M35</f>
        <v>182.935</v>
      </c>
      <c r="F15261" s="6" t="n">
        <f aca="false">Sens!F15254+Sens!F15257+Sens!F15258+Sens!F15259+Sens!F15260</f>
        <v>212.543536209877</v>
      </c>
      <c r="G15261" s="6" t="n">
        <f aca="false">Sens!G15254+Sens!G15257+Sens!G15258+Sens!G15259</f>
        <v>226.455700457186</v>
      </c>
      <c r="H15261" s="6" t="n">
        <f aca="false">Sens!H15254+Sens!H15257+Sens!H15258+Sens!H15259</f>
        <v>245.91329233863</v>
      </c>
      <c r="I15261" s="6" t="n">
        <f aca="false">Sens!I15254+Sens!I15257+Sens!I15258+Sens!I15259</f>
        <v>267.491613364424</v>
      </c>
      <c r="J15261" s="6" t="n">
        <f aca="false">Sens!J15254+Sens!J15257+Sens!J15258+Sens!J15259</f>
        <v>288.411665074172</v>
      </c>
      <c r="K15261" s="6" t="n">
        <f aca="false">Sens!K15254+Sens!K15257+Sens!K15258+Sens!K15259</f>
        <v>308.885357236444</v>
      </c>
    </row>
    <row r="15262" customFormat="false" ht="17.15" hidden="false" customHeight="false" outlineLevel="0" collapsed="false">
      <c r="A15262" s="0" t="s">
        <v>1108</v>
      </c>
      <c r="B15262" s="0" t="s">
        <v>98</v>
      </c>
      <c r="F15262" s="6" t="n">
        <f aca="false">Sens!F15170</f>
        <v>29.673672624</v>
      </c>
      <c r="G15262" s="6" t="n">
        <f aca="false">Sens!G15170</f>
        <v>34.213759128</v>
      </c>
      <c r="H15262" s="6" t="n">
        <f aca="false">Sens!H15170</f>
        <v>0</v>
      </c>
      <c r="I15262" s="6" t="n">
        <f aca="false">Sens!I15170</f>
        <v>29.16074476</v>
      </c>
      <c r="J15262" s="6" t="n">
        <f aca="false">Sens!J15170</f>
        <v>44.03867576</v>
      </c>
      <c r="K15262" s="6" t="n">
        <f aca="false">Sens!K15170</f>
        <v>87.48223428</v>
      </c>
    </row>
    <row r="15263" customFormat="false" ht="17.15" hidden="false" customHeight="false" outlineLevel="0" collapsed="false">
      <c r="A15263" s="1" t="s">
        <v>1109</v>
      </c>
      <c r="B15263" s="0" t="s">
        <v>98</v>
      </c>
      <c r="E15263" s="6" t="n">
        <f aca="false">Sens!E15178*cx_azo+Sens!E15185*cx_m365+Sens!E15186*cx_lic+(Sens!E15188+Sens!E15190)*cx_ind+Sens!E15193*cx_srch+(Sens!E15195+Sens!E15197)*cx_dev</f>
        <v>30.1846587067718</v>
      </c>
      <c r="F15263" s="6" t="n">
        <f aca="false">Sens!F15178*cx_azo+Sens!F15185*cx_m365+Sens!F15186*cx_lic+(Sens!F15188+Sens!F15190)*cx_ind+Sens!F15193*cx_srch+(Sens!F15195+Sens!F15197)*cx_dev</f>
        <v>36.3862607817056</v>
      </c>
      <c r="G15263" s="6" t="n">
        <f aca="false">Sens!G15178*cx_azo+Sens!G15185*cx_m365+Sens!G15186*cx_lic+(Sens!G15188+Sens!G15190)*cx_ind+Sens!G15193*cx_srch+(Sens!G15195+Sens!G15197)*cx_dev</f>
        <v>41.8466255835643</v>
      </c>
      <c r="H15263" s="6" t="n">
        <f aca="false">Sens!H15178*cx_azo+Sens!H15185*cx_m365+Sens!H15186*cx_lic+(Sens!H15188+Sens!H15190)*cx_ind+Sens!H15193*cx_srch+(Sens!H15195+Sens!H15197)*cx_dev</f>
        <v>47.3952963233052</v>
      </c>
      <c r="I15263" s="6" t="n">
        <f aca="false">Sens!I15178*cx_azo+Sens!I15185*cx_m365+Sens!I15186*cx_lic+(Sens!I15188+Sens!I15190)*cx_ind+Sens!I15193*cx_srch+(Sens!I15195+Sens!I15197)*cx_dev</f>
        <v>52.7407447244711</v>
      </c>
      <c r="J15263" s="6" t="n">
        <f aca="false">Sens!J15178*cx_azo+Sens!J15185*cx_m365+Sens!J15186*cx_lic+(Sens!J15188+Sens!J15190)*cx_ind+Sens!J15193*cx_srch+(Sens!J15195+Sens!J15197)*cx_dev</f>
        <v>57.6393042817356</v>
      </c>
      <c r="K15263" s="6" t="n">
        <f aca="false">Sens!K15178*cx_azo+Sens!K15185*cx_m365+Sens!K15186*cx_lic+(Sens!K15188+Sens!K15190)*cx_ind+Sens!K15193*cx_srch+(Sens!K15195+Sens!K15197)*cx_dev</f>
        <v>61.9142401048102</v>
      </c>
    </row>
    <row r="15264" customFormat="false" ht="17.15" hidden="false" customHeight="false" outlineLevel="0" collapsed="false">
      <c r="A15264" s="0" t="s">
        <v>1110</v>
      </c>
      <c r="B15264" s="0" t="s">
        <v>98</v>
      </c>
      <c r="F15264" s="6" t="n">
        <f aca="false">Sens!F15168</f>
        <v>138.140066594294</v>
      </c>
      <c r="L15264" s="1" t="s">
        <v>1111</v>
      </c>
    </row>
    <row r="15265" customFormat="false" ht="17.15" hidden="false" customHeight="false" outlineLevel="0" collapsed="false">
      <c r="A15265" s="1" t="s">
        <v>1112</v>
      </c>
      <c r="B15265" s="0" t="s">
        <v>98</v>
      </c>
      <c r="E15265" s="6" t="n">
        <f aca="false">Q!M43</f>
        <v>145.3</v>
      </c>
      <c r="F15265" s="6" t="n">
        <f aca="false">Sens!F15262+Sens!F15263+Sens!F15264</f>
        <v>204.2</v>
      </c>
      <c r="G15265" s="6" t="n">
        <f aca="false">Sens!G15262+Sens!G15263</f>
        <v>76.0603847115643</v>
      </c>
      <c r="H15265" s="6" t="n">
        <f aca="false">Sens!H15262+Sens!H15263</f>
        <v>47.3952963233052</v>
      </c>
      <c r="I15265" s="6" t="n">
        <f aca="false">Sens!I15262+Sens!I15263</f>
        <v>81.9014894844711</v>
      </c>
      <c r="J15265" s="6" t="n">
        <f aca="false">Sens!J15262+Sens!J15263</f>
        <v>101.677980041736</v>
      </c>
      <c r="K15265" s="6" t="n">
        <f aca="false">Sens!K15262+Sens!K15263</f>
        <v>149.39647438481</v>
      </c>
      <c r="L15265" s="1" t="s">
        <v>1113</v>
      </c>
    </row>
    <row r="15266" customFormat="false" ht="15" hidden="false" customHeight="false" outlineLevel="0" collapsed="false">
      <c r="A15266" s="1" t="s">
        <v>1114</v>
      </c>
      <c r="B15266" s="0" t="s">
        <v>98</v>
      </c>
      <c r="E15266" s="6" t="n">
        <f aca="false">fl_liab</f>
        <v>66.594</v>
      </c>
      <c r="F15266" s="6" t="n">
        <f aca="false">Sens!E15266-Sens!F15267</f>
        <v>62.46973</v>
      </c>
      <c r="G15266" s="6" t="n">
        <f aca="false">Sens!F15266-Sens!G15267</f>
        <v>57.98686785</v>
      </c>
      <c r="H15266" s="6" t="n">
        <f aca="false">Sens!G15266-Sens!H15267</f>
        <v>53.92827690325</v>
      </c>
      <c r="I15266" s="6" t="n">
        <f aca="false">Sens!H15266-Sens!I15267</f>
        <v>49.7850493638962</v>
      </c>
      <c r="J15266" s="6" t="n">
        <f aca="false">Sens!I15266-Sens!J15267</f>
        <v>45.4823765852716</v>
      </c>
      <c r="K15266" s="6" t="n">
        <f aca="false">Sens!J15266-Sens!K15267</f>
        <v>40.9860835316088</v>
      </c>
    </row>
    <row r="15267" customFormat="false" ht="15" hidden="false" customHeight="false" outlineLevel="0" collapsed="false">
      <c r="A15267" s="1" t="s">
        <v>1115</v>
      </c>
      <c r="B15267" s="0" t="s">
        <v>98</v>
      </c>
      <c r="F15267" s="6" t="n">
        <f aca="false">fl_pay_27-Sens!E15266*fl_rate</f>
        <v>4.12427</v>
      </c>
      <c r="G15267" s="6" t="n">
        <f aca="false">fl_pay_28-Sens!F15266*fl_rate</f>
        <v>4.48286215</v>
      </c>
      <c r="H15267" s="6" t="n">
        <f aca="false">fl_pay_29-Sens!G15266*fl_rate</f>
        <v>4.05859094675</v>
      </c>
      <c r="I15267" s="6" t="n">
        <f aca="false">fl_pay_30-Sens!H15266*fl_rate</f>
        <v>4.14322753935375</v>
      </c>
      <c r="J15267" s="6" t="n">
        <f aca="false">fl_pay_31-Sens!I15266*fl_rate</f>
        <v>4.30267277862467</v>
      </c>
      <c r="K15267" s="6" t="n">
        <f aca="false">fl_pay_32-Sens!J15266*fl_rate</f>
        <v>4.49629305366278</v>
      </c>
    </row>
    <row r="15268" customFormat="false" ht="17.15" hidden="false" customHeight="false" outlineLevel="0" collapsed="false">
      <c r="A15268" s="1" t="s">
        <v>1116</v>
      </c>
      <c r="B15268" s="0" t="s">
        <v>98</v>
      </c>
      <c r="E15268" s="6" t="n">
        <f aca="false">Q!M35-Q!M36-Q!M44</f>
        <v>63.886</v>
      </c>
      <c r="F15268" s="6" t="n">
        <f aca="false">Sens!F15261-Sens!F15265-Sens!F15267</f>
        <v>4.21926620987702</v>
      </c>
      <c r="G15268" s="6" t="n">
        <f aca="false">Sens!G15261-Sens!G15265-Sens!G15267</f>
        <v>145.912453595622</v>
      </c>
      <c r="H15268" s="6" t="n">
        <f aca="false">Sens!H15261-Sens!H15265-Sens!H15267</f>
        <v>194.459405068574</v>
      </c>
      <c r="I15268" s="6" t="n">
        <f aca="false">Sens!I15261-Sens!I15265-Sens!I15267</f>
        <v>181.4468963406</v>
      </c>
      <c r="J15268" s="6" t="n">
        <f aca="false">Sens!J15261-Sens!J15265-Sens!J15267</f>
        <v>182.431012253812</v>
      </c>
      <c r="K15268" s="6" t="n">
        <f aca="false">Sens!K15261-Sens!K15265-Sens!K15267</f>
        <v>154.992589797971</v>
      </c>
      <c r="L15268" s="12" t="s">
        <v>1117</v>
      </c>
    </row>
    <row r="15269" customFormat="false" ht="15" hidden="false" customHeight="false" outlineLevel="0" collapsed="false">
      <c r="A15269" s="1" t="s">
        <v>1118</v>
      </c>
      <c r="B15269" s="0" t="s">
        <v>75</v>
      </c>
      <c r="F15269" s="8" t="n">
        <f aca="false">dps_27</f>
        <v>3.85</v>
      </c>
      <c r="G15269" s="8" t="n">
        <f aca="false">Sens!F15269*(1+dps_g)</f>
        <v>4.158</v>
      </c>
      <c r="H15269" s="8" t="n">
        <f aca="false">Sens!G15269*(1+dps_g)</f>
        <v>4.49064</v>
      </c>
      <c r="I15269" s="8" t="n">
        <f aca="false">Sens!H15269*(1+dps_g)</f>
        <v>4.8498912</v>
      </c>
      <c r="J15269" s="8" t="n">
        <f aca="false">Sens!I15269*(1+dps_g)</f>
        <v>5.237882496</v>
      </c>
      <c r="K15269" s="8" t="n">
        <f aca="false">Sens!J15269*(1+dps_g)</f>
        <v>5.65691309568</v>
      </c>
    </row>
    <row r="15270" customFormat="false" ht="17.15" hidden="false" customHeight="false" outlineLevel="0" collapsed="false">
      <c r="A15270" s="1" t="s">
        <v>1119</v>
      </c>
      <c r="B15270" s="0" t="s">
        <v>98</v>
      </c>
      <c r="E15270" s="6" t="n">
        <f aca="false">Q!M41</f>
        <v>26.445</v>
      </c>
      <c r="F15270" s="6" t="n">
        <f aca="false">Sens!F15269*Sens!E15279</f>
        <v>28.59395</v>
      </c>
      <c r="G15270" s="6" t="n">
        <f aca="false">Sens!G15269*Sens!F15279</f>
        <v>31.068576</v>
      </c>
      <c r="H15270" s="6" t="n">
        <f aca="false">Sens!H15269*Sens!G15279</f>
        <v>33.5883340530727</v>
      </c>
      <c r="I15270" s="6" t="n">
        <f aca="false">Sens!I15269*Sens!H15279</f>
        <v>36.3258390543911</v>
      </c>
      <c r="J15270" s="6" t="n">
        <f aca="false">Sens!J15269*Sens!I15279</f>
        <v>39.299804064135</v>
      </c>
      <c r="K15270" s="6" t="n">
        <f aca="false">Sens!K15269*Sens!J15279</f>
        <v>42.5305426516441</v>
      </c>
      <c r="L15270" s="1" t="s">
        <v>1120</v>
      </c>
    </row>
    <row r="15271" customFormat="false" ht="15" hidden="false" customHeight="false" outlineLevel="0" collapsed="false">
      <c r="A15271" s="1" t="s">
        <v>1121</v>
      </c>
      <c r="B15271" s="0" t="s">
        <v>98</v>
      </c>
      <c r="E15271" s="6" t="n">
        <f aca="false">Sens!E15268-Sens!E15270</f>
        <v>37.441</v>
      </c>
      <c r="F15271" s="6" t="n">
        <f aca="false">Sens!F15268-Sens!F15270</f>
        <v>-24.374683790123</v>
      </c>
      <c r="G15271" s="6" t="n">
        <f aca="false">Sens!G15268-Sens!G15270</f>
        <v>114.843877595622</v>
      </c>
      <c r="H15271" s="6" t="n">
        <f aca="false">Sens!H15268-Sens!H15270</f>
        <v>160.871071015502</v>
      </c>
      <c r="I15271" s="6" t="n">
        <f aca="false">Sens!I15268-Sens!I15270</f>
        <v>145.121057286208</v>
      </c>
      <c r="J15271" s="6" t="n">
        <f aca="false">Sens!J15268-Sens!J15270</f>
        <v>143.131208189677</v>
      </c>
      <c r="K15271" s="6" t="n">
        <f aca="false">Sens!K15268-Sens!K15270</f>
        <v>112.462047146327</v>
      </c>
    </row>
    <row r="15272" customFormat="false" ht="15" hidden="false" customHeight="false" outlineLevel="0" collapsed="false">
      <c r="A15272" s="1" t="s">
        <v>1122</v>
      </c>
      <c r="B15272" s="0" t="s">
        <v>98</v>
      </c>
      <c r="F15272" s="6" t="n">
        <f aca="false">debt_mat_27</f>
        <v>9.25</v>
      </c>
      <c r="G15272" s="6" t="n">
        <f aca="false">debt_mat_28</f>
        <v>0</v>
      </c>
      <c r="H15272" s="6" t="n">
        <f aca="false">debt_mat_29</f>
        <v>2.001</v>
      </c>
      <c r="I15272" s="6" t="n">
        <f aca="false">debt_mat_30</f>
        <v>0</v>
      </c>
      <c r="J15272" s="6" t="n">
        <f aca="false">debt_mat_31</f>
        <v>0.5</v>
      </c>
      <c r="K15272" s="6" t="n">
        <f aca="false">debt_mat_32</f>
        <v>0</v>
      </c>
    </row>
    <row r="15273" customFormat="false" ht="15" hidden="false" customHeight="false" outlineLevel="0" collapsed="false">
      <c r="A15273" s="1" t="s">
        <v>1123</v>
      </c>
      <c r="B15273" s="0" t="s">
        <v>98</v>
      </c>
      <c r="E15273" s="6" t="n">
        <f aca="false">Q!M40</f>
        <v>22.271</v>
      </c>
      <c r="F15273" s="6" t="n">
        <f aca="false">MAX(0,MIN(bb_target,Sens!E15275+Sens!F15271-Sens!F15272-min_cash))</f>
        <v>0</v>
      </c>
      <c r="G15273" s="6" t="n">
        <f aca="false">MAX(0,MIN(bb_target,Sens!F15275+Sens!G15271-Sens!G15272-min_cash))</f>
        <v>22.271</v>
      </c>
      <c r="H15273" s="6" t="n">
        <f aca="false">MAX(0,MIN(bb_target,Sens!G15275+Sens!H15271-Sens!H15272-min_cash))</f>
        <v>22.271</v>
      </c>
      <c r="I15273" s="6" t="n">
        <f aca="false">MAX(0,MIN(bb_target,Sens!H15275+Sens!I15271-Sens!I15272-min_cash))</f>
        <v>22.271</v>
      </c>
      <c r="J15273" s="6" t="n">
        <f aca="false">MAX(0,MIN(bb_target,Sens!I15275+Sens!J15271-Sens!J15272-min_cash))</f>
        <v>22.271</v>
      </c>
      <c r="K15273" s="6" t="n">
        <f aca="false">MAX(0,MIN(bb_target,Sens!J15275+Sens!K15271-Sens!K15272-min_cash))</f>
        <v>22.271</v>
      </c>
    </row>
    <row r="15274" customFormat="false" ht="15" hidden="false" customHeight="false" outlineLevel="0" collapsed="false">
      <c r="A15274" s="1" t="s">
        <v>1124</v>
      </c>
      <c r="B15274" s="0" t="s">
        <v>98</v>
      </c>
      <c r="F15274" s="6" t="n">
        <f aca="false">MAX(0,min_cash-(Sens!E15275+Sens!F15271-Sens!F15272-Sens!F15273))</f>
        <v>6.78168379012298</v>
      </c>
      <c r="G15274" s="6" t="n">
        <f aca="false">MAX(0,min_cash-(Sens!F15275+Sens!G15271-Sens!G15272-Sens!G15273))</f>
        <v>0</v>
      </c>
      <c r="H15274" s="6" t="n">
        <f aca="false">MAX(0,min_cash-(Sens!G15275+Sens!H15271-Sens!H15272-Sens!H15273))</f>
        <v>0</v>
      </c>
      <c r="I15274" s="6" t="n">
        <f aca="false">MAX(0,min_cash-(Sens!H15275+Sens!I15271-Sens!I15272-Sens!I15273))</f>
        <v>0</v>
      </c>
      <c r="J15274" s="6" t="n">
        <f aca="false">MAX(0,min_cash-(Sens!I15275+Sens!J15271-Sens!J15272-Sens!J15273))</f>
        <v>0</v>
      </c>
      <c r="K15274" s="6" t="n">
        <f aca="false">MAX(0,min_cash-(Sens!J15275+Sens!K15271-Sens!K15272-Sens!K15273))</f>
        <v>0</v>
      </c>
    </row>
    <row r="15275" customFormat="false" ht="15" hidden="false" customHeight="false" outlineLevel="0" collapsed="false">
      <c r="A15275" s="1" t="s">
        <v>1125</v>
      </c>
      <c r="B15275" s="0" t="s">
        <v>98</v>
      </c>
      <c r="E15275" s="6" t="n">
        <f aca="false">cash_open</f>
        <v>76.843</v>
      </c>
      <c r="F15275" s="6" t="n">
        <f aca="false">Sens!E15275+Sens!F15271-Sens!F15272-Sens!F15273+Sens!F15274</f>
        <v>50</v>
      </c>
      <c r="G15275" s="6" t="n">
        <f aca="false">Sens!F15275+Sens!G15271-Sens!G15272-Sens!G15273+Sens!G15274</f>
        <v>142.572877595622</v>
      </c>
      <c r="H15275" s="6" t="n">
        <f aca="false">Sens!G15275+Sens!H15271-Sens!H15272-Sens!H15273+Sens!H15274</f>
        <v>279.171948611124</v>
      </c>
      <c r="I15275" s="6" t="n">
        <f aca="false">Sens!H15275+Sens!I15271-Sens!I15272-Sens!I15273+Sens!I15274</f>
        <v>402.022005897332</v>
      </c>
      <c r="J15275" s="6" t="n">
        <f aca="false">Sens!I15275+Sens!J15271-Sens!J15272-Sens!J15273+Sens!J15274</f>
        <v>522.382214087009</v>
      </c>
      <c r="K15275" s="6" t="n">
        <f aca="false">Sens!J15275+Sens!K15271-Sens!K15272-Sens!K15273+Sens!K15274</f>
        <v>612.573261233336</v>
      </c>
    </row>
    <row r="15276" customFormat="false" ht="15" hidden="false" customHeight="false" outlineLevel="0" collapsed="false">
      <c r="A15276" s="1" t="s">
        <v>1126</v>
      </c>
      <c r="B15276" s="0" t="s">
        <v>98</v>
      </c>
      <c r="E15276" s="6" t="n">
        <f aca="false">debt_face</f>
        <v>46.136</v>
      </c>
      <c r="F15276" s="6" t="n">
        <f aca="false">Sens!E15276-Sens!F15272+Sens!F15274</f>
        <v>43.667683790123</v>
      </c>
      <c r="G15276" s="6" t="n">
        <f aca="false">Sens!F15276-Sens!G15272+Sens!G15274</f>
        <v>43.667683790123</v>
      </c>
      <c r="H15276" s="6" t="n">
        <f aca="false">Sens!G15276-Sens!H15272+Sens!H15274</f>
        <v>41.666683790123</v>
      </c>
      <c r="I15276" s="6" t="n">
        <f aca="false">Sens!H15276-Sens!I15272+Sens!I15274</f>
        <v>41.666683790123</v>
      </c>
      <c r="J15276" s="6" t="n">
        <f aca="false">Sens!I15276-Sens!J15272+Sens!J15274</f>
        <v>41.166683790123</v>
      </c>
      <c r="K15276" s="6" t="n">
        <f aca="false">Sens!J15276-Sens!K15272+Sens!K15274</f>
        <v>41.166683790123</v>
      </c>
    </row>
    <row r="15277" customFormat="false" ht="15" hidden="false" customHeight="false" outlineLevel="0" collapsed="false">
      <c r="A15277" s="1" t="s">
        <v>1127</v>
      </c>
      <c r="B15277" s="0" t="s">
        <v>98</v>
      </c>
      <c r="E15277" s="6" t="n">
        <f aca="false">Sens!E15275-Sens!E15276</f>
        <v>30.707</v>
      </c>
      <c r="F15277" s="6" t="n">
        <f aca="false">Sens!F15275-Sens!F15276</f>
        <v>6.33231620987701</v>
      </c>
      <c r="G15277" s="6" t="n">
        <f aca="false">Sens!G15275-Sens!G15276</f>
        <v>98.9051938054992</v>
      </c>
      <c r="H15277" s="6" t="n">
        <f aca="false">Sens!H15275-Sens!H15276</f>
        <v>237.505264821001</v>
      </c>
      <c r="I15277" s="6" t="n">
        <f aca="false">Sens!I15275-Sens!I15276</f>
        <v>360.355322107209</v>
      </c>
      <c r="J15277" s="6" t="n">
        <f aca="false">Sens!J15275-Sens!J15276</f>
        <v>481.215530296886</v>
      </c>
      <c r="K15277" s="6" t="n">
        <f aca="false">Sens!K15275-Sens!K15276</f>
        <v>571.406577443213</v>
      </c>
    </row>
    <row r="15278" customFormat="false" ht="15" hidden="false" customHeight="false" outlineLevel="0" collapsed="false">
      <c r="A15278" s="1" t="s">
        <v>1128</v>
      </c>
      <c r="B15278" s="0" t="s">
        <v>75</v>
      </c>
      <c r="F15278" s="30" t="n">
        <f aca="false">px*(1+bb_g)^(Sens!F15136-base_fy-mid_yr)</f>
        <v>551.84177959629</v>
      </c>
      <c r="G15278" s="30" t="n">
        <f aca="false">px*(1+bb_g)^(Sens!G15136-base_fy-mid_yr)</f>
        <v>595.989121963993</v>
      </c>
      <c r="H15278" s="30" t="n">
        <f aca="false">px*(1+bb_g)^(Sens!H15136-base_fy-mid_yr)</f>
        <v>643.668251721112</v>
      </c>
      <c r="I15278" s="30" t="n">
        <f aca="false">px*(1+bb_g)^(Sens!I15136-base_fy-mid_yr)</f>
        <v>695.161711858801</v>
      </c>
      <c r="J15278" s="30" t="n">
        <f aca="false">px*(1+bb_g)^(Sens!J15136-base_fy-mid_yr)</f>
        <v>750.774648807506</v>
      </c>
      <c r="K15278" s="30" t="n">
        <f aca="false">px*(1+bb_g)^(Sens!K15136-base_fy-mid_yr)</f>
        <v>810.836620712106</v>
      </c>
    </row>
    <row r="15279" customFormat="false" ht="15" hidden="false" customHeight="false" outlineLevel="0" collapsed="false">
      <c r="A15279" s="1" t="s">
        <v>1129</v>
      </c>
      <c r="B15279" s="1" t="s">
        <v>81</v>
      </c>
      <c r="E15279" s="15" t="n">
        <f aca="false">sh_out26</f>
        <v>7.427</v>
      </c>
      <c r="F15279" s="15" t="n">
        <f aca="false">Sens!E15279+sh_iss-Sens!F15273/Sens!F15278</f>
        <v>7.472</v>
      </c>
      <c r="G15279" s="15" t="n">
        <f aca="false">Sens!F15279+sh_iss-Sens!G15273/Sens!G15278</f>
        <v>7.47963186830221</v>
      </c>
      <c r="H15279" s="15" t="n">
        <f aca="false">Sens!G15279+sh_iss-Sens!H15273/Sens!H15278</f>
        <v>7.49003174635981</v>
      </c>
      <c r="I15279" s="15" t="n">
        <f aca="false">Sens!H15279+sh_iss-Sens!I15273/Sens!I15278</f>
        <v>7.50299459641315</v>
      </c>
      <c r="J15279" s="15" t="n">
        <f aca="false">Sens!I15279+sh_iss-Sens!J15273/Sens!J15278</f>
        <v>7.51833056868476</v>
      </c>
      <c r="K15279" s="15" t="n">
        <f aca="false">Sens!J15279+sh_iss-Sens!K15273/Sens!K15278</f>
        <v>7.53586387634365</v>
      </c>
    </row>
    <row r="15280" customFormat="false" ht="15" hidden="false" customHeight="false" outlineLevel="0" collapsed="false">
      <c r="A15280" s="1" t="s">
        <v>1130</v>
      </c>
      <c r="B15280" s="1" t="s">
        <v>81</v>
      </c>
      <c r="E15280" s="15" t="n">
        <f aca="false">sh_dil26</f>
        <v>7.453</v>
      </c>
      <c r="F15280" s="15" t="n">
        <f aca="false">(Sens!E15279+Sens!F15279)/2+dil_gap</f>
        <v>7.4735</v>
      </c>
      <c r="G15280" s="15" t="n">
        <f aca="false">(Sens!F15279+Sens!G15279)/2+dil_gap</f>
        <v>7.49981593415111</v>
      </c>
      <c r="H15280" s="15" t="n">
        <f aca="false">(Sens!G15279+Sens!H15279)/2+dil_gap</f>
        <v>7.50883180733101</v>
      </c>
      <c r="I15280" s="15" t="n">
        <f aca="false">(Sens!H15279+Sens!I15279)/2+dil_gap</f>
        <v>7.52051317138648</v>
      </c>
      <c r="J15280" s="15" t="n">
        <f aca="false">(Sens!I15279+Sens!J15279)/2+dil_gap</f>
        <v>7.53466258254895</v>
      </c>
      <c r="K15280" s="15" t="n">
        <f aca="false">(Sens!J15279+Sens!K15279)/2+dil_gap</f>
        <v>7.55109722251421</v>
      </c>
    </row>
    <row r="15281" customFormat="false" ht="17.15" hidden="false" customHeight="false" outlineLevel="0" collapsed="false">
      <c r="A15281" s="1" t="s">
        <v>1131</v>
      </c>
      <c r="B15281" s="0" t="s">
        <v>98</v>
      </c>
      <c r="C15281" s="6" t="n">
        <f aca="false">SUM(Sens!F15271:J15271)</f>
        <v>539.592530296886</v>
      </c>
    </row>
    <row r="15282" customFormat="false" ht="15" hidden="false" customHeight="false" outlineLevel="0" collapsed="false">
      <c r="A15282" s="26" t="s">
        <v>1096</v>
      </c>
      <c r="B15282" s="31" t="s">
        <v>98</v>
      </c>
      <c r="C15282" s="27" t="n">
        <f aca="false">Sens!$C$15281-(Sens!F15271+Sens!G15271+Sens!H15271+Sens!I15271+Sens!J15271)</f>
        <v>0</v>
      </c>
      <c r="D15282" s="31"/>
      <c r="E15282" s="31"/>
      <c r="F15282" s="31"/>
      <c r="G15282" s="31"/>
      <c r="H15282" s="31"/>
      <c r="I15282" s="31"/>
      <c r="J15282" s="31"/>
      <c r="K15282" s="31"/>
    </row>
    <row r="15283" customFormat="false" ht="17.15" hidden="false" customHeight="false" outlineLevel="0" collapsed="false">
      <c r="A15283" s="1" t="s">
        <v>1090</v>
      </c>
      <c r="B15283" s="1" t="s">
        <v>1132</v>
      </c>
      <c r="C15283" s="33" t="str">
        <f aca="false">IF(SUM(Sens!F15274:J15274)&gt;0.05,"需要舉債 "&amp;TEXT(SUM(Sens!F15274:J15274),"0.0")&amp;" 十億美元","不需舉債")&amp;"；"&amp;IF(SUM(Sens!F15273:J15273)&lt;COUNT(Sens!F15273:J15273)*bb_target-0.05,"回購較每年 "&amp;TEXT(bb_target,"0.0")&amp;" 的目標少 "&amp;TEXT(COUNT(Sens!F15273:J15273)*bb_target-SUM(Sens!F15273:J15273),"0.0")&amp;" 十億美元（"&amp;TEXT(COUNTIF(Sens!F15273:J15273,"&lt;"&amp;(bb_target-0.05)),"0")&amp;" 年減少）","回購不減")</f>
        <v>需要舉債 6.8 十億美元；回購較每年 22.3 的目標少 22.3 十億美元（1 年減少）</v>
      </c>
    </row>
    <row r="15284" customFormat="false" ht="17.15" hidden="false" customHeight="false" outlineLevel="0" collapsed="false">
      <c r="A15284" s="3" t="s">
        <v>1856</v>
      </c>
    </row>
    <row r="15285" customFormat="false" ht="15" hidden="false" customHeight="false" outlineLevel="0" collapsed="false">
      <c r="A15285" s="4" t="s">
        <v>43</v>
      </c>
      <c r="B15285" s="4" t="s">
        <v>65</v>
      </c>
      <c r="C15285" s="23" t="s">
        <v>938</v>
      </c>
      <c r="D15285" s="23" t="s">
        <v>939</v>
      </c>
      <c r="E15285" s="23" t="s">
        <v>940</v>
      </c>
      <c r="F15285" s="23" t="s">
        <v>941</v>
      </c>
      <c r="G15285" s="23" t="s">
        <v>942</v>
      </c>
      <c r="H15285" s="23" t="s">
        <v>943</v>
      </c>
      <c r="I15285" s="23" t="s">
        <v>944</v>
      </c>
      <c r="J15285" s="23" t="s">
        <v>945</v>
      </c>
      <c r="K15285" s="23" t="s">
        <v>946</v>
      </c>
      <c r="L15285" s="4" t="s">
        <v>47</v>
      </c>
    </row>
    <row r="15286" customFormat="false" ht="17.15" hidden="false" customHeight="false" outlineLevel="0" collapsed="false">
      <c r="A15286" s="1" t="s">
        <v>1212</v>
      </c>
      <c r="B15286" s="1" t="s">
        <v>279</v>
      </c>
      <c r="F15286" s="8" t="n">
        <f aca="false">(1-v_off)*mid_yr</f>
        <v>0.373972602739726</v>
      </c>
      <c r="G15286" s="8" t="n">
        <f aca="false">Sens!G15136-base_fy-mid_yr-v_off</f>
        <v>1.24794520547945</v>
      </c>
      <c r="H15286" s="8" t="n">
        <f aca="false">Sens!H15136-base_fy-mid_yr-v_off</f>
        <v>2.24794520547945</v>
      </c>
      <c r="I15286" s="8" t="n">
        <f aca="false">Sens!I15136-base_fy-mid_yr-v_off</f>
        <v>3.24794520547945</v>
      </c>
      <c r="J15286" s="8" t="n">
        <f aca="false">Sens!J15136-base_fy-mid_yr-v_off</f>
        <v>4.24794520547945</v>
      </c>
      <c r="K15286" s="8" t="n">
        <f aca="false">Sens!K15136-base_fy-mid_yr-v_off</f>
        <v>5.24794520547945</v>
      </c>
      <c r="L15286" s="12" t="s">
        <v>1213</v>
      </c>
    </row>
    <row r="15287" customFormat="false" ht="15" hidden="false" customHeight="false" outlineLevel="0" collapsed="false">
      <c r="A15287" s="1" t="s">
        <v>1214</v>
      </c>
      <c r="B15287" s="1" t="s">
        <v>279</v>
      </c>
      <c r="F15287" s="8" t="n">
        <f aca="false">Sens!F15136-base_fy-v_off</f>
        <v>0.747945205479452</v>
      </c>
      <c r="G15287" s="8" t="n">
        <f aca="false">Sens!G15136-base_fy-v_off</f>
        <v>1.74794520547945</v>
      </c>
      <c r="H15287" s="8" t="n">
        <f aca="false">Sens!H15136-base_fy-v_off</f>
        <v>2.74794520547945</v>
      </c>
      <c r="I15287" s="8" t="n">
        <f aca="false">Sens!I15136-base_fy-v_off</f>
        <v>3.74794520547945</v>
      </c>
      <c r="J15287" s="8" t="n">
        <f aca="false">Sens!J15136-base_fy-v_off</f>
        <v>4.74794520547945</v>
      </c>
      <c r="K15287" s="8" t="n">
        <f aca="false">Sens!K15136-base_fy-v_off</f>
        <v>5.74794520547945</v>
      </c>
    </row>
    <row r="15288" customFormat="false" ht="15" hidden="false" customHeight="false" outlineLevel="0" collapsed="false">
      <c r="A15288" s="1" t="s">
        <v>1215</v>
      </c>
      <c r="B15288" s="0" t="s">
        <v>229</v>
      </c>
      <c r="F15288" s="15" t="n">
        <f aca="false">1/(1+wacc)^Sens!F15286</f>
        <v>0.964022703286649</v>
      </c>
      <c r="G15288" s="15" t="n">
        <f aca="false">1/(1+wacc)^Sens!G15286</f>
        <v>0.884910302296739</v>
      </c>
      <c r="H15288" s="15" t="n">
        <f aca="false">1/(1+wacc)^Sens!H15286</f>
        <v>0.802322009770358</v>
      </c>
      <c r="I15288" s="15" t="n">
        <f aca="false">1/(1+wacc)^Sens!I15286</f>
        <v>0.727441646561469</v>
      </c>
      <c r="J15288" s="15" t="n">
        <f aca="false">1/(1+wacc)^Sens!J15286</f>
        <v>0.659549834988973</v>
      </c>
      <c r="K15288" s="15" t="n">
        <f aca="false">1/(1+wacc)^Sens!K15286</f>
        <v>0.597994336576966</v>
      </c>
    </row>
    <row r="15289" customFormat="false" ht="17.15" hidden="false" customHeight="false" outlineLevel="0" collapsed="false">
      <c r="A15289" s="1" t="s">
        <v>1216</v>
      </c>
      <c r="B15289" s="0" t="s">
        <v>98</v>
      </c>
      <c r="F15289" s="6" t="n">
        <f aca="false">Q!$I$35-Q!$I$39-Q!$I$43</f>
        <v>9.666</v>
      </c>
      <c r="L15289" s="12" t="s">
        <v>1217</v>
      </c>
    </row>
    <row r="15290" customFormat="false" ht="17.15" hidden="false" customHeight="false" outlineLevel="0" collapsed="false">
      <c r="A15290" s="1" t="s">
        <v>1218</v>
      </c>
      <c r="B15290" s="0" t="s">
        <v>98</v>
      </c>
      <c r="F15290" s="6" t="n">
        <f aca="false">Sens!F15261-Sens!F15258-Sens!F15265+Sens!F15243*(1-tax_f)*(1-v_off)-Sens!F15289</f>
        <v>-13.7082425181979</v>
      </c>
      <c r="G15290" s="6" t="n">
        <f aca="false">Sens!G15261-Sens!G15258-Sens!G15265+Sens!G15243*(1-tax_f)</f>
        <v>138.309004599689</v>
      </c>
      <c r="H15290" s="6" t="n">
        <f aca="false">Sens!H15261-Sens!H15258-Sens!H15265+Sens!H15243*(1-tax_f)</f>
        <v>184.931239333277</v>
      </c>
      <c r="I15290" s="6" t="n">
        <f aca="false">Sens!I15261-Sens!I15258-Sens!I15265+Sens!I15243*(1-tax_f)</f>
        <v>169.678565810806</v>
      </c>
      <c r="J15290" s="6" t="n">
        <f aca="false">Sens!J15261-Sens!J15258-Sens!J15265+Sens!J15243*(1-tax_f)</f>
        <v>169.019240255257</v>
      </c>
      <c r="K15290" s="6" t="n">
        <f aca="false">Sens!K15261-Sens!K15258-Sens!K15265+Sens!K15243*(1-tax_f)</f>
        <v>140.330181863668</v>
      </c>
      <c r="L15290" s="1" t="s">
        <v>1219</v>
      </c>
    </row>
    <row r="15291" customFormat="false" ht="15" hidden="false" customHeight="false" outlineLevel="0" collapsed="false">
      <c r="A15291" s="1" t="s">
        <v>1220</v>
      </c>
      <c r="B15291" s="0" t="s">
        <v>98</v>
      </c>
      <c r="F15291" s="6" t="n">
        <f aca="false">Sens!F15290*Sens!F15288</f>
        <v>-13.2150570097021</v>
      </c>
      <c r="G15291" s="6" t="n">
        <f aca="false">Sens!G15290*Sens!G15288</f>
        <v>122.391063070672</v>
      </c>
      <c r="H15291" s="6" t="n">
        <f aca="false">Sens!H15290*Sens!H15288</f>
        <v>148.374403611198</v>
      </c>
      <c r="I15291" s="6" t="n">
        <f aca="false">Sens!I15290*Sens!I15288</f>
        <v>123.431255299601</v>
      </c>
      <c r="J15291" s="6" t="n">
        <f aca="false">Sens!J15290*Sens!J15288</f>
        <v>111.476612020316</v>
      </c>
      <c r="K15291" s="6" t="n">
        <f aca="false">Sens!K15290*Sens!K15288</f>
        <v>83.9166540052893</v>
      </c>
    </row>
    <row r="15292" customFormat="false" ht="17.15" hidden="false" customHeight="false" outlineLevel="0" collapsed="false">
      <c r="A15292" s="1" t="s">
        <v>1221</v>
      </c>
      <c r="B15292" s="0" t="s">
        <v>98</v>
      </c>
      <c r="C15292" s="6" t="n">
        <f aca="false">SUM(Sens!F15291:K15291)</f>
        <v>576.374930997375</v>
      </c>
    </row>
    <row r="15293" customFormat="false" ht="17.15" hidden="false" customHeight="false" outlineLevel="0" collapsed="false">
      <c r="A15293" s="1" t="s">
        <v>1222</v>
      </c>
      <c r="B15293" s="0" t="s">
        <v>98</v>
      </c>
      <c r="C15293" s="6" t="n">
        <f aca="false">Sens!K15229*(1+g_tv)*(1-tax_f)</f>
        <v>216.927406920143</v>
      </c>
    </row>
    <row r="15294" customFormat="false" ht="17.15" hidden="false" customHeight="false" outlineLevel="0" collapsed="false">
      <c r="A15294" s="1" t="s">
        <v>1223</v>
      </c>
      <c r="B15294" s="0" t="s">
        <v>98</v>
      </c>
      <c r="C15294" s="6" t="n">
        <f aca="false">Sens!$C$15293*(1-g_tv/(wacc+ronic_prem))</f>
        <v>153.705746402517</v>
      </c>
    </row>
    <row r="15295" customFormat="false" ht="17.15" hidden="false" customHeight="false" outlineLevel="0" collapsed="false">
      <c r="A15295" s="1" t="s">
        <v>1224</v>
      </c>
      <c r="B15295" s="0" t="s">
        <v>98</v>
      </c>
      <c r="C15295" s="6" t="n">
        <f aca="false">Sens!$C$15294/(wacc-g_tv)</f>
        <v>2107.38868392087</v>
      </c>
    </row>
    <row r="15296" customFormat="false" ht="15" hidden="false" customHeight="false" outlineLevel="0" collapsed="false">
      <c r="A15296" s="1" t="s">
        <v>1225</v>
      </c>
      <c r="B15296" s="0" t="s">
        <v>98</v>
      </c>
      <c r="C15296" s="6" t="n">
        <f aca="false">Sens!$C$15295/(1+wacc)^Sens!K15287</f>
        <v>1199.95909581678</v>
      </c>
    </row>
    <row r="15297" customFormat="false" ht="17.15" hidden="false" customHeight="false" outlineLevel="0" collapsed="false">
      <c r="A15297" s="0" t="s">
        <v>1226</v>
      </c>
      <c r="B15297" s="0" t="s">
        <v>98</v>
      </c>
      <c r="C15297" s="6" t="n">
        <f aca="false">Sens!$C$15292+Sens!$C$15296</f>
        <v>1776.33402681415</v>
      </c>
    </row>
    <row r="15298" customFormat="false" ht="15" hidden="false" customHeight="false" outlineLevel="0" collapsed="false">
      <c r="A15298" s="1" t="s">
        <v>1141</v>
      </c>
      <c r="B15298" s="0" t="s">
        <v>168</v>
      </c>
      <c r="C15298" s="7" t="n">
        <f aca="false">Sens!$C$15296/Sens!$C$15297</f>
        <v>0.675525592429763</v>
      </c>
    </row>
    <row r="15299" customFormat="false" ht="17.15" hidden="false" customHeight="false" outlineLevel="0" collapsed="false">
      <c r="A15299" s="1" t="s">
        <v>1227</v>
      </c>
      <c r="B15299" s="0" t="s">
        <v>98</v>
      </c>
      <c r="C15299" s="6" t="n">
        <f aca="false">Sens!$C$15297+cash_val-debt_val-fl_val+oai_v</f>
        <v>1892.18502681415</v>
      </c>
    </row>
    <row r="15300" customFormat="false" ht="17.15" hidden="false" customHeight="false" outlineLevel="0" collapsed="false">
      <c r="A15300" s="0" t="s">
        <v>1149</v>
      </c>
      <c r="B15300" s="0" t="s">
        <v>75</v>
      </c>
      <c r="C15300" s="5" t="n">
        <f aca="false">Sens!$C$15299/shd_val</f>
        <v>254.121008167359</v>
      </c>
    </row>
    <row r="15301" customFormat="false" ht="15" hidden="false" customHeight="false" outlineLevel="0" collapsed="false">
      <c r="A15301" s="1" t="s">
        <v>1228</v>
      </c>
      <c r="B15301" s="0" t="s">
        <v>75</v>
      </c>
      <c r="C15301" s="8" t="n">
        <f aca="false">div_rem27+Sens!G15269*roll_div_q/q_per_yr</f>
        <v>3.9795</v>
      </c>
    </row>
    <row r="15302" customFormat="false" ht="17.15" hidden="false" customHeight="false" outlineLevel="0" collapsed="false">
      <c r="A15302" s="0" t="s">
        <v>1229</v>
      </c>
      <c r="B15302" s="0" t="s">
        <v>75</v>
      </c>
      <c r="C15302" s="5" t="n">
        <f aca="false">Sens!$C$15300*(1+wacc)^t_roll-Sens!$C$15301</f>
        <v>278.490183260505</v>
      </c>
    </row>
    <row r="15303" customFormat="false" ht="17.15" hidden="false" customHeight="false" outlineLevel="0" collapsed="false">
      <c r="A15303" s="1" t="s">
        <v>1230</v>
      </c>
      <c r="B15303" s="0" t="s">
        <v>168</v>
      </c>
      <c r="F15303" s="7" t="n">
        <f aca="false">Sens!F15255/(Sens!F15200-Sens!F15155)</f>
        <v>0.108177737857631</v>
      </c>
      <c r="G15303" s="7" t="n">
        <f aca="false">Sens!G15255/(Sens!G15200-Sens!G15155)</f>
        <v>0.0982891563402672</v>
      </c>
      <c r="H15303" s="7" t="n">
        <f aca="false">Sens!H15255/(Sens!H15200-Sens!H15155)</f>
        <v>0.0912602205424856</v>
      </c>
      <c r="I15303" s="7" t="n">
        <f aca="false">Sens!I15255/(Sens!I15200-Sens!I15155)</f>
        <v>0.0866163453176461</v>
      </c>
      <c r="J15303" s="7" t="n">
        <f aca="false">Sens!J15255/(Sens!J15200-Sens!J15155)</f>
        <v>0.0838316059702677</v>
      </c>
      <c r="K15303" s="7" t="n">
        <f aca="false">Sens!K15255/(Sens!K15200-Sens!K15155)</f>
        <v>0.0824143965668911</v>
      </c>
    </row>
    <row r="15304" customFormat="false" ht="17.15" hidden="false" customHeight="false" outlineLevel="0" collapsed="false">
      <c r="A15304" s="0" t="s">
        <v>1231</v>
      </c>
      <c r="B15304" s="0" t="s">
        <v>98</v>
      </c>
      <c r="F15304" s="6" t="n">
        <f aca="false">Sens!F15185*(al_m365+Sens!F15303+sbc_r)</f>
        <v>87.5573773987304</v>
      </c>
      <c r="G15304" s="6" t="n">
        <f aca="false">Sens!G15185*(al_m365+Sens!G15303+sbc_r)</f>
        <v>97.5466598616462</v>
      </c>
      <c r="H15304" s="6" t="n">
        <f aca="false">Sens!H15185*(al_m365+Sens!H15303+sbc_r)</f>
        <v>107.718043671489</v>
      </c>
      <c r="I15304" s="6" t="n">
        <f aca="false">Sens!I15185*(al_m365+Sens!I15303+sbc_r)</f>
        <v>117.393288430689</v>
      </c>
      <c r="J15304" s="6" t="n">
        <f aca="false">Sens!J15185*(al_m365+Sens!J15303+sbc_r)</f>
        <v>126.392302333988</v>
      </c>
      <c r="K15304" s="6" t="n">
        <f aca="false">Sens!K15185*(al_m365+Sens!K15303+sbc_r)</f>
        <v>135.033396203543</v>
      </c>
      <c r="L15304" s="12" t="s">
        <v>1232</v>
      </c>
    </row>
    <row r="15305" customFormat="false" ht="17.15" hidden="false" customHeight="false" outlineLevel="0" collapsed="false">
      <c r="A15305" s="0" t="s">
        <v>1233</v>
      </c>
      <c r="B15305" s="0" t="s">
        <v>98</v>
      </c>
      <c r="F15305" s="6" t="n">
        <f aca="false">Sens!F15186*(al_lic+Sens!F15303+sbc_r)</f>
        <v>34.3762117985167</v>
      </c>
      <c r="G15305" s="6" t="n">
        <f aca="false">Sens!G15186*(al_lic+Sens!G15303+sbc_r)</f>
        <v>35.4362005420265</v>
      </c>
      <c r="H15305" s="6" t="n">
        <f aca="false">Sens!H15186*(al_lic+Sens!H15303+sbc_r)</f>
        <v>36.4472029817648</v>
      </c>
      <c r="I15305" s="6" t="n">
        <f aca="false">Sens!I15186*(al_lic+Sens!I15303+sbc_r)</f>
        <v>37.3847018642724</v>
      </c>
      <c r="J15305" s="6" t="n">
        <f aca="false">Sens!J15186*(al_lic+Sens!J15303+sbc_r)</f>
        <v>38.2190665310661</v>
      </c>
      <c r="K15305" s="6" t="n">
        <f aca="false">Sens!K15186*(al_lic+Sens!K15303+sbc_r)</f>
        <v>38.9200332509219</v>
      </c>
    </row>
    <row r="15306" customFormat="false" ht="17.15" hidden="false" customHeight="false" outlineLevel="0" collapsed="false">
      <c r="A15306" s="0" t="s">
        <v>1234</v>
      </c>
      <c r="B15306" s="0" t="s">
        <v>98</v>
      </c>
      <c r="F15306" s="6" t="n">
        <f aca="false">Sens!F15188*(al_ind+Sens!F15303+sbc_r)</f>
        <v>9.94320426334936</v>
      </c>
      <c r="G15306" s="6" t="n">
        <f aca="false">Sens!G15188*(al_ind+Sens!G15303+sbc_r)</f>
        <v>10.627928956782</v>
      </c>
      <c r="H15306" s="6" t="n">
        <f aca="false">Sens!H15188*(al_ind+Sens!H15303+sbc_r)</f>
        <v>11.3697608677774</v>
      </c>
      <c r="I15306" s="6" t="n">
        <f aca="false">Sens!I15188*(al_ind+Sens!I15303+sbc_r)</f>
        <v>12.1638752630046</v>
      </c>
      <c r="J15306" s="6" t="n">
        <f aca="false">Sens!J15188*(al_ind+Sens!J15303+sbc_r)</f>
        <v>12.999721658117</v>
      </c>
      <c r="K15306" s="6" t="n">
        <f aca="false">Sens!K15188*(al_ind+Sens!K15303+sbc_r)</f>
        <v>13.8629018500533</v>
      </c>
    </row>
    <row r="15307" customFormat="false" ht="17.15" hidden="false" customHeight="false" outlineLevel="0" collapsed="false">
      <c r="A15307" s="0" t="s">
        <v>1235</v>
      </c>
      <c r="B15307" s="0" t="s">
        <v>98</v>
      </c>
      <c r="F15307" s="6" t="n">
        <f aca="false">Sens!F15190*(al_fro+Sens!F15303+sbc_r)</f>
        <v>3.90031068680128</v>
      </c>
      <c r="G15307" s="6" t="n">
        <f aca="false">Sens!G15190*(al_fro+Sens!G15303+sbc_r)</f>
        <v>4.06655710190904</v>
      </c>
      <c r="H15307" s="6" t="n">
        <f aca="false">Sens!H15190*(al_fro+Sens!H15303+sbc_r)</f>
        <v>4.2698788346887</v>
      </c>
      <c r="I15307" s="6" t="n">
        <f aca="false">Sens!I15190*(al_fro+Sens!I15303+sbc_r)</f>
        <v>4.51143508730516</v>
      </c>
      <c r="J15307" s="6" t="n">
        <f aca="false">Sens!J15190*(al_fro+Sens!J15303+sbc_r)</f>
        <v>4.79137285964274</v>
      </c>
      <c r="K15307" s="6" t="n">
        <f aca="false">Sens!K15190*(al_fro+Sens!K15303+sbc_r)</f>
        <v>5.10951952873256</v>
      </c>
    </row>
    <row r="15308" customFormat="false" ht="17.15" hidden="false" customHeight="false" outlineLevel="0" collapsed="false">
      <c r="A15308" s="0" t="s">
        <v>1236</v>
      </c>
      <c r="B15308" s="0" t="s">
        <v>98</v>
      </c>
      <c r="F15308" s="6" t="n">
        <f aca="false">Sens!F15193*(al_srch+Sens!F15303+sbc_r)</f>
        <v>12.2792814319747</v>
      </c>
      <c r="G15308" s="6" t="n">
        <f aca="false">Sens!G15193*(al_srch+Sens!G15303+sbc_r)</f>
        <v>13.2487150889011</v>
      </c>
      <c r="H15308" s="6" t="n">
        <f aca="false">Sens!H15193*(al_srch+Sens!H15303+sbc_r)</f>
        <v>14.2743109424213</v>
      </c>
      <c r="I15308" s="6" t="n">
        <f aca="false">Sens!I15193*(al_srch+Sens!I15303+sbc_r)</f>
        <v>15.3441074202405</v>
      </c>
      <c r="J15308" s="6" t="n">
        <f aca="false">Sens!J15193*(al_srch+Sens!J15303+sbc_r)</f>
        <v>16.437790074854</v>
      </c>
      <c r="K15308" s="6" t="n">
        <f aca="false">Sens!K15193*(al_srch+Sens!K15303+sbc_r)</f>
        <v>17.5292576589282</v>
      </c>
    </row>
    <row r="15309" customFormat="false" ht="17.15" hidden="false" customHeight="false" outlineLevel="0" collapsed="false">
      <c r="A15309" s="0" t="s">
        <v>1237</v>
      </c>
      <c r="B15309" s="0" t="s">
        <v>98</v>
      </c>
      <c r="F15309" s="6" t="n">
        <f aca="false">Sens!F15161-Sens!F15162+Sens!F15243</f>
        <v>23.5427559368489</v>
      </c>
      <c r="G15309" s="6" t="n">
        <f aca="false">Sens!G15161-Sens!G15162+Sens!G15243</f>
        <v>24.9925302902486</v>
      </c>
      <c r="H15309" s="6" t="n">
        <f aca="false">Sens!H15161-Sens!H15162+Sens!H15243</f>
        <v>22.1574123423864</v>
      </c>
      <c r="I15309" s="6" t="n">
        <f aca="false">Sens!I15161-Sens!I15162+Sens!I15243</f>
        <v>21.8193629173652</v>
      </c>
      <c r="J15309" s="6" t="n">
        <f aca="false">Sens!J15161-Sens!J15162+Sens!J15243</f>
        <v>22.3924930434899</v>
      </c>
      <c r="K15309" s="6" t="n">
        <f aca="false">Sens!K15161-Sens!K15162+Sens!K15243</f>
        <v>24.3758708605373</v>
      </c>
    </row>
    <row r="15310" customFormat="false" ht="17.15" hidden="false" customHeight="false" outlineLevel="0" collapsed="false">
      <c r="A15310" s="0" t="s">
        <v>1238</v>
      </c>
      <c r="B15310" s="0" t="s">
        <v>98</v>
      </c>
      <c r="F15310" s="6" t="n">
        <f aca="false">Sens!F15222+Sens!F15243+Sens!F15173+Sens!F15303*(Sens!F15192-Sens!F15155)+sbc_r*Sens!F15192</f>
        <v>219.487358805911</v>
      </c>
      <c r="G15310" s="6" t="n">
        <f aca="false">Sens!G15222+Sens!G15243+Sens!G15173+Sens!G15303*(Sens!G15192-Sens!G15155)+sbc_r*Sens!G15192</f>
        <v>239.718812060467</v>
      </c>
      <c r="H15310" s="6" t="n">
        <f aca="false">Sens!H15222+Sens!H15243+Sens!H15173+Sens!H15303*(Sens!H15192-Sens!H15155)+sbc_r*Sens!H15192</f>
        <v>262.169242651418</v>
      </c>
      <c r="I15310" s="6" t="n">
        <f aca="false">Sens!I15222+Sens!I15243+Sens!I15173+Sens!I15303*(Sens!I15192-Sens!I15155)+sbc_r*Sens!I15192</f>
        <v>286.365006827866</v>
      </c>
      <c r="J15310" s="6" t="n">
        <f aca="false">Sens!J15222+Sens!J15243+Sens!J15173+Sens!J15303*(Sens!J15192-Sens!J15155)+sbc_r*Sens!J15192</f>
        <v>309.759986165546</v>
      </c>
      <c r="K15310" s="6" t="n">
        <f aca="false">Sens!K15222+Sens!K15243+Sens!K15173+Sens!K15303*(Sens!K15192-Sens!K15155)+sbc_r*Sens!K15192</f>
        <v>332.420004170611</v>
      </c>
    </row>
    <row r="15311" customFormat="false" ht="17.15" hidden="false" customHeight="false" outlineLevel="0" collapsed="false">
      <c r="A15311" s="0" t="s">
        <v>1239</v>
      </c>
      <c r="B15311" s="0" t="s">
        <v>98</v>
      </c>
      <c r="F15311" s="6" t="n">
        <f aca="false">Sens!F15310-Sens!F15304-Sens!F15305-Sens!F15306-Sens!F15307-Sens!F15309</f>
        <v>60.1674987216642</v>
      </c>
      <c r="G15311" s="6" t="n">
        <f aca="false">Sens!G15310-Sens!G15304-Sens!G15305-Sens!G15306-Sens!G15307-Sens!G15309</f>
        <v>67.0489353078547</v>
      </c>
      <c r="H15311" s="6" t="n">
        <f aca="false">Sens!H15310-Sens!H15304-Sens!H15305-Sens!H15306-Sens!H15307-Sens!H15309</f>
        <v>80.2069439533114</v>
      </c>
      <c r="I15311" s="6" t="n">
        <f aca="false">Sens!I15310-Sens!I15304-Sens!I15305-Sens!I15306-Sens!I15307-Sens!I15309</f>
        <v>93.0923432652294</v>
      </c>
      <c r="J15311" s="6" t="n">
        <f aca="false">Sens!J15310-Sens!J15304-Sens!J15305-Sens!J15306-Sens!J15307-Sens!J15309</f>
        <v>104.965029739242</v>
      </c>
      <c r="K15311" s="6" t="n">
        <f aca="false">Sens!K15310-Sens!K15304-Sens!K15305-Sens!K15306-Sens!K15307-Sens!K15309</f>
        <v>115.118282476823</v>
      </c>
    </row>
    <row r="15312" customFormat="false" ht="17.15" hidden="false" customHeight="false" outlineLevel="0" collapsed="false">
      <c r="A15312" s="0" t="s">
        <v>1240</v>
      </c>
      <c r="B15312" s="0" t="s">
        <v>98</v>
      </c>
      <c r="F15312" s="6" t="n">
        <f aca="false">Sens!F15224+Sens!F15303*Sens!F15199+sbc_r*Sens!F15199</f>
        <v>29.1773264673672</v>
      </c>
      <c r="G15312" s="6" t="n">
        <f aca="false">Sens!G15224+Sens!G15303*Sens!G15199+sbc_r*Sens!G15199</f>
        <v>28.6231158648252</v>
      </c>
      <c r="H15312" s="6" t="n">
        <f aca="false">Sens!H15224+Sens!H15303*Sens!H15199+sbc_r*Sens!H15199</f>
        <v>29.193182707856</v>
      </c>
      <c r="I15312" s="6" t="n">
        <f aca="false">Sens!I15224+Sens!I15303*Sens!I15199+sbc_r*Sens!I15199</f>
        <v>30.0635487506511</v>
      </c>
      <c r="J15312" s="6" t="n">
        <f aca="false">Sens!J15224+Sens!J15303*Sens!J15199+sbc_r*Sens!J15199</f>
        <v>31.1843695128253</v>
      </c>
      <c r="K15312" s="6" t="n">
        <f aca="false">Sens!K15224+Sens!K15303*Sens!K15199+sbc_r*Sens!K15199</f>
        <v>32.5117888467652</v>
      </c>
    </row>
    <row r="15313" customFormat="false" ht="17.15" hidden="false" customHeight="false" outlineLevel="0" collapsed="false">
      <c r="A15313" s="0" t="s">
        <v>1241</v>
      </c>
      <c r="B15313" s="0" t="s">
        <v>98</v>
      </c>
      <c r="F15313" s="6" t="n">
        <f aca="false">(Sens!F15312-Sens!F15308)*Sens!F15195/(Sens!F15195+Sens!F15197)</f>
        <v>9.54377112704764</v>
      </c>
      <c r="G15313" s="6" t="n">
        <f aca="false">(Sens!G15312-Sens!G15308)*Sens!G15195/(Sens!G15195+Sens!G15197)</f>
        <v>8.53400627238313</v>
      </c>
      <c r="H15313" s="6" t="n">
        <f aca="false">(Sens!H15312-Sens!H15308)*Sens!H15195/(Sens!H15195+Sens!H15197)</f>
        <v>8.17327281892581</v>
      </c>
      <c r="I15313" s="6" t="n">
        <f aca="false">(Sens!I15312-Sens!I15308)*Sens!I15195/(Sens!I15195+Sens!I15197)</f>
        <v>7.99362888445182</v>
      </c>
      <c r="J15313" s="6" t="n">
        <f aca="false">(Sens!J15312-Sens!J15308)*Sens!J15195/(Sens!J15195+Sens!J15197)</f>
        <v>7.97342654455077</v>
      </c>
      <c r="K15313" s="6" t="n">
        <f aca="false">(Sens!K15312-Sens!K15308)*Sens!K15195/(Sens!K15195+Sens!K15197)</f>
        <v>8.10100487236068</v>
      </c>
    </row>
    <row r="15314" customFormat="false" ht="17.15" hidden="false" customHeight="false" outlineLevel="0" collapsed="false">
      <c r="A15314" s="0" t="s">
        <v>1242</v>
      </c>
      <c r="B15314" s="0" t="s">
        <v>98</v>
      </c>
      <c r="F15314" s="6" t="n">
        <f aca="false">Sens!F15312-Sens!F15308-Sens!F15313</f>
        <v>7.35427390834487</v>
      </c>
      <c r="G15314" s="6" t="n">
        <f aca="false">Sens!G15312-Sens!G15308-Sens!G15313</f>
        <v>6.840394503541</v>
      </c>
      <c r="H15314" s="6" t="n">
        <f aca="false">Sens!H15312-Sens!H15308-Sens!H15313</f>
        <v>6.74559894650885</v>
      </c>
      <c r="I15314" s="6" t="n">
        <f aca="false">Sens!I15312-Sens!I15308-Sens!I15313</f>
        <v>6.72581244595876</v>
      </c>
      <c r="J15314" s="6" t="n">
        <f aca="false">Sens!J15312-Sens!J15308-Sens!J15313</f>
        <v>6.77315289342053</v>
      </c>
      <c r="K15314" s="6" t="n">
        <f aca="false">Sens!K15312-Sens!K15308-Sens!K15313</f>
        <v>6.88152631547632</v>
      </c>
    </row>
    <row r="15315" customFormat="false" ht="17.15" hidden="false" customHeight="false" outlineLevel="0" collapsed="false">
      <c r="A15315" s="0" t="s">
        <v>1243</v>
      </c>
      <c r="B15315" s="0" t="s">
        <v>98</v>
      </c>
      <c r="F15315" s="6" t="n">
        <f aca="false">Sens!F15309-tax_f*(Sens!F15309-Sens!F15173)-Sens!F15170</f>
        <v>-5.92966233912087</v>
      </c>
      <c r="G15315" s="6" t="n">
        <f aca="false">Sens!G15309-tax_f*(Sens!G15309-Sens!G15173)-Sens!G15170</f>
        <v>-8.38260833120114</v>
      </c>
      <c r="H15315" s="6" t="n">
        <f aca="false">Sens!H15309-tax_f*(Sens!H15309-Sens!H15173)-Sens!H15170</f>
        <v>24.0614468573092</v>
      </c>
      <c r="I15315" s="6" t="n">
        <f aca="false">Sens!I15309-tax_f*(Sens!I15309-Sens!I15173)-Sens!I15170</f>
        <v>-5.25928143990227</v>
      </c>
      <c r="J15315" s="6" t="n">
        <f aca="false">Sens!J15309-tax_f*(Sens!J15309-Sens!J15173)-Sens!J15170</f>
        <v>-19.4014412299192</v>
      </c>
      <c r="K15315" s="6" t="n">
        <f aca="false">Sens!K15309-tax_f*(Sens!K15309-Sens!K15173)-Sens!K15170</f>
        <v>-60.7601183815868</v>
      </c>
    </row>
    <row r="15316" customFormat="false" ht="17.15" hidden="false" customHeight="false" outlineLevel="0" collapsed="false">
      <c r="A15316" s="0" t="s">
        <v>1244</v>
      </c>
      <c r="B15316" s="0" t="s">
        <v>98</v>
      </c>
      <c r="G15316" s="6" t="n">
        <f aca="false">Sens!G15315/(1+wacc)^(Sens!G15286-Sens!F15287)</f>
        <v>-7.98185625137517</v>
      </c>
      <c r="H15316" s="6" t="n">
        <f aca="false">Sens!H15315/(1+wacc)^(Sens!H15286-Sens!F15287)</f>
        <v>20.772842153954</v>
      </c>
      <c r="I15316" s="6" t="n">
        <f aca="false">Sens!I15315/(1+wacc)^(Sens!I15286-Sens!F15287)</f>
        <v>-4.11670786485131</v>
      </c>
      <c r="J15316" s="6" t="n">
        <f aca="false">Sens!J15315/(1+wacc)^(Sens!J15286-Sens!F15287)</f>
        <v>-13.769148530013</v>
      </c>
      <c r="K15316" s="6" t="n">
        <f aca="false">Sens!K15315/(1+wacc)^(Sens!K15286-Sens!F15287)</f>
        <v>-39.0967951216224</v>
      </c>
      <c r="L15316" s="1" t="s">
        <v>1245</v>
      </c>
    </row>
    <row r="15317" customFormat="false" ht="17.15" hidden="false" customHeight="false" outlineLevel="0" collapsed="false">
      <c r="A15317" s="0" t="s">
        <v>1246</v>
      </c>
      <c r="B15317" s="0" t="s">
        <v>98</v>
      </c>
      <c r="C15317" s="6" t="n">
        <f aca="false">(Sens!K15309-Sens!K15173)*(1-tax_f)*(1+g_tv)*(1-g_tv/(wacc+ronic_prem))/(wacc-g_tv)/(1+wacc)^(Sens!K15287-Sens!F15287)</f>
        <v>-57.5371142920865</v>
      </c>
    </row>
    <row r="15318" customFormat="false" ht="17.15" hidden="false" customHeight="false" outlineLevel="0" collapsed="false">
      <c r="A15318" s="1" t="s">
        <v>1247</v>
      </c>
      <c r="B15318" s="0" t="s">
        <v>98</v>
      </c>
      <c r="C15318" s="6" t="n">
        <f aca="false">(SUM(Sens!G15316:K15316)+Sens!$C$15317)*(1+wacc)^(t_roll-Sens!F15287)</f>
        <v>-105.087154581357</v>
      </c>
      <c r="L15318" s="12" t="s">
        <v>1248</v>
      </c>
    </row>
    <row r="15319" customFormat="false" ht="17.15" hidden="false" customHeight="false" outlineLevel="0" collapsed="false">
      <c r="A15319" s="1" t="s">
        <v>1249</v>
      </c>
      <c r="B15319" s="0" t="s">
        <v>98</v>
      </c>
      <c r="C15319" s="6" t="n">
        <f aca="false">(w_ntm28*Sens!G15161+(1-w_ntm28)*Sens!H15161)*m_ai</f>
        <v>150.528401372214</v>
      </c>
    </row>
    <row r="15320" customFormat="false" ht="17.15" hidden="false" customHeight="false" outlineLevel="0" collapsed="false">
      <c r="A15320" s="1" t="s">
        <v>1250</v>
      </c>
      <c r="B15320" s="0" t="s">
        <v>98</v>
      </c>
      <c r="C15320" s="6" t="n">
        <f aca="false">(w_ntm28*Sens!G15311+(1-w_ntm28)*Sens!H15311)*m_cloud</f>
        <v>986.400509345306</v>
      </c>
    </row>
    <row r="15321" customFormat="false" ht="17.15" hidden="false" customHeight="false" outlineLevel="0" collapsed="false">
      <c r="A15321" s="1" t="s">
        <v>1251</v>
      </c>
      <c r="B15321" s="0" t="s">
        <v>98</v>
      </c>
      <c r="C15321" s="6" t="n">
        <f aca="false">(w_ntm28*Sens!G15304+(1-w_ntm28)*Sens!H15304)*m_sw</f>
        <v>1089.61930573196</v>
      </c>
    </row>
    <row r="15322" customFormat="false" ht="17.15" hidden="false" customHeight="false" outlineLevel="0" collapsed="false">
      <c r="A15322" s="1" t="s">
        <v>1252</v>
      </c>
      <c r="B15322" s="0" t="s">
        <v>98</v>
      </c>
      <c r="C15322" s="6" t="n">
        <f aca="false">(w_ntm28*Sens!G15305+(1-w_ntm28)*Sens!H15305)*m_sw</f>
        <v>386.300716982381</v>
      </c>
    </row>
    <row r="15323" customFormat="false" ht="17.15" hidden="false" customHeight="false" outlineLevel="0" collapsed="false">
      <c r="A15323" s="1" t="s">
        <v>1253</v>
      </c>
      <c r="B15323" s="0" t="s">
        <v>98</v>
      </c>
      <c r="C15323" s="6" t="n">
        <f aca="false">(w_ntm28*Sens!G15306+(1-w_ntm28)*Sens!H15306)*m_sw</f>
        <v>117.415644121328</v>
      </c>
    </row>
    <row r="15324" customFormat="false" ht="17.15" hidden="false" customHeight="false" outlineLevel="0" collapsed="false">
      <c r="A15324" s="1" t="s">
        <v>1254</v>
      </c>
      <c r="B15324" s="0" t="s">
        <v>98</v>
      </c>
      <c r="C15324" s="6" t="n">
        <f aca="false">(w_ntm28*Sens!G15307+(1-w_ntm28)*Sens!H15307)*m_sw</f>
        <v>44.6407481134462</v>
      </c>
    </row>
    <row r="15325" customFormat="false" ht="17.15" hidden="false" customHeight="false" outlineLevel="0" collapsed="false">
      <c r="A15325" s="1" t="s">
        <v>1255</v>
      </c>
      <c r="B15325" s="0" t="s">
        <v>98</v>
      </c>
      <c r="C15325" s="6" t="n">
        <f aca="false">(w_ntm28*Sens!G15308+(1-w_ntm28)*Sens!H15308)*m_ads</f>
        <v>123.767524287473</v>
      </c>
    </row>
    <row r="15326" customFormat="false" ht="17.15" hidden="false" customHeight="false" outlineLevel="0" collapsed="false">
      <c r="A15326" s="1" t="s">
        <v>1256</v>
      </c>
      <c r="B15326" s="0" t="s">
        <v>98</v>
      </c>
      <c r="C15326" s="6" t="n">
        <f aca="false">(w_ntm28*Sens!G15313+(1-w_ntm28)*Sens!H15313)*m_game</f>
        <v>106.286615324144</v>
      </c>
    </row>
    <row r="15327" customFormat="false" ht="17.15" hidden="false" customHeight="false" outlineLevel="0" collapsed="false">
      <c r="A15327" s="1" t="s">
        <v>1257</v>
      </c>
      <c r="B15327" s="0" t="s">
        <v>98</v>
      </c>
      <c r="C15327" s="6" t="n">
        <f aca="false">(w_ntm28*Sens!G15314+(1-w_ntm28)*Sens!H15314)*m_pc</f>
        <v>98.5295413286201</v>
      </c>
    </row>
    <row r="15328" customFormat="false" ht="17.15" hidden="false" customHeight="false" outlineLevel="0" collapsed="false">
      <c r="A15328" s="1" t="s">
        <v>1258</v>
      </c>
      <c r="B15328" s="0" t="s">
        <v>98</v>
      </c>
      <c r="C15328" s="6" t="n">
        <f aca="false">Sens!$C$15318+Sens!$C$15320+Sens!$C$15321+Sens!$C$15322+Sens!$C$15323+Sens!$C$15324+Sens!$C$15325+Sens!$C$15326+Sens!$C$15327</f>
        <v>2847.8734506533</v>
      </c>
    </row>
    <row r="15329" customFormat="false" ht="17.15" hidden="false" customHeight="false" outlineLevel="0" collapsed="false">
      <c r="A15329" s="1" t="s">
        <v>1259</v>
      </c>
      <c r="B15329" s="0" t="s">
        <v>98</v>
      </c>
      <c r="C15329" s="6" t="n">
        <f aca="false">(Sens!G15290-Sens!G15315)*t_stub</f>
        <v>48.6292744236651</v>
      </c>
      <c r="L15329" s="1" t="s">
        <v>1260</v>
      </c>
    </row>
    <row r="15330" customFormat="false" ht="17.15" hidden="false" customHeight="false" outlineLevel="0" collapsed="false">
      <c r="A15330" s="1" t="s">
        <v>1169</v>
      </c>
      <c r="B15330" s="0" t="s">
        <v>98</v>
      </c>
      <c r="C15330" s="6" t="n">
        <f aca="false">Sens!F15277+oai_v-Sens!F15266+Sens!$C$15329</f>
        <v>156.075860633542</v>
      </c>
      <c r="L15330" s="1" t="s">
        <v>1261</v>
      </c>
    </row>
    <row r="15331" customFormat="false" ht="17.15" hidden="false" customHeight="false" outlineLevel="0" collapsed="false">
      <c r="A15331" s="1" t="s">
        <v>1262</v>
      </c>
      <c r="B15331" s="0" t="s">
        <v>75</v>
      </c>
      <c r="C15331" s="5" t="n">
        <f aca="false">(Sens!$C$15328+Sens!$C$15330)/(Sens!F15279+dil_gap)-Sens!G15269*roll_div_q/q_per_yr</f>
        <v>399.700802999846</v>
      </c>
      <c r="L15331" s="1" t="s">
        <v>1263</v>
      </c>
    </row>
    <row r="15332" customFormat="false" ht="17.15" hidden="false" customHeight="false" outlineLevel="0" collapsed="false">
      <c r="A15332" s="1" t="s">
        <v>1264</v>
      </c>
      <c r="B15332" s="0" t="s">
        <v>75</v>
      </c>
      <c r="C15332" s="5" t="n">
        <f aca="false">w_dcf*Sens!$C$15302+(1-w_dcf)*Sens!$C$15331</f>
        <v>339.095493130176</v>
      </c>
    </row>
    <row r="15333" customFormat="false" ht="17.15" hidden="false" customHeight="false" outlineLevel="0" collapsed="false">
      <c r="A15333" s="3" t="s">
        <v>1857</v>
      </c>
    </row>
    <row r="15334" customFormat="false" ht="15" hidden="false" customHeight="false" outlineLevel="0" collapsed="false">
      <c r="A15334" s="4" t="s">
        <v>43</v>
      </c>
      <c r="B15334" s="4" t="s">
        <v>65</v>
      </c>
      <c r="C15334" s="23" t="s">
        <v>938</v>
      </c>
      <c r="D15334" s="23" t="s">
        <v>939</v>
      </c>
      <c r="E15334" s="23" t="s">
        <v>940</v>
      </c>
      <c r="F15334" s="23" t="s">
        <v>941</v>
      </c>
      <c r="G15334" s="23" t="s">
        <v>942</v>
      </c>
      <c r="H15334" s="23" t="s">
        <v>943</v>
      </c>
      <c r="I15334" s="23" t="s">
        <v>944</v>
      </c>
      <c r="J15334" s="23" t="s">
        <v>945</v>
      </c>
      <c r="K15334" s="23" t="s">
        <v>946</v>
      </c>
      <c r="L15334" s="4" t="s">
        <v>47</v>
      </c>
    </row>
    <row r="15335" customFormat="false" ht="17.15" hidden="false" customHeight="false" outlineLevel="0" collapsed="false">
      <c r="A15335" s="1" t="s">
        <v>947</v>
      </c>
      <c r="B15335" s="1" t="s">
        <v>279</v>
      </c>
      <c r="C15335" s="21" t="n">
        <v>2024</v>
      </c>
      <c r="D15335" s="21" t="n">
        <v>2025</v>
      </c>
      <c r="E15335" s="21" t="n">
        <v>2026</v>
      </c>
      <c r="F15335" s="21" t="n">
        <v>2027</v>
      </c>
      <c r="G15335" s="21" t="n">
        <v>2028</v>
      </c>
      <c r="H15335" s="21" t="n">
        <v>2029</v>
      </c>
      <c r="I15335" s="21" t="n">
        <v>2030</v>
      </c>
      <c r="J15335" s="21" t="n">
        <v>2031</v>
      </c>
      <c r="K15335" s="21" t="n">
        <v>2032</v>
      </c>
    </row>
    <row r="15336" customFormat="false" ht="17.15" hidden="false" customHeight="false" outlineLevel="0" collapsed="false">
      <c r="A15336" s="1" t="s">
        <v>948</v>
      </c>
      <c r="B15336" s="0" t="s">
        <v>456</v>
      </c>
      <c r="F15336" s="30" t="n">
        <f aca="false">pace</f>
        <v>2726.5351</v>
      </c>
      <c r="G15336" s="30" t="n">
        <f aca="false">pace</f>
        <v>2726.5351</v>
      </c>
      <c r="H15336" s="30" t="n">
        <f aca="false">pace</f>
        <v>2726.5351</v>
      </c>
      <c r="I15336" s="30" t="n">
        <f aca="false">pace+(g_tv*Sens!H15337-pace)*MIN(1,(Sens!I15335-pace_y0)/(pace_y1-pace_y0))</f>
        <v>1931.98611966667</v>
      </c>
      <c r="J15336" s="30" t="n">
        <f aca="false">pace+(g_tv*Sens!I15337-pace)*MIN(1,(Sens!J15335-pace_y0)/(pace_y1-pace_y0))</f>
        <v>1176.07686172667</v>
      </c>
      <c r="K15336" s="30" t="n">
        <f aca="false">pace+(g_tv*Sens!J15337-pace)*MIN(1,(Sens!K15335-pace_y0)/(pace_y1-pace_y0))</f>
        <v>436.1300484418</v>
      </c>
      <c r="L15336" s="12" t="s">
        <v>949</v>
      </c>
    </row>
    <row r="15337" customFormat="false" ht="17.15" hidden="false" customHeight="false" outlineLevel="0" collapsed="false">
      <c r="A15337" s="1" t="s">
        <v>950</v>
      </c>
      <c r="B15337" s="0" t="s">
        <v>456</v>
      </c>
      <c r="C15337" s="30" t="n">
        <f aca="false">mw_ext_24</f>
        <v>640</v>
      </c>
      <c r="D15337" s="30" t="n">
        <f aca="false">mw_ext_25</f>
        <v>1630</v>
      </c>
      <c r="E15337" s="30" t="n">
        <f aca="false">mw_ext_26</f>
        <v>3250</v>
      </c>
      <c r="F15337" s="30" t="n">
        <f aca="false">Sens!E15337+Sens!F15336</f>
        <v>5976.5351</v>
      </c>
      <c r="G15337" s="30" t="n">
        <f aca="false">Sens!F15337+Sens!G15336</f>
        <v>8703.0702</v>
      </c>
      <c r="H15337" s="30" t="n">
        <f aca="false">Sens!G15337+Sens!H15336</f>
        <v>11429.6053</v>
      </c>
      <c r="I15337" s="30" t="n">
        <f aca="false">Sens!H15337+Sens!I15336</f>
        <v>13361.5914196667</v>
      </c>
      <c r="J15337" s="30" t="n">
        <f aca="false">Sens!I15337+Sens!J15336</f>
        <v>14537.6682813933</v>
      </c>
      <c r="K15337" s="30" t="n">
        <f aca="false">Sens!J15337+Sens!K15336</f>
        <v>14973.7983298351</v>
      </c>
      <c r="L15337" s="1" t="s">
        <v>951</v>
      </c>
    </row>
    <row r="15338" customFormat="false" ht="17.15" hidden="false" customHeight="false" outlineLevel="0" collapsed="false">
      <c r="A15338" s="1" t="s">
        <v>952</v>
      </c>
      <c r="B15338" s="0" t="s">
        <v>456</v>
      </c>
      <c r="C15338" s="30" t="n">
        <f aca="false">rent_ext_24</f>
        <v>150</v>
      </c>
      <c r="D15338" s="30" t="n">
        <f aca="false">rent_ext_25</f>
        <v>400</v>
      </c>
      <c r="E15338" s="30" t="n">
        <f aca="false">rent_ext_26</f>
        <v>550</v>
      </c>
      <c r="F15338" s="30" t="n">
        <f aca="false">rent_ext_f</f>
        <v>756</v>
      </c>
      <c r="G15338" s="30" t="n">
        <f aca="false">rent_ext_f</f>
        <v>756</v>
      </c>
      <c r="H15338" s="30" t="n">
        <f aca="false">rent_ext_f</f>
        <v>756</v>
      </c>
      <c r="I15338" s="30" t="n">
        <f aca="false">rent_ext_f</f>
        <v>756</v>
      </c>
      <c r="J15338" s="30" t="n">
        <f aca="false">rent_ext_f</f>
        <v>756</v>
      </c>
      <c r="K15338" s="30" t="n">
        <f aca="false">rent_ext_f</f>
        <v>756</v>
      </c>
      <c r="L15338" s="1" t="s">
        <v>953</v>
      </c>
    </row>
    <row r="15339" customFormat="false" ht="17.15" hidden="false" customHeight="false" outlineLevel="0" collapsed="false">
      <c r="A15339" s="1" t="s">
        <v>954</v>
      </c>
      <c r="B15339" s="0" t="s">
        <v>456</v>
      </c>
      <c r="C15339" s="30" t="n">
        <f aca="false">Sens!C15337-Sens!C15338</f>
        <v>490</v>
      </c>
      <c r="D15339" s="30" t="n">
        <f aca="false">Sens!D15337-Sens!D15338</f>
        <v>1230</v>
      </c>
      <c r="E15339" s="30" t="n">
        <f aca="false">Sens!E15337-Sens!E15338</f>
        <v>2700</v>
      </c>
      <c r="F15339" s="30" t="n">
        <f aca="false">Sens!F15337-Sens!F15338</f>
        <v>5220.5351</v>
      </c>
      <c r="G15339" s="30" t="n">
        <f aca="false">Sens!G15337-Sens!G15338</f>
        <v>7947.0702</v>
      </c>
      <c r="H15339" s="30" t="n">
        <f aca="false">Sens!H15337-Sens!H15338</f>
        <v>10673.6053</v>
      </c>
      <c r="I15339" s="30" t="n">
        <f aca="false">Sens!I15337-Sens!I15338</f>
        <v>12605.5914196667</v>
      </c>
      <c r="J15339" s="30" t="n">
        <f aca="false">Sens!J15337-Sens!J15338</f>
        <v>13781.6682813933</v>
      </c>
      <c r="K15339" s="30" t="n">
        <f aca="false">Sens!K15337-Sens!K15338</f>
        <v>14217.7983298351</v>
      </c>
    </row>
    <row r="15340" customFormat="false" ht="17.15" hidden="false" customHeight="false" outlineLevel="0" collapsed="false">
      <c r="A15340" s="1" t="s">
        <v>955</v>
      </c>
      <c r="B15340" s="0" t="s">
        <v>456</v>
      </c>
      <c r="C15340" s="30" t="n">
        <f aca="false">Sens!C15339/ext_sh</f>
        <v>816.666666666667</v>
      </c>
      <c r="D15340" s="30" t="n">
        <f aca="false">Sens!D15339/ext_sh</f>
        <v>2050</v>
      </c>
      <c r="E15340" s="30" t="n">
        <f aca="false">Sens!E15339/ext_sh</f>
        <v>4500</v>
      </c>
      <c r="F15340" s="30" t="n">
        <f aca="false">Sens!F15339/ext_sh</f>
        <v>8700.89183333333</v>
      </c>
      <c r="G15340" s="30" t="n">
        <f aca="false">Sens!G15339/ext_sh</f>
        <v>13245.117</v>
      </c>
      <c r="H15340" s="30" t="n">
        <f aca="false">Sens!H15339/ext_sh</f>
        <v>17789.3421666667</v>
      </c>
      <c r="I15340" s="30" t="n">
        <f aca="false">Sens!I15339/ext_sh</f>
        <v>21009.3190327778</v>
      </c>
      <c r="J15340" s="30" t="n">
        <f aca="false">Sens!J15339/ext_sh</f>
        <v>22969.4471356556</v>
      </c>
      <c r="K15340" s="30" t="n">
        <f aca="false">Sens!K15339/ext_sh</f>
        <v>23696.3305497252</v>
      </c>
      <c r="L15340" s="1" t="s">
        <v>956</v>
      </c>
    </row>
    <row r="15341" customFormat="false" ht="17.15" hidden="false" customHeight="false" outlineLevel="0" collapsed="false">
      <c r="A15341" s="1" t="s">
        <v>957</v>
      </c>
      <c r="B15341" s="0" t="s">
        <v>456</v>
      </c>
      <c r="C15341" s="30" t="n">
        <f aca="false">Sens!C15340-Sens!C15339</f>
        <v>326.666666666667</v>
      </c>
      <c r="D15341" s="30" t="n">
        <f aca="false">Sens!D15340-Sens!D15339</f>
        <v>820</v>
      </c>
      <c r="E15341" s="30" t="n">
        <f aca="false">Sens!E15340-Sens!E15339</f>
        <v>1800</v>
      </c>
      <c r="F15341" s="30" t="n">
        <f aca="false">Sens!F15340-Sens!F15339</f>
        <v>3480.35673333333</v>
      </c>
      <c r="G15341" s="30" t="n">
        <f aca="false">Sens!G15340-Sens!G15339</f>
        <v>5298.0468</v>
      </c>
      <c r="H15341" s="30" t="n">
        <f aca="false">Sens!H15340-Sens!H15339</f>
        <v>7115.73686666667</v>
      </c>
      <c r="I15341" s="30" t="n">
        <f aca="false">Sens!I15340-Sens!I15339</f>
        <v>8403.72761311111</v>
      </c>
      <c r="J15341" s="30" t="n">
        <f aca="false">Sens!J15340-Sens!J15339</f>
        <v>9187.77885426222</v>
      </c>
      <c r="K15341" s="30" t="n">
        <f aca="false">Sens!K15340-Sens!K15339</f>
        <v>9478.53221989009</v>
      </c>
    </row>
    <row r="15342" customFormat="false" ht="17.15" hidden="false" customHeight="false" outlineLevel="0" collapsed="false">
      <c r="A15342" s="1" t="s">
        <v>958</v>
      </c>
      <c r="B15342" s="0" t="s">
        <v>456</v>
      </c>
      <c r="C15342" s="30" t="n">
        <f aca="false">Sens!C15340</f>
        <v>816.666666666667</v>
      </c>
      <c r="D15342" s="30" t="n">
        <f aca="false">Sens!D15340-Sens!C15340</f>
        <v>1233.33333333333</v>
      </c>
      <c r="E15342" s="30" t="n">
        <f aca="false">Sens!E15340-Sens!D15340</f>
        <v>2450</v>
      </c>
      <c r="F15342" s="30" t="n">
        <f aca="false">Sens!F15340-Sens!E15340</f>
        <v>4200.89183333333</v>
      </c>
      <c r="G15342" s="30" t="n">
        <f aca="false">Sens!G15340-Sens!F15340</f>
        <v>4544.22516666667</v>
      </c>
      <c r="H15342" s="30" t="n">
        <f aca="false">Sens!H15340-Sens!G15340</f>
        <v>4544.22516666667</v>
      </c>
      <c r="I15342" s="30" t="n">
        <f aca="false">Sens!I15340-Sens!H15340</f>
        <v>3219.97686611111</v>
      </c>
      <c r="J15342" s="30" t="n">
        <f aca="false">Sens!J15340-Sens!I15340</f>
        <v>1960.12810287778</v>
      </c>
      <c r="K15342" s="30" t="n">
        <f aca="false">Sens!K15340-Sens!J15340</f>
        <v>726.883414069667</v>
      </c>
    </row>
    <row r="15343" customFormat="false" ht="17.15" hidden="false" customHeight="false" outlineLevel="0" collapsed="false">
      <c r="A15343" s="1" t="s">
        <v>959</v>
      </c>
      <c r="B15343" s="0" t="s">
        <v>456</v>
      </c>
      <c r="D15343" s="30" t="n">
        <f aca="false">Sens!D15337-Sens!C15337</f>
        <v>990</v>
      </c>
      <c r="E15343" s="30" t="n">
        <f aca="false">Sens!E15337-Sens!D15337</f>
        <v>1620</v>
      </c>
      <c r="F15343" s="30" t="n">
        <f aca="false">Sens!F15337-Sens!E15337</f>
        <v>2726.5351</v>
      </c>
      <c r="G15343" s="30" t="n">
        <f aca="false">Sens!G15337-Sens!F15337</f>
        <v>2726.5351</v>
      </c>
      <c r="H15343" s="30" t="n">
        <f aca="false">Sens!H15337-Sens!G15337</f>
        <v>2726.5351</v>
      </c>
      <c r="I15343" s="30" t="n">
        <f aca="false">Sens!I15337-Sens!H15337</f>
        <v>1931.98611966667</v>
      </c>
      <c r="J15343" s="30" t="n">
        <f aca="false">Sens!J15337-Sens!I15337</f>
        <v>1176.07686172667</v>
      </c>
      <c r="K15343" s="30" t="n">
        <f aca="false">Sens!K15337-Sens!J15337</f>
        <v>436.130048441799</v>
      </c>
    </row>
    <row r="15344" customFormat="false" ht="17.15" hidden="false" customHeight="false" outlineLevel="0" collapsed="false">
      <c r="A15344" s="1" t="s">
        <v>960</v>
      </c>
      <c r="B15344" s="0" t="s">
        <v>456</v>
      </c>
      <c r="F15344" s="30" t="n">
        <f aca="false">Sens!F15363*ext_sh</f>
        <v>0</v>
      </c>
      <c r="G15344" s="30" t="n">
        <f aca="false">Sens!G15363*ext_sh</f>
        <v>0</v>
      </c>
      <c r="H15344" s="30" t="n">
        <f aca="false">Sens!H15363*ext_sh</f>
        <v>0</v>
      </c>
      <c r="I15344" s="30" t="n">
        <f aca="false">Sens!I15363*ext_sh</f>
        <v>490</v>
      </c>
      <c r="J15344" s="30" t="n">
        <f aca="false">Sens!J15363*ext_sh</f>
        <v>740</v>
      </c>
      <c r="K15344" s="30" t="n">
        <f aca="false">Sens!K15363*ext_sh</f>
        <v>1470</v>
      </c>
      <c r="L15344" s="1" t="s">
        <v>961</v>
      </c>
    </row>
    <row r="15345" customFormat="false" ht="17.15" hidden="false" customHeight="false" outlineLevel="0" collapsed="false">
      <c r="A15345" s="1" t="s">
        <v>962</v>
      </c>
      <c r="B15345" s="0" t="s">
        <v>456</v>
      </c>
      <c r="C15345" s="30" t="n">
        <f aca="false">mix_h*Sens!C15337</f>
        <v>128</v>
      </c>
      <c r="D15345" s="30" t="n">
        <f aca="false">mix_h*Sens!D15337</f>
        <v>326</v>
      </c>
      <c r="E15345" s="30" t="n">
        <f aca="false">mix_h*Sens!E15337</f>
        <v>650</v>
      </c>
      <c r="F15345" s="30" t="n">
        <f aca="false">Sens!E15345-Sens!F15344*mix_h</f>
        <v>650</v>
      </c>
      <c r="G15345" s="30" t="n">
        <f aca="false">Sens!F15345-Sens!G15344*mix_h</f>
        <v>650</v>
      </c>
      <c r="H15345" s="30" t="n">
        <f aca="false">Sens!G15345-Sens!H15344*mix_h</f>
        <v>650</v>
      </c>
      <c r="I15345" s="30" t="n">
        <f aca="false">Sens!H15345-Sens!I15344*mix_h</f>
        <v>552</v>
      </c>
      <c r="J15345" s="30" t="n">
        <f aca="false">Sens!I15345-Sens!J15344*mix_h</f>
        <v>404</v>
      </c>
      <c r="K15345" s="30" t="n">
        <f aca="false">Sens!J15345-Sens!K15344*mix_h</f>
        <v>110</v>
      </c>
    </row>
    <row r="15346" customFormat="false" ht="17.15" hidden="false" customHeight="false" outlineLevel="0" collapsed="false">
      <c r="A15346" s="1" t="s">
        <v>963</v>
      </c>
      <c r="B15346" s="0" t="s">
        <v>456</v>
      </c>
      <c r="C15346" s="30" t="n">
        <f aca="false">mix_g2*Sens!C15337</f>
        <v>288</v>
      </c>
      <c r="D15346" s="30" t="n">
        <f aca="false">mix_g2*Sens!D15337</f>
        <v>733.5</v>
      </c>
      <c r="E15346" s="30" t="n">
        <f aca="false">mix_g2*Sens!E15337</f>
        <v>1462.5</v>
      </c>
      <c r="F15346" s="30" t="n">
        <f aca="false">Sens!E15346-Sens!F15344*mix_g2</f>
        <v>1462.5</v>
      </c>
      <c r="G15346" s="30" t="n">
        <f aca="false">Sens!F15346-Sens!G15344*mix_g2</f>
        <v>1462.5</v>
      </c>
      <c r="H15346" s="30" t="n">
        <f aca="false">Sens!G15346-Sens!H15344*mix_g2</f>
        <v>1462.5</v>
      </c>
      <c r="I15346" s="30" t="n">
        <f aca="false">Sens!H15346-Sens!I15344*mix_g2</f>
        <v>1242</v>
      </c>
      <c r="J15346" s="30" t="n">
        <f aca="false">Sens!I15346-Sens!J15344*mix_g2</f>
        <v>909</v>
      </c>
      <c r="K15346" s="30" t="n">
        <f aca="false">Sens!J15346-Sens!K15344*mix_g2</f>
        <v>247.5</v>
      </c>
    </row>
    <row r="15347" customFormat="false" ht="17.15" hidden="false" customHeight="false" outlineLevel="0" collapsed="false">
      <c r="A15347" s="1" t="s">
        <v>964</v>
      </c>
      <c r="B15347" s="0" t="s">
        <v>456</v>
      </c>
      <c r="C15347" s="30" t="n">
        <f aca="false">mix_g3*Sens!C15337</f>
        <v>224</v>
      </c>
      <c r="D15347" s="30" t="n">
        <f aca="false">mix_g3*Sens!D15337</f>
        <v>570.5</v>
      </c>
      <c r="E15347" s="30" t="n">
        <f aca="false">mix_g3*Sens!E15337</f>
        <v>1137.5</v>
      </c>
      <c r="F15347" s="30" t="n">
        <f aca="false">Sens!E15347+(Sens!F15343+Sens!F15344)*(a_g3_27-nonnv*a_mai)-Sens!F15344*mix_g3</f>
        <v>2773.42106</v>
      </c>
      <c r="G15347" s="30" t="n">
        <f aca="false">Sens!F15347+(Sens!G15343+Sens!G15344)*(a_g3_28-nonnv*a_mai)-Sens!G15344*mix_g3</f>
        <v>3318.72808</v>
      </c>
      <c r="H15347" s="30" t="n">
        <f aca="false">Sens!G15347+(Sens!H15343+Sens!H15344)*(a_g3_29-nonnv*a_mai)-Sens!H15344*mix_g3</f>
        <v>3318.72808</v>
      </c>
      <c r="I15347" s="30" t="n">
        <f aca="false">Sens!H15347+(Sens!I15343+Sens!I15344)*(a_g3_29-nonnv*a_mai)-Sens!I15344*mix_g3</f>
        <v>3147.22808</v>
      </c>
      <c r="J15347" s="30" t="n">
        <f aca="false">Sens!I15347+(Sens!J15343+Sens!J15344)*(a_g3_29-nonnv*a_mai)-Sens!J15344*mix_g3</f>
        <v>2888.22808</v>
      </c>
      <c r="K15347" s="30" t="n">
        <f aca="false">Sens!J15347+(Sens!K15343+Sens!K15344)*(a_g3_29-nonnv*a_mai)-Sens!K15344*mix_g3</f>
        <v>2373.72808</v>
      </c>
    </row>
    <row r="15348" customFormat="false" ht="17.15" hidden="false" customHeight="false" outlineLevel="0" collapsed="false">
      <c r="A15348" s="1" t="s">
        <v>965</v>
      </c>
      <c r="B15348" s="0" t="s">
        <v>456</v>
      </c>
      <c r="C15348" s="30" t="n">
        <v>0</v>
      </c>
      <c r="D15348" s="30" t="n">
        <v>0</v>
      </c>
      <c r="E15348" s="30" t="n">
        <v>0</v>
      </c>
      <c r="F15348" s="30" t="n">
        <f aca="false">Sens!E15348+(Sens!F15343+Sens!F15344)*nonnv*a_mai</f>
        <v>272.65351</v>
      </c>
      <c r="G15348" s="30" t="n">
        <f aca="false">Sens!F15348+(Sens!G15343+Sens!G15344)*nonnv*a_mai</f>
        <v>545.30702</v>
      </c>
      <c r="H15348" s="30" t="n">
        <f aca="false">Sens!G15348+(Sens!H15343+Sens!H15344)*nonnv*a_mai</f>
        <v>817.96053</v>
      </c>
      <c r="I15348" s="30" t="n">
        <f aca="false">Sens!H15348+(Sens!I15343+Sens!I15344)*nonnv*a_mai</f>
        <v>1060.15914196667</v>
      </c>
      <c r="J15348" s="30" t="n">
        <f aca="false">Sens!I15348+(Sens!J15343+Sens!J15344)*nonnv*a_mai</f>
        <v>1251.76682813933</v>
      </c>
      <c r="K15348" s="30" t="n">
        <f aca="false">Sens!J15348+(Sens!K15343+Sens!K15344)*nonnv*a_mai</f>
        <v>1442.37983298351</v>
      </c>
      <c r="L15348" s="12" t="s">
        <v>966</v>
      </c>
    </row>
    <row r="15349" customFormat="false" ht="17.15" hidden="false" customHeight="false" outlineLevel="0" collapsed="false">
      <c r="A15349" s="1" t="s">
        <v>967</v>
      </c>
      <c r="B15349" s="0" t="s">
        <v>456</v>
      </c>
      <c r="C15349" s="30" t="n">
        <v>0</v>
      </c>
      <c r="D15349" s="30" t="n">
        <v>0</v>
      </c>
      <c r="E15349" s="30" t="n">
        <v>0</v>
      </c>
      <c r="F15349" s="30" t="n">
        <f aca="false">Sens!E15349+(Sens!F15343+Sens!F15344)*(1-a_g3_27)</f>
        <v>817.96053</v>
      </c>
      <c r="G15349" s="30" t="n">
        <f aca="false">Sens!F15349+(Sens!G15343+Sens!G15344)*(1-a_g3_28)</f>
        <v>2726.5351</v>
      </c>
      <c r="H15349" s="30" t="n">
        <f aca="false">Sens!G15349+(Sens!H15343+Sens!H15344)*(1-a_g3_29)</f>
        <v>5180.41669</v>
      </c>
      <c r="I15349" s="30" t="n">
        <f aca="false">Sens!H15349+(Sens!I15343+Sens!I15344)*(1-a_g3_29)</f>
        <v>7360.2041977</v>
      </c>
      <c r="J15349" s="30" t="n">
        <f aca="false">Sens!I15349+(Sens!J15343+Sens!J15344)*(1-a_g3_29)</f>
        <v>9084.673373254</v>
      </c>
      <c r="K15349" s="30" t="n">
        <f aca="false">Sens!J15349+(Sens!K15343+Sens!K15344)*(1-a_g3_29)</f>
        <v>10800.1904168516</v>
      </c>
    </row>
    <row r="15350" customFormat="false" ht="17.15" hidden="false" customHeight="false" outlineLevel="0" collapsed="false">
      <c r="A15350" s="1" t="s">
        <v>968</v>
      </c>
      <c r="B15350" s="0" t="s">
        <v>403</v>
      </c>
      <c r="C15350" s="15" t="n">
        <f aca="false">(Sens!C15345*tk_hold_h100+Sens!C15346*tk_hold_gb200+Sens!C15347*tk_hold_gb300+Sens!C15349*tk_hold_vr200+Sens!C15348*nv_hold_mai*tk_hold_vr200)/Sens!C15337</f>
        <v>9.7235358126469</v>
      </c>
      <c r="D15350" s="15" t="n">
        <f aca="false">(Sens!D15345*tk_hold_h100+Sens!D15346*tk_hold_gb200+Sens!D15347*tk_hold_gb300+Sens!D15349*tk_hold_vr200+Sens!D15348*nv_hold_mai*tk_hold_vr200)/Sens!D15337</f>
        <v>9.7235358126469</v>
      </c>
      <c r="E15350" s="15" t="n">
        <f aca="false">(Sens!E15345*tk_hold_h100+Sens!E15346*tk_hold_gb200+Sens!E15347*tk_hold_gb300+Sens!E15349*tk_hold_vr200+Sens!E15348*nv_hold_mai*tk_hold_vr200)/Sens!E15337</f>
        <v>9.7235358126469</v>
      </c>
      <c r="F15350" s="15" t="n">
        <f aca="false">(Sens!F15345*tk_hold_h100+Sens!F15346*tk_hold_gb200+Sens!F15347*tk_hold_gb300+Sens!F15349*tk_hold_vr200+Sens!F15348*nv_hold_mai*tk_hold_vr200)/Sens!F15337</f>
        <v>10.2195353876665</v>
      </c>
      <c r="G15350" s="15" t="n">
        <f aca="false">(Sens!G15345*tk_hold_h100+Sens!G15346*tk_hold_gb200+Sens!G15347*tk_hold_gb300+Sens!G15349*tk_hold_vr200+Sens!G15348*nv_hold_mai*tk_hold_vr200)/Sens!G15337</f>
        <v>10.5725598017306</v>
      </c>
      <c r="H15350" s="15" t="n">
        <f aca="false">(Sens!H15345*tk_hold_h100+Sens!H15346*tk_hold_gb200+Sens!H15347*tk_hold_gb300+Sens!H15349*tk_hold_vr200+Sens!H15348*nv_hold_mai*tk_hold_vr200)/Sens!H15337</f>
        <v>10.8210427149036</v>
      </c>
      <c r="I15350" s="15" t="n">
        <f aca="false">(Sens!I15345*tk_hold_h100+Sens!I15346*tk_hold_gb200+Sens!I15347*tk_hold_gb300+Sens!I15349*tk_hold_vr200+Sens!I15348*nv_hold_mai*tk_hold_vr200)/Sens!I15337</f>
        <v>11.0050618241982</v>
      </c>
      <c r="J15350" s="15" t="n">
        <f aca="false">(Sens!J15345*tk_hold_h100+Sens!J15346*tk_hold_gb200+Sens!J15347*tk_hold_gb300+Sens!J15349*tk_hold_vr200+Sens!J15348*nv_hold_mai*tk_hold_vr200)/Sens!J15337</f>
        <v>11.1505789658881</v>
      </c>
      <c r="K15350" s="15" t="n">
        <f aca="false">(Sens!K15345*tk_hold_h100+Sens!K15346*tk_hold_gb200+Sens!K15347*tk_hold_gb300+Sens!K15349*tk_hold_vr200+Sens!K15348*nv_hold_mai*tk_hold_vr200)/Sens!K15337</f>
        <v>11.3496914757183</v>
      </c>
      <c r="L15350" s="1" t="s">
        <v>969</v>
      </c>
    </row>
    <row r="15351" customFormat="false" ht="17.15" hidden="false" customHeight="false" outlineLevel="0" collapsed="false">
      <c r="A15351" s="1" t="s">
        <v>970</v>
      </c>
      <c r="B15351" s="0" t="s">
        <v>403</v>
      </c>
      <c r="C15351" s="15" t="n">
        <f aca="false">(Sens!C15345*tk_hold_h100+Sens!C15346*tk_hold_gb200+Sens!C15347*tk_hold_gb300+Sens!C15349*tk_hold_vr200+Sens!C15348*nv_out_mai*tk_hold_vr200)/Sens!C15337</f>
        <v>9.7235358126469</v>
      </c>
      <c r="D15351" s="15" t="n">
        <f aca="false">(Sens!D15345*tk_hold_h100+Sens!D15346*tk_hold_gb200+Sens!D15347*tk_hold_gb300+Sens!D15349*tk_hold_vr200+Sens!D15348*nv_out_mai*tk_hold_vr200)/Sens!D15337</f>
        <v>9.7235358126469</v>
      </c>
      <c r="E15351" s="15" t="n">
        <f aca="false">(Sens!E15345*tk_hold_h100+Sens!E15346*tk_hold_gb200+Sens!E15347*tk_hold_gb300+Sens!E15349*tk_hold_vr200+Sens!E15348*nv_out_mai*tk_hold_vr200)/Sens!E15337</f>
        <v>9.7235358126469</v>
      </c>
      <c r="F15351" s="15" t="n">
        <f aca="false">(Sens!F15345*tk_hold_h100+Sens!F15346*tk_hold_gb200+Sens!F15347*tk_hold_gb300+Sens!F15349*tk_hold_vr200+Sens!F15348*nv_out_mai*tk_hold_vr200)/Sens!F15337</f>
        <v>10.247422093969</v>
      </c>
      <c r="G15351" s="15" t="n">
        <f aca="false">(Sens!G15345*tk_hold_h100+Sens!G15346*tk_hold_gb200+Sens!G15347*tk_hold_gb300+Sens!G15349*tk_hold_vr200+Sens!G15348*nv_out_mai*tk_hold_vr200)/Sens!G15337</f>
        <v>10.6108602808053</v>
      </c>
      <c r="H15351" s="15" t="n">
        <f aca="false">(Sens!H15345*tk_hold_h100+Sens!H15346*tk_hold_gb200+Sens!H15347*tk_hold_gb300+Sens!H15349*tk_hold_vr200+Sens!H15348*nv_out_mai*tk_hold_vr200)/Sens!H15337</f>
        <v>10.8647885507393</v>
      </c>
      <c r="I15351" s="15" t="n">
        <f aca="false">(Sens!I15345*tk_hold_h100+Sens!I15346*tk_hold_gb200+Sens!I15347*tk_hold_gb300+Sens!I15349*tk_hold_vr200+Sens!I15348*nv_out_mai*tk_hold_vr200)/Sens!I15337</f>
        <v>11.0535625770025</v>
      </c>
      <c r="J15351" s="15" t="n">
        <f aca="false">(Sens!J15345*tk_hold_h100+Sens!J15346*tk_hold_gb200+Sens!J15347*tk_hold_gb300+Sens!J15349*tk_hold_vr200+Sens!J15348*nv_out_mai*tk_hold_vr200)/Sens!J15337</f>
        <v>11.2032127128058</v>
      </c>
      <c r="K15351" s="15" t="n">
        <f aca="false">(Sens!K15345*tk_hold_h100+Sens!K15346*tk_hold_gb200+Sens!K15347*tk_hold_gb300+Sens!K15349*tk_hold_vr200+Sens!K15348*nv_out_mai*tk_hold_vr200)/Sens!K15337</f>
        <v>11.4085735724225</v>
      </c>
      <c r="L15351" s="12" t="s">
        <v>971</v>
      </c>
    </row>
    <row r="15352" customFormat="false" ht="17.15" hidden="false" customHeight="false" outlineLevel="0" collapsed="false">
      <c r="A15352" s="0" t="s">
        <v>972</v>
      </c>
      <c r="B15352" s="0" t="s">
        <v>229</v>
      </c>
      <c r="C15352" s="15" t="n">
        <f aca="false">k_B</f>
        <v>1.17213932619116</v>
      </c>
      <c r="D15352" s="15" t="n">
        <f aca="false">k_B</f>
        <v>1.17213932619116</v>
      </c>
      <c r="E15352" s="15" t="n">
        <f aca="false">k_B</f>
        <v>1.17213932619116</v>
      </c>
      <c r="F15352" s="15" t="n">
        <f aca="false">(k_B+((ls_C*k_long+(1-ls_C)*k_spot)-k_B)*MIN(1,(Sens!F15335-base_fy)/k_ramp))*(k_long_lo/k_C)</f>
        <v>0.568553904031711</v>
      </c>
      <c r="G15352" s="15" t="n">
        <f aca="false">(k_B+((ls_C*k_long+(1-ls_C)*k_spot)-k_B)*MIN(1,(Sens!G15335-base_fy)/k_ramp))*(k_long_lo/k_C)</f>
        <v>0.519151338362468</v>
      </c>
      <c r="H15352" s="15" t="n">
        <f aca="false">(k_B+((ls_C*k_long+(1-ls_C)*k_spot)-k_B)*MIN(1,(Sens!H15335-base_fy)/k_ramp))*(k_long_lo/k_C)</f>
        <v>0.469748772693226</v>
      </c>
      <c r="I15352" s="15" t="n">
        <f aca="false">(k_B+((ls_C*k_long+(1-ls_C)*k_spot)-k_B)*MIN(1,(Sens!I15335-base_fy)/k_ramp))*(k_long_lo/k_C)</f>
        <v>0.469748772693226</v>
      </c>
      <c r="J15352" s="15" t="n">
        <f aca="false">(k_B+((ls_C*k_long+(1-ls_C)*k_spot)-k_B)*MIN(1,(Sens!J15335-base_fy)/k_ramp))*(k_long_lo/k_C)</f>
        <v>0.469748772693226</v>
      </c>
      <c r="K15352" s="15" t="n">
        <f aca="false">(k_B+((ls_C*k_long+(1-ls_C)*k_spot)-k_B)*MIN(1,(Sens!K15335-base_fy)/k_ramp))*(k_long_lo/k_C)</f>
        <v>0.469748772693226</v>
      </c>
      <c r="L15352" s="1" t="s">
        <v>973</v>
      </c>
    </row>
    <row r="15353" customFormat="false" ht="17.15" hidden="false" customHeight="false" outlineLevel="0" collapsed="false">
      <c r="A15353" s="1" t="s">
        <v>974</v>
      </c>
      <c r="B15353" s="0" t="s">
        <v>403</v>
      </c>
      <c r="C15353" s="15" t="n">
        <f aca="false">Sens!C15351*Sens!C15352*chip_f</f>
        <v>11.3973387156315</v>
      </c>
      <c r="D15353" s="15" t="n">
        <f aca="false">Sens!D15351*Sens!D15352*chip_f</f>
        <v>11.3973387156315</v>
      </c>
      <c r="E15353" s="15" t="n">
        <f aca="false">Sens!E15351*Sens!E15352*chip_f</f>
        <v>11.3973387156315</v>
      </c>
      <c r="F15353" s="15" t="n">
        <f aca="false">Sens!F15351*Sens!F15352*chip_f</f>
        <v>5.82621183778686</v>
      </c>
      <c r="G15353" s="15" t="n">
        <f aca="false">Sens!G15351*Sens!G15352*chip_f</f>
        <v>5.50864231595722</v>
      </c>
      <c r="H15353" s="15" t="n">
        <f aca="false">Sens!H15351*Sens!H15352*chip_f</f>
        <v>5.10372108728121</v>
      </c>
      <c r="I15353" s="15" t="n">
        <f aca="false">Sens!I15351*Sens!I15352*chip_f</f>
        <v>5.19239745443471</v>
      </c>
      <c r="J15353" s="15" t="n">
        <f aca="false">Sens!J15351*Sens!J15352*chip_f</f>
        <v>5.26269542206165</v>
      </c>
      <c r="K15353" s="15" t="n">
        <f aca="false">Sens!K15351*Sens!K15352*chip_f</f>
        <v>5.35916343382583</v>
      </c>
      <c r="L15353" s="1" t="s">
        <v>975</v>
      </c>
    </row>
    <row r="15354" customFormat="false" ht="17.15" hidden="false" customHeight="false" outlineLevel="0" collapsed="false">
      <c r="A15354" s="0" t="s">
        <v>976</v>
      </c>
      <c r="B15354" s="0" t="s">
        <v>98</v>
      </c>
      <c r="D15354" s="6" t="n">
        <f aca="false">(Sens!C15337+Sens!D15337)/2*Sens!D15353/1000</f>
        <v>12.9359794422418</v>
      </c>
      <c r="E15354" s="6" t="n">
        <f aca="false">(Sens!D15337+Sens!E15337)/2*Sens!E15353/1000</f>
        <v>27.8095064661409</v>
      </c>
      <c r="F15354" s="6" t="n">
        <f aca="false">(Sens!E15337+Sens!F15337)/2*Sens!F15353/1000</f>
        <v>26.877874010688</v>
      </c>
      <c r="G15354" s="6" t="n">
        <f aca="false">(Sens!F15337+Sens!G15337)/2*Sens!G15353/1000</f>
        <v>40.4323474685649</v>
      </c>
      <c r="H15354" s="6" t="n">
        <f aca="false">(Sens!G15337+Sens!H15337)/2*Sens!H15353/1000</f>
        <v>51.3757802463699</v>
      </c>
      <c r="I15354" s="6" t="n">
        <f aca="false">(Sens!H15337+Sens!I15337)/2*Sens!I15353/1000</f>
        <v>64.3628733697936</v>
      </c>
      <c r="J15354" s="6" t="n">
        <f aca="false">(Sens!I15337+Sens!J15337)/2*Sens!J15353/1000</f>
        <v>73.4126531538388</v>
      </c>
      <c r="K15354" s="6" t="n">
        <f aca="false">(Sens!J15337+Sens!K15337)/2*Sens!K15353/1000</f>
        <v>79.0783863707338</v>
      </c>
      <c r="L15354" s="12" t="s">
        <v>977</v>
      </c>
    </row>
    <row r="15355" customFormat="false" ht="17.15" hidden="false" customHeight="false" outlineLevel="0" collapsed="false">
      <c r="A15355" s="1" t="s">
        <v>978</v>
      </c>
      <c r="B15355" s="0" t="s">
        <v>403</v>
      </c>
      <c r="C15355" s="15" t="n">
        <f aca="false">(Sens!C15345*tk_opex_h100+Sens!C15346*tk_opex_gb200+Sens!C15347*tk_opex_gb300+(Sens!C15349+Sens!C15348)*tk_opex_vr200)/Sens!C15337</f>
        <v>1.88636041306092</v>
      </c>
      <c r="D15355" s="15" t="n">
        <f aca="false">(Sens!D15345*tk_opex_h100+Sens!D15346*tk_opex_gb200+Sens!D15347*tk_opex_gb300+(Sens!D15349+Sens!D15348)*tk_opex_vr200)/Sens!D15337</f>
        <v>1.88636041306092</v>
      </c>
      <c r="E15355" s="15" t="n">
        <f aca="false">(Sens!E15345*tk_opex_h100+Sens!E15346*tk_opex_gb200+Sens!E15347*tk_opex_gb300+(Sens!E15349+Sens!E15348)*tk_opex_vr200)/Sens!E15337</f>
        <v>1.88636041306092</v>
      </c>
      <c r="F15355" s="15" t="n">
        <f aca="false">(Sens!F15345*tk_opex_h100+Sens!F15346*tk_opex_gb200+Sens!F15347*tk_opex_gb300+(Sens!F15349+Sens!F15348)*tk_opex_vr200)/Sens!F15337</f>
        <v>1.95051159746876</v>
      </c>
      <c r="G15355" s="15" t="n">
        <f aca="false">(Sens!G15345*tk_opex_h100+Sens!G15346*tk_opex_gb200+Sens!G15347*tk_opex_gb300+(Sens!G15349+Sens!G15348)*tk_opex_vr200)/Sens!G15337</f>
        <v>1.98836003669956</v>
      </c>
      <c r="H15355" s="15" t="n">
        <f aca="false">(Sens!H15345*tk_opex_h100+Sens!H15346*tk_opex_gb200+Sens!H15347*tk_opex_gb300+(Sens!H15349+Sens!H15348)*tk_opex_vr200)/Sens!H15337</f>
        <v>2.01344013834343</v>
      </c>
      <c r="I15355" s="15" t="n">
        <f aca="false">(Sens!I15345*tk_opex_h100+Sens!I15346*tk_opex_gb200+Sens!I15347*tk_opex_gb300+(Sens!I15349+Sens!I15348)*tk_opex_vr200)/Sens!I15337</f>
        <v>2.03261166882178</v>
      </c>
      <c r="J15355" s="15" t="n">
        <f aca="false">(Sens!J15345*tk_opex_h100+Sens!J15346*tk_opex_gb200+Sens!J15347*tk_opex_gb300+(Sens!J15349+Sens!J15348)*tk_opex_vr200)/Sens!J15337</f>
        <v>2.04808073288745</v>
      </c>
      <c r="K15355" s="15" t="n">
        <f aca="false">(Sens!K15345*tk_opex_h100+Sens!K15346*tk_opex_gb200+Sens!K15347*tk_opex_gb300+(Sens!K15349+Sens!K15348)*tk_opex_vr200)/Sens!K15337</f>
        <v>2.06973825807449</v>
      </c>
      <c r="L15355" s="12" t="s">
        <v>979</v>
      </c>
    </row>
    <row r="15356" customFormat="false" ht="17.15" hidden="false" customHeight="false" outlineLevel="0" collapsed="false">
      <c r="A15356" s="0" t="s">
        <v>980</v>
      </c>
      <c r="B15356" s="0" t="s">
        <v>98</v>
      </c>
      <c r="D15356" s="6" t="n">
        <f aca="false">(Sens!C15340+Sens!D15340)/2*Sens!D15355/1000</f>
        <v>2.70378325872065</v>
      </c>
      <c r="E15356" s="6" t="n">
        <f aca="false">(Sens!D15340+Sens!E15340)/2*Sens!E15355/1000</f>
        <v>6.17783035277451</v>
      </c>
      <c r="F15356" s="6" t="n">
        <f aca="false">(Sens!E15340+Sens!F15340)/2*Sens!F15355/1000</f>
        <v>12.8742463089237</v>
      </c>
      <c r="G15356" s="6" t="n">
        <f aca="false">(Sens!F15340+Sens!G15340)/2*Sens!G15355/1000</f>
        <v>21.8182834646277</v>
      </c>
      <c r="H15356" s="6" t="n">
        <f aca="false">(Sens!G15340+Sens!H15340)/2*Sens!H15355/1000</f>
        <v>31.2430128789734</v>
      </c>
      <c r="I15356" s="6" t="n">
        <f aca="false">(Sens!H15340+Sens!I15340)/2*Sens!I15355/1000</f>
        <v>39.4313057443268</v>
      </c>
      <c r="J15356" s="6" t="n">
        <f aca="false">(Sens!I15340+Sens!J15340)/2*Sens!J15355/1000</f>
        <v>45.0360318228653</v>
      </c>
      <c r="K15356" s="6" t="n">
        <f aca="false">(Sens!J15340+Sens!K15340)/2*Sens!K15355/1000</f>
        <v>48.2929727091156</v>
      </c>
    </row>
    <row r="15357" customFormat="false" ht="17.15" hidden="false" customHeight="false" outlineLevel="0" collapsed="false">
      <c r="A15357" s="0" t="s">
        <v>981</v>
      </c>
      <c r="B15357" s="0" t="s">
        <v>98</v>
      </c>
      <c r="D15357" s="6" t="n">
        <f aca="false">(Sens!C15338+Sens!D15338)/2*rent_mw/1000</f>
        <v>2.44475</v>
      </c>
      <c r="E15357" s="6" t="n">
        <f aca="false">(Sens!D15338+Sens!E15338)/2*rent_mw/1000</f>
        <v>4.22275</v>
      </c>
      <c r="F15357" s="6" t="n">
        <f aca="false">(Sens!E15338+Sens!F15338)/2*rent_mw/1000</f>
        <v>5.80517</v>
      </c>
      <c r="G15357" s="6" t="n">
        <f aca="false">(Sens!F15338+Sens!G15338)/2*rent_mw/1000</f>
        <v>6.72084</v>
      </c>
      <c r="H15357" s="6" t="n">
        <f aca="false">(Sens!G15338+Sens!H15338)/2*rent_mw/1000</f>
        <v>6.72084</v>
      </c>
      <c r="I15357" s="6" t="n">
        <f aca="false">(Sens!H15338+Sens!I15338)/2*rent_mw/1000</f>
        <v>6.72084</v>
      </c>
      <c r="J15357" s="6" t="n">
        <f aca="false">(Sens!I15338+Sens!J15338)/2*rent_mw/1000</f>
        <v>6.72084</v>
      </c>
      <c r="K15357" s="6" t="n">
        <f aca="false">(Sens!J15338+Sens!K15338)/2*rent_mw/1000</f>
        <v>6.72084</v>
      </c>
    </row>
    <row r="15358" customFormat="false" ht="17.15" hidden="false" customHeight="false" outlineLevel="0" collapsed="false">
      <c r="A15358" s="0" t="s">
        <v>982</v>
      </c>
      <c r="B15358" s="0" t="s">
        <v>98</v>
      </c>
      <c r="D15358" s="6" t="n">
        <f aca="false">(Sens!C15340+Sens!D15340)/2*(1-self_build)*fac_rent/1000</f>
        <v>0.853242375631075</v>
      </c>
      <c r="E15358" s="6" t="n">
        <f aca="false">(Sens!D15340+Sens!E15340)/2*(1-self_build)*fac_rent/1000</f>
        <v>1.94955961408728</v>
      </c>
      <c r="F15358" s="6" t="n">
        <f aca="false">(Sens!E15340+Sens!F15340)/2*(1-self_build)*fac_rent/1000</f>
        <v>3.92914894476356</v>
      </c>
      <c r="G15358" s="6" t="n">
        <f aca="false">(Sens!F15340+Sens!G15340)/2*(1-self_build)*fac_rent/1000</f>
        <v>6.53206908578159</v>
      </c>
      <c r="H15358" s="6" t="n">
        <f aca="false">(Sens!G15340+Sens!H15340)/2*(1-self_build)*fac_rent/1000</f>
        <v>9.23717988341591</v>
      </c>
      <c r="I15358" s="6" t="n">
        <f aca="false">(Sens!H15340+Sens!I15340)/2*(1-self_build)*fac_rent/1000</f>
        <v>11.5481378557393</v>
      </c>
      <c r="J15358" s="6" t="n">
        <f aca="false">(Sens!I15340+Sens!J15340)/2*(1-self_build)*fac_rent/1000</f>
        <v>13.0899582289108</v>
      </c>
      <c r="K15358" s="6" t="n">
        <f aca="false">(Sens!J15340+Sens!K15340)/2*(1-self_build)*fac_rent/1000</f>
        <v>13.8897275626556</v>
      </c>
      <c r="L15358" s="12" t="s">
        <v>983</v>
      </c>
    </row>
    <row r="15359" customFormat="false" ht="17.15" hidden="false" customHeight="false" outlineLevel="0" collapsed="false">
      <c r="A15359" s="1" t="s">
        <v>984</v>
      </c>
      <c r="B15359" s="0" t="s">
        <v>168</v>
      </c>
      <c r="D15359" s="7" t="n">
        <f aca="false">(Sens!C15339+Sens!D15339)/(Sens!C15340+Sens!D15340)</f>
        <v>0.6</v>
      </c>
      <c r="E15359" s="7" t="n">
        <f aca="false">(Sens!D15339+Sens!E15339)/(Sens!D15340+Sens!E15340)</f>
        <v>0.6</v>
      </c>
      <c r="F15359" s="7" t="n">
        <f aca="false">(Sens!E15339+Sens!F15339)/(Sens!E15340+Sens!F15340)</f>
        <v>0.6</v>
      </c>
      <c r="G15359" s="7" t="n">
        <f aca="false">(Sens!F15339+Sens!G15339)/(Sens!F15340+Sens!G15340)</f>
        <v>0.6</v>
      </c>
      <c r="H15359" s="7" t="n">
        <f aca="false">(Sens!G15339+Sens!H15339)/(Sens!G15340+Sens!H15340)</f>
        <v>0.6</v>
      </c>
      <c r="I15359" s="7" t="n">
        <f aca="false">(Sens!H15339+Sens!I15339)/(Sens!H15340+Sens!I15340)</f>
        <v>0.6</v>
      </c>
      <c r="J15359" s="7" t="n">
        <f aca="false">(Sens!I15339+Sens!J15339)/(Sens!I15340+Sens!J15340)</f>
        <v>0.6</v>
      </c>
      <c r="K15359" s="7" t="n">
        <f aca="false">(Sens!J15339+Sens!K15339)/(Sens!J15340+Sens!K15340)</f>
        <v>0.6</v>
      </c>
    </row>
    <row r="15360" customFormat="false" ht="17.15" hidden="false" customHeight="false" outlineLevel="0" collapsed="false">
      <c r="A15360" s="0" t="s">
        <v>985</v>
      </c>
      <c r="B15360" s="0" t="s">
        <v>98</v>
      </c>
      <c r="D15360" s="6" t="n">
        <f aca="false">Sens!D15354-Sens!D15359*(Sens!D15356+Sens!D15358)-Sens!D15357</f>
        <v>8.35701406163072</v>
      </c>
      <c r="E15360" s="6" t="n">
        <f aca="false">Sens!E15354-Sens!E15359*(Sens!E15356+Sens!E15358)-Sens!E15357</f>
        <v>18.7103224860238</v>
      </c>
      <c r="F15360" s="6" t="n">
        <f aca="false">Sens!F15354-Sens!F15359*(Sens!F15356+Sens!F15358)-Sens!F15357</f>
        <v>10.9906668584756</v>
      </c>
      <c r="G15360" s="6" t="n">
        <f aca="false">Sens!G15354-Sens!G15359*(Sens!G15356+Sens!G15358)-Sens!G15357</f>
        <v>16.7012959383193</v>
      </c>
      <c r="H15360" s="6" t="n">
        <f aca="false">Sens!H15354-Sens!H15359*(Sens!H15356+Sens!H15358)-Sens!H15357</f>
        <v>20.3668245889363</v>
      </c>
      <c r="I15360" s="6" t="n">
        <f aca="false">Sens!I15354-Sens!I15359*(Sens!I15356+Sens!I15358)-Sens!I15357</f>
        <v>27.054367209754</v>
      </c>
      <c r="J15360" s="6" t="n">
        <f aca="false">Sens!J15354-Sens!J15359*(Sens!J15356+Sens!J15358)-Sens!J15357</f>
        <v>31.8162191227732</v>
      </c>
      <c r="K15360" s="6" t="n">
        <f aca="false">Sens!K15354-Sens!K15359*(Sens!K15356+Sens!K15358)-Sens!K15357</f>
        <v>35.0479262076711</v>
      </c>
    </row>
    <row r="15361" customFormat="false" ht="17.15" hidden="false" customHeight="false" outlineLevel="0" collapsed="false">
      <c r="A15361" s="1" t="s">
        <v>986</v>
      </c>
      <c r="B15361" s="0" t="s">
        <v>98</v>
      </c>
      <c r="D15361" s="6" t="n">
        <f aca="false">(1-Sens!D15359)*(Sens!D15356+Sens!D15358)</f>
        <v>1.42281025374069</v>
      </c>
      <c r="E15361" s="6" t="n">
        <f aca="false">(1-Sens!E15359)*(Sens!E15356+Sens!E15358)</f>
        <v>3.25095598674472</v>
      </c>
      <c r="F15361" s="6" t="n">
        <f aca="false">(1-Sens!F15359)*(Sens!F15356+Sens!F15358)</f>
        <v>6.72135810147489</v>
      </c>
      <c r="G15361" s="6" t="n">
        <f aca="false">(1-Sens!G15359)*(Sens!G15356+Sens!G15358)</f>
        <v>11.3401410201637</v>
      </c>
      <c r="H15361" s="6" t="n">
        <f aca="false">(1-Sens!H15359)*(Sens!H15356+Sens!H15358)</f>
        <v>16.1920771049557</v>
      </c>
      <c r="I15361" s="6" t="n">
        <f aca="false">(1-Sens!I15359)*(Sens!I15356+Sens!I15358)</f>
        <v>20.3917774400264</v>
      </c>
      <c r="J15361" s="6" t="n">
        <f aca="false">(1-Sens!J15359)*(Sens!J15356+Sens!J15358)</f>
        <v>23.2503960207104</v>
      </c>
      <c r="K15361" s="6" t="n">
        <f aca="false">(1-Sens!K15359)*(Sens!K15356+Sens!K15358)</f>
        <v>24.8730801087085</v>
      </c>
    </row>
    <row r="15362" customFormat="false" ht="17.15" hidden="false" customHeight="false" outlineLevel="0" collapsed="false">
      <c r="A15362" s="1" t="s">
        <v>987</v>
      </c>
      <c r="B15362" s="0" t="s">
        <v>414</v>
      </c>
      <c r="C15362" s="8" t="n">
        <f aca="false">cxit_open</f>
        <v>27.5918995</v>
      </c>
      <c r="D15362" s="8" t="n">
        <f aca="false">cxit_open</f>
        <v>27.5918995</v>
      </c>
      <c r="E15362" s="8" t="n">
        <f aca="false">cxit_open</f>
        <v>27.5918995</v>
      </c>
      <c r="F15362" s="8" t="n">
        <f aca="false">((a_g3_27-nonnv*a_mai)*tk_cxit_gb300+nonnv*a_mai*nv_hold_mai*tk_cxit_vr200+(1-a_g3_27)*tk_cxit_vr200)</f>
        <v>32.4975576</v>
      </c>
      <c r="G15362" s="8" t="n">
        <f aca="false">((a_g3_28-nonnv*a_mai)*tk_cxit_gb300+nonnv*a_mai*nv_hold_mai*tk_cxit_vr200+(1-a_g3_28)*tk_cxit_vr200)</f>
        <v>34.6372088</v>
      </c>
      <c r="H15362" s="8" t="n">
        <f aca="false">((a_g3_29-nonnv*a_mai)*tk_cxit_gb300+nonnv*a_mai*nv_hold_mai*tk_cxit_vr200+(1-a_g3_29)*tk_cxit_vr200)</f>
        <v>35.7070344</v>
      </c>
      <c r="I15362" s="8" t="n">
        <f aca="false">((a_g3_29-nonnv*a_mai)*tk_cxit_gb300+nonnv*a_mai*nv_hold_mai*tk_cxit_vr200+(1-a_g3_29)*tk_cxit_vr200)</f>
        <v>35.7070344</v>
      </c>
      <c r="J15362" s="8" t="n">
        <f aca="false">((a_g3_29-nonnv*a_mai)*tk_cxit_gb300+nonnv*a_mai*nv_hold_mai*tk_cxit_vr200+(1-a_g3_29)*tk_cxit_vr200)</f>
        <v>35.7070344</v>
      </c>
      <c r="K15362" s="8" t="n">
        <f aca="false">((a_g3_29-nonnv*a_mai)*tk_cxit_gb300+nonnv*a_mai*nv_hold_mai*tk_cxit_vr200+(1-a_g3_29)*tk_cxit_vr200)</f>
        <v>35.7070344</v>
      </c>
      <c r="L15362" s="12" t="s">
        <v>988</v>
      </c>
    </row>
    <row r="15363" customFormat="false" ht="17.15" hidden="false" customHeight="false" outlineLevel="0" collapsed="false">
      <c r="A15363" s="0" t="s">
        <v>989</v>
      </c>
      <c r="B15363" s="0" t="s">
        <v>456</v>
      </c>
      <c r="F15363" s="30" t="n">
        <f aca="false">Sens!C15342*IF(Sens!F15335-Sens!C15335=life_it,1,0)+Sens!D15342*IF(Sens!F15335-Sens!D15335=life_it,1,0)+Sens!E15342*IF(Sens!F15335-Sens!E15335=life_it,1,0)</f>
        <v>0</v>
      </c>
      <c r="G15363" s="30" t="n">
        <f aca="false">Sens!C15342*IF(Sens!G15335-Sens!C15335=life_it,1,0)+Sens!D15342*IF(Sens!G15335-Sens!D15335=life_it,1,0)+Sens!E15342*IF(Sens!G15335-Sens!E15335=life_it,1,0)+Sens!F15342*IF(Sens!G15335-Sens!F15335=life_it,1,0)</f>
        <v>0</v>
      </c>
      <c r="H15363" s="30" t="n">
        <f aca="false">Sens!C15342*IF(Sens!H15335-Sens!C15335=life_it,1,0)+Sens!D15342*IF(Sens!H15335-Sens!D15335=life_it,1,0)+Sens!E15342*IF(Sens!H15335-Sens!E15335=life_it,1,0)+Sens!F15342*IF(Sens!H15335-Sens!F15335=life_it,1,0)+Sens!G15342*IF(Sens!H15335-Sens!G15335=life_it,1,0)</f>
        <v>0</v>
      </c>
      <c r="I15363" s="30" t="n">
        <f aca="false">Sens!C15342*IF(Sens!I15335-Sens!C15335=life_it,1,0)+Sens!D15342*IF(Sens!I15335-Sens!D15335=life_it,1,0)+Sens!E15342*IF(Sens!I15335-Sens!E15335=life_it,1,0)+Sens!F15342*IF(Sens!I15335-Sens!F15335=life_it,1,0)+Sens!G15342*IF(Sens!I15335-Sens!G15335=life_it,1,0)+Sens!H15342*IF(Sens!I15335-Sens!H15335=life_it,1,0)</f>
        <v>816.666666666667</v>
      </c>
      <c r="J15363" s="30" t="n">
        <f aca="false">Sens!C15342*IF(Sens!J15335-Sens!C15335=life_it,1,0)+Sens!D15342*IF(Sens!J15335-Sens!D15335=life_it,1,0)+Sens!E15342*IF(Sens!J15335-Sens!E15335=life_it,1,0)+Sens!F15342*IF(Sens!J15335-Sens!F15335=life_it,1,0)+Sens!G15342*IF(Sens!J15335-Sens!G15335=life_it,1,0)+Sens!H15342*IF(Sens!J15335-Sens!H15335=life_it,1,0)+Sens!I15342*IF(Sens!J15335-Sens!I15335=life_it,1,0)</f>
        <v>1233.33333333333</v>
      </c>
      <c r="K15363" s="30" t="n">
        <f aca="false">Sens!C15342*IF(Sens!K15335-Sens!C15335=life_it,1,0)+Sens!D15342*IF(Sens!K15335-Sens!D15335=life_it,1,0)+Sens!E15342*IF(Sens!K15335-Sens!E15335=life_it,1,0)+Sens!F15342*IF(Sens!K15335-Sens!F15335=life_it,1,0)+Sens!G15342*IF(Sens!K15335-Sens!G15335=life_it,1,0)+Sens!H15342*IF(Sens!K15335-Sens!H15335=life_it,1,0)+Sens!I15342*IF(Sens!K15335-Sens!I15335=life_it,1,0)+Sens!J15342*IF(Sens!K15335-Sens!J15335=life_it,1,0)</f>
        <v>2450</v>
      </c>
      <c r="L15363" s="1" t="s">
        <v>990</v>
      </c>
    </row>
    <row r="15364" customFormat="false" ht="17.15" hidden="false" customHeight="false" outlineLevel="0" collapsed="false">
      <c r="A15364" s="0" t="s">
        <v>991</v>
      </c>
      <c r="B15364" s="0" t="s">
        <v>98</v>
      </c>
      <c r="C15364" s="6" t="n">
        <f aca="false">Sens!C15342*Sens!C15362/1000</f>
        <v>22.5333845916667</v>
      </c>
      <c r="D15364" s="6" t="n">
        <f aca="false">Sens!D15342*Sens!D15362/1000</f>
        <v>34.0300093833333</v>
      </c>
      <c r="E15364" s="6" t="n">
        <f aca="false">Sens!E15342*Sens!E15362/1000</f>
        <v>67.600153775</v>
      </c>
      <c r="F15364" s="6" t="n">
        <f aca="false">(Sens!F15342+Sens!F15363)*Sens!F15362/1000</f>
        <v>136.51872432512</v>
      </c>
      <c r="G15364" s="6" t="n">
        <f aca="false">(Sens!G15342+Sens!G15363)*Sens!G15362/1000</f>
        <v>157.399275932048</v>
      </c>
      <c r="H15364" s="6" t="n">
        <f aca="false">(Sens!H15342+Sens!H15363)*Sens!H15362/1000</f>
        <v>162.260804347512</v>
      </c>
      <c r="I15364" s="6" t="n">
        <f aca="false">(Sens!I15342+Sens!I15363)*Sens!I15362/1000</f>
        <v>144.136569485434</v>
      </c>
      <c r="J15364" s="6" t="n">
        <f aca="false">(Sens!J15342+Sens!J15363)*Sens!J15362/1000</f>
        <v>114.029037357864</v>
      </c>
      <c r="K15364" s="6" t="n">
        <f aca="false">(Sens!K15342+Sens!K15363)*Sens!K15362/1000</f>
        <v>113.437085350975</v>
      </c>
    </row>
    <row r="15365" customFormat="false" ht="17.15" hidden="false" customHeight="false" outlineLevel="0" collapsed="false">
      <c r="A15365" s="0" t="s">
        <v>992</v>
      </c>
      <c r="B15365" s="0" t="s">
        <v>98</v>
      </c>
      <c r="C15365" s="6" t="n">
        <f aca="false">Sens!C15342*self_build*tk_cxfac/1000</f>
        <v>6.2083</v>
      </c>
      <c r="D15365" s="6" t="n">
        <f aca="false">Sens!D15342*self_build*tk_cxfac/1000</f>
        <v>9.3758</v>
      </c>
      <c r="E15365" s="6" t="n">
        <f aca="false">Sens!E15342*self_build*tk_cxfac/1000</f>
        <v>18.6249</v>
      </c>
      <c r="F15365" s="6" t="n">
        <f aca="false">Sens!F15342*self_build*tk_cxfac/1000</f>
        <v>31.935179717</v>
      </c>
      <c r="G15365" s="6" t="n">
        <f aca="false">Sens!G15342*self_build*tk_cxfac/1000</f>
        <v>34.545199717</v>
      </c>
      <c r="H15365" s="6" t="n">
        <f aca="false">Sens!H15342*self_build*tk_cxfac/1000</f>
        <v>34.545199717</v>
      </c>
      <c r="I15365" s="6" t="n">
        <f aca="false">Sens!I15342*self_build*tk_cxfac/1000</f>
        <v>24.4782641361767</v>
      </c>
      <c r="J15365" s="6" t="n">
        <f aca="false">Sens!J15342*self_build*tk_cxfac/1000</f>
        <v>14.9008938380769</v>
      </c>
      <c r="K15365" s="6" t="n">
        <f aca="false">Sens!K15342*self_build*tk_cxfac/1000</f>
        <v>5.52576771375761</v>
      </c>
    </row>
    <row r="15366" customFormat="false" ht="17.15" hidden="false" customHeight="false" outlineLevel="0" collapsed="false">
      <c r="A15366" s="0" t="s">
        <v>993</v>
      </c>
      <c r="B15366" s="0" t="s">
        <v>98</v>
      </c>
      <c r="F15366" s="15" t="n">
        <f aca="false">capex_floor27-Sens!F15364-Sens!F15365-Sens!F15462</f>
        <v>-1.13853828194043</v>
      </c>
      <c r="L15366" s="12" t="s">
        <v>994</v>
      </c>
    </row>
    <row r="15367" customFormat="false" ht="17.15" hidden="false" customHeight="false" outlineLevel="0" collapsed="false">
      <c r="A15367" s="0" t="s">
        <v>995</v>
      </c>
      <c r="B15367" s="0" t="s">
        <v>98</v>
      </c>
      <c r="F15367" s="6" t="n">
        <f aca="false">MAX(0,Sens!F15366)</f>
        <v>0</v>
      </c>
    </row>
    <row r="15368" customFormat="false" ht="17.15" hidden="false" customHeight="false" outlineLevel="0" collapsed="false">
      <c r="A15368" s="0" t="s">
        <v>996</v>
      </c>
      <c r="B15368" s="0" t="s">
        <v>98</v>
      </c>
      <c r="C15368" s="6" t="n">
        <f aca="false">Sens!C15364</f>
        <v>22.5333845916667</v>
      </c>
      <c r="D15368" s="6" t="n">
        <f aca="false">Sens!D15364</f>
        <v>34.0300093833333</v>
      </c>
      <c r="E15368" s="6" t="n">
        <f aca="false">Sens!E15364</f>
        <v>67.600153775</v>
      </c>
      <c r="F15368" s="6" t="n">
        <f aca="false">Sens!F15364</f>
        <v>136.51872432512</v>
      </c>
      <c r="G15368" s="6" t="n">
        <f aca="false">Sens!G15364</f>
        <v>157.399275932048</v>
      </c>
      <c r="H15368" s="6" t="n">
        <f aca="false">Sens!H15364</f>
        <v>162.260804347512</v>
      </c>
      <c r="I15368" s="6" t="n">
        <f aca="false">Sens!I15364</f>
        <v>144.136569485434</v>
      </c>
      <c r="J15368" s="6" t="n">
        <f aca="false">Sens!J15364</f>
        <v>114.029037357864</v>
      </c>
      <c r="K15368" s="6" t="n">
        <f aca="false">Sens!K15364</f>
        <v>113.437085350975</v>
      </c>
    </row>
    <row r="15369" customFormat="false" ht="17.15" hidden="false" customHeight="false" outlineLevel="0" collapsed="false">
      <c r="A15369" s="0" t="s">
        <v>997</v>
      </c>
      <c r="B15369" s="0" t="s">
        <v>98</v>
      </c>
      <c r="C15369" s="6" t="n">
        <f aca="false">Sens!C15368+Sens!C15365</f>
        <v>28.7416845916667</v>
      </c>
      <c r="D15369" s="6" t="n">
        <f aca="false">Sens!D15368+Sens!D15365</f>
        <v>43.4058093833333</v>
      </c>
      <c r="E15369" s="6" t="n">
        <f aca="false">Sens!E15368+Sens!E15365</f>
        <v>86.225053775</v>
      </c>
      <c r="F15369" s="6" t="n">
        <f aca="false">Sens!F15368+Sens!F15365</f>
        <v>168.45390404212</v>
      </c>
      <c r="G15369" s="6" t="n">
        <f aca="false">Sens!G15368+Sens!G15365</f>
        <v>191.944475649048</v>
      </c>
      <c r="H15369" s="6" t="n">
        <f aca="false">Sens!H15368+Sens!H15365</f>
        <v>196.806004064512</v>
      </c>
      <c r="I15369" s="6" t="n">
        <f aca="false">Sens!I15368+Sens!I15365</f>
        <v>168.61483362161</v>
      </c>
      <c r="J15369" s="6" t="n">
        <f aca="false">Sens!J15368+Sens!J15365</f>
        <v>128.92993119594</v>
      </c>
      <c r="K15369" s="6" t="n">
        <f aca="false">Sens!K15368+Sens!K15365</f>
        <v>118.962853064733</v>
      </c>
      <c r="L15369" s="12" t="s">
        <v>998</v>
      </c>
    </row>
    <row r="15370" customFormat="false" ht="17.15" hidden="false" customHeight="false" outlineLevel="0" collapsed="false">
      <c r="A15370" s="0" t="s">
        <v>999</v>
      </c>
      <c r="B15370" s="0" t="s">
        <v>98</v>
      </c>
      <c r="E15370" s="6" t="n">
        <f aca="false">(Sens!C15368*IF(2&lt;life_it,1,IF(2=life_it,0.5,0))+Sens!D15368*IF(1&lt;life_it,1,IF(1=life_it,0.5,0))+Sens!E15368*0.5)/life_it</f>
        <v>15.0605784770833</v>
      </c>
      <c r="F15370" s="6" t="n">
        <f aca="false">(Sens!C15368*IF(3&lt;life_it,1,IF(3=life_it,0.5,0))+Sens!D15368*IF(2&lt;life_it,1,IF(2=life_it,0.5,0))+Sens!E15368*IF(1&lt;life_it,1,IF(1=life_it,0.5,0))+Sens!F15368*0.5)/life_it</f>
        <v>32.0704849854266</v>
      </c>
      <c r="G15370" s="6" t="n">
        <f aca="false">(Sens!C15368*IF(4&lt;life_it,1,IF(4=life_it,0.5,0))+Sens!D15368*IF(3&lt;life_it,1,IF(3=life_it,0.5,0))+Sens!E15368*IF(2&lt;life_it,1,IF(2=life_it,0.5,0))+Sens!F15368*IF(1&lt;life_it,1,IF(1=life_it,0.5,0))+Sens!G15368*0.5)/life_it</f>
        <v>56.5636516735239</v>
      </c>
      <c r="H15370" s="6" t="n">
        <f aca="false">(Sens!C15368*IF(5&lt;life_it,1,IF(5=life_it,0.5,0))+Sens!D15368*IF(4&lt;life_it,1,IF(4=life_it,0.5,0))+Sens!E15368*IF(3&lt;life_it,1,IF(3=life_it,0.5,0))+Sens!F15368*IF(2&lt;life_it,1,IF(2=life_it,0.5,0))+Sens!G15368*IF(1&lt;life_it,1,IF(1=life_it,0.5,0))+Sens!H15368*0.5)/life_it</f>
        <v>83.2019916968207</v>
      </c>
      <c r="I15370" s="6" t="n">
        <f aca="false">(Sens!C15368*IF(6&lt;life_it,1,IF(6=life_it,0.5,0))+Sens!D15368*IF(5&lt;life_it,1,IF(5=life_it,0.5,0))+Sens!E15368*IF(4&lt;life_it,1,IF(4=life_it,0.5,0))+Sens!F15368*IF(3&lt;life_it,1,IF(3=life_it,0.5,0))+Sens!G15368*IF(2&lt;life_it,1,IF(2=life_it,0.5,0))+Sens!H15368*IF(1&lt;life_it,1,IF(1=life_it,0.5,0))+Sens!I15368*0.5)/life_it</f>
        <v>106.857324133594</v>
      </c>
      <c r="J15370" s="6" t="n">
        <f aca="false">(Sens!C15368*IF(7&lt;life_it,1,IF(7=life_it,0.5,0))+Sens!D15368*IF(6&lt;life_it,1,IF(6=life_it,0.5,0))+Sens!E15368*IF(5&lt;life_it,1,IF(5=life_it,0.5,0))+Sens!F15368*IF(4&lt;life_it,1,IF(4=life_it,0.5,0))+Sens!G15368*IF(3&lt;life_it,1,IF(3=life_it,0.5,0))+Sens!H15368*IF(2&lt;life_it,1,IF(2=life_it,0.5,0))+Sens!I15368*IF(1&lt;life_it,1,IF(1=life_it,0.5,0))+Sens!J15368*0.5)/life_it</f>
        <v>123.657508539285</v>
      </c>
      <c r="K15370" s="6" t="n">
        <f aca="false">(Sens!C15368*IF(8&lt;life_it,1,IF(8=life_it,0.5,0))+Sens!D15368*IF(7&lt;life_it,1,IF(7=life_it,0.5,0))+Sens!E15368*IF(6&lt;life_it,1,IF(6=life_it,0.5,0))+Sens!F15368*IF(5&lt;life_it,1,IF(5=life_it,0.5,0))+Sens!G15368*IF(4&lt;life_it,1,IF(4=life_it,0.5,0))+Sens!H15368*IF(3&lt;life_it,1,IF(3=life_it,0.5,0))+Sens!I15368*IF(2&lt;life_it,1,IF(2=life_it,0.5,0))+Sens!J15368*IF(1&lt;life_it,1,IF(1=life_it,0.5,0))+Sens!K15368*0.5)/life_it</f>
        <v>134.143838501827</v>
      </c>
    </row>
    <row r="15371" customFormat="false" ht="17.15" hidden="false" customHeight="false" outlineLevel="0" collapsed="false">
      <c r="A15371" s="0" t="s">
        <v>1000</v>
      </c>
      <c r="B15371" s="0" t="s">
        <v>98</v>
      </c>
      <c r="E15371" s="6" t="n">
        <f aca="false">(Sens!C15365*IF(2&lt;life_fac,1,IF(2=life_fac,0.5,0))+Sens!D15365*IF(1&lt;life_fac,1,IF(1=life_fac,0.5,0))+Sens!E15365*0.5)/life_fac</f>
        <v>1.2448275</v>
      </c>
      <c r="F15371" s="6" t="n">
        <f aca="false">(Sens!C15365*IF(3&lt;life_fac,1,IF(3=life_fac,0.5,0))+Sens!D15365*IF(2&lt;life_fac,1,IF(2=life_fac,0.5,0))+Sens!E15365*IF(1&lt;life_fac,1,IF(1=life_fac,0.5,0))+Sens!F15365*0.5)/life_fac</f>
        <v>2.508829492925</v>
      </c>
      <c r="G15371" s="6" t="n">
        <f aca="false">(Sens!C15365*IF(4&lt;life_fac,1,IF(4=life_fac,0.5,0))+Sens!D15365*IF(3&lt;life_fac,1,IF(3=life_fac,0.5,0))+Sens!E15365*IF(2&lt;life_fac,1,IF(2=life_fac,0.5,0))+Sens!F15365*IF(1&lt;life_fac,1,IF(1=life_fac,0.5,0))+Sens!G15365*0.5)/life_fac</f>
        <v>4.170838978775</v>
      </c>
      <c r="H15371" s="6" t="n">
        <f aca="false">(Sens!C15365*IF(5&lt;life_fac,1,IF(5=life_fac,0.5,0))+Sens!D15365*IF(4&lt;life_fac,1,IF(4=life_fac,0.5,0))+Sens!E15365*IF(3&lt;life_fac,1,IF(3=life_fac,0.5,0))+Sens!F15365*IF(2&lt;life_fac,1,IF(2=life_fac,0.5,0))+Sens!G15365*IF(1&lt;life_fac,1,IF(1=life_fac,0.5,0))+Sens!H15365*0.5)/life_fac</f>
        <v>5.898098964625</v>
      </c>
      <c r="I15371" s="6" t="n">
        <f aca="false">(Sens!C15365*IF(6&lt;life_fac,1,IF(6=life_fac,0.5,0))+Sens!D15365*IF(5&lt;life_fac,1,IF(5=life_fac,0.5,0))+Sens!E15365*IF(4&lt;life_fac,1,IF(4=life_fac,0.5,0))+Sens!F15365*IF(3&lt;life_fac,1,IF(3=life_fac,0.5,0))+Sens!G15365*IF(2&lt;life_fac,1,IF(2=life_fac,0.5,0))+Sens!H15365*IF(1&lt;life_fac,1,IF(1=life_fac,0.5,0))+Sens!I15365*0.5)/life_fac</f>
        <v>7.37368556095442</v>
      </c>
      <c r="J15371" s="6" t="n">
        <f aca="false">(Sens!C15365*IF(7&lt;life_fac,1,IF(7=life_fac,0.5,0))+Sens!D15365*IF(6&lt;life_fac,1,IF(6=life_fac,0.5,0))+Sens!E15365*IF(5&lt;life_fac,1,IF(5=life_fac,0.5,0))+Sens!F15365*IF(4&lt;life_fac,1,IF(4=life_fac,0.5,0))+Sens!G15365*IF(3&lt;life_fac,1,IF(3=life_fac,0.5,0))+Sens!H15365*IF(2&lt;life_fac,1,IF(2=life_fac,0.5,0))+Sens!I15365*IF(1&lt;life_fac,1,IF(1=life_fac,0.5,0))+Sens!J15365*0.5)/life_fac</f>
        <v>8.35816451031075</v>
      </c>
      <c r="K15371" s="6" t="n">
        <f aca="false">(Sens!C15365*IF(8&lt;life_fac,1,IF(8=life_fac,0.5,0))+Sens!D15365*IF(7&lt;life_fac,1,IF(7=life_fac,0.5,0))+Sens!E15365*IF(6&lt;life_fac,1,IF(6=life_fac,0.5,0))+Sens!F15365*IF(5&lt;life_fac,1,IF(5=life_fac,0.5,0))+Sens!G15365*IF(4&lt;life_fac,1,IF(4=life_fac,0.5,0))+Sens!H15365*IF(3&lt;life_fac,1,IF(3=life_fac,0.5,0))+Sens!I15365*IF(2&lt;life_fac,1,IF(2=life_fac,0.5,0))+Sens!J15365*IF(1&lt;life_fac,1,IF(1=life_fac,0.5,0))+Sens!K15365*0.5)/life_fac</f>
        <v>8.86883104910662</v>
      </c>
    </row>
    <row r="15372" customFormat="false" ht="17.15" hidden="false" customHeight="false" outlineLevel="0" collapsed="false">
      <c r="A15372" s="0" t="s">
        <v>1001</v>
      </c>
      <c r="B15372" s="0" t="s">
        <v>98</v>
      </c>
      <c r="E15372" s="6" t="n">
        <f aca="false">Sens!E15370+Sens!E15371</f>
        <v>16.3054059770833</v>
      </c>
      <c r="F15372" s="6" t="n">
        <f aca="false">Sens!F15370+Sens!F15371</f>
        <v>34.5793144783516</v>
      </c>
      <c r="G15372" s="6" t="n">
        <f aca="false">Sens!G15370+Sens!G15371</f>
        <v>60.7344906522989</v>
      </c>
      <c r="H15372" s="6" t="n">
        <f aca="false">Sens!H15370+Sens!H15371</f>
        <v>89.1000906614457</v>
      </c>
      <c r="I15372" s="6" t="n">
        <f aca="false">Sens!I15370+Sens!I15371</f>
        <v>114.231009694548</v>
      </c>
      <c r="J15372" s="6" t="n">
        <f aca="false">Sens!J15370+Sens!J15371</f>
        <v>132.015673049596</v>
      </c>
      <c r="K15372" s="6" t="n">
        <f aca="false">Sens!K15370+Sens!K15371</f>
        <v>143.012669550934</v>
      </c>
    </row>
    <row r="15373" customFormat="false" ht="17.15" hidden="false" customHeight="false" outlineLevel="0" collapsed="false">
      <c r="A15373" s="0" t="s">
        <v>1002</v>
      </c>
      <c r="B15373" s="0" t="s">
        <v>98</v>
      </c>
      <c r="E15373" s="6" t="n">
        <f aca="false">Sens!E15360-Sens!E15359*Sens!E15372</f>
        <v>8.92707889977379</v>
      </c>
      <c r="F15373" s="6" t="n">
        <f aca="false">Sens!F15360-Sens!F15359*Sens!F15372</f>
        <v>-9.75692182853533</v>
      </c>
      <c r="G15373" s="6" t="n">
        <f aca="false">Sens!G15360-Sens!G15359*Sens!G15372</f>
        <v>-19.73939845306</v>
      </c>
      <c r="H15373" s="6" t="n">
        <f aca="false">Sens!H15360-Sens!H15359*Sens!H15372</f>
        <v>-33.0932298079311</v>
      </c>
      <c r="I15373" s="6" t="n">
        <f aca="false">Sens!I15360-Sens!I15359*Sens!I15372</f>
        <v>-41.484238606975</v>
      </c>
      <c r="J15373" s="6" t="n">
        <f aca="false">Sens!J15360-Sens!J15359*Sens!J15372</f>
        <v>-47.3931847069845</v>
      </c>
      <c r="K15373" s="6" t="n">
        <f aca="false">Sens!K15360-Sens!K15359*Sens!K15372</f>
        <v>-50.7596755228894</v>
      </c>
    </row>
    <row r="15374" customFormat="false" ht="17.15" hidden="false" customHeight="false" outlineLevel="0" collapsed="false">
      <c r="A15374" s="3" t="s">
        <v>1858</v>
      </c>
    </row>
    <row r="15375" customFormat="false" ht="15" hidden="false" customHeight="false" outlineLevel="0" collapsed="false">
      <c r="A15375" s="4" t="s">
        <v>43</v>
      </c>
      <c r="B15375" s="4" t="s">
        <v>65</v>
      </c>
      <c r="C15375" s="23" t="s">
        <v>938</v>
      </c>
      <c r="D15375" s="23" t="s">
        <v>939</v>
      </c>
      <c r="E15375" s="23" t="s">
        <v>940</v>
      </c>
      <c r="F15375" s="23" t="s">
        <v>941</v>
      </c>
      <c r="G15375" s="23" t="s">
        <v>942</v>
      </c>
      <c r="H15375" s="23" t="s">
        <v>943</v>
      </c>
      <c r="I15375" s="23" t="s">
        <v>944</v>
      </c>
      <c r="J15375" s="23" t="s">
        <v>945</v>
      </c>
      <c r="K15375" s="23" t="s">
        <v>946</v>
      </c>
      <c r="L15375" s="4" t="s">
        <v>47</v>
      </c>
    </row>
    <row r="15376" customFormat="false" ht="17.15" hidden="false" customHeight="false" outlineLevel="0" collapsed="false">
      <c r="A15376" s="0" t="s">
        <v>1021</v>
      </c>
      <c r="B15376" s="0" t="s">
        <v>98</v>
      </c>
      <c r="D15376" s="6" t="n">
        <f aca="false">Sens!D15354</f>
        <v>12.9359794422418</v>
      </c>
      <c r="E15376" s="6" t="n">
        <f aca="false">Sens!E15354</f>
        <v>27.8095064661409</v>
      </c>
      <c r="F15376" s="6" t="n">
        <f aca="false">Sens!F15354</f>
        <v>26.877874010688</v>
      </c>
      <c r="G15376" s="6" t="n">
        <f aca="false">Sens!G15354</f>
        <v>40.4323474685649</v>
      </c>
      <c r="H15376" s="6" t="n">
        <f aca="false">Sens!H15354</f>
        <v>51.3757802463699</v>
      </c>
      <c r="I15376" s="6" t="n">
        <f aca="false">Sens!I15354</f>
        <v>64.3628733697936</v>
      </c>
      <c r="J15376" s="6" t="n">
        <f aca="false">Sens!J15354</f>
        <v>73.4126531538388</v>
      </c>
      <c r="K15376" s="6" t="n">
        <f aca="false">Sens!K15354</f>
        <v>79.0783863707338</v>
      </c>
    </row>
    <row r="15377" customFormat="false" ht="17.15" hidden="false" customHeight="false" outlineLevel="0" collapsed="false">
      <c r="A15377" s="0" t="s">
        <v>1022</v>
      </c>
      <c r="B15377" s="0" t="s">
        <v>98</v>
      </c>
      <c r="D15377" s="6" t="n">
        <f aca="false">Q!L6-Sens!D15376</f>
        <v>59.6740205577583</v>
      </c>
      <c r="E15377" s="6" t="n">
        <f aca="false">Q!M6-Sens!E15376</f>
        <v>74.1284935338591</v>
      </c>
      <c r="F15377" s="6" t="n">
        <f aca="false">Q!$I$6+(Sens!F15376+Sens!E15377*(1+Sens!F15378))*(1-Q!$E$6/Q!M6)-Sens!F15376</f>
        <v>97.5628299510605</v>
      </c>
      <c r="G15377" s="6" t="n">
        <f aca="false">Sens!F15377*(1+Sens!G15378)</f>
        <v>115.919203757158</v>
      </c>
      <c r="H15377" s="6" t="n">
        <f aca="false">Sens!G15377*(1+Sens!H15378)</f>
        <v>134.595171733918</v>
      </c>
      <c r="I15377" s="6" t="n">
        <f aca="false">Sens!H15377*(1+Sens!I15378)</f>
        <v>152.640969271663</v>
      </c>
      <c r="J15377" s="6" t="n">
        <f aca="false">Sens!I15377*(1+Sens!J15378)</f>
        <v>168.979248604432</v>
      </c>
      <c r="K15377" s="6" t="n">
        <f aca="false">Sens!J15377*(1+Sens!K15378)</f>
        <v>182.497588492787</v>
      </c>
      <c r="L15377" s="12" t="s">
        <v>1023</v>
      </c>
    </row>
    <row r="15378" customFormat="false" ht="15" hidden="false" customHeight="false" outlineLevel="0" collapsed="false">
      <c r="A15378" s="1" t="s">
        <v>1024</v>
      </c>
      <c r="B15378" s="0" t="s">
        <v>168</v>
      </c>
      <c r="E15378" s="7" t="n">
        <f aca="false">Sens!E15377/Sens!D15377-1</f>
        <v>0.242223883039864</v>
      </c>
      <c r="F15378" s="7" t="n">
        <f aca="false">Sens!$E$15378+(glt_azo-Sens!$E$15378)*MIN(1,(Sens!F15335-base_fy)/n_conv)</f>
        <v>0.215186569199887</v>
      </c>
      <c r="G15378" s="7" t="n">
        <f aca="false">Sens!$E$15378+(glt_azo-Sens!$E$15378)*MIN(1,(Sens!G15335-base_fy)/n_conv)</f>
        <v>0.18814925535991</v>
      </c>
      <c r="H15378" s="7" t="n">
        <f aca="false">Sens!$E$15378+(glt_azo-Sens!$E$15378)*MIN(1,(Sens!H15335-base_fy)/n_conv)</f>
        <v>0.161111941519932</v>
      </c>
      <c r="I15378" s="7" t="n">
        <f aca="false">Sens!$E$15378+(glt_azo-Sens!$E$15378)*MIN(1,(Sens!I15335-base_fy)/n_conv)</f>
        <v>0.134074627679955</v>
      </c>
      <c r="J15378" s="7" t="n">
        <f aca="false">Sens!$E$15378+(glt_azo-Sens!$E$15378)*MIN(1,(Sens!J15335-base_fy)/n_conv)</f>
        <v>0.107037313839977</v>
      </c>
      <c r="K15378" s="7" t="n">
        <f aca="false">Sens!$E$15378+(glt_azo-Sens!$E$15378)*MIN(1,(Sens!K15335-base_fy)/n_conv)</f>
        <v>0.08</v>
      </c>
    </row>
    <row r="15379" customFormat="false" ht="15" hidden="false" customHeight="false" outlineLevel="0" collapsed="false">
      <c r="A15379" s="0" t="s">
        <v>1025</v>
      </c>
      <c r="B15379" s="0" t="s">
        <v>98</v>
      </c>
      <c r="D15379" s="6" t="n">
        <f aca="false">Sens!D15376+Sens!D15377</f>
        <v>72.61</v>
      </c>
      <c r="E15379" s="6" t="n">
        <f aca="false">Sens!E15376+Sens!E15377</f>
        <v>101.938</v>
      </c>
      <c r="F15379" s="6" t="n">
        <f aca="false">Sens!F15376+Sens!F15377</f>
        <v>124.440703961748</v>
      </c>
      <c r="G15379" s="6" t="n">
        <f aca="false">Sens!G15376+Sens!G15377</f>
        <v>156.351551225723</v>
      </c>
      <c r="H15379" s="6" t="n">
        <f aca="false">Sens!H15376+Sens!H15377</f>
        <v>185.970951980288</v>
      </c>
      <c r="I15379" s="6" t="n">
        <f aca="false">Sens!I15376+Sens!I15377</f>
        <v>217.003842641457</v>
      </c>
      <c r="J15379" s="6" t="n">
        <f aca="false">Sens!J15376+Sens!J15377</f>
        <v>242.391901758271</v>
      </c>
      <c r="K15379" s="6" t="n">
        <f aca="false">Sens!K15376+Sens!K15377</f>
        <v>261.575974863521</v>
      </c>
    </row>
    <row r="15380" customFormat="false" ht="17.15" hidden="false" customHeight="false" outlineLevel="0" collapsed="false">
      <c r="A15380" s="0" t="s">
        <v>1026</v>
      </c>
      <c r="B15380" s="1" t="s">
        <v>610</v>
      </c>
      <c r="C15380" s="30" t="n">
        <f aca="false">cop_s24</f>
        <v>1</v>
      </c>
      <c r="D15380" s="30" t="n">
        <f aca="false">cop_s25</f>
        <v>5</v>
      </c>
      <c r="E15380" s="30" t="n">
        <f aca="false">cop_s26</f>
        <v>30</v>
      </c>
      <c r="F15380" s="30" t="n">
        <f aca="false">Sens!E15380+cop_add_C</f>
        <v>40</v>
      </c>
      <c r="G15380" s="30" t="n">
        <f aca="false">Sens!F15380+cop_add_C</f>
        <v>50</v>
      </c>
      <c r="H15380" s="30" t="n">
        <f aca="false">Sens!G15380+cop_add_C</f>
        <v>60</v>
      </c>
      <c r="I15380" s="30" t="n">
        <f aca="false">Sens!H15380+cop_add_C*cop_tail</f>
        <v>65</v>
      </c>
      <c r="J15380" s="30" t="n">
        <f aca="false">Sens!I15380+cop_add_C*cop_tail</f>
        <v>70</v>
      </c>
      <c r="K15380" s="30" t="n">
        <f aca="false">Sens!J15380+cop_add_C*cop_tail</f>
        <v>75</v>
      </c>
      <c r="L15380" s="12" t="s">
        <v>1027</v>
      </c>
    </row>
    <row r="15381" customFormat="false" ht="17.15" hidden="false" customHeight="false" outlineLevel="0" collapsed="false">
      <c r="A15381" s="0" t="s">
        <v>1028</v>
      </c>
      <c r="B15381" s="0" t="s">
        <v>98</v>
      </c>
      <c r="D15381" s="6" t="n">
        <f aca="false">(Sens!C15380+Sens!D15380)/2*cop_px*12/1000</f>
        <v>0.9</v>
      </c>
      <c r="E15381" s="6" t="n">
        <f aca="false">(Sens!D15380+Sens!E15380)/2*cop_px*12/1000</f>
        <v>5.25</v>
      </c>
      <c r="F15381" s="6" t="n">
        <f aca="false">(Sens!E15380+Sens!F15380)/2*cop_px*12/1000</f>
        <v>10.5</v>
      </c>
      <c r="G15381" s="6" t="n">
        <f aca="false">(Sens!F15380+Sens!G15380)/2*cop_px*12/1000</f>
        <v>13.5</v>
      </c>
      <c r="H15381" s="6" t="n">
        <f aca="false">(Sens!G15380+Sens!H15380)/2*cop_px*12/1000</f>
        <v>16.5</v>
      </c>
      <c r="I15381" s="6" t="n">
        <f aca="false">(Sens!H15380+Sens!I15380)/2*cop_px*12/1000</f>
        <v>18.75</v>
      </c>
      <c r="J15381" s="6" t="n">
        <f aca="false">(Sens!I15380+Sens!J15380)/2*cop_px*12/1000</f>
        <v>20.25</v>
      </c>
      <c r="K15381" s="6" t="n">
        <f aca="false">(Sens!J15380+Sens!K15380)/2*cop_px*12/1000</f>
        <v>21.75</v>
      </c>
      <c r="L15381" s="1" t="s">
        <v>1029</v>
      </c>
    </row>
    <row r="15382" customFormat="false" ht="17.15" hidden="false" customHeight="false" outlineLevel="0" collapsed="false">
      <c r="A15382" s="0" t="s">
        <v>1030</v>
      </c>
      <c r="B15382" s="0" t="s">
        <v>98</v>
      </c>
      <c r="D15382" s="6" t="n">
        <f aca="false">Q!L7-Sens!D15381</f>
        <v>83.705</v>
      </c>
      <c r="E15382" s="6" t="n">
        <f aca="false">Q!M7-Sens!E15381</f>
        <v>95.049</v>
      </c>
      <c r="F15382" s="6" t="n">
        <f aca="false">Q!$I$7+(Sens!E15382*(1+Sens!F15383)+Sens!F15381)*(1-Q!$E$7/Q!M7)-Sens!F15381</f>
        <v>106.938354189776</v>
      </c>
      <c r="G15382" s="6" t="n">
        <f aca="false">Sens!F15382*(1+Sens!G15383)</f>
        <v>119.095360443801</v>
      </c>
      <c r="H15382" s="6" t="n">
        <f aca="false">Sens!G15382*(1+Sens!H15383)</f>
        <v>131.333811964563</v>
      </c>
      <c r="I15382" s="6" t="n">
        <f aca="false">Sens!H15382*(1+Sens!I15383)</f>
        <v>143.395665319381</v>
      </c>
      <c r="J15382" s="6" t="n">
        <f aca="false">Sens!I15382*(1+Sens!J15383)</f>
        <v>154.999327755573</v>
      </c>
      <c r="K15382" s="6" t="n">
        <f aca="false">Sens!J15382*(1+Sens!K15383)</f>
        <v>165.849280698463</v>
      </c>
      <c r="L15382" s="12" t="s">
        <v>1031</v>
      </c>
    </row>
    <row r="15383" customFormat="false" ht="15" hidden="false" customHeight="false" outlineLevel="0" collapsed="false">
      <c r="A15383" s="1" t="s">
        <v>1024</v>
      </c>
      <c r="B15383" s="0" t="s">
        <v>168</v>
      </c>
      <c r="E15383" s="7" t="n">
        <f aca="false">Sens!E15382/Sens!D15382-1</f>
        <v>0.135523564900544</v>
      </c>
      <c r="F15383" s="7" t="n">
        <f aca="false">Sens!$E$15383+(glt_m365b-Sens!$E$15383)*MIN(1,(Sens!F15335-base_fy)/n_conv)</f>
        <v>0.124602970750453</v>
      </c>
      <c r="G15383" s="7" t="n">
        <f aca="false">Sens!$E$15383+(glt_m365b-Sens!$E$15383)*MIN(1,(Sens!G15335-base_fy)/n_conv)</f>
        <v>0.113682376600363</v>
      </c>
      <c r="H15383" s="7" t="n">
        <f aca="false">Sens!$E$15383+(glt_m365b-Sens!$E$15383)*MIN(1,(Sens!H15335-base_fy)/n_conv)</f>
        <v>0.102761782450272</v>
      </c>
      <c r="I15383" s="7" t="n">
        <f aca="false">Sens!$E$15383+(glt_m365b-Sens!$E$15383)*MIN(1,(Sens!I15335-base_fy)/n_conv)</f>
        <v>0.0918411883001813</v>
      </c>
      <c r="J15383" s="7" t="n">
        <f aca="false">Sens!$E$15383+(glt_m365b-Sens!$E$15383)*MIN(1,(Sens!J15335-base_fy)/n_conv)</f>
        <v>0.0809205941500906</v>
      </c>
      <c r="K15383" s="7" t="n">
        <f aca="false">Sens!$E$15383+(glt_m365b-Sens!$E$15383)*MIN(1,(Sens!K15335-base_fy)/n_conv)</f>
        <v>0.07</v>
      </c>
    </row>
    <row r="15384" customFormat="false" ht="15" hidden="false" customHeight="false" outlineLevel="0" collapsed="false">
      <c r="A15384" s="0" t="s">
        <v>1032</v>
      </c>
      <c r="B15384" s="0" t="s">
        <v>98</v>
      </c>
      <c r="D15384" s="6" t="n">
        <f aca="false">Sens!D15382+Sens!D15381</f>
        <v>84.605</v>
      </c>
      <c r="E15384" s="6" t="n">
        <f aca="false">Sens!E15382+Sens!E15381</f>
        <v>100.299</v>
      </c>
      <c r="F15384" s="6" t="n">
        <f aca="false">Sens!F15382+Sens!F15381</f>
        <v>117.438354189776</v>
      </c>
      <c r="G15384" s="6" t="n">
        <f aca="false">Sens!G15382+Sens!G15381</f>
        <v>132.595360443801</v>
      </c>
      <c r="H15384" s="6" t="n">
        <f aca="false">Sens!H15382+Sens!H15381</f>
        <v>147.833811964563</v>
      </c>
      <c r="I15384" s="6" t="n">
        <f aca="false">Sens!I15382+Sens!I15381</f>
        <v>162.145665319381</v>
      </c>
      <c r="J15384" s="6" t="n">
        <f aca="false">Sens!J15382+Sens!J15381</f>
        <v>175.249327755573</v>
      </c>
      <c r="K15384" s="6" t="n">
        <f aca="false">Sens!K15382+Sens!K15381</f>
        <v>187.599280698463</v>
      </c>
    </row>
    <row r="15385" customFormat="false" ht="17.15" hidden="false" customHeight="false" outlineLevel="0" collapsed="false">
      <c r="A15385" s="0" t="s">
        <v>1033</v>
      </c>
      <c r="B15385" s="0" t="s">
        <v>98</v>
      </c>
      <c r="D15385" s="6" t="n">
        <f aca="false">Q!L8</f>
        <v>35.391</v>
      </c>
      <c r="E15385" s="6" t="n">
        <f aca="false">Q!M8</f>
        <v>37.285</v>
      </c>
      <c r="F15385" s="6" t="n">
        <f aca="false">Q!$I$8+(Q!M8-Q!$E$8)*(1+Sens!F15386)</f>
        <v>38.3851437782675</v>
      </c>
      <c r="G15385" s="6" t="n">
        <f aca="false">Sens!F15385*(1+Sens!G15386)</f>
        <v>40.0105353288615</v>
      </c>
      <c r="H15385" s="6" t="n">
        <f aca="false">Sens!G15385*(1+Sens!H15386)</f>
        <v>41.4812512033683</v>
      </c>
      <c r="I15385" s="6" t="n">
        <f aca="false">Sens!H15385*(1+Sens!I15386)</f>
        <v>42.7743107216329</v>
      </c>
      <c r="J15385" s="6" t="n">
        <f aca="false">Sens!I15385*(1+Sens!J15386)</f>
        <v>43.8687373064601</v>
      </c>
      <c r="K15385" s="6" t="n">
        <f aca="false">Sens!J15385*(1+Sens!K15386)</f>
        <v>44.7461120525893</v>
      </c>
      <c r="L15385" s="12" t="s">
        <v>1034</v>
      </c>
    </row>
    <row r="15386" customFormat="false" ht="15" hidden="false" customHeight="false" outlineLevel="0" collapsed="false">
      <c r="A15386" s="1" t="s">
        <v>1024</v>
      </c>
      <c r="B15386" s="0" t="s">
        <v>168</v>
      </c>
      <c r="E15386" s="7" t="n">
        <f aca="false">Sens!E15385/Sens!D15385-1</f>
        <v>0.0535164307309768</v>
      </c>
      <c r="F15386" s="7" t="n">
        <f aca="false">Sens!$E$15386+(glt_lic-Sens!$E$15386)*MIN(1,(Sens!F15335-base_fy)/n_conv)</f>
        <v>0.0479303589424807</v>
      </c>
      <c r="G15386" s="7" t="n">
        <f aca="false">Sens!$E$15386+(glt_lic-Sens!$E$15386)*MIN(1,(Sens!G15335-base_fy)/n_conv)</f>
        <v>0.0423442871539845</v>
      </c>
      <c r="H15386" s="7" t="n">
        <f aca="false">Sens!$E$15386+(glt_lic-Sens!$E$15386)*MIN(1,(Sens!H15335-base_fy)/n_conv)</f>
        <v>0.0367582153654884</v>
      </c>
      <c r="I15386" s="7" t="n">
        <f aca="false">Sens!$E$15386+(glt_lic-Sens!$E$15386)*MIN(1,(Sens!I15335-base_fy)/n_conv)</f>
        <v>0.0311721435769923</v>
      </c>
      <c r="J15386" s="7" t="n">
        <f aca="false">Sens!$E$15386+(glt_lic-Sens!$E$15386)*MIN(1,(Sens!J15335-base_fy)/n_conv)</f>
        <v>0.0255860717884961</v>
      </c>
      <c r="K15386" s="7" t="n">
        <f aca="false">Sens!$E$15386+(glt_lic-Sens!$E$15386)*MIN(1,(Sens!K15335-base_fy)/n_conv)</f>
        <v>0.02</v>
      </c>
    </row>
    <row r="15387" customFormat="false" ht="17.15" hidden="false" customHeight="false" outlineLevel="0" collapsed="false">
      <c r="A15387" s="0" t="s">
        <v>1035</v>
      </c>
      <c r="B15387" s="0" t="s">
        <v>98</v>
      </c>
      <c r="D15387" s="6" t="n">
        <f aca="false">Q!L9</f>
        <v>18.417</v>
      </c>
      <c r="E15387" s="6" t="n">
        <f aca="false">Q!M9</f>
        <v>20.345</v>
      </c>
      <c r="F15387" s="6" t="n">
        <f aca="false">Q!$I$9+(Q!M9-Q!$E$9)*(1+Sens!F15388)</f>
        <v>22.3161797133988</v>
      </c>
      <c r="G15387" s="6" t="n">
        <f aca="false">Sens!F15387*(1+Sens!G15388)</f>
        <v>24.3943499673233</v>
      </c>
      <c r="H15387" s="6" t="n">
        <f aca="false">Sens!G15387*(1+Sens!H15388)</f>
        <v>26.5250243109019</v>
      </c>
      <c r="I15387" s="6" t="n">
        <f aca="false">Sens!H15387*(1+Sens!I15388)</f>
        <v>28.6884573538181</v>
      </c>
      <c r="J15387" s="6" t="n">
        <f aca="false">Sens!I15387*(1+Sens!J15388)</f>
        <v>30.8624968052127</v>
      </c>
      <c r="K15387" s="6" t="n">
        <f aca="false">Sens!J15387*(1+Sens!K15388)</f>
        <v>33.0228715815776</v>
      </c>
      <c r="L15387" s="12" t="s">
        <v>1034</v>
      </c>
    </row>
    <row r="15388" customFormat="false" ht="15" hidden="false" customHeight="false" outlineLevel="0" collapsed="false">
      <c r="A15388" s="1" t="s">
        <v>1024</v>
      </c>
      <c r="B15388" s="0" t="s">
        <v>168</v>
      </c>
      <c r="E15388" s="7" t="n">
        <f aca="false">Sens!E15387/Sens!D15387-1</f>
        <v>0.104685888038225</v>
      </c>
      <c r="F15388" s="7" t="n">
        <f aca="false">Sens!$E$15388+(glt_ind-Sens!$E$15388)*MIN(1,(Sens!F15335-base_fy)/n_conv)</f>
        <v>0.0989049066985211</v>
      </c>
      <c r="G15388" s="7" t="n">
        <f aca="false">Sens!$E$15388+(glt_ind-Sens!$E$15388)*MIN(1,(Sens!G15335-base_fy)/n_conv)</f>
        <v>0.0931239253588169</v>
      </c>
      <c r="H15388" s="7" t="n">
        <f aca="false">Sens!$E$15388+(glt_ind-Sens!$E$15388)*MIN(1,(Sens!H15335-base_fy)/n_conv)</f>
        <v>0.0873429440191127</v>
      </c>
      <c r="I15388" s="7" t="n">
        <f aca="false">Sens!$E$15388+(glt_ind-Sens!$E$15388)*MIN(1,(Sens!I15335-base_fy)/n_conv)</f>
        <v>0.0815619626794085</v>
      </c>
      <c r="J15388" s="7" t="n">
        <f aca="false">Sens!$E$15388+(glt_ind-Sens!$E$15388)*MIN(1,(Sens!J15335-base_fy)/n_conv)</f>
        <v>0.0757809813397042</v>
      </c>
      <c r="K15388" s="7" t="n">
        <f aca="false">Sens!$E$15388+(glt_ind-Sens!$E$15388)*MIN(1,(Sens!K15335-base_fy)/n_conv)</f>
        <v>0.07</v>
      </c>
    </row>
    <row r="15389" customFormat="false" ht="17.15" hidden="false" customHeight="false" outlineLevel="0" collapsed="false">
      <c r="A15389" s="0" t="s">
        <v>1036</v>
      </c>
      <c r="B15389" s="0" t="s">
        <v>98</v>
      </c>
      <c r="D15389" s="6" t="n">
        <f aca="false">Q!L10</f>
        <v>7.76</v>
      </c>
      <c r="E15389" s="6" t="n">
        <f aca="false">Q!M10</f>
        <v>8.26</v>
      </c>
      <c r="F15389" s="6" t="n">
        <f aca="false">Q!$I$10+(Q!M10-Q!$E$10)*(1+Sens!F15390)</f>
        <v>8.75372082474227</v>
      </c>
      <c r="G15389" s="6" t="n">
        <f aca="false">Sens!F15389*(1+Sens!G15390)</f>
        <v>9.33399324642364</v>
      </c>
      <c r="H15389" s="6" t="n">
        <f aca="false">Sens!G15389*(1+Sens!H15390)</f>
        <v>9.96139155535851</v>
      </c>
      <c r="I15389" s="6" t="n">
        <f aca="false">Sens!H15389*(1+Sens!I15390)</f>
        <v>10.6402039077391</v>
      </c>
      <c r="J15389" s="6" t="n">
        <f aca="false">Sens!I15389*(1+Sens!J15390)</f>
        <v>11.3751458271397</v>
      </c>
      <c r="K15389" s="6" t="n">
        <f aca="false">Sens!J15389*(1+Sens!K15390)</f>
        <v>12.1714060350394</v>
      </c>
      <c r="L15389" s="12" t="s">
        <v>1034</v>
      </c>
    </row>
    <row r="15390" customFormat="false" ht="15" hidden="false" customHeight="false" outlineLevel="0" collapsed="false">
      <c r="A15390" s="1" t="s">
        <v>1024</v>
      </c>
      <c r="B15390" s="0" t="s">
        <v>168</v>
      </c>
      <c r="E15390" s="7" t="n">
        <f aca="false">Sens!E15389/Sens!D15389-1</f>
        <v>0.0644329896907216</v>
      </c>
      <c r="F15390" s="7" t="n">
        <f aca="false">Sens!$E$15390+(glt_fro-Sens!$E$15390)*MIN(1,(Sens!F15335-base_fy)/n_conv)</f>
        <v>0.065360824742268</v>
      </c>
      <c r="G15390" s="7" t="n">
        <f aca="false">Sens!$E$15390+(glt_fro-Sens!$E$15390)*MIN(1,(Sens!G15335-base_fy)/n_conv)</f>
        <v>0.0662886597938144</v>
      </c>
      <c r="H15390" s="7" t="n">
        <f aca="false">Sens!$E$15390+(glt_fro-Sens!$E$15390)*MIN(1,(Sens!H15335-base_fy)/n_conv)</f>
        <v>0.0672164948453608</v>
      </c>
      <c r="I15390" s="7" t="n">
        <f aca="false">Sens!$E$15390+(glt_fro-Sens!$E$15390)*MIN(1,(Sens!I15335-base_fy)/n_conv)</f>
        <v>0.0681443298969072</v>
      </c>
      <c r="J15390" s="7" t="n">
        <f aca="false">Sens!$E$15390+(glt_fro-Sens!$E$15390)*MIN(1,(Sens!J15335-base_fy)/n_conv)</f>
        <v>0.0690721649484536</v>
      </c>
      <c r="K15390" s="7" t="n">
        <f aca="false">Sens!$E$15390+(glt_fro-Sens!$E$15390)*MIN(1,(Sens!K15335-base_fy)/n_conv)</f>
        <v>0.07</v>
      </c>
    </row>
    <row r="15391" customFormat="false" ht="15" hidden="false" customHeight="false" outlineLevel="0" collapsed="false">
      <c r="A15391" s="0" t="s">
        <v>852</v>
      </c>
      <c r="B15391" s="0" t="s">
        <v>98</v>
      </c>
      <c r="D15391" s="6" t="n">
        <f aca="false">Sens!D15379+Sens!D15384+Sens!D15385+Sens!D15387+Sens!D15389</f>
        <v>218.783</v>
      </c>
      <c r="E15391" s="6" t="n">
        <f aca="false">Sens!E15379+Sens!E15384+Sens!E15385+Sens!E15387+Sens!E15389</f>
        <v>268.127</v>
      </c>
      <c r="F15391" s="6" t="n">
        <f aca="false">Sens!F15379+Sens!F15384+Sens!F15385+Sens!F15387+Sens!F15389</f>
        <v>311.334102467933</v>
      </c>
      <c r="G15391" s="6" t="n">
        <f aca="false">Sens!G15379+Sens!G15384+Sens!G15385+Sens!G15387+Sens!G15389</f>
        <v>362.685790212132</v>
      </c>
      <c r="H15391" s="6" t="n">
        <f aca="false">Sens!H15379+Sens!H15384+Sens!H15385+Sens!H15387+Sens!H15389</f>
        <v>411.77243101448</v>
      </c>
      <c r="I15391" s="6" t="n">
        <f aca="false">Sens!I15379+Sens!I15384+Sens!I15385+Sens!I15387+Sens!I15389</f>
        <v>461.252479944028</v>
      </c>
      <c r="J15391" s="6" t="n">
        <f aca="false">Sens!J15379+Sens!J15384+Sens!J15385+Sens!J15387+Sens!J15389</f>
        <v>503.747609452657</v>
      </c>
      <c r="K15391" s="6" t="n">
        <f aca="false">Sens!K15379+Sens!K15384+Sens!K15385+Sens!K15387+Sens!K15389</f>
        <v>539.11564523119</v>
      </c>
    </row>
    <row r="15392" customFormat="false" ht="17.15" hidden="false" customHeight="false" outlineLevel="0" collapsed="false">
      <c r="A15392" s="0" t="s">
        <v>1037</v>
      </c>
      <c r="B15392" s="0" t="s">
        <v>98</v>
      </c>
      <c r="D15392" s="6" t="n">
        <f aca="false">Q!L13</f>
        <v>22.171</v>
      </c>
      <c r="E15392" s="6" t="n">
        <f aca="false">Q!M13</f>
        <v>24.835</v>
      </c>
      <c r="F15392" s="6" t="n">
        <f aca="false">Q!$I$13+(Q!M13-Q!$E$13)*(1+Sens!F15393)</f>
        <v>27.5591895660247</v>
      </c>
      <c r="G15392" s="6" t="n">
        <f aca="false">Sens!F15392*(1+Sens!G15393)</f>
        <v>30.4098563144583</v>
      </c>
      <c r="H15392" s="6" t="n">
        <f aca="false">Sens!G15392*(1+Sens!H15393)</f>
        <v>33.3011792571777</v>
      </c>
      <c r="I15392" s="6" t="n">
        <f aca="false">Sens!H15392*(1+Sens!I15393)</f>
        <v>36.189023797112</v>
      </c>
      <c r="J15392" s="6" t="n">
        <f aca="false">Sens!I15392*(1+Sens!J15393)</f>
        <v>39.0247773769199</v>
      </c>
      <c r="K15392" s="6" t="n">
        <f aca="false">Sens!J15392*(1+Sens!K15393)</f>
        <v>41.7565117933043</v>
      </c>
      <c r="L15392" s="12" t="s">
        <v>1034</v>
      </c>
    </row>
    <row r="15393" customFormat="false" ht="15" hidden="false" customHeight="false" outlineLevel="0" collapsed="false">
      <c r="A15393" s="1" t="s">
        <v>1024</v>
      </c>
      <c r="B15393" s="0" t="s">
        <v>168</v>
      </c>
      <c r="E15393" s="7" t="n">
        <f aca="false">Sens!E15392/Sens!D15392-1</f>
        <v>0.120156961796942</v>
      </c>
      <c r="F15393" s="7" t="n">
        <f aca="false">Sens!$E$15393+(glt_srch-Sens!$E$15393)*MIN(1,(Sens!F15335-base_fy)/n_conv)</f>
        <v>0.111797468164118</v>
      </c>
      <c r="G15393" s="7" t="n">
        <f aca="false">Sens!$E$15393+(glt_srch-Sens!$E$15393)*MIN(1,(Sens!G15335-base_fy)/n_conv)</f>
        <v>0.103437974531295</v>
      </c>
      <c r="H15393" s="7" t="n">
        <f aca="false">Sens!$E$15393+(glt_srch-Sens!$E$15393)*MIN(1,(Sens!H15335-base_fy)/n_conv)</f>
        <v>0.095078480898471</v>
      </c>
      <c r="I15393" s="7" t="n">
        <f aca="false">Sens!$E$15393+(glt_srch-Sens!$E$15393)*MIN(1,(Sens!I15335-base_fy)/n_conv)</f>
        <v>0.0867189872656474</v>
      </c>
      <c r="J15393" s="7" t="n">
        <f aca="false">Sens!$E$15393+(glt_srch-Sens!$E$15393)*MIN(1,(Sens!J15335-base_fy)/n_conv)</f>
        <v>0.0783594936328237</v>
      </c>
      <c r="K15393" s="7" t="n">
        <f aca="false">Sens!$E$15393+(glt_srch-Sens!$E$15393)*MIN(1,(Sens!K15335-base_fy)/n_conv)</f>
        <v>0.07</v>
      </c>
    </row>
    <row r="15394" customFormat="false" ht="17.15" hidden="false" customHeight="false" outlineLevel="0" collapsed="false">
      <c r="A15394" s="0" t="s">
        <v>1038</v>
      </c>
      <c r="B15394" s="0" t="s">
        <v>98</v>
      </c>
      <c r="D15394" s="6" t="n">
        <f aca="false">Q!L14</f>
        <v>23.455</v>
      </c>
      <c r="E15394" s="6" t="n">
        <f aca="false">Q!M14</f>
        <v>21.79</v>
      </c>
      <c r="F15394" s="6" t="n">
        <f aca="false">Q!$I$14+(Q!M14-Q!$E$14)*(1+Sens!F15395)</f>
        <v>20.7520981041711</v>
      </c>
      <c r="G15394" s="6" t="n">
        <f aca="false">Sens!F15394*(1+Sens!G15395)</f>
        <v>19.9083593495882</v>
      </c>
      <c r="H15394" s="6" t="n">
        <f aca="false">Sens!G15394*(1+Sens!H15395)</f>
        <v>19.4008256265831</v>
      </c>
      <c r="I15394" s="6" t="n">
        <f aca="false">Sens!H15394*(1+Sens!I15395)</f>
        <v>19.200434522122</v>
      </c>
      <c r="J15394" s="6" t="n">
        <f aca="false">Sens!I15394*(1+Sens!J15395)</f>
        <v>19.2932782348507</v>
      </c>
      <c r="K15394" s="6" t="n">
        <f aca="false">Sens!J15394*(1+Sens!K15395)</f>
        <v>19.6791437995477</v>
      </c>
      <c r="L15394" s="12" t="s">
        <v>1034</v>
      </c>
    </row>
    <row r="15395" customFormat="false" ht="15" hidden="false" customHeight="false" outlineLevel="0" collapsed="false">
      <c r="A15395" s="1" t="s">
        <v>1024</v>
      </c>
      <c r="B15395" s="0" t="s">
        <v>168</v>
      </c>
      <c r="E15395" s="7" t="n">
        <f aca="false">Sens!E15394/Sens!D15394-1</f>
        <v>-0.0709869963760392</v>
      </c>
      <c r="F15395" s="7" t="n">
        <f aca="false">Sens!$E$15395+(glt_xbox-Sens!$E$15395)*MIN(1,(Sens!F15335-base_fy)/n_conv)</f>
        <v>-0.0558224969800327</v>
      </c>
      <c r="G15395" s="7" t="n">
        <f aca="false">Sens!$E$15395+(glt_xbox-Sens!$E$15395)*MIN(1,(Sens!G15335-base_fy)/n_conv)</f>
        <v>-0.0406579975840262</v>
      </c>
      <c r="H15395" s="7" t="n">
        <f aca="false">Sens!$E$15395+(glt_xbox-Sens!$E$15395)*MIN(1,(Sens!H15335-base_fy)/n_conv)</f>
        <v>-0.0254934981880196</v>
      </c>
      <c r="I15395" s="7" t="n">
        <f aca="false">Sens!$E$15395+(glt_xbox-Sens!$E$15395)*MIN(1,(Sens!I15335-base_fy)/n_conv)</f>
        <v>-0.0103289987920131</v>
      </c>
      <c r="J15395" s="7" t="n">
        <f aca="false">Sens!$E$15395+(glt_xbox-Sens!$E$15395)*MIN(1,(Sens!J15335-base_fy)/n_conv)</f>
        <v>0.00483550060399347</v>
      </c>
      <c r="K15395" s="7" t="n">
        <f aca="false">Sens!$E$15395+(glt_xbox-Sens!$E$15395)*MIN(1,(Sens!K15335-base_fy)/n_conv)</f>
        <v>0.02</v>
      </c>
    </row>
    <row r="15396" customFormat="false" ht="17.15" hidden="false" customHeight="false" outlineLevel="0" collapsed="false">
      <c r="A15396" s="0" t="s">
        <v>1039</v>
      </c>
      <c r="B15396" s="0" t="s">
        <v>98</v>
      </c>
      <c r="D15396" s="6" t="n">
        <f aca="false">Q!L15</f>
        <v>17.315</v>
      </c>
      <c r="E15396" s="6" t="n">
        <f aca="false">Q!M15</f>
        <v>17.087</v>
      </c>
      <c r="F15396" s="6" t="n">
        <f aca="false">Q!$I$15+(Q!M15-Q!$E$15)*(1+Sens!F15397)</f>
        <v>15.9912273250553</v>
      </c>
      <c r="G15396" s="6" t="n">
        <f aca="false">Sens!F15396*(1+Sens!G15397)</f>
        <v>15.9574562664827</v>
      </c>
      <c r="H15396" s="6" t="n">
        <f aca="false">Sens!G15396*(1+Sens!H15397)</f>
        <v>16.0119687434196</v>
      </c>
      <c r="I15396" s="6" t="n">
        <f aca="false">Sens!H15396*(1+Sens!I15397)</f>
        <v>16.1551810001948</v>
      </c>
      <c r="J15396" s="6" t="n">
        <f aca="false">Sens!I15396*(1+Sens!J15397)</f>
        <v>16.3889793892005</v>
      </c>
      <c r="K15396" s="6" t="n">
        <f aca="false">Sens!J15396*(1+Sens!K15397)</f>
        <v>16.7167589769845</v>
      </c>
      <c r="L15396" s="12" t="s">
        <v>1034</v>
      </c>
    </row>
    <row r="15397" customFormat="false" ht="15" hidden="false" customHeight="false" outlineLevel="0" collapsed="false">
      <c r="A15397" s="1" t="s">
        <v>1024</v>
      </c>
      <c r="B15397" s="0" t="s">
        <v>168</v>
      </c>
      <c r="E15397" s="7" t="n">
        <f aca="false">Sens!E15396/Sens!D15396-1</f>
        <v>-0.0131677736066995</v>
      </c>
      <c r="F15397" s="7" t="n">
        <f aca="false">Sens!$E$15397+(glt_win-Sens!$E$15397)*MIN(1,(Sens!F15335-base_fy)/n_conv)</f>
        <v>-0.00763981133891627</v>
      </c>
      <c r="G15397" s="7" t="n">
        <f aca="false">Sens!$E$15397+(glt_win-Sens!$E$15397)*MIN(1,(Sens!G15335-base_fy)/n_conv)</f>
        <v>-0.00211184907113301</v>
      </c>
      <c r="H15397" s="7" t="n">
        <f aca="false">Sens!$E$15397+(glt_win-Sens!$E$15397)*MIN(1,(Sens!H15335-base_fy)/n_conv)</f>
        <v>0.00341611319665024</v>
      </c>
      <c r="I15397" s="7" t="n">
        <f aca="false">Sens!$E$15397+(glt_win-Sens!$E$15397)*MIN(1,(Sens!I15335-base_fy)/n_conv)</f>
        <v>0.00894407546443349</v>
      </c>
      <c r="J15397" s="7" t="n">
        <f aca="false">Sens!$E$15397+(glt_win-Sens!$E$15397)*MIN(1,(Sens!J15335-base_fy)/n_conv)</f>
        <v>0.0144720377322168</v>
      </c>
      <c r="K15397" s="7" t="n">
        <f aca="false">Sens!$E$15397+(glt_win-Sens!$E$15397)*MIN(1,(Sens!K15335-base_fy)/n_conv)</f>
        <v>0.02</v>
      </c>
    </row>
    <row r="15398" customFormat="false" ht="15" hidden="false" customHeight="false" outlineLevel="0" collapsed="false">
      <c r="A15398" s="0" t="s">
        <v>866</v>
      </c>
      <c r="B15398" s="0" t="s">
        <v>98</v>
      </c>
      <c r="D15398" s="6" t="n">
        <f aca="false">Sens!D15392+Sens!D15394+Sens!D15396</f>
        <v>62.941</v>
      </c>
      <c r="E15398" s="6" t="n">
        <f aca="false">Sens!E15392+Sens!E15394+Sens!E15396</f>
        <v>63.712</v>
      </c>
      <c r="F15398" s="6" t="n">
        <f aca="false">Sens!F15392+Sens!F15394+Sens!F15396</f>
        <v>64.3025149952511</v>
      </c>
      <c r="G15398" s="6" t="n">
        <f aca="false">Sens!G15392+Sens!G15394+Sens!G15396</f>
        <v>66.2756719305292</v>
      </c>
      <c r="H15398" s="6" t="n">
        <f aca="false">Sens!H15392+Sens!H15394+Sens!H15396</f>
        <v>68.7139736271804</v>
      </c>
      <c r="I15398" s="6" t="n">
        <f aca="false">Sens!I15392+Sens!I15394+Sens!I15396</f>
        <v>71.5446393194289</v>
      </c>
      <c r="J15398" s="6" t="n">
        <f aca="false">Sens!J15392+Sens!J15394+Sens!J15396</f>
        <v>74.707035000971</v>
      </c>
      <c r="K15398" s="6" t="n">
        <f aca="false">Sens!K15392+Sens!K15394+Sens!K15396</f>
        <v>78.1524145698365</v>
      </c>
    </row>
    <row r="15399" customFormat="false" ht="15" hidden="false" customHeight="false" outlineLevel="0" collapsed="false">
      <c r="A15399" s="1" t="s">
        <v>1040</v>
      </c>
      <c r="B15399" s="0" t="s">
        <v>98</v>
      </c>
      <c r="D15399" s="6" t="n">
        <f aca="false">Sens!D15391+Sens!D15398</f>
        <v>281.724</v>
      </c>
      <c r="E15399" s="6" t="n">
        <f aca="false">Sens!E15391+Sens!E15398</f>
        <v>331.839</v>
      </c>
      <c r="F15399" s="6" t="n">
        <f aca="false">Sens!F15391+Sens!F15398</f>
        <v>375.636617463184</v>
      </c>
      <c r="G15399" s="6" t="n">
        <f aca="false">Sens!G15391+Sens!G15398</f>
        <v>428.961462142661</v>
      </c>
      <c r="H15399" s="6" t="n">
        <f aca="false">Sens!H15391+Sens!H15398</f>
        <v>480.48640464166</v>
      </c>
      <c r="I15399" s="6" t="n">
        <f aca="false">Sens!I15391+Sens!I15398</f>
        <v>532.797119263457</v>
      </c>
      <c r="J15399" s="6" t="n">
        <f aca="false">Sens!J15391+Sens!J15398</f>
        <v>578.454644453628</v>
      </c>
      <c r="K15399" s="6" t="n">
        <f aca="false">Sens!K15391+Sens!K15398</f>
        <v>617.268059801027</v>
      </c>
    </row>
    <row r="15400" customFormat="false" ht="15" hidden="false" customHeight="false" outlineLevel="0" collapsed="false">
      <c r="A15400" s="26" t="s">
        <v>1041</v>
      </c>
      <c r="B15400" s="31" t="s">
        <v>98</v>
      </c>
      <c r="C15400" s="31"/>
      <c r="D15400" s="27" t="n">
        <f aca="false">(Sens!D15379+Sens!D15384+Sens!D15385+Sens!D15387+Sens!D15389-Sens!D15391)+(Sens!D15392+Sens!D15394+Sens!D15396-Sens!D15398)+(Sens!D15391-Q!L5)+(Sens!D15398-Q!L12)+(Sens!D15379-Q!L6)+(Sens!D15384-Q!L7)</f>
        <v>0</v>
      </c>
      <c r="E15400" s="27" t="n">
        <f aca="false">(Sens!E15379+Sens!E15384+Sens!E15385+Sens!E15387+Sens!E15389-Sens!E15391)+(Sens!E15392+Sens!E15394+Sens!E15396-Sens!E15398)+(Sens!E15391-Q!M5)+(Sens!E15398-Q!M12)+(Sens!E15379-Q!M6)+(Sens!E15384-Q!M7)</f>
        <v>0</v>
      </c>
      <c r="F15400" s="27" t="n">
        <f aca="false">(Sens!F15379+Sens!F15384+Sens!F15385+Sens!F15387+Sens!F15389-Sens!F15391)+(Sens!F15392+Sens!F15394+Sens!F15396-Sens!F15398)</f>
        <v>0</v>
      </c>
      <c r="G15400" s="27" t="n">
        <f aca="false">(Sens!G15379+Sens!G15384+Sens!G15385+Sens!G15387+Sens!G15389-Sens!G15391)+(Sens!G15392+Sens!G15394+Sens!G15396-Sens!G15398)</f>
        <v>0</v>
      </c>
      <c r="H15400" s="27" t="n">
        <f aca="false">(Sens!H15379+Sens!H15384+Sens!H15385+Sens!H15387+Sens!H15389-Sens!H15391)+(Sens!H15392+Sens!H15394+Sens!H15396-Sens!H15398)</f>
        <v>0</v>
      </c>
      <c r="I15400" s="27" t="n">
        <f aca="false">(Sens!I15379+Sens!I15384+Sens!I15385+Sens!I15387+Sens!I15389-Sens!I15391)+(Sens!I15392+Sens!I15394+Sens!I15396-Sens!I15398)</f>
        <v>0</v>
      </c>
      <c r="J15400" s="27" t="n">
        <f aca="false">(Sens!J15379+Sens!J15384+Sens!J15385+Sens!J15387+Sens!J15389-Sens!J15391)+(Sens!J15392+Sens!J15394+Sens!J15396-Sens!J15398)</f>
        <v>0</v>
      </c>
      <c r="K15400" s="27" t="n">
        <f aca="false">(Sens!K15379+Sens!K15384+Sens!K15385+Sens!K15387+Sens!K15389-Sens!K15391)+(Sens!K15392+Sens!K15394+Sens!K15396-Sens!K15398)</f>
        <v>0</v>
      </c>
    </row>
    <row r="15401" customFormat="false" ht="17.15" hidden="false" customHeight="false" outlineLevel="0" collapsed="false">
      <c r="A15401" s="3" t="s">
        <v>1859</v>
      </c>
    </row>
    <row r="15402" customFormat="false" ht="15" hidden="false" customHeight="false" outlineLevel="0" collapsed="false">
      <c r="A15402" s="4" t="s">
        <v>43</v>
      </c>
      <c r="B15402" s="4" t="s">
        <v>65</v>
      </c>
      <c r="C15402" s="23" t="s">
        <v>938</v>
      </c>
      <c r="D15402" s="23" t="s">
        <v>939</v>
      </c>
      <c r="E15402" s="23" t="s">
        <v>940</v>
      </c>
      <c r="F15402" s="23" t="s">
        <v>941</v>
      </c>
      <c r="G15402" s="23" t="s">
        <v>942</v>
      </c>
      <c r="H15402" s="23" t="s">
        <v>943</v>
      </c>
      <c r="I15402" s="23" t="s">
        <v>944</v>
      </c>
      <c r="J15402" s="23" t="s">
        <v>945</v>
      </c>
      <c r="K15402" s="23" t="s">
        <v>946</v>
      </c>
      <c r="L15402" s="4" t="s">
        <v>47</v>
      </c>
    </row>
    <row r="15403" customFormat="false" ht="15" hidden="false" customHeight="false" outlineLevel="0" collapsed="false">
      <c r="A15403" s="0" t="s">
        <v>1025</v>
      </c>
      <c r="B15403" s="0" t="s">
        <v>98</v>
      </c>
      <c r="D15403" s="6" t="n">
        <f aca="false">Sens!D15379</f>
        <v>72.61</v>
      </c>
      <c r="E15403" s="6" t="n">
        <f aca="false">Sens!E15379</f>
        <v>101.938</v>
      </c>
      <c r="F15403" s="6" t="n">
        <f aca="false">Sens!F15379</f>
        <v>124.440703961748</v>
      </c>
      <c r="G15403" s="6" t="n">
        <f aca="false">Sens!G15379</f>
        <v>156.351551225723</v>
      </c>
      <c r="H15403" s="6" t="n">
        <f aca="false">Sens!H15379</f>
        <v>185.970951980288</v>
      </c>
      <c r="I15403" s="6" t="n">
        <f aca="false">Sens!I15379</f>
        <v>217.003842641457</v>
      </c>
      <c r="J15403" s="6" t="n">
        <f aca="false">Sens!J15379</f>
        <v>242.391901758271</v>
      </c>
      <c r="K15403" s="6" t="n">
        <f aca="false">Sens!K15379</f>
        <v>261.575974863521</v>
      </c>
    </row>
    <row r="15404" customFormat="false" ht="17.15" hidden="false" customHeight="false" outlineLevel="0" collapsed="false">
      <c r="A15404" s="0" t="s">
        <v>1021</v>
      </c>
      <c r="B15404" s="0" t="s">
        <v>98</v>
      </c>
      <c r="D15404" s="6" t="n">
        <f aca="false">Sens!D15376</f>
        <v>12.9359794422418</v>
      </c>
      <c r="E15404" s="6" t="n">
        <f aca="false">Sens!E15376</f>
        <v>27.8095064661409</v>
      </c>
      <c r="F15404" s="6" t="n">
        <f aca="false">Sens!F15376</f>
        <v>26.877874010688</v>
      </c>
      <c r="G15404" s="6" t="n">
        <f aca="false">Sens!G15376</f>
        <v>40.4323474685649</v>
      </c>
      <c r="H15404" s="6" t="n">
        <f aca="false">Sens!H15376</f>
        <v>51.3757802463699</v>
      </c>
      <c r="I15404" s="6" t="n">
        <f aca="false">Sens!I15376</f>
        <v>64.3628733697936</v>
      </c>
      <c r="J15404" s="6" t="n">
        <f aca="false">Sens!J15376</f>
        <v>73.4126531538388</v>
      </c>
      <c r="K15404" s="6" t="n">
        <f aca="false">Sens!K15376</f>
        <v>79.0783863707338</v>
      </c>
    </row>
    <row r="15405" customFormat="false" ht="17.15" hidden="false" customHeight="false" outlineLevel="0" collapsed="false">
      <c r="A15405" s="0" t="s">
        <v>1052</v>
      </c>
      <c r="B15405" s="0" t="s">
        <v>98</v>
      </c>
      <c r="D15405" s="6" t="n">
        <f aca="false">Sens!D15377</f>
        <v>59.6740205577583</v>
      </c>
      <c r="E15405" s="6" t="n">
        <f aca="false">Sens!E15377</f>
        <v>74.1284935338591</v>
      </c>
      <c r="F15405" s="6" t="n">
        <f aca="false">Sens!F15377</f>
        <v>97.5628299510605</v>
      </c>
      <c r="G15405" s="6" t="n">
        <f aca="false">Sens!G15377</f>
        <v>115.919203757158</v>
      </c>
      <c r="H15405" s="6" t="n">
        <f aca="false">Sens!H15377</f>
        <v>134.595171733918</v>
      </c>
      <c r="I15405" s="6" t="n">
        <f aca="false">Sens!I15377</f>
        <v>152.640969271663</v>
      </c>
      <c r="J15405" s="6" t="n">
        <f aca="false">Sens!J15377</f>
        <v>168.979248604432</v>
      </c>
      <c r="K15405" s="6" t="n">
        <f aca="false">Sens!K15377</f>
        <v>182.497588492787</v>
      </c>
    </row>
    <row r="15406" customFormat="false" ht="15" hidden="false" customHeight="false" outlineLevel="0" collapsed="false">
      <c r="A15406" s="0" t="s">
        <v>1032</v>
      </c>
      <c r="B15406" s="0" t="s">
        <v>98</v>
      </c>
      <c r="D15406" s="6" t="n">
        <f aca="false">Sens!D15384</f>
        <v>84.605</v>
      </c>
      <c r="E15406" s="6" t="n">
        <f aca="false">Sens!E15384</f>
        <v>100.299</v>
      </c>
      <c r="F15406" s="6" t="n">
        <f aca="false">Sens!F15384</f>
        <v>117.438354189776</v>
      </c>
      <c r="G15406" s="6" t="n">
        <f aca="false">Sens!G15384</f>
        <v>132.595360443801</v>
      </c>
      <c r="H15406" s="6" t="n">
        <f aca="false">Sens!H15384</f>
        <v>147.833811964563</v>
      </c>
      <c r="I15406" s="6" t="n">
        <f aca="false">Sens!I15384</f>
        <v>162.145665319381</v>
      </c>
      <c r="J15406" s="6" t="n">
        <f aca="false">Sens!J15384</f>
        <v>175.249327755573</v>
      </c>
      <c r="K15406" s="6" t="n">
        <f aca="false">Sens!K15384</f>
        <v>187.599280698463</v>
      </c>
    </row>
    <row r="15407" customFormat="false" ht="17.15" hidden="false" customHeight="false" outlineLevel="0" collapsed="false">
      <c r="A15407" s="0" t="s">
        <v>1053</v>
      </c>
      <c r="B15407" s="0" t="s">
        <v>98</v>
      </c>
      <c r="D15407" s="6" t="n">
        <f aca="false">Sens!D15382</f>
        <v>83.705</v>
      </c>
      <c r="E15407" s="6" t="n">
        <f aca="false">Sens!E15382</f>
        <v>95.049</v>
      </c>
      <c r="F15407" s="6" t="n">
        <f aca="false">Sens!F15382</f>
        <v>106.938354189776</v>
      </c>
      <c r="G15407" s="6" t="n">
        <f aca="false">Sens!G15382</f>
        <v>119.095360443801</v>
      </c>
      <c r="H15407" s="6" t="n">
        <f aca="false">Sens!H15382</f>
        <v>131.333811964563</v>
      </c>
      <c r="I15407" s="6" t="n">
        <f aca="false">Sens!I15382</f>
        <v>143.395665319381</v>
      </c>
      <c r="J15407" s="6" t="n">
        <f aca="false">Sens!J15382</f>
        <v>154.999327755573</v>
      </c>
      <c r="K15407" s="6" t="n">
        <f aca="false">Sens!K15382</f>
        <v>165.849280698463</v>
      </c>
    </row>
    <row r="15408" customFormat="false" ht="17.15" hidden="false" customHeight="false" outlineLevel="0" collapsed="false">
      <c r="A15408" s="0" t="s">
        <v>1054</v>
      </c>
      <c r="B15408" s="0" t="s">
        <v>98</v>
      </c>
      <c r="D15408" s="6" t="n">
        <f aca="false">Sens!D15381</f>
        <v>0.9</v>
      </c>
      <c r="E15408" s="6" t="n">
        <f aca="false">Sens!E15381</f>
        <v>5.25</v>
      </c>
      <c r="F15408" s="6" t="n">
        <f aca="false">Sens!F15381</f>
        <v>10.5</v>
      </c>
      <c r="G15408" s="6" t="n">
        <f aca="false">Sens!G15381</f>
        <v>13.5</v>
      </c>
      <c r="H15408" s="6" t="n">
        <f aca="false">Sens!H15381</f>
        <v>16.5</v>
      </c>
      <c r="I15408" s="6" t="n">
        <f aca="false">Sens!I15381</f>
        <v>18.75</v>
      </c>
      <c r="J15408" s="6" t="n">
        <f aca="false">Sens!J15381</f>
        <v>20.25</v>
      </c>
      <c r="K15408" s="6" t="n">
        <f aca="false">Sens!K15381</f>
        <v>21.75</v>
      </c>
    </row>
    <row r="15409" customFormat="false" ht="15" hidden="false" customHeight="false" outlineLevel="0" collapsed="false">
      <c r="A15409" s="0" t="s">
        <v>1033</v>
      </c>
      <c r="B15409" s="0" t="s">
        <v>98</v>
      </c>
      <c r="D15409" s="6" t="n">
        <f aca="false">Sens!D15385</f>
        <v>35.391</v>
      </c>
      <c r="E15409" s="6" t="n">
        <f aca="false">Sens!E15385</f>
        <v>37.285</v>
      </c>
      <c r="F15409" s="6" t="n">
        <f aca="false">Sens!F15385</f>
        <v>38.3851437782675</v>
      </c>
      <c r="G15409" s="6" t="n">
        <f aca="false">Sens!G15385</f>
        <v>40.0105353288615</v>
      </c>
      <c r="H15409" s="6" t="n">
        <f aca="false">Sens!H15385</f>
        <v>41.4812512033683</v>
      </c>
      <c r="I15409" s="6" t="n">
        <f aca="false">Sens!I15385</f>
        <v>42.7743107216329</v>
      </c>
      <c r="J15409" s="6" t="n">
        <f aca="false">Sens!J15385</f>
        <v>43.8687373064601</v>
      </c>
      <c r="K15409" s="6" t="n">
        <f aca="false">Sens!K15385</f>
        <v>44.7461120525893</v>
      </c>
    </row>
    <row r="15410" customFormat="false" ht="15" hidden="false" customHeight="false" outlineLevel="0" collapsed="false">
      <c r="A15410" s="0" t="s">
        <v>1035</v>
      </c>
      <c r="B15410" s="0" t="s">
        <v>98</v>
      </c>
      <c r="D15410" s="6" t="n">
        <f aca="false">Sens!D15387</f>
        <v>18.417</v>
      </c>
      <c r="E15410" s="6" t="n">
        <f aca="false">Sens!E15387</f>
        <v>20.345</v>
      </c>
      <c r="F15410" s="6" t="n">
        <f aca="false">Sens!F15387</f>
        <v>22.3161797133988</v>
      </c>
      <c r="G15410" s="6" t="n">
        <f aca="false">Sens!G15387</f>
        <v>24.3943499673233</v>
      </c>
      <c r="H15410" s="6" t="n">
        <f aca="false">Sens!H15387</f>
        <v>26.5250243109019</v>
      </c>
      <c r="I15410" s="6" t="n">
        <f aca="false">Sens!I15387</f>
        <v>28.6884573538181</v>
      </c>
      <c r="J15410" s="6" t="n">
        <f aca="false">Sens!J15387</f>
        <v>30.8624968052127</v>
      </c>
      <c r="K15410" s="6" t="n">
        <f aca="false">Sens!K15387</f>
        <v>33.0228715815776</v>
      </c>
    </row>
    <row r="15411" customFormat="false" ht="15" hidden="false" customHeight="false" outlineLevel="0" collapsed="false">
      <c r="A15411" s="0" t="s">
        <v>1036</v>
      </c>
      <c r="B15411" s="0" t="s">
        <v>98</v>
      </c>
      <c r="D15411" s="6" t="n">
        <f aca="false">Sens!D15389</f>
        <v>7.76</v>
      </c>
      <c r="E15411" s="6" t="n">
        <f aca="false">Sens!E15389</f>
        <v>8.26</v>
      </c>
      <c r="F15411" s="6" t="n">
        <f aca="false">Sens!F15389</f>
        <v>8.75372082474227</v>
      </c>
      <c r="G15411" s="6" t="n">
        <f aca="false">Sens!G15389</f>
        <v>9.33399324642364</v>
      </c>
      <c r="H15411" s="6" t="n">
        <f aca="false">Sens!H15389</f>
        <v>9.96139155535851</v>
      </c>
      <c r="I15411" s="6" t="n">
        <f aca="false">Sens!I15389</f>
        <v>10.6402039077391</v>
      </c>
      <c r="J15411" s="6" t="n">
        <f aca="false">Sens!J15389</f>
        <v>11.3751458271397</v>
      </c>
      <c r="K15411" s="6" t="n">
        <f aca="false">Sens!K15389</f>
        <v>12.1714060350394</v>
      </c>
    </row>
    <row r="15412" customFormat="false" ht="15" hidden="false" customHeight="false" outlineLevel="0" collapsed="false">
      <c r="A15412" s="0" t="s">
        <v>852</v>
      </c>
      <c r="B15412" s="0" t="s">
        <v>98</v>
      </c>
      <c r="D15412" s="6" t="n">
        <f aca="false">Sens!D15391</f>
        <v>218.783</v>
      </c>
      <c r="E15412" s="6" t="n">
        <f aca="false">Sens!E15391</f>
        <v>268.127</v>
      </c>
      <c r="F15412" s="6" t="n">
        <f aca="false">Sens!F15391</f>
        <v>311.334102467933</v>
      </c>
      <c r="G15412" s="6" t="n">
        <f aca="false">Sens!G15391</f>
        <v>362.685790212132</v>
      </c>
      <c r="H15412" s="6" t="n">
        <f aca="false">Sens!H15391</f>
        <v>411.77243101448</v>
      </c>
      <c r="I15412" s="6" t="n">
        <f aca="false">Sens!I15391</f>
        <v>461.252479944028</v>
      </c>
      <c r="J15412" s="6" t="n">
        <f aca="false">Sens!J15391</f>
        <v>503.747609452657</v>
      </c>
      <c r="K15412" s="6" t="n">
        <f aca="false">Sens!K15391</f>
        <v>539.11564523119</v>
      </c>
    </row>
    <row r="15413" customFormat="false" ht="15" hidden="false" customHeight="false" outlineLevel="0" collapsed="false">
      <c r="A15413" s="0" t="s">
        <v>1037</v>
      </c>
      <c r="B15413" s="0" t="s">
        <v>98</v>
      </c>
      <c r="D15413" s="6" t="n">
        <f aca="false">Sens!D15392</f>
        <v>22.171</v>
      </c>
      <c r="E15413" s="6" t="n">
        <f aca="false">Sens!E15392</f>
        <v>24.835</v>
      </c>
      <c r="F15413" s="6" t="n">
        <f aca="false">Sens!F15392</f>
        <v>27.5591895660247</v>
      </c>
      <c r="G15413" s="6" t="n">
        <f aca="false">Sens!G15392</f>
        <v>30.4098563144583</v>
      </c>
      <c r="H15413" s="6" t="n">
        <f aca="false">Sens!H15392</f>
        <v>33.3011792571777</v>
      </c>
      <c r="I15413" s="6" t="n">
        <f aca="false">Sens!I15392</f>
        <v>36.189023797112</v>
      </c>
      <c r="J15413" s="6" t="n">
        <f aca="false">Sens!J15392</f>
        <v>39.0247773769199</v>
      </c>
      <c r="K15413" s="6" t="n">
        <f aca="false">Sens!K15392</f>
        <v>41.7565117933043</v>
      </c>
    </row>
    <row r="15414" customFormat="false" ht="15" hidden="false" customHeight="false" outlineLevel="0" collapsed="false">
      <c r="A15414" s="0" t="s">
        <v>1038</v>
      </c>
      <c r="B15414" s="0" t="s">
        <v>98</v>
      </c>
      <c r="D15414" s="6" t="n">
        <f aca="false">Sens!D15394</f>
        <v>23.455</v>
      </c>
      <c r="E15414" s="6" t="n">
        <f aca="false">Sens!E15394</f>
        <v>21.79</v>
      </c>
      <c r="F15414" s="6" t="n">
        <f aca="false">Sens!F15394</f>
        <v>20.7520981041711</v>
      </c>
      <c r="G15414" s="6" t="n">
        <f aca="false">Sens!G15394</f>
        <v>19.9083593495882</v>
      </c>
      <c r="H15414" s="6" t="n">
        <f aca="false">Sens!H15394</f>
        <v>19.4008256265831</v>
      </c>
      <c r="I15414" s="6" t="n">
        <f aca="false">Sens!I15394</f>
        <v>19.200434522122</v>
      </c>
      <c r="J15414" s="6" t="n">
        <f aca="false">Sens!J15394</f>
        <v>19.2932782348507</v>
      </c>
      <c r="K15414" s="6" t="n">
        <f aca="false">Sens!K15394</f>
        <v>19.6791437995477</v>
      </c>
    </row>
    <row r="15415" customFormat="false" ht="15" hidden="false" customHeight="false" outlineLevel="0" collapsed="false">
      <c r="A15415" s="0" t="s">
        <v>1039</v>
      </c>
      <c r="B15415" s="0" t="s">
        <v>98</v>
      </c>
      <c r="D15415" s="6" t="n">
        <f aca="false">Sens!D15396</f>
        <v>17.315</v>
      </c>
      <c r="E15415" s="6" t="n">
        <f aca="false">Sens!E15396</f>
        <v>17.087</v>
      </c>
      <c r="F15415" s="6" t="n">
        <f aca="false">Sens!F15396</f>
        <v>15.9912273250553</v>
      </c>
      <c r="G15415" s="6" t="n">
        <f aca="false">Sens!G15396</f>
        <v>15.9574562664827</v>
      </c>
      <c r="H15415" s="6" t="n">
        <f aca="false">Sens!H15396</f>
        <v>16.0119687434196</v>
      </c>
      <c r="I15415" s="6" t="n">
        <f aca="false">Sens!I15396</f>
        <v>16.1551810001948</v>
      </c>
      <c r="J15415" s="6" t="n">
        <f aca="false">Sens!J15396</f>
        <v>16.3889793892005</v>
      </c>
      <c r="K15415" s="6" t="n">
        <f aca="false">Sens!K15396</f>
        <v>16.7167589769845</v>
      </c>
    </row>
    <row r="15416" customFormat="false" ht="15" hidden="false" customHeight="false" outlineLevel="0" collapsed="false">
      <c r="A15416" s="0" t="s">
        <v>866</v>
      </c>
      <c r="B15416" s="0" t="s">
        <v>98</v>
      </c>
      <c r="D15416" s="6" t="n">
        <f aca="false">Sens!D15398</f>
        <v>62.941</v>
      </c>
      <c r="E15416" s="6" t="n">
        <f aca="false">Sens!E15398</f>
        <v>63.712</v>
      </c>
      <c r="F15416" s="6" t="n">
        <f aca="false">Sens!F15398</f>
        <v>64.3025149952511</v>
      </c>
      <c r="G15416" s="6" t="n">
        <f aca="false">Sens!G15398</f>
        <v>66.2756719305292</v>
      </c>
      <c r="H15416" s="6" t="n">
        <f aca="false">Sens!H15398</f>
        <v>68.7139736271804</v>
      </c>
      <c r="I15416" s="6" t="n">
        <f aca="false">Sens!I15398</f>
        <v>71.5446393194289</v>
      </c>
      <c r="J15416" s="6" t="n">
        <f aca="false">Sens!J15398</f>
        <v>74.707035000971</v>
      </c>
      <c r="K15416" s="6" t="n">
        <f aca="false">Sens!K15398</f>
        <v>78.1524145698365</v>
      </c>
    </row>
    <row r="15417" customFormat="false" ht="15" hidden="false" customHeight="false" outlineLevel="0" collapsed="false">
      <c r="A15417" s="1" t="s">
        <v>1055</v>
      </c>
      <c r="B15417" s="0" t="s">
        <v>98</v>
      </c>
      <c r="D15417" s="6" t="n">
        <f aca="false">Sens!D15399</f>
        <v>281.724</v>
      </c>
      <c r="E15417" s="6" t="n">
        <f aca="false">Sens!E15399</f>
        <v>331.839</v>
      </c>
      <c r="F15417" s="6" t="n">
        <f aca="false">Sens!F15399</f>
        <v>375.636617463184</v>
      </c>
      <c r="G15417" s="6" t="n">
        <f aca="false">Sens!G15399</f>
        <v>428.961462142661</v>
      </c>
      <c r="H15417" s="6" t="n">
        <f aca="false">Sens!H15399</f>
        <v>480.48640464166</v>
      </c>
      <c r="I15417" s="6" t="n">
        <f aca="false">Sens!I15399</f>
        <v>532.797119263457</v>
      </c>
      <c r="J15417" s="6" t="n">
        <f aca="false">Sens!J15399</f>
        <v>578.454644453628</v>
      </c>
      <c r="K15417" s="6" t="n">
        <f aca="false">Sens!K15399</f>
        <v>617.268059801027</v>
      </c>
    </row>
    <row r="15418" customFormat="false" ht="15" hidden="false" customHeight="false" outlineLevel="0" collapsed="false">
      <c r="A15418" s="1" t="s">
        <v>1056</v>
      </c>
      <c r="B15418" s="0" t="s">
        <v>168</v>
      </c>
      <c r="E15418" s="7" t="n">
        <f aca="false">Sens!E15417/Sens!D15417-1</f>
        <v>0.177886867998467</v>
      </c>
      <c r="F15418" s="7" t="n">
        <f aca="false">Sens!F15417/Sens!E15417-1</f>
        <v>0.131984539078239</v>
      </c>
      <c r="G15418" s="7" t="n">
        <f aca="false">Sens!G15417/Sens!F15417-1</f>
        <v>0.141958590298252</v>
      </c>
      <c r="H15418" s="7" t="n">
        <f aca="false">Sens!H15417/Sens!G15417-1</f>
        <v>0.120115551270346</v>
      </c>
      <c r="I15418" s="7" t="n">
        <f aca="false">Sens!I15417/Sens!H15417-1</f>
        <v>0.108870332472381</v>
      </c>
      <c r="J15418" s="7" t="n">
        <f aca="false">Sens!J15417/Sens!I15417-1</f>
        <v>0.0856940166142193</v>
      </c>
      <c r="K15418" s="7" t="n">
        <f aca="false">Sens!K15417/Sens!J15417-1</f>
        <v>0.0670984591783506</v>
      </c>
    </row>
    <row r="15419" customFormat="false" ht="17.15" hidden="false" customHeight="false" outlineLevel="0" collapsed="false">
      <c r="A15419" s="26" t="s">
        <v>1057</v>
      </c>
      <c r="B15419" s="31" t="s">
        <v>98</v>
      </c>
      <c r="C15419" s="31"/>
      <c r="D15419" s="27" t="n">
        <f aca="false">(Sens!D15412+Sens!D15416-Sens!D15417)+(Sens!D15404+Sens!D15405-Sens!D15403)+(Sens!D15407+Sens!D15408-Sens!D15406)+(Sens!D15417-Q!L18)</f>
        <v>0</v>
      </c>
      <c r="E15419" s="27" t="n">
        <f aca="false">(Sens!E15412+Sens!E15416-Sens!E15417)+(Sens!E15404+Sens!E15405-Sens!E15403)+(Sens!E15407+Sens!E15408-Sens!E15406)+(Sens!E15417-Q!M18)</f>
        <v>0</v>
      </c>
      <c r="F15419" s="27" t="n">
        <f aca="false">(Sens!F15412+Sens!F15416-Sens!F15417)+(Sens!F15404+Sens!F15405-Sens!F15403)+(Sens!F15407+Sens!F15408-Sens!F15406)</f>
        <v>0</v>
      </c>
      <c r="G15419" s="27" t="n">
        <f aca="false">(Sens!G15412+Sens!G15416-Sens!G15417)+(Sens!G15404+Sens!G15405-Sens!G15403)+(Sens!G15407+Sens!G15408-Sens!G15406)</f>
        <v>0</v>
      </c>
      <c r="H15419" s="27" t="n">
        <f aca="false">(Sens!H15412+Sens!H15416-Sens!H15417)+(Sens!H15404+Sens!H15405-Sens!H15403)+(Sens!H15407+Sens!H15408-Sens!H15406)</f>
        <v>0</v>
      </c>
      <c r="I15419" s="27" t="n">
        <f aca="false">(Sens!I15412+Sens!I15416-Sens!I15417)+(Sens!I15404+Sens!I15405-Sens!I15403)+(Sens!I15407+Sens!I15408-Sens!I15406)</f>
        <v>0</v>
      </c>
      <c r="J15419" s="27" t="n">
        <f aca="false">(Sens!J15412+Sens!J15416-Sens!J15417)+(Sens!J15404+Sens!J15405-Sens!J15403)+(Sens!J15407+Sens!J15408-Sens!J15406)</f>
        <v>0</v>
      </c>
      <c r="K15419" s="27" t="n">
        <f aca="false">(Sens!K15412+Sens!K15416-Sens!K15417)+(Sens!K15404+Sens!K15405-Sens!K15403)+(Sens!K15407+Sens!K15408-Sens!K15406)</f>
        <v>0</v>
      </c>
    </row>
    <row r="15420" customFormat="false" ht="17.15" hidden="false" customHeight="false" outlineLevel="0" collapsed="false">
      <c r="A15420" s="0" t="s">
        <v>1058</v>
      </c>
      <c r="B15420" s="0" t="s">
        <v>168</v>
      </c>
      <c r="E15420" s="7" t="n">
        <f aca="false">(Q!M21+Sens!E15356+Sens!E15357+Sens!E15358+Sens!E15372-Sens!E15354)/(Q!M5-Sens!E15354)</f>
        <v>0.570957350878296</v>
      </c>
      <c r="F15420" s="7" t="n">
        <f aca="false">Sens!$E$15420+dm_seg</f>
        <v>0.570957350878296</v>
      </c>
      <c r="G15420" s="7" t="n">
        <f aca="false">Sens!$E$15420+dm_seg</f>
        <v>0.570957350878296</v>
      </c>
      <c r="H15420" s="7" t="n">
        <f aca="false">Sens!$E$15420+dm_seg</f>
        <v>0.570957350878296</v>
      </c>
      <c r="I15420" s="7" t="n">
        <f aca="false">Sens!$E$15420+dm_seg</f>
        <v>0.570957350878296</v>
      </c>
      <c r="J15420" s="7" t="n">
        <f aca="false">Sens!$E$15420+dm_seg</f>
        <v>0.570957350878296</v>
      </c>
      <c r="K15420" s="7" t="n">
        <f aca="false">Sens!$E$15420+dm_seg</f>
        <v>0.570957350878296</v>
      </c>
      <c r="L15420" s="12" t="s">
        <v>1059</v>
      </c>
    </row>
    <row r="15421" customFormat="false" ht="17.15" hidden="false" customHeight="false" outlineLevel="0" collapsed="false">
      <c r="A15421" s="0" t="s">
        <v>880</v>
      </c>
      <c r="B15421" s="0" t="s">
        <v>98</v>
      </c>
      <c r="D15421" s="6" t="n">
        <f aca="false">Q!L21</f>
        <v>110.814</v>
      </c>
      <c r="E15421" s="6" t="n">
        <f aca="false">Q!M21</f>
        <v>136.365</v>
      </c>
      <c r="F15421" s="6" t="n">
        <f aca="false">Q!$I$21+(Sens!F15420*(Sens!F15391-Sens!F15354)+Sens!F15354-(Sens!F15356+Sens!F15357+Sens!F15358)-Sens!F15372-Sens!F15455)*(Sens!F15391-Q!$I$5)/Sens!F15391</f>
        <v>140.075434147587</v>
      </c>
      <c r="G15421" s="6" t="n">
        <f aca="false">(Sens!G15420*(Sens!G15391-Sens!G15354)+Sens!G15354-(Sens!G15356+Sens!G15357+Sens!G15358)-Sens!G15372-Sens!G15455)</f>
        <v>128.619636246134</v>
      </c>
      <c r="H15421" s="6" t="n">
        <f aca="false">(Sens!H15420*(Sens!H15391-Sens!H15354)+Sens!H15354-(Sens!H15356+Sens!H15357+Sens!H15358)-Sens!H15372-Sens!H15455)</f>
        <v>120.845773810506</v>
      </c>
      <c r="I15421" s="6" t="n">
        <f aca="false">(Sens!I15420*(Sens!I15391-Sens!I15354)+Sens!I15354-(Sens!I15356+Sens!I15357+Sens!I15358)-Sens!I15372-Sens!I15455)</f>
        <v>119.038618435933</v>
      </c>
      <c r="J15421" s="6" t="n">
        <f aca="false">(Sens!J15420*(Sens!J15391-Sens!J15354)+Sens!J15354-(Sens!J15356+Sens!J15357+Sens!J15358)-Sens!J15372-Sens!J15455)</f>
        <v>122.253056691167</v>
      </c>
      <c r="K15421" s="6" t="n">
        <f aca="false">(Sens!K15420*(Sens!K15391-Sens!K15354)+Sens!K15354-(Sens!K15356+Sens!K15357+Sens!K15358)-Sens!K15372-Sens!K15455)</f>
        <v>129.823831172308</v>
      </c>
      <c r="L15421" s="1" t="s">
        <v>1060</v>
      </c>
    </row>
    <row r="15422" customFormat="false" ht="17.15" hidden="false" customHeight="false" outlineLevel="0" collapsed="false">
      <c r="A15422" s="0" t="s">
        <v>1061</v>
      </c>
      <c r="B15422" s="0" t="s">
        <v>168</v>
      </c>
      <c r="E15422" s="7" t="n">
        <f aca="false">Q!M22/Q!M12</f>
        <v>0.296207935710698</v>
      </c>
      <c r="F15422" s="7" t="n">
        <f aca="false">Sens!$E$15422+dm_seg</f>
        <v>0.296207935710698</v>
      </c>
      <c r="G15422" s="7" t="n">
        <f aca="false">Sens!$E$15422+dm_seg</f>
        <v>0.296207935710698</v>
      </c>
      <c r="H15422" s="7" t="n">
        <f aca="false">Sens!$E$15422+dm_seg</f>
        <v>0.296207935710698</v>
      </c>
      <c r="I15422" s="7" t="n">
        <f aca="false">Sens!$E$15422+dm_seg</f>
        <v>0.296207935710698</v>
      </c>
      <c r="J15422" s="7" t="n">
        <f aca="false">Sens!$E$15422+dm_seg</f>
        <v>0.296207935710698</v>
      </c>
      <c r="K15422" s="7" t="n">
        <f aca="false">Sens!$E$15422+dm_seg</f>
        <v>0.296207935710698</v>
      </c>
      <c r="L15422" s="12" t="s">
        <v>1062</v>
      </c>
    </row>
    <row r="15423" customFormat="false" ht="17.15" hidden="false" customHeight="false" outlineLevel="0" collapsed="false">
      <c r="A15423" s="0" t="s">
        <v>882</v>
      </c>
      <c r="B15423" s="0" t="s">
        <v>98</v>
      </c>
      <c r="D15423" s="6" t="n">
        <f aca="false">Q!L22</f>
        <v>17.714</v>
      </c>
      <c r="E15423" s="6" t="n">
        <f aca="false">Q!M22</f>
        <v>18.872</v>
      </c>
      <c r="F15423" s="6" t="n">
        <f aca="false">Q!$I$22+(Sens!F15398-Q!$I$12)*Sens!F15422</f>
        <v>19.8174315512051</v>
      </c>
      <c r="G15423" s="6" t="n">
        <f aca="false">Sens!G15398*Sens!G15422</f>
        <v>19.6313799703815</v>
      </c>
      <c r="H15423" s="6" t="n">
        <f aca="false">Sens!H15398*Sens!H15422</f>
        <v>20.3536242825865</v>
      </c>
      <c r="I15423" s="6" t="n">
        <f aca="false">Sens!I15398*Sens!I15422</f>
        <v>21.1920899239745</v>
      </c>
      <c r="J15423" s="6" t="n">
        <f aca="false">Sens!J15398*Sens!J15422</f>
        <v>22.1288166207045</v>
      </c>
      <c r="K15423" s="6" t="n">
        <f aca="false">Sens!K15398*Sens!K15422</f>
        <v>23.1493653905379</v>
      </c>
      <c r="L15423" s="12" t="s">
        <v>1063</v>
      </c>
    </row>
    <row r="15424" customFormat="false" ht="15" hidden="false" customHeight="false" outlineLevel="0" collapsed="false">
      <c r="A15424" s="1" t="s">
        <v>1064</v>
      </c>
      <c r="B15424" s="0" t="s">
        <v>98</v>
      </c>
      <c r="D15424" s="6" t="n">
        <f aca="false">Sens!D15421+Sens!D15423</f>
        <v>128.528</v>
      </c>
      <c r="E15424" s="6" t="n">
        <f aca="false">Sens!E15421+Sens!E15423</f>
        <v>155.237</v>
      </c>
      <c r="F15424" s="6" t="n">
        <f aca="false">Sens!F15421+Sens!F15423</f>
        <v>159.892865698792</v>
      </c>
      <c r="G15424" s="6" t="n">
        <f aca="false">Sens!G15421+Sens!G15423</f>
        <v>148.251016216516</v>
      </c>
      <c r="H15424" s="6" t="n">
        <f aca="false">Sens!H15421+Sens!H15423</f>
        <v>141.199398093092</v>
      </c>
      <c r="I15424" s="6" t="n">
        <f aca="false">Sens!I15421+Sens!I15423</f>
        <v>140.230708359908</v>
      </c>
      <c r="J15424" s="6" t="n">
        <f aca="false">Sens!J15421+Sens!J15423</f>
        <v>144.381873311871</v>
      </c>
      <c r="K15424" s="6" t="n">
        <f aca="false">Sens!K15421+Sens!K15423</f>
        <v>152.973196562846</v>
      </c>
    </row>
    <row r="15425" customFormat="false" ht="15" hidden="false" customHeight="false" outlineLevel="0" collapsed="false">
      <c r="A15425" s="26" t="s">
        <v>1065</v>
      </c>
      <c r="B15425" s="31" t="s">
        <v>98</v>
      </c>
      <c r="C15425" s="31"/>
      <c r="D15425" s="27" t="n">
        <f aca="false">Sens!D15424-Q!L23</f>
        <v>0</v>
      </c>
      <c r="E15425" s="27" t="n">
        <f aca="false">Sens!E15424-Q!M23</f>
        <v>0</v>
      </c>
      <c r="F15425" s="31"/>
      <c r="G15425" s="31"/>
      <c r="H15425" s="31"/>
      <c r="I15425" s="31"/>
      <c r="J15425" s="31"/>
      <c r="K15425" s="31"/>
    </row>
    <row r="15426" customFormat="false" ht="15" hidden="false" customHeight="false" outlineLevel="0" collapsed="false">
      <c r="A15426" s="1" t="s">
        <v>1066</v>
      </c>
      <c r="B15426" s="0" t="s">
        <v>168</v>
      </c>
      <c r="D15426" s="7" t="n">
        <f aca="false">Sens!D15424/Sens!D15417</f>
        <v>0.456219562408598</v>
      </c>
      <c r="E15426" s="7" t="n">
        <f aca="false">Sens!E15424/Sens!E15417</f>
        <v>0.467808184089272</v>
      </c>
      <c r="F15426" s="7" t="n">
        <f aca="false">Sens!F15424/Sens!F15417</f>
        <v>0.425658357746401</v>
      </c>
      <c r="G15426" s="7" t="n">
        <f aca="false">Sens!G15424/Sens!G15417</f>
        <v>0.34560451066164</v>
      </c>
      <c r="H15426" s="7" t="n">
        <f aca="false">Sens!H15424/Sens!H15417</f>
        <v>0.293867623993225</v>
      </c>
      <c r="I15426" s="7" t="n">
        <f aca="false">Sens!I15424/Sens!I15417</f>
        <v>0.263197197000171</v>
      </c>
      <c r="J15426" s="7" t="n">
        <f aca="false">Sens!J15424/Sens!J15417</f>
        <v>0.249599298227168</v>
      </c>
      <c r="K15426" s="7" t="n">
        <f aca="false">Sens!K15424/Sens!K15417</f>
        <v>0.24782295816854</v>
      </c>
    </row>
    <row r="15427" customFormat="false" ht="17.15" hidden="false" customHeight="false" outlineLevel="0" collapsed="false">
      <c r="A15427" s="1" t="s">
        <v>1067</v>
      </c>
      <c r="B15427" s="0" t="s">
        <v>98</v>
      </c>
      <c r="F15427" s="6" t="n">
        <f aca="false">Sens!F15442</f>
        <v>10.5962787979473</v>
      </c>
      <c r="G15427" s="6" t="n">
        <f aca="false">Sens!G15442</f>
        <v>27.844646674932</v>
      </c>
      <c r="H15427" s="6" t="n">
        <f aca="false">Sens!H15442</f>
        <v>46.566205501382</v>
      </c>
      <c r="I15427" s="6" t="n">
        <f aca="false">Sens!I15442</f>
        <v>63.2717778126444</v>
      </c>
      <c r="J15427" s="6" t="n">
        <f aca="false">Sens!J15442</f>
        <v>74.9061222882009</v>
      </c>
      <c r="K15427" s="6" t="n">
        <f aca="false">Sens!K15442</f>
        <v>81.6395437180232</v>
      </c>
      <c r="L15427" s="1" t="s">
        <v>1068</v>
      </c>
    </row>
    <row r="15428" customFormat="false" ht="17.15" hidden="false" customHeight="false" outlineLevel="0" collapsed="false">
      <c r="A15428" s="1" t="s">
        <v>1069</v>
      </c>
      <c r="B15428" s="0" t="s">
        <v>98</v>
      </c>
      <c r="D15428" s="6" t="n">
        <f aca="false">Sens!D15424</f>
        <v>128.528</v>
      </c>
      <c r="E15428" s="6" t="n">
        <f aca="false">Sens!E15424</f>
        <v>155.237</v>
      </c>
      <c r="F15428" s="6" t="n">
        <f aca="false">Sens!F15424+Sens!F15427</f>
        <v>170.489144496739</v>
      </c>
      <c r="G15428" s="6" t="n">
        <f aca="false">Sens!G15424+Sens!G15427</f>
        <v>176.095662891448</v>
      </c>
      <c r="H15428" s="6" t="n">
        <f aca="false">Sens!H15424+Sens!H15427</f>
        <v>187.765603594474</v>
      </c>
      <c r="I15428" s="6" t="n">
        <f aca="false">Sens!I15424+Sens!I15427</f>
        <v>203.502486172552</v>
      </c>
      <c r="J15428" s="6" t="n">
        <f aca="false">Sens!J15424+Sens!J15427</f>
        <v>219.287995600072</v>
      </c>
      <c r="K15428" s="6" t="n">
        <f aca="false">Sens!K15424+Sens!K15427</f>
        <v>234.612740280869</v>
      </c>
    </row>
    <row r="15429" customFormat="false" ht="17.15" hidden="false" customHeight="false" outlineLevel="0" collapsed="false">
      <c r="A15429" s="1" t="s">
        <v>1070</v>
      </c>
      <c r="B15429" s="0" t="s">
        <v>98</v>
      </c>
      <c r="E15429" s="6" t="n">
        <f aca="false">Sens!E15372</f>
        <v>16.3054059770833</v>
      </c>
      <c r="F15429" s="6" t="n">
        <f aca="false">Sens!F15372</f>
        <v>34.5793144783516</v>
      </c>
      <c r="G15429" s="6" t="n">
        <f aca="false">Sens!G15372</f>
        <v>60.7344906522989</v>
      </c>
      <c r="H15429" s="6" t="n">
        <f aca="false">Sens!H15372</f>
        <v>89.1000906614457</v>
      </c>
      <c r="I15429" s="6" t="n">
        <f aca="false">Sens!I15372</f>
        <v>114.231009694548</v>
      </c>
      <c r="J15429" s="6" t="n">
        <f aca="false">Sens!J15372</f>
        <v>132.015673049596</v>
      </c>
      <c r="K15429" s="6" t="n">
        <f aca="false">Sens!K15372</f>
        <v>143.012669550934</v>
      </c>
    </row>
    <row r="15430" customFormat="false" ht="17.15" hidden="false" customHeight="false" outlineLevel="0" collapsed="false">
      <c r="A15430" s="1" t="s">
        <v>1071</v>
      </c>
      <c r="B15430" s="0" t="s">
        <v>98</v>
      </c>
      <c r="E15430" s="6" t="n">
        <f aca="false">Sens!E15454</f>
        <v>22.2285940229167</v>
      </c>
      <c r="F15430" s="6" t="n">
        <f aca="false">Sens!F15454</f>
        <v>23.6941980446071</v>
      </c>
      <c r="G15430" s="6" t="n">
        <f aca="false">Sens!G15454</f>
        <v>25.5686550038179</v>
      </c>
      <c r="H15430" s="6" t="n">
        <f aca="false">Sens!H15454</f>
        <v>27.8200734566656</v>
      </c>
      <c r="I15430" s="6" t="n">
        <f aca="false">Sens!I15454</f>
        <v>30.390113114321</v>
      </c>
      <c r="J15430" s="6" t="n">
        <f aca="false">Sens!J15454</f>
        <v>33.2013507321954</v>
      </c>
      <c r="K15430" s="6" t="n">
        <f aca="false">Sens!K15454</f>
        <v>36.1658636506806</v>
      </c>
    </row>
    <row r="15431" customFormat="false" ht="17.15" hidden="false" customHeight="false" outlineLevel="0" collapsed="false">
      <c r="A15431" s="1" t="s">
        <v>1072</v>
      </c>
      <c r="B15431" s="0" t="s">
        <v>98</v>
      </c>
      <c r="D15431" s="6" t="n">
        <f aca="false">Q!L27</f>
        <v>-4.901</v>
      </c>
      <c r="E15431" s="6" t="n">
        <f aca="false">Q!M27</f>
        <v>10.697</v>
      </c>
      <c r="F15431" s="6" t="n">
        <f aca="false">Q!$I$27+oie_f*(q_per_yr-1)/q_per_yr</f>
        <v>-0.862</v>
      </c>
      <c r="G15431" s="6" t="n">
        <f aca="false">oie_f</f>
        <v>-1.2</v>
      </c>
      <c r="H15431" s="6" t="n">
        <f aca="false">oie_f</f>
        <v>-1.2</v>
      </c>
      <c r="I15431" s="6" t="n">
        <f aca="false">oie_f</f>
        <v>-1.2</v>
      </c>
      <c r="J15431" s="6" t="n">
        <f aca="false">oie_f</f>
        <v>-1.2</v>
      </c>
      <c r="K15431" s="6" t="n">
        <f aca="false">oie_f</f>
        <v>-1.2</v>
      </c>
      <c r="L15431" s="12" t="s">
        <v>1073</v>
      </c>
    </row>
    <row r="15432" customFormat="false" ht="15" hidden="false" customHeight="false" outlineLevel="0" collapsed="false">
      <c r="A15432" s="1" t="s">
        <v>1074</v>
      </c>
      <c r="B15432" s="0" t="s">
        <v>98</v>
      </c>
      <c r="D15432" s="6" t="n">
        <f aca="false">Sens!D15424+Sens!D15431</f>
        <v>123.627</v>
      </c>
      <c r="E15432" s="6" t="n">
        <f aca="false">Sens!E15424+Sens!E15431</f>
        <v>165.934</v>
      </c>
      <c r="F15432" s="6" t="n">
        <f aca="false">Sens!F15424+Sens!F15431</f>
        <v>159.030865698792</v>
      </c>
      <c r="G15432" s="6" t="n">
        <f aca="false">Sens!G15424+Sens!G15431</f>
        <v>147.051016216516</v>
      </c>
      <c r="H15432" s="6" t="n">
        <f aca="false">Sens!H15424+Sens!H15431</f>
        <v>139.999398093092</v>
      </c>
      <c r="I15432" s="6" t="n">
        <f aca="false">Sens!I15424+Sens!I15431</f>
        <v>139.030708359908</v>
      </c>
      <c r="J15432" s="6" t="n">
        <f aca="false">Sens!J15424+Sens!J15431</f>
        <v>143.181873311871</v>
      </c>
      <c r="K15432" s="6" t="n">
        <f aca="false">Sens!K15424+Sens!K15431</f>
        <v>151.773196562846</v>
      </c>
    </row>
    <row r="15433" customFormat="false" ht="15" hidden="false" customHeight="false" outlineLevel="0" collapsed="false">
      <c r="A15433" s="1" t="s">
        <v>1075</v>
      </c>
      <c r="B15433" s="0" t="s">
        <v>98</v>
      </c>
      <c r="D15433" s="6" t="n">
        <f aca="false">Q!L29</f>
        <v>21.795</v>
      </c>
      <c r="E15433" s="6" t="n">
        <f aca="false">Q!M29</f>
        <v>32.185</v>
      </c>
      <c r="F15433" s="6" t="n">
        <f aca="false">Q!$I$29+(Sens!F15432-Q!$I$28)*tax_f</f>
        <v>31.9395731397584</v>
      </c>
      <c r="G15433" s="6" t="n">
        <f aca="false">Sens!G15432*tax_f</f>
        <v>29.4102032433032</v>
      </c>
      <c r="H15433" s="6" t="n">
        <f aca="false">Sens!H15432*tax_f</f>
        <v>27.9998796186184</v>
      </c>
      <c r="I15433" s="6" t="n">
        <f aca="false">Sens!I15432*tax_f</f>
        <v>27.8061416719815</v>
      </c>
      <c r="J15433" s="6" t="n">
        <f aca="false">Sens!J15432*tax_f</f>
        <v>28.6363746623743</v>
      </c>
      <c r="K15433" s="6" t="n">
        <f aca="false">Sens!K15432*tax_f</f>
        <v>30.3546393125691</v>
      </c>
    </row>
    <row r="15434" customFormat="false" ht="15" hidden="false" customHeight="false" outlineLevel="0" collapsed="false">
      <c r="A15434" s="1" t="s">
        <v>1076</v>
      </c>
      <c r="B15434" s="0" t="s">
        <v>98</v>
      </c>
      <c r="D15434" s="6" t="n">
        <f aca="false">Sens!D15432-Sens!D15433</f>
        <v>101.832</v>
      </c>
      <c r="E15434" s="6" t="n">
        <f aca="false">Sens!E15432-Sens!E15433</f>
        <v>133.749</v>
      </c>
      <c r="F15434" s="6" t="n">
        <f aca="false">Sens!F15432-Sens!F15433</f>
        <v>127.091292559034</v>
      </c>
      <c r="G15434" s="6" t="n">
        <f aca="false">Sens!G15432-Sens!G15433</f>
        <v>117.640812973213</v>
      </c>
      <c r="H15434" s="6" t="n">
        <f aca="false">Sens!H15432-Sens!H15433</f>
        <v>111.999518474474</v>
      </c>
      <c r="I15434" s="6" t="n">
        <f aca="false">Sens!I15432-Sens!I15433</f>
        <v>111.224566687926</v>
      </c>
      <c r="J15434" s="6" t="n">
        <f aca="false">Sens!J15432-Sens!J15433</f>
        <v>114.545498649497</v>
      </c>
      <c r="K15434" s="6" t="n">
        <f aca="false">Sens!K15432-Sens!K15433</f>
        <v>121.418557250276</v>
      </c>
    </row>
    <row r="15435" customFormat="false" ht="17.15" hidden="false" customHeight="false" outlineLevel="0" collapsed="false">
      <c r="A15435" s="1" t="s">
        <v>1077</v>
      </c>
      <c r="B15435" s="1" t="s">
        <v>81</v>
      </c>
      <c r="D15435" s="15" t="n">
        <f aca="false">Q!L31</f>
        <v>7.465</v>
      </c>
      <c r="E15435" s="15" t="n">
        <f aca="false">Q!M31</f>
        <v>7.453</v>
      </c>
      <c r="F15435" s="15" t="n">
        <f aca="false">Sens!F15479</f>
        <v>7.4735</v>
      </c>
      <c r="G15435" s="15" t="n">
        <f aca="false">Sens!G15479</f>
        <v>7.5185</v>
      </c>
      <c r="H15435" s="15" t="n">
        <f aca="false">Sens!H15479</f>
        <v>7.5635</v>
      </c>
      <c r="I15435" s="15" t="n">
        <f aca="false">Sens!I15479</f>
        <v>7.5992865932255</v>
      </c>
      <c r="J15435" s="15" t="n">
        <f aca="false">Sens!J15479</f>
        <v>7.6202411725868</v>
      </c>
      <c r="K15435" s="15" t="n">
        <f aca="false">Sens!K15479</f>
        <v>7.63667581255205</v>
      </c>
    </row>
    <row r="15436" customFormat="false" ht="17.15" hidden="false" customHeight="false" outlineLevel="0" collapsed="false">
      <c r="A15436" s="0" t="s">
        <v>1078</v>
      </c>
      <c r="B15436" s="0" t="s">
        <v>75</v>
      </c>
      <c r="D15436" s="8" t="n">
        <f aca="false">Sens!D15434/Sens!D15435</f>
        <v>13.641259209645</v>
      </c>
      <c r="E15436" s="8" t="n">
        <f aca="false">Sens!E15434/Sens!E15435</f>
        <v>17.9456594659869</v>
      </c>
      <c r="F15436" s="8" t="n">
        <f aca="false">Sens!F15434/Sens!F15435</f>
        <v>17.0055920999577</v>
      </c>
      <c r="G15436" s="8" t="n">
        <f aca="false">Sens!G15434/Sens!G15435</f>
        <v>15.6468461758612</v>
      </c>
      <c r="H15436" s="8" t="n">
        <f aca="false">Sens!H15434/Sens!H15435</f>
        <v>14.8078956137335</v>
      </c>
      <c r="I15436" s="8" t="n">
        <f aca="false">Sens!I15434/Sens!I15435</f>
        <v>14.6361852949564</v>
      </c>
      <c r="J15436" s="8" t="n">
        <f aca="false">Sens!J15434/Sens!J15435</f>
        <v>15.0317419167211</v>
      </c>
      <c r="K15436" s="8" t="n">
        <f aca="false">Sens!K15434/Sens!K15435</f>
        <v>15.8993991928669</v>
      </c>
      <c r="L15436" s="1" t="s">
        <v>1079</v>
      </c>
    </row>
    <row r="15437" customFormat="false" ht="17.15" hidden="false" customHeight="false" outlineLevel="0" collapsed="false">
      <c r="A15437" s="1" t="s">
        <v>1080</v>
      </c>
      <c r="B15437" s="0" t="s">
        <v>98</v>
      </c>
      <c r="D15437" s="6" t="n">
        <f aca="false">Sens!D15434</f>
        <v>101.832</v>
      </c>
      <c r="E15437" s="6" t="n">
        <f aca="false">Sens!E15434</f>
        <v>133.749</v>
      </c>
      <c r="F15437" s="6" t="n">
        <f aca="false">Sens!F15434+Sens!F15427*(1-tax_f)</f>
        <v>135.568315597392</v>
      </c>
      <c r="G15437" s="6" t="n">
        <f aca="false">Sens!G15434+Sens!G15427*(1-tax_f)</f>
        <v>139.916530313158</v>
      </c>
      <c r="H15437" s="6" t="n">
        <f aca="false">Sens!H15434+Sens!H15427*(1-tax_f)</f>
        <v>149.252482875579</v>
      </c>
      <c r="I15437" s="6" t="n">
        <f aca="false">Sens!I15434+Sens!I15427*(1-tax_f)</f>
        <v>161.841988938042</v>
      </c>
      <c r="J15437" s="6" t="n">
        <f aca="false">Sens!J15434+Sens!J15427*(1-tax_f)</f>
        <v>174.470396480058</v>
      </c>
      <c r="K15437" s="6" t="n">
        <f aca="false">Sens!K15434+Sens!K15427*(1-tax_f)</f>
        <v>186.730192224695</v>
      </c>
    </row>
    <row r="15438" customFormat="false" ht="17.15" hidden="false" customHeight="false" outlineLevel="0" collapsed="false">
      <c r="A15438" s="0" t="s">
        <v>1081</v>
      </c>
      <c r="B15438" s="0" t="s">
        <v>75</v>
      </c>
      <c r="D15438" s="8" t="n">
        <f aca="false">Sens!D15437/Sens!D15435</f>
        <v>13.641259209645</v>
      </c>
      <c r="E15438" s="8" t="n">
        <f aca="false">Sens!E15437/Sens!E15435</f>
        <v>17.9456594659869</v>
      </c>
      <c r="F15438" s="8" t="n">
        <f aca="false">Sens!F15437/Sens!F15435</f>
        <v>18.1398696189726</v>
      </c>
      <c r="G15438" s="8" t="n">
        <f aca="false">Sens!G15437/Sens!G15435</f>
        <v>18.6096336121777</v>
      </c>
      <c r="H15438" s="8" t="n">
        <f aca="false">Sens!H15437/Sens!H15435</f>
        <v>19.733256148024</v>
      </c>
      <c r="I15438" s="8" t="n">
        <f aca="false">Sens!I15437/Sens!I15435</f>
        <v>21.2969976790082</v>
      </c>
      <c r="J15438" s="8" t="n">
        <f aca="false">Sens!J15437/Sens!J15435</f>
        <v>22.8956528446503</v>
      </c>
      <c r="K15438" s="8" t="n">
        <f aca="false">Sens!K15437/Sens!K15435</f>
        <v>24.4517636741598</v>
      </c>
      <c r="L15438" s="1" t="s">
        <v>1082</v>
      </c>
    </row>
    <row r="15439" customFormat="false" ht="17.15" hidden="false" customHeight="false" outlineLevel="0" collapsed="false">
      <c r="A15439" s="0" t="s">
        <v>1083</v>
      </c>
      <c r="B15439" s="0" t="s">
        <v>168</v>
      </c>
      <c r="E15439" s="7" t="n">
        <f aca="false">Sens!E15438/Sens!D15438-1</f>
        <v>0.315542736208578</v>
      </c>
      <c r="F15439" s="7" t="n">
        <f aca="false">Sens!F15438/Sens!E15438-1</f>
        <v>0.0108221240547783</v>
      </c>
      <c r="G15439" s="7" t="n">
        <f aca="false">Sens!G15438/Sens!F15438-1</f>
        <v>0.0258967678970437</v>
      </c>
      <c r="H15439" s="7" t="n">
        <f aca="false">Sens!H15438/Sens!G15438-1</f>
        <v>0.0603785415265212</v>
      </c>
      <c r="I15439" s="7" t="n">
        <f aca="false">Sens!I15438/Sens!H15438-1</f>
        <v>0.0792439686210045</v>
      </c>
      <c r="J15439" s="7" t="n">
        <f aca="false">Sens!J15438/Sens!I15438-1</f>
        <v>0.0750648138172914</v>
      </c>
      <c r="K15439" s="7" t="n">
        <f aca="false">Sens!K15438/Sens!J15438-1</f>
        <v>0.0679653399738349</v>
      </c>
    </row>
    <row r="15440" customFormat="false" ht="17.15" hidden="false" customHeight="false" outlineLevel="0" collapsed="false">
      <c r="A15440" s="0" t="s">
        <v>1003</v>
      </c>
      <c r="B15440" s="0" t="s">
        <v>98</v>
      </c>
      <c r="E15440" s="6" t="n">
        <f aca="false">Sens!E15381</f>
        <v>5.25</v>
      </c>
      <c r="F15440" s="6" t="n">
        <f aca="false">Sens!F15381</f>
        <v>10.5</v>
      </c>
      <c r="G15440" s="6" t="n">
        <f aca="false">Sens!G15381</f>
        <v>13.5</v>
      </c>
      <c r="H15440" s="6" t="n">
        <f aca="false">Sens!H15381</f>
        <v>16.5</v>
      </c>
      <c r="I15440" s="6" t="n">
        <f aca="false">Sens!I15381</f>
        <v>18.75</v>
      </c>
      <c r="J15440" s="6" t="n">
        <f aca="false">Sens!J15381</f>
        <v>20.25</v>
      </c>
      <c r="K15440" s="6" t="n">
        <f aca="false">Sens!K15381</f>
        <v>21.75</v>
      </c>
    </row>
    <row r="15441" customFormat="false" ht="17.15" hidden="false" customHeight="false" outlineLevel="0" collapsed="false">
      <c r="A15441" s="1" t="s">
        <v>1004</v>
      </c>
      <c r="B15441" s="0" t="s">
        <v>98</v>
      </c>
      <c r="F15441" s="6" t="n">
        <f aca="false">MAX(0,((Sens!E15341+Sens!F15341)/2-(shadow_base*(Sens!$D$15341+Sens!$E$15341)/2+(1-shadow_base)*Sens!$E$15341))*Sens!F15350/1000-(Sens!F15440-Sens!$E$15440)*Sens!F15420)</f>
        <v>10.5962787979473</v>
      </c>
      <c r="G15441" s="6" t="n">
        <f aca="false">MAX(0,((Sens!F15341+Sens!G15341)/2-(shadow_base*(Sens!$D$15341+Sens!$E$15341)/2+(1-shadow_base)*Sens!$E$15341))*Sens!G15350/1000-(Sens!G15440-Sens!$E$15440)*Sens!G15420)</f>
        <v>27.844646674932</v>
      </c>
      <c r="H15441" s="6" t="n">
        <f aca="false">MAX(0,((Sens!G15341+Sens!H15341)/2-(shadow_base*(Sens!$D$15341+Sens!$E$15341)/2+(1-shadow_base)*Sens!$E$15341))*Sens!H15350/1000-(Sens!H15440-Sens!$E$15440)*Sens!H15420)</f>
        <v>46.566205501382</v>
      </c>
      <c r="I15441" s="6" t="n">
        <f aca="false">MAX(0,((Sens!H15341+Sens!I15341)/2-(shadow_base*(Sens!$D$15341+Sens!$E$15341)/2+(1-shadow_base)*Sens!$E$15341))*Sens!I15350/1000-(Sens!I15440-Sens!$E$15440)*Sens!I15420)</f>
        <v>63.2717778126444</v>
      </c>
      <c r="J15441" s="6" t="n">
        <f aca="false">MAX(0,((Sens!I15341+Sens!J15341)/2-(shadow_base*(Sens!$D$15341+Sens!$E$15341)/2+(1-shadow_base)*Sens!$E$15341))*Sens!J15350/1000-(Sens!J15440-Sens!$E$15440)*Sens!J15420)</f>
        <v>74.9061222882009</v>
      </c>
      <c r="K15441" s="6" t="n">
        <f aca="false">MAX(0,((Sens!J15341+Sens!K15341)/2-(shadow_base*(Sens!$D$15341+Sens!$E$15341)/2+(1-shadow_base)*Sens!$E$15341))*Sens!K15350/1000-(Sens!K15440-Sens!$E$15440)*Sens!K15420)</f>
        <v>81.6395437180232</v>
      </c>
      <c r="L15441" s="1" t="s">
        <v>1005</v>
      </c>
    </row>
    <row r="15442" customFormat="false" ht="17.15" hidden="false" customHeight="false" outlineLevel="0" collapsed="false">
      <c r="A15442" s="1" t="s">
        <v>1006</v>
      </c>
      <c r="B15442" s="0" t="s">
        <v>98</v>
      </c>
      <c r="F15442" s="6" t="n">
        <f aca="false">IF(internal_ai_reading=2,1,0)*Sens!F15441</f>
        <v>10.5962787979473</v>
      </c>
      <c r="G15442" s="6" t="n">
        <f aca="false">IF(internal_ai_reading=2,1,0)*Sens!G15441</f>
        <v>27.844646674932</v>
      </c>
      <c r="H15442" s="6" t="n">
        <f aca="false">IF(internal_ai_reading=2,1,0)*Sens!H15441</f>
        <v>46.566205501382</v>
      </c>
      <c r="I15442" s="6" t="n">
        <f aca="false">IF(internal_ai_reading=2,1,0)*Sens!I15441</f>
        <v>63.2717778126444</v>
      </c>
      <c r="J15442" s="6" t="n">
        <f aca="false">IF(internal_ai_reading=2,1,0)*Sens!J15441</f>
        <v>74.9061222882009</v>
      </c>
      <c r="K15442" s="6" t="n">
        <f aca="false">IF(internal_ai_reading=2,1,0)*Sens!K15441</f>
        <v>81.6395437180232</v>
      </c>
    </row>
    <row r="15443" customFormat="false" ht="17.15" hidden="false" customHeight="false" outlineLevel="0" collapsed="false">
      <c r="A15443" s="0" t="s">
        <v>1007</v>
      </c>
      <c r="B15443" s="0" t="s">
        <v>98</v>
      </c>
      <c r="F15443" s="6" t="n">
        <f aca="false">Sens!F15360+Sens!F15440*Sens!F15420+Sens!F15442-Sens!F15361-Sens!F15372</f>
        <v>-13.7186747391814</v>
      </c>
      <c r="G15443" s="6" t="n">
        <f aca="false">Sens!G15360+Sens!G15440*Sens!G15420+Sens!G15442-Sens!G15361-Sens!G15372</f>
        <v>-19.8207648223543</v>
      </c>
      <c r="H15443" s="6" t="n">
        <f aca="false">Sens!H15360+Sens!H15440*Sens!H15420+Sens!H15442-Sens!H15361-Sens!H15372</f>
        <v>-28.9383413865912</v>
      </c>
      <c r="I15443" s="6" t="n">
        <f aca="false">Sens!I15360+Sens!I15440*Sens!I15420+Sens!I15442-Sens!I15361-Sens!I15372</f>
        <v>-33.5911917832083</v>
      </c>
      <c r="J15443" s="6" t="n">
        <f aca="false">Sens!J15360+Sens!J15440*Sens!J15420+Sens!J15442-Sens!J15361-Sens!J15372</f>
        <v>-36.981841304047</v>
      </c>
      <c r="K15443" s="6" t="n">
        <f aca="false">Sens!K15360+Sens!K15440*Sens!K15420+Sens!K15442-Sens!K15361-Sens!K15372</f>
        <v>-38.7799573523454</v>
      </c>
    </row>
    <row r="15444" customFormat="false" ht="17.15" hidden="false" customHeight="false" outlineLevel="0" collapsed="false">
      <c r="A15444" s="0" t="s">
        <v>1008</v>
      </c>
      <c r="B15444" s="0" t="s">
        <v>98</v>
      </c>
      <c r="E15444" s="6" t="n">
        <f aca="false">Sens!E15340*(cxit_open+self_build*tk_cxfac)/1000*ai_net_open</f>
        <v>126.6980382</v>
      </c>
      <c r="F15444" s="6" t="n">
        <f aca="false">Sens!E15444+Sens!F15369-Sens!F15372</f>
        <v>260.572627763768</v>
      </c>
      <c r="G15444" s="6" t="n">
        <f aca="false">Sens!F15444+Sens!G15369-Sens!G15372</f>
        <v>391.782612760517</v>
      </c>
      <c r="H15444" s="6" t="n">
        <f aca="false">Sens!G15444+Sens!H15369-Sens!H15372</f>
        <v>499.488526163584</v>
      </c>
      <c r="I15444" s="6" t="n">
        <f aca="false">Sens!H15444+Sens!I15369-Sens!I15372</f>
        <v>553.872350090646</v>
      </c>
      <c r="J15444" s="6" t="n">
        <f aca="false">Sens!I15444+Sens!J15369-Sens!J15372</f>
        <v>550.78660823699</v>
      </c>
      <c r="K15444" s="6" t="n">
        <f aca="false">Sens!J15444+Sens!K15369-Sens!K15372</f>
        <v>526.736791750789</v>
      </c>
      <c r="L15444" s="1" t="s">
        <v>1009</v>
      </c>
    </row>
    <row r="15445" customFormat="false" ht="17.15" hidden="false" customHeight="false" outlineLevel="0" collapsed="false">
      <c r="A15445" s="0" t="s">
        <v>1010</v>
      </c>
      <c r="B15445" s="0" t="s">
        <v>168</v>
      </c>
      <c r="F15445" s="7" t="n">
        <f aca="false">Sens!F15443*(1-tax_f)/((Sens!E15444+Sens!F15444)/2)</f>
        <v>-0.0566783944972064</v>
      </c>
      <c r="G15445" s="7" t="n">
        <f aca="false">Sens!G15443*(1-tax_f)/((Sens!F15444+Sens!G15444)/2)</f>
        <v>-0.0486134267738535</v>
      </c>
      <c r="H15445" s="7" t="n">
        <f aca="false">Sens!H15443*(1-tax_f)/((Sens!G15444+Sens!H15444)/2)</f>
        <v>-0.0519497874400361</v>
      </c>
      <c r="I15445" s="7" t="n">
        <f aca="false">Sens!I15443*(1-tax_f)/((Sens!H15444+Sens!I15444)/2)</f>
        <v>-0.0510232609400254</v>
      </c>
      <c r="J15445" s="7" t="n">
        <f aca="false">Sens!J15443*(1-tax_f)/((Sens!I15444+Sens!J15444)/2)</f>
        <v>-0.0535648995017025</v>
      </c>
      <c r="K15445" s="7" t="n">
        <f aca="false">Sens!K15443*(1-tax_f)/((Sens!J15444+Sens!K15444)/2)</f>
        <v>-0.0575838369398348</v>
      </c>
    </row>
    <row r="15446" customFormat="false" ht="17.15" hidden="false" customHeight="false" outlineLevel="0" collapsed="false">
      <c r="A15446" s="1" t="s">
        <v>1011</v>
      </c>
      <c r="B15446" s="0" t="s">
        <v>168</v>
      </c>
      <c r="F15446" s="7" t="n">
        <f aca="false">(Sens!F15443-Sens!F15442)*(1-tax_f)/((Sens!E15444+Sens!F15444)/2)</f>
        <v>-0.100456680762508</v>
      </c>
      <c r="G15446" s="7" t="n">
        <f aca="false">(Sens!G15443-Sens!G15442)*(1-tax_f)/((Sens!F15444+Sens!G15444)/2)</f>
        <v>-0.116906638681044</v>
      </c>
      <c r="H15446" s="7" t="n">
        <f aca="false">(Sens!H15443-Sens!H15442)*(1-tax_f)/((Sens!G15444+Sens!H15444)/2)</f>
        <v>-0.135544919772214</v>
      </c>
      <c r="I15446" s="7" t="n">
        <f aca="false">(Sens!I15443-Sens!I15442)*(1-tax_f)/((Sens!H15444+Sens!I15444)/2)</f>
        <v>-0.147129777502729</v>
      </c>
      <c r="J15446" s="7" t="n">
        <f aca="false">(Sens!J15443-Sens!J15442)*(1-tax_f)/((Sens!I15444+Sens!J15444)/2)</f>
        <v>-0.162059738345507</v>
      </c>
      <c r="K15446" s="7" t="n">
        <f aca="false">(Sens!K15443-Sens!K15442)*(1-tax_f)/((Sens!J15444+Sens!K15444)/2)</f>
        <v>-0.178809297055428</v>
      </c>
    </row>
    <row r="15447" customFormat="false" ht="17.15" hidden="false" customHeight="false" outlineLevel="0" collapsed="false">
      <c r="A15447" s="1" t="s">
        <v>1012</v>
      </c>
      <c r="B15447" s="0" t="s">
        <v>168</v>
      </c>
      <c r="F15447" s="7" t="n">
        <f aca="false">(Sens!F15443-Sens!F15442+Sens!F15441)*(1-tax_f)/((Sens!E15444+Sens!F15444)/2)</f>
        <v>-0.0566783944972064</v>
      </c>
      <c r="G15447" s="7" t="n">
        <f aca="false">(Sens!G15443-Sens!G15442+Sens!G15441)*(1-tax_f)/((Sens!F15444+Sens!G15444)/2)</f>
        <v>-0.0486134267738535</v>
      </c>
      <c r="H15447" s="7" t="n">
        <f aca="false">(Sens!H15443-Sens!H15442+Sens!H15441)*(1-tax_f)/((Sens!G15444+Sens!H15444)/2)</f>
        <v>-0.0519497874400361</v>
      </c>
      <c r="I15447" s="7" t="n">
        <f aca="false">(Sens!I15443-Sens!I15442+Sens!I15441)*(1-tax_f)/((Sens!H15444+Sens!I15444)/2)</f>
        <v>-0.0510232609400254</v>
      </c>
      <c r="J15447" s="7" t="n">
        <f aca="false">(Sens!J15443-Sens!J15442+Sens!J15441)*(1-tax_f)/((Sens!I15444+Sens!J15444)/2)</f>
        <v>-0.0535648995017025</v>
      </c>
      <c r="K15447" s="7" t="n">
        <f aca="false">(Sens!K15443-Sens!K15442+Sens!K15441)*(1-tax_f)/((Sens!J15444+Sens!K15444)/2)</f>
        <v>-0.0575838369398348</v>
      </c>
    </row>
    <row r="15448" customFormat="false" ht="17.15" hidden="false" customHeight="false" outlineLevel="0" collapsed="false">
      <c r="A15448" s="1" t="s">
        <v>1013</v>
      </c>
      <c r="B15448" s="0" t="s">
        <v>168</v>
      </c>
      <c r="F15448" s="7" t="n">
        <f aca="false">Sens!F15373*(1-tax_f)/(Sens!F15359*(Sens!E15444+Sens!F15444)/2)</f>
        <v>-0.0671841698742599</v>
      </c>
      <c r="G15448" s="7" t="n">
        <f aca="false">Sens!G15373*(1-tax_f)/(Sens!G15359*(Sens!F15444+Sens!G15444)/2)</f>
        <v>-0.0806897723892312</v>
      </c>
      <c r="H15448" s="7" t="n">
        <f aca="false">Sens!H15373*(1-tax_f)/(Sens!H15359*(Sens!G15444+Sens!H15444)/2)</f>
        <v>-0.0990143279268292</v>
      </c>
      <c r="I15448" s="7" t="n">
        <f aca="false">Sens!I15373*(1-tax_f)/(Sens!I15359*(Sens!H15444+Sens!I15444)/2)</f>
        <v>-0.105020642762668</v>
      </c>
      <c r="J15448" s="7" t="n">
        <f aca="false">Sens!J15373*(1-tax_f)/(Sens!J15359*(Sens!I15444+Sens!J15444)/2)</f>
        <v>-0.114408003422725</v>
      </c>
      <c r="K15448" s="7" t="n">
        <f aca="false">Sens!K15373*(1-tax_f)/(Sens!K15359*(Sens!J15444+Sens!K15444)/2)</f>
        <v>-0.125620598800212</v>
      </c>
    </row>
    <row r="15449" customFormat="false" ht="17.15" hidden="false" customHeight="false" outlineLevel="0" collapsed="false">
      <c r="A15449" s="0" t="s">
        <v>1014</v>
      </c>
      <c r="B15449" s="0" t="s">
        <v>253</v>
      </c>
      <c r="F15449" s="7" t="n">
        <f aca="false">Sens!F15445-wacc</f>
        <v>-0.159614985442804</v>
      </c>
      <c r="G15449" s="7" t="n">
        <f aca="false">Sens!G15445-wacc</f>
        <v>-0.151550017719451</v>
      </c>
      <c r="H15449" s="7" t="n">
        <f aca="false">Sens!H15445-wacc</f>
        <v>-0.154886378385633</v>
      </c>
      <c r="I15449" s="7" t="n">
        <f aca="false">Sens!I15445-wacc</f>
        <v>-0.153959851885623</v>
      </c>
      <c r="J15449" s="7" t="n">
        <f aca="false">Sens!J15445-wacc</f>
        <v>-0.1565014904473</v>
      </c>
      <c r="K15449" s="7" t="n">
        <f aca="false">Sens!K15445-wacc</f>
        <v>-0.160520427885432</v>
      </c>
    </row>
    <row r="15450" customFormat="false" ht="17.15" hidden="false" customHeight="false" outlineLevel="0" collapsed="false">
      <c r="A15450" s="0" t="s">
        <v>1015</v>
      </c>
      <c r="B15450" s="0" t="s">
        <v>98</v>
      </c>
      <c r="F15450" s="6" t="n">
        <f aca="false">Sens!F15443*(1-tax_f)-wacc*(Sens!E15444+Sens!F15444)/2</f>
        <v>-30.9071008551159</v>
      </c>
      <c r="G15450" s="6" t="n">
        <f aca="false">Sens!G15443*(1-tax_f)-wacc*(Sens!F15444+Sens!G15444)/2</f>
        <v>-49.432224130416</v>
      </c>
      <c r="H15450" s="6" t="n">
        <f aca="false">Sens!H15443*(1-tax_f)-wacc*(Sens!G15444+Sens!H15444)/2</f>
        <v>-69.0228794337963</v>
      </c>
      <c r="I15450" s="6" t="n">
        <f aca="false">Sens!I15443*(1-tax_f)-wacc*(Sens!H15444+Sens!I15444)/2</f>
        <v>-81.0876422451054</v>
      </c>
      <c r="J15450" s="6" t="n">
        <f aca="false">Sens!J15443*(1-tax_f)-wacc*(Sens!I15444+Sens!J15444)/2</f>
        <v>-86.4403867071183</v>
      </c>
      <c r="K15450" s="6" t="n">
        <f aca="false">Sens!K15443*(1-tax_f)-wacc*(Sens!J15444+Sens!K15444)/2</f>
        <v>-86.4822586113019</v>
      </c>
    </row>
    <row r="15451" customFormat="false" ht="17.15" hidden="false" customHeight="false" outlineLevel="0" collapsed="false">
      <c r="A15451" s="3" t="s">
        <v>1860</v>
      </c>
    </row>
    <row r="15452" customFormat="false" ht="15" hidden="false" customHeight="false" outlineLevel="0" collapsed="false">
      <c r="A15452" s="4" t="s">
        <v>43</v>
      </c>
      <c r="B15452" s="4" t="s">
        <v>65</v>
      </c>
      <c r="C15452" s="23" t="s">
        <v>938</v>
      </c>
      <c r="D15452" s="23" t="s">
        <v>939</v>
      </c>
      <c r="E15452" s="23" t="s">
        <v>940</v>
      </c>
      <c r="F15452" s="23" t="s">
        <v>941</v>
      </c>
      <c r="G15452" s="23" t="s">
        <v>942</v>
      </c>
      <c r="H15452" s="23" t="s">
        <v>943</v>
      </c>
      <c r="I15452" s="23" t="s">
        <v>944</v>
      </c>
      <c r="J15452" s="23" t="s">
        <v>945</v>
      </c>
      <c r="K15452" s="23" t="s">
        <v>946</v>
      </c>
      <c r="L15452" s="4" t="s">
        <v>47</v>
      </c>
    </row>
    <row r="15453" customFormat="false" ht="15" hidden="false" customHeight="false" outlineLevel="0" collapsed="false">
      <c r="A15453" s="1" t="s">
        <v>1076</v>
      </c>
      <c r="B15453" s="0" t="s">
        <v>98</v>
      </c>
      <c r="F15453" s="6" t="n">
        <f aca="false">Sens!F15434</f>
        <v>127.091292559034</v>
      </c>
      <c r="G15453" s="6" t="n">
        <f aca="false">Sens!G15434</f>
        <v>117.640812973213</v>
      </c>
      <c r="H15453" s="6" t="n">
        <f aca="false">Sens!H15434</f>
        <v>111.999518474474</v>
      </c>
      <c r="I15453" s="6" t="n">
        <f aca="false">Sens!I15434</f>
        <v>111.224566687926</v>
      </c>
      <c r="J15453" s="6" t="n">
        <f aca="false">Sens!J15434</f>
        <v>114.545498649497</v>
      </c>
      <c r="K15453" s="6" t="n">
        <f aca="false">Sens!K15434</f>
        <v>121.418557250276</v>
      </c>
    </row>
    <row r="15454" customFormat="false" ht="17.15" hidden="false" customHeight="false" outlineLevel="0" collapsed="false">
      <c r="A15454" s="1" t="s">
        <v>1098</v>
      </c>
      <c r="B15454" s="0" t="s">
        <v>98</v>
      </c>
      <c r="E15454" s="6" t="n">
        <f aca="false">Q!M38-Sens!E15372</f>
        <v>22.2285940229167</v>
      </c>
      <c r="F15454" s="6" t="n">
        <f aca="false">Sens!E15454*(1-1/life_nonai)+(Sens!F15462+Sens!F15463)/life_nonai</f>
        <v>23.6941980446071</v>
      </c>
      <c r="G15454" s="6" t="n">
        <f aca="false">Sens!F15454*(1-1/life_nonai)+(Sens!G15462)/life_nonai</f>
        <v>25.5686550038179</v>
      </c>
      <c r="H15454" s="6" t="n">
        <f aca="false">Sens!G15454*(1-1/life_nonai)+(Sens!H15462)/life_nonai</f>
        <v>27.8200734566656</v>
      </c>
      <c r="I15454" s="6" t="n">
        <f aca="false">Sens!H15454*(1-1/life_nonai)+(Sens!I15462)/life_nonai</f>
        <v>30.390113114321</v>
      </c>
      <c r="J15454" s="6" t="n">
        <f aca="false">Sens!I15454*(1-1/life_nonai)+(Sens!J15462)/life_nonai</f>
        <v>33.2013507321954</v>
      </c>
      <c r="K15454" s="6" t="n">
        <f aca="false">Sens!J15454*(1-1/life_nonai)+(Sens!K15462)/life_nonai</f>
        <v>36.1658636506806</v>
      </c>
      <c r="L15454" s="12" t="s">
        <v>1099</v>
      </c>
    </row>
    <row r="15455" customFormat="false" ht="17.15" hidden="false" customHeight="false" outlineLevel="0" collapsed="false">
      <c r="A15455" s="1" t="s">
        <v>1100</v>
      </c>
      <c r="B15455" s="0" t="s">
        <v>98</v>
      </c>
      <c r="F15455" s="6" t="n">
        <f aca="false">Sens!$F$15463/life_nonai*(1-1/life_nonai)^(Sens!F15335-2027)</f>
        <v>0</v>
      </c>
      <c r="G15455" s="6" t="n">
        <f aca="false">Sens!$F$15463/life_nonai*(1-1/life_nonai)^(Sens!G15335-2027)</f>
        <v>0</v>
      </c>
      <c r="H15455" s="6" t="n">
        <f aca="false">Sens!$F$15463/life_nonai*(1-1/life_nonai)^(Sens!H15335-2027)</f>
        <v>0</v>
      </c>
      <c r="I15455" s="6" t="n">
        <f aca="false">Sens!$F$15463/life_nonai*(1-1/life_nonai)^(Sens!I15335-2027)</f>
        <v>0</v>
      </c>
      <c r="J15455" s="6" t="n">
        <f aca="false">Sens!$F$15463/life_nonai*(1-1/life_nonai)^(Sens!J15335-2027)</f>
        <v>0</v>
      </c>
      <c r="K15455" s="6" t="n">
        <f aca="false">Sens!$F$15463/life_nonai*(1-1/life_nonai)^(Sens!K15335-2027)</f>
        <v>0</v>
      </c>
      <c r="L15455" s="1" t="s">
        <v>1101</v>
      </c>
    </row>
    <row r="15456" customFormat="false" ht="17.15" hidden="false" customHeight="false" outlineLevel="0" collapsed="false">
      <c r="A15456" s="1" t="s">
        <v>1102</v>
      </c>
      <c r="B15456" s="0" t="s">
        <v>98</v>
      </c>
      <c r="E15456" s="6" t="n">
        <f aca="false">Sens!E15372+Sens!E15454</f>
        <v>38.534</v>
      </c>
      <c r="F15456" s="6" t="n">
        <f aca="false">Sens!F15372+Sens!F15454</f>
        <v>58.2735125229587</v>
      </c>
      <c r="G15456" s="6" t="n">
        <f aca="false">Sens!G15372+Sens!G15454</f>
        <v>86.3031456561168</v>
      </c>
      <c r="H15456" s="6" t="n">
        <f aca="false">Sens!H15372+Sens!H15454</f>
        <v>116.920164118111</v>
      </c>
      <c r="I15456" s="6" t="n">
        <f aca="false">Sens!I15372+Sens!I15454</f>
        <v>144.621122808869</v>
      </c>
      <c r="J15456" s="6" t="n">
        <f aca="false">Sens!J15372+Sens!J15454</f>
        <v>165.217023781792</v>
      </c>
      <c r="K15456" s="6" t="n">
        <f aca="false">Sens!K15372+Sens!K15454</f>
        <v>179.178533201615</v>
      </c>
    </row>
    <row r="15457" customFormat="false" ht="17.15" hidden="false" customHeight="false" outlineLevel="0" collapsed="false">
      <c r="A15457" s="1" t="s">
        <v>1103</v>
      </c>
      <c r="B15457" s="0" t="s">
        <v>98</v>
      </c>
      <c r="F15457" s="6" t="n">
        <f aca="false">Sens!F15399*sbc_r</f>
        <v>14.0422682072656</v>
      </c>
      <c r="G15457" s="6" t="n">
        <f aca="false">Sens!G15399*sbc_r</f>
        <v>16.0356888065589</v>
      </c>
      <c r="H15457" s="6" t="n">
        <f aca="false">Sens!H15399*sbc_r</f>
        <v>17.9618244075585</v>
      </c>
      <c r="I15457" s="6" t="n">
        <f aca="false">Sens!I15399*sbc_r</f>
        <v>19.9173342026199</v>
      </c>
      <c r="J15457" s="6" t="n">
        <f aca="false">Sens!J15399*sbc_r</f>
        <v>21.6241305706902</v>
      </c>
      <c r="K15457" s="6" t="n">
        <f aca="false">Sens!K15399*sbc_r</f>
        <v>23.0750764130549</v>
      </c>
    </row>
    <row r="15458" customFormat="false" ht="17.15" hidden="false" customHeight="false" outlineLevel="0" collapsed="false">
      <c r="A15458" s="1" t="s">
        <v>1104</v>
      </c>
      <c r="B15458" s="0" t="s">
        <v>98</v>
      </c>
      <c r="F15458" s="6" t="n">
        <f aca="false">wc27-wc26q1</f>
        <v>-4.677</v>
      </c>
      <c r="G15458" s="6" t="n">
        <f aca="false">wc_f</f>
        <v>0</v>
      </c>
      <c r="H15458" s="6" t="n">
        <f aca="false">wc_f</f>
        <v>0</v>
      </c>
      <c r="I15458" s="6" t="n">
        <f aca="false">wc_f</f>
        <v>0</v>
      </c>
      <c r="J15458" s="6" t="n">
        <f aca="false">wc_f</f>
        <v>0</v>
      </c>
      <c r="K15458" s="6" t="n">
        <f aca="false">wc_f</f>
        <v>0</v>
      </c>
      <c r="L15458" s="12" t="s">
        <v>1105</v>
      </c>
    </row>
    <row r="15459" customFormat="false" ht="17.15" hidden="false" customHeight="false" outlineLevel="0" collapsed="false">
      <c r="A15459" s="0" t="s">
        <v>1106</v>
      </c>
      <c r="B15459" s="0" t="s">
        <v>98</v>
      </c>
      <c r="F15459" s="6" t="n">
        <f aca="false">Q!$I$35-Q!$I$26-Q!$I$38-Q!$I$39</f>
        <v>6.493</v>
      </c>
      <c r="L15459" s="1" t="s">
        <v>1107</v>
      </c>
    </row>
    <row r="15460" customFormat="false" ht="15" hidden="false" customHeight="false" outlineLevel="0" collapsed="false">
      <c r="A15460" s="1" t="s">
        <v>904</v>
      </c>
      <c r="B15460" s="0" t="s">
        <v>98</v>
      </c>
      <c r="E15460" s="6" t="n">
        <f aca="false">Q!M35</f>
        <v>182.935</v>
      </c>
      <c r="F15460" s="6" t="n">
        <f aca="false">Sens!F15453+Sens!F15456+Sens!F15457+Sens!F15458+Sens!F15459</f>
        <v>201.223073289258</v>
      </c>
      <c r="G15460" s="6" t="n">
        <f aca="false">Sens!G15453+Sens!G15456+Sens!G15457+Sens!G15458</f>
        <v>219.979647435888</v>
      </c>
      <c r="H15460" s="6" t="n">
        <f aca="false">Sens!H15453+Sens!H15456+Sens!H15457+Sens!H15458</f>
        <v>246.881507000143</v>
      </c>
      <c r="I15460" s="6" t="n">
        <f aca="false">Sens!I15453+Sens!I15456+Sens!I15457+Sens!I15458</f>
        <v>275.763023699415</v>
      </c>
      <c r="J15460" s="6" t="n">
        <f aca="false">Sens!J15453+Sens!J15456+Sens!J15457+Sens!J15458</f>
        <v>301.386653001979</v>
      </c>
      <c r="K15460" s="6" t="n">
        <f aca="false">Sens!K15453+Sens!K15456+Sens!K15457+Sens!K15458</f>
        <v>323.672166864946</v>
      </c>
    </row>
    <row r="15461" customFormat="false" ht="17.15" hidden="false" customHeight="false" outlineLevel="0" collapsed="false">
      <c r="A15461" s="0" t="s">
        <v>1108</v>
      </c>
      <c r="B15461" s="0" t="s">
        <v>98</v>
      </c>
      <c r="F15461" s="6" t="n">
        <f aca="false">Sens!F15369</f>
        <v>168.45390404212</v>
      </c>
      <c r="G15461" s="6" t="n">
        <f aca="false">Sens!G15369</f>
        <v>191.944475649048</v>
      </c>
      <c r="H15461" s="6" t="n">
        <f aca="false">Sens!H15369</f>
        <v>196.806004064512</v>
      </c>
      <c r="I15461" s="6" t="n">
        <f aca="false">Sens!I15369</f>
        <v>168.61483362161</v>
      </c>
      <c r="J15461" s="6" t="n">
        <f aca="false">Sens!J15369</f>
        <v>128.92993119594</v>
      </c>
      <c r="K15461" s="6" t="n">
        <f aca="false">Sens!K15369</f>
        <v>118.962853064733</v>
      </c>
    </row>
    <row r="15462" customFormat="false" ht="17.15" hidden="false" customHeight="false" outlineLevel="0" collapsed="false">
      <c r="A15462" s="1" t="s">
        <v>1109</v>
      </c>
      <c r="B15462" s="0" t="s">
        <v>98</v>
      </c>
      <c r="E15462" s="6" t="n">
        <f aca="false">Sens!E15377*cx_azo+Sens!E15384*cx_m365+Sens!E15385*cx_lic+(Sens!E15387+Sens!E15389)*cx_ind+Sens!E15392*cx_srch+(Sens!E15394+Sens!E15396)*cx_dev</f>
        <v>30.1846587067718</v>
      </c>
      <c r="F15462" s="6" t="n">
        <f aca="false">Sens!F15377*cx_azo+Sens!F15384*cx_m365+Sens!F15385*cx_lic+(Sens!F15387+Sens!F15389)*cx_ind+Sens!F15392*cx_srch+(Sens!F15394+Sens!F15396)*cx_dev</f>
        <v>36.8846342398208</v>
      </c>
      <c r="G15462" s="6" t="n">
        <f aca="false">Sens!G15377*cx_azo+Sens!G15384*cx_m365+Sens!G15385*cx_lic+(Sens!G15387+Sens!G15389)*cx_ind+Sens!G15392*cx_srch+(Sens!G15394+Sens!G15396)*cx_dev</f>
        <v>42.438767636715</v>
      </c>
      <c r="H15462" s="6" t="n">
        <f aca="false">Sens!H15377*cx_azo+Sens!H15384*cx_m365+Sens!H15385*cx_lic+(Sens!H15387+Sens!H15389)*cx_ind+Sens!H15392*cx_srch+(Sens!H15394+Sens!H15396)*cx_dev</f>
        <v>48.0828395322947</v>
      </c>
      <c r="I15462" s="6" t="n">
        <f aca="false">Sens!I15377*cx_azo+Sens!I15384*cx_m365+Sens!I15385*cx_lic+(Sens!I15387+Sens!I15389)*cx_ind+Sens!I15392*cx_srch+(Sens!I15394+Sens!I15396)*cx_dev</f>
        <v>53.5204700332197</v>
      </c>
      <c r="J15462" s="6" t="n">
        <f aca="false">Sens!J15377*cx_azo+Sens!J15384*cx_m365+Sens!J15385*cx_lic+(Sens!J15387+Sens!J15389)*cx_ind+Sens!J15392*cx_srch+(Sens!J15394+Sens!J15396)*cx_dev</f>
        <v>58.5024892930657</v>
      </c>
      <c r="K15462" s="6" t="n">
        <f aca="false">Sens!K15377*cx_azo+Sens!K15384*cx_m365+Sens!K15385*cx_lic+(Sens!K15387+Sens!K15389)*cx_ind+Sens!K15392*cx_srch+(Sens!K15394+Sens!K15396)*cx_dev</f>
        <v>62.8464799170466</v>
      </c>
    </row>
    <row r="15463" customFormat="false" ht="17.15" hidden="false" customHeight="false" outlineLevel="0" collapsed="false">
      <c r="A15463" s="0" t="s">
        <v>1110</v>
      </c>
      <c r="B15463" s="0" t="s">
        <v>98</v>
      </c>
      <c r="F15463" s="6" t="n">
        <f aca="false">Sens!F15367</f>
        <v>0</v>
      </c>
      <c r="L15463" s="1" t="s">
        <v>1111</v>
      </c>
    </row>
    <row r="15464" customFormat="false" ht="17.15" hidden="false" customHeight="false" outlineLevel="0" collapsed="false">
      <c r="A15464" s="1" t="s">
        <v>1112</v>
      </c>
      <c r="B15464" s="0" t="s">
        <v>98</v>
      </c>
      <c r="E15464" s="6" t="n">
        <f aca="false">Q!M43</f>
        <v>145.3</v>
      </c>
      <c r="F15464" s="6" t="n">
        <f aca="false">Sens!F15461+Sens!F15462+Sens!F15463</f>
        <v>205.33853828194</v>
      </c>
      <c r="G15464" s="6" t="n">
        <f aca="false">Sens!G15461+Sens!G15462</f>
        <v>234.383243285763</v>
      </c>
      <c r="H15464" s="6" t="n">
        <f aca="false">Sens!H15461+Sens!H15462</f>
        <v>244.888843596807</v>
      </c>
      <c r="I15464" s="6" t="n">
        <f aca="false">Sens!I15461+Sens!I15462</f>
        <v>222.13530365483</v>
      </c>
      <c r="J15464" s="6" t="n">
        <f aca="false">Sens!J15461+Sens!J15462</f>
        <v>187.432420489006</v>
      </c>
      <c r="K15464" s="6" t="n">
        <f aca="false">Sens!K15461+Sens!K15462</f>
        <v>181.809332981779</v>
      </c>
      <c r="L15464" s="1" t="s">
        <v>1113</v>
      </c>
    </row>
    <row r="15465" customFormat="false" ht="15" hidden="false" customHeight="false" outlineLevel="0" collapsed="false">
      <c r="A15465" s="1" t="s">
        <v>1114</v>
      </c>
      <c r="B15465" s="0" t="s">
        <v>98</v>
      </c>
      <c r="E15465" s="6" t="n">
        <f aca="false">fl_liab</f>
        <v>66.594</v>
      </c>
      <c r="F15465" s="6" t="n">
        <f aca="false">Sens!E15465-Sens!F15466</f>
        <v>62.46973</v>
      </c>
      <c r="G15465" s="6" t="n">
        <f aca="false">Sens!F15465-Sens!G15466</f>
        <v>57.98686785</v>
      </c>
      <c r="H15465" s="6" t="n">
        <f aca="false">Sens!G15465-Sens!H15466</f>
        <v>53.92827690325</v>
      </c>
      <c r="I15465" s="6" t="n">
        <f aca="false">Sens!H15465-Sens!I15466</f>
        <v>49.7850493638962</v>
      </c>
      <c r="J15465" s="6" t="n">
        <f aca="false">Sens!I15465-Sens!J15466</f>
        <v>45.4823765852716</v>
      </c>
      <c r="K15465" s="6" t="n">
        <f aca="false">Sens!J15465-Sens!K15466</f>
        <v>40.9860835316088</v>
      </c>
    </row>
    <row r="15466" customFormat="false" ht="15" hidden="false" customHeight="false" outlineLevel="0" collapsed="false">
      <c r="A15466" s="1" t="s">
        <v>1115</v>
      </c>
      <c r="B15466" s="0" t="s">
        <v>98</v>
      </c>
      <c r="F15466" s="6" t="n">
        <f aca="false">fl_pay_27-Sens!E15465*fl_rate</f>
        <v>4.12427</v>
      </c>
      <c r="G15466" s="6" t="n">
        <f aca="false">fl_pay_28-Sens!F15465*fl_rate</f>
        <v>4.48286215</v>
      </c>
      <c r="H15466" s="6" t="n">
        <f aca="false">fl_pay_29-Sens!G15465*fl_rate</f>
        <v>4.05859094675</v>
      </c>
      <c r="I15466" s="6" t="n">
        <f aca="false">fl_pay_30-Sens!H15465*fl_rate</f>
        <v>4.14322753935375</v>
      </c>
      <c r="J15466" s="6" t="n">
        <f aca="false">fl_pay_31-Sens!I15465*fl_rate</f>
        <v>4.30267277862467</v>
      </c>
      <c r="K15466" s="6" t="n">
        <f aca="false">fl_pay_32-Sens!J15465*fl_rate</f>
        <v>4.49629305366278</v>
      </c>
    </row>
    <row r="15467" customFormat="false" ht="17.15" hidden="false" customHeight="false" outlineLevel="0" collapsed="false">
      <c r="A15467" s="1" t="s">
        <v>1116</v>
      </c>
      <c r="B15467" s="0" t="s">
        <v>98</v>
      </c>
      <c r="E15467" s="6" t="n">
        <f aca="false">Q!M35-Q!M36-Q!M44</f>
        <v>63.886</v>
      </c>
      <c r="F15467" s="6" t="n">
        <f aca="false">Sens!F15460-Sens!F15464-Sens!F15466</f>
        <v>-8.23973499268249</v>
      </c>
      <c r="G15467" s="6" t="n">
        <f aca="false">Sens!G15460-Sens!G15464-Sens!G15466</f>
        <v>-18.8864579998747</v>
      </c>
      <c r="H15467" s="6" t="n">
        <f aca="false">Sens!H15460-Sens!H15464-Sens!H15466</f>
        <v>-2.06592754341366</v>
      </c>
      <c r="I15467" s="6" t="n">
        <f aca="false">Sens!I15460-Sens!I15464-Sens!I15466</f>
        <v>49.4844925052315</v>
      </c>
      <c r="J15467" s="6" t="n">
        <f aca="false">Sens!J15460-Sens!J15464-Sens!J15466</f>
        <v>109.651559734348</v>
      </c>
      <c r="K15467" s="6" t="n">
        <f aca="false">Sens!K15460-Sens!K15464-Sens!K15466</f>
        <v>137.366540829504</v>
      </c>
      <c r="L15467" s="12" t="s">
        <v>1117</v>
      </c>
    </row>
    <row r="15468" customFormat="false" ht="15" hidden="false" customHeight="false" outlineLevel="0" collapsed="false">
      <c r="A15468" s="1" t="s">
        <v>1118</v>
      </c>
      <c r="B15468" s="0" t="s">
        <v>75</v>
      </c>
      <c r="F15468" s="8" t="n">
        <f aca="false">dps_27</f>
        <v>3.85</v>
      </c>
      <c r="G15468" s="8" t="n">
        <f aca="false">Sens!F15468*(1+dps_g)</f>
        <v>4.158</v>
      </c>
      <c r="H15468" s="8" t="n">
        <f aca="false">Sens!G15468*(1+dps_g)</f>
        <v>4.49064</v>
      </c>
      <c r="I15468" s="8" t="n">
        <f aca="false">Sens!H15468*(1+dps_g)</f>
        <v>4.8498912</v>
      </c>
      <c r="J15468" s="8" t="n">
        <f aca="false">Sens!I15468*(1+dps_g)</f>
        <v>5.237882496</v>
      </c>
      <c r="K15468" s="8" t="n">
        <f aca="false">Sens!J15468*(1+dps_g)</f>
        <v>5.65691309568</v>
      </c>
    </row>
    <row r="15469" customFormat="false" ht="17.15" hidden="false" customHeight="false" outlineLevel="0" collapsed="false">
      <c r="A15469" s="1" t="s">
        <v>1119</v>
      </c>
      <c r="B15469" s="0" t="s">
        <v>98</v>
      </c>
      <c r="E15469" s="6" t="n">
        <f aca="false">Q!M41</f>
        <v>26.445</v>
      </c>
      <c r="F15469" s="6" t="n">
        <f aca="false">Sens!F15468*Sens!E15478</f>
        <v>28.59395</v>
      </c>
      <c r="G15469" s="6" t="n">
        <f aca="false">Sens!G15468*Sens!F15478</f>
        <v>31.068576</v>
      </c>
      <c r="H15469" s="6" t="n">
        <f aca="false">Sens!H15468*Sens!G15478</f>
        <v>33.75614088</v>
      </c>
      <c r="I15469" s="6" t="n">
        <f aca="false">Sens!I15468*Sens!H15478</f>
        <v>36.6748772544</v>
      </c>
      <c r="J15469" s="6" t="n">
        <f aca="false">Sens!J15468*Sens!I15478</f>
        <v>39.7480546629266</v>
      </c>
      <c r="K15469" s="6" t="n">
        <f aca="false">Sens!K15468*Sens!J15478</f>
        <v>43.014653298339</v>
      </c>
      <c r="L15469" s="1" t="s">
        <v>1120</v>
      </c>
    </row>
    <row r="15470" customFormat="false" ht="15" hidden="false" customHeight="false" outlineLevel="0" collapsed="false">
      <c r="A15470" s="1" t="s">
        <v>1121</v>
      </c>
      <c r="B15470" s="0" t="s">
        <v>98</v>
      </c>
      <c r="E15470" s="6" t="n">
        <f aca="false">Sens!E15467-Sens!E15469</f>
        <v>37.441</v>
      </c>
      <c r="F15470" s="6" t="n">
        <f aca="false">Sens!F15467-Sens!F15469</f>
        <v>-36.8336849926825</v>
      </c>
      <c r="G15470" s="6" t="n">
        <f aca="false">Sens!G15467-Sens!G15469</f>
        <v>-49.9550339998747</v>
      </c>
      <c r="H15470" s="6" t="n">
        <f aca="false">Sens!H15467-Sens!H15469</f>
        <v>-35.8220684234137</v>
      </c>
      <c r="I15470" s="6" t="n">
        <f aca="false">Sens!I15467-Sens!I15469</f>
        <v>12.8096152508315</v>
      </c>
      <c r="J15470" s="6" t="n">
        <f aca="false">Sens!J15467-Sens!J15469</f>
        <v>69.9035050714215</v>
      </c>
      <c r="K15470" s="6" t="n">
        <f aca="false">Sens!K15467-Sens!K15469</f>
        <v>94.351887531165</v>
      </c>
    </row>
    <row r="15471" customFormat="false" ht="15" hidden="false" customHeight="false" outlineLevel="0" collapsed="false">
      <c r="A15471" s="1" t="s">
        <v>1122</v>
      </c>
      <c r="B15471" s="0" t="s">
        <v>98</v>
      </c>
      <c r="F15471" s="6" t="n">
        <f aca="false">debt_mat_27</f>
        <v>9.25</v>
      </c>
      <c r="G15471" s="6" t="n">
        <f aca="false">debt_mat_28</f>
        <v>0</v>
      </c>
      <c r="H15471" s="6" t="n">
        <f aca="false">debt_mat_29</f>
        <v>2.001</v>
      </c>
      <c r="I15471" s="6" t="n">
        <f aca="false">debt_mat_30</f>
        <v>0</v>
      </c>
      <c r="J15471" s="6" t="n">
        <f aca="false">debt_mat_31</f>
        <v>0.5</v>
      </c>
      <c r="K15471" s="6" t="n">
        <f aca="false">debt_mat_32</f>
        <v>0</v>
      </c>
    </row>
    <row r="15472" customFormat="false" ht="15" hidden="false" customHeight="false" outlineLevel="0" collapsed="false">
      <c r="A15472" s="1" t="s">
        <v>1123</v>
      </c>
      <c r="B15472" s="0" t="s">
        <v>98</v>
      </c>
      <c r="E15472" s="6" t="n">
        <f aca="false">Q!M40</f>
        <v>22.271</v>
      </c>
      <c r="F15472" s="6" t="n">
        <f aca="false">MAX(0,MIN(bb_target,Sens!E15474+Sens!F15470-Sens!F15471-min_cash))</f>
        <v>0</v>
      </c>
      <c r="G15472" s="6" t="n">
        <f aca="false">MAX(0,MIN(bb_target,Sens!F15474+Sens!G15470-Sens!G15471-min_cash))</f>
        <v>0</v>
      </c>
      <c r="H15472" s="6" t="n">
        <f aca="false">MAX(0,MIN(bb_target,Sens!G15474+Sens!H15470-Sens!H15471-min_cash))</f>
        <v>0</v>
      </c>
      <c r="I15472" s="6" t="n">
        <f aca="false">MAX(0,MIN(bb_target,Sens!H15474+Sens!I15470-Sens!I15471-min_cash))</f>
        <v>12.8096152508315</v>
      </c>
      <c r="J15472" s="6" t="n">
        <f aca="false">MAX(0,MIN(bb_target,Sens!I15474+Sens!J15470-Sens!J15471-min_cash))</f>
        <v>22.271</v>
      </c>
      <c r="K15472" s="6" t="n">
        <f aca="false">MAX(0,MIN(bb_target,Sens!J15474+Sens!K15470-Sens!K15471-min_cash))</f>
        <v>22.271</v>
      </c>
    </row>
    <row r="15473" customFormat="false" ht="15" hidden="false" customHeight="false" outlineLevel="0" collapsed="false">
      <c r="A15473" s="1" t="s">
        <v>1124</v>
      </c>
      <c r="B15473" s="0" t="s">
        <v>98</v>
      </c>
      <c r="F15473" s="6" t="n">
        <f aca="false">MAX(0,min_cash-(Sens!E15474+Sens!F15470-Sens!F15471-Sens!F15472))</f>
        <v>19.2406849926825</v>
      </c>
      <c r="G15473" s="6" t="n">
        <f aca="false">MAX(0,min_cash-(Sens!F15474+Sens!G15470-Sens!G15471-Sens!G15472))</f>
        <v>49.9550339998747</v>
      </c>
      <c r="H15473" s="6" t="n">
        <f aca="false">MAX(0,min_cash-(Sens!G15474+Sens!H15470-Sens!H15471-Sens!H15472))</f>
        <v>37.8230684234137</v>
      </c>
      <c r="I15473" s="6" t="n">
        <f aca="false">MAX(0,min_cash-(Sens!H15474+Sens!I15470-Sens!I15471-Sens!I15472))</f>
        <v>0</v>
      </c>
      <c r="J15473" s="6" t="n">
        <f aca="false">MAX(0,min_cash-(Sens!I15474+Sens!J15470-Sens!J15471-Sens!J15472))</f>
        <v>0</v>
      </c>
      <c r="K15473" s="6" t="n">
        <f aca="false">MAX(0,min_cash-(Sens!J15474+Sens!K15470-Sens!K15471-Sens!K15472))</f>
        <v>0</v>
      </c>
    </row>
    <row r="15474" customFormat="false" ht="15" hidden="false" customHeight="false" outlineLevel="0" collapsed="false">
      <c r="A15474" s="1" t="s">
        <v>1125</v>
      </c>
      <c r="B15474" s="0" t="s">
        <v>98</v>
      </c>
      <c r="E15474" s="6" t="n">
        <f aca="false">cash_open</f>
        <v>76.843</v>
      </c>
      <c r="F15474" s="6" t="n">
        <f aca="false">Sens!E15474+Sens!F15470-Sens!F15471-Sens!F15472+Sens!F15473</f>
        <v>50</v>
      </c>
      <c r="G15474" s="6" t="n">
        <f aca="false">Sens!F15474+Sens!G15470-Sens!G15471-Sens!G15472+Sens!G15473</f>
        <v>50</v>
      </c>
      <c r="H15474" s="6" t="n">
        <f aca="false">Sens!G15474+Sens!H15470-Sens!H15471-Sens!H15472+Sens!H15473</f>
        <v>50</v>
      </c>
      <c r="I15474" s="6" t="n">
        <f aca="false">Sens!H15474+Sens!I15470-Sens!I15471-Sens!I15472+Sens!I15473</f>
        <v>50</v>
      </c>
      <c r="J15474" s="6" t="n">
        <f aca="false">Sens!I15474+Sens!J15470-Sens!J15471-Sens!J15472+Sens!J15473</f>
        <v>97.1325050714215</v>
      </c>
      <c r="K15474" s="6" t="n">
        <f aca="false">Sens!J15474+Sens!K15470-Sens!K15471-Sens!K15472+Sens!K15473</f>
        <v>169.213392602586</v>
      </c>
    </row>
    <row r="15475" customFormat="false" ht="15" hidden="false" customHeight="false" outlineLevel="0" collapsed="false">
      <c r="A15475" s="1" t="s">
        <v>1126</v>
      </c>
      <c r="B15475" s="0" t="s">
        <v>98</v>
      </c>
      <c r="E15475" s="6" t="n">
        <f aca="false">debt_face</f>
        <v>46.136</v>
      </c>
      <c r="F15475" s="6" t="n">
        <f aca="false">Sens!E15475-Sens!F15471+Sens!F15473</f>
        <v>56.1266849926825</v>
      </c>
      <c r="G15475" s="6" t="n">
        <f aca="false">Sens!F15475-Sens!G15471+Sens!G15473</f>
        <v>106.081718992557</v>
      </c>
      <c r="H15475" s="6" t="n">
        <f aca="false">Sens!G15475-Sens!H15471+Sens!H15473</f>
        <v>141.903787415971</v>
      </c>
      <c r="I15475" s="6" t="n">
        <f aca="false">Sens!H15475-Sens!I15471+Sens!I15473</f>
        <v>141.903787415971</v>
      </c>
      <c r="J15475" s="6" t="n">
        <f aca="false">Sens!I15475-Sens!J15471+Sens!J15473</f>
        <v>141.403787415971</v>
      </c>
      <c r="K15475" s="6" t="n">
        <f aca="false">Sens!J15475-Sens!K15471+Sens!K15473</f>
        <v>141.403787415971</v>
      </c>
    </row>
    <row r="15476" customFormat="false" ht="15" hidden="false" customHeight="false" outlineLevel="0" collapsed="false">
      <c r="A15476" s="1" t="s">
        <v>1127</v>
      </c>
      <c r="B15476" s="0" t="s">
        <v>98</v>
      </c>
      <c r="E15476" s="6" t="n">
        <f aca="false">Sens!E15474-Sens!E15475</f>
        <v>30.707</v>
      </c>
      <c r="F15476" s="6" t="n">
        <f aca="false">Sens!F15474-Sens!F15475</f>
        <v>-6.12668499268249</v>
      </c>
      <c r="G15476" s="6" t="n">
        <f aca="false">Sens!G15474-Sens!G15475</f>
        <v>-56.0817189925572</v>
      </c>
      <c r="H15476" s="6" t="n">
        <f aca="false">Sens!H15474-Sens!H15475</f>
        <v>-91.9037874159709</v>
      </c>
      <c r="I15476" s="6" t="n">
        <f aca="false">Sens!I15474-Sens!I15475</f>
        <v>-91.9037874159709</v>
      </c>
      <c r="J15476" s="6" t="n">
        <f aca="false">Sens!J15474-Sens!J15475</f>
        <v>-44.2712823445494</v>
      </c>
      <c r="K15476" s="6" t="n">
        <f aca="false">Sens!K15474-Sens!K15475</f>
        <v>27.8096051866156</v>
      </c>
    </row>
    <row r="15477" customFormat="false" ht="15" hidden="false" customHeight="false" outlineLevel="0" collapsed="false">
      <c r="A15477" s="1" t="s">
        <v>1128</v>
      </c>
      <c r="B15477" s="0" t="s">
        <v>75</v>
      </c>
      <c r="F15477" s="30" t="n">
        <f aca="false">px*(1+bb_g)^(Sens!F15335-base_fy-mid_yr)</f>
        <v>551.84177959629</v>
      </c>
      <c r="G15477" s="30" t="n">
        <f aca="false">px*(1+bb_g)^(Sens!G15335-base_fy-mid_yr)</f>
        <v>595.989121963993</v>
      </c>
      <c r="H15477" s="30" t="n">
        <f aca="false">px*(1+bb_g)^(Sens!H15335-base_fy-mid_yr)</f>
        <v>643.668251721112</v>
      </c>
      <c r="I15477" s="30" t="n">
        <f aca="false">px*(1+bb_g)^(Sens!I15335-base_fy-mid_yr)</f>
        <v>695.161711858801</v>
      </c>
      <c r="J15477" s="30" t="n">
        <f aca="false">px*(1+bb_g)^(Sens!J15335-base_fy-mid_yr)</f>
        <v>750.774648807506</v>
      </c>
      <c r="K15477" s="30" t="n">
        <f aca="false">px*(1+bb_g)^(Sens!K15335-base_fy-mid_yr)</f>
        <v>810.836620712106</v>
      </c>
    </row>
    <row r="15478" customFormat="false" ht="15" hidden="false" customHeight="false" outlineLevel="0" collapsed="false">
      <c r="A15478" s="1" t="s">
        <v>1129</v>
      </c>
      <c r="B15478" s="1" t="s">
        <v>81</v>
      </c>
      <c r="E15478" s="15" t="n">
        <f aca="false">sh_out26</f>
        <v>7.427</v>
      </c>
      <c r="F15478" s="15" t="n">
        <f aca="false">Sens!E15478+sh_iss-Sens!F15472/Sens!F15477</f>
        <v>7.472</v>
      </c>
      <c r="G15478" s="15" t="n">
        <f aca="false">Sens!F15478+sh_iss-Sens!G15472/Sens!G15477</f>
        <v>7.517</v>
      </c>
      <c r="H15478" s="15" t="n">
        <f aca="false">Sens!G15478+sh_iss-Sens!H15472/Sens!H15477</f>
        <v>7.562</v>
      </c>
      <c r="I15478" s="15" t="n">
        <f aca="false">Sens!H15478+sh_iss-Sens!I15472/Sens!I15477</f>
        <v>7.58857318645099</v>
      </c>
      <c r="J15478" s="15" t="n">
        <f aca="false">Sens!I15478+sh_iss-Sens!J15472/Sens!J15477</f>
        <v>7.6039091587226</v>
      </c>
      <c r="K15478" s="15" t="n">
        <f aca="false">Sens!J15478+sh_iss-Sens!K15472/Sens!K15477</f>
        <v>7.62144246638149</v>
      </c>
    </row>
    <row r="15479" customFormat="false" ht="15" hidden="false" customHeight="false" outlineLevel="0" collapsed="false">
      <c r="A15479" s="1" t="s">
        <v>1130</v>
      </c>
      <c r="B15479" s="1" t="s">
        <v>81</v>
      </c>
      <c r="E15479" s="15" t="n">
        <f aca="false">sh_dil26</f>
        <v>7.453</v>
      </c>
      <c r="F15479" s="15" t="n">
        <f aca="false">(Sens!E15478+Sens!F15478)/2+dil_gap</f>
        <v>7.4735</v>
      </c>
      <c r="G15479" s="15" t="n">
        <f aca="false">(Sens!F15478+Sens!G15478)/2+dil_gap</f>
        <v>7.5185</v>
      </c>
      <c r="H15479" s="15" t="n">
        <f aca="false">(Sens!G15478+Sens!H15478)/2+dil_gap</f>
        <v>7.5635</v>
      </c>
      <c r="I15479" s="15" t="n">
        <f aca="false">(Sens!H15478+Sens!I15478)/2+dil_gap</f>
        <v>7.5992865932255</v>
      </c>
      <c r="J15479" s="15" t="n">
        <f aca="false">(Sens!I15478+Sens!J15478)/2+dil_gap</f>
        <v>7.6202411725868</v>
      </c>
      <c r="K15479" s="15" t="n">
        <f aca="false">(Sens!J15478+Sens!K15478)/2+dil_gap</f>
        <v>7.63667581255205</v>
      </c>
    </row>
    <row r="15480" customFormat="false" ht="17.15" hidden="false" customHeight="false" outlineLevel="0" collapsed="false">
      <c r="A15480" s="1" t="s">
        <v>1131</v>
      </c>
      <c r="B15480" s="0" t="s">
        <v>98</v>
      </c>
      <c r="C15480" s="6" t="n">
        <f aca="false">SUM(Sens!F15470:J15470)</f>
        <v>-39.8976670937179</v>
      </c>
    </row>
    <row r="15481" customFormat="false" ht="15" hidden="false" customHeight="false" outlineLevel="0" collapsed="false">
      <c r="A15481" s="26" t="s">
        <v>1096</v>
      </c>
      <c r="B15481" s="31" t="s">
        <v>98</v>
      </c>
      <c r="C15481" s="27" t="n">
        <f aca="false">Sens!$C$15480-(Sens!F15470+Sens!G15470+Sens!H15470+Sens!I15470+Sens!J15470)</f>
        <v>0</v>
      </c>
      <c r="D15481" s="31"/>
      <c r="E15481" s="31"/>
      <c r="F15481" s="31"/>
      <c r="G15481" s="31"/>
      <c r="H15481" s="31"/>
      <c r="I15481" s="31"/>
      <c r="J15481" s="31"/>
      <c r="K15481" s="31"/>
    </row>
    <row r="15482" customFormat="false" ht="17.15" hidden="false" customHeight="false" outlineLevel="0" collapsed="false">
      <c r="A15482" s="1" t="s">
        <v>1090</v>
      </c>
      <c r="B15482" s="1" t="s">
        <v>1132</v>
      </c>
      <c r="C15482" s="33" t="str">
        <f aca="false">IF(SUM(Sens!F15473:J15473)&gt;0.05,"需要舉債 "&amp;TEXT(SUM(Sens!F15473:J15473),"0.0")&amp;" 十億美元","不需舉債")&amp;"；"&amp;IF(SUM(Sens!F15472:J15472)&lt;COUNT(Sens!F15472:J15472)*bb_target-0.05,"回購較每年 "&amp;TEXT(bb_target,"0.0")&amp;" 的目標少 "&amp;TEXT(COUNT(Sens!F15472:J15472)*bb_target-SUM(Sens!F15472:J15472),"0.0")&amp;" 十億美元（"&amp;TEXT(COUNTIF(Sens!F15472:J15472,"&lt;"&amp;(bb_target-0.05)),"0")&amp;" 年減少）","回購不減")</f>
        <v>需要舉債 107.0 十億美元；回購較每年 22.3 的目標少 76.3 十億美元（4 年減少）</v>
      </c>
    </row>
    <row r="15483" customFormat="false" ht="17.15" hidden="false" customHeight="false" outlineLevel="0" collapsed="false">
      <c r="A15483" s="3" t="s">
        <v>1861</v>
      </c>
    </row>
    <row r="15484" customFormat="false" ht="15" hidden="false" customHeight="false" outlineLevel="0" collapsed="false">
      <c r="A15484" s="4" t="s">
        <v>43</v>
      </c>
      <c r="B15484" s="4" t="s">
        <v>65</v>
      </c>
      <c r="C15484" s="23" t="s">
        <v>938</v>
      </c>
      <c r="D15484" s="23" t="s">
        <v>939</v>
      </c>
      <c r="E15484" s="23" t="s">
        <v>940</v>
      </c>
      <c r="F15484" s="23" t="s">
        <v>941</v>
      </c>
      <c r="G15484" s="23" t="s">
        <v>942</v>
      </c>
      <c r="H15484" s="23" t="s">
        <v>943</v>
      </c>
      <c r="I15484" s="23" t="s">
        <v>944</v>
      </c>
      <c r="J15484" s="23" t="s">
        <v>945</v>
      </c>
      <c r="K15484" s="23" t="s">
        <v>946</v>
      </c>
      <c r="L15484" s="4" t="s">
        <v>47</v>
      </c>
    </row>
    <row r="15485" customFormat="false" ht="17.15" hidden="false" customHeight="false" outlineLevel="0" collapsed="false">
      <c r="A15485" s="1" t="s">
        <v>1212</v>
      </c>
      <c r="B15485" s="1" t="s">
        <v>279</v>
      </c>
      <c r="F15485" s="8" t="n">
        <f aca="false">(1-v_off)*mid_yr</f>
        <v>0.373972602739726</v>
      </c>
      <c r="G15485" s="8" t="n">
        <f aca="false">Sens!G15335-base_fy-mid_yr-v_off</f>
        <v>1.24794520547945</v>
      </c>
      <c r="H15485" s="8" t="n">
        <f aca="false">Sens!H15335-base_fy-mid_yr-v_off</f>
        <v>2.24794520547945</v>
      </c>
      <c r="I15485" s="8" t="n">
        <f aca="false">Sens!I15335-base_fy-mid_yr-v_off</f>
        <v>3.24794520547945</v>
      </c>
      <c r="J15485" s="8" t="n">
        <f aca="false">Sens!J15335-base_fy-mid_yr-v_off</f>
        <v>4.24794520547945</v>
      </c>
      <c r="K15485" s="8" t="n">
        <f aca="false">Sens!K15335-base_fy-mid_yr-v_off</f>
        <v>5.24794520547945</v>
      </c>
      <c r="L15485" s="12" t="s">
        <v>1213</v>
      </c>
    </row>
    <row r="15486" customFormat="false" ht="15" hidden="false" customHeight="false" outlineLevel="0" collapsed="false">
      <c r="A15486" s="1" t="s">
        <v>1214</v>
      </c>
      <c r="B15486" s="1" t="s">
        <v>279</v>
      </c>
      <c r="F15486" s="8" t="n">
        <f aca="false">Sens!F15335-base_fy-v_off</f>
        <v>0.747945205479452</v>
      </c>
      <c r="G15486" s="8" t="n">
        <f aca="false">Sens!G15335-base_fy-v_off</f>
        <v>1.74794520547945</v>
      </c>
      <c r="H15486" s="8" t="n">
        <f aca="false">Sens!H15335-base_fy-v_off</f>
        <v>2.74794520547945</v>
      </c>
      <c r="I15486" s="8" t="n">
        <f aca="false">Sens!I15335-base_fy-v_off</f>
        <v>3.74794520547945</v>
      </c>
      <c r="J15486" s="8" t="n">
        <f aca="false">Sens!J15335-base_fy-v_off</f>
        <v>4.74794520547945</v>
      </c>
      <c r="K15486" s="8" t="n">
        <f aca="false">Sens!K15335-base_fy-v_off</f>
        <v>5.74794520547945</v>
      </c>
    </row>
    <row r="15487" customFormat="false" ht="15" hidden="false" customHeight="false" outlineLevel="0" collapsed="false">
      <c r="A15487" s="1" t="s">
        <v>1215</v>
      </c>
      <c r="B15487" s="0" t="s">
        <v>229</v>
      </c>
      <c r="F15487" s="15" t="n">
        <f aca="false">1/(1+wacc)^Sens!F15485</f>
        <v>0.964022703286649</v>
      </c>
      <c r="G15487" s="15" t="n">
        <f aca="false">1/(1+wacc)^Sens!G15485</f>
        <v>0.884910302296739</v>
      </c>
      <c r="H15487" s="15" t="n">
        <f aca="false">1/(1+wacc)^Sens!H15485</f>
        <v>0.802322009770358</v>
      </c>
      <c r="I15487" s="15" t="n">
        <f aca="false">1/(1+wacc)^Sens!I15485</f>
        <v>0.727441646561469</v>
      </c>
      <c r="J15487" s="15" t="n">
        <f aca="false">1/(1+wacc)^Sens!J15485</f>
        <v>0.659549834988973</v>
      </c>
      <c r="K15487" s="15" t="n">
        <f aca="false">1/(1+wacc)^Sens!K15485</f>
        <v>0.597994336576966</v>
      </c>
    </row>
    <row r="15488" customFormat="false" ht="17.15" hidden="false" customHeight="false" outlineLevel="0" collapsed="false">
      <c r="A15488" s="1" t="s">
        <v>1216</v>
      </c>
      <c r="B15488" s="0" t="s">
        <v>98</v>
      </c>
      <c r="F15488" s="6" t="n">
        <f aca="false">Q!$I$35-Q!$I$39-Q!$I$43</f>
        <v>9.666</v>
      </c>
      <c r="L15488" s="12" t="s">
        <v>1217</v>
      </c>
    </row>
    <row r="15489" customFormat="false" ht="17.15" hidden="false" customHeight="false" outlineLevel="0" collapsed="false">
      <c r="A15489" s="1" t="s">
        <v>1218</v>
      </c>
      <c r="B15489" s="0" t="s">
        <v>98</v>
      </c>
      <c r="F15489" s="6" t="n">
        <f aca="false">Sens!F15460-Sens!F15457-Sens!F15464+Sens!F15442*(1-tax_f)*(1-v_off)-Sens!F15488</f>
        <v>-21.4833844616694</v>
      </c>
      <c r="G15489" s="6" t="n">
        <f aca="false">Sens!G15460-Sens!G15457-Sens!G15464+Sens!G15442*(1-tax_f)</f>
        <v>-8.16356731648803</v>
      </c>
      <c r="H15489" s="6" t="n">
        <f aca="false">Sens!H15460-Sens!H15457-Sens!H15464+Sens!H15442*(1-tax_f)</f>
        <v>21.2838033968834</v>
      </c>
      <c r="I15489" s="6" t="n">
        <f aca="false">Sens!I15460-Sens!I15457-Sens!I15464+Sens!I15442*(1-tax_f)</f>
        <v>84.3278080920809</v>
      </c>
      <c r="J15489" s="6" t="n">
        <f aca="false">Sens!J15460-Sens!J15457-Sens!J15464+Sens!J15442*(1-tax_f)</f>
        <v>152.254999772843</v>
      </c>
      <c r="K15489" s="6" t="n">
        <f aca="false">Sens!K15460-Sens!K15457-Sens!K15464+Sens!K15442*(1-tax_f)</f>
        <v>184.09939244453</v>
      </c>
      <c r="L15489" s="1" t="s">
        <v>1219</v>
      </c>
    </row>
    <row r="15490" customFormat="false" ht="15" hidden="false" customHeight="false" outlineLevel="0" collapsed="false">
      <c r="A15490" s="1" t="s">
        <v>1220</v>
      </c>
      <c r="B15490" s="0" t="s">
        <v>98</v>
      </c>
      <c r="F15490" s="6" t="n">
        <f aca="false">Sens!F15489*Sens!F15487</f>
        <v>-20.7104703644849</v>
      </c>
      <c r="G15490" s="6" t="n">
        <f aca="false">Sens!G15489*Sens!G15487</f>
        <v>-7.2240248218532</v>
      </c>
      <c r="H15490" s="6" t="n">
        <f aca="false">Sens!H15489*Sens!H15487</f>
        <v>17.0764639169447</v>
      </c>
      <c r="I15490" s="6" t="n">
        <f aca="false">Sens!I15489*Sens!I15487</f>
        <v>61.3435595694229</v>
      </c>
      <c r="J15490" s="6" t="n">
        <f aca="false">Sens!J15489*Sens!J15487</f>
        <v>100.419759976425</v>
      </c>
      <c r="K15490" s="6" t="n">
        <f aca="false">Sens!K15489*Sens!K15487</f>
        <v>110.090394049089</v>
      </c>
    </row>
    <row r="15491" customFormat="false" ht="17.15" hidden="false" customHeight="false" outlineLevel="0" collapsed="false">
      <c r="A15491" s="1" t="s">
        <v>1221</v>
      </c>
      <c r="B15491" s="0" t="s">
        <v>98</v>
      </c>
      <c r="C15491" s="6" t="n">
        <f aca="false">SUM(Sens!F15490:K15490)</f>
        <v>260.995682325544</v>
      </c>
    </row>
    <row r="15492" customFormat="false" ht="17.15" hidden="false" customHeight="false" outlineLevel="0" collapsed="false">
      <c r="A15492" s="1" t="s">
        <v>1222</v>
      </c>
      <c r="B15492" s="0" t="s">
        <v>98</v>
      </c>
      <c r="C15492" s="6" t="n">
        <f aca="false">Sens!K15428*(1+g_tv)*(1-tax_f)</f>
        <v>193.320897991436</v>
      </c>
    </row>
    <row r="15493" customFormat="false" ht="17.15" hidden="false" customHeight="false" outlineLevel="0" collapsed="false">
      <c r="A15493" s="1" t="s">
        <v>1223</v>
      </c>
      <c r="B15493" s="0" t="s">
        <v>98</v>
      </c>
      <c r="C15493" s="6" t="n">
        <f aca="false">Sens!$C$15492*(1-g_tv/(wacc+ronic_prem))</f>
        <v>136.979155113937</v>
      </c>
    </row>
    <row r="15494" customFormat="false" ht="17.15" hidden="false" customHeight="false" outlineLevel="0" collapsed="false">
      <c r="A15494" s="1" t="s">
        <v>1224</v>
      </c>
      <c r="B15494" s="0" t="s">
        <v>98</v>
      </c>
      <c r="C15494" s="6" t="n">
        <f aca="false">Sens!$C$15493/(wacc-g_tv)</f>
        <v>1878.05809591661</v>
      </c>
    </row>
    <row r="15495" customFormat="false" ht="15" hidden="false" customHeight="false" outlineLevel="0" collapsed="false">
      <c r="A15495" s="1" t="s">
        <v>1225</v>
      </c>
      <c r="B15495" s="0" t="s">
        <v>98</v>
      </c>
      <c r="C15495" s="6" t="n">
        <f aca="false">Sens!$C$15494/(1+wacc)^Sens!K15486</f>
        <v>1069.37695540558</v>
      </c>
    </row>
    <row r="15496" customFormat="false" ht="17.15" hidden="false" customHeight="false" outlineLevel="0" collapsed="false">
      <c r="A15496" s="0" t="s">
        <v>1226</v>
      </c>
      <c r="B15496" s="0" t="s">
        <v>98</v>
      </c>
      <c r="C15496" s="6" t="n">
        <f aca="false">Sens!$C$15491+Sens!$C$15495</f>
        <v>1330.37263773113</v>
      </c>
    </row>
    <row r="15497" customFormat="false" ht="15" hidden="false" customHeight="false" outlineLevel="0" collapsed="false">
      <c r="A15497" s="1" t="s">
        <v>1141</v>
      </c>
      <c r="B15497" s="0" t="s">
        <v>168</v>
      </c>
      <c r="C15497" s="7" t="n">
        <f aca="false">Sens!$C$15495/Sens!$C$15496</f>
        <v>0.803817611003594</v>
      </c>
    </row>
    <row r="15498" customFormat="false" ht="17.15" hidden="false" customHeight="false" outlineLevel="0" collapsed="false">
      <c r="A15498" s="1" t="s">
        <v>1227</v>
      </c>
      <c r="B15498" s="0" t="s">
        <v>98</v>
      </c>
      <c r="C15498" s="6" t="n">
        <f aca="false">Sens!$C$15496+cash_val-debt_val-fl_val+oai_v</f>
        <v>1446.22363773113</v>
      </c>
    </row>
    <row r="15499" customFormat="false" ht="17.15" hidden="false" customHeight="false" outlineLevel="0" collapsed="false">
      <c r="A15499" s="0" t="s">
        <v>1149</v>
      </c>
      <c r="B15499" s="0" t="s">
        <v>75</v>
      </c>
      <c r="C15499" s="5" t="n">
        <f aca="false">Sens!$C$15498/shd_val</f>
        <v>194.228261849467</v>
      </c>
    </row>
    <row r="15500" customFormat="false" ht="15" hidden="false" customHeight="false" outlineLevel="0" collapsed="false">
      <c r="A15500" s="1" t="s">
        <v>1228</v>
      </c>
      <c r="B15500" s="0" t="s">
        <v>75</v>
      </c>
      <c r="C15500" s="8" t="n">
        <f aca="false">div_rem27+Sens!G15468*roll_div_q/q_per_yr</f>
        <v>3.9795</v>
      </c>
    </row>
    <row r="15501" customFormat="false" ht="17.15" hidden="false" customHeight="false" outlineLevel="0" collapsed="false">
      <c r="A15501" s="0" t="s">
        <v>1229</v>
      </c>
      <c r="B15501" s="0" t="s">
        <v>75</v>
      </c>
      <c r="C15501" s="5" t="n">
        <f aca="false">Sens!$C$15499*(1+wacc)^t_roll-Sens!$C$15500</f>
        <v>211.916053069447</v>
      </c>
    </row>
    <row r="15502" customFormat="false" ht="17.15" hidden="false" customHeight="false" outlineLevel="0" collapsed="false">
      <c r="A15502" s="1" t="s">
        <v>1230</v>
      </c>
      <c r="B15502" s="0" t="s">
        <v>168</v>
      </c>
      <c r="F15502" s="7" t="n">
        <f aca="false">Sens!F15454/(Sens!F15399-Sens!F15354)</f>
        <v>0.0679386495376408</v>
      </c>
      <c r="G15502" s="7" t="n">
        <f aca="false">Sens!G15454/(Sens!G15399-Sens!G15354)</f>
        <v>0.0658088519962403</v>
      </c>
      <c r="H15502" s="7" t="n">
        <f aca="false">Sens!H15454/(Sens!H15399-Sens!H15354)</f>
        <v>0.0648319381415225</v>
      </c>
      <c r="I15502" s="7" t="n">
        <f aca="false">Sens!I15454/(Sens!I15399-Sens!I15354)</f>
        <v>0.0648759423136191</v>
      </c>
      <c r="J15502" s="7" t="n">
        <f aca="false">Sens!J15454/(Sens!J15399-Sens!J15354)</f>
        <v>0.0657397826401476</v>
      </c>
      <c r="K15502" s="7" t="n">
        <f aca="false">Sens!K15454/(Sens!K15399-Sens!K15354)</f>
        <v>0.0671991036546056</v>
      </c>
    </row>
    <row r="15503" customFormat="false" ht="17.15" hidden="false" customHeight="false" outlineLevel="0" collapsed="false">
      <c r="A15503" s="0" t="s">
        <v>1231</v>
      </c>
      <c r="B15503" s="0" t="s">
        <v>98</v>
      </c>
      <c r="F15503" s="6" t="n">
        <f aca="false">Sens!F15384*(al_m365+Sens!F15502+sbc_r)</f>
        <v>82.8317650923337</v>
      </c>
      <c r="G15503" s="6" t="n">
        <f aca="false">Sens!G15384*(al_m365+Sens!G15502+sbc_r)</f>
        <v>93.2399221998256</v>
      </c>
      <c r="H15503" s="6" t="n">
        <f aca="false">Sens!H15384*(al_m365+Sens!H15502+sbc_r)</f>
        <v>103.811049940479</v>
      </c>
      <c r="I15503" s="6" t="n">
        <f aca="false">Sens!I15384*(al_m365+Sens!I15502+sbc_r)</f>
        <v>113.86817632129</v>
      </c>
      <c r="J15503" s="6" t="n">
        <f aca="false">Sens!J15384*(al_m365+Sens!J15502+sbc_r)</f>
        <v>123.221722457512</v>
      </c>
      <c r="K15503" s="6" t="n">
        <f aca="false">Sens!K15384*(al_m365+Sens!K15502+sbc_r)</f>
        <v>132.179018197582</v>
      </c>
      <c r="L15503" s="12" t="s">
        <v>1232</v>
      </c>
    </row>
    <row r="15504" customFormat="false" ht="17.15" hidden="false" customHeight="false" outlineLevel="0" collapsed="false">
      <c r="A15504" s="0" t="s">
        <v>1233</v>
      </c>
      <c r="B15504" s="0" t="s">
        <v>98</v>
      </c>
      <c r="F15504" s="6" t="n">
        <f aca="false">Sens!F15385*(al_lic+Sens!F15502+sbc_r)</f>
        <v>32.8316286078475</v>
      </c>
      <c r="G15504" s="6" t="n">
        <f aca="false">Sens!G15385*(al_lic+Sens!G15502+sbc_r)</f>
        <v>34.1366461775776</v>
      </c>
      <c r="H15504" s="6" t="n">
        <f aca="false">Sens!H15385*(al_lic+Sens!H15502+sbc_r)</f>
        <v>35.3509247606169</v>
      </c>
      <c r="I15504" s="6" t="n">
        <f aca="false">Sens!I15385*(al_lic+Sens!I15502+sbc_r)</f>
        <v>36.4547711109646</v>
      </c>
      <c r="J15504" s="6" t="n">
        <f aca="false">Sens!J15385*(al_lic+Sens!J15502+sbc_r)</f>
        <v>37.4254010860021</v>
      </c>
      <c r="K15504" s="6" t="n">
        <f aca="false">Sens!K15385*(al_lic+Sens!K15502+sbc_r)</f>
        <v>38.2392080493558</v>
      </c>
    </row>
    <row r="15505" customFormat="false" ht="17.15" hidden="false" customHeight="false" outlineLevel="0" collapsed="false">
      <c r="A15505" s="0" t="s">
        <v>1234</v>
      </c>
      <c r="B15505" s="0" t="s">
        <v>98</v>
      </c>
      <c r="F15505" s="6" t="n">
        <f aca="false">Sens!F15387*(al_ind+Sens!F15502+sbc_r)</f>
        <v>9.04522153689712</v>
      </c>
      <c r="G15505" s="6" t="n">
        <f aca="false">Sens!G15387*(al_ind+Sens!G15502+sbc_r)</f>
        <v>9.83559304556863</v>
      </c>
      <c r="H15505" s="6" t="n">
        <f aca="false">Sens!H15387*(al_ind+Sens!H15502+sbc_r)</f>
        <v>10.6687500345965</v>
      </c>
      <c r="I15505" s="6" t="n">
        <f aca="false">Sens!I15387*(al_ind+Sens!I15502+sbc_r)</f>
        <v>11.5401766385687</v>
      </c>
      <c r="J15505" s="6" t="n">
        <f aca="false">Sens!J15387*(al_ind+Sens!J15502+sbc_r)</f>
        <v>12.4413628183907</v>
      </c>
      <c r="K15505" s="6" t="n">
        <f aca="false">Sens!K15387*(al_ind+Sens!K15502+sbc_r)</f>
        <v>13.3604491861348</v>
      </c>
    </row>
    <row r="15506" customFormat="false" ht="17.15" hidden="false" customHeight="false" outlineLevel="0" collapsed="false">
      <c r="A15506" s="0" t="s">
        <v>1235</v>
      </c>
      <c r="B15506" s="0" t="s">
        <v>98</v>
      </c>
      <c r="F15506" s="6" t="n">
        <f aca="false">Sens!F15389*(al_fro+Sens!F15502+sbc_r)</f>
        <v>3.54806894140593</v>
      </c>
      <c r="G15506" s="6" t="n">
        <f aca="false">Sens!G15389*(al_fro+Sens!G15502+sbc_r)</f>
        <v>3.76338616052011</v>
      </c>
      <c r="H15506" s="6" t="n">
        <f aca="false">Sens!H15389*(al_fro+Sens!H15502+sbc_r)</f>
        <v>4.00661636555711</v>
      </c>
      <c r="I15506" s="6" t="n">
        <f aca="false">Sens!I15389*(al_fro+Sens!I15502+sbc_r)</f>
        <v>4.28011276630588</v>
      </c>
      <c r="J15506" s="6" t="n">
        <f aca="false">Sens!J15389*(al_fro+Sens!J15502+sbc_r)</f>
        <v>4.58557573098377</v>
      </c>
      <c r="K15506" s="6" t="n">
        <f aca="false">Sens!K15389*(al_fro+Sens!K15502+sbc_r)</f>
        <v>4.92432802075507</v>
      </c>
    </row>
    <row r="15507" customFormat="false" ht="17.15" hidden="false" customHeight="false" outlineLevel="0" collapsed="false">
      <c r="A15507" s="0" t="s">
        <v>1236</v>
      </c>
      <c r="B15507" s="0" t="s">
        <v>98</v>
      </c>
      <c r="F15507" s="6" t="n">
        <f aca="false">Sens!F15392*(al_srch+Sens!F15502+sbc_r)</f>
        <v>11.1703247690001</v>
      </c>
      <c r="G15507" s="6" t="n">
        <f aca="false">Sens!G15392*(al_srch+Sens!G15502+sbc_r)</f>
        <v>12.2609937007494</v>
      </c>
      <c r="H15507" s="6" t="n">
        <f aca="false">Sens!H15392*(al_srch+Sens!H15502+sbc_r)</f>
        <v>13.3942179727276</v>
      </c>
      <c r="I15507" s="6" t="n">
        <f aca="false">Sens!I15392*(al_srch+Sens!I15502+sbc_r)</f>
        <v>14.557343458569</v>
      </c>
      <c r="J15507" s="6" t="n">
        <f aca="false">Sens!J15392*(al_srch+Sens!J15502+sbc_r)</f>
        <v>15.7317606970535</v>
      </c>
      <c r="K15507" s="6" t="n">
        <f aca="false">Sens!K15392*(al_srch+Sens!K15502+sbc_r)</f>
        <v>16.8939201009977</v>
      </c>
    </row>
    <row r="15508" customFormat="false" ht="17.15" hidden="false" customHeight="false" outlineLevel="0" collapsed="false">
      <c r="A15508" s="0" t="s">
        <v>1237</v>
      </c>
      <c r="B15508" s="0" t="s">
        <v>98</v>
      </c>
      <c r="F15508" s="6" t="n">
        <f aca="false">Sens!F15360-Sens!F15361+Sens!F15442</f>
        <v>14.8655875549481</v>
      </c>
      <c r="G15508" s="6" t="n">
        <f aca="false">Sens!G15360-Sens!G15361+Sens!G15442</f>
        <v>33.2058015930876</v>
      </c>
      <c r="H15508" s="6" t="n">
        <f aca="false">Sens!H15360-Sens!H15361+Sens!H15442</f>
        <v>50.7409529853626</v>
      </c>
      <c r="I15508" s="6" t="n">
        <f aca="false">Sens!I15360-Sens!I15361+Sens!I15442</f>
        <v>69.934367582372</v>
      </c>
      <c r="J15508" s="6" t="n">
        <f aca="false">Sens!J15360-Sens!J15361+Sens!J15442</f>
        <v>83.4719453902636</v>
      </c>
      <c r="K15508" s="6" t="n">
        <f aca="false">Sens!K15360-Sens!K15361+Sens!K15442</f>
        <v>91.8143898169858</v>
      </c>
    </row>
    <row r="15509" customFormat="false" ht="17.15" hidden="false" customHeight="false" outlineLevel="0" collapsed="false">
      <c r="A15509" s="0" t="s">
        <v>1238</v>
      </c>
      <c r="B15509" s="0" t="s">
        <v>98</v>
      </c>
      <c r="F15509" s="6" t="n">
        <f aca="false">Sens!F15421+Sens!F15442+Sens!F15372+Sens!F15502*(Sens!F15391-Sens!F15354)+sbc_r*Sens!F15391</f>
        <v>216.215073339688</v>
      </c>
      <c r="G15509" s="6" t="n">
        <f aca="false">Sens!G15421+Sens!G15442+Sens!G15372+Sens!G15502*(Sens!G15391-Sens!G15354)+sbc_r*Sens!G15391</f>
        <v>251.964035484207</v>
      </c>
      <c r="H15509" s="6" t="n">
        <f aca="false">Sens!H15421+Sens!H15442+Sens!H15372+Sens!H15502*(Sens!H15391-Sens!H15354)+sbc_r*Sens!H15391</f>
        <v>295.270401712199</v>
      </c>
      <c r="I15509" s="6" t="n">
        <f aca="false">Sens!I15421+Sens!I15442+Sens!I15372+Sens!I15502*(Sens!I15391-Sens!I15354)+sbc_r*Sens!I15391</f>
        <v>339.532803724972</v>
      </c>
      <c r="J15509" s="6" t="n">
        <f aca="false">Sens!J15421+Sens!J15442+Sens!J15372+Sens!J15502*(Sens!J15391-Sens!J15354)+sbc_r*Sens!J15391</f>
        <v>376.296366918483</v>
      </c>
      <c r="K15509" s="6" t="n">
        <f aca="false">Sens!K15421+Sens!K15442+Sens!K15372+Sens!K15502*(Sens!K15391-Sens!K15354)+sbc_r*Sens!K15391</f>
        <v>405.543672928256</v>
      </c>
    </row>
    <row r="15510" customFormat="false" ht="17.15" hidden="false" customHeight="false" outlineLevel="0" collapsed="false">
      <c r="A15510" s="0" t="s">
        <v>1239</v>
      </c>
      <c r="B15510" s="0" t="s">
        <v>98</v>
      </c>
      <c r="F15510" s="6" t="n">
        <f aca="false">Sens!F15509-Sens!F15503-Sens!F15504-Sens!F15505-Sens!F15506-Sens!F15508</f>
        <v>73.0928016062556</v>
      </c>
      <c r="G15510" s="6" t="n">
        <f aca="false">Sens!G15509-Sens!G15503-Sens!G15504-Sens!G15505-Sens!G15506-Sens!G15508</f>
        <v>77.7826863076273</v>
      </c>
      <c r="H15510" s="6" t="n">
        <f aca="false">Sens!H15509-Sens!H15503-Sens!H15504-Sens!H15505-Sens!H15506-Sens!H15508</f>
        <v>90.692107625587</v>
      </c>
      <c r="I15510" s="6" t="n">
        <f aca="false">Sens!I15509-Sens!I15503-Sens!I15504-Sens!I15505-Sens!I15506-Sens!I15508</f>
        <v>103.455199305471</v>
      </c>
      <c r="J15510" s="6" t="n">
        <f aca="false">Sens!J15509-Sens!J15503-Sens!J15504-Sens!J15505-Sens!J15506-Sens!J15508</f>
        <v>115.150359435331</v>
      </c>
      <c r="K15510" s="6" t="n">
        <f aca="false">Sens!K15509-Sens!K15503-Sens!K15504-Sens!K15505-Sens!K15506-Sens!K15508</f>
        <v>125.026279657442</v>
      </c>
    </row>
    <row r="15511" customFormat="false" ht="17.15" hidden="false" customHeight="false" outlineLevel="0" collapsed="false">
      <c r="A15511" s="0" t="s">
        <v>1240</v>
      </c>
      <c r="B15511" s="0" t="s">
        <v>98</v>
      </c>
      <c r="F15511" s="6" t="n">
        <f aca="false">Sens!F15423+Sens!F15502*Sens!F15398+sbc_r*Sens!F15398</f>
        <v>26.5898518872758</v>
      </c>
      <c r="G15511" s="6" t="n">
        <f aca="false">Sens!G15423+Sens!G15502*Sens!G15398+sbc_r*Sens!G15398</f>
        <v>26.4704618699168</v>
      </c>
      <c r="H15511" s="6" t="n">
        <f aca="false">Sens!H15423+Sens!H15502*Sens!H15398+sbc_r*Sens!H15398</f>
        <v>27.3771904079446</v>
      </c>
      <c r="I15511" s="6" t="n">
        <f aca="false">Sens!I15423+Sens!I15502*Sens!I15398+sbc_r*Sens!I15398</f>
        <v>28.508139459069</v>
      </c>
      <c r="J15511" s="6" t="n">
        <f aca="false">Sens!J15423+Sens!J15502*Sens!J15398+sbc_r*Sens!J15398</f>
        <v>29.8327830340707</v>
      </c>
      <c r="K15511" s="6" t="n">
        <f aca="false">Sens!K15423+Sens!K15502*Sens!K15398+sbc_r*Sens!K15398</f>
        <v>31.3226769672827</v>
      </c>
    </row>
    <row r="15512" customFormat="false" ht="17.15" hidden="false" customHeight="false" outlineLevel="0" collapsed="false">
      <c r="A15512" s="0" t="s">
        <v>1241</v>
      </c>
      <c r="B15512" s="0" t="s">
        <v>98</v>
      </c>
      <c r="F15512" s="6" t="n">
        <f aca="false">(Sens!F15511-Sens!F15507)*Sens!F15394/(Sens!F15394+Sens!F15396)</f>
        <v>8.7087256186088</v>
      </c>
      <c r="G15512" s="6" t="n">
        <f aca="false">(Sens!G15511-Sens!G15507)*Sens!G15394/(Sens!G15394+Sens!G15396)</f>
        <v>7.88737670171825</v>
      </c>
      <c r="H15512" s="6" t="n">
        <f aca="false">(Sens!H15511-Sens!H15507)*Sens!H15394/(Sens!H15394+Sens!H15396)</f>
        <v>7.66054232045463</v>
      </c>
      <c r="I15512" s="6" t="n">
        <f aca="false">(Sens!I15511-Sens!I15507)*Sens!I15394/(Sens!I15394+Sens!I15396)</f>
        <v>7.57620370008845</v>
      </c>
      <c r="J15512" s="6" t="n">
        <f aca="false">(Sens!J15511-Sens!J15507)*Sens!J15394/(Sens!J15394+Sens!J15396)</f>
        <v>7.624375963267</v>
      </c>
      <c r="K15512" s="6" t="n">
        <f aca="false">(Sens!K15511-Sens!K15507)*Sens!K15394/(Sens!K15394+Sens!K15396)</f>
        <v>7.80158093518757</v>
      </c>
    </row>
    <row r="15513" customFormat="false" ht="17.15" hidden="false" customHeight="false" outlineLevel="0" collapsed="false">
      <c r="A15513" s="0" t="s">
        <v>1242</v>
      </c>
      <c r="B15513" s="0" t="s">
        <v>98</v>
      </c>
      <c r="F15513" s="6" t="n">
        <f aca="false">Sens!F15511-Sens!F15507-Sens!F15512</f>
        <v>6.71080149966692</v>
      </c>
      <c r="G15513" s="6" t="n">
        <f aca="false">Sens!G15511-Sens!G15507-Sens!G15512</f>
        <v>6.32209146744914</v>
      </c>
      <c r="H15513" s="6" t="n">
        <f aca="false">Sens!H15511-Sens!H15507-Sens!H15512</f>
        <v>6.32243011476236</v>
      </c>
      <c r="I15513" s="6" t="n">
        <f aca="false">Sens!I15511-Sens!I15507-Sens!I15512</f>
        <v>6.37459230041152</v>
      </c>
      <c r="J15513" s="6" t="n">
        <f aca="false">Sens!J15511-Sens!J15507-Sens!J15512</f>
        <v>6.47664637375014</v>
      </c>
      <c r="K15513" s="6" t="n">
        <f aca="false">Sens!K15511-Sens!K15507-Sens!K15512</f>
        <v>6.62717593109742</v>
      </c>
    </row>
    <row r="15514" customFormat="false" ht="17.15" hidden="false" customHeight="false" outlineLevel="0" collapsed="false">
      <c r="A15514" s="0" t="s">
        <v>1243</v>
      </c>
      <c r="B15514" s="0" t="s">
        <v>98</v>
      </c>
      <c r="F15514" s="6" t="n">
        <f aca="false">Sens!F15508-tax_f*(Sens!F15508-Sens!F15372)-Sens!F15369</f>
        <v>-149.645571102491</v>
      </c>
      <c r="G15514" s="6" t="n">
        <f aca="false">Sens!G15508-tax_f*(Sens!G15508-Sens!G15372)-Sens!G15369</f>
        <v>-153.232936244118</v>
      </c>
      <c r="H15514" s="6" t="n">
        <f aca="false">Sens!H15508-tax_f*(Sens!H15508-Sens!H15372)-Sens!H15369</f>
        <v>-138.393223543933</v>
      </c>
      <c r="I15514" s="6" t="n">
        <f aca="false">Sens!I15508-tax_f*(Sens!I15508-Sens!I15372)-Sens!I15369</f>
        <v>-89.8211376168031</v>
      </c>
      <c r="J15514" s="6" t="n">
        <f aca="false">Sens!J15508-tax_f*(Sens!J15508-Sens!J15372)-Sens!J15369</f>
        <v>-35.7492402738102</v>
      </c>
      <c r="K15514" s="6" t="n">
        <f aca="false">Sens!K15508-tax_f*(Sens!K15508-Sens!K15372)-Sens!K15369</f>
        <v>-16.9088073009572</v>
      </c>
    </row>
    <row r="15515" customFormat="false" ht="17.15" hidden="false" customHeight="false" outlineLevel="0" collapsed="false">
      <c r="A15515" s="0" t="s">
        <v>1244</v>
      </c>
      <c r="B15515" s="0" t="s">
        <v>98</v>
      </c>
      <c r="G15515" s="6" t="n">
        <f aca="false">Sens!G15514/(1+wacc)^(Sens!G15485-Sens!F15486)</f>
        <v>-145.907242919154</v>
      </c>
      <c r="H15515" s="6" t="n">
        <f aca="false">Sens!H15514/(1+wacc)^(Sens!H15485-Sens!F15486)</f>
        <v>-119.478292594101</v>
      </c>
      <c r="I15515" s="6" t="n">
        <f aca="false">Sens!I15514/(1+wacc)^(Sens!I15485-Sens!F15486)</f>
        <v>-70.3075862895552</v>
      </c>
      <c r="J15515" s="6" t="n">
        <f aca="false">Sens!J15514/(1+wacc)^(Sens!J15485-Sens!F15486)</f>
        <v>-25.3711357487264</v>
      </c>
      <c r="K15515" s="6" t="n">
        <f aca="false">Sens!K15514/(1+wacc)^(Sens!K15485-Sens!F15486)</f>
        <v>-10.8801660102897</v>
      </c>
      <c r="L15515" s="1" t="s">
        <v>1245</v>
      </c>
    </row>
    <row r="15516" customFormat="false" ht="17.15" hidden="false" customHeight="false" outlineLevel="0" collapsed="false">
      <c r="A15516" s="0" t="s">
        <v>1246</v>
      </c>
      <c r="B15516" s="0" t="s">
        <v>98</v>
      </c>
      <c r="C15516" s="6" t="n">
        <f aca="false">(Sens!K15508-Sens!K15372)*(1-tax_f)*(1+g_tv)*(1-g_tv/(wacc+ronic_prem))/(wacc-g_tv)/(1+wacc)^(Sens!K15486-Sens!F15486)</f>
        <v>-251.107725327558</v>
      </c>
    </row>
    <row r="15517" customFormat="false" ht="17.15" hidden="false" customHeight="false" outlineLevel="0" collapsed="false">
      <c r="A15517" s="1" t="s">
        <v>1247</v>
      </c>
      <c r="B15517" s="0" t="s">
        <v>98</v>
      </c>
      <c r="C15517" s="6" t="n">
        <f aca="false">(SUM(Sens!G15515:K15515)+Sens!$C$15516)*(1+wacc)^(t_roll-Sens!F15486)</f>
        <v>-643.620984573777</v>
      </c>
      <c r="L15517" s="12" t="s">
        <v>1248</v>
      </c>
    </row>
    <row r="15518" customFormat="false" ht="17.15" hidden="false" customHeight="false" outlineLevel="0" collapsed="false">
      <c r="A15518" s="1" t="s">
        <v>1249</v>
      </c>
      <c r="B15518" s="0" t="s">
        <v>98</v>
      </c>
      <c r="C15518" s="6" t="n">
        <f aca="false">(w_ntm28*Sens!G15360+(1-w_ntm28)*Sens!H15360)*m_ai</f>
        <v>107.438407488667</v>
      </c>
    </row>
    <row r="15519" customFormat="false" ht="17.15" hidden="false" customHeight="false" outlineLevel="0" collapsed="false">
      <c r="A15519" s="1" t="s">
        <v>1250</v>
      </c>
      <c r="B15519" s="0" t="s">
        <v>98</v>
      </c>
      <c r="C15519" s="6" t="n">
        <f aca="false">(w_ntm28*Sens!G15510+(1-w_ntm28)*Sens!H15510)*m_cloud</f>
        <v>1133.61147631581</v>
      </c>
    </row>
    <row r="15520" customFormat="false" ht="17.15" hidden="false" customHeight="false" outlineLevel="0" collapsed="false">
      <c r="A15520" s="1" t="s">
        <v>1251</v>
      </c>
      <c r="B15520" s="0" t="s">
        <v>98</v>
      </c>
      <c r="C15520" s="6" t="n">
        <f aca="false">(w_ntm28*Sens!G15503+(1-w_ntm28)*Sens!H15503)*m_sw</f>
        <v>1044.52590373589</v>
      </c>
    </row>
    <row r="15521" customFormat="false" ht="17.15" hidden="false" customHeight="false" outlineLevel="0" collapsed="false">
      <c r="A15521" s="1" t="s">
        <v>1252</v>
      </c>
      <c r="B15521" s="0" t="s">
        <v>98</v>
      </c>
      <c r="C15521" s="6" t="n">
        <f aca="false">(w_ntm28*Sens!G15504+(1-w_ntm28)*Sens!H15504)*m_sw</f>
        <v>372.987299385287</v>
      </c>
    </row>
    <row r="15522" customFormat="false" ht="17.15" hidden="false" customHeight="false" outlineLevel="0" collapsed="false">
      <c r="A15522" s="1" t="s">
        <v>1253</v>
      </c>
      <c r="B15522" s="0" t="s">
        <v>98</v>
      </c>
      <c r="C15522" s="6" t="n">
        <f aca="false">(w_ntm28*Sens!G15505+(1-w_ntm28)*Sens!H15505)*m_sw</f>
        <v>109.182682858662</v>
      </c>
    </row>
    <row r="15523" customFormat="false" ht="17.15" hidden="false" customHeight="false" outlineLevel="0" collapsed="false">
      <c r="A15523" s="1" t="s">
        <v>1254</v>
      </c>
      <c r="B15523" s="0" t="s">
        <v>98</v>
      </c>
      <c r="C15523" s="6" t="n">
        <f aca="false">(w_ntm28*Sens!G15506+(1-w_ntm28)*Sens!H15506)*m_sw</f>
        <v>41.5082043575294</v>
      </c>
    </row>
    <row r="15524" customFormat="false" ht="17.15" hidden="false" customHeight="false" outlineLevel="0" collapsed="false">
      <c r="A15524" s="1" t="s">
        <v>1255</v>
      </c>
      <c r="B15524" s="0" t="s">
        <v>98</v>
      </c>
      <c r="C15524" s="6" t="n">
        <f aca="false">(w_ntm28*Sens!G15507+(1-w_ntm28)*Sens!H15507)*m_ads</f>
        <v>115.091736926502</v>
      </c>
    </row>
    <row r="15525" customFormat="false" ht="17.15" hidden="false" customHeight="false" outlineLevel="0" collapsed="false">
      <c r="A15525" s="1" t="s">
        <v>1256</v>
      </c>
      <c r="B15525" s="0" t="s">
        <v>98</v>
      </c>
      <c r="C15525" s="6" t="n">
        <f aca="false">(w_ntm28*Sens!G15512+(1-w_ntm28)*Sens!H15512)*m_game</f>
        <v>98.675676816008</v>
      </c>
    </row>
    <row r="15526" customFormat="false" ht="17.15" hidden="false" customHeight="false" outlineLevel="0" collapsed="false">
      <c r="A15526" s="1" t="s">
        <v>1257</v>
      </c>
      <c r="B15526" s="0" t="s">
        <v>98</v>
      </c>
      <c r="C15526" s="6" t="n">
        <f aca="false">(w_ntm28*Sens!G15513+(1-w_ntm28)*Sens!H15513)*m_pc</f>
        <v>91.4822745673992</v>
      </c>
    </row>
    <row r="15527" customFormat="false" ht="17.15" hidden="false" customHeight="false" outlineLevel="0" collapsed="false">
      <c r="A15527" s="1" t="s">
        <v>1258</v>
      </c>
      <c r="B15527" s="0" t="s">
        <v>98</v>
      </c>
      <c r="C15527" s="6" t="n">
        <f aca="false">Sens!$C$15517+Sens!$C$15519+Sens!$C$15520+Sens!$C$15521+Sens!$C$15522+Sens!$C$15523+Sens!$C$15524+Sens!$C$15525+Sens!$C$15526</f>
        <v>2363.44427038931</v>
      </c>
    </row>
    <row r="15528" customFormat="false" ht="17.15" hidden="false" customHeight="false" outlineLevel="0" collapsed="false">
      <c r="A15528" s="1" t="s">
        <v>1259</v>
      </c>
      <c r="B15528" s="0" t="s">
        <v>98</v>
      </c>
      <c r="C15528" s="6" t="n">
        <f aca="false">(Sens!G15489-Sens!G15514)*t_stub</f>
        <v>48.091489425324</v>
      </c>
      <c r="L15528" s="1" t="s">
        <v>1260</v>
      </c>
    </row>
    <row r="15529" customFormat="false" ht="17.15" hidden="false" customHeight="false" outlineLevel="0" collapsed="false">
      <c r="A15529" s="1" t="s">
        <v>1169</v>
      </c>
      <c r="B15529" s="0" t="s">
        <v>98</v>
      </c>
      <c r="C15529" s="6" t="n">
        <f aca="false">Sens!F15476+oai_v-Sens!F15465+Sens!$C$15528</f>
        <v>143.079074432642</v>
      </c>
      <c r="L15529" s="1" t="s">
        <v>1261</v>
      </c>
    </row>
    <row r="15530" customFormat="false" ht="17.15" hidden="false" customHeight="false" outlineLevel="0" collapsed="false">
      <c r="A15530" s="1" t="s">
        <v>1262</v>
      </c>
      <c r="B15530" s="0" t="s">
        <v>75</v>
      </c>
      <c r="C15530" s="5" t="n">
        <f aca="false">(Sens!$C$15527+Sens!$C$15529)/(Sens!F15478+dil_gap)-Sens!G15468*roll_div_q/q_per_yr</f>
        <v>333.341949415948</v>
      </c>
      <c r="L15530" s="1" t="s">
        <v>1263</v>
      </c>
    </row>
    <row r="15531" customFormat="false" ht="17.15" hidden="false" customHeight="false" outlineLevel="0" collapsed="false">
      <c r="A15531" s="1" t="s">
        <v>1264</v>
      </c>
      <c r="B15531" s="0" t="s">
        <v>75</v>
      </c>
      <c r="C15531" s="5" t="n">
        <f aca="false">w_dcf*Sens!$C$15501+(1-w_dcf)*Sens!$C$15530</f>
        <v>272.629001242697</v>
      </c>
    </row>
    <row r="15532" customFormat="false" ht="17.15" hidden="false" customHeight="false" outlineLevel="0" collapsed="false">
      <c r="A15532" s="3" t="s">
        <v>1862</v>
      </c>
    </row>
    <row r="15533" customFormat="false" ht="15" hidden="false" customHeight="false" outlineLevel="0" collapsed="false">
      <c r="A15533" s="4" t="s">
        <v>43</v>
      </c>
      <c r="B15533" s="4" t="s">
        <v>65</v>
      </c>
      <c r="C15533" s="23" t="s">
        <v>938</v>
      </c>
      <c r="D15533" s="23" t="s">
        <v>939</v>
      </c>
      <c r="E15533" s="23" t="s">
        <v>940</v>
      </c>
      <c r="F15533" s="23" t="s">
        <v>941</v>
      </c>
      <c r="G15533" s="23" t="s">
        <v>942</v>
      </c>
      <c r="H15533" s="23" t="s">
        <v>943</v>
      </c>
      <c r="I15533" s="23" t="s">
        <v>944</v>
      </c>
      <c r="J15533" s="23" t="s">
        <v>945</v>
      </c>
      <c r="K15533" s="23" t="s">
        <v>946</v>
      </c>
      <c r="L15533" s="4" t="s">
        <v>47</v>
      </c>
    </row>
    <row r="15534" customFormat="false" ht="17.15" hidden="false" customHeight="false" outlineLevel="0" collapsed="false">
      <c r="A15534" s="1" t="s">
        <v>1212</v>
      </c>
      <c r="B15534" s="1" t="s">
        <v>279</v>
      </c>
      <c r="F15534" s="8" t="n">
        <f aca="false">(1-v_off)*mid_yr</f>
        <v>0.373972602739726</v>
      </c>
      <c r="G15534" s="8" t="n">
        <f aca="false">Thesis!G6-base_fy-mid_yr-v_off</f>
        <v>1.24794520547945</v>
      </c>
      <c r="H15534" s="8" t="n">
        <f aca="false">Thesis!H6-base_fy-mid_yr-v_off</f>
        <v>2.24794520547945</v>
      </c>
      <c r="I15534" s="8" t="n">
        <f aca="false">Thesis!I6-base_fy-mid_yr-v_off</f>
        <v>3.24794520547945</v>
      </c>
      <c r="J15534" s="8" t="n">
        <f aca="false">Thesis!J6-base_fy-mid_yr-v_off</f>
        <v>4.24794520547945</v>
      </c>
      <c r="K15534" s="8" t="n">
        <f aca="false">Thesis!K6-base_fy-mid_yr-v_off</f>
        <v>5.24794520547945</v>
      </c>
      <c r="L15534" s="12" t="s">
        <v>1213</v>
      </c>
    </row>
    <row r="15535" customFormat="false" ht="15" hidden="false" customHeight="false" outlineLevel="0" collapsed="false">
      <c r="A15535" s="1" t="s">
        <v>1214</v>
      </c>
      <c r="B15535" s="1" t="s">
        <v>279</v>
      </c>
      <c r="F15535" s="8" t="n">
        <f aca="false">Thesis!F6-base_fy-v_off</f>
        <v>0.747945205479452</v>
      </c>
      <c r="G15535" s="8" t="n">
        <f aca="false">Thesis!G6-base_fy-v_off</f>
        <v>1.74794520547945</v>
      </c>
      <c r="H15535" s="8" t="n">
        <f aca="false">Thesis!H6-base_fy-v_off</f>
        <v>2.74794520547945</v>
      </c>
      <c r="I15535" s="8" t="n">
        <f aca="false">Thesis!I6-base_fy-v_off</f>
        <v>3.74794520547945</v>
      </c>
      <c r="J15535" s="8" t="n">
        <f aca="false">Thesis!J6-base_fy-v_off</f>
        <v>4.74794520547945</v>
      </c>
      <c r="K15535" s="8" t="n">
        <f aca="false">Thesis!K6-base_fy-v_off</f>
        <v>5.74794520547945</v>
      </c>
    </row>
    <row r="15536" customFormat="false" ht="15" hidden="false" customHeight="false" outlineLevel="0" collapsed="false">
      <c r="A15536" s="1" t="s">
        <v>1215</v>
      </c>
      <c r="B15536" s="0" t="s">
        <v>229</v>
      </c>
      <c r="F15536" s="15" t="n">
        <f aca="false">1/(1+wacc)^Sens!F15534</f>
        <v>0.964022703286649</v>
      </c>
      <c r="G15536" s="15" t="n">
        <f aca="false">1/(1+wacc)^Sens!G15534</f>
        <v>0.884910302296739</v>
      </c>
      <c r="H15536" s="15" t="n">
        <f aca="false">1/(1+wacc)^Sens!H15534</f>
        <v>0.802322009770358</v>
      </c>
      <c r="I15536" s="15" t="n">
        <f aca="false">1/(1+wacc)^Sens!I15534</f>
        <v>0.727441646561469</v>
      </c>
      <c r="J15536" s="15" t="n">
        <f aca="false">1/(1+wacc)^Sens!J15534</f>
        <v>0.659549834988973</v>
      </c>
      <c r="K15536" s="15" t="n">
        <f aca="false">1/(1+wacc)^Sens!K15534</f>
        <v>0.597994336576966</v>
      </c>
    </row>
    <row r="15537" customFormat="false" ht="17.15" hidden="false" customHeight="false" outlineLevel="0" collapsed="false">
      <c r="A15537" s="1" t="s">
        <v>1216</v>
      </c>
      <c r="B15537" s="0" t="s">
        <v>98</v>
      </c>
      <c r="F15537" s="6" t="n">
        <f aca="false">Q!$I$35-Q!$I$39-Q!$I$43</f>
        <v>9.666</v>
      </c>
      <c r="L15537" s="12" t="s">
        <v>1217</v>
      </c>
    </row>
    <row r="15538" customFormat="false" ht="17.15" hidden="false" customHeight="false" outlineLevel="0" collapsed="false">
      <c r="A15538" s="1" t="s">
        <v>1218</v>
      </c>
      <c r="B15538" s="0" t="s">
        <v>98</v>
      </c>
      <c r="F15538" s="6" t="n">
        <f aca="false">CF!F23-CF!F20-CF!F27+Thesis!F47*(1-tax_f)*(1-v_off)-Sens!F15537</f>
        <v>-1.12880264559539</v>
      </c>
      <c r="G15538" s="6" t="n">
        <f aca="false">CF!G23-CF!G20-CF!G27+Thesis!G47*(1-tax_f)</f>
        <v>38.7194421947551</v>
      </c>
      <c r="H15538" s="6" t="n">
        <f aca="false">CF!H23-CF!H20-CF!H27+Thesis!H47*(1-tax_f)</f>
        <v>98.6927474567662</v>
      </c>
      <c r="I15538" s="6" t="n">
        <f aca="false">CF!I23-CF!I20-CF!I27+Thesis!I47*(1-tax_f)</f>
        <v>181.625440536277</v>
      </c>
      <c r="J15538" s="6" t="n">
        <f aca="false">CF!J23-CF!J20-CF!J27+Thesis!J47*(1-tax_f)</f>
        <v>263.350402418584</v>
      </c>
      <c r="K15538" s="6" t="n">
        <f aca="false">CF!K23-CF!K20-CF!K27+Thesis!K47*(1-tax_f)</f>
        <v>303.659068389018</v>
      </c>
      <c r="L15538" s="1" t="s">
        <v>1219</v>
      </c>
    </row>
    <row r="15539" customFormat="false" ht="15" hidden="false" customHeight="false" outlineLevel="0" collapsed="false">
      <c r="A15539" s="1" t="s">
        <v>1220</v>
      </c>
      <c r="B15539" s="0" t="s">
        <v>98</v>
      </c>
      <c r="F15539" s="6" t="n">
        <f aca="false">Sens!F15538*Sens!F15536</f>
        <v>-1.08819137788399</v>
      </c>
      <c r="G15539" s="6" t="n">
        <f aca="false">Sens!G15538*Sens!G15536</f>
        <v>34.2632332973219</v>
      </c>
      <c r="H15539" s="6" t="n">
        <f aca="false">Sens!H15538*Sens!H15536</f>
        <v>79.183363489271</v>
      </c>
      <c r="I15539" s="6" t="n">
        <f aca="false">Sens!I15538*Sens!I15536</f>
        <v>132.121909521162</v>
      </c>
      <c r="J15539" s="6" t="n">
        <f aca="false">Sens!J15538*Sens!J15536</f>
        <v>173.692714459456</v>
      </c>
      <c r="K15539" s="6" t="n">
        <f aca="false">Sens!K15538*Sens!K15536</f>
        <v>181.58640314687</v>
      </c>
    </row>
    <row r="15540" customFormat="false" ht="17.15" hidden="false" customHeight="false" outlineLevel="0" collapsed="false">
      <c r="A15540" s="1" t="s">
        <v>1221</v>
      </c>
      <c r="B15540" s="0" t="s">
        <v>98</v>
      </c>
      <c r="C15540" s="6" t="n">
        <f aca="false">SUM(Sens!F15539:K15539)</f>
        <v>599.759432536197</v>
      </c>
    </row>
    <row r="15541" customFormat="false" ht="17.15" hidden="false" customHeight="false" outlineLevel="0" collapsed="false">
      <c r="A15541" s="1" t="s">
        <v>1222</v>
      </c>
      <c r="B15541" s="0" t="s">
        <v>98</v>
      </c>
      <c r="C15541" s="6" t="n">
        <f aca="false">PL!K39*(1+g_tv)*(1-tax_f)</f>
        <v>316.501318799308</v>
      </c>
    </row>
    <row r="15542" customFormat="false" ht="17.15" hidden="false" customHeight="false" outlineLevel="0" collapsed="false">
      <c r="A15542" s="1" t="s">
        <v>1863</v>
      </c>
      <c r="B15542" s="0" t="s">
        <v>98</v>
      </c>
      <c r="C15542" s="6" t="n">
        <f aca="false">Val!K76*(1+g_tv)</f>
        <v>312.768840440688</v>
      </c>
    </row>
    <row r="15543" customFormat="false" ht="17.15" hidden="false" customHeight="false" outlineLevel="0" collapsed="false">
      <c r="A15543" s="1" t="s">
        <v>1224</v>
      </c>
      <c r="B15543" s="0" t="s">
        <v>98</v>
      </c>
      <c r="C15543" s="6" t="n">
        <f aca="false">Sens!$C$15542/(wacc-g_tv)</f>
        <v>4288.22949339625</v>
      </c>
    </row>
    <row r="15544" customFormat="false" ht="15" hidden="false" customHeight="false" outlineLevel="0" collapsed="false">
      <c r="A15544" s="1" t="s">
        <v>1225</v>
      </c>
      <c r="B15544" s="0" t="s">
        <v>98</v>
      </c>
      <c r="C15544" s="6" t="n">
        <f aca="false">Sens!$C$15543/(1+wacc)^Sens!K15535</f>
        <v>2441.74224945389</v>
      </c>
    </row>
    <row r="15545" customFormat="false" ht="17.15" hidden="false" customHeight="false" outlineLevel="0" collapsed="false">
      <c r="A15545" s="0" t="s">
        <v>1226</v>
      </c>
      <c r="B15545" s="0" t="s">
        <v>98</v>
      </c>
      <c r="C15545" s="6" t="n">
        <f aca="false">Sens!$C$15540+Sens!$C$15544</f>
        <v>3041.50168199008</v>
      </c>
    </row>
    <row r="15546" customFormat="false" ht="15" hidden="false" customHeight="false" outlineLevel="0" collapsed="false">
      <c r="A15546" s="1" t="s">
        <v>1141</v>
      </c>
      <c r="B15546" s="0" t="s">
        <v>168</v>
      </c>
      <c r="C15546" s="7" t="n">
        <f aca="false">Sens!$C$15544/Sens!$C$15545</f>
        <v>0.802808120709712</v>
      </c>
    </row>
    <row r="15547" customFormat="false" ht="17.15" hidden="false" customHeight="false" outlineLevel="0" collapsed="false">
      <c r="A15547" s="1" t="s">
        <v>1227</v>
      </c>
      <c r="B15547" s="0" t="s">
        <v>98</v>
      </c>
      <c r="C15547" s="6" t="n">
        <f aca="false">Sens!$C$15545+cash_val-debt_val-fl_val+oai_v</f>
        <v>3157.35268199008</v>
      </c>
    </row>
    <row r="15548" customFormat="false" ht="17.15" hidden="false" customHeight="false" outlineLevel="0" collapsed="false">
      <c r="A15548" s="0" t="s">
        <v>1149</v>
      </c>
      <c r="B15548" s="0" t="s">
        <v>75</v>
      </c>
      <c r="C15548" s="5" t="n">
        <f aca="false">Sens!$C$15547/shd_val</f>
        <v>424.033398064744</v>
      </c>
    </row>
    <row r="15549" customFormat="false" ht="15" hidden="false" customHeight="false" outlineLevel="0" collapsed="false">
      <c r="A15549" s="1" t="s">
        <v>1228</v>
      </c>
      <c r="B15549" s="0" t="s">
        <v>75</v>
      </c>
      <c r="C15549" s="8" t="n">
        <f aca="false">div_rem27+CF!G31*roll_div_q/q_per_yr</f>
        <v>3.9795</v>
      </c>
    </row>
    <row r="15550" customFormat="false" ht="17.15" hidden="false" customHeight="false" outlineLevel="0" collapsed="false">
      <c r="A15550" s="0" t="s">
        <v>1229</v>
      </c>
      <c r="B15550" s="0" t="s">
        <v>75</v>
      </c>
      <c r="C15550" s="5" t="n">
        <f aca="false">Sens!$C$15548*(1+wacc)^t_roll-Sens!$C$15549</f>
        <v>467.357287568313</v>
      </c>
    </row>
    <row r="15551" customFormat="false" ht="17.15" hidden="false" customHeight="false" outlineLevel="0" collapsed="false">
      <c r="A15551" s="1" t="s">
        <v>1230</v>
      </c>
      <c r="B15551" s="0" t="s">
        <v>168</v>
      </c>
      <c r="F15551" s="7" t="n">
        <f aca="false">CF!F17/(Seg!F29-Thesis!F25)</f>
        <v>0.0685527305696859</v>
      </c>
      <c r="G15551" s="7" t="n">
        <f aca="false">CF!G17/(Seg!G29-Thesis!G25)</f>
        <v>0.0653567731599844</v>
      </c>
      <c r="H15551" s="7" t="n">
        <f aca="false">CF!H17/(Seg!H29-Thesis!H25)</f>
        <v>0.0636628841026972</v>
      </c>
      <c r="I15551" s="7" t="n">
        <f aca="false">CF!I17/(Seg!I29-Thesis!I25)</f>
        <v>0.0633581084335176</v>
      </c>
      <c r="J15551" s="7" t="n">
        <f aca="false">CF!J17/(Seg!J29-Thesis!J25)</f>
        <v>0.0640873955995062</v>
      </c>
      <c r="K15551" s="7" t="n">
        <f aca="false">CF!K17/(Seg!K29-Thesis!K25)</f>
        <v>0.0653962234835198</v>
      </c>
    </row>
    <row r="15552" customFormat="false" ht="17.15" hidden="false" customHeight="false" outlineLevel="0" collapsed="false">
      <c r="A15552" s="0" t="s">
        <v>1231</v>
      </c>
      <c r="B15552" s="0" t="s">
        <v>98</v>
      </c>
      <c r="F15552" s="6" t="n">
        <f aca="false">Seg!F14*(al_m365+Sens!F15551+sbc_r)</f>
        <v>84.5213906545575</v>
      </c>
      <c r="G15552" s="6" t="n">
        <f aca="false">Seg!G14*(al_m365+Sens!G15551+sbc_r)</f>
        <v>98.949983331796</v>
      </c>
      <c r="H15552" s="6" t="n">
        <f aca="false">Seg!H14*(al_m365+Sens!H15551+sbc_r)</f>
        <v>113.543734275326</v>
      </c>
      <c r="I15552" s="6" t="n">
        <f aca="false">Seg!I14*(al_m365+Sens!I15551+sbc_r)</f>
        <v>126.62058838692</v>
      </c>
      <c r="J15552" s="6" t="n">
        <f aca="false">Seg!J14*(al_m365+Sens!J15551+sbc_r)</f>
        <v>137.994660156303</v>
      </c>
      <c r="K15552" s="6" t="n">
        <f aca="false">Seg!K14*(al_m365+Sens!K15551+sbc_r)</f>
        <v>148.989224092997</v>
      </c>
      <c r="L15552" s="12" t="s">
        <v>1232</v>
      </c>
    </row>
    <row r="15553" customFormat="false" ht="17.15" hidden="false" customHeight="false" outlineLevel="0" collapsed="false">
      <c r="A15553" s="0" t="s">
        <v>1233</v>
      </c>
      <c r="B15553" s="0" t="s">
        <v>98</v>
      </c>
      <c r="F15553" s="6" t="n">
        <f aca="false">Seg!F15*(al_lic+Sens!F15551+sbc_r)</f>
        <v>32.855200196554</v>
      </c>
      <c r="G15553" s="6" t="n">
        <f aca="false">Seg!G15*(al_lic+Sens!G15551+sbc_r)</f>
        <v>34.1185582613282</v>
      </c>
      <c r="H15553" s="6" t="n">
        <f aca="false">Seg!H15*(al_lic+Sens!H15551+sbc_r)</f>
        <v>35.3024309363621</v>
      </c>
      <c r="I15553" s="6" t="n">
        <f aca="false">Seg!I15*(al_lic+Sens!I15551+sbc_r)</f>
        <v>36.3898468129533</v>
      </c>
      <c r="J15553" s="6" t="n">
        <f aca="false">Seg!J15*(al_lic+Sens!J15551+sbc_r)</f>
        <v>37.3529129529876</v>
      </c>
      <c r="K15553" s="6" t="n">
        <f aca="false">Seg!K15*(al_lic+Sens!K15551+sbc_r)</f>
        <v>38.158536171203</v>
      </c>
    </row>
    <row r="15554" customFormat="false" ht="17.15" hidden="false" customHeight="false" outlineLevel="0" collapsed="false">
      <c r="A15554" s="0" t="s">
        <v>1234</v>
      </c>
      <c r="B15554" s="0" t="s">
        <v>98</v>
      </c>
      <c r="F15554" s="6" t="n">
        <f aca="false">Seg!F17*(al_ind+Sens!F15551+sbc_r)</f>
        <v>9.05892547956683</v>
      </c>
      <c r="G15554" s="6" t="n">
        <f aca="false">Seg!G17*(al_ind+Sens!G15551+sbc_r)</f>
        <v>9.82456487622418</v>
      </c>
      <c r="H15554" s="6" t="n">
        <f aca="false">Seg!H17*(al_ind+Sens!H15551+sbc_r)</f>
        <v>10.6377408477959</v>
      </c>
      <c r="I15554" s="6" t="n">
        <f aca="false">Seg!I17*(al_ind+Sens!I15551+sbc_r)</f>
        <v>11.4966323260293</v>
      </c>
      <c r="J15554" s="6" t="n">
        <f aca="false">Seg!J17*(al_ind+Sens!J15551+sbc_r)</f>
        <v>12.3903660286279</v>
      </c>
      <c r="K15554" s="6" t="n">
        <f aca="false">Seg!K17*(al_ind+Sens!K15551+sbc_r)</f>
        <v>13.3009129057681</v>
      </c>
    </row>
    <row r="15555" customFormat="false" ht="17.15" hidden="false" customHeight="false" outlineLevel="0" collapsed="false">
      <c r="A15555" s="0" t="s">
        <v>1235</v>
      </c>
      <c r="B15555" s="0" t="s">
        <v>98</v>
      </c>
      <c r="F15555" s="6" t="n">
        <f aca="false">Seg!F19*(al_fro+Sens!F15551+sbc_r)</f>
        <v>3.55344443532423</v>
      </c>
      <c r="G15555" s="6" t="n">
        <f aca="false">Seg!G19*(al_fro+Sens!G15551+sbc_r)</f>
        <v>3.75916645971565</v>
      </c>
      <c r="H15555" s="6" t="n">
        <f aca="false">Seg!H19*(al_fro+Sens!H15551+sbc_r)</f>
        <v>3.994970960527</v>
      </c>
      <c r="I15555" s="6" t="n">
        <f aca="false">Seg!I19*(al_fro+Sens!I15551+sbc_r)</f>
        <v>4.26396270432353</v>
      </c>
      <c r="J15555" s="6" t="n">
        <f aca="false">Seg!J19*(al_fro+Sens!J15551+sbc_r)</f>
        <v>4.5667795874336</v>
      </c>
      <c r="K15555" s="6" t="n">
        <f aca="false">Seg!K19*(al_fro+Sens!K15551+sbc_r)</f>
        <v>4.90238443416026</v>
      </c>
    </row>
    <row r="15556" customFormat="false" ht="17.15" hidden="false" customHeight="false" outlineLevel="0" collapsed="false">
      <c r="A15556" s="0" t="s">
        <v>1236</v>
      </c>
      <c r="B15556" s="0" t="s">
        <v>98</v>
      </c>
      <c r="F15556" s="6" t="n">
        <f aca="false">Seg!F22*(al_srch+Sens!F15551+sbc_r)</f>
        <v>11.1872483445711</v>
      </c>
      <c r="G15556" s="6" t="n">
        <f aca="false">Seg!G22*(al_srch+Sens!G15551+sbc_r)</f>
        <v>12.247246048296</v>
      </c>
      <c r="H15556" s="6" t="n">
        <f aca="false">Seg!H22*(al_srch+Sens!H15551+sbc_r)</f>
        <v>13.3552870946193</v>
      </c>
      <c r="I15556" s="6" t="n">
        <f aca="false">Seg!I22*(al_srch+Sens!I15551+sbc_r)</f>
        <v>14.5024145321619</v>
      </c>
      <c r="J15556" s="6" t="n">
        <f aca="false">Seg!J22*(al_srch+Sens!J15551+sbc_r)</f>
        <v>15.667276660652</v>
      </c>
      <c r="K15556" s="6" t="n">
        <f aca="false">Seg!K22*(al_srch+Sens!K15551+sbc_r)</f>
        <v>16.8186381138719</v>
      </c>
    </row>
    <row r="15557" customFormat="false" ht="17.15" hidden="false" customHeight="false" outlineLevel="0" collapsed="false">
      <c r="A15557" s="0" t="s">
        <v>1237</v>
      </c>
      <c r="B15557" s="0" t="s">
        <v>98</v>
      </c>
      <c r="F15557" s="6" t="n">
        <f aca="false">Thesis!F31-Thesis!F32+Thesis!F47</f>
        <v>45.3782580567763</v>
      </c>
      <c r="G15557" s="6" t="n">
        <f aca="false">Thesis!G31-Thesis!G32+Thesis!G47</f>
        <v>91.0863367558165</v>
      </c>
      <c r="H15557" s="6" t="n">
        <f aca="false">Thesis!H31-Thesis!H32+Thesis!H47</f>
        <v>144.617532464853</v>
      </c>
      <c r="I15557" s="6" t="n">
        <f aca="false">Thesis!I31-Thesis!I32+Thesis!I47</f>
        <v>187.137304561304</v>
      </c>
      <c r="J15557" s="6" t="n">
        <f aca="false">Thesis!J31-Thesis!J32+Thesis!J47</f>
        <v>217.006854425907</v>
      </c>
      <c r="K15557" s="6" t="n">
        <f aca="false">Thesis!K31-Thesis!K32+Thesis!K47</f>
        <v>234.933637903877</v>
      </c>
    </row>
    <row r="15558" customFormat="false" ht="17.15" hidden="false" customHeight="false" outlineLevel="0" collapsed="false">
      <c r="A15558" s="0" t="s">
        <v>1238</v>
      </c>
      <c r="B15558" s="0" t="s">
        <v>98</v>
      </c>
      <c r="F15558" s="6" t="n">
        <f aca="false">PL!F32+Thesis!F47+Thesis!F43+Sens!F15551*(Seg!F21-Thesis!F25)+sbc_r*Seg!F21</f>
        <v>240.818167741339</v>
      </c>
      <c r="G15558" s="6" t="n">
        <f aca="false">PL!G32+Thesis!G47+Thesis!G43+Sens!G15551*(Seg!G21-Thesis!G25)+sbc_r*Seg!G21</f>
        <v>311.917784140952</v>
      </c>
      <c r="H15558" s="6" t="n">
        <f aca="false">PL!H32+Thesis!H47+Thesis!H43+Sens!H15551*(Seg!H21-Thesis!H25)+sbc_r*Seg!H21</f>
        <v>395.486245683473</v>
      </c>
      <c r="I15558" s="6" t="n">
        <f aca="false">PL!I32+Thesis!I47+Thesis!I43+Sens!I15551*(Seg!I21-Thesis!I25)+sbc_r*Seg!I21</f>
        <v>465.950805948377</v>
      </c>
      <c r="J15558" s="6" t="n">
        <f aca="false">PL!J32+Thesis!J47+Thesis!J43+Sens!J15551*(Seg!J21-Thesis!J25)+sbc_r*Seg!J21</f>
        <v>520.78677388057</v>
      </c>
      <c r="K15558" s="6" t="n">
        <f aca="false">PL!K32+Thesis!K47+Thesis!K43+Sens!K15551*(Seg!K21-Thesis!K25)+sbc_r*Seg!K21</f>
        <v>561.2469767412</v>
      </c>
    </row>
    <row r="15559" customFormat="false" ht="17.15" hidden="false" customHeight="false" outlineLevel="0" collapsed="false">
      <c r="A15559" s="0" t="s">
        <v>1239</v>
      </c>
      <c r="B15559" s="0" t="s">
        <v>98</v>
      </c>
      <c r="F15559" s="6" t="n">
        <f aca="false">Sens!F15558-Sens!F15552-Sens!F15553-Sens!F15554-Sens!F15555-Sens!F15557</f>
        <v>65.4509489185601</v>
      </c>
      <c r="G15559" s="6" t="n">
        <f aca="false">Sens!G15558-Sens!G15552-Sens!G15553-Sens!G15554-Sens!G15555-Sens!G15557</f>
        <v>74.1791744560715</v>
      </c>
      <c r="H15559" s="6" t="n">
        <f aca="false">Sens!H15558-Sens!H15552-Sens!H15553-Sens!H15554-Sens!H15555-Sens!H15557</f>
        <v>87.3898361986086</v>
      </c>
      <c r="I15559" s="6" t="n">
        <f aca="false">Sens!I15558-Sens!I15552-Sens!I15553-Sens!I15554-Sens!I15555-Sens!I15557</f>
        <v>100.042471156846</v>
      </c>
      <c r="J15559" s="6" t="n">
        <f aca="false">Sens!J15558-Sens!J15552-Sens!J15553-Sens!J15554-Sens!J15555-Sens!J15557</f>
        <v>111.475200729312</v>
      </c>
      <c r="K15559" s="6" t="n">
        <f aca="false">Sens!K15558-Sens!K15552-Sens!K15553-Sens!K15554-Sens!K15555-Sens!K15557</f>
        <v>120.962281233195</v>
      </c>
    </row>
    <row r="15560" customFormat="false" ht="17.15" hidden="false" customHeight="false" outlineLevel="0" collapsed="false">
      <c r="A15560" s="0" t="s">
        <v>1240</v>
      </c>
      <c r="B15560" s="0" t="s">
        <v>98</v>
      </c>
      <c r="F15560" s="6" t="n">
        <f aca="false">PL!F34+Sens!F15551*Seg!F28+sbc_r*Seg!F28</f>
        <v>26.6293388420472</v>
      </c>
      <c r="G15560" s="6" t="n">
        <f aca="false">PL!G34+Sens!G15551*Seg!G28+sbc_r*Seg!G28</f>
        <v>26.4405000412783</v>
      </c>
      <c r="H15560" s="6" t="n">
        <f aca="false">PL!H34+Sens!H15551*Seg!H28+sbc_r*Seg!H28</f>
        <v>27.296860059552</v>
      </c>
      <c r="I15560" s="6" t="n">
        <f aca="false">PL!I34+Sens!I15551*Seg!I28+sbc_r*Seg!I28</f>
        <v>28.3995465815703</v>
      </c>
      <c r="J15560" s="6" t="n">
        <f aca="false">PL!J34+Sens!J15551*Seg!J28+sbc_r*Seg!J28</f>
        <v>29.7093380975903</v>
      </c>
      <c r="K15560" s="6" t="n">
        <f aca="false">PL!K34+Sens!K15551*Seg!K28+sbc_r*Seg!K28</f>
        <v>31.1817775287323</v>
      </c>
    </row>
    <row r="15561" customFormat="false" ht="17.15" hidden="false" customHeight="false" outlineLevel="0" collapsed="false">
      <c r="A15561" s="0" t="s">
        <v>1241</v>
      </c>
      <c r="B15561" s="0" t="s">
        <v>98</v>
      </c>
      <c r="F15561" s="6" t="n">
        <f aca="false">(Sens!F15560-Sens!F15556)*Seg!F24/(Seg!F24+Seg!F26)</f>
        <v>8.72146908842971</v>
      </c>
      <c r="G15561" s="6" t="n">
        <f aca="false">(Sens!G15560-Sens!G15556)*Seg!G24/(Seg!G24+Seg!G26)</f>
        <v>7.87837655379173</v>
      </c>
      <c r="H15561" s="6" t="n">
        <f aca="false">(Sens!H15560-Sens!H15556)*Seg!H24/(Seg!H24+Seg!H26)</f>
        <v>7.63786170689933</v>
      </c>
      <c r="I15561" s="6" t="n">
        <f aca="false">(Sens!I15560-Sens!I15556)*Seg!I24/(Seg!I24+Seg!I26)</f>
        <v>7.5470606300581</v>
      </c>
      <c r="J15561" s="6" t="n">
        <f aca="false">(Sens!J15560-Sens!J15556)*Seg!J24/(Seg!J24+Seg!J26)</f>
        <v>7.59249600034024</v>
      </c>
      <c r="K15561" s="6" t="n">
        <f aca="false">(Sens!K15560-Sens!K15556)*Seg!K24/(Seg!K24+Seg!K26)</f>
        <v>7.76610179704742</v>
      </c>
    </row>
    <row r="15562" customFormat="false" ht="17.15" hidden="false" customHeight="false" outlineLevel="0" collapsed="false">
      <c r="A15562" s="0" t="s">
        <v>1242</v>
      </c>
      <c r="B15562" s="0" t="s">
        <v>98</v>
      </c>
      <c r="F15562" s="6" t="n">
        <f aca="false">Sens!F15560-Sens!F15556-Sens!F15561</f>
        <v>6.72062140904636</v>
      </c>
      <c r="G15562" s="6" t="n">
        <f aca="false">Sens!G15560-Sens!G15556-Sens!G15561</f>
        <v>6.31487743919059</v>
      </c>
      <c r="H15562" s="6" t="n">
        <f aca="false">Sens!H15560-Sens!H15556-Sens!H15561</f>
        <v>6.30371125803333</v>
      </c>
      <c r="I15562" s="6" t="n">
        <f aca="false">Sens!I15560-Sens!I15556-Sens!I15561</f>
        <v>6.35007141935025</v>
      </c>
      <c r="J15562" s="6" t="n">
        <f aca="false">Sens!J15560-Sens!J15556-Sens!J15561</f>
        <v>6.44956543659808</v>
      </c>
      <c r="K15562" s="6" t="n">
        <f aca="false">Sens!K15560-Sens!K15556-Sens!K15561</f>
        <v>6.597037617813</v>
      </c>
    </row>
    <row r="15563" customFormat="false" ht="17.15" hidden="false" customHeight="false" outlineLevel="0" collapsed="false">
      <c r="A15563" s="0" t="s">
        <v>1243</v>
      </c>
      <c r="B15563" s="0" t="s">
        <v>98</v>
      </c>
      <c r="F15563" s="6" t="n">
        <f aca="false">Sens!F15557-tax_f*(Sens!F15557-Thesis!F43)-Thesis!F40</f>
        <v>-125.235434701028</v>
      </c>
      <c r="G15563" s="6" t="n">
        <f aca="false">Sens!G15557-tax_f*(Sens!G15557-Thesis!G43)-Thesis!G40</f>
        <v>-106.928508113935</v>
      </c>
      <c r="H15563" s="6" t="n">
        <f aca="false">Sens!H15557-tax_f*(Sens!H15557-Thesis!H43)-Thesis!H40</f>
        <v>-63.2919599603405</v>
      </c>
      <c r="I15563" s="6" t="n">
        <f aca="false">Sens!I15557-tax_f*(Sens!I15557-Thesis!I43)-Thesis!I40</f>
        <v>3.94121196634245</v>
      </c>
      <c r="J15563" s="6" t="n">
        <f aca="false">Sens!J15557-tax_f*(Sens!J15557-Thesis!J43)-Thesis!J40</f>
        <v>71.0786869547042</v>
      </c>
      <c r="K15563" s="6" t="n">
        <f aca="false">Sens!K15557-tax_f*(Sens!K15557-Thesis!K43)-Thesis!K40</f>
        <v>97.5865911685559</v>
      </c>
    </row>
    <row r="15564" customFormat="false" ht="17.15" hidden="false" customHeight="false" outlineLevel="0" collapsed="false">
      <c r="A15564" s="0" t="s">
        <v>1244</v>
      </c>
      <c r="B15564" s="0" t="s">
        <v>98</v>
      </c>
      <c r="G15564" s="6" t="n">
        <f aca="false">Sens!G15563/(1+wacc)^(Sens!G15534-Sens!F15535)</f>
        <v>-101.81651667568</v>
      </c>
      <c r="H15564" s="6" t="n">
        <f aca="false">Sens!H15563/(1+wacc)^(Sens!H15534-Sens!F15535)</f>
        <v>-54.6415143556151</v>
      </c>
      <c r="I15564" s="6" t="n">
        <f aca="false">Sens!I15563/(1+wacc)^(Sens!I15534-Sens!F15535)</f>
        <v>3.08498765169516</v>
      </c>
      <c r="J15564" s="6" t="n">
        <f aca="false">Sens!J15563/(1+wacc)^(Sens!J15534-Sens!F15535)</f>
        <v>50.4443451596971</v>
      </c>
      <c r="K15564" s="6" t="n">
        <f aca="false">Sens!K15563/(1+wacc)^(Sens!K15534-Sens!F15535)</f>
        <v>62.7932114544856</v>
      </c>
      <c r="L15564" s="1" t="s">
        <v>1245</v>
      </c>
    </row>
    <row r="15565" customFormat="false" ht="17.15" hidden="false" customHeight="false" outlineLevel="0" collapsed="false">
      <c r="A15565" s="0" t="s">
        <v>1246</v>
      </c>
      <c r="B15565" s="0" t="s">
        <v>98</v>
      </c>
      <c r="C15565" s="6" t="n">
        <f aca="false">(Sens!K15557-Thesis!K43)*(1-tax_f)*(1+g_tv)*(1-g_tv/(wacc+0))/(wacc-g_tv)/(1+wacc)^(Sens!K15535-Sens!F15535)</f>
        <v>450.836735002813</v>
      </c>
    </row>
    <row r="15566" customFormat="false" ht="17.15" hidden="false" customHeight="false" outlineLevel="0" collapsed="false">
      <c r="A15566" s="1" t="s">
        <v>1247</v>
      </c>
      <c r="B15566" s="0" t="s">
        <v>98</v>
      </c>
      <c r="C15566" s="6" t="n">
        <f aca="false">(SUM(Sens!G15564:K15564)+Sens!$C$15565)*(1+wacc)^(t_roll-Sens!F15535)</f>
        <v>424.259738494477</v>
      </c>
      <c r="L15566" s="12" t="s">
        <v>1248</v>
      </c>
    </row>
    <row r="15567" customFormat="false" ht="17.15" hidden="false" customHeight="false" outlineLevel="0" collapsed="false">
      <c r="A15567" s="1" t="s">
        <v>1249</v>
      </c>
      <c r="B15567" s="0" t="s">
        <v>98</v>
      </c>
      <c r="C15567" s="6" t="n">
        <f aca="false">(w_ntm28*Thesis!G31+(1-w_ntm28)*Thesis!H31)*m_ai</f>
        <v>563.316843258668</v>
      </c>
    </row>
    <row r="15568" customFormat="false" ht="17.15" hidden="false" customHeight="false" outlineLevel="0" collapsed="false">
      <c r="A15568" s="1" t="s">
        <v>1250</v>
      </c>
      <c r="B15568" s="0" t="s">
        <v>98</v>
      </c>
      <c r="C15568" s="6" t="n">
        <f aca="false">(w_ntm28*Sens!G15559+(1-w_ntm28)*Sens!H15559)*m_cloud</f>
        <v>1085.17964696599</v>
      </c>
    </row>
    <row r="15569" customFormat="false" ht="17.15" hidden="false" customHeight="false" outlineLevel="0" collapsed="false">
      <c r="A15569" s="1" t="s">
        <v>1251</v>
      </c>
      <c r="B15569" s="0" t="s">
        <v>98</v>
      </c>
      <c r="C15569" s="6" t="n">
        <f aca="false">(w_ntm28*Sens!G15552+(1-w_ntm28)*Sens!H15552)*m_sw</f>
        <v>1120.47763155275</v>
      </c>
    </row>
    <row r="15570" customFormat="false" ht="17.15" hidden="false" customHeight="false" outlineLevel="0" collapsed="false">
      <c r="A15570" s="1" t="s">
        <v>1252</v>
      </c>
      <c r="B15570" s="0" t="s">
        <v>98</v>
      </c>
      <c r="C15570" s="6" t="n">
        <f aca="false">(w_ntm28*Sens!G15553+(1-w_ntm28)*Sens!H15553)*m_sw</f>
        <v>372.68398809041</v>
      </c>
    </row>
    <row r="15571" customFormat="false" ht="17.15" hidden="false" customHeight="false" outlineLevel="0" collapsed="false">
      <c r="A15571" s="1" t="s">
        <v>1253</v>
      </c>
      <c r="B15571" s="0" t="s">
        <v>98</v>
      </c>
      <c r="C15571" s="6" t="n">
        <f aca="false">(w_ntm28*Sens!G15554+(1-w_ntm28)*Sens!H15554)*m_sw</f>
        <v>108.992632332144</v>
      </c>
    </row>
    <row r="15572" customFormat="false" ht="17.15" hidden="false" customHeight="false" outlineLevel="0" collapsed="false">
      <c r="A15572" s="1" t="s">
        <v>1254</v>
      </c>
      <c r="B15572" s="0" t="s">
        <v>98</v>
      </c>
      <c r="C15572" s="6" t="n">
        <f aca="false">(w_ntm28*Sens!G15555+(1-w_ntm28)*Sens!H15555)*m_sw</f>
        <v>41.4362652527414</v>
      </c>
    </row>
    <row r="15573" customFormat="false" ht="17.15" hidden="false" customHeight="false" outlineLevel="0" collapsed="false">
      <c r="A15573" s="1" t="s">
        <v>1255</v>
      </c>
      <c r="B15573" s="0" t="s">
        <v>98</v>
      </c>
      <c r="C15573" s="6" t="n">
        <f aca="false">(w_ntm28*Sens!G15556+(1-w_ntm28)*Sens!H15556)*m_ads</f>
        <v>114.891070326937</v>
      </c>
    </row>
    <row r="15574" customFormat="false" ht="17.15" hidden="false" customHeight="false" outlineLevel="0" collapsed="false">
      <c r="A15574" s="1" t="s">
        <v>1256</v>
      </c>
      <c r="B15574" s="0" t="s">
        <v>98</v>
      </c>
      <c r="C15574" s="6" t="n">
        <f aca="false">(w_ntm28*Sens!G15561+(1-w_ntm28)*Sens!H15561)*m_game</f>
        <v>98.505199156718</v>
      </c>
    </row>
    <row r="15575" customFormat="false" ht="17.15" hidden="false" customHeight="false" outlineLevel="0" collapsed="false">
      <c r="A15575" s="1" t="s">
        <v>1257</v>
      </c>
      <c r="B15575" s="0" t="s">
        <v>98</v>
      </c>
      <c r="C15575" s="6" t="n">
        <f aca="false">(w_ntm28*Sens!G15562+(1-w_ntm28)*Sens!H15562)*m_pc</f>
        <v>91.3231561150564</v>
      </c>
    </row>
    <row r="15576" customFormat="false" ht="17.15" hidden="false" customHeight="false" outlineLevel="0" collapsed="false">
      <c r="A15576" s="1" t="s">
        <v>1258</v>
      </c>
      <c r="B15576" s="0" t="s">
        <v>98</v>
      </c>
      <c r="C15576" s="6" t="n">
        <f aca="false">Sens!$C$15566+Sens!$C$15568+Sens!$C$15569+Sens!$C$15570+Sens!$C$15571+Sens!$C$15572+Sens!$C$15573+Sens!$C$15574+Sens!$C$15575</f>
        <v>3457.74932828722</v>
      </c>
    </row>
    <row r="15577" customFormat="false" ht="17.15" hidden="false" customHeight="false" outlineLevel="0" collapsed="false">
      <c r="A15577" s="1" t="s">
        <v>1259</v>
      </c>
      <c r="B15577" s="0" t="s">
        <v>98</v>
      </c>
      <c r="C15577" s="6" t="n">
        <f aca="false">(Sens!G15538-Sens!G15563)*t_stub</f>
        <v>48.2832931160316</v>
      </c>
      <c r="L15577" s="1" t="s">
        <v>1260</v>
      </c>
    </row>
    <row r="15578" customFormat="false" ht="17.15" hidden="false" customHeight="false" outlineLevel="0" collapsed="false">
      <c r="A15578" s="1" t="s">
        <v>1169</v>
      </c>
      <c r="B15578" s="0" t="s">
        <v>98</v>
      </c>
      <c r="C15578" s="6" t="n">
        <f aca="false">CF!F39+oai_v-CF!F28+Sens!$C$15577</f>
        <v>162.511563116032</v>
      </c>
      <c r="L15578" s="1" t="s">
        <v>1261</v>
      </c>
    </row>
    <row r="15579" customFormat="false" ht="17.15" hidden="false" customHeight="false" outlineLevel="0" collapsed="false">
      <c r="A15579" s="1" t="s">
        <v>1262</v>
      </c>
      <c r="B15579" s="0" t="s">
        <v>75</v>
      </c>
      <c r="C15579" s="5" t="n">
        <f aca="false">(Sens!$C$15576+Sens!$C$15578)/(CF!F41+dil_gap)-CF!G31*roll_div_q/q_per_yr</f>
        <v>482.289288765653</v>
      </c>
      <c r="L15579" s="1" t="s">
        <v>1263</v>
      </c>
    </row>
    <row r="15580" customFormat="false" ht="17.15" hidden="false" customHeight="false" outlineLevel="0" collapsed="false">
      <c r="A15580" s="1" t="s">
        <v>1264</v>
      </c>
      <c r="B15580" s="0" t="s">
        <v>75</v>
      </c>
      <c r="C15580" s="5" t="n">
        <f aca="false">w_dcf*Sens!$C$15550+(1-w_dcf)*Sens!$C$15579</f>
        <v>474.823288166983</v>
      </c>
    </row>
    <row r="15581" customFormat="false" ht="17.15" hidden="false" customHeight="false" outlineLevel="0" collapsed="false">
      <c r="A15581" s="3" t="s">
        <v>1864</v>
      </c>
    </row>
    <row r="15582" customFormat="false" ht="15" hidden="false" customHeight="false" outlineLevel="0" collapsed="false">
      <c r="A15582" s="4" t="s">
        <v>43</v>
      </c>
      <c r="B15582" s="4" t="s">
        <v>65</v>
      </c>
      <c r="C15582" s="23" t="s">
        <v>938</v>
      </c>
      <c r="D15582" s="23" t="s">
        <v>939</v>
      </c>
      <c r="E15582" s="23" t="s">
        <v>940</v>
      </c>
      <c r="F15582" s="23" t="s">
        <v>941</v>
      </c>
      <c r="G15582" s="23" t="s">
        <v>942</v>
      </c>
      <c r="H15582" s="23" t="s">
        <v>943</v>
      </c>
      <c r="I15582" s="23" t="s">
        <v>944</v>
      </c>
      <c r="J15582" s="23" t="s">
        <v>945</v>
      </c>
      <c r="K15582" s="23" t="s">
        <v>946</v>
      </c>
      <c r="L15582" s="4" t="s">
        <v>47</v>
      </c>
    </row>
    <row r="15583" customFormat="false" ht="17.15" hidden="false" customHeight="false" outlineLevel="0" collapsed="false">
      <c r="A15583" s="1" t="s">
        <v>1212</v>
      </c>
      <c r="B15583" s="1" t="s">
        <v>279</v>
      </c>
      <c r="F15583" s="8" t="n">
        <f aca="false">(1-v_off)*mid_yr</f>
        <v>0.373972602739726</v>
      </c>
      <c r="G15583" s="8" t="n">
        <f aca="false">Thesis!G58-base_fy-mid_yr-v_off</f>
        <v>1.24794520547945</v>
      </c>
      <c r="H15583" s="8" t="n">
        <f aca="false">Thesis!H58-base_fy-mid_yr-v_off</f>
        <v>2.24794520547945</v>
      </c>
      <c r="I15583" s="8" t="n">
        <f aca="false">Thesis!I58-base_fy-mid_yr-v_off</f>
        <v>3.24794520547945</v>
      </c>
      <c r="J15583" s="8" t="n">
        <f aca="false">Thesis!J58-base_fy-mid_yr-v_off</f>
        <v>4.24794520547945</v>
      </c>
      <c r="K15583" s="8" t="n">
        <f aca="false">Thesis!K58-base_fy-mid_yr-v_off</f>
        <v>5.24794520547945</v>
      </c>
      <c r="L15583" s="12" t="s">
        <v>1213</v>
      </c>
    </row>
    <row r="15584" customFormat="false" ht="15" hidden="false" customHeight="false" outlineLevel="0" collapsed="false">
      <c r="A15584" s="1" t="s">
        <v>1214</v>
      </c>
      <c r="B15584" s="1" t="s">
        <v>279</v>
      </c>
      <c r="F15584" s="8" t="n">
        <f aca="false">Thesis!F58-base_fy-v_off</f>
        <v>0.747945205479452</v>
      </c>
      <c r="G15584" s="8" t="n">
        <f aca="false">Thesis!G58-base_fy-v_off</f>
        <v>1.74794520547945</v>
      </c>
      <c r="H15584" s="8" t="n">
        <f aca="false">Thesis!H58-base_fy-v_off</f>
        <v>2.74794520547945</v>
      </c>
      <c r="I15584" s="8" t="n">
        <f aca="false">Thesis!I58-base_fy-v_off</f>
        <v>3.74794520547945</v>
      </c>
      <c r="J15584" s="8" t="n">
        <f aca="false">Thesis!J58-base_fy-v_off</f>
        <v>4.74794520547945</v>
      </c>
      <c r="K15584" s="8" t="n">
        <f aca="false">Thesis!K58-base_fy-v_off</f>
        <v>5.74794520547945</v>
      </c>
    </row>
    <row r="15585" customFormat="false" ht="15" hidden="false" customHeight="false" outlineLevel="0" collapsed="false">
      <c r="A15585" s="1" t="s">
        <v>1215</v>
      </c>
      <c r="B15585" s="0" t="s">
        <v>229</v>
      </c>
      <c r="F15585" s="15" t="n">
        <f aca="false">1/(1+wacc)^Sens!F15583</f>
        <v>0.964022703286649</v>
      </c>
      <c r="G15585" s="15" t="n">
        <f aca="false">1/(1+wacc)^Sens!G15583</f>
        <v>0.884910302296739</v>
      </c>
      <c r="H15585" s="15" t="n">
        <f aca="false">1/(1+wacc)^Sens!H15583</f>
        <v>0.802322009770358</v>
      </c>
      <c r="I15585" s="15" t="n">
        <f aca="false">1/(1+wacc)^Sens!I15583</f>
        <v>0.727441646561469</v>
      </c>
      <c r="J15585" s="15" t="n">
        <f aca="false">1/(1+wacc)^Sens!J15583</f>
        <v>0.659549834988973</v>
      </c>
      <c r="K15585" s="15" t="n">
        <f aca="false">1/(1+wacc)^Sens!K15583</f>
        <v>0.597994336576966</v>
      </c>
    </row>
    <row r="15586" customFormat="false" ht="17.15" hidden="false" customHeight="false" outlineLevel="0" collapsed="false">
      <c r="A15586" s="1" t="s">
        <v>1216</v>
      </c>
      <c r="B15586" s="0" t="s">
        <v>98</v>
      </c>
      <c r="F15586" s="6" t="n">
        <f aca="false">Q!$I$35-Q!$I$39-Q!$I$43</f>
        <v>9.666</v>
      </c>
      <c r="L15586" s="12" t="s">
        <v>1217</v>
      </c>
    </row>
    <row r="15587" customFormat="false" ht="17.15" hidden="false" customHeight="false" outlineLevel="0" collapsed="false">
      <c r="A15587" s="1" t="s">
        <v>1218</v>
      </c>
      <c r="B15587" s="0" t="s">
        <v>98</v>
      </c>
      <c r="F15587" s="6" t="n">
        <f aca="false">CF!F55-CF!F52-CF!F59+Thesis!F99*(1-tax_f)*(1-v_off)-Sens!F15586</f>
        <v>-3.35959137570949</v>
      </c>
      <c r="G15587" s="6" t="n">
        <f aca="false">CF!G55-CF!G52-CF!G59+Thesis!G99*(1-tax_f)</f>
        <v>29.8084555066036</v>
      </c>
      <c r="H15587" s="6" t="n">
        <f aca="false">CF!H55-CF!H52-CF!H59+Thesis!H99*(1-tax_f)</f>
        <v>79.3231801478051</v>
      </c>
      <c r="I15587" s="6" t="n">
        <f aca="false">CF!I55-CF!I52-CF!I59+Thesis!I99*(1-tax_f)</f>
        <v>157.29132812061</v>
      </c>
      <c r="J15587" s="6" t="n">
        <f aca="false">CF!J55-CF!J52-CF!J59+Thesis!J99*(1-tax_f)</f>
        <v>235.537601843622</v>
      </c>
      <c r="K15587" s="6" t="n">
        <f aca="false">CF!K55-CF!K52-CF!K59+Thesis!K99*(1-tax_f)</f>
        <v>273.705067207806</v>
      </c>
      <c r="L15587" s="1" t="s">
        <v>1219</v>
      </c>
    </row>
    <row r="15588" customFormat="false" ht="15" hidden="false" customHeight="false" outlineLevel="0" collapsed="false">
      <c r="A15588" s="1" t="s">
        <v>1220</v>
      </c>
      <c r="B15588" s="0" t="s">
        <v>98</v>
      </c>
      <c r="F15588" s="6" t="n">
        <f aca="false">Sens!F15587*Sens!F15585</f>
        <v>-3.23872235994998</v>
      </c>
      <c r="G15588" s="6" t="n">
        <f aca="false">Sens!G15587*Sens!G15585</f>
        <v>26.3778093733475</v>
      </c>
      <c r="H15588" s="6" t="n">
        <f aca="false">Sens!H15587*Sens!H15585</f>
        <v>63.6427333175632</v>
      </c>
      <c r="I15588" s="6" t="n">
        <f aca="false">Sens!I15587*Sens!I15585</f>
        <v>114.420262717897</v>
      </c>
      <c r="J15588" s="6" t="n">
        <f aca="false">Sens!J15587*Sens!J15585</f>
        <v>155.348786429659</v>
      </c>
      <c r="K15588" s="6" t="n">
        <f aca="false">Sens!K15587*Sens!K15585</f>
        <v>163.674080082686</v>
      </c>
    </row>
    <row r="15589" customFormat="false" ht="17.15" hidden="false" customHeight="false" outlineLevel="0" collapsed="false">
      <c r="A15589" s="1" t="s">
        <v>1221</v>
      </c>
      <c r="B15589" s="0" t="s">
        <v>98</v>
      </c>
      <c r="C15589" s="6" t="n">
        <f aca="false">SUM(Sens!F15588:K15588)</f>
        <v>520.224949561203</v>
      </c>
    </row>
    <row r="15590" customFormat="false" ht="17.15" hidden="false" customHeight="false" outlineLevel="0" collapsed="false">
      <c r="A15590" s="1" t="s">
        <v>1222</v>
      </c>
      <c r="B15590" s="0" t="s">
        <v>98</v>
      </c>
      <c r="C15590" s="6" t="n">
        <f aca="false">PL!K78*(1+g_tv)*(1-tax_f)</f>
        <v>284.979534119394</v>
      </c>
    </row>
    <row r="15591" customFormat="false" ht="17.15" hidden="false" customHeight="false" outlineLevel="0" collapsed="false">
      <c r="A15591" s="1" t="s">
        <v>1863</v>
      </c>
      <c r="B15591" s="0" t="s">
        <v>98</v>
      </c>
      <c r="C15591" s="6" t="n">
        <f aca="false">Val!K125*(1+g_tv)</f>
        <v>281.91621922404</v>
      </c>
    </row>
    <row r="15592" customFormat="false" ht="17.15" hidden="false" customHeight="false" outlineLevel="0" collapsed="false">
      <c r="A15592" s="1" t="s">
        <v>1224</v>
      </c>
      <c r="B15592" s="0" t="s">
        <v>98</v>
      </c>
      <c r="C15592" s="6" t="n">
        <f aca="false">Sens!$C$15591/(wacc-g_tv)</f>
        <v>3865.22341624547</v>
      </c>
    </row>
    <row r="15593" customFormat="false" ht="15" hidden="false" customHeight="false" outlineLevel="0" collapsed="false">
      <c r="A15593" s="1" t="s">
        <v>1225</v>
      </c>
      <c r="B15593" s="0" t="s">
        <v>98</v>
      </c>
      <c r="C15593" s="6" t="n">
        <f aca="false">Sens!$C$15592/(1+wacc)^Sens!K15584</f>
        <v>2200.88018459812</v>
      </c>
    </row>
    <row r="15594" customFormat="false" ht="17.15" hidden="false" customHeight="false" outlineLevel="0" collapsed="false">
      <c r="A15594" s="0" t="s">
        <v>1226</v>
      </c>
      <c r="B15594" s="0" t="s">
        <v>98</v>
      </c>
      <c r="C15594" s="6" t="n">
        <f aca="false">Sens!$C$15589+Sens!$C$15593</f>
        <v>2721.10513415933</v>
      </c>
    </row>
    <row r="15595" customFormat="false" ht="15" hidden="false" customHeight="false" outlineLevel="0" collapsed="false">
      <c r="A15595" s="1" t="s">
        <v>1141</v>
      </c>
      <c r="B15595" s="0" t="s">
        <v>168</v>
      </c>
      <c r="C15595" s="7" t="n">
        <f aca="false">Sens!$C$15593/Sens!$C$15594</f>
        <v>0.80881850427954</v>
      </c>
    </row>
    <row r="15596" customFormat="false" ht="17.15" hidden="false" customHeight="false" outlineLevel="0" collapsed="false">
      <c r="A15596" s="1" t="s">
        <v>1227</v>
      </c>
      <c r="B15596" s="0" t="s">
        <v>98</v>
      </c>
      <c r="C15596" s="6" t="n">
        <f aca="false">Sens!$C$15594+cash_val-debt_val-fl_val+oai_v</f>
        <v>2836.95613415933</v>
      </c>
    </row>
    <row r="15597" customFormat="false" ht="17.15" hidden="false" customHeight="false" outlineLevel="0" collapsed="false">
      <c r="A15597" s="0" t="s">
        <v>1149</v>
      </c>
      <c r="B15597" s="0" t="s">
        <v>75</v>
      </c>
      <c r="C15597" s="5" t="n">
        <f aca="false">Sens!$C$15596/shd_val</f>
        <v>381.004047026501</v>
      </c>
    </row>
    <row r="15598" customFormat="false" ht="15" hidden="false" customHeight="false" outlineLevel="0" collapsed="false">
      <c r="A15598" s="1" t="s">
        <v>1228</v>
      </c>
      <c r="B15598" s="0" t="s">
        <v>75</v>
      </c>
      <c r="C15598" s="8" t="n">
        <f aca="false">div_rem27+CF!G63*roll_div_q/q_per_yr</f>
        <v>3.9795</v>
      </c>
    </row>
    <row r="15599" customFormat="false" ht="17.15" hidden="false" customHeight="false" outlineLevel="0" collapsed="false">
      <c r="A15599" s="0" t="s">
        <v>1229</v>
      </c>
      <c r="B15599" s="0" t="s">
        <v>75</v>
      </c>
      <c r="C15599" s="5" t="n">
        <f aca="false">Sens!$C$15597*(1+wacc)^t_roll-Sens!$C$15598</f>
        <v>419.527762389219</v>
      </c>
    </row>
    <row r="15600" customFormat="false" ht="17.15" hidden="false" customHeight="false" outlineLevel="0" collapsed="false">
      <c r="A15600" s="1" t="s">
        <v>1230</v>
      </c>
      <c r="B15600" s="0" t="s">
        <v>168</v>
      </c>
      <c r="F15600" s="7" t="n">
        <f aca="false">CF!F49/(Seg!F56-Thesis!F77)</f>
        <v>0.0686195668908011</v>
      </c>
      <c r="G15600" s="7" t="n">
        <f aca="false">CF!G49/(Seg!G56-Thesis!G77)</f>
        <v>0.0658333569148391</v>
      </c>
      <c r="H15600" s="7" t="n">
        <f aca="false">CF!H49/(Seg!H56-Thesis!H77)</f>
        <v>0.0643895625218926</v>
      </c>
      <c r="I15600" s="7" t="n">
        <f aca="false">CF!I49/(Seg!I56-Thesis!I77)</f>
        <v>0.0641676618157989</v>
      </c>
      <c r="J15600" s="7" t="n">
        <f aca="false">CF!J49/(Seg!J56-Thesis!J77)</f>
        <v>0.0648858606572163</v>
      </c>
      <c r="K15600" s="7" t="n">
        <f aca="false">CF!K49/(Seg!K56-Thesis!K77)</f>
        <v>0.0661974425163768</v>
      </c>
    </row>
    <row r="15601" customFormat="false" ht="17.15" hidden="false" customHeight="false" outlineLevel="0" collapsed="false">
      <c r="A15601" s="0" t="s">
        <v>1231</v>
      </c>
      <c r="B15601" s="0" t="s">
        <v>98</v>
      </c>
      <c r="F15601" s="6" t="n">
        <f aca="false">Seg!F41*(al_m365+Sens!F15600+sbc_r)</f>
        <v>83.7205619248671</v>
      </c>
      <c r="G15601" s="6" t="n">
        <f aca="false">Seg!G41*(al_m365+Sens!G15600+sbc_r)</f>
        <v>96.1301303332381</v>
      </c>
      <c r="H15601" s="6" t="n">
        <f aca="false">Seg!H41*(al_m365+Sens!H15600+sbc_r)</f>
        <v>108.70354073822</v>
      </c>
      <c r="I15601" s="6" t="n">
        <f aca="false">Seg!I41*(al_m365+Sens!I15600+sbc_r)</f>
        <v>120.260101315626</v>
      </c>
      <c r="J15601" s="6" t="n">
        <f aca="false">Seg!J41*(al_m365+Sens!J15600+sbc_r)</f>
        <v>130.611904548619</v>
      </c>
      <c r="K15601" s="6" t="n">
        <f aca="false">Seg!K41*(al_m365+Sens!K15600+sbc_r)</f>
        <v>140.575094974638</v>
      </c>
      <c r="L15601" s="12" t="s">
        <v>1232</v>
      </c>
    </row>
    <row r="15602" customFormat="false" ht="17.15" hidden="false" customHeight="false" outlineLevel="0" collapsed="false">
      <c r="A15602" s="0" t="s">
        <v>1233</v>
      </c>
      <c r="B15602" s="0" t="s">
        <v>98</v>
      </c>
      <c r="F15602" s="6" t="n">
        <f aca="false">Seg!F42*(al_lic+Sens!F15600+sbc_r)</f>
        <v>32.8577657183496</v>
      </c>
      <c r="G15602" s="6" t="n">
        <f aca="false">Seg!G42*(al_lic+Sens!G15600+sbc_r)</f>
        <v>34.1376266324889</v>
      </c>
      <c r="H15602" s="6" t="n">
        <f aca="false">Seg!H42*(al_lic+Sens!H15600+sbc_r)</f>
        <v>35.3325744664128</v>
      </c>
      <c r="I15602" s="6" t="n">
        <f aca="false">Seg!I42*(al_lic+Sens!I15600+sbc_r)</f>
        <v>36.4244749008727</v>
      </c>
      <c r="J15602" s="6" t="n">
        <f aca="false">Seg!J42*(al_lic+Sens!J15600+sbc_r)</f>
        <v>37.3879406068527</v>
      </c>
      <c r="K15602" s="6" t="n">
        <f aca="false">Seg!K42*(al_lic+Sens!K15600+sbc_r)</f>
        <v>38.1943876078259</v>
      </c>
    </row>
    <row r="15603" customFormat="false" ht="17.15" hidden="false" customHeight="false" outlineLevel="0" collapsed="false">
      <c r="A15603" s="0" t="s">
        <v>1234</v>
      </c>
      <c r="B15603" s="0" t="s">
        <v>98</v>
      </c>
      <c r="F15603" s="6" t="n">
        <f aca="false">Seg!F44*(al_ind+Sens!F15600+sbc_r)</f>
        <v>9.06041701092022</v>
      </c>
      <c r="G15603" s="6" t="n">
        <f aca="false">Seg!G44*(al_ind+Sens!G15600+sbc_r)</f>
        <v>9.83619082712885</v>
      </c>
      <c r="H15603" s="6" t="n">
        <f aca="false">Seg!H44*(al_ind+Sens!H15600+sbc_r)</f>
        <v>10.6570160105312</v>
      </c>
      <c r="I15603" s="6" t="n">
        <f aca="false">Seg!I44*(al_ind+Sens!I15600+sbc_r)</f>
        <v>11.5198571637125</v>
      </c>
      <c r="J15603" s="6" t="n">
        <f aca="false">Seg!J44*(al_ind+Sens!J15600+sbc_r)</f>
        <v>12.4150086539206</v>
      </c>
      <c r="K15603" s="6" t="n">
        <f aca="false">Seg!K44*(al_ind+Sens!K15600+sbc_r)</f>
        <v>13.3273714589988</v>
      </c>
    </row>
    <row r="15604" customFormat="false" ht="17.15" hidden="false" customHeight="false" outlineLevel="0" collapsed="false">
      <c r="A15604" s="0" t="s">
        <v>1235</v>
      </c>
      <c r="B15604" s="0" t="s">
        <v>98</v>
      </c>
      <c r="F15604" s="6" t="n">
        <f aca="false">Seg!F46*(al_fro+Sens!F15600+sbc_r)</f>
        <v>3.55402950182022</v>
      </c>
      <c r="G15604" s="6" t="n">
        <f aca="false">Seg!G46*(al_fro+Sens!G15600+sbc_r)</f>
        <v>3.76361488926481</v>
      </c>
      <c r="H15604" s="6" t="n">
        <f aca="false">Seg!H46*(al_fro+Sens!H15600+sbc_r)</f>
        <v>4.00220968879544</v>
      </c>
      <c r="I15604" s="6" t="n">
        <f aca="false">Seg!I46*(al_fro+Sens!I15600+sbc_r)</f>
        <v>4.2725765173852</v>
      </c>
      <c r="J15604" s="6" t="n">
        <f aca="false">Seg!J46*(al_fro+Sens!J15600+sbc_r)</f>
        <v>4.57586224390293</v>
      </c>
      <c r="K15604" s="6" t="n">
        <f aca="false">Seg!K46*(al_fro+Sens!K15600+sbc_r)</f>
        <v>4.91213639633217</v>
      </c>
    </row>
    <row r="15605" customFormat="false" ht="17.15" hidden="false" customHeight="false" outlineLevel="0" collapsed="false">
      <c r="A15605" s="0" t="s">
        <v>1236</v>
      </c>
      <c r="B15605" s="0" t="s">
        <v>98</v>
      </c>
      <c r="F15605" s="6" t="n">
        <f aca="false">Seg!F49*(al_srch+Sens!F15600+sbc_r)</f>
        <v>11.1890902994147</v>
      </c>
      <c r="G15605" s="6" t="n">
        <f aca="false">Seg!G49*(al_srch+Sens!G15600+sbc_r)</f>
        <v>12.261738891803</v>
      </c>
      <c r="H15605" s="6" t="n">
        <f aca="false">Seg!H49*(al_srch+Sens!H15600+sbc_r)</f>
        <v>13.3794863429193</v>
      </c>
      <c r="I15605" s="6" t="n">
        <f aca="false">Seg!I49*(al_srch+Sens!I15600+sbc_r)</f>
        <v>14.5317114787784</v>
      </c>
      <c r="J15605" s="6" t="n">
        <f aca="false">Seg!J49*(al_srch+Sens!J15600+sbc_r)</f>
        <v>15.6984365817724</v>
      </c>
      <c r="K15605" s="6" t="n">
        <f aca="false">Seg!K49*(al_srch+Sens!K15600+sbc_r)</f>
        <v>16.8520942258664</v>
      </c>
    </row>
    <row r="15606" customFormat="false" ht="17.15" hidden="false" customHeight="false" outlineLevel="0" collapsed="false">
      <c r="A15606" s="0" t="s">
        <v>1237</v>
      </c>
      <c r="B15606" s="0" t="s">
        <v>98</v>
      </c>
      <c r="F15606" s="6" t="n">
        <f aca="false">Thesis!F83-Thesis!F84+Thesis!F99</f>
        <v>42.5431090240393</v>
      </c>
      <c r="G15606" s="6" t="n">
        <f aca="false">Thesis!G83-Thesis!G84+Thesis!G99</f>
        <v>81.4922561130847</v>
      </c>
      <c r="H15606" s="6" t="n">
        <f aca="false">Thesis!H83-Thesis!H84+Thesis!H99</f>
        <v>123.278266211349</v>
      </c>
      <c r="I15606" s="6" t="n">
        <f aca="false">Thesis!I83-Thesis!I84+Thesis!I99</f>
        <v>160.60594185192</v>
      </c>
      <c r="J15606" s="6" t="n">
        <f aca="false">Thesis!J83-Thesis!J84+Thesis!J99</f>
        <v>186.818741832633</v>
      </c>
      <c r="K15606" s="6" t="n">
        <f aca="false">Thesis!K83-Thesis!K84+Thesis!K99</f>
        <v>202.776422159652</v>
      </c>
    </row>
    <row r="15607" customFormat="false" ht="17.15" hidden="false" customHeight="false" outlineLevel="0" collapsed="false">
      <c r="A15607" s="0" t="s">
        <v>1238</v>
      </c>
      <c r="B15607" s="0" t="s">
        <v>98</v>
      </c>
      <c r="F15607" s="6" t="n">
        <f aca="false">PL!F71+Thesis!F99+Thesis!F95+Sens!F15600*(Seg!F48-Thesis!F77)+sbc_r*Seg!F48</f>
        <v>238.090727427296</v>
      </c>
      <c r="G15607" s="6" t="n">
        <f aca="false">PL!G71+Thesis!G99+Thesis!G95+Sens!G15600*(Seg!G48-Thesis!G77)+sbc_r*Seg!G48</f>
        <v>299.90836088563</v>
      </c>
      <c r="H15607" s="6" t="n">
        <f aca="false">PL!H71+Thesis!H99+Thesis!H95+Sens!H15600*(Seg!H48-Thesis!H77)+sbc_r*Seg!H48</f>
        <v>369.457709442386</v>
      </c>
      <c r="I15607" s="6" t="n">
        <f aca="false">PL!I71+Thesis!I99+Thesis!I95+Sens!I15600*(Seg!I48-Thesis!I77)+sbc_r*Seg!I48</f>
        <v>433.16585128823</v>
      </c>
      <c r="J15607" s="6" t="n">
        <f aca="false">PL!J71+Thesis!J99+Thesis!J95+Sens!J15600*(Seg!J48-Thesis!J77)+sbc_r*Seg!J48</f>
        <v>483.301303131191</v>
      </c>
      <c r="K15607" s="6" t="n">
        <f aca="false">PL!K71+Thesis!K99+Thesis!K95+Sens!K15600*(Seg!K48-Thesis!K77)+sbc_r*Seg!K48</f>
        <v>520.789002205336</v>
      </c>
    </row>
    <row r="15608" customFormat="false" ht="17.15" hidden="false" customHeight="false" outlineLevel="0" collapsed="false">
      <c r="A15608" s="0" t="s">
        <v>1239</v>
      </c>
      <c r="B15608" s="0" t="s">
        <v>98</v>
      </c>
      <c r="F15608" s="6" t="n">
        <f aca="false">Sens!F15607-Sens!F15601-Sens!F15602-Sens!F15603-Sens!F15604-Sens!F15606</f>
        <v>66.3548442472996</v>
      </c>
      <c r="G15608" s="6" t="n">
        <f aca="false">Sens!G15607-Sens!G15601-Sens!G15602-Sens!G15603-Sens!G15604-Sens!G15606</f>
        <v>74.548542090425</v>
      </c>
      <c r="H15608" s="6" t="n">
        <f aca="false">Sens!H15607-Sens!H15601-Sens!H15602-Sens!H15603-Sens!H15604-Sens!H15606</f>
        <v>87.4841023270775</v>
      </c>
      <c r="I15608" s="6" t="n">
        <f aca="false">Sens!I15607-Sens!I15601-Sens!I15602-Sens!I15603-Sens!I15604-Sens!I15606</f>
        <v>100.082899538713</v>
      </c>
      <c r="J15608" s="6" t="n">
        <f aca="false">Sens!J15607-Sens!J15601-Sens!J15602-Sens!J15603-Sens!J15604-Sens!J15606</f>
        <v>111.491845245262</v>
      </c>
      <c r="K15608" s="6" t="n">
        <f aca="false">Sens!K15607-Sens!K15601-Sens!K15602-Sens!K15603-Sens!K15604-Sens!K15606</f>
        <v>121.003589607889</v>
      </c>
    </row>
    <row r="15609" customFormat="false" ht="17.15" hidden="false" customHeight="false" outlineLevel="0" collapsed="false">
      <c r="A15609" s="0" t="s">
        <v>1240</v>
      </c>
      <c r="B15609" s="0" t="s">
        <v>98</v>
      </c>
      <c r="F15609" s="6" t="n">
        <f aca="false">PL!F73+Sens!F15600*Seg!F55+sbc_r*Seg!F55</f>
        <v>26.6336365855879</v>
      </c>
      <c r="G15609" s="6" t="n">
        <f aca="false">PL!G73+Sens!G15600*Seg!G55+sbc_r*Seg!G55</f>
        <v>26.4720859498625</v>
      </c>
      <c r="H15609" s="6" t="n">
        <f aca="false">PL!H73+Sens!H15600*Seg!H55+sbc_r*Seg!H55</f>
        <v>27.346793021284</v>
      </c>
      <c r="I15609" s="6" t="n">
        <f aca="false">PL!I73+Sens!I15600*Seg!I55+sbc_r*Seg!I55</f>
        <v>28.4574657863154</v>
      </c>
      <c r="J15609" s="6" t="n">
        <f aca="false">PL!J73+Sens!J15600*Seg!J55+sbc_r*Seg!J55</f>
        <v>29.7689890546037</v>
      </c>
      <c r="K15609" s="6" t="n">
        <f aca="false">PL!K73+Sens!K15600*Seg!K55+sbc_r*Seg!K55</f>
        <v>31.2443947307494</v>
      </c>
    </row>
    <row r="15610" customFormat="false" ht="17.15" hidden="false" customHeight="false" outlineLevel="0" collapsed="false">
      <c r="A15610" s="0" t="s">
        <v>1241</v>
      </c>
      <c r="B15610" s="0" t="s">
        <v>98</v>
      </c>
      <c r="F15610" s="6" t="n">
        <f aca="false">(Sens!F15609-Sens!F15605)*Seg!F51/(Seg!F51+Seg!F53)</f>
        <v>8.72285608232241</v>
      </c>
      <c r="G15610" s="6" t="n">
        <f aca="false">(Sens!G15609-Sens!G15605)*Seg!G51/(Seg!G51+Seg!G53)</f>
        <v>7.88786455444355</v>
      </c>
      <c r="H15610" s="6" t="n">
        <f aca="false">(Sens!H15609-Sens!H15605)*Seg!H51/(Seg!H51+Seg!H53)</f>
        <v>7.65195986819674</v>
      </c>
      <c r="I15610" s="6" t="n">
        <f aca="false">(Sens!I15609-Sens!I15605)*Seg!I51/(Seg!I51+Seg!I53)</f>
        <v>7.56260440676676</v>
      </c>
      <c r="J15610" s="6" t="n">
        <f aca="false">(Sens!J15609-Sens!J15605)*Seg!J51/(Seg!J51+Seg!J53)</f>
        <v>7.60790100885945</v>
      </c>
      <c r="K15610" s="6" t="n">
        <f aca="false">(Sens!K15609-Sens!K15605)*Seg!K51/(Seg!K51+Seg!K53)</f>
        <v>7.78186910160995</v>
      </c>
    </row>
    <row r="15611" customFormat="false" ht="17.15" hidden="false" customHeight="false" outlineLevel="0" collapsed="false">
      <c r="A15611" s="0" t="s">
        <v>1242</v>
      </c>
      <c r="B15611" s="0" t="s">
        <v>98</v>
      </c>
      <c r="F15611" s="6" t="n">
        <f aca="false">Sens!F15609-Sens!F15605-Sens!F15610</f>
        <v>6.72169020385088</v>
      </c>
      <c r="G15611" s="6" t="n">
        <f aca="false">Sens!G15609-Sens!G15605-Sens!G15610</f>
        <v>6.322482503616</v>
      </c>
      <c r="H15611" s="6" t="n">
        <f aca="false">Sens!H15609-Sens!H15605-Sens!H15610</f>
        <v>6.315346810168</v>
      </c>
      <c r="I15611" s="6" t="n">
        <f aca="false">Sens!I15609-Sens!I15605-Sens!I15610</f>
        <v>6.36314990077033</v>
      </c>
      <c r="J15611" s="6" t="n">
        <f aca="false">Sens!J15609-Sens!J15605-Sens!J15610</f>
        <v>6.46265146397189</v>
      </c>
      <c r="K15611" s="6" t="n">
        <f aca="false">Sens!K15609-Sens!K15605-Sens!K15610</f>
        <v>6.61043140327304</v>
      </c>
    </row>
    <row r="15612" customFormat="false" ht="17.15" hidden="false" customHeight="false" outlineLevel="0" collapsed="false">
      <c r="A15612" s="0" t="s">
        <v>1243</v>
      </c>
      <c r="B15612" s="0" t="s">
        <v>98</v>
      </c>
      <c r="F15612" s="6" t="n">
        <f aca="false">Sens!F15606-tax_f*(Sens!F15606-Thesis!F95)-Thesis!F92</f>
        <v>-127.503553927218</v>
      </c>
      <c r="G15612" s="6" t="n">
        <f aca="false">Sens!G15606-tax_f*(Sens!G15606-Thesis!G95)-Thesis!G92</f>
        <v>-114.603772628121</v>
      </c>
      <c r="H15612" s="6" t="n">
        <f aca="false">Sens!H15606-tax_f*(Sens!H15606-Thesis!H95)-Thesis!H92</f>
        <v>-80.3633729631438</v>
      </c>
      <c r="I15612" s="6" t="n">
        <f aca="false">Sens!I15606-tax_f*(Sens!I15606-Thesis!I95)-Thesis!I92</f>
        <v>-17.2838782011649</v>
      </c>
      <c r="J15612" s="6" t="n">
        <f aca="false">Sens!J15606-tax_f*(Sens!J15606-Thesis!J95)-Thesis!J92</f>
        <v>46.9281968800854</v>
      </c>
      <c r="K15612" s="6" t="n">
        <f aca="false">Sens!K15606-tax_f*(Sens!K15606-Thesis!K95)-Thesis!K92</f>
        <v>71.8608185731755</v>
      </c>
    </row>
    <row r="15613" customFormat="false" ht="17.15" hidden="false" customHeight="false" outlineLevel="0" collapsed="false">
      <c r="A15613" s="0" t="s">
        <v>1244</v>
      </c>
      <c r="B15613" s="0" t="s">
        <v>98</v>
      </c>
      <c r="G15613" s="6" t="n">
        <f aca="false">Sens!G15612/(1+wacc)^(Sens!G15583-Sens!F15584)</f>
        <v>-109.124845494465</v>
      </c>
      <c r="H15613" s="6" t="n">
        <f aca="false">Sens!H15612/(1+wacc)^(Sens!H15583-Sens!F15584)</f>
        <v>-69.3796874071025</v>
      </c>
      <c r="I15613" s="6" t="n">
        <f aca="false">Sens!I15612/(1+wacc)^(Sens!I15583-Sens!F15584)</f>
        <v>-13.5289731380471</v>
      </c>
      <c r="J15613" s="6" t="n">
        <f aca="false">Sens!J15612/(1+wacc)^(Sens!J15583-Sens!F15584)</f>
        <v>33.3048099587126</v>
      </c>
      <c r="K15613" s="6" t="n">
        <f aca="false">Sens!K15612/(1+wacc)^(Sens!K15583-Sens!F15584)</f>
        <v>46.2396679904913</v>
      </c>
      <c r="L15613" s="1" t="s">
        <v>1245</v>
      </c>
    </row>
    <row r="15614" customFormat="false" ht="17.15" hidden="false" customHeight="false" outlineLevel="0" collapsed="false">
      <c r="A15614" s="0" t="s">
        <v>1246</v>
      </c>
      <c r="B15614" s="0" t="s">
        <v>98</v>
      </c>
      <c r="C15614" s="6" t="n">
        <f aca="false">(Sens!K15606-Thesis!K95)*(1-tax_f)*(1+g_tv)*(1-g_tv/(wacc+0))/(wacc-g_tv)/(1+wacc)^(Sens!K15584-Sens!F15584)</f>
        <v>293.118051086843</v>
      </c>
    </row>
    <row r="15615" customFormat="false" ht="17.15" hidden="false" customHeight="false" outlineLevel="0" collapsed="false">
      <c r="A15615" s="1" t="s">
        <v>1247</v>
      </c>
      <c r="B15615" s="0" t="s">
        <v>98</v>
      </c>
      <c r="C15615" s="6" t="n">
        <f aca="false">(SUM(Sens!G15613:K15613)+Sens!$C$15614)*(1+wacc)^(t_roll-Sens!F15584)</f>
        <v>186.592133308255</v>
      </c>
      <c r="L15615" s="12" t="s">
        <v>1248</v>
      </c>
    </row>
    <row r="15616" customFormat="false" ht="17.15" hidden="false" customHeight="false" outlineLevel="0" collapsed="false">
      <c r="A15616" s="1" t="s">
        <v>1249</v>
      </c>
      <c r="B15616" s="0" t="s">
        <v>98</v>
      </c>
      <c r="C15616" s="6" t="n">
        <f aca="false">(w_ntm28*Thesis!G83+(1-w_ntm28)*Thesis!H83)*m_ai</f>
        <v>463.789109510335</v>
      </c>
    </row>
    <row r="15617" customFormat="false" ht="17.15" hidden="false" customHeight="false" outlineLevel="0" collapsed="false">
      <c r="A15617" s="1" t="s">
        <v>1250</v>
      </c>
      <c r="B15617" s="0" t="s">
        <v>98</v>
      </c>
      <c r="C15617" s="6" t="n">
        <f aca="false">(w_ntm28*Sens!G15608+(1-w_ntm28)*Sens!H15608)*m_cloud</f>
        <v>1089.03436702245</v>
      </c>
    </row>
    <row r="15618" customFormat="false" ht="17.15" hidden="false" customHeight="false" outlineLevel="0" collapsed="false">
      <c r="A15618" s="1" t="s">
        <v>1251</v>
      </c>
      <c r="B15618" s="0" t="s">
        <v>98</v>
      </c>
      <c r="C15618" s="6" t="n">
        <f aca="false">(w_ntm28*Sens!G15601+(1-w_ntm28)*Sens!H15601)*m_sw</f>
        <v>1082.84962646159</v>
      </c>
    </row>
    <row r="15619" customFormat="false" ht="17.15" hidden="false" customHeight="false" outlineLevel="0" collapsed="false">
      <c r="A15619" s="1" t="s">
        <v>1252</v>
      </c>
      <c r="B15619" s="0" t="s">
        <v>98</v>
      </c>
      <c r="C15619" s="6" t="n">
        <f aca="false">(w_ntm28*Sens!G15602+(1-w_ntm28)*Sens!H15602)*m_sw</f>
        <v>372.929250898731</v>
      </c>
    </row>
    <row r="15620" customFormat="false" ht="17.15" hidden="false" customHeight="false" outlineLevel="0" collapsed="false">
      <c r="A15620" s="1" t="s">
        <v>1253</v>
      </c>
      <c r="B15620" s="0" t="s">
        <v>98</v>
      </c>
      <c r="C15620" s="6" t="n">
        <f aca="false">(w_ntm28*Sens!G15603+(1-w_ntm28)*Sens!H15603)*m_sw</f>
        <v>109.1453525431</v>
      </c>
    </row>
    <row r="15621" customFormat="false" ht="17.15" hidden="false" customHeight="false" outlineLevel="0" collapsed="false">
      <c r="A15621" s="1" t="s">
        <v>1254</v>
      </c>
      <c r="B15621" s="0" t="s">
        <v>98</v>
      </c>
      <c r="C15621" s="6" t="n">
        <f aca="false">(w_ntm28*Sens!G15604+(1-w_ntm28)*Sens!H15604)*m_sw</f>
        <v>41.4942157634893</v>
      </c>
    </row>
    <row r="15622" customFormat="false" ht="17.15" hidden="false" customHeight="false" outlineLevel="0" collapsed="false">
      <c r="A15622" s="1" t="s">
        <v>1255</v>
      </c>
      <c r="B15622" s="0" t="s">
        <v>98</v>
      </c>
      <c r="C15622" s="6" t="n">
        <f aca="false">(w_ntm28*Sens!G15605+(1-w_ntm28)*Sens!H15605)*m_ads</f>
        <v>115.052171478463</v>
      </c>
    </row>
    <row r="15623" customFormat="false" ht="17.15" hidden="false" customHeight="false" outlineLevel="0" collapsed="false">
      <c r="A15623" s="1" t="s">
        <v>1256</v>
      </c>
      <c r="B15623" s="0" t="s">
        <v>98</v>
      </c>
      <c r="C15623" s="6" t="n">
        <f aca="false">(w_ntm28*Sens!G15610+(1-w_ntm28)*Sens!H15610)*m_game</f>
        <v>98.6441755076202</v>
      </c>
    </row>
    <row r="15624" customFormat="false" ht="17.15" hidden="false" customHeight="false" outlineLevel="0" collapsed="false">
      <c r="A15624" s="1" t="s">
        <v>1257</v>
      </c>
      <c r="B15624" s="0" t="s">
        <v>98</v>
      </c>
      <c r="C15624" s="6" t="n">
        <f aca="false">(w_ntm28*Sens!G15611+(1-w_ntm28)*Sens!H15611)*m_pc</f>
        <v>91.4523754763561</v>
      </c>
    </row>
    <row r="15625" customFormat="false" ht="17.15" hidden="false" customHeight="false" outlineLevel="0" collapsed="false">
      <c r="A15625" s="1" t="s">
        <v>1258</v>
      </c>
      <c r="B15625" s="0" t="s">
        <v>98</v>
      </c>
      <c r="C15625" s="6" t="n">
        <f aca="false">Sens!$C$15615+Sens!$C$15617+Sens!$C$15618+Sens!$C$15619+Sens!$C$15620+Sens!$C$15621+Sens!$C$15622+Sens!$C$15623+Sens!$C$15624</f>
        <v>3187.19366846006</v>
      </c>
    </row>
    <row r="15626" customFormat="false" ht="17.15" hidden="false" customHeight="false" outlineLevel="0" collapsed="false">
      <c r="A15626" s="1" t="s">
        <v>1259</v>
      </c>
      <c r="B15626" s="0" t="s">
        <v>98</v>
      </c>
      <c r="C15626" s="6" t="n">
        <f aca="false">(Sens!G15587-Sens!G15612)*t_stub</f>
        <v>47.8736427515113</v>
      </c>
      <c r="L15626" s="1" t="s">
        <v>1260</v>
      </c>
    </row>
    <row r="15627" customFormat="false" ht="17.15" hidden="false" customHeight="false" outlineLevel="0" collapsed="false">
      <c r="A15627" s="1" t="s">
        <v>1169</v>
      </c>
      <c r="B15627" s="0" t="s">
        <v>98</v>
      </c>
      <c r="C15627" s="6" t="n">
        <f aca="false">CF!F71+oai_v-CF!F60+Sens!$C$15626</f>
        <v>162.101912751511</v>
      </c>
      <c r="L15627" s="1" t="s">
        <v>1261</v>
      </c>
    </row>
    <row r="15628" customFormat="false" ht="17.15" hidden="false" customHeight="false" outlineLevel="0" collapsed="false">
      <c r="A15628" s="1" t="s">
        <v>1262</v>
      </c>
      <c r="B15628" s="0" t="s">
        <v>75</v>
      </c>
      <c r="C15628" s="5" t="n">
        <f aca="false">(Sens!$C$15625+Sens!$C$15627)/(CF!F73+dil_gap)-CF!G63*roll_div_q/q_per_yr</f>
        <v>445.800799521231</v>
      </c>
      <c r="L15628" s="1" t="s">
        <v>1263</v>
      </c>
    </row>
    <row r="15629" customFormat="false" ht="17.15" hidden="false" customHeight="false" outlineLevel="0" collapsed="false">
      <c r="A15629" s="1" t="s">
        <v>1264</v>
      </c>
      <c r="B15629" s="0" t="s">
        <v>75</v>
      </c>
      <c r="C15629" s="5" t="n">
        <f aca="false">w_dcf*Sens!$C$15599+(1-w_dcf)*Sens!$C$15628</f>
        <v>432.664280955225</v>
      </c>
    </row>
    <row r="15630" customFormat="false" ht="17.15" hidden="false" customHeight="false" outlineLevel="0" collapsed="false">
      <c r="A15630" s="3" t="s">
        <v>1865</v>
      </c>
    </row>
    <row r="15631" customFormat="false" ht="15" hidden="false" customHeight="false" outlineLevel="0" collapsed="false">
      <c r="A15631" s="4" t="s">
        <v>43</v>
      </c>
      <c r="B15631" s="4" t="s">
        <v>65</v>
      </c>
      <c r="C15631" s="23" t="s">
        <v>938</v>
      </c>
      <c r="D15631" s="23" t="s">
        <v>939</v>
      </c>
      <c r="E15631" s="23" t="s">
        <v>940</v>
      </c>
      <c r="F15631" s="23" t="s">
        <v>941</v>
      </c>
      <c r="G15631" s="23" t="s">
        <v>942</v>
      </c>
      <c r="H15631" s="23" t="s">
        <v>943</v>
      </c>
      <c r="I15631" s="23" t="s">
        <v>944</v>
      </c>
      <c r="J15631" s="23" t="s">
        <v>945</v>
      </c>
      <c r="K15631" s="23" t="s">
        <v>946</v>
      </c>
      <c r="L15631" s="4" t="s">
        <v>47</v>
      </c>
    </row>
    <row r="15632" customFormat="false" ht="17.15" hidden="false" customHeight="false" outlineLevel="0" collapsed="false">
      <c r="A15632" s="1" t="s">
        <v>1212</v>
      </c>
      <c r="B15632" s="1" t="s">
        <v>279</v>
      </c>
      <c r="F15632" s="8" t="n">
        <f aca="false">(1-v_off)*mid_yr</f>
        <v>0.373972602739726</v>
      </c>
      <c r="G15632" s="8" t="n">
        <f aca="false">Thesis!G110-base_fy-mid_yr-v_off</f>
        <v>1.24794520547945</v>
      </c>
      <c r="H15632" s="8" t="n">
        <f aca="false">Thesis!H110-base_fy-mid_yr-v_off</f>
        <v>2.24794520547945</v>
      </c>
      <c r="I15632" s="8" t="n">
        <f aca="false">Thesis!I110-base_fy-mid_yr-v_off</f>
        <v>3.24794520547945</v>
      </c>
      <c r="J15632" s="8" t="n">
        <f aca="false">Thesis!J110-base_fy-mid_yr-v_off</f>
        <v>4.24794520547945</v>
      </c>
      <c r="K15632" s="8" t="n">
        <f aca="false">Thesis!K110-base_fy-mid_yr-v_off</f>
        <v>5.24794520547945</v>
      </c>
      <c r="L15632" s="12" t="s">
        <v>1213</v>
      </c>
    </row>
    <row r="15633" customFormat="false" ht="15" hidden="false" customHeight="false" outlineLevel="0" collapsed="false">
      <c r="A15633" s="1" t="s">
        <v>1214</v>
      </c>
      <c r="B15633" s="1" t="s">
        <v>279</v>
      </c>
      <c r="F15633" s="8" t="n">
        <f aca="false">Thesis!F110-base_fy-v_off</f>
        <v>0.747945205479452</v>
      </c>
      <c r="G15633" s="8" t="n">
        <f aca="false">Thesis!G110-base_fy-v_off</f>
        <v>1.74794520547945</v>
      </c>
      <c r="H15633" s="8" t="n">
        <f aca="false">Thesis!H110-base_fy-v_off</f>
        <v>2.74794520547945</v>
      </c>
      <c r="I15633" s="8" t="n">
        <f aca="false">Thesis!I110-base_fy-v_off</f>
        <v>3.74794520547945</v>
      </c>
      <c r="J15633" s="8" t="n">
        <f aca="false">Thesis!J110-base_fy-v_off</f>
        <v>4.74794520547945</v>
      </c>
      <c r="K15633" s="8" t="n">
        <f aca="false">Thesis!K110-base_fy-v_off</f>
        <v>5.74794520547945</v>
      </c>
    </row>
    <row r="15634" customFormat="false" ht="15" hidden="false" customHeight="false" outlineLevel="0" collapsed="false">
      <c r="A15634" s="1" t="s">
        <v>1215</v>
      </c>
      <c r="B15634" s="0" t="s">
        <v>229</v>
      </c>
      <c r="F15634" s="15" t="n">
        <f aca="false">1/(1+wacc)^Sens!F15632</f>
        <v>0.964022703286649</v>
      </c>
      <c r="G15634" s="15" t="n">
        <f aca="false">1/(1+wacc)^Sens!G15632</f>
        <v>0.884910302296739</v>
      </c>
      <c r="H15634" s="15" t="n">
        <f aca="false">1/(1+wacc)^Sens!H15632</f>
        <v>0.802322009770358</v>
      </c>
      <c r="I15634" s="15" t="n">
        <f aca="false">1/(1+wacc)^Sens!I15632</f>
        <v>0.727441646561469</v>
      </c>
      <c r="J15634" s="15" t="n">
        <f aca="false">1/(1+wacc)^Sens!J15632</f>
        <v>0.659549834988973</v>
      </c>
      <c r="K15634" s="15" t="n">
        <f aca="false">1/(1+wacc)^Sens!K15632</f>
        <v>0.597994336576966</v>
      </c>
    </row>
    <row r="15635" customFormat="false" ht="17.15" hidden="false" customHeight="false" outlineLevel="0" collapsed="false">
      <c r="A15635" s="1" t="s">
        <v>1216</v>
      </c>
      <c r="B15635" s="0" t="s">
        <v>98</v>
      </c>
      <c r="F15635" s="6" t="n">
        <f aca="false">Q!$I$35-Q!$I$39-Q!$I$43</f>
        <v>9.666</v>
      </c>
      <c r="L15635" s="12" t="s">
        <v>1217</v>
      </c>
    </row>
    <row r="15636" customFormat="false" ht="17.15" hidden="false" customHeight="false" outlineLevel="0" collapsed="false">
      <c r="A15636" s="1" t="s">
        <v>1218</v>
      </c>
      <c r="B15636" s="0" t="s">
        <v>98</v>
      </c>
      <c r="F15636" s="6" t="n">
        <f aca="false">CF!F87-CF!F84-CF!F91+Thesis!F151*(1-tax_f)*(1-v_off)-Sens!F15635</f>
        <v>-6.10282680452259</v>
      </c>
      <c r="G15636" s="6" t="n">
        <f aca="false">CF!G87-CF!G84-CF!G91+Thesis!G151*(1-tax_f)</f>
        <v>19.0084129023516</v>
      </c>
      <c r="H15636" s="6" t="n">
        <f aca="false">CF!H87-CF!H84-CF!H91+Thesis!H151*(1-tax_f)</f>
        <v>55.9229468383331</v>
      </c>
      <c r="I15636" s="6" t="n">
        <f aca="false">CF!I87-CF!I84-CF!I91+Thesis!I151*(1-tax_f)</f>
        <v>127.901908576191</v>
      </c>
      <c r="J15636" s="6" t="n">
        <f aca="false">CF!J87-CF!J84-CF!J91+Thesis!J151*(1-tax_f)</f>
        <v>201.958443859638</v>
      </c>
      <c r="K15636" s="6" t="n">
        <f aca="false">CF!K87-CF!K84-CF!K91+Thesis!K151*(1-tax_f)</f>
        <v>237.542519059905</v>
      </c>
      <c r="L15636" s="1" t="s">
        <v>1219</v>
      </c>
    </row>
    <row r="15637" customFormat="false" ht="15" hidden="false" customHeight="false" outlineLevel="0" collapsed="false">
      <c r="A15637" s="1" t="s">
        <v>1220</v>
      </c>
      <c r="B15637" s="0" t="s">
        <v>98</v>
      </c>
      <c r="F15637" s="6" t="n">
        <f aca="false">Sens!F15636*Sens!F15634</f>
        <v>-5.88326359378609</v>
      </c>
      <c r="G15637" s="6" t="n">
        <f aca="false">Sens!G15636*Sens!G15634</f>
        <v>16.8207404076012</v>
      </c>
      <c r="H15637" s="6" t="n">
        <f aca="false">Sens!H15636*Sens!H15634</f>
        <v>44.8682110996123</v>
      </c>
      <c r="I15637" s="6" t="n">
        <f aca="false">Sens!I15636*Sens!I15634</f>
        <v>93.0411749730187</v>
      </c>
      <c r="J15637" s="6" t="n">
        <f aca="false">Sens!J15636*Sens!J15634</f>
        <v>133.201658322254</v>
      </c>
      <c r="K15637" s="6" t="n">
        <f aca="false">Sens!K15636*Sens!K15634</f>
        <v>142.049081094049</v>
      </c>
    </row>
    <row r="15638" customFormat="false" ht="17.15" hidden="false" customHeight="false" outlineLevel="0" collapsed="false">
      <c r="A15638" s="1" t="s">
        <v>1221</v>
      </c>
      <c r="B15638" s="0" t="s">
        <v>98</v>
      </c>
      <c r="C15638" s="6" t="n">
        <f aca="false">SUM(Sens!F15637:K15637)</f>
        <v>424.097602302749</v>
      </c>
    </row>
    <row r="15639" customFormat="false" ht="17.15" hidden="false" customHeight="false" outlineLevel="0" collapsed="false">
      <c r="A15639" s="1" t="s">
        <v>1222</v>
      </c>
      <c r="B15639" s="0" t="s">
        <v>98</v>
      </c>
      <c r="C15639" s="6" t="n">
        <f aca="false">PL!K117*(1+g_tv)*(1-tax_f)</f>
        <v>247.098906713682</v>
      </c>
    </row>
    <row r="15640" customFormat="false" ht="17.15" hidden="false" customHeight="false" outlineLevel="0" collapsed="false">
      <c r="A15640" s="1" t="s">
        <v>1863</v>
      </c>
      <c r="B15640" s="0" t="s">
        <v>98</v>
      </c>
      <c r="C15640" s="6" t="n">
        <f aca="false">Val!K174*(1+g_tv)</f>
        <v>244.668794631702</v>
      </c>
    </row>
    <row r="15641" customFormat="false" ht="17.15" hidden="false" customHeight="false" outlineLevel="0" collapsed="false">
      <c r="A15641" s="1" t="s">
        <v>1224</v>
      </c>
      <c r="B15641" s="0" t="s">
        <v>98</v>
      </c>
      <c r="C15641" s="6" t="n">
        <f aca="false">Sens!$C$15640/(wacc-g_tv)</f>
        <v>3354.54113579559</v>
      </c>
    </row>
    <row r="15642" customFormat="false" ht="15" hidden="false" customHeight="false" outlineLevel="0" collapsed="false">
      <c r="A15642" s="1" t="s">
        <v>1225</v>
      </c>
      <c r="B15642" s="0" t="s">
        <v>98</v>
      </c>
      <c r="C15642" s="6" t="n">
        <f aca="false">Sens!$C$15641/(1+wacc)^Sens!K15633</f>
        <v>1910.09479119924</v>
      </c>
    </row>
    <row r="15643" customFormat="false" ht="17.15" hidden="false" customHeight="false" outlineLevel="0" collapsed="false">
      <c r="A15643" s="0" t="s">
        <v>1226</v>
      </c>
      <c r="B15643" s="0" t="s">
        <v>98</v>
      </c>
      <c r="C15643" s="6" t="n">
        <f aca="false">Sens!$C$15638+Sens!$C$15642</f>
        <v>2334.19239350199</v>
      </c>
    </row>
    <row r="15644" customFormat="false" ht="15" hidden="false" customHeight="false" outlineLevel="0" collapsed="false">
      <c r="A15644" s="1" t="s">
        <v>1141</v>
      </c>
      <c r="B15644" s="0" t="s">
        <v>168</v>
      </c>
      <c r="C15644" s="7" t="n">
        <f aca="false">Sens!$C$15642/Sens!$C$15643</f>
        <v>0.818310777002201</v>
      </c>
    </row>
    <row r="15645" customFormat="false" ht="17.15" hidden="false" customHeight="false" outlineLevel="0" collapsed="false">
      <c r="A15645" s="1" t="s">
        <v>1227</v>
      </c>
      <c r="B15645" s="0" t="s">
        <v>98</v>
      </c>
      <c r="C15645" s="6" t="n">
        <f aca="false">Sens!$C$15643+cash_val-debt_val-fl_val+oai_v</f>
        <v>2450.04339350199</v>
      </c>
    </row>
    <row r="15646" customFormat="false" ht="17.15" hidden="false" customHeight="false" outlineLevel="0" collapsed="false">
      <c r="A15646" s="0" t="s">
        <v>1149</v>
      </c>
      <c r="B15646" s="0" t="s">
        <v>75</v>
      </c>
      <c r="C15646" s="5" t="n">
        <f aca="false">Sens!$C$15645/shd_val</f>
        <v>329.04155163873</v>
      </c>
    </row>
    <row r="15647" customFormat="false" ht="15" hidden="false" customHeight="false" outlineLevel="0" collapsed="false">
      <c r="A15647" s="1" t="s">
        <v>1228</v>
      </c>
      <c r="B15647" s="0" t="s">
        <v>75</v>
      </c>
      <c r="C15647" s="8" t="n">
        <f aca="false">div_rem27+CF!G95*roll_div_q/q_per_yr</f>
        <v>3.9795</v>
      </c>
    </row>
    <row r="15648" customFormat="false" ht="17.15" hidden="false" customHeight="false" outlineLevel="0" collapsed="false">
      <c r="A15648" s="0" t="s">
        <v>1229</v>
      </c>
      <c r="B15648" s="0" t="s">
        <v>75</v>
      </c>
      <c r="C15648" s="5" t="n">
        <f aca="false">Sens!$C$15646*(1+wacc)^t_roll-Sens!$C$15647</f>
        <v>361.768548700193</v>
      </c>
    </row>
    <row r="15649" customFormat="false" ht="17.15" hidden="false" customHeight="false" outlineLevel="0" collapsed="false">
      <c r="A15649" s="1" t="s">
        <v>1230</v>
      </c>
      <c r="B15649" s="0" t="s">
        <v>168</v>
      </c>
      <c r="F15649" s="7" t="n">
        <f aca="false">CF!F81/(Seg!F83-Thesis!F129)</f>
        <v>0.068677393452264</v>
      </c>
      <c r="G15649" s="7" t="n">
        <f aca="false">CF!G81/(Seg!G83-Thesis!G129)</f>
        <v>0.0663132664471956</v>
      </c>
      <c r="H15649" s="7" t="n">
        <f aca="false">CF!H81/(Seg!H83-Thesis!H129)</f>
        <v>0.0651363826734039</v>
      </c>
      <c r="I15649" s="7" t="n">
        <f aca="false">CF!I81/(Seg!I83-Thesis!I129)</f>
        <v>0.0650087936347709</v>
      </c>
      <c r="J15649" s="7" t="n">
        <f aca="false">CF!J81/(Seg!J83-Thesis!J129)</f>
        <v>0.0657212684841778</v>
      </c>
      <c r="K15649" s="7" t="n">
        <f aca="false">CF!K81/(Seg!K83-Thesis!K129)</f>
        <v>0.0670413306015285</v>
      </c>
    </row>
    <row r="15650" customFormat="false" ht="17.15" hidden="false" customHeight="false" outlineLevel="0" collapsed="false">
      <c r="A15650" s="0" t="s">
        <v>1231</v>
      </c>
      <c r="B15650" s="0" t="s">
        <v>98</v>
      </c>
      <c r="F15650" s="6" t="n">
        <f aca="false">Seg!F68*(al_m365+Sens!F15649+sbc_r)</f>
        <v>82.9185219618347</v>
      </c>
      <c r="G15650" s="6" t="n">
        <f aca="false">Seg!G68*(al_m365+Sens!G15649+sbc_r)</f>
        <v>93.3068052157631</v>
      </c>
      <c r="H15650" s="6" t="n">
        <f aca="false">Seg!H68*(al_m365+Sens!H15649+sbc_r)</f>
        <v>103.856057136159</v>
      </c>
      <c r="I15650" s="6" t="n">
        <f aca="false">Seg!I68*(al_m365+Sens!I15649+sbc_r)</f>
        <v>113.889717587147</v>
      </c>
      <c r="J15650" s="6" t="n">
        <f aca="false">Seg!J68*(al_m365+Sens!J15649+sbc_r)</f>
        <v>123.218477864124</v>
      </c>
      <c r="K15650" s="6" t="n">
        <f aca="false">Seg!K68*(al_m365+Sens!K15649+sbc_r)</f>
        <v>132.149420086311</v>
      </c>
      <c r="L15650" s="12" t="s">
        <v>1232</v>
      </c>
    </row>
    <row r="15651" customFormat="false" ht="17.15" hidden="false" customHeight="false" outlineLevel="0" collapsed="false">
      <c r="A15651" s="0" t="s">
        <v>1233</v>
      </c>
      <c r="B15651" s="0" t="s">
        <v>98</v>
      </c>
      <c r="F15651" s="6" t="n">
        <f aca="false">Seg!F69*(al_lic+Sens!F15649+sbc_r)</f>
        <v>32.8599853992256</v>
      </c>
      <c r="G15651" s="6" t="n">
        <f aca="false">Seg!G69*(al_lic+Sens!G15649+sbc_r)</f>
        <v>34.1568280697879</v>
      </c>
      <c r="H15651" s="6" t="n">
        <f aca="false">Seg!H69*(al_lic+Sens!H15649+sbc_r)</f>
        <v>35.3635535007213</v>
      </c>
      <c r="I15651" s="6" t="n">
        <f aca="false">Seg!I69*(al_lic+Sens!I15649+sbc_r)</f>
        <v>36.4604537346553</v>
      </c>
      <c r="J15651" s="6" t="n">
        <f aca="false">Seg!J69*(al_lic+Sens!J15649+sbc_r)</f>
        <v>37.4245888933574</v>
      </c>
      <c r="K15651" s="6" t="n">
        <f aca="false">Seg!K69*(al_lic+Sens!K15649+sbc_r)</f>
        <v>38.2321483186439</v>
      </c>
    </row>
    <row r="15652" customFormat="false" ht="17.15" hidden="false" customHeight="false" outlineLevel="0" collapsed="false">
      <c r="A15652" s="0" t="s">
        <v>1234</v>
      </c>
      <c r="B15652" s="0" t="s">
        <v>98</v>
      </c>
      <c r="F15652" s="6" t="n">
        <f aca="false">Seg!F71*(al_ind+Sens!F15649+sbc_r)</f>
        <v>9.06170747885803</v>
      </c>
      <c r="G15652" s="6" t="n">
        <f aca="false">Seg!G71*(al_ind+Sens!G15649+sbc_r)</f>
        <v>9.8478979082138</v>
      </c>
      <c r="H15652" s="6" t="n">
        <f aca="false">Seg!H71*(al_ind+Sens!H15649+sbc_r)</f>
        <v>10.6768254332059</v>
      </c>
      <c r="I15652" s="6" t="n">
        <f aca="false">Seg!I71*(al_ind+Sens!I15649+sbc_r)</f>
        <v>11.54398793803</v>
      </c>
      <c r="J15652" s="6" t="n">
        <f aca="false">Seg!J71*(al_ind+Sens!J15649+sbc_r)</f>
        <v>12.4407914253112</v>
      </c>
      <c r="K15652" s="6" t="n">
        <f aca="false">Seg!K71*(al_ind+Sens!K15649+sbc_r)</f>
        <v>13.355239066864</v>
      </c>
    </row>
    <row r="15653" customFormat="false" ht="17.15" hidden="false" customHeight="false" outlineLevel="0" collapsed="false">
      <c r="A15653" s="0" t="s">
        <v>1235</v>
      </c>
      <c r="B15653" s="0" t="s">
        <v>98</v>
      </c>
      <c r="F15653" s="6" t="n">
        <f aca="false">Seg!F73*(al_fro+Sens!F15649+sbc_r)</f>
        <v>3.55453569939552</v>
      </c>
      <c r="G15653" s="6" t="n">
        <f aca="false">Seg!G73*(al_fro+Sens!G15649+sbc_r)</f>
        <v>3.76809436159872</v>
      </c>
      <c r="H15653" s="6" t="n">
        <f aca="false">Seg!H73*(al_fro+Sens!H15649+sbc_r)</f>
        <v>4.00964905674607</v>
      </c>
      <c r="I15653" s="6" t="n">
        <f aca="false">Seg!I73*(al_fro+Sens!I15649+sbc_r)</f>
        <v>4.28152633145235</v>
      </c>
      <c r="J15653" s="6" t="n">
        <f aca="false">Seg!J73*(al_fro+Sens!J15649+sbc_r)</f>
        <v>4.58536512975975</v>
      </c>
      <c r="K15653" s="6" t="n">
        <f aca="false">Seg!K73*(al_fro+Sens!K15649+sbc_r)</f>
        <v>4.92240770086468</v>
      </c>
    </row>
    <row r="15654" customFormat="false" ht="17.15" hidden="false" customHeight="false" outlineLevel="0" collapsed="false">
      <c r="A15654" s="0" t="s">
        <v>1236</v>
      </c>
      <c r="B15654" s="0" t="s">
        <v>98</v>
      </c>
      <c r="F15654" s="6" t="n">
        <f aca="false">Seg!F76*(al_srch+Sens!F15649+sbc_r)</f>
        <v>11.190683952584</v>
      </c>
      <c r="G15654" s="6" t="n">
        <f aca="false">Seg!G76*(al_srch+Sens!G15649+sbc_r)</f>
        <v>12.2763328717258</v>
      </c>
      <c r="H15654" s="6" t="n">
        <f aca="false">Seg!H76*(al_srch+Sens!H15649+sbc_r)</f>
        <v>13.4043563346576</v>
      </c>
      <c r="I15654" s="6" t="n">
        <f aca="false">Seg!I76*(al_srch+Sens!I15649+sbc_r)</f>
        <v>14.5621512181916</v>
      </c>
      <c r="J15654" s="6" t="n">
        <f aca="false">Seg!J76*(al_srch+Sens!J15649+sbc_r)</f>
        <v>15.7310381862385</v>
      </c>
      <c r="K15654" s="6" t="n">
        <f aca="false">Seg!K76*(al_srch+Sens!K15649+sbc_r)</f>
        <v>16.8873320486462</v>
      </c>
    </row>
    <row r="15655" customFormat="false" ht="17.15" hidden="false" customHeight="false" outlineLevel="0" collapsed="false">
      <c r="A15655" s="0" t="s">
        <v>1237</v>
      </c>
      <c r="B15655" s="0" t="s">
        <v>98</v>
      </c>
      <c r="F15655" s="6" t="n">
        <f aca="false">Thesis!F135-Thesis!F136+Thesis!F151</f>
        <v>38.9696429794913</v>
      </c>
      <c r="G15655" s="6" t="n">
        <f aca="false">Thesis!G135-Thesis!G136+Thesis!G151</f>
        <v>69.465497726016</v>
      </c>
      <c r="H15655" s="6" t="n">
        <f aca="false">Thesis!H135-Thesis!H136+Thesis!H151</f>
        <v>96.8147106808268</v>
      </c>
      <c r="I15655" s="6" t="n">
        <f aca="false">Thesis!I135-Thesis!I136+Thesis!I151</f>
        <v>127.654939766446</v>
      </c>
      <c r="J15655" s="6" t="n">
        <f aca="false">Thesis!J135-Thesis!J136+Thesis!J151</f>
        <v>149.308352681229</v>
      </c>
      <c r="K15655" s="6" t="n">
        <f aca="false">Thesis!K135-Thesis!K136+Thesis!K151</f>
        <v>162.731822021841</v>
      </c>
    </row>
    <row r="15656" customFormat="false" ht="17.15" hidden="false" customHeight="false" outlineLevel="0" collapsed="false">
      <c r="A15656" s="0" t="s">
        <v>1238</v>
      </c>
      <c r="B15656" s="0" t="s">
        <v>98</v>
      </c>
      <c r="F15656" s="6" t="n">
        <f aca="false">PL!F110+Thesis!F151+Thesis!F147+Sens!F15649*(Seg!F75-Thesis!F129)+sbc_r*Seg!F75</f>
        <v>234.79972328186</v>
      </c>
      <c r="G15656" s="6" t="n">
        <f aca="false">PL!G110+Thesis!G151+Thesis!G147+Sens!G15649*(Seg!G75-Thesis!G129)+sbc_r*Seg!G75</f>
        <v>285.499052659517</v>
      </c>
      <c r="H15656" s="6" t="n">
        <f aca="false">PL!H110+Thesis!H151+Thesis!H147+Sens!H15649*(Seg!H75-Thesis!H129)+sbc_r*Seg!H75</f>
        <v>338.258569294547</v>
      </c>
      <c r="I15656" s="6" t="n">
        <f aca="false">PL!I110+Thesis!I151+Thesis!I147+Sens!I15649*(Seg!I75-Thesis!I129)+sbc_r*Seg!I75</f>
        <v>393.887902526982</v>
      </c>
      <c r="J15656" s="6" t="n">
        <f aca="false">PL!J110+Thesis!J151+Thesis!J147+Sens!J15649*(Seg!J75-Thesis!J129)+sbc_r*Seg!J75</f>
        <v>438.406631506078</v>
      </c>
      <c r="K15656" s="6" t="n">
        <f aca="false">PL!K110+Thesis!K151+Thesis!K147+Sens!K15649*(Seg!K75-Thesis!K129)+sbc_r*Seg!K75</f>
        <v>472.352875745143</v>
      </c>
    </row>
    <row r="15657" customFormat="false" ht="17.15" hidden="false" customHeight="false" outlineLevel="0" collapsed="false">
      <c r="A15657" s="0" t="s">
        <v>1239</v>
      </c>
      <c r="B15657" s="0" t="s">
        <v>98</v>
      </c>
      <c r="F15657" s="6" t="n">
        <f aca="false">Sens!F15656-Sens!F15650-Sens!F15651-Sens!F15652-Sens!F15653-Sens!F15655</f>
        <v>67.4353297630543</v>
      </c>
      <c r="G15657" s="6" t="n">
        <f aca="false">Sens!G15656-Sens!G15650-Sens!G15651-Sens!G15652-Sens!G15653-Sens!G15655</f>
        <v>74.9539293781376</v>
      </c>
      <c r="H15657" s="6" t="n">
        <f aca="false">Sens!H15656-Sens!H15650-Sens!H15651-Sens!H15652-Sens!H15653-Sens!H15655</f>
        <v>87.537773486888</v>
      </c>
      <c r="I15657" s="6" t="n">
        <f aca="false">Sens!I15656-Sens!I15650-Sens!I15651-Sens!I15652-Sens!I15653-Sens!I15655</f>
        <v>100.057277169252</v>
      </c>
      <c r="J15657" s="6" t="n">
        <f aca="false">Sens!J15656-Sens!J15650-Sens!J15651-Sens!J15652-Sens!J15653-Sens!J15655</f>
        <v>111.429055512297</v>
      </c>
      <c r="K15657" s="6" t="n">
        <f aca="false">Sens!K15656-Sens!K15650-Sens!K15651-Sens!K15652-Sens!K15653-Sens!K15655</f>
        <v>120.961838550618</v>
      </c>
    </row>
    <row r="15658" customFormat="false" ht="17.15" hidden="false" customHeight="false" outlineLevel="0" collapsed="false">
      <c r="A15658" s="0" t="s">
        <v>1240</v>
      </c>
      <c r="B15658" s="0" t="s">
        <v>98</v>
      </c>
      <c r="F15658" s="6" t="n">
        <f aca="false">PL!F112+Sens!F15649*Seg!F82+sbc_r*Seg!F82</f>
        <v>26.6373549789235</v>
      </c>
      <c r="G15658" s="6" t="n">
        <f aca="false">PL!G112+Sens!G15649*Seg!G82+sbc_r*Seg!G82</f>
        <v>26.5038922765853</v>
      </c>
      <c r="H15658" s="6" t="n">
        <f aca="false">PL!H112+Sens!H15649*Seg!H82+sbc_r*Seg!H82</f>
        <v>27.3981100014792</v>
      </c>
      <c r="I15658" s="6" t="n">
        <f aca="false">PL!I112+Sens!I15649*Seg!I82+sbc_r*Seg!I82</f>
        <v>28.5176442589239</v>
      </c>
      <c r="J15658" s="6" t="n">
        <f aca="false">PL!J112+Sens!J15649*Seg!J82+sbc_r*Seg!J82</f>
        <v>29.8313998963726</v>
      </c>
      <c r="K15658" s="6" t="n">
        <f aca="false">PL!K112+Sens!K15649*Seg!K82+sbc_r*Seg!K82</f>
        <v>31.3103466222307</v>
      </c>
    </row>
    <row r="15659" customFormat="false" ht="17.15" hidden="false" customHeight="false" outlineLevel="0" collapsed="false">
      <c r="A15659" s="0" t="s">
        <v>1241</v>
      </c>
      <c r="B15659" s="0" t="s">
        <v>98</v>
      </c>
      <c r="F15659" s="6" t="n">
        <f aca="false">(Sens!F15658-Sens!F15654)*Seg!F78/(Seg!F78+Seg!F80)</f>
        <v>8.72405610479892</v>
      </c>
      <c r="G15659" s="6" t="n">
        <f aca="false">(Sens!G15658-Sens!G15654)*Seg!G78/(Seg!G78+Seg!G80)</f>
        <v>7.897418765869</v>
      </c>
      <c r="H15659" s="6" t="n">
        <f aca="false">(Sens!H15658-Sens!H15654)*Seg!H78/(Seg!H78+Seg!H80)</f>
        <v>7.66644879573063</v>
      </c>
      <c r="I15659" s="6" t="n">
        <f aca="false">(Sens!I15658-Sens!I15654)*Seg!I78/(Seg!I78+Seg!I80)</f>
        <v>7.5787545031814</v>
      </c>
      <c r="J15659" s="6" t="n">
        <f aca="false">(Sens!J15658-Sens!J15654)*Seg!J78/(Seg!J78+Seg!J80)</f>
        <v>7.62401876450459</v>
      </c>
      <c r="K15659" s="6" t="n">
        <f aca="false">(Sens!K15658-Sens!K15654)*Seg!K78/(Seg!K78+Seg!K80)</f>
        <v>7.79847609658838</v>
      </c>
    </row>
    <row r="15660" customFormat="false" ht="17.15" hidden="false" customHeight="false" outlineLevel="0" collapsed="false">
      <c r="A15660" s="0" t="s">
        <v>1242</v>
      </c>
      <c r="B15660" s="0" t="s">
        <v>98</v>
      </c>
      <c r="F15660" s="6" t="n">
        <f aca="false">Sens!F15658-Sens!F15654-Sens!F15659</f>
        <v>6.72261492154066</v>
      </c>
      <c r="G15660" s="6" t="n">
        <f aca="false">Sens!G15658-Sens!G15654-Sens!G15659</f>
        <v>6.33014063899044</v>
      </c>
      <c r="H15660" s="6" t="n">
        <f aca="false">Sens!H15658-Sens!H15654-Sens!H15659</f>
        <v>6.32730487109095</v>
      </c>
      <c r="I15660" s="6" t="n">
        <f aca="false">Sens!I15658-Sens!I15654-Sens!I15659</f>
        <v>6.37673853755084</v>
      </c>
      <c r="J15660" s="6" t="n">
        <f aca="false">Sens!J15658-Sens!J15654-Sens!J15659</f>
        <v>6.47634294562954</v>
      </c>
      <c r="K15660" s="6" t="n">
        <f aca="false">Sens!K15658-Sens!K15654-Sens!K15659</f>
        <v>6.62453847699607</v>
      </c>
    </row>
    <row r="15661" customFormat="false" ht="17.15" hidden="false" customHeight="false" outlineLevel="0" collapsed="false">
      <c r="A15661" s="0" t="s">
        <v>1243</v>
      </c>
      <c r="B15661" s="0" t="s">
        <v>98</v>
      </c>
      <c r="F15661" s="6" t="n">
        <f aca="false">Sens!F15655-tax_f*(Sens!F15655-Thesis!F147)-Thesis!F144</f>
        <v>-130.362326762856</v>
      </c>
      <c r="G15661" s="6" t="n">
        <f aca="false">Sens!G15655-tax_f*(Sens!G15655-Thesis!G147)-Thesis!G144</f>
        <v>-124.225179337776</v>
      </c>
      <c r="H15661" s="6" t="n">
        <f aca="false">Sens!H15655-tax_f*(Sens!H15655-Thesis!H147)-Thesis!H144</f>
        <v>-101.534217387562</v>
      </c>
      <c r="I15661" s="6" t="n">
        <f aca="false">Sens!I15655-tax_f*(Sens!I15655-Thesis!I147)-Thesis!I144</f>
        <v>-43.6446798695439</v>
      </c>
      <c r="J15661" s="6" t="n">
        <f aca="false">Sens!J15655-tax_f*(Sens!J15655-Thesis!J147)-Thesis!J144</f>
        <v>16.9198855589618</v>
      </c>
      <c r="K15661" s="6" t="n">
        <f aca="false">Sens!K15655-tax_f*(Sens!K15655-Thesis!K147)-Thesis!K144</f>
        <v>39.8251384629271</v>
      </c>
    </row>
    <row r="15662" customFormat="false" ht="17.15" hidden="false" customHeight="false" outlineLevel="0" collapsed="false">
      <c r="A15662" s="0" t="s">
        <v>1244</v>
      </c>
      <c r="B15662" s="0" t="s">
        <v>98</v>
      </c>
      <c r="G15662" s="6" t="n">
        <f aca="false">Sens!G15661/(1+wacc)^(Sens!G15632-Sens!F15633)</f>
        <v>-118.286276192192</v>
      </c>
      <c r="H15662" s="6" t="n">
        <f aca="false">Sens!H15661/(1+wacc)^(Sens!H15632-Sens!F15633)</f>
        <v>-87.6570009910427</v>
      </c>
      <c r="I15662" s="6" t="n">
        <f aca="false">Sens!I15661/(1+wacc)^(Sens!I15632-Sens!F15633)</f>
        <v>-34.1629172979204</v>
      </c>
      <c r="J15662" s="6" t="n">
        <f aca="false">Sens!J15661/(1+wacc)^(Sens!J15632-Sens!F15633)</f>
        <v>12.0079954170053</v>
      </c>
      <c r="K15662" s="6" t="n">
        <f aca="false">Sens!K15661/(1+wacc)^(Sens!K15632-Sens!F15633)</f>
        <v>25.6259421582556</v>
      </c>
      <c r="L15662" s="1" t="s">
        <v>1245</v>
      </c>
    </row>
    <row r="15663" customFormat="false" ht="17.15" hidden="false" customHeight="false" outlineLevel="0" collapsed="false">
      <c r="A15663" s="0" t="s">
        <v>1246</v>
      </c>
      <c r="B15663" s="0" t="s">
        <v>98</v>
      </c>
      <c r="C15663" s="6" t="n">
        <f aca="false">(Sens!K15655-Thesis!K147)*(1-tax_f)*(1+g_tv)*(1-g_tv/(wacc+0))/(wacc-g_tv)/(1+wacc)^(Sens!K15633-Sens!F15633)</f>
        <v>96.7148026864948</v>
      </c>
    </row>
    <row r="15664" customFormat="false" ht="17.15" hidden="false" customHeight="false" outlineLevel="0" collapsed="false">
      <c r="A15664" s="1" t="s">
        <v>1247</v>
      </c>
      <c r="B15664" s="0" t="s">
        <v>98</v>
      </c>
      <c r="C15664" s="6" t="n">
        <f aca="false">(SUM(Sens!G15662:K15662)+Sens!$C$15663)*(1+wacc)^(t_roll-Sens!F15633)</f>
        <v>-109.248827617462</v>
      </c>
      <c r="L15664" s="12" t="s">
        <v>1248</v>
      </c>
    </row>
    <row r="15665" customFormat="false" ht="17.15" hidden="false" customHeight="false" outlineLevel="0" collapsed="false">
      <c r="A15665" s="1" t="s">
        <v>1249</v>
      </c>
      <c r="B15665" s="0" t="s">
        <v>98</v>
      </c>
      <c r="C15665" s="6" t="n">
        <f aca="false">(w_ntm28*Thesis!G135+(1-w_ntm28)*Thesis!H135)*m_ai</f>
        <v>344.355829012336</v>
      </c>
    </row>
    <row r="15666" customFormat="false" ht="17.15" hidden="false" customHeight="false" outlineLevel="0" collapsed="false">
      <c r="A15666" s="1" t="s">
        <v>1250</v>
      </c>
      <c r="B15666" s="0" t="s">
        <v>98</v>
      </c>
      <c r="C15666" s="6" t="n">
        <f aca="false">(w_ntm28*Sens!G15657+(1-w_ntm28)*Sens!H15657)*m_cloud</f>
        <v>1093.03877543039</v>
      </c>
    </row>
    <row r="15667" customFormat="false" ht="17.15" hidden="false" customHeight="false" outlineLevel="0" collapsed="false">
      <c r="A15667" s="1" t="s">
        <v>1251</v>
      </c>
      <c r="B15667" s="0" t="s">
        <v>98</v>
      </c>
      <c r="C15667" s="6" t="n">
        <f aca="false">(w_ntm28*Sens!G15650+(1-w_ntm28)*Sens!H15650)*m_sw</f>
        <v>1045.17056616266</v>
      </c>
    </row>
    <row r="15668" customFormat="false" ht="17.15" hidden="false" customHeight="false" outlineLevel="0" collapsed="false">
      <c r="A15668" s="1" t="s">
        <v>1252</v>
      </c>
      <c r="B15668" s="0" t="s">
        <v>98</v>
      </c>
      <c r="C15668" s="6" t="n">
        <f aca="false">(w_ntm28*Sens!G15651+(1-w_ntm28)*Sens!H15651)*m_sw</f>
        <v>373.178444957791</v>
      </c>
    </row>
    <row r="15669" customFormat="false" ht="17.15" hidden="false" customHeight="false" outlineLevel="0" collapsed="false">
      <c r="A15669" s="1" t="s">
        <v>1253</v>
      </c>
      <c r="B15669" s="0" t="s">
        <v>98</v>
      </c>
      <c r="C15669" s="6" t="n">
        <f aca="false">(w_ntm28*Sens!G15652+(1-w_ntm28)*Sens!H15652)*m_sw</f>
        <v>109.30055788101</v>
      </c>
    </row>
    <row r="15670" customFormat="false" ht="17.15" hidden="false" customHeight="false" outlineLevel="0" collapsed="false">
      <c r="A15670" s="1" t="s">
        <v>1254</v>
      </c>
      <c r="B15670" s="0" t="s">
        <v>98</v>
      </c>
      <c r="C15670" s="6" t="n">
        <f aca="false">(w_ntm28*Sens!G15653+(1-w_ntm28)*Sens!H15653)*m_sw</f>
        <v>41.5531037214606</v>
      </c>
    </row>
    <row r="15671" customFormat="false" ht="17.15" hidden="false" customHeight="false" outlineLevel="0" collapsed="false">
      <c r="A15671" s="1" t="s">
        <v>1255</v>
      </c>
      <c r="B15671" s="0" t="s">
        <v>98</v>
      </c>
      <c r="C15671" s="6" t="n">
        <f aca="false">(w_ntm28*Sens!G15654+(1-w_ntm28)*Sens!H15654)*m_ads</f>
        <v>115.215899994784</v>
      </c>
    </row>
    <row r="15672" customFormat="false" ht="17.15" hidden="false" customHeight="false" outlineLevel="0" collapsed="false">
      <c r="A15672" s="1" t="s">
        <v>1256</v>
      </c>
      <c r="B15672" s="0" t="s">
        <v>98</v>
      </c>
      <c r="C15672" s="6" t="n">
        <f aca="false">(w_ntm28*Sens!G15659+(1-w_ntm28)*Sens!H15659)*m_game</f>
        <v>98.7853357615783</v>
      </c>
    </row>
    <row r="15673" customFormat="false" ht="17.15" hidden="false" customHeight="false" outlineLevel="0" collapsed="false">
      <c r="A15673" s="1" t="s">
        <v>1257</v>
      </c>
      <c r="B15673" s="0" t="s">
        <v>98</v>
      </c>
      <c r="C15673" s="6" t="n">
        <f aca="false">(w_ntm28*Sens!G15660+(1-w_ntm28)*Sens!H15660)*m_pc</f>
        <v>91.5836445602173</v>
      </c>
    </row>
    <row r="15674" customFormat="false" ht="17.15" hidden="false" customHeight="false" outlineLevel="0" collapsed="false">
      <c r="A15674" s="1" t="s">
        <v>1258</v>
      </c>
      <c r="B15674" s="0" t="s">
        <v>98</v>
      </c>
      <c r="C15674" s="6" t="n">
        <f aca="false">Sens!$C$15664+Sens!$C$15666+Sens!$C$15667+Sens!$C$15668+Sens!$C$15669+Sens!$C$15670+Sens!$C$15671+Sens!$C$15672+Sens!$C$15673</f>
        <v>2858.57750085243</v>
      </c>
    </row>
    <row r="15675" customFormat="false" ht="17.15" hidden="false" customHeight="false" outlineLevel="0" collapsed="false">
      <c r="A15675" s="1" t="s">
        <v>1259</v>
      </c>
      <c r="B15675" s="0" t="s">
        <v>98</v>
      </c>
      <c r="C15675" s="6" t="n">
        <f aca="false">(Sens!G15636-Sens!G15661)*t_stub</f>
        <v>47.4829168796038</v>
      </c>
      <c r="L15675" s="1" t="s">
        <v>1260</v>
      </c>
    </row>
    <row r="15676" customFormat="false" ht="17.15" hidden="false" customHeight="false" outlineLevel="0" collapsed="false">
      <c r="A15676" s="1" t="s">
        <v>1169</v>
      </c>
      <c r="B15676" s="0" t="s">
        <v>98</v>
      </c>
      <c r="C15676" s="6" t="n">
        <f aca="false">CF!F103+oai_v-CF!F92+Sens!$C$15675</f>
        <v>158.55427008544</v>
      </c>
      <c r="L15676" s="1" t="s">
        <v>1261</v>
      </c>
    </row>
    <row r="15677" customFormat="false" ht="17.15" hidden="false" customHeight="false" outlineLevel="0" collapsed="false">
      <c r="A15677" s="1" t="s">
        <v>1262</v>
      </c>
      <c r="B15677" s="0" t="s">
        <v>75</v>
      </c>
      <c r="C15677" s="5" t="n">
        <f aca="false">(Sens!$C$15674+Sens!$C$15676)/(CF!F105+dil_gap)-CF!G95*roll_div_q/q_per_yr</f>
        <v>401.459402206225</v>
      </c>
      <c r="L15677" s="1" t="s">
        <v>1263</v>
      </c>
    </row>
    <row r="15678" customFormat="false" ht="17.15" hidden="false" customHeight="false" outlineLevel="0" collapsed="false">
      <c r="A15678" s="1" t="s">
        <v>1264</v>
      </c>
      <c r="B15678" s="0" t="s">
        <v>75</v>
      </c>
      <c r="C15678" s="5" t="n">
        <f aca="false">w_dcf*Sens!$C$15648+(1-w_dcf)*Sens!$C$15677</f>
        <v>381.613975453209</v>
      </c>
    </row>
    <row r="15679" customFormat="false" ht="17.15" hidden="false" customHeight="false" outlineLevel="0" collapsed="false">
      <c r="A15679" s="3" t="s">
        <v>1866</v>
      </c>
    </row>
    <row r="15680" customFormat="false" ht="15" hidden="false" customHeight="false" outlineLevel="0" collapsed="false">
      <c r="A15680" s="4" t="s">
        <v>43</v>
      </c>
      <c r="B15680" s="4" t="s">
        <v>65</v>
      </c>
      <c r="C15680" s="23" t="s">
        <v>938</v>
      </c>
      <c r="D15680" s="23" t="s">
        <v>939</v>
      </c>
      <c r="E15680" s="23" t="s">
        <v>940</v>
      </c>
      <c r="F15680" s="23" t="s">
        <v>941</v>
      </c>
      <c r="G15680" s="23" t="s">
        <v>942</v>
      </c>
      <c r="H15680" s="23" t="s">
        <v>943</v>
      </c>
      <c r="I15680" s="23" t="s">
        <v>944</v>
      </c>
      <c r="J15680" s="23" t="s">
        <v>945</v>
      </c>
      <c r="K15680" s="23" t="s">
        <v>946</v>
      </c>
      <c r="L15680" s="4" t="s">
        <v>47</v>
      </c>
    </row>
    <row r="15681" customFormat="false" ht="17.15" hidden="false" customHeight="false" outlineLevel="0" collapsed="false">
      <c r="A15681" s="1" t="s">
        <v>1212</v>
      </c>
      <c r="B15681" s="1" t="s">
        <v>279</v>
      </c>
      <c r="F15681" s="8" t="n">
        <f aca="false">(1-v_off)*mid_yr</f>
        <v>0.373972602739726</v>
      </c>
      <c r="G15681" s="8" t="n">
        <f aca="false">Thesis!G6-base_fy-mid_yr-v_off</f>
        <v>1.24794520547945</v>
      </c>
      <c r="H15681" s="8" t="n">
        <f aca="false">Thesis!H6-base_fy-mid_yr-v_off</f>
        <v>2.24794520547945</v>
      </c>
      <c r="I15681" s="8" t="n">
        <f aca="false">Thesis!I6-base_fy-mid_yr-v_off</f>
        <v>3.24794520547945</v>
      </c>
      <c r="J15681" s="8" t="n">
        <f aca="false">Thesis!J6-base_fy-mid_yr-v_off</f>
        <v>4.24794520547945</v>
      </c>
      <c r="K15681" s="8" t="n">
        <f aca="false">Thesis!K6-base_fy-mid_yr-v_off</f>
        <v>5.24794520547945</v>
      </c>
      <c r="L15681" s="12" t="s">
        <v>1213</v>
      </c>
    </row>
    <row r="15682" customFormat="false" ht="15" hidden="false" customHeight="false" outlineLevel="0" collapsed="false">
      <c r="A15682" s="1" t="s">
        <v>1214</v>
      </c>
      <c r="B15682" s="1" t="s">
        <v>279</v>
      </c>
      <c r="F15682" s="8" t="n">
        <f aca="false">Thesis!F6-base_fy-v_off</f>
        <v>0.747945205479452</v>
      </c>
      <c r="G15682" s="8" t="n">
        <f aca="false">Thesis!G6-base_fy-v_off</f>
        <v>1.74794520547945</v>
      </c>
      <c r="H15682" s="8" t="n">
        <f aca="false">Thesis!H6-base_fy-v_off</f>
        <v>2.74794520547945</v>
      </c>
      <c r="I15682" s="8" t="n">
        <f aca="false">Thesis!I6-base_fy-v_off</f>
        <v>3.74794520547945</v>
      </c>
      <c r="J15682" s="8" t="n">
        <f aca="false">Thesis!J6-base_fy-v_off</f>
        <v>4.74794520547945</v>
      </c>
      <c r="K15682" s="8" t="n">
        <f aca="false">Thesis!K6-base_fy-v_off</f>
        <v>5.74794520547945</v>
      </c>
    </row>
    <row r="15683" customFormat="false" ht="15" hidden="false" customHeight="false" outlineLevel="0" collapsed="false">
      <c r="A15683" s="1" t="s">
        <v>1215</v>
      </c>
      <c r="B15683" s="0" t="s">
        <v>229</v>
      </c>
      <c r="F15683" s="15" t="n">
        <f aca="false">1/(1+wacc)^Sens!F15681</f>
        <v>0.964022703286649</v>
      </c>
      <c r="G15683" s="15" t="n">
        <f aca="false">1/(1+wacc)^Sens!G15681</f>
        <v>0.884910302296739</v>
      </c>
      <c r="H15683" s="15" t="n">
        <f aca="false">1/(1+wacc)^Sens!H15681</f>
        <v>0.802322009770358</v>
      </c>
      <c r="I15683" s="15" t="n">
        <f aca="false">1/(1+wacc)^Sens!I15681</f>
        <v>0.727441646561469</v>
      </c>
      <c r="J15683" s="15" t="n">
        <f aca="false">1/(1+wacc)^Sens!J15681</f>
        <v>0.659549834988973</v>
      </c>
      <c r="K15683" s="15" t="n">
        <f aca="false">1/(1+wacc)^Sens!K15681</f>
        <v>0.597994336576966</v>
      </c>
    </row>
    <row r="15684" customFormat="false" ht="17.15" hidden="false" customHeight="false" outlineLevel="0" collapsed="false">
      <c r="A15684" s="1" t="s">
        <v>1216</v>
      </c>
      <c r="B15684" s="0" t="s">
        <v>98</v>
      </c>
      <c r="F15684" s="6" t="n">
        <f aca="false">Q!$I$35-Q!$I$39-Q!$I$43</f>
        <v>9.666</v>
      </c>
      <c r="L15684" s="12" t="s">
        <v>1217</v>
      </c>
    </row>
    <row r="15685" customFormat="false" ht="17.15" hidden="false" customHeight="false" outlineLevel="0" collapsed="false">
      <c r="A15685" s="1" t="s">
        <v>1218</v>
      </c>
      <c r="B15685" s="0" t="s">
        <v>98</v>
      </c>
      <c r="F15685" s="6" t="n">
        <f aca="false">CF!F23-CF!F20-CF!F27+Thesis!F47*(1-tax_f)*(1-v_off)-Sens!F15684</f>
        <v>-1.12880264559539</v>
      </c>
      <c r="G15685" s="6" t="n">
        <f aca="false">CF!G23-CF!G20-CF!G27+Thesis!G47*(1-tax_f)</f>
        <v>38.7194421947551</v>
      </c>
      <c r="H15685" s="6" t="n">
        <f aca="false">CF!H23-CF!H20-CF!H27+Thesis!H47*(1-tax_f)</f>
        <v>98.6927474567662</v>
      </c>
      <c r="I15685" s="6" t="n">
        <f aca="false">CF!I23-CF!I20-CF!I27+Thesis!I47*(1-tax_f)</f>
        <v>181.625440536277</v>
      </c>
      <c r="J15685" s="6" t="n">
        <f aca="false">CF!J23-CF!J20-CF!J27+Thesis!J47*(1-tax_f)</f>
        <v>263.350402418584</v>
      </c>
      <c r="K15685" s="6" t="n">
        <f aca="false">CF!K23-CF!K20-CF!K27+Thesis!K47*(1-tax_f)</f>
        <v>303.659068389018</v>
      </c>
      <c r="L15685" s="1" t="s">
        <v>1219</v>
      </c>
    </row>
    <row r="15686" customFormat="false" ht="15" hidden="false" customHeight="false" outlineLevel="0" collapsed="false">
      <c r="A15686" s="1" t="s">
        <v>1220</v>
      </c>
      <c r="B15686" s="0" t="s">
        <v>98</v>
      </c>
      <c r="F15686" s="6" t="n">
        <f aca="false">Sens!F15685*Sens!F15683</f>
        <v>-1.08819137788399</v>
      </c>
      <c r="G15686" s="6" t="n">
        <f aca="false">Sens!G15685*Sens!G15683</f>
        <v>34.2632332973219</v>
      </c>
      <c r="H15686" s="6" t="n">
        <f aca="false">Sens!H15685*Sens!H15683</f>
        <v>79.183363489271</v>
      </c>
      <c r="I15686" s="6" t="n">
        <f aca="false">Sens!I15685*Sens!I15683</f>
        <v>132.121909521162</v>
      </c>
      <c r="J15686" s="6" t="n">
        <f aca="false">Sens!J15685*Sens!J15683</f>
        <v>173.692714459456</v>
      </c>
      <c r="K15686" s="6" t="n">
        <f aca="false">Sens!K15685*Sens!K15683</f>
        <v>181.58640314687</v>
      </c>
    </row>
    <row r="15687" customFormat="false" ht="17.15" hidden="false" customHeight="false" outlineLevel="0" collapsed="false">
      <c r="A15687" s="1" t="s">
        <v>1221</v>
      </c>
      <c r="B15687" s="0" t="s">
        <v>98</v>
      </c>
      <c r="C15687" s="6" t="n">
        <f aca="false">SUM(Sens!F15686:K15686)</f>
        <v>599.759432536197</v>
      </c>
    </row>
    <row r="15688" customFormat="false" ht="17.15" hidden="false" customHeight="false" outlineLevel="0" collapsed="false">
      <c r="A15688" s="1" t="s">
        <v>1222</v>
      </c>
      <c r="B15688" s="0" t="s">
        <v>98</v>
      </c>
      <c r="C15688" s="6" t="n">
        <f aca="false">PL!K39*(1+g_tv)*(1-tax_f)</f>
        <v>316.501318799308</v>
      </c>
    </row>
    <row r="15689" customFormat="false" ht="17.15" hidden="false" customHeight="false" outlineLevel="0" collapsed="false">
      <c r="A15689" s="1" t="s">
        <v>1223</v>
      </c>
      <c r="B15689" s="0" t="s">
        <v>98</v>
      </c>
      <c r="C15689" s="6" t="n">
        <f aca="false">Sens!$C$15688*(1-g_tv/(wacc+ronic_prem))</f>
        <v>224.25968269347</v>
      </c>
    </row>
    <row r="15690" customFormat="false" ht="17.15" hidden="false" customHeight="false" outlineLevel="0" collapsed="false">
      <c r="A15690" s="1" t="s">
        <v>1224</v>
      </c>
      <c r="B15690" s="0" t="s">
        <v>98</v>
      </c>
      <c r="C15690" s="6" t="n">
        <f aca="false">Sens!$C$15689/(wacc-g_tv)</f>
        <v>3074.72120352792</v>
      </c>
    </row>
    <row r="15691" customFormat="false" ht="15" hidden="false" customHeight="false" outlineLevel="0" collapsed="false">
      <c r="A15691" s="1" t="s">
        <v>1225</v>
      </c>
      <c r="B15691" s="0" t="s">
        <v>98</v>
      </c>
      <c r="C15691" s="6" t="n">
        <f aca="false">Sens!$C$15690/(1+wacc)^Sens!K15682</f>
        <v>1750.76373116397</v>
      </c>
    </row>
    <row r="15692" customFormat="false" ht="17.15" hidden="false" customHeight="false" outlineLevel="0" collapsed="false">
      <c r="A15692" s="0" t="s">
        <v>1226</v>
      </c>
      <c r="B15692" s="0" t="s">
        <v>98</v>
      </c>
      <c r="C15692" s="6" t="n">
        <f aca="false">Sens!$C$15687+Sens!$C$15691</f>
        <v>2350.52316370017</v>
      </c>
    </row>
    <row r="15693" customFormat="false" ht="15" hidden="false" customHeight="false" outlineLevel="0" collapsed="false">
      <c r="A15693" s="1" t="s">
        <v>1141</v>
      </c>
      <c r="B15693" s="0" t="s">
        <v>168</v>
      </c>
      <c r="C15693" s="7" t="n">
        <f aca="false">Sens!$C$15691/Sens!$C$15692</f>
        <v>0.744840024638574</v>
      </c>
    </row>
    <row r="15694" customFormat="false" ht="17.15" hidden="false" customHeight="false" outlineLevel="0" collapsed="false">
      <c r="A15694" s="1" t="s">
        <v>1227</v>
      </c>
      <c r="B15694" s="0" t="s">
        <v>98</v>
      </c>
      <c r="C15694" s="6" t="n">
        <f aca="false">Sens!$C$15692+cash_val-debt_val-fl_val+oai_v</f>
        <v>2466.37416370017</v>
      </c>
    </row>
    <row r="15695" customFormat="false" ht="17.15" hidden="false" customHeight="false" outlineLevel="0" collapsed="false">
      <c r="A15695" s="0" t="s">
        <v>1149</v>
      </c>
      <c r="B15695" s="0" t="s">
        <v>75</v>
      </c>
      <c r="C15695" s="5" t="n">
        <f aca="false">Sens!$C$15694/shd_val</f>
        <v>331.234778901447</v>
      </c>
    </row>
    <row r="15696" customFormat="false" ht="15" hidden="false" customHeight="false" outlineLevel="0" collapsed="false">
      <c r="A15696" s="1" t="s">
        <v>1228</v>
      </c>
      <c r="B15696" s="0" t="s">
        <v>75</v>
      </c>
      <c r="C15696" s="8" t="n">
        <f aca="false">div_rem27+CF!G31*roll_div_q/q_per_yr</f>
        <v>3.9795</v>
      </c>
    </row>
    <row r="15697" customFormat="false" ht="17.15" hidden="false" customHeight="false" outlineLevel="0" collapsed="false">
      <c r="A15697" s="0" t="s">
        <v>1229</v>
      </c>
      <c r="B15697" s="0" t="s">
        <v>75</v>
      </c>
      <c r="C15697" s="5" t="n">
        <f aca="false">Sens!$C$15695*(1+wacc)^t_roll-Sens!$C$15696</f>
        <v>364.206443208347</v>
      </c>
    </row>
    <row r="15698" customFormat="false" ht="17.15" hidden="false" customHeight="false" outlineLevel="0" collapsed="false">
      <c r="A15698" s="1" t="s">
        <v>1230</v>
      </c>
      <c r="B15698" s="0" t="s">
        <v>168</v>
      </c>
      <c r="F15698" s="7" t="n">
        <f aca="false">CF!F17/(Seg!F29-Thesis!F25)</f>
        <v>0.0685527305696859</v>
      </c>
      <c r="G15698" s="7" t="n">
        <f aca="false">CF!G17/(Seg!G29-Thesis!G25)</f>
        <v>0.0653567731599844</v>
      </c>
      <c r="H15698" s="7" t="n">
        <f aca="false">CF!H17/(Seg!H29-Thesis!H25)</f>
        <v>0.0636628841026972</v>
      </c>
      <c r="I15698" s="7" t="n">
        <f aca="false">CF!I17/(Seg!I29-Thesis!I25)</f>
        <v>0.0633581084335176</v>
      </c>
      <c r="J15698" s="7" t="n">
        <f aca="false">CF!J17/(Seg!J29-Thesis!J25)</f>
        <v>0.0640873955995062</v>
      </c>
      <c r="K15698" s="7" t="n">
        <f aca="false">CF!K17/(Seg!K29-Thesis!K25)</f>
        <v>0.0653962234835198</v>
      </c>
    </row>
    <row r="15699" customFormat="false" ht="17.15" hidden="false" customHeight="false" outlineLevel="0" collapsed="false">
      <c r="A15699" s="0" t="s">
        <v>1231</v>
      </c>
      <c r="B15699" s="0" t="s">
        <v>98</v>
      </c>
      <c r="F15699" s="6" t="n">
        <f aca="false">Seg!F14*(al_m365+Sens!F15698+sbc_r)</f>
        <v>84.5213906545575</v>
      </c>
      <c r="G15699" s="6" t="n">
        <f aca="false">Seg!G14*(al_m365+Sens!G15698+sbc_r)</f>
        <v>98.949983331796</v>
      </c>
      <c r="H15699" s="6" t="n">
        <f aca="false">Seg!H14*(al_m365+Sens!H15698+sbc_r)</f>
        <v>113.543734275326</v>
      </c>
      <c r="I15699" s="6" t="n">
        <f aca="false">Seg!I14*(al_m365+Sens!I15698+sbc_r)</f>
        <v>126.62058838692</v>
      </c>
      <c r="J15699" s="6" t="n">
        <f aca="false">Seg!J14*(al_m365+Sens!J15698+sbc_r)</f>
        <v>137.994660156303</v>
      </c>
      <c r="K15699" s="6" t="n">
        <f aca="false">Seg!K14*(al_m365+Sens!K15698+sbc_r)</f>
        <v>148.989224092997</v>
      </c>
      <c r="L15699" s="12" t="s">
        <v>1232</v>
      </c>
    </row>
    <row r="15700" customFormat="false" ht="17.15" hidden="false" customHeight="false" outlineLevel="0" collapsed="false">
      <c r="A15700" s="0" t="s">
        <v>1233</v>
      </c>
      <c r="B15700" s="0" t="s">
        <v>98</v>
      </c>
      <c r="F15700" s="6" t="n">
        <f aca="false">Seg!F15*(al_lic+Sens!F15698+sbc_r)</f>
        <v>32.855200196554</v>
      </c>
      <c r="G15700" s="6" t="n">
        <f aca="false">Seg!G15*(al_lic+Sens!G15698+sbc_r)</f>
        <v>34.1185582613282</v>
      </c>
      <c r="H15700" s="6" t="n">
        <f aca="false">Seg!H15*(al_lic+Sens!H15698+sbc_r)</f>
        <v>35.3024309363621</v>
      </c>
      <c r="I15700" s="6" t="n">
        <f aca="false">Seg!I15*(al_lic+Sens!I15698+sbc_r)</f>
        <v>36.3898468129533</v>
      </c>
      <c r="J15700" s="6" t="n">
        <f aca="false">Seg!J15*(al_lic+Sens!J15698+sbc_r)</f>
        <v>37.3529129529876</v>
      </c>
      <c r="K15700" s="6" t="n">
        <f aca="false">Seg!K15*(al_lic+Sens!K15698+sbc_r)</f>
        <v>38.158536171203</v>
      </c>
    </row>
    <row r="15701" customFormat="false" ht="17.15" hidden="false" customHeight="false" outlineLevel="0" collapsed="false">
      <c r="A15701" s="0" t="s">
        <v>1234</v>
      </c>
      <c r="B15701" s="0" t="s">
        <v>98</v>
      </c>
      <c r="F15701" s="6" t="n">
        <f aca="false">Seg!F17*(al_ind+Sens!F15698+sbc_r)</f>
        <v>9.05892547956683</v>
      </c>
      <c r="G15701" s="6" t="n">
        <f aca="false">Seg!G17*(al_ind+Sens!G15698+sbc_r)</f>
        <v>9.82456487622418</v>
      </c>
      <c r="H15701" s="6" t="n">
        <f aca="false">Seg!H17*(al_ind+Sens!H15698+sbc_r)</f>
        <v>10.6377408477959</v>
      </c>
      <c r="I15701" s="6" t="n">
        <f aca="false">Seg!I17*(al_ind+Sens!I15698+sbc_r)</f>
        <v>11.4966323260293</v>
      </c>
      <c r="J15701" s="6" t="n">
        <f aca="false">Seg!J17*(al_ind+Sens!J15698+sbc_r)</f>
        <v>12.3903660286279</v>
      </c>
      <c r="K15701" s="6" t="n">
        <f aca="false">Seg!K17*(al_ind+Sens!K15698+sbc_r)</f>
        <v>13.3009129057681</v>
      </c>
    </row>
    <row r="15702" customFormat="false" ht="17.15" hidden="false" customHeight="false" outlineLevel="0" collapsed="false">
      <c r="A15702" s="0" t="s">
        <v>1235</v>
      </c>
      <c r="B15702" s="0" t="s">
        <v>98</v>
      </c>
      <c r="F15702" s="6" t="n">
        <f aca="false">Seg!F19*(al_fro+Sens!F15698+sbc_r)</f>
        <v>3.55344443532423</v>
      </c>
      <c r="G15702" s="6" t="n">
        <f aca="false">Seg!G19*(al_fro+Sens!G15698+sbc_r)</f>
        <v>3.75916645971565</v>
      </c>
      <c r="H15702" s="6" t="n">
        <f aca="false">Seg!H19*(al_fro+Sens!H15698+sbc_r)</f>
        <v>3.994970960527</v>
      </c>
      <c r="I15702" s="6" t="n">
        <f aca="false">Seg!I19*(al_fro+Sens!I15698+sbc_r)</f>
        <v>4.26396270432353</v>
      </c>
      <c r="J15702" s="6" t="n">
        <f aca="false">Seg!J19*(al_fro+Sens!J15698+sbc_r)</f>
        <v>4.5667795874336</v>
      </c>
      <c r="K15702" s="6" t="n">
        <f aca="false">Seg!K19*(al_fro+Sens!K15698+sbc_r)</f>
        <v>4.90238443416026</v>
      </c>
    </row>
    <row r="15703" customFormat="false" ht="17.15" hidden="false" customHeight="false" outlineLevel="0" collapsed="false">
      <c r="A15703" s="0" t="s">
        <v>1236</v>
      </c>
      <c r="B15703" s="0" t="s">
        <v>98</v>
      </c>
      <c r="F15703" s="6" t="n">
        <f aca="false">Seg!F22*(al_srch+Sens!F15698+sbc_r)</f>
        <v>11.1872483445711</v>
      </c>
      <c r="G15703" s="6" t="n">
        <f aca="false">Seg!G22*(al_srch+Sens!G15698+sbc_r)</f>
        <v>12.247246048296</v>
      </c>
      <c r="H15703" s="6" t="n">
        <f aca="false">Seg!H22*(al_srch+Sens!H15698+sbc_r)</f>
        <v>13.3552870946193</v>
      </c>
      <c r="I15703" s="6" t="n">
        <f aca="false">Seg!I22*(al_srch+Sens!I15698+sbc_r)</f>
        <v>14.5024145321619</v>
      </c>
      <c r="J15703" s="6" t="n">
        <f aca="false">Seg!J22*(al_srch+Sens!J15698+sbc_r)</f>
        <v>15.667276660652</v>
      </c>
      <c r="K15703" s="6" t="n">
        <f aca="false">Seg!K22*(al_srch+Sens!K15698+sbc_r)</f>
        <v>16.8186381138719</v>
      </c>
    </row>
    <row r="15704" customFormat="false" ht="17.15" hidden="false" customHeight="false" outlineLevel="0" collapsed="false">
      <c r="A15704" s="0" t="s">
        <v>1237</v>
      </c>
      <c r="B15704" s="0" t="s">
        <v>98</v>
      </c>
      <c r="F15704" s="6" t="n">
        <f aca="false">Thesis!F31-Thesis!F32+Thesis!F47</f>
        <v>45.3782580567763</v>
      </c>
      <c r="G15704" s="6" t="n">
        <f aca="false">Thesis!G31-Thesis!G32+Thesis!G47</f>
        <v>91.0863367558165</v>
      </c>
      <c r="H15704" s="6" t="n">
        <f aca="false">Thesis!H31-Thesis!H32+Thesis!H47</f>
        <v>144.617532464853</v>
      </c>
      <c r="I15704" s="6" t="n">
        <f aca="false">Thesis!I31-Thesis!I32+Thesis!I47</f>
        <v>187.137304561304</v>
      </c>
      <c r="J15704" s="6" t="n">
        <f aca="false">Thesis!J31-Thesis!J32+Thesis!J47</f>
        <v>217.006854425907</v>
      </c>
      <c r="K15704" s="6" t="n">
        <f aca="false">Thesis!K31-Thesis!K32+Thesis!K47</f>
        <v>234.933637903877</v>
      </c>
    </row>
    <row r="15705" customFormat="false" ht="17.15" hidden="false" customHeight="false" outlineLevel="0" collapsed="false">
      <c r="A15705" s="0" t="s">
        <v>1238</v>
      </c>
      <c r="B15705" s="0" t="s">
        <v>98</v>
      </c>
      <c r="F15705" s="6" t="n">
        <f aca="false">PL!F32+Thesis!F47+Thesis!F43+Sens!F15698*(Seg!F21-Thesis!F25)+sbc_r*Seg!F21</f>
        <v>240.818167741339</v>
      </c>
      <c r="G15705" s="6" t="n">
        <f aca="false">PL!G32+Thesis!G47+Thesis!G43+Sens!G15698*(Seg!G21-Thesis!G25)+sbc_r*Seg!G21</f>
        <v>311.917784140952</v>
      </c>
      <c r="H15705" s="6" t="n">
        <f aca="false">PL!H32+Thesis!H47+Thesis!H43+Sens!H15698*(Seg!H21-Thesis!H25)+sbc_r*Seg!H21</f>
        <v>395.486245683473</v>
      </c>
      <c r="I15705" s="6" t="n">
        <f aca="false">PL!I32+Thesis!I47+Thesis!I43+Sens!I15698*(Seg!I21-Thesis!I25)+sbc_r*Seg!I21</f>
        <v>465.950805948377</v>
      </c>
      <c r="J15705" s="6" t="n">
        <f aca="false">PL!J32+Thesis!J47+Thesis!J43+Sens!J15698*(Seg!J21-Thesis!J25)+sbc_r*Seg!J21</f>
        <v>520.78677388057</v>
      </c>
      <c r="K15705" s="6" t="n">
        <f aca="false">PL!K32+Thesis!K47+Thesis!K43+Sens!K15698*(Seg!K21-Thesis!K25)+sbc_r*Seg!K21</f>
        <v>561.2469767412</v>
      </c>
    </row>
    <row r="15706" customFormat="false" ht="17.15" hidden="false" customHeight="false" outlineLevel="0" collapsed="false">
      <c r="A15706" s="0" t="s">
        <v>1239</v>
      </c>
      <c r="B15706" s="0" t="s">
        <v>98</v>
      </c>
      <c r="F15706" s="6" t="n">
        <f aca="false">Sens!F15705-Sens!F15699-Sens!F15700-Sens!F15701-Sens!F15702-Sens!F15704</f>
        <v>65.4509489185601</v>
      </c>
      <c r="G15706" s="6" t="n">
        <f aca="false">Sens!G15705-Sens!G15699-Sens!G15700-Sens!G15701-Sens!G15702-Sens!G15704</f>
        <v>74.1791744560715</v>
      </c>
      <c r="H15706" s="6" t="n">
        <f aca="false">Sens!H15705-Sens!H15699-Sens!H15700-Sens!H15701-Sens!H15702-Sens!H15704</f>
        <v>87.3898361986086</v>
      </c>
      <c r="I15706" s="6" t="n">
        <f aca="false">Sens!I15705-Sens!I15699-Sens!I15700-Sens!I15701-Sens!I15702-Sens!I15704</f>
        <v>100.042471156846</v>
      </c>
      <c r="J15706" s="6" t="n">
        <f aca="false">Sens!J15705-Sens!J15699-Sens!J15700-Sens!J15701-Sens!J15702-Sens!J15704</f>
        <v>111.475200729312</v>
      </c>
      <c r="K15706" s="6" t="n">
        <f aca="false">Sens!K15705-Sens!K15699-Sens!K15700-Sens!K15701-Sens!K15702-Sens!K15704</f>
        <v>120.962281233195</v>
      </c>
    </row>
    <row r="15707" customFormat="false" ht="17.15" hidden="false" customHeight="false" outlineLevel="0" collapsed="false">
      <c r="A15707" s="0" t="s">
        <v>1240</v>
      </c>
      <c r="B15707" s="0" t="s">
        <v>98</v>
      </c>
      <c r="F15707" s="6" t="n">
        <f aca="false">PL!F34+Sens!F15698*Seg!F28+sbc_r*Seg!F28</f>
        <v>26.6293388420472</v>
      </c>
      <c r="G15707" s="6" t="n">
        <f aca="false">PL!G34+Sens!G15698*Seg!G28+sbc_r*Seg!G28</f>
        <v>26.4405000412783</v>
      </c>
      <c r="H15707" s="6" t="n">
        <f aca="false">PL!H34+Sens!H15698*Seg!H28+sbc_r*Seg!H28</f>
        <v>27.296860059552</v>
      </c>
      <c r="I15707" s="6" t="n">
        <f aca="false">PL!I34+Sens!I15698*Seg!I28+sbc_r*Seg!I28</f>
        <v>28.3995465815703</v>
      </c>
      <c r="J15707" s="6" t="n">
        <f aca="false">PL!J34+Sens!J15698*Seg!J28+sbc_r*Seg!J28</f>
        <v>29.7093380975903</v>
      </c>
      <c r="K15707" s="6" t="n">
        <f aca="false">PL!K34+Sens!K15698*Seg!K28+sbc_r*Seg!K28</f>
        <v>31.1817775287323</v>
      </c>
    </row>
    <row r="15708" customFormat="false" ht="17.15" hidden="false" customHeight="false" outlineLevel="0" collapsed="false">
      <c r="A15708" s="0" t="s">
        <v>1241</v>
      </c>
      <c r="B15708" s="0" t="s">
        <v>98</v>
      </c>
      <c r="F15708" s="6" t="n">
        <f aca="false">(Sens!F15707-Sens!F15703)*Seg!F24/(Seg!F24+Seg!F26)</f>
        <v>8.72146908842971</v>
      </c>
      <c r="G15708" s="6" t="n">
        <f aca="false">(Sens!G15707-Sens!G15703)*Seg!G24/(Seg!G24+Seg!G26)</f>
        <v>7.87837655379173</v>
      </c>
      <c r="H15708" s="6" t="n">
        <f aca="false">(Sens!H15707-Sens!H15703)*Seg!H24/(Seg!H24+Seg!H26)</f>
        <v>7.63786170689933</v>
      </c>
      <c r="I15708" s="6" t="n">
        <f aca="false">(Sens!I15707-Sens!I15703)*Seg!I24/(Seg!I24+Seg!I26)</f>
        <v>7.5470606300581</v>
      </c>
      <c r="J15708" s="6" t="n">
        <f aca="false">(Sens!J15707-Sens!J15703)*Seg!J24/(Seg!J24+Seg!J26)</f>
        <v>7.59249600034024</v>
      </c>
      <c r="K15708" s="6" t="n">
        <f aca="false">(Sens!K15707-Sens!K15703)*Seg!K24/(Seg!K24+Seg!K26)</f>
        <v>7.76610179704742</v>
      </c>
    </row>
    <row r="15709" customFormat="false" ht="17.15" hidden="false" customHeight="false" outlineLevel="0" collapsed="false">
      <c r="A15709" s="0" t="s">
        <v>1242</v>
      </c>
      <c r="B15709" s="0" t="s">
        <v>98</v>
      </c>
      <c r="F15709" s="6" t="n">
        <f aca="false">Sens!F15707-Sens!F15703-Sens!F15708</f>
        <v>6.72062140904636</v>
      </c>
      <c r="G15709" s="6" t="n">
        <f aca="false">Sens!G15707-Sens!G15703-Sens!G15708</f>
        <v>6.31487743919059</v>
      </c>
      <c r="H15709" s="6" t="n">
        <f aca="false">Sens!H15707-Sens!H15703-Sens!H15708</f>
        <v>6.30371125803333</v>
      </c>
      <c r="I15709" s="6" t="n">
        <f aca="false">Sens!I15707-Sens!I15703-Sens!I15708</f>
        <v>6.35007141935025</v>
      </c>
      <c r="J15709" s="6" t="n">
        <f aca="false">Sens!J15707-Sens!J15703-Sens!J15708</f>
        <v>6.44956543659808</v>
      </c>
      <c r="K15709" s="6" t="n">
        <f aca="false">Sens!K15707-Sens!K15703-Sens!K15708</f>
        <v>6.597037617813</v>
      </c>
    </row>
    <row r="15710" customFormat="false" ht="17.15" hidden="false" customHeight="false" outlineLevel="0" collapsed="false">
      <c r="A15710" s="0" t="s">
        <v>1243</v>
      </c>
      <c r="B15710" s="0" t="s">
        <v>98</v>
      </c>
      <c r="F15710" s="6" t="n">
        <f aca="false">Sens!F15704-tax_f*(Sens!F15704-Thesis!F43)-Thesis!F40</f>
        <v>-125.235434701028</v>
      </c>
      <c r="G15710" s="6" t="n">
        <f aca="false">Sens!G15704-tax_f*(Sens!G15704-Thesis!G43)-Thesis!G40</f>
        <v>-106.928508113935</v>
      </c>
      <c r="H15710" s="6" t="n">
        <f aca="false">Sens!H15704-tax_f*(Sens!H15704-Thesis!H43)-Thesis!H40</f>
        <v>-63.2919599603405</v>
      </c>
      <c r="I15710" s="6" t="n">
        <f aca="false">Sens!I15704-tax_f*(Sens!I15704-Thesis!I43)-Thesis!I40</f>
        <v>3.94121196634245</v>
      </c>
      <c r="J15710" s="6" t="n">
        <f aca="false">Sens!J15704-tax_f*(Sens!J15704-Thesis!J43)-Thesis!J40</f>
        <v>71.0786869547042</v>
      </c>
      <c r="K15710" s="6" t="n">
        <f aca="false">Sens!K15704-tax_f*(Sens!K15704-Thesis!K43)-Thesis!K40</f>
        <v>97.5865911685559</v>
      </c>
    </row>
    <row r="15711" customFormat="false" ht="17.15" hidden="false" customHeight="false" outlineLevel="0" collapsed="false">
      <c r="A15711" s="0" t="s">
        <v>1244</v>
      </c>
      <c r="B15711" s="0" t="s">
        <v>98</v>
      </c>
      <c r="G15711" s="6" t="n">
        <f aca="false">Sens!G15710/(1+wacc)^(Sens!G15681-Sens!F15682)</f>
        <v>-101.81651667568</v>
      </c>
      <c r="H15711" s="6" t="n">
        <f aca="false">Sens!H15710/(1+wacc)^(Sens!H15681-Sens!F15682)</f>
        <v>-54.6415143556151</v>
      </c>
      <c r="I15711" s="6" t="n">
        <f aca="false">Sens!I15710/(1+wacc)^(Sens!I15681-Sens!F15682)</f>
        <v>3.08498765169516</v>
      </c>
      <c r="J15711" s="6" t="n">
        <f aca="false">Sens!J15710/(1+wacc)^(Sens!J15681-Sens!F15682)</f>
        <v>50.4443451596971</v>
      </c>
      <c r="K15711" s="6" t="n">
        <f aca="false">Sens!K15710/(1+wacc)^(Sens!K15681-Sens!F15682)</f>
        <v>62.7932114544856</v>
      </c>
      <c r="L15711" s="1" t="s">
        <v>1245</v>
      </c>
    </row>
    <row r="15712" customFormat="false" ht="17.15" hidden="false" customHeight="false" outlineLevel="0" collapsed="false">
      <c r="A15712" s="0" t="s">
        <v>1246</v>
      </c>
      <c r="B15712" s="0" t="s">
        <v>98</v>
      </c>
      <c r="C15712" s="6" t="n">
        <f aca="false">(Sens!K15704-Thesis!K43)*(1-tax_f)*(1+g_tv)*(1-g_tv/(wacc+ronic_prem))/(wacc-g_tv)/(1+wacc)^(Sens!K15682-Sens!F15682)</f>
        <v>450.836735002813</v>
      </c>
    </row>
    <row r="15713" customFormat="false" ht="17.15" hidden="false" customHeight="false" outlineLevel="0" collapsed="false">
      <c r="A15713" s="1" t="s">
        <v>1247</v>
      </c>
      <c r="B15713" s="0" t="s">
        <v>98</v>
      </c>
      <c r="C15713" s="6" t="n">
        <f aca="false">(SUM(Sens!G15711:K15711)+Sens!$C$15712)*(1+wacc)^(t_roll-Sens!F15682)</f>
        <v>424.259738494477</v>
      </c>
      <c r="L15713" s="12" t="s">
        <v>1248</v>
      </c>
    </row>
    <row r="15714" customFormat="false" ht="17.15" hidden="false" customHeight="false" outlineLevel="0" collapsed="false">
      <c r="A15714" s="1" t="s">
        <v>1249</v>
      </c>
      <c r="B15714" s="0" t="s">
        <v>98</v>
      </c>
      <c r="C15714" s="6" t="n">
        <f aca="false">(w_ntm28*Thesis!G31+(1-w_ntm28)*Thesis!H31)*m_ai</f>
        <v>563.316843258668</v>
      </c>
    </row>
    <row r="15715" customFormat="false" ht="17.15" hidden="false" customHeight="false" outlineLevel="0" collapsed="false">
      <c r="A15715" s="1" t="s">
        <v>1250</v>
      </c>
      <c r="B15715" s="0" t="s">
        <v>98</v>
      </c>
      <c r="C15715" s="6" t="n">
        <f aca="false">(w_ntm28*Sens!G15706+(1-w_ntm28)*Sens!H15706)*m_own</f>
        <v>1230.44609753669</v>
      </c>
    </row>
    <row r="15716" customFormat="false" ht="17.15" hidden="false" customHeight="false" outlineLevel="0" collapsed="false">
      <c r="A15716" s="1" t="s">
        <v>1251</v>
      </c>
      <c r="B15716" s="0" t="s">
        <v>98</v>
      </c>
      <c r="C15716" s="6" t="n">
        <f aca="false">(w_ntm28*Sens!G15699+(1-w_ntm28)*Sens!H15699)*m_own</f>
        <v>1625.73004503996</v>
      </c>
    </row>
    <row r="15717" customFormat="false" ht="17.15" hidden="false" customHeight="false" outlineLevel="0" collapsed="false">
      <c r="A15717" s="1" t="s">
        <v>1252</v>
      </c>
      <c r="B15717" s="0" t="s">
        <v>98</v>
      </c>
      <c r="C15717" s="6" t="n">
        <f aca="false">(w_ntm28*Sens!G15700+(1-w_ntm28)*Sens!H15700)*m_own</f>
        <v>540.736860497844</v>
      </c>
    </row>
    <row r="15718" customFormat="false" ht="17.15" hidden="false" customHeight="false" outlineLevel="0" collapsed="false">
      <c r="A15718" s="1" t="s">
        <v>1253</v>
      </c>
      <c r="B15718" s="0" t="s">
        <v>98</v>
      </c>
      <c r="C15718" s="6" t="n">
        <f aca="false">(w_ntm28*Sens!G15701+(1-w_ntm28)*Sens!H15701)*m_own</f>
        <v>158.14023598562</v>
      </c>
    </row>
    <row r="15719" customFormat="false" ht="17.15" hidden="false" customHeight="false" outlineLevel="0" collapsed="false">
      <c r="A15719" s="1" t="s">
        <v>1254</v>
      </c>
      <c r="B15719" s="0" t="s">
        <v>98</v>
      </c>
      <c r="C15719" s="6" t="n">
        <f aca="false">(w_ntm28*Sens!G15702+(1-w_ntm28)*Sens!H15702)*m_own</f>
        <v>60.120951528746</v>
      </c>
    </row>
    <row r="15720" customFormat="false" ht="17.15" hidden="false" customHeight="false" outlineLevel="0" collapsed="false">
      <c r="A15720" s="1" t="s">
        <v>1255</v>
      </c>
      <c r="B15720" s="0" t="s">
        <v>98</v>
      </c>
      <c r="C15720" s="6" t="n">
        <f aca="false">(w_ntm28*Sens!G15703+(1-w_ntm28)*Sens!H15703)*m_own</f>
        <v>197.622730189145</v>
      </c>
    </row>
    <row r="15721" customFormat="false" ht="17.15" hidden="false" customHeight="false" outlineLevel="0" collapsed="false">
      <c r="A15721" s="1" t="s">
        <v>1256</v>
      </c>
      <c r="B15721" s="0" t="s">
        <v>98</v>
      </c>
      <c r="C15721" s="6" t="n">
        <f aca="false">(w_ntm28*Sens!G15708+(1-w_ntm28)*Sens!H15708)*m_own</f>
        <v>122.21508082231</v>
      </c>
    </row>
    <row r="15722" customFormat="false" ht="17.15" hidden="false" customHeight="false" outlineLevel="0" collapsed="false">
      <c r="A15722" s="1" t="s">
        <v>1257</v>
      </c>
      <c r="B15722" s="0" t="s">
        <v>98</v>
      </c>
      <c r="C15722" s="6" t="n">
        <f aca="false">(w_ntm28*Sens!G15709+(1-w_ntm28)*Sens!H15709)*m_own</f>
        <v>98.8966037541765</v>
      </c>
    </row>
    <row r="15723" customFormat="false" ht="17.15" hidden="false" customHeight="false" outlineLevel="0" collapsed="false">
      <c r="A15723" s="1" t="s">
        <v>1258</v>
      </c>
      <c r="B15723" s="0" t="s">
        <v>98</v>
      </c>
      <c r="C15723" s="6" t="n">
        <f aca="false">Sens!$C$15713+Sens!$C$15715+Sens!$C$15716+Sens!$C$15717+Sens!$C$15718+Sens!$C$15719+Sens!$C$15720+Sens!$C$15721+Sens!$C$15722</f>
        <v>4458.16834384897</v>
      </c>
    </row>
    <row r="15724" customFormat="false" ht="17.15" hidden="false" customHeight="false" outlineLevel="0" collapsed="false">
      <c r="A15724" s="1" t="s">
        <v>1259</v>
      </c>
      <c r="B15724" s="0" t="s">
        <v>98</v>
      </c>
      <c r="C15724" s="6" t="n">
        <f aca="false">(Sens!G15685-Sens!G15710)*t_stub</f>
        <v>48.2832931160316</v>
      </c>
      <c r="L15724" s="1" t="s">
        <v>1260</v>
      </c>
    </row>
    <row r="15725" customFormat="false" ht="17.15" hidden="false" customHeight="false" outlineLevel="0" collapsed="false">
      <c r="A15725" s="1" t="s">
        <v>1169</v>
      </c>
      <c r="B15725" s="0" t="s">
        <v>98</v>
      </c>
      <c r="C15725" s="6" t="n">
        <f aca="false">CF!F39+oai_v-CF!F28+Sens!$C$15724</f>
        <v>162.511563116032</v>
      </c>
      <c r="L15725" s="1" t="s">
        <v>1261</v>
      </c>
    </row>
    <row r="15726" customFormat="false" ht="17.15" hidden="false" customHeight="false" outlineLevel="0" collapsed="false">
      <c r="A15726" s="1" t="s">
        <v>1262</v>
      </c>
      <c r="B15726" s="0" t="s">
        <v>75</v>
      </c>
      <c r="C15726" s="5" t="n">
        <f aca="false">(Sens!$C$15723+Sens!$C$15725)/(CF!F41+dil_gap)-CF!G31*roll_div_q/q_per_yr</f>
        <v>615.851848358469</v>
      </c>
      <c r="L15726" s="1" t="s">
        <v>1263</v>
      </c>
    </row>
    <row r="15727" customFormat="false" ht="17.15" hidden="false" customHeight="false" outlineLevel="0" collapsed="false">
      <c r="A15727" s="1" t="s">
        <v>1264</v>
      </c>
      <c r="B15727" s="0" t="s">
        <v>75</v>
      </c>
      <c r="C15727" s="5" t="n">
        <f aca="false">w_dcf*Sens!$C$15697+(1-w_dcf)*Sens!$C$15726</f>
        <v>490.029145783408</v>
      </c>
    </row>
    <row r="15728" customFormat="false" ht="17.15" hidden="false" customHeight="false" outlineLevel="0" collapsed="false">
      <c r="A15728" s="3" t="s">
        <v>1867</v>
      </c>
    </row>
    <row r="15729" customFormat="false" ht="15" hidden="false" customHeight="false" outlineLevel="0" collapsed="false">
      <c r="A15729" s="4" t="s">
        <v>43</v>
      </c>
      <c r="B15729" s="4" t="s">
        <v>65</v>
      </c>
      <c r="C15729" s="23" t="s">
        <v>938</v>
      </c>
      <c r="D15729" s="23" t="s">
        <v>939</v>
      </c>
      <c r="E15729" s="23" t="s">
        <v>940</v>
      </c>
      <c r="F15729" s="23" t="s">
        <v>941</v>
      </c>
      <c r="G15729" s="23" t="s">
        <v>942</v>
      </c>
      <c r="H15729" s="23" t="s">
        <v>943</v>
      </c>
      <c r="I15729" s="23" t="s">
        <v>944</v>
      </c>
      <c r="J15729" s="23" t="s">
        <v>945</v>
      </c>
      <c r="K15729" s="23" t="s">
        <v>946</v>
      </c>
      <c r="L15729" s="4" t="s">
        <v>47</v>
      </c>
    </row>
    <row r="15730" customFormat="false" ht="17.15" hidden="false" customHeight="false" outlineLevel="0" collapsed="false">
      <c r="A15730" s="1" t="s">
        <v>1212</v>
      </c>
      <c r="B15730" s="1" t="s">
        <v>279</v>
      </c>
      <c r="F15730" s="8" t="n">
        <f aca="false">(1-v_off)*mid_yr</f>
        <v>0.373972602739726</v>
      </c>
      <c r="G15730" s="8" t="n">
        <f aca="false">Thesis!G58-base_fy-mid_yr-v_off</f>
        <v>1.24794520547945</v>
      </c>
      <c r="H15730" s="8" t="n">
        <f aca="false">Thesis!H58-base_fy-mid_yr-v_off</f>
        <v>2.24794520547945</v>
      </c>
      <c r="I15730" s="8" t="n">
        <f aca="false">Thesis!I58-base_fy-mid_yr-v_off</f>
        <v>3.24794520547945</v>
      </c>
      <c r="J15730" s="8" t="n">
        <f aca="false">Thesis!J58-base_fy-mid_yr-v_off</f>
        <v>4.24794520547945</v>
      </c>
      <c r="K15730" s="8" t="n">
        <f aca="false">Thesis!K58-base_fy-mid_yr-v_off</f>
        <v>5.24794520547945</v>
      </c>
      <c r="L15730" s="12" t="s">
        <v>1213</v>
      </c>
    </row>
    <row r="15731" customFormat="false" ht="15" hidden="false" customHeight="false" outlineLevel="0" collapsed="false">
      <c r="A15731" s="1" t="s">
        <v>1214</v>
      </c>
      <c r="B15731" s="1" t="s">
        <v>279</v>
      </c>
      <c r="F15731" s="8" t="n">
        <f aca="false">Thesis!F58-base_fy-v_off</f>
        <v>0.747945205479452</v>
      </c>
      <c r="G15731" s="8" t="n">
        <f aca="false">Thesis!G58-base_fy-v_off</f>
        <v>1.74794520547945</v>
      </c>
      <c r="H15731" s="8" t="n">
        <f aca="false">Thesis!H58-base_fy-v_off</f>
        <v>2.74794520547945</v>
      </c>
      <c r="I15731" s="8" t="n">
        <f aca="false">Thesis!I58-base_fy-v_off</f>
        <v>3.74794520547945</v>
      </c>
      <c r="J15731" s="8" t="n">
        <f aca="false">Thesis!J58-base_fy-v_off</f>
        <v>4.74794520547945</v>
      </c>
      <c r="K15731" s="8" t="n">
        <f aca="false">Thesis!K58-base_fy-v_off</f>
        <v>5.74794520547945</v>
      </c>
    </row>
    <row r="15732" customFormat="false" ht="15" hidden="false" customHeight="false" outlineLevel="0" collapsed="false">
      <c r="A15732" s="1" t="s">
        <v>1215</v>
      </c>
      <c r="B15732" s="0" t="s">
        <v>229</v>
      </c>
      <c r="F15732" s="15" t="n">
        <f aca="false">1/(1+wacc)^Sens!F15730</f>
        <v>0.964022703286649</v>
      </c>
      <c r="G15732" s="15" t="n">
        <f aca="false">1/(1+wacc)^Sens!G15730</f>
        <v>0.884910302296739</v>
      </c>
      <c r="H15732" s="15" t="n">
        <f aca="false">1/(1+wacc)^Sens!H15730</f>
        <v>0.802322009770358</v>
      </c>
      <c r="I15732" s="15" t="n">
        <f aca="false">1/(1+wacc)^Sens!I15730</f>
        <v>0.727441646561469</v>
      </c>
      <c r="J15732" s="15" t="n">
        <f aca="false">1/(1+wacc)^Sens!J15730</f>
        <v>0.659549834988973</v>
      </c>
      <c r="K15732" s="15" t="n">
        <f aca="false">1/(1+wacc)^Sens!K15730</f>
        <v>0.597994336576966</v>
      </c>
    </row>
    <row r="15733" customFormat="false" ht="17.15" hidden="false" customHeight="false" outlineLevel="0" collapsed="false">
      <c r="A15733" s="1" t="s">
        <v>1216</v>
      </c>
      <c r="B15733" s="0" t="s">
        <v>98</v>
      </c>
      <c r="F15733" s="6" t="n">
        <f aca="false">Q!$I$35-Q!$I$39-Q!$I$43</f>
        <v>9.666</v>
      </c>
      <c r="L15733" s="12" t="s">
        <v>1217</v>
      </c>
    </row>
    <row r="15734" customFormat="false" ht="17.15" hidden="false" customHeight="false" outlineLevel="0" collapsed="false">
      <c r="A15734" s="1" t="s">
        <v>1218</v>
      </c>
      <c r="B15734" s="0" t="s">
        <v>98</v>
      </c>
      <c r="F15734" s="6" t="n">
        <f aca="false">CF!F55-CF!F52-CF!F59+Thesis!F99*(1-tax_f)*(1-v_off)-Sens!F15733</f>
        <v>-3.35959137570949</v>
      </c>
      <c r="G15734" s="6" t="n">
        <f aca="false">CF!G55-CF!G52-CF!G59+Thesis!G99*(1-tax_f)</f>
        <v>29.8084555066036</v>
      </c>
      <c r="H15734" s="6" t="n">
        <f aca="false">CF!H55-CF!H52-CF!H59+Thesis!H99*(1-tax_f)</f>
        <v>79.3231801478051</v>
      </c>
      <c r="I15734" s="6" t="n">
        <f aca="false">CF!I55-CF!I52-CF!I59+Thesis!I99*(1-tax_f)</f>
        <v>157.29132812061</v>
      </c>
      <c r="J15734" s="6" t="n">
        <f aca="false">CF!J55-CF!J52-CF!J59+Thesis!J99*(1-tax_f)</f>
        <v>235.537601843622</v>
      </c>
      <c r="K15734" s="6" t="n">
        <f aca="false">CF!K55-CF!K52-CF!K59+Thesis!K99*(1-tax_f)</f>
        <v>273.705067207806</v>
      </c>
      <c r="L15734" s="1" t="s">
        <v>1219</v>
      </c>
    </row>
    <row r="15735" customFormat="false" ht="15" hidden="false" customHeight="false" outlineLevel="0" collapsed="false">
      <c r="A15735" s="1" t="s">
        <v>1220</v>
      </c>
      <c r="B15735" s="0" t="s">
        <v>98</v>
      </c>
      <c r="F15735" s="6" t="n">
        <f aca="false">Sens!F15734*Sens!F15732</f>
        <v>-3.23872235994998</v>
      </c>
      <c r="G15735" s="6" t="n">
        <f aca="false">Sens!G15734*Sens!G15732</f>
        <v>26.3778093733475</v>
      </c>
      <c r="H15735" s="6" t="n">
        <f aca="false">Sens!H15734*Sens!H15732</f>
        <v>63.6427333175632</v>
      </c>
      <c r="I15735" s="6" t="n">
        <f aca="false">Sens!I15734*Sens!I15732</f>
        <v>114.420262717897</v>
      </c>
      <c r="J15735" s="6" t="n">
        <f aca="false">Sens!J15734*Sens!J15732</f>
        <v>155.348786429659</v>
      </c>
      <c r="K15735" s="6" t="n">
        <f aca="false">Sens!K15734*Sens!K15732</f>
        <v>163.674080082686</v>
      </c>
    </row>
    <row r="15736" customFormat="false" ht="17.15" hidden="false" customHeight="false" outlineLevel="0" collapsed="false">
      <c r="A15736" s="1" t="s">
        <v>1221</v>
      </c>
      <c r="B15736" s="0" t="s">
        <v>98</v>
      </c>
      <c r="C15736" s="6" t="n">
        <f aca="false">SUM(Sens!F15735:K15735)</f>
        <v>520.224949561203</v>
      </c>
    </row>
    <row r="15737" customFormat="false" ht="17.15" hidden="false" customHeight="false" outlineLevel="0" collapsed="false">
      <c r="A15737" s="1" t="s">
        <v>1222</v>
      </c>
      <c r="B15737" s="0" t="s">
        <v>98</v>
      </c>
      <c r="C15737" s="6" t="n">
        <f aca="false">PL!K78*(1+g_tv)*(1-tax_f)</f>
        <v>284.979534119394</v>
      </c>
    </row>
    <row r="15738" customFormat="false" ht="17.15" hidden="false" customHeight="false" outlineLevel="0" collapsed="false">
      <c r="A15738" s="1" t="s">
        <v>1223</v>
      </c>
      <c r="B15738" s="0" t="s">
        <v>98</v>
      </c>
      <c r="C15738" s="6" t="n">
        <f aca="false">Sens!$C$15737*(1-g_tv/(wacc+ronic_prem))</f>
        <v>201.924655916751</v>
      </c>
    </row>
    <row r="15739" customFormat="false" ht="17.15" hidden="false" customHeight="false" outlineLevel="0" collapsed="false">
      <c r="A15739" s="1" t="s">
        <v>1224</v>
      </c>
      <c r="B15739" s="0" t="s">
        <v>98</v>
      </c>
      <c r="C15739" s="6" t="n">
        <f aca="false">Sens!$C$15738/(wacc-g_tv)</f>
        <v>2768.49594008808</v>
      </c>
    </row>
    <row r="15740" customFormat="false" ht="15" hidden="false" customHeight="false" outlineLevel="0" collapsed="false">
      <c r="A15740" s="1" t="s">
        <v>1225</v>
      </c>
      <c r="B15740" s="0" t="s">
        <v>98</v>
      </c>
      <c r="C15740" s="6" t="n">
        <f aca="false">Sens!$C$15739/(1+wacc)^Sens!K15731</f>
        <v>1576.39732546142</v>
      </c>
    </row>
    <row r="15741" customFormat="false" ht="17.15" hidden="false" customHeight="false" outlineLevel="0" collapsed="false">
      <c r="A15741" s="0" t="s">
        <v>1226</v>
      </c>
      <c r="B15741" s="0" t="s">
        <v>98</v>
      </c>
      <c r="C15741" s="6" t="n">
        <f aca="false">Sens!$C$15736+Sens!$C$15740</f>
        <v>2096.62227502262</v>
      </c>
    </row>
    <row r="15742" customFormat="false" ht="15" hidden="false" customHeight="false" outlineLevel="0" collapsed="false">
      <c r="A15742" s="1" t="s">
        <v>1141</v>
      </c>
      <c r="B15742" s="0" t="s">
        <v>168</v>
      </c>
      <c r="C15742" s="7" t="n">
        <f aca="false">Sens!$C$15740/Sens!$C$15741</f>
        <v>0.751874738831729</v>
      </c>
    </row>
    <row r="15743" customFormat="false" ht="17.15" hidden="false" customHeight="false" outlineLevel="0" collapsed="false">
      <c r="A15743" s="1" t="s">
        <v>1227</v>
      </c>
      <c r="B15743" s="0" t="s">
        <v>98</v>
      </c>
      <c r="C15743" s="6" t="n">
        <f aca="false">Sens!$C$15741+cash_val-debt_val-fl_val+oai_v</f>
        <v>2212.47327502262</v>
      </c>
    </row>
    <row r="15744" customFormat="false" ht="17.15" hidden="false" customHeight="false" outlineLevel="0" collapsed="false">
      <c r="A15744" s="0" t="s">
        <v>1149</v>
      </c>
      <c r="B15744" s="0" t="s">
        <v>75</v>
      </c>
      <c r="C15744" s="5" t="n">
        <f aca="false">Sens!$C$15743/shd_val</f>
        <v>297.13581453433</v>
      </c>
    </row>
    <row r="15745" customFormat="false" ht="15" hidden="false" customHeight="false" outlineLevel="0" collapsed="false">
      <c r="A15745" s="1" t="s">
        <v>1228</v>
      </c>
      <c r="B15745" s="0" t="s">
        <v>75</v>
      </c>
      <c r="C15745" s="8" t="n">
        <f aca="false">div_rem27+CF!G63*roll_div_q/q_per_yr</f>
        <v>3.9795</v>
      </c>
    </row>
    <row r="15746" customFormat="false" ht="17.15" hidden="false" customHeight="false" outlineLevel="0" collapsed="false">
      <c r="A15746" s="0" t="s">
        <v>1229</v>
      </c>
      <c r="B15746" s="0" t="s">
        <v>75</v>
      </c>
      <c r="C15746" s="5" t="n">
        <f aca="false">Sens!$C$15744*(1+wacc)^t_roll-Sens!$C$15745</f>
        <v>326.303541225732</v>
      </c>
    </row>
    <row r="15747" customFormat="false" ht="17.15" hidden="false" customHeight="false" outlineLevel="0" collapsed="false">
      <c r="A15747" s="1" t="s">
        <v>1230</v>
      </c>
      <c r="B15747" s="0" t="s">
        <v>168</v>
      </c>
      <c r="F15747" s="7" t="n">
        <f aca="false">CF!F49/(Seg!F56-Thesis!F77)</f>
        <v>0.0686195668908011</v>
      </c>
      <c r="G15747" s="7" t="n">
        <f aca="false">CF!G49/(Seg!G56-Thesis!G77)</f>
        <v>0.0658333569148391</v>
      </c>
      <c r="H15747" s="7" t="n">
        <f aca="false">CF!H49/(Seg!H56-Thesis!H77)</f>
        <v>0.0643895625218926</v>
      </c>
      <c r="I15747" s="7" t="n">
        <f aca="false">CF!I49/(Seg!I56-Thesis!I77)</f>
        <v>0.0641676618157989</v>
      </c>
      <c r="J15747" s="7" t="n">
        <f aca="false">CF!J49/(Seg!J56-Thesis!J77)</f>
        <v>0.0648858606572163</v>
      </c>
      <c r="K15747" s="7" t="n">
        <f aca="false">CF!K49/(Seg!K56-Thesis!K77)</f>
        <v>0.0661974425163768</v>
      </c>
    </row>
    <row r="15748" customFormat="false" ht="17.15" hidden="false" customHeight="false" outlineLevel="0" collapsed="false">
      <c r="A15748" s="0" t="s">
        <v>1231</v>
      </c>
      <c r="B15748" s="0" t="s">
        <v>98</v>
      </c>
      <c r="F15748" s="6" t="n">
        <f aca="false">Seg!F41*(al_m365+Sens!F15747+sbc_r)</f>
        <v>83.7205619248671</v>
      </c>
      <c r="G15748" s="6" t="n">
        <f aca="false">Seg!G41*(al_m365+Sens!G15747+sbc_r)</f>
        <v>96.1301303332381</v>
      </c>
      <c r="H15748" s="6" t="n">
        <f aca="false">Seg!H41*(al_m365+Sens!H15747+sbc_r)</f>
        <v>108.70354073822</v>
      </c>
      <c r="I15748" s="6" t="n">
        <f aca="false">Seg!I41*(al_m365+Sens!I15747+sbc_r)</f>
        <v>120.260101315626</v>
      </c>
      <c r="J15748" s="6" t="n">
        <f aca="false">Seg!J41*(al_m365+Sens!J15747+sbc_r)</f>
        <v>130.611904548619</v>
      </c>
      <c r="K15748" s="6" t="n">
        <f aca="false">Seg!K41*(al_m365+Sens!K15747+sbc_r)</f>
        <v>140.575094974638</v>
      </c>
      <c r="L15748" s="12" t="s">
        <v>1232</v>
      </c>
    </row>
    <row r="15749" customFormat="false" ht="17.15" hidden="false" customHeight="false" outlineLevel="0" collapsed="false">
      <c r="A15749" s="0" t="s">
        <v>1233</v>
      </c>
      <c r="B15749" s="0" t="s">
        <v>98</v>
      </c>
      <c r="F15749" s="6" t="n">
        <f aca="false">Seg!F42*(al_lic+Sens!F15747+sbc_r)</f>
        <v>32.8577657183496</v>
      </c>
      <c r="G15749" s="6" t="n">
        <f aca="false">Seg!G42*(al_lic+Sens!G15747+sbc_r)</f>
        <v>34.1376266324889</v>
      </c>
      <c r="H15749" s="6" t="n">
        <f aca="false">Seg!H42*(al_lic+Sens!H15747+sbc_r)</f>
        <v>35.3325744664128</v>
      </c>
      <c r="I15749" s="6" t="n">
        <f aca="false">Seg!I42*(al_lic+Sens!I15747+sbc_r)</f>
        <v>36.4244749008727</v>
      </c>
      <c r="J15749" s="6" t="n">
        <f aca="false">Seg!J42*(al_lic+Sens!J15747+sbc_r)</f>
        <v>37.3879406068527</v>
      </c>
      <c r="K15749" s="6" t="n">
        <f aca="false">Seg!K42*(al_lic+Sens!K15747+sbc_r)</f>
        <v>38.1943876078259</v>
      </c>
    </row>
    <row r="15750" customFormat="false" ht="17.15" hidden="false" customHeight="false" outlineLevel="0" collapsed="false">
      <c r="A15750" s="0" t="s">
        <v>1234</v>
      </c>
      <c r="B15750" s="0" t="s">
        <v>98</v>
      </c>
      <c r="F15750" s="6" t="n">
        <f aca="false">Seg!F44*(al_ind+Sens!F15747+sbc_r)</f>
        <v>9.06041701092022</v>
      </c>
      <c r="G15750" s="6" t="n">
        <f aca="false">Seg!G44*(al_ind+Sens!G15747+sbc_r)</f>
        <v>9.83619082712885</v>
      </c>
      <c r="H15750" s="6" t="n">
        <f aca="false">Seg!H44*(al_ind+Sens!H15747+sbc_r)</f>
        <v>10.6570160105312</v>
      </c>
      <c r="I15750" s="6" t="n">
        <f aca="false">Seg!I44*(al_ind+Sens!I15747+sbc_r)</f>
        <v>11.5198571637125</v>
      </c>
      <c r="J15750" s="6" t="n">
        <f aca="false">Seg!J44*(al_ind+Sens!J15747+sbc_r)</f>
        <v>12.4150086539206</v>
      </c>
      <c r="K15750" s="6" t="n">
        <f aca="false">Seg!K44*(al_ind+Sens!K15747+sbc_r)</f>
        <v>13.3273714589988</v>
      </c>
    </row>
    <row r="15751" customFormat="false" ht="17.15" hidden="false" customHeight="false" outlineLevel="0" collapsed="false">
      <c r="A15751" s="0" t="s">
        <v>1235</v>
      </c>
      <c r="B15751" s="0" t="s">
        <v>98</v>
      </c>
      <c r="F15751" s="6" t="n">
        <f aca="false">Seg!F46*(al_fro+Sens!F15747+sbc_r)</f>
        <v>3.55402950182022</v>
      </c>
      <c r="G15751" s="6" t="n">
        <f aca="false">Seg!G46*(al_fro+Sens!G15747+sbc_r)</f>
        <v>3.76361488926481</v>
      </c>
      <c r="H15751" s="6" t="n">
        <f aca="false">Seg!H46*(al_fro+Sens!H15747+sbc_r)</f>
        <v>4.00220968879544</v>
      </c>
      <c r="I15751" s="6" t="n">
        <f aca="false">Seg!I46*(al_fro+Sens!I15747+sbc_r)</f>
        <v>4.2725765173852</v>
      </c>
      <c r="J15751" s="6" t="n">
        <f aca="false">Seg!J46*(al_fro+Sens!J15747+sbc_r)</f>
        <v>4.57586224390293</v>
      </c>
      <c r="K15751" s="6" t="n">
        <f aca="false">Seg!K46*(al_fro+Sens!K15747+sbc_r)</f>
        <v>4.91213639633217</v>
      </c>
    </row>
    <row r="15752" customFormat="false" ht="17.15" hidden="false" customHeight="false" outlineLevel="0" collapsed="false">
      <c r="A15752" s="0" t="s">
        <v>1236</v>
      </c>
      <c r="B15752" s="0" t="s">
        <v>98</v>
      </c>
      <c r="F15752" s="6" t="n">
        <f aca="false">Seg!F49*(al_srch+Sens!F15747+sbc_r)</f>
        <v>11.1890902994147</v>
      </c>
      <c r="G15752" s="6" t="n">
        <f aca="false">Seg!G49*(al_srch+Sens!G15747+sbc_r)</f>
        <v>12.261738891803</v>
      </c>
      <c r="H15752" s="6" t="n">
        <f aca="false">Seg!H49*(al_srch+Sens!H15747+sbc_r)</f>
        <v>13.3794863429193</v>
      </c>
      <c r="I15752" s="6" t="n">
        <f aca="false">Seg!I49*(al_srch+Sens!I15747+sbc_r)</f>
        <v>14.5317114787784</v>
      </c>
      <c r="J15752" s="6" t="n">
        <f aca="false">Seg!J49*(al_srch+Sens!J15747+sbc_r)</f>
        <v>15.6984365817724</v>
      </c>
      <c r="K15752" s="6" t="n">
        <f aca="false">Seg!K49*(al_srch+Sens!K15747+sbc_r)</f>
        <v>16.8520942258664</v>
      </c>
    </row>
    <row r="15753" customFormat="false" ht="17.15" hidden="false" customHeight="false" outlineLevel="0" collapsed="false">
      <c r="A15753" s="0" t="s">
        <v>1237</v>
      </c>
      <c r="B15753" s="0" t="s">
        <v>98</v>
      </c>
      <c r="F15753" s="6" t="n">
        <f aca="false">Thesis!F83-Thesis!F84+Thesis!F99</f>
        <v>42.5431090240393</v>
      </c>
      <c r="G15753" s="6" t="n">
        <f aca="false">Thesis!G83-Thesis!G84+Thesis!G99</f>
        <v>81.4922561130847</v>
      </c>
      <c r="H15753" s="6" t="n">
        <f aca="false">Thesis!H83-Thesis!H84+Thesis!H99</f>
        <v>123.278266211349</v>
      </c>
      <c r="I15753" s="6" t="n">
        <f aca="false">Thesis!I83-Thesis!I84+Thesis!I99</f>
        <v>160.60594185192</v>
      </c>
      <c r="J15753" s="6" t="n">
        <f aca="false">Thesis!J83-Thesis!J84+Thesis!J99</f>
        <v>186.818741832633</v>
      </c>
      <c r="K15753" s="6" t="n">
        <f aca="false">Thesis!K83-Thesis!K84+Thesis!K99</f>
        <v>202.776422159652</v>
      </c>
    </row>
    <row r="15754" customFormat="false" ht="17.15" hidden="false" customHeight="false" outlineLevel="0" collapsed="false">
      <c r="A15754" s="0" t="s">
        <v>1238</v>
      </c>
      <c r="B15754" s="0" t="s">
        <v>98</v>
      </c>
      <c r="F15754" s="6" t="n">
        <f aca="false">PL!F71+Thesis!F99+Thesis!F95+Sens!F15747*(Seg!F48-Thesis!F77)+sbc_r*Seg!F48</f>
        <v>238.090727427296</v>
      </c>
      <c r="G15754" s="6" t="n">
        <f aca="false">PL!G71+Thesis!G99+Thesis!G95+Sens!G15747*(Seg!G48-Thesis!G77)+sbc_r*Seg!G48</f>
        <v>299.90836088563</v>
      </c>
      <c r="H15754" s="6" t="n">
        <f aca="false">PL!H71+Thesis!H99+Thesis!H95+Sens!H15747*(Seg!H48-Thesis!H77)+sbc_r*Seg!H48</f>
        <v>369.457709442386</v>
      </c>
      <c r="I15754" s="6" t="n">
        <f aca="false">PL!I71+Thesis!I99+Thesis!I95+Sens!I15747*(Seg!I48-Thesis!I77)+sbc_r*Seg!I48</f>
        <v>433.16585128823</v>
      </c>
      <c r="J15754" s="6" t="n">
        <f aca="false">PL!J71+Thesis!J99+Thesis!J95+Sens!J15747*(Seg!J48-Thesis!J77)+sbc_r*Seg!J48</f>
        <v>483.301303131191</v>
      </c>
      <c r="K15754" s="6" t="n">
        <f aca="false">PL!K71+Thesis!K99+Thesis!K95+Sens!K15747*(Seg!K48-Thesis!K77)+sbc_r*Seg!K48</f>
        <v>520.789002205336</v>
      </c>
    </row>
    <row r="15755" customFormat="false" ht="17.15" hidden="false" customHeight="false" outlineLevel="0" collapsed="false">
      <c r="A15755" s="0" t="s">
        <v>1239</v>
      </c>
      <c r="B15755" s="0" t="s">
        <v>98</v>
      </c>
      <c r="F15755" s="6" t="n">
        <f aca="false">Sens!F15754-Sens!F15748-Sens!F15749-Sens!F15750-Sens!F15751-Sens!F15753</f>
        <v>66.3548442472996</v>
      </c>
      <c r="G15755" s="6" t="n">
        <f aca="false">Sens!G15754-Sens!G15748-Sens!G15749-Sens!G15750-Sens!G15751-Sens!G15753</f>
        <v>74.548542090425</v>
      </c>
      <c r="H15755" s="6" t="n">
        <f aca="false">Sens!H15754-Sens!H15748-Sens!H15749-Sens!H15750-Sens!H15751-Sens!H15753</f>
        <v>87.4841023270775</v>
      </c>
      <c r="I15755" s="6" t="n">
        <f aca="false">Sens!I15754-Sens!I15748-Sens!I15749-Sens!I15750-Sens!I15751-Sens!I15753</f>
        <v>100.082899538713</v>
      </c>
      <c r="J15755" s="6" t="n">
        <f aca="false">Sens!J15754-Sens!J15748-Sens!J15749-Sens!J15750-Sens!J15751-Sens!J15753</f>
        <v>111.491845245262</v>
      </c>
      <c r="K15755" s="6" t="n">
        <f aca="false">Sens!K15754-Sens!K15748-Sens!K15749-Sens!K15750-Sens!K15751-Sens!K15753</f>
        <v>121.003589607889</v>
      </c>
    </row>
    <row r="15756" customFormat="false" ht="17.15" hidden="false" customHeight="false" outlineLevel="0" collapsed="false">
      <c r="A15756" s="0" t="s">
        <v>1240</v>
      </c>
      <c r="B15756" s="0" t="s">
        <v>98</v>
      </c>
      <c r="F15756" s="6" t="n">
        <f aca="false">PL!F73+Sens!F15747*Seg!F55+sbc_r*Seg!F55</f>
        <v>26.6336365855879</v>
      </c>
      <c r="G15756" s="6" t="n">
        <f aca="false">PL!G73+Sens!G15747*Seg!G55+sbc_r*Seg!G55</f>
        <v>26.4720859498625</v>
      </c>
      <c r="H15756" s="6" t="n">
        <f aca="false">PL!H73+Sens!H15747*Seg!H55+sbc_r*Seg!H55</f>
        <v>27.346793021284</v>
      </c>
      <c r="I15756" s="6" t="n">
        <f aca="false">PL!I73+Sens!I15747*Seg!I55+sbc_r*Seg!I55</f>
        <v>28.4574657863154</v>
      </c>
      <c r="J15756" s="6" t="n">
        <f aca="false">PL!J73+Sens!J15747*Seg!J55+sbc_r*Seg!J55</f>
        <v>29.7689890546037</v>
      </c>
      <c r="K15756" s="6" t="n">
        <f aca="false">PL!K73+Sens!K15747*Seg!K55+sbc_r*Seg!K55</f>
        <v>31.2443947307494</v>
      </c>
    </row>
    <row r="15757" customFormat="false" ht="17.15" hidden="false" customHeight="false" outlineLevel="0" collapsed="false">
      <c r="A15757" s="0" t="s">
        <v>1241</v>
      </c>
      <c r="B15757" s="0" t="s">
        <v>98</v>
      </c>
      <c r="F15757" s="6" t="n">
        <f aca="false">(Sens!F15756-Sens!F15752)*Seg!F51/(Seg!F51+Seg!F53)</f>
        <v>8.72285608232241</v>
      </c>
      <c r="G15757" s="6" t="n">
        <f aca="false">(Sens!G15756-Sens!G15752)*Seg!G51/(Seg!G51+Seg!G53)</f>
        <v>7.88786455444355</v>
      </c>
      <c r="H15757" s="6" t="n">
        <f aca="false">(Sens!H15756-Sens!H15752)*Seg!H51/(Seg!H51+Seg!H53)</f>
        <v>7.65195986819674</v>
      </c>
      <c r="I15757" s="6" t="n">
        <f aca="false">(Sens!I15756-Sens!I15752)*Seg!I51/(Seg!I51+Seg!I53)</f>
        <v>7.56260440676676</v>
      </c>
      <c r="J15757" s="6" t="n">
        <f aca="false">(Sens!J15756-Sens!J15752)*Seg!J51/(Seg!J51+Seg!J53)</f>
        <v>7.60790100885945</v>
      </c>
      <c r="K15757" s="6" t="n">
        <f aca="false">(Sens!K15756-Sens!K15752)*Seg!K51/(Seg!K51+Seg!K53)</f>
        <v>7.78186910160995</v>
      </c>
    </row>
    <row r="15758" customFormat="false" ht="17.15" hidden="false" customHeight="false" outlineLevel="0" collapsed="false">
      <c r="A15758" s="0" t="s">
        <v>1242</v>
      </c>
      <c r="B15758" s="0" t="s">
        <v>98</v>
      </c>
      <c r="F15758" s="6" t="n">
        <f aca="false">Sens!F15756-Sens!F15752-Sens!F15757</f>
        <v>6.72169020385088</v>
      </c>
      <c r="G15758" s="6" t="n">
        <f aca="false">Sens!G15756-Sens!G15752-Sens!G15757</f>
        <v>6.322482503616</v>
      </c>
      <c r="H15758" s="6" t="n">
        <f aca="false">Sens!H15756-Sens!H15752-Sens!H15757</f>
        <v>6.315346810168</v>
      </c>
      <c r="I15758" s="6" t="n">
        <f aca="false">Sens!I15756-Sens!I15752-Sens!I15757</f>
        <v>6.36314990077033</v>
      </c>
      <c r="J15758" s="6" t="n">
        <f aca="false">Sens!J15756-Sens!J15752-Sens!J15757</f>
        <v>6.46265146397189</v>
      </c>
      <c r="K15758" s="6" t="n">
        <f aca="false">Sens!K15756-Sens!K15752-Sens!K15757</f>
        <v>6.61043140327304</v>
      </c>
    </row>
    <row r="15759" customFormat="false" ht="17.15" hidden="false" customHeight="false" outlineLevel="0" collapsed="false">
      <c r="A15759" s="0" t="s">
        <v>1243</v>
      </c>
      <c r="B15759" s="0" t="s">
        <v>98</v>
      </c>
      <c r="F15759" s="6" t="n">
        <f aca="false">Sens!F15753-tax_f*(Sens!F15753-Thesis!F95)-Thesis!F92</f>
        <v>-127.503553927218</v>
      </c>
      <c r="G15759" s="6" t="n">
        <f aca="false">Sens!G15753-tax_f*(Sens!G15753-Thesis!G95)-Thesis!G92</f>
        <v>-114.603772628121</v>
      </c>
      <c r="H15759" s="6" t="n">
        <f aca="false">Sens!H15753-tax_f*(Sens!H15753-Thesis!H95)-Thesis!H92</f>
        <v>-80.3633729631438</v>
      </c>
      <c r="I15759" s="6" t="n">
        <f aca="false">Sens!I15753-tax_f*(Sens!I15753-Thesis!I95)-Thesis!I92</f>
        <v>-17.2838782011649</v>
      </c>
      <c r="J15759" s="6" t="n">
        <f aca="false">Sens!J15753-tax_f*(Sens!J15753-Thesis!J95)-Thesis!J92</f>
        <v>46.9281968800854</v>
      </c>
      <c r="K15759" s="6" t="n">
        <f aca="false">Sens!K15753-tax_f*(Sens!K15753-Thesis!K95)-Thesis!K92</f>
        <v>71.8608185731755</v>
      </c>
    </row>
    <row r="15760" customFormat="false" ht="17.15" hidden="false" customHeight="false" outlineLevel="0" collapsed="false">
      <c r="A15760" s="0" t="s">
        <v>1244</v>
      </c>
      <c r="B15760" s="0" t="s">
        <v>98</v>
      </c>
      <c r="G15760" s="6" t="n">
        <f aca="false">Sens!G15759/(1+wacc)^(Sens!G15730-Sens!F15731)</f>
        <v>-109.124845494465</v>
      </c>
      <c r="H15760" s="6" t="n">
        <f aca="false">Sens!H15759/(1+wacc)^(Sens!H15730-Sens!F15731)</f>
        <v>-69.3796874071025</v>
      </c>
      <c r="I15760" s="6" t="n">
        <f aca="false">Sens!I15759/(1+wacc)^(Sens!I15730-Sens!F15731)</f>
        <v>-13.5289731380471</v>
      </c>
      <c r="J15760" s="6" t="n">
        <f aca="false">Sens!J15759/(1+wacc)^(Sens!J15730-Sens!F15731)</f>
        <v>33.3048099587126</v>
      </c>
      <c r="K15760" s="6" t="n">
        <f aca="false">Sens!K15759/(1+wacc)^(Sens!K15730-Sens!F15731)</f>
        <v>46.2396679904913</v>
      </c>
      <c r="L15760" s="1" t="s">
        <v>1245</v>
      </c>
    </row>
    <row r="15761" customFormat="false" ht="17.15" hidden="false" customHeight="false" outlineLevel="0" collapsed="false">
      <c r="A15761" s="0" t="s">
        <v>1246</v>
      </c>
      <c r="B15761" s="0" t="s">
        <v>98</v>
      </c>
      <c r="C15761" s="6" t="n">
        <f aca="false">(Sens!K15753-Thesis!K95)*(1-tax_f)*(1+g_tv)*(1-g_tv/(wacc+ronic_prem))/(wacc-g_tv)/(1+wacc)^(Sens!K15731-Sens!F15731)</f>
        <v>293.118051086843</v>
      </c>
    </row>
    <row r="15762" customFormat="false" ht="17.15" hidden="false" customHeight="false" outlineLevel="0" collapsed="false">
      <c r="A15762" s="1" t="s">
        <v>1247</v>
      </c>
      <c r="B15762" s="0" t="s">
        <v>98</v>
      </c>
      <c r="C15762" s="6" t="n">
        <f aca="false">(SUM(Sens!G15760:K15760)+Sens!$C$15761)*(1+wacc)^(t_roll-Sens!F15731)</f>
        <v>186.592133308255</v>
      </c>
      <c r="L15762" s="12" t="s">
        <v>1248</v>
      </c>
    </row>
    <row r="15763" customFormat="false" ht="17.15" hidden="false" customHeight="false" outlineLevel="0" collapsed="false">
      <c r="A15763" s="1" t="s">
        <v>1249</v>
      </c>
      <c r="B15763" s="0" t="s">
        <v>98</v>
      </c>
      <c r="C15763" s="6" t="n">
        <f aca="false">(w_ntm28*Thesis!G83+(1-w_ntm28)*Thesis!H83)*m_ai</f>
        <v>463.789109510335</v>
      </c>
    </row>
    <row r="15764" customFormat="false" ht="17.15" hidden="false" customHeight="false" outlineLevel="0" collapsed="false">
      <c r="A15764" s="1" t="s">
        <v>1250</v>
      </c>
      <c r="B15764" s="0" t="s">
        <v>98</v>
      </c>
      <c r="C15764" s="6" t="n">
        <f aca="false">(w_ntm28*Sens!G15755+(1-w_ntm28)*Sens!H15755)*m_own</f>
        <v>1234.81682570491</v>
      </c>
    </row>
    <row r="15765" customFormat="false" ht="17.15" hidden="false" customHeight="false" outlineLevel="0" collapsed="false">
      <c r="A15765" s="1" t="s">
        <v>1251</v>
      </c>
      <c r="B15765" s="0" t="s">
        <v>98</v>
      </c>
      <c r="C15765" s="6" t="n">
        <f aca="false">(w_ntm28*Sens!G15748+(1-w_ntm28)*Sens!H15748)*m_own</f>
        <v>1571.13459691233</v>
      </c>
    </row>
    <row r="15766" customFormat="false" ht="17.15" hidden="false" customHeight="false" outlineLevel="0" collapsed="false">
      <c r="A15766" s="1" t="s">
        <v>1252</v>
      </c>
      <c r="B15766" s="0" t="s">
        <v>98</v>
      </c>
      <c r="C15766" s="6" t="n">
        <f aca="false">(w_ntm28*Sens!G15749+(1-w_ntm28)*Sens!H15749)*m_own</f>
        <v>541.092718665102</v>
      </c>
    </row>
    <row r="15767" customFormat="false" ht="17.15" hidden="false" customHeight="false" outlineLevel="0" collapsed="false">
      <c r="A15767" s="1" t="s">
        <v>1253</v>
      </c>
      <c r="B15767" s="0" t="s">
        <v>98</v>
      </c>
      <c r="C15767" s="6" t="n">
        <f aca="false">(w_ntm28*Sens!G15750+(1-w_ntm28)*Sens!H15750)*m_own</f>
        <v>158.361821699109</v>
      </c>
    </row>
    <row r="15768" customFormat="false" ht="17.15" hidden="false" customHeight="false" outlineLevel="0" collapsed="false">
      <c r="A15768" s="1" t="s">
        <v>1254</v>
      </c>
      <c r="B15768" s="0" t="s">
        <v>98</v>
      </c>
      <c r="C15768" s="6" t="n">
        <f aca="false">(w_ntm28*Sens!G15751+(1-w_ntm28)*Sens!H15751)*m_own</f>
        <v>60.2050334272108</v>
      </c>
    </row>
    <row r="15769" customFormat="false" ht="17.15" hidden="false" customHeight="false" outlineLevel="0" collapsed="false">
      <c r="A15769" s="1" t="s">
        <v>1255</v>
      </c>
      <c r="B15769" s="0" t="s">
        <v>98</v>
      </c>
      <c r="C15769" s="6" t="n">
        <f aca="false">(w_ntm28*Sens!G15752+(1-w_ntm28)*Sens!H15752)*m_own</f>
        <v>197.899838316961</v>
      </c>
    </row>
    <row r="15770" customFormat="false" ht="17.15" hidden="false" customHeight="false" outlineLevel="0" collapsed="false">
      <c r="A15770" s="1" t="s">
        <v>1256</v>
      </c>
      <c r="B15770" s="0" t="s">
        <v>98</v>
      </c>
      <c r="C15770" s="6" t="n">
        <f aca="false">(w_ntm28*Sens!G15757+(1-w_ntm28)*Sens!H15757)*m_own</f>
        <v>122.387508329724</v>
      </c>
    </row>
    <row r="15771" customFormat="false" ht="17.15" hidden="false" customHeight="false" outlineLevel="0" collapsed="false">
      <c r="A15771" s="1" t="s">
        <v>1257</v>
      </c>
      <c r="B15771" s="0" t="s">
        <v>98</v>
      </c>
      <c r="C15771" s="6" t="n">
        <f aca="false">(w_ntm28*Sens!G15758+(1-w_ntm28)*Sens!H15758)*m_own</f>
        <v>99.0365393030062</v>
      </c>
    </row>
    <row r="15772" customFormat="false" ht="17.15" hidden="false" customHeight="false" outlineLevel="0" collapsed="false">
      <c r="A15772" s="1" t="s">
        <v>1258</v>
      </c>
      <c r="B15772" s="0" t="s">
        <v>98</v>
      </c>
      <c r="C15772" s="6" t="n">
        <f aca="false">Sens!$C$15762+Sens!$C$15764+Sens!$C$15765+Sens!$C$15766+Sens!$C$15767+Sens!$C$15768+Sens!$C$15769+Sens!$C$15770+Sens!$C$15771</f>
        <v>4171.5270156666</v>
      </c>
    </row>
    <row r="15773" customFormat="false" ht="17.15" hidden="false" customHeight="false" outlineLevel="0" collapsed="false">
      <c r="A15773" s="1" t="s">
        <v>1259</v>
      </c>
      <c r="B15773" s="0" t="s">
        <v>98</v>
      </c>
      <c r="C15773" s="6" t="n">
        <f aca="false">(Sens!G15734-Sens!G15759)*t_stub</f>
        <v>47.8736427515113</v>
      </c>
      <c r="L15773" s="1" t="s">
        <v>1260</v>
      </c>
    </row>
    <row r="15774" customFormat="false" ht="17.15" hidden="false" customHeight="false" outlineLevel="0" collapsed="false">
      <c r="A15774" s="1" t="s">
        <v>1169</v>
      </c>
      <c r="B15774" s="0" t="s">
        <v>98</v>
      </c>
      <c r="C15774" s="6" t="n">
        <f aca="false">CF!F71+oai_v-CF!F60+Sens!$C$15773</f>
        <v>162.101912751511</v>
      </c>
      <c r="L15774" s="1" t="s">
        <v>1261</v>
      </c>
    </row>
    <row r="15775" customFormat="false" ht="17.15" hidden="false" customHeight="false" outlineLevel="0" collapsed="false">
      <c r="A15775" s="1" t="s">
        <v>1262</v>
      </c>
      <c r="B15775" s="0" t="s">
        <v>75</v>
      </c>
      <c r="C15775" s="5" t="n">
        <f aca="false">(Sens!$C$15772+Sens!$C$15774)/(CF!F73+dil_gap)-CF!G63*roll_div_q/q_per_yr</f>
        <v>577.123878368576</v>
      </c>
      <c r="L15775" s="1" t="s">
        <v>1263</v>
      </c>
    </row>
    <row r="15776" customFormat="false" ht="17.15" hidden="false" customHeight="false" outlineLevel="0" collapsed="false">
      <c r="A15776" s="1" t="s">
        <v>1264</v>
      </c>
      <c r="B15776" s="0" t="s">
        <v>75</v>
      </c>
      <c r="C15776" s="5" t="n">
        <f aca="false">w_dcf*Sens!$C$15746+(1-w_dcf)*Sens!$C$15775</f>
        <v>451.713709797154</v>
      </c>
    </row>
    <row r="15777" customFormat="false" ht="17.15" hidden="false" customHeight="false" outlineLevel="0" collapsed="false">
      <c r="A15777" s="3" t="s">
        <v>1868</v>
      </c>
    </row>
    <row r="15778" customFormat="false" ht="15" hidden="false" customHeight="false" outlineLevel="0" collapsed="false">
      <c r="A15778" s="4" t="s">
        <v>43</v>
      </c>
      <c r="B15778" s="4" t="s">
        <v>65</v>
      </c>
      <c r="C15778" s="23" t="s">
        <v>938</v>
      </c>
      <c r="D15778" s="23" t="s">
        <v>939</v>
      </c>
      <c r="E15778" s="23" t="s">
        <v>940</v>
      </c>
      <c r="F15778" s="23" t="s">
        <v>941</v>
      </c>
      <c r="G15778" s="23" t="s">
        <v>942</v>
      </c>
      <c r="H15778" s="23" t="s">
        <v>943</v>
      </c>
      <c r="I15778" s="23" t="s">
        <v>944</v>
      </c>
      <c r="J15778" s="23" t="s">
        <v>945</v>
      </c>
      <c r="K15778" s="23" t="s">
        <v>946</v>
      </c>
      <c r="L15778" s="4" t="s">
        <v>47</v>
      </c>
    </row>
    <row r="15779" customFormat="false" ht="17.15" hidden="false" customHeight="false" outlineLevel="0" collapsed="false">
      <c r="A15779" s="1" t="s">
        <v>1212</v>
      </c>
      <c r="B15779" s="1" t="s">
        <v>279</v>
      </c>
      <c r="F15779" s="8" t="n">
        <f aca="false">(1-v_off)*mid_yr</f>
        <v>0.373972602739726</v>
      </c>
      <c r="G15779" s="8" t="n">
        <f aca="false">Thesis!G110-base_fy-mid_yr-v_off</f>
        <v>1.24794520547945</v>
      </c>
      <c r="H15779" s="8" t="n">
        <f aca="false">Thesis!H110-base_fy-mid_yr-v_off</f>
        <v>2.24794520547945</v>
      </c>
      <c r="I15779" s="8" t="n">
        <f aca="false">Thesis!I110-base_fy-mid_yr-v_off</f>
        <v>3.24794520547945</v>
      </c>
      <c r="J15779" s="8" t="n">
        <f aca="false">Thesis!J110-base_fy-mid_yr-v_off</f>
        <v>4.24794520547945</v>
      </c>
      <c r="K15779" s="8" t="n">
        <f aca="false">Thesis!K110-base_fy-mid_yr-v_off</f>
        <v>5.24794520547945</v>
      </c>
      <c r="L15779" s="12" t="s">
        <v>1213</v>
      </c>
    </row>
    <row r="15780" customFormat="false" ht="15" hidden="false" customHeight="false" outlineLevel="0" collapsed="false">
      <c r="A15780" s="1" t="s">
        <v>1214</v>
      </c>
      <c r="B15780" s="1" t="s">
        <v>279</v>
      </c>
      <c r="F15780" s="8" t="n">
        <f aca="false">Thesis!F110-base_fy-v_off</f>
        <v>0.747945205479452</v>
      </c>
      <c r="G15780" s="8" t="n">
        <f aca="false">Thesis!G110-base_fy-v_off</f>
        <v>1.74794520547945</v>
      </c>
      <c r="H15780" s="8" t="n">
        <f aca="false">Thesis!H110-base_fy-v_off</f>
        <v>2.74794520547945</v>
      </c>
      <c r="I15780" s="8" t="n">
        <f aca="false">Thesis!I110-base_fy-v_off</f>
        <v>3.74794520547945</v>
      </c>
      <c r="J15780" s="8" t="n">
        <f aca="false">Thesis!J110-base_fy-v_off</f>
        <v>4.74794520547945</v>
      </c>
      <c r="K15780" s="8" t="n">
        <f aca="false">Thesis!K110-base_fy-v_off</f>
        <v>5.74794520547945</v>
      </c>
    </row>
    <row r="15781" customFormat="false" ht="15" hidden="false" customHeight="false" outlineLevel="0" collapsed="false">
      <c r="A15781" s="1" t="s">
        <v>1215</v>
      </c>
      <c r="B15781" s="0" t="s">
        <v>229</v>
      </c>
      <c r="F15781" s="15" t="n">
        <f aca="false">1/(1+wacc)^Sens!F15779</f>
        <v>0.964022703286649</v>
      </c>
      <c r="G15781" s="15" t="n">
        <f aca="false">1/(1+wacc)^Sens!G15779</f>
        <v>0.884910302296739</v>
      </c>
      <c r="H15781" s="15" t="n">
        <f aca="false">1/(1+wacc)^Sens!H15779</f>
        <v>0.802322009770358</v>
      </c>
      <c r="I15781" s="15" t="n">
        <f aca="false">1/(1+wacc)^Sens!I15779</f>
        <v>0.727441646561469</v>
      </c>
      <c r="J15781" s="15" t="n">
        <f aca="false">1/(1+wacc)^Sens!J15779</f>
        <v>0.659549834988973</v>
      </c>
      <c r="K15781" s="15" t="n">
        <f aca="false">1/(1+wacc)^Sens!K15779</f>
        <v>0.597994336576966</v>
      </c>
    </row>
    <row r="15782" customFormat="false" ht="17.15" hidden="false" customHeight="false" outlineLevel="0" collapsed="false">
      <c r="A15782" s="1" t="s">
        <v>1216</v>
      </c>
      <c r="B15782" s="0" t="s">
        <v>98</v>
      </c>
      <c r="F15782" s="6" t="n">
        <f aca="false">Q!$I$35-Q!$I$39-Q!$I$43</f>
        <v>9.666</v>
      </c>
      <c r="L15782" s="12" t="s">
        <v>1217</v>
      </c>
    </row>
    <row r="15783" customFormat="false" ht="17.15" hidden="false" customHeight="false" outlineLevel="0" collapsed="false">
      <c r="A15783" s="1" t="s">
        <v>1218</v>
      </c>
      <c r="B15783" s="0" t="s">
        <v>98</v>
      </c>
      <c r="F15783" s="6" t="n">
        <f aca="false">CF!F87-CF!F84-CF!F91+Thesis!F151*(1-tax_f)*(1-v_off)-Sens!F15782</f>
        <v>-6.10282680452259</v>
      </c>
      <c r="G15783" s="6" t="n">
        <f aca="false">CF!G87-CF!G84-CF!G91+Thesis!G151*(1-tax_f)</f>
        <v>19.0084129023516</v>
      </c>
      <c r="H15783" s="6" t="n">
        <f aca="false">CF!H87-CF!H84-CF!H91+Thesis!H151*(1-tax_f)</f>
        <v>55.9229468383331</v>
      </c>
      <c r="I15783" s="6" t="n">
        <f aca="false">CF!I87-CF!I84-CF!I91+Thesis!I151*(1-tax_f)</f>
        <v>127.901908576191</v>
      </c>
      <c r="J15783" s="6" t="n">
        <f aca="false">CF!J87-CF!J84-CF!J91+Thesis!J151*(1-tax_f)</f>
        <v>201.958443859638</v>
      </c>
      <c r="K15783" s="6" t="n">
        <f aca="false">CF!K87-CF!K84-CF!K91+Thesis!K151*(1-tax_f)</f>
        <v>237.542519059905</v>
      </c>
      <c r="L15783" s="1" t="s">
        <v>1219</v>
      </c>
    </row>
    <row r="15784" customFormat="false" ht="15" hidden="false" customHeight="false" outlineLevel="0" collapsed="false">
      <c r="A15784" s="1" t="s">
        <v>1220</v>
      </c>
      <c r="B15784" s="0" t="s">
        <v>98</v>
      </c>
      <c r="F15784" s="6" t="n">
        <f aca="false">Sens!F15783*Sens!F15781</f>
        <v>-5.88326359378609</v>
      </c>
      <c r="G15784" s="6" t="n">
        <f aca="false">Sens!G15783*Sens!G15781</f>
        <v>16.8207404076012</v>
      </c>
      <c r="H15784" s="6" t="n">
        <f aca="false">Sens!H15783*Sens!H15781</f>
        <v>44.8682110996123</v>
      </c>
      <c r="I15784" s="6" t="n">
        <f aca="false">Sens!I15783*Sens!I15781</f>
        <v>93.0411749730187</v>
      </c>
      <c r="J15784" s="6" t="n">
        <f aca="false">Sens!J15783*Sens!J15781</f>
        <v>133.201658322254</v>
      </c>
      <c r="K15784" s="6" t="n">
        <f aca="false">Sens!K15783*Sens!K15781</f>
        <v>142.049081094049</v>
      </c>
    </row>
    <row r="15785" customFormat="false" ht="17.15" hidden="false" customHeight="false" outlineLevel="0" collapsed="false">
      <c r="A15785" s="1" t="s">
        <v>1221</v>
      </c>
      <c r="B15785" s="0" t="s">
        <v>98</v>
      </c>
      <c r="C15785" s="6" t="n">
        <f aca="false">SUM(Sens!F15784:K15784)</f>
        <v>424.097602302749</v>
      </c>
    </row>
    <row r="15786" customFormat="false" ht="17.15" hidden="false" customHeight="false" outlineLevel="0" collapsed="false">
      <c r="A15786" s="1" t="s">
        <v>1222</v>
      </c>
      <c r="B15786" s="0" t="s">
        <v>98</v>
      </c>
      <c r="C15786" s="6" t="n">
        <f aca="false">PL!K117*(1+g_tv)*(1-tax_f)</f>
        <v>247.098906713682</v>
      </c>
    </row>
    <row r="15787" customFormat="false" ht="17.15" hidden="false" customHeight="false" outlineLevel="0" collapsed="false">
      <c r="A15787" s="1" t="s">
        <v>1223</v>
      </c>
      <c r="B15787" s="0" t="s">
        <v>98</v>
      </c>
      <c r="C15787" s="6" t="n">
        <f aca="false">Sens!$C$15786*(1-g_tv/(wacc+ronic_prem))</f>
        <v>175.084017418113</v>
      </c>
    </row>
    <row r="15788" customFormat="false" ht="17.15" hidden="false" customHeight="false" outlineLevel="0" collapsed="false">
      <c r="A15788" s="1" t="s">
        <v>1224</v>
      </c>
      <c r="B15788" s="0" t="s">
        <v>98</v>
      </c>
      <c r="C15788" s="6" t="n">
        <f aca="false">Sens!$C$15787/(wacc-g_tv)</f>
        <v>2400.4963098523</v>
      </c>
    </row>
    <row r="15789" customFormat="false" ht="15" hidden="false" customHeight="false" outlineLevel="0" collapsed="false">
      <c r="A15789" s="1" t="s">
        <v>1225</v>
      </c>
      <c r="B15789" s="0" t="s">
        <v>98</v>
      </c>
      <c r="C15789" s="6" t="n">
        <f aca="false">Sens!$C$15788/(1+wacc)^Sens!K15780</f>
        <v>1366.85624415645</v>
      </c>
    </row>
    <row r="15790" customFormat="false" ht="17.15" hidden="false" customHeight="false" outlineLevel="0" collapsed="false">
      <c r="A15790" s="0" t="s">
        <v>1226</v>
      </c>
      <c r="B15790" s="0" t="s">
        <v>98</v>
      </c>
      <c r="C15790" s="6" t="n">
        <f aca="false">Sens!$C$15785+Sens!$C$15789</f>
        <v>1790.9538464592</v>
      </c>
    </row>
    <row r="15791" customFormat="false" ht="15" hidden="false" customHeight="false" outlineLevel="0" collapsed="false">
      <c r="A15791" s="1" t="s">
        <v>1141</v>
      </c>
      <c r="B15791" s="0" t="s">
        <v>168</v>
      </c>
      <c r="C15791" s="7" t="n">
        <f aca="false">Sens!$C$15789/Sens!$C$15790</f>
        <v>0.763200149941769</v>
      </c>
    </row>
    <row r="15792" customFormat="false" ht="17.15" hidden="false" customHeight="false" outlineLevel="0" collapsed="false">
      <c r="A15792" s="1" t="s">
        <v>1227</v>
      </c>
      <c r="B15792" s="0" t="s">
        <v>98</v>
      </c>
      <c r="C15792" s="6" t="n">
        <f aca="false">Sens!$C$15790+cash_val-debt_val-fl_val+oai_v</f>
        <v>1906.8048464592</v>
      </c>
    </row>
    <row r="15793" customFormat="false" ht="17.15" hidden="false" customHeight="false" outlineLevel="0" collapsed="false">
      <c r="A15793" s="0" t="s">
        <v>1149</v>
      </c>
      <c r="B15793" s="0" t="s">
        <v>75</v>
      </c>
      <c r="C15793" s="5" t="n">
        <f aca="false">Sens!$C$15792/shd_val</f>
        <v>256.084454265269</v>
      </c>
    </row>
    <row r="15794" customFormat="false" ht="15" hidden="false" customHeight="false" outlineLevel="0" collapsed="false">
      <c r="A15794" s="1" t="s">
        <v>1228</v>
      </c>
      <c r="B15794" s="0" t="s">
        <v>75</v>
      </c>
      <c r="C15794" s="8" t="n">
        <f aca="false">div_rem27+CF!G95*roll_div_q/q_per_yr</f>
        <v>3.9795</v>
      </c>
    </row>
    <row r="15795" customFormat="false" ht="17.15" hidden="false" customHeight="false" outlineLevel="0" collapsed="false">
      <c r="A15795" s="0" t="s">
        <v>1229</v>
      </c>
      <c r="B15795" s="0" t="s">
        <v>75</v>
      </c>
      <c r="C15795" s="5" t="n">
        <f aca="false">Sens!$C$15793*(1+wacc)^t_roll-Sens!$C$15794</f>
        <v>280.67266317972</v>
      </c>
    </row>
    <row r="15796" customFormat="false" ht="17.15" hidden="false" customHeight="false" outlineLevel="0" collapsed="false">
      <c r="A15796" s="1" t="s">
        <v>1230</v>
      </c>
      <c r="B15796" s="0" t="s">
        <v>168</v>
      </c>
      <c r="F15796" s="7" t="n">
        <f aca="false">CF!F81/(Seg!F83-Thesis!F129)</f>
        <v>0.068677393452264</v>
      </c>
      <c r="G15796" s="7" t="n">
        <f aca="false">CF!G81/(Seg!G83-Thesis!G129)</f>
        <v>0.0663132664471956</v>
      </c>
      <c r="H15796" s="7" t="n">
        <f aca="false">CF!H81/(Seg!H83-Thesis!H129)</f>
        <v>0.0651363826734039</v>
      </c>
      <c r="I15796" s="7" t="n">
        <f aca="false">CF!I81/(Seg!I83-Thesis!I129)</f>
        <v>0.0650087936347709</v>
      </c>
      <c r="J15796" s="7" t="n">
        <f aca="false">CF!J81/(Seg!J83-Thesis!J129)</f>
        <v>0.0657212684841778</v>
      </c>
      <c r="K15796" s="7" t="n">
        <f aca="false">CF!K81/(Seg!K83-Thesis!K129)</f>
        <v>0.0670413306015285</v>
      </c>
    </row>
    <row r="15797" customFormat="false" ht="17.15" hidden="false" customHeight="false" outlineLevel="0" collapsed="false">
      <c r="A15797" s="0" t="s">
        <v>1231</v>
      </c>
      <c r="B15797" s="0" t="s">
        <v>98</v>
      </c>
      <c r="F15797" s="6" t="n">
        <f aca="false">Seg!F68*(al_m365+Sens!F15796+sbc_r)</f>
        <v>82.9185219618347</v>
      </c>
      <c r="G15797" s="6" t="n">
        <f aca="false">Seg!G68*(al_m365+Sens!G15796+sbc_r)</f>
        <v>93.3068052157631</v>
      </c>
      <c r="H15797" s="6" t="n">
        <f aca="false">Seg!H68*(al_m365+Sens!H15796+sbc_r)</f>
        <v>103.856057136159</v>
      </c>
      <c r="I15797" s="6" t="n">
        <f aca="false">Seg!I68*(al_m365+Sens!I15796+sbc_r)</f>
        <v>113.889717587147</v>
      </c>
      <c r="J15797" s="6" t="n">
        <f aca="false">Seg!J68*(al_m365+Sens!J15796+sbc_r)</f>
        <v>123.218477864124</v>
      </c>
      <c r="K15797" s="6" t="n">
        <f aca="false">Seg!K68*(al_m365+Sens!K15796+sbc_r)</f>
        <v>132.149420086311</v>
      </c>
      <c r="L15797" s="12" t="s">
        <v>1232</v>
      </c>
    </row>
    <row r="15798" customFormat="false" ht="17.15" hidden="false" customHeight="false" outlineLevel="0" collapsed="false">
      <c r="A15798" s="0" t="s">
        <v>1233</v>
      </c>
      <c r="B15798" s="0" t="s">
        <v>98</v>
      </c>
      <c r="F15798" s="6" t="n">
        <f aca="false">Seg!F69*(al_lic+Sens!F15796+sbc_r)</f>
        <v>32.8599853992256</v>
      </c>
      <c r="G15798" s="6" t="n">
        <f aca="false">Seg!G69*(al_lic+Sens!G15796+sbc_r)</f>
        <v>34.1568280697879</v>
      </c>
      <c r="H15798" s="6" t="n">
        <f aca="false">Seg!H69*(al_lic+Sens!H15796+sbc_r)</f>
        <v>35.3635535007213</v>
      </c>
      <c r="I15798" s="6" t="n">
        <f aca="false">Seg!I69*(al_lic+Sens!I15796+sbc_r)</f>
        <v>36.4604537346553</v>
      </c>
      <c r="J15798" s="6" t="n">
        <f aca="false">Seg!J69*(al_lic+Sens!J15796+sbc_r)</f>
        <v>37.4245888933574</v>
      </c>
      <c r="K15798" s="6" t="n">
        <f aca="false">Seg!K69*(al_lic+Sens!K15796+sbc_r)</f>
        <v>38.2321483186439</v>
      </c>
    </row>
    <row r="15799" customFormat="false" ht="17.15" hidden="false" customHeight="false" outlineLevel="0" collapsed="false">
      <c r="A15799" s="0" t="s">
        <v>1234</v>
      </c>
      <c r="B15799" s="0" t="s">
        <v>98</v>
      </c>
      <c r="F15799" s="6" t="n">
        <f aca="false">Seg!F71*(al_ind+Sens!F15796+sbc_r)</f>
        <v>9.06170747885803</v>
      </c>
      <c r="G15799" s="6" t="n">
        <f aca="false">Seg!G71*(al_ind+Sens!G15796+sbc_r)</f>
        <v>9.8478979082138</v>
      </c>
      <c r="H15799" s="6" t="n">
        <f aca="false">Seg!H71*(al_ind+Sens!H15796+sbc_r)</f>
        <v>10.6768254332059</v>
      </c>
      <c r="I15799" s="6" t="n">
        <f aca="false">Seg!I71*(al_ind+Sens!I15796+sbc_r)</f>
        <v>11.54398793803</v>
      </c>
      <c r="J15799" s="6" t="n">
        <f aca="false">Seg!J71*(al_ind+Sens!J15796+sbc_r)</f>
        <v>12.4407914253112</v>
      </c>
      <c r="K15799" s="6" t="n">
        <f aca="false">Seg!K71*(al_ind+Sens!K15796+sbc_r)</f>
        <v>13.355239066864</v>
      </c>
    </row>
    <row r="15800" customFormat="false" ht="17.15" hidden="false" customHeight="false" outlineLevel="0" collapsed="false">
      <c r="A15800" s="0" t="s">
        <v>1235</v>
      </c>
      <c r="B15800" s="0" t="s">
        <v>98</v>
      </c>
      <c r="F15800" s="6" t="n">
        <f aca="false">Seg!F73*(al_fro+Sens!F15796+sbc_r)</f>
        <v>3.55453569939552</v>
      </c>
      <c r="G15800" s="6" t="n">
        <f aca="false">Seg!G73*(al_fro+Sens!G15796+sbc_r)</f>
        <v>3.76809436159872</v>
      </c>
      <c r="H15800" s="6" t="n">
        <f aca="false">Seg!H73*(al_fro+Sens!H15796+sbc_r)</f>
        <v>4.00964905674607</v>
      </c>
      <c r="I15800" s="6" t="n">
        <f aca="false">Seg!I73*(al_fro+Sens!I15796+sbc_r)</f>
        <v>4.28152633145235</v>
      </c>
      <c r="J15800" s="6" t="n">
        <f aca="false">Seg!J73*(al_fro+Sens!J15796+sbc_r)</f>
        <v>4.58536512975975</v>
      </c>
      <c r="K15800" s="6" t="n">
        <f aca="false">Seg!K73*(al_fro+Sens!K15796+sbc_r)</f>
        <v>4.92240770086468</v>
      </c>
    </row>
    <row r="15801" customFormat="false" ht="17.15" hidden="false" customHeight="false" outlineLevel="0" collapsed="false">
      <c r="A15801" s="0" t="s">
        <v>1236</v>
      </c>
      <c r="B15801" s="0" t="s">
        <v>98</v>
      </c>
      <c r="F15801" s="6" t="n">
        <f aca="false">Seg!F76*(al_srch+Sens!F15796+sbc_r)</f>
        <v>11.190683952584</v>
      </c>
      <c r="G15801" s="6" t="n">
        <f aca="false">Seg!G76*(al_srch+Sens!G15796+sbc_r)</f>
        <v>12.2763328717258</v>
      </c>
      <c r="H15801" s="6" t="n">
        <f aca="false">Seg!H76*(al_srch+Sens!H15796+sbc_r)</f>
        <v>13.4043563346576</v>
      </c>
      <c r="I15801" s="6" t="n">
        <f aca="false">Seg!I76*(al_srch+Sens!I15796+sbc_r)</f>
        <v>14.5621512181916</v>
      </c>
      <c r="J15801" s="6" t="n">
        <f aca="false">Seg!J76*(al_srch+Sens!J15796+sbc_r)</f>
        <v>15.7310381862385</v>
      </c>
      <c r="K15801" s="6" t="n">
        <f aca="false">Seg!K76*(al_srch+Sens!K15796+sbc_r)</f>
        <v>16.8873320486462</v>
      </c>
    </row>
    <row r="15802" customFormat="false" ht="17.15" hidden="false" customHeight="false" outlineLevel="0" collapsed="false">
      <c r="A15802" s="0" t="s">
        <v>1237</v>
      </c>
      <c r="B15802" s="0" t="s">
        <v>98</v>
      </c>
      <c r="F15802" s="6" t="n">
        <f aca="false">Thesis!F135-Thesis!F136+Thesis!F151</f>
        <v>38.9696429794913</v>
      </c>
      <c r="G15802" s="6" t="n">
        <f aca="false">Thesis!G135-Thesis!G136+Thesis!G151</f>
        <v>69.465497726016</v>
      </c>
      <c r="H15802" s="6" t="n">
        <f aca="false">Thesis!H135-Thesis!H136+Thesis!H151</f>
        <v>96.8147106808268</v>
      </c>
      <c r="I15802" s="6" t="n">
        <f aca="false">Thesis!I135-Thesis!I136+Thesis!I151</f>
        <v>127.654939766446</v>
      </c>
      <c r="J15802" s="6" t="n">
        <f aca="false">Thesis!J135-Thesis!J136+Thesis!J151</f>
        <v>149.308352681229</v>
      </c>
      <c r="K15802" s="6" t="n">
        <f aca="false">Thesis!K135-Thesis!K136+Thesis!K151</f>
        <v>162.731822021841</v>
      </c>
    </row>
    <row r="15803" customFormat="false" ht="17.15" hidden="false" customHeight="false" outlineLevel="0" collapsed="false">
      <c r="A15803" s="0" t="s">
        <v>1238</v>
      </c>
      <c r="B15803" s="0" t="s">
        <v>98</v>
      </c>
      <c r="F15803" s="6" t="n">
        <f aca="false">PL!F110+Thesis!F151+Thesis!F147+Sens!F15796*(Seg!F75-Thesis!F129)+sbc_r*Seg!F75</f>
        <v>234.79972328186</v>
      </c>
      <c r="G15803" s="6" t="n">
        <f aca="false">PL!G110+Thesis!G151+Thesis!G147+Sens!G15796*(Seg!G75-Thesis!G129)+sbc_r*Seg!G75</f>
        <v>285.499052659517</v>
      </c>
      <c r="H15803" s="6" t="n">
        <f aca="false">PL!H110+Thesis!H151+Thesis!H147+Sens!H15796*(Seg!H75-Thesis!H129)+sbc_r*Seg!H75</f>
        <v>338.258569294547</v>
      </c>
      <c r="I15803" s="6" t="n">
        <f aca="false">PL!I110+Thesis!I151+Thesis!I147+Sens!I15796*(Seg!I75-Thesis!I129)+sbc_r*Seg!I75</f>
        <v>393.887902526982</v>
      </c>
      <c r="J15803" s="6" t="n">
        <f aca="false">PL!J110+Thesis!J151+Thesis!J147+Sens!J15796*(Seg!J75-Thesis!J129)+sbc_r*Seg!J75</f>
        <v>438.406631506078</v>
      </c>
      <c r="K15803" s="6" t="n">
        <f aca="false">PL!K110+Thesis!K151+Thesis!K147+Sens!K15796*(Seg!K75-Thesis!K129)+sbc_r*Seg!K75</f>
        <v>472.352875745143</v>
      </c>
    </row>
    <row r="15804" customFormat="false" ht="17.15" hidden="false" customHeight="false" outlineLevel="0" collapsed="false">
      <c r="A15804" s="0" t="s">
        <v>1239</v>
      </c>
      <c r="B15804" s="0" t="s">
        <v>98</v>
      </c>
      <c r="F15804" s="6" t="n">
        <f aca="false">Sens!F15803-Sens!F15797-Sens!F15798-Sens!F15799-Sens!F15800-Sens!F15802</f>
        <v>67.4353297630543</v>
      </c>
      <c r="G15804" s="6" t="n">
        <f aca="false">Sens!G15803-Sens!G15797-Sens!G15798-Sens!G15799-Sens!G15800-Sens!G15802</f>
        <v>74.9539293781376</v>
      </c>
      <c r="H15804" s="6" t="n">
        <f aca="false">Sens!H15803-Sens!H15797-Sens!H15798-Sens!H15799-Sens!H15800-Sens!H15802</f>
        <v>87.537773486888</v>
      </c>
      <c r="I15804" s="6" t="n">
        <f aca="false">Sens!I15803-Sens!I15797-Sens!I15798-Sens!I15799-Sens!I15800-Sens!I15802</f>
        <v>100.057277169252</v>
      </c>
      <c r="J15804" s="6" t="n">
        <f aca="false">Sens!J15803-Sens!J15797-Sens!J15798-Sens!J15799-Sens!J15800-Sens!J15802</f>
        <v>111.429055512297</v>
      </c>
      <c r="K15804" s="6" t="n">
        <f aca="false">Sens!K15803-Sens!K15797-Sens!K15798-Sens!K15799-Sens!K15800-Sens!K15802</f>
        <v>120.961838550618</v>
      </c>
    </row>
    <row r="15805" customFormat="false" ht="17.15" hidden="false" customHeight="false" outlineLevel="0" collapsed="false">
      <c r="A15805" s="0" t="s">
        <v>1240</v>
      </c>
      <c r="B15805" s="0" t="s">
        <v>98</v>
      </c>
      <c r="F15805" s="6" t="n">
        <f aca="false">PL!F112+Sens!F15796*Seg!F82+sbc_r*Seg!F82</f>
        <v>26.6373549789235</v>
      </c>
      <c r="G15805" s="6" t="n">
        <f aca="false">PL!G112+Sens!G15796*Seg!G82+sbc_r*Seg!G82</f>
        <v>26.5038922765853</v>
      </c>
      <c r="H15805" s="6" t="n">
        <f aca="false">PL!H112+Sens!H15796*Seg!H82+sbc_r*Seg!H82</f>
        <v>27.3981100014792</v>
      </c>
      <c r="I15805" s="6" t="n">
        <f aca="false">PL!I112+Sens!I15796*Seg!I82+sbc_r*Seg!I82</f>
        <v>28.5176442589239</v>
      </c>
      <c r="J15805" s="6" t="n">
        <f aca="false">PL!J112+Sens!J15796*Seg!J82+sbc_r*Seg!J82</f>
        <v>29.8313998963726</v>
      </c>
      <c r="K15805" s="6" t="n">
        <f aca="false">PL!K112+Sens!K15796*Seg!K82+sbc_r*Seg!K82</f>
        <v>31.3103466222307</v>
      </c>
    </row>
    <row r="15806" customFormat="false" ht="17.15" hidden="false" customHeight="false" outlineLevel="0" collapsed="false">
      <c r="A15806" s="0" t="s">
        <v>1241</v>
      </c>
      <c r="B15806" s="0" t="s">
        <v>98</v>
      </c>
      <c r="F15806" s="6" t="n">
        <f aca="false">(Sens!F15805-Sens!F15801)*Seg!F78/(Seg!F78+Seg!F80)</f>
        <v>8.72405610479892</v>
      </c>
      <c r="G15806" s="6" t="n">
        <f aca="false">(Sens!G15805-Sens!G15801)*Seg!G78/(Seg!G78+Seg!G80)</f>
        <v>7.897418765869</v>
      </c>
      <c r="H15806" s="6" t="n">
        <f aca="false">(Sens!H15805-Sens!H15801)*Seg!H78/(Seg!H78+Seg!H80)</f>
        <v>7.66644879573063</v>
      </c>
      <c r="I15806" s="6" t="n">
        <f aca="false">(Sens!I15805-Sens!I15801)*Seg!I78/(Seg!I78+Seg!I80)</f>
        <v>7.5787545031814</v>
      </c>
      <c r="J15806" s="6" t="n">
        <f aca="false">(Sens!J15805-Sens!J15801)*Seg!J78/(Seg!J78+Seg!J80)</f>
        <v>7.62401876450459</v>
      </c>
      <c r="K15806" s="6" t="n">
        <f aca="false">(Sens!K15805-Sens!K15801)*Seg!K78/(Seg!K78+Seg!K80)</f>
        <v>7.79847609658838</v>
      </c>
    </row>
    <row r="15807" customFormat="false" ht="17.15" hidden="false" customHeight="false" outlineLevel="0" collapsed="false">
      <c r="A15807" s="0" t="s">
        <v>1242</v>
      </c>
      <c r="B15807" s="0" t="s">
        <v>98</v>
      </c>
      <c r="F15807" s="6" t="n">
        <f aca="false">Sens!F15805-Sens!F15801-Sens!F15806</f>
        <v>6.72261492154066</v>
      </c>
      <c r="G15807" s="6" t="n">
        <f aca="false">Sens!G15805-Sens!G15801-Sens!G15806</f>
        <v>6.33014063899044</v>
      </c>
      <c r="H15807" s="6" t="n">
        <f aca="false">Sens!H15805-Sens!H15801-Sens!H15806</f>
        <v>6.32730487109095</v>
      </c>
      <c r="I15807" s="6" t="n">
        <f aca="false">Sens!I15805-Sens!I15801-Sens!I15806</f>
        <v>6.37673853755084</v>
      </c>
      <c r="J15807" s="6" t="n">
        <f aca="false">Sens!J15805-Sens!J15801-Sens!J15806</f>
        <v>6.47634294562954</v>
      </c>
      <c r="K15807" s="6" t="n">
        <f aca="false">Sens!K15805-Sens!K15801-Sens!K15806</f>
        <v>6.62453847699607</v>
      </c>
    </row>
    <row r="15808" customFormat="false" ht="17.15" hidden="false" customHeight="false" outlineLevel="0" collapsed="false">
      <c r="A15808" s="0" t="s">
        <v>1243</v>
      </c>
      <c r="B15808" s="0" t="s">
        <v>98</v>
      </c>
      <c r="F15808" s="6" t="n">
        <f aca="false">Sens!F15802-tax_f*(Sens!F15802-Thesis!F147)-Thesis!F144</f>
        <v>-130.362326762856</v>
      </c>
      <c r="G15808" s="6" t="n">
        <f aca="false">Sens!G15802-tax_f*(Sens!G15802-Thesis!G147)-Thesis!G144</f>
        <v>-124.225179337776</v>
      </c>
      <c r="H15808" s="6" t="n">
        <f aca="false">Sens!H15802-tax_f*(Sens!H15802-Thesis!H147)-Thesis!H144</f>
        <v>-101.534217387562</v>
      </c>
      <c r="I15808" s="6" t="n">
        <f aca="false">Sens!I15802-tax_f*(Sens!I15802-Thesis!I147)-Thesis!I144</f>
        <v>-43.6446798695439</v>
      </c>
      <c r="J15808" s="6" t="n">
        <f aca="false">Sens!J15802-tax_f*(Sens!J15802-Thesis!J147)-Thesis!J144</f>
        <v>16.9198855589618</v>
      </c>
      <c r="K15808" s="6" t="n">
        <f aca="false">Sens!K15802-tax_f*(Sens!K15802-Thesis!K147)-Thesis!K144</f>
        <v>39.8251384629271</v>
      </c>
    </row>
    <row r="15809" customFormat="false" ht="17.15" hidden="false" customHeight="false" outlineLevel="0" collapsed="false">
      <c r="A15809" s="0" t="s">
        <v>1244</v>
      </c>
      <c r="B15809" s="0" t="s">
        <v>98</v>
      </c>
      <c r="G15809" s="6" t="n">
        <f aca="false">Sens!G15808/(1+wacc)^(Sens!G15779-Sens!F15780)</f>
        <v>-118.286276192192</v>
      </c>
      <c r="H15809" s="6" t="n">
        <f aca="false">Sens!H15808/(1+wacc)^(Sens!H15779-Sens!F15780)</f>
        <v>-87.6570009910427</v>
      </c>
      <c r="I15809" s="6" t="n">
        <f aca="false">Sens!I15808/(1+wacc)^(Sens!I15779-Sens!F15780)</f>
        <v>-34.1629172979204</v>
      </c>
      <c r="J15809" s="6" t="n">
        <f aca="false">Sens!J15808/(1+wacc)^(Sens!J15779-Sens!F15780)</f>
        <v>12.0079954170053</v>
      </c>
      <c r="K15809" s="6" t="n">
        <f aca="false">Sens!K15808/(1+wacc)^(Sens!K15779-Sens!F15780)</f>
        <v>25.6259421582556</v>
      </c>
      <c r="L15809" s="1" t="s">
        <v>1245</v>
      </c>
    </row>
    <row r="15810" customFormat="false" ht="17.15" hidden="false" customHeight="false" outlineLevel="0" collapsed="false">
      <c r="A15810" s="0" t="s">
        <v>1246</v>
      </c>
      <c r="B15810" s="0" t="s">
        <v>98</v>
      </c>
      <c r="C15810" s="6" t="n">
        <f aca="false">(Sens!K15802-Thesis!K147)*(1-tax_f)*(1+g_tv)*(1-g_tv/(wacc+ronic_prem))/(wacc-g_tv)/(1+wacc)^(Sens!K15780-Sens!F15780)</f>
        <v>96.7148026864948</v>
      </c>
    </row>
    <row r="15811" customFormat="false" ht="17.15" hidden="false" customHeight="false" outlineLevel="0" collapsed="false">
      <c r="A15811" s="1" t="s">
        <v>1247</v>
      </c>
      <c r="B15811" s="0" t="s">
        <v>98</v>
      </c>
      <c r="C15811" s="6" t="n">
        <f aca="false">(SUM(Sens!G15809:K15809)+Sens!$C$15810)*(1+wacc)^(t_roll-Sens!F15780)</f>
        <v>-109.248827617462</v>
      </c>
      <c r="L15811" s="12" t="s">
        <v>1248</v>
      </c>
    </row>
    <row r="15812" customFormat="false" ht="17.15" hidden="false" customHeight="false" outlineLevel="0" collapsed="false">
      <c r="A15812" s="1" t="s">
        <v>1249</v>
      </c>
      <c r="B15812" s="0" t="s">
        <v>98</v>
      </c>
      <c r="C15812" s="6" t="n">
        <f aca="false">(w_ntm28*Thesis!G135+(1-w_ntm28)*Thesis!H135)*m_ai</f>
        <v>344.355829012336</v>
      </c>
    </row>
    <row r="15813" customFormat="false" ht="17.15" hidden="false" customHeight="false" outlineLevel="0" collapsed="false">
      <c r="A15813" s="1" t="s">
        <v>1250</v>
      </c>
      <c r="B15813" s="0" t="s">
        <v>98</v>
      </c>
      <c r="C15813" s="6" t="n">
        <f aca="false">(w_ntm28*Sens!G15804+(1-w_ntm28)*Sens!H15804)*m_own</f>
        <v>1239.35728010088</v>
      </c>
    </row>
    <row r="15814" customFormat="false" ht="17.15" hidden="false" customHeight="false" outlineLevel="0" collapsed="false">
      <c r="A15814" s="1" t="s">
        <v>1251</v>
      </c>
      <c r="B15814" s="0" t="s">
        <v>98</v>
      </c>
      <c r="C15814" s="6" t="n">
        <f aca="false">(w_ntm28*Sens!G15797+(1-w_ntm28)*Sens!H15797)*m_own</f>
        <v>1516.46507146008</v>
      </c>
    </row>
    <row r="15815" customFormat="false" ht="17.15" hidden="false" customHeight="false" outlineLevel="0" collapsed="false">
      <c r="A15815" s="1" t="s">
        <v>1252</v>
      </c>
      <c r="B15815" s="0" t="s">
        <v>98</v>
      </c>
      <c r="C15815" s="6" t="n">
        <f aca="false">(w_ntm28*Sens!G15798+(1-w_ntm28)*Sens!H15798)*m_own</f>
        <v>541.45428078598</v>
      </c>
    </row>
    <row r="15816" customFormat="false" ht="17.15" hidden="false" customHeight="false" outlineLevel="0" collapsed="false">
      <c r="A15816" s="1" t="s">
        <v>1253</v>
      </c>
      <c r="B15816" s="0" t="s">
        <v>98</v>
      </c>
      <c r="C15816" s="6" t="n">
        <f aca="false">(w_ntm28*Sens!G15799+(1-w_ntm28)*Sens!H15799)*m_own</f>
        <v>158.587013147725</v>
      </c>
    </row>
    <row r="15817" customFormat="false" ht="17.15" hidden="false" customHeight="false" outlineLevel="0" collapsed="false">
      <c r="A15817" s="1" t="s">
        <v>1254</v>
      </c>
      <c r="B15817" s="0" t="s">
        <v>98</v>
      </c>
      <c r="C15817" s="6" t="n">
        <f aca="false">(w_ntm28*Sens!G15800+(1-w_ntm28)*Sens!H15800)*m_own</f>
        <v>60.2904754921563</v>
      </c>
    </row>
    <row r="15818" customFormat="false" ht="17.15" hidden="false" customHeight="false" outlineLevel="0" collapsed="false">
      <c r="A15818" s="1" t="s">
        <v>1255</v>
      </c>
      <c r="B15818" s="0" t="s">
        <v>98</v>
      </c>
      <c r="C15818" s="6" t="n">
        <f aca="false">(w_ntm28*Sens!G15801+(1-w_ntm28)*Sens!H15801)*m_own</f>
        <v>198.181465742949</v>
      </c>
    </row>
    <row r="15819" customFormat="false" ht="17.15" hidden="false" customHeight="false" outlineLevel="0" collapsed="false">
      <c r="A15819" s="1" t="s">
        <v>1256</v>
      </c>
      <c r="B15819" s="0" t="s">
        <v>98</v>
      </c>
      <c r="C15819" s="6" t="n">
        <f aca="false">(w_ntm28*Sens!G15806+(1-w_ntm28)*Sens!H15806)*m_own</f>
        <v>122.562645398569</v>
      </c>
    </row>
    <row r="15820" customFormat="false" ht="17.15" hidden="false" customHeight="false" outlineLevel="0" collapsed="false">
      <c r="A15820" s="1" t="s">
        <v>1257</v>
      </c>
      <c r="B15820" s="0" t="s">
        <v>98</v>
      </c>
      <c r="C15820" s="6" t="n">
        <f aca="false">(w_ntm28*Sens!G15807+(1-w_ntm28)*Sens!H15807)*m_own</f>
        <v>99.1786945583003</v>
      </c>
    </row>
    <row r="15821" customFormat="false" ht="17.15" hidden="false" customHeight="false" outlineLevel="0" collapsed="false">
      <c r="A15821" s="1" t="s">
        <v>1258</v>
      </c>
      <c r="B15821" s="0" t="s">
        <v>98</v>
      </c>
      <c r="C15821" s="6" t="n">
        <f aca="false">Sens!$C$15811+Sens!$C$15813+Sens!$C$15814+Sens!$C$15815+Sens!$C$15816+Sens!$C$15817+Sens!$C$15818+Sens!$C$15819+Sens!$C$15820</f>
        <v>3826.82809906918</v>
      </c>
    </row>
    <row r="15822" customFormat="false" ht="17.15" hidden="false" customHeight="false" outlineLevel="0" collapsed="false">
      <c r="A15822" s="1" t="s">
        <v>1259</v>
      </c>
      <c r="B15822" s="0" t="s">
        <v>98</v>
      </c>
      <c r="C15822" s="6" t="n">
        <f aca="false">(Sens!G15783-Sens!G15808)*t_stub</f>
        <v>47.4829168796038</v>
      </c>
      <c r="L15822" s="1" t="s">
        <v>1260</v>
      </c>
    </row>
    <row r="15823" customFormat="false" ht="17.15" hidden="false" customHeight="false" outlineLevel="0" collapsed="false">
      <c r="A15823" s="1" t="s">
        <v>1169</v>
      </c>
      <c r="B15823" s="0" t="s">
        <v>98</v>
      </c>
      <c r="C15823" s="6" t="n">
        <f aca="false">CF!F103+oai_v-CF!F92+Sens!$C$15822</f>
        <v>158.55427008544</v>
      </c>
      <c r="L15823" s="1" t="s">
        <v>1261</v>
      </c>
    </row>
    <row r="15824" customFormat="false" ht="17.15" hidden="false" customHeight="false" outlineLevel="0" collapsed="false">
      <c r="A15824" s="1" t="s">
        <v>1262</v>
      </c>
      <c r="B15824" s="0" t="s">
        <v>75</v>
      </c>
      <c r="C15824" s="5" t="n">
        <f aca="false">(Sens!$C$15821+Sens!$C$15823)/(CF!F105+dil_gap)-CF!G95*roll_div_q/q_per_yr</f>
        <v>530.628372085728</v>
      </c>
      <c r="L15824" s="1" t="s">
        <v>1263</v>
      </c>
    </row>
    <row r="15825" customFormat="false" ht="17.15" hidden="false" customHeight="false" outlineLevel="0" collapsed="false">
      <c r="A15825" s="1" t="s">
        <v>1264</v>
      </c>
      <c r="B15825" s="0" t="s">
        <v>75</v>
      </c>
      <c r="C15825" s="5" t="n">
        <f aca="false">w_dcf*Sens!$C$15795+(1-w_dcf)*Sens!$C$15824</f>
        <v>405.650517632724</v>
      </c>
    </row>
    <row r="15826" customFormat="false" ht="17.15" hidden="false" customHeight="false" outlineLevel="0" collapsed="false">
      <c r="A15826" s="3" t="s">
        <v>1869</v>
      </c>
    </row>
    <row r="15827" customFormat="false" ht="15" hidden="false" customHeight="false" outlineLevel="0" collapsed="false">
      <c r="A15827" s="4" t="s">
        <v>43</v>
      </c>
      <c r="B15827" s="4" t="s">
        <v>65</v>
      </c>
      <c r="C15827" s="23" t="s">
        <v>938</v>
      </c>
      <c r="D15827" s="23" t="s">
        <v>939</v>
      </c>
      <c r="E15827" s="23" t="s">
        <v>940</v>
      </c>
      <c r="F15827" s="23" t="s">
        <v>941</v>
      </c>
      <c r="G15827" s="23" t="s">
        <v>942</v>
      </c>
      <c r="H15827" s="23" t="s">
        <v>943</v>
      </c>
      <c r="I15827" s="23" t="s">
        <v>944</v>
      </c>
      <c r="J15827" s="23" t="s">
        <v>945</v>
      </c>
      <c r="K15827" s="23" t="s">
        <v>946</v>
      </c>
      <c r="L15827" s="4" t="s">
        <v>47</v>
      </c>
    </row>
    <row r="15828" customFormat="false" ht="17.15" hidden="false" customHeight="false" outlineLevel="0" collapsed="false">
      <c r="A15828" s="1" t="s">
        <v>947</v>
      </c>
      <c r="B15828" s="1" t="s">
        <v>279</v>
      </c>
      <c r="C15828" s="21" t="n">
        <v>2024</v>
      </c>
      <c r="D15828" s="21" t="n">
        <v>2025</v>
      </c>
      <c r="E15828" s="21" t="n">
        <v>2026</v>
      </c>
      <c r="F15828" s="21" t="n">
        <v>2027</v>
      </c>
      <c r="G15828" s="21" t="n">
        <v>2028</v>
      </c>
      <c r="H15828" s="21" t="n">
        <v>2029</v>
      </c>
      <c r="I15828" s="21" t="n">
        <v>2030</v>
      </c>
      <c r="J15828" s="21" t="n">
        <v>2031</v>
      </c>
      <c r="K15828" s="21" t="n">
        <v>2032</v>
      </c>
    </row>
    <row r="15829" customFormat="false" ht="17.15" hidden="false" customHeight="false" outlineLevel="0" collapsed="false">
      <c r="A15829" s="1" t="s">
        <v>948</v>
      </c>
      <c r="B15829" s="0" t="s">
        <v>456</v>
      </c>
      <c r="F15829" s="30" t="n">
        <f aca="false">pace_epoch</f>
        <v>650</v>
      </c>
      <c r="G15829" s="30" t="n">
        <f aca="false">pace_epoch</f>
        <v>650</v>
      </c>
      <c r="H15829" s="30" t="n">
        <f aca="false">pace_epoch</f>
        <v>650</v>
      </c>
      <c r="I15829" s="30" t="n">
        <f aca="false">pace_epoch+(g_tv*Sens!H15830-pace_epoch)*MIN(1,(Sens!I15828-pace_y0)/(pace_y1-pace_y0))</f>
        <v>477.193333333333</v>
      </c>
      <c r="J15829" s="30" t="n">
        <f aca="false">pace_epoch+(g_tv*Sens!I15830-pace_epoch)*MIN(1,(Sens!J15828-pace_y0)/(pace_y1-pace_y0))</f>
        <v>304.386666666667</v>
      </c>
      <c r="K15829" s="30" t="n">
        <f aca="false">pace_epoch+(g_tv*Sens!J15830-pace_epoch)*MIN(1,(Sens!K15828-pace_y0)/(pace_y1-pace_y0))</f>
        <v>131.58</v>
      </c>
      <c r="L15829" s="12" t="s">
        <v>949</v>
      </c>
    </row>
    <row r="15830" customFormat="false" ht="17.15" hidden="false" customHeight="false" outlineLevel="0" collapsed="false">
      <c r="A15830" s="1" t="s">
        <v>950</v>
      </c>
      <c r="B15830" s="0" t="s">
        <v>456</v>
      </c>
      <c r="C15830" s="30" t="n">
        <f aca="false">mw_ext_24</f>
        <v>640</v>
      </c>
      <c r="D15830" s="30" t="n">
        <f aca="false">mw_ext_25</f>
        <v>1630</v>
      </c>
      <c r="E15830" s="30" t="n">
        <f aca="false">mw_ext_26</f>
        <v>3250</v>
      </c>
      <c r="F15830" s="30" t="n">
        <f aca="false">MIN(cap_epoch,Sens!E15830+Sens!F15829)</f>
        <v>3900</v>
      </c>
      <c r="G15830" s="30" t="n">
        <f aca="false">MIN(cap_epoch,Sens!F15830+Sens!G15829)</f>
        <v>4386</v>
      </c>
      <c r="H15830" s="30" t="n">
        <f aca="false">MIN(cap_epoch,Sens!G15830+Sens!H15829)</f>
        <v>4386</v>
      </c>
      <c r="I15830" s="30" t="n">
        <f aca="false">MIN(cap_epoch,Sens!H15830+Sens!I15829)</f>
        <v>4386</v>
      </c>
      <c r="J15830" s="30" t="n">
        <f aca="false">MIN(cap_epoch,Sens!I15830+Sens!J15829)</f>
        <v>4386</v>
      </c>
      <c r="K15830" s="30" t="n">
        <f aca="false">MIN(cap_epoch,Sens!J15830+Sens!K15829)</f>
        <v>4386</v>
      </c>
      <c r="L15830" s="1" t="s">
        <v>951</v>
      </c>
    </row>
    <row r="15831" customFormat="false" ht="17.15" hidden="false" customHeight="false" outlineLevel="0" collapsed="false">
      <c r="A15831" s="1" t="s">
        <v>952</v>
      </c>
      <c r="B15831" s="0" t="s">
        <v>456</v>
      </c>
      <c r="C15831" s="30" t="n">
        <f aca="false">rent_ext_24</f>
        <v>150</v>
      </c>
      <c r="D15831" s="30" t="n">
        <f aca="false">rent_ext_25</f>
        <v>400</v>
      </c>
      <c r="E15831" s="30" t="n">
        <f aca="false">rent_ext_26</f>
        <v>550</v>
      </c>
      <c r="F15831" s="30" t="n">
        <f aca="false">rent_ext_f</f>
        <v>756</v>
      </c>
      <c r="G15831" s="30" t="n">
        <f aca="false">rent_ext_f</f>
        <v>756</v>
      </c>
      <c r="H15831" s="30" t="n">
        <f aca="false">rent_ext_f</f>
        <v>756</v>
      </c>
      <c r="I15831" s="30" t="n">
        <f aca="false">rent_ext_f</f>
        <v>756</v>
      </c>
      <c r="J15831" s="30" t="n">
        <f aca="false">rent_ext_f</f>
        <v>756</v>
      </c>
      <c r="K15831" s="30" t="n">
        <f aca="false">rent_ext_f</f>
        <v>756</v>
      </c>
      <c r="L15831" s="1" t="s">
        <v>953</v>
      </c>
    </row>
    <row r="15832" customFormat="false" ht="17.15" hidden="false" customHeight="false" outlineLevel="0" collapsed="false">
      <c r="A15832" s="1" t="s">
        <v>954</v>
      </c>
      <c r="B15832" s="0" t="s">
        <v>456</v>
      </c>
      <c r="C15832" s="30" t="n">
        <f aca="false">Sens!C15830-Sens!C15831</f>
        <v>490</v>
      </c>
      <c r="D15832" s="30" t="n">
        <f aca="false">Sens!D15830-Sens!D15831</f>
        <v>1230</v>
      </c>
      <c r="E15832" s="30" t="n">
        <f aca="false">Sens!E15830-Sens!E15831</f>
        <v>2700</v>
      </c>
      <c r="F15832" s="30" t="n">
        <f aca="false">Sens!F15830-Sens!F15831</f>
        <v>3144</v>
      </c>
      <c r="G15832" s="30" t="n">
        <f aca="false">Sens!G15830-Sens!G15831</f>
        <v>3630</v>
      </c>
      <c r="H15832" s="30" t="n">
        <f aca="false">Sens!H15830-Sens!H15831</f>
        <v>3630</v>
      </c>
      <c r="I15832" s="30" t="n">
        <f aca="false">Sens!I15830-Sens!I15831</f>
        <v>3630</v>
      </c>
      <c r="J15832" s="30" t="n">
        <f aca="false">Sens!J15830-Sens!J15831</f>
        <v>3630</v>
      </c>
      <c r="K15832" s="30" t="n">
        <f aca="false">Sens!K15830-Sens!K15831</f>
        <v>3630</v>
      </c>
    </row>
    <row r="15833" customFormat="false" ht="17.15" hidden="false" customHeight="false" outlineLevel="0" collapsed="false">
      <c r="A15833" s="1" t="s">
        <v>955</v>
      </c>
      <c r="B15833" s="0" t="s">
        <v>456</v>
      </c>
      <c r="C15833" s="30" t="n">
        <f aca="false">Sens!C15832/ext_sh</f>
        <v>816.666666666667</v>
      </c>
      <c r="D15833" s="30" t="n">
        <f aca="false">Sens!D15832/ext_sh</f>
        <v>2050</v>
      </c>
      <c r="E15833" s="30" t="n">
        <f aca="false">Sens!E15832/ext_sh</f>
        <v>4500</v>
      </c>
      <c r="F15833" s="30" t="n">
        <f aca="false">Sens!F15832/ext_sh</f>
        <v>5240</v>
      </c>
      <c r="G15833" s="30" t="n">
        <f aca="false">Sens!G15832/ext_sh</f>
        <v>6050</v>
      </c>
      <c r="H15833" s="30" t="n">
        <f aca="false">Sens!H15832/ext_sh</f>
        <v>6050</v>
      </c>
      <c r="I15833" s="30" t="n">
        <f aca="false">Sens!I15832/ext_sh</f>
        <v>6050</v>
      </c>
      <c r="J15833" s="30" t="n">
        <f aca="false">Sens!J15832/ext_sh</f>
        <v>6050</v>
      </c>
      <c r="K15833" s="30" t="n">
        <f aca="false">Sens!K15832/ext_sh</f>
        <v>6050</v>
      </c>
      <c r="L15833" s="1" t="s">
        <v>956</v>
      </c>
    </row>
    <row r="15834" customFormat="false" ht="17.15" hidden="false" customHeight="false" outlineLevel="0" collapsed="false">
      <c r="A15834" s="1" t="s">
        <v>957</v>
      </c>
      <c r="B15834" s="0" t="s">
        <v>456</v>
      </c>
      <c r="C15834" s="30" t="n">
        <f aca="false">Sens!C15833-Sens!C15832</f>
        <v>326.666666666667</v>
      </c>
      <c r="D15834" s="30" t="n">
        <f aca="false">Sens!D15833-Sens!D15832</f>
        <v>820</v>
      </c>
      <c r="E15834" s="30" t="n">
        <f aca="false">Sens!E15833-Sens!E15832</f>
        <v>1800</v>
      </c>
      <c r="F15834" s="30" t="n">
        <f aca="false">Sens!F15833-Sens!F15832</f>
        <v>2096</v>
      </c>
      <c r="G15834" s="30" t="n">
        <f aca="false">Sens!G15833-Sens!G15832</f>
        <v>2420</v>
      </c>
      <c r="H15834" s="30" t="n">
        <f aca="false">Sens!H15833-Sens!H15832</f>
        <v>2420</v>
      </c>
      <c r="I15834" s="30" t="n">
        <f aca="false">Sens!I15833-Sens!I15832</f>
        <v>2420</v>
      </c>
      <c r="J15834" s="30" t="n">
        <f aca="false">Sens!J15833-Sens!J15832</f>
        <v>2420</v>
      </c>
      <c r="K15834" s="30" t="n">
        <f aca="false">Sens!K15833-Sens!K15832</f>
        <v>2420</v>
      </c>
    </row>
    <row r="15835" customFormat="false" ht="17.15" hidden="false" customHeight="false" outlineLevel="0" collapsed="false">
      <c r="A15835" s="1" t="s">
        <v>958</v>
      </c>
      <c r="B15835" s="0" t="s">
        <v>456</v>
      </c>
      <c r="C15835" s="30" t="n">
        <f aca="false">Sens!C15833</f>
        <v>816.666666666667</v>
      </c>
      <c r="D15835" s="30" t="n">
        <f aca="false">Sens!D15833-Sens!C15833</f>
        <v>1233.33333333333</v>
      </c>
      <c r="E15835" s="30" t="n">
        <f aca="false">Sens!E15833-Sens!D15833</f>
        <v>2450</v>
      </c>
      <c r="F15835" s="30" t="n">
        <f aca="false">Sens!F15833-Sens!E15833</f>
        <v>740</v>
      </c>
      <c r="G15835" s="30" t="n">
        <f aca="false">Sens!G15833-Sens!F15833</f>
        <v>810</v>
      </c>
      <c r="H15835" s="30" t="n">
        <f aca="false">Sens!H15833-Sens!G15833</f>
        <v>0</v>
      </c>
      <c r="I15835" s="30" t="n">
        <f aca="false">Sens!I15833-Sens!H15833</f>
        <v>0</v>
      </c>
      <c r="J15835" s="30" t="n">
        <f aca="false">Sens!J15833-Sens!I15833</f>
        <v>0</v>
      </c>
      <c r="K15835" s="30" t="n">
        <f aca="false">Sens!K15833-Sens!J15833</f>
        <v>0</v>
      </c>
    </row>
    <row r="15836" customFormat="false" ht="17.15" hidden="false" customHeight="false" outlineLevel="0" collapsed="false">
      <c r="A15836" s="1" t="s">
        <v>959</v>
      </c>
      <c r="B15836" s="0" t="s">
        <v>456</v>
      </c>
      <c r="D15836" s="30" t="n">
        <f aca="false">Sens!D15830-Sens!C15830</f>
        <v>990</v>
      </c>
      <c r="E15836" s="30" t="n">
        <f aca="false">Sens!E15830-Sens!D15830</f>
        <v>1620</v>
      </c>
      <c r="F15836" s="30" t="n">
        <f aca="false">Sens!F15830-Sens!E15830</f>
        <v>650</v>
      </c>
      <c r="G15836" s="30" t="n">
        <f aca="false">Sens!G15830-Sens!F15830</f>
        <v>486</v>
      </c>
      <c r="H15836" s="30" t="n">
        <f aca="false">Sens!H15830-Sens!G15830</f>
        <v>0</v>
      </c>
      <c r="I15836" s="30" t="n">
        <f aca="false">Sens!I15830-Sens!H15830</f>
        <v>0</v>
      </c>
      <c r="J15836" s="30" t="n">
        <f aca="false">Sens!J15830-Sens!I15830</f>
        <v>0</v>
      </c>
      <c r="K15836" s="30" t="n">
        <f aca="false">Sens!K15830-Sens!J15830</f>
        <v>0</v>
      </c>
    </row>
    <row r="15837" customFormat="false" ht="17.15" hidden="false" customHeight="false" outlineLevel="0" collapsed="false">
      <c r="A15837" s="1" t="s">
        <v>960</v>
      </c>
      <c r="B15837" s="0" t="s">
        <v>456</v>
      </c>
      <c r="F15837" s="30" t="n">
        <f aca="false">Sens!F15856*ext_sh</f>
        <v>0</v>
      </c>
      <c r="G15837" s="30" t="n">
        <f aca="false">Sens!G15856*ext_sh</f>
        <v>0</v>
      </c>
      <c r="H15837" s="30" t="n">
        <f aca="false">Sens!H15856*ext_sh</f>
        <v>0</v>
      </c>
      <c r="I15837" s="30" t="n">
        <f aca="false">Sens!I15856*ext_sh</f>
        <v>490</v>
      </c>
      <c r="J15837" s="30" t="n">
        <f aca="false">Sens!J15856*ext_sh</f>
        <v>740</v>
      </c>
      <c r="K15837" s="30" t="n">
        <f aca="false">Sens!K15856*ext_sh</f>
        <v>1470</v>
      </c>
      <c r="L15837" s="1" t="s">
        <v>961</v>
      </c>
    </row>
    <row r="15838" customFormat="false" ht="17.15" hidden="false" customHeight="false" outlineLevel="0" collapsed="false">
      <c r="A15838" s="1" t="s">
        <v>962</v>
      </c>
      <c r="B15838" s="0" t="s">
        <v>456</v>
      </c>
      <c r="C15838" s="30" t="n">
        <f aca="false">mix_h*Sens!C15830</f>
        <v>128</v>
      </c>
      <c r="D15838" s="30" t="n">
        <f aca="false">mix_h*Sens!D15830</f>
        <v>326</v>
      </c>
      <c r="E15838" s="30" t="n">
        <f aca="false">mix_h*Sens!E15830</f>
        <v>650</v>
      </c>
      <c r="F15838" s="30" t="n">
        <f aca="false">Sens!E15838-Sens!F15837*mix_h</f>
        <v>650</v>
      </c>
      <c r="G15838" s="30" t="n">
        <f aca="false">Sens!F15838-Sens!G15837*mix_h</f>
        <v>650</v>
      </c>
      <c r="H15838" s="30" t="n">
        <f aca="false">Sens!G15838-Sens!H15837*mix_h</f>
        <v>650</v>
      </c>
      <c r="I15838" s="30" t="n">
        <f aca="false">Sens!H15838-Sens!I15837*mix_h</f>
        <v>552</v>
      </c>
      <c r="J15838" s="30" t="n">
        <f aca="false">Sens!I15838-Sens!J15837*mix_h</f>
        <v>404</v>
      </c>
      <c r="K15838" s="30" t="n">
        <f aca="false">Sens!J15838-Sens!K15837*mix_h</f>
        <v>110</v>
      </c>
    </row>
    <row r="15839" customFormat="false" ht="17.15" hidden="false" customHeight="false" outlineLevel="0" collapsed="false">
      <c r="A15839" s="1" t="s">
        <v>963</v>
      </c>
      <c r="B15839" s="0" t="s">
        <v>456</v>
      </c>
      <c r="C15839" s="30" t="n">
        <f aca="false">mix_g2*Sens!C15830</f>
        <v>288</v>
      </c>
      <c r="D15839" s="30" t="n">
        <f aca="false">mix_g2*Sens!D15830</f>
        <v>733.5</v>
      </c>
      <c r="E15839" s="30" t="n">
        <f aca="false">mix_g2*Sens!E15830</f>
        <v>1462.5</v>
      </c>
      <c r="F15839" s="30" t="n">
        <f aca="false">Sens!E15839-Sens!F15837*mix_g2</f>
        <v>1462.5</v>
      </c>
      <c r="G15839" s="30" t="n">
        <f aca="false">Sens!F15839-Sens!G15837*mix_g2</f>
        <v>1462.5</v>
      </c>
      <c r="H15839" s="30" t="n">
        <f aca="false">Sens!G15839-Sens!H15837*mix_g2</f>
        <v>1462.5</v>
      </c>
      <c r="I15839" s="30" t="n">
        <f aca="false">Sens!H15839-Sens!I15837*mix_g2</f>
        <v>1242</v>
      </c>
      <c r="J15839" s="30" t="n">
        <f aca="false">Sens!I15839-Sens!J15837*mix_g2</f>
        <v>909</v>
      </c>
      <c r="K15839" s="30" t="n">
        <f aca="false">Sens!J15839-Sens!K15837*mix_g2</f>
        <v>247.5</v>
      </c>
    </row>
    <row r="15840" customFormat="false" ht="17.15" hidden="false" customHeight="false" outlineLevel="0" collapsed="false">
      <c r="A15840" s="1" t="s">
        <v>964</v>
      </c>
      <c r="B15840" s="0" t="s">
        <v>456</v>
      </c>
      <c r="C15840" s="30" t="n">
        <f aca="false">mix_g3*Sens!C15830</f>
        <v>224</v>
      </c>
      <c r="D15840" s="30" t="n">
        <f aca="false">mix_g3*Sens!D15830</f>
        <v>570.5</v>
      </c>
      <c r="E15840" s="30" t="n">
        <f aca="false">mix_g3*Sens!E15830</f>
        <v>1137.5</v>
      </c>
      <c r="F15840" s="30" t="n">
        <f aca="false">Sens!E15840+(Sens!F15836+Sens!F15837)*(a_g3_27-nonnv*a_mai)-Sens!F15837*mix_g3</f>
        <v>1527.5</v>
      </c>
      <c r="G15840" s="30" t="n">
        <f aca="false">Sens!F15840+(Sens!G15836+Sens!G15837)*(a_g3_28-nonnv*a_mai)-Sens!G15837*mix_g3</f>
        <v>1624.7</v>
      </c>
      <c r="H15840" s="30" t="n">
        <f aca="false">Sens!G15840+(Sens!H15836+Sens!H15837)*(a_g3_29-nonnv*a_mai)-Sens!H15837*mix_g3</f>
        <v>1624.7</v>
      </c>
      <c r="I15840" s="30" t="n">
        <f aca="false">Sens!H15840+(Sens!I15836+Sens!I15837)*(a_g3_29-nonnv*a_mai)-Sens!I15837*mix_g3</f>
        <v>1453.2</v>
      </c>
      <c r="J15840" s="30" t="n">
        <f aca="false">Sens!I15840+(Sens!J15836+Sens!J15837)*(a_g3_29-nonnv*a_mai)-Sens!J15837*mix_g3</f>
        <v>1194.2</v>
      </c>
      <c r="K15840" s="30" t="n">
        <f aca="false">Sens!J15840+(Sens!K15836+Sens!K15837)*(a_g3_29-nonnv*a_mai)-Sens!K15837*mix_g3</f>
        <v>679.7</v>
      </c>
    </row>
    <row r="15841" customFormat="false" ht="17.15" hidden="false" customHeight="false" outlineLevel="0" collapsed="false">
      <c r="A15841" s="1" t="s">
        <v>965</v>
      </c>
      <c r="B15841" s="0" t="s">
        <v>456</v>
      </c>
      <c r="C15841" s="30" t="n">
        <v>0</v>
      </c>
      <c r="D15841" s="30" t="n">
        <v>0</v>
      </c>
      <c r="E15841" s="30" t="n">
        <v>0</v>
      </c>
      <c r="F15841" s="30" t="n">
        <f aca="false">Sens!E15841+(Sens!F15836+Sens!F15837)*nonnv*a_mai</f>
        <v>65</v>
      </c>
      <c r="G15841" s="30" t="n">
        <f aca="false">Sens!F15841+(Sens!G15836+Sens!G15837)*nonnv*a_mai</f>
        <v>113.6</v>
      </c>
      <c r="H15841" s="30" t="n">
        <f aca="false">Sens!G15841+(Sens!H15836+Sens!H15837)*nonnv*a_mai</f>
        <v>113.6</v>
      </c>
      <c r="I15841" s="30" t="n">
        <f aca="false">Sens!H15841+(Sens!I15836+Sens!I15837)*nonnv*a_mai</f>
        <v>162.6</v>
      </c>
      <c r="J15841" s="30" t="n">
        <f aca="false">Sens!I15841+(Sens!J15836+Sens!J15837)*nonnv*a_mai</f>
        <v>236.6</v>
      </c>
      <c r="K15841" s="30" t="n">
        <f aca="false">Sens!J15841+(Sens!K15836+Sens!K15837)*nonnv*a_mai</f>
        <v>383.6</v>
      </c>
      <c r="L15841" s="12" t="s">
        <v>966</v>
      </c>
    </row>
    <row r="15842" customFormat="false" ht="17.15" hidden="false" customHeight="false" outlineLevel="0" collapsed="false">
      <c r="A15842" s="1" t="s">
        <v>967</v>
      </c>
      <c r="B15842" s="0" t="s">
        <v>456</v>
      </c>
      <c r="C15842" s="30" t="n">
        <v>0</v>
      </c>
      <c r="D15842" s="30" t="n">
        <v>0</v>
      </c>
      <c r="E15842" s="30" t="n">
        <v>0</v>
      </c>
      <c r="F15842" s="30" t="n">
        <f aca="false">Sens!E15842+(Sens!F15836+Sens!F15837)*(1-a_g3_27)</f>
        <v>195</v>
      </c>
      <c r="G15842" s="30" t="n">
        <f aca="false">Sens!F15842+(Sens!G15836+Sens!G15837)*(1-a_g3_28)</f>
        <v>535.2</v>
      </c>
      <c r="H15842" s="30" t="n">
        <f aca="false">Sens!G15842+(Sens!H15836+Sens!H15837)*(1-a_g3_29)</f>
        <v>535.2</v>
      </c>
      <c r="I15842" s="30" t="n">
        <f aca="false">Sens!H15842+(Sens!I15836+Sens!I15837)*(1-a_g3_29)</f>
        <v>976.2</v>
      </c>
      <c r="J15842" s="30" t="n">
        <f aca="false">Sens!I15842+(Sens!J15836+Sens!J15837)*(1-a_g3_29)</f>
        <v>1642.2</v>
      </c>
      <c r="K15842" s="30" t="n">
        <f aca="false">Sens!J15842+(Sens!K15836+Sens!K15837)*(1-a_g3_29)</f>
        <v>2965.2</v>
      </c>
    </row>
    <row r="15843" customFormat="false" ht="17.15" hidden="false" customHeight="false" outlineLevel="0" collapsed="false">
      <c r="A15843" s="1" t="s">
        <v>968</v>
      </c>
      <c r="B15843" s="0" t="s">
        <v>403</v>
      </c>
      <c r="C15843" s="15" t="n">
        <f aca="false">(Sens!C15838*tk_hold_h100+Sens!C15839*tk_hold_gb200+Sens!C15840*tk_hold_gb300+Sens!C15842*tk_hold_vr200+Sens!C15841*nv_hold_mai*tk_hold_vr200)/Sens!C15830</f>
        <v>9.7235358126469</v>
      </c>
      <c r="D15843" s="15" t="n">
        <f aca="false">(Sens!D15838*tk_hold_h100+Sens!D15839*tk_hold_gb200+Sens!D15840*tk_hold_gb300+Sens!D15842*tk_hold_vr200+Sens!D15841*nv_hold_mai*tk_hold_vr200)/Sens!D15830</f>
        <v>9.7235358126469</v>
      </c>
      <c r="E15843" s="15" t="n">
        <f aca="false">(Sens!E15838*tk_hold_h100+Sens!E15839*tk_hold_gb200+Sens!E15840*tk_hold_gb300+Sens!E15842*tk_hold_vr200+Sens!E15841*nv_hold_mai*tk_hold_vr200)/Sens!E15830</f>
        <v>9.7235358126469</v>
      </c>
      <c r="F15843" s="15" t="n">
        <f aca="false">(Sens!F15838*tk_hold_h100+Sens!F15839*tk_hold_gb200+Sens!F15840*tk_hold_gb300+Sens!F15842*tk_hold_vr200+Sens!F15841*nv_hold_mai*tk_hold_vr200)/Sens!F15830</f>
        <v>9.9047400860175</v>
      </c>
      <c r="G15843" s="15" t="n">
        <f aca="false">(Sens!G15838*tk_hold_h100+Sens!G15839*tk_hold_gb200+Sens!G15840*tk_hold_gb300+Sens!G15842*tk_hold_vr200+Sens!G15841*nv_hold_mai*tk_hold_vr200)/Sens!G15830</f>
        <v>10.0644846479809</v>
      </c>
      <c r="H15843" s="15" t="n">
        <f aca="false">(Sens!H15838*tk_hold_h100+Sens!H15839*tk_hold_gb200+Sens!H15840*tk_hold_gb300+Sens!H15842*tk_hold_vr200+Sens!H15841*nv_hold_mai*tk_hold_vr200)/Sens!H15830</f>
        <v>10.0644846479809</v>
      </c>
      <c r="I15843" s="15" t="n">
        <f aca="false">(Sens!I15838*tk_hold_h100+Sens!I15839*tk_hold_gb200+Sens!I15840*tk_hold_gb300+Sens!I15842*tk_hold_vr200+Sens!I15841*nv_hold_mai*tk_hold_vr200)/Sens!I15830</f>
        <v>10.2757076768083</v>
      </c>
      <c r="J15843" s="15" t="n">
        <f aca="false">(Sens!J15838*tk_hold_h100+Sens!J15839*tk_hold_gb200+Sens!J15840*tk_hold_gb300+Sens!J15842*tk_hold_vr200+Sens!J15841*nv_hold_mai*tk_hold_vr200)/Sens!J15830</f>
        <v>10.5946975570782</v>
      </c>
      <c r="K15843" s="15" t="n">
        <f aca="false">(Sens!K15838*tk_hold_h100+Sens!K15839*tk_hold_gb200+Sens!K15840*tk_hold_gb300+Sens!K15842*tk_hold_vr200+Sens!K15841*nv_hold_mai*tk_hold_vr200)/Sens!K15830</f>
        <v>11.2283666435604</v>
      </c>
      <c r="L15843" s="1" t="s">
        <v>969</v>
      </c>
    </row>
    <row r="15844" customFormat="false" ht="17.15" hidden="false" customHeight="false" outlineLevel="0" collapsed="false">
      <c r="A15844" s="1" t="s">
        <v>970</v>
      </c>
      <c r="B15844" s="0" t="s">
        <v>403</v>
      </c>
      <c r="C15844" s="15" t="n">
        <f aca="false">(Sens!C15838*tk_hold_h100+Sens!C15839*tk_hold_gb200+Sens!C15840*tk_hold_gb300+Sens!C15842*tk_hold_vr200+Sens!C15841*nv_out_mai*tk_hold_vr200)/Sens!C15830</f>
        <v>9.7235358126469</v>
      </c>
      <c r="D15844" s="15" t="n">
        <f aca="false">(Sens!D15838*tk_hold_h100+Sens!D15839*tk_hold_gb200+Sens!D15840*tk_hold_gb300+Sens!D15842*tk_hold_vr200+Sens!D15841*nv_out_mai*tk_hold_vr200)/Sens!D15830</f>
        <v>9.7235358126469</v>
      </c>
      <c r="E15844" s="15" t="n">
        <f aca="false">(Sens!E15838*tk_hold_h100+Sens!E15839*tk_hold_gb200+Sens!E15840*tk_hold_gb300+Sens!E15842*tk_hold_vr200+Sens!E15841*nv_out_mai*tk_hold_vr200)/Sens!E15830</f>
        <v>9.7235358126469</v>
      </c>
      <c r="F15844" s="15" t="n">
        <f aca="false">(Sens!F15838*tk_hold_h100+Sens!F15839*tk_hold_gb200+Sens!F15840*tk_hold_gb300+Sens!F15842*tk_hold_vr200+Sens!F15841*nv_out_mai*tk_hold_vr200)/Sens!F15830</f>
        <v>9.91492797852132</v>
      </c>
      <c r="G15844" s="15" t="n">
        <f aca="false">(Sens!G15838*tk_hold_h100+Sens!G15839*tk_hold_gb200+Sens!G15840*tk_hold_gb300+Sens!G15842*tk_hold_vr200+Sens!G15841*nv_out_mai*tk_hold_vr200)/Sens!G15830</f>
        <v>10.0803169952919</v>
      </c>
      <c r="H15844" s="15" t="n">
        <f aca="false">(Sens!H15838*tk_hold_h100+Sens!H15839*tk_hold_gb200+Sens!H15840*tk_hold_gb300+Sens!H15842*tk_hold_vr200+Sens!H15841*nv_out_mai*tk_hold_vr200)/Sens!H15830</f>
        <v>10.0803169952919</v>
      </c>
      <c r="I15844" s="15" t="n">
        <f aca="false">(Sens!I15838*tk_hold_h100+Sens!I15839*tk_hold_gb200+Sens!I15840*tk_hold_gb300+Sens!I15842*tk_hold_vr200+Sens!I15841*nv_out_mai*tk_hold_vr200)/Sens!I15830</f>
        <v>10.2983691175897</v>
      </c>
      <c r="J15844" s="15" t="n">
        <f aca="false">(Sens!J15838*tk_hold_h100+Sens!J15839*tk_hold_gb200+Sens!J15840*tk_hold_gb300+Sens!J15842*tk_hold_vr200+Sens!J15841*nv_out_mai*tk_hold_vr200)/Sens!J15830</f>
        <v>10.6276723226925</v>
      </c>
      <c r="K15844" s="15" t="n">
        <f aca="false">(Sens!K15838*tk_hold_h100+Sens!K15839*tk_hold_gb200+Sens!K15840*tk_hold_gb300+Sens!K15842*tk_hold_vr200+Sens!K15841*nv_out_mai*tk_hold_vr200)/Sens!K15830</f>
        <v>11.2818286895859</v>
      </c>
      <c r="L15844" s="12" t="s">
        <v>971</v>
      </c>
    </row>
    <row r="15845" customFormat="false" ht="17.15" hidden="false" customHeight="false" outlineLevel="0" collapsed="false">
      <c r="A15845" s="0" t="s">
        <v>972</v>
      </c>
      <c r="B15845" s="0" t="s">
        <v>229</v>
      </c>
      <c r="C15845" s="15" t="n">
        <f aca="false">k_B</f>
        <v>1.17213932619116</v>
      </c>
      <c r="D15845" s="15" t="n">
        <f aca="false">k_B</f>
        <v>1.17213932619116</v>
      </c>
      <c r="E15845" s="15" t="n">
        <f aca="false">k_B</f>
        <v>1.17213932619116</v>
      </c>
      <c r="F15845" s="15" t="n">
        <f aca="false">(k_B+((ls_A*k_long+(1-ls_A)*k_spot)-k_B)*MIN(1,(Sens!F15828-base_fy)/k_ramp))</f>
        <v>1.25022828131298</v>
      </c>
      <c r="G15845" s="15" t="n">
        <f aca="false">(k_B+((ls_A*k_long+(1-ls_A)*k_spot)-k_B)*MIN(1,(Sens!G15828-base_fy)/k_ramp))</f>
        <v>1.3283172364348</v>
      </c>
      <c r="H15845" s="15" t="n">
        <f aca="false">(k_B+((ls_A*k_long+(1-ls_A)*k_spot)-k_B)*MIN(1,(Sens!H15828-base_fy)/k_ramp))</f>
        <v>1.40640619155662</v>
      </c>
      <c r="I15845" s="15" t="n">
        <f aca="false">(k_B+((ls_A*k_long+(1-ls_A)*k_spot)-k_B)*MIN(1,(Sens!I15828-base_fy)/k_ramp))</f>
        <v>1.40640619155662</v>
      </c>
      <c r="J15845" s="15" t="n">
        <f aca="false">(k_B+((ls_A*k_long+(1-ls_A)*k_spot)-k_B)*MIN(1,(Sens!J15828-base_fy)/k_ramp))</f>
        <v>1.40640619155662</v>
      </c>
      <c r="K15845" s="15" t="n">
        <f aca="false">(k_B+((ls_A*k_long+(1-ls_A)*k_spot)-k_B)*MIN(1,(Sens!K15828-base_fy)/k_ramp))</f>
        <v>1.40640619155662</v>
      </c>
      <c r="L15845" s="1" t="s">
        <v>973</v>
      </c>
    </row>
    <row r="15846" customFormat="false" ht="17.15" hidden="false" customHeight="false" outlineLevel="0" collapsed="false">
      <c r="A15846" s="1" t="s">
        <v>974</v>
      </c>
      <c r="B15846" s="0" t="s">
        <v>403</v>
      </c>
      <c r="C15846" s="15" t="n">
        <f aca="false">Sens!C15844*Sens!C15845*chip_f</f>
        <v>11.3973387156315</v>
      </c>
      <c r="D15846" s="15" t="n">
        <f aca="false">Sens!D15844*Sens!D15845*chip_f</f>
        <v>11.3973387156315</v>
      </c>
      <c r="E15846" s="15" t="n">
        <f aca="false">Sens!E15844*Sens!E15845*chip_f</f>
        <v>11.3973387156315</v>
      </c>
      <c r="F15846" s="15" t="n">
        <f aca="false">Sens!F15844*Sens!F15845*chip_f</f>
        <v>12.3959233659286</v>
      </c>
      <c r="G15846" s="15" t="n">
        <f aca="false">Sens!G15844*Sens!G15845*chip_f</f>
        <v>13.3898588135729</v>
      </c>
      <c r="H15846" s="15" t="n">
        <f aca="false">Sens!H15844*Sens!H15845*chip_f</f>
        <v>14.1770202350319</v>
      </c>
      <c r="I15846" s="15" t="n">
        <f aca="false">Sens!I15844*Sens!I15845*chip_f</f>
        <v>14.4836900899136</v>
      </c>
      <c r="J15846" s="15" t="n">
        <f aca="false">Sens!J15844*Sens!J15845*chip_f</f>
        <v>14.9468241564696</v>
      </c>
      <c r="K15846" s="15" t="n">
        <f aca="false">Sens!K15844*Sens!K15845*chip_f</f>
        <v>15.8668337211147</v>
      </c>
      <c r="L15846" s="1" t="s">
        <v>975</v>
      </c>
    </row>
    <row r="15847" customFormat="false" ht="17.15" hidden="false" customHeight="false" outlineLevel="0" collapsed="false">
      <c r="A15847" s="0" t="s">
        <v>976</v>
      </c>
      <c r="B15847" s="0" t="s">
        <v>98</v>
      </c>
      <c r="D15847" s="6" t="n">
        <f aca="false">(Sens!C15830+Sens!D15830)/2*Sens!D15846/1000</f>
        <v>12.9359794422418</v>
      </c>
      <c r="E15847" s="6" t="n">
        <f aca="false">(Sens!D15830+Sens!E15830)/2*Sens!E15846/1000</f>
        <v>27.8095064661409</v>
      </c>
      <c r="F15847" s="6" t="n">
        <f aca="false">(Sens!E15830+Sens!F15830)/2*Sens!F15846/1000</f>
        <v>44.3154260331949</v>
      </c>
      <c r="G15847" s="6" t="n">
        <f aca="false">(Sens!F15830+Sens!G15830)/2*Sens!G15846/1000</f>
        <v>55.4741850646324</v>
      </c>
      <c r="H15847" s="6" t="n">
        <f aca="false">(Sens!G15830+Sens!H15830)/2*Sens!H15846/1000</f>
        <v>62.1804107508501</v>
      </c>
      <c r="I15847" s="6" t="n">
        <f aca="false">(Sens!H15830+Sens!I15830)/2*Sens!I15846/1000</f>
        <v>63.5254647343612</v>
      </c>
      <c r="J15847" s="6" t="n">
        <f aca="false">(Sens!I15830+Sens!J15830)/2*Sens!J15846/1000</f>
        <v>65.5567707502758</v>
      </c>
      <c r="K15847" s="6" t="n">
        <f aca="false">(Sens!J15830+Sens!K15830)/2*Sens!K15846/1000</f>
        <v>69.5919327008091</v>
      </c>
      <c r="L15847" s="12" t="s">
        <v>977</v>
      </c>
    </row>
    <row r="15848" customFormat="false" ht="17.15" hidden="false" customHeight="false" outlineLevel="0" collapsed="false">
      <c r="A15848" s="1" t="s">
        <v>978</v>
      </c>
      <c r="B15848" s="0" t="s">
        <v>403</v>
      </c>
      <c r="C15848" s="15" t="n">
        <f aca="false">(Sens!C15838*tk_opex_h100+Sens!C15839*tk_opex_gb200+Sens!C15840*tk_opex_gb300+(Sens!C15842+Sens!C15841)*tk_opex_vr200)/Sens!C15830</f>
        <v>1.88636041306092</v>
      </c>
      <c r="D15848" s="15" t="n">
        <f aca="false">(Sens!D15838*tk_opex_h100+Sens!D15839*tk_opex_gb200+Sens!D15840*tk_opex_gb300+(Sens!D15842+Sens!D15841)*tk_opex_vr200)/Sens!D15830</f>
        <v>1.88636041306092</v>
      </c>
      <c r="E15848" s="15" t="n">
        <f aca="false">(Sens!E15838*tk_opex_h100+Sens!E15839*tk_opex_gb200+Sens!E15840*tk_opex_gb300+(Sens!E15842+Sens!E15841)*tk_opex_vr200)/Sens!E15830</f>
        <v>1.88636041306092</v>
      </c>
      <c r="F15848" s="15" t="n">
        <f aca="false">(Sens!F15838*tk_opex_h100+Sens!F15839*tk_opex_gb200+Sens!F15840*tk_opex_gb300+(Sens!F15842+Sens!F15841)*tk_opex_vr200)/Sens!F15830</f>
        <v>1.90979686208616</v>
      </c>
      <c r="G15848" s="15" t="n">
        <f aca="false">(Sens!G15838*tk_opex_h100+Sens!G15839*tk_opex_gb200+Sens!G15840*tk_opex_gb300+(Sens!G15842+Sens!G15841)*tk_opex_vr200)/Sens!G15830</f>
        <v>1.92769515165485</v>
      </c>
      <c r="H15848" s="15" t="n">
        <f aca="false">(Sens!H15838*tk_opex_h100+Sens!H15839*tk_opex_gb200+Sens!H15840*tk_opex_gb300+(Sens!H15842+Sens!H15841)*tk_opex_vr200)/Sens!H15830</f>
        <v>1.92769515165485</v>
      </c>
      <c r="I15848" s="15" t="n">
        <f aca="false">(Sens!I15838*tk_opex_h100+Sens!I15839*tk_opex_gb200+Sens!I15840*tk_opex_gb300+(Sens!I15842+Sens!I15841)*tk_opex_vr200)/Sens!I15830</f>
        <v>1.95083610383771</v>
      </c>
      <c r="J15848" s="15" t="n">
        <f aca="false">(Sens!J15838*tk_opex_h100+Sens!J15839*tk_opex_gb200+Sens!J15840*tk_opex_gb300+(Sens!J15842+Sens!J15841)*tk_opex_vr200)/Sens!J15830</f>
        <v>1.98578366427713</v>
      </c>
      <c r="K15848" s="15" t="n">
        <f aca="false">(Sens!K15838*tk_opex_h100+Sens!K15839*tk_opex_gb200+Sens!K15840*tk_opex_gb300+(Sens!K15842+Sens!K15841)*tk_opex_vr200)/Sens!K15830</f>
        <v>2.05520652082571</v>
      </c>
      <c r="L15848" s="12" t="s">
        <v>979</v>
      </c>
    </row>
    <row r="15849" customFormat="false" ht="17.15" hidden="false" customHeight="false" outlineLevel="0" collapsed="false">
      <c r="A15849" s="0" t="s">
        <v>980</v>
      </c>
      <c r="B15849" s="0" t="s">
        <v>98</v>
      </c>
      <c r="D15849" s="6" t="n">
        <f aca="false">(Sens!C15833+Sens!D15833)/2*Sens!D15848/1000</f>
        <v>2.70378325872065</v>
      </c>
      <c r="E15849" s="6" t="n">
        <f aca="false">(Sens!D15833+Sens!E15833)/2*Sens!E15848/1000</f>
        <v>6.17783035277451</v>
      </c>
      <c r="F15849" s="6" t="n">
        <f aca="false">(Sens!E15833+Sens!F15833)/2*Sens!F15848/1000</f>
        <v>9.30071071835958</v>
      </c>
      <c r="G15849" s="6" t="n">
        <f aca="false">(Sens!F15833+Sens!G15833)/2*Sens!G15848/1000</f>
        <v>10.8818391310916</v>
      </c>
      <c r="H15849" s="6" t="n">
        <f aca="false">(Sens!G15833+Sens!H15833)/2*Sens!H15848/1000</f>
        <v>11.6625556675118</v>
      </c>
      <c r="I15849" s="6" t="n">
        <f aca="false">(Sens!H15833+Sens!I15833)/2*Sens!I15848/1000</f>
        <v>11.8025584282181</v>
      </c>
      <c r="J15849" s="6" t="n">
        <f aca="false">(Sens!I15833+Sens!J15833)/2*Sens!J15848/1000</f>
        <v>12.0139911688766</v>
      </c>
      <c r="K15849" s="6" t="n">
        <f aca="false">(Sens!J15833+Sens!K15833)/2*Sens!K15848/1000</f>
        <v>12.4339994509955</v>
      </c>
    </row>
    <row r="15850" customFormat="false" ht="17.15" hidden="false" customHeight="false" outlineLevel="0" collapsed="false">
      <c r="A15850" s="0" t="s">
        <v>981</v>
      </c>
      <c r="B15850" s="0" t="s">
        <v>98</v>
      </c>
      <c r="D15850" s="6" t="n">
        <f aca="false">(Sens!C15831+Sens!D15831)/2*rent_mw/1000</f>
        <v>2.44475</v>
      </c>
      <c r="E15850" s="6" t="n">
        <f aca="false">(Sens!D15831+Sens!E15831)/2*rent_mw/1000</f>
        <v>4.22275</v>
      </c>
      <c r="F15850" s="6" t="n">
        <f aca="false">(Sens!E15831+Sens!F15831)/2*rent_mw/1000</f>
        <v>5.80517</v>
      </c>
      <c r="G15850" s="6" t="n">
        <f aca="false">(Sens!F15831+Sens!G15831)/2*rent_mw/1000</f>
        <v>6.72084</v>
      </c>
      <c r="H15850" s="6" t="n">
        <f aca="false">(Sens!G15831+Sens!H15831)/2*rent_mw/1000</f>
        <v>6.72084</v>
      </c>
      <c r="I15850" s="6" t="n">
        <f aca="false">(Sens!H15831+Sens!I15831)/2*rent_mw/1000</f>
        <v>6.72084</v>
      </c>
      <c r="J15850" s="6" t="n">
        <f aca="false">(Sens!I15831+Sens!J15831)/2*rent_mw/1000</f>
        <v>6.72084</v>
      </c>
      <c r="K15850" s="6" t="n">
        <f aca="false">(Sens!J15831+Sens!K15831)/2*rent_mw/1000</f>
        <v>6.72084</v>
      </c>
    </row>
    <row r="15851" customFormat="false" ht="17.15" hidden="false" customHeight="false" outlineLevel="0" collapsed="false">
      <c r="A15851" s="0" t="s">
        <v>982</v>
      </c>
      <c r="B15851" s="0" t="s">
        <v>98</v>
      </c>
      <c r="D15851" s="6" t="n">
        <f aca="false">(Sens!C15833+Sens!D15833)/2*(1-self_build)*fac_rent/1000</f>
        <v>0.853242375631075</v>
      </c>
      <c r="E15851" s="6" t="n">
        <f aca="false">(Sens!D15833+Sens!E15833)/2*(1-self_build)*fac_rent/1000</f>
        <v>1.94955961408728</v>
      </c>
      <c r="F15851" s="6" t="n">
        <f aca="false">(Sens!E15833+Sens!F15833)/2*(1-self_build)*fac_rent/1000</f>
        <v>2.89903979255117</v>
      </c>
      <c r="G15851" s="6" t="n">
        <f aca="false">(Sens!F15833+Sens!G15833)/2*(1-self_build)*fac_rent/1000</f>
        <v>3.36038596077029</v>
      </c>
      <c r="H15851" s="6" t="n">
        <f aca="false">(Sens!G15833+Sens!H15833)/2*(1-self_build)*fac_rent/1000</f>
        <v>3.60147653900094</v>
      </c>
      <c r="I15851" s="6" t="n">
        <f aca="false">(Sens!H15833+Sens!I15833)/2*(1-self_build)*fac_rent/1000</f>
        <v>3.60147653900094</v>
      </c>
      <c r="J15851" s="6" t="n">
        <f aca="false">(Sens!I15833+Sens!J15833)/2*(1-self_build)*fac_rent/1000</f>
        <v>3.60147653900094</v>
      </c>
      <c r="K15851" s="6" t="n">
        <f aca="false">(Sens!J15833+Sens!K15833)/2*(1-self_build)*fac_rent/1000</f>
        <v>3.60147653900094</v>
      </c>
      <c r="L15851" s="12" t="s">
        <v>983</v>
      </c>
    </row>
    <row r="15852" customFormat="false" ht="17.15" hidden="false" customHeight="false" outlineLevel="0" collapsed="false">
      <c r="A15852" s="1" t="s">
        <v>984</v>
      </c>
      <c r="B15852" s="0" t="s">
        <v>168</v>
      </c>
      <c r="D15852" s="7" t="n">
        <f aca="false">(Sens!C15832+Sens!D15832)/(Sens!C15833+Sens!D15833)</f>
        <v>0.6</v>
      </c>
      <c r="E15852" s="7" t="n">
        <f aca="false">(Sens!D15832+Sens!E15832)/(Sens!D15833+Sens!E15833)</f>
        <v>0.6</v>
      </c>
      <c r="F15852" s="7" t="n">
        <f aca="false">(Sens!E15832+Sens!F15832)/(Sens!E15833+Sens!F15833)</f>
        <v>0.6</v>
      </c>
      <c r="G15852" s="7" t="n">
        <f aca="false">(Sens!F15832+Sens!G15832)/(Sens!F15833+Sens!G15833)</f>
        <v>0.6</v>
      </c>
      <c r="H15852" s="7" t="n">
        <f aca="false">(Sens!G15832+Sens!H15832)/(Sens!G15833+Sens!H15833)</f>
        <v>0.6</v>
      </c>
      <c r="I15852" s="7" t="n">
        <f aca="false">(Sens!H15832+Sens!I15832)/(Sens!H15833+Sens!I15833)</f>
        <v>0.6</v>
      </c>
      <c r="J15852" s="7" t="n">
        <f aca="false">(Sens!I15832+Sens!J15832)/(Sens!I15833+Sens!J15833)</f>
        <v>0.6</v>
      </c>
      <c r="K15852" s="7" t="n">
        <f aca="false">(Sens!J15832+Sens!K15832)/(Sens!J15833+Sens!K15833)</f>
        <v>0.6</v>
      </c>
    </row>
    <row r="15853" customFormat="false" ht="17.15" hidden="false" customHeight="false" outlineLevel="0" collapsed="false">
      <c r="A15853" s="0" t="s">
        <v>985</v>
      </c>
      <c r="B15853" s="0" t="s">
        <v>98</v>
      </c>
      <c r="D15853" s="6" t="n">
        <f aca="false">Sens!D15847-Sens!D15852*(Sens!D15849+Sens!D15851)-Sens!D15850</f>
        <v>8.35701406163072</v>
      </c>
      <c r="E15853" s="6" t="n">
        <f aca="false">Sens!E15847-Sens!E15852*(Sens!E15849+Sens!E15851)-Sens!E15850</f>
        <v>18.7103224860238</v>
      </c>
      <c r="F15853" s="6" t="n">
        <f aca="false">Sens!F15847-Sens!F15852*(Sens!F15849+Sens!F15851)-Sens!F15850</f>
        <v>31.1904057266485</v>
      </c>
      <c r="G15853" s="6" t="n">
        <f aca="false">Sens!G15847-Sens!G15852*(Sens!G15849+Sens!G15851)-Sens!G15850</f>
        <v>40.2080100095152</v>
      </c>
      <c r="H15853" s="6" t="n">
        <f aca="false">Sens!H15847-Sens!H15852*(Sens!H15849+Sens!H15851)-Sens!H15850</f>
        <v>46.3011514269424</v>
      </c>
      <c r="I15853" s="6" t="n">
        <f aca="false">Sens!I15847-Sens!I15852*(Sens!I15849+Sens!I15851)-Sens!I15850</f>
        <v>47.5622037540297</v>
      </c>
      <c r="J15853" s="6" t="n">
        <f aca="false">Sens!J15847-Sens!J15852*(Sens!J15849+Sens!J15851)-Sens!J15850</f>
        <v>49.4666501255493</v>
      </c>
      <c r="K15853" s="6" t="n">
        <f aca="false">Sens!K15847-Sens!K15852*(Sens!K15849+Sens!K15851)-Sens!K15850</f>
        <v>53.2498071068112</v>
      </c>
    </row>
    <row r="15854" customFormat="false" ht="17.15" hidden="false" customHeight="false" outlineLevel="0" collapsed="false">
      <c r="A15854" s="1" t="s">
        <v>986</v>
      </c>
      <c r="B15854" s="0" t="s">
        <v>98</v>
      </c>
      <c r="D15854" s="6" t="n">
        <f aca="false">(1-Sens!D15852)*(Sens!D15849+Sens!D15851)</f>
        <v>1.42281025374069</v>
      </c>
      <c r="E15854" s="6" t="n">
        <f aca="false">(1-Sens!E15852)*(Sens!E15849+Sens!E15851)</f>
        <v>3.25095598674472</v>
      </c>
      <c r="F15854" s="6" t="n">
        <f aca="false">(1-Sens!F15852)*(Sens!F15849+Sens!F15851)</f>
        <v>4.8799002043643</v>
      </c>
      <c r="G15854" s="6" t="n">
        <f aca="false">(1-Sens!G15852)*(Sens!G15849+Sens!G15851)</f>
        <v>5.69689003674476</v>
      </c>
      <c r="H15854" s="6" t="n">
        <f aca="false">(1-Sens!H15852)*(Sens!H15849+Sens!H15851)</f>
        <v>6.1056128826051</v>
      </c>
      <c r="I15854" s="6" t="n">
        <f aca="false">(1-Sens!I15852)*(Sens!I15849+Sens!I15851)</f>
        <v>6.16161398688763</v>
      </c>
      <c r="J15854" s="6" t="n">
        <f aca="false">(1-Sens!J15852)*(Sens!J15849+Sens!J15851)</f>
        <v>6.24618708315103</v>
      </c>
      <c r="K15854" s="6" t="n">
        <f aca="false">(1-Sens!K15852)*(Sens!K15849+Sens!K15851)</f>
        <v>6.41419039599859</v>
      </c>
    </row>
    <row r="15855" customFormat="false" ht="17.15" hidden="false" customHeight="false" outlineLevel="0" collapsed="false">
      <c r="A15855" s="1" t="s">
        <v>987</v>
      </c>
      <c r="B15855" s="0" t="s">
        <v>414</v>
      </c>
      <c r="C15855" s="8" t="n">
        <f aca="false">cxit_open</f>
        <v>27.5918995</v>
      </c>
      <c r="D15855" s="8" t="n">
        <f aca="false">cxit_open</f>
        <v>27.5918995</v>
      </c>
      <c r="E15855" s="8" t="n">
        <f aca="false">cxit_open</f>
        <v>27.5918995</v>
      </c>
      <c r="F15855" s="8" t="n">
        <f aca="false">((a_g3_27-nonnv*a_mai)*tk_cxit_gb300+nonnv*a_mai*nv_hold_mai*tk_cxit_vr200+(1-a_g3_27)*tk_cxit_vr200)</f>
        <v>32.4975576</v>
      </c>
      <c r="G15855" s="8" t="n">
        <f aca="false">((a_g3_28-nonnv*a_mai)*tk_cxit_gb300+nonnv*a_mai*nv_hold_mai*tk_cxit_vr200+(1-a_g3_28)*tk_cxit_vr200)</f>
        <v>34.6372088</v>
      </c>
      <c r="H15855" s="8" t="n">
        <f aca="false">((a_g3_29-nonnv*a_mai)*tk_cxit_gb300+nonnv*a_mai*nv_hold_mai*tk_cxit_vr200+(1-a_g3_29)*tk_cxit_vr200)</f>
        <v>35.7070344</v>
      </c>
      <c r="I15855" s="8" t="n">
        <f aca="false">((a_g3_29-nonnv*a_mai)*tk_cxit_gb300+nonnv*a_mai*nv_hold_mai*tk_cxit_vr200+(1-a_g3_29)*tk_cxit_vr200)</f>
        <v>35.7070344</v>
      </c>
      <c r="J15855" s="8" t="n">
        <f aca="false">((a_g3_29-nonnv*a_mai)*tk_cxit_gb300+nonnv*a_mai*nv_hold_mai*tk_cxit_vr200+(1-a_g3_29)*tk_cxit_vr200)</f>
        <v>35.7070344</v>
      </c>
      <c r="K15855" s="8" t="n">
        <f aca="false">((a_g3_29-nonnv*a_mai)*tk_cxit_gb300+nonnv*a_mai*nv_hold_mai*tk_cxit_vr200+(1-a_g3_29)*tk_cxit_vr200)</f>
        <v>35.7070344</v>
      </c>
      <c r="L15855" s="12" t="s">
        <v>988</v>
      </c>
    </row>
    <row r="15856" customFormat="false" ht="17.15" hidden="false" customHeight="false" outlineLevel="0" collapsed="false">
      <c r="A15856" s="0" t="s">
        <v>989</v>
      </c>
      <c r="B15856" s="0" t="s">
        <v>456</v>
      </c>
      <c r="F15856" s="30" t="n">
        <f aca="false">Sens!C15835*IF(Sens!F15828-Sens!C15828=life_it,1,0)+Sens!D15835*IF(Sens!F15828-Sens!D15828=life_it,1,0)+Sens!E15835*IF(Sens!F15828-Sens!E15828=life_it,1,0)</f>
        <v>0</v>
      </c>
      <c r="G15856" s="30" t="n">
        <f aca="false">Sens!C15835*IF(Sens!G15828-Sens!C15828=life_it,1,0)+Sens!D15835*IF(Sens!G15828-Sens!D15828=life_it,1,0)+Sens!E15835*IF(Sens!G15828-Sens!E15828=life_it,1,0)+Sens!F15835*IF(Sens!G15828-Sens!F15828=life_it,1,0)</f>
        <v>0</v>
      </c>
      <c r="H15856" s="30" t="n">
        <f aca="false">Sens!C15835*IF(Sens!H15828-Sens!C15828=life_it,1,0)+Sens!D15835*IF(Sens!H15828-Sens!D15828=life_it,1,0)+Sens!E15835*IF(Sens!H15828-Sens!E15828=life_it,1,0)+Sens!F15835*IF(Sens!H15828-Sens!F15828=life_it,1,0)+Sens!G15835*IF(Sens!H15828-Sens!G15828=life_it,1,0)</f>
        <v>0</v>
      </c>
      <c r="I15856" s="30" t="n">
        <f aca="false">Sens!C15835*IF(Sens!I15828-Sens!C15828=life_it,1,0)+Sens!D15835*IF(Sens!I15828-Sens!D15828=life_it,1,0)+Sens!E15835*IF(Sens!I15828-Sens!E15828=life_it,1,0)+Sens!F15835*IF(Sens!I15828-Sens!F15828=life_it,1,0)+Sens!G15835*IF(Sens!I15828-Sens!G15828=life_it,1,0)+Sens!H15835*IF(Sens!I15828-Sens!H15828=life_it,1,0)</f>
        <v>816.666666666667</v>
      </c>
      <c r="J15856" s="30" t="n">
        <f aca="false">Sens!C15835*IF(Sens!J15828-Sens!C15828=life_it,1,0)+Sens!D15835*IF(Sens!J15828-Sens!D15828=life_it,1,0)+Sens!E15835*IF(Sens!J15828-Sens!E15828=life_it,1,0)+Sens!F15835*IF(Sens!J15828-Sens!F15828=life_it,1,0)+Sens!G15835*IF(Sens!J15828-Sens!G15828=life_it,1,0)+Sens!H15835*IF(Sens!J15828-Sens!H15828=life_it,1,0)+Sens!I15835*IF(Sens!J15828-Sens!I15828=life_it,1,0)</f>
        <v>1233.33333333333</v>
      </c>
      <c r="K15856" s="30" t="n">
        <f aca="false">Sens!C15835*IF(Sens!K15828-Sens!C15828=life_it,1,0)+Sens!D15835*IF(Sens!K15828-Sens!D15828=life_it,1,0)+Sens!E15835*IF(Sens!K15828-Sens!E15828=life_it,1,0)+Sens!F15835*IF(Sens!K15828-Sens!F15828=life_it,1,0)+Sens!G15835*IF(Sens!K15828-Sens!G15828=life_it,1,0)+Sens!H15835*IF(Sens!K15828-Sens!H15828=life_it,1,0)+Sens!I15835*IF(Sens!K15828-Sens!I15828=life_it,1,0)+Sens!J15835*IF(Sens!K15828-Sens!J15828=life_it,1,0)</f>
        <v>2450</v>
      </c>
      <c r="L15856" s="1" t="s">
        <v>990</v>
      </c>
    </row>
    <row r="15857" customFormat="false" ht="17.15" hidden="false" customHeight="false" outlineLevel="0" collapsed="false">
      <c r="A15857" s="0" t="s">
        <v>991</v>
      </c>
      <c r="B15857" s="0" t="s">
        <v>98</v>
      </c>
      <c r="C15857" s="6" t="n">
        <f aca="false">Sens!C15835*Sens!C15855/1000</f>
        <v>22.5333845916667</v>
      </c>
      <c r="D15857" s="6" t="n">
        <f aca="false">Sens!D15835*Sens!D15855/1000</f>
        <v>34.0300093833333</v>
      </c>
      <c r="E15857" s="6" t="n">
        <f aca="false">Sens!E15835*Sens!E15855/1000</f>
        <v>67.600153775</v>
      </c>
      <c r="F15857" s="6" t="n">
        <f aca="false">(Sens!F15835+Sens!F15856)*Sens!F15855/1000</f>
        <v>24.048192624</v>
      </c>
      <c r="G15857" s="6" t="n">
        <f aca="false">(Sens!G15835+Sens!G15856)*Sens!G15855/1000</f>
        <v>28.056139128</v>
      </c>
      <c r="H15857" s="6" t="n">
        <f aca="false">(Sens!H15835+Sens!H15856)*Sens!H15855/1000</f>
        <v>0</v>
      </c>
      <c r="I15857" s="6" t="n">
        <f aca="false">(Sens!I15835+Sens!I15856)*Sens!I15855/1000</f>
        <v>29.16074476</v>
      </c>
      <c r="J15857" s="6" t="n">
        <f aca="false">(Sens!J15835+Sens!J15856)*Sens!J15855/1000</f>
        <v>44.03867576</v>
      </c>
      <c r="K15857" s="6" t="n">
        <f aca="false">(Sens!K15835+Sens!K15856)*Sens!K15855/1000</f>
        <v>87.48223428</v>
      </c>
    </row>
    <row r="15858" customFormat="false" ht="17.15" hidden="false" customHeight="false" outlineLevel="0" collapsed="false">
      <c r="A15858" s="0" t="s">
        <v>992</v>
      </c>
      <c r="B15858" s="0" t="s">
        <v>98</v>
      </c>
      <c r="C15858" s="6" t="n">
        <f aca="false">Sens!C15835*self_build*tk_cxfac/1000</f>
        <v>6.2083</v>
      </c>
      <c r="D15858" s="6" t="n">
        <f aca="false">Sens!D15835*self_build*tk_cxfac/1000</f>
        <v>9.3758</v>
      </c>
      <c r="E15858" s="6" t="n">
        <f aca="false">Sens!E15835*self_build*tk_cxfac/1000</f>
        <v>18.6249</v>
      </c>
      <c r="F15858" s="6" t="n">
        <f aca="false">Sens!F15835*self_build*tk_cxfac/1000</f>
        <v>5.62548</v>
      </c>
      <c r="G15858" s="6" t="n">
        <f aca="false">Sens!G15835*self_build*tk_cxfac/1000</f>
        <v>6.15762</v>
      </c>
      <c r="H15858" s="6" t="n">
        <f aca="false">Sens!H15835*self_build*tk_cxfac/1000</f>
        <v>0</v>
      </c>
      <c r="I15858" s="6" t="n">
        <f aca="false">Sens!I15835*self_build*tk_cxfac/1000</f>
        <v>0</v>
      </c>
      <c r="J15858" s="6" t="n">
        <f aca="false">Sens!J15835*self_build*tk_cxfac/1000</f>
        <v>0</v>
      </c>
      <c r="K15858" s="6" t="n">
        <f aca="false">Sens!K15835*self_build*tk_cxfac/1000</f>
        <v>0</v>
      </c>
    </row>
    <row r="15859" customFormat="false" ht="17.15" hidden="false" customHeight="false" outlineLevel="0" collapsed="false">
      <c r="A15859" s="0" t="s">
        <v>993</v>
      </c>
      <c r="B15859" s="0" t="s">
        <v>98</v>
      </c>
      <c r="F15859" s="15" t="n">
        <f aca="false">capex_floor27-Sens!F15857-Sens!F15858-Sens!F15955</f>
        <v>138.178366300118</v>
      </c>
      <c r="L15859" s="12" t="s">
        <v>994</v>
      </c>
    </row>
    <row r="15860" customFormat="false" ht="17.15" hidden="false" customHeight="false" outlineLevel="0" collapsed="false">
      <c r="A15860" s="0" t="s">
        <v>995</v>
      </c>
      <c r="B15860" s="0" t="s">
        <v>98</v>
      </c>
      <c r="F15860" s="6" t="n">
        <f aca="false">MAX(0,Sens!F15859)</f>
        <v>138.178366300118</v>
      </c>
    </row>
    <row r="15861" customFormat="false" ht="17.15" hidden="false" customHeight="false" outlineLevel="0" collapsed="false">
      <c r="A15861" s="0" t="s">
        <v>996</v>
      </c>
      <c r="B15861" s="0" t="s">
        <v>98</v>
      </c>
      <c r="C15861" s="6" t="n">
        <f aca="false">Sens!C15857</f>
        <v>22.5333845916667</v>
      </c>
      <c r="D15861" s="6" t="n">
        <f aca="false">Sens!D15857</f>
        <v>34.0300093833333</v>
      </c>
      <c r="E15861" s="6" t="n">
        <f aca="false">Sens!E15857</f>
        <v>67.600153775</v>
      </c>
      <c r="F15861" s="6" t="n">
        <f aca="false">Sens!F15857</f>
        <v>24.048192624</v>
      </c>
      <c r="G15861" s="6" t="n">
        <f aca="false">Sens!G15857</f>
        <v>28.056139128</v>
      </c>
      <c r="H15861" s="6" t="n">
        <f aca="false">Sens!H15857</f>
        <v>0</v>
      </c>
      <c r="I15861" s="6" t="n">
        <f aca="false">Sens!I15857</f>
        <v>29.16074476</v>
      </c>
      <c r="J15861" s="6" t="n">
        <f aca="false">Sens!J15857</f>
        <v>44.03867576</v>
      </c>
      <c r="K15861" s="6" t="n">
        <f aca="false">Sens!K15857</f>
        <v>87.48223428</v>
      </c>
    </row>
    <row r="15862" customFormat="false" ht="17.15" hidden="false" customHeight="false" outlineLevel="0" collapsed="false">
      <c r="A15862" s="0" t="s">
        <v>997</v>
      </c>
      <c r="B15862" s="0" t="s">
        <v>98</v>
      </c>
      <c r="C15862" s="6" t="n">
        <f aca="false">Sens!C15861+Sens!C15858</f>
        <v>28.7416845916667</v>
      </c>
      <c r="D15862" s="6" t="n">
        <f aca="false">Sens!D15861+Sens!D15858</f>
        <v>43.4058093833333</v>
      </c>
      <c r="E15862" s="6" t="n">
        <f aca="false">Sens!E15861+Sens!E15858</f>
        <v>86.225053775</v>
      </c>
      <c r="F15862" s="6" t="n">
        <f aca="false">Sens!F15861+Sens!F15858</f>
        <v>29.673672624</v>
      </c>
      <c r="G15862" s="6" t="n">
        <f aca="false">Sens!G15861+Sens!G15858</f>
        <v>34.213759128</v>
      </c>
      <c r="H15862" s="6" t="n">
        <f aca="false">Sens!H15861+Sens!H15858</f>
        <v>0</v>
      </c>
      <c r="I15862" s="6" t="n">
        <f aca="false">Sens!I15861+Sens!I15858</f>
        <v>29.16074476</v>
      </c>
      <c r="J15862" s="6" t="n">
        <f aca="false">Sens!J15861+Sens!J15858</f>
        <v>44.03867576</v>
      </c>
      <c r="K15862" s="6" t="n">
        <f aca="false">Sens!K15861+Sens!K15858</f>
        <v>87.48223428</v>
      </c>
      <c r="L15862" s="12" t="s">
        <v>998</v>
      </c>
    </row>
    <row r="15863" customFormat="false" ht="17.15" hidden="false" customHeight="false" outlineLevel="0" collapsed="false">
      <c r="A15863" s="0" t="s">
        <v>999</v>
      </c>
      <c r="B15863" s="0" t="s">
        <v>98</v>
      </c>
      <c r="E15863" s="6" t="n">
        <f aca="false">(Sens!C15861*IF(2&lt;life_it,1,IF(2=life_it,0.5,0))+Sens!D15861*IF(1&lt;life_it,1,IF(1=life_it,0.5,0))+Sens!E15861*0.5)/life_it</f>
        <v>15.0605784770833</v>
      </c>
      <c r="F15863" s="6" t="n">
        <f aca="false">(Sens!C15861*IF(3&lt;life_it,1,IF(3=life_it,0.5,0))+Sens!D15861*IF(2&lt;life_it,1,IF(2=life_it,0.5,0))+Sens!E15861*IF(1&lt;life_it,1,IF(1=life_it,0.5,0))+Sens!F15861*0.5)/life_it</f>
        <v>22.697940677</v>
      </c>
      <c r="G15863" s="6" t="n">
        <f aca="false">(Sens!C15861*IF(4&lt;life_it,1,IF(4=life_it,0.5,0))+Sens!D15861*IF(3&lt;life_it,1,IF(3=life_it,0.5,0))+Sens!E15861*IF(2&lt;life_it,1,IF(2=life_it,0.5,0))+Sens!F15861*IF(1&lt;life_it,1,IF(1=life_it,0.5,0))+Sens!G15861*0.5)/life_it</f>
        <v>27.039968323</v>
      </c>
      <c r="H15863" s="6" t="n">
        <f aca="false">(Sens!C15861*IF(5&lt;life_it,1,IF(5=life_it,0.5,0))+Sens!D15861*IF(4&lt;life_it,1,IF(4=life_it,0.5,0))+Sens!E15861*IF(3&lt;life_it,1,IF(3=life_it,0.5,0))+Sens!F15861*IF(2&lt;life_it,1,IF(2=life_it,0.5,0))+Sens!G15861*IF(1&lt;life_it,1,IF(1=life_it,0.5,0))+Sens!H15861*0.5)/life_it</f>
        <v>29.377979917</v>
      </c>
      <c r="I15863" s="6" t="n">
        <f aca="false">(Sens!C15861*IF(6&lt;life_it,1,IF(6=life_it,0.5,0))+Sens!D15861*IF(5&lt;life_it,1,IF(5=life_it,0.5,0))+Sens!E15861*IF(4&lt;life_it,1,IF(4=life_it,0.5,0))+Sens!F15861*IF(3&lt;life_it,1,IF(3=life_it,0.5,0))+Sens!G15861*IF(2&lt;life_it,1,IF(2=life_it,0.5,0))+Sens!H15861*IF(1&lt;life_it,1,IF(1=life_it,0.5,0))+Sens!I15861*0.5)/life_it</f>
        <v>29.9302599310278</v>
      </c>
      <c r="J15863" s="6" t="n">
        <f aca="false">(Sens!C15861*IF(7&lt;life_it,1,IF(7=life_it,0.5,0))+Sens!D15861*IF(6&lt;life_it,1,IF(6=life_it,0.5,0))+Sens!E15861*IF(5&lt;life_it,1,IF(5=life_it,0.5,0))+Sens!F15861*IF(4&lt;life_it,1,IF(4=life_it,0.5,0))+Sens!G15861*IF(3&lt;life_it,1,IF(3=life_it,0.5,0))+Sens!H15861*IF(2&lt;life_it,1,IF(2=life_it,0.5,0))+Sens!I15861*IF(1&lt;life_it,1,IF(1=life_it,0.5,0))+Sens!J15861*0.5)/life_it</f>
        <v>31.3165954764444</v>
      </c>
      <c r="K15863" s="6" t="n">
        <f aca="false">(Sens!C15861*IF(8&lt;life_it,1,IF(8=life_it,0.5,0))+Sens!D15861*IF(7&lt;life_it,1,IF(7=life_it,0.5,0))+Sens!E15861*IF(6&lt;life_it,1,IF(6=life_it,0.5,0))+Sens!F15861*IF(5&lt;life_it,1,IF(5=life_it,0.5,0))+Sens!G15861*IF(4&lt;life_it,1,IF(4=life_it,0.5,0))+Sens!H15861*IF(3&lt;life_it,1,IF(3=life_it,0.5,0))+Sens!I15861*IF(2&lt;life_it,1,IF(2=life_it,0.5,0))+Sens!J15861*IF(1&lt;life_it,1,IF(1=life_it,0.5,0))+Sens!K15861*0.5)/life_it</f>
        <v>33.8074910499167</v>
      </c>
    </row>
    <row r="15864" customFormat="false" ht="17.15" hidden="false" customHeight="false" outlineLevel="0" collapsed="false">
      <c r="A15864" s="0" t="s">
        <v>1000</v>
      </c>
      <c r="B15864" s="0" t="s">
        <v>98</v>
      </c>
      <c r="E15864" s="6" t="n">
        <f aca="false">(Sens!C15858*IF(2&lt;life_fac,1,IF(2=life_fac,0.5,0))+Sens!D15858*IF(1&lt;life_fac,1,IF(1=life_fac,0.5,0))+Sens!E15858*0.5)/life_fac</f>
        <v>1.2448275</v>
      </c>
      <c r="F15864" s="6" t="n">
        <f aca="false">(Sens!C15858*IF(3&lt;life_fac,1,IF(3=life_fac,0.5,0))+Sens!D15858*IF(2&lt;life_fac,1,IF(2=life_fac,0.5,0))+Sens!E15858*IF(1&lt;life_fac,1,IF(1=life_fac,0.5,0))+Sens!F15858*0.5)/life_fac</f>
        <v>1.851087</v>
      </c>
      <c r="G15864" s="6" t="n">
        <f aca="false">(Sens!C15858*IF(4&lt;life_fac,1,IF(4=life_fac,0.5,0))+Sens!D15858*IF(3&lt;life_fac,1,IF(3=life_fac,0.5,0))+Sens!E15858*IF(2&lt;life_fac,1,IF(2=life_fac,0.5,0))+Sens!F15858*IF(1&lt;life_fac,1,IF(1=life_fac,0.5,0))+Sens!G15858*0.5)/life_fac</f>
        <v>2.1456645</v>
      </c>
      <c r="H15864" s="6" t="n">
        <f aca="false">(Sens!C15858*IF(5&lt;life_fac,1,IF(5=life_fac,0.5,0))+Sens!D15858*IF(4&lt;life_fac,1,IF(4=life_fac,0.5,0))+Sens!E15858*IF(3&lt;life_fac,1,IF(3=life_fac,0.5,0))+Sens!F15858*IF(2&lt;life_fac,1,IF(2=life_fac,0.5,0))+Sens!G15858*IF(1&lt;life_fac,1,IF(1=life_fac,0.5,0))+Sens!H15858*0.5)/life_fac</f>
        <v>2.299605</v>
      </c>
      <c r="I15864" s="6" t="n">
        <f aca="false">(Sens!C15858*IF(6&lt;life_fac,1,IF(6=life_fac,0.5,0))+Sens!D15858*IF(5&lt;life_fac,1,IF(5=life_fac,0.5,0))+Sens!E15858*IF(4&lt;life_fac,1,IF(4=life_fac,0.5,0))+Sens!F15858*IF(3&lt;life_fac,1,IF(3=life_fac,0.5,0))+Sens!G15858*IF(2&lt;life_fac,1,IF(2=life_fac,0.5,0))+Sens!H15858*IF(1&lt;life_fac,1,IF(1=life_fac,0.5,0))+Sens!I15858*0.5)/life_fac</f>
        <v>2.299605</v>
      </c>
      <c r="J15864" s="6" t="n">
        <f aca="false">(Sens!C15858*IF(7&lt;life_fac,1,IF(7=life_fac,0.5,0))+Sens!D15858*IF(6&lt;life_fac,1,IF(6=life_fac,0.5,0))+Sens!E15858*IF(5&lt;life_fac,1,IF(5=life_fac,0.5,0))+Sens!F15858*IF(4&lt;life_fac,1,IF(4=life_fac,0.5,0))+Sens!G15858*IF(3&lt;life_fac,1,IF(3=life_fac,0.5,0))+Sens!H15858*IF(2&lt;life_fac,1,IF(2=life_fac,0.5,0))+Sens!I15858*IF(1&lt;life_fac,1,IF(1=life_fac,0.5,0))+Sens!J15858*0.5)/life_fac</f>
        <v>2.299605</v>
      </c>
      <c r="K15864" s="6" t="n">
        <f aca="false">(Sens!C15858*IF(8&lt;life_fac,1,IF(8=life_fac,0.5,0))+Sens!D15858*IF(7&lt;life_fac,1,IF(7=life_fac,0.5,0))+Sens!E15858*IF(6&lt;life_fac,1,IF(6=life_fac,0.5,0))+Sens!F15858*IF(5&lt;life_fac,1,IF(5=life_fac,0.5,0))+Sens!G15858*IF(4&lt;life_fac,1,IF(4=life_fac,0.5,0))+Sens!H15858*IF(3&lt;life_fac,1,IF(3=life_fac,0.5,0))+Sens!I15858*IF(2&lt;life_fac,1,IF(2=life_fac,0.5,0))+Sens!J15858*IF(1&lt;life_fac,1,IF(1=life_fac,0.5,0))+Sens!K15858*0.5)/life_fac</f>
        <v>2.299605</v>
      </c>
    </row>
    <row r="15865" customFormat="false" ht="17.15" hidden="false" customHeight="false" outlineLevel="0" collapsed="false">
      <c r="A15865" s="0" t="s">
        <v>1001</v>
      </c>
      <c r="B15865" s="0" t="s">
        <v>98</v>
      </c>
      <c r="E15865" s="6" t="n">
        <f aca="false">Sens!E15863+Sens!E15864</f>
        <v>16.3054059770833</v>
      </c>
      <c r="F15865" s="6" t="n">
        <f aca="false">Sens!F15863+Sens!F15864</f>
        <v>24.549027677</v>
      </c>
      <c r="G15865" s="6" t="n">
        <f aca="false">Sens!G15863+Sens!G15864</f>
        <v>29.185632823</v>
      </c>
      <c r="H15865" s="6" t="n">
        <f aca="false">Sens!H15863+Sens!H15864</f>
        <v>31.677584917</v>
      </c>
      <c r="I15865" s="6" t="n">
        <f aca="false">Sens!I15863+Sens!I15864</f>
        <v>32.2298649310278</v>
      </c>
      <c r="J15865" s="6" t="n">
        <f aca="false">Sens!J15863+Sens!J15864</f>
        <v>33.6162004764444</v>
      </c>
      <c r="K15865" s="6" t="n">
        <f aca="false">Sens!K15863+Sens!K15864</f>
        <v>36.1070960499167</v>
      </c>
    </row>
    <row r="15866" customFormat="false" ht="17.15" hidden="false" customHeight="false" outlineLevel="0" collapsed="false">
      <c r="A15866" s="0" t="s">
        <v>1002</v>
      </c>
      <c r="B15866" s="0" t="s">
        <v>98</v>
      </c>
      <c r="E15866" s="6" t="n">
        <f aca="false">Sens!E15853-Sens!E15852*Sens!E15865</f>
        <v>8.92707889977379</v>
      </c>
      <c r="F15866" s="6" t="n">
        <f aca="false">Sens!F15853-Sens!F15852*Sens!F15865</f>
        <v>16.4609891204485</v>
      </c>
      <c r="G15866" s="6" t="n">
        <f aca="false">Sens!G15853-Sens!G15852*Sens!G15865</f>
        <v>22.6966303157152</v>
      </c>
      <c r="H15866" s="6" t="n">
        <f aca="false">Sens!H15853-Sens!H15852*Sens!H15865</f>
        <v>27.2946004767424</v>
      </c>
      <c r="I15866" s="6" t="n">
        <f aca="false">Sens!I15853-Sens!I15852*Sens!I15865</f>
        <v>28.224284795413</v>
      </c>
      <c r="J15866" s="6" t="n">
        <f aca="false">Sens!J15853-Sens!J15852*Sens!J15865</f>
        <v>29.2969298396826</v>
      </c>
      <c r="K15866" s="6" t="n">
        <f aca="false">Sens!K15853-Sens!K15852*Sens!K15865</f>
        <v>31.5855494768612</v>
      </c>
    </row>
    <row r="15867" customFormat="false" ht="17.15" hidden="false" customHeight="false" outlineLevel="0" collapsed="false">
      <c r="A15867" s="3" t="s">
        <v>1870</v>
      </c>
    </row>
    <row r="15868" customFormat="false" ht="15" hidden="false" customHeight="false" outlineLevel="0" collapsed="false">
      <c r="A15868" s="4" t="s">
        <v>43</v>
      </c>
      <c r="B15868" s="4" t="s">
        <v>65</v>
      </c>
      <c r="C15868" s="23" t="s">
        <v>938</v>
      </c>
      <c r="D15868" s="23" t="s">
        <v>939</v>
      </c>
      <c r="E15868" s="23" t="s">
        <v>940</v>
      </c>
      <c r="F15868" s="23" t="s">
        <v>941</v>
      </c>
      <c r="G15868" s="23" t="s">
        <v>942</v>
      </c>
      <c r="H15868" s="23" t="s">
        <v>943</v>
      </c>
      <c r="I15868" s="23" t="s">
        <v>944</v>
      </c>
      <c r="J15868" s="23" t="s">
        <v>945</v>
      </c>
      <c r="K15868" s="23" t="s">
        <v>946</v>
      </c>
      <c r="L15868" s="4" t="s">
        <v>47</v>
      </c>
    </row>
    <row r="15869" customFormat="false" ht="17.15" hidden="false" customHeight="false" outlineLevel="0" collapsed="false">
      <c r="A15869" s="0" t="s">
        <v>1021</v>
      </c>
      <c r="B15869" s="0" t="s">
        <v>98</v>
      </c>
      <c r="D15869" s="6" t="n">
        <f aca="false">Sens!D15847</f>
        <v>12.9359794422418</v>
      </c>
      <c r="E15869" s="6" t="n">
        <f aca="false">Sens!E15847</f>
        <v>27.8095064661409</v>
      </c>
      <c r="F15869" s="6" t="n">
        <f aca="false">Sens!F15847</f>
        <v>44.3154260331949</v>
      </c>
      <c r="G15869" s="6" t="n">
        <f aca="false">Sens!G15847</f>
        <v>55.4741850646324</v>
      </c>
      <c r="H15869" s="6" t="n">
        <f aca="false">Sens!H15847</f>
        <v>62.1804107508501</v>
      </c>
      <c r="I15869" s="6" t="n">
        <f aca="false">Sens!I15847</f>
        <v>63.5254647343612</v>
      </c>
      <c r="J15869" s="6" t="n">
        <f aca="false">Sens!J15847</f>
        <v>65.5567707502758</v>
      </c>
      <c r="K15869" s="6" t="n">
        <f aca="false">Sens!K15847</f>
        <v>69.5919327008091</v>
      </c>
    </row>
    <row r="15870" customFormat="false" ht="17.15" hidden="false" customHeight="false" outlineLevel="0" collapsed="false">
      <c r="A15870" s="0" t="s">
        <v>1022</v>
      </c>
      <c r="B15870" s="0" t="s">
        <v>98</v>
      </c>
      <c r="D15870" s="6" t="n">
        <f aca="false">Q!L6-Sens!D15869</f>
        <v>59.6740205577583</v>
      </c>
      <c r="E15870" s="6" t="n">
        <f aca="false">Q!M6-Sens!E15869</f>
        <v>74.1284935338591</v>
      </c>
      <c r="F15870" s="6" t="n">
        <f aca="false">Q!$I$6+(Sens!F15869+Sens!E15870*(1+Sens!F15871))*(1-Q!$E$6/Q!M6)-Sens!F15869</f>
        <v>93.7338146233927</v>
      </c>
      <c r="G15870" s="6" t="n">
        <f aca="false">Sens!F15870*(1+Sens!G15871)</f>
        <v>111.369762046828</v>
      </c>
      <c r="H15870" s="6" t="n">
        <f aca="false">Sens!G15870*(1+Sens!H15871)</f>
        <v>129.312760636805</v>
      </c>
      <c r="I15870" s="6" t="n">
        <f aca="false">Sens!H15870*(1+Sens!I15871)</f>
        <v>146.650320873452</v>
      </c>
      <c r="J15870" s="6" t="n">
        <f aca="false">Sens!I15870*(1+Sens!J15871)</f>
        <v>162.347377293517</v>
      </c>
      <c r="K15870" s="6" t="n">
        <f aca="false">Sens!J15870*(1+Sens!K15871)</f>
        <v>175.335167476998</v>
      </c>
      <c r="L15870" s="12" t="s">
        <v>1023</v>
      </c>
    </row>
    <row r="15871" customFormat="false" ht="15" hidden="false" customHeight="false" outlineLevel="0" collapsed="false">
      <c r="A15871" s="1" t="s">
        <v>1024</v>
      </c>
      <c r="B15871" s="0" t="s">
        <v>168</v>
      </c>
      <c r="E15871" s="7" t="n">
        <f aca="false">Sens!E15870/Sens!D15870-1</f>
        <v>0.242223883039864</v>
      </c>
      <c r="F15871" s="7" t="n">
        <f aca="false">Sens!$E$15871+(glt_azo-Sens!$E$15871)*MIN(1,(Sens!F15828-base_fy)/n_conv)</f>
        <v>0.215186569199887</v>
      </c>
      <c r="G15871" s="7" t="n">
        <f aca="false">Sens!$E$15871+(glt_azo-Sens!$E$15871)*MIN(1,(Sens!G15828-base_fy)/n_conv)</f>
        <v>0.18814925535991</v>
      </c>
      <c r="H15871" s="7" t="n">
        <f aca="false">Sens!$E$15871+(glt_azo-Sens!$E$15871)*MIN(1,(Sens!H15828-base_fy)/n_conv)</f>
        <v>0.161111941519932</v>
      </c>
      <c r="I15871" s="7" t="n">
        <f aca="false">Sens!$E$15871+(glt_azo-Sens!$E$15871)*MIN(1,(Sens!I15828-base_fy)/n_conv)</f>
        <v>0.134074627679955</v>
      </c>
      <c r="J15871" s="7" t="n">
        <f aca="false">Sens!$E$15871+(glt_azo-Sens!$E$15871)*MIN(1,(Sens!J15828-base_fy)/n_conv)</f>
        <v>0.107037313839977</v>
      </c>
      <c r="K15871" s="7" t="n">
        <f aca="false">Sens!$E$15871+(glt_azo-Sens!$E$15871)*MIN(1,(Sens!K15828-base_fy)/n_conv)</f>
        <v>0.08</v>
      </c>
    </row>
    <row r="15872" customFormat="false" ht="15" hidden="false" customHeight="false" outlineLevel="0" collapsed="false">
      <c r="A15872" s="0" t="s">
        <v>1025</v>
      </c>
      <c r="B15872" s="0" t="s">
        <v>98</v>
      </c>
      <c r="D15872" s="6" t="n">
        <f aca="false">Sens!D15869+Sens!D15870</f>
        <v>72.61</v>
      </c>
      <c r="E15872" s="6" t="n">
        <f aca="false">Sens!E15869+Sens!E15870</f>
        <v>101.938</v>
      </c>
      <c r="F15872" s="6" t="n">
        <f aca="false">Sens!F15869+Sens!F15870</f>
        <v>138.049240656588</v>
      </c>
      <c r="G15872" s="6" t="n">
        <f aca="false">Sens!G15869+Sens!G15870</f>
        <v>166.84394711146</v>
      </c>
      <c r="H15872" s="6" t="n">
        <f aca="false">Sens!H15869+Sens!H15870</f>
        <v>191.493171387655</v>
      </c>
      <c r="I15872" s="6" t="n">
        <f aca="false">Sens!I15869+Sens!I15870</f>
        <v>210.175785607813</v>
      </c>
      <c r="J15872" s="6" t="n">
        <f aca="false">Sens!J15869+Sens!J15870</f>
        <v>227.904148043793</v>
      </c>
      <c r="K15872" s="6" t="n">
        <f aca="false">Sens!K15869+Sens!K15870</f>
        <v>244.927100177807</v>
      </c>
    </row>
    <row r="15873" customFormat="false" ht="17.15" hidden="false" customHeight="false" outlineLevel="0" collapsed="false">
      <c r="A15873" s="0" t="s">
        <v>1026</v>
      </c>
      <c r="B15873" s="1" t="s">
        <v>610</v>
      </c>
      <c r="C15873" s="30" t="n">
        <f aca="false">cop_s24</f>
        <v>1</v>
      </c>
      <c r="D15873" s="30" t="n">
        <f aca="false">cop_s25</f>
        <v>5</v>
      </c>
      <c r="E15873" s="30" t="n">
        <f aca="false">cop_s26</f>
        <v>30</v>
      </c>
      <c r="F15873" s="30" t="n">
        <f aca="false">Sens!E15873+cop_add_A</f>
        <v>60</v>
      </c>
      <c r="G15873" s="30" t="n">
        <f aca="false">Sens!F15873+cop_add_A</f>
        <v>90</v>
      </c>
      <c r="H15873" s="30" t="n">
        <f aca="false">Sens!G15873+cop_add_A</f>
        <v>120</v>
      </c>
      <c r="I15873" s="30" t="n">
        <f aca="false">Sens!H15873+cop_add_A*cop_tail</f>
        <v>135</v>
      </c>
      <c r="J15873" s="30" t="n">
        <f aca="false">Sens!I15873+cop_add_A*cop_tail</f>
        <v>150</v>
      </c>
      <c r="K15873" s="30" t="n">
        <f aca="false">Sens!J15873+cop_add_A*cop_tail</f>
        <v>165</v>
      </c>
      <c r="L15873" s="12" t="s">
        <v>1027</v>
      </c>
    </row>
    <row r="15874" customFormat="false" ht="17.15" hidden="false" customHeight="false" outlineLevel="0" collapsed="false">
      <c r="A15874" s="0" t="s">
        <v>1028</v>
      </c>
      <c r="B15874" s="0" t="s">
        <v>98</v>
      </c>
      <c r="D15874" s="6" t="n">
        <f aca="false">(Sens!C15873+Sens!D15873)/2*cop_px*12/1000</f>
        <v>0.9</v>
      </c>
      <c r="E15874" s="6" t="n">
        <f aca="false">(Sens!D15873+Sens!E15873)/2*cop_px*12/1000</f>
        <v>5.25</v>
      </c>
      <c r="F15874" s="6" t="n">
        <f aca="false">(Sens!E15873+Sens!F15873)/2*cop_px*12/1000</f>
        <v>13.5</v>
      </c>
      <c r="G15874" s="6" t="n">
        <f aca="false">(Sens!F15873+Sens!G15873)/2*cop_px*12/1000</f>
        <v>22.5</v>
      </c>
      <c r="H15874" s="6" t="n">
        <f aca="false">(Sens!G15873+Sens!H15873)/2*cop_px*12/1000</f>
        <v>31.5</v>
      </c>
      <c r="I15874" s="6" t="n">
        <f aca="false">(Sens!H15873+Sens!I15873)/2*cop_px*12/1000</f>
        <v>38.25</v>
      </c>
      <c r="J15874" s="6" t="n">
        <f aca="false">(Sens!I15873+Sens!J15873)/2*cop_px*12/1000</f>
        <v>42.75</v>
      </c>
      <c r="K15874" s="6" t="n">
        <f aca="false">(Sens!J15873+Sens!K15873)/2*cop_px*12/1000</f>
        <v>47.25</v>
      </c>
      <c r="L15874" s="1" t="s">
        <v>1029</v>
      </c>
    </row>
    <row r="15875" customFormat="false" ht="17.15" hidden="false" customHeight="false" outlineLevel="0" collapsed="false">
      <c r="A15875" s="0" t="s">
        <v>1030</v>
      </c>
      <c r="B15875" s="0" t="s">
        <v>98</v>
      </c>
      <c r="D15875" s="6" t="n">
        <f aca="false">Q!L7-Sens!D15874</f>
        <v>83.705</v>
      </c>
      <c r="E15875" s="6" t="n">
        <f aca="false">Q!M7-Sens!E15874</f>
        <v>95.049</v>
      </c>
      <c r="F15875" s="6" t="n">
        <f aca="false">Q!$I$7+(Sens!E15875*(1+Sens!F15876)+Sens!F15874)*(1-Q!$E$7/Q!M7)-Sens!F15874</f>
        <v>106.229653205718</v>
      </c>
      <c r="G15875" s="6" t="n">
        <f aca="false">Sens!F15875*(1+Sens!G15876)</f>
        <v>118.306092647576</v>
      </c>
      <c r="H15875" s="6" t="n">
        <f aca="false">Sens!G15875*(1+Sens!H15876)</f>
        <v>130.463437602768</v>
      </c>
      <c r="I15875" s="6" t="n">
        <f aca="false">Sens!H15875*(1+Sens!I15876)</f>
        <v>142.445354741933</v>
      </c>
      <c r="J15875" s="6" t="n">
        <f aca="false">Sens!I15875*(1+Sens!J15876)</f>
        <v>153.972117481571</v>
      </c>
      <c r="K15875" s="6" t="n">
        <f aca="false">Sens!J15875*(1+Sens!K15876)</f>
        <v>164.75016570528</v>
      </c>
      <c r="L15875" s="12" t="s">
        <v>1031</v>
      </c>
    </row>
    <row r="15876" customFormat="false" ht="15" hidden="false" customHeight="false" outlineLevel="0" collapsed="false">
      <c r="A15876" s="1" t="s">
        <v>1024</v>
      </c>
      <c r="B15876" s="0" t="s">
        <v>168</v>
      </c>
      <c r="E15876" s="7" t="n">
        <f aca="false">Sens!E15875/Sens!D15875-1</f>
        <v>0.135523564900544</v>
      </c>
      <c r="F15876" s="7" t="n">
        <f aca="false">Sens!$E$15876+(glt_m365b-Sens!$E$15876)*MIN(1,(Sens!F15828-base_fy)/n_conv)</f>
        <v>0.124602970750453</v>
      </c>
      <c r="G15876" s="7" t="n">
        <f aca="false">Sens!$E$15876+(glt_m365b-Sens!$E$15876)*MIN(1,(Sens!G15828-base_fy)/n_conv)</f>
        <v>0.113682376600363</v>
      </c>
      <c r="H15876" s="7" t="n">
        <f aca="false">Sens!$E$15876+(glt_m365b-Sens!$E$15876)*MIN(1,(Sens!H15828-base_fy)/n_conv)</f>
        <v>0.102761782450272</v>
      </c>
      <c r="I15876" s="7" t="n">
        <f aca="false">Sens!$E$15876+(glt_m365b-Sens!$E$15876)*MIN(1,(Sens!I15828-base_fy)/n_conv)</f>
        <v>0.0918411883001813</v>
      </c>
      <c r="J15876" s="7" t="n">
        <f aca="false">Sens!$E$15876+(glt_m365b-Sens!$E$15876)*MIN(1,(Sens!J15828-base_fy)/n_conv)</f>
        <v>0.0809205941500906</v>
      </c>
      <c r="K15876" s="7" t="n">
        <f aca="false">Sens!$E$15876+(glt_m365b-Sens!$E$15876)*MIN(1,(Sens!K15828-base_fy)/n_conv)</f>
        <v>0.07</v>
      </c>
    </row>
    <row r="15877" customFormat="false" ht="15" hidden="false" customHeight="false" outlineLevel="0" collapsed="false">
      <c r="A15877" s="0" t="s">
        <v>1032</v>
      </c>
      <c r="B15877" s="0" t="s">
        <v>98</v>
      </c>
      <c r="D15877" s="6" t="n">
        <f aca="false">Sens!D15875+Sens!D15874</f>
        <v>84.605</v>
      </c>
      <c r="E15877" s="6" t="n">
        <f aca="false">Sens!E15875+Sens!E15874</f>
        <v>100.299</v>
      </c>
      <c r="F15877" s="6" t="n">
        <f aca="false">Sens!F15875+Sens!F15874</f>
        <v>119.729653205718</v>
      </c>
      <c r="G15877" s="6" t="n">
        <f aca="false">Sens!G15875+Sens!G15874</f>
        <v>140.806092647576</v>
      </c>
      <c r="H15877" s="6" t="n">
        <f aca="false">Sens!H15875+Sens!H15874</f>
        <v>161.963437602768</v>
      </c>
      <c r="I15877" s="6" t="n">
        <f aca="false">Sens!I15875+Sens!I15874</f>
        <v>180.695354741933</v>
      </c>
      <c r="J15877" s="6" t="n">
        <f aca="false">Sens!J15875+Sens!J15874</f>
        <v>196.722117481571</v>
      </c>
      <c r="K15877" s="6" t="n">
        <f aca="false">Sens!K15875+Sens!K15874</f>
        <v>212.00016570528</v>
      </c>
    </row>
    <row r="15878" customFormat="false" ht="17.15" hidden="false" customHeight="false" outlineLevel="0" collapsed="false">
      <c r="A15878" s="0" t="s">
        <v>1033</v>
      </c>
      <c r="B15878" s="0" t="s">
        <v>98</v>
      </c>
      <c r="D15878" s="6" t="n">
        <f aca="false">Q!L8</f>
        <v>35.391</v>
      </c>
      <c r="E15878" s="6" t="n">
        <f aca="false">Q!M8</f>
        <v>37.285</v>
      </c>
      <c r="F15878" s="6" t="n">
        <f aca="false">Q!$I$8+(Q!M8-Q!$E$8)*(1+Sens!F15879)</f>
        <v>38.3851437782675</v>
      </c>
      <c r="G15878" s="6" t="n">
        <f aca="false">Sens!F15878*(1+Sens!G15879)</f>
        <v>40.0105353288615</v>
      </c>
      <c r="H15878" s="6" t="n">
        <f aca="false">Sens!G15878*(1+Sens!H15879)</f>
        <v>41.4812512033683</v>
      </c>
      <c r="I15878" s="6" t="n">
        <f aca="false">Sens!H15878*(1+Sens!I15879)</f>
        <v>42.7743107216329</v>
      </c>
      <c r="J15878" s="6" t="n">
        <f aca="false">Sens!I15878*(1+Sens!J15879)</f>
        <v>43.8687373064601</v>
      </c>
      <c r="K15878" s="6" t="n">
        <f aca="false">Sens!J15878*(1+Sens!K15879)</f>
        <v>44.7461120525893</v>
      </c>
      <c r="L15878" s="12" t="s">
        <v>1034</v>
      </c>
    </row>
    <row r="15879" customFormat="false" ht="15" hidden="false" customHeight="false" outlineLevel="0" collapsed="false">
      <c r="A15879" s="1" t="s">
        <v>1024</v>
      </c>
      <c r="B15879" s="0" t="s">
        <v>168</v>
      </c>
      <c r="E15879" s="7" t="n">
        <f aca="false">Sens!E15878/Sens!D15878-1</f>
        <v>0.0535164307309768</v>
      </c>
      <c r="F15879" s="7" t="n">
        <f aca="false">Sens!$E$15879+(glt_lic-Sens!$E$15879)*MIN(1,(Sens!F15828-base_fy)/n_conv)</f>
        <v>0.0479303589424807</v>
      </c>
      <c r="G15879" s="7" t="n">
        <f aca="false">Sens!$E$15879+(glt_lic-Sens!$E$15879)*MIN(1,(Sens!G15828-base_fy)/n_conv)</f>
        <v>0.0423442871539845</v>
      </c>
      <c r="H15879" s="7" t="n">
        <f aca="false">Sens!$E$15879+(glt_lic-Sens!$E$15879)*MIN(1,(Sens!H15828-base_fy)/n_conv)</f>
        <v>0.0367582153654884</v>
      </c>
      <c r="I15879" s="7" t="n">
        <f aca="false">Sens!$E$15879+(glt_lic-Sens!$E$15879)*MIN(1,(Sens!I15828-base_fy)/n_conv)</f>
        <v>0.0311721435769923</v>
      </c>
      <c r="J15879" s="7" t="n">
        <f aca="false">Sens!$E$15879+(glt_lic-Sens!$E$15879)*MIN(1,(Sens!J15828-base_fy)/n_conv)</f>
        <v>0.0255860717884961</v>
      </c>
      <c r="K15879" s="7" t="n">
        <f aca="false">Sens!$E$15879+(glt_lic-Sens!$E$15879)*MIN(1,(Sens!K15828-base_fy)/n_conv)</f>
        <v>0.02</v>
      </c>
    </row>
    <row r="15880" customFormat="false" ht="17.15" hidden="false" customHeight="false" outlineLevel="0" collapsed="false">
      <c r="A15880" s="0" t="s">
        <v>1035</v>
      </c>
      <c r="B15880" s="0" t="s">
        <v>98</v>
      </c>
      <c r="D15880" s="6" t="n">
        <f aca="false">Q!L9</f>
        <v>18.417</v>
      </c>
      <c r="E15880" s="6" t="n">
        <f aca="false">Q!M9</f>
        <v>20.345</v>
      </c>
      <c r="F15880" s="6" t="n">
        <f aca="false">Q!$I$9+(Q!M9-Q!$E$9)*(1+Sens!F15881)</f>
        <v>22.3161797133988</v>
      </c>
      <c r="G15880" s="6" t="n">
        <f aca="false">Sens!F15880*(1+Sens!G15881)</f>
        <v>24.3943499673233</v>
      </c>
      <c r="H15880" s="6" t="n">
        <f aca="false">Sens!G15880*(1+Sens!H15881)</f>
        <v>26.5250243109019</v>
      </c>
      <c r="I15880" s="6" t="n">
        <f aca="false">Sens!H15880*(1+Sens!I15881)</f>
        <v>28.6884573538181</v>
      </c>
      <c r="J15880" s="6" t="n">
        <f aca="false">Sens!I15880*(1+Sens!J15881)</f>
        <v>30.8624968052127</v>
      </c>
      <c r="K15880" s="6" t="n">
        <f aca="false">Sens!J15880*(1+Sens!K15881)</f>
        <v>33.0228715815776</v>
      </c>
      <c r="L15880" s="12" t="s">
        <v>1034</v>
      </c>
    </row>
    <row r="15881" customFormat="false" ht="15" hidden="false" customHeight="false" outlineLevel="0" collapsed="false">
      <c r="A15881" s="1" t="s">
        <v>1024</v>
      </c>
      <c r="B15881" s="0" t="s">
        <v>168</v>
      </c>
      <c r="E15881" s="7" t="n">
        <f aca="false">Sens!E15880/Sens!D15880-1</f>
        <v>0.104685888038225</v>
      </c>
      <c r="F15881" s="7" t="n">
        <f aca="false">Sens!$E$15881+(glt_ind-Sens!$E$15881)*MIN(1,(Sens!F15828-base_fy)/n_conv)</f>
        <v>0.0989049066985211</v>
      </c>
      <c r="G15881" s="7" t="n">
        <f aca="false">Sens!$E$15881+(glt_ind-Sens!$E$15881)*MIN(1,(Sens!G15828-base_fy)/n_conv)</f>
        <v>0.0931239253588169</v>
      </c>
      <c r="H15881" s="7" t="n">
        <f aca="false">Sens!$E$15881+(glt_ind-Sens!$E$15881)*MIN(1,(Sens!H15828-base_fy)/n_conv)</f>
        <v>0.0873429440191127</v>
      </c>
      <c r="I15881" s="7" t="n">
        <f aca="false">Sens!$E$15881+(glt_ind-Sens!$E$15881)*MIN(1,(Sens!I15828-base_fy)/n_conv)</f>
        <v>0.0815619626794085</v>
      </c>
      <c r="J15881" s="7" t="n">
        <f aca="false">Sens!$E$15881+(glt_ind-Sens!$E$15881)*MIN(1,(Sens!J15828-base_fy)/n_conv)</f>
        <v>0.0757809813397042</v>
      </c>
      <c r="K15881" s="7" t="n">
        <f aca="false">Sens!$E$15881+(glt_ind-Sens!$E$15881)*MIN(1,(Sens!K15828-base_fy)/n_conv)</f>
        <v>0.07</v>
      </c>
    </row>
    <row r="15882" customFormat="false" ht="17.15" hidden="false" customHeight="false" outlineLevel="0" collapsed="false">
      <c r="A15882" s="0" t="s">
        <v>1036</v>
      </c>
      <c r="B15882" s="0" t="s">
        <v>98</v>
      </c>
      <c r="D15882" s="6" t="n">
        <f aca="false">Q!L10</f>
        <v>7.76</v>
      </c>
      <c r="E15882" s="6" t="n">
        <f aca="false">Q!M10</f>
        <v>8.26</v>
      </c>
      <c r="F15882" s="6" t="n">
        <f aca="false">Q!$I$10+(Q!M10-Q!$E$10)*(1+Sens!F15883)</f>
        <v>8.75372082474227</v>
      </c>
      <c r="G15882" s="6" t="n">
        <f aca="false">Sens!F15882*(1+Sens!G15883)</f>
        <v>9.33399324642364</v>
      </c>
      <c r="H15882" s="6" t="n">
        <f aca="false">Sens!G15882*(1+Sens!H15883)</f>
        <v>9.96139155535851</v>
      </c>
      <c r="I15882" s="6" t="n">
        <f aca="false">Sens!H15882*(1+Sens!I15883)</f>
        <v>10.6402039077391</v>
      </c>
      <c r="J15882" s="6" t="n">
        <f aca="false">Sens!I15882*(1+Sens!J15883)</f>
        <v>11.3751458271397</v>
      </c>
      <c r="K15882" s="6" t="n">
        <f aca="false">Sens!J15882*(1+Sens!K15883)</f>
        <v>12.1714060350394</v>
      </c>
      <c r="L15882" s="12" t="s">
        <v>1034</v>
      </c>
    </row>
    <row r="15883" customFormat="false" ht="15" hidden="false" customHeight="false" outlineLevel="0" collapsed="false">
      <c r="A15883" s="1" t="s">
        <v>1024</v>
      </c>
      <c r="B15883" s="0" t="s">
        <v>168</v>
      </c>
      <c r="E15883" s="7" t="n">
        <f aca="false">Sens!E15882/Sens!D15882-1</f>
        <v>0.0644329896907216</v>
      </c>
      <c r="F15883" s="7" t="n">
        <f aca="false">Sens!$E$15883+(glt_fro-Sens!$E$15883)*MIN(1,(Sens!F15828-base_fy)/n_conv)</f>
        <v>0.065360824742268</v>
      </c>
      <c r="G15883" s="7" t="n">
        <f aca="false">Sens!$E$15883+(glt_fro-Sens!$E$15883)*MIN(1,(Sens!G15828-base_fy)/n_conv)</f>
        <v>0.0662886597938144</v>
      </c>
      <c r="H15883" s="7" t="n">
        <f aca="false">Sens!$E$15883+(glt_fro-Sens!$E$15883)*MIN(1,(Sens!H15828-base_fy)/n_conv)</f>
        <v>0.0672164948453608</v>
      </c>
      <c r="I15883" s="7" t="n">
        <f aca="false">Sens!$E$15883+(glt_fro-Sens!$E$15883)*MIN(1,(Sens!I15828-base_fy)/n_conv)</f>
        <v>0.0681443298969072</v>
      </c>
      <c r="J15883" s="7" t="n">
        <f aca="false">Sens!$E$15883+(glt_fro-Sens!$E$15883)*MIN(1,(Sens!J15828-base_fy)/n_conv)</f>
        <v>0.0690721649484536</v>
      </c>
      <c r="K15883" s="7" t="n">
        <f aca="false">Sens!$E$15883+(glt_fro-Sens!$E$15883)*MIN(1,(Sens!K15828-base_fy)/n_conv)</f>
        <v>0.07</v>
      </c>
    </row>
    <row r="15884" customFormat="false" ht="15" hidden="false" customHeight="false" outlineLevel="0" collapsed="false">
      <c r="A15884" s="0" t="s">
        <v>852</v>
      </c>
      <c r="B15884" s="0" t="s">
        <v>98</v>
      </c>
      <c r="D15884" s="6" t="n">
        <f aca="false">Sens!D15872+Sens!D15877+Sens!D15878+Sens!D15880+Sens!D15882</f>
        <v>218.783</v>
      </c>
      <c r="E15884" s="6" t="n">
        <f aca="false">Sens!E15872+Sens!E15877+Sens!E15878+Sens!E15880+Sens!E15882</f>
        <v>268.127</v>
      </c>
      <c r="F15884" s="6" t="n">
        <f aca="false">Sens!F15872+Sens!F15877+Sens!F15878+Sens!F15880+Sens!F15882</f>
        <v>327.233938178714</v>
      </c>
      <c r="G15884" s="6" t="n">
        <f aca="false">Sens!G15872+Sens!G15877+Sens!G15878+Sens!G15880+Sens!G15882</f>
        <v>381.388918301645</v>
      </c>
      <c r="H15884" s="6" t="n">
        <f aca="false">Sens!H15872+Sens!H15877+Sens!H15878+Sens!H15880+Sens!H15882</f>
        <v>431.424276060052</v>
      </c>
      <c r="I15884" s="6" t="n">
        <f aca="false">Sens!I15872+Sens!I15877+Sens!I15878+Sens!I15880+Sens!I15882</f>
        <v>472.974112332936</v>
      </c>
      <c r="J15884" s="6" t="n">
        <f aca="false">Sens!J15872+Sens!J15877+Sens!J15878+Sens!J15880+Sens!J15882</f>
        <v>510.732645464176</v>
      </c>
      <c r="K15884" s="6" t="n">
        <f aca="false">Sens!K15872+Sens!K15877+Sens!K15878+Sens!K15880+Sens!K15882</f>
        <v>546.867655552294</v>
      </c>
    </row>
    <row r="15885" customFormat="false" ht="17.15" hidden="false" customHeight="false" outlineLevel="0" collapsed="false">
      <c r="A15885" s="0" t="s">
        <v>1037</v>
      </c>
      <c r="B15885" s="0" t="s">
        <v>98</v>
      </c>
      <c r="D15885" s="6" t="n">
        <f aca="false">Q!L13</f>
        <v>22.171</v>
      </c>
      <c r="E15885" s="6" t="n">
        <f aca="false">Q!M13</f>
        <v>24.835</v>
      </c>
      <c r="F15885" s="6" t="n">
        <f aca="false">Q!$I$13+(Q!M13-Q!$E$13)*(1+Sens!F15886)</f>
        <v>27.5591895660247</v>
      </c>
      <c r="G15885" s="6" t="n">
        <f aca="false">Sens!F15885*(1+Sens!G15886)</f>
        <v>30.4098563144583</v>
      </c>
      <c r="H15885" s="6" t="n">
        <f aca="false">Sens!G15885*(1+Sens!H15886)</f>
        <v>33.3011792571777</v>
      </c>
      <c r="I15885" s="6" t="n">
        <f aca="false">Sens!H15885*(1+Sens!I15886)</f>
        <v>36.189023797112</v>
      </c>
      <c r="J15885" s="6" t="n">
        <f aca="false">Sens!I15885*(1+Sens!J15886)</f>
        <v>39.0247773769199</v>
      </c>
      <c r="K15885" s="6" t="n">
        <f aca="false">Sens!J15885*(1+Sens!K15886)</f>
        <v>41.7565117933043</v>
      </c>
      <c r="L15885" s="12" t="s">
        <v>1034</v>
      </c>
    </row>
    <row r="15886" customFormat="false" ht="15" hidden="false" customHeight="false" outlineLevel="0" collapsed="false">
      <c r="A15886" s="1" t="s">
        <v>1024</v>
      </c>
      <c r="B15886" s="0" t="s">
        <v>168</v>
      </c>
      <c r="E15886" s="7" t="n">
        <f aca="false">Sens!E15885/Sens!D15885-1</f>
        <v>0.120156961796942</v>
      </c>
      <c r="F15886" s="7" t="n">
        <f aca="false">Sens!$E$15886+(glt_srch-Sens!$E$15886)*MIN(1,(Sens!F15828-base_fy)/n_conv)</f>
        <v>0.111797468164118</v>
      </c>
      <c r="G15886" s="7" t="n">
        <f aca="false">Sens!$E$15886+(glt_srch-Sens!$E$15886)*MIN(1,(Sens!G15828-base_fy)/n_conv)</f>
        <v>0.103437974531295</v>
      </c>
      <c r="H15886" s="7" t="n">
        <f aca="false">Sens!$E$15886+(glt_srch-Sens!$E$15886)*MIN(1,(Sens!H15828-base_fy)/n_conv)</f>
        <v>0.095078480898471</v>
      </c>
      <c r="I15886" s="7" t="n">
        <f aca="false">Sens!$E$15886+(glt_srch-Sens!$E$15886)*MIN(1,(Sens!I15828-base_fy)/n_conv)</f>
        <v>0.0867189872656474</v>
      </c>
      <c r="J15886" s="7" t="n">
        <f aca="false">Sens!$E$15886+(glt_srch-Sens!$E$15886)*MIN(1,(Sens!J15828-base_fy)/n_conv)</f>
        <v>0.0783594936328237</v>
      </c>
      <c r="K15886" s="7" t="n">
        <f aca="false">Sens!$E$15886+(glt_srch-Sens!$E$15886)*MIN(1,(Sens!K15828-base_fy)/n_conv)</f>
        <v>0.07</v>
      </c>
    </row>
    <row r="15887" customFormat="false" ht="17.15" hidden="false" customHeight="false" outlineLevel="0" collapsed="false">
      <c r="A15887" s="0" t="s">
        <v>1038</v>
      </c>
      <c r="B15887" s="0" t="s">
        <v>98</v>
      </c>
      <c r="D15887" s="6" t="n">
        <f aca="false">Q!L14</f>
        <v>23.455</v>
      </c>
      <c r="E15887" s="6" t="n">
        <f aca="false">Q!M14</f>
        <v>21.79</v>
      </c>
      <c r="F15887" s="6" t="n">
        <f aca="false">Q!$I$14+(Q!M14-Q!$E$14)*(1+Sens!F15888)</f>
        <v>20.7520981041711</v>
      </c>
      <c r="G15887" s="6" t="n">
        <f aca="false">Sens!F15887*(1+Sens!G15888)</f>
        <v>19.9083593495882</v>
      </c>
      <c r="H15887" s="6" t="n">
        <f aca="false">Sens!G15887*(1+Sens!H15888)</f>
        <v>19.4008256265831</v>
      </c>
      <c r="I15887" s="6" t="n">
        <f aca="false">Sens!H15887*(1+Sens!I15888)</f>
        <v>19.200434522122</v>
      </c>
      <c r="J15887" s="6" t="n">
        <f aca="false">Sens!I15887*(1+Sens!J15888)</f>
        <v>19.2932782348507</v>
      </c>
      <c r="K15887" s="6" t="n">
        <f aca="false">Sens!J15887*(1+Sens!K15888)</f>
        <v>19.6791437995477</v>
      </c>
      <c r="L15887" s="12" t="s">
        <v>1034</v>
      </c>
    </row>
    <row r="15888" customFormat="false" ht="15" hidden="false" customHeight="false" outlineLevel="0" collapsed="false">
      <c r="A15888" s="1" t="s">
        <v>1024</v>
      </c>
      <c r="B15888" s="0" t="s">
        <v>168</v>
      </c>
      <c r="E15888" s="7" t="n">
        <f aca="false">Sens!E15887/Sens!D15887-1</f>
        <v>-0.0709869963760392</v>
      </c>
      <c r="F15888" s="7" t="n">
        <f aca="false">Sens!$E$15888+(glt_xbox-Sens!$E$15888)*MIN(1,(Sens!F15828-base_fy)/n_conv)</f>
        <v>-0.0558224969800327</v>
      </c>
      <c r="G15888" s="7" t="n">
        <f aca="false">Sens!$E$15888+(glt_xbox-Sens!$E$15888)*MIN(1,(Sens!G15828-base_fy)/n_conv)</f>
        <v>-0.0406579975840262</v>
      </c>
      <c r="H15888" s="7" t="n">
        <f aca="false">Sens!$E$15888+(glt_xbox-Sens!$E$15888)*MIN(1,(Sens!H15828-base_fy)/n_conv)</f>
        <v>-0.0254934981880196</v>
      </c>
      <c r="I15888" s="7" t="n">
        <f aca="false">Sens!$E$15888+(glt_xbox-Sens!$E$15888)*MIN(1,(Sens!I15828-base_fy)/n_conv)</f>
        <v>-0.0103289987920131</v>
      </c>
      <c r="J15888" s="7" t="n">
        <f aca="false">Sens!$E$15888+(glt_xbox-Sens!$E$15888)*MIN(1,(Sens!J15828-base_fy)/n_conv)</f>
        <v>0.00483550060399347</v>
      </c>
      <c r="K15888" s="7" t="n">
        <f aca="false">Sens!$E$15888+(glt_xbox-Sens!$E$15888)*MIN(1,(Sens!K15828-base_fy)/n_conv)</f>
        <v>0.02</v>
      </c>
    </row>
    <row r="15889" customFormat="false" ht="17.15" hidden="false" customHeight="false" outlineLevel="0" collapsed="false">
      <c r="A15889" s="0" t="s">
        <v>1039</v>
      </c>
      <c r="B15889" s="0" t="s">
        <v>98</v>
      </c>
      <c r="D15889" s="6" t="n">
        <f aca="false">Q!L15</f>
        <v>17.315</v>
      </c>
      <c r="E15889" s="6" t="n">
        <f aca="false">Q!M15</f>
        <v>17.087</v>
      </c>
      <c r="F15889" s="6" t="n">
        <f aca="false">Q!$I$15+(Q!M15-Q!$E$15)*(1+Sens!F15890)</f>
        <v>15.9912273250553</v>
      </c>
      <c r="G15889" s="6" t="n">
        <f aca="false">Sens!F15889*(1+Sens!G15890)</f>
        <v>15.9574562664827</v>
      </c>
      <c r="H15889" s="6" t="n">
        <f aca="false">Sens!G15889*(1+Sens!H15890)</f>
        <v>16.0119687434196</v>
      </c>
      <c r="I15889" s="6" t="n">
        <f aca="false">Sens!H15889*(1+Sens!I15890)</f>
        <v>16.1551810001948</v>
      </c>
      <c r="J15889" s="6" t="n">
        <f aca="false">Sens!I15889*(1+Sens!J15890)</f>
        <v>16.3889793892005</v>
      </c>
      <c r="K15889" s="6" t="n">
        <f aca="false">Sens!J15889*(1+Sens!K15890)</f>
        <v>16.7167589769845</v>
      </c>
      <c r="L15889" s="12" t="s">
        <v>1034</v>
      </c>
    </row>
    <row r="15890" customFormat="false" ht="15" hidden="false" customHeight="false" outlineLevel="0" collapsed="false">
      <c r="A15890" s="1" t="s">
        <v>1024</v>
      </c>
      <c r="B15890" s="0" t="s">
        <v>168</v>
      </c>
      <c r="E15890" s="7" t="n">
        <f aca="false">Sens!E15889/Sens!D15889-1</f>
        <v>-0.0131677736066995</v>
      </c>
      <c r="F15890" s="7" t="n">
        <f aca="false">Sens!$E$15890+(glt_win-Sens!$E$15890)*MIN(1,(Sens!F15828-base_fy)/n_conv)</f>
        <v>-0.00763981133891627</v>
      </c>
      <c r="G15890" s="7" t="n">
        <f aca="false">Sens!$E$15890+(glt_win-Sens!$E$15890)*MIN(1,(Sens!G15828-base_fy)/n_conv)</f>
        <v>-0.00211184907113301</v>
      </c>
      <c r="H15890" s="7" t="n">
        <f aca="false">Sens!$E$15890+(glt_win-Sens!$E$15890)*MIN(1,(Sens!H15828-base_fy)/n_conv)</f>
        <v>0.00341611319665024</v>
      </c>
      <c r="I15890" s="7" t="n">
        <f aca="false">Sens!$E$15890+(glt_win-Sens!$E$15890)*MIN(1,(Sens!I15828-base_fy)/n_conv)</f>
        <v>0.00894407546443349</v>
      </c>
      <c r="J15890" s="7" t="n">
        <f aca="false">Sens!$E$15890+(glt_win-Sens!$E$15890)*MIN(1,(Sens!J15828-base_fy)/n_conv)</f>
        <v>0.0144720377322168</v>
      </c>
      <c r="K15890" s="7" t="n">
        <f aca="false">Sens!$E$15890+(glt_win-Sens!$E$15890)*MIN(1,(Sens!K15828-base_fy)/n_conv)</f>
        <v>0.02</v>
      </c>
    </row>
    <row r="15891" customFormat="false" ht="15" hidden="false" customHeight="false" outlineLevel="0" collapsed="false">
      <c r="A15891" s="0" t="s">
        <v>866</v>
      </c>
      <c r="B15891" s="0" t="s">
        <v>98</v>
      </c>
      <c r="D15891" s="6" t="n">
        <f aca="false">Sens!D15885+Sens!D15887+Sens!D15889</f>
        <v>62.941</v>
      </c>
      <c r="E15891" s="6" t="n">
        <f aca="false">Sens!E15885+Sens!E15887+Sens!E15889</f>
        <v>63.712</v>
      </c>
      <c r="F15891" s="6" t="n">
        <f aca="false">Sens!F15885+Sens!F15887+Sens!F15889</f>
        <v>64.3025149952511</v>
      </c>
      <c r="G15891" s="6" t="n">
        <f aca="false">Sens!G15885+Sens!G15887+Sens!G15889</f>
        <v>66.2756719305292</v>
      </c>
      <c r="H15891" s="6" t="n">
        <f aca="false">Sens!H15885+Sens!H15887+Sens!H15889</f>
        <v>68.7139736271804</v>
      </c>
      <c r="I15891" s="6" t="n">
        <f aca="false">Sens!I15885+Sens!I15887+Sens!I15889</f>
        <v>71.5446393194289</v>
      </c>
      <c r="J15891" s="6" t="n">
        <f aca="false">Sens!J15885+Sens!J15887+Sens!J15889</f>
        <v>74.707035000971</v>
      </c>
      <c r="K15891" s="6" t="n">
        <f aca="false">Sens!K15885+Sens!K15887+Sens!K15889</f>
        <v>78.1524145698365</v>
      </c>
    </row>
    <row r="15892" customFormat="false" ht="15" hidden="false" customHeight="false" outlineLevel="0" collapsed="false">
      <c r="A15892" s="1" t="s">
        <v>1040</v>
      </c>
      <c r="B15892" s="0" t="s">
        <v>98</v>
      </c>
      <c r="D15892" s="6" t="n">
        <f aca="false">Sens!D15884+Sens!D15891</f>
        <v>281.724</v>
      </c>
      <c r="E15892" s="6" t="n">
        <f aca="false">Sens!E15884+Sens!E15891</f>
        <v>331.839</v>
      </c>
      <c r="F15892" s="6" t="n">
        <f aca="false">Sens!F15884+Sens!F15891</f>
        <v>391.536453173965</v>
      </c>
      <c r="G15892" s="6" t="n">
        <f aca="false">Sens!G15884+Sens!G15891</f>
        <v>447.664590232174</v>
      </c>
      <c r="H15892" s="6" t="n">
        <f aca="false">Sens!H15884+Sens!H15891</f>
        <v>500.138249687232</v>
      </c>
      <c r="I15892" s="6" t="n">
        <f aca="false">Sens!I15884+Sens!I15891</f>
        <v>544.518751652365</v>
      </c>
      <c r="J15892" s="6" t="n">
        <f aca="false">Sens!J15884+Sens!J15891</f>
        <v>585.439680465147</v>
      </c>
      <c r="K15892" s="6" t="n">
        <f aca="false">Sens!K15884+Sens!K15891</f>
        <v>625.020070122131</v>
      </c>
    </row>
    <row r="15893" customFormat="false" ht="15" hidden="false" customHeight="false" outlineLevel="0" collapsed="false">
      <c r="A15893" s="26" t="s">
        <v>1041</v>
      </c>
      <c r="B15893" s="31" t="s">
        <v>98</v>
      </c>
      <c r="C15893" s="31"/>
      <c r="D15893" s="27" t="n">
        <f aca="false">(Sens!D15872+Sens!D15877+Sens!D15878+Sens!D15880+Sens!D15882-Sens!D15884)+(Sens!D15885+Sens!D15887+Sens!D15889-Sens!D15891)+(Sens!D15884-Q!L5)+(Sens!D15891-Q!L12)+(Sens!D15872-Q!L6)+(Sens!D15877-Q!L7)</f>
        <v>0</v>
      </c>
      <c r="E15893" s="27" t="n">
        <f aca="false">(Sens!E15872+Sens!E15877+Sens!E15878+Sens!E15880+Sens!E15882-Sens!E15884)+(Sens!E15885+Sens!E15887+Sens!E15889-Sens!E15891)+(Sens!E15884-Q!M5)+(Sens!E15891-Q!M12)+(Sens!E15872-Q!M6)+(Sens!E15877-Q!M7)</f>
        <v>0</v>
      </c>
      <c r="F15893" s="27" t="n">
        <f aca="false">(Sens!F15872+Sens!F15877+Sens!F15878+Sens!F15880+Sens!F15882-Sens!F15884)+(Sens!F15885+Sens!F15887+Sens!F15889-Sens!F15891)</f>
        <v>0</v>
      </c>
      <c r="G15893" s="27" t="n">
        <f aca="false">(Sens!G15872+Sens!G15877+Sens!G15878+Sens!G15880+Sens!G15882-Sens!G15884)+(Sens!G15885+Sens!G15887+Sens!G15889-Sens!G15891)</f>
        <v>0</v>
      </c>
      <c r="H15893" s="27" t="n">
        <f aca="false">(Sens!H15872+Sens!H15877+Sens!H15878+Sens!H15880+Sens!H15882-Sens!H15884)+(Sens!H15885+Sens!H15887+Sens!H15889-Sens!H15891)</f>
        <v>0</v>
      </c>
      <c r="I15893" s="27" t="n">
        <f aca="false">(Sens!I15872+Sens!I15877+Sens!I15878+Sens!I15880+Sens!I15882-Sens!I15884)+(Sens!I15885+Sens!I15887+Sens!I15889-Sens!I15891)</f>
        <v>0</v>
      </c>
      <c r="J15893" s="27" t="n">
        <f aca="false">(Sens!J15872+Sens!J15877+Sens!J15878+Sens!J15880+Sens!J15882-Sens!J15884)+(Sens!J15885+Sens!J15887+Sens!J15889-Sens!J15891)</f>
        <v>0</v>
      </c>
      <c r="K15893" s="27" t="n">
        <f aca="false">(Sens!K15872+Sens!K15877+Sens!K15878+Sens!K15880+Sens!K15882-Sens!K15884)+(Sens!K15885+Sens!K15887+Sens!K15889-Sens!K15891)</f>
        <v>0</v>
      </c>
    </row>
    <row r="15894" customFormat="false" ht="17.15" hidden="false" customHeight="false" outlineLevel="0" collapsed="false">
      <c r="A15894" s="3" t="s">
        <v>1871</v>
      </c>
    </row>
    <row r="15895" customFormat="false" ht="15" hidden="false" customHeight="false" outlineLevel="0" collapsed="false">
      <c r="A15895" s="4" t="s">
        <v>43</v>
      </c>
      <c r="B15895" s="4" t="s">
        <v>65</v>
      </c>
      <c r="C15895" s="23" t="s">
        <v>938</v>
      </c>
      <c r="D15895" s="23" t="s">
        <v>939</v>
      </c>
      <c r="E15895" s="23" t="s">
        <v>940</v>
      </c>
      <c r="F15895" s="23" t="s">
        <v>941</v>
      </c>
      <c r="G15895" s="23" t="s">
        <v>942</v>
      </c>
      <c r="H15895" s="23" t="s">
        <v>943</v>
      </c>
      <c r="I15895" s="23" t="s">
        <v>944</v>
      </c>
      <c r="J15895" s="23" t="s">
        <v>945</v>
      </c>
      <c r="K15895" s="23" t="s">
        <v>946</v>
      </c>
      <c r="L15895" s="4" t="s">
        <v>47</v>
      </c>
    </row>
    <row r="15896" customFormat="false" ht="15" hidden="false" customHeight="false" outlineLevel="0" collapsed="false">
      <c r="A15896" s="0" t="s">
        <v>1025</v>
      </c>
      <c r="B15896" s="0" t="s">
        <v>98</v>
      </c>
      <c r="D15896" s="6" t="n">
        <f aca="false">Sens!D15872</f>
        <v>72.61</v>
      </c>
      <c r="E15896" s="6" t="n">
        <f aca="false">Sens!E15872</f>
        <v>101.938</v>
      </c>
      <c r="F15896" s="6" t="n">
        <f aca="false">Sens!F15872</f>
        <v>138.049240656588</v>
      </c>
      <c r="G15896" s="6" t="n">
        <f aca="false">Sens!G15872</f>
        <v>166.84394711146</v>
      </c>
      <c r="H15896" s="6" t="n">
        <f aca="false">Sens!H15872</f>
        <v>191.493171387655</v>
      </c>
      <c r="I15896" s="6" t="n">
        <f aca="false">Sens!I15872</f>
        <v>210.175785607813</v>
      </c>
      <c r="J15896" s="6" t="n">
        <f aca="false">Sens!J15872</f>
        <v>227.904148043793</v>
      </c>
      <c r="K15896" s="6" t="n">
        <f aca="false">Sens!K15872</f>
        <v>244.927100177807</v>
      </c>
    </row>
    <row r="15897" customFormat="false" ht="17.15" hidden="false" customHeight="false" outlineLevel="0" collapsed="false">
      <c r="A15897" s="0" t="s">
        <v>1021</v>
      </c>
      <c r="B15897" s="0" t="s">
        <v>98</v>
      </c>
      <c r="D15897" s="6" t="n">
        <f aca="false">Sens!D15869</f>
        <v>12.9359794422418</v>
      </c>
      <c r="E15897" s="6" t="n">
        <f aca="false">Sens!E15869</f>
        <v>27.8095064661409</v>
      </c>
      <c r="F15897" s="6" t="n">
        <f aca="false">Sens!F15869</f>
        <v>44.3154260331949</v>
      </c>
      <c r="G15897" s="6" t="n">
        <f aca="false">Sens!G15869</f>
        <v>55.4741850646324</v>
      </c>
      <c r="H15897" s="6" t="n">
        <f aca="false">Sens!H15869</f>
        <v>62.1804107508501</v>
      </c>
      <c r="I15897" s="6" t="n">
        <f aca="false">Sens!I15869</f>
        <v>63.5254647343612</v>
      </c>
      <c r="J15897" s="6" t="n">
        <f aca="false">Sens!J15869</f>
        <v>65.5567707502758</v>
      </c>
      <c r="K15897" s="6" t="n">
        <f aca="false">Sens!K15869</f>
        <v>69.5919327008091</v>
      </c>
    </row>
    <row r="15898" customFormat="false" ht="17.15" hidden="false" customHeight="false" outlineLevel="0" collapsed="false">
      <c r="A15898" s="0" t="s">
        <v>1052</v>
      </c>
      <c r="B15898" s="0" t="s">
        <v>98</v>
      </c>
      <c r="D15898" s="6" t="n">
        <f aca="false">Sens!D15870</f>
        <v>59.6740205577583</v>
      </c>
      <c r="E15898" s="6" t="n">
        <f aca="false">Sens!E15870</f>
        <v>74.1284935338591</v>
      </c>
      <c r="F15898" s="6" t="n">
        <f aca="false">Sens!F15870</f>
        <v>93.7338146233927</v>
      </c>
      <c r="G15898" s="6" t="n">
        <f aca="false">Sens!G15870</f>
        <v>111.369762046828</v>
      </c>
      <c r="H15898" s="6" t="n">
        <f aca="false">Sens!H15870</f>
        <v>129.312760636805</v>
      </c>
      <c r="I15898" s="6" t="n">
        <f aca="false">Sens!I15870</f>
        <v>146.650320873452</v>
      </c>
      <c r="J15898" s="6" t="n">
        <f aca="false">Sens!J15870</f>
        <v>162.347377293517</v>
      </c>
      <c r="K15898" s="6" t="n">
        <f aca="false">Sens!K15870</f>
        <v>175.335167476998</v>
      </c>
    </row>
    <row r="15899" customFormat="false" ht="15" hidden="false" customHeight="false" outlineLevel="0" collapsed="false">
      <c r="A15899" s="0" t="s">
        <v>1032</v>
      </c>
      <c r="B15899" s="0" t="s">
        <v>98</v>
      </c>
      <c r="D15899" s="6" t="n">
        <f aca="false">Sens!D15877</f>
        <v>84.605</v>
      </c>
      <c r="E15899" s="6" t="n">
        <f aca="false">Sens!E15877</f>
        <v>100.299</v>
      </c>
      <c r="F15899" s="6" t="n">
        <f aca="false">Sens!F15877</f>
        <v>119.729653205718</v>
      </c>
      <c r="G15899" s="6" t="n">
        <f aca="false">Sens!G15877</f>
        <v>140.806092647576</v>
      </c>
      <c r="H15899" s="6" t="n">
        <f aca="false">Sens!H15877</f>
        <v>161.963437602768</v>
      </c>
      <c r="I15899" s="6" t="n">
        <f aca="false">Sens!I15877</f>
        <v>180.695354741933</v>
      </c>
      <c r="J15899" s="6" t="n">
        <f aca="false">Sens!J15877</f>
        <v>196.722117481571</v>
      </c>
      <c r="K15899" s="6" t="n">
        <f aca="false">Sens!K15877</f>
        <v>212.00016570528</v>
      </c>
    </row>
    <row r="15900" customFormat="false" ht="17.15" hidden="false" customHeight="false" outlineLevel="0" collapsed="false">
      <c r="A15900" s="0" t="s">
        <v>1053</v>
      </c>
      <c r="B15900" s="0" t="s">
        <v>98</v>
      </c>
      <c r="D15900" s="6" t="n">
        <f aca="false">Sens!D15875</f>
        <v>83.705</v>
      </c>
      <c r="E15900" s="6" t="n">
        <f aca="false">Sens!E15875</f>
        <v>95.049</v>
      </c>
      <c r="F15900" s="6" t="n">
        <f aca="false">Sens!F15875</f>
        <v>106.229653205718</v>
      </c>
      <c r="G15900" s="6" t="n">
        <f aca="false">Sens!G15875</f>
        <v>118.306092647576</v>
      </c>
      <c r="H15900" s="6" t="n">
        <f aca="false">Sens!H15875</f>
        <v>130.463437602768</v>
      </c>
      <c r="I15900" s="6" t="n">
        <f aca="false">Sens!I15875</f>
        <v>142.445354741933</v>
      </c>
      <c r="J15900" s="6" t="n">
        <f aca="false">Sens!J15875</f>
        <v>153.972117481571</v>
      </c>
      <c r="K15900" s="6" t="n">
        <f aca="false">Sens!K15875</f>
        <v>164.75016570528</v>
      </c>
    </row>
    <row r="15901" customFormat="false" ht="17.15" hidden="false" customHeight="false" outlineLevel="0" collapsed="false">
      <c r="A15901" s="0" t="s">
        <v>1054</v>
      </c>
      <c r="B15901" s="0" t="s">
        <v>98</v>
      </c>
      <c r="D15901" s="6" t="n">
        <f aca="false">Sens!D15874</f>
        <v>0.9</v>
      </c>
      <c r="E15901" s="6" t="n">
        <f aca="false">Sens!E15874</f>
        <v>5.25</v>
      </c>
      <c r="F15901" s="6" t="n">
        <f aca="false">Sens!F15874</f>
        <v>13.5</v>
      </c>
      <c r="G15901" s="6" t="n">
        <f aca="false">Sens!G15874</f>
        <v>22.5</v>
      </c>
      <c r="H15901" s="6" t="n">
        <f aca="false">Sens!H15874</f>
        <v>31.5</v>
      </c>
      <c r="I15901" s="6" t="n">
        <f aca="false">Sens!I15874</f>
        <v>38.25</v>
      </c>
      <c r="J15901" s="6" t="n">
        <f aca="false">Sens!J15874</f>
        <v>42.75</v>
      </c>
      <c r="K15901" s="6" t="n">
        <f aca="false">Sens!K15874</f>
        <v>47.25</v>
      </c>
    </row>
    <row r="15902" customFormat="false" ht="15" hidden="false" customHeight="false" outlineLevel="0" collapsed="false">
      <c r="A15902" s="0" t="s">
        <v>1033</v>
      </c>
      <c r="B15902" s="0" t="s">
        <v>98</v>
      </c>
      <c r="D15902" s="6" t="n">
        <f aca="false">Sens!D15878</f>
        <v>35.391</v>
      </c>
      <c r="E15902" s="6" t="n">
        <f aca="false">Sens!E15878</f>
        <v>37.285</v>
      </c>
      <c r="F15902" s="6" t="n">
        <f aca="false">Sens!F15878</f>
        <v>38.3851437782675</v>
      </c>
      <c r="G15902" s="6" t="n">
        <f aca="false">Sens!G15878</f>
        <v>40.0105353288615</v>
      </c>
      <c r="H15902" s="6" t="n">
        <f aca="false">Sens!H15878</f>
        <v>41.4812512033683</v>
      </c>
      <c r="I15902" s="6" t="n">
        <f aca="false">Sens!I15878</f>
        <v>42.7743107216329</v>
      </c>
      <c r="J15902" s="6" t="n">
        <f aca="false">Sens!J15878</f>
        <v>43.8687373064601</v>
      </c>
      <c r="K15902" s="6" t="n">
        <f aca="false">Sens!K15878</f>
        <v>44.7461120525893</v>
      </c>
    </row>
    <row r="15903" customFormat="false" ht="15" hidden="false" customHeight="false" outlineLevel="0" collapsed="false">
      <c r="A15903" s="0" t="s">
        <v>1035</v>
      </c>
      <c r="B15903" s="0" t="s">
        <v>98</v>
      </c>
      <c r="D15903" s="6" t="n">
        <f aca="false">Sens!D15880</f>
        <v>18.417</v>
      </c>
      <c r="E15903" s="6" t="n">
        <f aca="false">Sens!E15880</f>
        <v>20.345</v>
      </c>
      <c r="F15903" s="6" t="n">
        <f aca="false">Sens!F15880</f>
        <v>22.3161797133988</v>
      </c>
      <c r="G15903" s="6" t="n">
        <f aca="false">Sens!G15880</f>
        <v>24.3943499673233</v>
      </c>
      <c r="H15903" s="6" t="n">
        <f aca="false">Sens!H15880</f>
        <v>26.5250243109019</v>
      </c>
      <c r="I15903" s="6" t="n">
        <f aca="false">Sens!I15880</f>
        <v>28.6884573538181</v>
      </c>
      <c r="J15903" s="6" t="n">
        <f aca="false">Sens!J15880</f>
        <v>30.8624968052127</v>
      </c>
      <c r="K15903" s="6" t="n">
        <f aca="false">Sens!K15880</f>
        <v>33.0228715815776</v>
      </c>
    </row>
    <row r="15904" customFormat="false" ht="15" hidden="false" customHeight="false" outlineLevel="0" collapsed="false">
      <c r="A15904" s="0" t="s">
        <v>1036</v>
      </c>
      <c r="B15904" s="0" t="s">
        <v>98</v>
      </c>
      <c r="D15904" s="6" t="n">
        <f aca="false">Sens!D15882</f>
        <v>7.76</v>
      </c>
      <c r="E15904" s="6" t="n">
        <f aca="false">Sens!E15882</f>
        <v>8.26</v>
      </c>
      <c r="F15904" s="6" t="n">
        <f aca="false">Sens!F15882</f>
        <v>8.75372082474227</v>
      </c>
      <c r="G15904" s="6" t="n">
        <f aca="false">Sens!G15882</f>
        <v>9.33399324642364</v>
      </c>
      <c r="H15904" s="6" t="n">
        <f aca="false">Sens!H15882</f>
        <v>9.96139155535851</v>
      </c>
      <c r="I15904" s="6" t="n">
        <f aca="false">Sens!I15882</f>
        <v>10.6402039077391</v>
      </c>
      <c r="J15904" s="6" t="n">
        <f aca="false">Sens!J15882</f>
        <v>11.3751458271397</v>
      </c>
      <c r="K15904" s="6" t="n">
        <f aca="false">Sens!K15882</f>
        <v>12.1714060350394</v>
      </c>
    </row>
    <row r="15905" customFormat="false" ht="15" hidden="false" customHeight="false" outlineLevel="0" collapsed="false">
      <c r="A15905" s="0" t="s">
        <v>852</v>
      </c>
      <c r="B15905" s="0" t="s">
        <v>98</v>
      </c>
      <c r="D15905" s="6" t="n">
        <f aca="false">Sens!D15884</f>
        <v>218.783</v>
      </c>
      <c r="E15905" s="6" t="n">
        <f aca="false">Sens!E15884</f>
        <v>268.127</v>
      </c>
      <c r="F15905" s="6" t="n">
        <f aca="false">Sens!F15884</f>
        <v>327.233938178714</v>
      </c>
      <c r="G15905" s="6" t="n">
        <f aca="false">Sens!G15884</f>
        <v>381.388918301645</v>
      </c>
      <c r="H15905" s="6" t="n">
        <f aca="false">Sens!H15884</f>
        <v>431.424276060052</v>
      </c>
      <c r="I15905" s="6" t="n">
        <f aca="false">Sens!I15884</f>
        <v>472.974112332936</v>
      </c>
      <c r="J15905" s="6" t="n">
        <f aca="false">Sens!J15884</f>
        <v>510.732645464176</v>
      </c>
      <c r="K15905" s="6" t="n">
        <f aca="false">Sens!K15884</f>
        <v>546.867655552294</v>
      </c>
    </row>
    <row r="15906" customFormat="false" ht="15" hidden="false" customHeight="false" outlineLevel="0" collapsed="false">
      <c r="A15906" s="0" t="s">
        <v>1037</v>
      </c>
      <c r="B15906" s="0" t="s">
        <v>98</v>
      </c>
      <c r="D15906" s="6" t="n">
        <f aca="false">Sens!D15885</f>
        <v>22.171</v>
      </c>
      <c r="E15906" s="6" t="n">
        <f aca="false">Sens!E15885</f>
        <v>24.835</v>
      </c>
      <c r="F15906" s="6" t="n">
        <f aca="false">Sens!F15885</f>
        <v>27.5591895660247</v>
      </c>
      <c r="G15906" s="6" t="n">
        <f aca="false">Sens!G15885</f>
        <v>30.4098563144583</v>
      </c>
      <c r="H15906" s="6" t="n">
        <f aca="false">Sens!H15885</f>
        <v>33.3011792571777</v>
      </c>
      <c r="I15906" s="6" t="n">
        <f aca="false">Sens!I15885</f>
        <v>36.189023797112</v>
      </c>
      <c r="J15906" s="6" t="n">
        <f aca="false">Sens!J15885</f>
        <v>39.0247773769199</v>
      </c>
      <c r="K15906" s="6" t="n">
        <f aca="false">Sens!K15885</f>
        <v>41.7565117933043</v>
      </c>
    </row>
    <row r="15907" customFormat="false" ht="15" hidden="false" customHeight="false" outlineLevel="0" collapsed="false">
      <c r="A15907" s="0" t="s">
        <v>1038</v>
      </c>
      <c r="B15907" s="0" t="s">
        <v>98</v>
      </c>
      <c r="D15907" s="6" t="n">
        <f aca="false">Sens!D15887</f>
        <v>23.455</v>
      </c>
      <c r="E15907" s="6" t="n">
        <f aca="false">Sens!E15887</f>
        <v>21.79</v>
      </c>
      <c r="F15907" s="6" t="n">
        <f aca="false">Sens!F15887</f>
        <v>20.7520981041711</v>
      </c>
      <c r="G15907" s="6" t="n">
        <f aca="false">Sens!G15887</f>
        <v>19.9083593495882</v>
      </c>
      <c r="H15907" s="6" t="n">
        <f aca="false">Sens!H15887</f>
        <v>19.4008256265831</v>
      </c>
      <c r="I15907" s="6" t="n">
        <f aca="false">Sens!I15887</f>
        <v>19.200434522122</v>
      </c>
      <c r="J15907" s="6" t="n">
        <f aca="false">Sens!J15887</f>
        <v>19.2932782348507</v>
      </c>
      <c r="K15907" s="6" t="n">
        <f aca="false">Sens!K15887</f>
        <v>19.6791437995477</v>
      </c>
    </row>
    <row r="15908" customFormat="false" ht="15" hidden="false" customHeight="false" outlineLevel="0" collapsed="false">
      <c r="A15908" s="0" t="s">
        <v>1039</v>
      </c>
      <c r="B15908" s="0" t="s">
        <v>98</v>
      </c>
      <c r="D15908" s="6" t="n">
        <f aca="false">Sens!D15889</f>
        <v>17.315</v>
      </c>
      <c r="E15908" s="6" t="n">
        <f aca="false">Sens!E15889</f>
        <v>17.087</v>
      </c>
      <c r="F15908" s="6" t="n">
        <f aca="false">Sens!F15889</f>
        <v>15.9912273250553</v>
      </c>
      <c r="G15908" s="6" t="n">
        <f aca="false">Sens!G15889</f>
        <v>15.9574562664827</v>
      </c>
      <c r="H15908" s="6" t="n">
        <f aca="false">Sens!H15889</f>
        <v>16.0119687434196</v>
      </c>
      <c r="I15908" s="6" t="n">
        <f aca="false">Sens!I15889</f>
        <v>16.1551810001948</v>
      </c>
      <c r="J15908" s="6" t="n">
        <f aca="false">Sens!J15889</f>
        <v>16.3889793892005</v>
      </c>
      <c r="K15908" s="6" t="n">
        <f aca="false">Sens!K15889</f>
        <v>16.7167589769845</v>
      </c>
    </row>
    <row r="15909" customFormat="false" ht="15" hidden="false" customHeight="false" outlineLevel="0" collapsed="false">
      <c r="A15909" s="0" t="s">
        <v>866</v>
      </c>
      <c r="B15909" s="0" t="s">
        <v>98</v>
      </c>
      <c r="D15909" s="6" t="n">
        <f aca="false">Sens!D15891</f>
        <v>62.941</v>
      </c>
      <c r="E15909" s="6" t="n">
        <f aca="false">Sens!E15891</f>
        <v>63.712</v>
      </c>
      <c r="F15909" s="6" t="n">
        <f aca="false">Sens!F15891</f>
        <v>64.3025149952511</v>
      </c>
      <c r="G15909" s="6" t="n">
        <f aca="false">Sens!G15891</f>
        <v>66.2756719305292</v>
      </c>
      <c r="H15909" s="6" t="n">
        <f aca="false">Sens!H15891</f>
        <v>68.7139736271804</v>
      </c>
      <c r="I15909" s="6" t="n">
        <f aca="false">Sens!I15891</f>
        <v>71.5446393194289</v>
      </c>
      <c r="J15909" s="6" t="n">
        <f aca="false">Sens!J15891</f>
        <v>74.707035000971</v>
      </c>
      <c r="K15909" s="6" t="n">
        <f aca="false">Sens!K15891</f>
        <v>78.1524145698365</v>
      </c>
    </row>
    <row r="15910" customFormat="false" ht="15" hidden="false" customHeight="false" outlineLevel="0" collapsed="false">
      <c r="A15910" s="1" t="s">
        <v>1055</v>
      </c>
      <c r="B15910" s="0" t="s">
        <v>98</v>
      </c>
      <c r="D15910" s="6" t="n">
        <f aca="false">Sens!D15892</f>
        <v>281.724</v>
      </c>
      <c r="E15910" s="6" t="n">
        <f aca="false">Sens!E15892</f>
        <v>331.839</v>
      </c>
      <c r="F15910" s="6" t="n">
        <f aca="false">Sens!F15892</f>
        <v>391.536453173965</v>
      </c>
      <c r="G15910" s="6" t="n">
        <f aca="false">Sens!G15892</f>
        <v>447.664590232174</v>
      </c>
      <c r="H15910" s="6" t="n">
        <f aca="false">Sens!H15892</f>
        <v>500.138249687232</v>
      </c>
      <c r="I15910" s="6" t="n">
        <f aca="false">Sens!I15892</f>
        <v>544.518751652365</v>
      </c>
      <c r="J15910" s="6" t="n">
        <f aca="false">Sens!J15892</f>
        <v>585.439680465147</v>
      </c>
      <c r="K15910" s="6" t="n">
        <f aca="false">Sens!K15892</f>
        <v>625.020070122131</v>
      </c>
    </row>
    <row r="15911" customFormat="false" ht="15" hidden="false" customHeight="false" outlineLevel="0" collapsed="false">
      <c r="A15911" s="1" t="s">
        <v>1056</v>
      </c>
      <c r="B15911" s="0" t="s">
        <v>168</v>
      </c>
      <c r="E15911" s="7" t="n">
        <f aca="false">Sens!E15910/Sens!D15910-1</f>
        <v>0.177886867998467</v>
      </c>
      <c r="F15911" s="7" t="n">
        <f aca="false">Sens!F15910/Sens!E15910-1</f>
        <v>0.179898846048732</v>
      </c>
      <c r="G15911" s="7" t="n">
        <f aca="false">Sens!G15910/Sens!F15910-1</f>
        <v>0.14335354116637</v>
      </c>
      <c r="H15911" s="7" t="n">
        <f aca="false">Sens!H15910/Sens!G15910-1</f>
        <v>0.117216462056656</v>
      </c>
      <c r="I15911" s="7" t="n">
        <f aca="false">Sens!I15910/Sens!H15910-1</f>
        <v>0.0887364683522736</v>
      </c>
      <c r="J15911" s="7" t="n">
        <f aca="false">Sens!J15910/Sens!I15910-1</f>
        <v>0.0751506329003466</v>
      </c>
      <c r="K15911" s="7" t="n">
        <f aca="false">Sens!K15910/Sens!J15910-1</f>
        <v>0.0676079722261671</v>
      </c>
    </row>
    <row r="15912" customFormat="false" ht="17.15" hidden="false" customHeight="false" outlineLevel="0" collapsed="false">
      <c r="A15912" s="26" t="s">
        <v>1057</v>
      </c>
      <c r="B15912" s="31" t="s">
        <v>98</v>
      </c>
      <c r="C15912" s="31"/>
      <c r="D15912" s="27" t="n">
        <f aca="false">(Sens!D15905+Sens!D15909-Sens!D15910)+(Sens!D15897+Sens!D15898-Sens!D15896)+(Sens!D15900+Sens!D15901-Sens!D15899)+(Sens!D15910-Q!L18)</f>
        <v>0</v>
      </c>
      <c r="E15912" s="27" t="n">
        <f aca="false">(Sens!E15905+Sens!E15909-Sens!E15910)+(Sens!E15897+Sens!E15898-Sens!E15896)+(Sens!E15900+Sens!E15901-Sens!E15899)+(Sens!E15910-Q!M18)</f>
        <v>0</v>
      </c>
      <c r="F15912" s="27" t="n">
        <f aca="false">(Sens!F15905+Sens!F15909-Sens!F15910)+(Sens!F15897+Sens!F15898-Sens!F15896)+(Sens!F15900+Sens!F15901-Sens!F15899)</f>
        <v>0</v>
      </c>
      <c r="G15912" s="27" t="n">
        <f aca="false">(Sens!G15905+Sens!G15909-Sens!G15910)+(Sens!G15897+Sens!G15898-Sens!G15896)+(Sens!G15900+Sens!G15901-Sens!G15899)</f>
        <v>0</v>
      </c>
      <c r="H15912" s="27" t="n">
        <f aca="false">(Sens!H15905+Sens!H15909-Sens!H15910)+(Sens!H15897+Sens!H15898-Sens!H15896)+(Sens!H15900+Sens!H15901-Sens!H15899)</f>
        <v>0</v>
      </c>
      <c r="I15912" s="27" t="n">
        <f aca="false">(Sens!I15905+Sens!I15909-Sens!I15910)+(Sens!I15897+Sens!I15898-Sens!I15896)+(Sens!I15900+Sens!I15901-Sens!I15899)</f>
        <v>0</v>
      </c>
      <c r="J15912" s="27" t="n">
        <f aca="false">(Sens!J15905+Sens!J15909-Sens!J15910)+(Sens!J15897+Sens!J15898-Sens!J15896)+(Sens!J15900+Sens!J15901-Sens!J15899)</f>
        <v>0</v>
      </c>
      <c r="K15912" s="27" t="n">
        <f aca="false">(Sens!K15905+Sens!K15909-Sens!K15910)+(Sens!K15897+Sens!K15898-Sens!K15896)+(Sens!K15900+Sens!K15901-Sens!K15899)</f>
        <v>0</v>
      </c>
    </row>
    <row r="15913" customFormat="false" ht="17.15" hidden="false" customHeight="false" outlineLevel="0" collapsed="false">
      <c r="A15913" s="0" t="s">
        <v>1058</v>
      </c>
      <c r="B15913" s="0" t="s">
        <v>168</v>
      </c>
      <c r="E15913" s="7" t="n">
        <f aca="false">(Q!M21+Sens!E15849+Sens!E15850+Sens!E15851+Sens!E15865-Sens!E15847)/(Q!M5-Sens!E15847)</f>
        <v>0.570957350878296</v>
      </c>
      <c r="F15913" s="7" t="n">
        <f aca="false">Sens!$E$15913+dm_seg</f>
        <v>0.570957350878296</v>
      </c>
      <c r="G15913" s="7" t="n">
        <f aca="false">Sens!$E$15913+dm_seg</f>
        <v>0.570957350878296</v>
      </c>
      <c r="H15913" s="7" t="n">
        <f aca="false">Sens!$E$15913+dm_seg</f>
        <v>0.570957350878296</v>
      </c>
      <c r="I15913" s="7" t="n">
        <f aca="false">Sens!$E$15913+dm_seg</f>
        <v>0.570957350878296</v>
      </c>
      <c r="J15913" s="7" t="n">
        <f aca="false">Sens!$E$15913+dm_seg</f>
        <v>0.570957350878296</v>
      </c>
      <c r="K15913" s="7" t="n">
        <f aca="false">Sens!$E$15913+dm_seg</f>
        <v>0.570957350878296</v>
      </c>
      <c r="L15913" s="12" t="s">
        <v>1059</v>
      </c>
    </row>
    <row r="15914" customFormat="false" ht="17.15" hidden="false" customHeight="false" outlineLevel="0" collapsed="false">
      <c r="A15914" s="0" t="s">
        <v>880</v>
      </c>
      <c r="B15914" s="0" t="s">
        <v>98</v>
      </c>
      <c r="D15914" s="6" t="n">
        <f aca="false">Q!L21</f>
        <v>110.814</v>
      </c>
      <c r="E15914" s="6" t="n">
        <f aca="false">Q!M21</f>
        <v>136.365</v>
      </c>
      <c r="F15914" s="6" t="n">
        <f aca="false">Q!$I$21+(Sens!F15913*(Sens!F15884-Sens!F15847)+Sens!F15847-(Sens!F15849+Sens!F15850+Sens!F15851)-Sens!F15865-Sens!F15948)*(Sens!F15884-Q!$I$5)/Sens!F15884</f>
        <v>154.956656769667</v>
      </c>
      <c r="G15914" s="6" t="n">
        <f aca="false">(Sens!G15913*(Sens!G15884-Sens!G15847)+Sens!G15847-(Sens!G15849+Sens!G15850+Sens!G15851)-Sens!G15865-Sens!G15948)</f>
        <v>178.972846883971</v>
      </c>
      <c r="H15914" s="6" t="n">
        <f aca="false">(Sens!H15913*(Sens!H15884-Sens!H15847)+Sens!H15847-(Sens!H15849+Sens!H15850+Sens!H15851)-Sens!H15865-Sens!H15948)</f>
        <v>208.148005122032</v>
      </c>
      <c r="I15914" s="6" t="n">
        <f aca="false">(Sens!I15913*(Sens!I15884-Sens!I15847)+Sens!I15847-(Sens!I15849+Sens!I15850+Sens!I15851)-Sens!I15865-Sens!I15948)</f>
        <v>232.875237086419</v>
      </c>
      <c r="J15914" s="6" t="n">
        <f aca="false">(Sens!J15913*(Sens!J15884-Sens!J15847)+Sens!J15847-(Sens!J15849+Sens!J15850+Sens!J15851)-Sens!J15865-Sens!J15948)</f>
        <v>254.71481805458</v>
      </c>
      <c r="K15914" s="6" t="n">
        <f aca="false">(Sens!K15913*(Sens!K15884-Sens!K15847)+Sens!K15847-(Sens!K15849+Sens!K15850+Sens!K15851)-Sens!K15865-Sens!K15948)</f>
        <v>275.073308667048</v>
      </c>
      <c r="L15914" s="1" t="s">
        <v>1060</v>
      </c>
    </row>
    <row r="15915" customFormat="false" ht="17.15" hidden="false" customHeight="false" outlineLevel="0" collapsed="false">
      <c r="A15915" s="0" t="s">
        <v>1061</v>
      </c>
      <c r="B15915" s="0" t="s">
        <v>168</v>
      </c>
      <c r="E15915" s="7" t="n">
        <f aca="false">Q!M22/Q!M12</f>
        <v>0.296207935710698</v>
      </c>
      <c r="F15915" s="7" t="n">
        <f aca="false">Sens!$E$15915+dm_seg</f>
        <v>0.296207935710698</v>
      </c>
      <c r="G15915" s="7" t="n">
        <f aca="false">Sens!$E$15915+dm_seg</f>
        <v>0.296207935710698</v>
      </c>
      <c r="H15915" s="7" t="n">
        <f aca="false">Sens!$E$15915+dm_seg</f>
        <v>0.296207935710698</v>
      </c>
      <c r="I15915" s="7" t="n">
        <f aca="false">Sens!$E$15915+dm_seg</f>
        <v>0.296207935710698</v>
      </c>
      <c r="J15915" s="7" t="n">
        <f aca="false">Sens!$E$15915+dm_seg</f>
        <v>0.296207935710698</v>
      </c>
      <c r="K15915" s="7" t="n">
        <f aca="false">Sens!$E$15915+dm_seg</f>
        <v>0.296207935710698</v>
      </c>
      <c r="L15915" s="12" t="s">
        <v>1062</v>
      </c>
    </row>
    <row r="15916" customFormat="false" ht="17.15" hidden="false" customHeight="false" outlineLevel="0" collapsed="false">
      <c r="A15916" s="0" t="s">
        <v>882</v>
      </c>
      <c r="B15916" s="0" t="s">
        <v>98</v>
      </c>
      <c r="D15916" s="6" t="n">
        <f aca="false">Q!L22</f>
        <v>17.714</v>
      </c>
      <c r="E15916" s="6" t="n">
        <f aca="false">Q!M22</f>
        <v>18.872</v>
      </c>
      <c r="F15916" s="6" t="n">
        <f aca="false">Q!$I$22+(Sens!F15891-Q!$I$12)*Sens!F15915</f>
        <v>19.8174315512051</v>
      </c>
      <c r="G15916" s="6" t="n">
        <f aca="false">Sens!G15891*Sens!G15915</f>
        <v>19.6313799703815</v>
      </c>
      <c r="H15916" s="6" t="n">
        <f aca="false">Sens!H15891*Sens!H15915</f>
        <v>20.3536242825865</v>
      </c>
      <c r="I15916" s="6" t="n">
        <f aca="false">Sens!I15891*Sens!I15915</f>
        <v>21.1920899239745</v>
      </c>
      <c r="J15916" s="6" t="n">
        <f aca="false">Sens!J15891*Sens!J15915</f>
        <v>22.1288166207045</v>
      </c>
      <c r="K15916" s="6" t="n">
        <f aca="false">Sens!K15891*Sens!K15915</f>
        <v>23.1493653905379</v>
      </c>
      <c r="L15916" s="12" t="s">
        <v>1063</v>
      </c>
    </row>
    <row r="15917" customFormat="false" ht="15" hidden="false" customHeight="false" outlineLevel="0" collapsed="false">
      <c r="A15917" s="1" t="s">
        <v>1064</v>
      </c>
      <c r="B15917" s="0" t="s">
        <v>98</v>
      </c>
      <c r="D15917" s="6" t="n">
        <f aca="false">Sens!D15914+Sens!D15916</f>
        <v>128.528</v>
      </c>
      <c r="E15917" s="6" t="n">
        <f aca="false">Sens!E15914+Sens!E15916</f>
        <v>155.237</v>
      </c>
      <c r="F15917" s="6" t="n">
        <f aca="false">Sens!F15914+Sens!F15916</f>
        <v>174.774088320872</v>
      </c>
      <c r="G15917" s="6" t="n">
        <f aca="false">Sens!G15914+Sens!G15916</f>
        <v>198.604226854352</v>
      </c>
      <c r="H15917" s="6" t="n">
        <f aca="false">Sens!H15914+Sens!H15916</f>
        <v>228.501629404618</v>
      </c>
      <c r="I15917" s="6" t="n">
        <f aca="false">Sens!I15914+Sens!I15916</f>
        <v>254.067327010393</v>
      </c>
      <c r="J15917" s="6" t="n">
        <f aca="false">Sens!J15914+Sens!J15916</f>
        <v>276.843634675284</v>
      </c>
      <c r="K15917" s="6" t="n">
        <f aca="false">Sens!K15914+Sens!K15916</f>
        <v>298.222674057586</v>
      </c>
    </row>
    <row r="15918" customFormat="false" ht="15" hidden="false" customHeight="false" outlineLevel="0" collapsed="false">
      <c r="A15918" s="26" t="s">
        <v>1065</v>
      </c>
      <c r="B15918" s="31" t="s">
        <v>98</v>
      </c>
      <c r="C15918" s="31"/>
      <c r="D15918" s="27" t="n">
        <f aca="false">Sens!D15917-Q!L23</f>
        <v>0</v>
      </c>
      <c r="E15918" s="27" t="n">
        <f aca="false">Sens!E15917-Q!M23</f>
        <v>0</v>
      </c>
      <c r="F15918" s="31"/>
      <c r="G15918" s="31"/>
      <c r="H15918" s="31"/>
      <c r="I15918" s="31"/>
      <c r="J15918" s="31"/>
      <c r="K15918" s="31"/>
    </row>
    <row r="15919" customFormat="false" ht="15" hidden="false" customHeight="false" outlineLevel="0" collapsed="false">
      <c r="A15919" s="1" t="s">
        <v>1066</v>
      </c>
      <c r="B15919" s="0" t="s">
        <v>168</v>
      </c>
      <c r="D15919" s="7" t="n">
        <f aca="false">Sens!D15917/Sens!D15910</f>
        <v>0.456219562408598</v>
      </c>
      <c r="E15919" s="7" t="n">
        <f aca="false">Sens!E15917/Sens!E15910</f>
        <v>0.467808184089272</v>
      </c>
      <c r="F15919" s="7" t="n">
        <f aca="false">Sens!F15917/Sens!F15910</f>
        <v>0.446380118387641</v>
      </c>
      <c r="G15919" s="7" t="n">
        <f aca="false">Sens!G15917/Sens!G15910</f>
        <v>0.443645155743387</v>
      </c>
      <c r="H15919" s="7" t="n">
        <f aca="false">Sens!H15917/Sens!H15910</f>
        <v>0.456876932623159</v>
      </c>
      <c r="I15919" s="7" t="n">
        <f aca="false">Sens!I15917/Sens!I15910</f>
        <v>0.466590592591009</v>
      </c>
      <c r="J15919" s="7" t="n">
        <f aca="false">Sens!J15917/Sens!J15910</f>
        <v>0.472881569037693</v>
      </c>
      <c r="K15919" s="7" t="n">
        <f aca="false">Sens!K15917/Sens!K15910</f>
        <v>0.477140956448506</v>
      </c>
    </row>
    <row r="15920" customFormat="false" ht="17.15" hidden="false" customHeight="false" outlineLevel="0" collapsed="false">
      <c r="A15920" s="1" t="s">
        <v>1067</v>
      </c>
      <c r="B15920" s="0" t="s">
        <v>98</v>
      </c>
      <c r="F15920" s="6" t="n">
        <f aca="false">Sens!F15935</f>
        <v>0</v>
      </c>
      <c r="G15920" s="6" t="n">
        <f aca="false">Sens!G15935</f>
        <v>0</v>
      </c>
      <c r="H15920" s="6" t="n">
        <f aca="false">Sens!H15935</f>
        <v>0</v>
      </c>
      <c r="I15920" s="6" t="n">
        <f aca="false">Sens!I15935</f>
        <v>0</v>
      </c>
      <c r="J15920" s="6" t="n">
        <f aca="false">Sens!J15935</f>
        <v>0</v>
      </c>
      <c r="K15920" s="6" t="n">
        <f aca="false">Sens!K15935</f>
        <v>0</v>
      </c>
      <c r="L15920" s="1" t="s">
        <v>1068</v>
      </c>
    </row>
    <row r="15921" customFormat="false" ht="17.15" hidden="false" customHeight="false" outlineLevel="0" collapsed="false">
      <c r="A15921" s="1" t="s">
        <v>1069</v>
      </c>
      <c r="B15921" s="0" t="s">
        <v>98</v>
      </c>
      <c r="D15921" s="6" t="n">
        <f aca="false">Sens!D15917</f>
        <v>128.528</v>
      </c>
      <c r="E15921" s="6" t="n">
        <f aca="false">Sens!E15917</f>
        <v>155.237</v>
      </c>
      <c r="F15921" s="6" t="n">
        <f aca="false">Sens!F15917+Sens!F15920</f>
        <v>174.774088320872</v>
      </c>
      <c r="G15921" s="6" t="n">
        <f aca="false">Sens!G15917+Sens!G15920</f>
        <v>198.604226854352</v>
      </c>
      <c r="H15921" s="6" t="n">
        <f aca="false">Sens!H15917+Sens!H15920</f>
        <v>228.501629404618</v>
      </c>
      <c r="I15921" s="6" t="n">
        <f aca="false">Sens!I15917+Sens!I15920</f>
        <v>254.067327010393</v>
      </c>
      <c r="J15921" s="6" t="n">
        <f aca="false">Sens!J15917+Sens!J15920</f>
        <v>276.843634675284</v>
      </c>
      <c r="K15921" s="6" t="n">
        <f aca="false">Sens!K15917+Sens!K15920</f>
        <v>298.222674057586</v>
      </c>
    </row>
    <row r="15922" customFormat="false" ht="17.15" hidden="false" customHeight="false" outlineLevel="0" collapsed="false">
      <c r="A15922" s="1" t="s">
        <v>1070</v>
      </c>
      <c r="B15922" s="0" t="s">
        <v>98</v>
      </c>
      <c r="E15922" s="6" t="n">
        <f aca="false">Sens!E15865</f>
        <v>16.3054059770833</v>
      </c>
      <c r="F15922" s="6" t="n">
        <f aca="false">Sens!F15865</f>
        <v>24.549027677</v>
      </c>
      <c r="G15922" s="6" t="n">
        <f aca="false">Sens!G15865</f>
        <v>29.185632823</v>
      </c>
      <c r="H15922" s="6" t="n">
        <f aca="false">Sens!H15865</f>
        <v>31.677584917</v>
      </c>
      <c r="I15922" s="6" t="n">
        <f aca="false">Sens!I15865</f>
        <v>32.2298649310278</v>
      </c>
      <c r="J15922" s="6" t="n">
        <f aca="false">Sens!J15865</f>
        <v>33.6162004764444</v>
      </c>
      <c r="K15922" s="6" t="n">
        <f aca="false">Sens!K15865</f>
        <v>36.1070960499167</v>
      </c>
    </row>
    <row r="15923" customFormat="false" ht="17.15" hidden="false" customHeight="false" outlineLevel="0" collapsed="false">
      <c r="A15923" s="1" t="s">
        <v>1071</v>
      </c>
      <c r="B15923" s="0" t="s">
        <v>98</v>
      </c>
      <c r="E15923" s="6" t="n">
        <f aca="false">Sens!E15947</f>
        <v>22.2285940229167</v>
      </c>
      <c r="F15923" s="6" t="n">
        <f aca="false">Sens!F15947</f>
        <v>37.458367358225</v>
      </c>
      <c r="G15923" s="6" t="n">
        <f aca="false">Sens!G15947</f>
        <v>37.9475258739052</v>
      </c>
      <c r="H15923" s="6" t="n">
        <f aca="false">Sens!H15947</f>
        <v>38.9967052741839</v>
      </c>
      <c r="I15923" s="6" t="n">
        <f aca="false">Sens!I15947</f>
        <v>40.5147656763488</v>
      </c>
      <c r="J15923" s="6" t="n">
        <f aca="false">Sens!J15947</f>
        <v>42.3956285090621</v>
      </c>
      <c r="K15923" s="6" t="n">
        <f aca="false">Sens!K15947</f>
        <v>44.541474079613</v>
      </c>
    </row>
    <row r="15924" customFormat="false" ht="17.15" hidden="false" customHeight="false" outlineLevel="0" collapsed="false">
      <c r="A15924" s="1" t="s">
        <v>1072</v>
      </c>
      <c r="B15924" s="0" t="s">
        <v>98</v>
      </c>
      <c r="D15924" s="6" t="n">
        <f aca="false">Q!L27</f>
        <v>-4.901</v>
      </c>
      <c r="E15924" s="6" t="n">
        <f aca="false">Q!M27</f>
        <v>10.697</v>
      </c>
      <c r="F15924" s="6" t="n">
        <f aca="false">Q!$I$27+oie_f*(q_per_yr-1)/q_per_yr</f>
        <v>-0.862</v>
      </c>
      <c r="G15924" s="6" t="n">
        <f aca="false">oie_f</f>
        <v>-1.2</v>
      </c>
      <c r="H15924" s="6" t="n">
        <f aca="false">oie_f</f>
        <v>-1.2</v>
      </c>
      <c r="I15924" s="6" t="n">
        <f aca="false">oie_f</f>
        <v>-1.2</v>
      </c>
      <c r="J15924" s="6" t="n">
        <f aca="false">oie_f</f>
        <v>-1.2</v>
      </c>
      <c r="K15924" s="6" t="n">
        <f aca="false">oie_f</f>
        <v>-1.2</v>
      </c>
      <c r="L15924" s="12" t="s">
        <v>1073</v>
      </c>
    </row>
    <row r="15925" customFormat="false" ht="15" hidden="false" customHeight="false" outlineLevel="0" collapsed="false">
      <c r="A15925" s="1" t="s">
        <v>1074</v>
      </c>
      <c r="B15925" s="0" t="s">
        <v>98</v>
      </c>
      <c r="D15925" s="6" t="n">
        <f aca="false">Sens!D15917+Sens!D15924</f>
        <v>123.627</v>
      </c>
      <c r="E15925" s="6" t="n">
        <f aca="false">Sens!E15917+Sens!E15924</f>
        <v>165.934</v>
      </c>
      <c r="F15925" s="6" t="n">
        <f aca="false">Sens!F15917+Sens!F15924</f>
        <v>173.912088320872</v>
      </c>
      <c r="G15925" s="6" t="n">
        <f aca="false">Sens!G15917+Sens!G15924</f>
        <v>197.404226854352</v>
      </c>
      <c r="H15925" s="6" t="n">
        <f aca="false">Sens!H15917+Sens!H15924</f>
        <v>227.301629404618</v>
      </c>
      <c r="I15925" s="6" t="n">
        <f aca="false">Sens!I15917+Sens!I15924</f>
        <v>252.867327010393</v>
      </c>
      <c r="J15925" s="6" t="n">
        <f aca="false">Sens!J15917+Sens!J15924</f>
        <v>275.643634675284</v>
      </c>
      <c r="K15925" s="6" t="n">
        <f aca="false">Sens!K15917+Sens!K15924</f>
        <v>297.022674057586</v>
      </c>
    </row>
    <row r="15926" customFormat="false" ht="15" hidden="false" customHeight="false" outlineLevel="0" collapsed="false">
      <c r="A15926" s="1" t="s">
        <v>1075</v>
      </c>
      <c r="B15926" s="0" t="s">
        <v>98</v>
      </c>
      <c r="D15926" s="6" t="n">
        <f aca="false">Q!L29</f>
        <v>21.795</v>
      </c>
      <c r="E15926" s="6" t="n">
        <f aca="false">Q!M29</f>
        <v>32.185</v>
      </c>
      <c r="F15926" s="6" t="n">
        <f aca="false">Q!$I$29+(Sens!F15925-Q!$I$28)*tax_f</f>
        <v>34.9158176641744</v>
      </c>
      <c r="G15926" s="6" t="n">
        <f aca="false">Sens!G15925*tax_f</f>
        <v>39.4808453708705</v>
      </c>
      <c r="H15926" s="6" t="n">
        <f aca="false">Sens!H15925*tax_f</f>
        <v>45.4603258809237</v>
      </c>
      <c r="I15926" s="6" t="n">
        <f aca="false">Sens!I15925*tax_f</f>
        <v>50.5734654020787</v>
      </c>
      <c r="J15926" s="6" t="n">
        <f aca="false">Sens!J15925*tax_f</f>
        <v>55.1287269350568</v>
      </c>
      <c r="K15926" s="6" t="n">
        <f aca="false">Sens!K15925*tax_f</f>
        <v>59.4045348115172</v>
      </c>
    </row>
    <row r="15927" customFormat="false" ht="15" hidden="false" customHeight="false" outlineLevel="0" collapsed="false">
      <c r="A15927" s="1" t="s">
        <v>1076</v>
      </c>
      <c r="B15927" s="0" t="s">
        <v>98</v>
      </c>
      <c r="D15927" s="6" t="n">
        <f aca="false">Sens!D15925-Sens!D15926</f>
        <v>101.832</v>
      </c>
      <c r="E15927" s="6" t="n">
        <f aca="false">Sens!E15925-Sens!E15926</f>
        <v>133.749</v>
      </c>
      <c r="F15927" s="6" t="n">
        <f aca="false">Sens!F15925-Sens!F15926</f>
        <v>138.996270656697</v>
      </c>
      <c r="G15927" s="6" t="n">
        <f aca="false">Sens!G15925-Sens!G15926</f>
        <v>157.923381483482</v>
      </c>
      <c r="H15927" s="6" t="n">
        <f aca="false">Sens!H15925-Sens!H15926</f>
        <v>181.841303523695</v>
      </c>
      <c r="I15927" s="6" t="n">
        <f aca="false">Sens!I15925-Sens!I15926</f>
        <v>202.293861608315</v>
      </c>
      <c r="J15927" s="6" t="n">
        <f aca="false">Sens!J15925-Sens!J15926</f>
        <v>220.514907740227</v>
      </c>
      <c r="K15927" s="6" t="n">
        <f aca="false">Sens!K15925-Sens!K15926</f>
        <v>237.618139246069</v>
      </c>
    </row>
    <row r="15928" customFormat="false" ht="17.15" hidden="false" customHeight="false" outlineLevel="0" collapsed="false">
      <c r="A15928" s="1" t="s">
        <v>1077</v>
      </c>
      <c r="B15928" s="1" t="s">
        <v>81</v>
      </c>
      <c r="D15928" s="15" t="n">
        <f aca="false">Q!L31</f>
        <v>7.465</v>
      </c>
      <c r="E15928" s="15" t="n">
        <f aca="false">Q!M31</f>
        <v>7.453</v>
      </c>
      <c r="F15928" s="15" t="n">
        <f aca="false">Sens!F15972</f>
        <v>7.4735</v>
      </c>
      <c r="G15928" s="15" t="n">
        <f aca="false">Sens!G15972</f>
        <v>7.49981593415111</v>
      </c>
      <c r="H15928" s="15" t="n">
        <f aca="false">Sens!H15972</f>
        <v>7.50883180733101</v>
      </c>
      <c r="I15928" s="15" t="n">
        <f aca="false">Sens!I15972</f>
        <v>7.52051317138648</v>
      </c>
      <c r="J15928" s="15" t="n">
        <f aca="false">Sens!J15972</f>
        <v>7.53466258254895</v>
      </c>
      <c r="K15928" s="15" t="n">
        <f aca="false">Sens!K15972</f>
        <v>7.55109722251421</v>
      </c>
    </row>
    <row r="15929" customFormat="false" ht="17.15" hidden="false" customHeight="false" outlineLevel="0" collapsed="false">
      <c r="A15929" s="0" t="s">
        <v>1078</v>
      </c>
      <c r="B15929" s="0" t="s">
        <v>75</v>
      </c>
      <c r="D15929" s="8" t="n">
        <f aca="false">Sens!D15927/Sens!D15928</f>
        <v>13.641259209645</v>
      </c>
      <c r="E15929" s="8" t="n">
        <f aca="false">Sens!E15927/Sens!E15928</f>
        <v>17.9456594659869</v>
      </c>
      <c r="F15929" s="8" t="n">
        <f aca="false">Sens!F15927/Sens!F15928</f>
        <v>18.5985509676453</v>
      </c>
      <c r="G15929" s="8" t="n">
        <f aca="false">Sens!G15927/Sens!G15928</f>
        <v>21.0569676469476</v>
      </c>
      <c r="H15929" s="8" t="n">
        <f aca="false">Sens!H15927/Sens!H15928</f>
        <v>24.2169898313823</v>
      </c>
      <c r="I15929" s="8" t="n">
        <f aca="false">Sens!I15927/Sens!I15928</f>
        <v>26.8989438617019</v>
      </c>
      <c r="J15929" s="8" t="n">
        <f aca="false">Sens!J15927/Sens!J15928</f>
        <v>29.2667263230821</v>
      </c>
      <c r="K15929" s="8" t="n">
        <f aca="false">Sens!K15927/Sens!K15928</f>
        <v>31.4680280552594</v>
      </c>
      <c r="L15929" s="1" t="s">
        <v>1079</v>
      </c>
    </row>
    <row r="15930" customFormat="false" ht="17.15" hidden="false" customHeight="false" outlineLevel="0" collapsed="false">
      <c r="A15930" s="1" t="s">
        <v>1080</v>
      </c>
      <c r="B15930" s="0" t="s">
        <v>98</v>
      </c>
      <c r="D15930" s="6" t="n">
        <f aca="false">Sens!D15927</f>
        <v>101.832</v>
      </c>
      <c r="E15930" s="6" t="n">
        <f aca="false">Sens!E15927</f>
        <v>133.749</v>
      </c>
      <c r="F15930" s="6" t="n">
        <f aca="false">Sens!F15927+Sens!F15920*(1-tax_f)</f>
        <v>138.996270656697</v>
      </c>
      <c r="G15930" s="6" t="n">
        <f aca="false">Sens!G15927+Sens!G15920*(1-tax_f)</f>
        <v>157.923381483482</v>
      </c>
      <c r="H15930" s="6" t="n">
        <f aca="false">Sens!H15927+Sens!H15920*(1-tax_f)</f>
        <v>181.841303523695</v>
      </c>
      <c r="I15930" s="6" t="n">
        <f aca="false">Sens!I15927+Sens!I15920*(1-tax_f)</f>
        <v>202.293861608315</v>
      </c>
      <c r="J15930" s="6" t="n">
        <f aca="false">Sens!J15927+Sens!J15920*(1-tax_f)</f>
        <v>220.514907740227</v>
      </c>
      <c r="K15930" s="6" t="n">
        <f aca="false">Sens!K15927+Sens!K15920*(1-tax_f)</f>
        <v>237.618139246069</v>
      </c>
    </row>
    <row r="15931" customFormat="false" ht="17.15" hidden="false" customHeight="false" outlineLevel="0" collapsed="false">
      <c r="A15931" s="0" t="s">
        <v>1081</v>
      </c>
      <c r="B15931" s="0" t="s">
        <v>75</v>
      </c>
      <c r="D15931" s="8" t="n">
        <f aca="false">Sens!D15930/Sens!D15928</f>
        <v>13.641259209645</v>
      </c>
      <c r="E15931" s="8" t="n">
        <f aca="false">Sens!E15930/Sens!E15928</f>
        <v>17.9456594659869</v>
      </c>
      <c r="F15931" s="8" t="n">
        <f aca="false">Sens!F15930/Sens!F15928</f>
        <v>18.5985509676453</v>
      </c>
      <c r="G15931" s="8" t="n">
        <f aca="false">Sens!G15930/Sens!G15928</f>
        <v>21.0569676469476</v>
      </c>
      <c r="H15931" s="8" t="n">
        <f aca="false">Sens!H15930/Sens!H15928</f>
        <v>24.2169898313823</v>
      </c>
      <c r="I15931" s="8" t="n">
        <f aca="false">Sens!I15930/Sens!I15928</f>
        <v>26.8989438617019</v>
      </c>
      <c r="J15931" s="8" t="n">
        <f aca="false">Sens!J15930/Sens!J15928</f>
        <v>29.2667263230821</v>
      </c>
      <c r="K15931" s="8" t="n">
        <f aca="false">Sens!K15930/Sens!K15928</f>
        <v>31.4680280552594</v>
      </c>
      <c r="L15931" s="1" t="s">
        <v>1082</v>
      </c>
    </row>
    <row r="15932" customFormat="false" ht="17.15" hidden="false" customHeight="false" outlineLevel="0" collapsed="false">
      <c r="A15932" s="0" t="s">
        <v>1083</v>
      </c>
      <c r="B15932" s="0" t="s">
        <v>168</v>
      </c>
      <c r="E15932" s="7" t="n">
        <f aca="false">Sens!E15931/Sens!D15931-1</f>
        <v>0.315542736208578</v>
      </c>
      <c r="F15932" s="7" t="n">
        <f aca="false">Sens!F15931/Sens!E15931-1</f>
        <v>0.0363815831285521</v>
      </c>
      <c r="G15932" s="7" t="n">
        <f aca="false">Sens!G15931/Sens!F15931-1</f>
        <v>0.132183237477963</v>
      </c>
      <c r="H15932" s="7" t="n">
        <f aca="false">Sens!H15931/Sens!G15931-1</f>
        <v>0.150070144828889</v>
      </c>
      <c r="I15932" s="7" t="n">
        <f aca="false">Sens!I15931/Sens!H15931-1</f>
        <v>0.110746795906243</v>
      </c>
      <c r="J15932" s="7" t="n">
        <f aca="false">Sens!J15931/Sens!I15931-1</f>
        <v>0.0880251088501427</v>
      </c>
      <c r="K15932" s="7" t="n">
        <f aca="false">Sens!K15931/Sens!J15931-1</f>
        <v>0.0752151678283615</v>
      </c>
    </row>
    <row r="15933" customFormat="false" ht="17.15" hidden="false" customHeight="false" outlineLevel="0" collapsed="false">
      <c r="A15933" s="0" t="s">
        <v>1003</v>
      </c>
      <c r="B15933" s="0" t="s">
        <v>98</v>
      </c>
      <c r="E15933" s="6" t="n">
        <f aca="false">Sens!E15874</f>
        <v>5.25</v>
      </c>
      <c r="F15933" s="6" t="n">
        <f aca="false">Sens!F15874</f>
        <v>13.5</v>
      </c>
      <c r="G15933" s="6" t="n">
        <f aca="false">Sens!G15874</f>
        <v>22.5</v>
      </c>
      <c r="H15933" s="6" t="n">
        <f aca="false">Sens!H15874</f>
        <v>31.5</v>
      </c>
      <c r="I15933" s="6" t="n">
        <f aca="false">Sens!I15874</f>
        <v>38.25</v>
      </c>
      <c r="J15933" s="6" t="n">
        <f aca="false">Sens!J15874</f>
        <v>42.75</v>
      </c>
      <c r="K15933" s="6" t="n">
        <f aca="false">Sens!K15874</f>
        <v>47.25</v>
      </c>
    </row>
    <row r="15934" customFormat="false" ht="17.15" hidden="false" customHeight="false" outlineLevel="0" collapsed="false">
      <c r="A15934" s="1" t="s">
        <v>1004</v>
      </c>
      <c r="B15934" s="0" t="s">
        <v>98</v>
      </c>
      <c r="F15934" s="6" t="n">
        <f aca="false">MAX(0,((Sens!E15834+Sens!F15834)/2-(shadow_base*(Sens!$D$15834+Sens!$E$15834)/2+(1-shadow_base)*Sens!$E$15834))*Sens!F15843/1000-(Sens!F15933-Sens!$E$15933)*Sens!F15913)</f>
        <v>1.60882603013322</v>
      </c>
      <c r="G15934" s="6" t="n">
        <f aca="false">MAX(0,((Sens!F15834+Sens!G15834)/2-(shadow_base*(Sens!$D$15834+Sens!$E$15834)/2+(1-shadow_base)*Sens!$E$15834))*Sens!G15843/1000-(Sens!G15933-Sens!$E$15933)*Sens!G15913)</f>
        <v>0</v>
      </c>
      <c r="H15934" s="6" t="n">
        <f aca="false">MAX(0,((Sens!G15834+Sens!H15834)/2-(shadow_base*(Sens!$D$15834+Sens!$E$15834)/2+(1-shadow_base)*Sens!$E$15834))*Sens!H15843/1000-(Sens!H15933-Sens!$E$15933)*Sens!H15913)</f>
        <v>0</v>
      </c>
      <c r="I15934" s="6" t="n">
        <f aca="false">MAX(0,((Sens!H15834+Sens!I15834)/2-(shadow_base*(Sens!$D$15834+Sens!$E$15834)/2+(1-shadow_base)*Sens!$E$15834))*Sens!I15843/1000-(Sens!I15933-Sens!$E$15933)*Sens!I15913)</f>
        <v>0</v>
      </c>
      <c r="J15934" s="6" t="n">
        <f aca="false">MAX(0,((Sens!I15834+Sens!J15834)/2-(shadow_base*(Sens!$D$15834+Sens!$E$15834)/2+(1-shadow_base)*Sens!$E$15834))*Sens!J15843/1000-(Sens!J15933-Sens!$E$15933)*Sens!J15913)</f>
        <v>0</v>
      </c>
      <c r="K15934" s="6" t="n">
        <f aca="false">MAX(0,((Sens!J15834+Sens!K15834)/2-(shadow_base*(Sens!$D$15834+Sens!$E$15834)/2+(1-shadow_base)*Sens!$E$15834))*Sens!K15843/1000-(Sens!K15933-Sens!$E$15933)*Sens!K15913)</f>
        <v>0</v>
      </c>
      <c r="L15934" s="1" t="s">
        <v>1005</v>
      </c>
    </row>
    <row r="15935" customFormat="false" ht="17.15" hidden="false" customHeight="false" outlineLevel="0" collapsed="false">
      <c r="A15935" s="1" t="s">
        <v>1006</v>
      </c>
      <c r="B15935" s="0" t="s">
        <v>98</v>
      </c>
      <c r="F15935" s="6" t="n">
        <f aca="false">IF(1=2,1,0)*Sens!F15934</f>
        <v>0</v>
      </c>
      <c r="G15935" s="6" t="n">
        <f aca="false">IF(1=2,1,0)*Sens!G15934</f>
        <v>0</v>
      </c>
      <c r="H15935" s="6" t="n">
        <f aca="false">IF(1=2,1,0)*Sens!H15934</f>
        <v>0</v>
      </c>
      <c r="I15935" s="6" t="n">
        <f aca="false">IF(1=2,1,0)*Sens!I15934</f>
        <v>0</v>
      </c>
      <c r="J15935" s="6" t="n">
        <f aca="false">IF(1=2,1,0)*Sens!J15934</f>
        <v>0</v>
      </c>
      <c r="K15935" s="6" t="n">
        <f aca="false">IF(1=2,1,0)*Sens!K15934</f>
        <v>0</v>
      </c>
    </row>
    <row r="15936" customFormat="false" ht="17.15" hidden="false" customHeight="false" outlineLevel="0" collapsed="false">
      <c r="A15936" s="0" t="s">
        <v>1007</v>
      </c>
      <c r="B15936" s="0" t="s">
        <v>98</v>
      </c>
      <c r="F15936" s="6" t="n">
        <f aca="false">Sens!F15853+Sens!F15933*Sens!F15913+Sens!F15935-Sens!F15854-Sens!F15865</f>
        <v>9.46940208214114</v>
      </c>
      <c r="G15936" s="6" t="n">
        <f aca="false">Sens!G15853+Sens!G15933*Sens!G15913+Sens!G15935-Sens!G15854-Sens!G15865</f>
        <v>18.1720275445321</v>
      </c>
      <c r="H15936" s="6" t="n">
        <f aca="false">Sens!H15853+Sens!H15933*Sens!H15913+Sens!H15935-Sens!H15854-Sens!H15865</f>
        <v>26.5031101800036</v>
      </c>
      <c r="I15936" s="6" t="n">
        <f aca="false">Sens!I15853+Sens!I15933*Sens!I15913+Sens!I15935-Sens!I15854-Sens!I15865</f>
        <v>31.0098435072091</v>
      </c>
      <c r="J15936" s="6" t="n">
        <f aca="false">Sens!J15853+Sens!J15933*Sens!J15913+Sens!J15935-Sens!J15854-Sens!J15865</f>
        <v>34.012689316001</v>
      </c>
      <c r="K15936" s="6" t="n">
        <f aca="false">Sens!K15853+Sens!K15933*Sens!K15913+Sens!K15935-Sens!K15854-Sens!K15865</f>
        <v>37.7062554898954</v>
      </c>
    </row>
    <row r="15937" customFormat="false" ht="17.15" hidden="false" customHeight="false" outlineLevel="0" collapsed="false">
      <c r="A15937" s="0" t="s">
        <v>1008</v>
      </c>
      <c r="B15937" s="0" t="s">
        <v>98</v>
      </c>
      <c r="E15937" s="6" t="n">
        <f aca="false">Sens!E15833*(cxit_open+self_build*tk_cxfac)/1000*ai_net_open</f>
        <v>126.6980382</v>
      </c>
      <c r="F15937" s="6" t="n">
        <f aca="false">Sens!E15937+Sens!F15862-Sens!F15865</f>
        <v>131.822683147</v>
      </c>
      <c r="G15937" s="6" t="n">
        <f aca="false">Sens!F15937+Sens!G15862-Sens!G15865</f>
        <v>136.850809452</v>
      </c>
      <c r="H15937" s="6" t="n">
        <f aca="false">Sens!G15937+Sens!H15862-Sens!H15865</f>
        <v>105.173224535</v>
      </c>
      <c r="I15937" s="6" t="n">
        <f aca="false">Sens!H15937+Sens!I15862-Sens!I15865</f>
        <v>102.104104363972</v>
      </c>
      <c r="J15937" s="6" t="n">
        <f aca="false">Sens!I15937+Sens!J15862-Sens!J15865</f>
        <v>112.526579647528</v>
      </c>
      <c r="K15937" s="6" t="n">
        <f aca="false">Sens!J15937+Sens!K15862-Sens!K15865</f>
        <v>163.901717877611</v>
      </c>
      <c r="L15937" s="1" t="s">
        <v>1009</v>
      </c>
    </row>
    <row r="15938" customFormat="false" ht="17.15" hidden="false" customHeight="false" outlineLevel="0" collapsed="false">
      <c r="A15938" s="0" t="s">
        <v>1010</v>
      </c>
      <c r="B15938" s="0" t="s">
        <v>168</v>
      </c>
      <c r="F15938" s="7" t="n">
        <f aca="false">Sens!F15936*(1-tax_f)/((Sens!E15937+Sens!F15937)/2)</f>
        <v>0.0586066882858852</v>
      </c>
      <c r="G15938" s="7" t="n">
        <f aca="false">Sens!G15936*(1-tax_f)/((Sens!F15937+Sens!G15937)/2)</f>
        <v>0.108217761975673</v>
      </c>
      <c r="H15938" s="7" t="n">
        <f aca="false">Sens!H15936*(1-tax_f)/((Sens!G15937+Sens!H15937)/2)</f>
        <v>0.175209773961059</v>
      </c>
      <c r="I15938" s="7" t="n">
        <f aca="false">Sens!I15936*(1-tax_f)/((Sens!H15937+Sens!I15937)/2)</f>
        <v>0.239368916393734</v>
      </c>
      <c r="J15938" s="7" t="n">
        <f aca="false">Sens!J15936*(1-tax_f)/((Sens!I15937+Sens!J15937)/2)</f>
        <v>0.25355322868321</v>
      </c>
      <c r="K15938" s="7" t="n">
        <f aca="false">Sens!K15936*(1-tax_f)/((Sens!J15937+Sens!K15937)/2)</f>
        <v>0.218248310046283</v>
      </c>
    </row>
    <row r="15939" customFormat="false" ht="17.15" hidden="false" customHeight="false" outlineLevel="0" collapsed="false">
      <c r="A15939" s="1" t="s">
        <v>1011</v>
      </c>
      <c r="B15939" s="0" t="s">
        <v>168</v>
      </c>
      <c r="F15939" s="7" t="n">
        <f aca="false">(Sens!F15936-Sens!F15935)*(1-tax_f)/((Sens!E15937+Sens!F15937)/2)</f>
        <v>0.0586066882858852</v>
      </c>
      <c r="G15939" s="7" t="n">
        <f aca="false">(Sens!G15936-Sens!G15935)*(1-tax_f)/((Sens!F15937+Sens!G15937)/2)</f>
        <v>0.108217761975673</v>
      </c>
      <c r="H15939" s="7" t="n">
        <f aca="false">(Sens!H15936-Sens!H15935)*(1-tax_f)/((Sens!G15937+Sens!H15937)/2)</f>
        <v>0.175209773961059</v>
      </c>
      <c r="I15939" s="7" t="n">
        <f aca="false">(Sens!I15936-Sens!I15935)*(1-tax_f)/((Sens!H15937+Sens!I15937)/2)</f>
        <v>0.239368916393734</v>
      </c>
      <c r="J15939" s="7" t="n">
        <f aca="false">(Sens!J15936-Sens!J15935)*(1-tax_f)/((Sens!I15937+Sens!J15937)/2)</f>
        <v>0.25355322868321</v>
      </c>
      <c r="K15939" s="7" t="n">
        <f aca="false">(Sens!K15936-Sens!K15935)*(1-tax_f)/((Sens!J15937+Sens!K15937)/2)</f>
        <v>0.218248310046283</v>
      </c>
    </row>
    <row r="15940" customFormat="false" ht="17.15" hidden="false" customHeight="false" outlineLevel="0" collapsed="false">
      <c r="A15940" s="1" t="s">
        <v>1012</v>
      </c>
      <c r="B15940" s="0" t="s">
        <v>168</v>
      </c>
      <c r="F15940" s="7" t="n">
        <f aca="false">(Sens!F15936-Sens!F15935+Sens!F15934)*(1-tax_f)/((Sens!E15937+Sens!F15937)/2)</f>
        <v>0.0685638075249192</v>
      </c>
      <c r="G15940" s="7" t="n">
        <f aca="false">(Sens!G15936-Sens!G15935+Sens!G15934)*(1-tax_f)/((Sens!F15937+Sens!G15937)/2)</f>
        <v>0.108217761975673</v>
      </c>
      <c r="H15940" s="7" t="n">
        <f aca="false">(Sens!H15936-Sens!H15935+Sens!H15934)*(1-tax_f)/((Sens!G15937+Sens!H15937)/2)</f>
        <v>0.175209773961059</v>
      </c>
      <c r="I15940" s="7" t="n">
        <f aca="false">(Sens!I15936-Sens!I15935+Sens!I15934)*(1-tax_f)/((Sens!H15937+Sens!I15937)/2)</f>
        <v>0.239368916393734</v>
      </c>
      <c r="J15940" s="7" t="n">
        <f aca="false">(Sens!J15936-Sens!J15935+Sens!J15934)*(1-tax_f)/((Sens!I15937+Sens!J15937)/2)</f>
        <v>0.25355322868321</v>
      </c>
      <c r="K15940" s="7" t="n">
        <f aca="false">(Sens!K15936-Sens!K15935+Sens!K15934)*(1-tax_f)/((Sens!J15937+Sens!K15937)/2)</f>
        <v>0.218248310046283</v>
      </c>
    </row>
    <row r="15941" customFormat="false" ht="17.15" hidden="false" customHeight="false" outlineLevel="0" collapsed="false">
      <c r="A15941" s="1" t="s">
        <v>1013</v>
      </c>
      <c r="B15941" s="0" t="s">
        <v>168</v>
      </c>
      <c r="F15941" s="7" t="n">
        <f aca="false">Sens!F15866*(1-tax_f)/(Sens!F15852*(Sens!E15937+Sens!F15937)/2)</f>
        <v>0.169796721744959</v>
      </c>
      <c r="G15941" s="7" t="n">
        <f aca="false">Sens!G15866*(1-tax_f)/(Sens!G15852*(Sens!F15937+Sens!G15937)/2)</f>
        <v>0.225271004307476</v>
      </c>
      <c r="H15941" s="7" t="n">
        <f aca="false">Sens!H15866*(1-tax_f)/(Sens!H15852*(Sens!G15937+Sens!H15937)/2)</f>
        <v>0.300737080001</v>
      </c>
      <c r="I15941" s="7" t="n">
        <f aca="false">Sens!I15866*(1-tax_f)/(Sens!I15852*(Sens!H15937+Sens!I15937)/2)</f>
        <v>0.36311139213454</v>
      </c>
      <c r="J15941" s="7" t="n">
        <f aca="false">Sens!J15866*(1-tax_f)/(Sens!J15852*(Sens!I15937+Sens!J15937)/2)</f>
        <v>0.363998030379327</v>
      </c>
      <c r="K15941" s="7" t="n">
        <f aca="false">Sens!K15866*(1-tax_f)/(Sens!K15852*(Sens!J15937+Sens!K15937)/2)</f>
        <v>0.304701554408107</v>
      </c>
    </row>
    <row r="15942" customFormat="false" ht="17.15" hidden="false" customHeight="false" outlineLevel="0" collapsed="false">
      <c r="A15942" s="0" t="s">
        <v>1014</v>
      </c>
      <c r="B15942" s="0" t="s">
        <v>253</v>
      </c>
      <c r="F15942" s="7" t="n">
        <f aca="false">Sens!F15938-wacc</f>
        <v>-0.0443299026597121</v>
      </c>
      <c r="G15942" s="7" t="n">
        <f aca="false">Sens!G15938-wacc</f>
        <v>0.00528117103007597</v>
      </c>
      <c r="H15942" s="7" t="n">
        <f aca="false">Sens!H15938-wacc</f>
        <v>0.0722731830154612</v>
      </c>
      <c r="I15942" s="7" t="n">
        <f aca="false">Sens!I15938-wacc</f>
        <v>0.136432325448137</v>
      </c>
      <c r="J15942" s="7" t="n">
        <f aca="false">Sens!J15938-wacc</f>
        <v>0.150616637737612</v>
      </c>
      <c r="K15942" s="7" t="n">
        <f aca="false">Sens!K15938-wacc</f>
        <v>0.115311719100686</v>
      </c>
    </row>
    <row r="15943" customFormat="false" ht="17.15" hidden="false" customHeight="false" outlineLevel="0" collapsed="false">
      <c r="A15943" s="0" t="s">
        <v>1015</v>
      </c>
      <c r="B15943" s="0" t="s">
        <v>98</v>
      </c>
      <c r="F15943" s="6" t="n">
        <f aca="false">Sens!F15936*(1-tax_f)-wacc*(Sens!E15937+Sens!F15937)/2</f>
        <v>-5.73009920641553</v>
      </c>
      <c r="G15943" s="6" t="n">
        <f aca="false">Sens!G15936*(1-tax_f)-wacc*(Sens!F15937+Sens!G15937)/2</f>
        <v>0.709455332831585</v>
      </c>
      <c r="H15943" s="6" t="n">
        <f aca="false">Sens!H15936*(1-tax_f)-wacc*(Sens!G15937+Sens!H15937)/2</f>
        <v>8.74592365124133</v>
      </c>
      <c r="I15943" s="6" t="n">
        <f aca="false">Sens!I15936*(1-tax_f)-wacc*(Sens!H15937+Sens!I15937)/2</f>
        <v>14.1396639971825</v>
      </c>
      <c r="J15943" s="6" t="n">
        <f aca="false">Sens!J15936*(1-tax_f)-wacc*(Sens!I15937+Sens!J15937)/2</f>
        <v>16.163475990568</v>
      </c>
      <c r="K15943" s="6" t="n">
        <f aca="false">Sens!K15936*(1-tax_f)-wacc*(Sens!J15937+Sens!K15937)/2</f>
        <v>15.9377110978498</v>
      </c>
    </row>
    <row r="15944" customFormat="false" ht="17.15" hidden="false" customHeight="false" outlineLevel="0" collapsed="false">
      <c r="A15944" s="3" t="s">
        <v>1872</v>
      </c>
    </row>
    <row r="15945" customFormat="false" ht="15" hidden="false" customHeight="false" outlineLevel="0" collapsed="false">
      <c r="A15945" s="4" t="s">
        <v>43</v>
      </c>
      <c r="B15945" s="4" t="s">
        <v>65</v>
      </c>
      <c r="C15945" s="23" t="s">
        <v>938</v>
      </c>
      <c r="D15945" s="23" t="s">
        <v>939</v>
      </c>
      <c r="E15945" s="23" t="s">
        <v>940</v>
      </c>
      <c r="F15945" s="23" t="s">
        <v>941</v>
      </c>
      <c r="G15945" s="23" t="s">
        <v>942</v>
      </c>
      <c r="H15945" s="23" t="s">
        <v>943</v>
      </c>
      <c r="I15945" s="23" t="s">
        <v>944</v>
      </c>
      <c r="J15945" s="23" t="s">
        <v>945</v>
      </c>
      <c r="K15945" s="23" t="s">
        <v>946</v>
      </c>
      <c r="L15945" s="4" t="s">
        <v>47</v>
      </c>
    </row>
    <row r="15946" customFormat="false" ht="15" hidden="false" customHeight="false" outlineLevel="0" collapsed="false">
      <c r="A15946" s="1" t="s">
        <v>1076</v>
      </c>
      <c r="B15946" s="0" t="s">
        <v>98</v>
      </c>
      <c r="F15946" s="6" t="n">
        <f aca="false">Sens!F15927</f>
        <v>138.996270656697</v>
      </c>
      <c r="G15946" s="6" t="n">
        <f aca="false">Sens!G15927</f>
        <v>157.923381483482</v>
      </c>
      <c r="H15946" s="6" t="n">
        <f aca="false">Sens!H15927</f>
        <v>181.841303523695</v>
      </c>
      <c r="I15946" s="6" t="n">
        <f aca="false">Sens!I15927</f>
        <v>202.293861608315</v>
      </c>
      <c r="J15946" s="6" t="n">
        <f aca="false">Sens!J15927</f>
        <v>220.514907740227</v>
      </c>
      <c r="K15946" s="6" t="n">
        <f aca="false">Sens!K15927</f>
        <v>237.618139246069</v>
      </c>
    </row>
    <row r="15947" customFormat="false" ht="17.15" hidden="false" customHeight="false" outlineLevel="0" collapsed="false">
      <c r="A15947" s="1" t="s">
        <v>1098</v>
      </c>
      <c r="B15947" s="0" t="s">
        <v>98</v>
      </c>
      <c r="E15947" s="6" t="n">
        <f aca="false">Q!M38-Sens!E15865</f>
        <v>22.2285940229167</v>
      </c>
      <c r="F15947" s="6" t="n">
        <f aca="false">Sens!E15947*(1-1/life_nonai)+(Sens!F15955+Sens!F15956)/life_nonai</f>
        <v>37.458367358225</v>
      </c>
      <c r="G15947" s="6" t="n">
        <f aca="false">Sens!F15947*(1-1/life_nonai)+(Sens!G15955)/life_nonai</f>
        <v>37.9475258739052</v>
      </c>
      <c r="H15947" s="6" t="n">
        <f aca="false">Sens!G15947*(1-1/life_nonai)+(Sens!H15955)/life_nonai</f>
        <v>38.9967052741839</v>
      </c>
      <c r="I15947" s="6" t="n">
        <f aca="false">Sens!H15947*(1-1/life_nonai)+(Sens!I15955)/life_nonai</f>
        <v>40.5147656763488</v>
      </c>
      <c r="J15947" s="6" t="n">
        <f aca="false">Sens!I15947*(1-1/life_nonai)+(Sens!J15955)/life_nonai</f>
        <v>42.3956285090621</v>
      </c>
      <c r="K15947" s="6" t="n">
        <f aca="false">Sens!J15947*(1-1/life_nonai)+(Sens!K15955)/life_nonai</f>
        <v>44.541474079613</v>
      </c>
      <c r="L15947" s="12" t="s">
        <v>1099</v>
      </c>
    </row>
    <row r="15948" customFormat="false" ht="17.15" hidden="false" customHeight="false" outlineLevel="0" collapsed="false">
      <c r="A15948" s="1" t="s">
        <v>1100</v>
      </c>
      <c r="B15948" s="0" t="s">
        <v>98</v>
      </c>
      <c r="F15948" s="6" t="n">
        <f aca="false">Sens!$F$15956/life_nonai*(1-1/life_nonai)^(Sens!F15828-2027)</f>
        <v>13.8178366300118</v>
      </c>
      <c r="G15948" s="6" t="n">
        <f aca="false">Sens!$F$15956/life_nonai*(1-1/life_nonai)^(Sens!G15828-2027)</f>
        <v>12.4360529670107</v>
      </c>
      <c r="H15948" s="6" t="n">
        <f aca="false">Sens!$F$15956/life_nonai*(1-1/life_nonai)^(Sens!H15828-2027)</f>
        <v>11.1924476703096</v>
      </c>
      <c r="I15948" s="6" t="n">
        <f aca="false">Sens!$F$15956/life_nonai*(1-1/life_nonai)^(Sens!I15828-2027)</f>
        <v>10.0732029032786</v>
      </c>
      <c r="J15948" s="6" t="n">
        <f aca="false">Sens!$F$15956/life_nonai*(1-1/life_nonai)^(Sens!J15828-2027)</f>
        <v>9.06588261295078</v>
      </c>
      <c r="K15948" s="6" t="n">
        <f aca="false">Sens!$F$15956/life_nonai*(1-1/life_nonai)^(Sens!K15828-2027)</f>
        <v>8.1592943516557</v>
      </c>
      <c r="L15948" s="1" t="s">
        <v>1101</v>
      </c>
    </row>
    <row r="15949" customFormat="false" ht="17.15" hidden="false" customHeight="false" outlineLevel="0" collapsed="false">
      <c r="A15949" s="1" t="s">
        <v>1102</v>
      </c>
      <c r="B15949" s="0" t="s">
        <v>98</v>
      </c>
      <c r="E15949" s="6" t="n">
        <f aca="false">Sens!E15865+Sens!E15947</f>
        <v>38.534</v>
      </c>
      <c r="F15949" s="6" t="n">
        <f aca="false">Sens!F15865+Sens!F15947</f>
        <v>62.007395035225</v>
      </c>
      <c r="G15949" s="6" t="n">
        <f aca="false">Sens!G15865+Sens!G15947</f>
        <v>67.1331586969052</v>
      </c>
      <c r="H15949" s="6" t="n">
        <f aca="false">Sens!H15865+Sens!H15947</f>
        <v>70.6742901911839</v>
      </c>
      <c r="I15949" s="6" t="n">
        <f aca="false">Sens!I15865+Sens!I15947</f>
        <v>72.7446306073766</v>
      </c>
      <c r="J15949" s="6" t="n">
        <f aca="false">Sens!J15865+Sens!J15947</f>
        <v>76.0118289855066</v>
      </c>
      <c r="K15949" s="6" t="n">
        <f aca="false">Sens!K15865+Sens!K15947</f>
        <v>80.6485701295297</v>
      </c>
    </row>
    <row r="15950" customFormat="false" ht="17.15" hidden="false" customHeight="false" outlineLevel="0" collapsed="false">
      <c r="A15950" s="1" t="s">
        <v>1103</v>
      </c>
      <c r="B15950" s="0" t="s">
        <v>98</v>
      </c>
      <c r="F15950" s="6" t="n">
        <f aca="false">Sens!F15892*sbc_r</f>
        <v>14.6366451852345</v>
      </c>
      <c r="G15950" s="6" t="n">
        <f aca="false">Sens!G15892*sbc_r</f>
        <v>16.7348601033336</v>
      </c>
      <c r="H15950" s="6" t="n">
        <f aca="false">Sens!H15892*sbc_r</f>
        <v>18.6964611976595</v>
      </c>
      <c r="I15950" s="6" t="n">
        <f aca="false">Sens!I15892*sbc_r</f>
        <v>20.3555191350251</v>
      </c>
      <c r="J15950" s="6" t="n">
        <f aca="false">Sens!J15892*sbc_r</f>
        <v>21.8852492810373</v>
      </c>
      <c r="K15950" s="6" t="n">
        <f aca="false">Sens!K15892*sbc_r</f>
        <v>23.3648666065924</v>
      </c>
    </row>
    <row r="15951" customFormat="false" ht="17.15" hidden="false" customHeight="false" outlineLevel="0" collapsed="false">
      <c r="A15951" s="1" t="s">
        <v>1104</v>
      </c>
      <c r="B15951" s="0" t="s">
        <v>98</v>
      </c>
      <c r="F15951" s="6" t="n">
        <f aca="false">wc27-wc26q1</f>
        <v>-4.677</v>
      </c>
      <c r="G15951" s="6" t="n">
        <f aca="false">wc_f</f>
        <v>0</v>
      </c>
      <c r="H15951" s="6" t="n">
        <f aca="false">wc_f</f>
        <v>0</v>
      </c>
      <c r="I15951" s="6" t="n">
        <f aca="false">wc_f</f>
        <v>0</v>
      </c>
      <c r="J15951" s="6" t="n">
        <f aca="false">wc_f</f>
        <v>0</v>
      </c>
      <c r="K15951" s="6" t="n">
        <f aca="false">wc_f</f>
        <v>0</v>
      </c>
      <c r="L15951" s="12" t="s">
        <v>1105</v>
      </c>
    </row>
    <row r="15952" customFormat="false" ht="17.15" hidden="false" customHeight="false" outlineLevel="0" collapsed="false">
      <c r="A15952" s="0" t="s">
        <v>1106</v>
      </c>
      <c r="B15952" s="0" t="s">
        <v>98</v>
      </c>
      <c r="F15952" s="6" t="n">
        <f aca="false">Q!$I$35-Q!$I$26-Q!$I$38-Q!$I$39</f>
        <v>6.493</v>
      </c>
      <c r="L15952" s="1" t="s">
        <v>1107</v>
      </c>
    </row>
    <row r="15953" customFormat="false" ht="15" hidden="false" customHeight="false" outlineLevel="0" collapsed="false">
      <c r="A15953" s="1" t="s">
        <v>904</v>
      </c>
      <c r="B15953" s="0" t="s">
        <v>98</v>
      </c>
      <c r="E15953" s="6" t="n">
        <f aca="false">Q!M35</f>
        <v>182.935</v>
      </c>
      <c r="F15953" s="6" t="n">
        <f aca="false">Sens!F15946+Sens!F15949+Sens!F15950+Sens!F15951+Sens!F15952</f>
        <v>217.456310877157</v>
      </c>
      <c r="G15953" s="6" t="n">
        <f aca="false">Sens!G15946+Sens!G15949+Sens!G15950+Sens!G15951</f>
        <v>241.791400283721</v>
      </c>
      <c r="H15953" s="6" t="n">
        <f aca="false">Sens!H15946+Sens!H15949+Sens!H15950+Sens!H15951</f>
        <v>271.212054912538</v>
      </c>
      <c r="I15953" s="6" t="n">
        <f aca="false">Sens!I15946+Sens!I15949+Sens!I15950+Sens!I15951</f>
        <v>295.394011350716</v>
      </c>
      <c r="J15953" s="6" t="n">
        <f aca="false">Sens!J15946+Sens!J15949+Sens!J15950+Sens!J15951</f>
        <v>318.411986006771</v>
      </c>
      <c r="K15953" s="6" t="n">
        <f aca="false">Sens!K15946+Sens!K15949+Sens!K15950+Sens!K15951</f>
        <v>341.631575982191</v>
      </c>
    </row>
    <row r="15954" customFormat="false" ht="17.15" hidden="false" customHeight="false" outlineLevel="0" collapsed="false">
      <c r="A15954" s="0" t="s">
        <v>1108</v>
      </c>
      <c r="B15954" s="0" t="s">
        <v>98</v>
      </c>
      <c r="F15954" s="6" t="n">
        <f aca="false">Sens!F15862</f>
        <v>29.673672624</v>
      </c>
      <c r="G15954" s="6" t="n">
        <f aca="false">Sens!G15862</f>
        <v>34.213759128</v>
      </c>
      <c r="H15954" s="6" t="n">
        <f aca="false">Sens!H15862</f>
        <v>0</v>
      </c>
      <c r="I15954" s="6" t="n">
        <f aca="false">Sens!I15862</f>
        <v>29.16074476</v>
      </c>
      <c r="J15954" s="6" t="n">
        <f aca="false">Sens!J15862</f>
        <v>44.03867576</v>
      </c>
      <c r="K15954" s="6" t="n">
        <f aca="false">Sens!K15862</f>
        <v>87.48223428</v>
      </c>
    </row>
    <row r="15955" customFormat="false" ht="17.15" hidden="false" customHeight="false" outlineLevel="0" collapsed="false">
      <c r="A15955" s="1" t="s">
        <v>1109</v>
      </c>
      <c r="B15955" s="0" t="s">
        <v>98</v>
      </c>
      <c r="E15955" s="6" t="n">
        <f aca="false">Sens!E15870*cx_azo+Sens!E15877*cx_m365+Sens!E15878*cx_lic+(Sens!E15880+Sens!E15882)*cx_ind+Sens!E15885*cx_srch+(Sens!E15887+Sens!E15889)*cx_dev</f>
        <v>30.1846587067718</v>
      </c>
      <c r="F15955" s="6" t="n">
        <f aca="false">Sens!F15870*cx_azo+Sens!F15877*cx_m365+Sens!F15878*cx_lic+(Sens!F15880+Sens!F15882)*cx_ind+Sens!F15885*cx_srch+(Sens!F15887+Sens!F15889)*cx_dev</f>
        <v>36.3479610758815</v>
      </c>
      <c r="G15955" s="6" t="n">
        <f aca="false">Sens!G15870*cx_azo+Sens!G15877*cx_m365+Sens!G15878*cx_lic+(Sens!G15880+Sens!G15882)*cx_ind+Sens!G15885*cx_srch+(Sens!G15887+Sens!G15889)*cx_dev</f>
        <v>42.3499525150266</v>
      </c>
      <c r="H15955" s="6" t="n">
        <f aca="false">Sens!H15870*cx_azo+Sens!H15877*cx_m365+Sens!H15878*cx_lic+(Sens!H15880+Sens!H15882)*cx_ind+Sens!H15885*cx_srch+(Sens!H15887+Sens!H15889)*cx_dev</f>
        <v>48.4393198766925</v>
      </c>
      <c r="I15955" s="6" t="n">
        <f aca="false">Sens!I15870*cx_azo+Sens!I15877*cx_m365+Sens!I15878*cx_lic+(Sens!I15880+Sens!I15882)*cx_ind+Sens!I15885*cx_srch+(Sens!I15887+Sens!I15889)*cx_dev</f>
        <v>54.1773092958326</v>
      </c>
      <c r="J15955" s="6" t="n">
        <f aca="false">Sens!J15870*cx_azo+Sens!J15877*cx_m365+Sens!J15878*cx_lic+(Sens!J15880+Sens!J15882)*cx_ind+Sens!J15885*cx_srch+(Sens!J15887+Sens!J15889)*cx_dev</f>
        <v>59.3233940034824</v>
      </c>
      <c r="K15955" s="6" t="n">
        <f aca="false">Sens!K15870*cx_azo+Sens!K15877*cx_m365+Sens!K15878*cx_lic+(Sens!K15880+Sens!K15882)*cx_ind+Sens!K15885*cx_srch+(Sens!K15887+Sens!K15889)*cx_dev</f>
        <v>63.8540842145706</v>
      </c>
    </row>
    <row r="15956" customFormat="false" ht="17.15" hidden="false" customHeight="false" outlineLevel="0" collapsed="false">
      <c r="A15956" s="0" t="s">
        <v>1110</v>
      </c>
      <c r="B15956" s="0" t="s">
        <v>98</v>
      </c>
      <c r="F15956" s="6" t="n">
        <f aca="false">Sens!F15860</f>
        <v>138.178366300118</v>
      </c>
      <c r="L15956" s="1" t="s">
        <v>1111</v>
      </c>
    </row>
    <row r="15957" customFormat="false" ht="17.15" hidden="false" customHeight="false" outlineLevel="0" collapsed="false">
      <c r="A15957" s="1" t="s">
        <v>1112</v>
      </c>
      <c r="B15957" s="0" t="s">
        <v>98</v>
      </c>
      <c r="E15957" s="6" t="n">
        <f aca="false">Q!M43</f>
        <v>145.3</v>
      </c>
      <c r="F15957" s="6" t="n">
        <f aca="false">Sens!F15954+Sens!F15955+Sens!F15956</f>
        <v>204.2</v>
      </c>
      <c r="G15957" s="6" t="n">
        <f aca="false">Sens!G15954+Sens!G15955</f>
        <v>76.5637116430266</v>
      </c>
      <c r="H15957" s="6" t="n">
        <f aca="false">Sens!H15954+Sens!H15955</f>
        <v>48.4393198766925</v>
      </c>
      <c r="I15957" s="6" t="n">
        <f aca="false">Sens!I15954+Sens!I15955</f>
        <v>83.3380540558326</v>
      </c>
      <c r="J15957" s="6" t="n">
        <f aca="false">Sens!J15954+Sens!J15955</f>
        <v>103.362069763482</v>
      </c>
      <c r="K15957" s="6" t="n">
        <f aca="false">Sens!K15954+Sens!K15955</f>
        <v>151.336318494571</v>
      </c>
      <c r="L15957" s="1" t="s">
        <v>1113</v>
      </c>
    </row>
    <row r="15958" customFormat="false" ht="15" hidden="false" customHeight="false" outlineLevel="0" collapsed="false">
      <c r="A15958" s="1" t="s">
        <v>1114</v>
      </c>
      <c r="B15958" s="0" t="s">
        <v>98</v>
      </c>
      <c r="E15958" s="6" t="n">
        <f aca="false">fl_liab</f>
        <v>66.594</v>
      </c>
      <c r="F15958" s="6" t="n">
        <f aca="false">Sens!E15958-Sens!F15959</f>
        <v>62.46973</v>
      </c>
      <c r="G15958" s="6" t="n">
        <f aca="false">Sens!F15958-Sens!G15959</f>
        <v>57.98686785</v>
      </c>
      <c r="H15958" s="6" t="n">
        <f aca="false">Sens!G15958-Sens!H15959</f>
        <v>53.92827690325</v>
      </c>
      <c r="I15958" s="6" t="n">
        <f aca="false">Sens!H15958-Sens!I15959</f>
        <v>49.7850493638962</v>
      </c>
      <c r="J15958" s="6" t="n">
        <f aca="false">Sens!I15958-Sens!J15959</f>
        <v>45.4823765852716</v>
      </c>
      <c r="K15958" s="6" t="n">
        <f aca="false">Sens!J15958-Sens!K15959</f>
        <v>40.9860835316088</v>
      </c>
    </row>
    <row r="15959" customFormat="false" ht="15" hidden="false" customHeight="false" outlineLevel="0" collapsed="false">
      <c r="A15959" s="1" t="s">
        <v>1115</v>
      </c>
      <c r="B15959" s="0" t="s">
        <v>98</v>
      </c>
      <c r="F15959" s="6" t="n">
        <f aca="false">fl_pay_27-Sens!E15958*fl_rate</f>
        <v>4.12427</v>
      </c>
      <c r="G15959" s="6" t="n">
        <f aca="false">fl_pay_28-Sens!F15958*fl_rate</f>
        <v>4.48286215</v>
      </c>
      <c r="H15959" s="6" t="n">
        <f aca="false">fl_pay_29-Sens!G15958*fl_rate</f>
        <v>4.05859094675</v>
      </c>
      <c r="I15959" s="6" t="n">
        <f aca="false">fl_pay_30-Sens!H15958*fl_rate</f>
        <v>4.14322753935375</v>
      </c>
      <c r="J15959" s="6" t="n">
        <f aca="false">fl_pay_31-Sens!I15958*fl_rate</f>
        <v>4.30267277862467</v>
      </c>
      <c r="K15959" s="6" t="n">
        <f aca="false">fl_pay_32-Sens!J15958*fl_rate</f>
        <v>4.49629305366278</v>
      </c>
    </row>
    <row r="15960" customFormat="false" ht="17.15" hidden="false" customHeight="false" outlineLevel="0" collapsed="false">
      <c r="A15960" s="1" t="s">
        <v>1116</v>
      </c>
      <c r="B15960" s="0" t="s">
        <v>98</v>
      </c>
      <c r="E15960" s="6" t="n">
        <f aca="false">Q!M35-Q!M36-Q!M44</f>
        <v>63.886</v>
      </c>
      <c r="F15960" s="6" t="n">
        <f aca="false">Sens!F15953-Sens!F15957-Sens!F15959</f>
        <v>9.13204087715698</v>
      </c>
      <c r="G15960" s="6" t="n">
        <f aca="false">Sens!G15953-Sens!G15957-Sens!G15959</f>
        <v>160.744826490694</v>
      </c>
      <c r="H15960" s="6" t="n">
        <f aca="false">Sens!H15953-Sens!H15957-Sens!H15959</f>
        <v>218.714144089096</v>
      </c>
      <c r="I15960" s="6" t="n">
        <f aca="false">Sens!I15953-Sens!I15957-Sens!I15959</f>
        <v>207.91272975553</v>
      </c>
      <c r="J15960" s="6" t="n">
        <f aca="false">Sens!J15953-Sens!J15957-Sens!J15959</f>
        <v>210.747243464664</v>
      </c>
      <c r="K15960" s="6" t="n">
        <f aca="false">Sens!K15953-Sens!K15957-Sens!K15959</f>
        <v>185.798964433957</v>
      </c>
      <c r="L15960" s="12" t="s">
        <v>1117</v>
      </c>
    </row>
    <row r="15961" customFormat="false" ht="15" hidden="false" customHeight="false" outlineLevel="0" collapsed="false">
      <c r="A15961" s="1" t="s">
        <v>1118</v>
      </c>
      <c r="B15961" s="0" t="s">
        <v>75</v>
      </c>
      <c r="F15961" s="8" t="n">
        <f aca="false">dps_27</f>
        <v>3.85</v>
      </c>
      <c r="G15961" s="8" t="n">
        <f aca="false">Sens!F15961*(1+dps_g)</f>
        <v>4.158</v>
      </c>
      <c r="H15961" s="8" t="n">
        <f aca="false">Sens!G15961*(1+dps_g)</f>
        <v>4.49064</v>
      </c>
      <c r="I15961" s="8" t="n">
        <f aca="false">Sens!H15961*(1+dps_g)</f>
        <v>4.8498912</v>
      </c>
      <c r="J15961" s="8" t="n">
        <f aca="false">Sens!I15961*(1+dps_g)</f>
        <v>5.237882496</v>
      </c>
      <c r="K15961" s="8" t="n">
        <f aca="false">Sens!J15961*(1+dps_g)</f>
        <v>5.65691309568</v>
      </c>
    </row>
    <row r="15962" customFormat="false" ht="17.15" hidden="false" customHeight="false" outlineLevel="0" collapsed="false">
      <c r="A15962" s="1" t="s">
        <v>1119</v>
      </c>
      <c r="B15962" s="0" t="s">
        <v>98</v>
      </c>
      <c r="E15962" s="6" t="n">
        <f aca="false">Q!M41</f>
        <v>26.445</v>
      </c>
      <c r="F15962" s="6" t="n">
        <f aca="false">Sens!F15961*Sens!E15971</f>
        <v>28.59395</v>
      </c>
      <c r="G15962" s="6" t="n">
        <f aca="false">Sens!G15961*Sens!F15971</f>
        <v>31.068576</v>
      </c>
      <c r="H15962" s="6" t="n">
        <f aca="false">Sens!H15961*Sens!G15971</f>
        <v>33.5883340530727</v>
      </c>
      <c r="I15962" s="6" t="n">
        <f aca="false">Sens!I15961*Sens!H15971</f>
        <v>36.3258390543911</v>
      </c>
      <c r="J15962" s="6" t="n">
        <f aca="false">Sens!J15961*Sens!I15971</f>
        <v>39.299804064135</v>
      </c>
      <c r="K15962" s="6" t="n">
        <f aca="false">Sens!K15961*Sens!J15971</f>
        <v>42.5305426516441</v>
      </c>
      <c r="L15962" s="1" t="s">
        <v>1120</v>
      </c>
    </row>
    <row r="15963" customFormat="false" ht="15" hidden="false" customHeight="false" outlineLevel="0" collapsed="false">
      <c r="A15963" s="1" t="s">
        <v>1121</v>
      </c>
      <c r="B15963" s="0" t="s">
        <v>98</v>
      </c>
      <c r="E15963" s="6" t="n">
        <f aca="false">Sens!E15960-Sens!E15962</f>
        <v>37.441</v>
      </c>
      <c r="F15963" s="6" t="n">
        <f aca="false">Sens!F15960-Sens!F15962</f>
        <v>-19.461909122843</v>
      </c>
      <c r="G15963" s="6" t="n">
        <f aca="false">Sens!G15960-Sens!G15962</f>
        <v>129.676250490694</v>
      </c>
      <c r="H15963" s="6" t="n">
        <f aca="false">Sens!H15960-Sens!H15962</f>
        <v>185.125810036023</v>
      </c>
      <c r="I15963" s="6" t="n">
        <f aca="false">Sens!I15960-Sens!I15962</f>
        <v>171.586890701139</v>
      </c>
      <c r="J15963" s="6" t="n">
        <f aca="false">Sens!J15960-Sens!J15962</f>
        <v>171.447439400529</v>
      </c>
      <c r="K15963" s="6" t="n">
        <f aca="false">Sens!K15960-Sens!K15962</f>
        <v>143.268421782313</v>
      </c>
    </row>
    <row r="15964" customFormat="false" ht="15" hidden="false" customHeight="false" outlineLevel="0" collapsed="false">
      <c r="A15964" s="1" t="s">
        <v>1122</v>
      </c>
      <c r="B15964" s="0" t="s">
        <v>98</v>
      </c>
      <c r="F15964" s="6" t="n">
        <f aca="false">debt_mat_27</f>
        <v>9.25</v>
      </c>
      <c r="G15964" s="6" t="n">
        <f aca="false">debt_mat_28</f>
        <v>0</v>
      </c>
      <c r="H15964" s="6" t="n">
        <f aca="false">debt_mat_29</f>
        <v>2.001</v>
      </c>
      <c r="I15964" s="6" t="n">
        <f aca="false">debt_mat_30</f>
        <v>0</v>
      </c>
      <c r="J15964" s="6" t="n">
        <f aca="false">debt_mat_31</f>
        <v>0.5</v>
      </c>
      <c r="K15964" s="6" t="n">
        <f aca="false">debt_mat_32</f>
        <v>0</v>
      </c>
    </row>
    <row r="15965" customFormat="false" ht="15" hidden="false" customHeight="false" outlineLevel="0" collapsed="false">
      <c r="A15965" s="1" t="s">
        <v>1123</v>
      </c>
      <c r="B15965" s="0" t="s">
        <v>98</v>
      </c>
      <c r="E15965" s="6" t="n">
        <f aca="false">Q!M40</f>
        <v>22.271</v>
      </c>
      <c r="F15965" s="6" t="n">
        <f aca="false">MAX(0,MIN(bb_target,Sens!E15967+Sens!F15963-Sens!F15964-min_cash))</f>
        <v>0</v>
      </c>
      <c r="G15965" s="6" t="n">
        <f aca="false">MAX(0,MIN(bb_target,Sens!F15967+Sens!G15963-Sens!G15964-min_cash))</f>
        <v>22.271</v>
      </c>
      <c r="H15965" s="6" t="n">
        <f aca="false">MAX(0,MIN(bb_target,Sens!G15967+Sens!H15963-Sens!H15964-min_cash))</f>
        <v>22.271</v>
      </c>
      <c r="I15965" s="6" t="n">
        <f aca="false">MAX(0,MIN(bb_target,Sens!H15967+Sens!I15963-Sens!I15964-min_cash))</f>
        <v>22.271</v>
      </c>
      <c r="J15965" s="6" t="n">
        <f aca="false">MAX(0,MIN(bb_target,Sens!I15967+Sens!J15963-Sens!J15964-min_cash))</f>
        <v>22.271</v>
      </c>
      <c r="K15965" s="6" t="n">
        <f aca="false">MAX(0,MIN(bb_target,Sens!J15967+Sens!K15963-Sens!K15964-min_cash))</f>
        <v>22.271</v>
      </c>
    </row>
    <row r="15966" customFormat="false" ht="15" hidden="false" customHeight="false" outlineLevel="0" collapsed="false">
      <c r="A15966" s="1" t="s">
        <v>1124</v>
      </c>
      <c r="B15966" s="0" t="s">
        <v>98</v>
      </c>
      <c r="F15966" s="6" t="n">
        <f aca="false">MAX(0,min_cash-(Sens!E15967+Sens!F15963-Sens!F15964-Sens!F15965))</f>
        <v>1.86890912284302</v>
      </c>
      <c r="G15966" s="6" t="n">
        <f aca="false">MAX(0,min_cash-(Sens!F15967+Sens!G15963-Sens!G15964-Sens!G15965))</f>
        <v>0</v>
      </c>
      <c r="H15966" s="6" t="n">
        <f aca="false">MAX(0,min_cash-(Sens!G15967+Sens!H15963-Sens!H15964-Sens!H15965))</f>
        <v>0</v>
      </c>
      <c r="I15966" s="6" t="n">
        <f aca="false">MAX(0,min_cash-(Sens!H15967+Sens!I15963-Sens!I15964-Sens!I15965))</f>
        <v>0</v>
      </c>
      <c r="J15966" s="6" t="n">
        <f aca="false">MAX(0,min_cash-(Sens!I15967+Sens!J15963-Sens!J15964-Sens!J15965))</f>
        <v>0</v>
      </c>
      <c r="K15966" s="6" t="n">
        <f aca="false">MAX(0,min_cash-(Sens!J15967+Sens!K15963-Sens!K15964-Sens!K15965))</f>
        <v>0</v>
      </c>
    </row>
    <row r="15967" customFormat="false" ht="15" hidden="false" customHeight="false" outlineLevel="0" collapsed="false">
      <c r="A15967" s="1" t="s">
        <v>1125</v>
      </c>
      <c r="B15967" s="0" t="s">
        <v>98</v>
      </c>
      <c r="E15967" s="6" t="n">
        <f aca="false">cash_open</f>
        <v>76.843</v>
      </c>
      <c r="F15967" s="6" t="n">
        <f aca="false">Sens!E15967+Sens!F15963-Sens!F15964-Sens!F15965+Sens!F15966</f>
        <v>50</v>
      </c>
      <c r="G15967" s="6" t="n">
        <f aca="false">Sens!F15967+Sens!G15963-Sens!G15964-Sens!G15965+Sens!G15966</f>
        <v>157.405250490694</v>
      </c>
      <c r="H15967" s="6" t="n">
        <f aca="false">Sens!G15967+Sens!H15963-Sens!H15964-Sens!H15965+Sens!H15966</f>
        <v>318.259060526717</v>
      </c>
      <c r="I15967" s="6" t="n">
        <f aca="false">Sens!H15967+Sens!I15963-Sens!I15964-Sens!I15965+Sens!I15966</f>
        <v>467.574951227856</v>
      </c>
      <c r="J15967" s="6" t="n">
        <f aca="false">Sens!I15967+Sens!J15963-Sens!J15964-Sens!J15965+Sens!J15966</f>
        <v>616.251390628385</v>
      </c>
      <c r="K15967" s="6" t="n">
        <f aca="false">Sens!J15967+Sens!K15963-Sens!K15964-Sens!K15965+Sens!K15966</f>
        <v>737.248812410699</v>
      </c>
    </row>
    <row r="15968" customFormat="false" ht="15" hidden="false" customHeight="false" outlineLevel="0" collapsed="false">
      <c r="A15968" s="1" t="s">
        <v>1126</v>
      </c>
      <c r="B15968" s="0" t="s">
        <v>98</v>
      </c>
      <c r="E15968" s="6" t="n">
        <f aca="false">debt_face</f>
        <v>46.136</v>
      </c>
      <c r="F15968" s="6" t="n">
        <f aca="false">Sens!E15968-Sens!F15964+Sens!F15966</f>
        <v>38.754909122843</v>
      </c>
      <c r="G15968" s="6" t="n">
        <f aca="false">Sens!F15968-Sens!G15964+Sens!G15966</f>
        <v>38.754909122843</v>
      </c>
      <c r="H15968" s="6" t="n">
        <f aca="false">Sens!G15968-Sens!H15964+Sens!H15966</f>
        <v>36.753909122843</v>
      </c>
      <c r="I15968" s="6" t="n">
        <f aca="false">Sens!H15968-Sens!I15964+Sens!I15966</f>
        <v>36.753909122843</v>
      </c>
      <c r="J15968" s="6" t="n">
        <f aca="false">Sens!I15968-Sens!J15964+Sens!J15966</f>
        <v>36.253909122843</v>
      </c>
      <c r="K15968" s="6" t="n">
        <f aca="false">Sens!J15968-Sens!K15964+Sens!K15966</f>
        <v>36.253909122843</v>
      </c>
    </row>
    <row r="15969" customFormat="false" ht="15" hidden="false" customHeight="false" outlineLevel="0" collapsed="false">
      <c r="A15969" s="1" t="s">
        <v>1127</v>
      </c>
      <c r="B15969" s="0" t="s">
        <v>98</v>
      </c>
      <c r="E15969" s="6" t="n">
        <f aca="false">Sens!E15967-Sens!E15968</f>
        <v>30.707</v>
      </c>
      <c r="F15969" s="6" t="n">
        <f aca="false">Sens!F15967-Sens!F15968</f>
        <v>11.245090877157</v>
      </c>
      <c r="G15969" s="6" t="n">
        <f aca="false">Sens!G15967-Sens!G15968</f>
        <v>118.650341367851</v>
      </c>
      <c r="H15969" s="6" t="n">
        <f aca="false">Sens!H15967-Sens!H15968</f>
        <v>281.505151403874</v>
      </c>
      <c r="I15969" s="6" t="n">
        <f aca="false">Sens!I15967-Sens!I15968</f>
        <v>430.821042105013</v>
      </c>
      <c r="J15969" s="6" t="n">
        <f aca="false">Sens!J15967-Sens!J15968</f>
        <v>579.997481505542</v>
      </c>
      <c r="K15969" s="6" t="n">
        <f aca="false">Sens!K15967-Sens!K15968</f>
        <v>700.994903287856</v>
      </c>
    </row>
    <row r="15970" customFormat="false" ht="15" hidden="false" customHeight="false" outlineLevel="0" collapsed="false">
      <c r="A15970" s="1" t="s">
        <v>1128</v>
      </c>
      <c r="B15970" s="0" t="s">
        <v>75</v>
      </c>
      <c r="F15970" s="30" t="n">
        <f aca="false">px*(1+bb_g)^(Sens!F15828-base_fy-mid_yr)</f>
        <v>551.84177959629</v>
      </c>
      <c r="G15970" s="30" t="n">
        <f aca="false">px*(1+bb_g)^(Sens!G15828-base_fy-mid_yr)</f>
        <v>595.989121963993</v>
      </c>
      <c r="H15970" s="30" t="n">
        <f aca="false">px*(1+bb_g)^(Sens!H15828-base_fy-mid_yr)</f>
        <v>643.668251721112</v>
      </c>
      <c r="I15970" s="30" t="n">
        <f aca="false">px*(1+bb_g)^(Sens!I15828-base_fy-mid_yr)</f>
        <v>695.161711858801</v>
      </c>
      <c r="J15970" s="30" t="n">
        <f aca="false">px*(1+bb_g)^(Sens!J15828-base_fy-mid_yr)</f>
        <v>750.774648807506</v>
      </c>
      <c r="K15970" s="30" t="n">
        <f aca="false">px*(1+bb_g)^(Sens!K15828-base_fy-mid_yr)</f>
        <v>810.836620712106</v>
      </c>
    </row>
    <row r="15971" customFormat="false" ht="15" hidden="false" customHeight="false" outlineLevel="0" collapsed="false">
      <c r="A15971" s="1" t="s">
        <v>1129</v>
      </c>
      <c r="B15971" s="1" t="s">
        <v>81</v>
      </c>
      <c r="E15971" s="15" t="n">
        <f aca="false">sh_out26</f>
        <v>7.427</v>
      </c>
      <c r="F15971" s="15" t="n">
        <f aca="false">Sens!E15971+sh_iss-Sens!F15965/Sens!F15970</f>
        <v>7.472</v>
      </c>
      <c r="G15971" s="15" t="n">
        <f aca="false">Sens!F15971+sh_iss-Sens!G15965/Sens!G15970</f>
        <v>7.47963186830221</v>
      </c>
      <c r="H15971" s="15" t="n">
        <f aca="false">Sens!G15971+sh_iss-Sens!H15965/Sens!H15970</f>
        <v>7.49003174635981</v>
      </c>
      <c r="I15971" s="15" t="n">
        <f aca="false">Sens!H15971+sh_iss-Sens!I15965/Sens!I15970</f>
        <v>7.50299459641315</v>
      </c>
      <c r="J15971" s="15" t="n">
        <f aca="false">Sens!I15971+sh_iss-Sens!J15965/Sens!J15970</f>
        <v>7.51833056868476</v>
      </c>
      <c r="K15971" s="15" t="n">
        <f aca="false">Sens!J15971+sh_iss-Sens!K15965/Sens!K15970</f>
        <v>7.53586387634365</v>
      </c>
    </row>
    <row r="15972" customFormat="false" ht="15" hidden="false" customHeight="false" outlineLevel="0" collapsed="false">
      <c r="A15972" s="1" t="s">
        <v>1130</v>
      </c>
      <c r="B15972" s="1" t="s">
        <v>81</v>
      </c>
      <c r="E15972" s="15" t="n">
        <f aca="false">sh_dil26</f>
        <v>7.453</v>
      </c>
      <c r="F15972" s="15" t="n">
        <f aca="false">(Sens!E15971+Sens!F15971)/2+dil_gap</f>
        <v>7.4735</v>
      </c>
      <c r="G15972" s="15" t="n">
        <f aca="false">(Sens!F15971+Sens!G15971)/2+dil_gap</f>
        <v>7.49981593415111</v>
      </c>
      <c r="H15972" s="15" t="n">
        <f aca="false">(Sens!G15971+Sens!H15971)/2+dil_gap</f>
        <v>7.50883180733101</v>
      </c>
      <c r="I15972" s="15" t="n">
        <f aca="false">(Sens!H15971+Sens!I15971)/2+dil_gap</f>
        <v>7.52051317138648</v>
      </c>
      <c r="J15972" s="15" t="n">
        <f aca="false">(Sens!I15971+Sens!J15971)/2+dil_gap</f>
        <v>7.53466258254895</v>
      </c>
      <c r="K15972" s="15" t="n">
        <f aca="false">(Sens!J15971+Sens!K15971)/2+dil_gap</f>
        <v>7.55109722251421</v>
      </c>
    </row>
    <row r="15973" customFormat="false" ht="17.15" hidden="false" customHeight="false" outlineLevel="0" collapsed="false">
      <c r="A15973" s="1" t="s">
        <v>1131</v>
      </c>
      <c r="B15973" s="0" t="s">
        <v>98</v>
      </c>
      <c r="C15973" s="6" t="n">
        <f aca="false">SUM(Sens!F15963:J15963)</f>
        <v>638.374481505542</v>
      </c>
    </row>
    <row r="15974" customFormat="false" ht="15" hidden="false" customHeight="false" outlineLevel="0" collapsed="false">
      <c r="A15974" s="26" t="s">
        <v>1096</v>
      </c>
      <c r="B15974" s="31" t="s">
        <v>98</v>
      </c>
      <c r="C15974" s="27" t="n">
        <f aca="false">Sens!$C$15973-(Sens!F15963+Sens!G15963+Sens!H15963+Sens!I15963+Sens!J15963)</f>
        <v>0</v>
      </c>
      <c r="D15974" s="31"/>
      <c r="E15974" s="31"/>
      <c r="F15974" s="31"/>
      <c r="G15974" s="31"/>
      <c r="H15974" s="31"/>
      <c r="I15974" s="31"/>
      <c r="J15974" s="31"/>
      <c r="K15974" s="31"/>
    </row>
    <row r="15975" customFormat="false" ht="17.15" hidden="false" customHeight="false" outlineLevel="0" collapsed="false">
      <c r="A15975" s="1" t="s">
        <v>1090</v>
      </c>
      <c r="B15975" s="1" t="s">
        <v>1132</v>
      </c>
      <c r="C15975" s="33" t="str">
        <f aca="false">IF(SUM(Sens!F15966:J15966)&gt;0.05,"需要舉債 "&amp;TEXT(SUM(Sens!F15966:J15966),"0.0")&amp;" 十億美元","不需舉債")&amp;"；"&amp;IF(SUM(Sens!F15965:J15965)&lt;COUNT(Sens!F15965:J15965)*bb_target-0.05,"回購較每年 "&amp;TEXT(bb_target,"0.0")&amp;" 的目標少 "&amp;TEXT(COUNT(Sens!F15965:J15965)*bb_target-SUM(Sens!F15965:J15965),"0.0")&amp;" 十億美元（"&amp;TEXT(COUNTIF(Sens!F15965:J15965,"&lt;"&amp;(bb_target-0.05)),"0")&amp;" 年減少）","回購不減")</f>
        <v>需要舉債 1.9 十億美元；回購較每年 22.3 的目標少 22.3 十億美元（1 年減少）</v>
      </c>
    </row>
    <row r="15976" customFormat="false" ht="17.15" hidden="false" customHeight="false" outlineLevel="0" collapsed="false">
      <c r="A15976" s="3" t="s">
        <v>1873</v>
      </c>
    </row>
    <row r="15977" customFormat="false" ht="15" hidden="false" customHeight="false" outlineLevel="0" collapsed="false">
      <c r="A15977" s="4" t="s">
        <v>43</v>
      </c>
      <c r="B15977" s="4" t="s">
        <v>65</v>
      </c>
      <c r="C15977" s="23" t="s">
        <v>938</v>
      </c>
      <c r="D15977" s="23" t="s">
        <v>939</v>
      </c>
      <c r="E15977" s="23" t="s">
        <v>940</v>
      </c>
      <c r="F15977" s="23" t="s">
        <v>941</v>
      </c>
      <c r="G15977" s="23" t="s">
        <v>942</v>
      </c>
      <c r="H15977" s="23" t="s">
        <v>943</v>
      </c>
      <c r="I15977" s="23" t="s">
        <v>944</v>
      </c>
      <c r="J15977" s="23" t="s">
        <v>945</v>
      </c>
      <c r="K15977" s="23" t="s">
        <v>946</v>
      </c>
      <c r="L15977" s="4" t="s">
        <v>47</v>
      </c>
    </row>
    <row r="15978" customFormat="false" ht="17.15" hidden="false" customHeight="false" outlineLevel="0" collapsed="false">
      <c r="A15978" s="1" t="s">
        <v>1212</v>
      </c>
      <c r="B15978" s="1" t="s">
        <v>279</v>
      </c>
      <c r="F15978" s="8" t="n">
        <f aca="false">(1-v_off)*mid_yr</f>
        <v>0.373972602739726</v>
      </c>
      <c r="G15978" s="8" t="n">
        <f aca="false">Sens!G15828-base_fy-mid_yr-v_off</f>
        <v>1.24794520547945</v>
      </c>
      <c r="H15978" s="8" t="n">
        <f aca="false">Sens!H15828-base_fy-mid_yr-v_off</f>
        <v>2.24794520547945</v>
      </c>
      <c r="I15978" s="8" t="n">
        <f aca="false">Sens!I15828-base_fy-mid_yr-v_off</f>
        <v>3.24794520547945</v>
      </c>
      <c r="J15978" s="8" t="n">
        <f aca="false">Sens!J15828-base_fy-mid_yr-v_off</f>
        <v>4.24794520547945</v>
      </c>
      <c r="K15978" s="8" t="n">
        <f aca="false">Sens!K15828-base_fy-mid_yr-v_off</f>
        <v>5.24794520547945</v>
      </c>
      <c r="L15978" s="12" t="s">
        <v>1213</v>
      </c>
    </row>
    <row r="15979" customFormat="false" ht="15" hidden="false" customHeight="false" outlineLevel="0" collapsed="false">
      <c r="A15979" s="1" t="s">
        <v>1214</v>
      </c>
      <c r="B15979" s="1" t="s">
        <v>279</v>
      </c>
      <c r="F15979" s="8" t="n">
        <f aca="false">Sens!F15828-base_fy-v_off</f>
        <v>0.747945205479452</v>
      </c>
      <c r="G15979" s="8" t="n">
        <f aca="false">Sens!G15828-base_fy-v_off</f>
        <v>1.74794520547945</v>
      </c>
      <c r="H15979" s="8" t="n">
        <f aca="false">Sens!H15828-base_fy-v_off</f>
        <v>2.74794520547945</v>
      </c>
      <c r="I15979" s="8" t="n">
        <f aca="false">Sens!I15828-base_fy-v_off</f>
        <v>3.74794520547945</v>
      </c>
      <c r="J15979" s="8" t="n">
        <f aca="false">Sens!J15828-base_fy-v_off</f>
        <v>4.74794520547945</v>
      </c>
      <c r="K15979" s="8" t="n">
        <f aca="false">Sens!K15828-base_fy-v_off</f>
        <v>5.74794520547945</v>
      </c>
    </row>
    <row r="15980" customFormat="false" ht="15" hidden="false" customHeight="false" outlineLevel="0" collapsed="false">
      <c r="A15980" s="1" t="s">
        <v>1215</v>
      </c>
      <c r="B15980" s="0" t="s">
        <v>229</v>
      </c>
      <c r="F15980" s="15" t="n">
        <f aca="false">1/(1+wacc)^Sens!F15978</f>
        <v>0.964022703286649</v>
      </c>
      <c r="G15980" s="15" t="n">
        <f aca="false">1/(1+wacc)^Sens!G15978</f>
        <v>0.884910302296739</v>
      </c>
      <c r="H15980" s="15" t="n">
        <f aca="false">1/(1+wacc)^Sens!H15978</f>
        <v>0.802322009770358</v>
      </c>
      <c r="I15980" s="15" t="n">
        <f aca="false">1/(1+wacc)^Sens!I15978</f>
        <v>0.727441646561469</v>
      </c>
      <c r="J15980" s="15" t="n">
        <f aca="false">1/(1+wacc)^Sens!J15978</f>
        <v>0.659549834988973</v>
      </c>
      <c r="K15980" s="15" t="n">
        <f aca="false">1/(1+wacc)^Sens!K15978</f>
        <v>0.597994336576966</v>
      </c>
    </row>
    <row r="15981" customFormat="false" ht="17.15" hidden="false" customHeight="false" outlineLevel="0" collapsed="false">
      <c r="A15981" s="1" t="s">
        <v>1216</v>
      </c>
      <c r="B15981" s="0" t="s">
        <v>98</v>
      </c>
      <c r="F15981" s="6" t="n">
        <f aca="false">Q!$I$35-Q!$I$39-Q!$I$43</f>
        <v>9.666</v>
      </c>
      <c r="L15981" s="12" t="s">
        <v>1217</v>
      </c>
    </row>
    <row r="15982" customFormat="false" ht="17.15" hidden="false" customHeight="false" outlineLevel="0" collapsed="false">
      <c r="A15982" s="1" t="s">
        <v>1218</v>
      </c>
      <c r="B15982" s="0" t="s">
        <v>98</v>
      </c>
      <c r="F15982" s="6" t="n">
        <f aca="false">Sens!F15953-Sens!F15950-Sens!F15957+Sens!F15935*(1-tax_f)*(1-v_off)-Sens!F15981</f>
        <v>-11.0463343080775</v>
      </c>
      <c r="G15982" s="6" t="n">
        <f aca="false">Sens!G15953-Sens!G15950-Sens!G15957+Sens!G15935*(1-tax_f)</f>
        <v>148.492828537361</v>
      </c>
      <c r="H15982" s="6" t="n">
        <f aca="false">Sens!H15953-Sens!H15950-Sens!H15957+Sens!H15935*(1-tax_f)</f>
        <v>204.076273838186</v>
      </c>
      <c r="I15982" s="6" t="n">
        <f aca="false">Sens!I15953-Sens!I15950-Sens!I15957+Sens!I15935*(1-tax_f)</f>
        <v>191.700438159859</v>
      </c>
      <c r="J15982" s="6" t="n">
        <f aca="false">Sens!J15953-Sens!J15950-Sens!J15957+Sens!J15935*(1-tax_f)</f>
        <v>193.164666962251</v>
      </c>
      <c r="K15982" s="6" t="n">
        <f aca="false">Sens!K15953-Sens!K15950-Sens!K15957+Sens!K15935*(1-tax_f)</f>
        <v>166.930390881028</v>
      </c>
      <c r="L15982" s="1" t="s">
        <v>1219</v>
      </c>
    </row>
    <row r="15983" customFormat="false" ht="15" hidden="false" customHeight="false" outlineLevel="0" collapsed="false">
      <c r="A15983" s="1" t="s">
        <v>1220</v>
      </c>
      <c r="B15983" s="0" t="s">
        <v>98</v>
      </c>
      <c r="F15983" s="6" t="n">
        <f aca="false">Sens!F15982*Sens!F15980</f>
        <v>-10.648917061081</v>
      </c>
      <c r="G15983" s="6" t="n">
        <f aca="false">Sens!G15982*Sens!G15980</f>
        <v>131.402833789894</v>
      </c>
      <c r="H15983" s="6" t="n">
        <f aca="false">Sens!H15982*Sens!H15980</f>
        <v>163.734886172299</v>
      </c>
      <c r="I15983" s="6" t="n">
        <f aca="false">Sens!I15982*Sens!I15980</f>
        <v>139.450882381563</v>
      </c>
      <c r="J15983" s="6" t="n">
        <f aca="false">Sens!J15982*Sens!J15980</f>
        <v>127.401724220653</v>
      </c>
      <c r="K15983" s="6" t="n">
        <f aca="false">Sens!K15982*Sens!K15980</f>
        <v>99.8234283494337</v>
      </c>
    </row>
    <row r="15984" customFormat="false" ht="17.15" hidden="false" customHeight="false" outlineLevel="0" collapsed="false">
      <c r="A15984" s="1" t="s">
        <v>1221</v>
      </c>
      <c r="B15984" s="0" t="s">
        <v>98</v>
      </c>
      <c r="C15984" s="6" t="n">
        <f aca="false">SUM(Sens!F15983:K15983)</f>
        <v>651.164837852761</v>
      </c>
    </row>
    <row r="15985" customFormat="false" ht="17.15" hidden="false" customHeight="false" outlineLevel="0" collapsed="false">
      <c r="A15985" s="1" t="s">
        <v>1222</v>
      </c>
      <c r="B15985" s="0" t="s">
        <v>98</v>
      </c>
      <c r="C15985" s="6" t="n">
        <f aca="false">Sens!K15921*(1+g_tv)*(1-tax_f)</f>
        <v>245.735483423451</v>
      </c>
    </row>
    <row r="15986" customFormat="false" ht="17.15" hidden="false" customHeight="false" outlineLevel="0" collapsed="false">
      <c r="A15986" s="1" t="s">
        <v>1223</v>
      </c>
      <c r="B15986" s="0" t="s">
        <v>98</v>
      </c>
      <c r="C15986" s="6" t="n">
        <f aca="false">Sens!$C$15985*(1-g_tv/(wacc+ronic_prem))</f>
        <v>174.117952329967</v>
      </c>
    </row>
    <row r="15987" customFormat="false" ht="17.15" hidden="false" customHeight="false" outlineLevel="0" collapsed="false">
      <c r="A15987" s="1" t="s">
        <v>1224</v>
      </c>
      <c r="B15987" s="0" t="s">
        <v>98</v>
      </c>
      <c r="C15987" s="6" t="n">
        <f aca="false">Sens!$C$15986/(wacc-g_tv)</f>
        <v>2387.25103644946</v>
      </c>
    </row>
    <row r="15988" customFormat="false" ht="15" hidden="false" customHeight="false" outlineLevel="0" collapsed="false">
      <c r="A15988" s="1" t="s">
        <v>1225</v>
      </c>
      <c r="B15988" s="0" t="s">
        <v>98</v>
      </c>
      <c r="C15988" s="6" t="n">
        <f aca="false">Sens!$C$15987/(1+wacc)^Sens!K15979</f>
        <v>1359.31431018974</v>
      </c>
    </row>
    <row r="15989" customFormat="false" ht="17.15" hidden="false" customHeight="false" outlineLevel="0" collapsed="false">
      <c r="A15989" s="0" t="s">
        <v>1226</v>
      </c>
      <c r="B15989" s="0" t="s">
        <v>98</v>
      </c>
      <c r="C15989" s="6" t="n">
        <f aca="false">Sens!$C$15984+Sens!$C$15988</f>
        <v>2010.4791480425</v>
      </c>
    </row>
    <row r="15990" customFormat="false" ht="15" hidden="false" customHeight="false" outlineLevel="0" collapsed="false">
      <c r="A15990" s="1" t="s">
        <v>1141</v>
      </c>
      <c r="B15990" s="0" t="s">
        <v>168</v>
      </c>
      <c r="C15990" s="7" t="n">
        <f aca="false">Sens!$C$15988/Sens!$C$15989</f>
        <v>0.676114602587763</v>
      </c>
    </row>
    <row r="15991" customFormat="false" ht="17.15" hidden="false" customHeight="false" outlineLevel="0" collapsed="false">
      <c r="A15991" s="1" t="s">
        <v>1227</v>
      </c>
      <c r="B15991" s="0" t="s">
        <v>98</v>
      </c>
      <c r="C15991" s="6" t="n">
        <f aca="false">Sens!$C$15989+cash_val-debt_val-fl_val+oai_v</f>
        <v>2126.3301480425</v>
      </c>
    </row>
    <row r="15992" customFormat="false" ht="17.15" hidden="false" customHeight="false" outlineLevel="0" collapsed="false">
      <c r="A15992" s="0" t="s">
        <v>1149</v>
      </c>
      <c r="B15992" s="0" t="s">
        <v>75</v>
      </c>
      <c r="C15992" s="5" t="n">
        <f aca="false">Sens!$C$15991/shd_val</f>
        <v>285.566767128995</v>
      </c>
    </row>
    <row r="15993" customFormat="false" ht="15" hidden="false" customHeight="false" outlineLevel="0" collapsed="false">
      <c r="A15993" s="1" t="s">
        <v>1228</v>
      </c>
      <c r="B15993" s="0" t="s">
        <v>75</v>
      </c>
      <c r="C15993" s="8" t="n">
        <f aca="false">div_rem27+Sens!G15961*roll_div_q/q_per_yr</f>
        <v>3.9795</v>
      </c>
    </row>
    <row r="15994" customFormat="false" ht="17.15" hidden="false" customHeight="false" outlineLevel="0" collapsed="false">
      <c r="A15994" s="0" t="s">
        <v>1229</v>
      </c>
      <c r="B15994" s="0" t="s">
        <v>75</v>
      </c>
      <c r="C15994" s="5" t="n">
        <f aca="false">Sens!$C$15992*(1+wacc)^t_roll-Sens!$C$15993</f>
        <v>313.443899357562</v>
      </c>
    </row>
    <row r="15995" customFormat="false" ht="17.15" hidden="false" customHeight="false" outlineLevel="0" collapsed="false">
      <c r="A15995" s="1" t="s">
        <v>1230</v>
      </c>
      <c r="B15995" s="0" t="s">
        <v>168</v>
      </c>
      <c r="F15995" s="7" t="n">
        <f aca="false">Sens!F15947/(Sens!F15892-Sens!F15847)</f>
        <v>0.107880469298418</v>
      </c>
      <c r="G15995" s="7" t="n">
        <f aca="false">Sens!G15947/(Sens!G15892-Sens!G15847)</f>
        <v>0.0967579149665688</v>
      </c>
      <c r="H15995" s="7" t="n">
        <f aca="false">Sens!H15947/(Sens!H15892-Sens!H15847)</f>
        <v>0.0890421447162373</v>
      </c>
      <c r="I15995" s="7" t="n">
        <f aca="false">Sens!I15947/(Sens!I15892-Sens!I15847)</f>
        <v>0.0842314576487123</v>
      </c>
      <c r="J15995" s="7" t="n">
        <f aca="false">Sens!J15947/(Sens!J15892-Sens!J15847)</f>
        <v>0.0815484173778937</v>
      </c>
      <c r="K15995" s="7" t="n">
        <f aca="false">Sens!K15947/(Sens!K15892-Sens!K15847)</f>
        <v>0.0801930458302042</v>
      </c>
    </row>
    <row r="15996" customFormat="false" ht="17.15" hidden="false" customHeight="false" outlineLevel="0" collapsed="false">
      <c r="A15996" s="0" t="s">
        <v>1231</v>
      </c>
      <c r="B15996" s="0" t="s">
        <v>98</v>
      </c>
      <c r="F15996" s="6" t="n">
        <f aca="false">Sens!F15877*(al_m365+Sens!F15995+sbc_r)</f>
        <v>89.2300871739136</v>
      </c>
      <c r="G15996" s="6" t="n">
        <f aca="false">Sens!G15877*(al_m365+Sens!G15995+sbc_r)</f>
        <v>103.371455414254</v>
      </c>
      <c r="H15996" s="6" t="n">
        <f aca="false">Sens!H15877*(al_m365+Sens!H15995+sbc_r)</f>
        <v>117.654246568111</v>
      </c>
      <c r="I15996" s="6" t="n">
        <f aca="false">Sens!I15877*(al_m365+Sens!I15995+sbc_r)</f>
        <v>130.392305628012</v>
      </c>
      <c r="J15996" s="6" t="n">
        <f aca="false">Sens!J15877*(al_m365+Sens!J15995+sbc_r)</f>
        <v>141.429629333939</v>
      </c>
      <c r="K15996" s="6" t="n">
        <f aca="false">Sens!K15877*(al_m365+Sens!K15995+sbc_r)</f>
        <v>152.126152882406</v>
      </c>
      <c r="L15996" s="12" t="s">
        <v>1232</v>
      </c>
    </row>
    <row r="15997" customFormat="false" ht="17.15" hidden="false" customHeight="false" outlineLevel="0" collapsed="false">
      <c r="A15997" s="0" t="s">
        <v>1233</v>
      </c>
      <c r="B15997" s="0" t="s">
        <v>98</v>
      </c>
      <c r="F15997" s="6" t="n">
        <f aca="false">Sens!F15878*(al_lic+Sens!F15995+sbc_r)</f>
        <v>34.3648011021305</v>
      </c>
      <c r="G15997" s="6" t="n">
        <f aca="false">Sens!G15878*(al_lic+Sens!G15995+sbc_r)</f>
        <v>35.3749347549471</v>
      </c>
      <c r="H15997" s="6" t="n">
        <f aca="false">Sens!H15878*(al_lic+Sens!H15995+sbc_r)</f>
        <v>36.3551944212281</v>
      </c>
      <c r="I15997" s="6" t="n">
        <f aca="false">Sens!I15878*(al_lic+Sens!I15995+sbc_r)</f>
        <v>37.2826899380852</v>
      </c>
      <c r="J15997" s="6" t="n">
        <f aca="false">Sens!J15878*(al_lic+Sens!J15995+sbc_r)</f>
        <v>38.1189059304861</v>
      </c>
      <c r="K15997" s="6" t="n">
        <f aca="false">Sens!K15878*(al_lic+Sens!K15995+sbc_r)</f>
        <v>38.82063644195</v>
      </c>
    </row>
    <row r="15998" customFormat="false" ht="17.15" hidden="false" customHeight="false" outlineLevel="0" collapsed="false">
      <c r="A15998" s="0" t="s">
        <v>1234</v>
      </c>
      <c r="B15998" s="0" t="s">
        <v>98</v>
      </c>
      <c r="F15998" s="6" t="n">
        <f aca="false">Sens!F15880*(al_ind+Sens!F15995+sbc_r)</f>
        <v>9.93657036475881</v>
      </c>
      <c r="G15998" s="6" t="n">
        <f aca="false">Sens!G15880*(al_ind+Sens!G15995+sbc_r)</f>
        <v>10.5905753188275</v>
      </c>
      <c r="H15998" s="6" t="n">
        <f aca="false">Sens!H15880*(al_ind+Sens!H15995+sbc_r)</f>
        <v>11.3109263525627</v>
      </c>
      <c r="I15998" s="6" t="n">
        <f aca="false">Sens!I15880*(al_ind+Sens!I15995+sbc_r)</f>
        <v>12.0954565148207</v>
      </c>
      <c r="J15998" s="6" t="n">
        <f aca="false">Sens!J15880*(al_ind+Sens!J15995+sbc_r)</f>
        <v>12.9292567574792</v>
      </c>
      <c r="K15998" s="6" t="n">
        <f aca="false">Sens!K15880*(al_ind+Sens!K15995+sbc_r)</f>
        <v>13.789546469938</v>
      </c>
    </row>
    <row r="15999" customFormat="false" ht="17.15" hidden="false" customHeight="false" outlineLevel="0" collapsed="false">
      <c r="A15999" s="0" t="s">
        <v>1235</v>
      </c>
      <c r="B15999" s="0" t="s">
        <v>98</v>
      </c>
      <c r="F15999" s="6" t="n">
        <f aca="false">Sens!F15882*(al_fro+Sens!F15995+sbc_r)</f>
        <v>3.89770848082395</v>
      </c>
      <c r="G15999" s="6" t="n">
        <f aca="false">Sens!G15882*(al_fro+Sens!G15995+sbc_r)</f>
        <v>4.0522645052683</v>
      </c>
      <c r="H15999" s="6" t="n">
        <f aca="false">Sens!H15882*(al_fro+Sens!H15995+sbc_r)</f>
        <v>4.24778371288396</v>
      </c>
      <c r="I15999" s="6" t="n">
        <f aca="false">Sens!I15882*(al_fro+Sens!I15995+sbc_r)</f>
        <v>4.48605939621065</v>
      </c>
      <c r="J15999" s="6" t="n">
        <f aca="false">Sens!J15882*(al_fro+Sens!J15995+sbc_r)</f>
        <v>4.76540125645362</v>
      </c>
      <c r="K15999" s="6" t="n">
        <f aca="false">Sens!K15882*(al_fro+Sens!K15995+sbc_r)</f>
        <v>5.0824825669701</v>
      </c>
    </row>
    <row r="16000" customFormat="false" ht="17.15" hidden="false" customHeight="false" outlineLevel="0" collapsed="false">
      <c r="A16000" s="0" t="s">
        <v>1236</v>
      </c>
      <c r="B16000" s="0" t="s">
        <v>98</v>
      </c>
      <c r="F16000" s="6" t="n">
        <f aca="false">Sens!F15885*(al_srch+Sens!F15995+sbc_r)</f>
        <v>12.2710889513994</v>
      </c>
      <c r="G16000" s="6" t="n">
        <f aca="false">Sens!G15885*(al_srch+Sens!G15995+sbc_r)</f>
        <v>13.2021502587442</v>
      </c>
      <c r="H16000" s="6" t="n">
        <f aca="false">Sens!H15885*(al_srch+Sens!H15995+sbc_r)</f>
        <v>14.2004464017254</v>
      </c>
      <c r="I16000" s="6" t="n">
        <f aca="false">Sens!I15885*(al_srch+Sens!I15995+sbc_r)</f>
        <v>15.2578006636361</v>
      </c>
      <c r="J16000" s="6" t="n">
        <f aca="false">Sens!J15885*(al_srch+Sens!J15995+sbc_r)</f>
        <v>16.3486891483271</v>
      </c>
      <c r="K16000" s="6" t="n">
        <f aca="false">Sens!K15885*(al_srch+Sens!K15995+sbc_r)</f>
        <v>17.4365018006946</v>
      </c>
    </row>
    <row r="16001" customFormat="false" ht="17.15" hidden="false" customHeight="false" outlineLevel="0" collapsed="false">
      <c r="A16001" s="0" t="s">
        <v>1237</v>
      </c>
      <c r="B16001" s="0" t="s">
        <v>98</v>
      </c>
      <c r="F16001" s="6" t="n">
        <f aca="false">Sens!F15853-Sens!F15854+Sens!F15935</f>
        <v>26.3105055222842</v>
      </c>
      <c r="G16001" s="6" t="n">
        <f aca="false">Sens!G15853-Sens!G15854+Sens!G15935</f>
        <v>34.5111199727705</v>
      </c>
      <c r="H16001" s="6" t="n">
        <f aca="false">Sens!H15853-Sens!H15854+Sens!H15935</f>
        <v>40.1955385443373</v>
      </c>
      <c r="I16001" s="6" t="n">
        <f aca="false">Sens!I15853-Sens!I15854+Sens!I15935</f>
        <v>41.4005897671421</v>
      </c>
      <c r="J16001" s="6" t="n">
        <f aca="false">Sens!J15853-Sens!J15854+Sens!J15935</f>
        <v>43.2204630423983</v>
      </c>
      <c r="K16001" s="6" t="n">
        <f aca="false">Sens!K15853-Sens!K15854+Sens!K15935</f>
        <v>46.8356167108126</v>
      </c>
    </row>
    <row r="16002" customFormat="false" ht="17.15" hidden="false" customHeight="false" outlineLevel="0" collapsed="false">
      <c r="A16002" s="0" t="s">
        <v>1238</v>
      </c>
      <c r="B16002" s="0" t="s">
        <v>98</v>
      </c>
      <c r="F16002" s="6" t="n">
        <f aca="false">Sens!F15914+Sens!F15935+Sens!F15865+Sens!F15995*(Sens!F15884-Sens!F15847)+sbc_r*Sens!F15884</f>
        <v>222.25991718995</v>
      </c>
      <c r="G16002" s="6" t="n">
        <f aca="false">Sens!G15914+Sens!G15935+Sens!G15865+Sens!G15995*(Sens!G15884-Sens!G15847)+sbc_r*Sens!G15884</f>
        <v>253.950613840696</v>
      </c>
      <c r="H16002" s="6" t="n">
        <f aca="false">Sens!H15914+Sens!H15935+Sens!H15865+Sens!H15995*(Sens!H15884-Sens!H15847)+sbc_r*Sens!H15884</f>
        <v>288.831610889434</v>
      </c>
      <c r="I16002" s="6" t="n">
        <f aca="false">Sens!I15914+Sens!I15935+Sens!I15865+Sens!I15995*(Sens!I15884-Sens!I15847)+sbc_r*Sens!I15884</f>
        <v>317.274553930235</v>
      </c>
      <c r="J16002" s="6" t="n">
        <f aca="false">Sens!J15914+Sens!J15935+Sens!J15865+Sens!J15995*(Sens!J15884-Sens!J15847)+sbc_r*Sens!J15884</f>
        <v>343.726913679087</v>
      </c>
      <c r="K16002" s="6" t="n">
        <f aca="false">Sens!K15914+Sens!K15935+Sens!K15865+Sens!K15995*(Sens!K15884-Sens!K15847)+sbc_r*Sens!K15884</f>
        <v>369.897925870621</v>
      </c>
    </row>
    <row r="16003" customFormat="false" ht="17.15" hidden="false" customHeight="false" outlineLevel="0" collapsed="false">
      <c r="A16003" s="0" t="s">
        <v>1239</v>
      </c>
      <c r="B16003" s="0" t="s">
        <v>98</v>
      </c>
      <c r="F16003" s="6" t="n">
        <f aca="false">Sens!F16002-Sens!F15996-Sens!F15997-Sens!F15998-Sens!F15999-Sens!F16001</f>
        <v>58.5202445460394</v>
      </c>
      <c r="G16003" s="6" t="n">
        <f aca="false">Sens!G16002-Sens!G15996-Sens!G15997-Sens!G15998-Sens!G15999-Sens!G16001</f>
        <v>66.0502638746287</v>
      </c>
      <c r="H16003" s="6" t="n">
        <f aca="false">Sens!H16002-Sens!H15996-Sens!H15997-Sens!H15998-Sens!H15999-Sens!H16001</f>
        <v>79.0679212903104</v>
      </c>
      <c r="I16003" s="6" t="n">
        <f aca="false">Sens!I16002-Sens!I15996-Sens!I15997-Sens!I15998-Sens!I15999-Sens!I16001</f>
        <v>91.6174526859643</v>
      </c>
      <c r="J16003" s="6" t="n">
        <f aca="false">Sens!J16002-Sens!J15996-Sens!J15997-Sens!J15998-Sens!J15999-Sens!J16001</f>
        <v>103.263257358331</v>
      </c>
      <c r="K16003" s="6" t="n">
        <f aca="false">Sens!K16002-Sens!K15996-Sens!K15997-Sens!K15998-Sens!K15999-Sens!K16001</f>
        <v>113.243490798545</v>
      </c>
    </row>
    <row r="16004" customFormat="false" ht="17.15" hidden="false" customHeight="false" outlineLevel="0" collapsed="false">
      <c r="A16004" s="0" t="s">
        <v>1240</v>
      </c>
      <c r="B16004" s="0" t="s">
        <v>98</v>
      </c>
      <c r="F16004" s="6" t="n">
        <f aca="false">Sens!F15916+Sens!F15995*Sens!F15891+sbc_r*Sens!F15891</f>
        <v>29.1582113513808</v>
      </c>
      <c r="G16004" s="6" t="n">
        <f aca="false">Sens!G15916+Sens!G15995*Sens!G15891+sbc_r*Sens!G15891</f>
        <v>28.5216318138955</v>
      </c>
      <c r="H16004" s="6" t="n">
        <f aca="false">Sens!H15916+Sens!H15995*Sens!H15891+sbc_r*Sens!H15891</f>
        <v>29.0407699040281</v>
      </c>
      <c r="I16004" s="6" t="n">
        <f aca="false">Sens!I15916+Sens!I15995*Sens!I15891+sbc_r*Sens!I15891</f>
        <v>29.8929228225599</v>
      </c>
      <c r="J16004" s="6" t="n">
        <f aca="false">Sens!J15916+Sens!J15995*Sens!J15891+sbc_r*Sens!J15891</f>
        <v>31.0137992627411</v>
      </c>
      <c r="K16004" s="6" t="n">
        <f aca="false">Sens!K15916+Sens!K15995*Sens!K15891+sbc_r*Sens!K15891</f>
        <v>32.3381849230866</v>
      </c>
    </row>
    <row r="16005" customFormat="false" ht="17.15" hidden="false" customHeight="false" outlineLevel="0" collapsed="false">
      <c r="A16005" s="0" t="s">
        <v>1241</v>
      </c>
      <c r="B16005" s="0" t="s">
        <v>98</v>
      </c>
      <c r="F16005" s="6" t="n">
        <f aca="false">(Sens!F16004-Sens!F16000)*Sens!F15887/(Sens!F15887+Sens!F15889)</f>
        <v>9.53760218074356</v>
      </c>
      <c r="G16005" s="6" t="n">
        <f aca="false">(Sens!G16004-Sens!G16000)*Sens!G15887/(Sens!G15887+Sens!G15889)</f>
        <v>8.50352176886459</v>
      </c>
      <c r="H16005" s="6" t="n">
        <f aca="false">(Sens!H16004-Sens!H16000)*Sens!H15887/(Sens!H15887+Sens!H15889)</f>
        <v>8.13024031659423</v>
      </c>
      <c r="I16005" s="6" t="n">
        <f aca="false">(Sens!I16004-Sens!I16000)*Sens!I15887/(Sens!I15887+Sens!I15889)</f>
        <v>7.94783800492183</v>
      </c>
      <c r="J16005" s="6" t="n">
        <f aca="false">(Sens!J16004-Sens!J16000)*Sens!J15887/(Sens!J15887+Sens!J15889)</f>
        <v>7.92937635177546</v>
      </c>
      <c r="K16005" s="6" t="n">
        <f aca="false">(Sens!K16004-Sens!K16000)*Sens!K15887/(Sens!K15887+Sens!K15889)</f>
        <v>8.05729059178418</v>
      </c>
    </row>
    <row r="16006" customFormat="false" ht="17.15" hidden="false" customHeight="false" outlineLevel="0" collapsed="false">
      <c r="A16006" s="0" t="s">
        <v>1242</v>
      </c>
      <c r="B16006" s="0" t="s">
        <v>98</v>
      </c>
      <c r="F16006" s="6" t="n">
        <f aca="false">Sens!F16004-Sens!F16000-Sens!F16005</f>
        <v>7.34952021923789</v>
      </c>
      <c r="G16006" s="6" t="n">
        <f aca="false">Sens!G16004-Sens!G16000-Sens!G16005</f>
        <v>6.81595978628678</v>
      </c>
      <c r="H16006" s="6" t="n">
        <f aca="false">Sens!H16004-Sens!H16000-Sens!H16005</f>
        <v>6.71008318570843</v>
      </c>
      <c r="I16006" s="6" t="n">
        <f aca="false">Sens!I16004-Sens!I16000-Sens!I16005</f>
        <v>6.687284154002</v>
      </c>
      <c r="J16006" s="6" t="n">
        <f aca="false">Sens!J16004-Sens!J16000-Sens!J16005</f>
        <v>6.73573376263846</v>
      </c>
      <c r="K16006" s="6" t="n">
        <f aca="false">Sens!K16004-Sens!K16000-Sens!K16005</f>
        <v>6.84439253060777</v>
      </c>
    </row>
    <row r="16007" customFormat="false" ht="17.15" hidden="false" customHeight="false" outlineLevel="0" collapsed="false">
      <c r="A16007" s="0" t="s">
        <v>1243</v>
      </c>
      <c r="B16007" s="0" t="s">
        <v>98</v>
      </c>
      <c r="F16007" s="6" t="n">
        <f aca="false">Sens!F16001-tax_f*(Sens!F16001-Sens!F15865)-Sens!F15862</f>
        <v>-3.71546267077268</v>
      </c>
      <c r="G16007" s="6" t="n">
        <f aca="false">Sens!G16001-tax_f*(Sens!G16001-Sens!G15865)-Sens!G15862</f>
        <v>-0.767736585183634</v>
      </c>
      <c r="H16007" s="6" t="n">
        <f aca="false">Sens!H16001-tax_f*(Sens!H16001-Sens!H15865)-Sens!H15862</f>
        <v>38.4919478188698</v>
      </c>
      <c r="I16007" s="6" t="n">
        <f aca="false">Sens!I16001-tax_f*(Sens!I16001-Sens!I15865)-Sens!I15862</f>
        <v>10.4057000399192</v>
      </c>
      <c r="J16007" s="6" t="n">
        <f aca="false">Sens!J16001-tax_f*(Sens!J16001-Sens!J15865)-Sens!J15862</f>
        <v>-2.73906523079249</v>
      </c>
      <c r="K16007" s="6" t="n">
        <f aca="false">Sens!K16001-tax_f*(Sens!K16001-Sens!K15865)-Sens!K15862</f>
        <v>-42.7923217013666</v>
      </c>
    </row>
    <row r="16008" customFormat="false" ht="17.15" hidden="false" customHeight="false" outlineLevel="0" collapsed="false">
      <c r="A16008" s="0" t="s">
        <v>1244</v>
      </c>
      <c r="B16008" s="0" t="s">
        <v>98</v>
      </c>
      <c r="G16008" s="6" t="n">
        <f aca="false">Sens!G16007/(1+wacc)^(Sens!G15978-Sens!F15979)</f>
        <v>-0.731032969660333</v>
      </c>
      <c r="H16008" s="6" t="n">
        <f aca="false">Sens!H16007/(1+wacc)^(Sens!H15978-Sens!F15979)</f>
        <v>33.2310505258218</v>
      </c>
      <c r="I16008" s="6" t="n">
        <f aca="false">Sens!I16007/(1+wacc)^(Sens!I15978-Sens!F15979)</f>
        <v>8.14507222766444</v>
      </c>
      <c r="J16008" s="6" t="n">
        <f aca="false">Sens!J16007/(1+wacc)^(Sens!J15978-Sens!F15979)</f>
        <v>-1.94390692677078</v>
      </c>
      <c r="K16008" s="6" t="n">
        <f aca="false">Sens!K16007/(1+wacc)^(Sens!K15978-Sens!F15979)</f>
        <v>-27.5352102481074</v>
      </c>
      <c r="L16008" s="1" t="s">
        <v>1245</v>
      </c>
    </row>
    <row r="16009" customFormat="false" ht="17.15" hidden="false" customHeight="false" outlineLevel="0" collapsed="false">
      <c r="A16009" s="0" t="s">
        <v>1246</v>
      </c>
      <c r="B16009" s="0" t="s">
        <v>98</v>
      </c>
      <c r="C16009" s="6" t="n">
        <f aca="false">(Sens!K16001-Sens!K15865)*(1-tax_f)*(1+g_tv)*(1-g_tv/(wacc+ronic_prem))/(wacc-g_tv)/(1+wacc)^(Sens!K15979-Sens!F15979)</f>
        <v>52.6192370776268</v>
      </c>
    </row>
    <row r="16010" customFormat="false" ht="17.15" hidden="false" customHeight="false" outlineLevel="0" collapsed="false">
      <c r="A16010" s="1" t="s">
        <v>1247</v>
      </c>
      <c r="B16010" s="0" t="s">
        <v>98</v>
      </c>
      <c r="C16010" s="6" t="n">
        <f aca="false">(SUM(Sens!G16008:K16008)+Sens!$C$16009)*(1+wacc)^(t_roll-Sens!F15979)</f>
        <v>65.8909523591203</v>
      </c>
      <c r="L16010" s="12" t="s">
        <v>1248</v>
      </c>
    </row>
    <row r="16011" customFormat="false" ht="17.15" hidden="false" customHeight="false" outlineLevel="0" collapsed="false">
      <c r="A16011" s="1" t="s">
        <v>1249</v>
      </c>
      <c r="B16011" s="0" t="s">
        <v>98</v>
      </c>
      <c r="C16011" s="6" t="n">
        <f aca="false">(w_ntm28*Sens!G15853+(1-w_ntm28)*Sens!H15853)*m_ai</f>
        <v>253.267407510646</v>
      </c>
    </row>
    <row r="16012" customFormat="false" ht="17.15" hidden="false" customHeight="false" outlineLevel="0" collapsed="false">
      <c r="A16012" s="1" t="s">
        <v>1250</v>
      </c>
      <c r="B16012" s="0" t="s">
        <v>98</v>
      </c>
      <c r="C16012" s="6" t="n">
        <f aca="false">(w_ntm28*Sens!G16003+(1-w_ntm28)*Sens!H16003)*m_cloud</f>
        <v>971.961175673852</v>
      </c>
    </row>
    <row r="16013" customFormat="false" ht="17.15" hidden="false" customHeight="false" outlineLevel="0" collapsed="false">
      <c r="A16013" s="1" t="s">
        <v>1251</v>
      </c>
      <c r="B16013" s="0" t="s">
        <v>98</v>
      </c>
      <c r="C16013" s="6" t="n">
        <f aca="false">(w_ntm28*Sens!G15996+(1-w_ntm28)*Sens!H15996)*m_sw</f>
        <v>1167.1254098038</v>
      </c>
    </row>
    <row r="16014" customFormat="false" ht="17.15" hidden="false" customHeight="false" outlineLevel="0" collapsed="false">
      <c r="A16014" s="1" t="s">
        <v>1252</v>
      </c>
      <c r="B16014" s="0" t="s">
        <v>98</v>
      </c>
      <c r="C16014" s="6" t="n">
        <f aca="false">(w_ntm28*Sens!G15997+(1-w_ntm28)*Sens!H15997)*m_sw</f>
        <v>385.529888579456</v>
      </c>
    </row>
    <row r="16015" customFormat="false" ht="17.15" hidden="false" customHeight="false" outlineLevel="0" collapsed="false">
      <c r="A16015" s="1" t="s">
        <v>1253</v>
      </c>
      <c r="B16015" s="0" t="s">
        <v>98</v>
      </c>
      <c r="C16015" s="6" t="n">
        <f aca="false">(w_ntm28*Sens!G15998+(1-w_ntm28)*Sens!H15998)*m_sw</f>
        <v>116.935953004216</v>
      </c>
    </row>
    <row r="16016" customFormat="false" ht="17.15" hidden="false" customHeight="false" outlineLevel="0" collapsed="false">
      <c r="A16016" s="1" t="s">
        <v>1254</v>
      </c>
      <c r="B16016" s="0" t="s">
        <v>98</v>
      </c>
      <c r="C16016" s="6" t="n">
        <f aca="false">(w_ntm28*Sens!G15999+(1-w_ntm28)*Sens!H15999)*m_sw</f>
        <v>44.4586837611987</v>
      </c>
    </row>
    <row r="16017" customFormat="false" ht="17.15" hidden="false" customHeight="false" outlineLevel="0" collapsed="false">
      <c r="A16017" s="1" t="s">
        <v>1255</v>
      </c>
      <c r="B16017" s="0" t="s">
        <v>98</v>
      </c>
      <c r="C16017" s="6" t="n">
        <f aca="false">(w_ntm28*Sens!G16000+(1-w_ntm28)*Sens!H16000)*m_ads</f>
        <v>123.261554181836</v>
      </c>
    </row>
    <row r="16018" customFormat="false" ht="17.15" hidden="false" customHeight="false" outlineLevel="0" collapsed="false">
      <c r="A16018" s="1" t="s">
        <v>1256</v>
      </c>
      <c r="B16018" s="0" t="s">
        <v>98</v>
      </c>
      <c r="C16018" s="6" t="n">
        <f aca="false">(w_ntm28*Sens!G16005+(1-w_ntm28)*Sens!H16005)*m_game</f>
        <v>105.849492628264</v>
      </c>
    </row>
    <row r="16019" customFormat="false" ht="17.15" hidden="false" customHeight="false" outlineLevel="0" collapsed="false">
      <c r="A16019" s="1" t="s">
        <v>1257</v>
      </c>
      <c r="B16019" s="0" t="s">
        <v>98</v>
      </c>
      <c r="C16019" s="6" t="n">
        <f aca="false">(w_ntm28*Sens!G16006+(1-w_ntm28)*Sens!H16006)*m_pc</f>
        <v>98.123255561695</v>
      </c>
    </row>
    <row r="16020" customFormat="false" ht="17.15" hidden="false" customHeight="false" outlineLevel="0" collapsed="false">
      <c r="A16020" s="1" t="s">
        <v>1258</v>
      </c>
      <c r="B16020" s="0" t="s">
        <v>98</v>
      </c>
      <c r="C16020" s="6" t="n">
        <f aca="false">Sens!$C$16010+Sens!$C$16012+Sens!$C$16013+Sens!$C$16014+Sens!$C$16015+Sens!$C$16016+Sens!$C$16017+Sens!$C$16018+Sens!$C$16019</f>
        <v>3079.13636555344</v>
      </c>
    </row>
    <row r="16021" customFormat="false" ht="17.15" hidden="false" customHeight="false" outlineLevel="0" collapsed="false">
      <c r="A16021" s="1" t="s">
        <v>1259</v>
      </c>
      <c r="B16021" s="0" t="s">
        <v>98</v>
      </c>
      <c r="C16021" s="6" t="n">
        <f aca="false">(Sens!G15982-Sens!G16007)*t_stub</f>
        <v>49.4808996707612</v>
      </c>
      <c r="L16021" s="1" t="s">
        <v>1260</v>
      </c>
    </row>
    <row r="16022" customFormat="false" ht="17.15" hidden="false" customHeight="false" outlineLevel="0" collapsed="false">
      <c r="A16022" s="1" t="s">
        <v>1169</v>
      </c>
      <c r="B16022" s="0" t="s">
        <v>98</v>
      </c>
      <c r="C16022" s="6" t="n">
        <f aca="false">Sens!F15969+oai_v-Sens!F15958+Sens!$C$16021</f>
        <v>161.840260547918</v>
      </c>
      <c r="L16022" s="1" t="s">
        <v>1261</v>
      </c>
    </row>
    <row r="16023" customFormat="false" ht="17.15" hidden="false" customHeight="false" outlineLevel="0" collapsed="false">
      <c r="A16023" s="1" t="s">
        <v>1262</v>
      </c>
      <c r="B16023" s="0" t="s">
        <v>75</v>
      </c>
      <c r="C16023" s="5" t="n">
        <f aca="false">(Sens!$C$16020+Sens!$C$16022)/(Sens!F15971+dil_gap)-Sens!G15961*roll_div_q/q_per_yr</f>
        <v>431.321309245112</v>
      </c>
      <c r="L16023" s="1" t="s">
        <v>1263</v>
      </c>
    </row>
    <row r="16024" customFormat="false" ht="17.15" hidden="false" customHeight="false" outlineLevel="0" collapsed="false">
      <c r="A16024" s="1" t="s">
        <v>1264</v>
      </c>
      <c r="B16024" s="0" t="s">
        <v>75</v>
      </c>
      <c r="C16024" s="5" t="n">
        <f aca="false">w_dcf*Sens!$C$15994+(1-w_dcf)*Sens!$C$16023</f>
        <v>372.382604301337</v>
      </c>
    </row>
    <row r="16025" customFormat="false" ht="17.15" hidden="false" customHeight="false" outlineLevel="0" collapsed="false">
      <c r="A16025" s="3" t="s">
        <v>1874</v>
      </c>
    </row>
    <row r="16026" customFormat="false" ht="15" hidden="false" customHeight="false" outlineLevel="0" collapsed="false">
      <c r="A16026" s="4" t="s">
        <v>43</v>
      </c>
      <c r="B16026" s="4" t="s">
        <v>65</v>
      </c>
      <c r="C16026" s="23" t="s">
        <v>938</v>
      </c>
      <c r="D16026" s="23" t="s">
        <v>939</v>
      </c>
      <c r="E16026" s="23" t="s">
        <v>940</v>
      </c>
      <c r="F16026" s="23" t="s">
        <v>941</v>
      </c>
      <c r="G16026" s="23" t="s">
        <v>942</v>
      </c>
      <c r="H16026" s="23" t="s">
        <v>943</v>
      </c>
      <c r="I16026" s="23" t="s">
        <v>944</v>
      </c>
      <c r="J16026" s="23" t="s">
        <v>945</v>
      </c>
      <c r="K16026" s="23" t="s">
        <v>946</v>
      </c>
      <c r="L16026" s="4" t="s">
        <v>47</v>
      </c>
    </row>
    <row r="16027" customFormat="false" ht="17.15" hidden="false" customHeight="false" outlineLevel="0" collapsed="false">
      <c r="A16027" s="1" t="s">
        <v>947</v>
      </c>
      <c r="B16027" s="1" t="s">
        <v>279</v>
      </c>
      <c r="C16027" s="21" t="n">
        <v>2024</v>
      </c>
      <c r="D16027" s="21" t="n">
        <v>2025</v>
      </c>
      <c r="E16027" s="21" t="n">
        <v>2026</v>
      </c>
      <c r="F16027" s="21" t="n">
        <v>2027</v>
      </c>
      <c r="G16027" s="21" t="n">
        <v>2028</v>
      </c>
      <c r="H16027" s="21" t="n">
        <v>2029</v>
      </c>
      <c r="I16027" s="21" t="n">
        <v>2030</v>
      </c>
      <c r="J16027" s="21" t="n">
        <v>2031</v>
      </c>
      <c r="K16027" s="21" t="n">
        <v>2032</v>
      </c>
    </row>
    <row r="16028" customFormat="false" ht="17.15" hidden="false" customHeight="false" outlineLevel="0" collapsed="false">
      <c r="A16028" s="1" t="s">
        <v>948</v>
      </c>
      <c r="B16028" s="0" t="s">
        <v>456</v>
      </c>
      <c r="F16028" s="30" t="n">
        <f aca="false">pace_epoch</f>
        <v>650</v>
      </c>
      <c r="G16028" s="30" t="n">
        <f aca="false">pace_epoch</f>
        <v>650</v>
      </c>
      <c r="H16028" s="30" t="n">
        <f aca="false">pace_epoch</f>
        <v>650</v>
      </c>
      <c r="I16028" s="30" t="n">
        <f aca="false">pace_epoch+(g_tv*Sens!H16029-pace_epoch)*MIN(1,(Sens!I16027-pace_y0)/(pace_y1-pace_y0))</f>
        <v>477.193333333333</v>
      </c>
      <c r="J16028" s="30" t="n">
        <f aca="false">pace_epoch+(g_tv*Sens!I16029-pace_epoch)*MIN(1,(Sens!J16027-pace_y0)/(pace_y1-pace_y0))</f>
        <v>304.386666666667</v>
      </c>
      <c r="K16028" s="30" t="n">
        <f aca="false">pace_epoch+(g_tv*Sens!J16029-pace_epoch)*MIN(1,(Sens!K16027-pace_y0)/(pace_y1-pace_y0))</f>
        <v>131.58</v>
      </c>
      <c r="L16028" s="12" t="s">
        <v>949</v>
      </c>
    </row>
    <row r="16029" customFormat="false" ht="17.15" hidden="false" customHeight="false" outlineLevel="0" collapsed="false">
      <c r="A16029" s="1" t="s">
        <v>950</v>
      </c>
      <c r="B16029" s="0" t="s">
        <v>456</v>
      </c>
      <c r="C16029" s="30" t="n">
        <f aca="false">mw_ext_24</f>
        <v>640</v>
      </c>
      <c r="D16029" s="30" t="n">
        <f aca="false">mw_ext_25</f>
        <v>1630</v>
      </c>
      <c r="E16029" s="30" t="n">
        <f aca="false">mw_ext_26</f>
        <v>3250</v>
      </c>
      <c r="F16029" s="30" t="n">
        <f aca="false">MIN(cap_epoch,Sens!E16029+Sens!F16028)</f>
        <v>3900</v>
      </c>
      <c r="G16029" s="30" t="n">
        <f aca="false">MIN(cap_epoch,Sens!F16029+Sens!G16028)</f>
        <v>4386</v>
      </c>
      <c r="H16029" s="30" t="n">
        <f aca="false">MIN(cap_epoch,Sens!G16029+Sens!H16028)</f>
        <v>4386</v>
      </c>
      <c r="I16029" s="30" t="n">
        <f aca="false">MIN(cap_epoch,Sens!H16029+Sens!I16028)</f>
        <v>4386</v>
      </c>
      <c r="J16029" s="30" t="n">
        <f aca="false">MIN(cap_epoch,Sens!I16029+Sens!J16028)</f>
        <v>4386</v>
      </c>
      <c r="K16029" s="30" t="n">
        <f aca="false">MIN(cap_epoch,Sens!J16029+Sens!K16028)</f>
        <v>4386</v>
      </c>
      <c r="L16029" s="1" t="s">
        <v>951</v>
      </c>
    </row>
    <row r="16030" customFormat="false" ht="17.15" hidden="false" customHeight="false" outlineLevel="0" collapsed="false">
      <c r="A16030" s="1" t="s">
        <v>952</v>
      </c>
      <c r="B16030" s="0" t="s">
        <v>456</v>
      </c>
      <c r="C16030" s="30" t="n">
        <f aca="false">rent_ext_24</f>
        <v>150</v>
      </c>
      <c r="D16030" s="30" t="n">
        <f aca="false">rent_ext_25</f>
        <v>400</v>
      </c>
      <c r="E16030" s="30" t="n">
        <f aca="false">rent_ext_26</f>
        <v>550</v>
      </c>
      <c r="F16030" s="30" t="n">
        <f aca="false">rent_ext_f</f>
        <v>756</v>
      </c>
      <c r="G16030" s="30" t="n">
        <f aca="false">rent_ext_f</f>
        <v>756</v>
      </c>
      <c r="H16030" s="30" t="n">
        <f aca="false">rent_ext_f</f>
        <v>756</v>
      </c>
      <c r="I16030" s="30" t="n">
        <f aca="false">rent_ext_f</f>
        <v>756</v>
      </c>
      <c r="J16030" s="30" t="n">
        <f aca="false">rent_ext_f</f>
        <v>756</v>
      </c>
      <c r="K16030" s="30" t="n">
        <f aca="false">rent_ext_f</f>
        <v>756</v>
      </c>
      <c r="L16030" s="1" t="s">
        <v>953</v>
      </c>
    </row>
    <row r="16031" customFormat="false" ht="17.15" hidden="false" customHeight="false" outlineLevel="0" collapsed="false">
      <c r="A16031" s="1" t="s">
        <v>954</v>
      </c>
      <c r="B16031" s="0" t="s">
        <v>456</v>
      </c>
      <c r="C16031" s="30" t="n">
        <f aca="false">Sens!C16029-Sens!C16030</f>
        <v>490</v>
      </c>
      <c r="D16031" s="30" t="n">
        <f aca="false">Sens!D16029-Sens!D16030</f>
        <v>1230</v>
      </c>
      <c r="E16031" s="30" t="n">
        <f aca="false">Sens!E16029-Sens!E16030</f>
        <v>2700</v>
      </c>
      <c r="F16031" s="30" t="n">
        <f aca="false">Sens!F16029-Sens!F16030</f>
        <v>3144</v>
      </c>
      <c r="G16031" s="30" t="n">
        <f aca="false">Sens!G16029-Sens!G16030</f>
        <v>3630</v>
      </c>
      <c r="H16031" s="30" t="n">
        <f aca="false">Sens!H16029-Sens!H16030</f>
        <v>3630</v>
      </c>
      <c r="I16031" s="30" t="n">
        <f aca="false">Sens!I16029-Sens!I16030</f>
        <v>3630</v>
      </c>
      <c r="J16031" s="30" t="n">
        <f aca="false">Sens!J16029-Sens!J16030</f>
        <v>3630</v>
      </c>
      <c r="K16031" s="30" t="n">
        <f aca="false">Sens!K16029-Sens!K16030</f>
        <v>3630</v>
      </c>
    </row>
    <row r="16032" customFormat="false" ht="17.15" hidden="false" customHeight="false" outlineLevel="0" collapsed="false">
      <c r="A16032" s="1" t="s">
        <v>955</v>
      </c>
      <c r="B16032" s="0" t="s">
        <v>456</v>
      </c>
      <c r="C16032" s="30" t="n">
        <f aca="false">Sens!C16031/ext_sh</f>
        <v>816.666666666667</v>
      </c>
      <c r="D16032" s="30" t="n">
        <f aca="false">Sens!D16031/ext_sh</f>
        <v>2050</v>
      </c>
      <c r="E16032" s="30" t="n">
        <f aca="false">Sens!E16031/ext_sh</f>
        <v>4500</v>
      </c>
      <c r="F16032" s="30" t="n">
        <f aca="false">Sens!F16031/ext_sh</f>
        <v>5240</v>
      </c>
      <c r="G16032" s="30" t="n">
        <f aca="false">Sens!G16031/ext_sh</f>
        <v>6050</v>
      </c>
      <c r="H16032" s="30" t="n">
        <f aca="false">Sens!H16031/ext_sh</f>
        <v>6050</v>
      </c>
      <c r="I16032" s="30" t="n">
        <f aca="false">Sens!I16031/ext_sh</f>
        <v>6050</v>
      </c>
      <c r="J16032" s="30" t="n">
        <f aca="false">Sens!J16031/ext_sh</f>
        <v>6050</v>
      </c>
      <c r="K16032" s="30" t="n">
        <f aca="false">Sens!K16031/ext_sh</f>
        <v>6050</v>
      </c>
      <c r="L16032" s="1" t="s">
        <v>956</v>
      </c>
    </row>
    <row r="16033" customFormat="false" ht="17.15" hidden="false" customHeight="false" outlineLevel="0" collapsed="false">
      <c r="A16033" s="1" t="s">
        <v>957</v>
      </c>
      <c r="B16033" s="0" t="s">
        <v>456</v>
      </c>
      <c r="C16033" s="30" t="n">
        <f aca="false">Sens!C16032-Sens!C16031</f>
        <v>326.666666666667</v>
      </c>
      <c r="D16033" s="30" t="n">
        <f aca="false">Sens!D16032-Sens!D16031</f>
        <v>820</v>
      </c>
      <c r="E16033" s="30" t="n">
        <f aca="false">Sens!E16032-Sens!E16031</f>
        <v>1800</v>
      </c>
      <c r="F16033" s="30" t="n">
        <f aca="false">Sens!F16032-Sens!F16031</f>
        <v>2096</v>
      </c>
      <c r="G16033" s="30" t="n">
        <f aca="false">Sens!G16032-Sens!G16031</f>
        <v>2420</v>
      </c>
      <c r="H16033" s="30" t="n">
        <f aca="false">Sens!H16032-Sens!H16031</f>
        <v>2420</v>
      </c>
      <c r="I16033" s="30" t="n">
        <f aca="false">Sens!I16032-Sens!I16031</f>
        <v>2420</v>
      </c>
      <c r="J16033" s="30" t="n">
        <f aca="false">Sens!J16032-Sens!J16031</f>
        <v>2420</v>
      </c>
      <c r="K16033" s="30" t="n">
        <f aca="false">Sens!K16032-Sens!K16031</f>
        <v>2420</v>
      </c>
    </row>
    <row r="16034" customFormat="false" ht="17.15" hidden="false" customHeight="false" outlineLevel="0" collapsed="false">
      <c r="A16034" s="1" t="s">
        <v>958</v>
      </c>
      <c r="B16034" s="0" t="s">
        <v>456</v>
      </c>
      <c r="C16034" s="30" t="n">
        <f aca="false">Sens!C16032</f>
        <v>816.666666666667</v>
      </c>
      <c r="D16034" s="30" t="n">
        <f aca="false">Sens!D16032-Sens!C16032</f>
        <v>1233.33333333333</v>
      </c>
      <c r="E16034" s="30" t="n">
        <f aca="false">Sens!E16032-Sens!D16032</f>
        <v>2450</v>
      </c>
      <c r="F16034" s="30" t="n">
        <f aca="false">Sens!F16032-Sens!E16032</f>
        <v>740</v>
      </c>
      <c r="G16034" s="30" t="n">
        <f aca="false">Sens!G16032-Sens!F16032</f>
        <v>810</v>
      </c>
      <c r="H16034" s="30" t="n">
        <f aca="false">Sens!H16032-Sens!G16032</f>
        <v>0</v>
      </c>
      <c r="I16034" s="30" t="n">
        <f aca="false">Sens!I16032-Sens!H16032</f>
        <v>0</v>
      </c>
      <c r="J16034" s="30" t="n">
        <f aca="false">Sens!J16032-Sens!I16032</f>
        <v>0</v>
      </c>
      <c r="K16034" s="30" t="n">
        <f aca="false">Sens!K16032-Sens!J16032</f>
        <v>0</v>
      </c>
    </row>
    <row r="16035" customFormat="false" ht="17.15" hidden="false" customHeight="false" outlineLevel="0" collapsed="false">
      <c r="A16035" s="1" t="s">
        <v>959</v>
      </c>
      <c r="B16035" s="0" t="s">
        <v>456</v>
      </c>
      <c r="D16035" s="30" t="n">
        <f aca="false">Sens!D16029-Sens!C16029</f>
        <v>990</v>
      </c>
      <c r="E16035" s="30" t="n">
        <f aca="false">Sens!E16029-Sens!D16029</f>
        <v>1620</v>
      </c>
      <c r="F16035" s="30" t="n">
        <f aca="false">Sens!F16029-Sens!E16029</f>
        <v>650</v>
      </c>
      <c r="G16035" s="30" t="n">
        <f aca="false">Sens!G16029-Sens!F16029</f>
        <v>486</v>
      </c>
      <c r="H16035" s="30" t="n">
        <f aca="false">Sens!H16029-Sens!G16029</f>
        <v>0</v>
      </c>
      <c r="I16035" s="30" t="n">
        <f aca="false">Sens!I16029-Sens!H16029</f>
        <v>0</v>
      </c>
      <c r="J16035" s="30" t="n">
        <f aca="false">Sens!J16029-Sens!I16029</f>
        <v>0</v>
      </c>
      <c r="K16035" s="30" t="n">
        <f aca="false">Sens!K16029-Sens!J16029</f>
        <v>0</v>
      </c>
    </row>
    <row r="16036" customFormat="false" ht="17.15" hidden="false" customHeight="false" outlineLevel="0" collapsed="false">
      <c r="A16036" s="1" t="s">
        <v>960</v>
      </c>
      <c r="B16036" s="0" t="s">
        <v>456</v>
      </c>
      <c r="F16036" s="30" t="n">
        <f aca="false">Sens!F16055*ext_sh</f>
        <v>0</v>
      </c>
      <c r="G16036" s="30" t="n">
        <f aca="false">Sens!G16055*ext_sh</f>
        <v>0</v>
      </c>
      <c r="H16036" s="30" t="n">
        <f aca="false">Sens!H16055*ext_sh</f>
        <v>0</v>
      </c>
      <c r="I16036" s="30" t="n">
        <f aca="false">Sens!I16055*ext_sh</f>
        <v>490</v>
      </c>
      <c r="J16036" s="30" t="n">
        <f aca="false">Sens!J16055*ext_sh</f>
        <v>740</v>
      </c>
      <c r="K16036" s="30" t="n">
        <f aca="false">Sens!K16055*ext_sh</f>
        <v>1470</v>
      </c>
      <c r="L16036" s="1" t="s">
        <v>961</v>
      </c>
    </row>
    <row r="16037" customFormat="false" ht="17.15" hidden="false" customHeight="false" outlineLevel="0" collapsed="false">
      <c r="A16037" s="1" t="s">
        <v>962</v>
      </c>
      <c r="B16037" s="0" t="s">
        <v>456</v>
      </c>
      <c r="C16037" s="30" t="n">
        <f aca="false">mix_h*Sens!C16029</f>
        <v>128</v>
      </c>
      <c r="D16037" s="30" t="n">
        <f aca="false">mix_h*Sens!D16029</f>
        <v>326</v>
      </c>
      <c r="E16037" s="30" t="n">
        <f aca="false">mix_h*Sens!E16029</f>
        <v>650</v>
      </c>
      <c r="F16037" s="30" t="n">
        <f aca="false">Sens!E16037-Sens!F16036*mix_h</f>
        <v>650</v>
      </c>
      <c r="G16037" s="30" t="n">
        <f aca="false">Sens!F16037-Sens!G16036*mix_h</f>
        <v>650</v>
      </c>
      <c r="H16037" s="30" t="n">
        <f aca="false">Sens!G16037-Sens!H16036*mix_h</f>
        <v>650</v>
      </c>
      <c r="I16037" s="30" t="n">
        <f aca="false">Sens!H16037-Sens!I16036*mix_h</f>
        <v>552</v>
      </c>
      <c r="J16037" s="30" t="n">
        <f aca="false">Sens!I16037-Sens!J16036*mix_h</f>
        <v>404</v>
      </c>
      <c r="K16037" s="30" t="n">
        <f aca="false">Sens!J16037-Sens!K16036*mix_h</f>
        <v>110</v>
      </c>
    </row>
    <row r="16038" customFormat="false" ht="17.15" hidden="false" customHeight="false" outlineLevel="0" collapsed="false">
      <c r="A16038" s="1" t="s">
        <v>963</v>
      </c>
      <c r="B16038" s="0" t="s">
        <v>456</v>
      </c>
      <c r="C16038" s="30" t="n">
        <f aca="false">mix_g2*Sens!C16029</f>
        <v>288</v>
      </c>
      <c r="D16038" s="30" t="n">
        <f aca="false">mix_g2*Sens!D16029</f>
        <v>733.5</v>
      </c>
      <c r="E16038" s="30" t="n">
        <f aca="false">mix_g2*Sens!E16029</f>
        <v>1462.5</v>
      </c>
      <c r="F16038" s="30" t="n">
        <f aca="false">Sens!E16038-Sens!F16036*mix_g2</f>
        <v>1462.5</v>
      </c>
      <c r="G16038" s="30" t="n">
        <f aca="false">Sens!F16038-Sens!G16036*mix_g2</f>
        <v>1462.5</v>
      </c>
      <c r="H16038" s="30" t="n">
        <f aca="false">Sens!G16038-Sens!H16036*mix_g2</f>
        <v>1462.5</v>
      </c>
      <c r="I16038" s="30" t="n">
        <f aca="false">Sens!H16038-Sens!I16036*mix_g2</f>
        <v>1242</v>
      </c>
      <c r="J16038" s="30" t="n">
        <f aca="false">Sens!I16038-Sens!J16036*mix_g2</f>
        <v>909</v>
      </c>
      <c r="K16038" s="30" t="n">
        <f aca="false">Sens!J16038-Sens!K16036*mix_g2</f>
        <v>247.5</v>
      </c>
    </row>
    <row r="16039" customFormat="false" ht="17.15" hidden="false" customHeight="false" outlineLevel="0" collapsed="false">
      <c r="A16039" s="1" t="s">
        <v>964</v>
      </c>
      <c r="B16039" s="0" t="s">
        <v>456</v>
      </c>
      <c r="C16039" s="30" t="n">
        <f aca="false">mix_g3*Sens!C16029</f>
        <v>224</v>
      </c>
      <c r="D16039" s="30" t="n">
        <f aca="false">mix_g3*Sens!D16029</f>
        <v>570.5</v>
      </c>
      <c r="E16039" s="30" t="n">
        <f aca="false">mix_g3*Sens!E16029</f>
        <v>1137.5</v>
      </c>
      <c r="F16039" s="30" t="n">
        <f aca="false">Sens!E16039+(Sens!F16035+Sens!F16036)*(a_g3_27-nonnv*a_mai)-Sens!F16036*mix_g3</f>
        <v>1527.5</v>
      </c>
      <c r="G16039" s="30" t="n">
        <f aca="false">Sens!F16039+(Sens!G16035+Sens!G16036)*(a_g3_28-nonnv*a_mai)-Sens!G16036*mix_g3</f>
        <v>1624.7</v>
      </c>
      <c r="H16039" s="30" t="n">
        <f aca="false">Sens!G16039+(Sens!H16035+Sens!H16036)*(a_g3_29-nonnv*a_mai)-Sens!H16036*mix_g3</f>
        <v>1624.7</v>
      </c>
      <c r="I16039" s="30" t="n">
        <f aca="false">Sens!H16039+(Sens!I16035+Sens!I16036)*(a_g3_29-nonnv*a_mai)-Sens!I16036*mix_g3</f>
        <v>1453.2</v>
      </c>
      <c r="J16039" s="30" t="n">
        <f aca="false">Sens!I16039+(Sens!J16035+Sens!J16036)*(a_g3_29-nonnv*a_mai)-Sens!J16036*mix_g3</f>
        <v>1194.2</v>
      </c>
      <c r="K16039" s="30" t="n">
        <f aca="false">Sens!J16039+(Sens!K16035+Sens!K16036)*(a_g3_29-nonnv*a_mai)-Sens!K16036*mix_g3</f>
        <v>679.7</v>
      </c>
    </row>
    <row r="16040" customFormat="false" ht="17.15" hidden="false" customHeight="false" outlineLevel="0" collapsed="false">
      <c r="A16040" s="1" t="s">
        <v>965</v>
      </c>
      <c r="B16040" s="0" t="s">
        <v>456</v>
      </c>
      <c r="C16040" s="30" t="n">
        <v>0</v>
      </c>
      <c r="D16040" s="30" t="n">
        <v>0</v>
      </c>
      <c r="E16040" s="30" t="n">
        <v>0</v>
      </c>
      <c r="F16040" s="30" t="n">
        <f aca="false">Sens!E16040+(Sens!F16035+Sens!F16036)*nonnv*a_mai</f>
        <v>65</v>
      </c>
      <c r="G16040" s="30" t="n">
        <f aca="false">Sens!F16040+(Sens!G16035+Sens!G16036)*nonnv*a_mai</f>
        <v>113.6</v>
      </c>
      <c r="H16040" s="30" t="n">
        <f aca="false">Sens!G16040+(Sens!H16035+Sens!H16036)*nonnv*a_mai</f>
        <v>113.6</v>
      </c>
      <c r="I16040" s="30" t="n">
        <f aca="false">Sens!H16040+(Sens!I16035+Sens!I16036)*nonnv*a_mai</f>
        <v>162.6</v>
      </c>
      <c r="J16040" s="30" t="n">
        <f aca="false">Sens!I16040+(Sens!J16035+Sens!J16036)*nonnv*a_mai</f>
        <v>236.6</v>
      </c>
      <c r="K16040" s="30" t="n">
        <f aca="false">Sens!J16040+(Sens!K16035+Sens!K16036)*nonnv*a_mai</f>
        <v>383.6</v>
      </c>
      <c r="L16040" s="12" t="s">
        <v>966</v>
      </c>
    </row>
    <row r="16041" customFormat="false" ht="17.15" hidden="false" customHeight="false" outlineLevel="0" collapsed="false">
      <c r="A16041" s="1" t="s">
        <v>967</v>
      </c>
      <c r="B16041" s="0" t="s">
        <v>456</v>
      </c>
      <c r="C16041" s="30" t="n">
        <v>0</v>
      </c>
      <c r="D16041" s="30" t="n">
        <v>0</v>
      </c>
      <c r="E16041" s="30" t="n">
        <v>0</v>
      </c>
      <c r="F16041" s="30" t="n">
        <f aca="false">Sens!E16041+(Sens!F16035+Sens!F16036)*(1-a_g3_27)</f>
        <v>195</v>
      </c>
      <c r="G16041" s="30" t="n">
        <f aca="false">Sens!F16041+(Sens!G16035+Sens!G16036)*(1-a_g3_28)</f>
        <v>535.2</v>
      </c>
      <c r="H16041" s="30" t="n">
        <f aca="false">Sens!G16041+(Sens!H16035+Sens!H16036)*(1-a_g3_29)</f>
        <v>535.2</v>
      </c>
      <c r="I16041" s="30" t="n">
        <f aca="false">Sens!H16041+(Sens!I16035+Sens!I16036)*(1-a_g3_29)</f>
        <v>976.2</v>
      </c>
      <c r="J16041" s="30" t="n">
        <f aca="false">Sens!I16041+(Sens!J16035+Sens!J16036)*(1-a_g3_29)</f>
        <v>1642.2</v>
      </c>
      <c r="K16041" s="30" t="n">
        <f aca="false">Sens!J16041+(Sens!K16035+Sens!K16036)*(1-a_g3_29)</f>
        <v>2965.2</v>
      </c>
    </row>
    <row r="16042" customFormat="false" ht="17.15" hidden="false" customHeight="false" outlineLevel="0" collapsed="false">
      <c r="A16042" s="1" t="s">
        <v>968</v>
      </c>
      <c r="B16042" s="0" t="s">
        <v>403</v>
      </c>
      <c r="C16042" s="15" t="n">
        <f aca="false">(Sens!C16037*tk_hold_h100+Sens!C16038*tk_hold_gb200+Sens!C16039*tk_hold_gb300+Sens!C16041*tk_hold_vr200+Sens!C16040*nv_hold_mai*tk_hold_vr200)/Sens!C16029</f>
        <v>9.7235358126469</v>
      </c>
      <c r="D16042" s="15" t="n">
        <f aca="false">(Sens!D16037*tk_hold_h100+Sens!D16038*tk_hold_gb200+Sens!D16039*tk_hold_gb300+Sens!D16041*tk_hold_vr200+Sens!D16040*nv_hold_mai*tk_hold_vr200)/Sens!D16029</f>
        <v>9.7235358126469</v>
      </c>
      <c r="E16042" s="15" t="n">
        <f aca="false">(Sens!E16037*tk_hold_h100+Sens!E16038*tk_hold_gb200+Sens!E16039*tk_hold_gb300+Sens!E16041*tk_hold_vr200+Sens!E16040*nv_hold_mai*tk_hold_vr200)/Sens!E16029</f>
        <v>9.7235358126469</v>
      </c>
      <c r="F16042" s="15" t="n">
        <f aca="false">(Sens!F16037*tk_hold_h100+Sens!F16038*tk_hold_gb200+Sens!F16039*tk_hold_gb300+Sens!F16041*tk_hold_vr200+Sens!F16040*nv_hold_mai*tk_hold_vr200)/Sens!F16029</f>
        <v>9.9047400860175</v>
      </c>
      <c r="G16042" s="15" t="n">
        <f aca="false">(Sens!G16037*tk_hold_h100+Sens!G16038*tk_hold_gb200+Sens!G16039*tk_hold_gb300+Sens!G16041*tk_hold_vr200+Sens!G16040*nv_hold_mai*tk_hold_vr200)/Sens!G16029</f>
        <v>10.0644846479809</v>
      </c>
      <c r="H16042" s="15" t="n">
        <f aca="false">(Sens!H16037*tk_hold_h100+Sens!H16038*tk_hold_gb200+Sens!H16039*tk_hold_gb300+Sens!H16041*tk_hold_vr200+Sens!H16040*nv_hold_mai*tk_hold_vr200)/Sens!H16029</f>
        <v>10.0644846479809</v>
      </c>
      <c r="I16042" s="15" t="n">
        <f aca="false">(Sens!I16037*tk_hold_h100+Sens!I16038*tk_hold_gb200+Sens!I16039*tk_hold_gb300+Sens!I16041*tk_hold_vr200+Sens!I16040*nv_hold_mai*tk_hold_vr200)/Sens!I16029</f>
        <v>10.2757076768083</v>
      </c>
      <c r="J16042" s="15" t="n">
        <f aca="false">(Sens!J16037*tk_hold_h100+Sens!J16038*tk_hold_gb200+Sens!J16039*tk_hold_gb300+Sens!J16041*tk_hold_vr200+Sens!J16040*nv_hold_mai*tk_hold_vr200)/Sens!J16029</f>
        <v>10.5946975570782</v>
      </c>
      <c r="K16042" s="15" t="n">
        <f aca="false">(Sens!K16037*tk_hold_h100+Sens!K16038*tk_hold_gb200+Sens!K16039*tk_hold_gb300+Sens!K16041*tk_hold_vr200+Sens!K16040*nv_hold_mai*tk_hold_vr200)/Sens!K16029</f>
        <v>11.2283666435604</v>
      </c>
      <c r="L16042" s="1" t="s">
        <v>969</v>
      </c>
    </row>
    <row r="16043" customFormat="false" ht="17.15" hidden="false" customHeight="false" outlineLevel="0" collapsed="false">
      <c r="A16043" s="1" t="s">
        <v>970</v>
      </c>
      <c r="B16043" s="0" t="s">
        <v>403</v>
      </c>
      <c r="C16043" s="15" t="n">
        <f aca="false">(Sens!C16037*tk_hold_h100+Sens!C16038*tk_hold_gb200+Sens!C16039*tk_hold_gb300+Sens!C16041*tk_hold_vr200+Sens!C16040*nv_out_mai*tk_hold_vr200)/Sens!C16029</f>
        <v>9.7235358126469</v>
      </c>
      <c r="D16043" s="15" t="n">
        <f aca="false">(Sens!D16037*tk_hold_h100+Sens!D16038*tk_hold_gb200+Sens!D16039*tk_hold_gb300+Sens!D16041*tk_hold_vr200+Sens!D16040*nv_out_mai*tk_hold_vr200)/Sens!D16029</f>
        <v>9.7235358126469</v>
      </c>
      <c r="E16043" s="15" t="n">
        <f aca="false">(Sens!E16037*tk_hold_h100+Sens!E16038*tk_hold_gb200+Sens!E16039*tk_hold_gb300+Sens!E16041*tk_hold_vr200+Sens!E16040*nv_out_mai*tk_hold_vr200)/Sens!E16029</f>
        <v>9.7235358126469</v>
      </c>
      <c r="F16043" s="15" t="n">
        <f aca="false">(Sens!F16037*tk_hold_h100+Sens!F16038*tk_hold_gb200+Sens!F16039*tk_hold_gb300+Sens!F16041*tk_hold_vr200+Sens!F16040*nv_out_mai*tk_hold_vr200)/Sens!F16029</f>
        <v>9.91492797852132</v>
      </c>
      <c r="G16043" s="15" t="n">
        <f aca="false">(Sens!G16037*tk_hold_h100+Sens!G16038*tk_hold_gb200+Sens!G16039*tk_hold_gb300+Sens!G16041*tk_hold_vr200+Sens!G16040*nv_out_mai*tk_hold_vr200)/Sens!G16029</f>
        <v>10.0803169952919</v>
      </c>
      <c r="H16043" s="15" t="n">
        <f aca="false">(Sens!H16037*tk_hold_h100+Sens!H16038*tk_hold_gb200+Sens!H16039*tk_hold_gb300+Sens!H16041*tk_hold_vr200+Sens!H16040*nv_out_mai*tk_hold_vr200)/Sens!H16029</f>
        <v>10.0803169952919</v>
      </c>
      <c r="I16043" s="15" t="n">
        <f aca="false">(Sens!I16037*tk_hold_h100+Sens!I16038*tk_hold_gb200+Sens!I16039*tk_hold_gb300+Sens!I16041*tk_hold_vr200+Sens!I16040*nv_out_mai*tk_hold_vr200)/Sens!I16029</f>
        <v>10.2983691175897</v>
      </c>
      <c r="J16043" s="15" t="n">
        <f aca="false">(Sens!J16037*tk_hold_h100+Sens!J16038*tk_hold_gb200+Sens!J16039*tk_hold_gb300+Sens!J16041*tk_hold_vr200+Sens!J16040*nv_out_mai*tk_hold_vr200)/Sens!J16029</f>
        <v>10.6276723226925</v>
      </c>
      <c r="K16043" s="15" t="n">
        <f aca="false">(Sens!K16037*tk_hold_h100+Sens!K16038*tk_hold_gb200+Sens!K16039*tk_hold_gb300+Sens!K16041*tk_hold_vr200+Sens!K16040*nv_out_mai*tk_hold_vr200)/Sens!K16029</f>
        <v>11.2818286895859</v>
      </c>
      <c r="L16043" s="12" t="s">
        <v>971</v>
      </c>
    </row>
    <row r="16044" customFormat="false" ht="17.15" hidden="false" customHeight="false" outlineLevel="0" collapsed="false">
      <c r="A16044" s="0" t="s">
        <v>972</v>
      </c>
      <c r="B16044" s="0" t="s">
        <v>229</v>
      </c>
      <c r="C16044" s="15" t="n">
        <f aca="false">k_B</f>
        <v>1.17213932619116</v>
      </c>
      <c r="D16044" s="15" t="n">
        <f aca="false">k_B</f>
        <v>1.17213932619116</v>
      </c>
      <c r="E16044" s="15" t="n">
        <f aca="false">k_B</f>
        <v>1.17213932619116</v>
      </c>
      <c r="F16044" s="15" t="n">
        <f aca="false">(k_B+((ls_B*k_long+(1-ls_B)*k_spot)-k_B)*MIN(1,(Sens!F16027-base_fy)/k_ramp))</f>
        <v>1.17213932619116</v>
      </c>
      <c r="G16044" s="15" t="n">
        <f aca="false">(k_B+((ls_B*k_long+(1-ls_B)*k_spot)-k_B)*MIN(1,(Sens!G16027-base_fy)/k_ramp))</f>
        <v>1.17213932619116</v>
      </c>
      <c r="H16044" s="15" t="n">
        <f aca="false">(k_B+((ls_B*k_long+(1-ls_B)*k_spot)-k_B)*MIN(1,(Sens!H16027-base_fy)/k_ramp))</f>
        <v>1.17213932619116</v>
      </c>
      <c r="I16044" s="15" t="n">
        <f aca="false">(k_B+((ls_B*k_long+(1-ls_B)*k_spot)-k_B)*MIN(1,(Sens!I16027-base_fy)/k_ramp))</f>
        <v>1.17213932619116</v>
      </c>
      <c r="J16044" s="15" t="n">
        <f aca="false">(k_B+((ls_B*k_long+(1-ls_B)*k_spot)-k_B)*MIN(1,(Sens!J16027-base_fy)/k_ramp))</f>
        <v>1.17213932619116</v>
      </c>
      <c r="K16044" s="15" t="n">
        <f aca="false">(k_B+((ls_B*k_long+(1-ls_B)*k_spot)-k_B)*MIN(1,(Sens!K16027-base_fy)/k_ramp))</f>
        <v>1.17213932619116</v>
      </c>
      <c r="L16044" s="1" t="s">
        <v>973</v>
      </c>
    </row>
    <row r="16045" customFormat="false" ht="17.15" hidden="false" customHeight="false" outlineLevel="0" collapsed="false">
      <c r="A16045" s="1" t="s">
        <v>974</v>
      </c>
      <c r="B16045" s="0" t="s">
        <v>403</v>
      </c>
      <c r="C16045" s="15" t="n">
        <f aca="false">Sens!C16043*Sens!C16044*chip_f</f>
        <v>11.3973387156315</v>
      </c>
      <c r="D16045" s="15" t="n">
        <f aca="false">Sens!D16043*Sens!D16044*chip_f</f>
        <v>11.3973387156315</v>
      </c>
      <c r="E16045" s="15" t="n">
        <f aca="false">Sens!E16043*Sens!E16044*chip_f</f>
        <v>11.3973387156315</v>
      </c>
      <c r="F16045" s="15" t="n">
        <f aca="false">Sens!F16043*Sens!F16044*chip_f</f>
        <v>11.6216769999778</v>
      </c>
      <c r="G16045" s="15" t="n">
        <f aca="false">Sens!G16043*Sens!G16044*chip_f</f>
        <v>11.8155359706547</v>
      </c>
      <c r="H16045" s="15" t="n">
        <f aca="false">Sens!H16043*Sens!H16044*chip_f</f>
        <v>11.8155359706547</v>
      </c>
      <c r="I16045" s="15" t="n">
        <f aca="false">Sens!I16043*Sens!I16044*chip_f</f>
        <v>12.0711234383594</v>
      </c>
      <c r="J16045" s="15" t="n">
        <f aca="false">Sens!J16043*Sens!J16044*chip_f</f>
        <v>12.4571126753012</v>
      </c>
      <c r="K16045" s="15" t="n">
        <f aca="false">Sens!K16043*Sens!K16044*chip_f</f>
        <v>13.2238750784153</v>
      </c>
      <c r="L16045" s="1" t="s">
        <v>975</v>
      </c>
    </row>
    <row r="16046" customFormat="false" ht="17.15" hidden="false" customHeight="false" outlineLevel="0" collapsed="false">
      <c r="A16046" s="0" t="s">
        <v>976</v>
      </c>
      <c r="B16046" s="0" t="s">
        <v>98</v>
      </c>
      <c r="D16046" s="6" t="n">
        <f aca="false">(Sens!C16029+Sens!D16029)/2*Sens!D16045/1000</f>
        <v>12.9359794422418</v>
      </c>
      <c r="E16046" s="6" t="n">
        <f aca="false">(Sens!D16029+Sens!E16029)/2*Sens!E16045/1000</f>
        <v>27.8095064661409</v>
      </c>
      <c r="F16046" s="6" t="n">
        <f aca="false">(Sens!E16029+Sens!F16029)/2*Sens!F16045/1000</f>
        <v>41.5474952749207</v>
      </c>
      <c r="G16046" s="6" t="n">
        <f aca="false">(Sens!F16029+Sens!G16029)/2*Sens!G16045/1000</f>
        <v>48.9517655264224</v>
      </c>
      <c r="H16046" s="6" t="n">
        <f aca="false">(Sens!G16029+Sens!H16029)/2*Sens!H16045/1000</f>
        <v>51.8229407672915</v>
      </c>
      <c r="I16046" s="6" t="n">
        <f aca="false">(Sens!H16029+Sens!I16029)/2*Sens!I16045/1000</f>
        <v>52.9439474006443</v>
      </c>
      <c r="J16046" s="6" t="n">
        <f aca="false">(Sens!I16029+Sens!J16029)/2*Sens!J16045/1000</f>
        <v>54.636896193871</v>
      </c>
      <c r="K16046" s="6" t="n">
        <f aca="false">(Sens!J16029+Sens!K16029)/2*Sens!K16045/1000</f>
        <v>57.9999160939293</v>
      </c>
      <c r="L16046" s="12" t="s">
        <v>977</v>
      </c>
    </row>
    <row r="16047" customFormat="false" ht="17.15" hidden="false" customHeight="false" outlineLevel="0" collapsed="false">
      <c r="A16047" s="1" t="s">
        <v>978</v>
      </c>
      <c r="B16047" s="0" t="s">
        <v>403</v>
      </c>
      <c r="C16047" s="15" t="n">
        <f aca="false">(Sens!C16037*tk_opex_h100+Sens!C16038*tk_opex_gb200+Sens!C16039*tk_opex_gb300+(Sens!C16041+Sens!C16040)*tk_opex_vr200)/Sens!C16029</f>
        <v>1.88636041306092</v>
      </c>
      <c r="D16047" s="15" t="n">
        <f aca="false">(Sens!D16037*tk_opex_h100+Sens!D16038*tk_opex_gb200+Sens!D16039*tk_opex_gb300+(Sens!D16041+Sens!D16040)*tk_opex_vr200)/Sens!D16029</f>
        <v>1.88636041306092</v>
      </c>
      <c r="E16047" s="15" t="n">
        <f aca="false">(Sens!E16037*tk_opex_h100+Sens!E16038*tk_opex_gb200+Sens!E16039*tk_opex_gb300+(Sens!E16041+Sens!E16040)*tk_opex_vr200)/Sens!E16029</f>
        <v>1.88636041306092</v>
      </c>
      <c r="F16047" s="15" t="n">
        <f aca="false">(Sens!F16037*tk_opex_h100+Sens!F16038*tk_opex_gb200+Sens!F16039*tk_opex_gb300+(Sens!F16041+Sens!F16040)*tk_opex_vr200)/Sens!F16029</f>
        <v>1.90979686208616</v>
      </c>
      <c r="G16047" s="15" t="n">
        <f aca="false">(Sens!G16037*tk_opex_h100+Sens!G16038*tk_opex_gb200+Sens!G16039*tk_opex_gb300+(Sens!G16041+Sens!G16040)*tk_opex_vr200)/Sens!G16029</f>
        <v>1.92769515165485</v>
      </c>
      <c r="H16047" s="15" t="n">
        <f aca="false">(Sens!H16037*tk_opex_h100+Sens!H16038*tk_opex_gb200+Sens!H16039*tk_opex_gb300+(Sens!H16041+Sens!H16040)*tk_opex_vr200)/Sens!H16029</f>
        <v>1.92769515165485</v>
      </c>
      <c r="I16047" s="15" t="n">
        <f aca="false">(Sens!I16037*tk_opex_h100+Sens!I16038*tk_opex_gb200+Sens!I16039*tk_opex_gb300+(Sens!I16041+Sens!I16040)*tk_opex_vr200)/Sens!I16029</f>
        <v>1.95083610383771</v>
      </c>
      <c r="J16047" s="15" t="n">
        <f aca="false">(Sens!J16037*tk_opex_h100+Sens!J16038*tk_opex_gb200+Sens!J16039*tk_opex_gb300+(Sens!J16041+Sens!J16040)*tk_opex_vr200)/Sens!J16029</f>
        <v>1.98578366427713</v>
      </c>
      <c r="K16047" s="15" t="n">
        <f aca="false">(Sens!K16037*tk_opex_h100+Sens!K16038*tk_opex_gb200+Sens!K16039*tk_opex_gb300+(Sens!K16041+Sens!K16040)*tk_opex_vr200)/Sens!K16029</f>
        <v>2.05520652082571</v>
      </c>
      <c r="L16047" s="12" t="s">
        <v>979</v>
      </c>
    </row>
    <row r="16048" customFormat="false" ht="17.15" hidden="false" customHeight="false" outlineLevel="0" collapsed="false">
      <c r="A16048" s="0" t="s">
        <v>980</v>
      </c>
      <c r="B16048" s="0" t="s">
        <v>98</v>
      </c>
      <c r="D16048" s="6" t="n">
        <f aca="false">(Sens!C16032+Sens!D16032)/2*Sens!D16047/1000</f>
        <v>2.70378325872065</v>
      </c>
      <c r="E16048" s="6" t="n">
        <f aca="false">(Sens!D16032+Sens!E16032)/2*Sens!E16047/1000</f>
        <v>6.17783035277451</v>
      </c>
      <c r="F16048" s="6" t="n">
        <f aca="false">(Sens!E16032+Sens!F16032)/2*Sens!F16047/1000</f>
        <v>9.30071071835958</v>
      </c>
      <c r="G16048" s="6" t="n">
        <f aca="false">(Sens!F16032+Sens!G16032)/2*Sens!G16047/1000</f>
        <v>10.8818391310916</v>
      </c>
      <c r="H16048" s="6" t="n">
        <f aca="false">(Sens!G16032+Sens!H16032)/2*Sens!H16047/1000</f>
        <v>11.6625556675118</v>
      </c>
      <c r="I16048" s="6" t="n">
        <f aca="false">(Sens!H16032+Sens!I16032)/2*Sens!I16047/1000</f>
        <v>11.8025584282181</v>
      </c>
      <c r="J16048" s="6" t="n">
        <f aca="false">(Sens!I16032+Sens!J16032)/2*Sens!J16047/1000</f>
        <v>12.0139911688766</v>
      </c>
      <c r="K16048" s="6" t="n">
        <f aca="false">(Sens!J16032+Sens!K16032)/2*Sens!K16047/1000</f>
        <v>12.4339994509955</v>
      </c>
    </row>
    <row r="16049" customFormat="false" ht="17.15" hidden="false" customHeight="false" outlineLevel="0" collapsed="false">
      <c r="A16049" s="0" t="s">
        <v>981</v>
      </c>
      <c r="B16049" s="0" t="s">
        <v>98</v>
      </c>
      <c r="D16049" s="6" t="n">
        <f aca="false">(Sens!C16030+Sens!D16030)/2*rent_mw/1000</f>
        <v>2.44475</v>
      </c>
      <c r="E16049" s="6" t="n">
        <f aca="false">(Sens!D16030+Sens!E16030)/2*rent_mw/1000</f>
        <v>4.22275</v>
      </c>
      <c r="F16049" s="6" t="n">
        <f aca="false">(Sens!E16030+Sens!F16030)/2*rent_mw/1000</f>
        <v>5.80517</v>
      </c>
      <c r="G16049" s="6" t="n">
        <f aca="false">(Sens!F16030+Sens!G16030)/2*rent_mw/1000</f>
        <v>6.72084</v>
      </c>
      <c r="H16049" s="6" t="n">
        <f aca="false">(Sens!G16030+Sens!H16030)/2*rent_mw/1000</f>
        <v>6.72084</v>
      </c>
      <c r="I16049" s="6" t="n">
        <f aca="false">(Sens!H16030+Sens!I16030)/2*rent_mw/1000</f>
        <v>6.72084</v>
      </c>
      <c r="J16049" s="6" t="n">
        <f aca="false">(Sens!I16030+Sens!J16030)/2*rent_mw/1000</f>
        <v>6.72084</v>
      </c>
      <c r="K16049" s="6" t="n">
        <f aca="false">(Sens!J16030+Sens!K16030)/2*rent_mw/1000</f>
        <v>6.72084</v>
      </c>
    </row>
    <row r="16050" customFormat="false" ht="17.15" hidden="false" customHeight="false" outlineLevel="0" collapsed="false">
      <c r="A16050" s="0" t="s">
        <v>982</v>
      </c>
      <c r="B16050" s="0" t="s">
        <v>98</v>
      </c>
      <c r="D16050" s="6" t="n">
        <f aca="false">(Sens!C16032+Sens!D16032)/2*(1-self_build)*fac_rent/1000</f>
        <v>0.853242375631075</v>
      </c>
      <c r="E16050" s="6" t="n">
        <f aca="false">(Sens!D16032+Sens!E16032)/2*(1-self_build)*fac_rent/1000</f>
        <v>1.94955961408728</v>
      </c>
      <c r="F16050" s="6" t="n">
        <f aca="false">(Sens!E16032+Sens!F16032)/2*(1-self_build)*fac_rent/1000</f>
        <v>2.89903979255117</v>
      </c>
      <c r="G16050" s="6" t="n">
        <f aca="false">(Sens!F16032+Sens!G16032)/2*(1-self_build)*fac_rent/1000</f>
        <v>3.36038596077029</v>
      </c>
      <c r="H16050" s="6" t="n">
        <f aca="false">(Sens!G16032+Sens!H16032)/2*(1-self_build)*fac_rent/1000</f>
        <v>3.60147653900094</v>
      </c>
      <c r="I16050" s="6" t="n">
        <f aca="false">(Sens!H16032+Sens!I16032)/2*(1-self_build)*fac_rent/1000</f>
        <v>3.60147653900094</v>
      </c>
      <c r="J16050" s="6" t="n">
        <f aca="false">(Sens!I16032+Sens!J16032)/2*(1-self_build)*fac_rent/1000</f>
        <v>3.60147653900094</v>
      </c>
      <c r="K16050" s="6" t="n">
        <f aca="false">(Sens!J16032+Sens!K16032)/2*(1-self_build)*fac_rent/1000</f>
        <v>3.60147653900094</v>
      </c>
      <c r="L16050" s="12" t="s">
        <v>983</v>
      </c>
    </row>
    <row r="16051" customFormat="false" ht="17.15" hidden="false" customHeight="false" outlineLevel="0" collapsed="false">
      <c r="A16051" s="1" t="s">
        <v>984</v>
      </c>
      <c r="B16051" s="0" t="s">
        <v>168</v>
      </c>
      <c r="D16051" s="7" t="n">
        <f aca="false">(Sens!C16031+Sens!D16031)/(Sens!C16032+Sens!D16032)</f>
        <v>0.6</v>
      </c>
      <c r="E16051" s="7" t="n">
        <f aca="false">(Sens!D16031+Sens!E16031)/(Sens!D16032+Sens!E16032)</f>
        <v>0.6</v>
      </c>
      <c r="F16051" s="7" t="n">
        <f aca="false">(Sens!E16031+Sens!F16031)/(Sens!E16032+Sens!F16032)</f>
        <v>0.6</v>
      </c>
      <c r="G16051" s="7" t="n">
        <f aca="false">(Sens!F16031+Sens!G16031)/(Sens!F16032+Sens!G16032)</f>
        <v>0.6</v>
      </c>
      <c r="H16051" s="7" t="n">
        <f aca="false">(Sens!G16031+Sens!H16031)/(Sens!G16032+Sens!H16032)</f>
        <v>0.6</v>
      </c>
      <c r="I16051" s="7" t="n">
        <f aca="false">(Sens!H16031+Sens!I16031)/(Sens!H16032+Sens!I16032)</f>
        <v>0.6</v>
      </c>
      <c r="J16051" s="7" t="n">
        <f aca="false">(Sens!I16031+Sens!J16031)/(Sens!I16032+Sens!J16032)</f>
        <v>0.6</v>
      </c>
      <c r="K16051" s="7" t="n">
        <f aca="false">(Sens!J16031+Sens!K16031)/(Sens!J16032+Sens!K16032)</f>
        <v>0.6</v>
      </c>
    </row>
    <row r="16052" customFormat="false" ht="17.15" hidden="false" customHeight="false" outlineLevel="0" collapsed="false">
      <c r="A16052" s="0" t="s">
        <v>985</v>
      </c>
      <c r="B16052" s="0" t="s">
        <v>98</v>
      </c>
      <c r="D16052" s="6" t="n">
        <f aca="false">Sens!D16046-Sens!D16051*(Sens!D16048+Sens!D16050)-Sens!D16049</f>
        <v>8.35701406163072</v>
      </c>
      <c r="E16052" s="6" t="n">
        <f aca="false">Sens!E16046-Sens!E16051*(Sens!E16048+Sens!E16050)-Sens!E16049</f>
        <v>18.7103224860238</v>
      </c>
      <c r="F16052" s="6" t="n">
        <f aca="false">Sens!F16046-Sens!F16051*(Sens!F16048+Sens!F16050)-Sens!F16049</f>
        <v>28.4224749683742</v>
      </c>
      <c r="G16052" s="6" t="n">
        <f aca="false">Sens!G16046-Sens!G16051*(Sens!G16048+Sens!G16050)-Sens!G16049</f>
        <v>33.6855904713053</v>
      </c>
      <c r="H16052" s="6" t="n">
        <f aca="false">Sens!H16046-Sens!H16051*(Sens!H16048+Sens!H16050)-Sens!H16049</f>
        <v>35.9436814433839</v>
      </c>
      <c r="I16052" s="6" t="n">
        <f aca="false">Sens!I16046-Sens!I16051*(Sens!I16048+Sens!I16050)-Sens!I16049</f>
        <v>36.9806864203129</v>
      </c>
      <c r="J16052" s="6" t="n">
        <f aca="false">Sens!J16046-Sens!J16051*(Sens!J16048+Sens!J16050)-Sens!J16049</f>
        <v>38.5467755691444</v>
      </c>
      <c r="K16052" s="6" t="n">
        <f aca="false">Sens!K16046-Sens!K16051*(Sens!K16048+Sens!K16050)-Sens!K16049</f>
        <v>41.6577904999314</v>
      </c>
    </row>
    <row r="16053" customFormat="false" ht="17.15" hidden="false" customHeight="false" outlineLevel="0" collapsed="false">
      <c r="A16053" s="1" t="s">
        <v>986</v>
      </c>
      <c r="B16053" s="0" t="s">
        <v>98</v>
      </c>
      <c r="D16053" s="6" t="n">
        <f aca="false">(1-Sens!D16051)*(Sens!D16048+Sens!D16050)</f>
        <v>1.42281025374069</v>
      </c>
      <c r="E16053" s="6" t="n">
        <f aca="false">(1-Sens!E16051)*(Sens!E16048+Sens!E16050)</f>
        <v>3.25095598674472</v>
      </c>
      <c r="F16053" s="6" t="n">
        <f aca="false">(1-Sens!F16051)*(Sens!F16048+Sens!F16050)</f>
        <v>4.8799002043643</v>
      </c>
      <c r="G16053" s="6" t="n">
        <f aca="false">(1-Sens!G16051)*(Sens!G16048+Sens!G16050)</f>
        <v>5.69689003674476</v>
      </c>
      <c r="H16053" s="6" t="n">
        <f aca="false">(1-Sens!H16051)*(Sens!H16048+Sens!H16050)</f>
        <v>6.1056128826051</v>
      </c>
      <c r="I16053" s="6" t="n">
        <f aca="false">(1-Sens!I16051)*(Sens!I16048+Sens!I16050)</f>
        <v>6.16161398688763</v>
      </c>
      <c r="J16053" s="6" t="n">
        <f aca="false">(1-Sens!J16051)*(Sens!J16048+Sens!J16050)</f>
        <v>6.24618708315103</v>
      </c>
      <c r="K16053" s="6" t="n">
        <f aca="false">(1-Sens!K16051)*(Sens!K16048+Sens!K16050)</f>
        <v>6.41419039599859</v>
      </c>
    </row>
    <row r="16054" customFormat="false" ht="17.15" hidden="false" customHeight="false" outlineLevel="0" collapsed="false">
      <c r="A16054" s="1" t="s">
        <v>987</v>
      </c>
      <c r="B16054" s="0" t="s">
        <v>414</v>
      </c>
      <c r="C16054" s="8" t="n">
        <f aca="false">cxit_open</f>
        <v>27.5918995</v>
      </c>
      <c r="D16054" s="8" t="n">
        <f aca="false">cxit_open</f>
        <v>27.5918995</v>
      </c>
      <c r="E16054" s="8" t="n">
        <f aca="false">cxit_open</f>
        <v>27.5918995</v>
      </c>
      <c r="F16054" s="8" t="n">
        <f aca="false">((a_g3_27-nonnv*a_mai)*tk_cxit_gb300+nonnv*a_mai*nv_hold_mai*tk_cxit_vr200+(1-a_g3_27)*tk_cxit_vr200)</f>
        <v>32.4975576</v>
      </c>
      <c r="G16054" s="8" t="n">
        <f aca="false">((a_g3_28-nonnv*a_mai)*tk_cxit_gb300+nonnv*a_mai*nv_hold_mai*tk_cxit_vr200+(1-a_g3_28)*tk_cxit_vr200)</f>
        <v>34.6372088</v>
      </c>
      <c r="H16054" s="8" t="n">
        <f aca="false">((a_g3_29-nonnv*a_mai)*tk_cxit_gb300+nonnv*a_mai*nv_hold_mai*tk_cxit_vr200+(1-a_g3_29)*tk_cxit_vr200)</f>
        <v>35.7070344</v>
      </c>
      <c r="I16054" s="8" t="n">
        <f aca="false">((a_g3_29-nonnv*a_mai)*tk_cxit_gb300+nonnv*a_mai*nv_hold_mai*tk_cxit_vr200+(1-a_g3_29)*tk_cxit_vr200)</f>
        <v>35.7070344</v>
      </c>
      <c r="J16054" s="8" t="n">
        <f aca="false">((a_g3_29-nonnv*a_mai)*tk_cxit_gb300+nonnv*a_mai*nv_hold_mai*tk_cxit_vr200+(1-a_g3_29)*tk_cxit_vr200)</f>
        <v>35.7070344</v>
      </c>
      <c r="K16054" s="8" t="n">
        <f aca="false">((a_g3_29-nonnv*a_mai)*tk_cxit_gb300+nonnv*a_mai*nv_hold_mai*tk_cxit_vr200+(1-a_g3_29)*tk_cxit_vr200)</f>
        <v>35.7070344</v>
      </c>
      <c r="L16054" s="12" t="s">
        <v>988</v>
      </c>
    </row>
    <row r="16055" customFormat="false" ht="17.15" hidden="false" customHeight="false" outlineLevel="0" collapsed="false">
      <c r="A16055" s="0" t="s">
        <v>989</v>
      </c>
      <c r="B16055" s="0" t="s">
        <v>456</v>
      </c>
      <c r="F16055" s="30" t="n">
        <f aca="false">Sens!C16034*IF(Sens!F16027-Sens!C16027=life_it,1,0)+Sens!D16034*IF(Sens!F16027-Sens!D16027=life_it,1,0)+Sens!E16034*IF(Sens!F16027-Sens!E16027=life_it,1,0)</f>
        <v>0</v>
      </c>
      <c r="G16055" s="30" t="n">
        <f aca="false">Sens!C16034*IF(Sens!G16027-Sens!C16027=life_it,1,0)+Sens!D16034*IF(Sens!G16027-Sens!D16027=life_it,1,0)+Sens!E16034*IF(Sens!G16027-Sens!E16027=life_it,1,0)+Sens!F16034*IF(Sens!G16027-Sens!F16027=life_it,1,0)</f>
        <v>0</v>
      </c>
      <c r="H16055" s="30" t="n">
        <f aca="false">Sens!C16034*IF(Sens!H16027-Sens!C16027=life_it,1,0)+Sens!D16034*IF(Sens!H16027-Sens!D16027=life_it,1,0)+Sens!E16034*IF(Sens!H16027-Sens!E16027=life_it,1,0)+Sens!F16034*IF(Sens!H16027-Sens!F16027=life_it,1,0)+Sens!G16034*IF(Sens!H16027-Sens!G16027=life_it,1,0)</f>
        <v>0</v>
      </c>
      <c r="I16055" s="30" t="n">
        <f aca="false">Sens!C16034*IF(Sens!I16027-Sens!C16027=life_it,1,0)+Sens!D16034*IF(Sens!I16027-Sens!D16027=life_it,1,0)+Sens!E16034*IF(Sens!I16027-Sens!E16027=life_it,1,0)+Sens!F16034*IF(Sens!I16027-Sens!F16027=life_it,1,0)+Sens!G16034*IF(Sens!I16027-Sens!G16027=life_it,1,0)+Sens!H16034*IF(Sens!I16027-Sens!H16027=life_it,1,0)</f>
        <v>816.666666666667</v>
      </c>
      <c r="J16055" s="30" t="n">
        <f aca="false">Sens!C16034*IF(Sens!J16027-Sens!C16027=life_it,1,0)+Sens!D16034*IF(Sens!J16027-Sens!D16027=life_it,1,0)+Sens!E16034*IF(Sens!J16027-Sens!E16027=life_it,1,0)+Sens!F16034*IF(Sens!J16027-Sens!F16027=life_it,1,0)+Sens!G16034*IF(Sens!J16027-Sens!G16027=life_it,1,0)+Sens!H16034*IF(Sens!J16027-Sens!H16027=life_it,1,0)+Sens!I16034*IF(Sens!J16027-Sens!I16027=life_it,1,0)</f>
        <v>1233.33333333333</v>
      </c>
      <c r="K16055" s="30" t="n">
        <f aca="false">Sens!C16034*IF(Sens!K16027-Sens!C16027=life_it,1,0)+Sens!D16034*IF(Sens!K16027-Sens!D16027=life_it,1,0)+Sens!E16034*IF(Sens!K16027-Sens!E16027=life_it,1,0)+Sens!F16034*IF(Sens!K16027-Sens!F16027=life_it,1,0)+Sens!G16034*IF(Sens!K16027-Sens!G16027=life_it,1,0)+Sens!H16034*IF(Sens!K16027-Sens!H16027=life_it,1,0)+Sens!I16034*IF(Sens!K16027-Sens!I16027=life_it,1,0)+Sens!J16034*IF(Sens!K16027-Sens!J16027=life_it,1,0)</f>
        <v>2450</v>
      </c>
      <c r="L16055" s="1" t="s">
        <v>990</v>
      </c>
    </row>
    <row r="16056" customFormat="false" ht="17.15" hidden="false" customHeight="false" outlineLevel="0" collapsed="false">
      <c r="A16056" s="0" t="s">
        <v>991</v>
      </c>
      <c r="B16056" s="0" t="s">
        <v>98</v>
      </c>
      <c r="C16056" s="6" t="n">
        <f aca="false">Sens!C16034*Sens!C16054/1000</f>
        <v>22.5333845916667</v>
      </c>
      <c r="D16056" s="6" t="n">
        <f aca="false">Sens!D16034*Sens!D16054/1000</f>
        <v>34.0300093833333</v>
      </c>
      <c r="E16056" s="6" t="n">
        <f aca="false">Sens!E16034*Sens!E16054/1000</f>
        <v>67.600153775</v>
      </c>
      <c r="F16056" s="6" t="n">
        <f aca="false">(Sens!F16034+Sens!F16055)*Sens!F16054/1000</f>
        <v>24.048192624</v>
      </c>
      <c r="G16056" s="6" t="n">
        <f aca="false">(Sens!G16034+Sens!G16055)*Sens!G16054/1000</f>
        <v>28.056139128</v>
      </c>
      <c r="H16056" s="6" t="n">
        <f aca="false">(Sens!H16034+Sens!H16055)*Sens!H16054/1000</f>
        <v>0</v>
      </c>
      <c r="I16056" s="6" t="n">
        <f aca="false">(Sens!I16034+Sens!I16055)*Sens!I16054/1000</f>
        <v>29.16074476</v>
      </c>
      <c r="J16056" s="6" t="n">
        <f aca="false">(Sens!J16034+Sens!J16055)*Sens!J16054/1000</f>
        <v>44.03867576</v>
      </c>
      <c r="K16056" s="6" t="n">
        <f aca="false">(Sens!K16034+Sens!K16055)*Sens!K16054/1000</f>
        <v>87.48223428</v>
      </c>
    </row>
    <row r="16057" customFormat="false" ht="17.15" hidden="false" customHeight="false" outlineLevel="0" collapsed="false">
      <c r="A16057" s="0" t="s">
        <v>992</v>
      </c>
      <c r="B16057" s="0" t="s">
        <v>98</v>
      </c>
      <c r="C16057" s="6" t="n">
        <f aca="false">Sens!C16034*self_build*tk_cxfac/1000</f>
        <v>6.2083</v>
      </c>
      <c r="D16057" s="6" t="n">
        <f aca="false">Sens!D16034*self_build*tk_cxfac/1000</f>
        <v>9.3758</v>
      </c>
      <c r="E16057" s="6" t="n">
        <f aca="false">Sens!E16034*self_build*tk_cxfac/1000</f>
        <v>18.6249</v>
      </c>
      <c r="F16057" s="6" t="n">
        <f aca="false">Sens!F16034*self_build*tk_cxfac/1000</f>
        <v>5.62548</v>
      </c>
      <c r="G16057" s="6" t="n">
        <f aca="false">Sens!G16034*self_build*tk_cxfac/1000</f>
        <v>6.15762</v>
      </c>
      <c r="H16057" s="6" t="n">
        <f aca="false">Sens!H16034*self_build*tk_cxfac/1000</f>
        <v>0</v>
      </c>
      <c r="I16057" s="6" t="n">
        <f aca="false">Sens!I16034*self_build*tk_cxfac/1000</f>
        <v>0</v>
      </c>
      <c r="J16057" s="6" t="n">
        <f aca="false">Sens!J16034*self_build*tk_cxfac/1000</f>
        <v>0</v>
      </c>
      <c r="K16057" s="6" t="n">
        <f aca="false">Sens!K16034*self_build*tk_cxfac/1000</f>
        <v>0</v>
      </c>
    </row>
    <row r="16058" customFormat="false" ht="17.15" hidden="false" customHeight="false" outlineLevel="0" collapsed="false">
      <c r="A16058" s="0" t="s">
        <v>993</v>
      </c>
      <c r="B16058" s="0" t="s">
        <v>98</v>
      </c>
      <c r="F16058" s="15" t="n">
        <f aca="false">capex_floor27-Sens!F16056-Sens!F16057-Sens!F16154</f>
        <v>138.171372338453</v>
      </c>
      <c r="L16058" s="12" t="s">
        <v>994</v>
      </c>
    </row>
    <row r="16059" customFormat="false" ht="17.15" hidden="false" customHeight="false" outlineLevel="0" collapsed="false">
      <c r="A16059" s="0" t="s">
        <v>995</v>
      </c>
      <c r="B16059" s="0" t="s">
        <v>98</v>
      </c>
      <c r="F16059" s="6" t="n">
        <f aca="false">MAX(0,Sens!F16058)</f>
        <v>138.171372338453</v>
      </c>
    </row>
    <row r="16060" customFormat="false" ht="17.15" hidden="false" customHeight="false" outlineLevel="0" collapsed="false">
      <c r="A16060" s="0" t="s">
        <v>996</v>
      </c>
      <c r="B16060" s="0" t="s">
        <v>98</v>
      </c>
      <c r="C16060" s="6" t="n">
        <f aca="false">Sens!C16056</f>
        <v>22.5333845916667</v>
      </c>
      <c r="D16060" s="6" t="n">
        <f aca="false">Sens!D16056</f>
        <v>34.0300093833333</v>
      </c>
      <c r="E16060" s="6" t="n">
        <f aca="false">Sens!E16056</f>
        <v>67.600153775</v>
      </c>
      <c r="F16060" s="6" t="n">
        <f aca="false">Sens!F16056</f>
        <v>24.048192624</v>
      </c>
      <c r="G16060" s="6" t="n">
        <f aca="false">Sens!G16056</f>
        <v>28.056139128</v>
      </c>
      <c r="H16060" s="6" t="n">
        <f aca="false">Sens!H16056</f>
        <v>0</v>
      </c>
      <c r="I16060" s="6" t="n">
        <f aca="false">Sens!I16056</f>
        <v>29.16074476</v>
      </c>
      <c r="J16060" s="6" t="n">
        <f aca="false">Sens!J16056</f>
        <v>44.03867576</v>
      </c>
      <c r="K16060" s="6" t="n">
        <f aca="false">Sens!K16056</f>
        <v>87.48223428</v>
      </c>
    </row>
    <row r="16061" customFormat="false" ht="17.15" hidden="false" customHeight="false" outlineLevel="0" collapsed="false">
      <c r="A16061" s="0" t="s">
        <v>997</v>
      </c>
      <c r="B16061" s="0" t="s">
        <v>98</v>
      </c>
      <c r="C16061" s="6" t="n">
        <f aca="false">Sens!C16060+Sens!C16057</f>
        <v>28.7416845916667</v>
      </c>
      <c r="D16061" s="6" t="n">
        <f aca="false">Sens!D16060+Sens!D16057</f>
        <v>43.4058093833333</v>
      </c>
      <c r="E16061" s="6" t="n">
        <f aca="false">Sens!E16060+Sens!E16057</f>
        <v>86.225053775</v>
      </c>
      <c r="F16061" s="6" t="n">
        <f aca="false">Sens!F16060+Sens!F16057</f>
        <v>29.673672624</v>
      </c>
      <c r="G16061" s="6" t="n">
        <f aca="false">Sens!G16060+Sens!G16057</f>
        <v>34.213759128</v>
      </c>
      <c r="H16061" s="6" t="n">
        <f aca="false">Sens!H16060+Sens!H16057</f>
        <v>0</v>
      </c>
      <c r="I16061" s="6" t="n">
        <f aca="false">Sens!I16060+Sens!I16057</f>
        <v>29.16074476</v>
      </c>
      <c r="J16061" s="6" t="n">
        <f aca="false">Sens!J16060+Sens!J16057</f>
        <v>44.03867576</v>
      </c>
      <c r="K16061" s="6" t="n">
        <f aca="false">Sens!K16060+Sens!K16057</f>
        <v>87.48223428</v>
      </c>
      <c r="L16061" s="12" t="s">
        <v>998</v>
      </c>
    </row>
    <row r="16062" customFormat="false" ht="17.15" hidden="false" customHeight="false" outlineLevel="0" collapsed="false">
      <c r="A16062" s="0" t="s">
        <v>999</v>
      </c>
      <c r="B16062" s="0" t="s">
        <v>98</v>
      </c>
      <c r="E16062" s="6" t="n">
        <f aca="false">(Sens!C16060*IF(2&lt;life_it,1,IF(2=life_it,0.5,0))+Sens!D16060*IF(1&lt;life_it,1,IF(1=life_it,0.5,0))+Sens!E16060*0.5)/life_it</f>
        <v>15.0605784770833</v>
      </c>
      <c r="F16062" s="6" t="n">
        <f aca="false">(Sens!C16060*IF(3&lt;life_it,1,IF(3=life_it,0.5,0))+Sens!D16060*IF(2&lt;life_it,1,IF(2=life_it,0.5,0))+Sens!E16060*IF(1&lt;life_it,1,IF(1=life_it,0.5,0))+Sens!F16060*0.5)/life_it</f>
        <v>22.697940677</v>
      </c>
      <c r="G16062" s="6" t="n">
        <f aca="false">(Sens!C16060*IF(4&lt;life_it,1,IF(4=life_it,0.5,0))+Sens!D16060*IF(3&lt;life_it,1,IF(3=life_it,0.5,0))+Sens!E16060*IF(2&lt;life_it,1,IF(2=life_it,0.5,0))+Sens!F16060*IF(1&lt;life_it,1,IF(1=life_it,0.5,0))+Sens!G16060*0.5)/life_it</f>
        <v>27.039968323</v>
      </c>
      <c r="H16062" s="6" t="n">
        <f aca="false">(Sens!C16060*IF(5&lt;life_it,1,IF(5=life_it,0.5,0))+Sens!D16060*IF(4&lt;life_it,1,IF(4=life_it,0.5,0))+Sens!E16060*IF(3&lt;life_it,1,IF(3=life_it,0.5,0))+Sens!F16060*IF(2&lt;life_it,1,IF(2=life_it,0.5,0))+Sens!G16060*IF(1&lt;life_it,1,IF(1=life_it,0.5,0))+Sens!H16060*0.5)/life_it</f>
        <v>29.377979917</v>
      </c>
      <c r="I16062" s="6" t="n">
        <f aca="false">(Sens!C16060*IF(6&lt;life_it,1,IF(6=life_it,0.5,0))+Sens!D16060*IF(5&lt;life_it,1,IF(5=life_it,0.5,0))+Sens!E16060*IF(4&lt;life_it,1,IF(4=life_it,0.5,0))+Sens!F16060*IF(3&lt;life_it,1,IF(3=life_it,0.5,0))+Sens!G16060*IF(2&lt;life_it,1,IF(2=life_it,0.5,0))+Sens!H16060*IF(1&lt;life_it,1,IF(1=life_it,0.5,0))+Sens!I16060*0.5)/life_it</f>
        <v>29.9302599310278</v>
      </c>
      <c r="J16062" s="6" t="n">
        <f aca="false">(Sens!C16060*IF(7&lt;life_it,1,IF(7=life_it,0.5,0))+Sens!D16060*IF(6&lt;life_it,1,IF(6=life_it,0.5,0))+Sens!E16060*IF(5&lt;life_it,1,IF(5=life_it,0.5,0))+Sens!F16060*IF(4&lt;life_it,1,IF(4=life_it,0.5,0))+Sens!G16060*IF(3&lt;life_it,1,IF(3=life_it,0.5,0))+Sens!H16060*IF(2&lt;life_it,1,IF(2=life_it,0.5,0))+Sens!I16060*IF(1&lt;life_it,1,IF(1=life_it,0.5,0))+Sens!J16060*0.5)/life_it</f>
        <v>31.3165954764444</v>
      </c>
      <c r="K16062" s="6" t="n">
        <f aca="false">(Sens!C16060*IF(8&lt;life_it,1,IF(8=life_it,0.5,0))+Sens!D16060*IF(7&lt;life_it,1,IF(7=life_it,0.5,0))+Sens!E16060*IF(6&lt;life_it,1,IF(6=life_it,0.5,0))+Sens!F16060*IF(5&lt;life_it,1,IF(5=life_it,0.5,0))+Sens!G16060*IF(4&lt;life_it,1,IF(4=life_it,0.5,0))+Sens!H16060*IF(3&lt;life_it,1,IF(3=life_it,0.5,0))+Sens!I16060*IF(2&lt;life_it,1,IF(2=life_it,0.5,0))+Sens!J16060*IF(1&lt;life_it,1,IF(1=life_it,0.5,0))+Sens!K16060*0.5)/life_it</f>
        <v>33.8074910499167</v>
      </c>
    </row>
    <row r="16063" customFormat="false" ht="17.15" hidden="false" customHeight="false" outlineLevel="0" collapsed="false">
      <c r="A16063" s="0" t="s">
        <v>1000</v>
      </c>
      <c r="B16063" s="0" t="s">
        <v>98</v>
      </c>
      <c r="E16063" s="6" t="n">
        <f aca="false">(Sens!C16057*IF(2&lt;life_fac,1,IF(2=life_fac,0.5,0))+Sens!D16057*IF(1&lt;life_fac,1,IF(1=life_fac,0.5,0))+Sens!E16057*0.5)/life_fac</f>
        <v>1.2448275</v>
      </c>
      <c r="F16063" s="6" t="n">
        <f aca="false">(Sens!C16057*IF(3&lt;life_fac,1,IF(3=life_fac,0.5,0))+Sens!D16057*IF(2&lt;life_fac,1,IF(2=life_fac,0.5,0))+Sens!E16057*IF(1&lt;life_fac,1,IF(1=life_fac,0.5,0))+Sens!F16057*0.5)/life_fac</f>
        <v>1.851087</v>
      </c>
      <c r="G16063" s="6" t="n">
        <f aca="false">(Sens!C16057*IF(4&lt;life_fac,1,IF(4=life_fac,0.5,0))+Sens!D16057*IF(3&lt;life_fac,1,IF(3=life_fac,0.5,0))+Sens!E16057*IF(2&lt;life_fac,1,IF(2=life_fac,0.5,0))+Sens!F16057*IF(1&lt;life_fac,1,IF(1=life_fac,0.5,0))+Sens!G16057*0.5)/life_fac</f>
        <v>2.1456645</v>
      </c>
      <c r="H16063" s="6" t="n">
        <f aca="false">(Sens!C16057*IF(5&lt;life_fac,1,IF(5=life_fac,0.5,0))+Sens!D16057*IF(4&lt;life_fac,1,IF(4=life_fac,0.5,0))+Sens!E16057*IF(3&lt;life_fac,1,IF(3=life_fac,0.5,0))+Sens!F16057*IF(2&lt;life_fac,1,IF(2=life_fac,0.5,0))+Sens!G16057*IF(1&lt;life_fac,1,IF(1=life_fac,0.5,0))+Sens!H16057*0.5)/life_fac</f>
        <v>2.299605</v>
      </c>
      <c r="I16063" s="6" t="n">
        <f aca="false">(Sens!C16057*IF(6&lt;life_fac,1,IF(6=life_fac,0.5,0))+Sens!D16057*IF(5&lt;life_fac,1,IF(5=life_fac,0.5,0))+Sens!E16057*IF(4&lt;life_fac,1,IF(4=life_fac,0.5,0))+Sens!F16057*IF(3&lt;life_fac,1,IF(3=life_fac,0.5,0))+Sens!G16057*IF(2&lt;life_fac,1,IF(2=life_fac,0.5,0))+Sens!H16057*IF(1&lt;life_fac,1,IF(1=life_fac,0.5,0))+Sens!I16057*0.5)/life_fac</f>
        <v>2.299605</v>
      </c>
      <c r="J16063" s="6" t="n">
        <f aca="false">(Sens!C16057*IF(7&lt;life_fac,1,IF(7=life_fac,0.5,0))+Sens!D16057*IF(6&lt;life_fac,1,IF(6=life_fac,0.5,0))+Sens!E16057*IF(5&lt;life_fac,1,IF(5=life_fac,0.5,0))+Sens!F16057*IF(4&lt;life_fac,1,IF(4=life_fac,0.5,0))+Sens!G16057*IF(3&lt;life_fac,1,IF(3=life_fac,0.5,0))+Sens!H16057*IF(2&lt;life_fac,1,IF(2=life_fac,0.5,0))+Sens!I16057*IF(1&lt;life_fac,1,IF(1=life_fac,0.5,0))+Sens!J16057*0.5)/life_fac</f>
        <v>2.299605</v>
      </c>
      <c r="K16063" s="6" t="n">
        <f aca="false">(Sens!C16057*IF(8&lt;life_fac,1,IF(8=life_fac,0.5,0))+Sens!D16057*IF(7&lt;life_fac,1,IF(7=life_fac,0.5,0))+Sens!E16057*IF(6&lt;life_fac,1,IF(6=life_fac,0.5,0))+Sens!F16057*IF(5&lt;life_fac,1,IF(5=life_fac,0.5,0))+Sens!G16057*IF(4&lt;life_fac,1,IF(4=life_fac,0.5,0))+Sens!H16057*IF(3&lt;life_fac,1,IF(3=life_fac,0.5,0))+Sens!I16057*IF(2&lt;life_fac,1,IF(2=life_fac,0.5,0))+Sens!J16057*IF(1&lt;life_fac,1,IF(1=life_fac,0.5,0))+Sens!K16057*0.5)/life_fac</f>
        <v>2.299605</v>
      </c>
    </row>
    <row r="16064" customFormat="false" ht="17.15" hidden="false" customHeight="false" outlineLevel="0" collapsed="false">
      <c r="A16064" s="0" t="s">
        <v>1001</v>
      </c>
      <c r="B16064" s="0" t="s">
        <v>98</v>
      </c>
      <c r="E16064" s="6" t="n">
        <f aca="false">Sens!E16062+Sens!E16063</f>
        <v>16.3054059770833</v>
      </c>
      <c r="F16064" s="6" t="n">
        <f aca="false">Sens!F16062+Sens!F16063</f>
        <v>24.549027677</v>
      </c>
      <c r="G16064" s="6" t="n">
        <f aca="false">Sens!G16062+Sens!G16063</f>
        <v>29.185632823</v>
      </c>
      <c r="H16064" s="6" t="n">
        <f aca="false">Sens!H16062+Sens!H16063</f>
        <v>31.677584917</v>
      </c>
      <c r="I16064" s="6" t="n">
        <f aca="false">Sens!I16062+Sens!I16063</f>
        <v>32.2298649310278</v>
      </c>
      <c r="J16064" s="6" t="n">
        <f aca="false">Sens!J16062+Sens!J16063</f>
        <v>33.6162004764444</v>
      </c>
      <c r="K16064" s="6" t="n">
        <f aca="false">Sens!K16062+Sens!K16063</f>
        <v>36.1070960499167</v>
      </c>
    </row>
    <row r="16065" customFormat="false" ht="17.15" hidden="false" customHeight="false" outlineLevel="0" collapsed="false">
      <c r="A16065" s="0" t="s">
        <v>1002</v>
      </c>
      <c r="B16065" s="0" t="s">
        <v>98</v>
      </c>
      <c r="E16065" s="6" t="n">
        <f aca="false">Sens!E16052-Sens!E16051*Sens!E16064</f>
        <v>8.92707889977379</v>
      </c>
      <c r="F16065" s="6" t="n">
        <f aca="false">Sens!F16052-Sens!F16051*Sens!F16064</f>
        <v>13.6930583621742</v>
      </c>
      <c r="G16065" s="6" t="n">
        <f aca="false">Sens!G16052-Sens!G16051*Sens!G16064</f>
        <v>16.1742107775053</v>
      </c>
      <c r="H16065" s="6" t="n">
        <f aca="false">Sens!H16052-Sens!H16051*Sens!H16064</f>
        <v>16.9371304931839</v>
      </c>
      <c r="I16065" s="6" t="n">
        <f aca="false">Sens!I16052-Sens!I16051*Sens!I16064</f>
        <v>17.6427674616962</v>
      </c>
      <c r="J16065" s="6" t="n">
        <f aca="false">Sens!J16052-Sens!J16051*Sens!J16064</f>
        <v>18.3770552832778</v>
      </c>
      <c r="K16065" s="6" t="n">
        <f aca="false">Sens!K16052-Sens!K16051*Sens!K16064</f>
        <v>19.9935328699814</v>
      </c>
    </row>
    <row r="16066" customFormat="false" ht="17.15" hidden="false" customHeight="false" outlineLevel="0" collapsed="false">
      <c r="A16066" s="3" t="s">
        <v>1875</v>
      </c>
    </row>
    <row r="16067" customFormat="false" ht="15" hidden="false" customHeight="false" outlineLevel="0" collapsed="false">
      <c r="A16067" s="4" t="s">
        <v>43</v>
      </c>
      <c r="B16067" s="4" t="s">
        <v>65</v>
      </c>
      <c r="C16067" s="23" t="s">
        <v>938</v>
      </c>
      <c r="D16067" s="23" t="s">
        <v>939</v>
      </c>
      <c r="E16067" s="23" t="s">
        <v>940</v>
      </c>
      <c r="F16067" s="23" t="s">
        <v>941</v>
      </c>
      <c r="G16067" s="23" t="s">
        <v>942</v>
      </c>
      <c r="H16067" s="23" t="s">
        <v>943</v>
      </c>
      <c r="I16067" s="23" t="s">
        <v>944</v>
      </c>
      <c r="J16067" s="23" t="s">
        <v>945</v>
      </c>
      <c r="K16067" s="23" t="s">
        <v>946</v>
      </c>
      <c r="L16067" s="4" t="s">
        <v>47</v>
      </c>
    </row>
    <row r="16068" customFormat="false" ht="17.15" hidden="false" customHeight="false" outlineLevel="0" collapsed="false">
      <c r="A16068" s="0" t="s">
        <v>1021</v>
      </c>
      <c r="B16068" s="0" t="s">
        <v>98</v>
      </c>
      <c r="D16068" s="6" t="n">
        <f aca="false">Sens!D16046</f>
        <v>12.9359794422418</v>
      </c>
      <c r="E16068" s="6" t="n">
        <f aca="false">Sens!E16046</f>
        <v>27.8095064661409</v>
      </c>
      <c r="F16068" s="6" t="n">
        <f aca="false">Sens!F16046</f>
        <v>41.5474952749207</v>
      </c>
      <c r="G16068" s="6" t="n">
        <f aca="false">Sens!G16046</f>
        <v>48.9517655264224</v>
      </c>
      <c r="H16068" s="6" t="n">
        <f aca="false">Sens!H16046</f>
        <v>51.8229407672915</v>
      </c>
      <c r="I16068" s="6" t="n">
        <f aca="false">Sens!I16046</f>
        <v>52.9439474006443</v>
      </c>
      <c r="J16068" s="6" t="n">
        <f aca="false">Sens!J16046</f>
        <v>54.636896193871</v>
      </c>
      <c r="K16068" s="6" t="n">
        <f aca="false">Sens!K16046</f>
        <v>57.9999160939293</v>
      </c>
    </row>
    <row r="16069" customFormat="false" ht="17.15" hidden="false" customHeight="false" outlineLevel="0" collapsed="false">
      <c r="A16069" s="0" t="s">
        <v>1022</v>
      </c>
      <c r="B16069" s="0" t="s">
        <v>98</v>
      </c>
      <c r="D16069" s="6" t="n">
        <f aca="false">Q!L6-Sens!D16068</f>
        <v>59.6740205577583</v>
      </c>
      <c r="E16069" s="6" t="n">
        <f aca="false">Q!M6-Sens!E16068</f>
        <v>74.1284935338591</v>
      </c>
      <c r="F16069" s="6" t="n">
        <f aca="false">Q!$I$6+(Sens!F16068+Sens!E16069*(1+Sens!F16070))*(1-Q!$E$6/Q!M6)-Sens!F16068</f>
        <v>94.3416091857071</v>
      </c>
      <c r="G16069" s="6" t="n">
        <f aca="false">Sens!F16069*(1+Sens!G16070)</f>
        <v>112.091912703454</v>
      </c>
      <c r="H16069" s="6" t="n">
        <f aca="false">Sens!G16069*(1+Sens!H16070)</f>
        <v>130.15125838779</v>
      </c>
      <c r="I16069" s="6" t="n">
        <f aca="false">Sens!H16069*(1+Sens!I16070)</f>
        <v>147.60123989821</v>
      </c>
      <c r="J16069" s="6" t="n">
        <f aca="false">Sens!I16069*(1+Sens!J16070)</f>
        <v>163.400080136365</v>
      </c>
      <c r="K16069" s="6" t="n">
        <f aca="false">Sens!J16069*(1+Sens!K16070)</f>
        <v>176.472086547274</v>
      </c>
      <c r="L16069" s="12" t="s">
        <v>1023</v>
      </c>
    </row>
    <row r="16070" customFormat="false" ht="15" hidden="false" customHeight="false" outlineLevel="0" collapsed="false">
      <c r="A16070" s="1" t="s">
        <v>1024</v>
      </c>
      <c r="B16070" s="0" t="s">
        <v>168</v>
      </c>
      <c r="E16070" s="7" t="n">
        <f aca="false">Sens!E16069/Sens!D16069-1</f>
        <v>0.242223883039864</v>
      </c>
      <c r="F16070" s="7" t="n">
        <f aca="false">Sens!$E$16070+(glt_azo-Sens!$E$16070)*MIN(1,(Sens!F16027-base_fy)/n_conv)</f>
        <v>0.215186569199887</v>
      </c>
      <c r="G16070" s="7" t="n">
        <f aca="false">Sens!$E$16070+(glt_azo-Sens!$E$16070)*MIN(1,(Sens!G16027-base_fy)/n_conv)</f>
        <v>0.18814925535991</v>
      </c>
      <c r="H16070" s="7" t="n">
        <f aca="false">Sens!$E$16070+(glt_azo-Sens!$E$16070)*MIN(1,(Sens!H16027-base_fy)/n_conv)</f>
        <v>0.161111941519932</v>
      </c>
      <c r="I16070" s="7" t="n">
        <f aca="false">Sens!$E$16070+(glt_azo-Sens!$E$16070)*MIN(1,(Sens!I16027-base_fy)/n_conv)</f>
        <v>0.134074627679955</v>
      </c>
      <c r="J16070" s="7" t="n">
        <f aca="false">Sens!$E$16070+(glt_azo-Sens!$E$16070)*MIN(1,(Sens!J16027-base_fy)/n_conv)</f>
        <v>0.107037313839977</v>
      </c>
      <c r="K16070" s="7" t="n">
        <f aca="false">Sens!$E$16070+(glt_azo-Sens!$E$16070)*MIN(1,(Sens!K16027-base_fy)/n_conv)</f>
        <v>0.08</v>
      </c>
    </row>
    <row r="16071" customFormat="false" ht="15" hidden="false" customHeight="false" outlineLevel="0" collapsed="false">
      <c r="A16071" s="0" t="s">
        <v>1025</v>
      </c>
      <c r="B16071" s="0" t="s">
        <v>98</v>
      </c>
      <c r="D16071" s="6" t="n">
        <f aca="false">Sens!D16068+Sens!D16069</f>
        <v>72.61</v>
      </c>
      <c r="E16071" s="6" t="n">
        <f aca="false">Sens!E16068+Sens!E16069</f>
        <v>101.938</v>
      </c>
      <c r="F16071" s="6" t="n">
        <f aca="false">Sens!F16068+Sens!F16069</f>
        <v>135.889104460628</v>
      </c>
      <c r="G16071" s="6" t="n">
        <f aca="false">Sens!G16068+Sens!G16069</f>
        <v>161.043678229876</v>
      </c>
      <c r="H16071" s="6" t="n">
        <f aca="false">Sens!H16068+Sens!H16069</f>
        <v>181.974199155081</v>
      </c>
      <c r="I16071" s="6" t="n">
        <f aca="false">Sens!I16068+Sens!I16069</f>
        <v>200.545187298855</v>
      </c>
      <c r="J16071" s="6" t="n">
        <f aca="false">Sens!J16068+Sens!J16069</f>
        <v>218.036976330236</v>
      </c>
      <c r="K16071" s="6" t="n">
        <f aca="false">Sens!K16068+Sens!K16069</f>
        <v>234.472002641203</v>
      </c>
    </row>
    <row r="16072" customFormat="false" ht="17.15" hidden="false" customHeight="false" outlineLevel="0" collapsed="false">
      <c r="A16072" s="0" t="s">
        <v>1026</v>
      </c>
      <c r="B16072" s="1" t="s">
        <v>610</v>
      </c>
      <c r="C16072" s="30" t="n">
        <f aca="false">cop_s24</f>
        <v>1</v>
      </c>
      <c r="D16072" s="30" t="n">
        <f aca="false">cop_s25</f>
        <v>5</v>
      </c>
      <c r="E16072" s="30" t="n">
        <f aca="false">cop_s26</f>
        <v>30</v>
      </c>
      <c r="F16072" s="30" t="n">
        <f aca="false">Sens!E16072+cop_add_B</f>
        <v>50</v>
      </c>
      <c r="G16072" s="30" t="n">
        <f aca="false">Sens!F16072+cop_add_B</f>
        <v>70</v>
      </c>
      <c r="H16072" s="30" t="n">
        <f aca="false">Sens!G16072+cop_add_B</f>
        <v>90</v>
      </c>
      <c r="I16072" s="30" t="n">
        <f aca="false">Sens!H16072+cop_add_B*cop_tail</f>
        <v>100</v>
      </c>
      <c r="J16072" s="30" t="n">
        <f aca="false">Sens!I16072+cop_add_B*cop_tail</f>
        <v>110</v>
      </c>
      <c r="K16072" s="30" t="n">
        <f aca="false">Sens!J16072+cop_add_B*cop_tail</f>
        <v>120</v>
      </c>
      <c r="L16072" s="12" t="s">
        <v>1027</v>
      </c>
    </row>
    <row r="16073" customFormat="false" ht="17.15" hidden="false" customHeight="false" outlineLevel="0" collapsed="false">
      <c r="A16073" s="0" t="s">
        <v>1028</v>
      </c>
      <c r="B16073" s="0" t="s">
        <v>98</v>
      </c>
      <c r="D16073" s="6" t="n">
        <f aca="false">(Sens!C16072+Sens!D16072)/2*cop_px*12/1000</f>
        <v>0.9</v>
      </c>
      <c r="E16073" s="6" t="n">
        <f aca="false">(Sens!D16072+Sens!E16072)/2*cop_px*12/1000</f>
        <v>5.25</v>
      </c>
      <c r="F16073" s="6" t="n">
        <f aca="false">(Sens!E16072+Sens!F16072)/2*cop_px*12/1000</f>
        <v>12</v>
      </c>
      <c r="G16073" s="6" t="n">
        <f aca="false">(Sens!F16072+Sens!G16072)/2*cop_px*12/1000</f>
        <v>18</v>
      </c>
      <c r="H16073" s="6" t="n">
        <f aca="false">(Sens!G16072+Sens!H16072)/2*cop_px*12/1000</f>
        <v>24</v>
      </c>
      <c r="I16073" s="6" t="n">
        <f aca="false">(Sens!H16072+Sens!I16072)/2*cop_px*12/1000</f>
        <v>28.5</v>
      </c>
      <c r="J16073" s="6" t="n">
        <f aca="false">(Sens!I16072+Sens!J16072)/2*cop_px*12/1000</f>
        <v>31.5</v>
      </c>
      <c r="K16073" s="6" t="n">
        <f aca="false">(Sens!J16072+Sens!K16072)/2*cop_px*12/1000</f>
        <v>34.5</v>
      </c>
      <c r="L16073" s="1" t="s">
        <v>1029</v>
      </c>
    </row>
    <row r="16074" customFormat="false" ht="17.15" hidden="false" customHeight="false" outlineLevel="0" collapsed="false">
      <c r="A16074" s="0" t="s">
        <v>1030</v>
      </c>
      <c r="B16074" s="0" t="s">
        <v>98</v>
      </c>
      <c r="D16074" s="6" t="n">
        <f aca="false">Q!L7-Sens!D16073</f>
        <v>83.705</v>
      </c>
      <c r="E16074" s="6" t="n">
        <f aca="false">Q!M7-Sens!E16073</f>
        <v>95.049</v>
      </c>
      <c r="F16074" s="6" t="n">
        <f aca="false">Q!$I$7+(Sens!E16074*(1+Sens!F16075)+Sens!F16073)*(1-Q!$E$7/Q!M7)-Sens!F16073</f>
        <v>106.584003697747</v>
      </c>
      <c r="G16074" s="6" t="n">
        <f aca="false">Sens!F16074*(1+Sens!G16075)</f>
        <v>118.700726545688</v>
      </c>
      <c r="H16074" s="6" t="n">
        <f aca="false">Sens!G16074*(1+Sens!H16075)</f>
        <v>130.898624783666</v>
      </c>
      <c r="I16074" s="6" t="n">
        <f aca="false">Sens!H16074*(1+Sens!I16075)</f>
        <v>142.920510030657</v>
      </c>
      <c r="J16074" s="6" t="n">
        <f aca="false">Sens!I16074*(1+Sens!J16075)</f>
        <v>154.485722618572</v>
      </c>
      <c r="K16074" s="6" t="n">
        <f aca="false">Sens!J16074*(1+Sens!K16075)</f>
        <v>165.299723201872</v>
      </c>
      <c r="L16074" s="12" t="s">
        <v>1031</v>
      </c>
    </row>
    <row r="16075" customFormat="false" ht="15" hidden="false" customHeight="false" outlineLevel="0" collapsed="false">
      <c r="A16075" s="1" t="s">
        <v>1024</v>
      </c>
      <c r="B16075" s="0" t="s">
        <v>168</v>
      </c>
      <c r="E16075" s="7" t="n">
        <f aca="false">Sens!E16074/Sens!D16074-1</f>
        <v>0.135523564900544</v>
      </c>
      <c r="F16075" s="7" t="n">
        <f aca="false">Sens!$E$16075+(glt_m365b-Sens!$E$16075)*MIN(1,(Sens!F16027-base_fy)/n_conv)</f>
        <v>0.124602970750453</v>
      </c>
      <c r="G16075" s="7" t="n">
        <f aca="false">Sens!$E$16075+(glt_m365b-Sens!$E$16075)*MIN(1,(Sens!G16027-base_fy)/n_conv)</f>
        <v>0.113682376600363</v>
      </c>
      <c r="H16075" s="7" t="n">
        <f aca="false">Sens!$E$16075+(glt_m365b-Sens!$E$16075)*MIN(1,(Sens!H16027-base_fy)/n_conv)</f>
        <v>0.102761782450272</v>
      </c>
      <c r="I16075" s="7" t="n">
        <f aca="false">Sens!$E$16075+(glt_m365b-Sens!$E$16075)*MIN(1,(Sens!I16027-base_fy)/n_conv)</f>
        <v>0.0918411883001813</v>
      </c>
      <c r="J16075" s="7" t="n">
        <f aca="false">Sens!$E$16075+(glt_m365b-Sens!$E$16075)*MIN(1,(Sens!J16027-base_fy)/n_conv)</f>
        <v>0.0809205941500906</v>
      </c>
      <c r="K16075" s="7" t="n">
        <f aca="false">Sens!$E$16075+(glt_m365b-Sens!$E$16075)*MIN(1,(Sens!K16027-base_fy)/n_conv)</f>
        <v>0.07</v>
      </c>
    </row>
    <row r="16076" customFormat="false" ht="15" hidden="false" customHeight="false" outlineLevel="0" collapsed="false">
      <c r="A16076" s="0" t="s">
        <v>1032</v>
      </c>
      <c r="B16076" s="0" t="s">
        <v>98</v>
      </c>
      <c r="D16076" s="6" t="n">
        <f aca="false">Sens!D16074+Sens!D16073</f>
        <v>84.605</v>
      </c>
      <c r="E16076" s="6" t="n">
        <f aca="false">Sens!E16074+Sens!E16073</f>
        <v>100.299</v>
      </c>
      <c r="F16076" s="6" t="n">
        <f aca="false">Sens!F16074+Sens!F16073</f>
        <v>118.584003697747</v>
      </c>
      <c r="G16076" s="6" t="n">
        <f aca="false">Sens!G16074+Sens!G16073</f>
        <v>136.700726545688</v>
      </c>
      <c r="H16076" s="6" t="n">
        <f aca="false">Sens!H16074+Sens!H16073</f>
        <v>154.898624783666</v>
      </c>
      <c r="I16076" s="6" t="n">
        <f aca="false">Sens!I16074+Sens!I16073</f>
        <v>171.420510030657</v>
      </c>
      <c r="J16076" s="6" t="n">
        <f aca="false">Sens!J16074+Sens!J16073</f>
        <v>185.985722618572</v>
      </c>
      <c r="K16076" s="6" t="n">
        <f aca="false">Sens!K16074+Sens!K16073</f>
        <v>199.799723201872</v>
      </c>
    </row>
    <row r="16077" customFormat="false" ht="17.15" hidden="false" customHeight="false" outlineLevel="0" collapsed="false">
      <c r="A16077" s="0" t="s">
        <v>1033</v>
      </c>
      <c r="B16077" s="0" t="s">
        <v>98</v>
      </c>
      <c r="D16077" s="6" t="n">
        <f aca="false">Q!L8</f>
        <v>35.391</v>
      </c>
      <c r="E16077" s="6" t="n">
        <f aca="false">Q!M8</f>
        <v>37.285</v>
      </c>
      <c r="F16077" s="6" t="n">
        <f aca="false">Q!$I$8+(Q!M8-Q!$E$8)*(1+Sens!F16078)</f>
        <v>38.3851437782675</v>
      </c>
      <c r="G16077" s="6" t="n">
        <f aca="false">Sens!F16077*(1+Sens!G16078)</f>
        <v>40.0105353288615</v>
      </c>
      <c r="H16077" s="6" t="n">
        <f aca="false">Sens!G16077*(1+Sens!H16078)</f>
        <v>41.4812512033683</v>
      </c>
      <c r="I16077" s="6" t="n">
        <f aca="false">Sens!H16077*(1+Sens!I16078)</f>
        <v>42.7743107216329</v>
      </c>
      <c r="J16077" s="6" t="n">
        <f aca="false">Sens!I16077*(1+Sens!J16078)</f>
        <v>43.8687373064601</v>
      </c>
      <c r="K16077" s="6" t="n">
        <f aca="false">Sens!J16077*(1+Sens!K16078)</f>
        <v>44.7461120525893</v>
      </c>
      <c r="L16077" s="12" t="s">
        <v>1034</v>
      </c>
    </row>
    <row r="16078" customFormat="false" ht="15" hidden="false" customHeight="false" outlineLevel="0" collapsed="false">
      <c r="A16078" s="1" t="s">
        <v>1024</v>
      </c>
      <c r="B16078" s="0" t="s">
        <v>168</v>
      </c>
      <c r="E16078" s="7" t="n">
        <f aca="false">Sens!E16077/Sens!D16077-1</f>
        <v>0.0535164307309768</v>
      </c>
      <c r="F16078" s="7" t="n">
        <f aca="false">Sens!$E$16078+(glt_lic-Sens!$E$16078)*MIN(1,(Sens!F16027-base_fy)/n_conv)</f>
        <v>0.0479303589424807</v>
      </c>
      <c r="G16078" s="7" t="n">
        <f aca="false">Sens!$E$16078+(glt_lic-Sens!$E$16078)*MIN(1,(Sens!G16027-base_fy)/n_conv)</f>
        <v>0.0423442871539845</v>
      </c>
      <c r="H16078" s="7" t="n">
        <f aca="false">Sens!$E$16078+(glt_lic-Sens!$E$16078)*MIN(1,(Sens!H16027-base_fy)/n_conv)</f>
        <v>0.0367582153654884</v>
      </c>
      <c r="I16078" s="7" t="n">
        <f aca="false">Sens!$E$16078+(glt_lic-Sens!$E$16078)*MIN(1,(Sens!I16027-base_fy)/n_conv)</f>
        <v>0.0311721435769923</v>
      </c>
      <c r="J16078" s="7" t="n">
        <f aca="false">Sens!$E$16078+(glt_lic-Sens!$E$16078)*MIN(1,(Sens!J16027-base_fy)/n_conv)</f>
        <v>0.0255860717884961</v>
      </c>
      <c r="K16078" s="7" t="n">
        <f aca="false">Sens!$E$16078+(glt_lic-Sens!$E$16078)*MIN(1,(Sens!K16027-base_fy)/n_conv)</f>
        <v>0.02</v>
      </c>
    </row>
    <row r="16079" customFormat="false" ht="17.15" hidden="false" customHeight="false" outlineLevel="0" collapsed="false">
      <c r="A16079" s="0" t="s">
        <v>1035</v>
      </c>
      <c r="B16079" s="0" t="s">
        <v>98</v>
      </c>
      <c r="D16079" s="6" t="n">
        <f aca="false">Q!L9</f>
        <v>18.417</v>
      </c>
      <c r="E16079" s="6" t="n">
        <f aca="false">Q!M9</f>
        <v>20.345</v>
      </c>
      <c r="F16079" s="6" t="n">
        <f aca="false">Q!$I$9+(Q!M9-Q!$E$9)*(1+Sens!F16080)</f>
        <v>22.3161797133988</v>
      </c>
      <c r="G16079" s="6" t="n">
        <f aca="false">Sens!F16079*(1+Sens!G16080)</f>
        <v>24.3943499673233</v>
      </c>
      <c r="H16079" s="6" t="n">
        <f aca="false">Sens!G16079*(1+Sens!H16080)</f>
        <v>26.5250243109019</v>
      </c>
      <c r="I16079" s="6" t="n">
        <f aca="false">Sens!H16079*(1+Sens!I16080)</f>
        <v>28.6884573538181</v>
      </c>
      <c r="J16079" s="6" t="n">
        <f aca="false">Sens!I16079*(1+Sens!J16080)</f>
        <v>30.8624968052127</v>
      </c>
      <c r="K16079" s="6" t="n">
        <f aca="false">Sens!J16079*(1+Sens!K16080)</f>
        <v>33.0228715815776</v>
      </c>
      <c r="L16079" s="12" t="s">
        <v>1034</v>
      </c>
    </row>
    <row r="16080" customFormat="false" ht="15" hidden="false" customHeight="false" outlineLevel="0" collapsed="false">
      <c r="A16080" s="1" t="s">
        <v>1024</v>
      </c>
      <c r="B16080" s="0" t="s">
        <v>168</v>
      </c>
      <c r="E16080" s="7" t="n">
        <f aca="false">Sens!E16079/Sens!D16079-1</f>
        <v>0.104685888038225</v>
      </c>
      <c r="F16080" s="7" t="n">
        <f aca="false">Sens!$E$16080+(glt_ind-Sens!$E$16080)*MIN(1,(Sens!F16027-base_fy)/n_conv)</f>
        <v>0.0989049066985211</v>
      </c>
      <c r="G16080" s="7" t="n">
        <f aca="false">Sens!$E$16080+(glt_ind-Sens!$E$16080)*MIN(1,(Sens!G16027-base_fy)/n_conv)</f>
        <v>0.0931239253588169</v>
      </c>
      <c r="H16080" s="7" t="n">
        <f aca="false">Sens!$E$16080+(glt_ind-Sens!$E$16080)*MIN(1,(Sens!H16027-base_fy)/n_conv)</f>
        <v>0.0873429440191127</v>
      </c>
      <c r="I16080" s="7" t="n">
        <f aca="false">Sens!$E$16080+(glt_ind-Sens!$E$16080)*MIN(1,(Sens!I16027-base_fy)/n_conv)</f>
        <v>0.0815619626794085</v>
      </c>
      <c r="J16080" s="7" t="n">
        <f aca="false">Sens!$E$16080+(glt_ind-Sens!$E$16080)*MIN(1,(Sens!J16027-base_fy)/n_conv)</f>
        <v>0.0757809813397042</v>
      </c>
      <c r="K16080" s="7" t="n">
        <f aca="false">Sens!$E$16080+(glt_ind-Sens!$E$16080)*MIN(1,(Sens!K16027-base_fy)/n_conv)</f>
        <v>0.07</v>
      </c>
    </row>
    <row r="16081" customFormat="false" ht="17.15" hidden="false" customHeight="false" outlineLevel="0" collapsed="false">
      <c r="A16081" s="0" t="s">
        <v>1036</v>
      </c>
      <c r="B16081" s="0" t="s">
        <v>98</v>
      </c>
      <c r="D16081" s="6" t="n">
        <f aca="false">Q!L10</f>
        <v>7.76</v>
      </c>
      <c r="E16081" s="6" t="n">
        <f aca="false">Q!M10</f>
        <v>8.26</v>
      </c>
      <c r="F16081" s="6" t="n">
        <f aca="false">Q!$I$10+(Q!M10-Q!$E$10)*(1+Sens!F16082)</f>
        <v>8.75372082474227</v>
      </c>
      <c r="G16081" s="6" t="n">
        <f aca="false">Sens!F16081*(1+Sens!G16082)</f>
        <v>9.33399324642364</v>
      </c>
      <c r="H16081" s="6" t="n">
        <f aca="false">Sens!G16081*(1+Sens!H16082)</f>
        <v>9.96139155535851</v>
      </c>
      <c r="I16081" s="6" t="n">
        <f aca="false">Sens!H16081*(1+Sens!I16082)</f>
        <v>10.6402039077391</v>
      </c>
      <c r="J16081" s="6" t="n">
        <f aca="false">Sens!I16081*(1+Sens!J16082)</f>
        <v>11.3751458271397</v>
      </c>
      <c r="K16081" s="6" t="n">
        <f aca="false">Sens!J16081*(1+Sens!K16082)</f>
        <v>12.1714060350394</v>
      </c>
      <c r="L16081" s="12" t="s">
        <v>1034</v>
      </c>
    </row>
    <row r="16082" customFormat="false" ht="15" hidden="false" customHeight="false" outlineLevel="0" collapsed="false">
      <c r="A16082" s="1" t="s">
        <v>1024</v>
      </c>
      <c r="B16082" s="0" t="s">
        <v>168</v>
      </c>
      <c r="E16082" s="7" t="n">
        <f aca="false">Sens!E16081/Sens!D16081-1</f>
        <v>0.0644329896907216</v>
      </c>
      <c r="F16082" s="7" t="n">
        <f aca="false">Sens!$E$16082+(glt_fro-Sens!$E$16082)*MIN(1,(Sens!F16027-base_fy)/n_conv)</f>
        <v>0.065360824742268</v>
      </c>
      <c r="G16082" s="7" t="n">
        <f aca="false">Sens!$E$16082+(glt_fro-Sens!$E$16082)*MIN(1,(Sens!G16027-base_fy)/n_conv)</f>
        <v>0.0662886597938144</v>
      </c>
      <c r="H16082" s="7" t="n">
        <f aca="false">Sens!$E$16082+(glt_fro-Sens!$E$16082)*MIN(1,(Sens!H16027-base_fy)/n_conv)</f>
        <v>0.0672164948453608</v>
      </c>
      <c r="I16082" s="7" t="n">
        <f aca="false">Sens!$E$16082+(glt_fro-Sens!$E$16082)*MIN(1,(Sens!I16027-base_fy)/n_conv)</f>
        <v>0.0681443298969072</v>
      </c>
      <c r="J16082" s="7" t="n">
        <f aca="false">Sens!$E$16082+(glt_fro-Sens!$E$16082)*MIN(1,(Sens!J16027-base_fy)/n_conv)</f>
        <v>0.0690721649484536</v>
      </c>
      <c r="K16082" s="7" t="n">
        <f aca="false">Sens!$E$16082+(glt_fro-Sens!$E$16082)*MIN(1,(Sens!K16027-base_fy)/n_conv)</f>
        <v>0.07</v>
      </c>
    </row>
    <row r="16083" customFormat="false" ht="15" hidden="false" customHeight="false" outlineLevel="0" collapsed="false">
      <c r="A16083" s="0" t="s">
        <v>852</v>
      </c>
      <c r="B16083" s="0" t="s">
        <v>98</v>
      </c>
      <c r="D16083" s="6" t="n">
        <f aca="false">Sens!D16071+Sens!D16076+Sens!D16077+Sens!D16079+Sens!D16081</f>
        <v>218.783</v>
      </c>
      <c r="E16083" s="6" t="n">
        <f aca="false">Sens!E16071+Sens!E16076+Sens!E16077+Sens!E16079+Sens!E16081</f>
        <v>268.127</v>
      </c>
      <c r="F16083" s="6" t="n">
        <f aca="false">Sens!F16071+Sens!F16076+Sens!F16077+Sens!F16079+Sens!F16081</f>
        <v>323.928152474783</v>
      </c>
      <c r="G16083" s="6" t="n">
        <f aca="false">Sens!G16071+Sens!G16076+Sens!G16077+Sens!G16079+Sens!G16081</f>
        <v>371.483283318173</v>
      </c>
      <c r="H16083" s="6" t="n">
        <f aca="false">Sens!H16071+Sens!H16076+Sens!H16077+Sens!H16079+Sens!H16081</f>
        <v>414.840491008376</v>
      </c>
      <c r="I16083" s="6" t="n">
        <f aca="false">Sens!I16071+Sens!I16076+Sens!I16077+Sens!I16079+Sens!I16081</f>
        <v>454.068669312702</v>
      </c>
      <c r="J16083" s="6" t="n">
        <f aca="false">Sens!J16071+Sens!J16076+Sens!J16077+Sens!J16079+Sens!J16081</f>
        <v>490.12907888762</v>
      </c>
      <c r="K16083" s="6" t="n">
        <f aca="false">Sens!K16071+Sens!K16076+Sens!K16077+Sens!K16079+Sens!K16081</f>
        <v>524.212115512281</v>
      </c>
    </row>
    <row r="16084" customFormat="false" ht="17.15" hidden="false" customHeight="false" outlineLevel="0" collapsed="false">
      <c r="A16084" s="0" t="s">
        <v>1037</v>
      </c>
      <c r="B16084" s="0" t="s">
        <v>98</v>
      </c>
      <c r="D16084" s="6" t="n">
        <f aca="false">Q!L13</f>
        <v>22.171</v>
      </c>
      <c r="E16084" s="6" t="n">
        <f aca="false">Q!M13</f>
        <v>24.835</v>
      </c>
      <c r="F16084" s="6" t="n">
        <f aca="false">Q!$I$13+(Q!M13-Q!$E$13)*(1+Sens!F16085)</f>
        <v>27.5591895660247</v>
      </c>
      <c r="G16084" s="6" t="n">
        <f aca="false">Sens!F16084*(1+Sens!G16085)</f>
        <v>30.4098563144583</v>
      </c>
      <c r="H16084" s="6" t="n">
        <f aca="false">Sens!G16084*(1+Sens!H16085)</f>
        <v>33.3011792571777</v>
      </c>
      <c r="I16084" s="6" t="n">
        <f aca="false">Sens!H16084*(1+Sens!I16085)</f>
        <v>36.189023797112</v>
      </c>
      <c r="J16084" s="6" t="n">
        <f aca="false">Sens!I16084*(1+Sens!J16085)</f>
        <v>39.0247773769199</v>
      </c>
      <c r="K16084" s="6" t="n">
        <f aca="false">Sens!J16084*(1+Sens!K16085)</f>
        <v>41.7565117933043</v>
      </c>
      <c r="L16084" s="12" t="s">
        <v>1034</v>
      </c>
    </row>
    <row r="16085" customFormat="false" ht="15" hidden="false" customHeight="false" outlineLevel="0" collapsed="false">
      <c r="A16085" s="1" t="s">
        <v>1024</v>
      </c>
      <c r="B16085" s="0" t="s">
        <v>168</v>
      </c>
      <c r="E16085" s="7" t="n">
        <f aca="false">Sens!E16084/Sens!D16084-1</f>
        <v>0.120156961796942</v>
      </c>
      <c r="F16085" s="7" t="n">
        <f aca="false">Sens!$E$16085+(glt_srch-Sens!$E$16085)*MIN(1,(Sens!F16027-base_fy)/n_conv)</f>
        <v>0.111797468164118</v>
      </c>
      <c r="G16085" s="7" t="n">
        <f aca="false">Sens!$E$16085+(glt_srch-Sens!$E$16085)*MIN(1,(Sens!G16027-base_fy)/n_conv)</f>
        <v>0.103437974531295</v>
      </c>
      <c r="H16085" s="7" t="n">
        <f aca="false">Sens!$E$16085+(glt_srch-Sens!$E$16085)*MIN(1,(Sens!H16027-base_fy)/n_conv)</f>
        <v>0.095078480898471</v>
      </c>
      <c r="I16085" s="7" t="n">
        <f aca="false">Sens!$E$16085+(glt_srch-Sens!$E$16085)*MIN(1,(Sens!I16027-base_fy)/n_conv)</f>
        <v>0.0867189872656474</v>
      </c>
      <c r="J16085" s="7" t="n">
        <f aca="false">Sens!$E$16085+(glt_srch-Sens!$E$16085)*MIN(1,(Sens!J16027-base_fy)/n_conv)</f>
        <v>0.0783594936328237</v>
      </c>
      <c r="K16085" s="7" t="n">
        <f aca="false">Sens!$E$16085+(glt_srch-Sens!$E$16085)*MIN(1,(Sens!K16027-base_fy)/n_conv)</f>
        <v>0.07</v>
      </c>
    </row>
    <row r="16086" customFormat="false" ht="17.15" hidden="false" customHeight="false" outlineLevel="0" collapsed="false">
      <c r="A16086" s="0" t="s">
        <v>1038</v>
      </c>
      <c r="B16086" s="0" t="s">
        <v>98</v>
      </c>
      <c r="D16086" s="6" t="n">
        <f aca="false">Q!L14</f>
        <v>23.455</v>
      </c>
      <c r="E16086" s="6" t="n">
        <f aca="false">Q!M14</f>
        <v>21.79</v>
      </c>
      <c r="F16086" s="6" t="n">
        <f aca="false">Q!$I$14+(Q!M14-Q!$E$14)*(1+Sens!F16087)</f>
        <v>20.7520981041711</v>
      </c>
      <c r="G16086" s="6" t="n">
        <f aca="false">Sens!F16086*(1+Sens!G16087)</f>
        <v>19.9083593495882</v>
      </c>
      <c r="H16086" s="6" t="n">
        <f aca="false">Sens!G16086*(1+Sens!H16087)</f>
        <v>19.4008256265831</v>
      </c>
      <c r="I16086" s="6" t="n">
        <f aca="false">Sens!H16086*(1+Sens!I16087)</f>
        <v>19.200434522122</v>
      </c>
      <c r="J16086" s="6" t="n">
        <f aca="false">Sens!I16086*(1+Sens!J16087)</f>
        <v>19.2932782348507</v>
      </c>
      <c r="K16086" s="6" t="n">
        <f aca="false">Sens!J16086*(1+Sens!K16087)</f>
        <v>19.6791437995477</v>
      </c>
      <c r="L16086" s="12" t="s">
        <v>1034</v>
      </c>
    </row>
    <row r="16087" customFormat="false" ht="15" hidden="false" customHeight="false" outlineLevel="0" collapsed="false">
      <c r="A16087" s="1" t="s">
        <v>1024</v>
      </c>
      <c r="B16087" s="0" t="s">
        <v>168</v>
      </c>
      <c r="E16087" s="7" t="n">
        <f aca="false">Sens!E16086/Sens!D16086-1</f>
        <v>-0.0709869963760392</v>
      </c>
      <c r="F16087" s="7" t="n">
        <f aca="false">Sens!$E$16087+(glt_xbox-Sens!$E$16087)*MIN(1,(Sens!F16027-base_fy)/n_conv)</f>
        <v>-0.0558224969800327</v>
      </c>
      <c r="G16087" s="7" t="n">
        <f aca="false">Sens!$E$16087+(glt_xbox-Sens!$E$16087)*MIN(1,(Sens!G16027-base_fy)/n_conv)</f>
        <v>-0.0406579975840262</v>
      </c>
      <c r="H16087" s="7" t="n">
        <f aca="false">Sens!$E$16087+(glt_xbox-Sens!$E$16087)*MIN(1,(Sens!H16027-base_fy)/n_conv)</f>
        <v>-0.0254934981880196</v>
      </c>
      <c r="I16087" s="7" t="n">
        <f aca="false">Sens!$E$16087+(glt_xbox-Sens!$E$16087)*MIN(1,(Sens!I16027-base_fy)/n_conv)</f>
        <v>-0.0103289987920131</v>
      </c>
      <c r="J16087" s="7" t="n">
        <f aca="false">Sens!$E$16087+(glt_xbox-Sens!$E$16087)*MIN(1,(Sens!J16027-base_fy)/n_conv)</f>
        <v>0.00483550060399347</v>
      </c>
      <c r="K16087" s="7" t="n">
        <f aca="false">Sens!$E$16087+(glt_xbox-Sens!$E$16087)*MIN(1,(Sens!K16027-base_fy)/n_conv)</f>
        <v>0.02</v>
      </c>
    </row>
    <row r="16088" customFormat="false" ht="17.15" hidden="false" customHeight="false" outlineLevel="0" collapsed="false">
      <c r="A16088" s="0" t="s">
        <v>1039</v>
      </c>
      <c r="B16088" s="0" t="s">
        <v>98</v>
      </c>
      <c r="D16088" s="6" t="n">
        <f aca="false">Q!L15</f>
        <v>17.315</v>
      </c>
      <c r="E16088" s="6" t="n">
        <f aca="false">Q!M15</f>
        <v>17.087</v>
      </c>
      <c r="F16088" s="6" t="n">
        <f aca="false">Q!$I$15+(Q!M15-Q!$E$15)*(1+Sens!F16089)</f>
        <v>15.9912273250553</v>
      </c>
      <c r="G16088" s="6" t="n">
        <f aca="false">Sens!F16088*(1+Sens!G16089)</f>
        <v>15.9574562664827</v>
      </c>
      <c r="H16088" s="6" t="n">
        <f aca="false">Sens!G16088*(1+Sens!H16089)</f>
        <v>16.0119687434196</v>
      </c>
      <c r="I16088" s="6" t="n">
        <f aca="false">Sens!H16088*(1+Sens!I16089)</f>
        <v>16.1551810001948</v>
      </c>
      <c r="J16088" s="6" t="n">
        <f aca="false">Sens!I16088*(1+Sens!J16089)</f>
        <v>16.3889793892005</v>
      </c>
      <c r="K16088" s="6" t="n">
        <f aca="false">Sens!J16088*(1+Sens!K16089)</f>
        <v>16.7167589769845</v>
      </c>
      <c r="L16088" s="12" t="s">
        <v>1034</v>
      </c>
    </row>
    <row r="16089" customFormat="false" ht="15" hidden="false" customHeight="false" outlineLevel="0" collapsed="false">
      <c r="A16089" s="1" t="s">
        <v>1024</v>
      </c>
      <c r="B16089" s="0" t="s">
        <v>168</v>
      </c>
      <c r="E16089" s="7" t="n">
        <f aca="false">Sens!E16088/Sens!D16088-1</f>
        <v>-0.0131677736066995</v>
      </c>
      <c r="F16089" s="7" t="n">
        <f aca="false">Sens!$E$16089+(glt_win-Sens!$E$16089)*MIN(1,(Sens!F16027-base_fy)/n_conv)</f>
        <v>-0.00763981133891627</v>
      </c>
      <c r="G16089" s="7" t="n">
        <f aca="false">Sens!$E$16089+(glt_win-Sens!$E$16089)*MIN(1,(Sens!G16027-base_fy)/n_conv)</f>
        <v>-0.00211184907113301</v>
      </c>
      <c r="H16089" s="7" t="n">
        <f aca="false">Sens!$E$16089+(glt_win-Sens!$E$16089)*MIN(1,(Sens!H16027-base_fy)/n_conv)</f>
        <v>0.00341611319665024</v>
      </c>
      <c r="I16089" s="7" t="n">
        <f aca="false">Sens!$E$16089+(glt_win-Sens!$E$16089)*MIN(1,(Sens!I16027-base_fy)/n_conv)</f>
        <v>0.00894407546443349</v>
      </c>
      <c r="J16089" s="7" t="n">
        <f aca="false">Sens!$E$16089+(glt_win-Sens!$E$16089)*MIN(1,(Sens!J16027-base_fy)/n_conv)</f>
        <v>0.0144720377322168</v>
      </c>
      <c r="K16089" s="7" t="n">
        <f aca="false">Sens!$E$16089+(glt_win-Sens!$E$16089)*MIN(1,(Sens!K16027-base_fy)/n_conv)</f>
        <v>0.02</v>
      </c>
    </row>
    <row r="16090" customFormat="false" ht="15" hidden="false" customHeight="false" outlineLevel="0" collapsed="false">
      <c r="A16090" s="0" t="s">
        <v>866</v>
      </c>
      <c r="B16090" s="0" t="s">
        <v>98</v>
      </c>
      <c r="D16090" s="6" t="n">
        <f aca="false">Sens!D16084+Sens!D16086+Sens!D16088</f>
        <v>62.941</v>
      </c>
      <c r="E16090" s="6" t="n">
        <f aca="false">Sens!E16084+Sens!E16086+Sens!E16088</f>
        <v>63.712</v>
      </c>
      <c r="F16090" s="6" t="n">
        <f aca="false">Sens!F16084+Sens!F16086+Sens!F16088</f>
        <v>64.3025149952511</v>
      </c>
      <c r="G16090" s="6" t="n">
        <f aca="false">Sens!G16084+Sens!G16086+Sens!G16088</f>
        <v>66.2756719305292</v>
      </c>
      <c r="H16090" s="6" t="n">
        <f aca="false">Sens!H16084+Sens!H16086+Sens!H16088</f>
        <v>68.7139736271804</v>
      </c>
      <c r="I16090" s="6" t="n">
        <f aca="false">Sens!I16084+Sens!I16086+Sens!I16088</f>
        <v>71.5446393194289</v>
      </c>
      <c r="J16090" s="6" t="n">
        <f aca="false">Sens!J16084+Sens!J16086+Sens!J16088</f>
        <v>74.707035000971</v>
      </c>
      <c r="K16090" s="6" t="n">
        <f aca="false">Sens!K16084+Sens!K16086+Sens!K16088</f>
        <v>78.1524145698365</v>
      </c>
    </row>
    <row r="16091" customFormat="false" ht="15" hidden="false" customHeight="false" outlineLevel="0" collapsed="false">
      <c r="A16091" s="1" t="s">
        <v>1040</v>
      </c>
      <c r="B16091" s="0" t="s">
        <v>98</v>
      </c>
      <c r="D16091" s="6" t="n">
        <f aca="false">Sens!D16083+Sens!D16090</f>
        <v>281.724</v>
      </c>
      <c r="E16091" s="6" t="n">
        <f aca="false">Sens!E16083+Sens!E16090</f>
        <v>331.839</v>
      </c>
      <c r="F16091" s="6" t="n">
        <f aca="false">Sens!F16083+Sens!F16090</f>
        <v>388.230667470034</v>
      </c>
      <c r="G16091" s="6" t="n">
        <f aca="false">Sens!G16083+Sens!G16090</f>
        <v>437.758955248702</v>
      </c>
      <c r="H16091" s="6" t="n">
        <f aca="false">Sens!H16083+Sens!H16090</f>
        <v>483.554464635556</v>
      </c>
      <c r="I16091" s="6" t="n">
        <f aca="false">Sens!I16083+Sens!I16090</f>
        <v>525.613308632131</v>
      </c>
      <c r="J16091" s="6" t="n">
        <f aca="false">Sens!J16083+Sens!J16090</f>
        <v>564.836113888591</v>
      </c>
      <c r="K16091" s="6" t="n">
        <f aca="false">Sens!K16083+Sens!K16090</f>
        <v>602.364530082118</v>
      </c>
    </row>
    <row r="16092" customFormat="false" ht="15" hidden="false" customHeight="false" outlineLevel="0" collapsed="false">
      <c r="A16092" s="26" t="s">
        <v>1041</v>
      </c>
      <c r="B16092" s="31" t="s">
        <v>98</v>
      </c>
      <c r="C16092" s="31"/>
      <c r="D16092" s="27" t="n">
        <f aca="false">(Sens!D16071+Sens!D16076+Sens!D16077+Sens!D16079+Sens!D16081-Sens!D16083)+(Sens!D16084+Sens!D16086+Sens!D16088-Sens!D16090)+(Sens!D16083-Q!L5)+(Sens!D16090-Q!L12)+(Sens!D16071-Q!L6)+(Sens!D16076-Q!L7)</f>
        <v>0</v>
      </c>
      <c r="E16092" s="27" t="n">
        <f aca="false">(Sens!E16071+Sens!E16076+Sens!E16077+Sens!E16079+Sens!E16081-Sens!E16083)+(Sens!E16084+Sens!E16086+Sens!E16088-Sens!E16090)+(Sens!E16083-Q!M5)+(Sens!E16090-Q!M12)+(Sens!E16071-Q!M6)+(Sens!E16076-Q!M7)</f>
        <v>0</v>
      </c>
      <c r="F16092" s="27" t="n">
        <f aca="false">(Sens!F16071+Sens!F16076+Sens!F16077+Sens!F16079+Sens!F16081-Sens!F16083)+(Sens!F16084+Sens!F16086+Sens!F16088-Sens!F16090)</f>
        <v>0</v>
      </c>
      <c r="G16092" s="27" t="n">
        <f aca="false">(Sens!G16071+Sens!G16076+Sens!G16077+Sens!G16079+Sens!G16081-Sens!G16083)+(Sens!G16084+Sens!G16086+Sens!G16088-Sens!G16090)</f>
        <v>0</v>
      </c>
      <c r="H16092" s="27" t="n">
        <f aca="false">(Sens!H16071+Sens!H16076+Sens!H16077+Sens!H16079+Sens!H16081-Sens!H16083)+(Sens!H16084+Sens!H16086+Sens!H16088-Sens!H16090)</f>
        <v>0</v>
      </c>
      <c r="I16092" s="27" t="n">
        <f aca="false">(Sens!I16071+Sens!I16076+Sens!I16077+Sens!I16079+Sens!I16081-Sens!I16083)+(Sens!I16084+Sens!I16086+Sens!I16088-Sens!I16090)</f>
        <v>0</v>
      </c>
      <c r="J16092" s="27" t="n">
        <f aca="false">(Sens!J16071+Sens!J16076+Sens!J16077+Sens!J16079+Sens!J16081-Sens!J16083)+(Sens!J16084+Sens!J16086+Sens!J16088-Sens!J16090)</f>
        <v>0</v>
      </c>
      <c r="K16092" s="27" t="n">
        <f aca="false">(Sens!K16071+Sens!K16076+Sens!K16077+Sens!K16079+Sens!K16081-Sens!K16083)+(Sens!K16084+Sens!K16086+Sens!K16088-Sens!K16090)</f>
        <v>0</v>
      </c>
    </row>
    <row r="16093" customFormat="false" ht="17.15" hidden="false" customHeight="false" outlineLevel="0" collapsed="false">
      <c r="A16093" s="3" t="s">
        <v>1876</v>
      </c>
    </row>
    <row r="16094" customFormat="false" ht="15" hidden="false" customHeight="false" outlineLevel="0" collapsed="false">
      <c r="A16094" s="4" t="s">
        <v>43</v>
      </c>
      <c r="B16094" s="4" t="s">
        <v>65</v>
      </c>
      <c r="C16094" s="23" t="s">
        <v>938</v>
      </c>
      <c r="D16094" s="23" t="s">
        <v>939</v>
      </c>
      <c r="E16094" s="23" t="s">
        <v>940</v>
      </c>
      <c r="F16094" s="23" t="s">
        <v>941</v>
      </c>
      <c r="G16094" s="23" t="s">
        <v>942</v>
      </c>
      <c r="H16094" s="23" t="s">
        <v>943</v>
      </c>
      <c r="I16094" s="23" t="s">
        <v>944</v>
      </c>
      <c r="J16094" s="23" t="s">
        <v>945</v>
      </c>
      <c r="K16094" s="23" t="s">
        <v>946</v>
      </c>
      <c r="L16094" s="4" t="s">
        <v>47</v>
      </c>
    </row>
    <row r="16095" customFormat="false" ht="15" hidden="false" customHeight="false" outlineLevel="0" collapsed="false">
      <c r="A16095" s="0" t="s">
        <v>1025</v>
      </c>
      <c r="B16095" s="0" t="s">
        <v>98</v>
      </c>
      <c r="D16095" s="6" t="n">
        <f aca="false">Sens!D16071</f>
        <v>72.61</v>
      </c>
      <c r="E16095" s="6" t="n">
        <f aca="false">Sens!E16071</f>
        <v>101.938</v>
      </c>
      <c r="F16095" s="6" t="n">
        <f aca="false">Sens!F16071</f>
        <v>135.889104460628</v>
      </c>
      <c r="G16095" s="6" t="n">
        <f aca="false">Sens!G16071</f>
        <v>161.043678229876</v>
      </c>
      <c r="H16095" s="6" t="n">
        <f aca="false">Sens!H16071</f>
        <v>181.974199155081</v>
      </c>
      <c r="I16095" s="6" t="n">
        <f aca="false">Sens!I16071</f>
        <v>200.545187298855</v>
      </c>
      <c r="J16095" s="6" t="n">
        <f aca="false">Sens!J16071</f>
        <v>218.036976330236</v>
      </c>
      <c r="K16095" s="6" t="n">
        <f aca="false">Sens!K16071</f>
        <v>234.472002641203</v>
      </c>
    </row>
    <row r="16096" customFormat="false" ht="17.15" hidden="false" customHeight="false" outlineLevel="0" collapsed="false">
      <c r="A16096" s="0" t="s">
        <v>1021</v>
      </c>
      <c r="B16096" s="0" t="s">
        <v>98</v>
      </c>
      <c r="D16096" s="6" t="n">
        <f aca="false">Sens!D16068</f>
        <v>12.9359794422418</v>
      </c>
      <c r="E16096" s="6" t="n">
        <f aca="false">Sens!E16068</f>
        <v>27.8095064661409</v>
      </c>
      <c r="F16096" s="6" t="n">
        <f aca="false">Sens!F16068</f>
        <v>41.5474952749207</v>
      </c>
      <c r="G16096" s="6" t="n">
        <f aca="false">Sens!G16068</f>
        <v>48.9517655264224</v>
      </c>
      <c r="H16096" s="6" t="n">
        <f aca="false">Sens!H16068</f>
        <v>51.8229407672915</v>
      </c>
      <c r="I16096" s="6" t="n">
        <f aca="false">Sens!I16068</f>
        <v>52.9439474006443</v>
      </c>
      <c r="J16096" s="6" t="n">
        <f aca="false">Sens!J16068</f>
        <v>54.636896193871</v>
      </c>
      <c r="K16096" s="6" t="n">
        <f aca="false">Sens!K16068</f>
        <v>57.9999160939293</v>
      </c>
    </row>
    <row r="16097" customFormat="false" ht="17.15" hidden="false" customHeight="false" outlineLevel="0" collapsed="false">
      <c r="A16097" s="0" t="s">
        <v>1052</v>
      </c>
      <c r="B16097" s="0" t="s">
        <v>98</v>
      </c>
      <c r="D16097" s="6" t="n">
        <f aca="false">Sens!D16069</f>
        <v>59.6740205577583</v>
      </c>
      <c r="E16097" s="6" t="n">
        <f aca="false">Sens!E16069</f>
        <v>74.1284935338591</v>
      </c>
      <c r="F16097" s="6" t="n">
        <f aca="false">Sens!F16069</f>
        <v>94.3416091857071</v>
      </c>
      <c r="G16097" s="6" t="n">
        <f aca="false">Sens!G16069</f>
        <v>112.091912703454</v>
      </c>
      <c r="H16097" s="6" t="n">
        <f aca="false">Sens!H16069</f>
        <v>130.15125838779</v>
      </c>
      <c r="I16097" s="6" t="n">
        <f aca="false">Sens!I16069</f>
        <v>147.60123989821</v>
      </c>
      <c r="J16097" s="6" t="n">
        <f aca="false">Sens!J16069</f>
        <v>163.400080136365</v>
      </c>
      <c r="K16097" s="6" t="n">
        <f aca="false">Sens!K16069</f>
        <v>176.472086547274</v>
      </c>
    </row>
    <row r="16098" customFormat="false" ht="15" hidden="false" customHeight="false" outlineLevel="0" collapsed="false">
      <c r="A16098" s="0" t="s">
        <v>1032</v>
      </c>
      <c r="B16098" s="0" t="s">
        <v>98</v>
      </c>
      <c r="D16098" s="6" t="n">
        <f aca="false">Sens!D16076</f>
        <v>84.605</v>
      </c>
      <c r="E16098" s="6" t="n">
        <f aca="false">Sens!E16076</f>
        <v>100.299</v>
      </c>
      <c r="F16098" s="6" t="n">
        <f aca="false">Sens!F16076</f>
        <v>118.584003697747</v>
      </c>
      <c r="G16098" s="6" t="n">
        <f aca="false">Sens!G16076</f>
        <v>136.700726545688</v>
      </c>
      <c r="H16098" s="6" t="n">
        <f aca="false">Sens!H16076</f>
        <v>154.898624783666</v>
      </c>
      <c r="I16098" s="6" t="n">
        <f aca="false">Sens!I16076</f>
        <v>171.420510030657</v>
      </c>
      <c r="J16098" s="6" t="n">
        <f aca="false">Sens!J16076</f>
        <v>185.985722618572</v>
      </c>
      <c r="K16098" s="6" t="n">
        <f aca="false">Sens!K16076</f>
        <v>199.799723201872</v>
      </c>
    </row>
    <row r="16099" customFormat="false" ht="17.15" hidden="false" customHeight="false" outlineLevel="0" collapsed="false">
      <c r="A16099" s="0" t="s">
        <v>1053</v>
      </c>
      <c r="B16099" s="0" t="s">
        <v>98</v>
      </c>
      <c r="D16099" s="6" t="n">
        <f aca="false">Sens!D16074</f>
        <v>83.705</v>
      </c>
      <c r="E16099" s="6" t="n">
        <f aca="false">Sens!E16074</f>
        <v>95.049</v>
      </c>
      <c r="F16099" s="6" t="n">
        <f aca="false">Sens!F16074</f>
        <v>106.584003697747</v>
      </c>
      <c r="G16099" s="6" t="n">
        <f aca="false">Sens!G16074</f>
        <v>118.700726545688</v>
      </c>
      <c r="H16099" s="6" t="n">
        <f aca="false">Sens!H16074</f>
        <v>130.898624783666</v>
      </c>
      <c r="I16099" s="6" t="n">
        <f aca="false">Sens!I16074</f>
        <v>142.920510030657</v>
      </c>
      <c r="J16099" s="6" t="n">
        <f aca="false">Sens!J16074</f>
        <v>154.485722618572</v>
      </c>
      <c r="K16099" s="6" t="n">
        <f aca="false">Sens!K16074</f>
        <v>165.299723201872</v>
      </c>
    </row>
    <row r="16100" customFormat="false" ht="17.15" hidden="false" customHeight="false" outlineLevel="0" collapsed="false">
      <c r="A16100" s="0" t="s">
        <v>1054</v>
      </c>
      <c r="B16100" s="0" t="s">
        <v>98</v>
      </c>
      <c r="D16100" s="6" t="n">
        <f aca="false">Sens!D16073</f>
        <v>0.9</v>
      </c>
      <c r="E16100" s="6" t="n">
        <f aca="false">Sens!E16073</f>
        <v>5.25</v>
      </c>
      <c r="F16100" s="6" t="n">
        <f aca="false">Sens!F16073</f>
        <v>12</v>
      </c>
      <c r="G16100" s="6" t="n">
        <f aca="false">Sens!G16073</f>
        <v>18</v>
      </c>
      <c r="H16100" s="6" t="n">
        <f aca="false">Sens!H16073</f>
        <v>24</v>
      </c>
      <c r="I16100" s="6" t="n">
        <f aca="false">Sens!I16073</f>
        <v>28.5</v>
      </c>
      <c r="J16100" s="6" t="n">
        <f aca="false">Sens!J16073</f>
        <v>31.5</v>
      </c>
      <c r="K16100" s="6" t="n">
        <f aca="false">Sens!K16073</f>
        <v>34.5</v>
      </c>
    </row>
    <row r="16101" customFormat="false" ht="15" hidden="false" customHeight="false" outlineLevel="0" collapsed="false">
      <c r="A16101" s="0" t="s">
        <v>1033</v>
      </c>
      <c r="B16101" s="0" t="s">
        <v>98</v>
      </c>
      <c r="D16101" s="6" t="n">
        <f aca="false">Sens!D16077</f>
        <v>35.391</v>
      </c>
      <c r="E16101" s="6" t="n">
        <f aca="false">Sens!E16077</f>
        <v>37.285</v>
      </c>
      <c r="F16101" s="6" t="n">
        <f aca="false">Sens!F16077</f>
        <v>38.3851437782675</v>
      </c>
      <c r="G16101" s="6" t="n">
        <f aca="false">Sens!G16077</f>
        <v>40.0105353288615</v>
      </c>
      <c r="H16101" s="6" t="n">
        <f aca="false">Sens!H16077</f>
        <v>41.4812512033683</v>
      </c>
      <c r="I16101" s="6" t="n">
        <f aca="false">Sens!I16077</f>
        <v>42.7743107216329</v>
      </c>
      <c r="J16101" s="6" t="n">
        <f aca="false">Sens!J16077</f>
        <v>43.8687373064601</v>
      </c>
      <c r="K16101" s="6" t="n">
        <f aca="false">Sens!K16077</f>
        <v>44.7461120525893</v>
      </c>
    </row>
    <row r="16102" customFormat="false" ht="15" hidden="false" customHeight="false" outlineLevel="0" collapsed="false">
      <c r="A16102" s="0" t="s">
        <v>1035</v>
      </c>
      <c r="B16102" s="0" t="s">
        <v>98</v>
      </c>
      <c r="D16102" s="6" t="n">
        <f aca="false">Sens!D16079</f>
        <v>18.417</v>
      </c>
      <c r="E16102" s="6" t="n">
        <f aca="false">Sens!E16079</f>
        <v>20.345</v>
      </c>
      <c r="F16102" s="6" t="n">
        <f aca="false">Sens!F16079</f>
        <v>22.3161797133988</v>
      </c>
      <c r="G16102" s="6" t="n">
        <f aca="false">Sens!G16079</f>
        <v>24.3943499673233</v>
      </c>
      <c r="H16102" s="6" t="n">
        <f aca="false">Sens!H16079</f>
        <v>26.5250243109019</v>
      </c>
      <c r="I16102" s="6" t="n">
        <f aca="false">Sens!I16079</f>
        <v>28.6884573538181</v>
      </c>
      <c r="J16102" s="6" t="n">
        <f aca="false">Sens!J16079</f>
        <v>30.8624968052127</v>
      </c>
      <c r="K16102" s="6" t="n">
        <f aca="false">Sens!K16079</f>
        <v>33.0228715815776</v>
      </c>
    </row>
    <row r="16103" customFormat="false" ht="15" hidden="false" customHeight="false" outlineLevel="0" collapsed="false">
      <c r="A16103" s="0" t="s">
        <v>1036</v>
      </c>
      <c r="B16103" s="0" t="s">
        <v>98</v>
      </c>
      <c r="D16103" s="6" t="n">
        <f aca="false">Sens!D16081</f>
        <v>7.76</v>
      </c>
      <c r="E16103" s="6" t="n">
        <f aca="false">Sens!E16081</f>
        <v>8.26</v>
      </c>
      <c r="F16103" s="6" t="n">
        <f aca="false">Sens!F16081</f>
        <v>8.75372082474227</v>
      </c>
      <c r="G16103" s="6" t="n">
        <f aca="false">Sens!G16081</f>
        <v>9.33399324642364</v>
      </c>
      <c r="H16103" s="6" t="n">
        <f aca="false">Sens!H16081</f>
        <v>9.96139155535851</v>
      </c>
      <c r="I16103" s="6" t="n">
        <f aca="false">Sens!I16081</f>
        <v>10.6402039077391</v>
      </c>
      <c r="J16103" s="6" t="n">
        <f aca="false">Sens!J16081</f>
        <v>11.3751458271397</v>
      </c>
      <c r="K16103" s="6" t="n">
        <f aca="false">Sens!K16081</f>
        <v>12.1714060350394</v>
      </c>
    </row>
    <row r="16104" customFormat="false" ht="15" hidden="false" customHeight="false" outlineLevel="0" collapsed="false">
      <c r="A16104" s="0" t="s">
        <v>852</v>
      </c>
      <c r="B16104" s="0" t="s">
        <v>98</v>
      </c>
      <c r="D16104" s="6" t="n">
        <f aca="false">Sens!D16083</f>
        <v>218.783</v>
      </c>
      <c r="E16104" s="6" t="n">
        <f aca="false">Sens!E16083</f>
        <v>268.127</v>
      </c>
      <c r="F16104" s="6" t="n">
        <f aca="false">Sens!F16083</f>
        <v>323.928152474783</v>
      </c>
      <c r="G16104" s="6" t="n">
        <f aca="false">Sens!G16083</f>
        <v>371.483283318173</v>
      </c>
      <c r="H16104" s="6" t="n">
        <f aca="false">Sens!H16083</f>
        <v>414.840491008376</v>
      </c>
      <c r="I16104" s="6" t="n">
        <f aca="false">Sens!I16083</f>
        <v>454.068669312702</v>
      </c>
      <c r="J16104" s="6" t="n">
        <f aca="false">Sens!J16083</f>
        <v>490.12907888762</v>
      </c>
      <c r="K16104" s="6" t="n">
        <f aca="false">Sens!K16083</f>
        <v>524.212115512281</v>
      </c>
    </row>
    <row r="16105" customFormat="false" ht="15" hidden="false" customHeight="false" outlineLevel="0" collapsed="false">
      <c r="A16105" s="0" t="s">
        <v>1037</v>
      </c>
      <c r="B16105" s="0" t="s">
        <v>98</v>
      </c>
      <c r="D16105" s="6" t="n">
        <f aca="false">Sens!D16084</f>
        <v>22.171</v>
      </c>
      <c r="E16105" s="6" t="n">
        <f aca="false">Sens!E16084</f>
        <v>24.835</v>
      </c>
      <c r="F16105" s="6" t="n">
        <f aca="false">Sens!F16084</f>
        <v>27.5591895660247</v>
      </c>
      <c r="G16105" s="6" t="n">
        <f aca="false">Sens!G16084</f>
        <v>30.4098563144583</v>
      </c>
      <c r="H16105" s="6" t="n">
        <f aca="false">Sens!H16084</f>
        <v>33.3011792571777</v>
      </c>
      <c r="I16105" s="6" t="n">
        <f aca="false">Sens!I16084</f>
        <v>36.189023797112</v>
      </c>
      <c r="J16105" s="6" t="n">
        <f aca="false">Sens!J16084</f>
        <v>39.0247773769199</v>
      </c>
      <c r="K16105" s="6" t="n">
        <f aca="false">Sens!K16084</f>
        <v>41.7565117933043</v>
      </c>
    </row>
    <row r="16106" customFormat="false" ht="15" hidden="false" customHeight="false" outlineLevel="0" collapsed="false">
      <c r="A16106" s="0" t="s">
        <v>1038</v>
      </c>
      <c r="B16106" s="0" t="s">
        <v>98</v>
      </c>
      <c r="D16106" s="6" t="n">
        <f aca="false">Sens!D16086</f>
        <v>23.455</v>
      </c>
      <c r="E16106" s="6" t="n">
        <f aca="false">Sens!E16086</f>
        <v>21.79</v>
      </c>
      <c r="F16106" s="6" t="n">
        <f aca="false">Sens!F16086</f>
        <v>20.7520981041711</v>
      </c>
      <c r="G16106" s="6" t="n">
        <f aca="false">Sens!G16086</f>
        <v>19.9083593495882</v>
      </c>
      <c r="H16106" s="6" t="n">
        <f aca="false">Sens!H16086</f>
        <v>19.4008256265831</v>
      </c>
      <c r="I16106" s="6" t="n">
        <f aca="false">Sens!I16086</f>
        <v>19.200434522122</v>
      </c>
      <c r="J16106" s="6" t="n">
        <f aca="false">Sens!J16086</f>
        <v>19.2932782348507</v>
      </c>
      <c r="K16106" s="6" t="n">
        <f aca="false">Sens!K16086</f>
        <v>19.6791437995477</v>
      </c>
    </row>
    <row r="16107" customFormat="false" ht="15" hidden="false" customHeight="false" outlineLevel="0" collapsed="false">
      <c r="A16107" s="0" t="s">
        <v>1039</v>
      </c>
      <c r="B16107" s="0" t="s">
        <v>98</v>
      </c>
      <c r="D16107" s="6" t="n">
        <f aca="false">Sens!D16088</f>
        <v>17.315</v>
      </c>
      <c r="E16107" s="6" t="n">
        <f aca="false">Sens!E16088</f>
        <v>17.087</v>
      </c>
      <c r="F16107" s="6" t="n">
        <f aca="false">Sens!F16088</f>
        <v>15.9912273250553</v>
      </c>
      <c r="G16107" s="6" t="n">
        <f aca="false">Sens!G16088</f>
        <v>15.9574562664827</v>
      </c>
      <c r="H16107" s="6" t="n">
        <f aca="false">Sens!H16088</f>
        <v>16.0119687434196</v>
      </c>
      <c r="I16107" s="6" t="n">
        <f aca="false">Sens!I16088</f>
        <v>16.1551810001948</v>
      </c>
      <c r="J16107" s="6" t="n">
        <f aca="false">Sens!J16088</f>
        <v>16.3889793892005</v>
      </c>
      <c r="K16107" s="6" t="n">
        <f aca="false">Sens!K16088</f>
        <v>16.7167589769845</v>
      </c>
    </row>
    <row r="16108" customFormat="false" ht="15" hidden="false" customHeight="false" outlineLevel="0" collapsed="false">
      <c r="A16108" s="0" t="s">
        <v>866</v>
      </c>
      <c r="B16108" s="0" t="s">
        <v>98</v>
      </c>
      <c r="D16108" s="6" t="n">
        <f aca="false">Sens!D16090</f>
        <v>62.941</v>
      </c>
      <c r="E16108" s="6" t="n">
        <f aca="false">Sens!E16090</f>
        <v>63.712</v>
      </c>
      <c r="F16108" s="6" t="n">
        <f aca="false">Sens!F16090</f>
        <v>64.3025149952511</v>
      </c>
      <c r="G16108" s="6" t="n">
        <f aca="false">Sens!G16090</f>
        <v>66.2756719305292</v>
      </c>
      <c r="H16108" s="6" t="n">
        <f aca="false">Sens!H16090</f>
        <v>68.7139736271804</v>
      </c>
      <c r="I16108" s="6" t="n">
        <f aca="false">Sens!I16090</f>
        <v>71.5446393194289</v>
      </c>
      <c r="J16108" s="6" t="n">
        <f aca="false">Sens!J16090</f>
        <v>74.707035000971</v>
      </c>
      <c r="K16108" s="6" t="n">
        <f aca="false">Sens!K16090</f>
        <v>78.1524145698365</v>
      </c>
    </row>
    <row r="16109" customFormat="false" ht="15" hidden="false" customHeight="false" outlineLevel="0" collapsed="false">
      <c r="A16109" s="1" t="s">
        <v>1055</v>
      </c>
      <c r="B16109" s="0" t="s">
        <v>98</v>
      </c>
      <c r="D16109" s="6" t="n">
        <f aca="false">Sens!D16091</f>
        <v>281.724</v>
      </c>
      <c r="E16109" s="6" t="n">
        <f aca="false">Sens!E16091</f>
        <v>331.839</v>
      </c>
      <c r="F16109" s="6" t="n">
        <f aca="false">Sens!F16091</f>
        <v>388.230667470034</v>
      </c>
      <c r="G16109" s="6" t="n">
        <f aca="false">Sens!G16091</f>
        <v>437.758955248702</v>
      </c>
      <c r="H16109" s="6" t="n">
        <f aca="false">Sens!H16091</f>
        <v>483.554464635556</v>
      </c>
      <c r="I16109" s="6" t="n">
        <f aca="false">Sens!I16091</f>
        <v>525.613308632131</v>
      </c>
      <c r="J16109" s="6" t="n">
        <f aca="false">Sens!J16091</f>
        <v>564.836113888591</v>
      </c>
      <c r="K16109" s="6" t="n">
        <f aca="false">Sens!K16091</f>
        <v>602.364530082118</v>
      </c>
    </row>
    <row r="16110" customFormat="false" ht="15" hidden="false" customHeight="false" outlineLevel="0" collapsed="false">
      <c r="A16110" s="1" t="s">
        <v>1056</v>
      </c>
      <c r="B16110" s="0" t="s">
        <v>168</v>
      </c>
      <c r="E16110" s="7" t="n">
        <f aca="false">Sens!E16109/Sens!D16109-1</f>
        <v>0.177886867998467</v>
      </c>
      <c r="F16110" s="7" t="n">
        <f aca="false">Sens!F16109/Sens!E16109-1</f>
        <v>0.169936829215476</v>
      </c>
      <c r="G16110" s="7" t="n">
        <f aca="false">Sens!G16109/Sens!F16109-1</f>
        <v>0.12757438277977</v>
      </c>
      <c r="H16110" s="7" t="n">
        <f aca="false">Sens!H16109/Sens!G16109-1</f>
        <v>0.1046135295184</v>
      </c>
      <c r="I16110" s="7" t="n">
        <f aca="false">Sens!I16109/Sens!H16109-1</f>
        <v>0.0869785041241908</v>
      </c>
      <c r="J16110" s="7" t="n">
        <f aca="false">Sens!J16109/Sens!I16109-1</f>
        <v>0.0746229302270425</v>
      </c>
      <c r="K16110" s="7" t="n">
        <f aca="false">Sens!K16109/Sens!J16109-1</f>
        <v>0.0664412477721441</v>
      </c>
    </row>
    <row r="16111" customFormat="false" ht="17.15" hidden="false" customHeight="false" outlineLevel="0" collapsed="false">
      <c r="A16111" s="26" t="s">
        <v>1057</v>
      </c>
      <c r="B16111" s="31" t="s">
        <v>98</v>
      </c>
      <c r="C16111" s="31"/>
      <c r="D16111" s="27" t="n">
        <f aca="false">(Sens!D16104+Sens!D16108-Sens!D16109)+(Sens!D16096+Sens!D16097-Sens!D16095)+(Sens!D16099+Sens!D16100-Sens!D16098)+(Sens!D16109-Q!L18)</f>
        <v>0</v>
      </c>
      <c r="E16111" s="27" t="n">
        <f aca="false">(Sens!E16104+Sens!E16108-Sens!E16109)+(Sens!E16096+Sens!E16097-Sens!E16095)+(Sens!E16099+Sens!E16100-Sens!E16098)+(Sens!E16109-Q!M18)</f>
        <v>0</v>
      </c>
      <c r="F16111" s="27" t="n">
        <f aca="false">(Sens!F16104+Sens!F16108-Sens!F16109)+(Sens!F16096+Sens!F16097-Sens!F16095)+(Sens!F16099+Sens!F16100-Sens!F16098)</f>
        <v>0</v>
      </c>
      <c r="G16111" s="27" t="n">
        <f aca="false">(Sens!G16104+Sens!G16108-Sens!G16109)+(Sens!G16096+Sens!G16097-Sens!G16095)+(Sens!G16099+Sens!G16100-Sens!G16098)</f>
        <v>0</v>
      </c>
      <c r="H16111" s="27" t="n">
        <f aca="false">(Sens!H16104+Sens!H16108-Sens!H16109)+(Sens!H16096+Sens!H16097-Sens!H16095)+(Sens!H16099+Sens!H16100-Sens!H16098)</f>
        <v>0</v>
      </c>
      <c r="I16111" s="27" t="n">
        <f aca="false">(Sens!I16104+Sens!I16108-Sens!I16109)+(Sens!I16096+Sens!I16097-Sens!I16095)+(Sens!I16099+Sens!I16100-Sens!I16098)</f>
        <v>0</v>
      </c>
      <c r="J16111" s="27" t="n">
        <f aca="false">(Sens!J16104+Sens!J16108-Sens!J16109)+(Sens!J16096+Sens!J16097-Sens!J16095)+(Sens!J16099+Sens!J16100-Sens!J16098)</f>
        <v>0</v>
      </c>
      <c r="K16111" s="27" t="n">
        <f aca="false">(Sens!K16104+Sens!K16108-Sens!K16109)+(Sens!K16096+Sens!K16097-Sens!K16095)+(Sens!K16099+Sens!K16100-Sens!K16098)</f>
        <v>0</v>
      </c>
    </row>
    <row r="16112" customFormat="false" ht="17.15" hidden="false" customHeight="false" outlineLevel="0" collapsed="false">
      <c r="A16112" s="0" t="s">
        <v>1058</v>
      </c>
      <c r="B16112" s="0" t="s">
        <v>168</v>
      </c>
      <c r="E16112" s="7" t="n">
        <f aca="false">(Q!M21+Sens!E16048+Sens!E16049+Sens!E16050+Sens!E16064-Sens!E16046)/(Q!M5-Sens!E16046)</f>
        <v>0.570957350878296</v>
      </c>
      <c r="F16112" s="7" t="n">
        <f aca="false">Sens!$E$16112+dm_seg</f>
        <v>0.570957350878296</v>
      </c>
      <c r="G16112" s="7" t="n">
        <f aca="false">Sens!$E$16112+dm_seg</f>
        <v>0.570957350878296</v>
      </c>
      <c r="H16112" s="7" t="n">
        <f aca="false">Sens!$E$16112+dm_seg</f>
        <v>0.570957350878296</v>
      </c>
      <c r="I16112" s="7" t="n">
        <f aca="false">Sens!$E$16112+dm_seg</f>
        <v>0.570957350878296</v>
      </c>
      <c r="J16112" s="7" t="n">
        <f aca="false">Sens!$E$16112+dm_seg</f>
        <v>0.570957350878296</v>
      </c>
      <c r="K16112" s="7" t="n">
        <f aca="false">Sens!$E$16112+dm_seg</f>
        <v>0.570957350878296</v>
      </c>
      <c r="L16112" s="12" t="s">
        <v>1059</v>
      </c>
    </row>
    <row r="16113" customFormat="false" ht="17.15" hidden="false" customHeight="false" outlineLevel="0" collapsed="false">
      <c r="A16113" s="0" t="s">
        <v>880</v>
      </c>
      <c r="B16113" s="0" t="s">
        <v>98</v>
      </c>
      <c r="D16113" s="6" t="n">
        <f aca="false">Q!L21</f>
        <v>110.814</v>
      </c>
      <c r="E16113" s="6" t="n">
        <f aca="false">Q!M21</f>
        <v>136.365</v>
      </c>
      <c r="F16113" s="6" t="n">
        <f aca="false">Q!$I$21+(Sens!F16112*(Sens!F16083-Sens!F16046)+Sens!F16046-(Sens!F16048+Sens!F16049+Sens!F16050)-Sens!F16064-Sens!F16147)*(Sens!F16083-Q!$I$5)/Sens!F16083</f>
        <v>152.253180035428</v>
      </c>
      <c r="G16113" s="6" t="n">
        <f aca="false">(Sens!G16112*(Sens!G16083-Sens!G16046)+Sens!G16046-(Sens!G16048+Sens!G16049+Sens!G16050)-Sens!G16064-Sens!G16147)</f>
        <v>170.519385074234</v>
      </c>
      <c r="H16113" s="6" t="n">
        <f aca="false">(Sens!H16112*(Sens!H16083-Sens!H16046)+Sens!H16046-(Sens!H16048+Sens!H16049+Sens!H16050)-Sens!H16064-Sens!H16147)</f>
        <v>194.236141292342</v>
      </c>
      <c r="I16113" s="6" t="n">
        <f aca="false">(Sens!I16112*(Sens!I16083-Sens!I16046)+Sens!I16046-(Sens!I16048+Sens!I16049+Sens!I16050)-Sens!I16064-Sens!I16147)</f>
        <v>217.541623053626</v>
      </c>
      <c r="J16113" s="6" t="n">
        <f aca="false">(Sens!J16112*(Sens!J16083-Sens!J16046)+Sens!J16046-(Sens!J16048+Sens!J16049+Sens!J16050)-Sens!J16064-Sens!J16147)</f>
        <v>238.266427229453</v>
      </c>
      <c r="K16113" s="6" t="n">
        <f aca="false">(Sens!K16112*(Sens!K16083-Sens!K16046)+Sens!K16046-(Sens!K16048+Sens!K16049+Sens!K16050)-Sens!K16064-Sens!K16147)</f>
        <v>257.164905015849</v>
      </c>
      <c r="L16113" s="1" t="s">
        <v>1060</v>
      </c>
    </row>
    <row r="16114" customFormat="false" ht="17.15" hidden="false" customHeight="false" outlineLevel="0" collapsed="false">
      <c r="A16114" s="0" t="s">
        <v>1061</v>
      </c>
      <c r="B16114" s="0" t="s">
        <v>168</v>
      </c>
      <c r="E16114" s="7" t="n">
        <f aca="false">Q!M22/Q!M12</f>
        <v>0.296207935710698</v>
      </c>
      <c r="F16114" s="7" t="n">
        <f aca="false">Sens!$E$16114+dm_seg</f>
        <v>0.296207935710698</v>
      </c>
      <c r="G16114" s="7" t="n">
        <f aca="false">Sens!$E$16114+dm_seg</f>
        <v>0.296207935710698</v>
      </c>
      <c r="H16114" s="7" t="n">
        <f aca="false">Sens!$E$16114+dm_seg</f>
        <v>0.296207935710698</v>
      </c>
      <c r="I16114" s="7" t="n">
        <f aca="false">Sens!$E$16114+dm_seg</f>
        <v>0.296207935710698</v>
      </c>
      <c r="J16114" s="7" t="n">
        <f aca="false">Sens!$E$16114+dm_seg</f>
        <v>0.296207935710698</v>
      </c>
      <c r="K16114" s="7" t="n">
        <f aca="false">Sens!$E$16114+dm_seg</f>
        <v>0.296207935710698</v>
      </c>
      <c r="L16114" s="12" t="s">
        <v>1062</v>
      </c>
    </row>
    <row r="16115" customFormat="false" ht="17.15" hidden="false" customHeight="false" outlineLevel="0" collapsed="false">
      <c r="A16115" s="0" t="s">
        <v>882</v>
      </c>
      <c r="B16115" s="0" t="s">
        <v>98</v>
      </c>
      <c r="D16115" s="6" t="n">
        <f aca="false">Q!L22</f>
        <v>17.714</v>
      </c>
      <c r="E16115" s="6" t="n">
        <f aca="false">Q!M22</f>
        <v>18.872</v>
      </c>
      <c r="F16115" s="6" t="n">
        <f aca="false">Q!$I$22+(Sens!F16090-Q!$I$12)*Sens!F16114</f>
        <v>19.8174315512051</v>
      </c>
      <c r="G16115" s="6" t="n">
        <f aca="false">Sens!G16090*Sens!G16114</f>
        <v>19.6313799703815</v>
      </c>
      <c r="H16115" s="6" t="n">
        <f aca="false">Sens!H16090*Sens!H16114</f>
        <v>20.3536242825865</v>
      </c>
      <c r="I16115" s="6" t="n">
        <f aca="false">Sens!I16090*Sens!I16114</f>
        <v>21.1920899239745</v>
      </c>
      <c r="J16115" s="6" t="n">
        <f aca="false">Sens!J16090*Sens!J16114</f>
        <v>22.1288166207045</v>
      </c>
      <c r="K16115" s="6" t="n">
        <f aca="false">Sens!K16090*Sens!K16114</f>
        <v>23.1493653905379</v>
      </c>
      <c r="L16115" s="12" t="s">
        <v>1063</v>
      </c>
    </row>
    <row r="16116" customFormat="false" ht="15" hidden="false" customHeight="false" outlineLevel="0" collapsed="false">
      <c r="A16116" s="1" t="s">
        <v>1064</v>
      </c>
      <c r="B16116" s="0" t="s">
        <v>98</v>
      </c>
      <c r="D16116" s="6" t="n">
        <f aca="false">Sens!D16113+Sens!D16115</f>
        <v>128.528</v>
      </c>
      <c r="E16116" s="6" t="n">
        <f aca="false">Sens!E16113+Sens!E16115</f>
        <v>155.237</v>
      </c>
      <c r="F16116" s="6" t="n">
        <f aca="false">Sens!F16113+Sens!F16115</f>
        <v>172.070611586633</v>
      </c>
      <c r="G16116" s="6" t="n">
        <f aca="false">Sens!G16113+Sens!G16115</f>
        <v>190.150765044615</v>
      </c>
      <c r="H16116" s="6" t="n">
        <f aca="false">Sens!H16113+Sens!H16115</f>
        <v>214.589765574929</v>
      </c>
      <c r="I16116" s="6" t="n">
        <f aca="false">Sens!I16113+Sens!I16115</f>
        <v>238.7337129776</v>
      </c>
      <c r="J16116" s="6" t="n">
        <f aca="false">Sens!J16113+Sens!J16115</f>
        <v>260.395243850157</v>
      </c>
      <c r="K16116" s="6" t="n">
        <f aca="false">Sens!K16113+Sens!K16115</f>
        <v>280.314270406387</v>
      </c>
    </row>
    <row r="16117" customFormat="false" ht="15" hidden="false" customHeight="false" outlineLevel="0" collapsed="false">
      <c r="A16117" s="26" t="s">
        <v>1065</v>
      </c>
      <c r="B16117" s="31" t="s">
        <v>98</v>
      </c>
      <c r="C16117" s="31"/>
      <c r="D16117" s="27" t="n">
        <f aca="false">Sens!D16116-Q!L23</f>
        <v>0</v>
      </c>
      <c r="E16117" s="27" t="n">
        <f aca="false">Sens!E16116-Q!M23</f>
        <v>0</v>
      </c>
      <c r="F16117" s="31"/>
      <c r="G16117" s="31"/>
      <c r="H16117" s="31"/>
      <c r="I16117" s="31"/>
      <c r="J16117" s="31"/>
      <c r="K16117" s="31"/>
    </row>
    <row r="16118" customFormat="false" ht="15" hidden="false" customHeight="false" outlineLevel="0" collapsed="false">
      <c r="A16118" s="1" t="s">
        <v>1066</v>
      </c>
      <c r="B16118" s="0" t="s">
        <v>168</v>
      </c>
      <c r="D16118" s="7" t="n">
        <f aca="false">Sens!D16116/Sens!D16109</f>
        <v>0.456219562408598</v>
      </c>
      <c r="E16118" s="7" t="n">
        <f aca="false">Sens!E16116/Sens!E16109</f>
        <v>0.467808184089272</v>
      </c>
      <c r="F16118" s="7" t="n">
        <f aca="false">Sens!F16116/Sens!F16109</f>
        <v>0.443217463236375</v>
      </c>
      <c r="G16118" s="7" t="n">
        <f aca="false">Sens!G16116/Sens!G16109</f>
        <v>0.434373215589812</v>
      </c>
      <c r="H16118" s="7" t="n">
        <f aca="false">Sens!H16116/Sens!H16109</f>
        <v>0.443775792116117</v>
      </c>
      <c r="I16118" s="7" t="n">
        <f aca="false">Sens!I16116/Sens!I16109</f>
        <v>0.454200281950407</v>
      </c>
      <c r="J16118" s="7" t="n">
        <f aca="false">Sens!J16116/Sens!J16109</f>
        <v>0.461010260228364</v>
      </c>
      <c r="K16118" s="7" t="n">
        <f aca="false">Sens!K16116/Sens!K16109</f>
        <v>0.465356534801564</v>
      </c>
    </row>
    <row r="16119" customFormat="false" ht="17.15" hidden="false" customHeight="false" outlineLevel="0" collapsed="false">
      <c r="A16119" s="1" t="s">
        <v>1067</v>
      </c>
      <c r="B16119" s="0" t="s">
        <v>98</v>
      </c>
      <c r="F16119" s="6" t="n">
        <f aca="false">Sens!F16134</f>
        <v>0</v>
      </c>
      <c r="G16119" s="6" t="n">
        <f aca="false">Sens!G16134</f>
        <v>0</v>
      </c>
      <c r="H16119" s="6" t="n">
        <f aca="false">Sens!H16134</f>
        <v>0</v>
      </c>
      <c r="I16119" s="6" t="n">
        <f aca="false">Sens!I16134</f>
        <v>0</v>
      </c>
      <c r="J16119" s="6" t="n">
        <f aca="false">Sens!J16134</f>
        <v>0</v>
      </c>
      <c r="K16119" s="6" t="n">
        <f aca="false">Sens!K16134</f>
        <v>0</v>
      </c>
      <c r="L16119" s="1" t="s">
        <v>1068</v>
      </c>
    </row>
    <row r="16120" customFormat="false" ht="17.15" hidden="false" customHeight="false" outlineLevel="0" collapsed="false">
      <c r="A16120" s="1" t="s">
        <v>1069</v>
      </c>
      <c r="B16120" s="0" t="s">
        <v>98</v>
      </c>
      <c r="D16120" s="6" t="n">
        <f aca="false">Sens!D16116</f>
        <v>128.528</v>
      </c>
      <c r="E16120" s="6" t="n">
        <f aca="false">Sens!E16116</f>
        <v>155.237</v>
      </c>
      <c r="F16120" s="6" t="n">
        <f aca="false">Sens!F16116+Sens!F16119</f>
        <v>172.070611586633</v>
      </c>
      <c r="G16120" s="6" t="n">
        <f aca="false">Sens!G16116+Sens!G16119</f>
        <v>190.150765044615</v>
      </c>
      <c r="H16120" s="6" t="n">
        <f aca="false">Sens!H16116+Sens!H16119</f>
        <v>214.589765574929</v>
      </c>
      <c r="I16120" s="6" t="n">
        <f aca="false">Sens!I16116+Sens!I16119</f>
        <v>238.7337129776</v>
      </c>
      <c r="J16120" s="6" t="n">
        <f aca="false">Sens!J16116+Sens!J16119</f>
        <v>260.395243850157</v>
      </c>
      <c r="K16120" s="6" t="n">
        <f aca="false">Sens!K16116+Sens!K16119</f>
        <v>280.314270406387</v>
      </c>
    </row>
    <row r="16121" customFormat="false" ht="17.15" hidden="false" customHeight="false" outlineLevel="0" collapsed="false">
      <c r="A16121" s="1" t="s">
        <v>1070</v>
      </c>
      <c r="B16121" s="0" t="s">
        <v>98</v>
      </c>
      <c r="E16121" s="6" t="n">
        <f aca="false">Sens!E16064</f>
        <v>16.3054059770833</v>
      </c>
      <c r="F16121" s="6" t="n">
        <f aca="false">Sens!F16064</f>
        <v>24.549027677</v>
      </c>
      <c r="G16121" s="6" t="n">
        <f aca="false">Sens!G16064</f>
        <v>29.185632823</v>
      </c>
      <c r="H16121" s="6" t="n">
        <f aca="false">Sens!H16064</f>
        <v>31.677584917</v>
      </c>
      <c r="I16121" s="6" t="n">
        <f aca="false">Sens!I16064</f>
        <v>32.2298649310278</v>
      </c>
      <c r="J16121" s="6" t="n">
        <f aca="false">Sens!J16064</f>
        <v>33.6162004764444</v>
      </c>
      <c r="K16121" s="6" t="n">
        <f aca="false">Sens!K16064</f>
        <v>36.1070960499167</v>
      </c>
    </row>
    <row r="16122" customFormat="false" ht="17.15" hidden="false" customHeight="false" outlineLevel="0" collapsed="false">
      <c r="A16122" s="1" t="s">
        <v>1071</v>
      </c>
      <c r="B16122" s="0" t="s">
        <v>98</v>
      </c>
      <c r="E16122" s="6" t="n">
        <f aca="false">Sens!E16146</f>
        <v>22.2285940229167</v>
      </c>
      <c r="F16122" s="6" t="n">
        <f aca="false">Sens!F16146</f>
        <v>37.458367358225</v>
      </c>
      <c r="G16122" s="6" t="n">
        <f aca="false">Sens!G16146</f>
        <v>37.9209152260188</v>
      </c>
      <c r="H16122" s="6" t="n">
        <f aca="false">Sens!H16146</f>
        <v>38.9188775179148</v>
      </c>
      <c r="I16122" s="6" t="n">
        <f aca="false">Sens!I16146</f>
        <v>40.370990629089</v>
      </c>
      <c r="J16122" s="6" t="n">
        <f aca="false">Sens!J16146</f>
        <v>42.1799210747553</v>
      </c>
      <c r="K16122" s="6" t="n">
        <f aca="false">Sens!K16146</f>
        <v>44.2480713451083</v>
      </c>
    </row>
    <row r="16123" customFormat="false" ht="17.15" hidden="false" customHeight="false" outlineLevel="0" collapsed="false">
      <c r="A16123" s="1" t="s">
        <v>1072</v>
      </c>
      <c r="B16123" s="0" t="s">
        <v>98</v>
      </c>
      <c r="D16123" s="6" t="n">
        <f aca="false">Q!L27</f>
        <v>-4.901</v>
      </c>
      <c r="E16123" s="6" t="n">
        <f aca="false">Q!M27</f>
        <v>10.697</v>
      </c>
      <c r="F16123" s="6" t="n">
        <f aca="false">Q!$I$27+oie_f*(q_per_yr-1)/q_per_yr</f>
        <v>-0.862</v>
      </c>
      <c r="G16123" s="6" t="n">
        <f aca="false">oie_f</f>
        <v>-1.2</v>
      </c>
      <c r="H16123" s="6" t="n">
        <f aca="false">oie_f</f>
        <v>-1.2</v>
      </c>
      <c r="I16123" s="6" t="n">
        <f aca="false">oie_f</f>
        <v>-1.2</v>
      </c>
      <c r="J16123" s="6" t="n">
        <f aca="false">oie_f</f>
        <v>-1.2</v>
      </c>
      <c r="K16123" s="6" t="n">
        <f aca="false">oie_f</f>
        <v>-1.2</v>
      </c>
      <c r="L16123" s="12" t="s">
        <v>1073</v>
      </c>
    </row>
    <row r="16124" customFormat="false" ht="15" hidden="false" customHeight="false" outlineLevel="0" collapsed="false">
      <c r="A16124" s="1" t="s">
        <v>1074</v>
      </c>
      <c r="B16124" s="0" t="s">
        <v>98</v>
      </c>
      <c r="D16124" s="6" t="n">
        <f aca="false">Sens!D16116+Sens!D16123</f>
        <v>123.627</v>
      </c>
      <c r="E16124" s="6" t="n">
        <f aca="false">Sens!E16116+Sens!E16123</f>
        <v>165.934</v>
      </c>
      <c r="F16124" s="6" t="n">
        <f aca="false">Sens!F16116+Sens!F16123</f>
        <v>171.208611586633</v>
      </c>
      <c r="G16124" s="6" t="n">
        <f aca="false">Sens!G16116+Sens!G16123</f>
        <v>188.950765044615</v>
      </c>
      <c r="H16124" s="6" t="n">
        <f aca="false">Sens!H16116+Sens!H16123</f>
        <v>213.389765574929</v>
      </c>
      <c r="I16124" s="6" t="n">
        <f aca="false">Sens!I16116+Sens!I16123</f>
        <v>237.5337129776</v>
      </c>
      <c r="J16124" s="6" t="n">
        <f aca="false">Sens!J16116+Sens!J16123</f>
        <v>259.195243850157</v>
      </c>
      <c r="K16124" s="6" t="n">
        <f aca="false">Sens!K16116+Sens!K16123</f>
        <v>279.114270406387</v>
      </c>
    </row>
    <row r="16125" customFormat="false" ht="15" hidden="false" customHeight="false" outlineLevel="0" collapsed="false">
      <c r="A16125" s="1" t="s">
        <v>1075</v>
      </c>
      <c r="B16125" s="0" t="s">
        <v>98</v>
      </c>
      <c r="D16125" s="6" t="n">
        <f aca="false">Q!L29</f>
        <v>21.795</v>
      </c>
      <c r="E16125" s="6" t="n">
        <f aca="false">Q!M29</f>
        <v>32.185</v>
      </c>
      <c r="F16125" s="6" t="n">
        <f aca="false">Q!$I$29+(Sens!F16124-Q!$I$28)*tax_f</f>
        <v>34.3751223173267</v>
      </c>
      <c r="G16125" s="6" t="n">
        <f aca="false">Sens!G16124*tax_f</f>
        <v>37.790153008923</v>
      </c>
      <c r="H16125" s="6" t="n">
        <f aca="false">Sens!H16124*tax_f</f>
        <v>42.6779531149857</v>
      </c>
      <c r="I16125" s="6" t="n">
        <f aca="false">Sens!I16124*tax_f</f>
        <v>47.50674259552</v>
      </c>
      <c r="J16125" s="6" t="n">
        <f aca="false">Sens!J16124*tax_f</f>
        <v>51.8390487700315</v>
      </c>
      <c r="K16125" s="6" t="n">
        <f aca="false">Sens!K16124*tax_f</f>
        <v>55.8228540812774</v>
      </c>
    </row>
    <row r="16126" customFormat="false" ht="15" hidden="false" customHeight="false" outlineLevel="0" collapsed="false">
      <c r="A16126" s="1" t="s">
        <v>1076</v>
      </c>
      <c r="B16126" s="0" t="s">
        <v>98</v>
      </c>
      <c r="D16126" s="6" t="n">
        <f aca="false">Sens!D16124-Sens!D16125</f>
        <v>101.832</v>
      </c>
      <c r="E16126" s="6" t="n">
        <f aca="false">Sens!E16124-Sens!E16125</f>
        <v>133.749</v>
      </c>
      <c r="F16126" s="6" t="n">
        <f aca="false">Sens!F16124-Sens!F16125</f>
        <v>136.833489269307</v>
      </c>
      <c r="G16126" s="6" t="n">
        <f aca="false">Sens!G16124-Sens!G16125</f>
        <v>151.160612035692</v>
      </c>
      <c r="H16126" s="6" t="n">
        <f aca="false">Sens!H16124-Sens!H16125</f>
        <v>170.711812459943</v>
      </c>
      <c r="I16126" s="6" t="n">
        <f aca="false">Sens!I16124-Sens!I16125</f>
        <v>190.02697038208</v>
      </c>
      <c r="J16126" s="6" t="n">
        <f aca="false">Sens!J16124-Sens!J16125</f>
        <v>207.356195080126</v>
      </c>
      <c r="K16126" s="6" t="n">
        <f aca="false">Sens!K16124-Sens!K16125</f>
        <v>223.29141632511</v>
      </c>
    </row>
    <row r="16127" customFormat="false" ht="17.15" hidden="false" customHeight="false" outlineLevel="0" collapsed="false">
      <c r="A16127" s="1" t="s">
        <v>1077</v>
      </c>
      <c r="B16127" s="1" t="s">
        <v>81</v>
      </c>
      <c r="D16127" s="15" t="n">
        <f aca="false">Q!L31</f>
        <v>7.465</v>
      </c>
      <c r="E16127" s="15" t="n">
        <f aca="false">Q!M31</f>
        <v>7.453</v>
      </c>
      <c r="F16127" s="15" t="n">
        <f aca="false">Sens!F16171</f>
        <v>7.4735</v>
      </c>
      <c r="G16127" s="15" t="n">
        <f aca="false">Sens!G16171</f>
        <v>7.49981593415111</v>
      </c>
      <c r="H16127" s="15" t="n">
        <f aca="false">Sens!H16171</f>
        <v>7.50883180733101</v>
      </c>
      <c r="I16127" s="15" t="n">
        <f aca="false">Sens!I16171</f>
        <v>7.52051317138648</v>
      </c>
      <c r="J16127" s="15" t="n">
        <f aca="false">Sens!J16171</f>
        <v>7.53466258254895</v>
      </c>
      <c r="K16127" s="15" t="n">
        <f aca="false">Sens!K16171</f>
        <v>7.55109722251421</v>
      </c>
    </row>
    <row r="16128" customFormat="false" ht="17.15" hidden="false" customHeight="false" outlineLevel="0" collapsed="false">
      <c r="A16128" s="0" t="s">
        <v>1078</v>
      </c>
      <c r="B16128" s="0" t="s">
        <v>75</v>
      </c>
      <c r="D16128" s="8" t="n">
        <f aca="false">Sens!D16126/Sens!D16127</f>
        <v>13.641259209645</v>
      </c>
      <c r="E16128" s="8" t="n">
        <f aca="false">Sens!E16126/Sens!E16127</f>
        <v>17.9456594659869</v>
      </c>
      <c r="F16128" s="8" t="n">
        <f aca="false">Sens!F16126/Sens!F16127</f>
        <v>18.3091575927352</v>
      </c>
      <c r="G16128" s="8" t="n">
        <f aca="false">Sens!G16126/Sens!G16127</f>
        <v>20.1552429236787</v>
      </c>
      <c r="H16128" s="8" t="n">
        <f aca="false">Sens!H16126/Sens!H16127</f>
        <v>22.7348030745973</v>
      </c>
      <c r="I16128" s="8" t="n">
        <f aca="false">Sens!I16126/Sens!I16127</f>
        <v>25.2678196356442</v>
      </c>
      <c r="J16128" s="8" t="n">
        <f aca="false">Sens!J16126/Sens!J16127</f>
        <v>27.5203027087615</v>
      </c>
      <c r="K16128" s="8" t="n">
        <f aca="false">Sens!K16126/Sens!K16127</f>
        <v>29.5707245907718</v>
      </c>
      <c r="L16128" s="1" t="s">
        <v>1079</v>
      </c>
    </row>
    <row r="16129" customFormat="false" ht="17.15" hidden="false" customHeight="false" outlineLevel="0" collapsed="false">
      <c r="A16129" s="1" t="s">
        <v>1080</v>
      </c>
      <c r="B16129" s="0" t="s">
        <v>98</v>
      </c>
      <c r="D16129" s="6" t="n">
        <f aca="false">Sens!D16126</f>
        <v>101.832</v>
      </c>
      <c r="E16129" s="6" t="n">
        <f aca="false">Sens!E16126</f>
        <v>133.749</v>
      </c>
      <c r="F16129" s="6" t="n">
        <f aca="false">Sens!F16126+Sens!F16119*(1-tax_f)</f>
        <v>136.833489269307</v>
      </c>
      <c r="G16129" s="6" t="n">
        <f aca="false">Sens!G16126+Sens!G16119*(1-tax_f)</f>
        <v>151.160612035692</v>
      </c>
      <c r="H16129" s="6" t="n">
        <f aca="false">Sens!H16126+Sens!H16119*(1-tax_f)</f>
        <v>170.711812459943</v>
      </c>
      <c r="I16129" s="6" t="n">
        <f aca="false">Sens!I16126+Sens!I16119*(1-tax_f)</f>
        <v>190.02697038208</v>
      </c>
      <c r="J16129" s="6" t="n">
        <f aca="false">Sens!J16126+Sens!J16119*(1-tax_f)</f>
        <v>207.356195080126</v>
      </c>
      <c r="K16129" s="6" t="n">
        <f aca="false">Sens!K16126+Sens!K16119*(1-tax_f)</f>
        <v>223.29141632511</v>
      </c>
    </row>
    <row r="16130" customFormat="false" ht="17.15" hidden="false" customHeight="false" outlineLevel="0" collapsed="false">
      <c r="A16130" s="0" t="s">
        <v>1081</v>
      </c>
      <c r="B16130" s="0" t="s">
        <v>75</v>
      </c>
      <c r="D16130" s="8" t="n">
        <f aca="false">Sens!D16129/Sens!D16127</f>
        <v>13.641259209645</v>
      </c>
      <c r="E16130" s="8" t="n">
        <f aca="false">Sens!E16129/Sens!E16127</f>
        <v>17.9456594659869</v>
      </c>
      <c r="F16130" s="8" t="n">
        <f aca="false">Sens!F16129/Sens!F16127</f>
        <v>18.3091575927352</v>
      </c>
      <c r="G16130" s="8" t="n">
        <f aca="false">Sens!G16129/Sens!G16127</f>
        <v>20.1552429236787</v>
      </c>
      <c r="H16130" s="8" t="n">
        <f aca="false">Sens!H16129/Sens!H16127</f>
        <v>22.7348030745973</v>
      </c>
      <c r="I16130" s="8" t="n">
        <f aca="false">Sens!I16129/Sens!I16127</f>
        <v>25.2678196356442</v>
      </c>
      <c r="J16130" s="8" t="n">
        <f aca="false">Sens!J16129/Sens!J16127</f>
        <v>27.5203027087615</v>
      </c>
      <c r="K16130" s="8" t="n">
        <f aca="false">Sens!K16129/Sens!K16127</f>
        <v>29.5707245907718</v>
      </c>
      <c r="L16130" s="1" t="s">
        <v>1082</v>
      </c>
    </row>
    <row r="16131" customFormat="false" ht="17.15" hidden="false" customHeight="false" outlineLevel="0" collapsed="false">
      <c r="A16131" s="0" t="s">
        <v>1083</v>
      </c>
      <c r="B16131" s="0" t="s">
        <v>168</v>
      </c>
      <c r="E16131" s="7" t="n">
        <f aca="false">Sens!E16130/Sens!D16130-1</f>
        <v>0.315542736208578</v>
      </c>
      <c r="F16131" s="7" t="n">
        <f aca="false">Sens!F16130/Sens!E16130-1</f>
        <v>0.0202554900496867</v>
      </c>
      <c r="G16131" s="7" t="n">
        <f aca="false">Sens!G16130/Sens!F16130-1</f>
        <v>0.100828523736997</v>
      </c>
      <c r="H16131" s="7" t="n">
        <f aca="false">Sens!H16130/Sens!G16130-1</f>
        <v>0.127984572584239</v>
      </c>
      <c r="I16131" s="7" t="n">
        <f aca="false">Sens!I16130/Sens!H16130-1</f>
        <v>0.111415812696314</v>
      </c>
      <c r="J16131" s="7" t="n">
        <f aca="false">Sens!J16130/Sens!I16130-1</f>
        <v>0.0891443387517232</v>
      </c>
      <c r="K16131" s="7" t="n">
        <f aca="false">Sens!K16130/Sens!J16130-1</f>
        <v>0.0745057895514181</v>
      </c>
    </row>
    <row r="16132" customFormat="false" ht="17.15" hidden="false" customHeight="false" outlineLevel="0" collapsed="false">
      <c r="A16132" s="0" t="s">
        <v>1003</v>
      </c>
      <c r="B16132" s="0" t="s">
        <v>98</v>
      </c>
      <c r="E16132" s="6" t="n">
        <f aca="false">Sens!E16073</f>
        <v>5.25</v>
      </c>
      <c r="F16132" s="6" t="n">
        <f aca="false">Sens!F16073</f>
        <v>12</v>
      </c>
      <c r="G16132" s="6" t="n">
        <f aca="false">Sens!G16073</f>
        <v>18</v>
      </c>
      <c r="H16132" s="6" t="n">
        <f aca="false">Sens!H16073</f>
        <v>24</v>
      </c>
      <c r="I16132" s="6" t="n">
        <f aca="false">Sens!I16073</f>
        <v>28.5</v>
      </c>
      <c r="J16132" s="6" t="n">
        <f aca="false">Sens!J16073</f>
        <v>31.5</v>
      </c>
      <c r="K16132" s="6" t="n">
        <f aca="false">Sens!K16073</f>
        <v>34.5</v>
      </c>
    </row>
    <row r="16133" customFormat="false" ht="17.15" hidden="false" customHeight="false" outlineLevel="0" collapsed="false">
      <c r="A16133" s="1" t="s">
        <v>1004</v>
      </c>
      <c r="B16133" s="0" t="s">
        <v>98</v>
      </c>
      <c r="F16133" s="6" t="n">
        <f aca="false">MAX(0,((Sens!E16033+Sens!F16033)/2-(shadow_base*(Sens!$D$16033+Sens!$E$16033)/2+(1-shadow_base)*Sens!$E$16033))*Sens!F16042/1000-(Sens!F16132-Sens!$E$16132)*Sens!F16112)</f>
        <v>2.46526205645066</v>
      </c>
      <c r="G16133" s="6" t="n">
        <f aca="false">MAX(0,((Sens!F16033+Sens!G16033)/2-(shadow_base*(Sens!$D$16033+Sens!$E$16033)/2+(1-shadow_base)*Sens!$E$16033))*Sens!G16042/1000-(Sens!G16132-Sens!$E$16132)*Sens!G16112)</f>
        <v>2.26142522258762</v>
      </c>
      <c r="H16133" s="6" t="n">
        <f aca="false">MAX(0,((Sens!G16033+Sens!H16033)/2-(shadow_base*(Sens!$D$16033+Sens!$E$16033)/2+(1-shadow_base)*Sens!$E$16033))*Sens!H16042/1000-(Sens!H16132-Sens!$E$16132)*Sens!H16112)</f>
        <v>0.466127630290755</v>
      </c>
      <c r="I16133" s="6" t="n">
        <f aca="false">MAX(0,((Sens!H16033+Sens!I16033)/2-(shadow_base*(Sens!$D$16033+Sens!$E$16033)/2+(1-shadow_base)*Sens!$E$16033))*Sens!I16042/1000-(Sens!I16132-Sens!$E$16132)*Sens!I16112)</f>
        <v>0</v>
      </c>
      <c r="J16133" s="6" t="n">
        <f aca="false">MAX(0,((Sens!I16033+Sens!J16033)/2-(shadow_base*(Sens!$D$16033+Sens!$E$16033)/2+(1-shadow_base)*Sens!$E$16033))*Sens!J16042/1000-(Sens!J16132-Sens!$E$16132)*Sens!J16112)</f>
        <v>0</v>
      </c>
      <c r="K16133" s="6" t="n">
        <f aca="false">MAX(0,((Sens!J16033+Sens!K16033)/2-(shadow_base*(Sens!$D$16033+Sens!$E$16033)/2+(1-shadow_base)*Sens!$E$16033))*Sens!K16042/1000-(Sens!K16132-Sens!$E$16132)*Sens!K16112)</f>
        <v>0</v>
      </c>
      <c r="L16133" s="1" t="s">
        <v>1005</v>
      </c>
    </row>
    <row r="16134" customFormat="false" ht="17.15" hidden="false" customHeight="false" outlineLevel="0" collapsed="false">
      <c r="A16134" s="1" t="s">
        <v>1006</v>
      </c>
      <c r="B16134" s="0" t="s">
        <v>98</v>
      </c>
      <c r="F16134" s="6" t="n">
        <f aca="false">IF(1=2,1,0)*Sens!F16133</f>
        <v>0</v>
      </c>
      <c r="G16134" s="6" t="n">
        <f aca="false">IF(1=2,1,0)*Sens!G16133</f>
        <v>0</v>
      </c>
      <c r="H16134" s="6" t="n">
        <f aca="false">IF(1=2,1,0)*Sens!H16133</f>
        <v>0</v>
      </c>
      <c r="I16134" s="6" t="n">
        <f aca="false">IF(1=2,1,0)*Sens!I16133</f>
        <v>0</v>
      </c>
      <c r="J16134" s="6" t="n">
        <f aca="false">IF(1=2,1,0)*Sens!J16133</f>
        <v>0</v>
      </c>
      <c r="K16134" s="6" t="n">
        <f aca="false">IF(1=2,1,0)*Sens!K16133</f>
        <v>0</v>
      </c>
    </row>
    <row r="16135" customFormat="false" ht="17.15" hidden="false" customHeight="false" outlineLevel="0" collapsed="false">
      <c r="A16135" s="0" t="s">
        <v>1007</v>
      </c>
      <c r="B16135" s="0" t="s">
        <v>98</v>
      </c>
      <c r="F16135" s="6" t="n">
        <f aca="false">Sens!F16052+Sens!F16132*Sens!F16112+Sens!F16134-Sens!F16053-Sens!F16064</f>
        <v>5.84503529754946</v>
      </c>
      <c r="G16135" s="6" t="n">
        <f aca="false">Sens!G16052+Sens!G16132*Sens!G16112+Sens!G16134-Sens!G16053-Sens!G16064</f>
        <v>9.08029992736985</v>
      </c>
      <c r="H16135" s="6" t="n">
        <f aca="false">Sens!H16052+Sens!H16132*Sens!H16112+Sens!H16134-Sens!H16053-Sens!H16064</f>
        <v>11.8634600648579</v>
      </c>
      <c r="I16135" s="6" t="n">
        <f aca="false">Sens!I16052+Sens!I16132*Sens!I16112+Sens!I16134-Sens!I16053-Sens!I16064</f>
        <v>14.8614920024289</v>
      </c>
      <c r="J16135" s="6" t="n">
        <f aca="false">Sens!J16052+Sens!J16132*Sens!J16112+Sens!J16134-Sens!J16053-Sens!J16064</f>
        <v>16.6695445622153</v>
      </c>
      <c r="K16135" s="6" t="n">
        <f aca="false">Sens!K16052+Sens!K16132*Sens!K16112+Sens!K16134-Sens!K16053-Sens!K16064</f>
        <v>18.8345326593174</v>
      </c>
    </row>
    <row r="16136" customFormat="false" ht="17.15" hidden="false" customHeight="false" outlineLevel="0" collapsed="false">
      <c r="A16136" s="0" t="s">
        <v>1008</v>
      </c>
      <c r="B16136" s="0" t="s">
        <v>98</v>
      </c>
      <c r="E16136" s="6" t="n">
        <f aca="false">Sens!E16032*(cxit_open+self_build*tk_cxfac)/1000*ai_net_open</f>
        <v>126.6980382</v>
      </c>
      <c r="F16136" s="6" t="n">
        <f aca="false">Sens!E16136+Sens!F16061-Sens!F16064</f>
        <v>131.822683147</v>
      </c>
      <c r="G16136" s="6" t="n">
        <f aca="false">Sens!F16136+Sens!G16061-Sens!G16064</f>
        <v>136.850809452</v>
      </c>
      <c r="H16136" s="6" t="n">
        <f aca="false">Sens!G16136+Sens!H16061-Sens!H16064</f>
        <v>105.173224535</v>
      </c>
      <c r="I16136" s="6" t="n">
        <f aca="false">Sens!H16136+Sens!I16061-Sens!I16064</f>
        <v>102.104104363972</v>
      </c>
      <c r="J16136" s="6" t="n">
        <f aca="false">Sens!I16136+Sens!J16061-Sens!J16064</f>
        <v>112.526579647528</v>
      </c>
      <c r="K16136" s="6" t="n">
        <f aca="false">Sens!J16136+Sens!K16061-Sens!K16064</f>
        <v>163.901717877611</v>
      </c>
      <c r="L16136" s="1" t="s">
        <v>1009</v>
      </c>
    </row>
    <row r="16137" customFormat="false" ht="17.15" hidden="false" customHeight="false" outlineLevel="0" collapsed="false">
      <c r="A16137" s="0" t="s">
        <v>1010</v>
      </c>
      <c r="B16137" s="0" t="s">
        <v>168</v>
      </c>
      <c r="F16137" s="7" t="n">
        <f aca="false">Sens!F16135*(1-tax_f)/((Sens!E16136+Sens!F16136)/2)</f>
        <v>0.0361752683782988</v>
      </c>
      <c r="G16137" s="7" t="n">
        <f aca="false">Sens!G16135*(1-tax_f)/((Sens!F16136+Sens!G16136)/2)</f>
        <v>0.0540748539919261</v>
      </c>
      <c r="H16137" s="7" t="n">
        <f aca="false">Sens!H16135*(1-tax_f)/((Sens!G16136+Sens!H16136)/2)</f>
        <v>0.0784283105734539</v>
      </c>
      <c r="I16137" s="7" t="n">
        <f aca="false">Sens!I16135*(1-tax_f)/((Sens!H16136+Sens!I16136)/2)</f>
        <v>0.114717742312648</v>
      </c>
      <c r="J16137" s="7" t="n">
        <f aca="false">Sens!J16135*(1-tax_f)/((Sens!I16136+Sens!J16136)/2)</f>
        <v>0.12426588221708</v>
      </c>
      <c r="K16137" s="7" t="n">
        <f aca="false">Sens!K16135*(1-tax_f)/((Sens!J16136+Sens!K16136)/2)</f>
        <v>0.109016524446696</v>
      </c>
    </row>
    <row r="16138" customFormat="false" ht="17.15" hidden="false" customHeight="false" outlineLevel="0" collapsed="false">
      <c r="A16138" s="1" t="s">
        <v>1011</v>
      </c>
      <c r="B16138" s="0" t="s">
        <v>168</v>
      </c>
      <c r="F16138" s="7" t="n">
        <f aca="false">(Sens!F16135-Sens!F16134)*(1-tax_f)/((Sens!E16136+Sens!F16136)/2)</f>
        <v>0.0361752683782988</v>
      </c>
      <c r="G16138" s="7" t="n">
        <f aca="false">(Sens!G16135-Sens!G16134)*(1-tax_f)/((Sens!F16136+Sens!G16136)/2)</f>
        <v>0.0540748539919261</v>
      </c>
      <c r="H16138" s="7" t="n">
        <f aca="false">(Sens!H16135-Sens!H16134)*(1-tax_f)/((Sens!G16136+Sens!H16136)/2)</f>
        <v>0.0784283105734539</v>
      </c>
      <c r="I16138" s="7" t="n">
        <f aca="false">(Sens!I16135-Sens!I16134)*(1-tax_f)/((Sens!H16136+Sens!I16136)/2)</f>
        <v>0.114717742312648</v>
      </c>
      <c r="J16138" s="7" t="n">
        <f aca="false">(Sens!J16135-Sens!J16134)*(1-tax_f)/((Sens!I16136+Sens!J16136)/2)</f>
        <v>0.12426588221708</v>
      </c>
      <c r="K16138" s="7" t="n">
        <f aca="false">(Sens!K16135-Sens!K16134)*(1-tax_f)/((Sens!J16136+Sens!K16136)/2)</f>
        <v>0.109016524446696</v>
      </c>
    </row>
    <row r="16139" customFormat="false" ht="17.15" hidden="false" customHeight="false" outlineLevel="0" collapsed="false">
      <c r="A16139" s="1" t="s">
        <v>1012</v>
      </c>
      <c r="B16139" s="0" t="s">
        <v>168</v>
      </c>
      <c r="F16139" s="7" t="n">
        <f aca="false">(Sens!F16135-Sens!F16134+Sens!F16133)*(1-tax_f)/((Sens!E16136+Sens!F16136)/2)</f>
        <v>0.0514329207234146</v>
      </c>
      <c r="G16139" s="7" t="n">
        <f aca="false">(Sens!G16135-Sens!G16134+Sens!G16133)*(1-tax_f)/((Sens!F16136+Sens!G16136)/2)</f>
        <v>0.0675420565847049</v>
      </c>
      <c r="H16139" s="7" t="n">
        <f aca="false">(Sens!H16135-Sens!H16134+Sens!H16133)*(1-tax_f)/((Sens!G16136+Sens!H16136)/2)</f>
        <v>0.0815098401066128</v>
      </c>
      <c r="I16139" s="7" t="n">
        <f aca="false">(Sens!I16135-Sens!I16134+Sens!I16133)*(1-tax_f)/((Sens!H16136+Sens!I16136)/2)</f>
        <v>0.114717742312648</v>
      </c>
      <c r="J16139" s="7" t="n">
        <f aca="false">(Sens!J16135-Sens!J16134+Sens!J16133)*(1-tax_f)/((Sens!I16136+Sens!J16136)/2)</f>
        <v>0.12426588221708</v>
      </c>
      <c r="K16139" s="7" t="n">
        <f aca="false">(Sens!K16135-Sens!K16134+Sens!K16133)*(1-tax_f)/((Sens!J16136+Sens!K16136)/2)</f>
        <v>0.109016524446696</v>
      </c>
    </row>
    <row r="16140" customFormat="false" ht="17.15" hidden="false" customHeight="false" outlineLevel="0" collapsed="false">
      <c r="A16140" s="1" t="s">
        <v>1013</v>
      </c>
      <c r="B16140" s="0" t="s">
        <v>168</v>
      </c>
      <c r="F16140" s="7" t="n">
        <f aca="false">Sens!F16065*(1-tax_f)/(Sens!F16051*(Sens!E16136+Sens!F16136)/2)</f>
        <v>0.141245243742451</v>
      </c>
      <c r="G16140" s="7" t="n">
        <f aca="false">Sens!G16065*(1-tax_f)/(Sens!G16051*(Sens!F16136+Sens!G16136)/2)</f>
        <v>0.160533993594925</v>
      </c>
      <c r="H16140" s="7" t="n">
        <f aca="false">Sens!H16065*(1-tax_f)/(Sens!H16051*(Sens!G16136+Sens!H16136)/2)</f>
        <v>0.186616513125234</v>
      </c>
      <c r="I16140" s="7" t="n">
        <f aca="false">Sens!I16065*(1-tax_f)/(Sens!I16051*(Sens!H16136+Sens!I16136)/2)</f>
        <v>0.226977934093253</v>
      </c>
      <c r="J16140" s="7" t="n">
        <f aca="false">Sens!J16065*(1-tax_f)/(Sens!J16051*(Sens!I16136+Sens!J16136)/2)</f>
        <v>0.228324673059243</v>
      </c>
      <c r="K16140" s="7" t="n">
        <f aca="false">Sens!K16065*(1-tax_f)/(Sens!K16051*(Sens!J16136+Sens!K16136)/2)</f>
        <v>0.192874926809674</v>
      </c>
    </row>
    <row r="16141" customFormat="false" ht="17.15" hidden="false" customHeight="false" outlineLevel="0" collapsed="false">
      <c r="A16141" s="0" t="s">
        <v>1014</v>
      </c>
      <c r="B16141" s="0" t="s">
        <v>253</v>
      </c>
      <c r="F16141" s="7" t="n">
        <f aca="false">Sens!F16137-wacc</f>
        <v>-0.0667613225672985</v>
      </c>
      <c r="G16141" s="7" t="n">
        <f aca="false">Sens!G16137-wacc</f>
        <v>-0.0488617369536712</v>
      </c>
      <c r="H16141" s="7" t="n">
        <f aca="false">Sens!H16137-wacc</f>
        <v>-0.0245082803721434</v>
      </c>
      <c r="I16141" s="7" t="n">
        <f aca="false">Sens!I16137-wacc</f>
        <v>0.0117811513670505</v>
      </c>
      <c r="J16141" s="7" t="n">
        <f aca="false">Sens!J16137-wacc</f>
        <v>0.0213292912714831</v>
      </c>
      <c r="K16141" s="7" t="n">
        <f aca="false">Sens!K16137-wacc</f>
        <v>0.0060799335010986</v>
      </c>
    </row>
    <row r="16142" customFormat="false" ht="17.15" hidden="false" customHeight="false" outlineLevel="0" collapsed="false">
      <c r="A16142" s="0" t="s">
        <v>1015</v>
      </c>
      <c r="B16142" s="0" t="s">
        <v>98</v>
      </c>
      <c r="F16142" s="6" t="n">
        <f aca="false">Sens!F16135*(1-tax_f)-wacc*(Sens!E16136+Sens!F16136)/2</f>
        <v>-8.62959263408887</v>
      </c>
      <c r="G16142" s="6" t="n">
        <f aca="false">Sens!G16135*(1-tax_f)-wacc*(Sens!F16136+Sens!G16136)/2</f>
        <v>-6.56392676089823</v>
      </c>
      <c r="H16142" s="6" t="n">
        <f aca="false">Sens!H16135*(1-tax_f)-wacc*(Sens!G16136+Sens!H16136)/2</f>
        <v>-2.96579644087528</v>
      </c>
      <c r="I16142" s="6" t="n">
        <f aca="false">Sens!I16135*(1-tax_f)-wacc*(Sens!H16136+Sens!I16136)/2</f>
        <v>1.22098279335835</v>
      </c>
      <c r="J16142" s="6" t="n">
        <f aca="false">Sens!J16135*(1-tax_f)-wacc*(Sens!I16136+Sens!J16136)/2</f>
        <v>2.28896018753947</v>
      </c>
      <c r="K16142" s="6" t="n">
        <f aca="false">Sens!K16135*(1-tax_f)-wacc*(Sens!J16136+Sens!K16136)/2</f>
        <v>0.840332833387372</v>
      </c>
    </row>
    <row r="16143" customFormat="false" ht="17.15" hidden="false" customHeight="false" outlineLevel="0" collapsed="false">
      <c r="A16143" s="3" t="s">
        <v>1877</v>
      </c>
    </row>
    <row r="16144" customFormat="false" ht="15" hidden="false" customHeight="false" outlineLevel="0" collapsed="false">
      <c r="A16144" s="4" t="s">
        <v>43</v>
      </c>
      <c r="B16144" s="4" t="s">
        <v>65</v>
      </c>
      <c r="C16144" s="23" t="s">
        <v>938</v>
      </c>
      <c r="D16144" s="23" t="s">
        <v>939</v>
      </c>
      <c r="E16144" s="23" t="s">
        <v>940</v>
      </c>
      <c r="F16144" s="23" t="s">
        <v>941</v>
      </c>
      <c r="G16144" s="23" t="s">
        <v>942</v>
      </c>
      <c r="H16144" s="23" t="s">
        <v>943</v>
      </c>
      <c r="I16144" s="23" t="s">
        <v>944</v>
      </c>
      <c r="J16144" s="23" t="s">
        <v>945</v>
      </c>
      <c r="K16144" s="23" t="s">
        <v>946</v>
      </c>
      <c r="L16144" s="4" t="s">
        <v>47</v>
      </c>
    </row>
    <row r="16145" customFormat="false" ht="15" hidden="false" customHeight="false" outlineLevel="0" collapsed="false">
      <c r="A16145" s="1" t="s">
        <v>1076</v>
      </c>
      <c r="B16145" s="0" t="s">
        <v>98</v>
      </c>
      <c r="F16145" s="6" t="n">
        <f aca="false">Sens!F16126</f>
        <v>136.833489269307</v>
      </c>
      <c r="G16145" s="6" t="n">
        <f aca="false">Sens!G16126</f>
        <v>151.160612035692</v>
      </c>
      <c r="H16145" s="6" t="n">
        <f aca="false">Sens!H16126</f>
        <v>170.711812459943</v>
      </c>
      <c r="I16145" s="6" t="n">
        <f aca="false">Sens!I16126</f>
        <v>190.02697038208</v>
      </c>
      <c r="J16145" s="6" t="n">
        <f aca="false">Sens!J16126</f>
        <v>207.356195080126</v>
      </c>
      <c r="K16145" s="6" t="n">
        <f aca="false">Sens!K16126</f>
        <v>223.29141632511</v>
      </c>
    </row>
    <row r="16146" customFormat="false" ht="17.15" hidden="false" customHeight="false" outlineLevel="0" collapsed="false">
      <c r="A16146" s="1" t="s">
        <v>1098</v>
      </c>
      <c r="B16146" s="0" t="s">
        <v>98</v>
      </c>
      <c r="E16146" s="6" t="n">
        <f aca="false">Q!M38-Sens!E16064</f>
        <v>22.2285940229167</v>
      </c>
      <c r="F16146" s="6" t="n">
        <f aca="false">Sens!E16146*(1-1/life_nonai)+(Sens!F16154+Sens!F16155)/life_nonai</f>
        <v>37.458367358225</v>
      </c>
      <c r="G16146" s="6" t="n">
        <f aca="false">Sens!F16146*(1-1/life_nonai)+(Sens!G16154)/life_nonai</f>
        <v>37.9209152260188</v>
      </c>
      <c r="H16146" s="6" t="n">
        <f aca="false">Sens!G16146*(1-1/life_nonai)+(Sens!H16154)/life_nonai</f>
        <v>38.9188775179148</v>
      </c>
      <c r="I16146" s="6" t="n">
        <f aca="false">Sens!H16146*(1-1/life_nonai)+(Sens!I16154)/life_nonai</f>
        <v>40.370990629089</v>
      </c>
      <c r="J16146" s="6" t="n">
        <f aca="false">Sens!I16146*(1-1/life_nonai)+(Sens!J16154)/life_nonai</f>
        <v>42.1799210747553</v>
      </c>
      <c r="K16146" s="6" t="n">
        <f aca="false">Sens!J16146*(1-1/life_nonai)+(Sens!K16154)/life_nonai</f>
        <v>44.2480713451083</v>
      </c>
      <c r="L16146" s="12" t="s">
        <v>1099</v>
      </c>
    </row>
    <row r="16147" customFormat="false" ht="17.15" hidden="false" customHeight="false" outlineLevel="0" collapsed="false">
      <c r="A16147" s="1" t="s">
        <v>1100</v>
      </c>
      <c r="B16147" s="0" t="s">
        <v>98</v>
      </c>
      <c r="F16147" s="6" t="n">
        <f aca="false">Sens!$F$16155/life_nonai*(1-1/life_nonai)^(Sens!F16027-2027)</f>
        <v>13.8171372338453</v>
      </c>
      <c r="G16147" s="6" t="n">
        <f aca="false">Sens!$F$16155/life_nonai*(1-1/life_nonai)^(Sens!G16027-2027)</f>
        <v>12.4354235104607</v>
      </c>
      <c r="H16147" s="6" t="n">
        <f aca="false">Sens!$F$16155/life_nonai*(1-1/life_nonai)^(Sens!H16027-2027)</f>
        <v>11.1918811594147</v>
      </c>
      <c r="I16147" s="6" t="n">
        <f aca="false">Sens!$F$16155/life_nonai*(1-1/life_nonai)^(Sens!I16027-2027)</f>
        <v>10.0726930434732</v>
      </c>
      <c r="J16147" s="6" t="n">
        <f aca="false">Sens!$F$16155/life_nonai*(1-1/life_nonai)^(Sens!J16027-2027)</f>
        <v>9.06542373912588</v>
      </c>
      <c r="K16147" s="6" t="n">
        <f aca="false">Sens!$F$16155/life_nonai*(1-1/life_nonai)^(Sens!K16027-2027)</f>
        <v>8.15888136521329</v>
      </c>
      <c r="L16147" s="1" t="s">
        <v>1101</v>
      </c>
    </row>
    <row r="16148" customFormat="false" ht="17.15" hidden="false" customHeight="false" outlineLevel="0" collapsed="false">
      <c r="A16148" s="1" t="s">
        <v>1102</v>
      </c>
      <c r="B16148" s="0" t="s">
        <v>98</v>
      </c>
      <c r="E16148" s="6" t="n">
        <f aca="false">Sens!E16064+Sens!E16146</f>
        <v>38.534</v>
      </c>
      <c r="F16148" s="6" t="n">
        <f aca="false">Sens!F16064+Sens!F16146</f>
        <v>62.007395035225</v>
      </c>
      <c r="G16148" s="6" t="n">
        <f aca="false">Sens!G16064+Sens!G16146</f>
        <v>67.1065480490188</v>
      </c>
      <c r="H16148" s="6" t="n">
        <f aca="false">Sens!H16064+Sens!H16146</f>
        <v>70.5964624349148</v>
      </c>
      <c r="I16148" s="6" t="n">
        <f aca="false">Sens!I16064+Sens!I16146</f>
        <v>72.6008555601168</v>
      </c>
      <c r="J16148" s="6" t="n">
        <f aca="false">Sens!J16064+Sens!J16146</f>
        <v>75.7961215511998</v>
      </c>
      <c r="K16148" s="6" t="n">
        <f aca="false">Sens!K16064+Sens!K16146</f>
        <v>80.355167395025</v>
      </c>
    </row>
    <row r="16149" customFormat="false" ht="17.15" hidden="false" customHeight="false" outlineLevel="0" collapsed="false">
      <c r="A16149" s="1" t="s">
        <v>1103</v>
      </c>
      <c r="B16149" s="0" t="s">
        <v>98</v>
      </c>
      <c r="F16149" s="6" t="n">
        <f aca="false">Sens!F16091*sbc_r</f>
        <v>14.513066366418</v>
      </c>
      <c r="G16149" s="6" t="n">
        <f aca="false">Sens!G16091*sbc_r</f>
        <v>16.3645618503556</v>
      </c>
      <c r="H16149" s="6" t="n">
        <f aca="false">Sens!H16091*sbc_r</f>
        <v>18.0765164245434</v>
      </c>
      <c r="I16149" s="6" t="n">
        <f aca="false">Sens!I16091*sbc_r</f>
        <v>19.6487847829266</v>
      </c>
      <c r="J16149" s="6" t="n">
        <f aca="false">Sens!J16091*sbc_r</f>
        <v>21.1150346788291</v>
      </c>
      <c r="K16149" s="6" t="n">
        <f aca="false">Sens!K16091*sbc_r</f>
        <v>22.5179439296426</v>
      </c>
    </row>
    <row r="16150" customFormat="false" ht="17.15" hidden="false" customHeight="false" outlineLevel="0" collapsed="false">
      <c r="A16150" s="1" t="s">
        <v>1104</v>
      </c>
      <c r="B16150" s="0" t="s">
        <v>98</v>
      </c>
      <c r="F16150" s="6" t="n">
        <f aca="false">wc27-wc26q1</f>
        <v>-4.677</v>
      </c>
      <c r="G16150" s="6" t="n">
        <f aca="false">wc_f</f>
        <v>0</v>
      </c>
      <c r="H16150" s="6" t="n">
        <f aca="false">wc_f</f>
        <v>0</v>
      </c>
      <c r="I16150" s="6" t="n">
        <f aca="false">wc_f</f>
        <v>0</v>
      </c>
      <c r="J16150" s="6" t="n">
        <f aca="false">wc_f</f>
        <v>0</v>
      </c>
      <c r="K16150" s="6" t="n">
        <f aca="false">wc_f</f>
        <v>0</v>
      </c>
      <c r="L16150" s="12" t="s">
        <v>1105</v>
      </c>
    </row>
    <row r="16151" customFormat="false" ht="17.15" hidden="false" customHeight="false" outlineLevel="0" collapsed="false">
      <c r="A16151" s="0" t="s">
        <v>1106</v>
      </c>
      <c r="B16151" s="0" t="s">
        <v>98</v>
      </c>
      <c r="F16151" s="6" t="n">
        <f aca="false">Q!$I$35-Q!$I$26-Q!$I$38-Q!$I$39</f>
        <v>6.493</v>
      </c>
      <c r="L16151" s="1" t="s">
        <v>1107</v>
      </c>
    </row>
    <row r="16152" customFormat="false" ht="15" hidden="false" customHeight="false" outlineLevel="0" collapsed="false">
      <c r="A16152" s="1" t="s">
        <v>904</v>
      </c>
      <c r="B16152" s="0" t="s">
        <v>98</v>
      </c>
      <c r="E16152" s="6" t="n">
        <f aca="false">Q!M35</f>
        <v>182.935</v>
      </c>
      <c r="F16152" s="6" t="n">
        <f aca="false">Sens!F16145+Sens!F16148+Sens!F16149+Sens!F16150+Sens!F16151</f>
        <v>215.16995067095</v>
      </c>
      <c r="G16152" s="6" t="n">
        <f aca="false">Sens!G16145+Sens!G16148+Sens!G16149+Sens!G16150</f>
        <v>234.631721935066</v>
      </c>
      <c r="H16152" s="6" t="n">
        <f aca="false">Sens!H16145+Sens!H16148+Sens!H16149+Sens!H16150</f>
        <v>259.384791319401</v>
      </c>
      <c r="I16152" s="6" t="n">
        <f aca="false">Sens!I16145+Sens!I16148+Sens!I16149+Sens!I16150</f>
        <v>282.276610725124</v>
      </c>
      <c r="J16152" s="6" t="n">
        <f aca="false">Sens!J16145+Sens!J16148+Sens!J16149+Sens!J16150</f>
        <v>304.267351310155</v>
      </c>
      <c r="K16152" s="6" t="n">
        <f aca="false">Sens!K16145+Sens!K16148+Sens!K16149+Sens!K16150</f>
        <v>326.164527649777</v>
      </c>
    </row>
    <row r="16153" customFormat="false" ht="17.15" hidden="false" customHeight="false" outlineLevel="0" collapsed="false">
      <c r="A16153" s="0" t="s">
        <v>1108</v>
      </c>
      <c r="B16153" s="0" t="s">
        <v>98</v>
      </c>
      <c r="F16153" s="6" t="n">
        <f aca="false">Sens!F16061</f>
        <v>29.673672624</v>
      </c>
      <c r="G16153" s="6" t="n">
        <f aca="false">Sens!G16061</f>
        <v>34.213759128</v>
      </c>
      <c r="H16153" s="6" t="n">
        <f aca="false">Sens!H16061</f>
        <v>0</v>
      </c>
      <c r="I16153" s="6" t="n">
        <f aca="false">Sens!I16061</f>
        <v>29.16074476</v>
      </c>
      <c r="J16153" s="6" t="n">
        <f aca="false">Sens!J16061</f>
        <v>44.03867576</v>
      </c>
      <c r="K16153" s="6" t="n">
        <f aca="false">Sens!K16061</f>
        <v>87.48223428</v>
      </c>
    </row>
    <row r="16154" customFormat="false" ht="17.15" hidden="false" customHeight="false" outlineLevel="0" collapsed="false">
      <c r="A16154" s="1" t="s">
        <v>1109</v>
      </c>
      <c r="B16154" s="0" t="s">
        <v>98</v>
      </c>
      <c r="E16154" s="6" t="n">
        <f aca="false">Sens!E16069*cx_azo+Sens!E16076*cx_m365+Sens!E16077*cx_lic+(Sens!E16079+Sens!E16081)*cx_ind+Sens!E16084*cx_srch+(Sens!E16086+Sens!E16088)*cx_dev</f>
        <v>30.1846587067718</v>
      </c>
      <c r="F16154" s="6" t="n">
        <f aca="false">Sens!F16069*cx_azo+Sens!F16076*cx_m365+Sens!F16077*cx_lic+(Sens!F16079+Sens!F16081)*cx_ind+Sens!F16084*cx_srch+(Sens!F16086+Sens!F16088)*cx_dev</f>
        <v>36.3549550375473</v>
      </c>
      <c r="G16154" s="6" t="n">
        <f aca="false">Sens!G16069*cx_azo+Sens!G16076*cx_m365+Sens!G16077*cx_lic+(Sens!G16079+Sens!G16081)*cx_ind+Sens!G16084*cx_srch+(Sens!G16086+Sens!G16088)*cx_dev</f>
        <v>42.0838460361629</v>
      </c>
      <c r="H16154" s="6" t="n">
        <f aca="false">Sens!H16069*cx_azo+Sens!H16076*cx_m365+Sens!H16077*cx_lic+(Sens!H16079+Sens!H16081)*cx_ind+Sens!H16084*cx_srch+(Sens!H16086+Sens!H16088)*cx_dev</f>
        <v>47.9005381449792</v>
      </c>
      <c r="I16154" s="6" t="n">
        <f aca="false">Sens!I16069*cx_azo+Sens!I16076*cx_m365+Sens!I16077*cx_lic+(Sens!I16079+Sens!I16081)*cx_ind+Sens!I16084*cx_srch+(Sens!I16086+Sens!I16088)*cx_dev</f>
        <v>53.4400086296567</v>
      </c>
      <c r="J16154" s="6" t="n">
        <f aca="false">Sens!J16069*cx_azo+Sens!J16076*cx_m365+Sens!J16077*cx_lic+(Sens!J16079+Sens!J16081)*cx_ind+Sens!J16084*cx_srch+(Sens!J16086+Sens!J16088)*cx_dev</f>
        <v>58.4602950857521</v>
      </c>
      <c r="K16154" s="6" t="n">
        <f aca="false">Sens!K16069*cx_azo+Sens!K16076*cx_m365+Sens!K16077*cx_lic+(Sens!K16079+Sens!K16081)*cx_ind+Sens!K16084*cx_srch+(Sens!K16086+Sens!K16088)*cx_dev</f>
        <v>62.8614237782849</v>
      </c>
    </row>
    <row r="16155" customFormat="false" ht="17.15" hidden="false" customHeight="false" outlineLevel="0" collapsed="false">
      <c r="A16155" s="0" t="s">
        <v>1110</v>
      </c>
      <c r="B16155" s="0" t="s">
        <v>98</v>
      </c>
      <c r="F16155" s="6" t="n">
        <f aca="false">Sens!F16059</f>
        <v>138.171372338453</v>
      </c>
      <c r="L16155" s="1" t="s">
        <v>1111</v>
      </c>
    </row>
    <row r="16156" customFormat="false" ht="17.15" hidden="false" customHeight="false" outlineLevel="0" collapsed="false">
      <c r="A16156" s="1" t="s">
        <v>1112</v>
      </c>
      <c r="B16156" s="0" t="s">
        <v>98</v>
      </c>
      <c r="E16156" s="6" t="n">
        <f aca="false">Q!M43</f>
        <v>145.3</v>
      </c>
      <c r="F16156" s="6" t="n">
        <f aca="false">Sens!F16153+Sens!F16154+Sens!F16155</f>
        <v>204.2</v>
      </c>
      <c r="G16156" s="6" t="n">
        <f aca="false">Sens!G16153+Sens!G16154</f>
        <v>76.2976051641629</v>
      </c>
      <c r="H16156" s="6" t="n">
        <f aca="false">Sens!H16153+Sens!H16154</f>
        <v>47.9005381449792</v>
      </c>
      <c r="I16156" s="6" t="n">
        <f aca="false">Sens!I16153+Sens!I16154</f>
        <v>82.6007533896567</v>
      </c>
      <c r="J16156" s="6" t="n">
        <f aca="false">Sens!J16153+Sens!J16154</f>
        <v>102.498970845752</v>
      </c>
      <c r="K16156" s="6" t="n">
        <f aca="false">Sens!K16153+Sens!K16154</f>
        <v>150.343658058285</v>
      </c>
      <c r="L16156" s="1" t="s">
        <v>1113</v>
      </c>
    </row>
    <row r="16157" customFormat="false" ht="15" hidden="false" customHeight="false" outlineLevel="0" collapsed="false">
      <c r="A16157" s="1" t="s">
        <v>1114</v>
      </c>
      <c r="B16157" s="0" t="s">
        <v>98</v>
      </c>
      <c r="E16157" s="6" t="n">
        <f aca="false">fl_liab</f>
        <v>66.594</v>
      </c>
      <c r="F16157" s="6" t="n">
        <f aca="false">Sens!E16157-Sens!F16158</f>
        <v>62.46973</v>
      </c>
      <c r="G16157" s="6" t="n">
        <f aca="false">Sens!F16157-Sens!G16158</f>
        <v>57.98686785</v>
      </c>
      <c r="H16157" s="6" t="n">
        <f aca="false">Sens!G16157-Sens!H16158</f>
        <v>53.92827690325</v>
      </c>
      <c r="I16157" s="6" t="n">
        <f aca="false">Sens!H16157-Sens!I16158</f>
        <v>49.7850493638962</v>
      </c>
      <c r="J16157" s="6" t="n">
        <f aca="false">Sens!I16157-Sens!J16158</f>
        <v>45.4823765852716</v>
      </c>
      <c r="K16157" s="6" t="n">
        <f aca="false">Sens!J16157-Sens!K16158</f>
        <v>40.9860835316088</v>
      </c>
    </row>
    <row r="16158" customFormat="false" ht="15" hidden="false" customHeight="false" outlineLevel="0" collapsed="false">
      <c r="A16158" s="1" t="s">
        <v>1115</v>
      </c>
      <c r="B16158" s="0" t="s">
        <v>98</v>
      </c>
      <c r="F16158" s="6" t="n">
        <f aca="false">fl_pay_27-Sens!E16157*fl_rate</f>
        <v>4.12427</v>
      </c>
      <c r="G16158" s="6" t="n">
        <f aca="false">fl_pay_28-Sens!F16157*fl_rate</f>
        <v>4.48286215</v>
      </c>
      <c r="H16158" s="6" t="n">
        <f aca="false">fl_pay_29-Sens!G16157*fl_rate</f>
        <v>4.05859094675</v>
      </c>
      <c r="I16158" s="6" t="n">
        <f aca="false">fl_pay_30-Sens!H16157*fl_rate</f>
        <v>4.14322753935375</v>
      </c>
      <c r="J16158" s="6" t="n">
        <f aca="false">fl_pay_31-Sens!I16157*fl_rate</f>
        <v>4.30267277862467</v>
      </c>
      <c r="K16158" s="6" t="n">
        <f aca="false">fl_pay_32-Sens!J16157*fl_rate</f>
        <v>4.49629305366278</v>
      </c>
    </row>
    <row r="16159" customFormat="false" ht="17.15" hidden="false" customHeight="false" outlineLevel="0" collapsed="false">
      <c r="A16159" s="1" t="s">
        <v>1116</v>
      </c>
      <c r="B16159" s="0" t="s">
        <v>98</v>
      </c>
      <c r="E16159" s="6" t="n">
        <f aca="false">Q!M35-Q!M36-Q!M44</f>
        <v>63.886</v>
      </c>
      <c r="F16159" s="6" t="n">
        <f aca="false">Sens!F16152-Sens!F16156-Sens!F16158</f>
        <v>6.84568067094963</v>
      </c>
      <c r="G16159" s="6" t="n">
        <f aca="false">Sens!G16152-Sens!G16156-Sens!G16158</f>
        <v>153.851254620904</v>
      </c>
      <c r="H16159" s="6" t="n">
        <f aca="false">Sens!H16152-Sens!H16156-Sens!H16158</f>
        <v>207.425662227672</v>
      </c>
      <c r="I16159" s="6" t="n">
        <f aca="false">Sens!I16152-Sens!I16156-Sens!I16158</f>
        <v>195.532629796113</v>
      </c>
      <c r="J16159" s="6" t="n">
        <f aca="false">Sens!J16152-Sens!J16156-Sens!J16158</f>
        <v>197.465707685778</v>
      </c>
      <c r="K16159" s="6" t="n">
        <f aca="false">Sens!K16152-Sens!K16156-Sens!K16158</f>
        <v>171.324576537829</v>
      </c>
      <c r="L16159" s="12" t="s">
        <v>1117</v>
      </c>
    </row>
    <row r="16160" customFormat="false" ht="15" hidden="false" customHeight="false" outlineLevel="0" collapsed="false">
      <c r="A16160" s="1" t="s">
        <v>1118</v>
      </c>
      <c r="B16160" s="0" t="s">
        <v>75</v>
      </c>
      <c r="F16160" s="8" t="n">
        <f aca="false">dps_27</f>
        <v>3.85</v>
      </c>
      <c r="G16160" s="8" t="n">
        <f aca="false">Sens!F16160*(1+dps_g)</f>
        <v>4.158</v>
      </c>
      <c r="H16160" s="8" t="n">
        <f aca="false">Sens!G16160*(1+dps_g)</f>
        <v>4.49064</v>
      </c>
      <c r="I16160" s="8" t="n">
        <f aca="false">Sens!H16160*(1+dps_g)</f>
        <v>4.8498912</v>
      </c>
      <c r="J16160" s="8" t="n">
        <f aca="false">Sens!I16160*(1+dps_g)</f>
        <v>5.237882496</v>
      </c>
      <c r="K16160" s="8" t="n">
        <f aca="false">Sens!J16160*(1+dps_g)</f>
        <v>5.65691309568</v>
      </c>
    </row>
    <row r="16161" customFormat="false" ht="17.15" hidden="false" customHeight="false" outlineLevel="0" collapsed="false">
      <c r="A16161" s="1" t="s">
        <v>1119</v>
      </c>
      <c r="B16161" s="0" t="s">
        <v>98</v>
      </c>
      <c r="E16161" s="6" t="n">
        <f aca="false">Q!M41</f>
        <v>26.445</v>
      </c>
      <c r="F16161" s="6" t="n">
        <f aca="false">Sens!F16160*Sens!E16170</f>
        <v>28.59395</v>
      </c>
      <c r="G16161" s="6" t="n">
        <f aca="false">Sens!G16160*Sens!F16170</f>
        <v>31.068576</v>
      </c>
      <c r="H16161" s="6" t="n">
        <f aca="false">Sens!H16160*Sens!G16170</f>
        <v>33.5883340530727</v>
      </c>
      <c r="I16161" s="6" t="n">
        <f aca="false">Sens!I16160*Sens!H16170</f>
        <v>36.3258390543911</v>
      </c>
      <c r="J16161" s="6" t="n">
        <f aca="false">Sens!J16160*Sens!I16170</f>
        <v>39.299804064135</v>
      </c>
      <c r="K16161" s="6" t="n">
        <f aca="false">Sens!K16160*Sens!J16170</f>
        <v>42.5305426516441</v>
      </c>
      <c r="L16161" s="1" t="s">
        <v>1120</v>
      </c>
    </row>
    <row r="16162" customFormat="false" ht="15" hidden="false" customHeight="false" outlineLevel="0" collapsed="false">
      <c r="A16162" s="1" t="s">
        <v>1121</v>
      </c>
      <c r="B16162" s="0" t="s">
        <v>98</v>
      </c>
      <c r="E16162" s="6" t="n">
        <f aca="false">Sens!E16159-Sens!E16161</f>
        <v>37.441</v>
      </c>
      <c r="F16162" s="6" t="n">
        <f aca="false">Sens!F16159-Sens!F16161</f>
        <v>-21.7482693290504</v>
      </c>
      <c r="G16162" s="6" t="n">
        <f aca="false">Sens!G16159-Sens!G16161</f>
        <v>122.782678620904</v>
      </c>
      <c r="H16162" s="6" t="n">
        <f aca="false">Sens!H16159-Sens!H16161</f>
        <v>173.837328174599</v>
      </c>
      <c r="I16162" s="6" t="n">
        <f aca="false">Sens!I16159-Sens!I16161</f>
        <v>159.206790741722</v>
      </c>
      <c r="J16162" s="6" t="n">
        <f aca="false">Sens!J16159-Sens!J16161</f>
        <v>158.165903621643</v>
      </c>
      <c r="K16162" s="6" t="n">
        <f aca="false">Sens!K16159-Sens!K16161</f>
        <v>128.794033886185</v>
      </c>
    </row>
    <row r="16163" customFormat="false" ht="15" hidden="false" customHeight="false" outlineLevel="0" collapsed="false">
      <c r="A16163" s="1" t="s">
        <v>1122</v>
      </c>
      <c r="B16163" s="0" t="s">
        <v>98</v>
      </c>
      <c r="F16163" s="6" t="n">
        <f aca="false">debt_mat_27</f>
        <v>9.25</v>
      </c>
      <c r="G16163" s="6" t="n">
        <f aca="false">debt_mat_28</f>
        <v>0</v>
      </c>
      <c r="H16163" s="6" t="n">
        <f aca="false">debt_mat_29</f>
        <v>2.001</v>
      </c>
      <c r="I16163" s="6" t="n">
        <f aca="false">debt_mat_30</f>
        <v>0</v>
      </c>
      <c r="J16163" s="6" t="n">
        <f aca="false">debt_mat_31</f>
        <v>0.5</v>
      </c>
      <c r="K16163" s="6" t="n">
        <f aca="false">debt_mat_32</f>
        <v>0</v>
      </c>
    </row>
    <row r="16164" customFormat="false" ht="15" hidden="false" customHeight="false" outlineLevel="0" collapsed="false">
      <c r="A16164" s="1" t="s">
        <v>1123</v>
      </c>
      <c r="B16164" s="0" t="s">
        <v>98</v>
      </c>
      <c r="E16164" s="6" t="n">
        <f aca="false">Q!M40</f>
        <v>22.271</v>
      </c>
      <c r="F16164" s="6" t="n">
        <f aca="false">MAX(0,MIN(bb_target,Sens!E16166+Sens!F16162-Sens!F16163-min_cash))</f>
        <v>0</v>
      </c>
      <c r="G16164" s="6" t="n">
        <f aca="false">MAX(0,MIN(bb_target,Sens!F16166+Sens!G16162-Sens!G16163-min_cash))</f>
        <v>22.271</v>
      </c>
      <c r="H16164" s="6" t="n">
        <f aca="false">MAX(0,MIN(bb_target,Sens!G16166+Sens!H16162-Sens!H16163-min_cash))</f>
        <v>22.271</v>
      </c>
      <c r="I16164" s="6" t="n">
        <f aca="false">MAX(0,MIN(bb_target,Sens!H16166+Sens!I16162-Sens!I16163-min_cash))</f>
        <v>22.271</v>
      </c>
      <c r="J16164" s="6" t="n">
        <f aca="false">MAX(0,MIN(bb_target,Sens!I16166+Sens!J16162-Sens!J16163-min_cash))</f>
        <v>22.271</v>
      </c>
      <c r="K16164" s="6" t="n">
        <f aca="false">MAX(0,MIN(bb_target,Sens!J16166+Sens!K16162-Sens!K16163-min_cash))</f>
        <v>22.271</v>
      </c>
    </row>
    <row r="16165" customFormat="false" ht="15" hidden="false" customHeight="false" outlineLevel="0" collapsed="false">
      <c r="A16165" s="1" t="s">
        <v>1124</v>
      </c>
      <c r="B16165" s="0" t="s">
        <v>98</v>
      </c>
      <c r="F16165" s="6" t="n">
        <f aca="false">MAX(0,min_cash-(Sens!E16166+Sens!F16162-Sens!F16163-Sens!F16164))</f>
        <v>4.15526932905037</v>
      </c>
      <c r="G16165" s="6" t="n">
        <f aca="false">MAX(0,min_cash-(Sens!F16166+Sens!G16162-Sens!G16163-Sens!G16164))</f>
        <v>0</v>
      </c>
      <c r="H16165" s="6" t="n">
        <f aca="false">MAX(0,min_cash-(Sens!G16166+Sens!H16162-Sens!H16163-Sens!H16164))</f>
        <v>0</v>
      </c>
      <c r="I16165" s="6" t="n">
        <f aca="false">MAX(0,min_cash-(Sens!H16166+Sens!I16162-Sens!I16163-Sens!I16164))</f>
        <v>0</v>
      </c>
      <c r="J16165" s="6" t="n">
        <f aca="false">MAX(0,min_cash-(Sens!I16166+Sens!J16162-Sens!J16163-Sens!J16164))</f>
        <v>0</v>
      </c>
      <c r="K16165" s="6" t="n">
        <f aca="false">MAX(0,min_cash-(Sens!J16166+Sens!K16162-Sens!K16163-Sens!K16164))</f>
        <v>0</v>
      </c>
    </row>
    <row r="16166" customFormat="false" ht="15" hidden="false" customHeight="false" outlineLevel="0" collapsed="false">
      <c r="A16166" s="1" t="s">
        <v>1125</v>
      </c>
      <c r="B16166" s="0" t="s">
        <v>98</v>
      </c>
      <c r="E16166" s="6" t="n">
        <f aca="false">cash_open</f>
        <v>76.843</v>
      </c>
      <c r="F16166" s="6" t="n">
        <f aca="false">Sens!E16166+Sens!F16162-Sens!F16163-Sens!F16164+Sens!F16165</f>
        <v>50</v>
      </c>
      <c r="G16166" s="6" t="n">
        <f aca="false">Sens!F16166+Sens!G16162-Sens!G16163-Sens!G16164+Sens!G16165</f>
        <v>150.511678620904</v>
      </c>
      <c r="H16166" s="6" t="n">
        <f aca="false">Sens!G16166+Sens!H16162-Sens!H16163-Sens!H16164+Sens!H16165</f>
        <v>300.077006795503</v>
      </c>
      <c r="I16166" s="6" t="n">
        <f aca="false">Sens!H16166+Sens!I16162-Sens!I16163-Sens!I16164+Sens!I16165</f>
        <v>437.012797537225</v>
      </c>
      <c r="J16166" s="6" t="n">
        <f aca="false">Sens!I16166+Sens!J16162-Sens!J16163-Sens!J16164+Sens!J16165</f>
        <v>572.407701158868</v>
      </c>
      <c r="K16166" s="6" t="n">
        <f aca="false">Sens!J16166+Sens!K16162-Sens!K16163-Sens!K16164+Sens!K16165</f>
        <v>678.930735045053</v>
      </c>
    </row>
    <row r="16167" customFormat="false" ht="15" hidden="false" customHeight="false" outlineLevel="0" collapsed="false">
      <c r="A16167" s="1" t="s">
        <v>1126</v>
      </c>
      <c r="B16167" s="0" t="s">
        <v>98</v>
      </c>
      <c r="E16167" s="6" t="n">
        <f aca="false">debt_face</f>
        <v>46.136</v>
      </c>
      <c r="F16167" s="6" t="n">
        <f aca="false">Sens!E16167-Sens!F16163+Sens!F16165</f>
        <v>41.0412693290504</v>
      </c>
      <c r="G16167" s="6" t="n">
        <f aca="false">Sens!F16167-Sens!G16163+Sens!G16165</f>
        <v>41.0412693290504</v>
      </c>
      <c r="H16167" s="6" t="n">
        <f aca="false">Sens!G16167-Sens!H16163+Sens!H16165</f>
        <v>39.0402693290504</v>
      </c>
      <c r="I16167" s="6" t="n">
        <f aca="false">Sens!H16167-Sens!I16163+Sens!I16165</f>
        <v>39.0402693290504</v>
      </c>
      <c r="J16167" s="6" t="n">
        <f aca="false">Sens!I16167-Sens!J16163+Sens!J16165</f>
        <v>38.5402693290504</v>
      </c>
      <c r="K16167" s="6" t="n">
        <f aca="false">Sens!J16167-Sens!K16163+Sens!K16165</f>
        <v>38.5402693290504</v>
      </c>
    </row>
    <row r="16168" customFormat="false" ht="15" hidden="false" customHeight="false" outlineLevel="0" collapsed="false">
      <c r="A16168" s="1" t="s">
        <v>1127</v>
      </c>
      <c r="B16168" s="0" t="s">
        <v>98</v>
      </c>
      <c r="E16168" s="6" t="n">
        <f aca="false">Sens!E16166-Sens!E16167</f>
        <v>30.707</v>
      </c>
      <c r="F16168" s="6" t="n">
        <f aca="false">Sens!F16166-Sens!F16167</f>
        <v>8.95873067094963</v>
      </c>
      <c r="G16168" s="6" t="n">
        <f aca="false">Sens!G16166-Sens!G16167</f>
        <v>109.470409291853</v>
      </c>
      <c r="H16168" s="6" t="n">
        <f aca="false">Sens!H16166-Sens!H16167</f>
        <v>261.036737466453</v>
      </c>
      <c r="I16168" s="6" t="n">
        <f aca="false">Sens!I16166-Sens!I16167</f>
        <v>397.972528208175</v>
      </c>
      <c r="J16168" s="6" t="n">
        <f aca="false">Sens!J16166-Sens!J16167</f>
        <v>533.867431829818</v>
      </c>
      <c r="K16168" s="6" t="n">
        <f aca="false">Sens!K16166-Sens!K16167</f>
        <v>640.390465716003</v>
      </c>
    </row>
    <row r="16169" customFormat="false" ht="15" hidden="false" customHeight="false" outlineLevel="0" collapsed="false">
      <c r="A16169" s="1" t="s">
        <v>1128</v>
      </c>
      <c r="B16169" s="0" t="s">
        <v>75</v>
      </c>
      <c r="F16169" s="30" t="n">
        <f aca="false">px*(1+bb_g)^(Sens!F16027-base_fy-mid_yr)</f>
        <v>551.84177959629</v>
      </c>
      <c r="G16169" s="30" t="n">
        <f aca="false">px*(1+bb_g)^(Sens!G16027-base_fy-mid_yr)</f>
        <v>595.989121963993</v>
      </c>
      <c r="H16169" s="30" t="n">
        <f aca="false">px*(1+bb_g)^(Sens!H16027-base_fy-mid_yr)</f>
        <v>643.668251721112</v>
      </c>
      <c r="I16169" s="30" t="n">
        <f aca="false">px*(1+bb_g)^(Sens!I16027-base_fy-mid_yr)</f>
        <v>695.161711858801</v>
      </c>
      <c r="J16169" s="30" t="n">
        <f aca="false">px*(1+bb_g)^(Sens!J16027-base_fy-mid_yr)</f>
        <v>750.774648807506</v>
      </c>
      <c r="K16169" s="30" t="n">
        <f aca="false">px*(1+bb_g)^(Sens!K16027-base_fy-mid_yr)</f>
        <v>810.836620712106</v>
      </c>
    </row>
    <row r="16170" customFormat="false" ht="15" hidden="false" customHeight="false" outlineLevel="0" collapsed="false">
      <c r="A16170" s="1" t="s">
        <v>1129</v>
      </c>
      <c r="B16170" s="1" t="s">
        <v>81</v>
      </c>
      <c r="E16170" s="15" t="n">
        <f aca="false">sh_out26</f>
        <v>7.427</v>
      </c>
      <c r="F16170" s="15" t="n">
        <f aca="false">Sens!E16170+sh_iss-Sens!F16164/Sens!F16169</f>
        <v>7.472</v>
      </c>
      <c r="G16170" s="15" t="n">
        <f aca="false">Sens!F16170+sh_iss-Sens!G16164/Sens!G16169</f>
        <v>7.47963186830221</v>
      </c>
      <c r="H16170" s="15" t="n">
        <f aca="false">Sens!G16170+sh_iss-Sens!H16164/Sens!H16169</f>
        <v>7.49003174635981</v>
      </c>
      <c r="I16170" s="15" t="n">
        <f aca="false">Sens!H16170+sh_iss-Sens!I16164/Sens!I16169</f>
        <v>7.50299459641315</v>
      </c>
      <c r="J16170" s="15" t="n">
        <f aca="false">Sens!I16170+sh_iss-Sens!J16164/Sens!J16169</f>
        <v>7.51833056868476</v>
      </c>
      <c r="K16170" s="15" t="n">
        <f aca="false">Sens!J16170+sh_iss-Sens!K16164/Sens!K16169</f>
        <v>7.53586387634365</v>
      </c>
    </row>
    <row r="16171" customFormat="false" ht="15" hidden="false" customHeight="false" outlineLevel="0" collapsed="false">
      <c r="A16171" s="1" t="s">
        <v>1130</v>
      </c>
      <c r="B16171" s="1" t="s">
        <v>81</v>
      </c>
      <c r="E16171" s="15" t="n">
        <f aca="false">sh_dil26</f>
        <v>7.453</v>
      </c>
      <c r="F16171" s="15" t="n">
        <f aca="false">(Sens!E16170+Sens!F16170)/2+dil_gap</f>
        <v>7.4735</v>
      </c>
      <c r="G16171" s="15" t="n">
        <f aca="false">(Sens!F16170+Sens!G16170)/2+dil_gap</f>
        <v>7.49981593415111</v>
      </c>
      <c r="H16171" s="15" t="n">
        <f aca="false">(Sens!G16170+Sens!H16170)/2+dil_gap</f>
        <v>7.50883180733101</v>
      </c>
      <c r="I16171" s="15" t="n">
        <f aca="false">(Sens!H16170+Sens!I16170)/2+dil_gap</f>
        <v>7.52051317138648</v>
      </c>
      <c r="J16171" s="15" t="n">
        <f aca="false">(Sens!I16170+Sens!J16170)/2+dil_gap</f>
        <v>7.53466258254895</v>
      </c>
      <c r="K16171" s="15" t="n">
        <f aca="false">(Sens!J16170+Sens!K16170)/2+dil_gap</f>
        <v>7.55109722251421</v>
      </c>
    </row>
    <row r="16172" customFormat="false" ht="17.15" hidden="false" customHeight="false" outlineLevel="0" collapsed="false">
      <c r="A16172" s="1" t="s">
        <v>1131</v>
      </c>
      <c r="B16172" s="0" t="s">
        <v>98</v>
      </c>
      <c r="C16172" s="6" t="n">
        <f aca="false">SUM(Sens!F16162:J16162)</f>
        <v>592.244431829818</v>
      </c>
    </row>
    <row r="16173" customFormat="false" ht="15" hidden="false" customHeight="false" outlineLevel="0" collapsed="false">
      <c r="A16173" s="26" t="s">
        <v>1096</v>
      </c>
      <c r="B16173" s="31" t="s">
        <v>98</v>
      </c>
      <c r="C16173" s="27" t="n">
        <f aca="false">Sens!$C$16172-(Sens!F16162+Sens!G16162+Sens!H16162+Sens!I16162+Sens!J16162)</f>
        <v>0</v>
      </c>
      <c r="D16173" s="31"/>
      <c r="E16173" s="31"/>
      <c r="F16173" s="31"/>
      <c r="G16173" s="31"/>
      <c r="H16173" s="31"/>
      <c r="I16173" s="31"/>
      <c r="J16173" s="31"/>
      <c r="K16173" s="31"/>
    </row>
    <row r="16174" customFormat="false" ht="17.15" hidden="false" customHeight="false" outlineLevel="0" collapsed="false">
      <c r="A16174" s="1" t="s">
        <v>1090</v>
      </c>
      <c r="B16174" s="1" t="s">
        <v>1132</v>
      </c>
      <c r="C16174" s="33" t="str">
        <f aca="false">IF(SUM(Sens!F16165:J16165)&gt;0.05,"需要舉債 "&amp;TEXT(SUM(Sens!F16165:J16165),"0.0")&amp;" 十億美元","不需舉債")&amp;"；"&amp;IF(SUM(Sens!F16164:J16164)&lt;COUNT(Sens!F16164:J16164)*bb_target-0.05,"回購較每年 "&amp;TEXT(bb_target,"0.0")&amp;" 的目標少 "&amp;TEXT(COUNT(Sens!F16164:J16164)*bb_target-SUM(Sens!F16164:J16164),"0.0")&amp;" 十億美元（"&amp;TEXT(COUNTIF(Sens!F16164:J16164,"&lt;"&amp;(bb_target-0.05)),"0")&amp;" 年減少）","回購不減")</f>
        <v>需要舉債 4.2 十億美元；回購較每年 22.3 的目標少 22.3 十億美元（1 年減少）</v>
      </c>
    </row>
    <row r="16175" customFormat="false" ht="17.15" hidden="false" customHeight="false" outlineLevel="0" collapsed="false">
      <c r="A16175" s="3" t="s">
        <v>1878</v>
      </c>
    </row>
    <row r="16176" customFormat="false" ht="15" hidden="false" customHeight="false" outlineLevel="0" collapsed="false">
      <c r="A16176" s="4" t="s">
        <v>43</v>
      </c>
      <c r="B16176" s="4" t="s">
        <v>65</v>
      </c>
      <c r="C16176" s="23" t="s">
        <v>938</v>
      </c>
      <c r="D16176" s="23" t="s">
        <v>939</v>
      </c>
      <c r="E16176" s="23" t="s">
        <v>940</v>
      </c>
      <c r="F16176" s="23" t="s">
        <v>941</v>
      </c>
      <c r="G16176" s="23" t="s">
        <v>942</v>
      </c>
      <c r="H16176" s="23" t="s">
        <v>943</v>
      </c>
      <c r="I16176" s="23" t="s">
        <v>944</v>
      </c>
      <c r="J16176" s="23" t="s">
        <v>945</v>
      </c>
      <c r="K16176" s="23" t="s">
        <v>946</v>
      </c>
      <c r="L16176" s="4" t="s">
        <v>47</v>
      </c>
    </row>
    <row r="16177" customFormat="false" ht="17.15" hidden="false" customHeight="false" outlineLevel="0" collapsed="false">
      <c r="A16177" s="1" t="s">
        <v>1212</v>
      </c>
      <c r="B16177" s="1" t="s">
        <v>279</v>
      </c>
      <c r="F16177" s="8" t="n">
        <f aca="false">(1-v_off)*mid_yr</f>
        <v>0.373972602739726</v>
      </c>
      <c r="G16177" s="8" t="n">
        <f aca="false">Sens!G16027-base_fy-mid_yr-v_off</f>
        <v>1.24794520547945</v>
      </c>
      <c r="H16177" s="8" t="n">
        <f aca="false">Sens!H16027-base_fy-mid_yr-v_off</f>
        <v>2.24794520547945</v>
      </c>
      <c r="I16177" s="8" t="n">
        <f aca="false">Sens!I16027-base_fy-mid_yr-v_off</f>
        <v>3.24794520547945</v>
      </c>
      <c r="J16177" s="8" t="n">
        <f aca="false">Sens!J16027-base_fy-mid_yr-v_off</f>
        <v>4.24794520547945</v>
      </c>
      <c r="K16177" s="8" t="n">
        <f aca="false">Sens!K16027-base_fy-mid_yr-v_off</f>
        <v>5.24794520547945</v>
      </c>
      <c r="L16177" s="12" t="s">
        <v>1213</v>
      </c>
    </row>
    <row r="16178" customFormat="false" ht="15" hidden="false" customHeight="false" outlineLevel="0" collapsed="false">
      <c r="A16178" s="1" t="s">
        <v>1214</v>
      </c>
      <c r="B16178" s="1" t="s">
        <v>279</v>
      </c>
      <c r="F16178" s="8" t="n">
        <f aca="false">Sens!F16027-base_fy-v_off</f>
        <v>0.747945205479452</v>
      </c>
      <c r="G16178" s="8" t="n">
        <f aca="false">Sens!G16027-base_fy-v_off</f>
        <v>1.74794520547945</v>
      </c>
      <c r="H16178" s="8" t="n">
        <f aca="false">Sens!H16027-base_fy-v_off</f>
        <v>2.74794520547945</v>
      </c>
      <c r="I16178" s="8" t="n">
        <f aca="false">Sens!I16027-base_fy-v_off</f>
        <v>3.74794520547945</v>
      </c>
      <c r="J16178" s="8" t="n">
        <f aca="false">Sens!J16027-base_fy-v_off</f>
        <v>4.74794520547945</v>
      </c>
      <c r="K16178" s="8" t="n">
        <f aca="false">Sens!K16027-base_fy-v_off</f>
        <v>5.74794520547945</v>
      </c>
    </row>
    <row r="16179" customFormat="false" ht="15" hidden="false" customHeight="false" outlineLevel="0" collapsed="false">
      <c r="A16179" s="1" t="s">
        <v>1215</v>
      </c>
      <c r="B16179" s="0" t="s">
        <v>229</v>
      </c>
      <c r="F16179" s="15" t="n">
        <f aca="false">1/(1+wacc)^Sens!F16177</f>
        <v>0.964022703286649</v>
      </c>
      <c r="G16179" s="15" t="n">
        <f aca="false">1/(1+wacc)^Sens!G16177</f>
        <v>0.884910302296739</v>
      </c>
      <c r="H16179" s="15" t="n">
        <f aca="false">1/(1+wacc)^Sens!H16177</f>
        <v>0.802322009770358</v>
      </c>
      <c r="I16179" s="15" t="n">
        <f aca="false">1/(1+wacc)^Sens!I16177</f>
        <v>0.727441646561469</v>
      </c>
      <c r="J16179" s="15" t="n">
        <f aca="false">1/(1+wacc)^Sens!J16177</f>
        <v>0.659549834988973</v>
      </c>
      <c r="K16179" s="15" t="n">
        <f aca="false">1/(1+wacc)^Sens!K16177</f>
        <v>0.597994336576966</v>
      </c>
    </row>
    <row r="16180" customFormat="false" ht="17.15" hidden="false" customHeight="false" outlineLevel="0" collapsed="false">
      <c r="A16180" s="1" t="s">
        <v>1216</v>
      </c>
      <c r="B16180" s="0" t="s">
        <v>98</v>
      </c>
      <c r="F16180" s="6" t="n">
        <f aca="false">Q!$I$35-Q!$I$39-Q!$I$43</f>
        <v>9.666</v>
      </c>
      <c r="L16180" s="12" t="s">
        <v>1217</v>
      </c>
    </row>
    <row r="16181" customFormat="false" ht="17.15" hidden="false" customHeight="false" outlineLevel="0" collapsed="false">
      <c r="A16181" s="1" t="s">
        <v>1218</v>
      </c>
      <c r="B16181" s="0" t="s">
        <v>98</v>
      </c>
      <c r="F16181" s="6" t="n">
        <f aca="false">Sens!F16152-Sens!F16149-Sens!F16156+Sens!F16134*(1-tax_f)*(1-v_off)-Sens!F16180</f>
        <v>-13.2091156954683</v>
      </c>
      <c r="G16181" s="6" t="n">
        <f aca="false">Sens!G16152-Sens!G16149-Sens!G16156+Sens!G16134*(1-tax_f)</f>
        <v>141.969554920548</v>
      </c>
      <c r="H16181" s="6" t="n">
        <f aca="false">Sens!H16152-Sens!H16149-Sens!H16156+Sens!H16134*(1-tax_f)</f>
        <v>193.407736749879</v>
      </c>
      <c r="I16181" s="6" t="n">
        <f aca="false">Sens!I16152-Sens!I16149-Sens!I16156+Sens!I16134*(1-tax_f)</f>
        <v>180.02707255254</v>
      </c>
      <c r="J16181" s="6" t="n">
        <f aca="false">Sens!J16152-Sens!J16149-Sens!J16156+Sens!J16134*(1-tax_f)</f>
        <v>180.653345785574</v>
      </c>
      <c r="K16181" s="6" t="n">
        <f aca="false">Sens!K16152-Sens!K16149-Sens!K16156+Sens!K16134*(1-tax_f)</f>
        <v>153.30292566185</v>
      </c>
      <c r="L16181" s="1" t="s">
        <v>1219</v>
      </c>
    </row>
    <row r="16182" customFormat="false" ht="15" hidden="false" customHeight="false" outlineLevel="0" collapsed="false">
      <c r="A16182" s="1" t="s">
        <v>1220</v>
      </c>
      <c r="B16182" s="0" t="s">
        <v>98</v>
      </c>
      <c r="F16182" s="6" t="n">
        <f aca="false">Sens!F16181*Sens!F16179</f>
        <v>-12.7338874207715</v>
      </c>
      <c r="G16182" s="6" t="n">
        <f aca="false">Sens!G16181*Sens!G16179</f>
        <v>125.630321761676</v>
      </c>
      <c r="H16182" s="6" t="n">
        <f aca="false">Sens!H16181*Sens!H16179</f>
        <v>155.175284054299</v>
      </c>
      <c r="I16182" s="6" t="n">
        <f aca="false">Sens!I16181*Sens!I16179</f>
        <v>130.959190083261</v>
      </c>
      <c r="J16182" s="6" t="n">
        <f aca="false">Sens!J16181*Sens!J16179</f>
        <v>119.149884403081</v>
      </c>
      <c r="K16182" s="6" t="n">
        <f aca="false">Sens!K16181*Sens!K16179</f>
        <v>91.6742813264656</v>
      </c>
    </row>
    <row r="16183" customFormat="false" ht="17.15" hidden="false" customHeight="false" outlineLevel="0" collapsed="false">
      <c r="A16183" s="1" t="s">
        <v>1221</v>
      </c>
      <c r="B16183" s="0" t="s">
        <v>98</v>
      </c>
      <c r="C16183" s="6" t="n">
        <f aca="false">SUM(Sens!F16182:K16182)</f>
        <v>609.85507420801</v>
      </c>
    </row>
    <row r="16184" customFormat="false" ht="17.15" hidden="false" customHeight="false" outlineLevel="0" collapsed="false">
      <c r="A16184" s="1" t="s">
        <v>1222</v>
      </c>
      <c r="B16184" s="0" t="s">
        <v>98</v>
      </c>
      <c r="C16184" s="6" t="n">
        <f aca="false">Sens!K16120*(1+g_tv)*(1-tax_f)</f>
        <v>230.978958814863</v>
      </c>
    </row>
    <row r="16185" customFormat="false" ht="17.15" hidden="false" customHeight="false" outlineLevel="0" collapsed="false">
      <c r="A16185" s="1" t="s">
        <v>1223</v>
      </c>
      <c r="B16185" s="0" t="s">
        <v>98</v>
      </c>
      <c r="C16185" s="6" t="n">
        <f aca="false">Sens!$C$16184*(1-g_tv/(wacc+ronic_prem))</f>
        <v>163.662092180839</v>
      </c>
    </row>
    <row r="16186" customFormat="false" ht="17.15" hidden="false" customHeight="false" outlineLevel="0" collapsed="false">
      <c r="A16186" s="1" t="s">
        <v>1224</v>
      </c>
      <c r="B16186" s="0" t="s">
        <v>98</v>
      </c>
      <c r="C16186" s="6" t="n">
        <f aca="false">Sens!$C$16185/(wacc-g_tv)</f>
        <v>2243.89555446748</v>
      </c>
    </row>
    <row r="16187" customFormat="false" ht="15" hidden="false" customHeight="false" outlineLevel="0" collapsed="false">
      <c r="A16187" s="1" t="s">
        <v>1225</v>
      </c>
      <c r="B16187" s="0" t="s">
        <v>98</v>
      </c>
      <c r="C16187" s="6" t="n">
        <f aca="false">Sens!$C$16186/(1+wacc)^Sens!K16178</f>
        <v>1277.68688386256</v>
      </c>
    </row>
    <row r="16188" customFormat="false" ht="17.15" hidden="false" customHeight="false" outlineLevel="0" collapsed="false">
      <c r="A16188" s="0" t="s">
        <v>1226</v>
      </c>
      <c r="B16188" s="0" t="s">
        <v>98</v>
      </c>
      <c r="C16188" s="6" t="n">
        <f aca="false">Sens!$C$16183+Sens!$C$16187</f>
        <v>1887.54195807057</v>
      </c>
    </row>
    <row r="16189" customFormat="false" ht="15" hidden="false" customHeight="false" outlineLevel="0" collapsed="false">
      <c r="A16189" s="1" t="s">
        <v>1141</v>
      </c>
      <c r="B16189" s="0" t="s">
        <v>168</v>
      </c>
      <c r="C16189" s="7" t="n">
        <f aca="false">Sens!$C$16187/Sens!$C$16188</f>
        <v>0.676905156147417</v>
      </c>
    </row>
    <row r="16190" customFormat="false" ht="17.15" hidden="false" customHeight="false" outlineLevel="0" collapsed="false">
      <c r="A16190" s="1" t="s">
        <v>1227</v>
      </c>
      <c r="B16190" s="0" t="s">
        <v>98</v>
      </c>
      <c r="C16190" s="6" t="n">
        <f aca="false">Sens!$C$16188+cash_val-debt_val-fl_val+oai_v</f>
        <v>2003.39295807057</v>
      </c>
    </row>
    <row r="16191" customFormat="false" ht="17.15" hidden="false" customHeight="false" outlineLevel="0" collapsed="false">
      <c r="A16191" s="0" t="s">
        <v>1149</v>
      </c>
      <c r="B16191" s="0" t="s">
        <v>75</v>
      </c>
      <c r="C16191" s="5" t="n">
        <f aca="false">Sens!$C$16190/shd_val</f>
        <v>269.056266192664</v>
      </c>
    </row>
    <row r="16192" customFormat="false" ht="15" hidden="false" customHeight="false" outlineLevel="0" collapsed="false">
      <c r="A16192" s="1" t="s">
        <v>1228</v>
      </c>
      <c r="B16192" s="0" t="s">
        <v>75</v>
      </c>
      <c r="C16192" s="8" t="n">
        <f aca="false">div_rem27+Sens!G16160*roll_div_q/q_per_yr</f>
        <v>3.9795</v>
      </c>
    </row>
    <row r="16193" customFormat="false" ht="17.15" hidden="false" customHeight="false" outlineLevel="0" collapsed="false">
      <c r="A16193" s="0" t="s">
        <v>1229</v>
      </c>
      <c r="B16193" s="0" t="s">
        <v>75</v>
      </c>
      <c r="C16193" s="5" t="n">
        <f aca="false">Sens!$C$16191*(1+wacc)^t_roll-Sens!$C$16192</f>
        <v>295.091556103491</v>
      </c>
    </row>
    <row r="16194" customFormat="false" ht="17.15" hidden="false" customHeight="false" outlineLevel="0" collapsed="false">
      <c r="A16194" s="1" t="s">
        <v>1230</v>
      </c>
      <c r="B16194" s="0" t="s">
        <v>168</v>
      </c>
      <c r="F16194" s="7" t="n">
        <f aca="false">Sens!F16146/(Sens!F16091-Sens!F16046)</f>
        <v>0.108047838379486</v>
      </c>
      <c r="G16194" s="7" t="n">
        <f aca="false">Sens!G16146/(Sens!G16091-Sens!G16046)</f>
        <v>0.0975314146147999</v>
      </c>
      <c r="H16194" s="7" t="n">
        <f aca="false">Sens!H16146/(Sens!H16091-Sens!H16046)</f>
        <v>0.0901460175277594</v>
      </c>
      <c r="I16194" s="7" t="n">
        <f aca="false">Sens!I16146/(Sens!I16091-Sens!I16046)</f>
        <v>0.0854106357219918</v>
      </c>
      <c r="J16194" s="7" t="n">
        <f aca="false">Sens!J16146/(Sens!J16091-Sens!J16046)</f>
        <v>0.0826734334586806</v>
      </c>
      <c r="K16194" s="7" t="n">
        <f aca="false">Sens!K16146/(Sens!K16091-Sens!K16046)</f>
        <v>0.0812838862190781</v>
      </c>
    </row>
    <row r="16195" customFormat="false" ht="17.15" hidden="false" customHeight="false" outlineLevel="0" collapsed="false">
      <c r="A16195" s="0" t="s">
        <v>1231</v>
      </c>
      <c r="B16195" s="0" t="s">
        <v>98</v>
      </c>
      <c r="F16195" s="6" t="n">
        <f aca="false">Sens!F16076*(al_m365+Sens!F16194+sbc_r)</f>
        <v>88.396124216877</v>
      </c>
      <c r="G16195" s="6" t="n">
        <f aca="false">Sens!G16076*(al_m365+Sens!G16194+sbc_r)</f>
        <v>100.46327785091</v>
      </c>
      <c r="H16195" s="6" t="n">
        <f aca="false">Sens!H16076*(al_m365+Sens!H16194+sbc_r)</f>
        <v>112.693180197931</v>
      </c>
      <c r="I16195" s="6" t="n">
        <f aca="false">Sens!I16076*(al_m365+Sens!I16194+sbc_r)</f>
        <v>123.901582737194</v>
      </c>
      <c r="J16195" s="6" t="n">
        <f aca="false">Sens!J16076*(al_m365+Sens!J16194+sbc_r)</f>
        <v>133.92013912973</v>
      </c>
      <c r="K16195" s="6" t="n">
        <f aca="false">Sens!K16076*(al_m365+Sens!K16194+sbc_r)</f>
        <v>143.589362250538</v>
      </c>
      <c r="L16195" s="12" t="s">
        <v>1232</v>
      </c>
    </row>
    <row r="16196" customFormat="false" ht="17.15" hidden="false" customHeight="false" outlineLevel="0" collapsed="false">
      <c r="A16196" s="0" t="s">
        <v>1233</v>
      </c>
      <c r="B16196" s="0" t="s">
        <v>98</v>
      </c>
      <c r="F16196" s="6" t="n">
        <f aca="false">Sens!F16077*(al_lic+Sens!F16194+sbc_r)</f>
        <v>34.3712255883714</v>
      </c>
      <c r="G16196" s="6" t="n">
        <f aca="false">Sens!G16077*(al_lic+Sens!G16194+sbc_r)</f>
        <v>35.4058828899495</v>
      </c>
      <c r="H16196" s="6" t="n">
        <f aca="false">Sens!H16077*(al_lic+Sens!H16194+sbc_r)</f>
        <v>36.4009844466194</v>
      </c>
      <c r="I16196" s="6" t="n">
        <f aca="false">Sens!I16077*(al_lic+Sens!I16194+sbc_r)</f>
        <v>37.3331284673878</v>
      </c>
      <c r="J16196" s="6" t="n">
        <f aca="false">Sens!J16077*(al_lic+Sens!J16194+sbc_r)</f>
        <v>38.1682589653997</v>
      </c>
      <c r="K16196" s="6" t="n">
        <f aca="false">Sens!K16077*(al_lic+Sens!K16194+sbc_r)</f>
        <v>38.869447308222</v>
      </c>
    </row>
    <row r="16197" customFormat="false" ht="17.15" hidden="false" customHeight="false" outlineLevel="0" collapsed="false">
      <c r="A16197" s="0" t="s">
        <v>1234</v>
      </c>
      <c r="B16197" s="0" t="s">
        <v>98</v>
      </c>
      <c r="F16197" s="6" t="n">
        <f aca="false">Sens!F16079*(al_ind+Sens!F16194+sbc_r)</f>
        <v>9.94030540325038</v>
      </c>
      <c r="G16197" s="6" t="n">
        <f aca="false">Sens!G16079*(al_ind+Sens!G16194+sbc_r)</f>
        <v>10.6094443399461</v>
      </c>
      <c r="H16197" s="6" t="n">
        <f aca="false">Sens!H16079*(al_ind+Sens!H16194+sbc_r)</f>
        <v>11.3402066057245</v>
      </c>
      <c r="I16197" s="6" t="n">
        <f aca="false">Sens!I16079*(al_ind+Sens!I16194+sbc_r)</f>
        <v>12.1292853146886</v>
      </c>
      <c r="J16197" s="6" t="n">
        <f aca="false">Sens!J16079*(al_ind+Sens!J16194+sbc_r)</f>
        <v>12.9639775626783</v>
      </c>
      <c r="K16197" s="6" t="n">
        <f aca="false">Sens!K16079*(al_ind+Sens!K16194+sbc_r)</f>
        <v>13.8255691520158</v>
      </c>
    </row>
    <row r="16198" customFormat="false" ht="17.15" hidden="false" customHeight="false" outlineLevel="0" collapsed="false">
      <c r="A16198" s="0" t="s">
        <v>1235</v>
      </c>
      <c r="B16198" s="0" t="s">
        <v>98</v>
      </c>
      <c r="F16198" s="6" t="n">
        <f aca="false">Sens!F16081*(al_fro+Sens!F16194+sbc_r)</f>
        <v>3.89917358303431</v>
      </c>
      <c r="G16198" s="6" t="n">
        <f aca="false">Sens!G16081*(al_fro+Sens!G16194+sbc_r)</f>
        <v>4.059484345761</v>
      </c>
      <c r="H16198" s="6" t="n">
        <f aca="false">Sens!H16081*(al_fro+Sens!H16194+sbc_r)</f>
        <v>4.25877982218685</v>
      </c>
      <c r="I16198" s="6" t="n">
        <f aca="false">Sens!I16081*(al_fro+Sens!I16194+sbc_r)</f>
        <v>4.49860609135388</v>
      </c>
      <c r="J16198" s="6" t="n">
        <f aca="false">Sens!J16081*(al_fro+Sens!J16194+sbc_r)</f>
        <v>4.77819847843045</v>
      </c>
      <c r="K16198" s="6" t="n">
        <f aca="false">Sens!K16081*(al_fro+Sens!K16194+sbc_r)</f>
        <v>5.09575962826251</v>
      </c>
    </row>
    <row r="16199" customFormat="false" ht="17.15" hidden="false" customHeight="false" outlineLevel="0" collapsed="false">
      <c r="A16199" s="0" t="s">
        <v>1236</v>
      </c>
      <c r="B16199" s="0" t="s">
        <v>98</v>
      </c>
      <c r="F16199" s="6" t="n">
        <f aca="false">Sens!F16084*(al_srch+Sens!F16194+sbc_r)</f>
        <v>12.275701507632</v>
      </c>
      <c r="G16199" s="6" t="n">
        <f aca="false">Sens!G16084*(al_srch+Sens!G16194+sbc_r)</f>
        <v>13.2256722719062</v>
      </c>
      <c r="H16199" s="6" t="n">
        <f aca="false">Sens!H16084*(al_srch+Sens!H16194+sbc_r)</f>
        <v>14.2372066680991</v>
      </c>
      <c r="I16199" s="6" t="n">
        <f aca="false">Sens!I16084*(al_srch+Sens!I16194+sbc_r)</f>
        <v>15.300473966991</v>
      </c>
      <c r="J16199" s="6" t="n">
        <f aca="false">Sens!J16084*(al_srch+Sens!J16194+sbc_r)</f>
        <v>16.3925926504253</v>
      </c>
      <c r="K16199" s="6" t="n">
        <f aca="false">Sens!K16084*(al_srch+Sens!K16194+sbc_r)</f>
        <v>17.4820514902573</v>
      </c>
    </row>
    <row r="16200" customFormat="false" ht="17.15" hidden="false" customHeight="false" outlineLevel="0" collapsed="false">
      <c r="A16200" s="0" t="s">
        <v>1237</v>
      </c>
      <c r="B16200" s="0" t="s">
        <v>98</v>
      </c>
      <c r="F16200" s="6" t="n">
        <f aca="false">Sens!F16052-Sens!F16053+Sens!F16134</f>
        <v>23.5425747640099</v>
      </c>
      <c r="G16200" s="6" t="n">
        <f aca="false">Sens!G16052-Sens!G16053+Sens!G16134</f>
        <v>27.9887004345605</v>
      </c>
      <c r="H16200" s="6" t="n">
        <f aca="false">Sens!H16052-Sens!H16053+Sens!H16134</f>
        <v>29.8380685607788</v>
      </c>
      <c r="I16200" s="6" t="n">
        <f aca="false">Sens!I16052-Sens!I16053+Sens!I16134</f>
        <v>30.8190724334252</v>
      </c>
      <c r="J16200" s="6" t="n">
        <f aca="false">Sens!J16052-Sens!J16053+Sens!J16134</f>
        <v>32.3005884859934</v>
      </c>
      <c r="K16200" s="6" t="n">
        <f aca="false">Sens!K16052-Sens!K16053+Sens!K16134</f>
        <v>35.2436001039328</v>
      </c>
    </row>
    <row r="16201" customFormat="false" ht="17.15" hidden="false" customHeight="false" outlineLevel="0" collapsed="false">
      <c r="A16201" s="0" t="s">
        <v>1238</v>
      </c>
      <c r="B16201" s="0" t="s">
        <v>98</v>
      </c>
      <c r="F16201" s="6" t="n">
        <f aca="false">Sens!F16113+Sens!F16134+Sens!F16064+Sens!F16194*(Sens!F16083-Sens!F16046)+sbc_r*Sens!F16083</f>
        <v>219.42209938405</v>
      </c>
      <c r="G16201" s="6" t="n">
        <f aca="false">Sens!G16113+Sens!G16134+Sens!G16064+Sens!G16194*(Sens!G16083-Sens!G16046)+sbc_r*Sens!G16083</f>
        <v>245.048978921169</v>
      </c>
      <c r="H16201" s="6" t="n">
        <f aca="false">Sens!H16113+Sens!H16134+Sens!H16064+Sens!H16194*(Sens!H16083-Sens!H16046)+sbc_r*Sens!H16083</f>
        <v>274.1461230431</v>
      </c>
      <c r="I16201" s="6" t="n">
        <f aca="false">Sens!I16113+Sens!I16134+Sens!I16064+Sens!I16194*(Sens!I16083-Sens!I16046)+sbc_r*Sens!I16083</f>
        <v>301.006066628138</v>
      </c>
      <c r="J16201" s="6" t="n">
        <f aca="false">Sens!J16113+Sens!J16134+Sens!J16064+Sens!J16194*(Sens!J16083-Sens!J16046)+sbc_r*Sens!J16083</f>
        <v>326.208554201721</v>
      </c>
      <c r="K16201" s="6" t="n">
        <f aca="false">Sens!K16113+Sens!K16134+Sens!K16064+Sens!K16194*(Sens!K16083-Sens!K16046)+sbc_r*Sens!K16083</f>
        <v>350.763944997667</v>
      </c>
    </row>
    <row r="16202" customFormat="false" ht="17.15" hidden="false" customHeight="false" outlineLevel="0" collapsed="false">
      <c r="A16202" s="0" t="s">
        <v>1239</v>
      </c>
      <c r="B16202" s="0" t="s">
        <v>98</v>
      </c>
      <c r="F16202" s="6" t="n">
        <f aca="false">Sens!F16201-Sens!F16195-Sens!F16196-Sens!F16197-Sens!F16198-Sens!F16200</f>
        <v>59.2726958285074</v>
      </c>
      <c r="G16202" s="6" t="n">
        <f aca="false">Sens!G16201-Sens!G16195-Sens!G16196-Sens!G16197-Sens!G16198-Sens!G16200</f>
        <v>66.5221890600424</v>
      </c>
      <c r="H16202" s="6" t="n">
        <f aca="false">Sens!H16201-Sens!H16195-Sens!H16196-Sens!H16197-Sens!H16198-Sens!H16200</f>
        <v>79.6149034098598</v>
      </c>
      <c r="I16202" s="6" t="n">
        <f aca="false">Sens!I16201-Sens!I16195-Sens!I16196-Sens!I16197-Sens!I16198-Sens!I16200</f>
        <v>92.3243915840883</v>
      </c>
      <c r="J16202" s="6" t="n">
        <f aca="false">Sens!J16201-Sens!J16195-Sens!J16196-Sens!J16197-Sens!J16198-Sens!J16200</f>
        <v>104.07739157949</v>
      </c>
      <c r="K16202" s="6" t="n">
        <f aca="false">Sens!K16201-Sens!K16195-Sens!K16196-Sens!K16197-Sens!K16198-Sens!K16200</f>
        <v>114.140206554696</v>
      </c>
    </row>
    <row r="16203" customFormat="false" ht="17.15" hidden="false" customHeight="false" outlineLevel="0" collapsed="false">
      <c r="A16203" s="0" t="s">
        <v>1240</v>
      </c>
      <c r="B16203" s="0" t="s">
        <v>98</v>
      </c>
      <c r="F16203" s="6" t="n">
        <f aca="false">Sens!F16115+Sens!F16194*Sens!F16090+sbc_r*Sens!F16090</f>
        <v>29.1689736042259</v>
      </c>
      <c r="G16203" s="6" t="n">
        <f aca="false">Sens!G16115+Sens!G16194*Sens!G16090+sbc_r*Sens!G16090</f>
        <v>28.5728960228201</v>
      </c>
      <c r="H16203" s="6" t="n">
        <f aca="false">Sens!H16115+Sens!H16194*Sens!H16090+sbc_r*Sens!H16090</f>
        <v>29.1166213912868</v>
      </c>
      <c r="I16203" s="6" t="n">
        <f aca="false">Sens!I16115+Sens!I16194*Sens!I16090+sbc_r*Sens!I16090</f>
        <v>29.9772866925061</v>
      </c>
      <c r="J16203" s="6" t="n">
        <f aca="false">Sens!J16115+Sens!J16194*Sens!J16090+sbc_r*Sens!J16090</f>
        <v>31.097845878465</v>
      </c>
      <c r="K16203" s="6" t="n">
        <f aca="false">Sens!K16115+Sens!K16194*Sens!K16090+sbc_r*Sens!K16090</f>
        <v>32.4234367333874</v>
      </c>
    </row>
    <row r="16204" customFormat="false" ht="17.15" hidden="false" customHeight="false" outlineLevel="0" collapsed="false">
      <c r="A16204" s="0" t="s">
        <v>1241</v>
      </c>
      <c r="B16204" s="0" t="s">
        <v>98</v>
      </c>
      <c r="F16204" s="6" t="n">
        <f aca="false">(Sens!F16203-Sens!F16199)*Sens!F16086/(Sens!F16086+Sens!F16088)</f>
        <v>9.54107544033349</v>
      </c>
      <c r="G16204" s="6" t="n">
        <f aca="false">(Sens!G16203-Sens!G16199)*Sens!G16086/(Sens!G16086+Sens!G16088)</f>
        <v>8.51892087781835</v>
      </c>
      <c r="H16204" s="6" t="n">
        <f aca="false">(Sens!H16203-Sens!H16199)*Sens!H16086/(Sens!H16086+Sens!H16088)</f>
        <v>8.15165636052449</v>
      </c>
      <c r="I16204" s="6" t="n">
        <f aca="false">(Sens!I16203-Sens!I16199)*Sens!I16086/(Sens!I16086+Sens!I16088)</f>
        <v>7.97047873630776</v>
      </c>
      <c r="J16204" s="6" t="n">
        <f aca="false">(Sens!J16203-Sens!J16199)*Sens!J16086/(Sens!J16086+Sens!J16088)</f>
        <v>7.95108160004076</v>
      </c>
      <c r="K16204" s="6" t="n">
        <f aca="false">(Sens!K16203-Sens!K16199)*Sens!K16086/(Sens!K16086+Sens!K16088)</f>
        <v>8.07875739665919</v>
      </c>
    </row>
    <row r="16205" customFormat="false" ht="17.15" hidden="false" customHeight="false" outlineLevel="0" collapsed="false">
      <c r="A16205" s="0" t="s">
        <v>1242</v>
      </c>
      <c r="B16205" s="0" t="s">
        <v>98</v>
      </c>
      <c r="F16205" s="6" t="n">
        <f aca="false">Sens!F16203-Sens!F16199-Sens!F16204</f>
        <v>7.35219665626043</v>
      </c>
      <c r="G16205" s="6" t="n">
        <f aca="false">Sens!G16203-Sens!G16199-Sens!G16204</f>
        <v>6.82830287309557</v>
      </c>
      <c r="H16205" s="6" t="n">
        <f aca="false">Sens!H16203-Sens!H16199-Sens!H16204</f>
        <v>6.72775836266323</v>
      </c>
      <c r="I16205" s="6" t="n">
        <f aca="false">Sens!I16203-Sens!I16199-Sens!I16204</f>
        <v>6.70633398920729</v>
      </c>
      <c r="J16205" s="6" t="n">
        <f aca="false">Sens!J16203-Sens!J16199-Sens!J16204</f>
        <v>6.75417162799899</v>
      </c>
      <c r="K16205" s="6" t="n">
        <f aca="false">Sens!K16203-Sens!K16199-Sens!K16204</f>
        <v>6.86262784647094</v>
      </c>
    </row>
    <row r="16206" customFormat="false" ht="17.15" hidden="false" customHeight="false" outlineLevel="0" collapsed="false">
      <c r="A16206" s="0" t="s">
        <v>1243</v>
      </c>
      <c r="B16206" s="0" t="s">
        <v>98</v>
      </c>
      <c r="F16206" s="6" t="n">
        <f aca="false">Sens!F16200-tax_f*(Sens!F16200-Sens!F16064)-Sens!F16061</f>
        <v>-5.92980727739207</v>
      </c>
      <c r="G16206" s="6" t="n">
        <f aca="false">Sens!G16200-tax_f*(Sens!G16200-Sens!G16064)-Sens!G16061</f>
        <v>-5.98567221575158</v>
      </c>
      <c r="H16206" s="6" t="n">
        <f aca="false">Sens!H16200-tax_f*(Sens!H16200-Sens!H16064)-Sens!H16061</f>
        <v>30.205971832023</v>
      </c>
      <c r="I16206" s="6" t="n">
        <f aca="false">Sens!I16200-tax_f*(Sens!I16200-Sens!I16064)-Sens!I16061</f>
        <v>1.94048617294574</v>
      </c>
      <c r="J16206" s="6" t="n">
        <f aca="false">Sens!J16200-tax_f*(Sens!J16200-Sens!J16064)-Sens!J16061</f>
        <v>-11.4749648759164</v>
      </c>
      <c r="K16206" s="6" t="n">
        <f aca="false">Sens!K16200-tax_f*(Sens!K16200-Sens!K16064)-Sens!K16061</f>
        <v>-52.0659349868704</v>
      </c>
    </row>
    <row r="16207" customFormat="false" ht="17.15" hidden="false" customHeight="false" outlineLevel="0" collapsed="false">
      <c r="A16207" s="0" t="s">
        <v>1244</v>
      </c>
      <c r="B16207" s="0" t="s">
        <v>98</v>
      </c>
      <c r="G16207" s="6" t="n">
        <f aca="false">Sens!G16206/(1+wacc)^(Sens!G16177-Sens!F16178)</f>
        <v>-5.69951181139505</v>
      </c>
      <c r="H16207" s="6" t="n">
        <f aca="false">Sens!H16206/(1+wacc)^(Sens!H16177-Sens!F16178)</f>
        <v>26.0775625295695</v>
      </c>
      <c r="I16207" s="6" t="n">
        <f aca="false">Sens!I16206/(1+wacc)^(Sens!I16177-Sens!F16178)</f>
        <v>1.51891751393882</v>
      </c>
      <c r="J16207" s="6" t="n">
        <f aca="false">Sens!J16206/(1+wacc)^(Sens!J16177-Sens!F16178)</f>
        <v>-8.14375045032843</v>
      </c>
      <c r="K16207" s="6" t="n">
        <f aca="false">Sens!K16206/(1+wacc)^(Sens!K16177-Sens!F16178)</f>
        <v>-33.502423089654</v>
      </c>
      <c r="L16207" s="1" t="s">
        <v>1245</v>
      </c>
    </row>
    <row r="16208" customFormat="false" ht="17.15" hidden="false" customHeight="false" outlineLevel="0" collapsed="false">
      <c r="A16208" s="0" t="s">
        <v>1246</v>
      </c>
      <c r="B16208" s="0" t="s">
        <v>98</v>
      </c>
      <c r="C16208" s="6" t="n">
        <f aca="false">(Sens!K16200-Sens!K16064)*(1-tax_f)*(1+g_tv)*(1-g_tv/(wacc+ronic_prem))/(wacc-g_tv)/(1+wacc)^(Sens!K16178-Sens!F16178)</f>
        <v>-4.23511305364801</v>
      </c>
    </row>
    <row r="16209" customFormat="false" ht="17.15" hidden="false" customHeight="false" outlineLevel="0" collapsed="false">
      <c r="A16209" s="1" t="s">
        <v>1247</v>
      </c>
      <c r="B16209" s="0" t="s">
        <v>98</v>
      </c>
      <c r="C16209" s="6" t="n">
        <f aca="false">(SUM(Sens!G16207:K16207)+Sens!$C$16208)*(1+wacc)^(t_roll-Sens!F16178)</f>
        <v>-24.7761132445933</v>
      </c>
      <c r="L16209" s="12" t="s">
        <v>1248</v>
      </c>
    </row>
    <row r="16210" customFormat="false" ht="17.15" hidden="false" customHeight="false" outlineLevel="0" collapsed="false">
      <c r="A16210" s="1" t="s">
        <v>1249</v>
      </c>
      <c r="B16210" s="0" t="s">
        <v>98</v>
      </c>
      <c r="C16210" s="6" t="n">
        <f aca="false">(w_ntm28*Sens!G16052+(1-w_ntm28)*Sens!H16052)*m_ai</f>
        <v>206.567859265904</v>
      </c>
    </row>
    <row r="16211" customFormat="false" ht="17.15" hidden="false" customHeight="false" outlineLevel="0" collapsed="false">
      <c r="A16211" s="1" t="s">
        <v>1250</v>
      </c>
      <c r="B16211" s="0" t="s">
        <v>98</v>
      </c>
      <c r="C16211" s="6" t="n">
        <f aca="false">(w_ntm28*Sens!G16202+(1-w_ntm28)*Sens!H16202)*m_cloud</f>
        <v>978.824207543312</v>
      </c>
    </row>
    <row r="16212" customFormat="false" ht="17.15" hidden="false" customHeight="false" outlineLevel="0" collapsed="false">
      <c r="A16212" s="1" t="s">
        <v>1251</v>
      </c>
      <c r="B16212" s="0" t="s">
        <v>98</v>
      </c>
      <c r="C16212" s="6" t="n">
        <f aca="false">(w_ntm28*Sens!G16195+(1-w_ntm28)*Sens!H16195)*m_sw</f>
        <v>1128.42793076719</v>
      </c>
    </row>
    <row r="16213" customFormat="false" ht="17.15" hidden="false" customHeight="false" outlineLevel="0" collapsed="false">
      <c r="A16213" s="1" t="s">
        <v>1252</v>
      </c>
      <c r="B16213" s="0" t="s">
        <v>98</v>
      </c>
      <c r="C16213" s="6" t="n">
        <f aca="false">(w_ntm28*Sens!G16196+(1-w_ntm28)*Sens!H16196)*m_sw</f>
        <v>385.916827314041</v>
      </c>
    </row>
    <row r="16214" customFormat="false" ht="17.15" hidden="false" customHeight="false" outlineLevel="0" collapsed="false">
      <c r="A16214" s="1" t="s">
        <v>1253</v>
      </c>
      <c r="B16214" s="0" t="s">
        <v>98</v>
      </c>
      <c r="C16214" s="6" t="n">
        <f aca="false">(w_ntm28*Sens!G16197+(1-w_ntm28)*Sens!H16197)*m_sw</f>
        <v>117.176705437031</v>
      </c>
    </row>
    <row r="16215" customFormat="false" ht="17.15" hidden="false" customHeight="false" outlineLevel="0" collapsed="false">
      <c r="A16215" s="1" t="s">
        <v>1254</v>
      </c>
      <c r="B16215" s="0" t="s">
        <v>98</v>
      </c>
      <c r="C16215" s="6" t="n">
        <f aca="false">(w_ntm28*Sens!G16198+(1-w_ntm28)*Sens!H16198)*m_sw</f>
        <v>44.5500663792815</v>
      </c>
    </row>
    <row r="16216" customFormat="false" ht="17.15" hidden="false" customHeight="false" outlineLevel="0" collapsed="false">
      <c r="A16216" s="1" t="s">
        <v>1255</v>
      </c>
      <c r="B16216" s="0" t="s">
        <v>98</v>
      </c>
      <c r="C16216" s="6" t="n">
        <f aca="false">(w_ntm28*Sens!G16199+(1-w_ntm28)*Sens!H16199)*m_ads</f>
        <v>123.515489196841</v>
      </c>
    </row>
    <row r="16217" customFormat="false" ht="17.15" hidden="false" customHeight="false" outlineLevel="0" collapsed="false">
      <c r="A16217" s="1" t="s">
        <v>1256</v>
      </c>
      <c r="B16217" s="0" t="s">
        <v>98</v>
      </c>
      <c r="C16217" s="6" t="n">
        <f aca="false">(w_ntm28*Sens!G16204+(1-w_ntm28)*Sens!H16204)*m_game</f>
        <v>106.068967666543</v>
      </c>
    </row>
    <row r="16218" customFormat="false" ht="17.15" hidden="false" customHeight="false" outlineLevel="0" collapsed="false">
      <c r="A16218" s="1" t="s">
        <v>1257</v>
      </c>
      <c r="B16218" s="0" t="s">
        <v>98</v>
      </c>
      <c r="C16218" s="6" t="n">
        <f aca="false">(w_ntm28*Sens!G16205+(1-w_ntm28)*Sens!H16205)*m_pc</f>
        <v>98.3272261684471</v>
      </c>
    </row>
    <row r="16219" customFormat="false" ht="17.15" hidden="false" customHeight="false" outlineLevel="0" collapsed="false">
      <c r="A16219" s="1" t="s">
        <v>1258</v>
      </c>
      <c r="B16219" s="0" t="s">
        <v>98</v>
      </c>
      <c r="C16219" s="6" t="n">
        <f aca="false">Sens!$C$16209+Sens!$C$16211+Sens!$C$16212+Sens!$C$16213+Sens!$C$16214+Sens!$C$16215+Sens!$C$16216+Sens!$C$16217+Sens!$C$16218</f>
        <v>2958.0313072281</v>
      </c>
    </row>
    <row r="16220" customFormat="false" ht="17.15" hidden="false" customHeight="false" outlineLevel="0" collapsed="false">
      <c r="A16220" s="1" t="s">
        <v>1259</v>
      </c>
      <c r="B16220" s="0" t="s">
        <v>98</v>
      </c>
      <c r="C16220" s="6" t="n">
        <f aca="false">(Sens!G16181-Sens!G16206)*t_stub</f>
        <v>49.04817118765</v>
      </c>
      <c r="L16220" s="1" t="s">
        <v>1260</v>
      </c>
    </row>
    <row r="16221" customFormat="false" ht="17.15" hidden="false" customHeight="false" outlineLevel="0" collapsed="false">
      <c r="A16221" s="1" t="s">
        <v>1169</v>
      </c>
      <c r="B16221" s="0" t="s">
        <v>98</v>
      </c>
      <c r="C16221" s="6" t="n">
        <f aca="false">Sens!F16168+oai_v-Sens!F16157+Sens!$C$16220</f>
        <v>159.1211718586</v>
      </c>
      <c r="L16221" s="1" t="s">
        <v>1261</v>
      </c>
    </row>
    <row r="16222" customFormat="false" ht="17.15" hidden="false" customHeight="false" outlineLevel="0" collapsed="false">
      <c r="A16222" s="1" t="s">
        <v>1262</v>
      </c>
      <c r="B16222" s="0" t="s">
        <v>75</v>
      </c>
      <c r="C16222" s="5" t="n">
        <f aca="false">(Sens!$C$16219+Sens!$C$16221)/(Sens!F16170+dil_gap)-Sens!G16160*roll_div_q/q_per_yr</f>
        <v>414.802613005162</v>
      </c>
      <c r="L16222" s="1" t="s">
        <v>1263</v>
      </c>
    </row>
    <row r="16223" customFormat="false" ht="17.15" hidden="false" customHeight="false" outlineLevel="0" collapsed="false">
      <c r="A16223" s="1" t="s">
        <v>1264</v>
      </c>
      <c r="B16223" s="0" t="s">
        <v>75</v>
      </c>
      <c r="C16223" s="5" t="n">
        <f aca="false">w_dcf*Sens!$C$16193+(1-w_dcf)*Sens!$C$16222</f>
        <v>354.947084554327</v>
      </c>
    </row>
    <row r="16224" customFormat="false" ht="17.15" hidden="false" customHeight="false" outlineLevel="0" collapsed="false">
      <c r="A16224" s="3" t="s">
        <v>1879</v>
      </c>
    </row>
    <row r="16225" customFormat="false" ht="15" hidden="false" customHeight="false" outlineLevel="0" collapsed="false">
      <c r="A16225" s="4" t="s">
        <v>43</v>
      </c>
      <c r="B16225" s="4" t="s">
        <v>65</v>
      </c>
      <c r="C16225" s="23" t="s">
        <v>938</v>
      </c>
      <c r="D16225" s="23" t="s">
        <v>939</v>
      </c>
      <c r="E16225" s="23" t="s">
        <v>940</v>
      </c>
      <c r="F16225" s="23" t="s">
        <v>941</v>
      </c>
      <c r="G16225" s="23" t="s">
        <v>942</v>
      </c>
      <c r="H16225" s="23" t="s">
        <v>943</v>
      </c>
      <c r="I16225" s="23" t="s">
        <v>944</v>
      </c>
      <c r="J16225" s="23" t="s">
        <v>945</v>
      </c>
      <c r="K16225" s="23" t="s">
        <v>946</v>
      </c>
      <c r="L16225" s="4" t="s">
        <v>47</v>
      </c>
    </row>
    <row r="16226" customFormat="false" ht="17.15" hidden="false" customHeight="false" outlineLevel="0" collapsed="false">
      <c r="A16226" s="1" t="s">
        <v>947</v>
      </c>
      <c r="B16226" s="1" t="s">
        <v>279</v>
      </c>
      <c r="C16226" s="21" t="n">
        <v>2024</v>
      </c>
      <c r="D16226" s="21" t="n">
        <v>2025</v>
      </c>
      <c r="E16226" s="21" t="n">
        <v>2026</v>
      </c>
      <c r="F16226" s="21" t="n">
        <v>2027</v>
      </c>
      <c r="G16226" s="21" t="n">
        <v>2028</v>
      </c>
      <c r="H16226" s="21" t="n">
        <v>2029</v>
      </c>
      <c r="I16226" s="21" t="n">
        <v>2030</v>
      </c>
      <c r="J16226" s="21" t="n">
        <v>2031</v>
      </c>
      <c r="K16226" s="21" t="n">
        <v>2032</v>
      </c>
    </row>
    <row r="16227" customFormat="false" ht="17.15" hidden="false" customHeight="false" outlineLevel="0" collapsed="false">
      <c r="A16227" s="1" t="s">
        <v>948</v>
      </c>
      <c r="B16227" s="0" t="s">
        <v>456</v>
      </c>
      <c r="F16227" s="30" t="n">
        <f aca="false">pace_epoch</f>
        <v>650</v>
      </c>
      <c r="G16227" s="30" t="n">
        <f aca="false">pace_epoch</f>
        <v>650</v>
      </c>
      <c r="H16227" s="30" t="n">
        <f aca="false">pace_epoch</f>
        <v>650</v>
      </c>
      <c r="I16227" s="30" t="n">
        <f aca="false">pace_epoch+(g_tv*Sens!H16228-pace_epoch)*MIN(1,(Sens!I16226-pace_y0)/(pace_y1-pace_y0))</f>
        <v>477.193333333333</v>
      </c>
      <c r="J16227" s="30" t="n">
        <f aca="false">pace_epoch+(g_tv*Sens!I16228-pace_epoch)*MIN(1,(Sens!J16226-pace_y0)/(pace_y1-pace_y0))</f>
        <v>304.386666666667</v>
      </c>
      <c r="K16227" s="30" t="n">
        <f aca="false">pace_epoch+(g_tv*Sens!J16228-pace_epoch)*MIN(1,(Sens!K16226-pace_y0)/(pace_y1-pace_y0))</f>
        <v>131.58</v>
      </c>
      <c r="L16227" s="12" t="s">
        <v>949</v>
      </c>
    </row>
    <row r="16228" customFormat="false" ht="17.15" hidden="false" customHeight="false" outlineLevel="0" collapsed="false">
      <c r="A16228" s="1" t="s">
        <v>950</v>
      </c>
      <c r="B16228" s="0" t="s">
        <v>456</v>
      </c>
      <c r="C16228" s="30" t="n">
        <f aca="false">mw_ext_24</f>
        <v>640</v>
      </c>
      <c r="D16228" s="30" t="n">
        <f aca="false">mw_ext_25</f>
        <v>1630</v>
      </c>
      <c r="E16228" s="30" t="n">
        <f aca="false">mw_ext_26</f>
        <v>3250</v>
      </c>
      <c r="F16228" s="30" t="n">
        <f aca="false">MIN(cap_epoch,Sens!E16228+Sens!F16227)</f>
        <v>3900</v>
      </c>
      <c r="G16228" s="30" t="n">
        <f aca="false">MIN(cap_epoch,Sens!F16228+Sens!G16227)</f>
        <v>4386</v>
      </c>
      <c r="H16228" s="30" t="n">
        <f aca="false">MIN(cap_epoch,Sens!G16228+Sens!H16227)</f>
        <v>4386</v>
      </c>
      <c r="I16228" s="30" t="n">
        <f aca="false">MIN(cap_epoch,Sens!H16228+Sens!I16227)</f>
        <v>4386</v>
      </c>
      <c r="J16228" s="30" t="n">
        <f aca="false">MIN(cap_epoch,Sens!I16228+Sens!J16227)</f>
        <v>4386</v>
      </c>
      <c r="K16228" s="30" t="n">
        <f aca="false">MIN(cap_epoch,Sens!J16228+Sens!K16227)</f>
        <v>4386</v>
      </c>
      <c r="L16228" s="1" t="s">
        <v>951</v>
      </c>
    </row>
    <row r="16229" customFormat="false" ht="17.15" hidden="false" customHeight="false" outlineLevel="0" collapsed="false">
      <c r="A16229" s="1" t="s">
        <v>952</v>
      </c>
      <c r="B16229" s="0" t="s">
        <v>456</v>
      </c>
      <c r="C16229" s="30" t="n">
        <f aca="false">rent_ext_24</f>
        <v>150</v>
      </c>
      <c r="D16229" s="30" t="n">
        <f aca="false">rent_ext_25</f>
        <v>400</v>
      </c>
      <c r="E16229" s="30" t="n">
        <f aca="false">rent_ext_26</f>
        <v>550</v>
      </c>
      <c r="F16229" s="30" t="n">
        <f aca="false">rent_ext_f</f>
        <v>756</v>
      </c>
      <c r="G16229" s="30" t="n">
        <f aca="false">rent_ext_f</f>
        <v>756</v>
      </c>
      <c r="H16229" s="30" t="n">
        <f aca="false">rent_ext_f</f>
        <v>756</v>
      </c>
      <c r="I16229" s="30" t="n">
        <f aca="false">rent_ext_f</f>
        <v>756</v>
      </c>
      <c r="J16229" s="30" t="n">
        <f aca="false">rent_ext_f</f>
        <v>756</v>
      </c>
      <c r="K16229" s="30" t="n">
        <f aca="false">rent_ext_f</f>
        <v>756</v>
      </c>
      <c r="L16229" s="1" t="s">
        <v>953</v>
      </c>
    </row>
    <row r="16230" customFormat="false" ht="17.15" hidden="false" customHeight="false" outlineLevel="0" collapsed="false">
      <c r="A16230" s="1" t="s">
        <v>954</v>
      </c>
      <c r="B16230" s="0" t="s">
        <v>456</v>
      </c>
      <c r="C16230" s="30" t="n">
        <f aca="false">Sens!C16228-Sens!C16229</f>
        <v>490</v>
      </c>
      <c r="D16230" s="30" t="n">
        <f aca="false">Sens!D16228-Sens!D16229</f>
        <v>1230</v>
      </c>
      <c r="E16230" s="30" t="n">
        <f aca="false">Sens!E16228-Sens!E16229</f>
        <v>2700</v>
      </c>
      <c r="F16230" s="30" t="n">
        <f aca="false">Sens!F16228-Sens!F16229</f>
        <v>3144</v>
      </c>
      <c r="G16230" s="30" t="n">
        <f aca="false">Sens!G16228-Sens!G16229</f>
        <v>3630</v>
      </c>
      <c r="H16230" s="30" t="n">
        <f aca="false">Sens!H16228-Sens!H16229</f>
        <v>3630</v>
      </c>
      <c r="I16230" s="30" t="n">
        <f aca="false">Sens!I16228-Sens!I16229</f>
        <v>3630</v>
      </c>
      <c r="J16230" s="30" t="n">
        <f aca="false">Sens!J16228-Sens!J16229</f>
        <v>3630</v>
      </c>
      <c r="K16230" s="30" t="n">
        <f aca="false">Sens!K16228-Sens!K16229</f>
        <v>3630</v>
      </c>
    </row>
    <row r="16231" customFormat="false" ht="17.15" hidden="false" customHeight="false" outlineLevel="0" collapsed="false">
      <c r="A16231" s="1" t="s">
        <v>955</v>
      </c>
      <c r="B16231" s="0" t="s">
        <v>456</v>
      </c>
      <c r="C16231" s="30" t="n">
        <f aca="false">Sens!C16230/ext_sh</f>
        <v>816.666666666667</v>
      </c>
      <c r="D16231" s="30" t="n">
        <f aca="false">Sens!D16230/ext_sh</f>
        <v>2050</v>
      </c>
      <c r="E16231" s="30" t="n">
        <f aca="false">Sens!E16230/ext_sh</f>
        <v>4500</v>
      </c>
      <c r="F16231" s="30" t="n">
        <f aca="false">Sens!F16230/ext_sh</f>
        <v>5240</v>
      </c>
      <c r="G16231" s="30" t="n">
        <f aca="false">Sens!G16230/ext_sh</f>
        <v>6050</v>
      </c>
      <c r="H16231" s="30" t="n">
        <f aca="false">Sens!H16230/ext_sh</f>
        <v>6050</v>
      </c>
      <c r="I16231" s="30" t="n">
        <f aca="false">Sens!I16230/ext_sh</f>
        <v>6050</v>
      </c>
      <c r="J16231" s="30" t="n">
        <f aca="false">Sens!J16230/ext_sh</f>
        <v>6050</v>
      </c>
      <c r="K16231" s="30" t="n">
        <f aca="false">Sens!K16230/ext_sh</f>
        <v>6050</v>
      </c>
      <c r="L16231" s="1" t="s">
        <v>956</v>
      </c>
    </row>
    <row r="16232" customFormat="false" ht="17.15" hidden="false" customHeight="false" outlineLevel="0" collapsed="false">
      <c r="A16232" s="1" t="s">
        <v>957</v>
      </c>
      <c r="B16232" s="0" t="s">
        <v>456</v>
      </c>
      <c r="C16232" s="30" t="n">
        <f aca="false">Sens!C16231-Sens!C16230</f>
        <v>326.666666666667</v>
      </c>
      <c r="D16232" s="30" t="n">
        <f aca="false">Sens!D16231-Sens!D16230</f>
        <v>820</v>
      </c>
      <c r="E16232" s="30" t="n">
        <f aca="false">Sens!E16231-Sens!E16230</f>
        <v>1800</v>
      </c>
      <c r="F16232" s="30" t="n">
        <f aca="false">Sens!F16231-Sens!F16230</f>
        <v>2096</v>
      </c>
      <c r="G16232" s="30" t="n">
        <f aca="false">Sens!G16231-Sens!G16230</f>
        <v>2420</v>
      </c>
      <c r="H16232" s="30" t="n">
        <f aca="false">Sens!H16231-Sens!H16230</f>
        <v>2420</v>
      </c>
      <c r="I16232" s="30" t="n">
        <f aca="false">Sens!I16231-Sens!I16230</f>
        <v>2420</v>
      </c>
      <c r="J16232" s="30" t="n">
        <f aca="false">Sens!J16231-Sens!J16230</f>
        <v>2420</v>
      </c>
      <c r="K16232" s="30" t="n">
        <f aca="false">Sens!K16231-Sens!K16230</f>
        <v>2420</v>
      </c>
    </row>
    <row r="16233" customFormat="false" ht="17.15" hidden="false" customHeight="false" outlineLevel="0" collapsed="false">
      <c r="A16233" s="1" t="s">
        <v>958</v>
      </c>
      <c r="B16233" s="0" t="s">
        <v>456</v>
      </c>
      <c r="C16233" s="30" t="n">
        <f aca="false">Sens!C16231</f>
        <v>816.666666666667</v>
      </c>
      <c r="D16233" s="30" t="n">
        <f aca="false">Sens!D16231-Sens!C16231</f>
        <v>1233.33333333333</v>
      </c>
      <c r="E16233" s="30" t="n">
        <f aca="false">Sens!E16231-Sens!D16231</f>
        <v>2450</v>
      </c>
      <c r="F16233" s="30" t="n">
        <f aca="false">Sens!F16231-Sens!E16231</f>
        <v>740</v>
      </c>
      <c r="G16233" s="30" t="n">
        <f aca="false">Sens!G16231-Sens!F16231</f>
        <v>810</v>
      </c>
      <c r="H16233" s="30" t="n">
        <f aca="false">Sens!H16231-Sens!G16231</f>
        <v>0</v>
      </c>
      <c r="I16233" s="30" t="n">
        <f aca="false">Sens!I16231-Sens!H16231</f>
        <v>0</v>
      </c>
      <c r="J16233" s="30" t="n">
        <f aca="false">Sens!J16231-Sens!I16231</f>
        <v>0</v>
      </c>
      <c r="K16233" s="30" t="n">
        <f aca="false">Sens!K16231-Sens!J16231</f>
        <v>0</v>
      </c>
    </row>
    <row r="16234" customFormat="false" ht="17.15" hidden="false" customHeight="false" outlineLevel="0" collapsed="false">
      <c r="A16234" s="1" t="s">
        <v>959</v>
      </c>
      <c r="B16234" s="0" t="s">
        <v>456</v>
      </c>
      <c r="D16234" s="30" t="n">
        <f aca="false">Sens!D16228-Sens!C16228</f>
        <v>990</v>
      </c>
      <c r="E16234" s="30" t="n">
        <f aca="false">Sens!E16228-Sens!D16228</f>
        <v>1620</v>
      </c>
      <c r="F16234" s="30" t="n">
        <f aca="false">Sens!F16228-Sens!E16228</f>
        <v>650</v>
      </c>
      <c r="G16234" s="30" t="n">
        <f aca="false">Sens!G16228-Sens!F16228</f>
        <v>486</v>
      </c>
      <c r="H16234" s="30" t="n">
        <f aca="false">Sens!H16228-Sens!G16228</f>
        <v>0</v>
      </c>
      <c r="I16234" s="30" t="n">
        <f aca="false">Sens!I16228-Sens!H16228</f>
        <v>0</v>
      </c>
      <c r="J16234" s="30" t="n">
        <f aca="false">Sens!J16228-Sens!I16228</f>
        <v>0</v>
      </c>
      <c r="K16234" s="30" t="n">
        <f aca="false">Sens!K16228-Sens!J16228</f>
        <v>0</v>
      </c>
    </row>
    <row r="16235" customFormat="false" ht="17.15" hidden="false" customHeight="false" outlineLevel="0" collapsed="false">
      <c r="A16235" s="1" t="s">
        <v>960</v>
      </c>
      <c r="B16235" s="0" t="s">
        <v>456</v>
      </c>
      <c r="F16235" s="30" t="n">
        <f aca="false">Sens!F16254*ext_sh</f>
        <v>0</v>
      </c>
      <c r="G16235" s="30" t="n">
        <f aca="false">Sens!G16254*ext_sh</f>
        <v>0</v>
      </c>
      <c r="H16235" s="30" t="n">
        <f aca="false">Sens!H16254*ext_sh</f>
        <v>0</v>
      </c>
      <c r="I16235" s="30" t="n">
        <f aca="false">Sens!I16254*ext_sh</f>
        <v>490</v>
      </c>
      <c r="J16235" s="30" t="n">
        <f aca="false">Sens!J16254*ext_sh</f>
        <v>740</v>
      </c>
      <c r="K16235" s="30" t="n">
        <f aca="false">Sens!K16254*ext_sh</f>
        <v>1470</v>
      </c>
      <c r="L16235" s="1" t="s">
        <v>961</v>
      </c>
    </row>
    <row r="16236" customFormat="false" ht="17.15" hidden="false" customHeight="false" outlineLevel="0" collapsed="false">
      <c r="A16236" s="1" t="s">
        <v>962</v>
      </c>
      <c r="B16236" s="0" t="s">
        <v>456</v>
      </c>
      <c r="C16236" s="30" t="n">
        <f aca="false">mix_h*Sens!C16228</f>
        <v>128</v>
      </c>
      <c r="D16236" s="30" t="n">
        <f aca="false">mix_h*Sens!D16228</f>
        <v>326</v>
      </c>
      <c r="E16236" s="30" t="n">
        <f aca="false">mix_h*Sens!E16228</f>
        <v>650</v>
      </c>
      <c r="F16236" s="30" t="n">
        <f aca="false">Sens!E16236-Sens!F16235*mix_h</f>
        <v>650</v>
      </c>
      <c r="G16236" s="30" t="n">
        <f aca="false">Sens!F16236-Sens!G16235*mix_h</f>
        <v>650</v>
      </c>
      <c r="H16236" s="30" t="n">
        <f aca="false">Sens!G16236-Sens!H16235*mix_h</f>
        <v>650</v>
      </c>
      <c r="I16236" s="30" t="n">
        <f aca="false">Sens!H16236-Sens!I16235*mix_h</f>
        <v>552</v>
      </c>
      <c r="J16236" s="30" t="n">
        <f aca="false">Sens!I16236-Sens!J16235*mix_h</f>
        <v>404</v>
      </c>
      <c r="K16236" s="30" t="n">
        <f aca="false">Sens!J16236-Sens!K16235*mix_h</f>
        <v>110</v>
      </c>
    </row>
    <row r="16237" customFormat="false" ht="17.15" hidden="false" customHeight="false" outlineLevel="0" collapsed="false">
      <c r="A16237" s="1" t="s">
        <v>963</v>
      </c>
      <c r="B16237" s="0" t="s">
        <v>456</v>
      </c>
      <c r="C16237" s="30" t="n">
        <f aca="false">mix_g2*Sens!C16228</f>
        <v>288</v>
      </c>
      <c r="D16237" s="30" t="n">
        <f aca="false">mix_g2*Sens!D16228</f>
        <v>733.5</v>
      </c>
      <c r="E16237" s="30" t="n">
        <f aca="false">mix_g2*Sens!E16228</f>
        <v>1462.5</v>
      </c>
      <c r="F16237" s="30" t="n">
        <f aca="false">Sens!E16237-Sens!F16235*mix_g2</f>
        <v>1462.5</v>
      </c>
      <c r="G16237" s="30" t="n">
        <f aca="false">Sens!F16237-Sens!G16235*mix_g2</f>
        <v>1462.5</v>
      </c>
      <c r="H16237" s="30" t="n">
        <f aca="false">Sens!G16237-Sens!H16235*mix_g2</f>
        <v>1462.5</v>
      </c>
      <c r="I16237" s="30" t="n">
        <f aca="false">Sens!H16237-Sens!I16235*mix_g2</f>
        <v>1242</v>
      </c>
      <c r="J16237" s="30" t="n">
        <f aca="false">Sens!I16237-Sens!J16235*mix_g2</f>
        <v>909</v>
      </c>
      <c r="K16237" s="30" t="n">
        <f aca="false">Sens!J16237-Sens!K16235*mix_g2</f>
        <v>247.5</v>
      </c>
    </row>
    <row r="16238" customFormat="false" ht="17.15" hidden="false" customHeight="false" outlineLevel="0" collapsed="false">
      <c r="A16238" s="1" t="s">
        <v>964</v>
      </c>
      <c r="B16238" s="0" t="s">
        <v>456</v>
      </c>
      <c r="C16238" s="30" t="n">
        <f aca="false">mix_g3*Sens!C16228</f>
        <v>224</v>
      </c>
      <c r="D16238" s="30" t="n">
        <f aca="false">mix_g3*Sens!D16228</f>
        <v>570.5</v>
      </c>
      <c r="E16238" s="30" t="n">
        <f aca="false">mix_g3*Sens!E16228</f>
        <v>1137.5</v>
      </c>
      <c r="F16238" s="30" t="n">
        <f aca="false">Sens!E16238+(Sens!F16234+Sens!F16235)*(a_g3_27-nonnv*a_mai)-Sens!F16235*mix_g3</f>
        <v>1527.5</v>
      </c>
      <c r="G16238" s="30" t="n">
        <f aca="false">Sens!F16238+(Sens!G16234+Sens!G16235)*(a_g3_28-nonnv*a_mai)-Sens!G16235*mix_g3</f>
        <v>1624.7</v>
      </c>
      <c r="H16238" s="30" t="n">
        <f aca="false">Sens!G16238+(Sens!H16234+Sens!H16235)*(a_g3_29-nonnv*a_mai)-Sens!H16235*mix_g3</f>
        <v>1624.7</v>
      </c>
      <c r="I16238" s="30" t="n">
        <f aca="false">Sens!H16238+(Sens!I16234+Sens!I16235)*(a_g3_29-nonnv*a_mai)-Sens!I16235*mix_g3</f>
        <v>1453.2</v>
      </c>
      <c r="J16238" s="30" t="n">
        <f aca="false">Sens!I16238+(Sens!J16234+Sens!J16235)*(a_g3_29-nonnv*a_mai)-Sens!J16235*mix_g3</f>
        <v>1194.2</v>
      </c>
      <c r="K16238" s="30" t="n">
        <f aca="false">Sens!J16238+(Sens!K16234+Sens!K16235)*(a_g3_29-nonnv*a_mai)-Sens!K16235*mix_g3</f>
        <v>679.7</v>
      </c>
    </row>
    <row r="16239" customFormat="false" ht="17.15" hidden="false" customHeight="false" outlineLevel="0" collapsed="false">
      <c r="A16239" s="1" t="s">
        <v>965</v>
      </c>
      <c r="B16239" s="0" t="s">
        <v>456</v>
      </c>
      <c r="C16239" s="30" t="n">
        <v>0</v>
      </c>
      <c r="D16239" s="30" t="n">
        <v>0</v>
      </c>
      <c r="E16239" s="30" t="n">
        <v>0</v>
      </c>
      <c r="F16239" s="30" t="n">
        <f aca="false">Sens!E16239+(Sens!F16234+Sens!F16235)*nonnv*a_mai</f>
        <v>65</v>
      </c>
      <c r="G16239" s="30" t="n">
        <f aca="false">Sens!F16239+(Sens!G16234+Sens!G16235)*nonnv*a_mai</f>
        <v>113.6</v>
      </c>
      <c r="H16239" s="30" t="n">
        <f aca="false">Sens!G16239+(Sens!H16234+Sens!H16235)*nonnv*a_mai</f>
        <v>113.6</v>
      </c>
      <c r="I16239" s="30" t="n">
        <f aca="false">Sens!H16239+(Sens!I16234+Sens!I16235)*nonnv*a_mai</f>
        <v>162.6</v>
      </c>
      <c r="J16239" s="30" t="n">
        <f aca="false">Sens!I16239+(Sens!J16234+Sens!J16235)*nonnv*a_mai</f>
        <v>236.6</v>
      </c>
      <c r="K16239" s="30" t="n">
        <f aca="false">Sens!J16239+(Sens!K16234+Sens!K16235)*nonnv*a_mai</f>
        <v>383.6</v>
      </c>
      <c r="L16239" s="12" t="s">
        <v>966</v>
      </c>
    </row>
    <row r="16240" customFormat="false" ht="17.15" hidden="false" customHeight="false" outlineLevel="0" collapsed="false">
      <c r="A16240" s="1" t="s">
        <v>967</v>
      </c>
      <c r="B16240" s="0" t="s">
        <v>456</v>
      </c>
      <c r="C16240" s="30" t="n">
        <v>0</v>
      </c>
      <c r="D16240" s="30" t="n">
        <v>0</v>
      </c>
      <c r="E16240" s="30" t="n">
        <v>0</v>
      </c>
      <c r="F16240" s="30" t="n">
        <f aca="false">Sens!E16240+(Sens!F16234+Sens!F16235)*(1-a_g3_27)</f>
        <v>195</v>
      </c>
      <c r="G16240" s="30" t="n">
        <f aca="false">Sens!F16240+(Sens!G16234+Sens!G16235)*(1-a_g3_28)</f>
        <v>535.2</v>
      </c>
      <c r="H16240" s="30" t="n">
        <f aca="false">Sens!G16240+(Sens!H16234+Sens!H16235)*(1-a_g3_29)</f>
        <v>535.2</v>
      </c>
      <c r="I16240" s="30" t="n">
        <f aca="false">Sens!H16240+(Sens!I16234+Sens!I16235)*(1-a_g3_29)</f>
        <v>976.2</v>
      </c>
      <c r="J16240" s="30" t="n">
        <f aca="false">Sens!I16240+(Sens!J16234+Sens!J16235)*(1-a_g3_29)</f>
        <v>1642.2</v>
      </c>
      <c r="K16240" s="30" t="n">
        <f aca="false">Sens!J16240+(Sens!K16234+Sens!K16235)*(1-a_g3_29)</f>
        <v>2965.2</v>
      </c>
    </row>
    <row r="16241" customFormat="false" ht="17.15" hidden="false" customHeight="false" outlineLevel="0" collapsed="false">
      <c r="A16241" s="1" t="s">
        <v>968</v>
      </c>
      <c r="B16241" s="0" t="s">
        <v>403</v>
      </c>
      <c r="C16241" s="15" t="n">
        <f aca="false">(Sens!C16236*tk_hold_h100+Sens!C16237*tk_hold_gb200+Sens!C16238*tk_hold_gb300+Sens!C16240*tk_hold_vr200+Sens!C16239*nv_hold_mai*tk_hold_vr200)/Sens!C16228</f>
        <v>9.7235358126469</v>
      </c>
      <c r="D16241" s="15" t="n">
        <f aca="false">(Sens!D16236*tk_hold_h100+Sens!D16237*tk_hold_gb200+Sens!D16238*tk_hold_gb300+Sens!D16240*tk_hold_vr200+Sens!D16239*nv_hold_mai*tk_hold_vr200)/Sens!D16228</f>
        <v>9.7235358126469</v>
      </c>
      <c r="E16241" s="15" t="n">
        <f aca="false">(Sens!E16236*tk_hold_h100+Sens!E16237*tk_hold_gb200+Sens!E16238*tk_hold_gb300+Sens!E16240*tk_hold_vr200+Sens!E16239*nv_hold_mai*tk_hold_vr200)/Sens!E16228</f>
        <v>9.7235358126469</v>
      </c>
      <c r="F16241" s="15" t="n">
        <f aca="false">(Sens!F16236*tk_hold_h100+Sens!F16237*tk_hold_gb200+Sens!F16238*tk_hold_gb300+Sens!F16240*tk_hold_vr200+Sens!F16239*nv_hold_mai*tk_hold_vr200)/Sens!F16228</f>
        <v>9.9047400860175</v>
      </c>
      <c r="G16241" s="15" t="n">
        <f aca="false">(Sens!G16236*tk_hold_h100+Sens!G16237*tk_hold_gb200+Sens!G16238*tk_hold_gb300+Sens!G16240*tk_hold_vr200+Sens!G16239*nv_hold_mai*tk_hold_vr200)/Sens!G16228</f>
        <v>10.0644846479809</v>
      </c>
      <c r="H16241" s="15" t="n">
        <f aca="false">(Sens!H16236*tk_hold_h100+Sens!H16237*tk_hold_gb200+Sens!H16238*tk_hold_gb300+Sens!H16240*tk_hold_vr200+Sens!H16239*nv_hold_mai*tk_hold_vr200)/Sens!H16228</f>
        <v>10.0644846479809</v>
      </c>
      <c r="I16241" s="15" t="n">
        <f aca="false">(Sens!I16236*tk_hold_h100+Sens!I16237*tk_hold_gb200+Sens!I16238*tk_hold_gb300+Sens!I16240*tk_hold_vr200+Sens!I16239*nv_hold_mai*tk_hold_vr200)/Sens!I16228</f>
        <v>10.2757076768083</v>
      </c>
      <c r="J16241" s="15" t="n">
        <f aca="false">(Sens!J16236*tk_hold_h100+Sens!J16237*tk_hold_gb200+Sens!J16238*tk_hold_gb300+Sens!J16240*tk_hold_vr200+Sens!J16239*nv_hold_mai*tk_hold_vr200)/Sens!J16228</f>
        <v>10.5946975570782</v>
      </c>
      <c r="K16241" s="15" t="n">
        <f aca="false">(Sens!K16236*tk_hold_h100+Sens!K16237*tk_hold_gb200+Sens!K16238*tk_hold_gb300+Sens!K16240*tk_hold_vr200+Sens!K16239*nv_hold_mai*tk_hold_vr200)/Sens!K16228</f>
        <v>11.2283666435604</v>
      </c>
      <c r="L16241" s="1" t="s">
        <v>969</v>
      </c>
    </row>
    <row r="16242" customFormat="false" ht="17.15" hidden="false" customHeight="false" outlineLevel="0" collapsed="false">
      <c r="A16242" s="1" t="s">
        <v>970</v>
      </c>
      <c r="B16242" s="0" t="s">
        <v>403</v>
      </c>
      <c r="C16242" s="15" t="n">
        <f aca="false">(Sens!C16236*tk_hold_h100+Sens!C16237*tk_hold_gb200+Sens!C16238*tk_hold_gb300+Sens!C16240*tk_hold_vr200+Sens!C16239*nv_out_mai*tk_hold_vr200)/Sens!C16228</f>
        <v>9.7235358126469</v>
      </c>
      <c r="D16242" s="15" t="n">
        <f aca="false">(Sens!D16236*tk_hold_h100+Sens!D16237*tk_hold_gb200+Sens!D16238*tk_hold_gb300+Sens!D16240*tk_hold_vr200+Sens!D16239*nv_out_mai*tk_hold_vr200)/Sens!D16228</f>
        <v>9.7235358126469</v>
      </c>
      <c r="E16242" s="15" t="n">
        <f aca="false">(Sens!E16236*tk_hold_h100+Sens!E16237*tk_hold_gb200+Sens!E16238*tk_hold_gb300+Sens!E16240*tk_hold_vr200+Sens!E16239*nv_out_mai*tk_hold_vr200)/Sens!E16228</f>
        <v>9.7235358126469</v>
      </c>
      <c r="F16242" s="15" t="n">
        <f aca="false">(Sens!F16236*tk_hold_h100+Sens!F16237*tk_hold_gb200+Sens!F16238*tk_hold_gb300+Sens!F16240*tk_hold_vr200+Sens!F16239*nv_out_mai*tk_hold_vr200)/Sens!F16228</f>
        <v>9.91492797852132</v>
      </c>
      <c r="G16242" s="15" t="n">
        <f aca="false">(Sens!G16236*tk_hold_h100+Sens!G16237*tk_hold_gb200+Sens!G16238*tk_hold_gb300+Sens!G16240*tk_hold_vr200+Sens!G16239*nv_out_mai*tk_hold_vr200)/Sens!G16228</f>
        <v>10.0803169952919</v>
      </c>
      <c r="H16242" s="15" t="n">
        <f aca="false">(Sens!H16236*tk_hold_h100+Sens!H16237*tk_hold_gb200+Sens!H16238*tk_hold_gb300+Sens!H16240*tk_hold_vr200+Sens!H16239*nv_out_mai*tk_hold_vr200)/Sens!H16228</f>
        <v>10.0803169952919</v>
      </c>
      <c r="I16242" s="15" t="n">
        <f aca="false">(Sens!I16236*tk_hold_h100+Sens!I16237*tk_hold_gb200+Sens!I16238*tk_hold_gb300+Sens!I16240*tk_hold_vr200+Sens!I16239*nv_out_mai*tk_hold_vr200)/Sens!I16228</f>
        <v>10.2983691175897</v>
      </c>
      <c r="J16242" s="15" t="n">
        <f aca="false">(Sens!J16236*tk_hold_h100+Sens!J16237*tk_hold_gb200+Sens!J16238*tk_hold_gb300+Sens!J16240*tk_hold_vr200+Sens!J16239*nv_out_mai*tk_hold_vr200)/Sens!J16228</f>
        <v>10.6276723226925</v>
      </c>
      <c r="K16242" s="15" t="n">
        <f aca="false">(Sens!K16236*tk_hold_h100+Sens!K16237*tk_hold_gb200+Sens!K16238*tk_hold_gb300+Sens!K16240*tk_hold_vr200+Sens!K16239*nv_out_mai*tk_hold_vr200)/Sens!K16228</f>
        <v>11.2818286895859</v>
      </c>
      <c r="L16242" s="12" t="s">
        <v>971</v>
      </c>
    </row>
    <row r="16243" customFormat="false" ht="17.15" hidden="false" customHeight="false" outlineLevel="0" collapsed="false">
      <c r="A16243" s="0" t="s">
        <v>972</v>
      </c>
      <c r="B16243" s="0" t="s">
        <v>229</v>
      </c>
      <c r="C16243" s="15" t="n">
        <f aca="false">k_B</f>
        <v>1.17213932619116</v>
      </c>
      <c r="D16243" s="15" t="n">
        <f aca="false">k_B</f>
        <v>1.17213932619116</v>
      </c>
      <c r="E16243" s="15" t="n">
        <f aca="false">k_B</f>
        <v>1.17213932619116</v>
      </c>
      <c r="F16243" s="15" t="n">
        <f aca="false">(k_B+((ls_C*k_long+(1-ls_C)*k_spot)-k_B)*MIN(1,(Sens!F16226-base_fy)/k_ramp))</f>
        <v>1.07843258004497</v>
      </c>
      <c r="G16243" s="15" t="n">
        <f aca="false">(k_B+((ls_C*k_long+(1-ls_C)*k_spot)-k_B)*MIN(1,(Sens!G16226-base_fy)/k_ramp))</f>
        <v>0.984725833898784</v>
      </c>
      <c r="H16243" s="15" t="n">
        <f aca="false">(k_B+((ls_C*k_long+(1-ls_C)*k_spot)-k_B)*MIN(1,(Sens!H16226-base_fy)/k_ramp))</f>
        <v>0.891019087752599</v>
      </c>
      <c r="I16243" s="15" t="n">
        <f aca="false">(k_B+((ls_C*k_long+(1-ls_C)*k_spot)-k_B)*MIN(1,(Sens!I16226-base_fy)/k_ramp))</f>
        <v>0.891019087752599</v>
      </c>
      <c r="J16243" s="15" t="n">
        <f aca="false">(k_B+((ls_C*k_long+(1-ls_C)*k_spot)-k_B)*MIN(1,(Sens!J16226-base_fy)/k_ramp))</f>
        <v>0.891019087752599</v>
      </c>
      <c r="K16243" s="15" t="n">
        <f aca="false">(k_B+((ls_C*k_long+(1-ls_C)*k_spot)-k_B)*MIN(1,(Sens!K16226-base_fy)/k_ramp))</f>
        <v>0.891019087752599</v>
      </c>
      <c r="L16243" s="1" t="s">
        <v>973</v>
      </c>
    </row>
    <row r="16244" customFormat="false" ht="17.15" hidden="false" customHeight="false" outlineLevel="0" collapsed="false">
      <c r="A16244" s="1" t="s">
        <v>974</v>
      </c>
      <c r="B16244" s="0" t="s">
        <v>403</v>
      </c>
      <c r="C16244" s="15" t="n">
        <f aca="false">Sens!C16242*Sens!C16243*chip_f</f>
        <v>11.3973387156315</v>
      </c>
      <c r="D16244" s="15" t="n">
        <f aca="false">Sens!D16242*Sens!D16243*chip_f</f>
        <v>11.3973387156315</v>
      </c>
      <c r="E16244" s="15" t="n">
        <f aca="false">Sens!E16242*Sens!E16243*chip_f</f>
        <v>11.3973387156315</v>
      </c>
      <c r="F16244" s="15" t="n">
        <f aca="false">Sens!F16242*Sens!F16243*chip_f</f>
        <v>10.6925813608368</v>
      </c>
      <c r="G16244" s="15" t="n">
        <f aca="false">Sens!G16242*Sens!G16243*chip_f</f>
        <v>9.92634855915291</v>
      </c>
      <c r="H16244" s="15" t="n">
        <f aca="false">Sens!H16242*Sens!H16243*chip_f</f>
        <v>8.98175485340201</v>
      </c>
      <c r="I16244" s="15" t="n">
        <f aca="false">Sens!I16242*Sens!I16243*chip_f</f>
        <v>9.17604345649432</v>
      </c>
      <c r="J16244" s="15" t="n">
        <f aca="false">Sens!J16242*Sens!J16243*chip_f</f>
        <v>9.46945889789902</v>
      </c>
      <c r="K16244" s="15" t="n">
        <f aca="false">Sens!K16242*Sens!K16243*chip_f</f>
        <v>10.0523247071759</v>
      </c>
      <c r="L16244" s="1" t="s">
        <v>975</v>
      </c>
    </row>
    <row r="16245" customFormat="false" ht="17.15" hidden="false" customHeight="false" outlineLevel="0" collapsed="false">
      <c r="A16245" s="0" t="s">
        <v>976</v>
      </c>
      <c r="B16245" s="0" t="s">
        <v>98</v>
      </c>
      <c r="D16245" s="6" t="n">
        <f aca="false">(Sens!C16228+Sens!D16228)/2*Sens!D16244/1000</f>
        <v>12.9359794422418</v>
      </c>
      <c r="E16245" s="6" t="n">
        <f aca="false">(Sens!D16228+Sens!E16228)/2*Sens!E16244/1000</f>
        <v>27.8095064661409</v>
      </c>
      <c r="F16245" s="6" t="n">
        <f aca="false">(Sens!E16228+Sens!F16228)/2*Sens!F16244/1000</f>
        <v>38.2259783649916</v>
      </c>
      <c r="G16245" s="6" t="n">
        <f aca="false">(Sens!F16228+Sens!G16228)/2*Sens!G16244/1000</f>
        <v>41.1248620805705</v>
      </c>
      <c r="H16245" s="6" t="n">
        <f aca="false">(Sens!G16228+Sens!H16228)/2*Sens!H16244/1000</f>
        <v>39.3939767870212</v>
      </c>
      <c r="I16245" s="6" t="n">
        <f aca="false">(Sens!H16228+Sens!I16228)/2*Sens!I16244/1000</f>
        <v>40.2461266001841</v>
      </c>
      <c r="J16245" s="6" t="n">
        <f aca="false">(Sens!I16228+Sens!J16228)/2*Sens!J16244/1000</f>
        <v>41.5330467261851</v>
      </c>
      <c r="K16245" s="6" t="n">
        <f aca="false">(Sens!J16228+Sens!K16228)/2*Sens!K16244/1000</f>
        <v>44.0894961656736</v>
      </c>
      <c r="L16245" s="12" t="s">
        <v>977</v>
      </c>
    </row>
    <row r="16246" customFormat="false" ht="17.15" hidden="false" customHeight="false" outlineLevel="0" collapsed="false">
      <c r="A16246" s="1" t="s">
        <v>978</v>
      </c>
      <c r="B16246" s="0" t="s">
        <v>403</v>
      </c>
      <c r="C16246" s="15" t="n">
        <f aca="false">(Sens!C16236*tk_opex_h100+Sens!C16237*tk_opex_gb200+Sens!C16238*tk_opex_gb300+(Sens!C16240+Sens!C16239)*tk_opex_vr200)/Sens!C16228</f>
        <v>1.88636041306092</v>
      </c>
      <c r="D16246" s="15" t="n">
        <f aca="false">(Sens!D16236*tk_opex_h100+Sens!D16237*tk_opex_gb200+Sens!D16238*tk_opex_gb300+(Sens!D16240+Sens!D16239)*tk_opex_vr200)/Sens!D16228</f>
        <v>1.88636041306092</v>
      </c>
      <c r="E16246" s="15" t="n">
        <f aca="false">(Sens!E16236*tk_opex_h100+Sens!E16237*tk_opex_gb200+Sens!E16238*tk_opex_gb300+(Sens!E16240+Sens!E16239)*tk_opex_vr200)/Sens!E16228</f>
        <v>1.88636041306092</v>
      </c>
      <c r="F16246" s="15" t="n">
        <f aca="false">(Sens!F16236*tk_opex_h100+Sens!F16237*tk_opex_gb200+Sens!F16238*tk_opex_gb300+(Sens!F16240+Sens!F16239)*tk_opex_vr200)/Sens!F16228</f>
        <v>1.90979686208616</v>
      </c>
      <c r="G16246" s="15" t="n">
        <f aca="false">(Sens!G16236*tk_opex_h100+Sens!G16237*tk_opex_gb200+Sens!G16238*tk_opex_gb300+(Sens!G16240+Sens!G16239)*tk_opex_vr200)/Sens!G16228</f>
        <v>1.92769515165485</v>
      </c>
      <c r="H16246" s="15" t="n">
        <f aca="false">(Sens!H16236*tk_opex_h100+Sens!H16237*tk_opex_gb200+Sens!H16238*tk_opex_gb300+(Sens!H16240+Sens!H16239)*tk_opex_vr200)/Sens!H16228</f>
        <v>1.92769515165485</v>
      </c>
      <c r="I16246" s="15" t="n">
        <f aca="false">(Sens!I16236*tk_opex_h100+Sens!I16237*tk_opex_gb200+Sens!I16238*tk_opex_gb300+(Sens!I16240+Sens!I16239)*tk_opex_vr200)/Sens!I16228</f>
        <v>1.95083610383771</v>
      </c>
      <c r="J16246" s="15" t="n">
        <f aca="false">(Sens!J16236*tk_opex_h100+Sens!J16237*tk_opex_gb200+Sens!J16238*tk_opex_gb300+(Sens!J16240+Sens!J16239)*tk_opex_vr200)/Sens!J16228</f>
        <v>1.98578366427713</v>
      </c>
      <c r="K16246" s="15" t="n">
        <f aca="false">(Sens!K16236*tk_opex_h100+Sens!K16237*tk_opex_gb200+Sens!K16238*tk_opex_gb300+(Sens!K16240+Sens!K16239)*tk_opex_vr200)/Sens!K16228</f>
        <v>2.05520652082571</v>
      </c>
      <c r="L16246" s="12" t="s">
        <v>979</v>
      </c>
    </row>
    <row r="16247" customFormat="false" ht="17.15" hidden="false" customHeight="false" outlineLevel="0" collapsed="false">
      <c r="A16247" s="0" t="s">
        <v>980</v>
      </c>
      <c r="B16247" s="0" t="s">
        <v>98</v>
      </c>
      <c r="D16247" s="6" t="n">
        <f aca="false">(Sens!C16231+Sens!D16231)/2*Sens!D16246/1000</f>
        <v>2.70378325872065</v>
      </c>
      <c r="E16247" s="6" t="n">
        <f aca="false">(Sens!D16231+Sens!E16231)/2*Sens!E16246/1000</f>
        <v>6.17783035277451</v>
      </c>
      <c r="F16247" s="6" t="n">
        <f aca="false">(Sens!E16231+Sens!F16231)/2*Sens!F16246/1000</f>
        <v>9.30071071835958</v>
      </c>
      <c r="G16247" s="6" t="n">
        <f aca="false">(Sens!F16231+Sens!G16231)/2*Sens!G16246/1000</f>
        <v>10.8818391310916</v>
      </c>
      <c r="H16247" s="6" t="n">
        <f aca="false">(Sens!G16231+Sens!H16231)/2*Sens!H16246/1000</f>
        <v>11.6625556675118</v>
      </c>
      <c r="I16247" s="6" t="n">
        <f aca="false">(Sens!H16231+Sens!I16231)/2*Sens!I16246/1000</f>
        <v>11.8025584282181</v>
      </c>
      <c r="J16247" s="6" t="n">
        <f aca="false">(Sens!I16231+Sens!J16231)/2*Sens!J16246/1000</f>
        <v>12.0139911688766</v>
      </c>
      <c r="K16247" s="6" t="n">
        <f aca="false">(Sens!J16231+Sens!K16231)/2*Sens!K16246/1000</f>
        <v>12.4339994509955</v>
      </c>
    </row>
    <row r="16248" customFormat="false" ht="17.15" hidden="false" customHeight="false" outlineLevel="0" collapsed="false">
      <c r="A16248" s="0" t="s">
        <v>981</v>
      </c>
      <c r="B16248" s="0" t="s">
        <v>98</v>
      </c>
      <c r="D16248" s="6" t="n">
        <f aca="false">(Sens!C16229+Sens!D16229)/2*rent_mw/1000</f>
        <v>2.44475</v>
      </c>
      <c r="E16248" s="6" t="n">
        <f aca="false">(Sens!D16229+Sens!E16229)/2*rent_mw/1000</f>
        <v>4.22275</v>
      </c>
      <c r="F16248" s="6" t="n">
        <f aca="false">(Sens!E16229+Sens!F16229)/2*rent_mw/1000</f>
        <v>5.80517</v>
      </c>
      <c r="G16248" s="6" t="n">
        <f aca="false">(Sens!F16229+Sens!G16229)/2*rent_mw/1000</f>
        <v>6.72084</v>
      </c>
      <c r="H16248" s="6" t="n">
        <f aca="false">(Sens!G16229+Sens!H16229)/2*rent_mw/1000</f>
        <v>6.72084</v>
      </c>
      <c r="I16248" s="6" t="n">
        <f aca="false">(Sens!H16229+Sens!I16229)/2*rent_mw/1000</f>
        <v>6.72084</v>
      </c>
      <c r="J16248" s="6" t="n">
        <f aca="false">(Sens!I16229+Sens!J16229)/2*rent_mw/1000</f>
        <v>6.72084</v>
      </c>
      <c r="K16248" s="6" t="n">
        <f aca="false">(Sens!J16229+Sens!K16229)/2*rent_mw/1000</f>
        <v>6.72084</v>
      </c>
    </row>
    <row r="16249" customFormat="false" ht="17.15" hidden="false" customHeight="false" outlineLevel="0" collapsed="false">
      <c r="A16249" s="0" t="s">
        <v>982</v>
      </c>
      <c r="B16249" s="0" t="s">
        <v>98</v>
      </c>
      <c r="D16249" s="6" t="n">
        <f aca="false">(Sens!C16231+Sens!D16231)/2*(1-self_build)*fac_rent/1000</f>
        <v>0.853242375631075</v>
      </c>
      <c r="E16249" s="6" t="n">
        <f aca="false">(Sens!D16231+Sens!E16231)/2*(1-self_build)*fac_rent/1000</f>
        <v>1.94955961408728</v>
      </c>
      <c r="F16249" s="6" t="n">
        <f aca="false">(Sens!E16231+Sens!F16231)/2*(1-self_build)*fac_rent/1000</f>
        <v>2.89903979255117</v>
      </c>
      <c r="G16249" s="6" t="n">
        <f aca="false">(Sens!F16231+Sens!G16231)/2*(1-self_build)*fac_rent/1000</f>
        <v>3.36038596077029</v>
      </c>
      <c r="H16249" s="6" t="n">
        <f aca="false">(Sens!G16231+Sens!H16231)/2*(1-self_build)*fac_rent/1000</f>
        <v>3.60147653900094</v>
      </c>
      <c r="I16249" s="6" t="n">
        <f aca="false">(Sens!H16231+Sens!I16231)/2*(1-self_build)*fac_rent/1000</f>
        <v>3.60147653900094</v>
      </c>
      <c r="J16249" s="6" t="n">
        <f aca="false">(Sens!I16231+Sens!J16231)/2*(1-self_build)*fac_rent/1000</f>
        <v>3.60147653900094</v>
      </c>
      <c r="K16249" s="6" t="n">
        <f aca="false">(Sens!J16231+Sens!K16231)/2*(1-self_build)*fac_rent/1000</f>
        <v>3.60147653900094</v>
      </c>
      <c r="L16249" s="12" t="s">
        <v>983</v>
      </c>
    </row>
    <row r="16250" customFormat="false" ht="17.15" hidden="false" customHeight="false" outlineLevel="0" collapsed="false">
      <c r="A16250" s="1" t="s">
        <v>984</v>
      </c>
      <c r="B16250" s="0" t="s">
        <v>168</v>
      </c>
      <c r="D16250" s="7" t="n">
        <f aca="false">(Sens!C16230+Sens!D16230)/(Sens!C16231+Sens!D16231)</f>
        <v>0.6</v>
      </c>
      <c r="E16250" s="7" t="n">
        <f aca="false">(Sens!D16230+Sens!E16230)/(Sens!D16231+Sens!E16231)</f>
        <v>0.6</v>
      </c>
      <c r="F16250" s="7" t="n">
        <f aca="false">(Sens!E16230+Sens!F16230)/(Sens!E16231+Sens!F16231)</f>
        <v>0.6</v>
      </c>
      <c r="G16250" s="7" t="n">
        <f aca="false">(Sens!F16230+Sens!G16230)/(Sens!F16231+Sens!G16231)</f>
        <v>0.6</v>
      </c>
      <c r="H16250" s="7" t="n">
        <f aca="false">(Sens!G16230+Sens!H16230)/(Sens!G16231+Sens!H16231)</f>
        <v>0.6</v>
      </c>
      <c r="I16250" s="7" t="n">
        <f aca="false">(Sens!H16230+Sens!I16230)/(Sens!H16231+Sens!I16231)</f>
        <v>0.6</v>
      </c>
      <c r="J16250" s="7" t="n">
        <f aca="false">(Sens!I16230+Sens!J16230)/(Sens!I16231+Sens!J16231)</f>
        <v>0.6</v>
      </c>
      <c r="K16250" s="7" t="n">
        <f aca="false">(Sens!J16230+Sens!K16230)/(Sens!J16231+Sens!K16231)</f>
        <v>0.6</v>
      </c>
    </row>
    <row r="16251" customFormat="false" ht="17.15" hidden="false" customHeight="false" outlineLevel="0" collapsed="false">
      <c r="A16251" s="0" t="s">
        <v>985</v>
      </c>
      <c r="B16251" s="0" t="s">
        <v>98</v>
      </c>
      <c r="D16251" s="6" t="n">
        <f aca="false">Sens!D16245-Sens!D16250*(Sens!D16247+Sens!D16249)-Sens!D16248</f>
        <v>8.35701406163072</v>
      </c>
      <c r="E16251" s="6" t="n">
        <f aca="false">Sens!E16245-Sens!E16250*(Sens!E16247+Sens!E16249)-Sens!E16248</f>
        <v>18.7103224860238</v>
      </c>
      <c r="F16251" s="6" t="n">
        <f aca="false">Sens!F16245-Sens!F16250*(Sens!F16247+Sens!F16249)-Sens!F16248</f>
        <v>25.1009580584451</v>
      </c>
      <c r="G16251" s="6" t="n">
        <f aca="false">Sens!G16245-Sens!G16250*(Sens!G16247+Sens!G16249)-Sens!G16248</f>
        <v>25.8586870254534</v>
      </c>
      <c r="H16251" s="6" t="n">
        <f aca="false">Sens!H16245-Sens!H16250*(Sens!H16247+Sens!H16249)-Sens!H16248</f>
        <v>23.5147174631136</v>
      </c>
      <c r="I16251" s="6" t="n">
        <f aca="false">Sens!I16245-Sens!I16250*(Sens!I16247+Sens!I16249)-Sens!I16248</f>
        <v>24.2828656198526</v>
      </c>
      <c r="J16251" s="6" t="n">
        <f aca="false">Sens!J16245-Sens!J16250*(Sens!J16247+Sens!J16249)-Sens!J16248</f>
        <v>25.4429261014586</v>
      </c>
      <c r="K16251" s="6" t="n">
        <f aca="false">Sens!K16245-Sens!K16250*(Sens!K16247+Sens!K16249)-Sens!K16248</f>
        <v>27.7473705716757</v>
      </c>
    </row>
    <row r="16252" customFormat="false" ht="17.15" hidden="false" customHeight="false" outlineLevel="0" collapsed="false">
      <c r="A16252" s="1" t="s">
        <v>986</v>
      </c>
      <c r="B16252" s="0" t="s">
        <v>98</v>
      </c>
      <c r="D16252" s="6" t="n">
        <f aca="false">(1-Sens!D16250)*(Sens!D16247+Sens!D16249)</f>
        <v>1.42281025374069</v>
      </c>
      <c r="E16252" s="6" t="n">
        <f aca="false">(1-Sens!E16250)*(Sens!E16247+Sens!E16249)</f>
        <v>3.25095598674472</v>
      </c>
      <c r="F16252" s="6" t="n">
        <f aca="false">(1-Sens!F16250)*(Sens!F16247+Sens!F16249)</f>
        <v>4.8799002043643</v>
      </c>
      <c r="G16252" s="6" t="n">
        <f aca="false">(1-Sens!G16250)*(Sens!G16247+Sens!G16249)</f>
        <v>5.69689003674476</v>
      </c>
      <c r="H16252" s="6" t="n">
        <f aca="false">(1-Sens!H16250)*(Sens!H16247+Sens!H16249)</f>
        <v>6.1056128826051</v>
      </c>
      <c r="I16252" s="6" t="n">
        <f aca="false">(1-Sens!I16250)*(Sens!I16247+Sens!I16249)</f>
        <v>6.16161398688763</v>
      </c>
      <c r="J16252" s="6" t="n">
        <f aca="false">(1-Sens!J16250)*(Sens!J16247+Sens!J16249)</f>
        <v>6.24618708315103</v>
      </c>
      <c r="K16252" s="6" t="n">
        <f aca="false">(1-Sens!K16250)*(Sens!K16247+Sens!K16249)</f>
        <v>6.41419039599859</v>
      </c>
    </row>
    <row r="16253" customFormat="false" ht="17.15" hidden="false" customHeight="false" outlineLevel="0" collapsed="false">
      <c r="A16253" s="1" t="s">
        <v>987</v>
      </c>
      <c r="B16253" s="0" t="s">
        <v>414</v>
      </c>
      <c r="C16253" s="8" t="n">
        <f aca="false">cxit_open</f>
        <v>27.5918995</v>
      </c>
      <c r="D16253" s="8" t="n">
        <f aca="false">cxit_open</f>
        <v>27.5918995</v>
      </c>
      <c r="E16253" s="8" t="n">
        <f aca="false">cxit_open</f>
        <v>27.5918995</v>
      </c>
      <c r="F16253" s="8" t="n">
        <f aca="false">((a_g3_27-nonnv*a_mai)*tk_cxit_gb300+nonnv*a_mai*nv_hold_mai*tk_cxit_vr200+(1-a_g3_27)*tk_cxit_vr200)</f>
        <v>32.4975576</v>
      </c>
      <c r="G16253" s="8" t="n">
        <f aca="false">((a_g3_28-nonnv*a_mai)*tk_cxit_gb300+nonnv*a_mai*nv_hold_mai*tk_cxit_vr200+(1-a_g3_28)*tk_cxit_vr200)</f>
        <v>34.6372088</v>
      </c>
      <c r="H16253" s="8" t="n">
        <f aca="false">((a_g3_29-nonnv*a_mai)*tk_cxit_gb300+nonnv*a_mai*nv_hold_mai*tk_cxit_vr200+(1-a_g3_29)*tk_cxit_vr200)</f>
        <v>35.7070344</v>
      </c>
      <c r="I16253" s="8" t="n">
        <f aca="false">((a_g3_29-nonnv*a_mai)*tk_cxit_gb300+nonnv*a_mai*nv_hold_mai*tk_cxit_vr200+(1-a_g3_29)*tk_cxit_vr200)</f>
        <v>35.7070344</v>
      </c>
      <c r="J16253" s="8" t="n">
        <f aca="false">((a_g3_29-nonnv*a_mai)*tk_cxit_gb300+nonnv*a_mai*nv_hold_mai*tk_cxit_vr200+(1-a_g3_29)*tk_cxit_vr200)</f>
        <v>35.7070344</v>
      </c>
      <c r="K16253" s="8" t="n">
        <f aca="false">((a_g3_29-nonnv*a_mai)*tk_cxit_gb300+nonnv*a_mai*nv_hold_mai*tk_cxit_vr200+(1-a_g3_29)*tk_cxit_vr200)</f>
        <v>35.7070344</v>
      </c>
      <c r="L16253" s="12" t="s">
        <v>988</v>
      </c>
    </row>
    <row r="16254" customFormat="false" ht="17.15" hidden="false" customHeight="false" outlineLevel="0" collapsed="false">
      <c r="A16254" s="0" t="s">
        <v>989</v>
      </c>
      <c r="B16254" s="0" t="s">
        <v>456</v>
      </c>
      <c r="F16254" s="30" t="n">
        <f aca="false">Sens!C16233*IF(Sens!F16226-Sens!C16226=life_it,1,0)+Sens!D16233*IF(Sens!F16226-Sens!D16226=life_it,1,0)+Sens!E16233*IF(Sens!F16226-Sens!E16226=life_it,1,0)</f>
        <v>0</v>
      </c>
      <c r="G16254" s="30" t="n">
        <f aca="false">Sens!C16233*IF(Sens!G16226-Sens!C16226=life_it,1,0)+Sens!D16233*IF(Sens!G16226-Sens!D16226=life_it,1,0)+Sens!E16233*IF(Sens!G16226-Sens!E16226=life_it,1,0)+Sens!F16233*IF(Sens!G16226-Sens!F16226=life_it,1,0)</f>
        <v>0</v>
      </c>
      <c r="H16254" s="30" t="n">
        <f aca="false">Sens!C16233*IF(Sens!H16226-Sens!C16226=life_it,1,0)+Sens!D16233*IF(Sens!H16226-Sens!D16226=life_it,1,0)+Sens!E16233*IF(Sens!H16226-Sens!E16226=life_it,1,0)+Sens!F16233*IF(Sens!H16226-Sens!F16226=life_it,1,0)+Sens!G16233*IF(Sens!H16226-Sens!G16226=life_it,1,0)</f>
        <v>0</v>
      </c>
      <c r="I16254" s="30" t="n">
        <f aca="false">Sens!C16233*IF(Sens!I16226-Sens!C16226=life_it,1,0)+Sens!D16233*IF(Sens!I16226-Sens!D16226=life_it,1,0)+Sens!E16233*IF(Sens!I16226-Sens!E16226=life_it,1,0)+Sens!F16233*IF(Sens!I16226-Sens!F16226=life_it,1,0)+Sens!G16233*IF(Sens!I16226-Sens!G16226=life_it,1,0)+Sens!H16233*IF(Sens!I16226-Sens!H16226=life_it,1,0)</f>
        <v>816.666666666667</v>
      </c>
      <c r="J16254" s="30" t="n">
        <f aca="false">Sens!C16233*IF(Sens!J16226-Sens!C16226=life_it,1,0)+Sens!D16233*IF(Sens!J16226-Sens!D16226=life_it,1,0)+Sens!E16233*IF(Sens!J16226-Sens!E16226=life_it,1,0)+Sens!F16233*IF(Sens!J16226-Sens!F16226=life_it,1,0)+Sens!G16233*IF(Sens!J16226-Sens!G16226=life_it,1,0)+Sens!H16233*IF(Sens!J16226-Sens!H16226=life_it,1,0)+Sens!I16233*IF(Sens!J16226-Sens!I16226=life_it,1,0)</f>
        <v>1233.33333333333</v>
      </c>
      <c r="K16254" s="30" t="n">
        <f aca="false">Sens!C16233*IF(Sens!K16226-Sens!C16226=life_it,1,0)+Sens!D16233*IF(Sens!K16226-Sens!D16226=life_it,1,0)+Sens!E16233*IF(Sens!K16226-Sens!E16226=life_it,1,0)+Sens!F16233*IF(Sens!K16226-Sens!F16226=life_it,1,0)+Sens!G16233*IF(Sens!K16226-Sens!G16226=life_it,1,0)+Sens!H16233*IF(Sens!K16226-Sens!H16226=life_it,1,0)+Sens!I16233*IF(Sens!K16226-Sens!I16226=life_it,1,0)+Sens!J16233*IF(Sens!K16226-Sens!J16226=life_it,1,0)</f>
        <v>2450</v>
      </c>
      <c r="L16254" s="1" t="s">
        <v>990</v>
      </c>
    </row>
    <row r="16255" customFormat="false" ht="17.15" hidden="false" customHeight="false" outlineLevel="0" collapsed="false">
      <c r="A16255" s="0" t="s">
        <v>991</v>
      </c>
      <c r="B16255" s="0" t="s">
        <v>98</v>
      </c>
      <c r="C16255" s="6" t="n">
        <f aca="false">Sens!C16233*Sens!C16253/1000</f>
        <v>22.5333845916667</v>
      </c>
      <c r="D16255" s="6" t="n">
        <f aca="false">Sens!D16233*Sens!D16253/1000</f>
        <v>34.0300093833333</v>
      </c>
      <c r="E16255" s="6" t="n">
        <f aca="false">Sens!E16233*Sens!E16253/1000</f>
        <v>67.600153775</v>
      </c>
      <c r="F16255" s="6" t="n">
        <f aca="false">(Sens!F16233+Sens!F16254)*Sens!F16253/1000</f>
        <v>24.048192624</v>
      </c>
      <c r="G16255" s="6" t="n">
        <f aca="false">(Sens!G16233+Sens!G16254)*Sens!G16253/1000</f>
        <v>28.056139128</v>
      </c>
      <c r="H16255" s="6" t="n">
        <f aca="false">(Sens!H16233+Sens!H16254)*Sens!H16253/1000</f>
        <v>0</v>
      </c>
      <c r="I16255" s="6" t="n">
        <f aca="false">(Sens!I16233+Sens!I16254)*Sens!I16253/1000</f>
        <v>29.16074476</v>
      </c>
      <c r="J16255" s="6" t="n">
        <f aca="false">(Sens!J16233+Sens!J16254)*Sens!J16253/1000</f>
        <v>44.03867576</v>
      </c>
      <c r="K16255" s="6" t="n">
        <f aca="false">(Sens!K16233+Sens!K16254)*Sens!K16253/1000</f>
        <v>87.48223428</v>
      </c>
    </row>
    <row r="16256" customFormat="false" ht="17.15" hidden="false" customHeight="false" outlineLevel="0" collapsed="false">
      <c r="A16256" s="0" t="s">
        <v>992</v>
      </c>
      <c r="B16256" s="0" t="s">
        <v>98</v>
      </c>
      <c r="C16256" s="6" t="n">
        <f aca="false">Sens!C16233*self_build*tk_cxfac/1000</f>
        <v>6.2083</v>
      </c>
      <c r="D16256" s="6" t="n">
        <f aca="false">Sens!D16233*self_build*tk_cxfac/1000</f>
        <v>9.3758</v>
      </c>
      <c r="E16256" s="6" t="n">
        <f aca="false">Sens!E16233*self_build*tk_cxfac/1000</f>
        <v>18.6249</v>
      </c>
      <c r="F16256" s="6" t="n">
        <f aca="false">Sens!F16233*self_build*tk_cxfac/1000</f>
        <v>5.62548</v>
      </c>
      <c r="G16256" s="6" t="n">
        <f aca="false">Sens!G16233*self_build*tk_cxfac/1000</f>
        <v>6.15762</v>
      </c>
      <c r="H16256" s="6" t="n">
        <f aca="false">Sens!H16233*self_build*tk_cxfac/1000</f>
        <v>0</v>
      </c>
      <c r="I16256" s="6" t="n">
        <f aca="false">Sens!I16233*self_build*tk_cxfac/1000</f>
        <v>0</v>
      </c>
      <c r="J16256" s="6" t="n">
        <f aca="false">Sens!J16233*self_build*tk_cxfac/1000</f>
        <v>0</v>
      </c>
      <c r="K16256" s="6" t="n">
        <f aca="false">Sens!K16233*self_build*tk_cxfac/1000</f>
        <v>0</v>
      </c>
    </row>
    <row r="16257" customFormat="false" ht="17.15" hidden="false" customHeight="false" outlineLevel="0" collapsed="false">
      <c r="A16257" s="0" t="s">
        <v>993</v>
      </c>
      <c r="B16257" s="0" t="s">
        <v>98</v>
      </c>
      <c r="F16257" s="15" t="n">
        <f aca="false">capex_floor27-Sens!F16255-Sens!F16256-Sens!F16353</f>
        <v>138.140066594294</v>
      </c>
      <c r="L16257" s="12" t="s">
        <v>994</v>
      </c>
    </row>
    <row r="16258" customFormat="false" ht="17.15" hidden="false" customHeight="false" outlineLevel="0" collapsed="false">
      <c r="A16258" s="0" t="s">
        <v>995</v>
      </c>
      <c r="B16258" s="0" t="s">
        <v>98</v>
      </c>
      <c r="F16258" s="6" t="n">
        <f aca="false">MAX(0,Sens!F16257)</f>
        <v>138.140066594294</v>
      </c>
    </row>
    <row r="16259" customFormat="false" ht="17.15" hidden="false" customHeight="false" outlineLevel="0" collapsed="false">
      <c r="A16259" s="0" t="s">
        <v>996</v>
      </c>
      <c r="B16259" s="0" t="s">
        <v>98</v>
      </c>
      <c r="C16259" s="6" t="n">
        <f aca="false">Sens!C16255</f>
        <v>22.5333845916667</v>
      </c>
      <c r="D16259" s="6" t="n">
        <f aca="false">Sens!D16255</f>
        <v>34.0300093833333</v>
      </c>
      <c r="E16259" s="6" t="n">
        <f aca="false">Sens!E16255</f>
        <v>67.600153775</v>
      </c>
      <c r="F16259" s="6" t="n">
        <f aca="false">Sens!F16255</f>
        <v>24.048192624</v>
      </c>
      <c r="G16259" s="6" t="n">
        <f aca="false">Sens!G16255</f>
        <v>28.056139128</v>
      </c>
      <c r="H16259" s="6" t="n">
        <f aca="false">Sens!H16255</f>
        <v>0</v>
      </c>
      <c r="I16259" s="6" t="n">
        <f aca="false">Sens!I16255</f>
        <v>29.16074476</v>
      </c>
      <c r="J16259" s="6" t="n">
        <f aca="false">Sens!J16255</f>
        <v>44.03867576</v>
      </c>
      <c r="K16259" s="6" t="n">
        <f aca="false">Sens!K16255</f>
        <v>87.48223428</v>
      </c>
    </row>
    <row r="16260" customFormat="false" ht="17.15" hidden="false" customHeight="false" outlineLevel="0" collapsed="false">
      <c r="A16260" s="0" t="s">
        <v>997</v>
      </c>
      <c r="B16260" s="0" t="s">
        <v>98</v>
      </c>
      <c r="C16260" s="6" t="n">
        <f aca="false">Sens!C16259+Sens!C16256</f>
        <v>28.7416845916667</v>
      </c>
      <c r="D16260" s="6" t="n">
        <f aca="false">Sens!D16259+Sens!D16256</f>
        <v>43.4058093833333</v>
      </c>
      <c r="E16260" s="6" t="n">
        <f aca="false">Sens!E16259+Sens!E16256</f>
        <v>86.225053775</v>
      </c>
      <c r="F16260" s="6" t="n">
        <f aca="false">Sens!F16259+Sens!F16256</f>
        <v>29.673672624</v>
      </c>
      <c r="G16260" s="6" t="n">
        <f aca="false">Sens!G16259+Sens!G16256</f>
        <v>34.213759128</v>
      </c>
      <c r="H16260" s="6" t="n">
        <f aca="false">Sens!H16259+Sens!H16256</f>
        <v>0</v>
      </c>
      <c r="I16260" s="6" t="n">
        <f aca="false">Sens!I16259+Sens!I16256</f>
        <v>29.16074476</v>
      </c>
      <c r="J16260" s="6" t="n">
        <f aca="false">Sens!J16259+Sens!J16256</f>
        <v>44.03867576</v>
      </c>
      <c r="K16260" s="6" t="n">
        <f aca="false">Sens!K16259+Sens!K16256</f>
        <v>87.48223428</v>
      </c>
      <c r="L16260" s="12" t="s">
        <v>998</v>
      </c>
    </row>
    <row r="16261" customFormat="false" ht="17.15" hidden="false" customHeight="false" outlineLevel="0" collapsed="false">
      <c r="A16261" s="0" t="s">
        <v>999</v>
      </c>
      <c r="B16261" s="0" t="s">
        <v>98</v>
      </c>
      <c r="E16261" s="6" t="n">
        <f aca="false">(Sens!C16259*IF(2&lt;life_it,1,IF(2=life_it,0.5,0))+Sens!D16259*IF(1&lt;life_it,1,IF(1=life_it,0.5,0))+Sens!E16259*0.5)/life_it</f>
        <v>15.0605784770833</v>
      </c>
      <c r="F16261" s="6" t="n">
        <f aca="false">(Sens!C16259*IF(3&lt;life_it,1,IF(3=life_it,0.5,0))+Sens!D16259*IF(2&lt;life_it,1,IF(2=life_it,0.5,0))+Sens!E16259*IF(1&lt;life_it,1,IF(1=life_it,0.5,0))+Sens!F16259*0.5)/life_it</f>
        <v>22.697940677</v>
      </c>
      <c r="G16261" s="6" t="n">
        <f aca="false">(Sens!C16259*IF(4&lt;life_it,1,IF(4=life_it,0.5,0))+Sens!D16259*IF(3&lt;life_it,1,IF(3=life_it,0.5,0))+Sens!E16259*IF(2&lt;life_it,1,IF(2=life_it,0.5,0))+Sens!F16259*IF(1&lt;life_it,1,IF(1=life_it,0.5,0))+Sens!G16259*0.5)/life_it</f>
        <v>27.039968323</v>
      </c>
      <c r="H16261" s="6" t="n">
        <f aca="false">(Sens!C16259*IF(5&lt;life_it,1,IF(5=life_it,0.5,0))+Sens!D16259*IF(4&lt;life_it,1,IF(4=life_it,0.5,0))+Sens!E16259*IF(3&lt;life_it,1,IF(3=life_it,0.5,0))+Sens!F16259*IF(2&lt;life_it,1,IF(2=life_it,0.5,0))+Sens!G16259*IF(1&lt;life_it,1,IF(1=life_it,0.5,0))+Sens!H16259*0.5)/life_it</f>
        <v>29.377979917</v>
      </c>
      <c r="I16261" s="6" t="n">
        <f aca="false">(Sens!C16259*IF(6&lt;life_it,1,IF(6=life_it,0.5,0))+Sens!D16259*IF(5&lt;life_it,1,IF(5=life_it,0.5,0))+Sens!E16259*IF(4&lt;life_it,1,IF(4=life_it,0.5,0))+Sens!F16259*IF(3&lt;life_it,1,IF(3=life_it,0.5,0))+Sens!G16259*IF(2&lt;life_it,1,IF(2=life_it,0.5,0))+Sens!H16259*IF(1&lt;life_it,1,IF(1=life_it,0.5,0))+Sens!I16259*0.5)/life_it</f>
        <v>29.9302599310278</v>
      </c>
      <c r="J16261" s="6" t="n">
        <f aca="false">(Sens!C16259*IF(7&lt;life_it,1,IF(7=life_it,0.5,0))+Sens!D16259*IF(6&lt;life_it,1,IF(6=life_it,0.5,0))+Sens!E16259*IF(5&lt;life_it,1,IF(5=life_it,0.5,0))+Sens!F16259*IF(4&lt;life_it,1,IF(4=life_it,0.5,0))+Sens!G16259*IF(3&lt;life_it,1,IF(3=life_it,0.5,0))+Sens!H16259*IF(2&lt;life_it,1,IF(2=life_it,0.5,0))+Sens!I16259*IF(1&lt;life_it,1,IF(1=life_it,0.5,0))+Sens!J16259*0.5)/life_it</f>
        <v>31.3165954764444</v>
      </c>
      <c r="K16261" s="6" t="n">
        <f aca="false">(Sens!C16259*IF(8&lt;life_it,1,IF(8=life_it,0.5,0))+Sens!D16259*IF(7&lt;life_it,1,IF(7=life_it,0.5,0))+Sens!E16259*IF(6&lt;life_it,1,IF(6=life_it,0.5,0))+Sens!F16259*IF(5&lt;life_it,1,IF(5=life_it,0.5,0))+Sens!G16259*IF(4&lt;life_it,1,IF(4=life_it,0.5,0))+Sens!H16259*IF(3&lt;life_it,1,IF(3=life_it,0.5,0))+Sens!I16259*IF(2&lt;life_it,1,IF(2=life_it,0.5,0))+Sens!J16259*IF(1&lt;life_it,1,IF(1=life_it,0.5,0))+Sens!K16259*0.5)/life_it</f>
        <v>33.8074910499167</v>
      </c>
    </row>
    <row r="16262" customFormat="false" ht="17.15" hidden="false" customHeight="false" outlineLevel="0" collapsed="false">
      <c r="A16262" s="0" t="s">
        <v>1000</v>
      </c>
      <c r="B16262" s="0" t="s">
        <v>98</v>
      </c>
      <c r="E16262" s="6" t="n">
        <f aca="false">(Sens!C16256*IF(2&lt;life_fac,1,IF(2=life_fac,0.5,0))+Sens!D16256*IF(1&lt;life_fac,1,IF(1=life_fac,0.5,0))+Sens!E16256*0.5)/life_fac</f>
        <v>1.2448275</v>
      </c>
      <c r="F16262" s="6" t="n">
        <f aca="false">(Sens!C16256*IF(3&lt;life_fac,1,IF(3=life_fac,0.5,0))+Sens!D16256*IF(2&lt;life_fac,1,IF(2=life_fac,0.5,0))+Sens!E16256*IF(1&lt;life_fac,1,IF(1=life_fac,0.5,0))+Sens!F16256*0.5)/life_fac</f>
        <v>1.851087</v>
      </c>
      <c r="G16262" s="6" t="n">
        <f aca="false">(Sens!C16256*IF(4&lt;life_fac,1,IF(4=life_fac,0.5,0))+Sens!D16256*IF(3&lt;life_fac,1,IF(3=life_fac,0.5,0))+Sens!E16256*IF(2&lt;life_fac,1,IF(2=life_fac,0.5,0))+Sens!F16256*IF(1&lt;life_fac,1,IF(1=life_fac,0.5,0))+Sens!G16256*0.5)/life_fac</f>
        <v>2.1456645</v>
      </c>
      <c r="H16262" s="6" t="n">
        <f aca="false">(Sens!C16256*IF(5&lt;life_fac,1,IF(5=life_fac,0.5,0))+Sens!D16256*IF(4&lt;life_fac,1,IF(4=life_fac,0.5,0))+Sens!E16256*IF(3&lt;life_fac,1,IF(3=life_fac,0.5,0))+Sens!F16256*IF(2&lt;life_fac,1,IF(2=life_fac,0.5,0))+Sens!G16256*IF(1&lt;life_fac,1,IF(1=life_fac,0.5,0))+Sens!H16256*0.5)/life_fac</f>
        <v>2.299605</v>
      </c>
      <c r="I16262" s="6" t="n">
        <f aca="false">(Sens!C16256*IF(6&lt;life_fac,1,IF(6=life_fac,0.5,0))+Sens!D16256*IF(5&lt;life_fac,1,IF(5=life_fac,0.5,0))+Sens!E16256*IF(4&lt;life_fac,1,IF(4=life_fac,0.5,0))+Sens!F16256*IF(3&lt;life_fac,1,IF(3=life_fac,0.5,0))+Sens!G16256*IF(2&lt;life_fac,1,IF(2=life_fac,0.5,0))+Sens!H16256*IF(1&lt;life_fac,1,IF(1=life_fac,0.5,0))+Sens!I16256*0.5)/life_fac</f>
        <v>2.299605</v>
      </c>
      <c r="J16262" s="6" t="n">
        <f aca="false">(Sens!C16256*IF(7&lt;life_fac,1,IF(7=life_fac,0.5,0))+Sens!D16256*IF(6&lt;life_fac,1,IF(6=life_fac,0.5,0))+Sens!E16256*IF(5&lt;life_fac,1,IF(5=life_fac,0.5,0))+Sens!F16256*IF(4&lt;life_fac,1,IF(4=life_fac,0.5,0))+Sens!G16256*IF(3&lt;life_fac,1,IF(3=life_fac,0.5,0))+Sens!H16256*IF(2&lt;life_fac,1,IF(2=life_fac,0.5,0))+Sens!I16256*IF(1&lt;life_fac,1,IF(1=life_fac,0.5,0))+Sens!J16256*0.5)/life_fac</f>
        <v>2.299605</v>
      </c>
      <c r="K16262" s="6" t="n">
        <f aca="false">(Sens!C16256*IF(8&lt;life_fac,1,IF(8=life_fac,0.5,0))+Sens!D16256*IF(7&lt;life_fac,1,IF(7=life_fac,0.5,0))+Sens!E16256*IF(6&lt;life_fac,1,IF(6=life_fac,0.5,0))+Sens!F16256*IF(5&lt;life_fac,1,IF(5=life_fac,0.5,0))+Sens!G16256*IF(4&lt;life_fac,1,IF(4=life_fac,0.5,0))+Sens!H16256*IF(3&lt;life_fac,1,IF(3=life_fac,0.5,0))+Sens!I16256*IF(2&lt;life_fac,1,IF(2=life_fac,0.5,0))+Sens!J16256*IF(1&lt;life_fac,1,IF(1=life_fac,0.5,0))+Sens!K16256*0.5)/life_fac</f>
        <v>2.299605</v>
      </c>
    </row>
    <row r="16263" customFormat="false" ht="17.15" hidden="false" customHeight="false" outlineLevel="0" collapsed="false">
      <c r="A16263" s="0" t="s">
        <v>1001</v>
      </c>
      <c r="B16263" s="0" t="s">
        <v>98</v>
      </c>
      <c r="E16263" s="6" t="n">
        <f aca="false">Sens!E16261+Sens!E16262</f>
        <v>16.3054059770833</v>
      </c>
      <c r="F16263" s="6" t="n">
        <f aca="false">Sens!F16261+Sens!F16262</f>
        <v>24.549027677</v>
      </c>
      <c r="G16263" s="6" t="n">
        <f aca="false">Sens!G16261+Sens!G16262</f>
        <v>29.185632823</v>
      </c>
      <c r="H16263" s="6" t="n">
        <f aca="false">Sens!H16261+Sens!H16262</f>
        <v>31.677584917</v>
      </c>
      <c r="I16263" s="6" t="n">
        <f aca="false">Sens!I16261+Sens!I16262</f>
        <v>32.2298649310278</v>
      </c>
      <c r="J16263" s="6" t="n">
        <f aca="false">Sens!J16261+Sens!J16262</f>
        <v>33.6162004764444</v>
      </c>
      <c r="K16263" s="6" t="n">
        <f aca="false">Sens!K16261+Sens!K16262</f>
        <v>36.1070960499167</v>
      </c>
    </row>
    <row r="16264" customFormat="false" ht="17.15" hidden="false" customHeight="false" outlineLevel="0" collapsed="false">
      <c r="A16264" s="0" t="s">
        <v>1002</v>
      </c>
      <c r="B16264" s="0" t="s">
        <v>98</v>
      </c>
      <c r="E16264" s="6" t="n">
        <f aca="false">Sens!E16251-Sens!E16250*Sens!E16263</f>
        <v>8.92707889977379</v>
      </c>
      <c r="F16264" s="6" t="n">
        <f aca="false">Sens!F16251-Sens!F16250*Sens!F16263</f>
        <v>10.3715414522451</v>
      </c>
      <c r="G16264" s="6" t="n">
        <f aca="false">Sens!G16251-Sens!G16250*Sens!G16263</f>
        <v>8.34730733165337</v>
      </c>
      <c r="H16264" s="6" t="n">
        <f aca="false">Sens!H16251-Sens!H16250*Sens!H16263</f>
        <v>4.50816651291358</v>
      </c>
      <c r="I16264" s="6" t="n">
        <f aca="false">Sens!I16251-Sens!I16250*Sens!I16263</f>
        <v>4.94494666123597</v>
      </c>
      <c r="J16264" s="6" t="n">
        <f aca="false">Sens!J16251-Sens!J16250*Sens!J16263</f>
        <v>5.27320581559189</v>
      </c>
      <c r="K16264" s="6" t="n">
        <f aca="false">Sens!K16251-Sens!K16250*Sens!K16263</f>
        <v>6.08311294172574</v>
      </c>
    </row>
    <row r="16265" customFormat="false" ht="17.15" hidden="false" customHeight="false" outlineLevel="0" collapsed="false">
      <c r="A16265" s="3" t="s">
        <v>1880</v>
      </c>
    </row>
    <row r="16266" customFormat="false" ht="15" hidden="false" customHeight="false" outlineLevel="0" collapsed="false">
      <c r="A16266" s="4" t="s">
        <v>43</v>
      </c>
      <c r="B16266" s="4" t="s">
        <v>65</v>
      </c>
      <c r="C16266" s="23" t="s">
        <v>938</v>
      </c>
      <c r="D16266" s="23" t="s">
        <v>939</v>
      </c>
      <c r="E16266" s="23" t="s">
        <v>940</v>
      </c>
      <c r="F16266" s="23" t="s">
        <v>941</v>
      </c>
      <c r="G16266" s="23" t="s">
        <v>942</v>
      </c>
      <c r="H16266" s="23" t="s">
        <v>943</v>
      </c>
      <c r="I16266" s="23" t="s">
        <v>944</v>
      </c>
      <c r="J16266" s="23" t="s">
        <v>945</v>
      </c>
      <c r="K16266" s="23" t="s">
        <v>946</v>
      </c>
      <c r="L16266" s="4" t="s">
        <v>47</v>
      </c>
    </row>
    <row r="16267" customFormat="false" ht="17.15" hidden="false" customHeight="false" outlineLevel="0" collapsed="false">
      <c r="A16267" s="0" t="s">
        <v>1021</v>
      </c>
      <c r="B16267" s="0" t="s">
        <v>98</v>
      </c>
      <c r="D16267" s="6" t="n">
        <f aca="false">Sens!D16245</f>
        <v>12.9359794422418</v>
      </c>
      <c r="E16267" s="6" t="n">
        <f aca="false">Sens!E16245</f>
        <v>27.8095064661409</v>
      </c>
      <c r="F16267" s="6" t="n">
        <f aca="false">Sens!F16245</f>
        <v>38.2259783649916</v>
      </c>
      <c r="G16267" s="6" t="n">
        <f aca="false">Sens!G16245</f>
        <v>41.1248620805705</v>
      </c>
      <c r="H16267" s="6" t="n">
        <f aca="false">Sens!H16245</f>
        <v>39.3939767870212</v>
      </c>
      <c r="I16267" s="6" t="n">
        <f aca="false">Sens!I16245</f>
        <v>40.2461266001841</v>
      </c>
      <c r="J16267" s="6" t="n">
        <f aca="false">Sens!J16245</f>
        <v>41.5330467261851</v>
      </c>
      <c r="K16267" s="6" t="n">
        <f aca="false">Sens!K16245</f>
        <v>44.0894961656736</v>
      </c>
    </row>
    <row r="16268" customFormat="false" ht="17.15" hidden="false" customHeight="false" outlineLevel="0" collapsed="false">
      <c r="A16268" s="0" t="s">
        <v>1022</v>
      </c>
      <c r="B16268" s="0" t="s">
        <v>98</v>
      </c>
      <c r="D16268" s="6" t="n">
        <f aca="false">Q!L6-Sens!D16267</f>
        <v>59.6740205577583</v>
      </c>
      <c r="E16268" s="6" t="n">
        <f aca="false">Q!M6-Sens!E16267</f>
        <v>74.1284935338591</v>
      </c>
      <c r="F16268" s="6" t="n">
        <f aca="false">Q!$I$6+(Sens!F16267+Sens!E16268*(1+Sens!F16269))*(1-Q!$E$6/Q!M6)-Sens!F16267</f>
        <v>95.0709626604845</v>
      </c>
      <c r="G16268" s="6" t="n">
        <f aca="false">Sens!F16268*(1+Sens!G16269)</f>
        <v>112.958493491404</v>
      </c>
      <c r="H16268" s="6" t="n">
        <f aca="false">Sens!G16268*(1+Sens!H16269)</f>
        <v>131.157455688971</v>
      </c>
      <c r="I16268" s="6" t="n">
        <f aca="false">Sens!H16268*(1+Sens!I16269)</f>
        <v>148.74234272792</v>
      </c>
      <c r="J16268" s="6" t="n">
        <f aca="false">Sens!I16268*(1+Sens!J16269)</f>
        <v>164.663323547782</v>
      </c>
      <c r="K16268" s="6" t="n">
        <f aca="false">Sens!J16268*(1+Sens!K16269)</f>
        <v>177.836389431605</v>
      </c>
      <c r="L16268" s="12" t="s">
        <v>1023</v>
      </c>
    </row>
    <row r="16269" customFormat="false" ht="15" hidden="false" customHeight="false" outlineLevel="0" collapsed="false">
      <c r="A16269" s="1" t="s">
        <v>1024</v>
      </c>
      <c r="B16269" s="0" t="s">
        <v>168</v>
      </c>
      <c r="E16269" s="7" t="n">
        <f aca="false">Sens!E16268/Sens!D16268-1</f>
        <v>0.242223883039864</v>
      </c>
      <c r="F16269" s="7" t="n">
        <f aca="false">Sens!$E$16269+(glt_azo-Sens!$E$16269)*MIN(1,(Sens!F16226-base_fy)/n_conv)</f>
        <v>0.215186569199887</v>
      </c>
      <c r="G16269" s="7" t="n">
        <f aca="false">Sens!$E$16269+(glt_azo-Sens!$E$16269)*MIN(1,(Sens!G16226-base_fy)/n_conv)</f>
        <v>0.18814925535991</v>
      </c>
      <c r="H16269" s="7" t="n">
        <f aca="false">Sens!$E$16269+(glt_azo-Sens!$E$16269)*MIN(1,(Sens!H16226-base_fy)/n_conv)</f>
        <v>0.161111941519932</v>
      </c>
      <c r="I16269" s="7" t="n">
        <f aca="false">Sens!$E$16269+(glt_azo-Sens!$E$16269)*MIN(1,(Sens!I16226-base_fy)/n_conv)</f>
        <v>0.134074627679955</v>
      </c>
      <c r="J16269" s="7" t="n">
        <f aca="false">Sens!$E$16269+(glt_azo-Sens!$E$16269)*MIN(1,(Sens!J16226-base_fy)/n_conv)</f>
        <v>0.107037313839977</v>
      </c>
      <c r="K16269" s="7" t="n">
        <f aca="false">Sens!$E$16269+(glt_azo-Sens!$E$16269)*MIN(1,(Sens!K16226-base_fy)/n_conv)</f>
        <v>0.08</v>
      </c>
    </row>
    <row r="16270" customFormat="false" ht="15" hidden="false" customHeight="false" outlineLevel="0" collapsed="false">
      <c r="A16270" s="0" t="s">
        <v>1025</v>
      </c>
      <c r="B16270" s="0" t="s">
        <v>98</v>
      </c>
      <c r="D16270" s="6" t="n">
        <f aca="false">Sens!D16267+Sens!D16268</f>
        <v>72.61</v>
      </c>
      <c r="E16270" s="6" t="n">
        <f aca="false">Sens!E16267+Sens!E16268</f>
        <v>101.938</v>
      </c>
      <c r="F16270" s="6" t="n">
        <f aca="false">Sens!F16267+Sens!F16268</f>
        <v>133.296941025476</v>
      </c>
      <c r="G16270" s="6" t="n">
        <f aca="false">Sens!G16267+Sens!G16268</f>
        <v>154.083355571975</v>
      </c>
      <c r="H16270" s="6" t="n">
        <f aca="false">Sens!H16267+Sens!H16268</f>
        <v>170.551432475992</v>
      </c>
      <c r="I16270" s="6" t="n">
        <f aca="false">Sens!I16267+Sens!I16268</f>
        <v>188.988469328104</v>
      </c>
      <c r="J16270" s="6" t="n">
        <f aca="false">Sens!J16267+Sens!J16268</f>
        <v>206.196370273967</v>
      </c>
      <c r="K16270" s="6" t="n">
        <f aca="false">Sens!K16267+Sens!K16268</f>
        <v>221.925885597278</v>
      </c>
    </row>
    <row r="16271" customFormat="false" ht="17.15" hidden="false" customHeight="false" outlineLevel="0" collapsed="false">
      <c r="A16271" s="0" t="s">
        <v>1026</v>
      </c>
      <c r="B16271" s="1" t="s">
        <v>610</v>
      </c>
      <c r="C16271" s="30" t="n">
        <f aca="false">cop_s24</f>
        <v>1</v>
      </c>
      <c r="D16271" s="30" t="n">
        <f aca="false">cop_s25</f>
        <v>5</v>
      </c>
      <c r="E16271" s="30" t="n">
        <f aca="false">cop_s26</f>
        <v>30</v>
      </c>
      <c r="F16271" s="30" t="n">
        <f aca="false">Sens!E16271+cop_add_C</f>
        <v>40</v>
      </c>
      <c r="G16271" s="30" t="n">
        <f aca="false">Sens!F16271+cop_add_C</f>
        <v>50</v>
      </c>
      <c r="H16271" s="30" t="n">
        <f aca="false">Sens!G16271+cop_add_C</f>
        <v>60</v>
      </c>
      <c r="I16271" s="30" t="n">
        <f aca="false">Sens!H16271+cop_add_C*cop_tail</f>
        <v>65</v>
      </c>
      <c r="J16271" s="30" t="n">
        <f aca="false">Sens!I16271+cop_add_C*cop_tail</f>
        <v>70</v>
      </c>
      <c r="K16271" s="30" t="n">
        <f aca="false">Sens!J16271+cop_add_C*cop_tail</f>
        <v>75</v>
      </c>
      <c r="L16271" s="12" t="s">
        <v>1027</v>
      </c>
    </row>
    <row r="16272" customFormat="false" ht="17.15" hidden="false" customHeight="false" outlineLevel="0" collapsed="false">
      <c r="A16272" s="0" t="s">
        <v>1028</v>
      </c>
      <c r="B16272" s="0" t="s">
        <v>98</v>
      </c>
      <c r="D16272" s="6" t="n">
        <f aca="false">(Sens!C16271+Sens!D16271)/2*cop_px*12/1000</f>
        <v>0.9</v>
      </c>
      <c r="E16272" s="6" t="n">
        <f aca="false">(Sens!D16271+Sens!E16271)/2*cop_px*12/1000</f>
        <v>5.25</v>
      </c>
      <c r="F16272" s="6" t="n">
        <f aca="false">(Sens!E16271+Sens!F16271)/2*cop_px*12/1000</f>
        <v>10.5</v>
      </c>
      <c r="G16272" s="6" t="n">
        <f aca="false">(Sens!F16271+Sens!G16271)/2*cop_px*12/1000</f>
        <v>13.5</v>
      </c>
      <c r="H16272" s="6" t="n">
        <f aca="false">(Sens!G16271+Sens!H16271)/2*cop_px*12/1000</f>
        <v>16.5</v>
      </c>
      <c r="I16272" s="6" t="n">
        <f aca="false">(Sens!H16271+Sens!I16271)/2*cop_px*12/1000</f>
        <v>18.75</v>
      </c>
      <c r="J16272" s="6" t="n">
        <f aca="false">(Sens!I16271+Sens!J16271)/2*cop_px*12/1000</f>
        <v>20.25</v>
      </c>
      <c r="K16272" s="6" t="n">
        <f aca="false">(Sens!J16271+Sens!K16271)/2*cop_px*12/1000</f>
        <v>21.75</v>
      </c>
      <c r="L16272" s="1" t="s">
        <v>1029</v>
      </c>
    </row>
    <row r="16273" customFormat="false" ht="17.15" hidden="false" customHeight="false" outlineLevel="0" collapsed="false">
      <c r="A16273" s="0" t="s">
        <v>1030</v>
      </c>
      <c r="B16273" s="0" t="s">
        <v>98</v>
      </c>
      <c r="D16273" s="6" t="n">
        <f aca="false">Q!L7-Sens!D16272</f>
        <v>83.705</v>
      </c>
      <c r="E16273" s="6" t="n">
        <f aca="false">Q!M7-Sens!E16272</f>
        <v>95.049</v>
      </c>
      <c r="F16273" s="6" t="n">
        <f aca="false">Q!$I$7+(Sens!E16273*(1+Sens!F16274)+Sens!F16272)*(1-Q!$E$7/Q!M7)-Sens!F16272</f>
        <v>106.938354189776</v>
      </c>
      <c r="G16273" s="6" t="n">
        <f aca="false">Sens!F16273*(1+Sens!G16274)</f>
        <v>119.095360443801</v>
      </c>
      <c r="H16273" s="6" t="n">
        <f aca="false">Sens!G16273*(1+Sens!H16274)</f>
        <v>131.333811964563</v>
      </c>
      <c r="I16273" s="6" t="n">
        <f aca="false">Sens!H16273*(1+Sens!I16274)</f>
        <v>143.395665319381</v>
      </c>
      <c r="J16273" s="6" t="n">
        <f aca="false">Sens!I16273*(1+Sens!J16274)</f>
        <v>154.999327755573</v>
      </c>
      <c r="K16273" s="6" t="n">
        <f aca="false">Sens!J16273*(1+Sens!K16274)</f>
        <v>165.849280698463</v>
      </c>
      <c r="L16273" s="12" t="s">
        <v>1031</v>
      </c>
    </row>
    <row r="16274" customFormat="false" ht="15" hidden="false" customHeight="false" outlineLevel="0" collapsed="false">
      <c r="A16274" s="1" t="s">
        <v>1024</v>
      </c>
      <c r="B16274" s="0" t="s">
        <v>168</v>
      </c>
      <c r="E16274" s="7" t="n">
        <f aca="false">Sens!E16273/Sens!D16273-1</f>
        <v>0.135523564900544</v>
      </c>
      <c r="F16274" s="7" t="n">
        <f aca="false">Sens!$E$16274+(glt_m365b-Sens!$E$16274)*MIN(1,(Sens!F16226-base_fy)/n_conv)</f>
        <v>0.124602970750453</v>
      </c>
      <c r="G16274" s="7" t="n">
        <f aca="false">Sens!$E$16274+(glt_m365b-Sens!$E$16274)*MIN(1,(Sens!G16226-base_fy)/n_conv)</f>
        <v>0.113682376600363</v>
      </c>
      <c r="H16274" s="7" t="n">
        <f aca="false">Sens!$E$16274+(glt_m365b-Sens!$E$16274)*MIN(1,(Sens!H16226-base_fy)/n_conv)</f>
        <v>0.102761782450272</v>
      </c>
      <c r="I16274" s="7" t="n">
        <f aca="false">Sens!$E$16274+(glt_m365b-Sens!$E$16274)*MIN(1,(Sens!I16226-base_fy)/n_conv)</f>
        <v>0.0918411883001813</v>
      </c>
      <c r="J16274" s="7" t="n">
        <f aca="false">Sens!$E$16274+(glt_m365b-Sens!$E$16274)*MIN(1,(Sens!J16226-base_fy)/n_conv)</f>
        <v>0.0809205941500906</v>
      </c>
      <c r="K16274" s="7" t="n">
        <f aca="false">Sens!$E$16274+(glt_m365b-Sens!$E$16274)*MIN(1,(Sens!K16226-base_fy)/n_conv)</f>
        <v>0.07</v>
      </c>
    </row>
    <row r="16275" customFormat="false" ht="15" hidden="false" customHeight="false" outlineLevel="0" collapsed="false">
      <c r="A16275" s="0" t="s">
        <v>1032</v>
      </c>
      <c r="B16275" s="0" t="s">
        <v>98</v>
      </c>
      <c r="D16275" s="6" t="n">
        <f aca="false">Sens!D16273+Sens!D16272</f>
        <v>84.605</v>
      </c>
      <c r="E16275" s="6" t="n">
        <f aca="false">Sens!E16273+Sens!E16272</f>
        <v>100.299</v>
      </c>
      <c r="F16275" s="6" t="n">
        <f aca="false">Sens!F16273+Sens!F16272</f>
        <v>117.438354189776</v>
      </c>
      <c r="G16275" s="6" t="n">
        <f aca="false">Sens!G16273+Sens!G16272</f>
        <v>132.595360443801</v>
      </c>
      <c r="H16275" s="6" t="n">
        <f aca="false">Sens!H16273+Sens!H16272</f>
        <v>147.833811964563</v>
      </c>
      <c r="I16275" s="6" t="n">
        <f aca="false">Sens!I16273+Sens!I16272</f>
        <v>162.145665319381</v>
      </c>
      <c r="J16275" s="6" t="n">
        <f aca="false">Sens!J16273+Sens!J16272</f>
        <v>175.249327755573</v>
      </c>
      <c r="K16275" s="6" t="n">
        <f aca="false">Sens!K16273+Sens!K16272</f>
        <v>187.599280698463</v>
      </c>
    </row>
    <row r="16276" customFormat="false" ht="17.15" hidden="false" customHeight="false" outlineLevel="0" collapsed="false">
      <c r="A16276" s="0" t="s">
        <v>1033</v>
      </c>
      <c r="B16276" s="0" t="s">
        <v>98</v>
      </c>
      <c r="D16276" s="6" t="n">
        <f aca="false">Q!L8</f>
        <v>35.391</v>
      </c>
      <c r="E16276" s="6" t="n">
        <f aca="false">Q!M8</f>
        <v>37.285</v>
      </c>
      <c r="F16276" s="6" t="n">
        <f aca="false">Q!$I$8+(Q!M8-Q!$E$8)*(1+Sens!F16277)</f>
        <v>38.3851437782675</v>
      </c>
      <c r="G16276" s="6" t="n">
        <f aca="false">Sens!F16276*(1+Sens!G16277)</f>
        <v>40.0105353288615</v>
      </c>
      <c r="H16276" s="6" t="n">
        <f aca="false">Sens!G16276*(1+Sens!H16277)</f>
        <v>41.4812512033683</v>
      </c>
      <c r="I16276" s="6" t="n">
        <f aca="false">Sens!H16276*(1+Sens!I16277)</f>
        <v>42.7743107216329</v>
      </c>
      <c r="J16276" s="6" t="n">
        <f aca="false">Sens!I16276*(1+Sens!J16277)</f>
        <v>43.8687373064601</v>
      </c>
      <c r="K16276" s="6" t="n">
        <f aca="false">Sens!J16276*(1+Sens!K16277)</f>
        <v>44.7461120525893</v>
      </c>
      <c r="L16276" s="12" t="s">
        <v>1034</v>
      </c>
    </row>
    <row r="16277" customFormat="false" ht="15" hidden="false" customHeight="false" outlineLevel="0" collapsed="false">
      <c r="A16277" s="1" t="s">
        <v>1024</v>
      </c>
      <c r="B16277" s="0" t="s">
        <v>168</v>
      </c>
      <c r="E16277" s="7" t="n">
        <f aca="false">Sens!E16276/Sens!D16276-1</f>
        <v>0.0535164307309768</v>
      </c>
      <c r="F16277" s="7" t="n">
        <f aca="false">Sens!$E$16277+(glt_lic-Sens!$E$16277)*MIN(1,(Sens!F16226-base_fy)/n_conv)</f>
        <v>0.0479303589424807</v>
      </c>
      <c r="G16277" s="7" t="n">
        <f aca="false">Sens!$E$16277+(glt_lic-Sens!$E$16277)*MIN(1,(Sens!G16226-base_fy)/n_conv)</f>
        <v>0.0423442871539845</v>
      </c>
      <c r="H16277" s="7" t="n">
        <f aca="false">Sens!$E$16277+(glt_lic-Sens!$E$16277)*MIN(1,(Sens!H16226-base_fy)/n_conv)</f>
        <v>0.0367582153654884</v>
      </c>
      <c r="I16277" s="7" t="n">
        <f aca="false">Sens!$E$16277+(glt_lic-Sens!$E$16277)*MIN(1,(Sens!I16226-base_fy)/n_conv)</f>
        <v>0.0311721435769923</v>
      </c>
      <c r="J16277" s="7" t="n">
        <f aca="false">Sens!$E$16277+(glt_lic-Sens!$E$16277)*MIN(1,(Sens!J16226-base_fy)/n_conv)</f>
        <v>0.0255860717884961</v>
      </c>
      <c r="K16277" s="7" t="n">
        <f aca="false">Sens!$E$16277+(glt_lic-Sens!$E$16277)*MIN(1,(Sens!K16226-base_fy)/n_conv)</f>
        <v>0.02</v>
      </c>
    </row>
    <row r="16278" customFormat="false" ht="17.15" hidden="false" customHeight="false" outlineLevel="0" collapsed="false">
      <c r="A16278" s="0" t="s">
        <v>1035</v>
      </c>
      <c r="B16278" s="0" t="s">
        <v>98</v>
      </c>
      <c r="D16278" s="6" t="n">
        <f aca="false">Q!L9</f>
        <v>18.417</v>
      </c>
      <c r="E16278" s="6" t="n">
        <f aca="false">Q!M9</f>
        <v>20.345</v>
      </c>
      <c r="F16278" s="6" t="n">
        <f aca="false">Q!$I$9+(Q!M9-Q!$E$9)*(1+Sens!F16279)</f>
        <v>22.3161797133988</v>
      </c>
      <c r="G16278" s="6" t="n">
        <f aca="false">Sens!F16278*(1+Sens!G16279)</f>
        <v>24.3943499673233</v>
      </c>
      <c r="H16278" s="6" t="n">
        <f aca="false">Sens!G16278*(1+Sens!H16279)</f>
        <v>26.5250243109019</v>
      </c>
      <c r="I16278" s="6" t="n">
        <f aca="false">Sens!H16278*(1+Sens!I16279)</f>
        <v>28.6884573538181</v>
      </c>
      <c r="J16278" s="6" t="n">
        <f aca="false">Sens!I16278*(1+Sens!J16279)</f>
        <v>30.8624968052127</v>
      </c>
      <c r="K16278" s="6" t="n">
        <f aca="false">Sens!J16278*(1+Sens!K16279)</f>
        <v>33.0228715815776</v>
      </c>
      <c r="L16278" s="12" t="s">
        <v>1034</v>
      </c>
    </row>
    <row r="16279" customFormat="false" ht="15" hidden="false" customHeight="false" outlineLevel="0" collapsed="false">
      <c r="A16279" s="1" t="s">
        <v>1024</v>
      </c>
      <c r="B16279" s="0" t="s">
        <v>168</v>
      </c>
      <c r="E16279" s="7" t="n">
        <f aca="false">Sens!E16278/Sens!D16278-1</f>
        <v>0.104685888038225</v>
      </c>
      <c r="F16279" s="7" t="n">
        <f aca="false">Sens!$E$16279+(glt_ind-Sens!$E$16279)*MIN(1,(Sens!F16226-base_fy)/n_conv)</f>
        <v>0.0989049066985211</v>
      </c>
      <c r="G16279" s="7" t="n">
        <f aca="false">Sens!$E$16279+(glt_ind-Sens!$E$16279)*MIN(1,(Sens!G16226-base_fy)/n_conv)</f>
        <v>0.0931239253588169</v>
      </c>
      <c r="H16279" s="7" t="n">
        <f aca="false">Sens!$E$16279+(glt_ind-Sens!$E$16279)*MIN(1,(Sens!H16226-base_fy)/n_conv)</f>
        <v>0.0873429440191127</v>
      </c>
      <c r="I16279" s="7" t="n">
        <f aca="false">Sens!$E$16279+(glt_ind-Sens!$E$16279)*MIN(1,(Sens!I16226-base_fy)/n_conv)</f>
        <v>0.0815619626794085</v>
      </c>
      <c r="J16279" s="7" t="n">
        <f aca="false">Sens!$E$16279+(glt_ind-Sens!$E$16279)*MIN(1,(Sens!J16226-base_fy)/n_conv)</f>
        <v>0.0757809813397042</v>
      </c>
      <c r="K16279" s="7" t="n">
        <f aca="false">Sens!$E$16279+(glt_ind-Sens!$E$16279)*MIN(1,(Sens!K16226-base_fy)/n_conv)</f>
        <v>0.07</v>
      </c>
    </row>
    <row r="16280" customFormat="false" ht="17.15" hidden="false" customHeight="false" outlineLevel="0" collapsed="false">
      <c r="A16280" s="0" t="s">
        <v>1036</v>
      </c>
      <c r="B16280" s="0" t="s">
        <v>98</v>
      </c>
      <c r="D16280" s="6" t="n">
        <f aca="false">Q!L10</f>
        <v>7.76</v>
      </c>
      <c r="E16280" s="6" t="n">
        <f aca="false">Q!M10</f>
        <v>8.26</v>
      </c>
      <c r="F16280" s="6" t="n">
        <f aca="false">Q!$I$10+(Q!M10-Q!$E$10)*(1+Sens!F16281)</f>
        <v>8.75372082474227</v>
      </c>
      <c r="G16280" s="6" t="n">
        <f aca="false">Sens!F16280*(1+Sens!G16281)</f>
        <v>9.33399324642364</v>
      </c>
      <c r="H16280" s="6" t="n">
        <f aca="false">Sens!G16280*(1+Sens!H16281)</f>
        <v>9.96139155535851</v>
      </c>
      <c r="I16280" s="6" t="n">
        <f aca="false">Sens!H16280*(1+Sens!I16281)</f>
        <v>10.6402039077391</v>
      </c>
      <c r="J16280" s="6" t="n">
        <f aca="false">Sens!I16280*(1+Sens!J16281)</f>
        <v>11.3751458271397</v>
      </c>
      <c r="K16280" s="6" t="n">
        <f aca="false">Sens!J16280*(1+Sens!K16281)</f>
        <v>12.1714060350394</v>
      </c>
      <c r="L16280" s="12" t="s">
        <v>1034</v>
      </c>
    </row>
    <row r="16281" customFormat="false" ht="15" hidden="false" customHeight="false" outlineLevel="0" collapsed="false">
      <c r="A16281" s="1" t="s">
        <v>1024</v>
      </c>
      <c r="B16281" s="0" t="s">
        <v>168</v>
      </c>
      <c r="E16281" s="7" t="n">
        <f aca="false">Sens!E16280/Sens!D16280-1</f>
        <v>0.0644329896907216</v>
      </c>
      <c r="F16281" s="7" t="n">
        <f aca="false">Sens!$E$16281+(glt_fro-Sens!$E$16281)*MIN(1,(Sens!F16226-base_fy)/n_conv)</f>
        <v>0.065360824742268</v>
      </c>
      <c r="G16281" s="7" t="n">
        <f aca="false">Sens!$E$16281+(glt_fro-Sens!$E$16281)*MIN(1,(Sens!G16226-base_fy)/n_conv)</f>
        <v>0.0662886597938144</v>
      </c>
      <c r="H16281" s="7" t="n">
        <f aca="false">Sens!$E$16281+(glt_fro-Sens!$E$16281)*MIN(1,(Sens!H16226-base_fy)/n_conv)</f>
        <v>0.0672164948453608</v>
      </c>
      <c r="I16281" s="7" t="n">
        <f aca="false">Sens!$E$16281+(glt_fro-Sens!$E$16281)*MIN(1,(Sens!I16226-base_fy)/n_conv)</f>
        <v>0.0681443298969072</v>
      </c>
      <c r="J16281" s="7" t="n">
        <f aca="false">Sens!$E$16281+(glt_fro-Sens!$E$16281)*MIN(1,(Sens!J16226-base_fy)/n_conv)</f>
        <v>0.0690721649484536</v>
      </c>
      <c r="K16281" s="7" t="n">
        <f aca="false">Sens!$E$16281+(glt_fro-Sens!$E$16281)*MIN(1,(Sens!K16226-base_fy)/n_conv)</f>
        <v>0.07</v>
      </c>
    </row>
    <row r="16282" customFormat="false" ht="15" hidden="false" customHeight="false" outlineLevel="0" collapsed="false">
      <c r="A16282" s="0" t="s">
        <v>852</v>
      </c>
      <c r="B16282" s="0" t="s">
        <v>98</v>
      </c>
      <c r="D16282" s="6" t="n">
        <f aca="false">Sens!D16270+Sens!D16275+Sens!D16276+Sens!D16278+Sens!D16280</f>
        <v>218.783</v>
      </c>
      <c r="E16282" s="6" t="n">
        <f aca="false">Sens!E16270+Sens!E16275+Sens!E16276+Sens!E16278+Sens!E16280</f>
        <v>268.127</v>
      </c>
      <c r="F16282" s="6" t="n">
        <f aca="false">Sens!F16270+Sens!F16275+Sens!F16276+Sens!F16278+Sens!F16280</f>
        <v>320.19033953166</v>
      </c>
      <c r="G16282" s="6" t="n">
        <f aca="false">Sens!G16270+Sens!G16275+Sens!G16276+Sens!G16278+Sens!G16280</f>
        <v>360.417594558384</v>
      </c>
      <c r="H16282" s="6" t="n">
        <f aca="false">Sens!H16270+Sens!H16275+Sens!H16276+Sens!H16278+Sens!H16280</f>
        <v>396.352911510184</v>
      </c>
      <c r="I16282" s="6" t="n">
        <f aca="false">Sens!I16270+Sens!I16275+Sens!I16276+Sens!I16278+Sens!I16280</f>
        <v>433.237106630676</v>
      </c>
      <c r="J16282" s="6" t="n">
        <f aca="false">Sens!J16270+Sens!J16275+Sens!J16276+Sens!J16278+Sens!J16280</f>
        <v>467.552077968353</v>
      </c>
      <c r="K16282" s="6" t="n">
        <f aca="false">Sens!K16270+Sens!K16275+Sens!K16276+Sens!K16278+Sens!K16280</f>
        <v>499.465555964948</v>
      </c>
    </row>
    <row r="16283" customFormat="false" ht="17.15" hidden="false" customHeight="false" outlineLevel="0" collapsed="false">
      <c r="A16283" s="0" t="s">
        <v>1037</v>
      </c>
      <c r="B16283" s="0" t="s">
        <v>98</v>
      </c>
      <c r="D16283" s="6" t="n">
        <f aca="false">Q!L13</f>
        <v>22.171</v>
      </c>
      <c r="E16283" s="6" t="n">
        <f aca="false">Q!M13</f>
        <v>24.835</v>
      </c>
      <c r="F16283" s="6" t="n">
        <f aca="false">Q!$I$13+(Q!M13-Q!$E$13)*(1+Sens!F16284)</f>
        <v>27.5591895660247</v>
      </c>
      <c r="G16283" s="6" t="n">
        <f aca="false">Sens!F16283*(1+Sens!G16284)</f>
        <v>30.4098563144583</v>
      </c>
      <c r="H16283" s="6" t="n">
        <f aca="false">Sens!G16283*(1+Sens!H16284)</f>
        <v>33.3011792571777</v>
      </c>
      <c r="I16283" s="6" t="n">
        <f aca="false">Sens!H16283*(1+Sens!I16284)</f>
        <v>36.189023797112</v>
      </c>
      <c r="J16283" s="6" t="n">
        <f aca="false">Sens!I16283*(1+Sens!J16284)</f>
        <v>39.0247773769199</v>
      </c>
      <c r="K16283" s="6" t="n">
        <f aca="false">Sens!J16283*(1+Sens!K16284)</f>
        <v>41.7565117933043</v>
      </c>
      <c r="L16283" s="12" t="s">
        <v>1034</v>
      </c>
    </row>
    <row r="16284" customFormat="false" ht="15" hidden="false" customHeight="false" outlineLevel="0" collapsed="false">
      <c r="A16284" s="1" t="s">
        <v>1024</v>
      </c>
      <c r="B16284" s="0" t="s">
        <v>168</v>
      </c>
      <c r="E16284" s="7" t="n">
        <f aca="false">Sens!E16283/Sens!D16283-1</f>
        <v>0.120156961796942</v>
      </c>
      <c r="F16284" s="7" t="n">
        <f aca="false">Sens!$E$16284+(glt_srch-Sens!$E$16284)*MIN(1,(Sens!F16226-base_fy)/n_conv)</f>
        <v>0.111797468164118</v>
      </c>
      <c r="G16284" s="7" t="n">
        <f aca="false">Sens!$E$16284+(glt_srch-Sens!$E$16284)*MIN(1,(Sens!G16226-base_fy)/n_conv)</f>
        <v>0.103437974531295</v>
      </c>
      <c r="H16284" s="7" t="n">
        <f aca="false">Sens!$E$16284+(glt_srch-Sens!$E$16284)*MIN(1,(Sens!H16226-base_fy)/n_conv)</f>
        <v>0.095078480898471</v>
      </c>
      <c r="I16284" s="7" t="n">
        <f aca="false">Sens!$E$16284+(glt_srch-Sens!$E$16284)*MIN(1,(Sens!I16226-base_fy)/n_conv)</f>
        <v>0.0867189872656474</v>
      </c>
      <c r="J16284" s="7" t="n">
        <f aca="false">Sens!$E$16284+(glt_srch-Sens!$E$16284)*MIN(1,(Sens!J16226-base_fy)/n_conv)</f>
        <v>0.0783594936328237</v>
      </c>
      <c r="K16284" s="7" t="n">
        <f aca="false">Sens!$E$16284+(glt_srch-Sens!$E$16284)*MIN(1,(Sens!K16226-base_fy)/n_conv)</f>
        <v>0.07</v>
      </c>
    </row>
    <row r="16285" customFormat="false" ht="17.15" hidden="false" customHeight="false" outlineLevel="0" collapsed="false">
      <c r="A16285" s="0" t="s">
        <v>1038</v>
      </c>
      <c r="B16285" s="0" t="s">
        <v>98</v>
      </c>
      <c r="D16285" s="6" t="n">
        <f aca="false">Q!L14</f>
        <v>23.455</v>
      </c>
      <c r="E16285" s="6" t="n">
        <f aca="false">Q!M14</f>
        <v>21.79</v>
      </c>
      <c r="F16285" s="6" t="n">
        <f aca="false">Q!$I$14+(Q!M14-Q!$E$14)*(1+Sens!F16286)</f>
        <v>20.7520981041711</v>
      </c>
      <c r="G16285" s="6" t="n">
        <f aca="false">Sens!F16285*(1+Sens!G16286)</f>
        <v>19.9083593495882</v>
      </c>
      <c r="H16285" s="6" t="n">
        <f aca="false">Sens!G16285*(1+Sens!H16286)</f>
        <v>19.4008256265831</v>
      </c>
      <c r="I16285" s="6" t="n">
        <f aca="false">Sens!H16285*(1+Sens!I16286)</f>
        <v>19.200434522122</v>
      </c>
      <c r="J16285" s="6" t="n">
        <f aca="false">Sens!I16285*(1+Sens!J16286)</f>
        <v>19.2932782348507</v>
      </c>
      <c r="K16285" s="6" t="n">
        <f aca="false">Sens!J16285*(1+Sens!K16286)</f>
        <v>19.6791437995477</v>
      </c>
      <c r="L16285" s="12" t="s">
        <v>1034</v>
      </c>
    </row>
    <row r="16286" customFormat="false" ht="15" hidden="false" customHeight="false" outlineLevel="0" collapsed="false">
      <c r="A16286" s="1" t="s">
        <v>1024</v>
      </c>
      <c r="B16286" s="0" t="s">
        <v>168</v>
      </c>
      <c r="E16286" s="7" t="n">
        <f aca="false">Sens!E16285/Sens!D16285-1</f>
        <v>-0.0709869963760392</v>
      </c>
      <c r="F16286" s="7" t="n">
        <f aca="false">Sens!$E$16286+(glt_xbox-Sens!$E$16286)*MIN(1,(Sens!F16226-base_fy)/n_conv)</f>
        <v>-0.0558224969800327</v>
      </c>
      <c r="G16286" s="7" t="n">
        <f aca="false">Sens!$E$16286+(glt_xbox-Sens!$E$16286)*MIN(1,(Sens!G16226-base_fy)/n_conv)</f>
        <v>-0.0406579975840262</v>
      </c>
      <c r="H16286" s="7" t="n">
        <f aca="false">Sens!$E$16286+(glt_xbox-Sens!$E$16286)*MIN(1,(Sens!H16226-base_fy)/n_conv)</f>
        <v>-0.0254934981880196</v>
      </c>
      <c r="I16286" s="7" t="n">
        <f aca="false">Sens!$E$16286+(glt_xbox-Sens!$E$16286)*MIN(1,(Sens!I16226-base_fy)/n_conv)</f>
        <v>-0.0103289987920131</v>
      </c>
      <c r="J16286" s="7" t="n">
        <f aca="false">Sens!$E$16286+(glt_xbox-Sens!$E$16286)*MIN(1,(Sens!J16226-base_fy)/n_conv)</f>
        <v>0.00483550060399347</v>
      </c>
      <c r="K16286" s="7" t="n">
        <f aca="false">Sens!$E$16286+(glt_xbox-Sens!$E$16286)*MIN(1,(Sens!K16226-base_fy)/n_conv)</f>
        <v>0.02</v>
      </c>
    </row>
    <row r="16287" customFormat="false" ht="17.15" hidden="false" customHeight="false" outlineLevel="0" collapsed="false">
      <c r="A16287" s="0" t="s">
        <v>1039</v>
      </c>
      <c r="B16287" s="0" t="s">
        <v>98</v>
      </c>
      <c r="D16287" s="6" t="n">
        <f aca="false">Q!L15</f>
        <v>17.315</v>
      </c>
      <c r="E16287" s="6" t="n">
        <f aca="false">Q!M15</f>
        <v>17.087</v>
      </c>
      <c r="F16287" s="6" t="n">
        <f aca="false">Q!$I$15+(Q!M15-Q!$E$15)*(1+Sens!F16288)</f>
        <v>15.9912273250553</v>
      </c>
      <c r="G16287" s="6" t="n">
        <f aca="false">Sens!F16287*(1+Sens!G16288)</f>
        <v>15.9574562664827</v>
      </c>
      <c r="H16287" s="6" t="n">
        <f aca="false">Sens!G16287*(1+Sens!H16288)</f>
        <v>16.0119687434196</v>
      </c>
      <c r="I16287" s="6" t="n">
        <f aca="false">Sens!H16287*(1+Sens!I16288)</f>
        <v>16.1551810001948</v>
      </c>
      <c r="J16287" s="6" t="n">
        <f aca="false">Sens!I16287*(1+Sens!J16288)</f>
        <v>16.3889793892005</v>
      </c>
      <c r="K16287" s="6" t="n">
        <f aca="false">Sens!J16287*(1+Sens!K16288)</f>
        <v>16.7167589769845</v>
      </c>
      <c r="L16287" s="12" t="s">
        <v>1034</v>
      </c>
    </row>
    <row r="16288" customFormat="false" ht="15" hidden="false" customHeight="false" outlineLevel="0" collapsed="false">
      <c r="A16288" s="1" t="s">
        <v>1024</v>
      </c>
      <c r="B16288" s="0" t="s">
        <v>168</v>
      </c>
      <c r="E16288" s="7" t="n">
        <f aca="false">Sens!E16287/Sens!D16287-1</f>
        <v>-0.0131677736066995</v>
      </c>
      <c r="F16288" s="7" t="n">
        <f aca="false">Sens!$E$16288+(glt_win-Sens!$E$16288)*MIN(1,(Sens!F16226-base_fy)/n_conv)</f>
        <v>-0.00763981133891627</v>
      </c>
      <c r="G16288" s="7" t="n">
        <f aca="false">Sens!$E$16288+(glt_win-Sens!$E$16288)*MIN(1,(Sens!G16226-base_fy)/n_conv)</f>
        <v>-0.00211184907113301</v>
      </c>
      <c r="H16288" s="7" t="n">
        <f aca="false">Sens!$E$16288+(glt_win-Sens!$E$16288)*MIN(1,(Sens!H16226-base_fy)/n_conv)</f>
        <v>0.00341611319665024</v>
      </c>
      <c r="I16288" s="7" t="n">
        <f aca="false">Sens!$E$16288+(glt_win-Sens!$E$16288)*MIN(1,(Sens!I16226-base_fy)/n_conv)</f>
        <v>0.00894407546443349</v>
      </c>
      <c r="J16288" s="7" t="n">
        <f aca="false">Sens!$E$16288+(glt_win-Sens!$E$16288)*MIN(1,(Sens!J16226-base_fy)/n_conv)</f>
        <v>0.0144720377322168</v>
      </c>
      <c r="K16288" s="7" t="n">
        <f aca="false">Sens!$E$16288+(glt_win-Sens!$E$16288)*MIN(1,(Sens!K16226-base_fy)/n_conv)</f>
        <v>0.02</v>
      </c>
    </row>
    <row r="16289" customFormat="false" ht="15" hidden="false" customHeight="false" outlineLevel="0" collapsed="false">
      <c r="A16289" s="0" t="s">
        <v>866</v>
      </c>
      <c r="B16289" s="0" t="s">
        <v>98</v>
      </c>
      <c r="D16289" s="6" t="n">
        <f aca="false">Sens!D16283+Sens!D16285+Sens!D16287</f>
        <v>62.941</v>
      </c>
      <c r="E16289" s="6" t="n">
        <f aca="false">Sens!E16283+Sens!E16285+Sens!E16287</f>
        <v>63.712</v>
      </c>
      <c r="F16289" s="6" t="n">
        <f aca="false">Sens!F16283+Sens!F16285+Sens!F16287</f>
        <v>64.3025149952511</v>
      </c>
      <c r="G16289" s="6" t="n">
        <f aca="false">Sens!G16283+Sens!G16285+Sens!G16287</f>
        <v>66.2756719305292</v>
      </c>
      <c r="H16289" s="6" t="n">
        <f aca="false">Sens!H16283+Sens!H16285+Sens!H16287</f>
        <v>68.7139736271804</v>
      </c>
      <c r="I16289" s="6" t="n">
        <f aca="false">Sens!I16283+Sens!I16285+Sens!I16287</f>
        <v>71.5446393194289</v>
      </c>
      <c r="J16289" s="6" t="n">
        <f aca="false">Sens!J16283+Sens!J16285+Sens!J16287</f>
        <v>74.707035000971</v>
      </c>
      <c r="K16289" s="6" t="n">
        <f aca="false">Sens!K16283+Sens!K16285+Sens!K16287</f>
        <v>78.1524145698365</v>
      </c>
    </row>
    <row r="16290" customFormat="false" ht="15" hidden="false" customHeight="false" outlineLevel="0" collapsed="false">
      <c r="A16290" s="1" t="s">
        <v>1040</v>
      </c>
      <c r="B16290" s="0" t="s">
        <v>98</v>
      </c>
      <c r="D16290" s="6" t="n">
        <f aca="false">Sens!D16282+Sens!D16289</f>
        <v>281.724</v>
      </c>
      <c r="E16290" s="6" t="n">
        <f aca="false">Sens!E16282+Sens!E16289</f>
        <v>331.839</v>
      </c>
      <c r="F16290" s="6" t="n">
        <f aca="false">Sens!F16282+Sens!F16289</f>
        <v>384.492854526911</v>
      </c>
      <c r="G16290" s="6" t="n">
        <f aca="false">Sens!G16282+Sens!G16289</f>
        <v>426.693266488913</v>
      </c>
      <c r="H16290" s="6" t="n">
        <f aca="false">Sens!H16282+Sens!H16289</f>
        <v>465.066885137364</v>
      </c>
      <c r="I16290" s="6" t="n">
        <f aca="false">Sens!I16282+Sens!I16289</f>
        <v>504.781745950104</v>
      </c>
      <c r="J16290" s="6" t="n">
        <f aca="false">Sens!J16282+Sens!J16289</f>
        <v>542.259112969324</v>
      </c>
      <c r="K16290" s="6" t="n">
        <f aca="false">Sens!K16282+Sens!K16289</f>
        <v>577.617970534784</v>
      </c>
    </row>
    <row r="16291" customFormat="false" ht="15" hidden="false" customHeight="false" outlineLevel="0" collapsed="false">
      <c r="A16291" s="26" t="s">
        <v>1041</v>
      </c>
      <c r="B16291" s="31" t="s">
        <v>98</v>
      </c>
      <c r="C16291" s="31"/>
      <c r="D16291" s="27" t="n">
        <f aca="false">(Sens!D16270+Sens!D16275+Sens!D16276+Sens!D16278+Sens!D16280-Sens!D16282)+(Sens!D16283+Sens!D16285+Sens!D16287-Sens!D16289)+(Sens!D16282-Q!L5)+(Sens!D16289-Q!L12)+(Sens!D16270-Q!L6)+(Sens!D16275-Q!L7)</f>
        <v>0</v>
      </c>
      <c r="E16291" s="27" t="n">
        <f aca="false">(Sens!E16270+Sens!E16275+Sens!E16276+Sens!E16278+Sens!E16280-Sens!E16282)+(Sens!E16283+Sens!E16285+Sens!E16287-Sens!E16289)+(Sens!E16282-Q!M5)+(Sens!E16289-Q!M12)+(Sens!E16270-Q!M6)+(Sens!E16275-Q!M7)</f>
        <v>0</v>
      </c>
      <c r="F16291" s="27" t="n">
        <f aca="false">(Sens!F16270+Sens!F16275+Sens!F16276+Sens!F16278+Sens!F16280-Sens!F16282)+(Sens!F16283+Sens!F16285+Sens!F16287-Sens!F16289)</f>
        <v>0</v>
      </c>
      <c r="G16291" s="27" t="n">
        <f aca="false">(Sens!G16270+Sens!G16275+Sens!G16276+Sens!G16278+Sens!G16280-Sens!G16282)+(Sens!G16283+Sens!G16285+Sens!G16287-Sens!G16289)</f>
        <v>0</v>
      </c>
      <c r="H16291" s="27" t="n">
        <f aca="false">(Sens!H16270+Sens!H16275+Sens!H16276+Sens!H16278+Sens!H16280-Sens!H16282)+(Sens!H16283+Sens!H16285+Sens!H16287-Sens!H16289)</f>
        <v>0</v>
      </c>
      <c r="I16291" s="27" t="n">
        <f aca="false">(Sens!I16270+Sens!I16275+Sens!I16276+Sens!I16278+Sens!I16280-Sens!I16282)+(Sens!I16283+Sens!I16285+Sens!I16287-Sens!I16289)</f>
        <v>0</v>
      </c>
      <c r="J16291" s="27" t="n">
        <f aca="false">(Sens!J16270+Sens!J16275+Sens!J16276+Sens!J16278+Sens!J16280-Sens!J16282)+(Sens!J16283+Sens!J16285+Sens!J16287-Sens!J16289)</f>
        <v>0</v>
      </c>
      <c r="K16291" s="27" t="n">
        <f aca="false">(Sens!K16270+Sens!K16275+Sens!K16276+Sens!K16278+Sens!K16280-Sens!K16282)+(Sens!K16283+Sens!K16285+Sens!K16287-Sens!K16289)</f>
        <v>0</v>
      </c>
    </row>
    <row r="16292" customFormat="false" ht="17.15" hidden="false" customHeight="false" outlineLevel="0" collapsed="false">
      <c r="A16292" s="3" t="s">
        <v>1881</v>
      </c>
    </row>
    <row r="16293" customFormat="false" ht="15" hidden="false" customHeight="false" outlineLevel="0" collapsed="false">
      <c r="A16293" s="4" t="s">
        <v>43</v>
      </c>
      <c r="B16293" s="4" t="s">
        <v>65</v>
      </c>
      <c r="C16293" s="23" t="s">
        <v>938</v>
      </c>
      <c r="D16293" s="23" t="s">
        <v>939</v>
      </c>
      <c r="E16293" s="23" t="s">
        <v>940</v>
      </c>
      <c r="F16293" s="23" t="s">
        <v>941</v>
      </c>
      <c r="G16293" s="23" t="s">
        <v>942</v>
      </c>
      <c r="H16293" s="23" t="s">
        <v>943</v>
      </c>
      <c r="I16293" s="23" t="s">
        <v>944</v>
      </c>
      <c r="J16293" s="23" t="s">
        <v>945</v>
      </c>
      <c r="K16293" s="23" t="s">
        <v>946</v>
      </c>
      <c r="L16293" s="4" t="s">
        <v>47</v>
      </c>
    </row>
    <row r="16294" customFormat="false" ht="15" hidden="false" customHeight="false" outlineLevel="0" collapsed="false">
      <c r="A16294" s="0" t="s">
        <v>1025</v>
      </c>
      <c r="B16294" s="0" t="s">
        <v>98</v>
      </c>
      <c r="D16294" s="6" t="n">
        <f aca="false">Sens!D16270</f>
        <v>72.61</v>
      </c>
      <c r="E16294" s="6" t="n">
        <f aca="false">Sens!E16270</f>
        <v>101.938</v>
      </c>
      <c r="F16294" s="6" t="n">
        <f aca="false">Sens!F16270</f>
        <v>133.296941025476</v>
      </c>
      <c r="G16294" s="6" t="n">
        <f aca="false">Sens!G16270</f>
        <v>154.083355571975</v>
      </c>
      <c r="H16294" s="6" t="n">
        <f aca="false">Sens!H16270</f>
        <v>170.551432475992</v>
      </c>
      <c r="I16294" s="6" t="n">
        <f aca="false">Sens!I16270</f>
        <v>188.988469328104</v>
      </c>
      <c r="J16294" s="6" t="n">
        <f aca="false">Sens!J16270</f>
        <v>206.196370273967</v>
      </c>
      <c r="K16294" s="6" t="n">
        <f aca="false">Sens!K16270</f>
        <v>221.925885597278</v>
      </c>
    </row>
    <row r="16295" customFormat="false" ht="17.15" hidden="false" customHeight="false" outlineLevel="0" collapsed="false">
      <c r="A16295" s="0" t="s">
        <v>1021</v>
      </c>
      <c r="B16295" s="0" t="s">
        <v>98</v>
      </c>
      <c r="D16295" s="6" t="n">
        <f aca="false">Sens!D16267</f>
        <v>12.9359794422418</v>
      </c>
      <c r="E16295" s="6" t="n">
        <f aca="false">Sens!E16267</f>
        <v>27.8095064661409</v>
      </c>
      <c r="F16295" s="6" t="n">
        <f aca="false">Sens!F16267</f>
        <v>38.2259783649916</v>
      </c>
      <c r="G16295" s="6" t="n">
        <f aca="false">Sens!G16267</f>
        <v>41.1248620805705</v>
      </c>
      <c r="H16295" s="6" t="n">
        <f aca="false">Sens!H16267</f>
        <v>39.3939767870212</v>
      </c>
      <c r="I16295" s="6" t="n">
        <f aca="false">Sens!I16267</f>
        <v>40.2461266001841</v>
      </c>
      <c r="J16295" s="6" t="n">
        <f aca="false">Sens!J16267</f>
        <v>41.5330467261851</v>
      </c>
      <c r="K16295" s="6" t="n">
        <f aca="false">Sens!K16267</f>
        <v>44.0894961656736</v>
      </c>
    </row>
    <row r="16296" customFormat="false" ht="17.15" hidden="false" customHeight="false" outlineLevel="0" collapsed="false">
      <c r="A16296" s="0" t="s">
        <v>1052</v>
      </c>
      <c r="B16296" s="0" t="s">
        <v>98</v>
      </c>
      <c r="D16296" s="6" t="n">
        <f aca="false">Sens!D16268</f>
        <v>59.6740205577583</v>
      </c>
      <c r="E16296" s="6" t="n">
        <f aca="false">Sens!E16268</f>
        <v>74.1284935338591</v>
      </c>
      <c r="F16296" s="6" t="n">
        <f aca="false">Sens!F16268</f>
        <v>95.0709626604845</v>
      </c>
      <c r="G16296" s="6" t="n">
        <f aca="false">Sens!G16268</f>
        <v>112.958493491404</v>
      </c>
      <c r="H16296" s="6" t="n">
        <f aca="false">Sens!H16268</f>
        <v>131.157455688971</v>
      </c>
      <c r="I16296" s="6" t="n">
        <f aca="false">Sens!I16268</f>
        <v>148.74234272792</v>
      </c>
      <c r="J16296" s="6" t="n">
        <f aca="false">Sens!J16268</f>
        <v>164.663323547782</v>
      </c>
      <c r="K16296" s="6" t="n">
        <f aca="false">Sens!K16268</f>
        <v>177.836389431605</v>
      </c>
    </row>
    <row r="16297" customFormat="false" ht="15" hidden="false" customHeight="false" outlineLevel="0" collapsed="false">
      <c r="A16297" s="0" t="s">
        <v>1032</v>
      </c>
      <c r="B16297" s="0" t="s">
        <v>98</v>
      </c>
      <c r="D16297" s="6" t="n">
        <f aca="false">Sens!D16275</f>
        <v>84.605</v>
      </c>
      <c r="E16297" s="6" t="n">
        <f aca="false">Sens!E16275</f>
        <v>100.299</v>
      </c>
      <c r="F16297" s="6" t="n">
        <f aca="false">Sens!F16275</f>
        <v>117.438354189776</v>
      </c>
      <c r="G16297" s="6" t="n">
        <f aca="false">Sens!G16275</f>
        <v>132.595360443801</v>
      </c>
      <c r="H16297" s="6" t="n">
        <f aca="false">Sens!H16275</f>
        <v>147.833811964563</v>
      </c>
      <c r="I16297" s="6" t="n">
        <f aca="false">Sens!I16275</f>
        <v>162.145665319381</v>
      </c>
      <c r="J16297" s="6" t="n">
        <f aca="false">Sens!J16275</f>
        <v>175.249327755573</v>
      </c>
      <c r="K16297" s="6" t="n">
        <f aca="false">Sens!K16275</f>
        <v>187.599280698463</v>
      </c>
    </row>
    <row r="16298" customFormat="false" ht="17.15" hidden="false" customHeight="false" outlineLevel="0" collapsed="false">
      <c r="A16298" s="0" t="s">
        <v>1053</v>
      </c>
      <c r="B16298" s="0" t="s">
        <v>98</v>
      </c>
      <c r="D16298" s="6" t="n">
        <f aca="false">Sens!D16273</f>
        <v>83.705</v>
      </c>
      <c r="E16298" s="6" t="n">
        <f aca="false">Sens!E16273</f>
        <v>95.049</v>
      </c>
      <c r="F16298" s="6" t="n">
        <f aca="false">Sens!F16273</f>
        <v>106.938354189776</v>
      </c>
      <c r="G16298" s="6" t="n">
        <f aca="false">Sens!G16273</f>
        <v>119.095360443801</v>
      </c>
      <c r="H16298" s="6" t="n">
        <f aca="false">Sens!H16273</f>
        <v>131.333811964563</v>
      </c>
      <c r="I16298" s="6" t="n">
        <f aca="false">Sens!I16273</f>
        <v>143.395665319381</v>
      </c>
      <c r="J16298" s="6" t="n">
        <f aca="false">Sens!J16273</f>
        <v>154.999327755573</v>
      </c>
      <c r="K16298" s="6" t="n">
        <f aca="false">Sens!K16273</f>
        <v>165.849280698463</v>
      </c>
    </row>
    <row r="16299" customFormat="false" ht="17.15" hidden="false" customHeight="false" outlineLevel="0" collapsed="false">
      <c r="A16299" s="0" t="s">
        <v>1054</v>
      </c>
      <c r="B16299" s="0" t="s">
        <v>98</v>
      </c>
      <c r="D16299" s="6" t="n">
        <f aca="false">Sens!D16272</f>
        <v>0.9</v>
      </c>
      <c r="E16299" s="6" t="n">
        <f aca="false">Sens!E16272</f>
        <v>5.25</v>
      </c>
      <c r="F16299" s="6" t="n">
        <f aca="false">Sens!F16272</f>
        <v>10.5</v>
      </c>
      <c r="G16299" s="6" t="n">
        <f aca="false">Sens!G16272</f>
        <v>13.5</v>
      </c>
      <c r="H16299" s="6" t="n">
        <f aca="false">Sens!H16272</f>
        <v>16.5</v>
      </c>
      <c r="I16299" s="6" t="n">
        <f aca="false">Sens!I16272</f>
        <v>18.75</v>
      </c>
      <c r="J16299" s="6" t="n">
        <f aca="false">Sens!J16272</f>
        <v>20.25</v>
      </c>
      <c r="K16299" s="6" t="n">
        <f aca="false">Sens!K16272</f>
        <v>21.75</v>
      </c>
    </row>
    <row r="16300" customFormat="false" ht="15" hidden="false" customHeight="false" outlineLevel="0" collapsed="false">
      <c r="A16300" s="0" t="s">
        <v>1033</v>
      </c>
      <c r="B16300" s="0" t="s">
        <v>98</v>
      </c>
      <c r="D16300" s="6" t="n">
        <f aca="false">Sens!D16276</f>
        <v>35.391</v>
      </c>
      <c r="E16300" s="6" t="n">
        <f aca="false">Sens!E16276</f>
        <v>37.285</v>
      </c>
      <c r="F16300" s="6" t="n">
        <f aca="false">Sens!F16276</f>
        <v>38.3851437782675</v>
      </c>
      <c r="G16300" s="6" t="n">
        <f aca="false">Sens!G16276</f>
        <v>40.0105353288615</v>
      </c>
      <c r="H16300" s="6" t="n">
        <f aca="false">Sens!H16276</f>
        <v>41.4812512033683</v>
      </c>
      <c r="I16300" s="6" t="n">
        <f aca="false">Sens!I16276</f>
        <v>42.7743107216329</v>
      </c>
      <c r="J16300" s="6" t="n">
        <f aca="false">Sens!J16276</f>
        <v>43.8687373064601</v>
      </c>
      <c r="K16300" s="6" t="n">
        <f aca="false">Sens!K16276</f>
        <v>44.7461120525893</v>
      </c>
    </row>
    <row r="16301" customFormat="false" ht="15" hidden="false" customHeight="false" outlineLevel="0" collapsed="false">
      <c r="A16301" s="0" t="s">
        <v>1035</v>
      </c>
      <c r="B16301" s="0" t="s">
        <v>98</v>
      </c>
      <c r="D16301" s="6" t="n">
        <f aca="false">Sens!D16278</f>
        <v>18.417</v>
      </c>
      <c r="E16301" s="6" t="n">
        <f aca="false">Sens!E16278</f>
        <v>20.345</v>
      </c>
      <c r="F16301" s="6" t="n">
        <f aca="false">Sens!F16278</f>
        <v>22.3161797133988</v>
      </c>
      <c r="G16301" s="6" t="n">
        <f aca="false">Sens!G16278</f>
        <v>24.3943499673233</v>
      </c>
      <c r="H16301" s="6" t="n">
        <f aca="false">Sens!H16278</f>
        <v>26.5250243109019</v>
      </c>
      <c r="I16301" s="6" t="n">
        <f aca="false">Sens!I16278</f>
        <v>28.6884573538181</v>
      </c>
      <c r="J16301" s="6" t="n">
        <f aca="false">Sens!J16278</f>
        <v>30.8624968052127</v>
      </c>
      <c r="K16301" s="6" t="n">
        <f aca="false">Sens!K16278</f>
        <v>33.0228715815776</v>
      </c>
    </row>
    <row r="16302" customFormat="false" ht="15" hidden="false" customHeight="false" outlineLevel="0" collapsed="false">
      <c r="A16302" s="0" t="s">
        <v>1036</v>
      </c>
      <c r="B16302" s="0" t="s">
        <v>98</v>
      </c>
      <c r="D16302" s="6" t="n">
        <f aca="false">Sens!D16280</f>
        <v>7.76</v>
      </c>
      <c r="E16302" s="6" t="n">
        <f aca="false">Sens!E16280</f>
        <v>8.26</v>
      </c>
      <c r="F16302" s="6" t="n">
        <f aca="false">Sens!F16280</f>
        <v>8.75372082474227</v>
      </c>
      <c r="G16302" s="6" t="n">
        <f aca="false">Sens!G16280</f>
        <v>9.33399324642364</v>
      </c>
      <c r="H16302" s="6" t="n">
        <f aca="false">Sens!H16280</f>
        <v>9.96139155535851</v>
      </c>
      <c r="I16302" s="6" t="n">
        <f aca="false">Sens!I16280</f>
        <v>10.6402039077391</v>
      </c>
      <c r="J16302" s="6" t="n">
        <f aca="false">Sens!J16280</f>
        <v>11.3751458271397</v>
      </c>
      <c r="K16302" s="6" t="n">
        <f aca="false">Sens!K16280</f>
        <v>12.1714060350394</v>
      </c>
    </row>
    <row r="16303" customFormat="false" ht="15" hidden="false" customHeight="false" outlineLevel="0" collapsed="false">
      <c r="A16303" s="0" t="s">
        <v>852</v>
      </c>
      <c r="B16303" s="0" t="s">
        <v>98</v>
      </c>
      <c r="D16303" s="6" t="n">
        <f aca="false">Sens!D16282</f>
        <v>218.783</v>
      </c>
      <c r="E16303" s="6" t="n">
        <f aca="false">Sens!E16282</f>
        <v>268.127</v>
      </c>
      <c r="F16303" s="6" t="n">
        <f aca="false">Sens!F16282</f>
        <v>320.19033953166</v>
      </c>
      <c r="G16303" s="6" t="n">
        <f aca="false">Sens!G16282</f>
        <v>360.417594558384</v>
      </c>
      <c r="H16303" s="6" t="n">
        <f aca="false">Sens!H16282</f>
        <v>396.352911510184</v>
      </c>
      <c r="I16303" s="6" t="n">
        <f aca="false">Sens!I16282</f>
        <v>433.237106630676</v>
      </c>
      <c r="J16303" s="6" t="n">
        <f aca="false">Sens!J16282</f>
        <v>467.552077968353</v>
      </c>
      <c r="K16303" s="6" t="n">
        <f aca="false">Sens!K16282</f>
        <v>499.465555964948</v>
      </c>
    </row>
    <row r="16304" customFormat="false" ht="15" hidden="false" customHeight="false" outlineLevel="0" collapsed="false">
      <c r="A16304" s="0" t="s">
        <v>1037</v>
      </c>
      <c r="B16304" s="0" t="s">
        <v>98</v>
      </c>
      <c r="D16304" s="6" t="n">
        <f aca="false">Sens!D16283</f>
        <v>22.171</v>
      </c>
      <c r="E16304" s="6" t="n">
        <f aca="false">Sens!E16283</f>
        <v>24.835</v>
      </c>
      <c r="F16304" s="6" t="n">
        <f aca="false">Sens!F16283</f>
        <v>27.5591895660247</v>
      </c>
      <c r="G16304" s="6" t="n">
        <f aca="false">Sens!G16283</f>
        <v>30.4098563144583</v>
      </c>
      <c r="H16304" s="6" t="n">
        <f aca="false">Sens!H16283</f>
        <v>33.3011792571777</v>
      </c>
      <c r="I16304" s="6" t="n">
        <f aca="false">Sens!I16283</f>
        <v>36.189023797112</v>
      </c>
      <c r="J16304" s="6" t="n">
        <f aca="false">Sens!J16283</f>
        <v>39.0247773769199</v>
      </c>
      <c r="K16304" s="6" t="n">
        <f aca="false">Sens!K16283</f>
        <v>41.7565117933043</v>
      </c>
    </row>
    <row r="16305" customFormat="false" ht="15" hidden="false" customHeight="false" outlineLevel="0" collapsed="false">
      <c r="A16305" s="0" t="s">
        <v>1038</v>
      </c>
      <c r="B16305" s="0" t="s">
        <v>98</v>
      </c>
      <c r="D16305" s="6" t="n">
        <f aca="false">Sens!D16285</f>
        <v>23.455</v>
      </c>
      <c r="E16305" s="6" t="n">
        <f aca="false">Sens!E16285</f>
        <v>21.79</v>
      </c>
      <c r="F16305" s="6" t="n">
        <f aca="false">Sens!F16285</f>
        <v>20.7520981041711</v>
      </c>
      <c r="G16305" s="6" t="n">
        <f aca="false">Sens!G16285</f>
        <v>19.9083593495882</v>
      </c>
      <c r="H16305" s="6" t="n">
        <f aca="false">Sens!H16285</f>
        <v>19.4008256265831</v>
      </c>
      <c r="I16305" s="6" t="n">
        <f aca="false">Sens!I16285</f>
        <v>19.200434522122</v>
      </c>
      <c r="J16305" s="6" t="n">
        <f aca="false">Sens!J16285</f>
        <v>19.2932782348507</v>
      </c>
      <c r="K16305" s="6" t="n">
        <f aca="false">Sens!K16285</f>
        <v>19.6791437995477</v>
      </c>
    </row>
    <row r="16306" customFormat="false" ht="15" hidden="false" customHeight="false" outlineLevel="0" collapsed="false">
      <c r="A16306" s="0" t="s">
        <v>1039</v>
      </c>
      <c r="B16306" s="0" t="s">
        <v>98</v>
      </c>
      <c r="D16306" s="6" t="n">
        <f aca="false">Sens!D16287</f>
        <v>17.315</v>
      </c>
      <c r="E16306" s="6" t="n">
        <f aca="false">Sens!E16287</f>
        <v>17.087</v>
      </c>
      <c r="F16306" s="6" t="n">
        <f aca="false">Sens!F16287</f>
        <v>15.9912273250553</v>
      </c>
      <c r="G16306" s="6" t="n">
        <f aca="false">Sens!G16287</f>
        <v>15.9574562664827</v>
      </c>
      <c r="H16306" s="6" t="n">
        <f aca="false">Sens!H16287</f>
        <v>16.0119687434196</v>
      </c>
      <c r="I16306" s="6" t="n">
        <f aca="false">Sens!I16287</f>
        <v>16.1551810001948</v>
      </c>
      <c r="J16306" s="6" t="n">
        <f aca="false">Sens!J16287</f>
        <v>16.3889793892005</v>
      </c>
      <c r="K16306" s="6" t="n">
        <f aca="false">Sens!K16287</f>
        <v>16.7167589769845</v>
      </c>
    </row>
    <row r="16307" customFormat="false" ht="15" hidden="false" customHeight="false" outlineLevel="0" collapsed="false">
      <c r="A16307" s="0" t="s">
        <v>866</v>
      </c>
      <c r="B16307" s="0" t="s">
        <v>98</v>
      </c>
      <c r="D16307" s="6" t="n">
        <f aca="false">Sens!D16289</f>
        <v>62.941</v>
      </c>
      <c r="E16307" s="6" t="n">
        <f aca="false">Sens!E16289</f>
        <v>63.712</v>
      </c>
      <c r="F16307" s="6" t="n">
        <f aca="false">Sens!F16289</f>
        <v>64.3025149952511</v>
      </c>
      <c r="G16307" s="6" t="n">
        <f aca="false">Sens!G16289</f>
        <v>66.2756719305292</v>
      </c>
      <c r="H16307" s="6" t="n">
        <f aca="false">Sens!H16289</f>
        <v>68.7139736271804</v>
      </c>
      <c r="I16307" s="6" t="n">
        <f aca="false">Sens!I16289</f>
        <v>71.5446393194289</v>
      </c>
      <c r="J16307" s="6" t="n">
        <f aca="false">Sens!J16289</f>
        <v>74.707035000971</v>
      </c>
      <c r="K16307" s="6" t="n">
        <f aca="false">Sens!K16289</f>
        <v>78.1524145698365</v>
      </c>
    </row>
    <row r="16308" customFormat="false" ht="15" hidden="false" customHeight="false" outlineLevel="0" collapsed="false">
      <c r="A16308" s="1" t="s">
        <v>1055</v>
      </c>
      <c r="B16308" s="0" t="s">
        <v>98</v>
      </c>
      <c r="D16308" s="6" t="n">
        <f aca="false">Sens!D16290</f>
        <v>281.724</v>
      </c>
      <c r="E16308" s="6" t="n">
        <f aca="false">Sens!E16290</f>
        <v>331.839</v>
      </c>
      <c r="F16308" s="6" t="n">
        <f aca="false">Sens!F16290</f>
        <v>384.492854526911</v>
      </c>
      <c r="G16308" s="6" t="n">
        <f aca="false">Sens!G16290</f>
        <v>426.693266488913</v>
      </c>
      <c r="H16308" s="6" t="n">
        <f aca="false">Sens!H16290</f>
        <v>465.066885137364</v>
      </c>
      <c r="I16308" s="6" t="n">
        <f aca="false">Sens!I16290</f>
        <v>504.781745950104</v>
      </c>
      <c r="J16308" s="6" t="n">
        <f aca="false">Sens!J16290</f>
        <v>542.259112969324</v>
      </c>
      <c r="K16308" s="6" t="n">
        <f aca="false">Sens!K16290</f>
        <v>577.617970534784</v>
      </c>
    </row>
    <row r="16309" customFormat="false" ht="15" hidden="false" customHeight="false" outlineLevel="0" collapsed="false">
      <c r="A16309" s="1" t="s">
        <v>1056</v>
      </c>
      <c r="B16309" s="0" t="s">
        <v>168</v>
      </c>
      <c r="E16309" s="7" t="n">
        <f aca="false">Sens!E16308/Sens!D16308-1</f>
        <v>0.177886867998467</v>
      </c>
      <c r="F16309" s="7" t="n">
        <f aca="false">Sens!F16308/Sens!E16308-1</f>
        <v>0.158672894165277</v>
      </c>
      <c r="G16309" s="7" t="n">
        <f aca="false">Sens!G16308/Sens!F16308-1</f>
        <v>0.109756036985202</v>
      </c>
      <c r="H16309" s="7" t="n">
        <f aca="false">Sens!H16308/Sens!G16308-1</f>
        <v>0.0899325620116118</v>
      </c>
      <c r="I16309" s="7" t="n">
        <f aca="false">Sens!I16308/Sens!H16308-1</f>
        <v>0.0853960195446071</v>
      </c>
      <c r="J16309" s="7" t="n">
        <f aca="false">Sens!J16308/Sens!I16308-1</f>
        <v>0.0742446954944438</v>
      </c>
      <c r="K16309" s="7" t="n">
        <f aca="false">Sens!K16308/Sens!J16308-1</f>
        <v>0.0652065713969121</v>
      </c>
    </row>
    <row r="16310" customFormat="false" ht="17.15" hidden="false" customHeight="false" outlineLevel="0" collapsed="false">
      <c r="A16310" s="26" t="s">
        <v>1057</v>
      </c>
      <c r="B16310" s="31" t="s">
        <v>98</v>
      </c>
      <c r="C16310" s="31"/>
      <c r="D16310" s="27" t="n">
        <f aca="false">(Sens!D16303+Sens!D16307-Sens!D16308)+(Sens!D16295+Sens!D16296-Sens!D16294)+(Sens!D16298+Sens!D16299-Sens!D16297)+(Sens!D16308-Q!L18)</f>
        <v>0</v>
      </c>
      <c r="E16310" s="27" t="n">
        <f aca="false">(Sens!E16303+Sens!E16307-Sens!E16308)+(Sens!E16295+Sens!E16296-Sens!E16294)+(Sens!E16298+Sens!E16299-Sens!E16297)+(Sens!E16308-Q!M18)</f>
        <v>0</v>
      </c>
      <c r="F16310" s="27" t="n">
        <f aca="false">(Sens!F16303+Sens!F16307-Sens!F16308)+(Sens!F16295+Sens!F16296-Sens!F16294)+(Sens!F16298+Sens!F16299-Sens!F16297)</f>
        <v>0</v>
      </c>
      <c r="G16310" s="27" t="n">
        <f aca="false">(Sens!G16303+Sens!G16307-Sens!G16308)+(Sens!G16295+Sens!G16296-Sens!G16294)+(Sens!G16298+Sens!G16299-Sens!G16297)</f>
        <v>0</v>
      </c>
      <c r="H16310" s="27" t="n">
        <f aca="false">(Sens!H16303+Sens!H16307-Sens!H16308)+(Sens!H16295+Sens!H16296-Sens!H16294)+(Sens!H16298+Sens!H16299-Sens!H16297)</f>
        <v>0</v>
      </c>
      <c r="I16310" s="27" t="n">
        <f aca="false">(Sens!I16303+Sens!I16307-Sens!I16308)+(Sens!I16295+Sens!I16296-Sens!I16294)+(Sens!I16298+Sens!I16299-Sens!I16297)</f>
        <v>0</v>
      </c>
      <c r="J16310" s="27" t="n">
        <f aca="false">(Sens!J16303+Sens!J16307-Sens!J16308)+(Sens!J16295+Sens!J16296-Sens!J16294)+(Sens!J16298+Sens!J16299-Sens!J16297)</f>
        <v>0</v>
      </c>
      <c r="K16310" s="27" t="n">
        <f aca="false">(Sens!K16303+Sens!K16307-Sens!K16308)+(Sens!K16295+Sens!K16296-Sens!K16294)+(Sens!K16298+Sens!K16299-Sens!K16297)</f>
        <v>0</v>
      </c>
    </row>
    <row r="16311" customFormat="false" ht="17.15" hidden="false" customHeight="false" outlineLevel="0" collapsed="false">
      <c r="A16311" s="0" t="s">
        <v>1058</v>
      </c>
      <c r="B16311" s="0" t="s">
        <v>168</v>
      </c>
      <c r="E16311" s="7" t="n">
        <f aca="false">(Q!M21+Sens!E16247+Sens!E16248+Sens!E16249+Sens!E16263-Sens!E16245)/(Q!M5-Sens!E16245)</f>
        <v>0.570957350878296</v>
      </c>
      <c r="F16311" s="7" t="n">
        <f aca="false">Sens!$E$16311+dm_seg</f>
        <v>0.570957350878296</v>
      </c>
      <c r="G16311" s="7" t="n">
        <f aca="false">Sens!$E$16311+dm_seg</f>
        <v>0.570957350878296</v>
      </c>
      <c r="H16311" s="7" t="n">
        <f aca="false">Sens!$E$16311+dm_seg</f>
        <v>0.570957350878296</v>
      </c>
      <c r="I16311" s="7" t="n">
        <f aca="false">Sens!$E$16311+dm_seg</f>
        <v>0.570957350878296</v>
      </c>
      <c r="J16311" s="7" t="n">
        <f aca="false">Sens!$E$16311+dm_seg</f>
        <v>0.570957350878296</v>
      </c>
      <c r="K16311" s="7" t="n">
        <f aca="false">Sens!$E$16311+dm_seg</f>
        <v>0.570957350878296</v>
      </c>
      <c r="L16311" s="12" t="s">
        <v>1059</v>
      </c>
    </row>
    <row r="16312" customFormat="false" ht="17.15" hidden="false" customHeight="false" outlineLevel="0" collapsed="false">
      <c r="A16312" s="0" t="s">
        <v>880</v>
      </c>
      <c r="B16312" s="0" t="s">
        <v>98</v>
      </c>
      <c r="D16312" s="6" t="n">
        <f aca="false">Q!L21</f>
        <v>110.814</v>
      </c>
      <c r="E16312" s="6" t="n">
        <f aca="false">Q!M21</f>
        <v>136.365</v>
      </c>
      <c r="F16312" s="6" t="n">
        <f aca="false">Q!$I$21+(Sens!F16311*(Sens!F16282-Sens!F16245)+Sens!F16245-(Sens!F16247+Sens!F16248+Sens!F16249)-Sens!F16263-Sens!F16346)*(Sens!F16282-Q!$I$5)/Sens!F16282</f>
        <v>149.14482335196</v>
      </c>
      <c r="G16312" s="6" t="n">
        <f aca="false">(Sens!G16311*(Sens!G16282-Sens!G16245)+Sens!G16245-(Sens!G16247+Sens!G16248+Sens!G16249)-Sens!G16263-Sens!G16346)</f>
        <v>160.846090862447</v>
      </c>
      <c r="H16312" s="6" t="n">
        <f aca="false">(Sens!H16311*(Sens!H16282-Sens!H16245)+Sens!H16245-(Sens!H16247+Sens!H16248+Sens!H16249)-Sens!H16263-Sens!H16346)</f>
        <v>178.350502011246</v>
      </c>
      <c r="I16312" s="6" t="n">
        <f aca="false">(Sens!I16311*(Sens!I16282-Sens!I16245)+Sens!I16245-(Sens!I16247+Sens!I16248+Sens!I16249)-Sens!I16263-Sens!I16346)</f>
        <v>200.202064724488</v>
      </c>
      <c r="J16312" s="6" t="n">
        <f aca="false">(Sens!J16311*(Sens!J16282-Sens!J16245)+Sens!J16245-(Sens!J16247+Sens!J16248+Sens!J16249)-Sens!J16263-Sens!J16346)</f>
        <v>219.755866274377</v>
      </c>
      <c r="K16312" s="6" t="n">
        <f aca="false">(Sens!K16311*(Sens!K16282-Sens!K16245)+Sens!K16245-(Sens!K16247+Sens!K16248+Sens!K16249)-Sens!K16263-Sens!K16346)</f>
        <v>237.069360089824</v>
      </c>
      <c r="L16312" s="1" t="s">
        <v>1060</v>
      </c>
    </row>
    <row r="16313" customFormat="false" ht="17.15" hidden="false" customHeight="false" outlineLevel="0" collapsed="false">
      <c r="A16313" s="0" t="s">
        <v>1061</v>
      </c>
      <c r="B16313" s="0" t="s">
        <v>168</v>
      </c>
      <c r="E16313" s="7" t="n">
        <f aca="false">Q!M22/Q!M12</f>
        <v>0.296207935710698</v>
      </c>
      <c r="F16313" s="7" t="n">
        <f aca="false">Sens!$E$16313+dm_seg</f>
        <v>0.296207935710698</v>
      </c>
      <c r="G16313" s="7" t="n">
        <f aca="false">Sens!$E$16313+dm_seg</f>
        <v>0.296207935710698</v>
      </c>
      <c r="H16313" s="7" t="n">
        <f aca="false">Sens!$E$16313+dm_seg</f>
        <v>0.296207935710698</v>
      </c>
      <c r="I16313" s="7" t="n">
        <f aca="false">Sens!$E$16313+dm_seg</f>
        <v>0.296207935710698</v>
      </c>
      <c r="J16313" s="7" t="n">
        <f aca="false">Sens!$E$16313+dm_seg</f>
        <v>0.296207935710698</v>
      </c>
      <c r="K16313" s="7" t="n">
        <f aca="false">Sens!$E$16313+dm_seg</f>
        <v>0.296207935710698</v>
      </c>
      <c r="L16313" s="12" t="s">
        <v>1062</v>
      </c>
    </row>
    <row r="16314" customFormat="false" ht="17.15" hidden="false" customHeight="false" outlineLevel="0" collapsed="false">
      <c r="A16314" s="0" t="s">
        <v>882</v>
      </c>
      <c r="B16314" s="0" t="s">
        <v>98</v>
      </c>
      <c r="D16314" s="6" t="n">
        <f aca="false">Q!L22</f>
        <v>17.714</v>
      </c>
      <c r="E16314" s="6" t="n">
        <f aca="false">Q!M22</f>
        <v>18.872</v>
      </c>
      <c r="F16314" s="6" t="n">
        <f aca="false">Q!$I$22+(Sens!F16289-Q!$I$12)*Sens!F16313</f>
        <v>19.8174315512051</v>
      </c>
      <c r="G16314" s="6" t="n">
        <f aca="false">Sens!G16289*Sens!G16313</f>
        <v>19.6313799703815</v>
      </c>
      <c r="H16314" s="6" t="n">
        <f aca="false">Sens!H16289*Sens!H16313</f>
        <v>20.3536242825865</v>
      </c>
      <c r="I16314" s="6" t="n">
        <f aca="false">Sens!I16289*Sens!I16313</f>
        <v>21.1920899239745</v>
      </c>
      <c r="J16314" s="6" t="n">
        <f aca="false">Sens!J16289*Sens!J16313</f>
        <v>22.1288166207045</v>
      </c>
      <c r="K16314" s="6" t="n">
        <f aca="false">Sens!K16289*Sens!K16313</f>
        <v>23.1493653905379</v>
      </c>
      <c r="L16314" s="12" t="s">
        <v>1063</v>
      </c>
    </row>
    <row r="16315" customFormat="false" ht="15" hidden="false" customHeight="false" outlineLevel="0" collapsed="false">
      <c r="A16315" s="1" t="s">
        <v>1064</v>
      </c>
      <c r="B16315" s="0" t="s">
        <v>98</v>
      </c>
      <c r="D16315" s="6" t="n">
        <f aca="false">Sens!D16312+Sens!D16314</f>
        <v>128.528</v>
      </c>
      <c r="E16315" s="6" t="n">
        <f aca="false">Sens!E16312+Sens!E16314</f>
        <v>155.237</v>
      </c>
      <c r="F16315" s="6" t="n">
        <f aca="false">Sens!F16312+Sens!F16314</f>
        <v>168.962254903165</v>
      </c>
      <c r="G16315" s="6" t="n">
        <f aca="false">Sens!G16312+Sens!G16314</f>
        <v>180.477470832828</v>
      </c>
      <c r="H16315" s="6" t="n">
        <f aca="false">Sens!H16312+Sens!H16314</f>
        <v>198.704126293833</v>
      </c>
      <c r="I16315" s="6" t="n">
        <f aca="false">Sens!I16312+Sens!I16314</f>
        <v>221.394154648462</v>
      </c>
      <c r="J16315" s="6" t="n">
        <f aca="false">Sens!J16312+Sens!J16314</f>
        <v>241.884682895082</v>
      </c>
      <c r="K16315" s="6" t="n">
        <f aca="false">Sens!K16312+Sens!K16314</f>
        <v>260.218725480362</v>
      </c>
    </row>
    <row r="16316" customFormat="false" ht="15" hidden="false" customHeight="false" outlineLevel="0" collapsed="false">
      <c r="A16316" s="26" t="s">
        <v>1065</v>
      </c>
      <c r="B16316" s="31" t="s">
        <v>98</v>
      </c>
      <c r="C16316" s="31"/>
      <c r="D16316" s="27" t="n">
        <f aca="false">Sens!D16315-Q!L23</f>
        <v>0</v>
      </c>
      <c r="E16316" s="27" t="n">
        <f aca="false">Sens!E16315-Q!M23</f>
        <v>0</v>
      </c>
      <c r="F16316" s="31"/>
      <c r="G16316" s="31"/>
      <c r="H16316" s="31"/>
      <c r="I16316" s="31"/>
      <c r="J16316" s="31"/>
      <c r="K16316" s="31"/>
    </row>
    <row r="16317" customFormat="false" ht="15" hidden="false" customHeight="false" outlineLevel="0" collapsed="false">
      <c r="A16317" s="1" t="s">
        <v>1066</v>
      </c>
      <c r="B16317" s="0" t="s">
        <v>168</v>
      </c>
      <c r="D16317" s="7" t="n">
        <f aca="false">Sens!D16315/Sens!D16308</f>
        <v>0.456219562408598</v>
      </c>
      <c r="E16317" s="7" t="n">
        <f aca="false">Sens!E16315/Sens!E16308</f>
        <v>0.467808184089272</v>
      </c>
      <c r="F16317" s="7" t="n">
        <f aca="false">Sens!F16315/Sens!F16308</f>
        <v>0.439441859357984</v>
      </c>
      <c r="G16317" s="7" t="n">
        <f aca="false">Sens!G16315/Sens!G16308</f>
        <v>0.422967703047917</v>
      </c>
      <c r="H16317" s="7" t="n">
        <f aca="false">Sens!H16315/Sens!H16308</f>
        <v>0.42725924516243</v>
      </c>
      <c r="I16317" s="7" t="n">
        <f aca="false">Sens!I16315/Sens!I16308</f>
        <v>0.438593820843803</v>
      </c>
      <c r="J16317" s="7" t="n">
        <f aca="false">Sens!J16315/Sens!J16308</f>
        <v>0.446068451612662</v>
      </c>
      <c r="K16317" s="7" t="n">
        <f aca="false">Sens!K16315/Sens!K16308</f>
        <v>0.450503167758856</v>
      </c>
    </row>
    <row r="16318" customFormat="false" ht="17.15" hidden="false" customHeight="false" outlineLevel="0" collapsed="false">
      <c r="A16318" s="1" t="s">
        <v>1067</v>
      </c>
      <c r="B16318" s="0" t="s">
        <v>98</v>
      </c>
      <c r="F16318" s="6" t="n">
        <f aca="false">Sens!F16333</f>
        <v>0</v>
      </c>
      <c r="G16318" s="6" t="n">
        <f aca="false">Sens!G16333</f>
        <v>0</v>
      </c>
      <c r="H16318" s="6" t="n">
        <f aca="false">Sens!H16333</f>
        <v>0</v>
      </c>
      <c r="I16318" s="6" t="n">
        <f aca="false">Sens!I16333</f>
        <v>0</v>
      </c>
      <c r="J16318" s="6" t="n">
        <f aca="false">Sens!J16333</f>
        <v>0</v>
      </c>
      <c r="K16318" s="6" t="n">
        <f aca="false">Sens!K16333</f>
        <v>0</v>
      </c>
      <c r="L16318" s="1" t="s">
        <v>1068</v>
      </c>
    </row>
    <row r="16319" customFormat="false" ht="17.15" hidden="false" customHeight="false" outlineLevel="0" collapsed="false">
      <c r="A16319" s="1" t="s">
        <v>1069</v>
      </c>
      <c r="B16319" s="0" t="s">
        <v>98</v>
      </c>
      <c r="D16319" s="6" t="n">
        <f aca="false">Sens!D16315</f>
        <v>128.528</v>
      </c>
      <c r="E16319" s="6" t="n">
        <f aca="false">Sens!E16315</f>
        <v>155.237</v>
      </c>
      <c r="F16319" s="6" t="n">
        <f aca="false">Sens!F16315+Sens!F16318</f>
        <v>168.962254903165</v>
      </c>
      <c r="G16319" s="6" t="n">
        <f aca="false">Sens!G16315+Sens!G16318</f>
        <v>180.477470832828</v>
      </c>
      <c r="H16319" s="6" t="n">
        <f aca="false">Sens!H16315+Sens!H16318</f>
        <v>198.704126293833</v>
      </c>
      <c r="I16319" s="6" t="n">
        <f aca="false">Sens!I16315+Sens!I16318</f>
        <v>221.394154648462</v>
      </c>
      <c r="J16319" s="6" t="n">
        <f aca="false">Sens!J16315+Sens!J16318</f>
        <v>241.884682895082</v>
      </c>
      <c r="K16319" s="6" t="n">
        <f aca="false">Sens!K16315+Sens!K16318</f>
        <v>260.218725480362</v>
      </c>
    </row>
    <row r="16320" customFormat="false" ht="17.15" hidden="false" customHeight="false" outlineLevel="0" collapsed="false">
      <c r="A16320" s="1" t="s">
        <v>1070</v>
      </c>
      <c r="B16320" s="0" t="s">
        <v>98</v>
      </c>
      <c r="E16320" s="6" t="n">
        <f aca="false">Sens!E16263</f>
        <v>16.3054059770833</v>
      </c>
      <c r="F16320" s="6" t="n">
        <f aca="false">Sens!F16263</f>
        <v>24.549027677</v>
      </c>
      <c r="G16320" s="6" t="n">
        <f aca="false">Sens!G16263</f>
        <v>29.185632823</v>
      </c>
      <c r="H16320" s="6" t="n">
        <f aca="false">Sens!H16263</f>
        <v>31.677584917</v>
      </c>
      <c r="I16320" s="6" t="n">
        <f aca="false">Sens!I16263</f>
        <v>32.2298649310278</v>
      </c>
      <c r="J16320" s="6" t="n">
        <f aca="false">Sens!J16263</f>
        <v>33.6162004764444</v>
      </c>
      <c r="K16320" s="6" t="n">
        <f aca="false">Sens!K16263</f>
        <v>36.1070960499167</v>
      </c>
    </row>
    <row r="16321" customFormat="false" ht="17.15" hidden="false" customHeight="false" outlineLevel="0" collapsed="false">
      <c r="A16321" s="1" t="s">
        <v>1071</v>
      </c>
      <c r="B16321" s="0" t="s">
        <v>98</v>
      </c>
      <c r="E16321" s="6" t="n">
        <f aca="false">Sens!E16345</f>
        <v>22.2285940229167</v>
      </c>
      <c r="F16321" s="6" t="n">
        <f aca="false">Sens!F16345</f>
        <v>37.458367358225</v>
      </c>
      <c r="G16321" s="6" t="n">
        <f aca="false">Sens!G16345</f>
        <v>37.8971931807589</v>
      </c>
      <c r="H16321" s="6" t="n">
        <f aca="false">Sens!H16345</f>
        <v>38.8470034950136</v>
      </c>
      <c r="I16321" s="6" t="n">
        <f aca="false">Sens!I16345</f>
        <v>40.2363776179593</v>
      </c>
      <c r="J16321" s="6" t="n">
        <f aca="false">Sens!J16345</f>
        <v>41.976670284337</v>
      </c>
      <c r="K16321" s="6" t="n">
        <f aca="false">Sens!K16345</f>
        <v>43.9704272663843</v>
      </c>
    </row>
    <row r="16322" customFormat="false" ht="17.15" hidden="false" customHeight="false" outlineLevel="0" collapsed="false">
      <c r="A16322" s="1" t="s">
        <v>1072</v>
      </c>
      <c r="B16322" s="0" t="s">
        <v>98</v>
      </c>
      <c r="D16322" s="6" t="n">
        <f aca="false">Q!L27</f>
        <v>-4.901</v>
      </c>
      <c r="E16322" s="6" t="n">
        <f aca="false">Q!M27</f>
        <v>10.697</v>
      </c>
      <c r="F16322" s="6" t="n">
        <f aca="false">Q!$I$27+oie_f*(q_per_yr-1)/q_per_yr</f>
        <v>-0.862</v>
      </c>
      <c r="G16322" s="6" t="n">
        <f aca="false">oie_f</f>
        <v>-1.2</v>
      </c>
      <c r="H16322" s="6" t="n">
        <f aca="false">oie_f</f>
        <v>-1.2</v>
      </c>
      <c r="I16322" s="6" t="n">
        <f aca="false">oie_f</f>
        <v>-1.2</v>
      </c>
      <c r="J16322" s="6" t="n">
        <f aca="false">oie_f</f>
        <v>-1.2</v>
      </c>
      <c r="K16322" s="6" t="n">
        <f aca="false">oie_f</f>
        <v>-1.2</v>
      </c>
      <c r="L16322" s="12" t="s">
        <v>1073</v>
      </c>
    </row>
    <row r="16323" customFormat="false" ht="15" hidden="false" customHeight="false" outlineLevel="0" collapsed="false">
      <c r="A16323" s="1" t="s">
        <v>1074</v>
      </c>
      <c r="B16323" s="0" t="s">
        <v>98</v>
      </c>
      <c r="D16323" s="6" t="n">
        <f aca="false">Sens!D16315+Sens!D16322</f>
        <v>123.627</v>
      </c>
      <c r="E16323" s="6" t="n">
        <f aca="false">Sens!E16315+Sens!E16322</f>
        <v>165.934</v>
      </c>
      <c r="F16323" s="6" t="n">
        <f aca="false">Sens!F16315+Sens!F16322</f>
        <v>168.100254903165</v>
      </c>
      <c r="G16323" s="6" t="n">
        <f aca="false">Sens!G16315+Sens!G16322</f>
        <v>179.277470832828</v>
      </c>
      <c r="H16323" s="6" t="n">
        <f aca="false">Sens!H16315+Sens!H16322</f>
        <v>197.504126293833</v>
      </c>
      <c r="I16323" s="6" t="n">
        <f aca="false">Sens!I16315+Sens!I16322</f>
        <v>220.194154648462</v>
      </c>
      <c r="J16323" s="6" t="n">
        <f aca="false">Sens!J16315+Sens!J16322</f>
        <v>240.684682895082</v>
      </c>
      <c r="K16323" s="6" t="n">
        <f aca="false">Sens!K16315+Sens!K16322</f>
        <v>259.018725480362</v>
      </c>
    </row>
    <row r="16324" customFormat="false" ht="15" hidden="false" customHeight="false" outlineLevel="0" collapsed="false">
      <c r="A16324" s="1" t="s">
        <v>1075</v>
      </c>
      <c r="B16324" s="0" t="s">
        <v>98</v>
      </c>
      <c r="D16324" s="6" t="n">
        <f aca="false">Q!L29</f>
        <v>21.795</v>
      </c>
      <c r="E16324" s="6" t="n">
        <f aca="false">Q!M29</f>
        <v>32.185</v>
      </c>
      <c r="F16324" s="6" t="n">
        <f aca="false">Q!$I$29+(Sens!F16323-Q!$I$28)*tax_f</f>
        <v>33.7534509806329</v>
      </c>
      <c r="G16324" s="6" t="n">
        <f aca="false">Sens!G16323*tax_f</f>
        <v>35.8554941665657</v>
      </c>
      <c r="H16324" s="6" t="n">
        <f aca="false">Sens!H16323*tax_f</f>
        <v>39.5008252587666</v>
      </c>
      <c r="I16324" s="6" t="n">
        <f aca="false">Sens!I16323*tax_f</f>
        <v>44.0388309296925</v>
      </c>
      <c r="J16324" s="6" t="n">
        <f aca="false">Sens!J16323*tax_f</f>
        <v>48.1369365790164</v>
      </c>
      <c r="K16324" s="6" t="n">
        <f aca="false">Sens!K16323*tax_f</f>
        <v>51.8037450960724</v>
      </c>
    </row>
    <row r="16325" customFormat="false" ht="15" hidden="false" customHeight="false" outlineLevel="0" collapsed="false">
      <c r="A16325" s="1" t="s">
        <v>1076</v>
      </c>
      <c r="B16325" s="0" t="s">
        <v>98</v>
      </c>
      <c r="D16325" s="6" t="n">
        <f aca="false">Sens!D16323-Sens!D16324</f>
        <v>101.832</v>
      </c>
      <c r="E16325" s="6" t="n">
        <f aca="false">Sens!E16323-Sens!E16324</f>
        <v>133.749</v>
      </c>
      <c r="F16325" s="6" t="n">
        <f aca="false">Sens!F16323-Sens!F16324</f>
        <v>134.346803922532</v>
      </c>
      <c r="G16325" s="6" t="n">
        <f aca="false">Sens!G16323-Sens!G16324</f>
        <v>143.421976666263</v>
      </c>
      <c r="H16325" s="6" t="n">
        <f aca="false">Sens!H16323-Sens!H16324</f>
        <v>158.003301035066</v>
      </c>
      <c r="I16325" s="6" t="n">
        <f aca="false">Sens!I16323-Sens!I16324</f>
        <v>176.15532371877</v>
      </c>
      <c r="J16325" s="6" t="n">
        <f aca="false">Sens!J16323-Sens!J16324</f>
        <v>192.547746316066</v>
      </c>
      <c r="K16325" s="6" t="n">
        <f aca="false">Sens!K16323-Sens!K16324</f>
        <v>207.21498038429</v>
      </c>
    </row>
    <row r="16326" customFormat="false" ht="17.15" hidden="false" customHeight="false" outlineLevel="0" collapsed="false">
      <c r="A16326" s="1" t="s">
        <v>1077</v>
      </c>
      <c r="B16326" s="1" t="s">
        <v>81</v>
      </c>
      <c r="D16326" s="15" t="n">
        <f aca="false">Q!L31</f>
        <v>7.465</v>
      </c>
      <c r="E16326" s="15" t="n">
        <f aca="false">Q!M31</f>
        <v>7.453</v>
      </c>
      <c r="F16326" s="15" t="n">
        <f aca="false">Sens!F16370</f>
        <v>7.4735</v>
      </c>
      <c r="G16326" s="15" t="n">
        <f aca="false">Sens!G16370</f>
        <v>7.49981593415111</v>
      </c>
      <c r="H16326" s="15" t="n">
        <f aca="false">Sens!H16370</f>
        <v>7.50883180733101</v>
      </c>
      <c r="I16326" s="15" t="n">
        <f aca="false">Sens!I16370</f>
        <v>7.52051317138648</v>
      </c>
      <c r="J16326" s="15" t="n">
        <f aca="false">Sens!J16370</f>
        <v>7.53466258254895</v>
      </c>
      <c r="K16326" s="15" t="n">
        <f aca="false">Sens!K16370</f>
        <v>7.55109722251421</v>
      </c>
    </row>
    <row r="16327" customFormat="false" ht="17.15" hidden="false" customHeight="false" outlineLevel="0" collapsed="false">
      <c r="A16327" s="0" t="s">
        <v>1078</v>
      </c>
      <c r="B16327" s="0" t="s">
        <v>75</v>
      </c>
      <c r="D16327" s="8" t="n">
        <f aca="false">Sens!D16325/Sens!D16326</f>
        <v>13.641259209645</v>
      </c>
      <c r="E16327" s="8" t="n">
        <f aca="false">Sens!E16325/Sens!E16326</f>
        <v>17.9456594659869</v>
      </c>
      <c r="F16327" s="8" t="n">
        <f aca="false">Sens!F16325/Sens!F16326</f>
        <v>17.9764238874064</v>
      </c>
      <c r="G16327" s="8" t="n">
        <f aca="false">Sens!G16325/Sens!G16326</f>
        <v>19.1233995508046</v>
      </c>
      <c r="H16327" s="8" t="n">
        <f aca="false">Sens!H16325/Sens!H16326</f>
        <v>21.0423278999011</v>
      </c>
      <c r="I16327" s="8" t="n">
        <f aca="false">Sens!I16325/Sens!I16326</f>
        <v>23.4233116416833</v>
      </c>
      <c r="J16327" s="8" t="n">
        <f aca="false">Sens!J16325/Sens!J16326</f>
        <v>25.5549262102361</v>
      </c>
      <c r="K16327" s="8" t="n">
        <f aca="false">Sens!K16325/Sens!K16326</f>
        <v>27.4417047321893</v>
      </c>
      <c r="L16327" s="1" t="s">
        <v>1079</v>
      </c>
    </row>
    <row r="16328" customFormat="false" ht="17.15" hidden="false" customHeight="false" outlineLevel="0" collapsed="false">
      <c r="A16328" s="1" t="s">
        <v>1080</v>
      </c>
      <c r="B16328" s="0" t="s">
        <v>98</v>
      </c>
      <c r="D16328" s="6" t="n">
        <f aca="false">Sens!D16325</f>
        <v>101.832</v>
      </c>
      <c r="E16328" s="6" t="n">
        <f aca="false">Sens!E16325</f>
        <v>133.749</v>
      </c>
      <c r="F16328" s="6" t="n">
        <f aca="false">Sens!F16325+Sens!F16318*(1-tax_f)</f>
        <v>134.346803922532</v>
      </c>
      <c r="G16328" s="6" t="n">
        <f aca="false">Sens!G16325+Sens!G16318*(1-tax_f)</f>
        <v>143.421976666263</v>
      </c>
      <c r="H16328" s="6" t="n">
        <f aca="false">Sens!H16325+Sens!H16318*(1-tax_f)</f>
        <v>158.003301035066</v>
      </c>
      <c r="I16328" s="6" t="n">
        <f aca="false">Sens!I16325+Sens!I16318*(1-tax_f)</f>
        <v>176.15532371877</v>
      </c>
      <c r="J16328" s="6" t="n">
        <f aca="false">Sens!J16325+Sens!J16318*(1-tax_f)</f>
        <v>192.547746316066</v>
      </c>
      <c r="K16328" s="6" t="n">
        <f aca="false">Sens!K16325+Sens!K16318*(1-tax_f)</f>
        <v>207.21498038429</v>
      </c>
    </row>
    <row r="16329" customFormat="false" ht="17.15" hidden="false" customHeight="false" outlineLevel="0" collapsed="false">
      <c r="A16329" s="0" t="s">
        <v>1081</v>
      </c>
      <c r="B16329" s="0" t="s">
        <v>75</v>
      </c>
      <c r="D16329" s="8" t="n">
        <f aca="false">Sens!D16328/Sens!D16326</f>
        <v>13.641259209645</v>
      </c>
      <c r="E16329" s="8" t="n">
        <f aca="false">Sens!E16328/Sens!E16326</f>
        <v>17.9456594659869</v>
      </c>
      <c r="F16329" s="8" t="n">
        <f aca="false">Sens!F16328/Sens!F16326</f>
        <v>17.9764238874064</v>
      </c>
      <c r="G16329" s="8" t="n">
        <f aca="false">Sens!G16328/Sens!G16326</f>
        <v>19.1233995508046</v>
      </c>
      <c r="H16329" s="8" t="n">
        <f aca="false">Sens!H16328/Sens!H16326</f>
        <v>21.0423278999011</v>
      </c>
      <c r="I16329" s="8" t="n">
        <f aca="false">Sens!I16328/Sens!I16326</f>
        <v>23.4233116416833</v>
      </c>
      <c r="J16329" s="8" t="n">
        <f aca="false">Sens!J16328/Sens!J16326</f>
        <v>25.5549262102361</v>
      </c>
      <c r="K16329" s="8" t="n">
        <f aca="false">Sens!K16328/Sens!K16326</f>
        <v>27.4417047321893</v>
      </c>
      <c r="L16329" s="1" t="s">
        <v>1082</v>
      </c>
    </row>
    <row r="16330" customFormat="false" ht="17.15" hidden="false" customHeight="false" outlineLevel="0" collapsed="false">
      <c r="A16330" s="0" t="s">
        <v>1083</v>
      </c>
      <c r="B16330" s="0" t="s">
        <v>168</v>
      </c>
      <c r="E16330" s="7" t="n">
        <f aca="false">Sens!E16329/Sens!D16329-1</f>
        <v>0.315542736208578</v>
      </c>
      <c r="F16330" s="7" t="n">
        <f aca="false">Sens!F16329/Sens!E16329-1</f>
        <v>0.00171430988523213</v>
      </c>
      <c r="G16330" s="7" t="n">
        <f aca="false">Sens!G16329/Sens!F16329-1</f>
        <v>0.063804440225832</v>
      </c>
      <c r="H16330" s="7" t="n">
        <f aca="false">Sens!H16329/Sens!G16329-1</f>
        <v>0.100344520021061</v>
      </c>
      <c r="I16330" s="7" t="n">
        <f aca="false">Sens!I16329/Sens!H16329-1</f>
        <v>0.113152107176955</v>
      </c>
      <c r="J16330" s="7" t="n">
        <f aca="false">Sens!J16329/Sens!I16329-1</f>
        <v>0.0910039793331108</v>
      </c>
      <c r="K16330" s="7" t="n">
        <f aca="false">Sens!K16329/Sens!J16329-1</f>
        <v>0.0738322821373454</v>
      </c>
    </row>
    <row r="16331" customFormat="false" ht="17.15" hidden="false" customHeight="false" outlineLevel="0" collapsed="false">
      <c r="A16331" s="0" t="s">
        <v>1003</v>
      </c>
      <c r="B16331" s="0" t="s">
        <v>98</v>
      </c>
      <c r="E16331" s="6" t="n">
        <f aca="false">Sens!E16272</f>
        <v>5.25</v>
      </c>
      <c r="F16331" s="6" t="n">
        <f aca="false">Sens!F16272</f>
        <v>10.5</v>
      </c>
      <c r="G16331" s="6" t="n">
        <f aca="false">Sens!G16272</f>
        <v>13.5</v>
      </c>
      <c r="H16331" s="6" t="n">
        <f aca="false">Sens!H16272</f>
        <v>16.5</v>
      </c>
      <c r="I16331" s="6" t="n">
        <f aca="false">Sens!I16272</f>
        <v>18.75</v>
      </c>
      <c r="J16331" s="6" t="n">
        <f aca="false">Sens!J16272</f>
        <v>20.25</v>
      </c>
      <c r="K16331" s="6" t="n">
        <f aca="false">Sens!K16272</f>
        <v>21.75</v>
      </c>
    </row>
    <row r="16332" customFormat="false" ht="17.15" hidden="false" customHeight="false" outlineLevel="0" collapsed="false">
      <c r="A16332" s="1" t="s">
        <v>1004</v>
      </c>
      <c r="B16332" s="0" t="s">
        <v>98</v>
      </c>
      <c r="F16332" s="6" t="n">
        <f aca="false">MAX(0,((Sens!E16232+Sens!F16232)/2-(shadow_base*(Sens!$D$16232+Sens!$E$16232)/2+(1-shadow_base)*Sens!$E$16232))*Sens!F16241/1000-(Sens!F16331-Sens!$E$16331)*Sens!F16311)</f>
        <v>3.32169808276811</v>
      </c>
      <c r="G16332" s="6" t="n">
        <f aca="false">MAX(0,((Sens!F16232+Sens!G16232)/2-(shadow_base*(Sens!$D$16232+Sens!$E$16232)/2+(1-shadow_base)*Sens!$E$16232))*Sens!G16241/1000-(Sens!G16331-Sens!$E$16331)*Sens!G16311)</f>
        <v>4.83073330153996</v>
      </c>
      <c r="H16332" s="6" t="n">
        <f aca="false">MAX(0,((Sens!G16232+Sens!H16232)/2-(shadow_base*(Sens!$D$16232+Sens!$E$16232)/2+(1-shadow_base)*Sens!$E$16232))*Sens!H16241/1000-(Sens!H16331-Sens!$E$16331)*Sens!H16311)</f>
        <v>4.74830776187797</v>
      </c>
      <c r="I16332" s="6" t="n">
        <f aca="false">MAX(0,((Sens!H16232+Sens!I16232)/2-(shadow_base*(Sens!$D$16232+Sens!$E$16232)/2+(1-shadow_base)*Sens!$E$16232))*Sens!I16241/1000-(Sens!I16331-Sens!$E$16331)*Sens!I16311)</f>
        <v>3.69811128440021</v>
      </c>
      <c r="J16332" s="6" t="n">
        <f aca="false">MAX(0,((Sens!I16232+Sens!J16232)/2-(shadow_base*(Sens!$D$16232+Sens!$E$16232)/2+(1-shadow_base)*Sens!$E$16232))*Sens!J16241/1000-(Sens!J16331-Sens!$E$16331)*Sens!J16311)</f>
        <v>3.19575402518239</v>
      </c>
      <c r="K16332" s="6" t="n">
        <f aca="false">MAX(0,((Sens!J16232+Sens!K16232)/2-(shadow_base*(Sens!$D$16232+Sens!$E$16232)/2+(1-shadow_base)*Sens!$E$16232))*Sens!K16241/1000-(Sens!K16331-Sens!$E$16331)*Sens!K16311)</f>
        <v>3.04269068486014</v>
      </c>
      <c r="L16332" s="1" t="s">
        <v>1005</v>
      </c>
    </row>
    <row r="16333" customFormat="false" ht="17.15" hidden="false" customHeight="false" outlineLevel="0" collapsed="false">
      <c r="A16333" s="1" t="s">
        <v>1006</v>
      </c>
      <c r="B16333" s="0" t="s">
        <v>98</v>
      </c>
      <c r="F16333" s="6" t="n">
        <f aca="false">IF(1=2,1,0)*Sens!F16332</f>
        <v>0</v>
      </c>
      <c r="G16333" s="6" t="n">
        <f aca="false">IF(1=2,1,0)*Sens!G16332</f>
        <v>0</v>
      </c>
      <c r="H16333" s="6" t="n">
        <f aca="false">IF(1=2,1,0)*Sens!H16332</f>
        <v>0</v>
      </c>
      <c r="I16333" s="6" t="n">
        <f aca="false">IF(1=2,1,0)*Sens!I16332</f>
        <v>0</v>
      </c>
      <c r="J16333" s="6" t="n">
        <f aca="false">IF(1=2,1,0)*Sens!J16332</f>
        <v>0</v>
      </c>
      <c r="K16333" s="6" t="n">
        <f aca="false">IF(1=2,1,0)*Sens!K16332</f>
        <v>0</v>
      </c>
    </row>
    <row r="16334" customFormat="false" ht="17.15" hidden="false" customHeight="false" outlineLevel="0" collapsed="false">
      <c r="A16334" s="0" t="s">
        <v>1007</v>
      </c>
      <c r="B16334" s="0" t="s">
        <v>98</v>
      </c>
      <c r="F16334" s="6" t="n">
        <f aca="false">Sens!F16251+Sens!F16331*Sens!F16311+Sens!F16333-Sens!F16252-Sens!F16263</f>
        <v>1.66708236130291</v>
      </c>
      <c r="G16334" s="6" t="n">
        <f aca="false">Sens!G16251+Sens!G16331*Sens!G16311+Sens!G16333-Sens!G16252-Sens!G16263</f>
        <v>-1.3159115974344</v>
      </c>
      <c r="H16334" s="6" t="n">
        <f aca="false">Sens!H16251+Sens!H16331*Sens!H16311+Sens!H16333-Sens!H16252-Sens!H16263</f>
        <v>-4.84768404699964</v>
      </c>
      <c r="I16334" s="6" t="n">
        <f aca="false">Sens!I16251+Sens!I16331*Sens!I16311+Sens!I16333-Sens!I16252-Sens!I16263</f>
        <v>-3.40316296909472</v>
      </c>
      <c r="J16334" s="6" t="n">
        <f aca="false">Sens!J16251+Sens!J16331*Sens!J16311+Sens!J16333-Sens!J16252-Sens!J16263</f>
        <v>-2.85757510285142</v>
      </c>
      <c r="K16334" s="6" t="n">
        <f aca="false">Sens!K16251+Sens!K16331*Sens!K16311+Sens!K16333-Sens!K16252-Sens!K16263</f>
        <v>-2.35559349263657</v>
      </c>
    </row>
    <row r="16335" customFormat="false" ht="17.15" hidden="false" customHeight="false" outlineLevel="0" collapsed="false">
      <c r="A16335" s="0" t="s">
        <v>1008</v>
      </c>
      <c r="B16335" s="0" t="s">
        <v>98</v>
      </c>
      <c r="E16335" s="6" t="n">
        <f aca="false">Sens!E16231*(cxit_open+self_build*tk_cxfac)/1000*ai_net_open</f>
        <v>126.6980382</v>
      </c>
      <c r="F16335" s="6" t="n">
        <f aca="false">Sens!E16335+Sens!F16260-Sens!F16263</f>
        <v>131.822683147</v>
      </c>
      <c r="G16335" s="6" t="n">
        <f aca="false">Sens!F16335+Sens!G16260-Sens!G16263</f>
        <v>136.850809452</v>
      </c>
      <c r="H16335" s="6" t="n">
        <f aca="false">Sens!G16335+Sens!H16260-Sens!H16263</f>
        <v>105.173224535</v>
      </c>
      <c r="I16335" s="6" t="n">
        <f aca="false">Sens!H16335+Sens!I16260-Sens!I16263</f>
        <v>102.104104363972</v>
      </c>
      <c r="J16335" s="6" t="n">
        <f aca="false">Sens!I16335+Sens!J16260-Sens!J16263</f>
        <v>112.526579647528</v>
      </c>
      <c r="K16335" s="6" t="n">
        <f aca="false">Sens!J16335+Sens!K16260-Sens!K16263</f>
        <v>163.901717877611</v>
      </c>
      <c r="L16335" s="1" t="s">
        <v>1009</v>
      </c>
    </row>
    <row r="16336" customFormat="false" ht="17.15" hidden="false" customHeight="false" outlineLevel="0" collapsed="false">
      <c r="A16336" s="0" t="s">
        <v>1010</v>
      </c>
      <c r="B16336" s="0" t="s">
        <v>168</v>
      </c>
      <c r="F16336" s="7" t="n">
        <f aca="false">Sens!F16334*(1-tax_f)/((Sens!E16335+Sens!F16335)/2)</f>
        <v>0.0103176711104114</v>
      </c>
      <c r="G16336" s="7" t="n">
        <f aca="false">Sens!G16334*(1-tax_f)/((Sens!F16335+Sens!G16335)/2)</f>
        <v>-0.00783649527732708</v>
      </c>
      <c r="H16336" s="7" t="n">
        <f aca="false">Sens!H16334*(1-tax_f)/((Sens!G16335+Sens!H16335)/2)</f>
        <v>-0.0320476208392429</v>
      </c>
      <c r="I16336" s="7" t="n">
        <f aca="false">Sens!I16334*(1-tax_f)/((Sens!H16335+Sens!I16335)/2)</f>
        <v>-0.0262694467333931</v>
      </c>
      <c r="J16336" s="7" t="n">
        <f aca="false">Sens!J16334*(1-tax_f)/((Sens!I16335+Sens!J16335)/2)</f>
        <v>-0.0213022671274592</v>
      </c>
      <c r="K16336" s="7" t="n">
        <f aca="false">Sens!K16334*(1-tax_f)/((Sens!J16335+Sens!K16335)/2)</f>
        <v>-0.0136344564647032</v>
      </c>
    </row>
    <row r="16337" customFormat="false" ht="17.15" hidden="false" customHeight="false" outlineLevel="0" collapsed="false">
      <c r="A16337" s="1" t="s">
        <v>1011</v>
      </c>
      <c r="B16337" s="0" t="s">
        <v>168</v>
      </c>
      <c r="F16337" s="7" t="n">
        <f aca="false">(Sens!F16334-Sens!F16333)*(1-tax_f)/((Sens!E16335+Sens!F16335)/2)</f>
        <v>0.0103176711104114</v>
      </c>
      <c r="G16337" s="7" t="n">
        <f aca="false">(Sens!G16334-Sens!G16333)*(1-tax_f)/((Sens!F16335+Sens!G16335)/2)</f>
        <v>-0.00783649527732708</v>
      </c>
      <c r="H16337" s="7" t="n">
        <f aca="false">(Sens!H16334-Sens!H16333)*(1-tax_f)/((Sens!G16335+Sens!H16335)/2)</f>
        <v>-0.0320476208392429</v>
      </c>
      <c r="I16337" s="7" t="n">
        <f aca="false">(Sens!I16334-Sens!I16333)*(1-tax_f)/((Sens!H16335+Sens!I16335)/2)</f>
        <v>-0.0262694467333931</v>
      </c>
      <c r="J16337" s="7" t="n">
        <f aca="false">(Sens!J16334-Sens!J16333)*(1-tax_f)/((Sens!I16335+Sens!J16335)/2)</f>
        <v>-0.0213022671274592</v>
      </c>
      <c r="K16337" s="7" t="n">
        <f aca="false">(Sens!K16334-Sens!K16333)*(1-tax_f)/((Sens!J16335+Sens!K16335)/2)</f>
        <v>-0.0136344564647032</v>
      </c>
    </row>
    <row r="16338" customFormat="false" ht="17.15" hidden="false" customHeight="false" outlineLevel="0" collapsed="false">
      <c r="A16338" s="1" t="s">
        <v>1012</v>
      </c>
      <c r="B16338" s="0" t="s">
        <v>168</v>
      </c>
      <c r="F16338" s="7" t="n">
        <f aca="false">(Sens!F16334-Sens!F16333+Sens!F16332)*(1-tax_f)/((Sens!E16335+Sens!F16335)/2)</f>
        <v>0.0308758565616089</v>
      </c>
      <c r="G16338" s="7" t="n">
        <f aca="false">(Sens!G16334-Sens!G16333+Sens!G16332)*(1-tax_f)/((Sens!F16335+Sens!G16335)/2)</f>
        <v>0.0209314088716686</v>
      </c>
      <c r="H16338" s="7" t="n">
        <f aca="false">(Sens!H16334-Sens!H16333+Sens!H16332)*(1-tax_f)/((Sens!G16335+Sens!H16335)/2)</f>
        <v>-0.00065696804393899</v>
      </c>
      <c r="I16338" s="7" t="n">
        <f aca="false">(Sens!I16334-Sens!I16333+Sens!I16332)*(1-tax_f)/((Sens!H16335+Sens!I16335)/2)</f>
        <v>0.0022767434672935</v>
      </c>
      <c r="J16338" s="7" t="n">
        <f aca="false">(Sens!J16334-Sens!J16333+Sens!J16332)*(1-tax_f)/((Sens!I16335+Sens!J16335)/2)</f>
        <v>0.00252101081549252</v>
      </c>
      <c r="K16338" s="7" t="n">
        <f aca="false">(Sens!K16334-Sens!K16333+Sens!K16332)*(1-tax_f)/((Sens!J16335+Sens!K16335)/2)</f>
        <v>0.00397700060883865</v>
      </c>
    </row>
    <row r="16339" customFormat="false" ht="17.15" hidden="false" customHeight="false" outlineLevel="0" collapsed="false">
      <c r="A16339" s="1" t="s">
        <v>1013</v>
      </c>
      <c r="B16339" s="0" t="s">
        <v>168</v>
      </c>
      <c r="F16339" s="7" t="n">
        <f aca="false">Sens!F16264*(1-tax_f)/(Sens!F16250*(Sens!E16335+Sens!F16335)/2)</f>
        <v>0.106983470139441</v>
      </c>
      <c r="G16339" s="7" t="n">
        <f aca="false">Sens!G16264*(1-tax_f)/(Sens!G16250*(Sens!F16335+Sens!G16335)/2)</f>
        <v>0.0828495807398649</v>
      </c>
      <c r="H16339" s="7" t="n">
        <f aca="false">Sens!H16264*(1-tax_f)/(Sens!H16250*(Sens!G16335+Sens!H16335)/2)</f>
        <v>0.049671832874314</v>
      </c>
      <c r="I16339" s="7" t="n">
        <f aca="false">Sens!I16264*(1-tax_f)/(Sens!I16250*(Sens!H16335+Sens!I16335)/2)</f>
        <v>0.063617784443709</v>
      </c>
      <c r="J16339" s="7" t="n">
        <f aca="false">Sens!J16264*(1-tax_f)/(Sens!J16250*(Sens!I16335+Sens!J16335)/2)</f>
        <v>0.0655166442751414</v>
      </c>
      <c r="K16339" s="7" t="n">
        <f aca="false">Sens!K16264*(1-tax_f)/(Sens!K16250*(Sens!J16335+Sens!K16335)/2)</f>
        <v>0.0586829736915535</v>
      </c>
    </row>
    <row r="16340" customFormat="false" ht="17.15" hidden="false" customHeight="false" outlineLevel="0" collapsed="false">
      <c r="A16340" s="0" t="s">
        <v>1014</v>
      </c>
      <c r="B16340" s="0" t="s">
        <v>253</v>
      </c>
      <c r="F16340" s="7" t="n">
        <f aca="false">Sens!F16336-wacc</f>
        <v>-0.0926189198351859</v>
      </c>
      <c r="G16340" s="7" t="n">
        <f aca="false">Sens!G16336-wacc</f>
        <v>-0.110773086222924</v>
      </c>
      <c r="H16340" s="7" t="n">
        <f aca="false">Sens!H16336-wacc</f>
        <v>-0.13498421178484</v>
      </c>
      <c r="I16340" s="7" t="n">
        <f aca="false">Sens!I16336-wacc</f>
        <v>-0.12920603767899</v>
      </c>
      <c r="J16340" s="7" t="n">
        <f aca="false">Sens!J16336-wacc</f>
        <v>-0.124238858073057</v>
      </c>
      <c r="K16340" s="7" t="n">
        <f aca="false">Sens!K16336-wacc</f>
        <v>-0.1165710474103</v>
      </c>
    </row>
    <row r="16341" customFormat="false" ht="17.15" hidden="false" customHeight="false" outlineLevel="0" collapsed="false">
      <c r="A16341" s="0" t="s">
        <v>1015</v>
      </c>
      <c r="B16341" s="0" t="s">
        <v>98</v>
      </c>
      <c r="F16341" s="6" t="n">
        <f aca="false">Sens!F16334*(1-tax_f)-wacc*(Sens!E16335+Sens!F16335)/2</f>
        <v>-11.9719549830861</v>
      </c>
      <c r="G16341" s="6" t="n">
        <f aca="false">Sens!G16334*(1-tax_f)-wacc*(Sens!F16335+Sens!G16335)/2</f>
        <v>-14.8808959807416</v>
      </c>
      <c r="H16341" s="6" t="n">
        <f aca="false">Sens!H16334*(1-tax_f)-wacc*(Sens!G16335+Sens!H16335)/2</f>
        <v>-16.3347117303613</v>
      </c>
      <c r="I16341" s="6" t="n">
        <f aca="false">Sens!I16334*(1-tax_f)-wacc*(Sens!H16335+Sens!I16335)/2</f>
        <v>-13.3907411838605</v>
      </c>
      <c r="J16341" s="6" t="n">
        <f aca="false">Sens!J16334*(1-tax_f)-wacc*(Sens!I16335+Sens!J16335)/2</f>
        <v>-13.3327355445139</v>
      </c>
      <c r="K16341" s="6" t="n">
        <f aca="false">Sens!K16334*(1-tax_f)-wacc*(Sens!J16335+Sens!K16335)/2</f>
        <v>-16.1117680881758</v>
      </c>
    </row>
    <row r="16342" customFormat="false" ht="17.15" hidden="false" customHeight="false" outlineLevel="0" collapsed="false">
      <c r="A16342" s="3" t="s">
        <v>1882</v>
      </c>
    </row>
    <row r="16343" customFormat="false" ht="15" hidden="false" customHeight="false" outlineLevel="0" collapsed="false">
      <c r="A16343" s="4" t="s">
        <v>43</v>
      </c>
      <c r="B16343" s="4" t="s">
        <v>65</v>
      </c>
      <c r="C16343" s="23" t="s">
        <v>938</v>
      </c>
      <c r="D16343" s="23" t="s">
        <v>939</v>
      </c>
      <c r="E16343" s="23" t="s">
        <v>940</v>
      </c>
      <c r="F16343" s="23" t="s">
        <v>941</v>
      </c>
      <c r="G16343" s="23" t="s">
        <v>942</v>
      </c>
      <c r="H16343" s="23" t="s">
        <v>943</v>
      </c>
      <c r="I16343" s="23" t="s">
        <v>944</v>
      </c>
      <c r="J16343" s="23" t="s">
        <v>945</v>
      </c>
      <c r="K16343" s="23" t="s">
        <v>946</v>
      </c>
      <c r="L16343" s="4" t="s">
        <v>47</v>
      </c>
    </row>
    <row r="16344" customFormat="false" ht="15" hidden="false" customHeight="false" outlineLevel="0" collapsed="false">
      <c r="A16344" s="1" t="s">
        <v>1076</v>
      </c>
      <c r="B16344" s="0" t="s">
        <v>98</v>
      </c>
      <c r="F16344" s="6" t="n">
        <f aca="false">Sens!F16325</f>
        <v>134.346803922532</v>
      </c>
      <c r="G16344" s="6" t="n">
        <f aca="false">Sens!G16325</f>
        <v>143.421976666263</v>
      </c>
      <c r="H16344" s="6" t="n">
        <f aca="false">Sens!H16325</f>
        <v>158.003301035066</v>
      </c>
      <c r="I16344" s="6" t="n">
        <f aca="false">Sens!I16325</f>
        <v>176.15532371877</v>
      </c>
      <c r="J16344" s="6" t="n">
        <f aca="false">Sens!J16325</f>
        <v>192.547746316066</v>
      </c>
      <c r="K16344" s="6" t="n">
        <f aca="false">Sens!K16325</f>
        <v>207.21498038429</v>
      </c>
    </row>
    <row r="16345" customFormat="false" ht="17.15" hidden="false" customHeight="false" outlineLevel="0" collapsed="false">
      <c r="A16345" s="1" t="s">
        <v>1098</v>
      </c>
      <c r="B16345" s="0" t="s">
        <v>98</v>
      </c>
      <c r="E16345" s="6" t="n">
        <f aca="false">Q!M38-Sens!E16263</f>
        <v>22.2285940229167</v>
      </c>
      <c r="F16345" s="6" t="n">
        <f aca="false">Sens!E16345*(1-1/life_nonai)+(Sens!F16353+Sens!F16354)/life_nonai</f>
        <v>37.458367358225</v>
      </c>
      <c r="G16345" s="6" t="n">
        <f aca="false">Sens!F16345*(1-1/life_nonai)+(Sens!G16353)/life_nonai</f>
        <v>37.8971931807589</v>
      </c>
      <c r="H16345" s="6" t="n">
        <f aca="false">Sens!G16345*(1-1/life_nonai)+(Sens!H16353)/life_nonai</f>
        <v>38.8470034950136</v>
      </c>
      <c r="I16345" s="6" t="n">
        <f aca="false">Sens!H16345*(1-1/life_nonai)+(Sens!I16353)/life_nonai</f>
        <v>40.2363776179593</v>
      </c>
      <c r="J16345" s="6" t="n">
        <f aca="false">Sens!I16345*(1-1/life_nonai)+(Sens!J16353)/life_nonai</f>
        <v>41.976670284337</v>
      </c>
      <c r="K16345" s="6" t="n">
        <f aca="false">Sens!J16345*(1-1/life_nonai)+(Sens!K16353)/life_nonai</f>
        <v>43.9704272663843</v>
      </c>
      <c r="L16345" s="12" t="s">
        <v>1099</v>
      </c>
    </row>
    <row r="16346" customFormat="false" ht="17.15" hidden="false" customHeight="false" outlineLevel="0" collapsed="false">
      <c r="A16346" s="1" t="s">
        <v>1100</v>
      </c>
      <c r="B16346" s="0" t="s">
        <v>98</v>
      </c>
      <c r="F16346" s="6" t="n">
        <f aca="false">Sens!$F$16354/life_nonai*(1-1/life_nonai)^(Sens!F16226-2027)</f>
        <v>13.8140066594294</v>
      </c>
      <c r="G16346" s="6" t="n">
        <f aca="false">Sens!$F$16354/life_nonai*(1-1/life_nonai)^(Sens!G16226-2027)</f>
        <v>12.4326059934865</v>
      </c>
      <c r="H16346" s="6" t="n">
        <f aca="false">Sens!$F$16354/life_nonai*(1-1/life_nonai)^(Sens!H16226-2027)</f>
        <v>11.1893453941378</v>
      </c>
      <c r="I16346" s="6" t="n">
        <f aca="false">Sens!$F$16354/life_nonai*(1-1/life_nonai)^(Sens!I16226-2027)</f>
        <v>10.0704108547241</v>
      </c>
      <c r="J16346" s="6" t="n">
        <f aca="false">Sens!$F$16354/life_nonai*(1-1/life_nonai)^(Sens!J16226-2027)</f>
        <v>9.06336976925165</v>
      </c>
      <c r="K16346" s="6" t="n">
        <f aca="false">Sens!$F$16354/life_nonai*(1-1/life_nonai)^(Sens!K16226-2027)</f>
        <v>8.15703279232649</v>
      </c>
      <c r="L16346" s="1" t="s">
        <v>1101</v>
      </c>
    </row>
    <row r="16347" customFormat="false" ht="17.15" hidden="false" customHeight="false" outlineLevel="0" collapsed="false">
      <c r="A16347" s="1" t="s">
        <v>1102</v>
      </c>
      <c r="B16347" s="0" t="s">
        <v>98</v>
      </c>
      <c r="E16347" s="6" t="n">
        <f aca="false">Sens!E16263+Sens!E16345</f>
        <v>38.534</v>
      </c>
      <c r="F16347" s="6" t="n">
        <f aca="false">Sens!F16263+Sens!F16345</f>
        <v>62.007395035225</v>
      </c>
      <c r="G16347" s="6" t="n">
        <f aca="false">Sens!G16263+Sens!G16345</f>
        <v>67.0828260037589</v>
      </c>
      <c r="H16347" s="6" t="n">
        <f aca="false">Sens!H16263+Sens!H16345</f>
        <v>70.5245884120136</v>
      </c>
      <c r="I16347" s="6" t="n">
        <f aca="false">Sens!I16263+Sens!I16345</f>
        <v>72.4662425489871</v>
      </c>
      <c r="J16347" s="6" t="n">
        <f aca="false">Sens!J16263+Sens!J16345</f>
        <v>75.5928707607814</v>
      </c>
      <c r="K16347" s="6" t="n">
        <f aca="false">Sens!K16263+Sens!K16345</f>
        <v>80.0775233163009</v>
      </c>
    </row>
    <row r="16348" customFormat="false" ht="17.15" hidden="false" customHeight="false" outlineLevel="0" collapsed="false">
      <c r="A16348" s="1" t="s">
        <v>1103</v>
      </c>
      <c r="B16348" s="0" t="s">
        <v>98</v>
      </c>
      <c r="F16348" s="6" t="n">
        <f aca="false">Sens!F16290*sbc_r</f>
        <v>14.3733372521203</v>
      </c>
      <c r="G16348" s="6" t="n">
        <f aca="false">Sens!G16290*sbc_r</f>
        <v>15.9508977871648</v>
      </c>
      <c r="H16348" s="6" t="n">
        <f aca="false">Sens!H16290*sbc_r</f>
        <v>17.3854028915498</v>
      </c>
      <c r="I16348" s="6" t="n">
        <f aca="false">Sens!I16290*sbc_r</f>
        <v>18.8700470966675</v>
      </c>
      <c r="J16348" s="6" t="n">
        <f aca="false">Sens!J16290*sbc_r</f>
        <v>20.2710479973254</v>
      </c>
      <c r="K16348" s="6" t="n">
        <f aca="false">Sens!K16290*sbc_r</f>
        <v>21.5928535358532</v>
      </c>
    </row>
    <row r="16349" customFormat="false" ht="17.15" hidden="false" customHeight="false" outlineLevel="0" collapsed="false">
      <c r="A16349" s="1" t="s">
        <v>1104</v>
      </c>
      <c r="B16349" s="0" t="s">
        <v>98</v>
      </c>
      <c r="F16349" s="6" t="n">
        <f aca="false">wc27-wc26q1</f>
        <v>-4.677</v>
      </c>
      <c r="G16349" s="6" t="n">
        <f aca="false">wc_f</f>
        <v>0</v>
      </c>
      <c r="H16349" s="6" t="n">
        <f aca="false">wc_f</f>
        <v>0</v>
      </c>
      <c r="I16349" s="6" t="n">
        <f aca="false">wc_f</f>
        <v>0</v>
      </c>
      <c r="J16349" s="6" t="n">
        <f aca="false">wc_f</f>
        <v>0</v>
      </c>
      <c r="K16349" s="6" t="n">
        <f aca="false">wc_f</f>
        <v>0</v>
      </c>
      <c r="L16349" s="12" t="s">
        <v>1105</v>
      </c>
    </row>
    <row r="16350" customFormat="false" ht="17.15" hidden="false" customHeight="false" outlineLevel="0" collapsed="false">
      <c r="A16350" s="0" t="s">
        <v>1106</v>
      </c>
      <c r="B16350" s="0" t="s">
        <v>98</v>
      </c>
      <c r="F16350" s="6" t="n">
        <f aca="false">Q!$I$35-Q!$I$26-Q!$I$38-Q!$I$39</f>
        <v>6.493</v>
      </c>
      <c r="L16350" s="1" t="s">
        <v>1107</v>
      </c>
    </row>
    <row r="16351" customFormat="false" ht="15" hidden="false" customHeight="false" outlineLevel="0" collapsed="false">
      <c r="A16351" s="1" t="s">
        <v>904</v>
      </c>
      <c r="B16351" s="0" t="s">
        <v>98</v>
      </c>
      <c r="E16351" s="6" t="n">
        <f aca="false">Q!M35</f>
        <v>182.935</v>
      </c>
      <c r="F16351" s="6" t="n">
        <f aca="false">Sens!F16344+Sens!F16347+Sens!F16348+Sens!F16349+Sens!F16350</f>
        <v>212.543536209877</v>
      </c>
      <c r="G16351" s="6" t="n">
        <f aca="false">Sens!G16344+Sens!G16347+Sens!G16348+Sens!G16349</f>
        <v>226.455700457186</v>
      </c>
      <c r="H16351" s="6" t="n">
        <f aca="false">Sens!H16344+Sens!H16347+Sens!H16348+Sens!H16349</f>
        <v>245.91329233863</v>
      </c>
      <c r="I16351" s="6" t="n">
        <f aca="false">Sens!I16344+Sens!I16347+Sens!I16348+Sens!I16349</f>
        <v>267.491613364424</v>
      </c>
      <c r="J16351" s="6" t="n">
        <f aca="false">Sens!J16344+Sens!J16347+Sens!J16348+Sens!J16349</f>
        <v>288.411665074172</v>
      </c>
      <c r="K16351" s="6" t="n">
        <f aca="false">Sens!K16344+Sens!K16347+Sens!K16348+Sens!K16349</f>
        <v>308.885357236444</v>
      </c>
    </row>
    <row r="16352" customFormat="false" ht="17.15" hidden="false" customHeight="false" outlineLevel="0" collapsed="false">
      <c r="A16352" s="0" t="s">
        <v>1108</v>
      </c>
      <c r="B16352" s="0" t="s">
        <v>98</v>
      </c>
      <c r="F16352" s="6" t="n">
        <f aca="false">Sens!F16260</f>
        <v>29.673672624</v>
      </c>
      <c r="G16352" s="6" t="n">
        <f aca="false">Sens!G16260</f>
        <v>34.213759128</v>
      </c>
      <c r="H16352" s="6" t="n">
        <f aca="false">Sens!H16260</f>
        <v>0</v>
      </c>
      <c r="I16352" s="6" t="n">
        <f aca="false">Sens!I16260</f>
        <v>29.16074476</v>
      </c>
      <c r="J16352" s="6" t="n">
        <f aca="false">Sens!J16260</f>
        <v>44.03867576</v>
      </c>
      <c r="K16352" s="6" t="n">
        <f aca="false">Sens!K16260</f>
        <v>87.48223428</v>
      </c>
    </row>
    <row r="16353" customFormat="false" ht="17.15" hidden="false" customHeight="false" outlineLevel="0" collapsed="false">
      <c r="A16353" s="1" t="s">
        <v>1109</v>
      </c>
      <c r="B16353" s="0" t="s">
        <v>98</v>
      </c>
      <c r="E16353" s="6" t="n">
        <f aca="false">Sens!E16268*cx_azo+Sens!E16275*cx_m365+Sens!E16276*cx_lic+(Sens!E16278+Sens!E16280)*cx_ind+Sens!E16283*cx_srch+(Sens!E16285+Sens!E16287)*cx_dev</f>
        <v>30.1846587067718</v>
      </c>
      <c r="F16353" s="6" t="n">
        <f aca="false">Sens!F16268*cx_azo+Sens!F16275*cx_m365+Sens!F16276*cx_lic+(Sens!F16278+Sens!F16280)*cx_ind+Sens!F16283*cx_srch+(Sens!F16285+Sens!F16287)*cx_dev</f>
        <v>36.3862607817056</v>
      </c>
      <c r="G16353" s="6" t="n">
        <f aca="false">Sens!G16268*cx_azo+Sens!G16275*cx_m365+Sens!G16276*cx_lic+(Sens!G16278+Sens!G16280)*cx_ind+Sens!G16283*cx_srch+(Sens!G16285+Sens!G16287)*cx_dev</f>
        <v>41.8466255835643</v>
      </c>
      <c r="H16353" s="6" t="n">
        <f aca="false">Sens!H16268*cx_azo+Sens!H16275*cx_m365+Sens!H16276*cx_lic+(Sens!H16278+Sens!H16280)*cx_ind+Sens!H16283*cx_srch+(Sens!H16285+Sens!H16287)*cx_dev</f>
        <v>47.3952963233052</v>
      </c>
      <c r="I16353" s="6" t="n">
        <f aca="false">Sens!I16268*cx_azo+Sens!I16275*cx_m365+Sens!I16276*cx_lic+(Sens!I16278+Sens!I16280)*cx_ind+Sens!I16283*cx_srch+(Sens!I16285+Sens!I16287)*cx_dev</f>
        <v>52.7407447244711</v>
      </c>
      <c r="J16353" s="6" t="n">
        <f aca="false">Sens!J16268*cx_azo+Sens!J16275*cx_m365+Sens!J16276*cx_lic+(Sens!J16278+Sens!J16280)*cx_ind+Sens!J16283*cx_srch+(Sens!J16285+Sens!J16287)*cx_dev</f>
        <v>57.6393042817356</v>
      </c>
      <c r="K16353" s="6" t="n">
        <f aca="false">Sens!K16268*cx_azo+Sens!K16275*cx_m365+Sens!K16276*cx_lic+(Sens!K16278+Sens!K16280)*cx_ind+Sens!K16283*cx_srch+(Sens!K16285+Sens!K16287)*cx_dev</f>
        <v>61.9142401048102</v>
      </c>
    </row>
    <row r="16354" customFormat="false" ht="17.15" hidden="false" customHeight="false" outlineLevel="0" collapsed="false">
      <c r="A16354" s="0" t="s">
        <v>1110</v>
      </c>
      <c r="B16354" s="0" t="s">
        <v>98</v>
      </c>
      <c r="F16354" s="6" t="n">
        <f aca="false">Sens!F16258</f>
        <v>138.140066594294</v>
      </c>
      <c r="L16354" s="1" t="s">
        <v>1111</v>
      </c>
    </row>
    <row r="16355" customFormat="false" ht="17.15" hidden="false" customHeight="false" outlineLevel="0" collapsed="false">
      <c r="A16355" s="1" t="s">
        <v>1112</v>
      </c>
      <c r="B16355" s="0" t="s">
        <v>98</v>
      </c>
      <c r="E16355" s="6" t="n">
        <f aca="false">Q!M43</f>
        <v>145.3</v>
      </c>
      <c r="F16355" s="6" t="n">
        <f aca="false">Sens!F16352+Sens!F16353+Sens!F16354</f>
        <v>204.2</v>
      </c>
      <c r="G16355" s="6" t="n">
        <f aca="false">Sens!G16352+Sens!G16353</f>
        <v>76.0603847115643</v>
      </c>
      <c r="H16355" s="6" t="n">
        <f aca="false">Sens!H16352+Sens!H16353</f>
        <v>47.3952963233052</v>
      </c>
      <c r="I16355" s="6" t="n">
        <f aca="false">Sens!I16352+Sens!I16353</f>
        <v>81.9014894844711</v>
      </c>
      <c r="J16355" s="6" t="n">
        <f aca="false">Sens!J16352+Sens!J16353</f>
        <v>101.677980041736</v>
      </c>
      <c r="K16355" s="6" t="n">
        <f aca="false">Sens!K16352+Sens!K16353</f>
        <v>149.39647438481</v>
      </c>
      <c r="L16355" s="1" t="s">
        <v>1113</v>
      </c>
    </row>
    <row r="16356" customFormat="false" ht="15" hidden="false" customHeight="false" outlineLevel="0" collapsed="false">
      <c r="A16356" s="1" t="s">
        <v>1114</v>
      </c>
      <c r="B16356" s="0" t="s">
        <v>98</v>
      </c>
      <c r="E16356" s="6" t="n">
        <f aca="false">fl_liab</f>
        <v>66.594</v>
      </c>
      <c r="F16356" s="6" t="n">
        <f aca="false">Sens!E16356-Sens!F16357</f>
        <v>62.46973</v>
      </c>
      <c r="G16356" s="6" t="n">
        <f aca="false">Sens!F16356-Sens!G16357</f>
        <v>57.98686785</v>
      </c>
      <c r="H16356" s="6" t="n">
        <f aca="false">Sens!G16356-Sens!H16357</f>
        <v>53.92827690325</v>
      </c>
      <c r="I16356" s="6" t="n">
        <f aca="false">Sens!H16356-Sens!I16357</f>
        <v>49.7850493638962</v>
      </c>
      <c r="J16356" s="6" t="n">
        <f aca="false">Sens!I16356-Sens!J16357</f>
        <v>45.4823765852716</v>
      </c>
      <c r="K16356" s="6" t="n">
        <f aca="false">Sens!J16356-Sens!K16357</f>
        <v>40.9860835316088</v>
      </c>
    </row>
    <row r="16357" customFormat="false" ht="15" hidden="false" customHeight="false" outlineLevel="0" collapsed="false">
      <c r="A16357" s="1" t="s">
        <v>1115</v>
      </c>
      <c r="B16357" s="0" t="s">
        <v>98</v>
      </c>
      <c r="F16357" s="6" t="n">
        <f aca="false">fl_pay_27-Sens!E16356*fl_rate</f>
        <v>4.12427</v>
      </c>
      <c r="G16357" s="6" t="n">
        <f aca="false">fl_pay_28-Sens!F16356*fl_rate</f>
        <v>4.48286215</v>
      </c>
      <c r="H16357" s="6" t="n">
        <f aca="false">fl_pay_29-Sens!G16356*fl_rate</f>
        <v>4.05859094675</v>
      </c>
      <c r="I16357" s="6" t="n">
        <f aca="false">fl_pay_30-Sens!H16356*fl_rate</f>
        <v>4.14322753935375</v>
      </c>
      <c r="J16357" s="6" t="n">
        <f aca="false">fl_pay_31-Sens!I16356*fl_rate</f>
        <v>4.30267277862467</v>
      </c>
      <c r="K16357" s="6" t="n">
        <f aca="false">fl_pay_32-Sens!J16356*fl_rate</f>
        <v>4.49629305366278</v>
      </c>
    </row>
    <row r="16358" customFormat="false" ht="17.15" hidden="false" customHeight="false" outlineLevel="0" collapsed="false">
      <c r="A16358" s="1" t="s">
        <v>1116</v>
      </c>
      <c r="B16358" s="0" t="s">
        <v>98</v>
      </c>
      <c r="E16358" s="6" t="n">
        <f aca="false">Q!M35-Q!M36-Q!M44</f>
        <v>63.886</v>
      </c>
      <c r="F16358" s="6" t="n">
        <f aca="false">Sens!F16351-Sens!F16355-Sens!F16357</f>
        <v>4.21926620987702</v>
      </c>
      <c r="G16358" s="6" t="n">
        <f aca="false">Sens!G16351-Sens!G16355-Sens!G16357</f>
        <v>145.912453595622</v>
      </c>
      <c r="H16358" s="6" t="n">
        <f aca="false">Sens!H16351-Sens!H16355-Sens!H16357</f>
        <v>194.459405068574</v>
      </c>
      <c r="I16358" s="6" t="n">
        <f aca="false">Sens!I16351-Sens!I16355-Sens!I16357</f>
        <v>181.4468963406</v>
      </c>
      <c r="J16358" s="6" t="n">
        <f aca="false">Sens!J16351-Sens!J16355-Sens!J16357</f>
        <v>182.431012253812</v>
      </c>
      <c r="K16358" s="6" t="n">
        <f aca="false">Sens!K16351-Sens!K16355-Sens!K16357</f>
        <v>154.992589797971</v>
      </c>
      <c r="L16358" s="12" t="s">
        <v>1117</v>
      </c>
    </row>
    <row r="16359" customFormat="false" ht="15" hidden="false" customHeight="false" outlineLevel="0" collapsed="false">
      <c r="A16359" s="1" t="s">
        <v>1118</v>
      </c>
      <c r="B16359" s="0" t="s">
        <v>75</v>
      </c>
      <c r="F16359" s="8" t="n">
        <f aca="false">dps_27</f>
        <v>3.85</v>
      </c>
      <c r="G16359" s="8" t="n">
        <f aca="false">Sens!F16359*(1+dps_g)</f>
        <v>4.158</v>
      </c>
      <c r="H16359" s="8" t="n">
        <f aca="false">Sens!G16359*(1+dps_g)</f>
        <v>4.49064</v>
      </c>
      <c r="I16359" s="8" t="n">
        <f aca="false">Sens!H16359*(1+dps_g)</f>
        <v>4.8498912</v>
      </c>
      <c r="J16359" s="8" t="n">
        <f aca="false">Sens!I16359*(1+dps_g)</f>
        <v>5.237882496</v>
      </c>
      <c r="K16359" s="8" t="n">
        <f aca="false">Sens!J16359*(1+dps_g)</f>
        <v>5.65691309568</v>
      </c>
    </row>
    <row r="16360" customFormat="false" ht="17.15" hidden="false" customHeight="false" outlineLevel="0" collapsed="false">
      <c r="A16360" s="1" t="s">
        <v>1119</v>
      </c>
      <c r="B16360" s="0" t="s">
        <v>98</v>
      </c>
      <c r="E16360" s="6" t="n">
        <f aca="false">Q!M41</f>
        <v>26.445</v>
      </c>
      <c r="F16360" s="6" t="n">
        <f aca="false">Sens!F16359*Sens!E16369</f>
        <v>28.59395</v>
      </c>
      <c r="G16360" s="6" t="n">
        <f aca="false">Sens!G16359*Sens!F16369</f>
        <v>31.068576</v>
      </c>
      <c r="H16360" s="6" t="n">
        <f aca="false">Sens!H16359*Sens!G16369</f>
        <v>33.5883340530727</v>
      </c>
      <c r="I16360" s="6" t="n">
        <f aca="false">Sens!I16359*Sens!H16369</f>
        <v>36.3258390543911</v>
      </c>
      <c r="J16360" s="6" t="n">
        <f aca="false">Sens!J16359*Sens!I16369</f>
        <v>39.299804064135</v>
      </c>
      <c r="K16360" s="6" t="n">
        <f aca="false">Sens!K16359*Sens!J16369</f>
        <v>42.5305426516441</v>
      </c>
      <c r="L16360" s="1" t="s">
        <v>1120</v>
      </c>
    </row>
    <row r="16361" customFormat="false" ht="15" hidden="false" customHeight="false" outlineLevel="0" collapsed="false">
      <c r="A16361" s="1" t="s">
        <v>1121</v>
      </c>
      <c r="B16361" s="0" t="s">
        <v>98</v>
      </c>
      <c r="E16361" s="6" t="n">
        <f aca="false">Sens!E16358-Sens!E16360</f>
        <v>37.441</v>
      </c>
      <c r="F16361" s="6" t="n">
        <f aca="false">Sens!F16358-Sens!F16360</f>
        <v>-24.374683790123</v>
      </c>
      <c r="G16361" s="6" t="n">
        <f aca="false">Sens!G16358-Sens!G16360</f>
        <v>114.843877595622</v>
      </c>
      <c r="H16361" s="6" t="n">
        <f aca="false">Sens!H16358-Sens!H16360</f>
        <v>160.871071015502</v>
      </c>
      <c r="I16361" s="6" t="n">
        <f aca="false">Sens!I16358-Sens!I16360</f>
        <v>145.121057286208</v>
      </c>
      <c r="J16361" s="6" t="n">
        <f aca="false">Sens!J16358-Sens!J16360</f>
        <v>143.131208189677</v>
      </c>
      <c r="K16361" s="6" t="n">
        <f aca="false">Sens!K16358-Sens!K16360</f>
        <v>112.462047146327</v>
      </c>
    </row>
    <row r="16362" customFormat="false" ht="15" hidden="false" customHeight="false" outlineLevel="0" collapsed="false">
      <c r="A16362" s="1" t="s">
        <v>1122</v>
      </c>
      <c r="B16362" s="0" t="s">
        <v>98</v>
      </c>
      <c r="F16362" s="6" t="n">
        <f aca="false">debt_mat_27</f>
        <v>9.25</v>
      </c>
      <c r="G16362" s="6" t="n">
        <f aca="false">debt_mat_28</f>
        <v>0</v>
      </c>
      <c r="H16362" s="6" t="n">
        <f aca="false">debt_mat_29</f>
        <v>2.001</v>
      </c>
      <c r="I16362" s="6" t="n">
        <f aca="false">debt_mat_30</f>
        <v>0</v>
      </c>
      <c r="J16362" s="6" t="n">
        <f aca="false">debt_mat_31</f>
        <v>0.5</v>
      </c>
      <c r="K16362" s="6" t="n">
        <f aca="false">debt_mat_32</f>
        <v>0</v>
      </c>
    </row>
    <row r="16363" customFormat="false" ht="15" hidden="false" customHeight="false" outlineLevel="0" collapsed="false">
      <c r="A16363" s="1" t="s">
        <v>1123</v>
      </c>
      <c r="B16363" s="0" t="s">
        <v>98</v>
      </c>
      <c r="E16363" s="6" t="n">
        <f aca="false">Q!M40</f>
        <v>22.271</v>
      </c>
      <c r="F16363" s="6" t="n">
        <f aca="false">MAX(0,MIN(bb_target,Sens!E16365+Sens!F16361-Sens!F16362-min_cash))</f>
        <v>0</v>
      </c>
      <c r="G16363" s="6" t="n">
        <f aca="false">MAX(0,MIN(bb_target,Sens!F16365+Sens!G16361-Sens!G16362-min_cash))</f>
        <v>22.271</v>
      </c>
      <c r="H16363" s="6" t="n">
        <f aca="false">MAX(0,MIN(bb_target,Sens!G16365+Sens!H16361-Sens!H16362-min_cash))</f>
        <v>22.271</v>
      </c>
      <c r="I16363" s="6" t="n">
        <f aca="false">MAX(0,MIN(bb_target,Sens!H16365+Sens!I16361-Sens!I16362-min_cash))</f>
        <v>22.271</v>
      </c>
      <c r="J16363" s="6" t="n">
        <f aca="false">MAX(0,MIN(bb_target,Sens!I16365+Sens!J16361-Sens!J16362-min_cash))</f>
        <v>22.271</v>
      </c>
      <c r="K16363" s="6" t="n">
        <f aca="false">MAX(0,MIN(bb_target,Sens!J16365+Sens!K16361-Sens!K16362-min_cash))</f>
        <v>22.271</v>
      </c>
    </row>
    <row r="16364" customFormat="false" ht="15" hidden="false" customHeight="false" outlineLevel="0" collapsed="false">
      <c r="A16364" s="1" t="s">
        <v>1124</v>
      </c>
      <c r="B16364" s="0" t="s">
        <v>98</v>
      </c>
      <c r="F16364" s="6" t="n">
        <f aca="false">MAX(0,min_cash-(Sens!E16365+Sens!F16361-Sens!F16362-Sens!F16363))</f>
        <v>6.78168379012298</v>
      </c>
      <c r="G16364" s="6" t="n">
        <f aca="false">MAX(0,min_cash-(Sens!F16365+Sens!G16361-Sens!G16362-Sens!G16363))</f>
        <v>0</v>
      </c>
      <c r="H16364" s="6" t="n">
        <f aca="false">MAX(0,min_cash-(Sens!G16365+Sens!H16361-Sens!H16362-Sens!H16363))</f>
        <v>0</v>
      </c>
      <c r="I16364" s="6" t="n">
        <f aca="false">MAX(0,min_cash-(Sens!H16365+Sens!I16361-Sens!I16362-Sens!I16363))</f>
        <v>0</v>
      </c>
      <c r="J16364" s="6" t="n">
        <f aca="false">MAX(0,min_cash-(Sens!I16365+Sens!J16361-Sens!J16362-Sens!J16363))</f>
        <v>0</v>
      </c>
      <c r="K16364" s="6" t="n">
        <f aca="false">MAX(0,min_cash-(Sens!J16365+Sens!K16361-Sens!K16362-Sens!K16363))</f>
        <v>0</v>
      </c>
    </row>
    <row r="16365" customFormat="false" ht="15" hidden="false" customHeight="false" outlineLevel="0" collapsed="false">
      <c r="A16365" s="1" t="s">
        <v>1125</v>
      </c>
      <c r="B16365" s="0" t="s">
        <v>98</v>
      </c>
      <c r="E16365" s="6" t="n">
        <f aca="false">cash_open</f>
        <v>76.843</v>
      </c>
      <c r="F16365" s="6" t="n">
        <f aca="false">Sens!E16365+Sens!F16361-Sens!F16362-Sens!F16363+Sens!F16364</f>
        <v>50</v>
      </c>
      <c r="G16365" s="6" t="n">
        <f aca="false">Sens!F16365+Sens!G16361-Sens!G16362-Sens!G16363+Sens!G16364</f>
        <v>142.572877595622</v>
      </c>
      <c r="H16365" s="6" t="n">
        <f aca="false">Sens!G16365+Sens!H16361-Sens!H16362-Sens!H16363+Sens!H16364</f>
        <v>279.171948611124</v>
      </c>
      <c r="I16365" s="6" t="n">
        <f aca="false">Sens!H16365+Sens!I16361-Sens!I16362-Sens!I16363+Sens!I16364</f>
        <v>402.022005897332</v>
      </c>
      <c r="J16365" s="6" t="n">
        <f aca="false">Sens!I16365+Sens!J16361-Sens!J16362-Sens!J16363+Sens!J16364</f>
        <v>522.382214087009</v>
      </c>
      <c r="K16365" s="6" t="n">
        <f aca="false">Sens!J16365+Sens!K16361-Sens!K16362-Sens!K16363+Sens!K16364</f>
        <v>612.573261233336</v>
      </c>
    </row>
    <row r="16366" customFormat="false" ht="15" hidden="false" customHeight="false" outlineLevel="0" collapsed="false">
      <c r="A16366" s="1" t="s">
        <v>1126</v>
      </c>
      <c r="B16366" s="0" t="s">
        <v>98</v>
      </c>
      <c r="E16366" s="6" t="n">
        <f aca="false">debt_face</f>
        <v>46.136</v>
      </c>
      <c r="F16366" s="6" t="n">
        <f aca="false">Sens!E16366-Sens!F16362+Sens!F16364</f>
        <v>43.667683790123</v>
      </c>
      <c r="G16366" s="6" t="n">
        <f aca="false">Sens!F16366-Sens!G16362+Sens!G16364</f>
        <v>43.667683790123</v>
      </c>
      <c r="H16366" s="6" t="n">
        <f aca="false">Sens!G16366-Sens!H16362+Sens!H16364</f>
        <v>41.666683790123</v>
      </c>
      <c r="I16366" s="6" t="n">
        <f aca="false">Sens!H16366-Sens!I16362+Sens!I16364</f>
        <v>41.666683790123</v>
      </c>
      <c r="J16366" s="6" t="n">
        <f aca="false">Sens!I16366-Sens!J16362+Sens!J16364</f>
        <v>41.166683790123</v>
      </c>
      <c r="K16366" s="6" t="n">
        <f aca="false">Sens!J16366-Sens!K16362+Sens!K16364</f>
        <v>41.166683790123</v>
      </c>
    </row>
    <row r="16367" customFormat="false" ht="15" hidden="false" customHeight="false" outlineLevel="0" collapsed="false">
      <c r="A16367" s="1" t="s">
        <v>1127</v>
      </c>
      <c r="B16367" s="0" t="s">
        <v>98</v>
      </c>
      <c r="E16367" s="6" t="n">
        <f aca="false">Sens!E16365-Sens!E16366</f>
        <v>30.707</v>
      </c>
      <c r="F16367" s="6" t="n">
        <f aca="false">Sens!F16365-Sens!F16366</f>
        <v>6.33231620987701</v>
      </c>
      <c r="G16367" s="6" t="n">
        <f aca="false">Sens!G16365-Sens!G16366</f>
        <v>98.9051938054992</v>
      </c>
      <c r="H16367" s="6" t="n">
        <f aca="false">Sens!H16365-Sens!H16366</f>
        <v>237.505264821001</v>
      </c>
      <c r="I16367" s="6" t="n">
        <f aca="false">Sens!I16365-Sens!I16366</f>
        <v>360.355322107209</v>
      </c>
      <c r="J16367" s="6" t="n">
        <f aca="false">Sens!J16365-Sens!J16366</f>
        <v>481.215530296886</v>
      </c>
      <c r="K16367" s="6" t="n">
        <f aca="false">Sens!K16365-Sens!K16366</f>
        <v>571.406577443213</v>
      </c>
    </row>
    <row r="16368" customFormat="false" ht="15" hidden="false" customHeight="false" outlineLevel="0" collapsed="false">
      <c r="A16368" s="1" t="s">
        <v>1128</v>
      </c>
      <c r="B16368" s="0" t="s">
        <v>75</v>
      </c>
      <c r="F16368" s="30" t="n">
        <f aca="false">px*(1+bb_g)^(Sens!F16226-base_fy-mid_yr)</f>
        <v>551.84177959629</v>
      </c>
      <c r="G16368" s="30" t="n">
        <f aca="false">px*(1+bb_g)^(Sens!G16226-base_fy-mid_yr)</f>
        <v>595.989121963993</v>
      </c>
      <c r="H16368" s="30" t="n">
        <f aca="false">px*(1+bb_g)^(Sens!H16226-base_fy-mid_yr)</f>
        <v>643.668251721112</v>
      </c>
      <c r="I16368" s="30" t="n">
        <f aca="false">px*(1+bb_g)^(Sens!I16226-base_fy-mid_yr)</f>
        <v>695.161711858801</v>
      </c>
      <c r="J16368" s="30" t="n">
        <f aca="false">px*(1+bb_g)^(Sens!J16226-base_fy-mid_yr)</f>
        <v>750.774648807506</v>
      </c>
      <c r="K16368" s="30" t="n">
        <f aca="false">px*(1+bb_g)^(Sens!K16226-base_fy-mid_yr)</f>
        <v>810.836620712106</v>
      </c>
    </row>
    <row r="16369" customFormat="false" ht="15" hidden="false" customHeight="false" outlineLevel="0" collapsed="false">
      <c r="A16369" s="1" t="s">
        <v>1129</v>
      </c>
      <c r="B16369" s="1" t="s">
        <v>81</v>
      </c>
      <c r="E16369" s="15" t="n">
        <f aca="false">sh_out26</f>
        <v>7.427</v>
      </c>
      <c r="F16369" s="15" t="n">
        <f aca="false">Sens!E16369+sh_iss-Sens!F16363/Sens!F16368</f>
        <v>7.472</v>
      </c>
      <c r="G16369" s="15" t="n">
        <f aca="false">Sens!F16369+sh_iss-Sens!G16363/Sens!G16368</f>
        <v>7.47963186830221</v>
      </c>
      <c r="H16369" s="15" t="n">
        <f aca="false">Sens!G16369+sh_iss-Sens!H16363/Sens!H16368</f>
        <v>7.49003174635981</v>
      </c>
      <c r="I16369" s="15" t="n">
        <f aca="false">Sens!H16369+sh_iss-Sens!I16363/Sens!I16368</f>
        <v>7.50299459641315</v>
      </c>
      <c r="J16369" s="15" t="n">
        <f aca="false">Sens!I16369+sh_iss-Sens!J16363/Sens!J16368</f>
        <v>7.51833056868476</v>
      </c>
      <c r="K16369" s="15" t="n">
        <f aca="false">Sens!J16369+sh_iss-Sens!K16363/Sens!K16368</f>
        <v>7.53586387634365</v>
      </c>
    </row>
    <row r="16370" customFormat="false" ht="15" hidden="false" customHeight="false" outlineLevel="0" collapsed="false">
      <c r="A16370" s="1" t="s">
        <v>1130</v>
      </c>
      <c r="B16370" s="1" t="s">
        <v>81</v>
      </c>
      <c r="E16370" s="15" t="n">
        <f aca="false">sh_dil26</f>
        <v>7.453</v>
      </c>
      <c r="F16370" s="15" t="n">
        <f aca="false">(Sens!E16369+Sens!F16369)/2+dil_gap</f>
        <v>7.4735</v>
      </c>
      <c r="G16370" s="15" t="n">
        <f aca="false">(Sens!F16369+Sens!G16369)/2+dil_gap</f>
        <v>7.49981593415111</v>
      </c>
      <c r="H16370" s="15" t="n">
        <f aca="false">(Sens!G16369+Sens!H16369)/2+dil_gap</f>
        <v>7.50883180733101</v>
      </c>
      <c r="I16370" s="15" t="n">
        <f aca="false">(Sens!H16369+Sens!I16369)/2+dil_gap</f>
        <v>7.52051317138648</v>
      </c>
      <c r="J16370" s="15" t="n">
        <f aca="false">(Sens!I16369+Sens!J16369)/2+dil_gap</f>
        <v>7.53466258254895</v>
      </c>
      <c r="K16370" s="15" t="n">
        <f aca="false">(Sens!J16369+Sens!K16369)/2+dil_gap</f>
        <v>7.55109722251421</v>
      </c>
    </row>
    <row r="16371" customFormat="false" ht="17.15" hidden="false" customHeight="false" outlineLevel="0" collapsed="false">
      <c r="A16371" s="1" t="s">
        <v>1131</v>
      </c>
      <c r="B16371" s="0" t="s">
        <v>98</v>
      </c>
      <c r="C16371" s="6" t="n">
        <f aca="false">SUM(Sens!F16361:J16361)</f>
        <v>539.592530296886</v>
      </c>
    </row>
    <row r="16372" customFormat="false" ht="15" hidden="false" customHeight="false" outlineLevel="0" collapsed="false">
      <c r="A16372" s="26" t="s">
        <v>1096</v>
      </c>
      <c r="B16372" s="31" t="s">
        <v>98</v>
      </c>
      <c r="C16372" s="27" t="n">
        <f aca="false">Sens!$C$16371-(Sens!F16361+Sens!G16361+Sens!H16361+Sens!I16361+Sens!J16361)</f>
        <v>0</v>
      </c>
      <c r="D16372" s="31"/>
      <c r="E16372" s="31"/>
      <c r="F16372" s="31"/>
      <c r="G16372" s="31"/>
      <c r="H16372" s="31"/>
      <c r="I16372" s="31"/>
      <c r="J16372" s="31"/>
      <c r="K16372" s="31"/>
    </row>
    <row r="16373" customFormat="false" ht="17.15" hidden="false" customHeight="false" outlineLevel="0" collapsed="false">
      <c r="A16373" s="1" t="s">
        <v>1090</v>
      </c>
      <c r="B16373" s="1" t="s">
        <v>1132</v>
      </c>
      <c r="C16373" s="33" t="str">
        <f aca="false">IF(SUM(Sens!F16364:J16364)&gt;0.05,"需要舉債 "&amp;TEXT(SUM(Sens!F16364:J16364),"0.0")&amp;" 十億美元","不需舉債")&amp;"；"&amp;IF(SUM(Sens!F16363:J16363)&lt;COUNT(Sens!F16363:J16363)*bb_target-0.05,"回購較每年 "&amp;TEXT(bb_target,"0.0")&amp;" 的目標少 "&amp;TEXT(COUNT(Sens!F16363:J16363)*bb_target-SUM(Sens!F16363:J16363),"0.0")&amp;" 十億美元（"&amp;TEXT(COUNTIF(Sens!F16363:J16363,"&lt;"&amp;(bb_target-0.05)),"0")&amp;" 年減少）","回購不減")</f>
        <v>需要舉債 6.8 十億美元；回購較每年 22.3 的目標少 22.3 十億美元（1 年減少）</v>
      </c>
    </row>
    <row r="16374" customFormat="false" ht="17.15" hidden="false" customHeight="false" outlineLevel="0" collapsed="false">
      <c r="A16374" s="3" t="s">
        <v>1883</v>
      </c>
    </row>
    <row r="16375" customFormat="false" ht="15" hidden="false" customHeight="false" outlineLevel="0" collapsed="false">
      <c r="A16375" s="4" t="s">
        <v>43</v>
      </c>
      <c r="B16375" s="4" t="s">
        <v>65</v>
      </c>
      <c r="C16375" s="23" t="s">
        <v>938</v>
      </c>
      <c r="D16375" s="23" t="s">
        <v>939</v>
      </c>
      <c r="E16375" s="23" t="s">
        <v>940</v>
      </c>
      <c r="F16375" s="23" t="s">
        <v>941</v>
      </c>
      <c r="G16375" s="23" t="s">
        <v>942</v>
      </c>
      <c r="H16375" s="23" t="s">
        <v>943</v>
      </c>
      <c r="I16375" s="23" t="s">
        <v>944</v>
      </c>
      <c r="J16375" s="23" t="s">
        <v>945</v>
      </c>
      <c r="K16375" s="23" t="s">
        <v>946</v>
      </c>
      <c r="L16375" s="4" t="s">
        <v>47</v>
      </c>
    </row>
    <row r="16376" customFormat="false" ht="17.15" hidden="false" customHeight="false" outlineLevel="0" collapsed="false">
      <c r="A16376" s="1" t="s">
        <v>1212</v>
      </c>
      <c r="B16376" s="1" t="s">
        <v>279</v>
      </c>
      <c r="F16376" s="8" t="n">
        <f aca="false">(1-v_off)*mid_yr</f>
        <v>0.373972602739726</v>
      </c>
      <c r="G16376" s="8" t="n">
        <f aca="false">Sens!G16226-base_fy-mid_yr-v_off</f>
        <v>1.24794520547945</v>
      </c>
      <c r="H16376" s="8" t="n">
        <f aca="false">Sens!H16226-base_fy-mid_yr-v_off</f>
        <v>2.24794520547945</v>
      </c>
      <c r="I16376" s="8" t="n">
        <f aca="false">Sens!I16226-base_fy-mid_yr-v_off</f>
        <v>3.24794520547945</v>
      </c>
      <c r="J16376" s="8" t="n">
        <f aca="false">Sens!J16226-base_fy-mid_yr-v_off</f>
        <v>4.24794520547945</v>
      </c>
      <c r="K16376" s="8" t="n">
        <f aca="false">Sens!K16226-base_fy-mid_yr-v_off</f>
        <v>5.24794520547945</v>
      </c>
      <c r="L16376" s="12" t="s">
        <v>1213</v>
      </c>
    </row>
    <row r="16377" customFormat="false" ht="15" hidden="false" customHeight="false" outlineLevel="0" collapsed="false">
      <c r="A16377" s="1" t="s">
        <v>1214</v>
      </c>
      <c r="B16377" s="1" t="s">
        <v>279</v>
      </c>
      <c r="F16377" s="8" t="n">
        <f aca="false">Sens!F16226-base_fy-v_off</f>
        <v>0.747945205479452</v>
      </c>
      <c r="G16377" s="8" t="n">
        <f aca="false">Sens!G16226-base_fy-v_off</f>
        <v>1.74794520547945</v>
      </c>
      <c r="H16377" s="8" t="n">
        <f aca="false">Sens!H16226-base_fy-v_off</f>
        <v>2.74794520547945</v>
      </c>
      <c r="I16377" s="8" t="n">
        <f aca="false">Sens!I16226-base_fy-v_off</f>
        <v>3.74794520547945</v>
      </c>
      <c r="J16377" s="8" t="n">
        <f aca="false">Sens!J16226-base_fy-v_off</f>
        <v>4.74794520547945</v>
      </c>
      <c r="K16377" s="8" t="n">
        <f aca="false">Sens!K16226-base_fy-v_off</f>
        <v>5.74794520547945</v>
      </c>
    </row>
    <row r="16378" customFormat="false" ht="15" hidden="false" customHeight="false" outlineLevel="0" collapsed="false">
      <c r="A16378" s="1" t="s">
        <v>1215</v>
      </c>
      <c r="B16378" s="0" t="s">
        <v>229</v>
      </c>
      <c r="F16378" s="15" t="n">
        <f aca="false">1/(1+wacc)^Sens!F16376</f>
        <v>0.964022703286649</v>
      </c>
      <c r="G16378" s="15" t="n">
        <f aca="false">1/(1+wacc)^Sens!G16376</f>
        <v>0.884910302296739</v>
      </c>
      <c r="H16378" s="15" t="n">
        <f aca="false">1/(1+wacc)^Sens!H16376</f>
        <v>0.802322009770358</v>
      </c>
      <c r="I16378" s="15" t="n">
        <f aca="false">1/(1+wacc)^Sens!I16376</f>
        <v>0.727441646561469</v>
      </c>
      <c r="J16378" s="15" t="n">
        <f aca="false">1/(1+wacc)^Sens!J16376</f>
        <v>0.659549834988973</v>
      </c>
      <c r="K16378" s="15" t="n">
        <f aca="false">1/(1+wacc)^Sens!K16376</f>
        <v>0.597994336576966</v>
      </c>
    </row>
    <row r="16379" customFormat="false" ht="17.15" hidden="false" customHeight="false" outlineLevel="0" collapsed="false">
      <c r="A16379" s="1" t="s">
        <v>1216</v>
      </c>
      <c r="B16379" s="0" t="s">
        <v>98</v>
      </c>
      <c r="F16379" s="6" t="n">
        <f aca="false">Q!$I$35-Q!$I$39-Q!$I$43</f>
        <v>9.666</v>
      </c>
      <c r="L16379" s="12" t="s">
        <v>1217</v>
      </c>
    </row>
    <row r="16380" customFormat="false" ht="17.15" hidden="false" customHeight="false" outlineLevel="0" collapsed="false">
      <c r="A16380" s="1" t="s">
        <v>1218</v>
      </c>
      <c r="B16380" s="0" t="s">
        <v>98</v>
      </c>
      <c r="F16380" s="6" t="n">
        <f aca="false">Sens!F16351-Sens!F16348-Sens!F16355+Sens!F16333*(1-tax_f)*(1-v_off)-Sens!F16379</f>
        <v>-15.6958010422432</v>
      </c>
      <c r="G16380" s="6" t="n">
        <f aca="false">Sens!G16351-Sens!G16348-Sens!G16355+Sens!G16333*(1-tax_f)</f>
        <v>134.444417958457</v>
      </c>
      <c r="H16380" s="6" t="n">
        <f aca="false">Sens!H16351-Sens!H16348-Sens!H16355+Sens!H16333*(1-tax_f)</f>
        <v>181.132593123775</v>
      </c>
      <c r="I16380" s="6" t="n">
        <f aca="false">Sens!I16351-Sens!I16348-Sens!I16355+Sens!I16333*(1-tax_f)</f>
        <v>166.720076783286</v>
      </c>
      <c r="J16380" s="6" t="n">
        <f aca="false">Sens!J16351-Sens!J16348-Sens!J16355+Sens!J16333*(1-tax_f)</f>
        <v>166.462637035111</v>
      </c>
      <c r="K16380" s="6" t="n">
        <f aca="false">Sens!K16351-Sens!K16348-Sens!K16355+Sens!K16333*(1-tax_f)</f>
        <v>137.89602931578</v>
      </c>
      <c r="L16380" s="1" t="s">
        <v>1219</v>
      </c>
    </row>
    <row r="16381" customFormat="false" ht="15" hidden="false" customHeight="false" outlineLevel="0" collapsed="false">
      <c r="A16381" s="1" t="s">
        <v>1220</v>
      </c>
      <c r="B16381" s="0" t="s">
        <v>98</v>
      </c>
      <c r="F16381" s="6" t="n">
        <f aca="false">Sens!F16380*Sens!F16378</f>
        <v>-15.1311085509927</v>
      </c>
      <c r="G16381" s="6" t="n">
        <f aca="false">Sens!G16380*Sens!G16378</f>
        <v>118.971250537728</v>
      </c>
      <c r="H16381" s="6" t="n">
        <f aca="false">Sens!H16380*Sens!H16378</f>
        <v>145.326666149983</v>
      </c>
      <c r="I16381" s="6" t="n">
        <f aca="false">Sens!I16380*Sens!I16378</f>
        <v>121.279127170088</v>
      </c>
      <c r="J16381" s="6" t="n">
        <f aca="false">Sens!J16380*Sens!J16378</f>
        <v>109.790404788337</v>
      </c>
      <c r="K16381" s="6" t="n">
        <f aca="false">Sens!K16380*Sens!K16378</f>
        <v>82.4610445672878</v>
      </c>
    </row>
    <row r="16382" customFormat="false" ht="17.15" hidden="false" customHeight="false" outlineLevel="0" collapsed="false">
      <c r="A16382" s="1" t="s">
        <v>1221</v>
      </c>
      <c r="B16382" s="0" t="s">
        <v>98</v>
      </c>
      <c r="C16382" s="6" t="n">
        <f aca="false">SUM(Sens!F16381:K16381)</f>
        <v>562.697384662431</v>
      </c>
    </row>
    <row r="16383" customFormat="false" ht="17.15" hidden="false" customHeight="false" outlineLevel="0" collapsed="false">
      <c r="A16383" s="1" t="s">
        <v>1222</v>
      </c>
      <c r="B16383" s="0" t="s">
        <v>98</v>
      </c>
      <c r="C16383" s="6" t="n">
        <f aca="false">Sens!K16319*(1+g_tv)*(1-tax_f)</f>
        <v>214.420229795818</v>
      </c>
    </row>
    <row r="16384" customFormat="false" ht="17.15" hidden="false" customHeight="false" outlineLevel="0" collapsed="false">
      <c r="A16384" s="1" t="s">
        <v>1223</v>
      </c>
      <c r="B16384" s="0" t="s">
        <v>98</v>
      </c>
      <c r="C16384" s="6" t="n">
        <f aca="false">Sens!$C$16383*(1-g_tv/(wacc+ronic_prem))</f>
        <v>151.929264874761</v>
      </c>
    </row>
    <row r="16385" customFormat="false" ht="17.15" hidden="false" customHeight="false" outlineLevel="0" collapsed="false">
      <c r="A16385" s="1" t="s">
        <v>1224</v>
      </c>
      <c r="B16385" s="0" t="s">
        <v>98</v>
      </c>
      <c r="C16385" s="6" t="n">
        <f aca="false">Sens!$C$16384/(wacc-g_tv)</f>
        <v>2083.03216403524</v>
      </c>
    </row>
    <row r="16386" customFormat="false" ht="15" hidden="false" customHeight="false" outlineLevel="0" collapsed="false">
      <c r="A16386" s="1" t="s">
        <v>1225</v>
      </c>
      <c r="B16386" s="0" t="s">
        <v>98</v>
      </c>
      <c r="C16386" s="6" t="n">
        <f aca="false">Sens!$C$16385/(1+wacc)^Sens!K16377</f>
        <v>1186.09035494226</v>
      </c>
    </row>
    <row r="16387" customFormat="false" ht="17.15" hidden="false" customHeight="false" outlineLevel="0" collapsed="false">
      <c r="A16387" s="0" t="s">
        <v>1226</v>
      </c>
      <c r="B16387" s="0" t="s">
        <v>98</v>
      </c>
      <c r="C16387" s="6" t="n">
        <f aca="false">Sens!$C$16382+Sens!$C$16386</f>
        <v>1748.78773960469</v>
      </c>
    </row>
    <row r="16388" customFormat="false" ht="15" hidden="false" customHeight="false" outlineLevel="0" collapsed="false">
      <c r="A16388" s="1" t="s">
        <v>1141</v>
      </c>
      <c r="B16388" s="0" t="s">
        <v>168</v>
      </c>
      <c r="C16388" s="7" t="n">
        <f aca="false">Sens!$C$16386/Sens!$C$16387</f>
        <v>0.678235744728158</v>
      </c>
    </row>
    <row r="16389" customFormat="false" ht="17.15" hidden="false" customHeight="false" outlineLevel="0" collapsed="false">
      <c r="A16389" s="1" t="s">
        <v>1227</v>
      </c>
      <c r="B16389" s="0" t="s">
        <v>98</v>
      </c>
      <c r="C16389" s="6" t="n">
        <f aca="false">Sens!$C$16387+cash_val-debt_val-fl_val+oai_v</f>
        <v>1864.63873960469</v>
      </c>
    </row>
    <row r="16390" customFormat="false" ht="17.15" hidden="false" customHeight="false" outlineLevel="0" collapsed="false">
      <c r="A16390" s="0" t="s">
        <v>1149</v>
      </c>
      <c r="B16390" s="0" t="s">
        <v>75</v>
      </c>
      <c r="C16390" s="5" t="n">
        <f aca="false">Sens!$C$16389/shd_val</f>
        <v>250.421533656284</v>
      </c>
    </row>
    <row r="16391" customFormat="false" ht="15" hidden="false" customHeight="false" outlineLevel="0" collapsed="false">
      <c r="A16391" s="1" t="s">
        <v>1228</v>
      </c>
      <c r="B16391" s="0" t="s">
        <v>75</v>
      </c>
      <c r="C16391" s="8" t="n">
        <f aca="false">div_rem27+Sens!G16359*roll_div_q/q_per_yr</f>
        <v>3.9795</v>
      </c>
    </row>
    <row r="16392" customFormat="false" ht="17.15" hidden="false" customHeight="false" outlineLevel="0" collapsed="false">
      <c r="A16392" s="0" t="s">
        <v>1229</v>
      </c>
      <c r="B16392" s="0" t="s">
        <v>75</v>
      </c>
      <c r="C16392" s="5" t="n">
        <f aca="false">Sens!$C$16390*(1+wacc)^t_roll-Sens!$C$16391</f>
        <v>274.378010871021</v>
      </c>
    </row>
    <row r="16393" customFormat="false" ht="17.15" hidden="false" customHeight="false" outlineLevel="0" collapsed="false">
      <c r="A16393" s="1" t="s">
        <v>1230</v>
      </c>
      <c r="B16393" s="0" t="s">
        <v>168</v>
      </c>
      <c r="F16393" s="7" t="n">
        <f aca="false">Sens!F16345/(Sens!F16290-Sens!F16245)</f>
        <v>0.108177737857631</v>
      </c>
      <c r="G16393" s="7" t="n">
        <f aca="false">Sens!G16345/(Sens!G16290-Sens!G16245)</f>
        <v>0.0982891563402672</v>
      </c>
      <c r="H16393" s="7" t="n">
        <f aca="false">Sens!H16345/(Sens!H16290-Sens!H16245)</f>
        <v>0.0912602205424856</v>
      </c>
      <c r="I16393" s="7" t="n">
        <f aca="false">Sens!I16345/(Sens!I16290-Sens!I16245)</f>
        <v>0.0866163453176461</v>
      </c>
      <c r="J16393" s="7" t="n">
        <f aca="false">Sens!J16345/(Sens!J16290-Sens!J16245)</f>
        <v>0.0838316059702677</v>
      </c>
      <c r="K16393" s="7" t="n">
        <f aca="false">Sens!K16345/(Sens!K16290-Sens!K16245)</f>
        <v>0.0824143965668911</v>
      </c>
    </row>
    <row r="16394" customFormat="false" ht="17.15" hidden="false" customHeight="false" outlineLevel="0" collapsed="false">
      <c r="A16394" s="0" t="s">
        <v>1231</v>
      </c>
      <c r="B16394" s="0" t="s">
        <v>98</v>
      </c>
      <c r="F16394" s="6" t="n">
        <f aca="false">Sens!F16275*(al_m365+Sens!F16393+sbc_r)</f>
        <v>87.5573773987304</v>
      </c>
      <c r="G16394" s="6" t="n">
        <f aca="false">Sens!G16275*(al_m365+Sens!G16393+sbc_r)</f>
        <v>97.5466598616462</v>
      </c>
      <c r="H16394" s="6" t="n">
        <f aca="false">Sens!H16275*(al_m365+Sens!H16393+sbc_r)</f>
        <v>107.718043671489</v>
      </c>
      <c r="I16394" s="6" t="n">
        <f aca="false">Sens!I16275*(al_m365+Sens!I16393+sbc_r)</f>
        <v>117.393288430689</v>
      </c>
      <c r="J16394" s="6" t="n">
        <f aca="false">Sens!J16275*(al_m365+Sens!J16393+sbc_r)</f>
        <v>126.392302333988</v>
      </c>
      <c r="K16394" s="6" t="n">
        <f aca="false">Sens!K16275*(al_m365+Sens!K16393+sbc_r)</f>
        <v>135.033396203543</v>
      </c>
      <c r="L16394" s="12" t="s">
        <v>1232</v>
      </c>
    </row>
    <row r="16395" customFormat="false" ht="17.15" hidden="false" customHeight="false" outlineLevel="0" collapsed="false">
      <c r="A16395" s="0" t="s">
        <v>1233</v>
      </c>
      <c r="B16395" s="0" t="s">
        <v>98</v>
      </c>
      <c r="F16395" s="6" t="n">
        <f aca="false">Sens!F16276*(al_lic+Sens!F16393+sbc_r)</f>
        <v>34.3762117985167</v>
      </c>
      <c r="G16395" s="6" t="n">
        <f aca="false">Sens!G16276*(al_lic+Sens!G16393+sbc_r)</f>
        <v>35.4362005420265</v>
      </c>
      <c r="H16395" s="6" t="n">
        <f aca="false">Sens!H16276*(al_lic+Sens!H16393+sbc_r)</f>
        <v>36.4472029817648</v>
      </c>
      <c r="I16395" s="6" t="n">
        <f aca="false">Sens!I16276*(al_lic+Sens!I16393+sbc_r)</f>
        <v>37.3847018642724</v>
      </c>
      <c r="J16395" s="6" t="n">
        <f aca="false">Sens!J16276*(al_lic+Sens!J16393+sbc_r)</f>
        <v>38.2190665310661</v>
      </c>
      <c r="K16395" s="6" t="n">
        <f aca="false">Sens!K16276*(al_lic+Sens!K16393+sbc_r)</f>
        <v>38.9200332509219</v>
      </c>
    </row>
    <row r="16396" customFormat="false" ht="17.15" hidden="false" customHeight="false" outlineLevel="0" collapsed="false">
      <c r="A16396" s="0" t="s">
        <v>1234</v>
      </c>
      <c r="B16396" s="0" t="s">
        <v>98</v>
      </c>
      <c r="F16396" s="6" t="n">
        <f aca="false">Sens!F16278*(al_ind+Sens!F16393+sbc_r)</f>
        <v>9.94320426334936</v>
      </c>
      <c r="G16396" s="6" t="n">
        <f aca="false">Sens!G16278*(al_ind+Sens!G16393+sbc_r)</f>
        <v>10.627928956782</v>
      </c>
      <c r="H16396" s="6" t="n">
        <f aca="false">Sens!H16278*(al_ind+Sens!H16393+sbc_r)</f>
        <v>11.3697608677774</v>
      </c>
      <c r="I16396" s="6" t="n">
        <f aca="false">Sens!I16278*(al_ind+Sens!I16393+sbc_r)</f>
        <v>12.1638752630046</v>
      </c>
      <c r="J16396" s="6" t="n">
        <f aca="false">Sens!J16278*(al_ind+Sens!J16393+sbc_r)</f>
        <v>12.999721658117</v>
      </c>
      <c r="K16396" s="6" t="n">
        <f aca="false">Sens!K16278*(al_ind+Sens!K16393+sbc_r)</f>
        <v>13.8629018500533</v>
      </c>
    </row>
    <row r="16397" customFormat="false" ht="17.15" hidden="false" customHeight="false" outlineLevel="0" collapsed="false">
      <c r="A16397" s="0" t="s">
        <v>1235</v>
      </c>
      <c r="B16397" s="0" t="s">
        <v>98</v>
      </c>
      <c r="F16397" s="6" t="n">
        <f aca="false">Sens!F16280*(al_fro+Sens!F16393+sbc_r)</f>
        <v>3.90031068680128</v>
      </c>
      <c r="G16397" s="6" t="n">
        <f aca="false">Sens!G16280*(al_fro+Sens!G16393+sbc_r)</f>
        <v>4.06655710190904</v>
      </c>
      <c r="H16397" s="6" t="n">
        <f aca="false">Sens!H16280*(al_fro+Sens!H16393+sbc_r)</f>
        <v>4.2698788346887</v>
      </c>
      <c r="I16397" s="6" t="n">
        <f aca="false">Sens!I16280*(al_fro+Sens!I16393+sbc_r)</f>
        <v>4.51143508730516</v>
      </c>
      <c r="J16397" s="6" t="n">
        <f aca="false">Sens!J16280*(al_fro+Sens!J16393+sbc_r)</f>
        <v>4.79137285964274</v>
      </c>
      <c r="K16397" s="6" t="n">
        <f aca="false">Sens!K16280*(al_fro+Sens!K16393+sbc_r)</f>
        <v>5.10951952873256</v>
      </c>
    </row>
    <row r="16398" customFormat="false" ht="17.15" hidden="false" customHeight="false" outlineLevel="0" collapsed="false">
      <c r="A16398" s="0" t="s">
        <v>1236</v>
      </c>
      <c r="B16398" s="0" t="s">
        <v>98</v>
      </c>
      <c r="F16398" s="6" t="n">
        <f aca="false">Sens!F16283*(al_srch+Sens!F16393+sbc_r)</f>
        <v>12.2792814319747</v>
      </c>
      <c r="G16398" s="6" t="n">
        <f aca="false">Sens!G16283*(al_srch+Sens!G16393+sbc_r)</f>
        <v>13.2487150889011</v>
      </c>
      <c r="H16398" s="6" t="n">
        <f aca="false">Sens!H16283*(al_srch+Sens!H16393+sbc_r)</f>
        <v>14.2743109424213</v>
      </c>
      <c r="I16398" s="6" t="n">
        <f aca="false">Sens!I16283*(al_srch+Sens!I16393+sbc_r)</f>
        <v>15.3441074202405</v>
      </c>
      <c r="J16398" s="6" t="n">
        <f aca="false">Sens!J16283*(al_srch+Sens!J16393+sbc_r)</f>
        <v>16.437790074854</v>
      </c>
      <c r="K16398" s="6" t="n">
        <f aca="false">Sens!K16283*(al_srch+Sens!K16393+sbc_r)</f>
        <v>17.5292576589282</v>
      </c>
    </row>
    <row r="16399" customFormat="false" ht="17.15" hidden="false" customHeight="false" outlineLevel="0" collapsed="false">
      <c r="A16399" s="0" t="s">
        <v>1237</v>
      </c>
      <c r="B16399" s="0" t="s">
        <v>98</v>
      </c>
      <c r="F16399" s="6" t="n">
        <f aca="false">Sens!F16251-Sens!F16252+Sens!F16333</f>
        <v>20.2210578540808</v>
      </c>
      <c r="G16399" s="6" t="n">
        <f aca="false">Sens!G16251-Sens!G16252+Sens!G16333</f>
        <v>20.1617969887086</v>
      </c>
      <c r="H16399" s="6" t="n">
        <f aca="false">Sens!H16251-Sens!H16252+Sens!H16333</f>
        <v>17.4091045805085</v>
      </c>
      <c r="I16399" s="6" t="n">
        <f aca="false">Sens!I16251-Sens!I16252+Sens!I16333</f>
        <v>18.121251632965</v>
      </c>
      <c r="J16399" s="6" t="n">
        <f aca="false">Sens!J16251-Sens!J16252+Sens!J16333</f>
        <v>19.1967390183075</v>
      </c>
      <c r="K16399" s="6" t="n">
        <f aca="false">Sens!K16251-Sens!K16252+Sens!K16333</f>
        <v>21.3331801756772</v>
      </c>
    </row>
    <row r="16400" customFormat="false" ht="17.15" hidden="false" customHeight="false" outlineLevel="0" collapsed="false">
      <c r="A16400" s="0" t="s">
        <v>1238</v>
      </c>
      <c r="B16400" s="0" t="s">
        <v>98</v>
      </c>
      <c r="F16400" s="6" t="n">
        <f aca="false">Sens!F16312+Sens!F16333+Sens!F16263+Sens!F16393*(Sens!F16282-Sens!F16245)+sbc_r*Sens!F16282</f>
        <v>216.165660723143</v>
      </c>
      <c r="G16400" s="6" t="n">
        <f aca="false">Sens!G16312+Sens!G16333+Sens!G16263+Sens!G16393*(Sens!G16282-Sens!G16245)+sbc_r*Sens!G16282</f>
        <v>234.888078758927</v>
      </c>
      <c r="H16400" s="6" t="n">
        <f aca="false">Sens!H16312+Sens!H16333+Sens!H16263+Sens!H16393*(Sens!H16282-Sens!H16245)+sbc_r*Sens!H16282</f>
        <v>257.42093488954</v>
      </c>
      <c r="I16400" s="6" t="n">
        <f aca="false">Sens!I16312+Sens!I16333+Sens!I16263+Sens!I16393*(Sens!I16282-Sens!I16245)+sbc_r*Sens!I16282</f>
        <v>282.666895543466</v>
      </c>
      <c r="J16400" s="6" t="n">
        <f aca="false">Sens!J16312+Sens!J16333+Sens!J16263+Sens!J16393*(Sens!J16282-Sens!J16245)+sbc_r*Sens!J16282</f>
        <v>306.564232140363</v>
      </c>
      <c r="K16400" s="6" t="n">
        <f aca="false">Sens!K16312+Sens!K16333+Sens!K16263+Sens!K16393*(Sens!K16282-Sens!K16245)+sbc_r*Sens!K16282</f>
        <v>329.377313485751</v>
      </c>
    </row>
    <row r="16401" customFormat="false" ht="17.15" hidden="false" customHeight="false" outlineLevel="0" collapsed="false">
      <c r="A16401" s="0" t="s">
        <v>1239</v>
      </c>
      <c r="B16401" s="0" t="s">
        <v>98</v>
      </c>
      <c r="F16401" s="6" t="n">
        <f aca="false">Sens!F16400-Sens!F16394-Sens!F16395-Sens!F16396-Sens!F16397-Sens!F16399</f>
        <v>60.1674987216642</v>
      </c>
      <c r="G16401" s="6" t="n">
        <f aca="false">Sens!G16400-Sens!G16394-Sens!G16395-Sens!G16396-Sens!G16397-Sens!G16399</f>
        <v>67.0489353078547</v>
      </c>
      <c r="H16401" s="6" t="n">
        <f aca="false">Sens!H16400-Sens!H16394-Sens!H16395-Sens!H16396-Sens!H16397-Sens!H16399</f>
        <v>80.2069439533114</v>
      </c>
      <c r="I16401" s="6" t="n">
        <f aca="false">Sens!I16400-Sens!I16394-Sens!I16395-Sens!I16396-Sens!I16397-Sens!I16399</f>
        <v>93.0923432652294</v>
      </c>
      <c r="J16401" s="6" t="n">
        <f aca="false">Sens!J16400-Sens!J16394-Sens!J16395-Sens!J16396-Sens!J16397-Sens!J16399</f>
        <v>104.965029739242</v>
      </c>
      <c r="K16401" s="6" t="n">
        <f aca="false">Sens!K16400-Sens!K16394-Sens!K16395-Sens!K16396-Sens!K16397-Sens!K16399</f>
        <v>115.118282476823</v>
      </c>
    </row>
    <row r="16402" customFormat="false" ht="17.15" hidden="false" customHeight="false" outlineLevel="0" collapsed="false">
      <c r="A16402" s="0" t="s">
        <v>1240</v>
      </c>
      <c r="B16402" s="0" t="s">
        <v>98</v>
      </c>
      <c r="F16402" s="6" t="n">
        <f aca="false">Sens!F16314+Sens!F16393*Sens!F16289+sbc_r*Sens!F16289</f>
        <v>29.1773264673672</v>
      </c>
      <c r="G16402" s="6" t="n">
        <f aca="false">Sens!G16314+Sens!G16393*Sens!G16289+sbc_r*Sens!G16289</f>
        <v>28.6231158648252</v>
      </c>
      <c r="H16402" s="6" t="n">
        <f aca="false">Sens!H16314+Sens!H16393*Sens!H16289+sbc_r*Sens!H16289</f>
        <v>29.193182707856</v>
      </c>
      <c r="I16402" s="6" t="n">
        <f aca="false">Sens!I16314+Sens!I16393*Sens!I16289+sbc_r*Sens!I16289</f>
        <v>30.0635487506511</v>
      </c>
      <c r="J16402" s="6" t="n">
        <f aca="false">Sens!J16314+Sens!J16393*Sens!J16289+sbc_r*Sens!J16289</f>
        <v>31.1843695128253</v>
      </c>
      <c r="K16402" s="6" t="n">
        <f aca="false">Sens!K16314+Sens!K16393*Sens!K16289+sbc_r*Sens!K16289</f>
        <v>32.5117888467652</v>
      </c>
    </row>
    <row r="16403" customFormat="false" ht="17.15" hidden="false" customHeight="false" outlineLevel="0" collapsed="false">
      <c r="A16403" s="0" t="s">
        <v>1241</v>
      </c>
      <c r="B16403" s="0" t="s">
        <v>98</v>
      </c>
      <c r="F16403" s="6" t="n">
        <f aca="false">(Sens!F16402-Sens!F16398)*Sens!F16285/(Sens!F16285+Sens!F16287)</f>
        <v>9.54377112704764</v>
      </c>
      <c r="G16403" s="6" t="n">
        <f aca="false">(Sens!G16402-Sens!G16398)*Sens!G16285/(Sens!G16285+Sens!G16287)</f>
        <v>8.53400627238313</v>
      </c>
      <c r="H16403" s="6" t="n">
        <f aca="false">(Sens!H16402-Sens!H16398)*Sens!H16285/(Sens!H16285+Sens!H16287)</f>
        <v>8.17327281892581</v>
      </c>
      <c r="I16403" s="6" t="n">
        <f aca="false">(Sens!I16402-Sens!I16398)*Sens!I16285/(Sens!I16285+Sens!I16287)</f>
        <v>7.99362888445182</v>
      </c>
      <c r="J16403" s="6" t="n">
        <f aca="false">(Sens!J16402-Sens!J16398)*Sens!J16285/(Sens!J16285+Sens!J16287)</f>
        <v>7.97342654455077</v>
      </c>
      <c r="K16403" s="6" t="n">
        <f aca="false">(Sens!K16402-Sens!K16398)*Sens!K16285/(Sens!K16285+Sens!K16287)</f>
        <v>8.10100487236068</v>
      </c>
    </row>
    <row r="16404" customFormat="false" ht="17.15" hidden="false" customHeight="false" outlineLevel="0" collapsed="false">
      <c r="A16404" s="0" t="s">
        <v>1242</v>
      </c>
      <c r="B16404" s="0" t="s">
        <v>98</v>
      </c>
      <c r="F16404" s="6" t="n">
        <f aca="false">Sens!F16402-Sens!F16398-Sens!F16403</f>
        <v>7.35427390834487</v>
      </c>
      <c r="G16404" s="6" t="n">
        <f aca="false">Sens!G16402-Sens!G16398-Sens!G16403</f>
        <v>6.840394503541</v>
      </c>
      <c r="H16404" s="6" t="n">
        <f aca="false">Sens!H16402-Sens!H16398-Sens!H16403</f>
        <v>6.74559894650885</v>
      </c>
      <c r="I16404" s="6" t="n">
        <f aca="false">Sens!I16402-Sens!I16398-Sens!I16403</f>
        <v>6.72581244595876</v>
      </c>
      <c r="J16404" s="6" t="n">
        <f aca="false">Sens!J16402-Sens!J16398-Sens!J16403</f>
        <v>6.77315289342053</v>
      </c>
      <c r="K16404" s="6" t="n">
        <f aca="false">Sens!K16402-Sens!K16398-Sens!K16403</f>
        <v>6.88152631547632</v>
      </c>
    </row>
    <row r="16405" customFormat="false" ht="17.15" hidden="false" customHeight="false" outlineLevel="0" collapsed="false">
      <c r="A16405" s="0" t="s">
        <v>1243</v>
      </c>
      <c r="B16405" s="0" t="s">
        <v>98</v>
      </c>
      <c r="F16405" s="6" t="n">
        <f aca="false">Sens!F16399-tax_f*(Sens!F16399-Sens!F16263)-Sens!F16260</f>
        <v>-8.58702080533535</v>
      </c>
      <c r="G16405" s="6" t="n">
        <f aca="false">Sens!G16399-tax_f*(Sens!G16399-Sens!G16263)-Sens!G16260</f>
        <v>-12.2471949724331</v>
      </c>
      <c r="H16405" s="6" t="n">
        <f aca="false">Sens!H16399-tax_f*(Sens!H16399-Sens!H16263)-Sens!H16260</f>
        <v>20.2628006478068</v>
      </c>
      <c r="I16405" s="6" t="n">
        <f aca="false">Sens!I16399-tax_f*(Sens!I16399-Sens!I16263)-Sens!I16260</f>
        <v>-8.21777046742244</v>
      </c>
      <c r="J16405" s="6" t="n">
        <f aca="false">Sens!J16399-tax_f*(Sens!J16399-Sens!J16263)-Sens!J16260</f>
        <v>-21.9580444500651</v>
      </c>
      <c r="K16405" s="6" t="n">
        <f aca="false">Sens!K16399-tax_f*(Sens!K16399-Sens!K16263)-Sens!K16260</f>
        <v>-63.1942709294749</v>
      </c>
    </row>
    <row r="16406" customFormat="false" ht="17.15" hidden="false" customHeight="false" outlineLevel="0" collapsed="false">
      <c r="A16406" s="0" t="s">
        <v>1244</v>
      </c>
      <c r="B16406" s="0" t="s">
        <v>98</v>
      </c>
      <c r="G16406" s="6" t="n">
        <f aca="false">Sens!G16405/(1+wacc)^(Sens!G16376-Sens!F16377)</f>
        <v>-11.6616864214767</v>
      </c>
      <c r="H16406" s="6" t="n">
        <f aca="false">Sens!H16405/(1+wacc)^(Sens!H16376-Sens!F16377)</f>
        <v>17.4933769340668</v>
      </c>
      <c r="I16406" s="6" t="n">
        <f aca="false">Sens!I16405/(1+wacc)^(Sens!I16376-Sens!F16377)</f>
        <v>-6.43246814253192</v>
      </c>
      <c r="J16406" s="6" t="n">
        <f aca="false">Sens!J16405/(1+wacc)^(Sens!J16376-Sens!F16377)</f>
        <v>-15.5835626785976</v>
      </c>
      <c r="K16406" s="6" t="n">
        <f aca="false">Sens!K16405/(1+wacc)^(Sens!K16376-Sens!F16377)</f>
        <v>-40.6630784995099</v>
      </c>
      <c r="L16406" s="1" t="s">
        <v>1245</v>
      </c>
    </row>
    <row r="16407" customFormat="false" ht="17.15" hidden="false" customHeight="false" outlineLevel="0" collapsed="false">
      <c r="A16407" s="0" t="s">
        <v>1246</v>
      </c>
      <c r="B16407" s="0" t="s">
        <v>98</v>
      </c>
      <c r="C16407" s="6" t="n">
        <f aca="false">(Sens!K16399-Sens!K16263)*(1-tax_f)*(1+g_tv)*(1-g_tv/(wacc+ronic_prem))/(wacc-g_tv)/(1+wacc)^(Sens!K16377-Sens!F16377)</f>
        <v>-72.4603332111777</v>
      </c>
    </row>
    <row r="16408" customFormat="false" ht="17.15" hidden="false" customHeight="false" outlineLevel="0" collapsed="false">
      <c r="A16408" s="1" t="s">
        <v>1247</v>
      </c>
      <c r="B16408" s="0" t="s">
        <v>98</v>
      </c>
      <c r="C16408" s="6" t="n">
        <f aca="false">(SUM(Sens!G16406:K16406)+Sens!$C$16407)*(1+wacc)^(t_roll-Sens!F16377)</f>
        <v>-133.576591969049</v>
      </c>
      <c r="L16408" s="12" t="s">
        <v>1248</v>
      </c>
    </row>
    <row r="16409" customFormat="false" ht="17.15" hidden="false" customHeight="false" outlineLevel="0" collapsed="false">
      <c r="A16409" s="1" t="s">
        <v>1249</v>
      </c>
      <c r="B16409" s="0" t="s">
        <v>98</v>
      </c>
      <c r="C16409" s="6" t="n">
        <f aca="false">(w_ntm28*Sens!G16251+(1-w_ntm28)*Sens!H16251)*m_ai</f>
        <v>150.528401372214</v>
      </c>
    </row>
    <row r="16410" customFormat="false" ht="17.15" hidden="false" customHeight="false" outlineLevel="0" collapsed="false">
      <c r="A16410" s="1" t="s">
        <v>1250</v>
      </c>
      <c r="B16410" s="0" t="s">
        <v>98</v>
      </c>
      <c r="C16410" s="6" t="n">
        <f aca="false">(w_ntm28*Sens!G16401+(1-w_ntm28)*Sens!H16401)*m_cloud</f>
        <v>986.400509345306</v>
      </c>
    </row>
    <row r="16411" customFormat="false" ht="17.15" hidden="false" customHeight="false" outlineLevel="0" collapsed="false">
      <c r="A16411" s="1" t="s">
        <v>1251</v>
      </c>
      <c r="B16411" s="0" t="s">
        <v>98</v>
      </c>
      <c r="C16411" s="6" t="n">
        <f aca="false">(w_ntm28*Sens!G16394+(1-w_ntm28)*Sens!H16394)*m_sw</f>
        <v>1089.61930573196</v>
      </c>
    </row>
    <row r="16412" customFormat="false" ht="17.15" hidden="false" customHeight="false" outlineLevel="0" collapsed="false">
      <c r="A16412" s="1" t="s">
        <v>1252</v>
      </c>
      <c r="B16412" s="0" t="s">
        <v>98</v>
      </c>
      <c r="C16412" s="6" t="n">
        <f aca="false">(w_ntm28*Sens!G16395+(1-w_ntm28)*Sens!H16395)*m_sw</f>
        <v>386.300716982381</v>
      </c>
    </row>
    <row r="16413" customFormat="false" ht="17.15" hidden="false" customHeight="false" outlineLevel="0" collapsed="false">
      <c r="A16413" s="1" t="s">
        <v>1253</v>
      </c>
      <c r="B16413" s="0" t="s">
        <v>98</v>
      </c>
      <c r="C16413" s="6" t="n">
        <f aca="false">(w_ntm28*Sens!G16396+(1-w_ntm28)*Sens!H16396)*m_sw</f>
        <v>117.415644121328</v>
      </c>
    </row>
    <row r="16414" customFormat="false" ht="17.15" hidden="false" customHeight="false" outlineLevel="0" collapsed="false">
      <c r="A16414" s="1" t="s">
        <v>1254</v>
      </c>
      <c r="B16414" s="0" t="s">
        <v>98</v>
      </c>
      <c r="C16414" s="6" t="n">
        <f aca="false">(w_ntm28*Sens!G16397+(1-w_ntm28)*Sens!H16397)*m_sw</f>
        <v>44.6407481134462</v>
      </c>
    </row>
    <row r="16415" customFormat="false" ht="17.15" hidden="false" customHeight="false" outlineLevel="0" collapsed="false">
      <c r="A16415" s="1" t="s">
        <v>1255</v>
      </c>
      <c r="B16415" s="0" t="s">
        <v>98</v>
      </c>
      <c r="C16415" s="6" t="n">
        <f aca="false">(w_ntm28*Sens!G16398+(1-w_ntm28)*Sens!H16398)*m_ads</f>
        <v>123.767524287473</v>
      </c>
    </row>
    <row r="16416" customFormat="false" ht="17.15" hidden="false" customHeight="false" outlineLevel="0" collapsed="false">
      <c r="A16416" s="1" t="s">
        <v>1256</v>
      </c>
      <c r="B16416" s="0" t="s">
        <v>98</v>
      </c>
      <c r="C16416" s="6" t="n">
        <f aca="false">(w_ntm28*Sens!G16403+(1-w_ntm28)*Sens!H16403)*m_game</f>
        <v>106.286615324144</v>
      </c>
    </row>
    <row r="16417" customFormat="false" ht="17.15" hidden="false" customHeight="false" outlineLevel="0" collapsed="false">
      <c r="A16417" s="1" t="s">
        <v>1257</v>
      </c>
      <c r="B16417" s="0" t="s">
        <v>98</v>
      </c>
      <c r="C16417" s="6" t="n">
        <f aca="false">(w_ntm28*Sens!G16404+(1-w_ntm28)*Sens!H16404)*m_pc</f>
        <v>98.5295413286201</v>
      </c>
    </row>
    <row r="16418" customFormat="false" ht="17.15" hidden="false" customHeight="false" outlineLevel="0" collapsed="false">
      <c r="A16418" s="1" t="s">
        <v>1258</v>
      </c>
      <c r="B16418" s="0" t="s">
        <v>98</v>
      </c>
      <c r="C16418" s="6" t="n">
        <f aca="false">Sens!$C$16408+Sens!$C$16410+Sens!$C$16411+Sens!$C$16412+Sens!$C$16413+Sens!$C$16414+Sens!$C$16415+Sens!$C$16416+Sens!$C$16417</f>
        <v>2819.38401326561</v>
      </c>
    </row>
    <row r="16419" customFormat="false" ht="17.15" hidden="false" customHeight="false" outlineLevel="0" collapsed="false">
      <c r="A16419" s="1" t="s">
        <v>1259</v>
      </c>
      <c r="B16419" s="0" t="s">
        <v>98</v>
      </c>
      <c r="C16419" s="6" t="n">
        <f aca="false">(Sens!G16380-Sens!G16405)*t_stub</f>
        <v>48.6292744236651</v>
      </c>
      <c r="L16419" s="1" t="s">
        <v>1260</v>
      </c>
    </row>
    <row r="16420" customFormat="false" ht="17.15" hidden="false" customHeight="false" outlineLevel="0" collapsed="false">
      <c r="A16420" s="1" t="s">
        <v>1169</v>
      </c>
      <c r="B16420" s="0" t="s">
        <v>98</v>
      </c>
      <c r="C16420" s="6" t="n">
        <f aca="false">Sens!F16367+oai_v-Sens!F16356+Sens!$C$16419</f>
        <v>156.075860633542</v>
      </c>
      <c r="L16420" s="1" t="s">
        <v>1261</v>
      </c>
    </row>
    <row r="16421" customFormat="false" ht="17.15" hidden="false" customHeight="false" outlineLevel="0" collapsed="false">
      <c r="A16421" s="1" t="s">
        <v>1262</v>
      </c>
      <c r="B16421" s="0" t="s">
        <v>75</v>
      </c>
      <c r="C16421" s="5" t="n">
        <f aca="false">(Sens!$C$16418+Sens!$C$16420)/(Sens!F16369+dil_gap)-Sens!G16359*roll_div_q/q_per_yr</f>
        <v>395.900184351541</v>
      </c>
      <c r="L16421" s="1" t="s">
        <v>1263</v>
      </c>
    </row>
    <row r="16422" customFormat="false" ht="17.15" hidden="false" customHeight="false" outlineLevel="0" collapsed="false">
      <c r="A16422" s="1" t="s">
        <v>1264</v>
      </c>
      <c r="B16422" s="0" t="s">
        <v>75</v>
      </c>
      <c r="C16422" s="5" t="n">
        <f aca="false">w_dcf*Sens!$C$16392+(1-w_dcf)*Sens!$C$16421</f>
        <v>335.139097611281</v>
      </c>
    </row>
    <row r="16423" customFormat="false" ht="17.15" hidden="false" customHeight="false" outlineLevel="0" collapsed="false">
      <c r="A16423" s="3" t="s">
        <v>1884</v>
      </c>
    </row>
    <row r="16424" customFormat="false" ht="15" hidden="false" customHeight="false" outlineLevel="0" collapsed="false">
      <c r="A16424" s="4" t="s">
        <v>43</v>
      </c>
      <c r="B16424" s="4" t="s">
        <v>65</v>
      </c>
      <c r="C16424" s="23" t="s">
        <v>938</v>
      </c>
      <c r="D16424" s="23" t="s">
        <v>939</v>
      </c>
      <c r="E16424" s="23" t="s">
        <v>940</v>
      </c>
      <c r="F16424" s="23" t="s">
        <v>941</v>
      </c>
      <c r="G16424" s="23" t="s">
        <v>942</v>
      </c>
      <c r="H16424" s="23" t="s">
        <v>943</v>
      </c>
      <c r="I16424" s="23" t="s">
        <v>944</v>
      </c>
      <c r="J16424" s="23" t="s">
        <v>945</v>
      </c>
      <c r="K16424" s="23" t="s">
        <v>946</v>
      </c>
      <c r="L16424" s="4" t="s">
        <v>47</v>
      </c>
    </row>
    <row r="16425" customFormat="false" ht="17.15" hidden="false" customHeight="false" outlineLevel="0" collapsed="false">
      <c r="A16425" s="1" t="s">
        <v>947</v>
      </c>
      <c r="B16425" s="1" t="s">
        <v>279</v>
      </c>
      <c r="C16425" s="21" t="n">
        <v>2024</v>
      </c>
      <c r="D16425" s="21" t="n">
        <v>2025</v>
      </c>
      <c r="E16425" s="21" t="n">
        <v>2026</v>
      </c>
      <c r="F16425" s="21" t="n">
        <v>2027</v>
      </c>
      <c r="G16425" s="21" t="n">
        <v>2028</v>
      </c>
      <c r="H16425" s="21" t="n">
        <v>2029</v>
      </c>
      <c r="I16425" s="21" t="n">
        <v>2030</v>
      </c>
      <c r="J16425" s="21" t="n">
        <v>2031</v>
      </c>
      <c r="K16425" s="21" t="n">
        <v>2032</v>
      </c>
    </row>
    <row r="16426" customFormat="false" ht="17.15" hidden="false" customHeight="false" outlineLevel="0" collapsed="false">
      <c r="A16426" s="1" t="s">
        <v>948</v>
      </c>
      <c r="B16426" s="0" t="s">
        <v>456</v>
      </c>
      <c r="F16426" s="30" t="n">
        <f aca="false">pace</f>
        <v>2726.5351</v>
      </c>
      <c r="G16426" s="30" t="n">
        <f aca="false">pace</f>
        <v>2726.5351</v>
      </c>
      <c r="H16426" s="30" t="n">
        <f aca="false">pace</f>
        <v>2726.5351</v>
      </c>
      <c r="I16426" s="30" t="n">
        <f aca="false">pace+(g_tv*Sens!H16427-pace)*MIN(1,(Sens!I16425-pace_y0)/(pace_y1-pace_y0))</f>
        <v>1931.98611966667</v>
      </c>
      <c r="J16426" s="30" t="n">
        <f aca="false">pace+(g_tv*Sens!I16427-pace)*MIN(1,(Sens!J16425-pace_y0)/(pace_y1-pace_y0))</f>
        <v>1176.07686172667</v>
      </c>
      <c r="K16426" s="30" t="n">
        <f aca="false">pace+(g_tv*Sens!J16427-pace)*MIN(1,(Sens!K16425-pace_y0)/(pace_y1-pace_y0))</f>
        <v>436.1300484418</v>
      </c>
      <c r="L16426" s="12" t="s">
        <v>949</v>
      </c>
    </row>
    <row r="16427" customFormat="false" ht="17.15" hidden="false" customHeight="false" outlineLevel="0" collapsed="false">
      <c r="A16427" s="1" t="s">
        <v>950</v>
      </c>
      <c r="B16427" s="0" t="s">
        <v>456</v>
      </c>
      <c r="C16427" s="30" t="n">
        <f aca="false">mw_ext_24</f>
        <v>640</v>
      </c>
      <c r="D16427" s="30" t="n">
        <f aca="false">mw_ext_25</f>
        <v>1630</v>
      </c>
      <c r="E16427" s="30" t="n">
        <f aca="false">mw_ext_26</f>
        <v>3250</v>
      </c>
      <c r="F16427" s="30" t="n">
        <f aca="false">Sens!E16427+Sens!F16426</f>
        <v>5976.5351</v>
      </c>
      <c r="G16427" s="30" t="n">
        <f aca="false">Sens!F16427+Sens!G16426</f>
        <v>8703.0702</v>
      </c>
      <c r="H16427" s="30" t="n">
        <f aca="false">Sens!G16427+Sens!H16426</f>
        <v>11429.6053</v>
      </c>
      <c r="I16427" s="30" t="n">
        <f aca="false">Sens!H16427+Sens!I16426</f>
        <v>13361.5914196667</v>
      </c>
      <c r="J16427" s="30" t="n">
        <f aca="false">Sens!I16427+Sens!J16426</f>
        <v>14537.6682813933</v>
      </c>
      <c r="K16427" s="30" t="n">
        <f aca="false">Sens!J16427+Sens!K16426</f>
        <v>14973.7983298351</v>
      </c>
      <c r="L16427" s="1" t="s">
        <v>951</v>
      </c>
    </row>
    <row r="16428" customFormat="false" ht="17.15" hidden="false" customHeight="false" outlineLevel="0" collapsed="false">
      <c r="A16428" s="1" t="s">
        <v>952</v>
      </c>
      <c r="B16428" s="0" t="s">
        <v>456</v>
      </c>
      <c r="C16428" s="30" t="n">
        <f aca="false">rent_ext_24</f>
        <v>150</v>
      </c>
      <c r="D16428" s="30" t="n">
        <f aca="false">rent_ext_25</f>
        <v>400</v>
      </c>
      <c r="E16428" s="30" t="n">
        <f aca="false">rent_ext_26</f>
        <v>550</v>
      </c>
      <c r="F16428" s="30" t="n">
        <f aca="false">rent_ext_f</f>
        <v>756</v>
      </c>
      <c r="G16428" s="30" t="n">
        <f aca="false">rent_ext_f</f>
        <v>756</v>
      </c>
      <c r="H16428" s="30" t="n">
        <f aca="false">rent_ext_f</f>
        <v>756</v>
      </c>
      <c r="I16428" s="30" t="n">
        <f aca="false">rent_ext_f</f>
        <v>756</v>
      </c>
      <c r="J16428" s="30" t="n">
        <f aca="false">rent_ext_f</f>
        <v>756</v>
      </c>
      <c r="K16428" s="30" t="n">
        <f aca="false">rent_ext_f</f>
        <v>756</v>
      </c>
      <c r="L16428" s="1" t="s">
        <v>953</v>
      </c>
    </row>
    <row r="16429" customFormat="false" ht="17.15" hidden="false" customHeight="false" outlineLevel="0" collapsed="false">
      <c r="A16429" s="1" t="s">
        <v>954</v>
      </c>
      <c r="B16429" s="0" t="s">
        <v>456</v>
      </c>
      <c r="C16429" s="30" t="n">
        <f aca="false">Sens!C16427-Sens!C16428</f>
        <v>490</v>
      </c>
      <c r="D16429" s="30" t="n">
        <f aca="false">Sens!D16427-Sens!D16428</f>
        <v>1230</v>
      </c>
      <c r="E16429" s="30" t="n">
        <f aca="false">Sens!E16427-Sens!E16428</f>
        <v>2700</v>
      </c>
      <c r="F16429" s="30" t="n">
        <f aca="false">Sens!F16427-Sens!F16428</f>
        <v>5220.5351</v>
      </c>
      <c r="G16429" s="30" t="n">
        <f aca="false">Sens!G16427-Sens!G16428</f>
        <v>7947.0702</v>
      </c>
      <c r="H16429" s="30" t="n">
        <f aca="false">Sens!H16427-Sens!H16428</f>
        <v>10673.6053</v>
      </c>
      <c r="I16429" s="30" t="n">
        <f aca="false">Sens!I16427-Sens!I16428</f>
        <v>12605.5914196667</v>
      </c>
      <c r="J16429" s="30" t="n">
        <f aca="false">Sens!J16427-Sens!J16428</f>
        <v>13781.6682813933</v>
      </c>
      <c r="K16429" s="30" t="n">
        <f aca="false">Sens!K16427-Sens!K16428</f>
        <v>14217.7983298351</v>
      </c>
    </row>
    <row r="16430" customFormat="false" ht="17.15" hidden="false" customHeight="false" outlineLevel="0" collapsed="false">
      <c r="A16430" s="1" t="s">
        <v>955</v>
      </c>
      <c r="B16430" s="0" t="s">
        <v>456</v>
      </c>
      <c r="C16430" s="30" t="n">
        <f aca="false">Sens!C16429/ext_sh</f>
        <v>816.666666666667</v>
      </c>
      <c r="D16430" s="30" t="n">
        <f aca="false">Sens!D16429/ext_sh</f>
        <v>2050</v>
      </c>
      <c r="E16430" s="30" t="n">
        <f aca="false">Sens!E16429/ext_sh</f>
        <v>4500</v>
      </c>
      <c r="F16430" s="30" t="n">
        <f aca="false">Sens!F16429/ext_sh</f>
        <v>8700.89183333333</v>
      </c>
      <c r="G16430" s="30" t="n">
        <f aca="false">Sens!G16429/ext_sh</f>
        <v>13245.117</v>
      </c>
      <c r="H16430" s="30" t="n">
        <f aca="false">Sens!H16429/ext_sh</f>
        <v>17789.3421666667</v>
      </c>
      <c r="I16430" s="30" t="n">
        <f aca="false">Sens!I16429/ext_sh</f>
        <v>21009.3190327778</v>
      </c>
      <c r="J16430" s="30" t="n">
        <f aca="false">Sens!J16429/ext_sh</f>
        <v>22969.4471356556</v>
      </c>
      <c r="K16430" s="30" t="n">
        <f aca="false">Sens!K16429/ext_sh</f>
        <v>23696.3305497252</v>
      </c>
      <c r="L16430" s="1" t="s">
        <v>956</v>
      </c>
    </row>
    <row r="16431" customFormat="false" ht="17.15" hidden="false" customHeight="false" outlineLevel="0" collapsed="false">
      <c r="A16431" s="1" t="s">
        <v>957</v>
      </c>
      <c r="B16431" s="0" t="s">
        <v>456</v>
      </c>
      <c r="C16431" s="30" t="n">
        <f aca="false">Sens!C16430-Sens!C16429</f>
        <v>326.666666666667</v>
      </c>
      <c r="D16431" s="30" t="n">
        <f aca="false">Sens!D16430-Sens!D16429</f>
        <v>820</v>
      </c>
      <c r="E16431" s="30" t="n">
        <f aca="false">Sens!E16430-Sens!E16429</f>
        <v>1800</v>
      </c>
      <c r="F16431" s="30" t="n">
        <f aca="false">Sens!F16430-Sens!F16429</f>
        <v>3480.35673333333</v>
      </c>
      <c r="G16431" s="30" t="n">
        <f aca="false">Sens!G16430-Sens!G16429</f>
        <v>5298.0468</v>
      </c>
      <c r="H16431" s="30" t="n">
        <f aca="false">Sens!H16430-Sens!H16429</f>
        <v>7115.73686666667</v>
      </c>
      <c r="I16431" s="30" t="n">
        <f aca="false">Sens!I16430-Sens!I16429</f>
        <v>8403.72761311111</v>
      </c>
      <c r="J16431" s="30" t="n">
        <f aca="false">Sens!J16430-Sens!J16429</f>
        <v>9187.77885426222</v>
      </c>
      <c r="K16431" s="30" t="n">
        <f aca="false">Sens!K16430-Sens!K16429</f>
        <v>9478.53221989009</v>
      </c>
    </row>
    <row r="16432" customFormat="false" ht="17.15" hidden="false" customHeight="false" outlineLevel="0" collapsed="false">
      <c r="A16432" s="1" t="s">
        <v>958</v>
      </c>
      <c r="B16432" s="0" t="s">
        <v>456</v>
      </c>
      <c r="C16432" s="30" t="n">
        <f aca="false">Sens!C16430</f>
        <v>816.666666666667</v>
      </c>
      <c r="D16432" s="30" t="n">
        <f aca="false">Sens!D16430-Sens!C16430</f>
        <v>1233.33333333333</v>
      </c>
      <c r="E16432" s="30" t="n">
        <f aca="false">Sens!E16430-Sens!D16430</f>
        <v>2450</v>
      </c>
      <c r="F16432" s="30" t="n">
        <f aca="false">Sens!F16430-Sens!E16430</f>
        <v>4200.89183333333</v>
      </c>
      <c r="G16432" s="30" t="n">
        <f aca="false">Sens!G16430-Sens!F16430</f>
        <v>4544.22516666667</v>
      </c>
      <c r="H16432" s="30" t="n">
        <f aca="false">Sens!H16430-Sens!G16430</f>
        <v>4544.22516666667</v>
      </c>
      <c r="I16432" s="30" t="n">
        <f aca="false">Sens!I16430-Sens!H16430</f>
        <v>3219.97686611111</v>
      </c>
      <c r="J16432" s="30" t="n">
        <f aca="false">Sens!J16430-Sens!I16430</f>
        <v>1960.12810287778</v>
      </c>
      <c r="K16432" s="30" t="n">
        <f aca="false">Sens!K16430-Sens!J16430</f>
        <v>726.883414069667</v>
      </c>
    </row>
    <row r="16433" customFormat="false" ht="17.15" hidden="false" customHeight="false" outlineLevel="0" collapsed="false">
      <c r="A16433" s="1" t="s">
        <v>959</v>
      </c>
      <c r="B16433" s="0" t="s">
        <v>456</v>
      </c>
      <c r="D16433" s="30" t="n">
        <f aca="false">Sens!D16427-Sens!C16427</f>
        <v>990</v>
      </c>
      <c r="E16433" s="30" t="n">
        <f aca="false">Sens!E16427-Sens!D16427</f>
        <v>1620</v>
      </c>
      <c r="F16433" s="30" t="n">
        <f aca="false">Sens!F16427-Sens!E16427</f>
        <v>2726.5351</v>
      </c>
      <c r="G16433" s="30" t="n">
        <f aca="false">Sens!G16427-Sens!F16427</f>
        <v>2726.5351</v>
      </c>
      <c r="H16433" s="30" t="n">
        <f aca="false">Sens!H16427-Sens!G16427</f>
        <v>2726.5351</v>
      </c>
      <c r="I16433" s="30" t="n">
        <f aca="false">Sens!I16427-Sens!H16427</f>
        <v>1931.98611966667</v>
      </c>
      <c r="J16433" s="30" t="n">
        <f aca="false">Sens!J16427-Sens!I16427</f>
        <v>1176.07686172667</v>
      </c>
      <c r="K16433" s="30" t="n">
        <f aca="false">Sens!K16427-Sens!J16427</f>
        <v>436.130048441799</v>
      </c>
    </row>
    <row r="16434" customFormat="false" ht="17.15" hidden="false" customHeight="false" outlineLevel="0" collapsed="false">
      <c r="A16434" s="1" t="s">
        <v>960</v>
      </c>
      <c r="B16434" s="0" t="s">
        <v>456</v>
      </c>
      <c r="F16434" s="30" t="n">
        <f aca="false">Sens!F16453*ext_sh</f>
        <v>0</v>
      </c>
      <c r="G16434" s="30" t="n">
        <f aca="false">Sens!G16453*ext_sh</f>
        <v>0</v>
      </c>
      <c r="H16434" s="30" t="n">
        <f aca="false">Sens!H16453*ext_sh</f>
        <v>0</v>
      </c>
      <c r="I16434" s="30" t="n">
        <f aca="false">Sens!I16453*ext_sh</f>
        <v>490</v>
      </c>
      <c r="J16434" s="30" t="n">
        <f aca="false">Sens!J16453*ext_sh</f>
        <v>740</v>
      </c>
      <c r="K16434" s="30" t="n">
        <f aca="false">Sens!K16453*ext_sh</f>
        <v>1470</v>
      </c>
      <c r="L16434" s="1" t="s">
        <v>961</v>
      </c>
    </row>
    <row r="16435" customFormat="false" ht="17.15" hidden="false" customHeight="false" outlineLevel="0" collapsed="false">
      <c r="A16435" s="1" t="s">
        <v>962</v>
      </c>
      <c r="B16435" s="0" t="s">
        <v>456</v>
      </c>
      <c r="C16435" s="30" t="n">
        <f aca="false">mix_h*Sens!C16427</f>
        <v>128</v>
      </c>
      <c r="D16435" s="30" t="n">
        <f aca="false">mix_h*Sens!D16427</f>
        <v>326</v>
      </c>
      <c r="E16435" s="30" t="n">
        <f aca="false">mix_h*Sens!E16427</f>
        <v>650</v>
      </c>
      <c r="F16435" s="30" t="n">
        <f aca="false">Sens!E16435-Sens!F16434*mix_h</f>
        <v>650</v>
      </c>
      <c r="G16435" s="30" t="n">
        <f aca="false">Sens!F16435-Sens!G16434*mix_h</f>
        <v>650</v>
      </c>
      <c r="H16435" s="30" t="n">
        <f aca="false">Sens!G16435-Sens!H16434*mix_h</f>
        <v>650</v>
      </c>
      <c r="I16435" s="30" t="n">
        <f aca="false">Sens!H16435-Sens!I16434*mix_h</f>
        <v>552</v>
      </c>
      <c r="J16435" s="30" t="n">
        <f aca="false">Sens!I16435-Sens!J16434*mix_h</f>
        <v>404</v>
      </c>
      <c r="K16435" s="30" t="n">
        <f aca="false">Sens!J16435-Sens!K16434*mix_h</f>
        <v>110</v>
      </c>
    </row>
    <row r="16436" customFormat="false" ht="17.15" hidden="false" customHeight="false" outlineLevel="0" collapsed="false">
      <c r="A16436" s="1" t="s">
        <v>963</v>
      </c>
      <c r="B16436" s="0" t="s">
        <v>456</v>
      </c>
      <c r="C16436" s="30" t="n">
        <f aca="false">mix_g2*Sens!C16427</f>
        <v>288</v>
      </c>
      <c r="D16436" s="30" t="n">
        <f aca="false">mix_g2*Sens!D16427</f>
        <v>733.5</v>
      </c>
      <c r="E16436" s="30" t="n">
        <f aca="false">mix_g2*Sens!E16427</f>
        <v>1462.5</v>
      </c>
      <c r="F16436" s="30" t="n">
        <f aca="false">Sens!E16436-Sens!F16434*mix_g2</f>
        <v>1462.5</v>
      </c>
      <c r="G16436" s="30" t="n">
        <f aca="false">Sens!F16436-Sens!G16434*mix_g2</f>
        <v>1462.5</v>
      </c>
      <c r="H16436" s="30" t="n">
        <f aca="false">Sens!G16436-Sens!H16434*mix_g2</f>
        <v>1462.5</v>
      </c>
      <c r="I16436" s="30" t="n">
        <f aca="false">Sens!H16436-Sens!I16434*mix_g2</f>
        <v>1242</v>
      </c>
      <c r="J16436" s="30" t="n">
        <f aca="false">Sens!I16436-Sens!J16434*mix_g2</f>
        <v>909</v>
      </c>
      <c r="K16436" s="30" t="n">
        <f aca="false">Sens!J16436-Sens!K16434*mix_g2</f>
        <v>247.5</v>
      </c>
    </row>
    <row r="16437" customFormat="false" ht="17.15" hidden="false" customHeight="false" outlineLevel="0" collapsed="false">
      <c r="A16437" s="1" t="s">
        <v>964</v>
      </c>
      <c r="B16437" s="0" t="s">
        <v>456</v>
      </c>
      <c r="C16437" s="30" t="n">
        <f aca="false">mix_g3*Sens!C16427</f>
        <v>224</v>
      </c>
      <c r="D16437" s="30" t="n">
        <f aca="false">mix_g3*Sens!D16427</f>
        <v>570.5</v>
      </c>
      <c r="E16437" s="30" t="n">
        <f aca="false">mix_g3*Sens!E16427</f>
        <v>1137.5</v>
      </c>
      <c r="F16437" s="30" t="n">
        <f aca="false">Sens!E16437+(Sens!F16433+Sens!F16434)*(a_g3_27-nonnv*a_mai)-Sens!F16434*mix_g3</f>
        <v>2773.42106</v>
      </c>
      <c r="G16437" s="30" t="n">
        <f aca="false">Sens!F16437+(Sens!G16433+Sens!G16434)*(a_g3_28-nonnv*a_mai)-Sens!G16434*mix_g3</f>
        <v>3318.72808</v>
      </c>
      <c r="H16437" s="30" t="n">
        <f aca="false">Sens!G16437+(Sens!H16433+Sens!H16434)*(a_g3_29-nonnv*a_mai)-Sens!H16434*mix_g3</f>
        <v>3318.72808</v>
      </c>
      <c r="I16437" s="30" t="n">
        <f aca="false">Sens!H16437+(Sens!I16433+Sens!I16434)*(a_g3_29-nonnv*a_mai)-Sens!I16434*mix_g3</f>
        <v>3147.22808</v>
      </c>
      <c r="J16437" s="30" t="n">
        <f aca="false">Sens!I16437+(Sens!J16433+Sens!J16434)*(a_g3_29-nonnv*a_mai)-Sens!J16434*mix_g3</f>
        <v>2888.22808</v>
      </c>
      <c r="K16437" s="30" t="n">
        <f aca="false">Sens!J16437+(Sens!K16433+Sens!K16434)*(a_g3_29-nonnv*a_mai)-Sens!K16434*mix_g3</f>
        <v>2373.72808</v>
      </c>
    </row>
    <row r="16438" customFormat="false" ht="17.15" hidden="false" customHeight="false" outlineLevel="0" collapsed="false">
      <c r="A16438" s="1" t="s">
        <v>965</v>
      </c>
      <c r="B16438" s="0" t="s">
        <v>456</v>
      </c>
      <c r="C16438" s="30" t="n">
        <v>0</v>
      </c>
      <c r="D16438" s="30" t="n">
        <v>0</v>
      </c>
      <c r="E16438" s="30" t="n">
        <v>0</v>
      </c>
      <c r="F16438" s="30" t="n">
        <f aca="false">Sens!E16438+(Sens!F16433+Sens!F16434)*nonnv*a_mai</f>
        <v>272.65351</v>
      </c>
      <c r="G16438" s="30" t="n">
        <f aca="false">Sens!F16438+(Sens!G16433+Sens!G16434)*nonnv*a_mai</f>
        <v>545.30702</v>
      </c>
      <c r="H16438" s="30" t="n">
        <f aca="false">Sens!G16438+(Sens!H16433+Sens!H16434)*nonnv*a_mai</f>
        <v>817.96053</v>
      </c>
      <c r="I16438" s="30" t="n">
        <f aca="false">Sens!H16438+(Sens!I16433+Sens!I16434)*nonnv*a_mai</f>
        <v>1060.15914196667</v>
      </c>
      <c r="J16438" s="30" t="n">
        <f aca="false">Sens!I16438+(Sens!J16433+Sens!J16434)*nonnv*a_mai</f>
        <v>1251.76682813933</v>
      </c>
      <c r="K16438" s="30" t="n">
        <f aca="false">Sens!J16438+(Sens!K16433+Sens!K16434)*nonnv*a_mai</f>
        <v>1442.37983298351</v>
      </c>
      <c r="L16438" s="12" t="s">
        <v>966</v>
      </c>
    </row>
    <row r="16439" customFormat="false" ht="17.15" hidden="false" customHeight="false" outlineLevel="0" collapsed="false">
      <c r="A16439" s="1" t="s">
        <v>967</v>
      </c>
      <c r="B16439" s="0" t="s">
        <v>456</v>
      </c>
      <c r="C16439" s="30" t="n">
        <v>0</v>
      </c>
      <c r="D16439" s="30" t="n">
        <v>0</v>
      </c>
      <c r="E16439" s="30" t="n">
        <v>0</v>
      </c>
      <c r="F16439" s="30" t="n">
        <f aca="false">Sens!E16439+(Sens!F16433+Sens!F16434)*(1-a_g3_27)</f>
        <v>817.96053</v>
      </c>
      <c r="G16439" s="30" t="n">
        <f aca="false">Sens!F16439+(Sens!G16433+Sens!G16434)*(1-a_g3_28)</f>
        <v>2726.5351</v>
      </c>
      <c r="H16439" s="30" t="n">
        <f aca="false">Sens!G16439+(Sens!H16433+Sens!H16434)*(1-a_g3_29)</f>
        <v>5180.41669</v>
      </c>
      <c r="I16439" s="30" t="n">
        <f aca="false">Sens!H16439+(Sens!I16433+Sens!I16434)*(1-a_g3_29)</f>
        <v>7360.2041977</v>
      </c>
      <c r="J16439" s="30" t="n">
        <f aca="false">Sens!I16439+(Sens!J16433+Sens!J16434)*(1-a_g3_29)</f>
        <v>9084.673373254</v>
      </c>
      <c r="K16439" s="30" t="n">
        <f aca="false">Sens!J16439+(Sens!K16433+Sens!K16434)*(1-a_g3_29)</f>
        <v>10800.1904168516</v>
      </c>
    </row>
    <row r="16440" customFormat="false" ht="17.15" hidden="false" customHeight="false" outlineLevel="0" collapsed="false">
      <c r="A16440" s="1" t="s">
        <v>968</v>
      </c>
      <c r="B16440" s="0" t="s">
        <v>403</v>
      </c>
      <c r="C16440" s="15" t="n">
        <f aca="false">(Sens!C16435*tk_hold_h100+Sens!C16436*tk_hold_gb200+Sens!C16437*tk_hold_gb300+Sens!C16439*tk_hold_vr200+Sens!C16438*nv_hold_mai*tk_hold_vr200)/Sens!C16427</f>
        <v>9.7235358126469</v>
      </c>
      <c r="D16440" s="15" t="n">
        <f aca="false">(Sens!D16435*tk_hold_h100+Sens!D16436*tk_hold_gb200+Sens!D16437*tk_hold_gb300+Sens!D16439*tk_hold_vr200+Sens!D16438*nv_hold_mai*tk_hold_vr200)/Sens!D16427</f>
        <v>9.7235358126469</v>
      </c>
      <c r="E16440" s="15" t="n">
        <f aca="false">(Sens!E16435*tk_hold_h100+Sens!E16436*tk_hold_gb200+Sens!E16437*tk_hold_gb300+Sens!E16439*tk_hold_vr200+Sens!E16438*nv_hold_mai*tk_hold_vr200)/Sens!E16427</f>
        <v>9.7235358126469</v>
      </c>
      <c r="F16440" s="15" t="n">
        <f aca="false">(Sens!F16435*tk_hold_h100+Sens!F16436*tk_hold_gb200+Sens!F16437*tk_hold_gb300+Sens!F16439*tk_hold_vr200+Sens!F16438*nv_hold_mai*tk_hold_vr200)/Sens!F16427</f>
        <v>10.2195353876665</v>
      </c>
      <c r="G16440" s="15" t="n">
        <f aca="false">(Sens!G16435*tk_hold_h100+Sens!G16436*tk_hold_gb200+Sens!G16437*tk_hold_gb300+Sens!G16439*tk_hold_vr200+Sens!G16438*nv_hold_mai*tk_hold_vr200)/Sens!G16427</f>
        <v>10.5725598017306</v>
      </c>
      <c r="H16440" s="15" t="n">
        <f aca="false">(Sens!H16435*tk_hold_h100+Sens!H16436*tk_hold_gb200+Sens!H16437*tk_hold_gb300+Sens!H16439*tk_hold_vr200+Sens!H16438*nv_hold_mai*tk_hold_vr200)/Sens!H16427</f>
        <v>10.8210427149036</v>
      </c>
      <c r="I16440" s="15" t="n">
        <f aca="false">(Sens!I16435*tk_hold_h100+Sens!I16436*tk_hold_gb200+Sens!I16437*tk_hold_gb300+Sens!I16439*tk_hold_vr200+Sens!I16438*nv_hold_mai*tk_hold_vr200)/Sens!I16427</f>
        <v>11.0050618241982</v>
      </c>
      <c r="J16440" s="15" t="n">
        <f aca="false">(Sens!J16435*tk_hold_h100+Sens!J16436*tk_hold_gb200+Sens!J16437*tk_hold_gb300+Sens!J16439*tk_hold_vr200+Sens!J16438*nv_hold_mai*tk_hold_vr200)/Sens!J16427</f>
        <v>11.1505789658881</v>
      </c>
      <c r="K16440" s="15" t="n">
        <f aca="false">(Sens!K16435*tk_hold_h100+Sens!K16436*tk_hold_gb200+Sens!K16437*tk_hold_gb300+Sens!K16439*tk_hold_vr200+Sens!K16438*nv_hold_mai*tk_hold_vr200)/Sens!K16427</f>
        <v>11.3496914757183</v>
      </c>
      <c r="L16440" s="1" t="s">
        <v>969</v>
      </c>
    </row>
    <row r="16441" customFormat="false" ht="17.15" hidden="false" customHeight="false" outlineLevel="0" collapsed="false">
      <c r="A16441" s="1" t="s">
        <v>970</v>
      </c>
      <c r="B16441" s="0" t="s">
        <v>403</v>
      </c>
      <c r="C16441" s="15" t="n">
        <f aca="false">(Sens!C16435*tk_hold_h100+Sens!C16436*tk_hold_gb200+Sens!C16437*tk_hold_gb300+Sens!C16439*tk_hold_vr200+Sens!C16438*nv_out_mai*tk_hold_vr200)/Sens!C16427</f>
        <v>9.7235358126469</v>
      </c>
      <c r="D16441" s="15" t="n">
        <f aca="false">(Sens!D16435*tk_hold_h100+Sens!D16436*tk_hold_gb200+Sens!D16437*tk_hold_gb300+Sens!D16439*tk_hold_vr200+Sens!D16438*nv_out_mai*tk_hold_vr200)/Sens!D16427</f>
        <v>9.7235358126469</v>
      </c>
      <c r="E16441" s="15" t="n">
        <f aca="false">(Sens!E16435*tk_hold_h100+Sens!E16436*tk_hold_gb200+Sens!E16437*tk_hold_gb300+Sens!E16439*tk_hold_vr200+Sens!E16438*nv_out_mai*tk_hold_vr200)/Sens!E16427</f>
        <v>9.7235358126469</v>
      </c>
      <c r="F16441" s="15" t="n">
        <f aca="false">(Sens!F16435*tk_hold_h100+Sens!F16436*tk_hold_gb200+Sens!F16437*tk_hold_gb300+Sens!F16439*tk_hold_vr200+Sens!F16438*nv_out_mai*tk_hold_vr200)/Sens!F16427</f>
        <v>10.247422093969</v>
      </c>
      <c r="G16441" s="15" t="n">
        <f aca="false">(Sens!G16435*tk_hold_h100+Sens!G16436*tk_hold_gb200+Sens!G16437*tk_hold_gb300+Sens!G16439*tk_hold_vr200+Sens!G16438*nv_out_mai*tk_hold_vr200)/Sens!G16427</f>
        <v>10.6108602808053</v>
      </c>
      <c r="H16441" s="15" t="n">
        <f aca="false">(Sens!H16435*tk_hold_h100+Sens!H16436*tk_hold_gb200+Sens!H16437*tk_hold_gb300+Sens!H16439*tk_hold_vr200+Sens!H16438*nv_out_mai*tk_hold_vr200)/Sens!H16427</f>
        <v>10.8647885507393</v>
      </c>
      <c r="I16441" s="15" t="n">
        <f aca="false">(Sens!I16435*tk_hold_h100+Sens!I16436*tk_hold_gb200+Sens!I16437*tk_hold_gb300+Sens!I16439*tk_hold_vr200+Sens!I16438*nv_out_mai*tk_hold_vr200)/Sens!I16427</f>
        <v>11.0535625770025</v>
      </c>
      <c r="J16441" s="15" t="n">
        <f aca="false">(Sens!J16435*tk_hold_h100+Sens!J16436*tk_hold_gb200+Sens!J16437*tk_hold_gb300+Sens!J16439*tk_hold_vr200+Sens!J16438*nv_out_mai*tk_hold_vr200)/Sens!J16427</f>
        <v>11.2032127128058</v>
      </c>
      <c r="K16441" s="15" t="n">
        <f aca="false">(Sens!K16435*tk_hold_h100+Sens!K16436*tk_hold_gb200+Sens!K16437*tk_hold_gb300+Sens!K16439*tk_hold_vr200+Sens!K16438*nv_out_mai*tk_hold_vr200)/Sens!K16427</f>
        <v>11.4085735724225</v>
      </c>
      <c r="L16441" s="12" t="s">
        <v>971</v>
      </c>
    </row>
    <row r="16442" customFormat="false" ht="17.15" hidden="false" customHeight="false" outlineLevel="0" collapsed="false">
      <c r="A16442" s="0" t="s">
        <v>972</v>
      </c>
      <c r="B16442" s="0" t="s">
        <v>229</v>
      </c>
      <c r="C16442" s="15" t="n">
        <f aca="false">k_B</f>
        <v>1.17213932619116</v>
      </c>
      <c r="D16442" s="15" t="n">
        <f aca="false">k_B</f>
        <v>1.17213932619116</v>
      </c>
      <c r="E16442" s="15" t="n">
        <f aca="false">k_B</f>
        <v>1.17213932619116</v>
      </c>
      <c r="F16442" s="15" t="n">
        <f aca="false">(k_B+((ls_A*k_long+(1-ls_A)*k_spot)-k_B)*MIN(1,(Sens!F16425-base_fy)/k_ramp))</f>
        <v>1.25022828131298</v>
      </c>
      <c r="G16442" s="15" t="n">
        <f aca="false">(k_B+((ls_A*k_long+(1-ls_A)*k_spot)-k_B)*MIN(1,(Sens!G16425-base_fy)/k_ramp))</f>
        <v>1.3283172364348</v>
      </c>
      <c r="H16442" s="15" t="n">
        <f aca="false">(k_B+((ls_A*k_long+(1-ls_A)*k_spot)-k_B)*MIN(1,(Sens!H16425-base_fy)/k_ramp))</f>
        <v>1.40640619155662</v>
      </c>
      <c r="I16442" s="15" t="n">
        <f aca="false">(k_B+((ls_A*k_long+(1-ls_A)*k_spot)-k_B)*MIN(1,(Sens!I16425-base_fy)/k_ramp))</f>
        <v>1.40640619155662</v>
      </c>
      <c r="J16442" s="15" t="n">
        <f aca="false">(k_B+((ls_A*k_long+(1-ls_A)*k_spot)-k_B)*MIN(1,(Sens!J16425-base_fy)/k_ramp))</f>
        <v>1.40640619155662</v>
      </c>
      <c r="K16442" s="15" t="n">
        <f aca="false">(k_B+((ls_A*k_long+(1-ls_A)*k_spot)-k_B)*MIN(1,(Sens!K16425-base_fy)/k_ramp))</f>
        <v>1.40640619155662</v>
      </c>
      <c r="L16442" s="1" t="s">
        <v>973</v>
      </c>
    </row>
    <row r="16443" customFormat="false" ht="17.15" hidden="false" customHeight="false" outlineLevel="0" collapsed="false">
      <c r="A16443" s="1" t="s">
        <v>974</v>
      </c>
      <c r="B16443" s="0" t="s">
        <v>403</v>
      </c>
      <c r="C16443" s="15" t="n">
        <f aca="false">Sens!C16441*Sens!C16442*chip_f</f>
        <v>11.3973387156315</v>
      </c>
      <c r="D16443" s="15" t="n">
        <f aca="false">Sens!D16441*Sens!D16442*chip_f</f>
        <v>11.3973387156315</v>
      </c>
      <c r="E16443" s="15" t="n">
        <f aca="false">Sens!E16441*Sens!E16442*chip_f</f>
        <v>11.3973387156315</v>
      </c>
      <c r="F16443" s="15" t="n">
        <f aca="false">Sens!F16441*Sens!F16442*chip_f</f>
        <v>12.8116169124314</v>
      </c>
      <c r="G16443" s="15" t="n">
        <f aca="false">Sens!G16441*Sens!G16442*chip_f</f>
        <v>14.094588604395</v>
      </c>
      <c r="H16443" s="15" t="n">
        <f aca="false">Sens!H16441*Sens!H16442*chip_f</f>
        <v>15.2803058877132</v>
      </c>
      <c r="I16443" s="15" t="n">
        <f aca="false">Sens!I16441*Sens!I16442*chip_f</f>
        <v>15.5457988470549</v>
      </c>
      <c r="J16443" s="15" t="n">
        <f aca="false">Sens!J16441*Sens!J16442*chip_f</f>
        <v>15.7562677246158</v>
      </c>
      <c r="K16443" s="15" t="n">
        <f aca="false">Sens!K16441*Sens!K16442*chip_f</f>
        <v>16.0450885090842</v>
      </c>
      <c r="L16443" s="1" t="s">
        <v>975</v>
      </c>
    </row>
    <row r="16444" customFormat="false" ht="17.15" hidden="false" customHeight="false" outlineLevel="0" collapsed="false">
      <c r="A16444" s="0" t="s">
        <v>976</v>
      </c>
      <c r="B16444" s="0" t="s">
        <v>98</v>
      </c>
      <c r="D16444" s="6" t="n">
        <f aca="false">(Sens!C16427+Sens!D16427)/2*Sens!D16443/1000</f>
        <v>12.9359794422418</v>
      </c>
      <c r="E16444" s="6" t="n">
        <f aca="false">(Sens!D16427+Sens!E16427)/2*Sens!E16443/1000</f>
        <v>27.8095064661409</v>
      </c>
      <c r="F16444" s="6" t="n">
        <f aca="false">(Sens!E16427+Sens!F16427)/2*Sens!F16443/1000</f>
        <v>59.1034165651511</v>
      </c>
      <c r="G16444" s="6" t="n">
        <f aca="false">(Sens!F16427+Sens!G16427)/2*Sens!G16443/1000</f>
        <v>103.451498789198</v>
      </c>
      <c r="H16444" s="6" t="n">
        <f aca="false">(Sens!G16427+Sens!H16427)/2*Sens!H16443/1000</f>
        <v>153.816719989035</v>
      </c>
      <c r="I16444" s="6" t="n">
        <f aca="false">(Sens!H16427+Sens!I16427)/2*Sens!I16443/1000</f>
        <v>192.699478690852</v>
      </c>
      <c r="J16444" s="6" t="n">
        <f aca="false">(Sens!I16427+Sens!J16427)/2*Sens!J16443/1000</f>
        <v>219.794102584244</v>
      </c>
      <c r="K16444" s="6" t="n">
        <f aca="false">(Sens!J16427+Sens!K16427)/2*Sens!K16443/1000</f>
        <v>236.757046905022</v>
      </c>
      <c r="L16444" s="12" t="s">
        <v>977</v>
      </c>
    </row>
    <row r="16445" customFormat="false" ht="17.15" hidden="false" customHeight="false" outlineLevel="0" collapsed="false">
      <c r="A16445" s="1" t="s">
        <v>978</v>
      </c>
      <c r="B16445" s="0" t="s">
        <v>403</v>
      </c>
      <c r="C16445" s="15" t="n">
        <f aca="false">(Sens!C16435*tk_opex_h100+Sens!C16436*tk_opex_gb200+Sens!C16437*tk_opex_gb300+(Sens!C16439+Sens!C16438)*tk_opex_vr200)/Sens!C16427</f>
        <v>1.88636041306092</v>
      </c>
      <c r="D16445" s="15" t="n">
        <f aca="false">(Sens!D16435*tk_opex_h100+Sens!D16436*tk_opex_gb200+Sens!D16437*tk_opex_gb300+(Sens!D16439+Sens!D16438)*tk_opex_vr200)/Sens!D16427</f>
        <v>1.88636041306092</v>
      </c>
      <c r="E16445" s="15" t="n">
        <f aca="false">(Sens!E16435*tk_opex_h100+Sens!E16436*tk_opex_gb200+Sens!E16437*tk_opex_gb300+(Sens!E16439+Sens!E16438)*tk_opex_vr200)/Sens!E16427</f>
        <v>1.88636041306092</v>
      </c>
      <c r="F16445" s="15" t="n">
        <f aca="false">(Sens!F16435*tk_opex_h100+Sens!F16436*tk_opex_gb200+Sens!F16437*tk_opex_gb300+(Sens!F16439+Sens!F16438)*tk_opex_vr200)/Sens!F16427</f>
        <v>1.95051159746876</v>
      </c>
      <c r="G16445" s="15" t="n">
        <f aca="false">(Sens!G16435*tk_opex_h100+Sens!G16436*tk_opex_gb200+Sens!G16437*tk_opex_gb300+(Sens!G16439+Sens!G16438)*tk_opex_vr200)/Sens!G16427</f>
        <v>1.98836003669956</v>
      </c>
      <c r="H16445" s="15" t="n">
        <f aca="false">(Sens!H16435*tk_opex_h100+Sens!H16436*tk_opex_gb200+Sens!H16437*tk_opex_gb300+(Sens!H16439+Sens!H16438)*tk_opex_vr200)/Sens!H16427</f>
        <v>2.01344013834343</v>
      </c>
      <c r="I16445" s="15" t="n">
        <f aca="false">(Sens!I16435*tk_opex_h100+Sens!I16436*tk_opex_gb200+Sens!I16437*tk_opex_gb300+(Sens!I16439+Sens!I16438)*tk_opex_vr200)/Sens!I16427</f>
        <v>2.03261166882178</v>
      </c>
      <c r="J16445" s="15" t="n">
        <f aca="false">(Sens!J16435*tk_opex_h100+Sens!J16436*tk_opex_gb200+Sens!J16437*tk_opex_gb300+(Sens!J16439+Sens!J16438)*tk_opex_vr200)/Sens!J16427</f>
        <v>2.04808073288745</v>
      </c>
      <c r="K16445" s="15" t="n">
        <f aca="false">(Sens!K16435*tk_opex_h100+Sens!K16436*tk_opex_gb200+Sens!K16437*tk_opex_gb300+(Sens!K16439+Sens!K16438)*tk_opex_vr200)/Sens!K16427</f>
        <v>2.06973825807449</v>
      </c>
      <c r="L16445" s="12" t="s">
        <v>979</v>
      </c>
    </row>
    <row r="16446" customFormat="false" ht="17.15" hidden="false" customHeight="false" outlineLevel="0" collapsed="false">
      <c r="A16446" s="0" t="s">
        <v>980</v>
      </c>
      <c r="B16446" s="0" t="s">
        <v>98</v>
      </c>
      <c r="D16446" s="6" t="n">
        <f aca="false">(Sens!C16430+Sens!D16430)/2*Sens!D16445/1000</f>
        <v>2.70378325872065</v>
      </c>
      <c r="E16446" s="6" t="n">
        <f aca="false">(Sens!D16430+Sens!E16430)/2*Sens!E16445/1000</f>
        <v>6.17783035277451</v>
      </c>
      <c r="F16446" s="6" t="n">
        <f aca="false">(Sens!E16430+Sens!F16430)/2*Sens!F16445/1000</f>
        <v>12.8742463089237</v>
      </c>
      <c r="G16446" s="6" t="n">
        <f aca="false">(Sens!F16430+Sens!G16430)/2*Sens!G16445/1000</f>
        <v>21.8182834646277</v>
      </c>
      <c r="H16446" s="6" t="n">
        <f aca="false">(Sens!G16430+Sens!H16430)/2*Sens!H16445/1000</f>
        <v>31.2430128789734</v>
      </c>
      <c r="I16446" s="6" t="n">
        <f aca="false">(Sens!H16430+Sens!I16430)/2*Sens!I16445/1000</f>
        <v>39.4313057443268</v>
      </c>
      <c r="J16446" s="6" t="n">
        <f aca="false">(Sens!I16430+Sens!J16430)/2*Sens!J16445/1000</f>
        <v>45.0360318228653</v>
      </c>
      <c r="K16446" s="6" t="n">
        <f aca="false">(Sens!J16430+Sens!K16430)/2*Sens!K16445/1000</f>
        <v>48.2929727091156</v>
      </c>
    </row>
    <row r="16447" customFormat="false" ht="17.15" hidden="false" customHeight="false" outlineLevel="0" collapsed="false">
      <c r="A16447" s="0" t="s">
        <v>981</v>
      </c>
      <c r="B16447" s="0" t="s">
        <v>98</v>
      </c>
      <c r="D16447" s="6" t="n">
        <f aca="false">(Sens!C16428+Sens!D16428)/2*rent_mw/1000</f>
        <v>2.44475</v>
      </c>
      <c r="E16447" s="6" t="n">
        <f aca="false">(Sens!D16428+Sens!E16428)/2*rent_mw/1000</f>
        <v>4.22275</v>
      </c>
      <c r="F16447" s="6" t="n">
        <f aca="false">(Sens!E16428+Sens!F16428)/2*rent_mw/1000</f>
        <v>5.80517</v>
      </c>
      <c r="G16447" s="6" t="n">
        <f aca="false">(Sens!F16428+Sens!G16428)/2*rent_mw/1000</f>
        <v>6.72084</v>
      </c>
      <c r="H16447" s="6" t="n">
        <f aca="false">(Sens!G16428+Sens!H16428)/2*rent_mw/1000</f>
        <v>6.72084</v>
      </c>
      <c r="I16447" s="6" t="n">
        <f aca="false">(Sens!H16428+Sens!I16428)/2*rent_mw/1000</f>
        <v>6.72084</v>
      </c>
      <c r="J16447" s="6" t="n">
        <f aca="false">(Sens!I16428+Sens!J16428)/2*rent_mw/1000</f>
        <v>6.72084</v>
      </c>
      <c r="K16447" s="6" t="n">
        <f aca="false">(Sens!J16428+Sens!K16428)/2*rent_mw/1000</f>
        <v>6.72084</v>
      </c>
    </row>
    <row r="16448" customFormat="false" ht="17.15" hidden="false" customHeight="false" outlineLevel="0" collapsed="false">
      <c r="A16448" s="0" t="s">
        <v>982</v>
      </c>
      <c r="B16448" s="0" t="s">
        <v>98</v>
      </c>
      <c r="D16448" s="6" t="n">
        <f aca="false">(Sens!C16430+Sens!D16430)/2*(1-self_build)*fac_rent/1000</f>
        <v>0.853242375631075</v>
      </c>
      <c r="E16448" s="6" t="n">
        <f aca="false">(Sens!D16430+Sens!E16430)/2*(1-self_build)*fac_rent/1000</f>
        <v>1.94955961408728</v>
      </c>
      <c r="F16448" s="6" t="n">
        <f aca="false">(Sens!E16430+Sens!F16430)/2*(1-self_build)*fac_rent/1000</f>
        <v>3.92914894476356</v>
      </c>
      <c r="G16448" s="6" t="n">
        <f aca="false">(Sens!F16430+Sens!G16430)/2*(1-self_build)*fac_rent/1000</f>
        <v>6.53206908578159</v>
      </c>
      <c r="H16448" s="6" t="n">
        <f aca="false">(Sens!G16430+Sens!H16430)/2*(1-self_build)*fac_rent/1000</f>
        <v>9.23717988341591</v>
      </c>
      <c r="I16448" s="6" t="n">
        <f aca="false">(Sens!H16430+Sens!I16430)/2*(1-self_build)*fac_rent/1000</f>
        <v>11.5481378557393</v>
      </c>
      <c r="J16448" s="6" t="n">
        <f aca="false">(Sens!I16430+Sens!J16430)/2*(1-self_build)*fac_rent/1000</f>
        <v>13.0899582289108</v>
      </c>
      <c r="K16448" s="6" t="n">
        <f aca="false">(Sens!J16430+Sens!K16430)/2*(1-self_build)*fac_rent/1000</f>
        <v>13.8897275626556</v>
      </c>
      <c r="L16448" s="12" t="s">
        <v>983</v>
      </c>
    </row>
    <row r="16449" customFormat="false" ht="17.15" hidden="false" customHeight="false" outlineLevel="0" collapsed="false">
      <c r="A16449" s="1" t="s">
        <v>984</v>
      </c>
      <c r="B16449" s="0" t="s">
        <v>168</v>
      </c>
      <c r="D16449" s="7" t="n">
        <f aca="false">(Sens!C16429+Sens!D16429)/(Sens!C16430+Sens!D16430)</f>
        <v>0.6</v>
      </c>
      <c r="E16449" s="7" t="n">
        <f aca="false">(Sens!D16429+Sens!E16429)/(Sens!D16430+Sens!E16430)</f>
        <v>0.6</v>
      </c>
      <c r="F16449" s="7" t="n">
        <f aca="false">(Sens!E16429+Sens!F16429)/(Sens!E16430+Sens!F16430)</f>
        <v>0.6</v>
      </c>
      <c r="G16449" s="7" t="n">
        <f aca="false">(Sens!F16429+Sens!G16429)/(Sens!F16430+Sens!G16430)</f>
        <v>0.6</v>
      </c>
      <c r="H16449" s="7" t="n">
        <f aca="false">(Sens!G16429+Sens!H16429)/(Sens!G16430+Sens!H16430)</f>
        <v>0.6</v>
      </c>
      <c r="I16449" s="7" t="n">
        <f aca="false">(Sens!H16429+Sens!I16429)/(Sens!H16430+Sens!I16430)</f>
        <v>0.6</v>
      </c>
      <c r="J16449" s="7" t="n">
        <f aca="false">(Sens!I16429+Sens!J16429)/(Sens!I16430+Sens!J16430)</f>
        <v>0.6</v>
      </c>
      <c r="K16449" s="7" t="n">
        <f aca="false">(Sens!J16429+Sens!K16429)/(Sens!J16430+Sens!K16430)</f>
        <v>0.6</v>
      </c>
    </row>
    <row r="16450" customFormat="false" ht="17.15" hidden="false" customHeight="false" outlineLevel="0" collapsed="false">
      <c r="A16450" s="0" t="s">
        <v>985</v>
      </c>
      <c r="B16450" s="0" t="s">
        <v>98</v>
      </c>
      <c r="D16450" s="6" t="n">
        <f aca="false">Sens!D16444-Sens!D16449*(Sens!D16446+Sens!D16448)-Sens!D16447</f>
        <v>8.35701406163072</v>
      </c>
      <c r="E16450" s="6" t="n">
        <f aca="false">Sens!E16444-Sens!E16449*(Sens!E16446+Sens!E16448)-Sens!E16447</f>
        <v>18.7103224860238</v>
      </c>
      <c r="F16450" s="6" t="n">
        <f aca="false">Sens!F16444-Sens!F16449*(Sens!F16446+Sens!F16448)-Sens!F16447</f>
        <v>43.2162094129388</v>
      </c>
      <c r="G16450" s="6" t="n">
        <f aca="false">Sens!G16444-Sens!G16449*(Sens!G16446+Sens!G16448)-Sens!G16447</f>
        <v>79.7204472589529</v>
      </c>
      <c r="H16450" s="6" t="n">
        <f aca="false">Sens!H16444-Sens!H16449*(Sens!H16446+Sens!H16448)-Sens!H16447</f>
        <v>122.807764331602</v>
      </c>
      <c r="I16450" s="6" t="n">
        <f aca="false">Sens!I16444-Sens!I16449*(Sens!I16446+Sens!I16448)-Sens!I16447</f>
        <v>155.390972530813</v>
      </c>
      <c r="J16450" s="6" t="n">
        <f aca="false">Sens!J16444-Sens!J16449*(Sens!J16446+Sens!J16448)-Sens!J16447</f>
        <v>178.197668553178</v>
      </c>
      <c r="K16450" s="6" t="n">
        <f aca="false">Sens!K16444-Sens!K16449*(Sens!K16446+Sens!K16448)-Sens!K16447</f>
        <v>192.726586741959</v>
      </c>
    </row>
    <row r="16451" customFormat="false" ht="17.15" hidden="false" customHeight="false" outlineLevel="0" collapsed="false">
      <c r="A16451" s="1" t="s">
        <v>986</v>
      </c>
      <c r="B16451" s="0" t="s">
        <v>98</v>
      </c>
      <c r="D16451" s="6" t="n">
        <f aca="false">(1-Sens!D16449)*(Sens!D16446+Sens!D16448)</f>
        <v>1.42281025374069</v>
      </c>
      <c r="E16451" s="6" t="n">
        <f aca="false">(1-Sens!E16449)*(Sens!E16446+Sens!E16448)</f>
        <v>3.25095598674472</v>
      </c>
      <c r="F16451" s="6" t="n">
        <f aca="false">(1-Sens!F16449)*(Sens!F16446+Sens!F16448)</f>
        <v>6.72135810147489</v>
      </c>
      <c r="G16451" s="6" t="n">
        <f aca="false">(1-Sens!G16449)*(Sens!G16446+Sens!G16448)</f>
        <v>11.3401410201637</v>
      </c>
      <c r="H16451" s="6" t="n">
        <f aca="false">(1-Sens!H16449)*(Sens!H16446+Sens!H16448)</f>
        <v>16.1920771049557</v>
      </c>
      <c r="I16451" s="6" t="n">
        <f aca="false">(1-Sens!I16449)*(Sens!I16446+Sens!I16448)</f>
        <v>20.3917774400264</v>
      </c>
      <c r="J16451" s="6" t="n">
        <f aca="false">(1-Sens!J16449)*(Sens!J16446+Sens!J16448)</f>
        <v>23.2503960207104</v>
      </c>
      <c r="K16451" s="6" t="n">
        <f aca="false">(1-Sens!K16449)*(Sens!K16446+Sens!K16448)</f>
        <v>24.8730801087085</v>
      </c>
    </row>
    <row r="16452" customFormat="false" ht="17.15" hidden="false" customHeight="false" outlineLevel="0" collapsed="false">
      <c r="A16452" s="1" t="s">
        <v>987</v>
      </c>
      <c r="B16452" s="0" t="s">
        <v>414</v>
      </c>
      <c r="C16452" s="8" t="n">
        <f aca="false">cxit_open</f>
        <v>27.5918995</v>
      </c>
      <c r="D16452" s="8" t="n">
        <f aca="false">cxit_open</f>
        <v>27.5918995</v>
      </c>
      <c r="E16452" s="8" t="n">
        <f aca="false">cxit_open</f>
        <v>27.5918995</v>
      </c>
      <c r="F16452" s="8" t="n">
        <f aca="false">((a_g3_27-nonnv*a_mai)*tk_cxit_gb300+nonnv*a_mai*nv_hold_mai*tk_cxit_vr200+(1-a_g3_27)*tk_cxit_vr200)</f>
        <v>32.4975576</v>
      </c>
      <c r="G16452" s="8" t="n">
        <f aca="false">((a_g3_28-nonnv*a_mai)*tk_cxit_gb300+nonnv*a_mai*nv_hold_mai*tk_cxit_vr200+(1-a_g3_28)*tk_cxit_vr200)</f>
        <v>34.6372088</v>
      </c>
      <c r="H16452" s="8" t="n">
        <f aca="false">((a_g3_29-nonnv*a_mai)*tk_cxit_gb300+nonnv*a_mai*nv_hold_mai*tk_cxit_vr200+(1-a_g3_29)*tk_cxit_vr200)</f>
        <v>35.7070344</v>
      </c>
      <c r="I16452" s="8" t="n">
        <f aca="false">((a_g3_29-nonnv*a_mai)*tk_cxit_gb300+nonnv*a_mai*nv_hold_mai*tk_cxit_vr200+(1-a_g3_29)*tk_cxit_vr200)</f>
        <v>35.7070344</v>
      </c>
      <c r="J16452" s="8" t="n">
        <f aca="false">((a_g3_29-nonnv*a_mai)*tk_cxit_gb300+nonnv*a_mai*nv_hold_mai*tk_cxit_vr200+(1-a_g3_29)*tk_cxit_vr200)</f>
        <v>35.7070344</v>
      </c>
      <c r="K16452" s="8" t="n">
        <f aca="false">((a_g3_29-nonnv*a_mai)*tk_cxit_gb300+nonnv*a_mai*nv_hold_mai*tk_cxit_vr200+(1-a_g3_29)*tk_cxit_vr200)</f>
        <v>35.7070344</v>
      </c>
      <c r="L16452" s="12" t="s">
        <v>988</v>
      </c>
    </row>
    <row r="16453" customFormat="false" ht="17.15" hidden="false" customHeight="false" outlineLevel="0" collapsed="false">
      <c r="A16453" s="0" t="s">
        <v>989</v>
      </c>
      <c r="B16453" s="0" t="s">
        <v>456</v>
      </c>
      <c r="F16453" s="30" t="n">
        <f aca="false">Sens!C16432*IF(Sens!F16425-Sens!C16425=life_it,1,0)+Sens!D16432*IF(Sens!F16425-Sens!D16425=life_it,1,0)+Sens!E16432*IF(Sens!F16425-Sens!E16425=life_it,1,0)</f>
        <v>0</v>
      </c>
      <c r="G16453" s="30" t="n">
        <f aca="false">Sens!C16432*IF(Sens!G16425-Sens!C16425=life_it,1,0)+Sens!D16432*IF(Sens!G16425-Sens!D16425=life_it,1,0)+Sens!E16432*IF(Sens!G16425-Sens!E16425=life_it,1,0)+Sens!F16432*IF(Sens!G16425-Sens!F16425=life_it,1,0)</f>
        <v>0</v>
      </c>
      <c r="H16453" s="30" t="n">
        <f aca="false">Sens!C16432*IF(Sens!H16425-Sens!C16425=life_it,1,0)+Sens!D16432*IF(Sens!H16425-Sens!D16425=life_it,1,0)+Sens!E16432*IF(Sens!H16425-Sens!E16425=life_it,1,0)+Sens!F16432*IF(Sens!H16425-Sens!F16425=life_it,1,0)+Sens!G16432*IF(Sens!H16425-Sens!G16425=life_it,1,0)</f>
        <v>0</v>
      </c>
      <c r="I16453" s="30" t="n">
        <f aca="false">Sens!C16432*IF(Sens!I16425-Sens!C16425=life_it,1,0)+Sens!D16432*IF(Sens!I16425-Sens!D16425=life_it,1,0)+Sens!E16432*IF(Sens!I16425-Sens!E16425=life_it,1,0)+Sens!F16432*IF(Sens!I16425-Sens!F16425=life_it,1,0)+Sens!G16432*IF(Sens!I16425-Sens!G16425=life_it,1,0)+Sens!H16432*IF(Sens!I16425-Sens!H16425=life_it,1,0)</f>
        <v>816.666666666667</v>
      </c>
      <c r="J16453" s="30" t="n">
        <f aca="false">Sens!C16432*IF(Sens!J16425-Sens!C16425=life_it,1,0)+Sens!D16432*IF(Sens!J16425-Sens!D16425=life_it,1,0)+Sens!E16432*IF(Sens!J16425-Sens!E16425=life_it,1,0)+Sens!F16432*IF(Sens!J16425-Sens!F16425=life_it,1,0)+Sens!G16432*IF(Sens!J16425-Sens!G16425=life_it,1,0)+Sens!H16432*IF(Sens!J16425-Sens!H16425=life_it,1,0)+Sens!I16432*IF(Sens!J16425-Sens!I16425=life_it,1,0)</f>
        <v>1233.33333333333</v>
      </c>
      <c r="K16453" s="30" t="n">
        <f aca="false">Sens!C16432*IF(Sens!K16425-Sens!C16425=life_it,1,0)+Sens!D16432*IF(Sens!K16425-Sens!D16425=life_it,1,0)+Sens!E16432*IF(Sens!K16425-Sens!E16425=life_it,1,0)+Sens!F16432*IF(Sens!K16425-Sens!F16425=life_it,1,0)+Sens!G16432*IF(Sens!K16425-Sens!G16425=life_it,1,0)+Sens!H16432*IF(Sens!K16425-Sens!H16425=life_it,1,0)+Sens!I16432*IF(Sens!K16425-Sens!I16425=life_it,1,0)+Sens!J16432*IF(Sens!K16425-Sens!J16425=life_it,1,0)</f>
        <v>2450</v>
      </c>
      <c r="L16453" s="1" t="s">
        <v>990</v>
      </c>
    </row>
    <row r="16454" customFormat="false" ht="17.15" hidden="false" customHeight="false" outlineLevel="0" collapsed="false">
      <c r="A16454" s="0" t="s">
        <v>991</v>
      </c>
      <c r="B16454" s="0" t="s">
        <v>98</v>
      </c>
      <c r="C16454" s="6" t="n">
        <f aca="false">Sens!C16432*Sens!C16452/1000</f>
        <v>22.5333845916667</v>
      </c>
      <c r="D16454" s="6" t="n">
        <f aca="false">Sens!D16432*Sens!D16452/1000</f>
        <v>34.0300093833333</v>
      </c>
      <c r="E16454" s="6" t="n">
        <f aca="false">Sens!E16432*Sens!E16452/1000</f>
        <v>67.600153775</v>
      </c>
      <c r="F16454" s="6" t="n">
        <f aca="false">(Sens!F16432+Sens!F16453)*Sens!F16452/1000</f>
        <v>136.51872432512</v>
      </c>
      <c r="G16454" s="6" t="n">
        <f aca="false">(Sens!G16432+Sens!G16453)*Sens!G16452/1000</f>
        <v>157.399275932048</v>
      </c>
      <c r="H16454" s="6" t="n">
        <f aca="false">(Sens!H16432+Sens!H16453)*Sens!H16452/1000</f>
        <v>162.260804347512</v>
      </c>
      <c r="I16454" s="6" t="n">
        <f aca="false">(Sens!I16432+Sens!I16453)*Sens!I16452/1000</f>
        <v>144.136569485434</v>
      </c>
      <c r="J16454" s="6" t="n">
        <f aca="false">(Sens!J16432+Sens!J16453)*Sens!J16452/1000</f>
        <v>114.029037357864</v>
      </c>
      <c r="K16454" s="6" t="n">
        <f aca="false">(Sens!K16432+Sens!K16453)*Sens!K16452/1000</f>
        <v>113.437085350975</v>
      </c>
    </row>
    <row r="16455" customFormat="false" ht="17.15" hidden="false" customHeight="false" outlineLevel="0" collapsed="false">
      <c r="A16455" s="0" t="s">
        <v>992</v>
      </c>
      <c r="B16455" s="0" t="s">
        <v>98</v>
      </c>
      <c r="C16455" s="6" t="n">
        <f aca="false">Sens!C16432*self_build*tk_cxfac/1000</f>
        <v>6.2083</v>
      </c>
      <c r="D16455" s="6" t="n">
        <f aca="false">Sens!D16432*self_build*tk_cxfac/1000</f>
        <v>9.3758</v>
      </c>
      <c r="E16455" s="6" t="n">
        <f aca="false">Sens!E16432*self_build*tk_cxfac/1000</f>
        <v>18.6249</v>
      </c>
      <c r="F16455" s="6" t="n">
        <f aca="false">Sens!F16432*self_build*tk_cxfac/1000</f>
        <v>31.935179717</v>
      </c>
      <c r="G16455" s="6" t="n">
        <f aca="false">Sens!G16432*self_build*tk_cxfac/1000</f>
        <v>34.545199717</v>
      </c>
      <c r="H16455" s="6" t="n">
        <f aca="false">Sens!H16432*self_build*tk_cxfac/1000</f>
        <v>34.545199717</v>
      </c>
      <c r="I16455" s="6" t="n">
        <f aca="false">Sens!I16432*self_build*tk_cxfac/1000</f>
        <v>24.4782641361767</v>
      </c>
      <c r="J16455" s="6" t="n">
        <f aca="false">Sens!J16432*self_build*tk_cxfac/1000</f>
        <v>14.9008938380769</v>
      </c>
      <c r="K16455" s="6" t="n">
        <f aca="false">Sens!K16432*self_build*tk_cxfac/1000</f>
        <v>5.52576771375761</v>
      </c>
    </row>
    <row r="16456" customFormat="false" ht="17.15" hidden="false" customHeight="false" outlineLevel="0" collapsed="false">
      <c r="A16456" s="0" t="s">
        <v>993</v>
      </c>
      <c r="B16456" s="0" t="s">
        <v>98</v>
      </c>
      <c r="F16456" s="15" t="n">
        <f aca="false">capex_floor27-Sens!F16454-Sens!F16455-Sens!F16552</f>
        <v>0.0475774452575593</v>
      </c>
      <c r="L16456" s="12" t="s">
        <v>994</v>
      </c>
    </row>
    <row r="16457" customFormat="false" ht="17.15" hidden="false" customHeight="false" outlineLevel="0" collapsed="false">
      <c r="A16457" s="0" t="s">
        <v>995</v>
      </c>
      <c r="B16457" s="0" t="s">
        <v>98</v>
      </c>
      <c r="F16457" s="6" t="n">
        <f aca="false">MAX(0,Sens!F16456)</f>
        <v>0.0475774452575593</v>
      </c>
    </row>
    <row r="16458" customFormat="false" ht="17.15" hidden="false" customHeight="false" outlineLevel="0" collapsed="false">
      <c r="A16458" s="0" t="s">
        <v>996</v>
      </c>
      <c r="B16458" s="0" t="s">
        <v>98</v>
      </c>
      <c r="C16458" s="6" t="n">
        <f aca="false">Sens!C16454</f>
        <v>22.5333845916667</v>
      </c>
      <c r="D16458" s="6" t="n">
        <f aca="false">Sens!D16454</f>
        <v>34.0300093833333</v>
      </c>
      <c r="E16458" s="6" t="n">
        <f aca="false">Sens!E16454</f>
        <v>67.600153775</v>
      </c>
      <c r="F16458" s="6" t="n">
        <f aca="false">Sens!F16454</f>
        <v>136.51872432512</v>
      </c>
      <c r="G16458" s="6" t="n">
        <f aca="false">Sens!G16454</f>
        <v>157.399275932048</v>
      </c>
      <c r="H16458" s="6" t="n">
        <f aca="false">Sens!H16454</f>
        <v>162.260804347512</v>
      </c>
      <c r="I16458" s="6" t="n">
        <f aca="false">Sens!I16454</f>
        <v>144.136569485434</v>
      </c>
      <c r="J16458" s="6" t="n">
        <f aca="false">Sens!J16454</f>
        <v>114.029037357864</v>
      </c>
      <c r="K16458" s="6" t="n">
        <f aca="false">Sens!K16454</f>
        <v>113.437085350975</v>
      </c>
    </row>
    <row r="16459" customFormat="false" ht="17.15" hidden="false" customHeight="false" outlineLevel="0" collapsed="false">
      <c r="A16459" s="0" t="s">
        <v>997</v>
      </c>
      <c r="B16459" s="0" t="s">
        <v>98</v>
      </c>
      <c r="C16459" s="6" t="n">
        <f aca="false">Sens!C16458+Sens!C16455</f>
        <v>28.7416845916667</v>
      </c>
      <c r="D16459" s="6" t="n">
        <f aca="false">Sens!D16458+Sens!D16455</f>
        <v>43.4058093833333</v>
      </c>
      <c r="E16459" s="6" t="n">
        <f aca="false">Sens!E16458+Sens!E16455</f>
        <v>86.225053775</v>
      </c>
      <c r="F16459" s="6" t="n">
        <f aca="false">Sens!F16458+Sens!F16455</f>
        <v>168.45390404212</v>
      </c>
      <c r="G16459" s="6" t="n">
        <f aca="false">Sens!G16458+Sens!G16455</f>
        <v>191.944475649048</v>
      </c>
      <c r="H16459" s="6" t="n">
        <f aca="false">Sens!H16458+Sens!H16455</f>
        <v>196.806004064512</v>
      </c>
      <c r="I16459" s="6" t="n">
        <f aca="false">Sens!I16458+Sens!I16455</f>
        <v>168.61483362161</v>
      </c>
      <c r="J16459" s="6" t="n">
        <f aca="false">Sens!J16458+Sens!J16455</f>
        <v>128.92993119594</v>
      </c>
      <c r="K16459" s="6" t="n">
        <f aca="false">Sens!K16458+Sens!K16455</f>
        <v>118.962853064733</v>
      </c>
      <c r="L16459" s="12" t="s">
        <v>998</v>
      </c>
    </row>
    <row r="16460" customFormat="false" ht="17.15" hidden="false" customHeight="false" outlineLevel="0" collapsed="false">
      <c r="A16460" s="0" t="s">
        <v>999</v>
      </c>
      <c r="B16460" s="0" t="s">
        <v>98</v>
      </c>
      <c r="E16460" s="6" t="n">
        <f aca="false">(Sens!C16458*IF(2&lt;life_it,1,IF(2=life_it,0.5,0))+Sens!D16458*IF(1&lt;life_it,1,IF(1=life_it,0.5,0))+Sens!E16458*0.5)/life_it</f>
        <v>15.0605784770833</v>
      </c>
      <c r="F16460" s="6" t="n">
        <f aca="false">(Sens!C16458*IF(3&lt;life_it,1,IF(3=life_it,0.5,0))+Sens!D16458*IF(2&lt;life_it,1,IF(2=life_it,0.5,0))+Sens!E16458*IF(1&lt;life_it,1,IF(1=life_it,0.5,0))+Sens!F16458*0.5)/life_it</f>
        <v>32.0704849854266</v>
      </c>
      <c r="G16460" s="6" t="n">
        <f aca="false">(Sens!C16458*IF(4&lt;life_it,1,IF(4=life_it,0.5,0))+Sens!D16458*IF(3&lt;life_it,1,IF(3=life_it,0.5,0))+Sens!E16458*IF(2&lt;life_it,1,IF(2=life_it,0.5,0))+Sens!F16458*IF(1&lt;life_it,1,IF(1=life_it,0.5,0))+Sens!G16458*0.5)/life_it</f>
        <v>56.5636516735239</v>
      </c>
      <c r="H16460" s="6" t="n">
        <f aca="false">(Sens!C16458*IF(5&lt;life_it,1,IF(5=life_it,0.5,0))+Sens!D16458*IF(4&lt;life_it,1,IF(4=life_it,0.5,0))+Sens!E16458*IF(3&lt;life_it,1,IF(3=life_it,0.5,0))+Sens!F16458*IF(2&lt;life_it,1,IF(2=life_it,0.5,0))+Sens!G16458*IF(1&lt;life_it,1,IF(1=life_it,0.5,0))+Sens!H16458*0.5)/life_it</f>
        <v>83.2019916968207</v>
      </c>
      <c r="I16460" s="6" t="n">
        <f aca="false">(Sens!C16458*IF(6&lt;life_it,1,IF(6=life_it,0.5,0))+Sens!D16458*IF(5&lt;life_it,1,IF(5=life_it,0.5,0))+Sens!E16458*IF(4&lt;life_it,1,IF(4=life_it,0.5,0))+Sens!F16458*IF(3&lt;life_it,1,IF(3=life_it,0.5,0))+Sens!G16458*IF(2&lt;life_it,1,IF(2=life_it,0.5,0))+Sens!H16458*IF(1&lt;life_it,1,IF(1=life_it,0.5,0))+Sens!I16458*0.5)/life_it</f>
        <v>106.857324133594</v>
      </c>
      <c r="J16460" s="6" t="n">
        <f aca="false">(Sens!C16458*IF(7&lt;life_it,1,IF(7=life_it,0.5,0))+Sens!D16458*IF(6&lt;life_it,1,IF(6=life_it,0.5,0))+Sens!E16458*IF(5&lt;life_it,1,IF(5=life_it,0.5,0))+Sens!F16458*IF(4&lt;life_it,1,IF(4=life_it,0.5,0))+Sens!G16458*IF(3&lt;life_it,1,IF(3=life_it,0.5,0))+Sens!H16458*IF(2&lt;life_it,1,IF(2=life_it,0.5,0))+Sens!I16458*IF(1&lt;life_it,1,IF(1=life_it,0.5,0))+Sens!J16458*0.5)/life_it</f>
        <v>123.657508539285</v>
      </c>
      <c r="K16460" s="6" t="n">
        <f aca="false">(Sens!C16458*IF(8&lt;life_it,1,IF(8=life_it,0.5,0))+Sens!D16458*IF(7&lt;life_it,1,IF(7=life_it,0.5,0))+Sens!E16458*IF(6&lt;life_it,1,IF(6=life_it,0.5,0))+Sens!F16458*IF(5&lt;life_it,1,IF(5=life_it,0.5,0))+Sens!G16458*IF(4&lt;life_it,1,IF(4=life_it,0.5,0))+Sens!H16458*IF(3&lt;life_it,1,IF(3=life_it,0.5,0))+Sens!I16458*IF(2&lt;life_it,1,IF(2=life_it,0.5,0))+Sens!J16458*IF(1&lt;life_it,1,IF(1=life_it,0.5,0))+Sens!K16458*0.5)/life_it</f>
        <v>134.143838501827</v>
      </c>
    </row>
    <row r="16461" customFormat="false" ht="17.15" hidden="false" customHeight="false" outlineLevel="0" collapsed="false">
      <c r="A16461" s="0" t="s">
        <v>1000</v>
      </c>
      <c r="B16461" s="0" t="s">
        <v>98</v>
      </c>
      <c r="E16461" s="6" t="n">
        <f aca="false">(Sens!C16455*IF(2&lt;life_fac,1,IF(2=life_fac,0.5,0))+Sens!D16455*IF(1&lt;life_fac,1,IF(1=life_fac,0.5,0))+Sens!E16455*0.5)/life_fac</f>
        <v>1.2448275</v>
      </c>
      <c r="F16461" s="6" t="n">
        <f aca="false">(Sens!C16455*IF(3&lt;life_fac,1,IF(3=life_fac,0.5,0))+Sens!D16455*IF(2&lt;life_fac,1,IF(2=life_fac,0.5,0))+Sens!E16455*IF(1&lt;life_fac,1,IF(1=life_fac,0.5,0))+Sens!F16455*0.5)/life_fac</f>
        <v>2.508829492925</v>
      </c>
      <c r="G16461" s="6" t="n">
        <f aca="false">(Sens!C16455*IF(4&lt;life_fac,1,IF(4=life_fac,0.5,0))+Sens!D16455*IF(3&lt;life_fac,1,IF(3=life_fac,0.5,0))+Sens!E16455*IF(2&lt;life_fac,1,IF(2=life_fac,0.5,0))+Sens!F16455*IF(1&lt;life_fac,1,IF(1=life_fac,0.5,0))+Sens!G16455*0.5)/life_fac</f>
        <v>4.170838978775</v>
      </c>
      <c r="H16461" s="6" t="n">
        <f aca="false">(Sens!C16455*IF(5&lt;life_fac,1,IF(5=life_fac,0.5,0))+Sens!D16455*IF(4&lt;life_fac,1,IF(4=life_fac,0.5,0))+Sens!E16455*IF(3&lt;life_fac,1,IF(3=life_fac,0.5,0))+Sens!F16455*IF(2&lt;life_fac,1,IF(2=life_fac,0.5,0))+Sens!G16455*IF(1&lt;life_fac,1,IF(1=life_fac,0.5,0))+Sens!H16455*0.5)/life_fac</f>
        <v>5.898098964625</v>
      </c>
      <c r="I16461" s="6" t="n">
        <f aca="false">(Sens!C16455*IF(6&lt;life_fac,1,IF(6=life_fac,0.5,0))+Sens!D16455*IF(5&lt;life_fac,1,IF(5=life_fac,0.5,0))+Sens!E16455*IF(4&lt;life_fac,1,IF(4=life_fac,0.5,0))+Sens!F16455*IF(3&lt;life_fac,1,IF(3=life_fac,0.5,0))+Sens!G16455*IF(2&lt;life_fac,1,IF(2=life_fac,0.5,0))+Sens!H16455*IF(1&lt;life_fac,1,IF(1=life_fac,0.5,0))+Sens!I16455*0.5)/life_fac</f>
        <v>7.37368556095442</v>
      </c>
      <c r="J16461" s="6" t="n">
        <f aca="false">(Sens!C16455*IF(7&lt;life_fac,1,IF(7=life_fac,0.5,0))+Sens!D16455*IF(6&lt;life_fac,1,IF(6=life_fac,0.5,0))+Sens!E16455*IF(5&lt;life_fac,1,IF(5=life_fac,0.5,0))+Sens!F16455*IF(4&lt;life_fac,1,IF(4=life_fac,0.5,0))+Sens!G16455*IF(3&lt;life_fac,1,IF(3=life_fac,0.5,0))+Sens!H16455*IF(2&lt;life_fac,1,IF(2=life_fac,0.5,0))+Sens!I16455*IF(1&lt;life_fac,1,IF(1=life_fac,0.5,0))+Sens!J16455*0.5)/life_fac</f>
        <v>8.35816451031075</v>
      </c>
      <c r="K16461" s="6" t="n">
        <f aca="false">(Sens!C16455*IF(8&lt;life_fac,1,IF(8=life_fac,0.5,0))+Sens!D16455*IF(7&lt;life_fac,1,IF(7=life_fac,0.5,0))+Sens!E16455*IF(6&lt;life_fac,1,IF(6=life_fac,0.5,0))+Sens!F16455*IF(5&lt;life_fac,1,IF(5=life_fac,0.5,0))+Sens!G16455*IF(4&lt;life_fac,1,IF(4=life_fac,0.5,0))+Sens!H16455*IF(3&lt;life_fac,1,IF(3=life_fac,0.5,0))+Sens!I16455*IF(2&lt;life_fac,1,IF(2=life_fac,0.5,0))+Sens!J16455*IF(1&lt;life_fac,1,IF(1=life_fac,0.5,0))+Sens!K16455*0.5)/life_fac</f>
        <v>8.86883104910662</v>
      </c>
    </row>
    <row r="16462" customFormat="false" ht="17.15" hidden="false" customHeight="false" outlineLevel="0" collapsed="false">
      <c r="A16462" s="0" t="s">
        <v>1001</v>
      </c>
      <c r="B16462" s="0" t="s">
        <v>98</v>
      </c>
      <c r="E16462" s="6" t="n">
        <f aca="false">Sens!E16460+Sens!E16461</f>
        <v>16.3054059770833</v>
      </c>
      <c r="F16462" s="6" t="n">
        <f aca="false">Sens!F16460+Sens!F16461</f>
        <v>34.5793144783516</v>
      </c>
      <c r="G16462" s="6" t="n">
        <f aca="false">Sens!G16460+Sens!G16461</f>
        <v>60.7344906522989</v>
      </c>
      <c r="H16462" s="6" t="n">
        <f aca="false">Sens!H16460+Sens!H16461</f>
        <v>89.1000906614457</v>
      </c>
      <c r="I16462" s="6" t="n">
        <f aca="false">Sens!I16460+Sens!I16461</f>
        <v>114.231009694548</v>
      </c>
      <c r="J16462" s="6" t="n">
        <f aca="false">Sens!J16460+Sens!J16461</f>
        <v>132.015673049596</v>
      </c>
      <c r="K16462" s="6" t="n">
        <f aca="false">Sens!K16460+Sens!K16461</f>
        <v>143.012669550934</v>
      </c>
    </row>
    <row r="16463" customFormat="false" ht="17.15" hidden="false" customHeight="false" outlineLevel="0" collapsed="false">
      <c r="A16463" s="0" t="s">
        <v>1002</v>
      </c>
      <c r="B16463" s="0" t="s">
        <v>98</v>
      </c>
      <c r="E16463" s="6" t="n">
        <f aca="false">Sens!E16450-Sens!E16449*Sens!E16462</f>
        <v>8.92707889977379</v>
      </c>
      <c r="F16463" s="6" t="n">
        <f aca="false">Sens!F16450-Sens!F16449*Sens!F16462</f>
        <v>22.4686207259278</v>
      </c>
      <c r="G16463" s="6" t="n">
        <f aca="false">Sens!G16450-Sens!G16449*Sens!G16462</f>
        <v>43.2797528675735</v>
      </c>
      <c r="H16463" s="6" t="n">
        <f aca="false">Sens!H16450-Sens!H16449*Sens!H16462</f>
        <v>69.3477099347341</v>
      </c>
      <c r="I16463" s="6" t="n">
        <f aca="false">Sens!I16450-Sens!I16449*Sens!I16462</f>
        <v>86.8523667140836</v>
      </c>
      <c r="J16463" s="6" t="n">
        <f aca="false">Sens!J16450-Sens!J16449*Sens!J16462</f>
        <v>98.9882647234202</v>
      </c>
      <c r="K16463" s="6" t="n">
        <f aca="false">Sens!K16450-Sens!K16449*Sens!K16462</f>
        <v>106.918985011399</v>
      </c>
    </row>
    <row r="16464" customFormat="false" ht="17.15" hidden="false" customHeight="false" outlineLevel="0" collapsed="false">
      <c r="A16464" s="3" t="s">
        <v>1885</v>
      </c>
    </row>
    <row r="16465" customFormat="false" ht="15" hidden="false" customHeight="false" outlineLevel="0" collapsed="false">
      <c r="A16465" s="4" t="s">
        <v>43</v>
      </c>
      <c r="B16465" s="4" t="s">
        <v>65</v>
      </c>
      <c r="C16465" s="23" t="s">
        <v>938</v>
      </c>
      <c r="D16465" s="23" t="s">
        <v>939</v>
      </c>
      <c r="E16465" s="23" t="s">
        <v>940</v>
      </c>
      <c r="F16465" s="23" t="s">
        <v>941</v>
      </c>
      <c r="G16465" s="23" t="s">
        <v>942</v>
      </c>
      <c r="H16465" s="23" t="s">
        <v>943</v>
      </c>
      <c r="I16465" s="23" t="s">
        <v>944</v>
      </c>
      <c r="J16465" s="23" t="s">
        <v>945</v>
      </c>
      <c r="K16465" s="23" t="s">
        <v>946</v>
      </c>
      <c r="L16465" s="4" t="s">
        <v>47</v>
      </c>
    </row>
    <row r="16466" customFormat="false" ht="17.15" hidden="false" customHeight="false" outlineLevel="0" collapsed="false">
      <c r="A16466" s="0" t="s">
        <v>1021</v>
      </c>
      <c r="B16466" s="0" t="s">
        <v>98</v>
      </c>
      <c r="D16466" s="6" t="n">
        <f aca="false">Sens!D16444</f>
        <v>12.9359794422418</v>
      </c>
      <c r="E16466" s="6" t="n">
        <f aca="false">Sens!E16444</f>
        <v>27.8095064661409</v>
      </c>
      <c r="F16466" s="6" t="n">
        <f aca="false">Sens!F16444</f>
        <v>59.1034165651511</v>
      </c>
      <c r="G16466" s="6" t="n">
        <f aca="false">Sens!G16444</f>
        <v>103.451498789198</v>
      </c>
      <c r="H16466" s="6" t="n">
        <f aca="false">Sens!H16444</f>
        <v>153.816719989035</v>
      </c>
      <c r="I16466" s="6" t="n">
        <f aca="false">Sens!I16444</f>
        <v>192.699478690852</v>
      </c>
      <c r="J16466" s="6" t="n">
        <f aca="false">Sens!J16444</f>
        <v>219.794102584244</v>
      </c>
      <c r="K16466" s="6" t="n">
        <f aca="false">Sens!K16444</f>
        <v>236.757046905022</v>
      </c>
    </row>
    <row r="16467" customFormat="false" ht="17.15" hidden="false" customHeight="false" outlineLevel="0" collapsed="false">
      <c r="A16467" s="0" t="s">
        <v>1022</v>
      </c>
      <c r="B16467" s="0" t="s">
        <v>98</v>
      </c>
      <c r="D16467" s="6" t="n">
        <f aca="false">Q!L6-Sens!D16466</f>
        <v>59.6740205577583</v>
      </c>
      <c r="E16467" s="6" t="n">
        <f aca="false">Q!M6-Sens!E16466</f>
        <v>74.1284935338591</v>
      </c>
      <c r="F16467" s="6" t="n">
        <f aca="false">Q!$I$6+(Sens!F16466+Sens!E16467*(1+Sens!F16468))*(1-Q!$E$6/Q!M6)-Sens!F16466</f>
        <v>90.4866018070994</v>
      </c>
      <c r="G16467" s="6" t="n">
        <f aca="false">Sens!F16467*(1+Sens!G16468)</f>
        <v>107.511588557154</v>
      </c>
      <c r="H16467" s="6" t="n">
        <f aca="false">Sens!G16467*(1+Sens!H16468)</f>
        <v>124.832989325489</v>
      </c>
      <c r="I16467" s="6" t="n">
        <f aca="false">Sens!H16467*(1+Sens!I16468)</f>
        <v>141.56992589148</v>
      </c>
      <c r="J16467" s="6" t="n">
        <f aca="false">Sens!I16467*(1+Sens!J16468)</f>
        <v>156.723190479428</v>
      </c>
      <c r="K16467" s="6" t="n">
        <f aca="false">Sens!J16467*(1+Sens!K16468)</f>
        <v>169.261045717783</v>
      </c>
      <c r="L16467" s="12" t="s">
        <v>1023</v>
      </c>
    </row>
    <row r="16468" customFormat="false" ht="15" hidden="false" customHeight="false" outlineLevel="0" collapsed="false">
      <c r="A16468" s="1" t="s">
        <v>1024</v>
      </c>
      <c r="B16468" s="0" t="s">
        <v>168</v>
      </c>
      <c r="E16468" s="7" t="n">
        <f aca="false">Sens!E16467/Sens!D16467-1</f>
        <v>0.242223883039864</v>
      </c>
      <c r="F16468" s="7" t="n">
        <f aca="false">Sens!$E$16468+(glt_azo-Sens!$E$16468)*MIN(1,(Sens!F16425-base_fy)/n_conv)</f>
        <v>0.215186569199887</v>
      </c>
      <c r="G16468" s="7" t="n">
        <f aca="false">Sens!$E$16468+(glt_azo-Sens!$E$16468)*MIN(1,(Sens!G16425-base_fy)/n_conv)</f>
        <v>0.18814925535991</v>
      </c>
      <c r="H16468" s="7" t="n">
        <f aca="false">Sens!$E$16468+(glt_azo-Sens!$E$16468)*MIN(1,(Sens!H16425-base_fy)/n_conv)</f>
        <v>0.161111941519932</v>
      </c>
      <c r="I16468" s="7" t="n">
        <f aca="false">Sens!$E$16468+(glt_azo-Sens!$E$16468)*MIN(1,(Sens!I16425-base_fy)/n_conv)</f>
        <v>0.134074627679955</v>
      </c>
      <c r="J16468" s="7" t="n">
        <f aca="false">Sens!$E$16468+(glt_azo-Sens!$E$16468)*MIN(1,(Sens!J16425-base_fy)/n_conv)</f>
        <v>0.107037313839977</v>
      </c>
      <c r="K16468" s="7" t="n">
        <f aca="false">Sens!$E$16468+(glt_azo-Sens!$E$16468)*MIN(1,(Sens!K16425-base_fy)/n_conv)</f>
        <v>0.08</v>
      </c>
    </row>
    <row r="16469" customFormat="false" ht="15" hidden="false" customHeight="false" outlineLevel="0" collapsed="false">
      <c r="A16469" s="0" t="s">
        <v>1025</v>
      </c>
      <c r="B16469" s="0" t="s">
        <v>98</v>
      </c>
      <c r="D16469" s="6" t="n">
        <f aca="false">Sens!D16466+Sens!D16467</f>
        <v>72.61</v>
      </c>
      <c r="E16469" s="6" t="n">
        <f aca="false">Sens!E16466+Sens!E16467</f>
        <v>101.938</v>
      </c>
      <c r="F16469" s="6" t="n">
        <f aca="false">Sens!F16466+Sens!F16467</f>
        <v>149.59001837225</v>
      </c>
      <c r="G16469" s="6" t="n">
        <f aca="false">Sens!G16466+Sens!G16467</f>
        <v>210.963087346352</v>
      </c>
      <c r="H16469" s="6" t="n">
        <f aca="false">Sens!H16466+Sens!H16467</f>
        <v>278.649709314524</v>
      </c>
      <c r="I16469" s="6" t="n">
        <f aca="false">Sens!I16466+Sens!I16467</f>
        <v>334.269404582332</v>
      </c>
      <c r="J16469" s="6" t="n">
        <f aca="false">Sens!J16466+Sens!J16467</f>
        <v>376.517293063672</v>
      </c>
      <c r="K16469" s="6" t="n">
        <f aca="false">Sens!K16466+Sens!K16467</f>
        <v>406.018092622804</v>
      </c>
    </row>
    <row r="16470" customFormat="false" ht="17.15" hidden="false" customHeight="false" outlineLevel="0" collapsed="false">
      <c r="A16470" s="0" t="s">
        <v>1026</v>
      </c>
      <c r="B16470" s="1" t="s">
        <v>610</v>
      </c>
      <c r="C16470" s="30" t="n">
        <f aca="false">cop_s24</f>
        <v>1</v>
      </c>
      <c r="D16470" s="30" t="n">
        <f aca="false">cop_s25</f>
        <v>5</v>
      </c>
      <c r="E16470" s="30" t="n">
        <f aca="false">cop_s26</f>
        <v>30</v>
      </c>
      <c r="F16470" s="30" t="n">
        <f aca="false">Sens!E16470+cop_add_A</f>
        <v>60</v>
      </c>
      <c r="G16470" s="30" t="n">
        <f aca="false">Sens!F16470+cop_add_A</f>
        <v>90</v>
      </c>
      <c r="H16470" s="30" t="n">
        <f aca="false">Sens!G16470+cop_add_A</f>
        <v>120</v>
      </c>
      <c r="I16470" s="30" t="n">
        <f aca="false">Sens!H16470+cop_add_A*cop_tail</f>
        <v>135</v>
      </c>
      <c r="J16470" s="30" t="n">
        <f aca="false">Sens!I16470+cop_add_A*cop_tail</f>
        <v>150</v>
      </c>
      <c r="K16470" s="30" t="n">
        <f aca="false">Sens!J16470+cop_add_A*cop_tail</f>
        <v>165</v>
      </c>
      <c r="L16470" s="12" t="s">
        <v>1027</v>
      </c>
    </row>
    <row r="16471" customFormat="false" ht="17.15" hidden="false" customHeight="false" outlineLevel="0" collapsed="false">
      <c r="A16471" s="0" t="s">
        <v>1028</v>
      </c>
      <c r="B16471" s="0" t="s">
        <v>98</v>
      </c>
      <c r="D16471" s="6" t="n">
        <f aca="false">(Sens!C16470+Sens!D16470)/2*cop_px*12/1000</f>
        <v>0.9</v>
      </c>
      <c r="E16471" s="6" t="n">
        <f aca="false">(Sens!D16470+Sens!E16470)/2*cop_px*12/1000</f>
        <v>5.25</v>
      </c>
      <c r="F16471" s="6" t="n">
        <f aca="false">(Sens!E16470+Sens!F16470)/2*cop_px*12/1000</f>
        <v>13.5</v>
      </c>
      <c r="G16471" s="6" t="n">
        <f aca="false">(Sens!F16470+Sens!G16470)/2*cop_px*12/1000</f>
        <v>22.5</v>
      </c>
      <c r="H16471" s="6" t="n">
        <f aca="false">(Sens!G16470+Sens!H16470)/2*cop_px*12/1000</f>
        <v>31.5</v>
      </c>
      <c r="I16471" s="6" t="n">
        <f aca="false">(Sens!H16470+Sens!I16470)/2*cop_px*12/1000</f>
        <v>38.25</v>
      </c>
      <c r="J16471" s="6" t="n">
        <f aca="false">(Sens!I16470+Sens!J16470)/2*cop_px*12/1000</f>
        <v>42.75</v>
      </c>
      <c r="K16471" s="6" t="n">
        <f aca="false">(Sens!J16470+Sens!K16470)/2*cop_px*12/1000</f>
        <v>47.25</v>
      </c>
      <c r="L16471" s="1" t="s">
        <v>1029</v>
      </c>
    </row>
    <row r="16472" customFormat="false" ht="17.15" hidden="false" customHeight="false" outlineLevel="0" collapsed="false">
      <c r="A16472" s="0" t="s">
        <v>1030</v>
      </c>
      <c r="B16472" s="0" t="s">
        <v>98</v>
      </c>
      <c r="D16472" s="6" t="n">
        <f aca="false">Q!L7-Sens!D16471</f>
        <v>83.705</v>
      </c>
      <c r="E16472" s="6" t="n">
        <f aca="false">Q!M7-Sens!E16471</f>
        <v>95.049</v>
      </c>
      <c r="F16472" s="6" t="n">
        <f aca="false">Q!$I$7+(Sens!E16472*(1+Sens!F16473)+Sens!F16471)*(1-Q!$E$7/Q!M7)-Sens!F16471</f>
        <v>106.229653205718</v>
      </c>
      <c r="G16472" s="6" t="n">
        <f aca="false">Sens!F16472*(1+Sens!G16473)</f>
        <v>118.306092647576</v>
      </c>
      <c r="H16472" s="6" t="n">
        <f aca="false">Sens!G16472*(1+Sens!H16473)</f>
        <v>130.463437602768</v>
      </c>
      <c r="I16472" s="6" t="n">
        <f aca="false">Sens!H16472*(1+Sens!I16473)</f>
        <v>142.445354741933</v>
      </c>
      <c r="J16472" s="6" t="n">
        <f aca="false">Sens!I16472*(1+Sens!J16473)</f>
        <v>153.972117481571</v>
      </c>
      <c r="K16472" s="6" t="n">
        <f aca="false">Sens!J16472*(1+Sens!K16473)</f>
        <v>164.75016570528</v>
      </c>
      <c r="L16472" s="12" t="s">
        <v>1031</v>
      </c>
    </row>
    <row r="16473" customFormat="false" ht="15" hidden="false" customHeight="false" outlineLevel="0" collapsed="false">
      <c r="A16473" s="1" t="s">
        <v>1024</v>
      </c>
      <c r="B16473" s="0" t="s">
        <v>168</v>
      </c>
      <c r="E16473" s="7" t="n">
        <f aca="false">Sens!E16472/Sens!D16472-1</f>
        <v>0.135523564900544</v>
      </c>
      <c r="F16473" s="7" t="n">
        <f aca="false">Sens!$E$16473+(glt_m365b-Sens!$E$16473)*MIN(1,(Sens!F16425-base_fy)/n_conv)</f>
        <v>0.124602970750453</v>
      </c>
      <c r="G16473" s="7" t="n">
        <f aca="false">Sens!$E$16473+(glt_m365b-Sens!$E$16473)*MIN(1,(Sens!G16425-base_fy)/n_conv)</f>
        <v>0.113682376600363</v>
      </c>
      <c r="H16473" s="7" t="n">
        <f aca="false">Sens!$E$16473+(glt_m365b-Sens!$E$16473)*MIN(1,(Sens!H16425-base_fy)/n_conv)</f>
        <v>0.102761782450272</v>
      </c>
      <c r="I16473" s="7" t="n">
        <f aca="false">Sens!$E$16473+(glt_m365b-Sens!$E$16473)*MIN(1,(Sens!I16425-base_fy)/n_conv)</f>
        <v>0.0918411883001813</v>
      </c>
      <c r="J16473" s="7" t="n">
        <f aca="false">Sens!$E$16473+(glt_m365b-Sens!$E$16473)*MIN(1,(Sens!J16425-base_fy)/n_conv)</f>
        <v>0.0809205941500906</v>
      </c>
      <c r="K16473" s="7" t="n">
        <f aca="false">Sens!$E$16473+(glt_m365b-Sens!$E$16473)*MIN(1,(Sens!K16425-base_fy)/n_conv)</f>
        <v>0.07</v>
      </c>
    </row>
    <row r="16474" customFormat="false" ht="15" hidden="false" customHeight="false" outlineLevel="0" collapsed="false">
      <c r="A16474" s="0" t="s">
        <v>1032</v>
      </c>
      <c r="B16474" s="0" t="s">
        <v>98</v>
      </c>
      <c r="D16474" s="6" t="n">
        <f aca="false">Sens!D16472+Sens!D16471</f>
        <v>84.605</v>
      </c>
      <c r="E16474" s="6" t="n">
        <f aca="false">Sens!E16472+Sens!E16471</f>
        <v>100.299</v>
      </c>
      <c r="F16474" s="6" t="n">
        <f aca="false">Sens!F16472+Sens!F16471</f>
        <v>119.729653205718</v>
      </c>
      <c r="G16474" s="6" t="n">
        <f aca="false">Sens!G16472+Sens!G16471</f>
        <v>140.806092647576</v>
      </c>
      <c r="H16474" s="6" t="n">
        <f aca="false">Sens!H16472+Sens!H16471</f>
        <v>161.963437602768</v>
      </c>
      <c r="I16474" s="6" t="n">
        <f aca="false">Sens!I16472+Sens!I16471</f>
        <v>180.695354741933</v>
      </c>
      <c r="J16474" s="6" t="n">
        <f aca="false">Sens!J16472+Sens!J16471</f>
        <v>196.722117481571</v>
      </c>
      <c r="K16474" s="6" t="n">
        <f aca="false">Sens!K16472+Sens!K16471</f>
        <v>212.00016570528</v>
      </c>
    </row>
    <row r="16475" customFormat="false" ht="17.15" hidden="false" customHeight="false" outlineLevel="0" collapsed="false">
      <c r="A16475" s="0" t="s">
        <v>1033</v>
      </c>
      <c r="B16475" s="0" t="s">
        <v>98</v>
      </c>
      <c r="D16475" s="6" t="n">
        <f aca="false">Q!L8</f>
        <v>35.391</v>
      </c>
      <c r="E16475" s="6" t="n">
        <f aca="false">Q!M8</f>
        <v>37.285</v>
      </c>
      <c r="F16475" s="6" t="n">
        <f aca="false">Q!$I$8+(Q!M8-Q!$E$8)*(1+Sens!F16476)</f>
        <v>38.3851437782675</v>
      </c>
      <c r="G16475" s="6" t="n">
        <f aca="false">Sens!F16475*(1+Sens!G16476)</f>
        <v>40.0105353288615</v>
      </c>
      <c r="H16475" s="6" t="n">
        <f aca="false">Sens!G16475*(1+Sens!H16476)</f>
        <v>41.4812512033683</v>
      </c>
      <c r="I16475" s="6" t="n">
        <f aca="false">Sens!H16475*(1+Sens!I16476)</f>
        <v>42.7743107216329</v>
      </c>
      <c r="J16475" s="6" t="n">
        <f aca="false">Sens!I16475*(1+Sens!J16476)</f>
        <v>43.8687373064601</v>
      </c>
      <c r="K16475" s="6" t="n">
        <f aca="false">Sens!J16475*(1+Sens!K16476)</f>
        <v>44.7461120525893</v>
      </c>
      <c r="L16475" s="12" t="s">
        <v>1034</v>
      </c>
    </row>
    <row r="16476" customFormat="false" ht="15" hidden="false" customHeight="false" outlineLevel="0" collapsed="false">
      <c r="A16476" s="1" t="s">
        <v>1024</v>
      </c>
      <c r="B16476" s="0" t="s">
        <v>168</v>
      </c>
      <c r="E16476" s="7" t="n">
        <f aca="false">Sens!E16475/Sens!D16475-1</f>
        <v>0.0535164307309768</v>
      </c>
      <c r="F16476" s="7" t="n">
        <f aca="false">Sens!$E$16476+(glt_lic-Sens!$E$16476)*MIN(1,(Sens!F16425-base_fy)/n_conv)</f>
        <v>0.0479303589424807</v>
      </c>
      <c r="G16476" s="7" t="n">
        <f aca="false">Sens!$E$16476+(glt_lic-Sens!$E$16476)*MIN(1,(Sens!G16425-base_fy)/n_conv)</f>
        <v>0.0423442871539845</v>
      </c>
      <c r="H16476" s="7" t="n">
        <f aca="false">Sens!$E$16476+(glt_lic-Sens!$E$16476)*MIN(1,(Sens!H16425-base_fy)/n_conv)</f>
        <v>0.0367582153654884</v>
      </c>
      <c r="I16476" s="7" t="n">
        <f aca="false">Sens!$E$16476+(glt_lic-Sens!$E$16476)*MIN(1,(Sens!I16425-base_fy)/n_conv)</f>
        <v>0.0311721435769923</v>
      </c>
      <c r="J16476" s="7" t="n">
        <f aca="false">Sens!$E$16476+(glt_lic-Sens!$E$16476)*MIN(1,(Sens!J16425-base_fy)/n_conv)</f>
        <v>0.0255860717884961</v>
      </c>
      <c r="K16476" s="7" t="n">
        <f aca="false">Sens!$E$16476+(glt_lic-Sens!$E$16476)*MIN(1,(Sens!K16425-base_fy)/n_conv)</f>
        <v>0.02</v>
      </c>
    </row>
    <row r="16477" customFormat="false" ht="17.15" hidden="false" customHeight="false" outlineLevel="0" collapsed="false">
      <c r="A16477" s="0" t="s">
        <v>1035</v>
      </c>
      <c r="B16477" s="0" t="s">
        <v>98</v>
      </c>
      <c r="D16477" s="6" t="n">
        <f aca="false">Q!L9</f>
        <v>18.417</v>
      </c>
      <c r="E16477" s="6" t="n">
        <f aca="false">Q!M9</f>
        <v>20.345</v>
      </c>
      <c r="F16477" s="6" t="n">
        <f aca="false">Q!$I$9+(Q!M9-Q!$E$9)*(1+Sens!F16478)</f>
        <v>22.3161797133988</v>
      </c>
      <c r="G16477" s="6" t="n">
        <f aca="false">Sens!F16477*(1+Sens!G16478)</f>
        <v>24.3943499673233</v>
      </c>
      <c r="H16477" s="6" t="n">
        <f aca="false">Sens!G16477*(1+Sens!H16478)</f>
        <v>26.5250243109019</v>
      </c>
      <c r="I16477" s="6" t="n">
        <f aca="false">Sens!H16477*(1+Sens!I16478)</f>
        <v>28.6884573538181</v>
      </c>
      <c r="J16477" s="6" t="n">
        <f aca="false">Sens!I16477*(1+Sens!J16478)</f>
        <v>30.8624968052127</v>
      </c>
      <c r="K16477" s="6" t="n">
        <f aca="false">Sens!J16477*(1+Sens!K16478)</f>
        <v>33.0228715815776</v>
      </c>
      <c r="L16477" s="12" t="s">
        <v>1034</v>
      </c>
    </row>
    <row r="16478" customFormat="false" ht="15" hidden="false" customHeight="false" outlineLevel="0" collapsed="false">
      <c r="A16478" s="1" t="s">
        <v>1024</v>
      </c>
      <c r="B16478" s="0" t="s">
        <v>168</v>
      </c>
      <c r="E16478" s="7" t="n">
        <f aca="false">Sens!E16477/Sens!D16477-1</f>
        <v>0.104685888038225</v>
      </c>
      <c r="F16478" s="7" t="n">
        <f aca="false">Sens!$E$16478+(glt_ind-Sens!$E$16478)*MIN(1,(Sens!F16425-base_fy)/n_conv)</f>
        <v>0.0989049066985211</v>
      </c>
      <c r="G16478" s="7" t="n">
        <f aca="false">Sens!$E$16478+(glt_ind-Sens!$E$16478)*MIN(1,(Sens!G16425-base_fy)/n_conv)</f>
        <v>0.0931239253588169</v>
      </c>
      <c r="H16478" s="7" t="n">
        <f aca="false">Sens!$E$16478+(glt_ind-Sens!$E$16478)*MIN(1,(Sens!H16425-base_fy)/n_conv)</f>
        <v>0.0873429440191127</v>
      </c>
      <c r="I16478" s="7" t="n">
        <f aca="false">Sens!$E$16478+(glt_ind-Sens!$E$16478)*MIN(1,(Sens!I16425-base_fy)/n_conv)</f>
        <v>0.0815619626794085</v>
      </c>
      <c r="J16478" s="7" t="n">
        <f aca="false">Sens!$E$16478+(glt_ind-Sens!$E$16478)*MIN(1,(Sens!J16425-base_fy)/n_conv)</f>
        <v>0.0757809813397042</v>
      </c>
      <c r="K16478" s="7" t="n">
        <f aca="false">Sens!$E$16478+(glt_ind-Sens!$E$16478)*MIN(1,(Sens!K16425-base_fy)/n_conv)</f>
        <v>0.07</v>
      </c>
    </row>
    <row r="16479" customFormat="false" ht="17.15" hidden="false" customHeight="false" outlineLevel="0" collapsed="false">
      <c r="A16479" s="0" t="s">
        <v>1036</v>
      </c>
      <c r="B16479" s="0" t="s">
        <v>98</v>
      </c>
      <c r="D16479" s="6" t="n">
        <f aca="false">Q!L10</f>
        <v>7.76</v>
      </c>
      <c r="E16479" s="6" t="n">
        <f aca="false">Q!M10</f>
        <v>8.26</v>
      </c>
      <c r="F16479" s="6" t="n">
        <f aca="false">Q!$I$10+(Q!M10-Q!$E$10)*(1+Sens!F16480)</f>
        <v>8.75372082474227</v>
      </c>
      <c r="G16479" s="6" t="n">
        <f aca="false">Sens!F16479*(1+Sens!G16480)</f>
        <v>9.33399324642364</v>
      </c>
      <c r="H16479" s="6" t="n">
        <f aca="false">Sens!G16479*(1+Sens!H16480)</f>
        <v>9.96139155535851</v>
      </c>
      <c r="I16479" s="6" t="n">
        <f aca="false">Sens!H16479*(1+Sens!I16480)</f>
        <v>10.6402039077391</v>
      </c>
      <c r="J16479" s="6" t="n">
        <f aca="false">Sens!I16479*(1+Sens!J16480)</f>
        <v>11.3751458271397</v>
      </c>
      <c r="K16479" s="6" t="n">
        <f aca="false">Sens!J16479*(1+Sens!K16480)</f>
        <v>12.1714060350394</v>
      </c>
      <c r="L16479" s="12" t="s">
        <v>1034</v>
      </c>
    </row>
    <row r="16480" customFormat="false" ht="15" hidden="false" customHeight="false" outlineLevel="0" collapsed="false">
      <c r="A16480" s="1" t="s">
        <v>1024</v>
      </c>
      <c r="B16480" s="0" t="s">
        <v>168</v>
      </c>
      <c r="E16480" s="7" t="n">
        <f aca="false">Sens!E16479/Sens!D16479-1</f>
        <v>0.0644329896907216</v>
      </c>
      <c r="F16480" s="7" t="n">
        <f aca="false">Sens!$E$16480+(glt_fro-Sens!$E$16480)*MIN(1,(Sens!F16425-base_fy)/n_conv)</f>
        <v>0.065360824742268</v>
      </c>
      <c r="G16480" s="7" t="n">
        <f aca="false">Sens!$E$16480+(glt_fro-Sens!$E$16480)*MIN(1,(Sens!G16425-base_fy)/n_conv)</f>
        <v>0.0662886597938144</v>
      </c>
      <c r="H16480" s="7" t="n">
        <f aca="false">Sens!$E$16480+(glt_fro-Sens!$E$16480)*MIN(1,(Sens!H16425-base_fy)/n_conv)</f>
        <v>0.0672164948453608</v>
      </c>
      <c r="I16480" s="7" t="n">
        <f aca="false">Sens!$E$16480+(glt_fro-Sens!$E$16480)*MIN(1,(Sens!I16425-base_fy)/n_conv)</f>
        <v>0.0681443298969072</v>
      </c>
      <c r="J16480" s="7" t="n">
        <f aca="false">Sens!$E$16480+(glt_fro-Sens!$E$16480)*MIN(1,(Sens!J16425-base_fy)/n_conv)</f>
        <v>0.0690721649484536</v>
      </c>
      <c r="K16480" s="7" t="n">
        <f aca="false">Sens!$E$16480+(glt_fro-Sens!$E$16480)*MIN(1,(Sens!K16425-base_fy)/n_conv)</f>
        <v>0.07</v>
      </c>
    </row>
    <row r="16481" customFormat="false" ht="15" hidden="false" customHeight="false" outlineLevel="0" collapsed="false">
      <c r="A16481" s="0" t="s">
        <v>852</v>
      </c>
      <c r="B16481" s="0" t="s">
        <v>98</v>
      </c>
      <c r="D16481" s="6" t="n">
        <f aca="false">Sens!D16469+Sens!D16474+Sens!D16475+Sens!D16477+Sens!D16479</f>
        <v>218.783</v>
      </c>
      <c r="E16481" s="6" t="n">
        <f aca="false">Sens!E16469+Sens!E16474+Sens!E16475+Sens!E16477+Sens!E16479</f>
        <v>268.127</v>
      </c>
      <c r="F16481" s="6" t="n">
        <f aca="false">Sens!F16469+Sens!F16474+Sens!F16475+Sens!F16477+Sens!F16479</f>
        <v>338.774715894377</v>
      </c>
      <c r="G16481" s="6" t="n">
        <f aca="false">Sens!G16469+Sens!G16474+Sens!G16475+Sens!G16477+Sens!G16479</f>
        <v>425.508058536537</v>
      </c>
      <c r="H16481" s="6" t="n">
        <f aca="false">Sens!H16469+Sens!H16474+Sens!H16475+Sens!H16477+Sens!H16479</f>
        <v>518.580813986921</v>
      </c>
      <c r="I16481" s="6" t="n">
        <f aca="false">Sens!I16469+Sens!I16474+Sens!I16475+Sens!I16477+Sens!I16479</f>
        <v>597.067731307455</v>
      </c>
      <c r="J16481" s="6" t="n">
        <f aca="false">Sens!J16469+Sens!J16474+Sens!J16475+Sens!J16477+Sens!J16479</f>
        <v>659.345790484055</v>
      </c>
      <c r="K16481" s="6" t="n">
        <f aca="false">Sens!K16469+Sens!K16474+Sens!K16475+Sens!K16477+Sens!K16479</f>
        <v>707.958647997291</v>
      </c>
    </row>
    <row r="16482" customFormat="false" ht="17.15" hidden="false" customHeight="false" outlineLevel="0" collapsed="false">
      <c r="A16482" s="0" t="s">
        <v>1037</v>
      </c>
      <c r="B16482" s="0" t="s">
        <v>98</v>
      </c>
      <c r="D16482" s="6" t="n">
        <f aca="false">Q!L13</f>
        <v>22.171</v>
      </c>
      <c r="E16482" s="6" t="n">
        <f aca="false">Q!M13</f>
        <v>24.835</v>
      </c>
      <c r="F16482" s="6" t="n">
        <f aca="false">Q!$I$13+(Q!M13-Q!$E$13)*(1+Sens!F16483)</f>
        <v>27.5591895660247</v>
      </c>
      <c r="G16482" s="6" t="n">
        <f aca="false">Sens!F16482*(1+Sens!G16483)</f>
        <v>30.4098563144583</v>
      </c>
      <c r="H16482" s="6" t="n">
        <f aca="false">Sens!G16482*(1+Sens!H16483)</f>
        <v>33.3011792571777</v>
      </c>
      <c r="I16482" s="6" t="n">
        <f aca="false">Sens!H16482*(1+Sens!I16483)</f>
        <v>36.189023797112</v>
      </c>
      <c r="J16482" s="6" t="n">
        <f aca="false">Sens!I16482*(1+Sens!J16483)</f>
        <v>39.0247773769199</v>
      </c>
      <c r="K16482" s="6" t="n">
        <f aca="false">Sens!J16482*(1+Sens!K16483)</f>
        <v>41.7565117933043</v>
      </c>
      <c r="L16482" s="12" t="s">
        <v>1034</v>
      </c>
    </row>
    <row r="16483" customFormat="false" ht="15" hidden="false" customHeight="false" outlineLevel="0" collapsed="false">
      <c r="A16483" s="1" t="s">
        <v>1024</v>
      </c>
      <c r="B16483" s="0" t="s">
        <v>168</v>
      </c>
      <c r="E16483" s="7" t="n">
        <f aca="false">Sens!E16482/Sens!D16482-1</f>
        <v>0.120156961796942</v>
      </c>
      <c r="F16483" s="7" t="n">
        <f aca="false">Sens!$E$16483+(glt_srch-Sens!$E$16483)*MIN(1,(Sens!F16425-base_fy)/n_conv)</f>
        <v>0.111797468164118</v>
      </c>
      <c r="G16483" s="7" t="n">
        <f aca="false">Sens!$E$16483+(glt_srch-Sens!$E$16483)*MIN(1,(Sens!G16425-base_fy)/n_conv)</f>
        <v>0.103437974531295</v>
      </c>
      <c r="H16483" s="7" t="n">
        <f aca="false">Sens!$E$16483+(glt_srch-Sens!$E$16483)*MIN(1,(Sens!H16425-base_fy)/n_conv)</f>
        <v>0.095078480898471</v>
      </c>
      <c r="I16483" s="7" t="n">
        <f aca="false">Sens!$E$16483+(glt_srch-Sens!$E$16483)*MIN(1,(Sens!I16425-base_fy)/n_conv)</f>
        <v>0.0867189872656474</v>
      </c>
      <c r="J16483" s="7" t="n">
        <f aca="false">Sens!$E$16483+(glt_srch-Sens!$E$16483)*MIN(1,(Sens!J16425-base_fy)/n_conv)</f>
        <v>0.0783594936328237</v>
      </c>
      <c r="K16483" s="7" t="n">
        <f aca="false">Sens!$E$16483+(glt_srch-Sens!$E$16483)*MIN(1,(Sens!K16425-base_fy)/n_conv)</f>
        <v>0.07</v>
      </c>
    </row>
    <row r="16484" customFormat="false" ht="17.15" hidden="false" customHeight="false" outlineLevel="0" collapsed="false">
      <c r="A16484" s="0" t="s">
        <v>1038</v>
      </c>
      <c r="B16484" s="0" t="s">
        <v>98</v>
      </c>
      <c r="D16484" s="6" t="n">
        <f aca="false">Q!L14</f>
        <v>23.455</v>
      </c>
      <c r="E16484" s="6" t="n">
        <f aca="false">Q!M14</f>
        <v>21.79</v>
      </c>
      <c r="F16484" s="6" t="n">
        <f aca="false">Q!$I$14+(Q!M14-Q!$E$14)*(1+Sens!F16485)</f>
        <v>20.7520981041711</v>
      </c>
      <c r="G16484" s="6" t="n">
        <f aca="false">Sens!F16484*(1+Sens!G16485)</f>
        <v>19.9083593495882</v>
      </c>
      <c r="H16484" s="6" t="n">
        <f aca="false">Sens!G16484*(1+Sens!H16485)</f>
        <v>19.4008256265831</v>
      </c>
      <c r="I16484" s="6" t="n">
        <f aca="false">Sens!H16484*(1+Sens!I16485)</f>
        <v>19.200434522122</v>
      </c>
      <c r="J16484" s="6" t="n">
        <f aca="false">Sens!I16484*(1+Sens!J16485)</f>
        <v>19.2932782348507</v>
      </c>
      <c r="K16484" s="6" t="n">
        <f aca="false">Sens!J16484*(1+Sens!K16485)</f>
        <v>19.6791437995477</v>
      </c>
      <c r="L16484" s="12" t="s">
        <v>1034</v>
      </c>
    </row>
    <row r="16485" customFormat="false" ht="15" hidden="false" customHeight="false" outlineLevel="0" collapsed="false">
      <c r="A16485" s="1" t="s">
        <v>1024</v>
      </c>
      <c r="B16485" s="0" t="s">
        <v>168</v>
      </c>
      <c r="E16485" s="7" t="n">
        <f aca="false">Sens!E16484/Sens!D16484-1</f>
        <v>-0.0709869963760392</v>
      </c>
      <c r="F16485" s="7" t="n">
        <f aca="false">Sens!$E$16485+(glt_xbox-Sens!$E$16485)*MIN(1,(Sens!F16425-base_fy)/n_conv)</f>
        <v>-0.0558224969800327</v>
      </c>
      <c r="G16485" s="7" t="n">
        <f aca="false">Sens!$E$16485+(glt_xbox-Sens!$E$16485)*MIN(1,(Sens!G16425-base_fy)/n_conv)</f>
        <v>-0.0406579975840262</v>
      </c>
      <c r="H16485" s="7" t="n">
        <f aca="false">Sens!$E$16485+(glt_xbox-Sens!$E$16485)*MIN(1,(Sens!H16425-base_fy)/n_conv)</f>
        <v>-0.0254934981880196</v>
      </c>
      <c r="I16485" s="7" t="n">
        <f aca="false">Sens!$E$16485+(glt_xbox-Sens!$E$16485)*MIN(1,(Sens!I16425-base_fy)/n_conv)</f>
        <v>-0.0103289987920131</v>
      </c>
      <c r="J16485" s="7" t="n">
        <f aca="false">Sens!$E$16485+(glt_xbox-Sens!$E$16485)*MIN(1,(Sens!J16425-base_fy)/n_conv)</f>
        <v>0.00483550060399347</v>
      </c>
      <c r="K16485" s="7" t="n">
        <f aca="false">Sens!$E$16485+(glt_xbox-Sens!$E$16485)*MIN(1,(Sens!K16425-base_fy)/n_conv)</f>
        <v>0.02</v>
      </c>
    </row>
    <row r="16486" customFormat="false" ht="17.15" hidden="false" customHeight="false" outlineLevel="0" collapsed="false">
      <c r="A16486" s="0" t="s">
        <v>1039</v>
      </c>
      <c r="B16486" s="0" t="s">
        <v>98</v>
      </c>
      <c r="D16486" s="6" t="n">
        <f aca="false">Q!L15</f>
        <v>17.315</v>
      </c>
      <c r="E16486" s="6" t="n">
        <f aca="false">Q!M15</f>
        <v>17.087</v>
      </c>
      <c r="F16486" s="6" t="n">
        <f aca="false">Q!$I$15+(Q!M15-Q!$E$15)*(1+Sens!F16487)</f>
        <v>15.9912273250553</v>
      </c>
      <c r="G16486" s="6" t="n">
        <f aca="false">Sens!F16486*(1+Sens!G16487)</f>
        <v>15.9574562664827</v>
      </c>
      <c r="H16486" s="6" t="n">
        <f aca="false">Sens!G16486*(1+Sens!H16487)</f>
        <v>16.0119687434196</v>
      </c>
      <c r="I16486" s="6" t="n">
        <f aca="false">Sens!H16486*(1+Sens!I16487)</f>
        <v>16.1551810001948</v>
      </c>
      <c r="J16486" s="6" t="n">
        <f aca="false">Sens!I16486*(1+Sens!J16487)</f>
        <v>16.3889793892005</v>
      </c>
      <c r="K16486" s="6" t="n">
        <f aca="false">Sens!J16486*(1+Sens!K16487)</f>
        <v>16.7167589769845</v>
      </c>
      <c r="L16486" s="12" t="s">
        <v>1034</v>
      </c>
    </row>
    <row r="16487" customFormat="false" ht="15" hidden="false" customHeight="false" outlineLevel="0" collapsed="false">
      <c r="A16487" s="1" t="s">
        <v>1024</v>
      </c>
      <c r="B16487" s="0" t="s">
        <v>168</v>
      </c>
      <c r="E16487" s="7" t="n">
        <f aca="false">Sens!E16486/Sens!D16486-1</f>
        <v>-0.0131677736066995</v>
      </c>
      <c r="F16487" s="7" t="n">
        <f aca="false">Sens!$E$16487+(glt_win-Sens!$E$16487)*MIN(1,(Sens!F16425-base_fy)/n_conv)</f>
        <v>-0.00763981133891627</v>
      </c>
      <c r="G16487" s="7" t="n">
        <f aca="false">Sens!$E$16487+(glt_win-Sens!$E$16487)*MIN(1,(Sens!G16425-base_fy)/n_conv)</f>
        <v>-0.00211184907113301</v>
      </c>
      <c r="H16487" s="7" t="n">
        <f aca="false">Sens!$E$16487+(glt_win-Sens!$E$16487)*MIN(1,(Sens!H16425-base_fy)/n_conv)</f>
        <v>0.00341611319665024</v>
      </c>
      <c r="I16487" s="7" t="n">
        <f aca="false">Sens!$E$16487+(glt_win-Sens!$E$16487)*MIN(1,(Sens!I16425-base_fy)/n_conv)</f>
        <v>0.00894407546443349</v>
      </c>
      <c r="J16487" s="7" t="n">
        <f aca="false">Sens!$E$16487+(glt_win-Sens!$E$16487)*MIN(1,(Sens!J16425-base_fy)/n_conv)</f>
        <v>0.0144720377322168</v>
      </c>
      <c r="K16487" s="7" t="n">
        <f aca="false">Sens!$E$16487+(glt_win-Sens!$E$16487)*MIN(1,(Sens!K16425-base_fy)/n_conv)</f>
        <v>0.02</v>
      </c>
    </row>
    <row r="16488" customFormat="false" ht="15" hidden="false" customHeight="false" outlineLevel="0" collapsed="false">
      <c r="A16488" s="0" t="s">
        <v>866</v>
      </c>
      <c r="B16488" s="0" t="s">
        <v>98</v>
      </c>
      <c r="D16488" s="6" t="n">
        <f aca="false">Sens!D16482+Sens!D16484+Sens!D16486</f>
        <v>62.941</v>
      </c>
      <c r="E16488" s="6" t="n">
        <f aca="false">Sens!E16482+Sens!E16484+Sens!E16486</f>
        <v>63.712</v>
      </c>
      <c r="F16488" s="6" t="n">
        <f aca="false">Sens!F16482+Sens!F16484+Sens!F16486</f>
        <v>64.3025149952511</v>
      </c>
      <c r="G16488" s="6" t="n">
        <f aca="false">Sens!G16482+Sens!G16484+Sens!G16486</f>
        <v>66.2756719305292</v>
      </c>
      <c r="H16488" s="6" t="n">
        <f aca="false">Sens!H16482+Sens!H16484+Sens!H16486</f>
        <v>68.7139736271804</v>
      </c>
      <c r="I16488" s="6" t="n">
        <f aca="false">Sens!I16482+Sens!I16484+Sens!I16486</f>
        <v>71.5446393194289</v>
      </c>
      <c r="J16488" s="6" t="n">
        <f aca="false">Sens!J16482+Sens!J16484+Sens!J16486</f>
        <v>74.707035000971</v>
      </c>
      <c r="K16488" s="6" t="n">
        <f aca="false">Sens!K16482+Sens!K16484+Sens!K16486</f>
        <v>78.1524145698365</v>
      </c>
    </row>
    <row r="16489" customFormat="false" ht="15" hidden="false" customHeight="false" outlineLevel="0" collapsed="false">
      <c r="A16489" s="1" t="s">
        <v>1040</v>
      </c>
      <c r="B16489" s="0" t="s">
        <v>98</v>
      </c>
      <c r="D16489" s="6" t="n">
        <f aca="false">Sens!D16481+Sens!D16488</f>
        <v>281.724</v>
      </c>
      <c r="E16489" s="6" t="n">
        <f aca="false">Sens!E16481+Sens!E16488</f>
        <v>331.839</v>
      </c>
      <c r="F16489" s="6" t="n">
        <f aca="false">Sens!F16481+Sens!F16488</f>
        <v>403.077230889628</v>
      </c>
      <c r="G16489" s="6" t="n">
        <f aca="false">Sens!G16481+Sens!G16488</f>
        <v>491.783730467066</v>
      </c>
      <c r="H16489" s="6" t="n">
        <f aca="false">Sens!H16481+Sens!H16488</f>
        <v>587.294787614101</v>
      </c>
      <c r="I16489" s="6" t="n">
        <f aca="false">Sens!I16481+Sens!I16488</f>
        <v>668.612370626884</v>
      </c>
      <c r="J16489" s="6" t="n">
        <f aca="false">Sens!J16481+Sens!J16488</f>
        <v>734.052825485026</v>
      </c>
      <c r="K16489" s="6" t="n">
        <f aca="false">Sens!K16481+Sens!K16488</f>
        <v>786.111062567128</v>
      </c>
    </row>
    <row r="16490" customFormat="false" ht="15" hidden="false" customHeight="false" outlineLevel="0" collapsed="false">
      <c r="A16490" s="26" t="s">
        <v>1041</v>
      </c>
      <c r="B16490" s="31" t="s">
        <v>98</v>
      </c>
      <c r="C16490" s="31"/>
      <c r="D16490" s="27" t="n">
        <f aca="false">(Sens!D16469+Sens!D16474+Sens!D16475+Sens!D16477+Sens!D16479-Sens!D16481)+(Sens!D16482+Sens!D16484+Sens!D16486-Sens!D16488)+(Sens!D16481-Q!L5)+(Sens!D16488-Q!L12)+(Sens!D16469-Q!L6)+(Sens!D16474-Q!L7)</f>
        <v>0</v>
      </c>
      <c r="E16490" s="27" t="n">
        <f aca="false">(Sens!E16469+Sens!E16474+Sens!E16475+Sens!E16477+Sens!E16479-Sens!E16481)+(Sens!E16482+Sens!E16484+Sens!E16486-Sens!E16488)+(Sens!E16481-Q!M5)+(Sens!E16488-Q!M12)+(Sens!E16469-Q!M6)+(Sens!E16474-Q!M7)</f>
        <v>0</v>
      </c>
      <c r="F16490" s="27" t="n">
        <f aca="false">(Sens!F16469+Sens!F16474+Sens!F16475+Sens!F16477+Sens!F16479-Sens!F16481)+(Sens!F16482+Sens!F16484+Sens!F16486-Sens!F16488)</f>
        <v>0</v>
      </c>
      <c r="G16490" s="27" t="n">
        <f aca="false">(Sens!G16469+Sens!G16474+Sens!G16475+Sens!G16477+Sens!G16479-Sens!G16481)+(Sens!G16482+Sens!G16484+Sens!G16486-Sens!G16488)</f>
        <v>0</v>
      </c>
      <c r="H16490" s="27" t="n">
        <f aca="false">(Sens!H16469+Sens!H16474+Sens!H16475+Sens!H16477+Sens!H16479-Sens!H16481)+(Sens!H16482+Sens!H16484+Sens!H16486-Sens!H16488)</f>
        <v>0</v>
      </c>
      <c r="I16490" s="27" t="n">
        <f aca="false">(Sens!I16469+Sens!I16474+Sens!I16475+Sens!I16477+Sens!I16479-Sens!I16481)+(Sens!I16482+Sens!I16484+Sens!I16486-Sens!I16488)</f>
        <v>0</v>
      </c>
      <c r="J16490" s="27" t="n">
        <f aca="false">(Sens!J16469+Sens!J16474+Sens!J16475+Sens!J16477+Sens!J16479-Sens!J16481)+(Sens!J16482+Sens!J16484+Sens!J16486-Sens!J16488)</f>
        <v>0</v>
      </c>
      <c r="K16490" s="27" t="n">
        <f aca="false">(Sens!K16469+Sens!K16474+Sens!K16475+Sens!K16477+Sens!K16479-Sens!K16481)+(Sens!K16482+Sens!K16484+Sens!K16486-Sens!K16488)</f>
        <v>0</v>
      </c>
    </row>
    <row r="16491" customFormat="false" ht="17.15" hidden="false" customHeight="false" outlineLevel="0" collapsed="false">
      <c r="A16491" s="3" t="s">
        <v>1886</v>
      </c>
    </row>
    <row r="16492" customFormat="false" ht="15" hidden="false" customHeight="false" outlineLevel="0" collapsed="false">
      <c r="A16492" s="4" t="s">
        <v>43</v>
      </c>
      <c r="B16492" s="4" t="s">
        <v>65</v>
      </c>
      <c r="C16492" s="23" t="s">
        <v>938</v>
      </c>
      <c r="D16492" s="23" t="s">
        <v>939</v>
      </c>
      <c r="E16492" s="23" t="s">
        <v>940</v>
      </c>
      <c r="F16492" s="23" t="s">
        <v>941</v>
      </c>
      <c r="G16492" s="23" t="s">
        <v>942</v>
      </c>
      <c r="H16492" s="23" t="s">
        <v>943</v>
      </c>
      <c r="I16492" s="23" t="s">
        <v>944</v>
      </c>
      <c r="J16492" s="23" t="s">
        <v>945</v>
      </c>
      <c r="K16492" s="23" t="s">
        <v>946</v>
      </c>
      <c r="L16492" s="4" t="s">
        <v>47</v>
      </c>
    </row>
    <row r="16493" customFormat="false" ht="15" hidden="false" customHeight="false" outlineLevel="0" collapsed="false">
      <c r="A16493" s="0" t="s">
        <v>1025</v>
      </c>
      <c r="B16493" s="0" t="s">
        <v>98</v>
      </c>
      <c r="D16493" s="6" t="n">
        <f aca="false">Sens!D16469</f>
        <v>72.61</v>
      </c>
      <c r="E16493" s="6" t="n">
        <f aca="false">Sens!E16469</f>
        <v>101.938</v>
      </c>
      <c r="F16493" s="6" t="n">
        <f aca="false">Sens!F16469</f>
        <v>149.59001837225</v>
      </c>
      <c r="G16493" s="6" t="n">
        <f aca="false">Sens!G16469</f>
        <v>210.963087346352</v>
      </c>
      <c r="H16493" s="6" t="n">
        <f aca="false">Sens!H16469</f>
        <v>278.649709314524</v>
      </c>
      <c r="I16493" s="6" t="n">
        <f aca="false">Sens!I16469</f>
        <v>334.269404582332</v>
      </c>
      <c r="J16493" s="6" t="n">
        <f aca="false">Sens!J16469</f>
        <v>376.517293063672</v>
      </c>
      <c r="K16493" s="6" t="n">
        <f aca="false">Sens!K16469</f>
        <v>406.018092622804</v>
      </c>
    </row>
    <row r="16494" customFormat="false" ht="17.15" hidden="false" customHeight="false" outlineLevel="0" collapsed="false">
      <c r="A16494" s="0" t="s">
        <v>1021</v>
      </c>
      <c r="B16494" s="0" t="s">
        <v>98</v>
      </c>
      <c r="D16494" s="6" t="n">
        <f aca="false">Sens!D16466</f>
        <v>12.9359794422418</v>
      </c>
      <c r="E16494" s="6" t="n">
        <f aca="false">Sens!E16466</f>
        <v>27.8095064661409</v>
      </c>
      <c r="F16494" s="6" t="n">
        <f aca="false">Sens!F16466</f>
        <v>59.1034165651511</v>
      </c>
      <c r="G16494" s="6" t="n">
        <f aca="false">Sens!G16466</f>
        <v>103.451498789198</v>
      </c>
      <c r="H16494" s="6" t="n">
        <f aca="false">Sens!H16466</f>
        <v>153.816719989035</v>
      </c>
      <c r="I16494" s="6" t="n">
        <f aca="false">Sens!I16466</f>
        <v>192.699478690852</v>
      </c>
      <c r="J16494" s="6" t="n">
        <f aca="false">Sens!J16466</f>
        <v>219.794102584244</v>
      </c>
      <c r="K16494" s="6" t="n">
        <f aca="false">Sens!K16466</f>
        <v>236.757046905022</v>
      </c>
    </row>
    <row r="16495" customFormat="false" ht="17.15" hidden="false" customHeight="false" outlineLevel="0" collapsed="false">
      <c r="A16495" s="0" t="s">
        <v>1052</v>
      </c>
      <c r="B16495" s="0" t="s">
        <v>98</v>
      </c>
      <c r="D16495" s="6" t="n">
        <f aca="false">Sens!D16467</f>
        <v>59.6740205577583</v>
      </c>
      <c r="E16495" s="6" t="n">
        <f aca="false">Sens!E16467</f>
        <v>74.1284935338591</v>
      </c>
      <c r="F16495" s="6" t="n">
        <f aca="false">Sens!F16467</f>
        <v>90.4866018070994</v>
      </c>
      <c r="G16495" s="6" t="n">
        <f aca="false">Sens!G16467</f>
        <v>107.511588557154</v>
      </c>
      <c r="H16495" s="6" t="n">
        <f aca="false">Sens!H16467</f>
        <v>124.832989325489</v>
      </c>
      <c r="I16495" s="6" t="n">
        <f aca="false">Sens!I16467</f>
        <v>141.56992589148</v>
      </c>
      <c r="J16495" s="6" t="n">
        <f aca="false">Sens!J16467</f>
        <v>156.723190479428</v>
      </c>
      <c r="K16495" s="6" t="n">
        <f aca="false">Sens!K16467</f>
        <v>169.261045717783</v>
      </c>
    </row>
    <row r="16496" customFormat="false" ht="15" hidden="false" customHeight="false" outlineLevel="0" collapsed="false">
      <c r="A16496" s="0" t="s">
        <v>1032</v>
      </c>
      <c r="B16496" s="0" t="s">
        <v>98</v>
      </c>
      <c r="D16496" s="6" t="n">
        <f aca="false">Sens!D16474</f>
        <v>84.605</v>
      </c>
      <c r="E16496" s="6" t="n">
        <f aca="false">Sens!E16474</f>
        <v>100.299</v>
      </c>
      <c r="F16496" s="6" t="n">
        <f aca="false">Sens!F16474</f>
        <v>119.729653205718</v>
      </c>
      <c r="G16496" s="6" t="n">
        <f aca="false">Sens!G16474</f>
        <v>140.806092647576</v>
      </c>
      <c r="H16496" s="6" t="n">
        <f aca="false">Sens!H16474</f>
        <v>161.963437602768</v>
      </c>
      <c r="I16496" s="6" t="n">
        <f aca="false">Sens!I16474</f>
        <v>180.695354741933</v>
      </c>
      <c r="J16496" s="6" t="n">
        <f aca="false">Sens!J16474</f>
        <v>196.722117481571</v>
      </c>
      <c r="K16496" s="6" t="n">
        <f aca="false">Sens!K16474</f>
        <v>212.00016570528</v>
      </c>
    </row>
    <row r="16497" customFormat="false" ht="17.15" hidden="false" customHeight="false" outlineLevel="0" collapsed="false">
      <c r="A16497" s="0" t="s">
        <v>1053</v>
      </c>
      <c r="B16497" s="0" t="s">
        <v>98</v>
      </c>
      <c r="D16497" s="6" t="n">
        <f aca="false">Sens!D16472</f>
        <v>83.705</v>
      </c>
      <c r="E16497" s="6" t="n">
        <f aca="false">Sens!E16472</f>
        <v>95.049</v>
      </c>
      <c r="F16497" s="6" t="n">
        <f aca="false">Sens!F16472</f>
        <v>106.229653205718</v>
      </c>
      <c r="G16497" s="6" t="n">
        <f aca="false">Sens!G16472</f>
        <v>118.306092647576</v>
      </c>
      <c r="H16497" s="6" t="n">
        <f aca="false">Sens!H16472</f>
        <v>130.463437602768</v>
      </c>
      <c r="I16497" s="6" t="n">
        <f aca="false">Sens!I16472</f>
        <v>142.445354741933</v>
      </c>
      <c r="J16497" s="6" t="n">
        <f aca="false">Sens!J16472</f>
        <v>153.972117481571</v>
      </c>
      <c r="K16497" s="6" t="n">
        <f aca="false">Sens!K16472</f>
        <v>164.75016570528</v>
      </c>
    </row>
    <row r="16498" customFormat="false" ht="17.15" hidden="false" customHeight="false" outlineLevel="0" collapsed="false">
      <c r="A16498" s="0" t="s">
        <v>1054</v>
      </c>
      <c r="B16498" s="0" t="s">
        <v>98</v>
      </c>
      <c r="D16498" s="6" t="n">
        <f aca="false">Sens!D16471</f>
        <v>0.9</v>
      </c>
      <c r="E16498" s="6" t="n">
        <f aca="false">Sens!E16471</f>
        <v>5.25</v>
      </c>
      <c r="F16498" s="6" t="n">
        <f aca="false">Sens!F16471</f>
        <v>13.5</v>
      </c>
      <c r="G16498" s="6" t="n">
        <f aca="false">Sens!G16471</f>
        <v>22.5</v>
      </c>
      <c r="H16498" s="6" t="n">
        <f aca="false">Sens!H16471</f>
        <v>31.5</v>
      </c>
      <c r="I16498" s="6" t="n">
        <f aca="false">Sens!I16471</f>
        <v>38.25</v>
      </c>
      <c r="J16498" s="6" t="n">
        <f aca="false">Sens!J16471</f>
        <v>42.75</v>
      </c>
      <c r="K16498" s="6" t="n">
        <f aca="false">Sens!K16471</f>
        <v>47.25</v>
      </c>
    </row>
    <row r="16499" customFormat="false" ht="15" hidden="false" customHeight="false" outlineLevel="0" collapsed="false">
      <c r="A16499" s="0" t="s">
        <v>1033</v>
      </c>
      <c r="B16499" s="0" t="s">
        <v>98</v>
      </c>
      <c r="D16499" s="6" t="n">
        <f aca="false">Sens!D16475</f>
        <v>35.391</v>
      </c>
      <c r="E16499" s="6" t="n">
        <f aca="false">Sens!E16475</f>
        <v>37.285</v>
      </c>
      <c r="F16499" s="6" t="n">
        <f aca="false">Sens!F16475</f>
        <v>38.3851437782675</v>
      </c>
      <c r="G16499" s="6" t="n">
        <f aca="false">Sens!G16475</f>
        <v>40.0105353288615</v>
      </c>
      <c r="H16499" s="6" t="n">
        <f aca="false">Sens!H16475</f>
        <v>41.4812512033683</v>
      </c>
      <c r="I16499" s="6" t="n">
        <f aca="false">Sens!I16475</f>
        <v>42.7743107216329</v>
      </c>
      <c r="J16499" s="6" t="n">
        <f aca="false">Sens!J16475</f>
        <v>43.8687373064601</v>
      </c>
      <c r="K16499" s="6" t="n">
        <f aca="false">Sens!K16475</f>
        <v>44.7461120525893</v>
      </c>
    </row>
    <row r="16500" customFormat="false" ht="15" hidden="false" customHeight="false" outlineLevel="0" collapsed="false">
      <c r="A16500" s="0" t="s">
        <v>1035</v>
      </c>
      <c r="B16500" s="0" t="s">
        <v>98</v>
      </c>
      <c r="D16500" s="6" t="n">
        <f aca="false">Sens!D16477</f>
        <v>18.417</v>
      </c>
      <c r="E16500" s="6" t="n">
        <f aca="false">Sens!E16477</f>
        <v>20.345</v>
      </c>
      <c r="F16500" s="6" t="n">
        <f aca="false">Sens!F16477</f>
        <v>22.3161797133988</v>
      </c>
      <c r="G16500" s="6" t="n">
        <f aca="false">Sens!G16477</f>
        <v>24.3943499673233</v>
      </c>
      <c r="H16500" s="6" t="n">
        <f aca="false">Sens!H16477</f>
        <v>26.5250243109019</v>
      </c>
      <c r="I16500" s="6" t="n">
        <f aca="false">Sens!I16477</f>
        <v>28.6884573538181</v>
      </c>
      <c r="J16500" s="6" t="n">
        <f aca="false">Sens!J16477</f>
        <v>30.8624968052127</v>
      </c>
      <c r="K16500" s="6" t="n">
        <f aca="false">Sens!K16477</f>
        <v>33.0228715815776</v>
      </c>
    </row>
    <row r="16501" customFormat="false" ht="15" hidden="false" customHeight="false" outlineLevel="0" collapsed="false">
      <c r="A16501" s="0" t="s">
        <v>1036</v>
      </c>
      <c r="B16501" s="0" t="s">
        <v>98</v>
      </c>
      <c r="D16501" s="6" t="n">
        <f aca="false">Sens!D16479</f>
        <v>7.76</v>
      </c>
      <c r="E16501" s="6" t="n">
        <f aca="false">Sens!E16479</f>
        <v>8.26</v>
      </c>
      <c r="F16501" s="6" t="n">
        <f aca="false">Sens!F16479</f>
        <v>8.75372082474227</v>
      </c>
      <c r="G16501" s="6" t="n">
        <f aca="false">Sens!G16479</f>
        <v>9.33399324642364</v>
      </c>
      <c r="H16501" s="6" t="n">
        <f aca="false">Sens!H16479</f>
        <v>9.96139155535851</v>
      </c>
      <c r="I16501" s="6" t="n">
        <f aca="false">Sens!I16479</f>
        <v>10.6402039077391</v>
      </c>
      <c r="J16501" s="6" t="n">
        <f aca="false">Sens!J16479</f>
        <v>11.3751458271397</v>
      </c>
      <c r="K16501" s="6" t="n">
        <f aca="false">Sens!K16479</f>
        <v>12.1714060350394</v>
      </c>
    </row>
    <row r="16502" customFormat="false" ht="15" hidden="false" customHeight="false" outlineLevel="0" collapsed="false">
      <c r="A16502" s="0" t="s">
        <v>852</v>
      </c>
      <c r="B16502" s="0" t="s">
        <v>98</v>
      </c>
      <c r="D16502" s="6" t="n">
        <f aca="false">Sens!D16481</f>
        <v>218.783</v>
      </c>
      <c r="E16502" s="6" t="n">
        <f aca="false">Sens!E16481</f>
        <v>268.127</v>
      </c>
      <c r="F16502" s="6" t="n">
        <f aca="false">Sens!F16481</f>
        <v>338.774715894377</v>
      </c>
      <c r="G16502" s="6" t="n">
        <f aca="false">Sens!G16481</f>
        <v>425.508058536537</v>
      </c>
      <c r="H16502" s="6" t="n">
        <f aca="false">Sens!H16481</f>
        <v>518.580813986921</v>
      </c>
      <c r="I16502" s="6" t="n">
        <f aca="false">Sens!I16481</f>
        <v>597.067731307455</v>
      </c>
      <c r="J16502" s="6" t="n">
        <f aca="false">Sens!J16481</f>
        <v>659.345790484055</v>
      </c>
      <c r="K16502" s="6" t="n">
        <f aca="false">Sens!K16481</f>
        <v>707.958647997291</v>
      </c>
    </row>
    <row r="16503" customFormat="false" ht="15" hidden="false" customHeight="false" outlineLevel="0" collapsed="false">
      <c r="A16503" s="0" t="s">
        <v>1037</v>
      </c>
      <c r="B16503" s="0" t="s">
        <v>98</v>
      </c>
      <c r="D16503" s="6" t="n">
        <f aca="false">Sens!D16482</f>
        <v>22.171</v>
      </c>
      <c r="E16503" s="6" t="n">
        <f aca="false">Sens!E16482</f>
        <v>24.835</v>
      </c>
      <c r="F16503" s="6" t="n">
        <f aca="false">Sens!F16482</f>
        <v>27.5591895660247</v>
      </c>
      <c r="G16503" s="6" t="n">
        <f aca="false">Sens!G16482</f>
        <v>30.4098563144583</v>
      </c>
      <c r="H16503" s="6" t="n">
        <f aca="false">Sens!H16482</f>
        <v>33.3011792571777</v>
      </c>
      <c r="I16503" s="6" t="n">
        <f aca="false">Sens!I16482</f>
        <v>36.189023797112</v>
      </c>
      <c r="J16503" s="6" t="n">
        <f aca="false">Sens!J16482</f>
        <v>39.0247773769199</v>
      </c>
      <c r="K16503" s="6" t="n">
        <f aca="false">Sens!K16482</f>
        <v>41.7565117933043</v>
      </c>
    </row>
    <row r="16504" customFormat="false" ht="15" hidden="false" customHeight="false" outlineLevel="0" collapsed="false">
      <c r="A16504" s="0" t="s">
        <v>1038</v>
      </c>
      <c r="B16504" s="0" t="s">
        <v>98</v>
      </c>
      <c r="D16504" s="6" t="n">
        <f aca="false">Sens!D16484</f>
        <v>23.455</v>
      </c>
      <c r="E16504" s="6" t="n">
        <f aca="false">Sens!E16484</f>
        <v>21.79</v>
      </c>
      <c r="F16504" s="6" t="n">
        <f aca="false">Sens!F16484</f>
        <v>20.7520981041711</v>
      </c>
      <c r="G16504" s="6" t="n">
        <f aca="false">Sens!G16484</f>
        <v>19.9083593495882</v>
      </c>
      <c r="H16504" s="6" t="n">
        <f aca="false">Sens!H16484</f>
        <v>19.4008256265831</v>
      </c>
      <c r="I16504" s="6" t="n">
        <f aca="false">Sens!I16484</f>
        <v>19.200434522122</v>
      </c>
      <c r="J16504" s="6" t="n">
        <f aca="false">Sens!J16484</f>
        <v>19.2932782348507</v>
      </c>
      <c r="K16504" s="6" t="n">
        <f aca="false">Sens!K16484</f>
        <v>19.6791437995477</v>
      </c>
    </row>
    <row r="16505" customFormat="false" ht="15" hidden="false" customHeight="false" outlineLevel="0" collapsed="false">
      <c r="A16505" s="0" t="s">
        <v>1039</v>
      </c>
      <c r="B16505" s="0" t="s">
        <v>98</v>
      </c>
      <c r="D16505" s="6" t="n">
        <f aca="false">Sens!D16486</f>
        <v>17.315</v>
      </c>
      <c r="E16505" s="6" t="n">
        <f aca="false">Sens!E16486</f>
        <v>17.087</v>
      </c>
      <c r="F16505" s="6" t="n">
        <f aca="false">Sens!F16486</f>
        <v>15.9912273250553</v>
      </c>
      <c r="G16505" s="6" t="n">
        <f aca="false">Sens!G16486</f>
        <v>15.9574562664827</v>
      </c>
      <c r="H16505" s="6" t="n">
        <f aca="false">Sens!H16486</f>
        <v>16.0119687434196</v>
      </c>
      <c r="I16505" s="6" t="n">
        <f aca="false">Sens!I16486</f>
        <v>16.1551810001948</v>
      </c>
      <c r="J16505" s="6" t="n">
        <f aca="false">Sens!J16486</f>
        <v>16.3889793892005</v>
      </c>
      <c r="K16505" s="6" t="n">
        <f aca="false">Sens!K16486</f>
        <v>16.7167589769845</v>
      </c>
    </row>
    <row r="16506" customFormat="false" ht="15" hidden="false" customHeight="false" outlineLevel="0" collapsed="false">
      <c r="A16506" s="0" t="s">
        <v>866</v>
      </c>
      <c r="B16506" s="0" t="s">
        <v>98</v>
      </c>
      <c r="D16506" s="6" t="n">
        <f aca="false">Sens!D16488</f>
        <v>62.941</v>
      </c>
      <c r="E16506" s="6" t="n">
        <f aca="false">Sens!E16488</f>
        <v>63.712</v>
      </c>
      <c r="F16506" s="6" t="n">
        <f aca="false">Sens!F16488</f>
        <v>64.3025149952511</v>
      </c>
      <c r="G16506" s="6" t="n">
        <f aca="false">Sens!G16488</f>
        <v>66.2756719305292</v>
      </c>
      <c r="H16506" s="6" t="n">
        <f aca="false">Sens!H16488</f>
        <v>68.7139736271804</v>
      </c>
      <c r="I16506" s="6" t="n">
        <f aca="false">Sens!I16488</f>
        <v>71.5446393194289</v>
      </c>
      <c r="J16506" s="6" t="n">
        <f aca="false">Sens!J16488</f>
        <v>74.707035000971</v>
      </c>
      <c r="K16506" s="6" t="n">
        <f aca="false">Sens!K16488</f>
        <v>78.1524145698365</v>
      </c>
    </row>
    <row r="16507" customFormat="false" ht="15" hidden="false" customHeight="false" outlineLevel="0" collapsed="false">
      <c r="A16507" s="1" t="s">
        <v>1055</v>
      </c>
      <c r="B16507" s="0" t="s">
        <v>98</v>
      </c>
      <c r="D16507" s="6" t="n">
        <f aca="false">Sens!D16489</f>
        <v>281.724</v>
      </c>
      <c r="E16507" s="6" t="n">
        <f aca="false">Sens!E16489</f>
        <v>331.839</v>
      </c>
      <c r="F16507" s="6" t="n">
        <f aca="false">Sens!F16489</f>
        <v>403.077230889628</v>
      </c>
      <c r="G16507" s="6" t="n">
        <f aca="false">Sens!G16489</f>
        <v>491.783730467066</v>
      </c>
      <c r="H16507" s="6" t="n">
        <f aca="false">Sens!H16489</f>
        <v>587.294787614101</v>
      </c>
      <c r="I16507" s="6" t="n">
        <f aca="false">Sens!I16489</f>
        <v>668.612370626884</v>
      </c>
      <c r="J16507" s="6" t="n">
        <f aca="false">Sens!J16489</f>
        <v>734.052825485026</v>
      </c>
      <c r="K16507" s="6" t="n">
        <f aca="false">Sens!K16489</f>
        <v>786.111062567128</v>
      </c>
    </row>
    <row r="16508" customFormat="false" ht="15" hidden="false" customHeight="false" outlineLevel="0" collapsed="false">
      <c r="A16508" s="1" t="s">
        <v>1056</v>
      </c>
      <c r="B16508" s="0" t="s">
        <v>168</v>
      </c>
      <c r="E16508" s="7" t="n">
        <f aca="false">Sens!E16507/Sens!D16507-1</f>
        <v>0.177886867998467</v>
      </c>
      <c r="F16508" s="7" t="n">
        <f aca="false">Sens!F16507/Sens!E16507-1</f>
        <v>0.21467709006364</v>
      </c>
      <c r="G16508" s="7" t="n">
        <f aca="false">Sens!G16507/Sens!F16507-1</f>
        <v>0.220073208753704</v>
      </c>
      <c r="H16508" s="7" t="n">
        <f aca="false">Sens!H16507/Sens!G16507-1</f>
        <v>0.194213535808362</v>
      </c>
      <c r="I16508" s="7" t="n">
        <f aca="false">Sens!I16507/Sens!H16507-1</f>
        <v>0.13846127145643</v>
      </c>
      <c r="J16508" s="7" t="n">
        <f aca="false">Sens!J16507/Sens!I16507-1</f>
        <v>0.0978750285412546</v>
      </c>
      <c r="K16508" s="7" t="n">
        <f aca="false">Sens!K16507/Sens!J16507-1</f>
        <v>0.0709189247350204</v>
      </c>
    </row>
    <row r="16509" customFormat="false" ht="17.15" hidden="false" customHeight="false" outlineLevel="0" collapsed="false">
      <c r="A16509" s="26" t="s">
        <v>1057</v>
      </c>
      <c r="B16509" s="31" t="s">
        <v>98</v>
      </c>
      <c r="C16509" s="31"/>
      <c r="D16509" s="27" t="n">
        <f aca="false">(Sens!D16502+Sens!D16506-Sens!D16507)+(Sens!D16494+Sens!D16495-Sens!D16493)+(Sens!D16497+Sens!D16498-Sens!D16496)+(Sens!D16507-Q!L18)</f>
        <v>0</v>
      </c>
      <c r="E16509" s="27" t="n">
        <f aca="false">(Sens!E16502+Sens!E16506-Sens!E16507)+(Sens!E16494+Sens!E16495-Sens!E16493)+(Sens!E16497+Sens!E16498-Sens!E16496)+(Sens!E16507-Q!M18)</f>
        <v>0</v>
      </c>
      <c r="F16509" s="27" t="n">
        <f aca="false">(Sens!F16502+Sens!F16506-Sens!F16507)+(Sens!F16494+Sens!F16495-Sens!F16493)+(Sens!F16497+Sens!F16498-Sens!F16496)</f>
        <v>0</v>
      </c>
      <c r="G16509" s="27" t="n">
        <f aca="false">(Sens!G16502+Sens!G16506-Sens!G16507)+(Sens!G16494+Sens!G16495-Sens!G16493)+(Sens!G16497+Sens!G16498-Sens!G16496)</f>
        <v>0</v>
      </c>
      <c r="H16509" s="27" t="n">
        <f aca="false">(Sens!H16502+Sens!H16506-Sens!H16507)+(Sens!H16494+Sens!H16495-Sens!H16493)+(Sens!H16497+Sens!H16498-Sens!H16496)</f>
        <v>0</v>
      </c>
      <c r="I16509" s="27" t="n">
        <f aca="false">(Sens!I16502+Sens!I16506-Sens!I16507)+(Sens!I16494+Sens!I16495-Sens!I16493)+(Sens!I16497+Sens!I16498-Sens!I16496)</f>
        <v>0</v>
      </c>
      <c r="J16509" s="27" t="n">
        <f aca="false">(Sens!J16502+Sens!J16506-Sens!J16507)+(Sens!J16494+Sens!J16495-Sens!J16493)+(Sens!J16497+Sens!J16498-Sens!J16496)</f>
        <v>0</v>
      </c>
      <c r="K16509" s="27" t="n">
        <f aca="false">(Sens!K16502+Sens!K16506-Sens!K16507)+(Sens!K16494+Sens!K16495-Sens!K16493)+(Sens!K16497+Sens!K16498-Sens!K16496)</f>
        <v>0</v>
      </c>
    </row>
    <row r="16510" customFormat="false" ht="17.15" hidden="false" customHeight="false" outlineLevel="0" collapsed="false">
      <c r="A16510" s="0" t="s">
        <v>1058</v>
      </c>
      <c r="B16510" s="0" t="s">
        <v>168</v>
      </c>
      <c r="E16510" s="7" t="n">
        <f aca="false">(Q!M21+Sens!E16446+Sens!E16447+Sens!E16448+Sens!E16462-Sens!E16444)/(Q!M5-Sens!E16444)</f>
        <v>0.570957350878296</v>
      </c>
      <c r="F16510" s="7" t="n">
        <f aca="false">Sens!$E$16510+dm_seg</f>
        <v>0.570957350878296</v>
      </c>
      <c r="G16510" s="7" t="n">
        <f aca="false">Sens!$E$16510+dm_seg</f>
        <v>0.570957350878296</v>
      </c>
      <c r="H16510" s="7" t="n">
        <f aca="false">Sens!$E$16510+dm_seg</f>
        <v>0.570957350878296</v>
      </c>
      <c r="I16510" s="7" t="n">
        <f aca="false">Sens!$E$16510+dm_seg</f>
        <v>0.570957350878296</v>
      </c>
      <c r="J16510" s="7" t="n">
        <f aca="false">Sens!$E$16510+dm_seg</f>
        <v>0.570957350878296</v>
      </c>
      <c r="K16510" s="7" t="n">
        <f aca="false">Sens!$E$16510+dm_seg</f>
        <v>0.570957350878296</v>
      </c>
      <c r="L16510" s="12" t="s">
        <v>1059</v>
      </c>
    </row>
    <row r="16511" customFormat="false" ht="17.15" hidden="false" customHeight="false" outlineLevel="0" collapsed="false">
      <c r="A16511" s="0" t="s">
        <v>880</v>
      </c>
      <c r="B16511" s="0" t="s">
        <v>98</v>
      </c>
      <c r="D16511" s="6" t="n">
        <f aca="false">Q!L21</f>
        <v>110.814</v>
      </c>
      <c r="E16511" s="6" t="n">
        <f aca="false">Q!M21</f>
        <v>136.365</v>
      </c>
      <c r="F16511" s="6" t="n">
        <f aca="false">Q!$I$21+(Sens!F16510*(Sens!F16481-Sens!F16444)+Sens!F16444-(Sens!F16446+Sens!F16447+Sens!F16448)-Sens!F16462-Sens!F16545)*(Sens!F16481-Q!$I$5)/Sens!F16481</f>
        <v>165.518940289865</v>
      </c>
      <c r="G16511" s="6" t="n">
        <f aca="false">(Sens!G16510*(Sens!G16481-Sens!G16444)+Sens!G16444-(Sens!G16446+Sens!G16447+Sens!G16448)-Sens!G16462-Sens!G16545)</f>
        <v>191.522093802735</v>
      </c>
      <c r="H16511" s="6" t="n">
        <f aca="false">(Sens!H16510*(Sens!H16481-Sens!H16444)+Sens!H16444-(Sens!H16446+Sens!H16447+Sens!H16448)-Sens!H16462-Sens!H16545)</f>
        <v>225.776483596689</v>
      </c>
      <c r="I16511" s="6" t="n">
        <f aca="false">(Sens!I16510*(Sens!I16481-Sens!I16444)+Sens!I16444-(Sens!I16446+Sens!I16447+Sens!I16448)-Sens!I16462-Sens!I16545)</f>
        <v>251.64174329374</v>
      </c>
      <c r="J16511" s="6" t="n">
        <f aca="false">(Sens!J16510*(Sens!J16481-Sens!J16444)+Sens!J16444-(Sens!J16446+Sens!J16447+Sens!J16448)-Sens!J16462-Sens!J16545)</f>
        <v>273.893745224048</v>
      </c>
      <c r="K16511" s="6" t="n">
        <f aca="false">(Sens!K16510*(Sens!K16481-Sens!K16444)+Sens!K16444-(Sens!K16446+Sens!K16447+Sens!K16448)-Sens!K16462-Sens!K16545)</f>
        <v>293.874045571005</v>
      </c>
      <c r="L16511" s="1" t="s">
        <v>1060</v>
      </c>
    </row>
    <row r="16512" customFormat="false" ht="17.15" hidden="false" customHeight="false" outlineLevel="0" collapsed="false">
      <c r="A16512" s="0" t="s">
        <v>1061</v>
      </c>
      <c r="B16512" s="0" t="s">
        <v>168</v>
      </c>
      <c r="E16512" s="7" t="n">
        <f aca="false">Q!M22/Q!M12</f>
        <v>0.296207935710698</v>
      </c>
      <c r="F16512" s="7" t="n">
        <f aca="false">Sens!$E$16512+dm_seg</f>
        <v>0.296207935710698</v>
      </c>
      <c r="G16512" s="7" t="n">
        <f aca="false">Sens!$E$16512+dm_seg</f>
        <v>0.296207935710698</v>
      </c>
      <c r="H16512" s="7" t="n">
        <f aca="false">Sens!$E$16512+dm_seg</f>
        <v>0.296207935710698</v>
      </c>
      <c r="I16512" s="7" t="n">
        <f aca="false">Sens!$E$16512+dm_seg</f>
        <v>0.296207935710698</v>
      </c>
      <c r="J16512" s="7" t="n">
        <f aca="false">Sens!$E$16512+dm_seg</f>
        <v>0.296207935710698</v>
      </c>
      <c r="K16512" s="7" t="n">
        <f aca="false">Sens!$E$16512+dm_seg</f>
        <v>0.296207935710698</v>
      </c>
      <c r="L16512" s="12" t="s">
        <v>1062</v>
      </c>
    </row>
    <row r="16513" customFormat="false" ht="17.15" hidden="false" customHeight="false" outlineLevel="0" collapsed="false">
      <c r="A16513" s="0" t="s">
        <v>882</v>
      </c>
      <c r="B16513" s="0" t="s">
        <v>98</v>
      </c>
      <c r="D16513" s="6" t="n">
        <f aca="false">Q!L22</f>
        <v>17.714</v>
      </c>
      <c r="E16513" s="6" t="n">
        <f aca="false">Q!M22</f>
        <v>18.872</v>
      </c>
      <c r="F16513" s="6" t="n">
        <f aca="false">Q!$I$22+(Sens!F16488-Q!$I$12)*Sens!F16512</f>
        <v>19.8174315512051</v>
      </c>
      <c r="G16513" s="6" t="n">
        <f aca="false">Sens!G16488*Sens!G16512</f>
        <v>19.6313799703815</v>
      </c>
      <c r="H16513" s="6" t="n">
        <f aca="false">Sens!H16488*Sens!H16512</f>
        <v>20.3536242825865</v>
      </c>
      <c r="I16513" s="6" t="n">
        <f aca="false">Sens!I16488*Sens!I16512</f>
        <v>21.1920899239745</v>
      </c>
      <c r="J16513" s="6" t="n">
        <f aca="false">Sens!J16488*Sens!J16512</f>
        <v>22.1288166207045</v>
      </c>
      <c r="K16513" s="6" t="n">
        <f aca="false">Sens!K16488*Sens!K16512</f>
        <v>23.1493653905379</v>
      </c>
      <c r="L16513" s="12" t="s">
        <v>1063</v>
      </c>
    </row>
    <row r="16514" customFormat="false" ht="15" hidden="false" customHeight="false" outlineLevel="0" collapsed="false">
      <c r="A16514" s="1" t="s">
        <v>1064</v>
      </c>
      <c r="B16514" s="0" t="s">
        <v>98</v>
      </c>
      <c r="D16514" s="6" t="n">
        <f aca="false">Sens!D16511+Sens!D16513</f>
        <v>128.528</v>
      </c>
      <c r="E16514" s="6" t="n">
        <f aca="false">Sens!E16511+Sens!E16513</f>
        <v>155.237</v>
      </c>
      <c r="F16514" s="6" t="n">
        <f aca="false">Sens!F16511+Sens!F16513</f>
        <v>185.33637184107</v>
      </c>
      <c r="G16514" s="6" t="n">
        <f aca="false">Sens!G16511+Sens!G16513</f>
        <v>211.153473773117</v>
      </c>
      <c r="H16514" s="6" t="n">
        <f aca="false">Sens!H16511+Sens!H16513</f>
        <v>246.130107879275</v>
      </c>
      <c r="I16514" s="6" t="n">
        <f aca="false">Sens!I16511+Sens!I16513</f>
        <v>272.833833217714</v>
      </c>
      <c r="J16514" s="6" t="n">
        <f aca="false">Sens!J16511+Sens!J16513</f>
        <v>296.022561844752</v>
      </c>
      <c r="K16514" s="6" t="n">
        <f aca="false">Sens!K16511+Sens!K16513</f>
        <v>317.023410961543</v>
      </c>
    </row>
    <row r="16515" customFormat="false" ht="15" hidden="false" customHeight="false" outlineLevel="0" collapsed="false">
      <c r="A16515" s="26" t="s">
        <v>1065</v>
      </c>
      <c r="B16515" s="31" t="s">
        <v>98</v>
      </c>
      <c r="C16515" s="31"/>
      <c r="D16515" s="27" t="n">
        <f aca="false">Sens!D16514-Q!L23</f>
        <v>0</v>
      </c>
      <c r="E16515" s="27" t="n">
        <f aca="false">Sens!E16514-Q!M23</f>
        <v>0</v>
      </c>
      <c r="F16515" s="31"/>
      <c r="G16515" s="31"/>
      <c r="H16515" s="31"/>
      <c r="I16515" s="31"/>
      <c r="J16515" s="31"/>
      <c r="K16515" s="31"/>
    </row>
    <row r="16516" customFormat="false" ht="15" hidden="false" customHeight="false" outlineLevel="0" collapsed="false">
      <c r="A16516" s="1" t="s">
        <v>1066</v>
      </c>
      <c r="B16516" s="0" t="s">
        <v>168</v>
      </c>
      <c r="D16516" s="7" t="n">
        <f aca="false">Sens!D16514/Sens!D16507</f>
        <v>0.456219562408598</v>
      </c>
      <c r="E16516" s="7" t="n">
        <f aca="false">Sens!E16514/Sens!E16507</f>
        <v>0.467808184089272</v>
      </c>
      <c r="F16516" s="7" t="n">
        <f aca="false">Sens!F16514/Sens!F16507</f>
        <v>0.45980362480911</v>
      </c>
      <c r="G16516" s="7" t="n">
        <f aca="false">Sens!G16514/Sens!G16507</f>
        <v>0.429362462992779</v>
      </c>
      <c r="H16516" s="7" t="n">
        <f aca="false">Sens!H16514/Sens!H16507</f>
        <v>0.419091252076636</v>
      </c>
      <c r="I16516" s="7" t="n">
        <f aca="false">Sens!I16514/Sens!I16507</f>
        <v>0.408059804460256</v>
      </c>
      <c r="J16516" s="7" t="n">
        <f aca="false">Sens!J16514/Sens!J16507</f>
        <v>0.403271469800767</v>
      </c>
      <c r="K16516" s="7" t="n">
        <f aca="false">Sens!K16514/Sens!K16507</f>
        <v>0.403280689024106</v>
      </c>
    </row>
    <row r="16517" customFormat="false" ht="17.15" hidden="false" customHeight="false" outlineLevel="0" collapsed="false">
      <c r="A16517" s="1" t="s">
        <v>1067</v>
      </c>
      <c r="B16517" s="0" t="s">
        <v>98</v>
      </c>
      <c r="F16517" s="6" t="n">
        <f aca="false">Sens!F16532</f>
        <v>3.87583440535588</v>
      </c>
      <c r="G16517" s="6" t="n">
        <f aca="false">Sens!G16532</f>
        <v>17.5254762141793</v>
      </c>
      <c r="H16517" s="6" t="n">
        <f aca="false">Sens!H16532</f>
        <v>32.6995343079048</v>
      </c>
      <c r="I16517" s="6" t="n">
        <f aca="false">Sens!I16532</f>
        <v>46.7456291766606</v>
      </c>
      <c r="J16517" s="6" t="n">
        <f aca="false">Sens!J16532</f>
        <v>56.5957982001541</v>
      </c>
      <c r="K16517" s="6" t="n">
        <f aca="false">Sens!K16532</f>
        <v>61.5187824475247</v>
      </c>
      <c r="L16517" s="1" t="s">
        <v>1068</v>
      </c>
    </row>
    <row r="16518" customFormat="false" ht="17.15" hidden="false" customHeight="false" outlineLevel="0" collapsed="false">
      <c r="A16518" s="1" t="s">
        <v>1069</v>
      </c>
      <c r="B16518" s="0" t="s">
        <v>98</v>
      </c>
      <c r="D16518" s="6" t="n">
        <f aca="false">Sens!D16514</f>
        <v>128.528</v>
      </c>
      <c r="E16518" s="6" t="n">
        <f aca="false">Sens!E16514</f>
        <v>155.237</v>
      </c>
      <c r="F16518" s="6" t="n">
        <f aca="false">Sens!F16514+Sens!F16517</f>
        <v>189.212206246425</v>
      </c>
      <c r="G16518" s="6" t="n">
        <f aca="false">Sens!G16514+Sens!G16517</f>
        <v>228.678949987296</v>
      </c>
      <c r="H16518" s="6" t="n">
        <f aca="false">Sens!H16514+Sens!H16517</f>
        <v>278.82964218718</v>
      </c>
      <c r="I16518" s="6" t="n">
        <f aca="false">Sens!I16514+Sens!I16517</f>
        <v>319.579462394375</v>
      </c>
      <c r="J16518" s="6" t="n">
        <f aca="false">Sens!J16514+Sens!J16517</f>
        <v>352.618360044906</v>
      </c>
      <c r="K16518" s="6" t="n">
        <f aca="false">Sens!K16514+Sens!K16517</f>
        <v>378.542193409068</v>
      </c>
    </row>
    <row r="16519" customFormat="false" ht="17.15" hidden="false" customHeight="false" outlineLevel="0" collapsed="false">
      <c r="A16519" s="1" t="s">
        <v>1070</v>
      </c>
      <c r="B16519" s="0" t="s">
        <v>98</v>
      </c>
      <c r="E16519" s="6" t="n">
        <f aca="false">Sens!E16462</f>
        <v>16.3054059770833</v>
      </c>
      <c r="F16519" s="6" t="n">
        <f aca="false">Sens!F16462</f>
        <v>34.5793144783516</v>
      </c>
      <c r="G16519" s="6" t="n">
        <f aca="false">Sens!G16462</f>
        <v>60.7344906522989</v>
      </c>
      <c r="H16519" s="6" t="n">
        <f aca="false">Sens!H16462</f>
        <v>89.1000906614457</v>
      </c>
      <c r="I16519" s="6" t="n">
        <f aca="false">Sens!I16462</f>
        <v>114.231009694548</v>
      </c>
      <c r="J16519" s="6" t="n">
        <f aca="false">Sens!J16462</f>
        <v>132.015673049596</v>
      </c>
      <c r="K16519" s="6" t="n">
        <f aca="false">Sens!K16462</f>
        <v>143.012669550934</v>
      </c>
    </row>
    <row r="16520" customFormat="false" ht="17.15" hidden="false" customHeight="false" outlineLevel="0" collapsed="false">
      <c r="A16520" s="1" t="s">
        <v>1071</v>
      </c>
      <c r="B16520" s="0" t="s">
        <v>98</v>
      </c>
      <c r="E16520" s="6" t="n">
        <f aca="false">Sens!E16544</f>
        <v>22.2285940229167</v>
      </c>
      <c r="F16520" s="6" t="n">
        <f aca="false">Sens!F16544</f>
        <v>23.580344216413</v>
      </c>
      <c r="G16520" s="6" t="n">
        <f aca="false">Sens!G16544</f>
        <v>25.3801415764809</v>
      </c>
      <c r="H16520" s="6" t="n">
        <f aca="false">Sens!H16544</f>
        <v>27.5964639802758</v>
      </c>
      <c r="I16520" s="6" t="n">
        <f aca="false">Sens!I16544</f>
        <v>30.152940612192</v>
      </c>
      <c r="J16520" s="6" t="n">
        <f aca="false">Sens!J16544</f>
        <v>32.9575022150393</v>
      </c>
      <c r="K16520" s="6" t="n">
        <f aca="false">Sens!K16544</f>
        <v>35.9256779798081</v>
      </c>
    </row>
    <row r="16521" customFormat="false" ht="17.15" hidden="false" customHeight="false" outlineLevel="0" collapsed="false">
      <c r="A16521" s="1" t="s">
        <v>1072</v>
      </c>
      <c r="B16521" s="0" t="s">
        <v>98</v>
      </c>
      <c r="D16521" s="6" t="n">
        <f aca="false">Q!L27</f>
        <v>-4.901</v>
      </c>
      <c r="E16521" s="6" t="n">
        <f aca="false">Q!M27</f>
        <v>10.697</v>
      </c>
      <c r="F16521" s="6" t="n">
        <f aca="false">Q!$I$27+oie_f*(q_per_yr-1)/q_per_yr</f>
        <v>-0.862</v>
      </c>
      <c r="G16521" s="6" t="n">
        <f aca="false">oie_f</f>
        <v>-1.2</v>
      </c>
      <c r="H16521" s="6" t="n">
        <f aca="false">oie_f</f>
        <v>-1.2</v>
      </c>
      <c r="I16521" s="6" t="n">
        <f aca="false">oie_f</f>
        <v>-1.2</v>
      </c>
      <c r="J16521" s="6" t="n">
        <f aca="false">oie_f</f>
        <v>-1.2</v>
      </c>
      <c r="K16521" s="6" t="n">
        <f aca="false">oie_f</f>
        <v>-1.2</v>
      </c>
      <c r="L16521" s="12" t="s">
        <v>1073</v>
      </c>
    </row>
    <row r="16522" customFormat="false" ht="15" hidden="false" customHeight="false" outlineLevel="0" collapsed="false">
      <c r="A16522" s="1" t="s">
        <v>1074</v>
      </c>
      <c r="B16522" s="0" t="s">
        <v>98</v>
      </c>
      <c r="D16522" s="6" t="n">
        <f aca="false">Sens!D16514+Sens!D16521</f>
        <v>123.627</v>
      </c>
      <c r="E16522" s="6" t="n">
        <f aca="false">Sens!E16514+Sens!E16521</f>
        <v>165.934</v>
      </c>
      <c r="F16522" s="6" t="n">
        <f aca="false">Sens!F16514+Sens!F16521</f>
        <v>184.47437184107</v>
      </c>
      <c r="G16522" s="6" t="n">
        <f aca="false">Sens!G16514+Sens!G16521</f>
        <v>209.953473773117</v>
      </c>
      <c r="H16522" s="6" t="n">
        <f aca="false">Sens!H16514+Sens!H16521</f>
        <v>244.930107879275</v>
      </c>
      <c r="I16522" s="6" t="n">
        <f aca="false">Sens!I16514+Sens!I16521</f>
        <v>271.633833217714</v>
      </c>
      <c r="J16522" s="6" t="n">
        <f aca="false">Sens!J16514+Sens!J16521</f>
        <v>294.822561844752</v>
      </c>
      <c r="K16522" s="6" t="n">
        <f aca="false">Sens!K16514+Sens!K16521</f>
        <v>315.823410961543</v>
      </c>
    </row>
    <row r="16523" customFormat="false" ht="15" hidden="false" customHeight="false" outlineLevel="0" collapsed="false">
      <c r="A16523" s="1" t="s">
        <v>1075</v>
      </c>
      <c r="B16523" s="0" t="s">
        <v>98</v>
      </c>
      <c r="D16523" s="6" t="n">
        <f aca="false">Q!L29</f>
        <v>21.795</v>
      </c>
      <c r="E16523" s="6" t="n">
        <f aca="false">Q!M29</f>
        <v>32.185</v>
      </c>
      <c r="F16523" s="6" t="n">
        <f aca="false">Q!$I$29+(Sens!F16522-Q!$I$28)*tax_f</f>
        <v>37.0282743682139</v>
      </c>
      <c r="G16523" s="6" t="n">
        <f aca="false">Sens!G16522*tax_f</f>
        <v>41.9906947546233</v>
      </c>
      <c r="H16523" s="6" t="n">
        <f aca="false">Sens!H16522*tax_f</f>
        <v>48.9860215758551</v>
      </c>
      <c r="I16523" s="6" t="n">
        <f aca="false">Sens!I16522*tax_f</f>
        <v>54.3267666435428</v>
      </c>
      <c r="J16523" s="6" t="n">
        <f aca="false">Sens!J16522*tax_f</f>
        <v>58.9645123689505</v>
      </c>
      <c r="K16523" s="6" t="n">
        <f aca="false">Sens!K16522*tax_f</f>
        <v>63.1646821923086</v>
      </c>
    </row>
    <row r="16524" customFormat="false" ht="15" hidden="false" customHeight="false" outlineLevel="0" collapsed="false">
      <c r="A16524" s="1" t="s">
        <v>1076</v>
      </c>
      <c r="B16524" s="0" t="s">
        <v>98</v>
      </c>
      <c r="D16524" s="6" t="n">
        <f aca="false">Sens!D16522-Sens!D16523</f>
        <v>101.832</v>
      </c>
      <c r="E16524" s="6" t="n">
        <f aca="false">Sens!E16522-Sens!E16523</f>
        <v>133.749</v>
      </c>
      <c r="F16524" s="6" t="n">
        <f aca="false">Sens!F16522-Sens!F16523</f>
        <v>147.446097472856</v>
      </c>
      <c r="G16524" s="6" t="n">
        <f aca="false">Sens!G16522-Sens!G16523</f>
        <v>167.962779018493</v>
      </c>
      <c r="H16524" s="6" t="n">
        <f aca="false">Sens!H16522-Sens!H16523</f>
        <v>195.94408630342</v>
      </c>
      <c r="I16524" s="6" t="n">
        <f aca="false">Sens!I16522-Sens!I16523</f>
        <v>217.307066574171</v>
      </c>
      <c r="J16524" s="6" t="n">
        <f aca="false">Sens!J16522-Sens!J16523</f>
        <v>235.858049475802</v>
      </c>
      <c r="K16524" s="6" t="n">
        <f aca="false">Sens!K16522-Sens!K16523</f>
        <v>252.658728769235</v>
      </c>
    </row>
    <row r="16525" customFormat="false" ht="17.15" hidden="false" customHeight="false" outlineLevel="0" collapsed="false">
      <c r="A16525" s="1" t="s">
        <v>1077</v>
      </c>
      <c r="B16525" s="1" t="s">
        <v>81</v>
      </c>
      <c r="D16525" s="15" t="n">
        <f aca="false">Q!L31</f>
        <v>7.465</v>
      </c>
      <c r="E16525" s="15" t="n">
        <f aca="false">Q!M31</f>
        <v>7.453</v>
      </c>
      <c r="F16525" s="15" t="n">
        <f aca="false">Sens!F16569</f>
        <v>7.4706326876771</v>
      </c>
      <c r="G16525" s="15" t="n">
        <f aca="false">Sens!G16569</f>
        <v>7.50990360175967</v>
      </c>
      <c r="H16525" s="15" t="n">
        <f aca="false">Sens!H16569</f>
        <v>7.53474176719395</v>
      </c>
      <c r="I16525" s="15" t="n">
        <f aca="false">Sens!I16569</f>
        <v>7.54642313124942</v>
      </c>
      <c r="J16525" s="15" t="n">
        <f aca="false">Sens!J16569</f>
        <v>7.56057254241189</v>
      </c>
      <c r="K16525" s="15" t="n">
        <f aca="false">Sens!K16569</f>
        <v>7.57700718237714</v>
      </c>
    </row>
    <row r="16526" customFormat="false" ht="17.15" hidden="false" customHeight="false" outlineLevel="0" collapsed="false">
      <c r="A16526" s="0" t="s">
        <v>1078</v>
      </c>
      <c r="B16526" s="0" t="s">
        <v>75</v>
      </c>
      <c r="D16526" s="8" t="n">
        <f aca="false">Sens!D16524/Sens!D16525</f>
        <v>13.641259209645</v>
      </c>
      <c r="E16526" s="8" t="n">
        <f aca="false">Sens!E16524/Sens!E16525</f>
        <v>17.9456594659869</v>
      </c>
      <c r="F16526" s="8" t="n">
        <f aca="false">Sens!F16524/Sens!F16525</f>
        <v>19.7367617492518</v>
      </c>
      <c r="G16526" s="8" t="n">
        <f aca="false">Sens!G16524/Sens!G16525</f>
        <v>22.365503996501</v>
      </c>
      <c r="H16526" s="8" t="n">
        <f aca="false">Sens!H16524/Sens!H16525</f>
        <v>26.0054149641273</v>
      </c>
      <c r="I16526" s="8" t="n">
        <f aca="false">Sens!I16524/Sens!I16525</f>
        <v>28.7960352599779</v>
      </c>
      <c r="J16526" s="8" t="n">
        <f aca="false">Sens!J16524/Sens!J16525</f>
        <v>31.195792137795</v>
      </c>
      <c r="K16526" s="8" t="n">
        <f aca="false">Sens!K16524/Sens!K16525</f>
        <v>33.3454519294738</v>
      </c>
      <c r="L16526" s="1" t="s">
        <v>1079</v>
      </c>
    </row>
    <row r="16527" customFormat="false" ht="17.15" hidden="false" customHeight="false" outlineLevel="0" collapsed="false">
      <c r="A16527" s="1" t="s">
        <v>1080</v>
      </c>
      <c r="B16527" s="0" t="s">
        <v>98</v>
      </c>
      <c r="D16527" s="6" t="n">
        <f aca="false">Sens!D16524</f>
        <v>101.832</v>
      </c>
      <c r="E16527" s="6" t="n">
        <f aca="false">Sens!E16524</f>
        <v>133.749</v>
      </c>
      <c r="F16527" s="6" t="n">
        <f aca="false">Sens!F16524+Sens!F16517*(1-tax_f)</f>
        <v>150.54676499714</v>
      </c>
      <c r="G16527" s="6" t="n">
        <f aca="false">Sens!G16524+Sens!G16517*(1-tax_f)</f>
        <v>181.983159989837</v>
      </c>
      <c r="H16527" s="6" t="n">
        <f aca="false">Sens!H16524+Sens!H16517*(1-tax_f)</f>
        <v>222.103713749744</v>
      </c>
      <c r="I16527" s="6" t="n">
        <f aca="false">Sens!I16524+Sens!I16517*(1-tax_f)</f>
        <v>254.7035699155</v>
      </c>
      <c r="J16527" s="6" t="n">
        <f aca="false">Sens!J16524+Sens!J16517*(1-tax_f)</f>
        <v>281.134688035925</v>
      </c>
      <c r="K16527" s="6" t="n">
        <f aca="false">Sens!K16524+Sens!K16517*(1-tax_f)</f>
        <v>301.873754727254</v>
      </c>
    </row>
    <row r="16528" customFormat="false" ht="17.15" hidden="false" customHeight="false" outlineLevel="0" collapsed="false">
      <c r="A16528" s="0" t="s">
        <v>1081</v>
      </c>
      <c r="B16528" s="0" t="s">
        <v>75</v>
      </c>
      <c r="D16528" s="8" t="n">
        <f aca="false">Sens!D16527/Sens!D16525</f>
        <v>13.641259209645</v>
      </c>
      <c r="E16528" s="8" t="n">
        <f aca="false">Sens!E16527/Sens!E16525</f>
        <v>17.9456594659869</v>
      </c>
      <c r="F16528" s="8" t="n">
        <f aca="false">Sens!F16527/Sens!F16525</f>
        <v>20.1518092631524</v>
      </c>
      <c r="G16528" s="8" t="n">
        <f aca="false">Sens!G16527/Sens!G16525</f>
        <v>24.2324228965064</v>
      </c>
      <c r="H16528" s="8" t="n">
        <f aca="false">Sens!H16527/Sens!H16525</f>
        <v>29.4772827805164</v>
      </c>
      <c r="I16528" s="8" t="n">
        <f aca="false">Sens!I16527/Sens!I16525</f>
        <v>33.7515622283069</v>
      </c>
      <c r="J16528" s="8" t="n">
        <f aca="false">Sens!J16527/Sens!J16525</f>
        <v>37.1843119629986</v>
      </c>
      <c r="K16528" s="8" t="n">
        <f aca="false">Sens!K16527/Sens!K16525</f>
        <v>39.8407639667232</v>
      </c>
      <c r="L16528" s="1" t="s">
        <v>1082</v>
      </c>
    </row>
    <row r="16529" customFormat="false" ht="17.15" hidden="false" customHeight="false" outlineLevel="0" collapsed="false">
      <c r="A16529" s="0" t="s">
        <v>1083</v>
      </c>
      <c r="B16529" s="0" t="s">
        <v>168</v>
      </c>
      <c r="E16529" s="7" t="n">
        <f aca="false">Sens!E16528/Sens!D16528-1</f>
        <v>0.315542736208578</v>
      </c>
      <c r="F16529" s="7" t="n">
        <f aca="false">Sens!F16528/Sens!E16528-1</f>
        <v>0.122935008398379</v>
      </c>
      <c r="G16529" s="7" t="n">
        <f aca="false">Sens!G16528/Sens!F16528-1</f>
        <v>0.20249366099427</v>
      </c>
      <c r="H16529" s="7" t="n">
        <f aca="false">Sens!H16528/Sens!G16528-1</f>
        <v>0.216439763634458</v>
      </c>
      <c r="I16529" s="7" t="n">
        <f aca="false">Sens!I16528/Sens!H16528-1</f>
        <v>0.145002491566681</v>
      </c>
      <c r="J16529" s="7" t="n">
        <f aca="false">Sens!J16528/Sens!I16528-1</f>
        <v>0.101706395439458</v>
      </c>
      <c r="K16529" s="7" t="n">
        <f aca="false">Sens!K16528/Sens!J16528-1</f>
        <v>0.0714401279326615</v>
      </c>
    </row>
    <row r="16530" customFormat="false" ht="17.15" hidden="false" customHeight="false" outlineLevel="0" collapsed="false">
      <c r="A16530" s="0" t="s">
        <v>1003</v>
      </c>
      <c r="B16530" s="0" t="s">
        <v>98</v>
      </c>
      <c r="E16530" s="6" t="n">
        <f aca="false">Sens!E16471</f>
        <v>5.25</v>
      </c>
      <c r="F16530" s="6" t="n">
        <f aca="false">Sens!F16471</f>
        <v>13.5</v>
      </c>
      <c r="G16530" s="6" t="n">
        <f aca="false">Sens!G16471</f>
        <v>22.5</v>
      </c>
      <c r="H16530" s="6" t="n">
        <f aca="false">Sens!H16471</f>
        <v>31.5</v>
      </c>
      <c r="I16530" s="6" t="n">
        <f aca="false">Sens!I16471</f>
        <v>38.25</v>
      </c>
      <c r="J16530" s="6" t="n">
        <f aca="false">Sens!J16471</f>
        <v>42.75</v>
      </c>
      <c r="K16530" s="6" t="n">
        <f aca="false">Sens!K16471</f>
        <v>47.25</v>
      </c>
    </row>
    <row r="16531" customFormat="false" ht="17.15" hidden="false" customHeight="false" outlineLevel="0" collapsed="false">
      <c r="A16531" s="1" t="s">
        <v>1004</v>
      </c>
      <c r="B16531" s="0" t="s">
        <v>98</v>
      </c>
      <c r="F16531" s="6" t="n">
        <f aca="false">MAX(0,((Sens!E16431+Sens!F16431)/2-(0*(Sens!$D$16431+Sens!$E$16431)/2+(1-0)*Sens!$E$16431))*Sens!F16440/1000-(Sens!F16530-Sens!$E$16530)*Sens!F16510)</f>
        <v>3.87583440535588</v>
      </c>
      <c r="G16531" s="6" t="n">
        <f aca="false">MAX(0,((Sens!F16431+Sens!G16431)/2-(0*(Sens!$D$16431+Sens!$E$16431)/2+(1-0)*Sens!$E$16431))*Sens!G16440/1000-(Sens!G16530-Sens!$E$16530)*Sens!G16510)</f>
        <v>17.5254762141793</v>
      </c>
      <c r="H16531" s="6" t="n">
        <f aca="false">MAX(0,((Sens!G16431+Sens!H16431)/2-(0*(Sens!$D$16431+Sens!$E$16431)/2+(1-0)*Sens!$E$16431))*Sens!H16440/1000-(Sens!H16530-Sens!$E$16530)*Sens!H16510)</f>
        <v>32.6995343079048</v>
      </c>
      <c r="I16531" s="6" t="n">
        <f aca="false">MAX(0,((Sens!H16431+Sens!I16431)/2-(0*(Sens!$D$16431+Sens!$E$16431)/2+(1-0)*Sens!$E$16431))*Sens!I16440/1000-(Sens!I16530-Sens!$E$16530)*Sens!I16510)</f>
        <v>46.7456291766606</v>
      </c>
      <c r="J16531" s="6" t="n">
        <f aca="false">MAX(0,((Sens!I16431+Sens!J16431)/2-(0*(Sens!$D$16431+Sens!$E$16431)/2+(1-0)*Sens!$E$16431))*Sens!J16440/1000-(Sens!J16530-Sens!$E$16530)*Sens!J16510)</f>
        <v>56.5957982001541</v>
      </c>
      <c r="K16531" s="6" t="n">
        <f aca="false">MAX(0,((Sens!J16431+Sens!K16431)/2-(0*(Sens!$D$16431+Sens!$E$16431)/2+(1-0)*Sens!$E$16431))*Sens!K16440/1000-(Sens!K16530-Sens!$E$16530)*Sens!K16510)</f>
        <v>61.5187824475247</v>
      </c>
      <c r="L16531" s="1" t="s">
        <v>1005</v>
      </c>
    </row>
    <row r="16532" customFormat="false" ht="17.15" hidden="false" customHeight="false" outlineLevel="0" collapsed="false">
      <c r="A16532" s="1" t="s">
        <v>1006</v>
      </c>
      <c r="B16532" s="0" t="s">
        <v>98</v>
      </c>
      <c r="F16532" s="6" t="n">
        <f aca="false">IF(internal_ai_reading=2,1,0)*Sens!F16531</f>
        <v>3.87583440535588</v>
      </c>
      <c r="G16532" s="6" t="n">
        <f aca="false">IF(internal_ai_reading=2,1,0)*Sens!G16531</f>
        <v>17.5254762141793</v>
      </c>
      <c r="H16532" s="6" t="n">
        <f aca="false">IF(internal_ai_reading=2,1,0)*Sens!H16531</f>
        <v>32.6995343079048</v>
      </c>
      <c r="I16532" s="6" t="n">
        <f aca="false">IF(internal_ai_reading=2,1,0)*Sens!I16531</f>
        <v>46.7456291766606</v>
      </c>
      <c r="J16532" s="6" t="n">
        <f aca="false">IF(internal_ai_reading=2,1,0)*Sens!J16531</f>
        <v>56.5957982001541</v>
      </c>
      <c r="K16532" s="6" t="n">
        <f aca="false">IF(internal_ai_reading=2,1,0)*Sens!K16531</f>
        <v>61.5187824475247</v>
      </c>
    </row>
    <row r="16533" customFormat="false" ht="17.15" hidden="false" customHeight="false" outlineLevel="0" collapsed="false">
      <c r="A16533" s="0" t="s">
        <v>1007</v>
      </c>
      <c r="B16533" s="0" t="s">
        <v>98</v>
      </c>
      <c r="F16533" s="6" t="n">
        <f aca="false">Sens!F16450+Sens!F16530*Sens!F16510+Sens!F16532-Sens!F16451-Sens!F16462</f>
        <v>13.4992954753251</v>
      </c>
      <c r="G16533" s="6" t="n">
        <f aca="false">Sens!G16450+Sens!G16530*Sens!G16510+Sens!G16532-Sens!G16451-Sens!G16462</f>
        <v>38.0178321954312</v>
      </c>
      <c r="H16533" s="6" t="n">
        <f aca="false">Sens!H16450+Sens!H16530*Sens!H16510+Sens!H16532-Sens!H16451-Sens!H16462</f>
        <v>68.2002874257712</v>
      </c>
      <c r="I16533" s="6" t="n">
        <f aca="false">Sens!I16450+Sens!I16530*Sens!I16510+Sens!I16532-Sens!I16451-Sens!I16462</f>
        <v>89.3529332439933</v>
      </c>
      <c r="J16533" s="6" t="n">
        <f aca="false">Sens!J16450+Sens!J16530*Sens!J16510+Sens!J16532-Sens!J16451-Sens!J16462</f>
        <v>103.935824433073</v>
      </c>
      <c r="K16533" s="6" t="n">
        <f aca="false">Sens!K16450+Sens!K16530*Sens!K16510+Sens!K16532-Sens!K16451-Sens!K16462</f>
        <v>113.337354358841</v>
      </c>
    </row>
    <row r="16534" customFormat="false" ht="17.15" hidden="false" customHeight="false" outlineLevel="0" collapsed="false">
      <c r="A16534" s="0" t="s">
        <v>1008</v>
      </c>
      <c r="B16534" s="0" t="s">
        <v>98</v>
      </c>
      <c r="E16534" s="6" t="n">
        <f aca="false">Sens!E16430*(cxit_open+self_build*tk_cxfac)/1000*ai_net_open</f>
        <v>126.6980382</v>
      </c>
      <c r="F16534" s="6" t="n">
        <f aca="false">Sens!E16534+Sens!F16459-Sens!F16462</f>
        <v>260.572627763768</v>
      </c>
      <c r="G16534" s="6" t="n">
        <f aca="false">Sens!F16534+Sens!G16459-Sens!G16462</f>
        <v>391.782612760517</v>
      </c>
      <c r="H16534" s="6" t="n">
        <f aca="false">Sens!G16534+Sens!H16459-Sens!H16462</f>
        <v>499.488526163584</v>
      </c>
      <c r="I16534" s="6" t="n">
        <f aca="false">Sens!H16534+Sens!I16459-Sens!I16462</f>
        <v>553.872350090646</v>
      </c>
      <c r="J16534" s="6" t="n">
        <f aca="false">Sens!I16534+Sens!J16459-Sens!J16462</f>
        <v>550.78660823699</v>
      </c>
      <c r="K16534" s="6" t="n">
        <f aca="false">Sens!J16534+Sens!K16459-Sens!K16462</f>
        <v>526.736791750789</v>
      </c>
      <c r="L16534" s="1" t="s">
        <v>1009</v>
      </c>
    </row>
    <row r="16535" customFormat="false" ht="17.15" hidden="false" customHeight="false" outlineLevel="0" collapsed="false">
      <c r="A16535" s="0" t="s">
        <v>1010</v>
      </c>
      <c r="B16535" s="0" t="s">
        <v>168</v>
      </c>
      <c r="F16535" s="7" t="n">
        <f aca="false">Sens!F16533*(1-tax_f)/((Sens!E16534+Sens!F16534)/2)</f>
        <v>0.0557720340288849</v>
      </c>
      <c r="G16535" s="7" t="n">
        <f aca="false">Sens!G16533*(1-tax_f)/((Sens!F16534+Sens!G16534)/2)</f>
        <v>0.0932444897105498</v>
      </c>
      <c r="H16535" s="7" t="n">
        <f aca="false">Sens!H16533*(1-tax_f)/((Sens!G16534+Sens!H16534)/2)</f>
        <v>0.122432394717683</v>
      </c>
      <c r="I16535" s="7" t="n">
        <f aca="false">Sens!I16533*(1-tax_f)/((Sens!H16534+Sens!I16534)/2)</f>
        <v>0.135722425631351</v>
      </c>
      <c r="J16535" s="7" t="n">
        <f aca="false">Sens!J16533*(1-tax_f)/((Sens!I16534+Sens!J16534)/2)</f>
        <v>0.150541773856319</v>
      </c>
      <c r="K16535" s="7" t="n">
        <f aca="false">Sens!K16533*(1-tax_f)/((Sens!J16534+Sens!K16534)/2)</f>
        <v>0.16829311268433</v>
      </c>
    </row>
    <row r="16536" customFormat="false" ht="17.15" hidden="false" customHeight="false" outlineLevel="0" collapsed="false">
      <c r="A16536" s="1" t="s">
        <v>1011</v>
      </c>
      <c r="B16536" s="0" t="s">
        <v>168</v>
      </c>
      <c r="F16536" s="7" t="n">
        <f aca="false">(Sens!F16533-Sens!F16532)*(1-tax_f)/((Sens!E16534+Sens!F16534)/2)</f>
        <v>0.0397591118181705</v>
      </c>
      <c r="G16536" s="7" t="n">
        <f aca="false">(Sens!G16533-Sens!G16532)*(1-tax_f)/((Sens!F16534+Sens!G16534)/2)</f>
        <v>0.0502606057761598</v>
      </c>
      <c r="H16536" s="7" t="n">
        <f aca="false">(Sens!H16533-Sens!H16532)*(1-tax_f)/((Sens!G16534+Sens!H16534)/2)</f>
        <v>0.0637305557287023</v>
      </c>
      <c r="I16536" s="7" t="n">
        <f aca="false">(Sens!I16533-Sens!I16532)*(1-tax_f)/((Sens!H16534+Sens!I16534)/2)</f>
        <v>0.0647182632699936</v>
      </c>
      <c r="J16536" s="7" t="n">
        <f aca="false">(Sens!J16533-Sens!J16532)*(1-tax_f)/((Sens!I16534+Sens!J16534)/2)</f>
        <v>0.0685678067440289</v>
      </c>
      <c r="K16536" s="7" t="n">
        <f aca="false">(Sens!K16533-Sens!K16532)*(1-tax_f)/((Sens!J16534+Sens!K16534)/2)</f>
        <v>0.0769447002812617</v>
      </c>
    </row>
    <row r="16537" customFormat="false" ht="17.15" hidden="false" customHeight="false" outlineLevel="0" collapsed="false">
      <c r="A16537" s="1" t="s">
        <v>1012</v>
      </c>
      <c r="B16537" s="0" t="s">
        <v>168</v>
      </c>
      <c r="F16537" s="7" t="n">
        <f aca="false">(Sens!F16533-Sens!F16532+Sens!F16531)*(1-tax_f)/((Sens!E16534+Sens!F16534)/2)</f>
        <v>0.0557720340288849</v>
      </c>
      <c r="G16537" s="7" t="n">
        <f aca="false">(Sens!G16533-Sens!G16532+Sens!G16531)*(1-tax_f)/((Sens!F16534+Sens!G16534)/2)</f>
        <v>0.0932444897105498</v>
      </c>
      <c r="H16537" s="7" t="n">
        <f aca="false">(Sens!H16533-Sens!H16532+Sens!H16531)*(1-tax_f)/((Sens!G16534+Sens!H16534)/2)</f>
        <v>0.122432394717683</v>
      </c>
      <c r="I16537" s="7" t="n">
        <f aca="false">(Sens!I16533-Sens!I16532+Sens!I16531)*(1-tax_f)/((Sens!H16534+Sens!I16534)/2)</f>
        <v>0.135722425631351</v>
      </c>
      <c r="J16537" s="7" t="n">
        <f aca="false">(Sens!J16533-Sens!J16532+Sens!J16531)*(1-tax_f)/((Sens!I16534+Sens!J16534)/2)</f>
        <v>0.150541773856319</v>
      </c>
      <c r="K16537" s="7" t="n">
        <f aca="false">(Sens!K16533-Sens!K16532+Sens!K16531)*(1-tax_f)/((Sens!J16534+Sens!K16534)/2)</f>
        <v>0.16829311268433</v>
      </c>
    </row>
    <row r="16538" customFormat="false" ht="17.15" hidden="false" customHeight="false" outlineLevel="0" collapsed="false">
      <c r="A16538" s="1" t="s">
        <v>1013</v>
      </c>
      <c r="B16538" s="0" t="s">
        <v>168</v>
      </c>
      <c r="F16538" s="7" t="n">
        <f aca="false">Sens!F16463*(1-tax_f)/(Sens!F16449*(Sens!E16534+Sens!F16534)/2)</f>
        <v>0.15471433083293</v>
      </c>
      <c r="G16538" s="7" t="n">
        <f aca="false">Sens!G16463*(1-tax_f)/(Sens!G16449*(Sens!F16534+Sens!G16534)/2)</f>
        <v>0.176916911437355</v>
      </c>
      <c r="H16538" s="7" t="n">
        <f aca="false">Sens!H16463*(1-tax_f)/(Sens!H16449*(Sens!G16534+Sens!H16534)/2)</f>
        <v>0.207487057996582</v>
      </c>
      <c r="I16538" s="7" t="n">
        <f aca="false">Sens!I16463*(1-tax_f)/(Sens!I16449*(Sens!H16534+Sens!I16534)/2)</f>
        <v>0.219873660070946</v>
      </c>
      <c r="J16538" s="7" t="n">
        <f aca="false">Sens!J16463*(1-tax_f)/(Sens!J16449*(Sens!I16534+Sens!J16534)/2)</f>
        <v>0.238959457974928</v>
      </c>
      <c r="K16538" s="7" t="n">
        <f aca="false">Sens!K16463*(1-tax_f)/(Sens!K16449*(Sens!J16534+Sens!K16534)/2)</f>
        <v>0.264604270651536</v>
      </c>
    </row>
    <row r="16539" customFormat="false" ht="17.15" hidden="false" customHeight="false" outlineLevel="0" collapsed="false">
      <c r="A16539" s="0" t="s">
        <v>1014</v>
      </c>
      <c r="B16539" s="0" t="s">
        <v>253</v>
      </c>
      <c r="F16539" s="7" t="n">
        <f aca="false">Sens!F16535-wacc</f>
        <v>-0.0471645569167124</v>
      </c>
      <c r="G16539" s="7" t="n">
        <f aca="false">Sens!G16535-wacc</f>
        <v>-0.00969210123504749</v>
      </c>
      <c r="H16539" s="7" t="n">
        <f aca="false">Sens!H16535-wacc</f>
        <v>0.0194958037720852</v>
      </c>
      <c r="I16539" s="7" t="n">
        <f aca="false">Sens!I16535-wacc</f>
        <v>0.0327858346857536</v>
      </c>
      <c r="J16539" s="7" t="n">
        <f aca="false">Sens!J16535-wacc</f>
        <v>0.047605182910722</v>
      </c>
      <c r="K16539" s="7" t="n">
        <f aca="false">Sens!K16535-wacc</f>
        <v>0.0653565217387323</v>
      </c>
    </row>
    <row r="16540" customFormat="false" ht="17.15" hidden="false" customHeight="false" outlineLevel="0" collapsed="false">
      <c r="A16540" s="0" t="s">
        <v>1015</v>
      </c>
      <c r="B16540" s="0" t="s">
        <v>98</v>
      </c>
      <c r="F16540" s="6" t="n">
        <f aca="false">Sens!F16533*(1-tax_f)-wacc*(Sens!E16534+Sens!F16534)/2</f>
        <v>-9.13272468351061</v>
      </c>
      <c r="G16540" s="6" t="n">
        <f aca="false">Sens!G16533*(1-tax_f)-wacc*(Sens!F16534+Sens!G16534)/2</f>
        <v>-3.16134651618756</v>
      </c>
      <c r="H16540" s="6" t="n">
        <f aca="false">Sens!H16533*(1-tax_f)-wacc*(Sens!G16534+Sens!H16534)/2</f>
        <v>8.68802361609359</v>
      </c>
      <c r="I16540" s="6" t="n">
        <f aca="false">Sens!I16533*(1-tax_f)-wacc*(Sens!H16534+Sens!I16534)/2</f>
        <v>17.2676577766558</v>
      </c>
      <c r="J16540" s="6" t="n">
        <f aca="false">Sens!J16533*(1-tax_f)-wacc*(Sens!I16534+Sens!J16534)/2</f>
        <v>26.2937458825774</v>
      </c>
      <c r="K16540" s="6" t="n">
        <f aca="false">Sens!K16533*(1-tax_f)-wacc*(Sens!J16534+Sens!K16534)/2</f>
        <v>35.211590757647</v>
      </c>
    </row>
    <row r="16541" customFormat="false" ht="17.15" hidden="false" customHeight="false" outlineLevel="0" collapsed="false">
      <c r="A16541" s="3" t="s">
        <v>1887</v>
      </c>
    </row>
    <row r="16542" customFormat="false" ht="15" hidden="false" customHeight="false" outlineLevel="0" collapsed="false">
      <c r="A16542" s="4" t="s">
        <v>43</v>
      </c>
      <c r="B16542" s="4" t="s">
        <v>65</v>
      </c>
      <c r="C16542" s="23" t="s">
        <v>938</v>
      </c>
      <c r="D16542" s="23" t="s">
        <v>939</v>
      </c>
      <c r="E16542" s="23" t="s">
        <v>940</v>
      </c>
      <c r="F16542" s="23" t="s">
        <v>941</v>
      </c>
      <c r="G16542" s="23" t="s">
        <v>942</v>
      </c>
      <c r="H16542" s="23" t="s">
        <v>943</v>
      </c>
      <c r="I16542" s="23" t="s">
        <v>944</v>
      </c>
      <c r="J16542" s="23" t="s">
        <v>945</v>
      </c>
      <c r="K16542" s="23" t="s">
        <v>946</v>
      </c>
      <c r="L16542" s="4" t="s">
        <v>47</v>
      </c>
    </row>
    <row r="16543" customFormat="false" ht="15" hidden="false" customHeight="false" outlineLevel="0" collapsed="false">
      <c r="A16543" s="1" t="s">
        <v>1076</v>
      </c>
      <c r="B16543" s="0" t="s">
        <v>98</v>
      </c>
      <c r="F16543" s="6" t="n">
        <f aca="false">Sens!F16524</f>
        <v>147.446097472856</v>
      </c>
      <c r="G16543" s="6" t="n">
        <f aca="false">Sens!G16524</f>
        <v>167.962779018493</v>
      </c>
      <c r="H16543" s="6" t="n">
        <f aca="false">Sens!H16524</f>
        <v>195.94408630342</v>
      </c>
      <c r="I16543" s="6" t="n">
        <f aca="false">Sens!I16524</f>
        <v>217.307066574171</v>
      </c>
      <c r="J16543" s="6" t="n">
        <f aca="false">Sens!J16524</f>
        <v>235.858049475802</v>
      </c>
      <c r="K16543" s="6" t="n">
        <f aca="false">Sens!K16524</f>
        <v>252.658728769235</v>
      </c>
    </row>
    <row r="16544" customFormat="false" ht="17.15" hidden="false" customHeight="false" outlineLevel="0" collapsed="false">
      <c r="A16544" s="1" t="s">
        <v>1098</v>
      </c>
      <c r="B16544" s="0" t="s">
        <v>98</v>
      </c>
      <c r="E16544" s="6" t="n">
        <f aca="false">Q!M38-Sens!E16462</f>
        <v>22.2285940229167</v>
      </c>
      <c r="F16544" s="6" t="n">
        <f aca="false">Sens!E16544*(1-1/life_nonai)+(Sens!F16552+Sens!F16553)/life_nonai</f>
        <v>23.580344216413</v>
      </c>
      <c r="G16544" s="6" t="n">
        <f aca="false">Sens!F16544*(1-1/life_nonai)+(Sens!G16552)/life_nonai</f>
        <v>25.3801415764809</v>
      </c>
      <c r="H16544" s="6" t="n">
        <f aca="false">Sens!G16544*(1-1/life_nonai)+(Sens!H16552)/life_nonai</f>
        <v>27.5964639802758</v>
      </c>
      <c r="I16544" s="6" t="n">
        <f aca="false">Sens!H16544*(1-1/life_nonai)+(Sens!I16552)/life_nonai</f>
        <v>30.152940612192</v>
      </c>
      <c r="J16544" s="6" t="n">
        <f aca="false">Sens!I16544*(1-1/life_nonai)+(Sens!J16552)/life_nonai</f>
        <v>32.9575022150393</v>
      </c>
      <c r="K16544" s="6" t="n">
        <f aca="false">Sens!J16544*(1-1/life_nonai)+(Sens!K16552)/life_nonai</f>
        <v>35.9256779798081</v>
      </c>
      <c r="L16544" s="12" t="s">
        <v>1099</v>
      </c>
    </row>
    <row r="16545" customFormat="false" ht="17.15" hidden="false" customHeight="false" outlineLevel="0" collapsed="false">
      <c r="A16545" s="1" t="s">
        <v>1100</v>
      </c>
      <c r="B16545" s="0" t="s">
        <v>98</v>
      </c>
      <c r="F16545" s="6" t="n">
        <f aca="false">Sens!$F$16553/life_nonai*(1-1/life_nonai)^(Sens!F16425-2027)</f>
        <v>0.00475774452575592</v>
      </c>
      <c r="G16545" s="6" t="n">
        <f aca="false">Sens!$F$16553/life_nonai*(1-1/life_nonai)^(Sens!G16425-2027)</f>
        <v>0.00428197007318033</v>
      </c>
      <c r="H16545" s="6" t="n">
        <f aca="false">Sens!$F$16553/life_nonai*(1-1/life_nonai)^(Sens!H16425-2027)</f>
        <v>0.0038537730658623</v>
      </c>
      <c r="I16545" s="6" t="n">
        <f aca="false">Sens!$F$16553/life_nonai*(1-1/life_nonai)^(Sens!I16425-2027)</f>
        <v>0.00346839575927607</v>
      </c>
      <c r="J16545" s="6" t="n">
        <f aca="false">Sens!$F$16553/life_nonai*(1-1/life_nonai)^(Sens!J16425-2027)</f>
        <v>0.00312155618334846</v>
      </c>
      <c r="K16545" s="6" t="n">
        <f aca="false">Sens!$F$16553/life_nonai*(1-1/life_nonai)^(Sens!K16425-2027)</f>
        <v>0.00280940056501362</v>
      </c>
      <c r="L16545" s="1" t="s">
        <v>1101</v>
      </c>
    </row>
    <row r="16546" customFormat="false" ht="17.15" hidden="false" customHeight="false" outlineLevel="0" collapsed="false">
      <c r="A16546" s="1" t="s">
        <v>1102</v>
      </c>
      <c r="B16546" s="0" t="s">
        <v>98</v>
      </c>
      <c r="E16546" s="6" t="n">
        <f aca="false">Sens!E16462+Sens!E16544</f>
        <v>38.534</v>
      </c>
      <c r="F16546" s="6" t="n">
        <f aca="false">Sens!F16462+Sens!F16544</f>
        <v>58.1596586947647</v>
      </c>
      <c r="G16546" s="6" t="n">
        <f aca="false">Sens!G16462+Sens!G16544</f>
        <v>86.1146322287799</v>
      </c>
      <c r="H16546" s="6" t="n">
        <f aca="false">Sens!H16462+Sens!H16544</f>
        <v>116.696554641721</v>
      </c>
      <c r="I16546" s="6" t="n">
        <f aca="false">Sens!I16462+Sens!I16544</f>
        <v>144.38395030674</v>
      </c>
      <c r="J16546" s="6" t="n">
        <f aca="false">Sens!J16462+Sens!J16544</f>
        <v>164.973175264635</v>
      </c>
      <c r="K16546" s="6" t="n">
        <f aca="false">Sens!K16462+Sens!K16544</f>
        <v>178.938347530742</v>
      </c>
    </row>
    <row r="16547" customFormat="false" ht="17.15" hidden="false" customHeight="false" outlineLevel="0" collapsed="false">
      <c r="A16547" s="1" t="s">
        <v>1103</v>
      </c>
      <c r="B16547" s="0" t="s">
        <v>98</v>
      </c>
      <c r="F16547" s="6" t="n">
        <f aca="false">Sens!F16489*sbc_r</f>
        <v>15.0680693022395</v>
      </c>
      <c r="G16547" s="6" t="n">
        <f aca="false">Sens!G16489*sbc_r</f>
        <v>18.3841476633065</v>
      </c>
      <c r="H16547" s="6" t="n">
        <f aca="false">Sens!H16489*sbc_r</f>
        <v>21.9545979838202</v>
      </c>
      <c r="I16547" s="6" t="n">
        <f aca="false">Sens!I16489*sbc_r</f>
        <v>24.9944595349748</v>
      </c>
      <c r="J16547" s="6" t="n">
        <f aca="false">Sens!J16489*sbc_r</f>
        <v>27.4407929753337</v>
      </c>
      <c r="K16547" s="6" t="n">
        <f aca="false">Sens!K16489*sbc_r</f>
        <v>29.3868645070206</v>
      </c>
    </row>
    <row r="16548" customFormat="false" ht="17.15" hidden="false" customHeight="false" outlineLevel="0" collapsed="false">
      <c r="A16548" s="1" t="s">
        <v>1104</v>
      </c>
      <c r="B16548" s="0" t="s">
        <v>98</v>
      </c>
      <c r="F16548" s="6" t="n">
        <f aca="false">wc27-wc26q1</f>
        <v>-4.677</v>
      </c>
      <c r="G16548" s="6" t="n">
        <f aca="false">wc_f</f>
        <v>0</v>
      </c>
      <c r="H16548" s="6" t="n">
        <f aca="false">wc_f</f>
        <v>0</v>
      </c>
      <c r="I16548" s="6" t="n">
        <f aca="false">wc_f</f>
        <v>0</v>
      </c>
      <c r="J16548" s="6" t="n">
        <f aca="false">wc_f</f>
        <v>0</v>
      </c>
      <c r="K16548" s="6" t="n">
        <f aca="false">wc_f</f>
        <v>0</v>
      </c>
      <c r="L16548" s="12" t="s">
        <v>1105</v>
      </c>
    </row>
    <row r="16549" customFormat="false" ht="17.15" hidden="false" customHeight="false" outlineLevel="0" collapsed="false">
      <c r="A16549" s="0" t="s">
        <v>1106</v>
      </c>
      <c r="B16549" s="0" t="s">
        <v>98</v>
      </c>
      <c r="F16549" s="6" t="n">
        <f aca="false">Q!$I$35-Q!$I$26-Q!$I$38-Q!$I$39</f>
        <v>6.493</v>
      </c>
      <c r="L16549" s="1" t="s">
        <v>1107</v>
      </c>
    </row>
    <row r="16550" customFormat="false" ht="15" hidden="false" customHeight="false" outlineLevel="0" collapsed="false">
      <c r="A16550" s="1" t="s">
        <v>904</v>
      </c>
      <c r="B16550" s="0" t="s">
        <v>98</v>
      </c>
      <c r="E16550" s="6" t="n">
        <f aca="false">Q!M35</f>
        <v>182.935</v>
      </c>
      <c r="F16550" s="6" t="n">
        <f aca="false">Sens!F16543+Sens!F16546+Sens!F16547+Sens!F16548+Sens!F16549</f>
        <v>222.48982546986</v>
      </c>
      <c r="G16550" s="6" t="n">
        <f aca="false">Sens!G16543+Sens!G16546+Sens!G16547+Sens!G16548</f>
        <v>272.46155891058</v>
      </c>
      <c r="H16550" s="6" t="n">
        <f aca="false">Sens!H16543+Sens!H16546+Sens!H16547+Sens!H16548</f>
        <v>334.595238928962</v>
      </c>
      <c r="I16550" s="6" t="n">
        <f aca="false">Sens!I16543+Sens!I16546+Sens!I16547+Sens!I16548</f>
        <v>386.685476415886</v>
      </c>
      <c r="J16550" s="6" t="n">
        <f aca="false">Sens!J16543+Sens!J16546+Sens!J16547+Sens!J16548</f>
        <v>428.272017715771</v>
      </c>
      <c r="K16550" s="6" t="n">
        <f aca="false">Sens!K16543+Sens!K16546+Sens!K16547+Sens!K16548</f>
        <v>460.983940806997</v>
      </c>
    </row>
    <row r="16551" customFormat="false" ht="17.15" hidden="false" customHeight="false" outlineLevel="0" collapsed="false">
      <c r="A16551" s="0" t="s">
        <v>1108</v>
      </c>
      <c r="B16551" s="0" t="s">
        <v>98</v>
      </c>
      <c r="F16551" s="6" t="n">
        <f aca="false">Sens!F16459</f>
        <v>168.45390404212</v>
      </c>
      <c r="G16551" s="6" t="n">
        <f aca="false">Sens!G16459</f>
        <v>191.944475649048</v>
      </c>
      <c r="H16551" s="6" t="n">
        <f aca="false">Sens!H16459</f>
        <v>196.806004064512</v>
      </c>
      <c r="I16551" s="6" t="n">
        <f aca="false">Sens!I16459</f>
        <v>168.61483362161</v>
      </c>
      <c r="J16551" s="6" t="n">
        <f aca="false">Sens!J16459</f>
        <v>128.92993119594</v>
      </c>
      <c r="K16551" s="6" t="n">
        <f aca="false">Sens!K16459</f>
        <v>118.962853064733</v>
      </c>
    </row>
    <row r="16552" customFormat="false" ht="17.15" hidden="false" customHeight="false" outlineLevel="0" collapsed="false">
      <c r="A16552" s="1" t="s">
        <v>1109</v>
      </c>
      <c r="B16552" s="0" t="s">
        <v>98</v>
      </c>
      <c r="E16552" s="6" t="n">
        <f aca="false">Sens!E16467*cx_azo+Sens!E16474*cx_m365+Sens!E16475*cx_lic+(Sens!E16477+Sens!E16479)*cx_ind+Sens!E16482*cx_srch+(Sens!E16484+Sens!E16486)*cx_dev</f>
        <v>30.1846587067718</v>
      </c>
      <c r="F16552" s="6" t="n">
        <f aca="false">Sens!F16467*cx_azo+Sens!F16474*cx_m365+Sens!F16475*cx_lic+(Sens!F16477+Sens!F16479)*cx_ind+Sens!F16482*cx_srch+(Sens!F16484+Sens!F16486)*cx_dev</f>
        <v>35.6985185126228</v>
      </c>
      <c r="G16552" s="6" t="n">
        <f aca="false">Sens!G16467*cx_azo+Sens!G16474*cx_m365+Sens!G16475*cx_lic+(Sens!G16477+Sens!G16479)*cx_ind+Sens!G16482*cx_srch+(Sens!G16484+Sens!G16486)*cx_dev</f>
        <v>41.5783178170917</v>
      </c>
      <c r="H16552" s="6" t="n">
        <f aca="false">Sens!H16467*cx_azo+Sens!H16474*cx_m365+Sens!H16475*cx_lic+(Sens!H16477+Sens!H16479)*cx_ind+Sens!H16482*cx_srch+(Sens!H16484+Sens!H16486)*cx_dev</f>
        <v>47.5433656144293</v>
      </c>
      <c r="I16552" s="6" t="n">
        <f aca="false">Sens!I16467*cx_azo+Sens!I16474*cx_m365+Sens!I16475*cx_lic+(Sens!I16477+Sens!I16479)*cx_ind+Sens!I16482*cx_srch+(Sens!I16484+Sens!I16486)*cx_dev</f>
        <v>53.1612302994382</v>
      </c>
      <c r="J16552" s="6" t="n">
        <f aca="false">Sens!J16467*cx_azo+Sens!J16474*cx_m365+Sens!J16475*cx_lic+(Sens!J16477+Sens!J16479)*cx_ind+Sens!J16482*cx_srch+(Sens!J16484+Sens!J16486)*cx_dev</f>
        <v>58.1985566406647</v>
      </c>
      <c r="K16552" s="6" t="n">
        <f aca="false">Sens!K16467*cx_azo+Sens!K16474*cx_m365+Sens!K16475*cx_lic+(Sens!K16477+Sens!K16479)*cx_ind+Sens!K16482*cx_srch+(Sens!K16484+Sens!K16486)*cx_dev</f>
        <v>62.6392598627275</v>
      </c>
    </row>
    <row r="16553" customFormat="false" ht="17.15" hidden="false" customHeight="false" outlineLevel="0" collapsed="false">
      <c r="A16553" s="0" t="s">
        <v>1110</v>
      </c>
      <c r="B16553" s="0" t="s">
        <v>98</v>
      </c>
      <c r="F16553" s="6" t="n">
        <f aca="false">Sens!F16457</f>
        <v>0.0475774452575593</v>
      </c>
      <c r="L16553" s="1" t="s">
        <v>1111</v>
      </c>
    </row>
    <row r="16554" customFormat="false" ht="17.15" hidden="false" customHeight="false" outlineLevel="0" collapsed="false">
      <c r="A16554" s="1" t="s">
        <v>1112</v>
      </c>
      <c r="B16554" s="0" t="s">
        <v>98</v>
      </c>
      <c r="E16554" s="6" t="n">
        <f aca="false">Q!M43</f>
        <v>145.3</v>
      </c>
      <c r="F16554" s="6" t="n">
        <f aca="false">Sens!F16551+Sens!F16552+Sens!F16553</f>
        <v>204.2</v>
      </c>
      <c r="G16554" s="6" t="n">
        <f aca="false">Sens!G16551+Sens!G16552</f>
        <v>233.52279346614</v>
      </c>
      <c r="H16554" s="6" t="n">
        <f aca="false">Sens!H16551+Sens!H16552</f>
        <v>244.349369678942</v>
      </c>
      <c r="I16554" s="6" t="n">
        <f aca="false">Sens!I16551+Sens!I16552</f>
        <v>221.776063921049</v>
      </c>
      <c r="J16554" s="6" t="n">
        <f aca="false">Sens!J16551+Sens!J16552</f>
        <v>187.128487836605</v>
      </c>
      <c r="K16554" s="6" t="n">
        <f aca="false">Sens!K16551+Sens!K16552</f>
        <v>181.60211292746</v>
      </c>
      <c r="L16554" s="1" t="s">
        <v>1113</v>
      </c>
    </row>
    <row r="16555" customFormat="false" ht="15" hidden="false" customHeight="false" outlineLevel="0" collapsed="false">
      <c r="A16555" s="1" t="s">
        <v>1114</v>
      </c>
      <c r="B16555" s="0" t="s">
        <v>98</v>
      </c>
      <c r="E16555" s="6" t="n">
        <f aca="false">fl_liab</f>
        <v>66.594</v>
      </c>
      <c r="F16555" s="6" t="n">
        <f aca="false">Sens!E16555-Sens!F16556</f>
        <v>62.46973</v>
      </c>
      <c r="G16555" s="6" t="n">
        <f aca="false">Sens!F16555-Sens!G16556</f>
        <v>57.98686785</v>
      </c>
      <c r="H16555" s="6" t="n">
        <f aca="false">Sens!G16555-Sens!H16556</f>
        <v>53.92827690325</v>
      </c>
      <c r="I16555" s="6" t="n">
        <f aca="false">Sens!H16555-Sens!I16556</f>
        <v>49.7850493638962</v>
      </c>
      <c r="J16555" s="6" t="n">
        <f aca="false">Sens!I16555-Sens!J16556</f>
        <v>45.4823765852716</v>
      </c>
      <c r="K16555" s="6" t="n">
        <f aca="false">Sens!J16555-Sens!K16556</f>
        <v>40.9860835316088</v>
      </c>
    </row>
    <row r="16556" customFormat="false" ht="15" hidden="false" customHeight="false" outlineLevel="0" collapsed="false">
      <c r="A16556" s="1" t="s">
        <v>1115</v>
      </c>
      <c r="B16556" s="0" t="s">
        <v>98</v>
      </c>
      <c r="F16556" s="6" t="n">
        <f aca="false">fl_pay_27-Sens!E16555*fl_rate</f>
        <v>4.12427</v>
      </c>
      <c r="G16556" s="6" t="n">
        <f aca="false">fl_pay_28-Sens!F16555*fl_rate</f>
        <v>4.48286215</v>
      </c>
      <c r="H16556" s="6" t="n">
        <f aca="false">fl_pay_29-Sens!G16555*fl_rate</f>
        <v>4.05859094675</v>
      </c>
      <c r="I16556" s="6" t="n">
        <f aca="false">fl_pay_30-Sens!H16555*fl_rate</f>
        <v>4.14322753935375</v>
      </c>
      <c r="J16556" s="6" t="n">
        <f aca="false">fl_pay_31-Sens!I16555*fl_rate</f>
        <v>4.30267277862467</v>
      </c>
      <c r="K16556" s="6" t="n">
        <f aca="false">fl_pay_32-Sens!J16555*fl_rate</f>
        <v>4.49629305366278</v>
      </c>
    </row>
    <row r="16557" customFormat="false" ht="17.15" hidden="false" customHeight="false" outlineLevel="0" collapsed="false">
      <c r="A16557" s="1" t="s">
        <v>1116</v>
      </c>
      <c r="B16557" s="0" t="s">
        <v>98</v>
      </c>
      <c r="E16557" s="6" t="n">
        <f aca="false">Q!M35-Q!M36-Q!M44</f>
        <v>63.886</v>
      </c>
      <c r="F16557" s="6" t="n">
        <f aca="false">Sens!F16550-Sens!F16554-Sens!F16556</f>
        <v>14.1655554698598</v>
      </c>
      <c r="G16557" s="6" t="n">
        <f aca="false">Sens!G16550-Sens!G16554-Sens!G16556</f>
        <v>34.4559032944397</v>
      </c>
      <c r="H16557" s="6" t="n">
        <f aca="false">Sens!H16550-Sens!H16554-Sens!H16556</f>
        <v>86.1872783032704</v>
      </c>
      <c r="I16557" s="6" t="n">
        <f aca="false">Sens!I16550-Sens!I16554-Sens!I16556</f>
        <v>160.766184955484</v>
      </c>
      <c r="J16557" s="6" t="n">
        <f aca="false">Sens!J16550-Sens!J16554-Sens!J16556</f>
        <v>236.840857100541</v>
      </c>
      <c r="K16557" s="6" t="n">
        <f aca="false">Sens!K16550-Sens!K16554-Sens!K16556</f>
        <v>274.885534825874</v>
      </c>
      <c r="L16557" s="12" t="s">
        <v>1117</v>
      </c>
    </row>
    <row r="16558" customFormat="false" ht="15" hidden="false" customHeight="false" outlineLevel="0" collapsed="false">
      <c r="A16558" s="1" t="s">
        <v>1118</v>
      </c>
      <c r="B16558" s="0" t="s">
        <v>75</v>
      </c>
      <c r="F16558" s="8" t="n">
        <f aca="false">dps_27</f>
        <v>3.85</v>
      </c>
      <c r="G16558" s="8" t="n">
        <f aca="false">Sens!F16558*(1+dps_g)</f>
        <v>4.158</v>
      </c>
      <c r="H16558" s="8" t="n">
        <f aca="false">Sens!G16558*(1+dps_g)</f>
        <v>4.49064</v>
      </c>
      <c r="I16558" s="8" t="n">
        <f aca="false">Sens!H16558*(1+dps_g)</f>
        <v>4.8498912</v>
      </c>
      <c r="J16558" s="8" t="n">
        <f aca="false">Sens!I16558*(1+dps_g)</f>
        <v>5.237882496</v>
      </c>
      <c r="K16558" s="8" t="n">
        <f aca="false">Sens!J16558*(1+dps_g)</f>
        <v>5.65691309568</v>
      </c>
    </row>
    <row r="16559" customFormat="false" ht="17.15" hidden="false" customHeight="false" outlineLevel="0" collapsed="false">
      <c r="A16559" s="1" t="s">
        <v>1119</v>
      </c>
      <c r="B16559" s="0" t="s">
        <v>98</v>
      </c>
      <c r="E16559" s="6" t="n">
        <f aca="false">Q!M41</f>
        <v>26.445</v>
      </c>
      <c r="F16559" s="6" t="n">
        <f aca="false">Sens!F16558*Sens!E16568</f>
        <v>28.59395</v>
      </c>
      <c r="G16559" s="6" t="n">
        <f aca="false">Sens!G16558*Sens!F16568</f>
        <v>31.0447314307227</v>
      </c>
      <c r="H16559" s="6" t="n">
        <f aca="false">Sens!H16558*Sens!G16568</f>
        <v>33.7046863552316</v>
      </c>
      <c r="I16559" s="6" t="n">
        <f aca="false">Sens!I16558*Sens!H16568</f>
        <v>36.4514995407227</v>
      </c>
      <c r="J16559" s="6" t="n">
        <f aca="false">Sens!J16558*Sens!I16568</f>
        <v>39.4355173893732</v>
      </c>
      <c r="K16559" s="6" t="n">
        <f aca="false">Sens!K16558*Sens!J16568</f>
        <v>42.6771130429013</v>
      </c>
      <c r="L16559" s="1" t="s">
        <v>1120</v>
      </c>
    </row>
    <row r="16560" customFormat="false" ht="15" hidden="false" customHeight="false" outlineLevel="0" collapsed="false">
      <c r="A16560" s="1" t="s">
        <v>1121</v>
      </c>
      <c r="B16560" s="0" t="s">
        <v>98</v>
      </c>
      <c r="E16560" s="6" t="n">
        <f aca="false">Sens!E16557-Sens!E16559</f>
        <v>37.441</v>
      </c>
      <c r="F16560" s="6" t="n">
        <f aca="false">Sens!F16557-Sens!F16559</f>
        <v>-14.4283945301402</v>
      </c>
      <c r="G16560" s="6" t="n">
        <f aca="false">Sens!G16557-Sens!G16559</f>
        <v>3.41117186371696</v>
      </c>
      <c r="H16560" s="6" t="n">
        <f aca="false">Sens!H16557-Sens!H16559</f>
        <v>52.4825919480388</v>
      </c>
      <c r="I16560" s="6" t="n">
        <f aca="false">Sens!I16557-Sens!I16559</f>
        <v>124.314685414761</v>
      </c>
      <c r="J16560" s="6" t="n">
        <f aca="false">Sens!J16557-Sens!J16559</f>
        <v>197.405339711168</v>
      </c>
      <c r="K16560" s="6" t="n">
        <f aca="false">Sens!K16557-Sens!K16559</f>
        <v>232.208421782973</v>
      </c>
    </row>
    <row r="16561" customFormat="false" ht="15" hidden="false" customHeight="false" outlineLevel="0" collapsed="false">
      <c r="A16561" s="1" t="s">
        <v>1122</v>
      </c>
      <c r="B16561" s="0" t="s">
        <v>98</v>
      </c>
      <c r="F16561" s="6" t="n">
        <f aca="false">debt_mat_27</f>
        <v>9.25</v>
      </c>
      <c r="G16561" s="6" t="n">
        <f aca="false">debt_mat_28</f>
        <v>0</v>
      </c>
      <c r="H16561" s="6" t="n">
        <f aca="false">debt_mat_29</f>
        <v>2.001</v>
      </c>
      <c r="I16561" s="6" t="n">
        <f aca="false">debt_mat_30</f>
        <v>0</v>
      </c>
      <c r="J16561" s="6" t="n">
        <f aca="false">debt_mat_31</f>
        <v>0.5</v>
      </c>
      <c r="K16561" s="6" t="n">
        <f aca="false">debt_mat_32</f>
        <v>0</v>
      </c>
    </row>
    <row r="16562" customFormat="false" ht="15" hidden="false" customHeight="false" outlineLevel="0" collapsed="false">
      <c r="A16562" s="1" t="s">
        <v>1123</v>
      </c>
      <c r="B16562" s="0" t="s">
        <v>98</v>
      </c>
      <c r="E16562" s="6" t="n">
        <f aca="false">Q!M40</f>
        <v>22.271</v>
      </c>
      <c r="F16562" s="6" t="n">
        <f aca="false">MAX(0,MIN(bb_target,Sens!E16564+Sens!F16560-Sens!F16561-min_cash))</f>
        <v>3.16460546985984</v>
      </c>
      <c r="G16562" s="6" t="n">
        <f aca="false">MAX(0,MIN(bb_target,Sens!F16564+Sens!G16560-Sens!G16561-min_cash))</f>
        <v>3.41117186371696</v>
      </c>
      <c r="H16562" s="6" t="n">
        <f aca="false">MAX(0,MIN(bb_target,Sens!G16564+Sens!H16560-Sens!H16561-min_cash))</f>
        <v>22.271</v>
      </c>
      <c r="I16562" s="6" t="n">
        <f aca="false">MAX(0,MIN(bb_target,Sens!H16564+Sens!I16560-Sens!I16561-min_cash))</f>
        <v>22.271</v>
      </c>
      <c r="J16562" s="6" t="n">
        <f aca="false">MAX(0,MIN(bb_target,Sens!I16564+Sens!J16560-Sens!J16561-min_cash))</f>
        <v>22.271</v>
      </c>
      <c r="K16562" s="6" t="n">
        <f aca="false">MAX(0,MIN(bb_target,Sens!J16564+Sens!K16560-Sens!K16561-min_cash))</f>
        <v>22.271</v>
      </c>
    </row>
    <row r="16563" customFormat="false" ht="15" hidden="false" customHeight="false" outlineLevel="0" collapsed="false">
      <c r="A16563" s="1" t="s">
        <v>1124</v>
      </c>
      <c r="B16563" s="0" t="s">
        <v>98</v>
      </c>
      <c r="F16563" s="6" t="n">
        <f aca="false">MAX(0,min_cash-(Sens!E16564+Sens!F16560-Sens!F16561-Sens!F16562))</f>
        <v>0</v>
      </c>
      <c r="G16563" s="6" t="n">
        <f aca="false">MAX(0,min_cash-(Sens!F16564+Sens!G16560-Sens!G16561-Sens!G16562))</f>
        <v>0</v>
      </c>
      <c r="H16563" s="6" t="n">
        <f aca="false">MAX(0,min_cash-(Sens!G16564+Sens!H16560-Sens!H16561-Sens!H16562))</f>
        <v>0</v>
      </c>
      <c r="I16563" s="6" t="n">
        <f aca="false">MAX(0,min_cash-(Sens!H16564+Sens!I16560-Sens!I16561-Sens!I16562))</f>
        <v>0</v>
      </c>
      <c r="J16563" s="6" t="n">
        <f aca="false">MAX(0,min_cash-(Sens!I16564+Sens!J16560-Sens!J16561-Sens!J16562))</f>
        <v>0</v>
      </c>
      <c r="K16563" s="6" t="n">
        <f aca="false">MAX(0,min_cash-(Sens!J16564+Sens!K16560-Sens!K16561-Sens!K16562))</f>
        <v>0</v>
      </c>
    </row>
    <row r="16564" customFormat="false" ht="15" hidden="false" customHeight="false" outlineLevel="0" collapsed="false">
      <c r="A16564" s="1" t="s">
        <v>1125</v>
      </c>
      <c r="B16564" s="0" t="s">
        <v>98</v>
      </c>
      <c r="E16564" s="6" t="n">
        <f aca="false">cash_open</f>
        <v>76.843</v>
      </c>
      <c r="F16564" s="6" t="n">
        <f aca="false">Sens!E16564+Sens!F16560-Sens!F16561-Sens!F16562+Sens!F16563</f>
        <v>50</v>
      </c>
      <c r="G16564" s="6" t="n">
        <f aca="false">Sens!F16564+Sens!G16560-Sens!G16561-Sens!G16562+Sens!G16563</f>
        <v>50</v>
      </c>
      <c r="H16564" s="6" t="n">
        <f aca="false">Sens!G16564+Sens!H16560-Sens!H16561-Sens!H16562+Sens!H16563</f>
        <v>78.2105919480388</v>
      </c>
      <c r="I16564" s="6" t="n">
        <f aca="false">Sens!H16564+Sens!I16560-Sens!I16561-Sens!I16562+Sens!I16563</f>
        <v>180.2542773628</v>
      </c>
      <c r="J16564" s="6" t="n">
        <f aca="false">Sens!I16564+Sens!J16560-Sens!J16561-Sens!J16562+Sens!J16563</f>
        <v>354.888617073968</v>
      </c>
      <c r="K16564" s="6" t="n">
        <f aca="false">Sens!J16564+Sens!K16560-Sens!K16561-Sens!K16562+Sens!K16563</f>
        <v>564.826038856941</v>
      </c>
    </row>
    <row r="16565" customFormat="false" ht="15" hidden="false" customHeight="false" outlineLevel="0" collapsed="false">
      <c r="A16565" s="1" t="s">
        <v>1126</v>
      </c>
      <c r="B16565" s="0" t="s">
        <v>98</v>
      </c>
      <c r="E16565" s="6" t="n">
        <f aca="false">debt_face</f>
        <v>46.136</v>
      </c>
      <c r="F16565" s="6" t="n">
        <f aca="false">Sens!E16565-Sens!F16561+Sens!F16563</f>
        <v>36.886</v>
      </c>
      <c r="G16565" s="6" t="n">
        <f aca="false">Sens!F16565-Sens!G16561+Sens!G16563</f>
        <v>36.886</v>
      </c>
      <c r="H16565" s="6" t="n">
        <f aca="false">Sens!G16565-Sens!H16561+Sens!H16563</f>
        <v>34.885</v>
      </c>
      <c r="I16565" s="6" t="n">
        <f aca="false">Sens!H16565-Sens!I16561+Sens!I16563</f>
        <v>34.885</v>
      </c>
      <c r="J16565" s="6" t="n">
        <f aca="false">Sens!I16565-Sens!J16561+Sens!J16563</f>
        <v>34.385</v>
      </c>
      <c r="K16565" s="6" t="n">
        <f aca="false">Sens!J16565-Sens!K16561+Sens!K16563</f>
        <v>34.385</v>
      </c>
    </row>
    <row r="16566" customFormat="false" ht="15" hidden="false" customHeight="false" outlineLevel="0" collapsed="false">
      <c r="A16566" s="1" t="s">
        <v>1127</v>
      </c>
      <c r="B16566" s="0" t="s">
        <v>98</v>
      </c>
      <c r="E16566" s="6" t="n">
        <f aca="false">Sens!E16564-Sens!E16565</f>
        <v>30.707</v>
      </c>
      <c r="F16566" s="6" t="n">
        <f aca="false">Sens!F16564-Sens!F16565</f>
        <v>13.114</v>
      </c>
      <c r="G16566" s="6" t="n">
        <f aca="false">Sens!G16564-Sens!G16565</f>
        <v>13.114</v>
      </c>
      <c r="H16566" s="6" t="n">
        <f aca="false">Sens!H16564-Sens!H16565</f>
        <v>43.3255919480388</v>
      </c>
      <c r="I16566" s="6" t="n">
        <f aca="false">Sens!I16564-Sens!I16565</f>
        <v>145.3692773628</v>
      </c>
      <c r="J16566" s="6" t="n">
        <f aca="false">Sens!J16564-Sens!J16565</f>
        <v>320.503617073968</v>
      </c>
      <c r="K16566" s="6" t="n">
        <f aca="false">Sens!K16564-Sens!K16565</f>
        <v>530.441038856941</v>
      </c>
    </row>
    <row r="16567" customFormat="false" ht="15" hidden="false" customHeight="false" outlineLevel="0" collapsed="false">
      <c r="A16567" s="1" t="s">
        <v>1128</v>
      </c>
      <c r="B16567" s="0" t="s">
        <v>75</v>
      </c>
      <c r="F16567" s="30" t="n">
        <f aca="false">px*(1+bb_g)^(Sens!F16425-base_fy-mid_yr)</f>
        <v>551.84177959629</v>
      </c>
      <c r="G16567" s="30" t="n">
        <f aca="false">px*(1+bb_g)^(Sens!G16425-base_fy-mid_yr)</f>
        <v>595.989121963993</v>
      </c>
      <c r="H16567" s="30" t="n">
        <f aca="false">px*(1+bb_g)^(Sens!H16425-base_fy-mid_yr)</f>
        <v>643.668251721112</v>
      </c>
      <c r="I16567" s="30" t="n">
        <f aca="false">px*(1+bb_g)^(Sens!I16425-base_fy-mid_yr)</f>
        <v>695.161711858801</v>
      </c>
      <c r="J16567" s="30" t="n">
        <f aca="false">px*(1+bb_g)^(Sens!J16425-base_fy-mid_yr)</f>
        <v>750.774648807506</v>
      </c>
      <c r="K16567" s="30" t="n">
        <f aca="false">px*(1+bb_g)^(Sens!K16425-base_fy-mid_yr)</f>
        <v>810.836620712106</v>
      </c>
    </row>
    <row r="16568" customFormat="false" ht="15" hidden="false" customHeight="false" outlineLevel="0" collapsed="false">
      <c r="A16568" s="1" t="s">
        <v>1129</v>
      </c>
      <c r="B16568" s="1" t="s">
        <v>81</v>
      </c>
      <c r="E16568" s="15" t="n">
        <f aca="false">sh_out26</f>
        <v>7.427</v>
      </c>
      <c r="F16568" s="15" t="n">
        <f aca="false">Sens!E16568+sh_iss-Sens!F16562/Sens!F16567</f>
        <v>7.46626537535419</v>
      </c>
      <c r="G16568" s="15" t="n">
        <f aca="false">Sens!F16568+sh_iss-Sens!G16562/Sens!G16567</f>
        <v>7.50554182816515</v>
      </c>
      <c r="H16568" s="15" t="n">
        <f aca="false">Sens!G16568+sh_iss-Sens!H16562/Sens!H16567</f>
        <v>7.51594170622275</v>
      </c>
      <c r="I16568" s="15" t="n">
        <f aca="false">Sens!H16568+sh_iss-Sens!I16562/Sens!I16567</f>
        <v>7.52890455627609</v>
      </c>
      <c r="J16568" s="15" t="n">
        <f aca="false">Sens!I16568+sh_iss-Sens!J16562/Sens!J16567</f>
        <v>7.5442405285477</v>
      </c>
      <c r="K16568" s="15" t="n">
        <f aca="false">Sens!J16568+sh_iss-Sens!K16562/Sens!K16567</f>
        <v>7.56177383620659</v>
      </c>
    </row>
    <row r="16569" customFormat="false" ht="15" hidden="false" customHeight="false" outlineLevel="0" collapsed="false">
      <c r="A16569" s="1" t="s">
        <v>1130</v>
      </c>
      <c r="B16569" s="1" t="s">
        <v>81</v>
      </c>
      <c r="E16569" s="15" t="n">
        <f aca="false">sh_dil26</f>
        <v>7.453</v>
      </c>
      <c r="F16569" s="15" t="n">
        <f aca="false">(Sens!E16568+Sens!F16568)/2+dil_gap</f>
        <v>7.4706326876771</v>
      </c>
      <c r="G16569" s="15" t="n">
        <f aca="false">(Sens!F16568+Sens!G16568)/2+dil_gap</f>
        <v>7.50990360175967</v>
      </c>
      <c r="H16569" s="15" t="n">
        <f aca="false">(Sens!G16568+Sens!H16568)/2+dil_gap</f>
        <v>7.53474176719395</v>
      </c>
      <c r="I16569" s="15" t="n">
        <f aca="false">(Sens!H16568+Sens!I16568)/2+dil_gap</f>
        <v>7.54642313124942</v>
      </c>
      <c r="J16569" s="15" t="n">
        <f aca="false">(Sens!I16568+Sens!J16568)/2+dil_gap</f>
        <v>7.56057254241189</v>
      </c>
      <c r="K16569" s="15" t="n">
        <f aca="false">(Sens!J16568+Sens!K16568)/2+dil_gap</f>
        <v>7.57700718237714</v>
      </c>
    </row>
    <row r="16570" customFormat="false" ht="17.15" hidden="false" customHeight="false" outlineLevel="0" collapsed="false">
      <c r="A16570" s="1" t="s">
        <v>1131</v>
      </c>
      <c r="B16570" s="0" t="s">
        <v>98</v>
      </c>
      <c r="C16570" s="6" t="n">
        <f aca="false">SUM(Sens!F16560:J16560)</f>
        <v>363.185394407545</v>
      </c>
    </row>
    <row r="16571" customFormat="false" ht="15" hidden="false" customHeight="false" outlineLevel="0" collapsed="false">
      <c r="A16571" s="26" t="s">
        <v>1096</v>
      </c>
      <c r="B16571" s="31" t="s">
        <v>98</v>
      </c>
      <c r="C16571" s="27" t="n">
        <f aca="false">Sens!$C$16570-(Sens!F16560+Sens!G16560+Sens!H16560+Sens!I16560+Sens!J16560)</f>
        <v>0</v>
      </c>
      <c r="D16571" s="31"/>
      <c r="E16571" s="31"/>
      <c r="F16571" s="31"/>
      <c r="G16571" s="31"/>
      <c r="H16571" s="31"/>
      <c r="I16571" s="31"/>
      <c r="J16571" s="31"/>
      <c r="K16571" s="31"/>
    </row>
    <row r="16572" customFormat="false" ht="17.15" hidden="false" customHeight="false" outlineLevel="0" collapsed="false">
      <c r="A16572" s="1" t="s">
        <v>1090</v>
      </c>
      <c r="B16572" s="1" t="s">
        <v>1132</v>
      </c>
      <c r="C16572" s="33" t="str">
        <f aca="false">IF(SUM(Sens!F16563:J16563)&gt;0.05,"需要舉債 "&amp;TEXT(SUM(Sens!F16563:J16563),"0.0")&amp;" 十億美元","不需舉債")&amp;"；"&amp;IF(SUM(Sens!F16562:J16562)&lt;COUNT(Sens!F16562:J16562)*bb_target-0.05,"回購較每年 "&amp;TEXT(bb_target,"0.0")&amp;" 的目標少 "&amp;TEXT(COUNT(Sens!F16562:J16562)*bb_target-SUM(Sens!F16562:J16562),"0.0")&amp;" 十億美元（"&amp;TEXT(COUNTIF(Sens!F16562:J16562,"&lt;"&amp;(bb_target-0.05)),"0")&amp;" 年減少）","回購不減")</f>
        <v>不需舉債；回購較每年 22.3 的目標少 38.0 十億美元（2 年減少）</v>
      </c>
    </row>
    <row r="16573" customFormat="false" ht="17.15" hidden="false" customHeight="false" outlineLevel="0" collapsed="false">
      <c r="A16573" s="3" t="s">
        <v>1888</v>
      </c>
    </row>
    <row r="16574" customFormat="false" ht="15" hidden="false" customHeight="false" outlineLevel="0" collapsed="false">
      <c r="A16574" s="4" t="s">
        <v>43</v>
      </c>
      <c r="B16574" s="4" t="s">
        <v>65</v>
      </c>
      <c r="C16574" s="23" t="s">
        <v>938</v>
      </c>
      <c r="D16574" s="23" t="s">
        <v>939</v>
      </c>
      <c r="E16574" s="23" t="s">
        <v>940</v>
      </c>
      <c r="F16574" s="23" t="s">
        <v>941</v>
      </c>
      <c r="G16574" s="23" t="s">
        <v>942</v>
      </c>
      <c r="H16574" s="23" t="s">
        <v>943</v>
      </c>
      <c r="I16574" s="23" t="s">
        <v>944</v>
      </c>
      <c r="J16574" s="23" t="s">
        <v>945</v>
      </c>
      <c r="K16574" s="23" t="s">
        <v>946</v>
      </c>
      <c r="L16574" s="4" t="s">
        <v>47</v>
      </c>
    </row>
    <row r="16575" customFormat="false" ht="17.15" hidden="false" customHeight="false" outlineLevel="0" collapsed="false">
      <c r="A16575" s="1" t="s">
        <v>1212</v>
      </c>
      <c r="B16575" s="1" t="s">
        <v>279</v>
      </c>
      <c r="F16575" s="8" t="n">
        <f aca="false">(1-v_off)*mid_yr</f>
        <v>0.373972602739726</v>
      </c>
      <c r="G16575" s="8" t="n">
        <f aca="false">Sens!G16425-base_fy-mid_yr-v_off</f>
        <v>1.24794520547945</v>
      </c>
      <c r="H16575" s="8" t="n">
        <f aca="false">Sens!H16425-base_fy-mid_yr-v_off</f>
        <v>2.24794520547945</v>
      </c>
      <c r="I16575" s="8" t="n">
        <f aca="false">Sens!I16425-base_fy-mid_yr-v_off</f>
        <v>3.24794520547945</v>
      </c>
      <c r="J16575" s="8" t="n">
        <f aca="false">Sens!J16425-base_fy-mid_yr-v_off</f>
        <v>4.24794520547945</v>
      </c>
      <c r="K16575" s="8" t="n">
        <f aca="false">Sens!K16425-base_fy-mid_yr-v_off</f>
        <v>5.24794520547945</v>
      </c>
      <c r="L16575" s="12" t="s">
        <v>1213</v>
      </c>
    </row>
    <row r="16576" customFormat="false" ht="15" hidden="false" customHeight="false" outlineLevel="0" collapsed="false">
      <c r="A16576" s="1" t="s">
        <v>1214</v>
      </c>
      <c r="B16576" s="1" t="s">
        <v>279</v>
      </c>
      <c r="F16576" s="8" t="n">
        <f aca="false">Sens!F16425-base_fy-v_off</f>
        <v>0.747945205479452</v>
      </c>
      <c r="G16576" s="8" t="n">
        <f aca="false">Sens!G16425-base_fy-v_off</f>
        <v>1.74794520547945</v>
      </c>
      <c r="H16576" s="8" t="n">
        <f aca="false">Sens!H16425-base_fy-v_off</f>
        <v>2.74794520547945</v>
      </c>
      <c r="I16576" s="8" t="n">
        <f aca="false">Sens!I16425-base_fy-v_off</f>
        <v>3.74794520547945</v>
      </c>
      <c r="J16576" s="8" t="n">
        <f aca="false">Sens!J16425-base_fy-v_off</f>
        <v>4.74794520547945</v>
      </c>
      <c r="K16576" s="8" t="n">
        <f aca="false">Sens!K16425-base_fy-v_off</f>
        <v>5.74794520547945</v>
      </c>
    </row>
    <row r="16577" customFormat="false" ht="15" hidden="false" customHeight="false" outlineLevel="0" collapsed="false">
      <c r="A16577" s="1" t="s">
        <v>1215</v>
      </c>
      <c r="B16577" s="0" t="s">
        <v>229</v>
      </c>
      <c r="F16577" s="15" t="n">
        <f aca="false">1/(1+wacc)^Sens!F16575</f>
        <v>0.964022703286649</v>
      </c>
      <c r="G16577" s="15" t="n">
        <f aca="false">1/(1+wacc)^Sens!G16575</f>
        <v>0.884910302296739</v>
      </c>
      <c r="H16577" s="15" t="n">
        <f aca="false">1/(1+wacc)^Sens!H16575</f>
        <v>0.802322009770358</v>
      </c>
      <c r="I16577" s="15" t="n">
        <f aca="false">1/(1+wacc)^Sens!I16575</f>
        <v>0.727441646561469</v>
      </c>
      <c r="J16577" s="15" t="n">
        <f aca="false">1/(1+wacc)^Sens!J16575</f>
        <v>0.659549834988973</v>
      </c>
      <c r="K16577" s="15" t="n">
        <f aca="false">1/(1+wacc)^Sens!K16575</f>
        <v>0.597994336576966</v>
      </c>
    </row>
    <row r="16578" customFormat="false" ht="17.15" hidden="false" customHeight="false" outlineLevel="0" collapsed="false">
      <c r="A16578" s="1" t="s">
        <v>1216</v>
      </c>
      <c r="B16578" s="0" t="s">
        <v>98</v>
      </c>
      <c r="F16578" s="6" t="n">
        <f aca="false">Q!$I$35-Q!$I$39-Q!$I$43</f>
        <v>9.666</v>
      </c>
      <c r="L16578" s="12" t="s">
        <v>1217</v>
      </c>
    </row>
    <row r="16579" customFormat="false" ht="17.15" hidden="false" customHeight="false" outlineLevel="0" collapsed="false">
      <c r="A16579" s="1" t="s">
        <v>1218</v>
      </c>
      <c r="B16579" s="0" t="s">
        <v>98</v>
      </c>
      <c r="F16579" s="6" t="n">
        <f aca="false">Sens!F16550-Sens!F16547-Sens!F16554+Sens!F16532*(1-tax_f)*(1-v_off)-Sens!F16578</f>
        <v>-4.12511442380503</v>
      </c>
      <c r="G16579" s="6" t="n">
        <f aca="false">Sens!G16550-Sens!G16547-Sens!G16554+Sens!G16532*(1-tax_f)</f>
        <v>34.5749987524767</v>
      </c>
      <c r="H16579" s="6" t="n">
        <f aca="false">Sens!H16550-Sens!H16547-Sens!H16554+Sens!H16532*(1-tax_f)</f>
        <v>94.450898712524</v>
      </c>
      <c r="I16579" s="6" t="n">
        <f aca="false">Sens!I16550-Sens!I16547-Sens!I16554+Sens!I16532*(1-tax_f)</f>
        <v>177.311456301192</v>
      </c>
      <c r="J16579" s="6" t="n">
        <f aca="false">Sens!J16550-Sens!J16547-Sens!J16554+Sens!J16532*(1-tax_f)</f>
        <v>258.979375463956</v>
      </c>
      <c r="K16579" s="6" t="n">
        <f aca="false">Sens!K16550-Sens!K16547-Sens!K16554+Sens!K16532*(1-tax_f)</f>
        <v>299.209989330536</v>
      </c>
      <c r="L16579" s="1" t="s">
        <v>1219</v>
      </c>
    </row>
    <row r="16580" customFormat="false" ht="15" hidden="false" customHeight="false" outlineLevel="0" collapsed="false">
      <c r="A16580" s="1" t="s">
        <v>1220</v>
      </c>
      <c r="B16580" s="0" t="s">
        <v>98</v>
      </c>
      <c r="F16580" s="6" t="n">
        <f aca="false">Sens!F16579*Sens!F16577</f>
        <v>-3.97670395820327</v>
      </c>
      <c r="G16580" s="6" t="n">
        <f aca="false">Sens!G16579*Sens!G16577</f>
        <v>30.5957725979635</v>
      </c>
      <c r="H16580" s="6" t="n">
        <f aca="false">Sens!H16579*Sens!H16577</f>
        <v>75.7800348796487</v>
      </c>
      <c r="I16580" s="6" t="n">
        <f aca="false">Sens!I16579*Sens!I16577</f>
        <v>128.983737725951</v>
      </c>
      <c r="J16580" s="6" t="n">
        <f aca="false">Sens!J16579*Sens!J16577</f>
        <v>170.809804352799</v>
      </c>
      <c r="K16580" s="6" t="n">
        <f aca="false">Sens!K16579*Sens!K16577</f>
        <v>178.925879066915</v>
      </c>
    </row>
    <row r="16581" customFormat="false" ht="17.15" hidden="false" customHeight="false" outlineLevel="0" collapsed="false">
      <c r="A16581" s="1" t="s">
        <v>1221</v>
      </c>
      <c r="B16581" s="0" t="s">
        <v>98</v>
      </c>
      <c r="C16581" s="6" t="n">
        <f aca="false">SUM(Sens!F16580:K16580)</f>
        <v>581.118524665074</v>
      </c>
    </row>
    <row r="16582" customFormat="false" ht="17.15" hidden="false" customHeight="false" outlineLevel="0" collapsed="false">
      <c r="A16582" s="1" t="s">
        <v>1222</v>
      </c>
      <c r="B16582" s="0" t="s">
        <v>98</v>
      </c>
      <c r="C16582" s="6" t="n">
        <f aca="false">Sens!K16518*(1+g_tv)*(1-tax_f)</f>
        <v>311.918767369072</v>
      </c>
    </row>
    <row r="16583" customFormat="false" ht="17.15" hidden="false" customHeight="false" outlineLevel="0" collapsed="false">
      <c r="A16583" s="1" t="s">
        <v>1223</v>
      </c>
      <c r="B16583" s="0" t="s">
        <v>98</v>
      </c>
      <c r="C16583" s="6" t="n">
        <f aca="false">Sens!$C$16582*(1-g_tv/(wacc+ronic_prem))</f>
        <v>221.012677172072</v>
      </c>
    </row>
    <row r="16584" customFormat="false" ht="17.15" hidden="false" customHeight="false" outlineLevel="0" collapsed="false">
      <c r="A16584" s="1" t="s">
        <v>1224</v>
      </c>
      <c r="B16584" s="0" t="s">
        <v>98</v>
      </c>
      <c r="C16584" s="6" t="n">
        <f aca="false">Sens!$C$16583/(wacc-g_tv)</f>
        <v>3030.20300656667</v>
      </c>
    </row>
    <row r="16585" customFormat="false" ht="15" hidden="false" customHeight="false" outlineLevel="0" collapsed="false">
      <c r="A16585" s="1" t="s">
        <v>1225</v>
      </c>
      <c r="B16585" s="0" t="s">
        <v>98</v>
      </c>
      <c r="C16585" s="6" t="n">
        <f aca="false">Sens!$C$16584/(1+wacc)^Sens!K16576</f>
        <v>1725.41481675601</v>
      </c>
    </row>
    <row r="16586" customFormat="false" ht="17.15" hidden="false" customHeight="false" outlineLevel="0" collapsed="false">
      <c r="A16586" s="0" t="s">
        <v>1226</v>
      </c>
      <c r="B16586" s="0" t="s">
        <v>98</v>
      </c>
      <c r="C16586" s="6" t="n">
        <f aca="false">Sens!$C$16581+Sens!$C$16585</f>
        <v>2306.53334142109</v>
      </c>
    </row>
    <row r="16587" customFormat="false" ht="15" hidden="false" customHeight="false" outlineLevel="0" collapsed="false">
      <c r="A16587" s="1" t="s">
        <v>1141</v>
      </c>
      <c r="B16587" s="0" t="s">
        <v>168</v>
      </c>
      <c r="C16587" s="7" t="n">
        <f aca="false">Sens!$C$16585/Sens!$C$16586</f>
        <v>0.748055441372012</v>
      </c>
    </row>
    <row r="16588" customFormat="false" ht="17.15" hidden="false" customHeight="false" outlineLevel="0" collapsed="false">
      <c r="A16588" s="1" t="s">
        <v>1227</v>
      </c>
      <c r="B16588" s="0" t="s">
        <v>98</v>
      </c>
      <c r="C16588" s="6" t="n">
        <f aca="false">Sens!$C$16586+cash_val-debt_val-fl_val+oai_v</f>
        <v>2422.38434142109</v>
      </c>
    </row>
    <row r="16589" customFormat="false" ht="17.15" hidden="false" customHeight="false" outlineLevel="0" collapsed="false">
      <c r="A16589" s="0" t="s">
        <v>1149</v>
      </c>
      <c r="B16589" s="0" t="s">
        <v>75</v>
      </c>
      <c r="C16589" s="5" t="n">
        <f aca="false">Sens!$C$16588/shd_val</f>
        <v>325.326932772104</v>
      </c>
    </row>
    <row r="16590" customFormat="false" ht="15" hidden="false" customHeight="false" outlineLevel="0" collapsed="false">
      <c r="A16590" s="1" t="s">
        <v>1228</v>
      </c>
      <c r="B16590" s="0" t="s">
        <v>75</v>
      </c>
      <c r="C16590" s="8" t="n">
        <f aca="false">div_rem27+Sens!G16558*roll_div_q/q_per_yr</f>
        <v>3.9795</v>
      </c>
    </row>
    <row r="16591" customFormat="false" ht="17.15" hidden="false" customHeight="false" outlineLevel="0" collapsed="false">
      <c r="A16591" s="0" t="s">
        <v>1229</v>
      </c>
      <c r="B16591" s="0" t="s">
        <v>75</v>
      </c>
      <c r="C16591" s="5" t="n">
        <f aca="false">Sens!$C$16589*(1+wacc)^t_roll-Sens!$C$16590</f>
        <v>357.639542514296</v>
      </c>
    </row>
    <row r="16592" customFormat="false" ht="17.15" hidden="false" customHeight="false" outlineLevel="0" collapsed="false">
      <c r="A16592" s="1" t="s">
        <v>1230</v>
      </c>
      <c r="B16592" s="0" t="s">
        <v>168</v>
      </c>
      <c r="F16592" s="7" t="n">
        <f aca="false">Sens!F16544/(Sens!F16489-Sens!F16444)</f>
        <v>0.0685527305696859</v>
      </c>
      <c r="G16592" s="7" t="n">
        <f aca="false">Sens!G16544/(Sens!G16489-Sens!G16444)</f>
        <v>0.0653567731599844</v>
      </c>
      <c r="H16592" s="7" t="n">
        <f aca="false">Sens!H16544/(Sens!H16489-Sens!H16444)</f>
        <v>0.0636628841026972</v>
      </c>
      <c r="I16592" s="7" t="n">
        <f aca="false">Sens!I16544/(Sens!I16489-Sens!I16444)</f>
        <v>0.0633581084335176</v>
      </c>
      <c r="J16592" s="7" t="n">
        <f aca="false">Sens!J16544/(Sens!J16489-Sens!J16444)</f>
        <v>0.0640873955995062</v>
      </c>
      <c r="K16592" s="7" t="n">
        <f aca="false">Sens!K16544/(Sens!K16489-Sens!K16444)</f>
        <v>0.0653962234835198</v>
      </c>
    </row>
    <row r="16593" customFormat="false" ht="17.15" hidden="false" customHeight="false" outlineLevel="0" collapsed="false">
      <c r="A16593" s="0" t="s">
        <v>1231</v>
      </c>
      <c r="B16593" s="0" t="s">
        <v>98</v>
      </c>
      <c r="F16593" s="6" t="n">
        <f aca="false">Sens!F16474*(al_m365+Sens!F16592+sbc_r)</f>
        <v>84.5213906545575</v>
      </c>
      <c r="G16593" s="6" t="n">
        <f aca="false">Sens!G16474*(al_m365+Sens!G16592+sbc_r)</f>
        <v>98.949983331796</v>
      </c>
      <c r="H16593" s="6" t="n">
        <f aca="false">Sens!H16474*(al_m365+Sens!H16592+sbc_r)</f>
        <v>113.543734275326</v>
      </c>
      <c r="I16593" s="6" t="n">
        <f aca="false">Sens!I16474*(al_m365+Sens!I16592+sbc_r)</f>
        <v>126.62058838692</v>
      </c>
      <c r="J16593" s="6" t="n">
        <f aca="false">Sens!J16474*(al_m365+Sens!J16592+sbc_r)</f>
        <v>137.994660156303</v>
      </c>
      <c r="K16593" s="6" t="n">
        <f aca="false">Sens!K16474*(al_m365+Sens!K16592+sbc_r)</f>
        <v>148.989224092997</v>
      </c>
      <c r="L16593" s="12" t="s">
        <v>1232</v>
      </c>
    </row>
    <row r="16594" customFormat="false" ht="17.15" hidden="false" customHeight="false" outlineLevel="0" collapsed="false">
      <c r="A16594" s="0" t="s">
        <v>1233</v>
      </c>
      <c r="B16594" s="0" t="s">
        <v>98</v>
      </c>
      <c r="F16594" s="6" t="n">
        <f aca="false">Sens!F16475*(al_lic+Sens!F16592+sbc_r)</f>
        <v>32.855200196554</v>
      </c>
      <c r="G16594" s="6" t="n">
        <f aca="false">Sens!G16475*(al_lic+Sens!G16592+sbc_r)</f>
        <v>34.1185582613282</v>
      </c>
      <c r="H16594" s="6" t="n">
        <f aca="false">Sens!H16475*(al_lic+Sens!H16592+sbc_r)</f>
        <v>35.3024309363621</v>
      </c>
      <c r="I16594" s="6" t="n">
        <f aca="false">Sens!I16475*(al_lic+Sens!I16592+sbc_r)</f>
        <v>36.3898468129533</v>
      </c>
      <c r="J16594" s="6" t="n">
        <f aca="false">Sens!J16475*(al_lic+Sens!J16592+sbc_r)</f>
        <v>37.3529129529876</v>
      </c>
      <c r="K16594" s="6" t="n">
        <f aca="false">Sens!K16475*(al_lic+Sens!K16592+sbc_r)</f>
        <v>38.158536171203</v>
      </c>
    </row>
    <row r="16595" customFormat="false" ht="17.15" hidden="false" customHeight="false" outlineLevel="0" collapsed="false">
      <c r="A16595" s="0" t="s">
        <v>1234</v>
      </c>
      <c r="B16595" s="0" t="s">
        <v>98</v>
      </c>
      <c r="F16595" s="6" t="n">
        <f aca="false">Sens!F16477*(al_ind+Sens!F16592+sbc_r)</f>
        <v>9.05892547956683</v>
      </c>
      <c r="G16595" s="6" t="n">
        <f aca="false">Sens!G16477*(al_ind+Sens!G16592+sbc_r)</f>
        <v>9.82456487622418</v>
      </c>
      <c r="H16595" s="6" t="n">
        <f aca="false">Sens!H16477*(al_ind+Sens!H16592+sbc_r)</f>
        <v>10.6377408477959</v>
      </c>
      <c r="I16595" s="6" t="n">
        <f aca="false">Sens!I16477*(al_ind+Sens!I16592+sbc_r)</f>
        <v>11.4966323260293</v>
      </c>
      <c r="J16595" s="6" t="n">
        <f aca="false">Sens!J16477*(al_ind+Sens!J16592+sbc_r)</f>
        <v>12.3903660286279</v>
      </c>
      <c r="K16595" s="6" t="n">
        <f aca="false">Sens!K16477*(al_ind+Sens!K16592+sbc_r)</f>
        <v>13.3009129057681</v>
      </c>
    </row>
    <row r="16596" customFormat="false" ht="17.15" hidden="false" customHeight="false" outlineLevel="0" collapsed="false">
      <c r="A16596" s="0" t="s">
        <v>1235</v>
      </c>
      <c r="B16596" s="0" t="s">
        <v>98</v>
      </c>
      <c r="F16596" s="6" t="n">
        <f aca="false">Sens!F16479*(al_fro+Sens!F16592+sbc_r)</f>
        <v>3.55344443532423</v>
      </c>
      <c r="G16596" s="6" t="n">
        <f aca="false">Sens!G16479*(al_fro+Sens!G16592+sbc_r)</f>
        <v>3.75916645971565</v>
      </c>
      <c r="H16596" s="6" t="n">
        <f aca="false">Sens!H16479*(al_fro+Sens!H16592+sbc_r)</f>
        <v>3.994970960527</v>
      </c>
      <c r="I16596" s="6" t="n">
        <f aca="false">Sens!I16479*(al_fro+Sens!I16592+sbc_r)</f>
        <v>4.26396270432353</v>
      </c>
      <c r="J16596" s="6" t="n">
        <f aca="false">Sens!J16479*(al_fro+Sens!J16592+sbc_r)</f>
        <v>4.5667795874336</v>
      </c>
      <c r="K16596" s="6" t="n">
        <f aca="false">Sens!K16479*(al_fro+Sens!K16592+sbc_r)</f>
        <v>4.90238443416026</v>
      </c>
    </row>
    <row r="16597" customFormat="false" ht="17.15" hidden="false" customHeight="false" outlineLevel="0" collapsed="false">
      <c r="A16597" s="0" t="s">
        <v>1236</v>
      </c>
      <c r="B16597" s="0" t="s">
        <v>98</v>
      </c>
      <c r="F16597" s="6" t="n">
        <f aca="false">Sens!F16482*(al_srch+Sens!F16592+sbc_r)</f>
        <v>11.1872483445711</v>
      </c>
      <c r="G16597" s="6" t="n">
        <f aca="false">Sens!G16482*(al_srch+Sens!G16592+sbc_r)</f>
        <v>12.247246048296</v>
      </c>
      <c r="H16597" s="6" t="n">
        <f aca="false">Sens!H16482*(al_srch+Sens!H16592+sbc_r)</f>
        <v>13.3552870946193</v>
      </c>
      <c r="I16597" s="6" t="n">
        <f aca="false">Sens!I16482*(al_srch+Sens!I16592+sbc_r)</f>
        <v>14.5024145321619</v>
      </c>
      <c r="J16597" s="6" t="n">
        <f aca="false">Sens!J16482*(al_srch+Sens!J16592+sbc_r)</f>
        <v>15.667276660652</v>
      </c>
      <c r="K16597" s="6" t="n">
        <f aca="false">Sens!K16482*(al_srch+Sens!K16592+sbc_r)</f>
        <v>16.8186381138719</v>
      </c>
    </row>
    <row r="16598" customFormat="false" ht="17.15" hidden="false" customHeight="false" outlineLevel="0" collapsed="false">
      <c r="A16598" s="0" t="s">
        <v>1237</v>
      </c>
      <c r="B16598" s="0" t="s">
        <v>98</v>
      </c>
      <c r="F16598" s="6" t="n">
        <f aca="false">Sens!F16450-Sens!F16451+Sens!F16532</f>
        <v>40.3706857168198</v>
      </c>
      <c r="G16598" s="6" t="n">
        <f aca="false">Sens!G16450-Sens!G16451+Sens!G16532</f>
        <v>85.9057824529685</v>
      </c>
      <c r="H16598" s="6" t="n">
        <f aca="false">Sens!H16450-Sens!H16451+Sens!H16532</f>
        <v>139.315221534551</v>
      </c>
      <c r="I16598" s="6" t="n">
        <f aca="false">Sens!I16450-Sens!I16451+Sens!I16532</f>
        <v>181.744824267447</v>
      </c>
      <c r="J16598" s="6" t="n">
        <f aca="false">Sens!J16450-Sens!J16451+Sens!J16532</f>
        <v>211.543070732622</v>
      </c>
      <c r="K16598" s="6" t="n">
        <f aca="false">Sens!K16450-Sens!K16451+Sens!K16532</f>
        <v>229.372289080775</v>
      </c>
    </row>
    <row r="16599" customFormat="false" ht="17.15" hidden="false" customHeight="false" outlineLevel="0" collapsed="false">
      <c r="A16599" s="0" t="s">
        <v>1238</v>
      </c>
      <c r="B16599" s="0" t="s">
        <v>98</v>
      </c>
      <c r="F16599" s="6" t="n">
        <f aca="false">Sens!F16511+Sens!F16532+Sens!F16462+Sens!F16592*(Sens!F16481-Sens!F16444)+sbc_r*Sens!F16481</f>
        <v>235.810595401382</v>
      </c>
      <c r="G16599" s="6" t="n">
        <f aca="false">Sens!G16511+Sens!G16532+Sens!G16462+Sens!G16592*(Sens!G16481-Sens!G16444)+sbc_r*Sens!G16481</f>
        <v>306.737229838104</v>
      </c>
      <c r="H16599" s="6" t="n">
        <f aca="false">Sens!H16511+Sens!H16532+Sens!H16462+Sens!H16592*(Sens!H16481-Sens!H16444)+sbc_r*Sens!H16481</f>
        <v>390.18393475317</v>
      </c>
      <c r="I16599" s="6" t="n">
        <f aca="false">Sens!I16511+Sens!I16532+Sens!I16462+Sens!I16592*(Sens!I16481-Sens!I16444)+sbc_r*Sens!I16481</f>
        <v>460.558325654519</v>
      </c>
      <c r="J16599" s="6" t="n">
        <f aca="false">Sens!J16511+Sens!J16532+Sens!J16462+Sens!J16592*(Sens!J16481-Sens!J16444)+sbc_r*Sens!J16481</f>
        <v>515.322990187285</v>
      </c>
      <c r="K16599" s="6" t="n">
        <f aca="false">Sens!K16511+Sens!K16532+Sens!K16462+Sens!K16592*(Sens!K16481-Sens!K16444)+sbc_r*Sens!K16481</f>
        <v>555.685627918098</v>
      </c>
    </row>
    <row r="16600" customFormat="false" ht="17.15" hidden="false" customHeight="false" outlineLevel="0" collapsed="false">
      <c r="A16600" s="0" t="s">
        <v>1239</v>
      </c>
      <c r="B16600" s="0" t="s">
        <v>98</v>
      </c>
      <c r="F16600" s="6" t="n">
        <f aca="false">Sens!F16599-Sens!F16593-Sens!F16594-Sens!F16595-Sens!F16596-Sens!F16598</f>
        <v>65.4509489185601</v>
      </c>
      <c r="G16600" s="6" t="n">
        <f aca="false">Sens!G16599-Sens!G16593-Sens!G16594-Sens!G16595-Sens!G16596-Sens!G16598</f>
        <v>74.1791744560715</v>
      </c>
      <c r="H16600" s="6" t="n">
        <f aca="false">Sens!H16599-Sens!H16593-Sens!H16594-Sens!H16595-Sens!H16596-Sens!H16598</f>
        <v>87.3898361986085</v>
      </c>
      <c r="I16600" s="6" t="n">
        <f aca="false">Sens!I16599-Sens!I16593-Sens!I16594-Sens!I16595-Sens!I16596-Sens!I16598</f>
        <v>100.042471156846</v>
      </c>
      <c r="J16600" s="6" t="n">
        <f aca="false">Sens!J16599-Sens!J16593-Sens!J16594-Sens!J16595-Sens!J16596-Sens!J16598</f>
        <v>111.475200729312</v>
      </c>
      <c r="K16600" s="6" t="n">
        <f aca="false">Sens!K16599-Sens!K16593-Sens!K16594-Sens!K16595-Sens!K16596-Sens!K16598</f>
        <v>120.962281233195</v>
      </c>
    </row>
    <row r="16601" customFormat="false" ht="17.15" hidden="false" customHeight="false" outlineLevel="0" collapsed="false">
      <c r="A16601" s="0" t="s">
        <v>1240</v>
      </c>
      <c r="B16601" s="0" t="s">
        <v>98</v>
      </c>
      <c r="F16601" s="6" t="n">
        <f aca="false">Sens!F16513+Sens!F16592*Sens!F16488+sbc_r*Sens!F16488</f>
        <v>26.6293388420472</v>
      </c>
      <c r="G16601" s="6" t="n">
        <f aca="false">Sens!G16513+Sens!G16592*Sens!G16488+sbc_r*Sens!G16488</f>
        <v>26.4405000412783</v>
      </c>
      <c r="H16601" s="6" t="n">
        <f aca="false">Sens!H16513+Sens!H16592*Sens!H16488+sbc_r*Sens!H16488</f>
        <v>27.296860059552</v>
      </c>
      <c r="I16601" s="6" t="n">
        <f aca="false">Sens!I16513+Sens!I16592*Sens!I16488+sbc_r*Sens!I16488</f>
        <v>28.3995465815703</v>
      </c>
      <c r="J16601" s="6" t="n">
        <f aca="false">Sens!J16513+Sens!J16592*Sens!J16488+sbc_r*Sens!J16488</f>
        <v>29.7093380975903</v>
      </c>
      <c r="K16601" s="6" t="n">
        <f aca="false">Sens!K16513+Sens!K16592*Sens!K16488+sbc_r*Sens!K16488</f>
        <v>31.1817775287323</v>
      </c>
    </row>
    <row r="16602" customFormat="false" ht="17.15" hidden="false" customHeight="false" outlineLevel="0" collapsed="false">
      <c r="A16602" s="0" t="s">
        <v>1241</v>
      </c>
      <c r="B16602" s="0" t="s">
        <v>98</v>
      </c>
      <c r="F16602" s="6" t="n">
        <f aca="false">(Sens!F16601-Sens!F16597)*Sens!F16484/(Sens!F16484+Sens!F16486)</f>
        <v>8.72146908842971</v>
      </c>
      <c r="G16602" s="6" t="n">
        <f aca="false">(Sens!G16601-Sens!G16597)*Sens!G16484/(Sens!G16484+Sens!G16486)</f>
        <v>7.87837655379173</v>
      </c>
      <c r="H16602" s="6" t="n">
        <f aca="false">(Sens!H16601-Sens!H16597)*Sens!H16484/(Sens!H16484+Sens!H16486)</f>
        <v>7.63786170689933</v>
      </c>
      <c r="I16602" s="6" t="n">
        <f aca="false">(Sens!I16601-Sens!I16597)*Sens!I16484/(Sens!I16484+Sens!I16486)</f>
        <v>7.5470606300581</v>
      </c>
      <c r="J16602" s="6" t="n">
        <f aca="false">(Sens!J16601-Sens!J16597)*Sens!J16484/(Sens!J16484+Sens!J16486)</f>
        <v>7.59249600034024</v>
      </c>
      <c r="K16602" s="6" t="n">
        <f aca="false">(Sens!K16601-Sens!K16597)*Sens!K16484/(Sens!K16484+Sens!K16486)</f>
        <v>7.76610179704742</v>
      </c>
    </row>
    <row r="16603" customFormat="false" ht="17.15" hidden="false" customHeight="false" outlineLevel="0" collapsed="false">
      <c r="A16603" s="0" t="s">
        <v>1242</v>
      </c>
      <c r="B16603" s="0" t="s">
        <v>98</v>
      </c>
      <c r="F16603" s="6" t="n">
        <f aca="false">Sens!F16601-Sens!F16597-Sens!F16602</f>
        <v>6.72062140904636</v>
      </c>
      <c r="G16603" s="6" t="n">
        <f aca="false">Sens!G16601-Sens!G16597-Sens!G16602</f>
        <v>6.31487743919059</v>
      </c>
      <c r="H16603" s="6" t="n">
        <f aca="false">Sens!H16601-Sens!H16597-Sens!H16602</f>
        <v>6.30371125803333</v>
      </c>
      <c r="I16603" s="6" t="n">
        <f aca="false">Sens!I16601-Sens!I16597-Sens!I16602</f>
        <v>6.35007141935025</v>
      </c>
      <c r="J16603" s="6" t="n">
        <f aca="false">Sens!J16601-Sens!J16597-Sens!J16602</f>
        <v>6.44956543659808</v>
      </c>
      <c r="K16603" s="6" t="n">
        <f aca="false">Sens!K16601-Sens!K16597-Sens!K16602</f>
        <v>6.597037617813</v>
      </c>
    </row>
    <row r="16604" customFormat="false" ht="17.15" hidden="false" customHeight="false" outlineLevel="0" collapsed="false">
      <c r="A16604" s="0" t="s">
        <v>1243</v>
      </c>
      <c r="B16604" s="0" t="s">
        <v>98</v>
      </c>
      <c r="F16604" s="6" t="n">
        <f aca="false">Sens!F16598-tax_f*(Sens!F16598-Sens!F16462)-Sens!F16459</f>
        <v>-129.241492572993</v>
      </c>
      <c r="G16604" s="6" t="n">
        <f aca="false">Sens!G16598-tax_f*(Sens!G16598-Sens!G16462)-Sens!G16459</f>
        <v>-111.072951556214</v>
      </c>
      <c r="H16604" s="6" t="n">
        <f aca="false">Sens!H16598-tax_f*(Sens!H16598-Sens!H16462)-Sens!H16459</f>
        <v>-67.5338087045827</v>
      </c>
      <c r="I16604" s="6" t="n">
        <f aca="false">Sens!I16598-tax_f*(Sens!I16598-Sens!I16462)-Sens!I16459</f>
        <v>-0.372772268743233</v>
      </c>
      <c r="J16604" s="6" t="n">
        <f aca="false">Sens!J16598-tax_f*(Sens!J16598-Sens!J16462)-Sens!J16459</f>
        <v>66.7076600000761</v>
      </c>
      <c r="K16604" s="6" t="n">
        <f aca="false">Sens!K16598-tax_f*(Sens!K16598-Sens!K16462)-Sens!K16459</f>
        <v>93.1375121100744</v>
      </c>
    </row>
    <row r="16605" customFormat="false" ht="17.15" hidden="false" customHeight="false" outlineLevel="0" collapsed="false">
      <c r="A16605" s="0" t="s">
        <v>1244</v>
      </c>
      <c r="B16605" s="0" t="s">
        <v>98</v>
      </c>
      <c r="G16605" s="6" t="n">
        <f aca="false">Sens!G16604/(1+wacc)^(Sens!G16575-Sens!F16576)</f>
        <v>-105.76282437505</v>
      </c>
      <c r="H16605" s="6" t="n">
        <f aca="false">Sens!H16604/(1+wacc)^(Sens!H16575-Sens!F16576)</f>
        <v>-58.3036072849239</v>
      </c>
      <c r="I16605" s="6" t="n">
        <f aca="false">Sens!I16604/(1+wacc)^(Sens!I16575-Sens!F16576)</f>
        <v>-0.291787870276486</v>
      </c>
      <c r="J16605" s="6" t="n">
        <f aca="false">Sens!J16604/(1+wacc)^(Sens!J16575-Sens!F16576)</f>
        <v>47.3422395659047</v>
      </c>
      <c r="K16605" s="6" t="n">
        <f aca="false">Sens!K16604/(1+wacc)^(Sens!K16575-Sens!F16576)</f>
        <v>59.9304005011405</v>
      </c>
      <c r="L16605" s="1" t="s">
        <v>1245</v>
      </c>
    </row>
    <row r="16606" customFormat="false" ht="17.15" hidden="false" customHeight="false" outlineLevel="0" collapsed="false">
      <c r="A16606" s="0" t="s">
        <v>1246</v>
      </c>
      <c r="B16606" s="0" t="s">
        <v>98</v>
      </c>
      <c r="C16606" s="6" t="n">
        <f aca="false">(Sens!K16598-Sens!K16462)*(1-tax_f)*(1+g_tv)*(1-g_tv/(wacc+ronic_prem))/(wacc-g_tv)/(1+wacc)^(Sens!K16576-Sens!F16576)</f>
        <v>423.560473769446</v>
      </c>
    </row>
    <row r="16607" customFormat="false" ht="17.15" hidden="false" customHeight="false" outlineLevel="0" collapsed="false">
      <c r="A16607" s="1" t="s">
        <v>1247</v>
      </c>
      <c r="B16607" s="0" t="s">
        <v>98</v>
      </c>
      <c r="C16607" s="6" t="n">
        <f aca="false">(SUM(Sens!G16605:K16605)+Sens!$C$16606)*(1+wacc)^(t_roll-Sens!F16576)</f>
        <v>378.573338869632</v>
      </c>
      <c r="L16607" s="12" t="s">
        <v>1248</v>
      </c>
    </row>
    <row r="16608" customFormat="false" ht="17.15" hidden="false" customHeight="false" outlineLevel="0" collapsed="false">
      <c r="A16608" s="1" t="s">
        <v>1249</v>
      </c>
      <c r="B16608" s="0" t="s">
        <v>98</v>
      </c>
      <c r="C16608" s="6" t="n">
        <f aca="false">(w_ntm28*Sens!G16450+(1-w_ntm28)*Sens!H16450)*m_ai</f>
        <v>563.316843258668</v>
      </c>
    </row>
    <row r="16609" customFormat="false" ht="17.15" hidden="false" customHeight="false" outlineLevel="0" collapsed="false">
      <c r="A16609" s="1" t="s">
        <v>1250</v>
      </c>
      <c r="B16609" s="0" t="s">
        <v>98</v>
      </c>
      <c r="C16609" s="6" t="n">
        <f aca="false">(w_ntm28*Sens!G16600+(1-w_ntm28)*Sens!H16600)*m_cloud</f>
        <v>1085.17964696599</v>
      </c>
    </row>
    <row r="16610" customFormat="false" ht="17.15" hidden="false" customHeight="false" outlineLevel="0" collapsed="false">
      <c r="A16610" s="1" t="s">
        <v>1251</v>
      </c>
      <c r="B16610" s="0" t="s">
        <v>98</v>
      </c>
      <c r="C16610" s="6" t="n">
        <f aca="false">(w_ntm28*Sens!G16593+(1-w_ntm28)*Sens!H16593)*m_sw</f>
        <v>1120.47763155275</v>
      </c>
    </row>
    <row r="16611" customFormat="false" ht="17.15" hidden="false" customHeight="false" outlineLevel="0" collapsed="false">
      <c r="A16611" s="1" t="s">
        <v>1252</v>
      </c>
      <c r="B16611" s="0" t="s">
        <v>98</v>
      </c>
      <c r="C16611" s="6" t="n">
        <f aca="false">(w_ntm28*Sens!G16594+(1-w_ntm28)*Sens!H16594)*m_sw</f>
        <v>372.68398809041</v>
      </c>
    </row>
    <row r="16612" customFormat="false" ht="17.15" hidden="false" customHeight="false" outlineLevel="0" collapsed="false">
      <c r="A16612" s="1" t="s">
        <v>1253</v>
      </c>
      <c r="B16612" s="0" t="s">
        <v>98</v>
      </c>
      <c r="C16612" s="6" t="n">
        <f aca="false">(w_ntm28*Sens!G16595+(1-w_ntm28)*Sens!H16595)*m_sw</f>
        <v>108.992632332144</v>
      </c>
    </row>
    <row r="16613" customFormat="false" ht="17.15" hidden="false" customHeight="false" outlineLevel="0" collapsed="false">
      <c r="A16613" s="1" t="s">
        <v>1254</v>
      </c>
      <c r="B16613" s="0" t="s">
        <v>98</v>
      </c>
      <c r="C16613" s="6" t="n">
        <f aca="false">(w_ntm28*Sens!G16596+(1-w_ntm28)*Sens!H16596)*m_sw</f>
        <v>41.4362652527414</v>
      </c>
    </row>
    <row r="16614" customFormat="false" ht="17.15" hidden="false" customHeight="false" outlineLevel="0" collapsed="false">
      <c r="A16614" s="1" t="s">
        <v>1255</v>
      </c>
      <c r="B16614" s="0" t="s">
        <v>98</v>
      </c>
      <c r="C16614" s="6" t="n">
        <f aca="false">(w_ntm28*Sens!G16597+(1-w_ntm28)*Sens!H16597)*m_ads</f>
        <v>114.891070326937</v>
      </c>
    </row>
    <row r="16615" customFormat="false" ht="17.15" hidden="false" customHeight="false" outlineLevel="0" collapsed="false">
      <c r="A16615" s="1" t="s">
        <v>1256</v>
      </c>
      <c r="B16615" s="0" t="s">
        <v>98</v>
      </c>
      <c r="C16615" s="6" t="n">
        <f aca="false">(w_ntm28*Sens!G16602+(1-w_ntm28)*Sens!H16602)*m_game</f>
        <v>98.505199156718</v>
      </c>
    </row>
    <row r="16616" customFormat="false" ht="17.15" hidden="false" customHeight="false" outlineLevel="0" collapsed="false">
      <c r="A16616" s="1" t="s">
        <v>1257</v>
      </c>
      <c r="B16616" s="0" t="s">
        <v>98</v>
      </c>
      <c r="C16616" s="6" t="n">
        <f aca="false">(w_ntm28*Sens!G16603+(1-w_ntm28)*Sens!H16603)*m_pc</f>
        <v>91.3231561150564</v>
      </c>
    </row>
    <row r="16617" customFormat="false" ht="17.15" hidden="false" customHeight="false" outlineLevel="0" collapsed="false">
      <c r="A16617" s="1" t="s">
        <v>1258</v>
      </c>
      <c r="B16617" s="0" t="s">
        <v>98</v>
      </c>
      <c r="C16617" s="6" t="n">
        <f aca="false">Sens!$C$16607+Sens!$C$16609+Sens!$C$16610+Sens!$C$16611+Sens!$C$16612+Sens!$C$16613+Sens!$C$16614+Sens!$C$16615+Sens!$C$16616</f>
        <v>3412.06292866238</v>
      </c>
    </row>
    <row r="16618" customFormat="false" ht="17.15" hidden="false" customHeight="false" outlineLevel="0" collapsed="false">
      <c r="A16618" s="1" t="s">
        <v>1259</v>
      </c>
      <c r="B16618" s="0" t="s">
        <v>98</v>
      </c>
      <c r="C16618" s="6" t="n">
        <f aca="false">(Sens!G16579-Sens!G16604)*t_stub</f>
        <v>48.2832931160316</v>
      </c>
      <c r="L16618" s="1" t="s">
        <v>1260</v>
      </c>
    </row>
    <row r="16619" customFormat="false" ht="17.15" hidden="false" customHeight="false" outlineLevel="0" collapsed="false">
      <c r="A16619" s="1" t="s">
        <v>1169</v>
      </c>
      <c r="B16619" s="0" t="s">
        <v>98</v>
      </c>
      <c r="C16619" s="6" t="n">
        <f aca="false">Sens!F16566+oai_v-Sens!F16555+Sens!$C$16618</f>
        <v>162.511563116032</v>
      </c>
      <c r="L16619" s="1" t="s">
        <v>1261</v>
      </c>
    </row>
    <row r="16620" customFormat="false" ht="17.15" hidden="false" customHeight="false" outlineLevel="0" collapsed="false">
      <c r="A16620" s="1" t="s">
        <v>1262</v>
      </c>
      <c r="B16620" s="0" t="s">
        <v>75</v>
      </c>
      <c r="C16620" s="5" t="n">
        <f aca="false">(Sens!$C$16617+Sens!$C$16619)/(Sens!F16568+dil_gap)-Sens!G16558*roll_div_q/q_per_yr</f>
        <v>476.18985205208</v>
      </c>
      <c r="L16620" s="1" t="s">
        <v>1263</v>
      </c>
    </row>
    <row r="16621" customFormat="false" ht="17.15" hidden="false" customHeight="false" outlineLevel="0" collapsed="false">
      <c r="A16621" s="1" t="s">
        <v>1264</v>
      </c>
      <c r="B16621" s="0" t="s">
        <v>75</v>
      </c>
      <c r="C16621" s="5" t="n">
        <f aca="false">w_dcf*Sens!$C$16591+(1-w_dcf)*Sens!$C$16620</f>
        <v>416.914697283188</v>
      </c>
    </row>
    <row r="16622" customFormat="false" ht="17.15" hidden="false" customHeight="false" outlineLevel="0" collapsed="false">
      <c r="A16622" s="3" t="s">
        <v>1889</v>
      </c>
    </row>
    <row r="16623" customFormat="false" ht="15" hidden="false" customHeight="false" outlineLevel="0" collapsed="false">
      <c r="A16623" s="4" t="s">
        <v>43</v>
      </c>
      <c r="B16623" s="4" t="s">
        <v>65</v>
      </c>
      <c r="C16623" s="23" t="s">
        <v>938</v>
      </c>
      <c r="D16623" s="23" t="s">
        <v>939</v>
      </c>
      <c r="E16623" s="23" t="s">
        <v>940</v>
      </c>
      <c r="F16623" s="23" t="s">
        <v>941</v>
      </c>
      <c r="G16623" s="23" t="s">
        <v>942</v>
      </c>
      <c r="H16623" s="23" t="s">
        <v>943</v>
      </c>
      <c r="I16623" s="23" t="s">
        <v>944</v>
      </c>
      <c r="J16623" s="23" t="s">
        <v>945</v>
      </c>
      <c r="K16623" s="23" t="s">
        <v>946</v>
      </c>
      <c r="L16623" s="4" t="s">
        <v>47</v>
      </c>
    </row>
    <row r="16624" customFormat="false" ht="17.15" hidden="false" customHeight="false" outlineLevel="0" collapsed="false">
      <c r="A16624" s="1" t="s">
        <v>947</v>
      </c>
      <c r="B16624" s="1" t="s">
        <v>279</v>
      </c>
      <c r="C16624" s="21" t="n">
        <v>2024</v>
      </c>
      <c r="D16624" s="21" t="n">
        <v>2025</v>
      </c>
      <c r="E16624" s="21" t="n">
        <v>2026</v>
      </c>
      <c r="F16624" s="21" t="n">
        <v>2027</v>
      </c>
      <c r="G16624" s="21" t="n">
        <v>2028</v>
      </c>
      <c r="H16624" s="21" t="n">
        <v>2029</v>
      </c>
      <c r="I16624" s="21" t="n">
        <v>2030</v>
      </c>
      <c r="J16624" s="21" t="n">
        <v>2031</v>
      </c>
      <c r="K16624" s="21" t="n">
        <v>2032</v>
      </c>
    </row>
    <row r="16625" customFormat="false" ht="17.15" hidden="false" customHeight="false" outlineLevel="0" collapsed="false">
      <c r="A16625" s="1" t="s">
        <v>948</v>
      </c>
      <c r="B16625" s="0" t="s">
        <v>456</v>
      </c>
      <c r="F16625" s="30" t="n">
        <f aca="false">pace</f>
        <v>2726.5351</v>
      </c>
      <c r="G16625" s="30" t="n">
        <f aca="false">pace</f>
        <v>2726.5351</v>
      </c>
      <c r="H16625" s="30" t="n">
        <f aca="false">pace</f>
        <v>2726.5351</v>
      </c>
      <c r="I16625" s="30" t="n">
        <f aca="false">pace+(g_tv*Sens!H16626-pace)*MIN(1,(Sens!I16624-pace_y0)/(pace_y1-pace_y0))</f>
        <v>1931.98611966667</v>
      </c>
      <c r="J16625" s="30" t="n">
        <f aca="false">pace+(g_tv*Sens!I16626-pace)*MIN(1,(Sens!J16624-pace_y0)/(pace_y1-pace_y0))</f>
        <v>1176.07686172667</v>
      </c>
      <c r="K16625" s="30" t="n">
        <f aca="false">pace+(g_tv*Sens!J16626-pace)*MIN(1,(Sens!K16624-pace_y0)/(pace_y1-pace_y0))</f>
        <v>436.1300484418</v>
      </c>
      <c r="L16625" s="12" t="s">
        <v>949</v>
      </c>
    </row>
    <row r="16626" customFormat="false" ht="17.15" hidden="false" customHeight="false" outlineLevel="0" collapsed="false">
      <c r="A16626" s="1" t="s">
        <v>950</v>
      </c>
      <c r="B16626" s="0" t="s">
        <v>456</v>
      </c>
      <c r="C16626" s="30" t="n">
        <f aca="false">mw_ext_24</f>
        <v>640</v>
      </c>
      <c r="D16626" s="30" t="n">
        <f aca="false">mw_ext_25</f>
        <v>1630</v>
      </c>
      <c r="E16626" s="30" t="n">
        <f aca="false">mw_ext_26</f>
        <v>3250</v>
      </c>
      <c r="F16626" s="30" t="n">
        <f aca="false">Sens!E16626+Sens!F16625</f>
        <v>5976.5351</v>
      </c>
      <c r="G16626" s="30" t="n">
        <f aca="false">Sens!F16626+Sens!G16625</f>
        <v>8703.0702</v>
      </c>
      <c r="H16626" s="30" t="n">
        <f aca="false">Sens!G16626+Sens!H16625</f>
        <v>11429.6053</v>
      </c>
      <c r="I16626" s="30" t="n">
        <f aca="false">Sens!H16626+Sens!I16625</f>
        <v>13361.5914196667</v>
      </c>
      <c r="J16626" s="30" t="n">
        <f aca="false">Sens!I16626+Sens!J16625</f>
        <v>14537.6682813933</v>
      </c>
      <c r="K16626" s="30" t="n">
        <f aca="false">Sens!J16626+Sens!K16625</f>
        <v>14973.7983298351</v>
      </c>
      <c r="L16626" s="1" t="s">
        <v>951</v>
      </c>
    </row>
    <row r="16627" customFormat="false" ht="17.15" hidden="false" customHeight="false" outlineLevel="0" collapsed="false">
      <c r="A16627" s="1" t="s">
        <v>952</v>
      </c>
      <c r="B16627" s="0" t="s">
        <v>456</v>
      </c>
      <c r="C16627" s="30" t="n">
        <f aca="false">rent_ext_24</f>
        <v>150</v>
      </c>
      <c r="D16627" s="30" t="n">
        <f aca="false">rent_ext_25</f>
        <v>400</v>
      </c>
      <c r="E16627" s="30" t="n">
        <f aca="false">rent_ext_26</f>
        <v>550</v>
      </c>
      <c r="F16627" s="30" t="n">
        <f aca="false">rent_ext_f</f>
        <v>756</v>
      </c>
      <c r="G16627" s="30" t="n">
        <f aca="false">rent_ext_f</f>
        <v>756</v>
      </c>
      <c r="H16627" s="30" t="n">
        <f aca="false">rent_ext_f</f>
        <v>756</v>
      </c>
      <c r="I16627" s="30" t="n">
        <f aca="false">rent_ext_f</f>
        <v>756</v>
      </c>
      <c r="J16627" s="30" t="n">
        <f aca="false">rent_ext_f</f>
        <v>756</v>
      </c>
      <c r="K16627" s="30" t="n">
        <f aca="false">rent_ext_f</f>
        <v>756</v>
      </c>
      <c r="L16627" s="1" t="s">
        <v>953</v>
      </c>
    </row>
    <row r="16628" customFormat="false" ht="17.15" hidden="false" customHeight="false" outlineLevel="0" collapsed="false">
      <c r="A16628" s="1" t="s">
        <v>954</v>
      </c>
      <c r="B16628" s="0" t="s">
        <v>456</v>
      </c>
      <c r="C16628" s="30" t="n">
        <f aca="false">Sens!C16626-Sens!C16627</f>
        <v>490</v>
      </c>
      <c r="D16628" s="30" t="n">
        <f aca="false">Sens!D16626-Sens!D16627</f>
        <v>1230</v>
      </c>
      <c r="E16628" s="30" t="n">
        <f aca="false">Sens!E16626-Sens!E16627</f>
        <v>2700</v>
      </c>
      <c r="F16628" s="30" t="n">
        <f aca="false">Sens!F16626-Sens!F16627</f>
        <v>5220.5351</v>
      </c>
      <c r="G16628" s="30" t="n">
        <f aca="false">Sens!G16626-Sens!G16627</f>
        <v>7947.0702</v>
      </c>
      <c r="H16628" s="30" t="n">
        <f aca="false">Sens!H16626-Sens!H16627</f>
        <v>10673.6053</v>
      </c>
      <c r="I16628" s="30" t="n">
        <f aca="false">Sens!I16626-Sens!I16627</f>
        <v>12605.5914196667</v>
      </c>
      <c r="J16628" s="30" t="n">
        <f aca="false">Sens!J16626-Sens!J16627</f>
        <v>13781.6682813933</v>
      </c>
      <c r="K16628" s="30" t="n">
        <f aca="false">Sens!K16626-Sens!K16627</f>
        <v>14217.7983298351</v>
      </c>
    </row>
    <row r="16629" customFormat="false" ht="17.15" hidden="false" customHeight="false" outlineLevel="0" collapsed="false">
      <c r="A16629" s="1" t="s">
        <v>955</v>
      </c>
      <c r="B16629" s="0" t="s">
        <v>456</v>
      </c>
      <c r="C16629" s="30" t="n">
        <f aca="false">Sens!C16628/ext_sh</f>
        <v>816.666666666667</v>
      </c>
      <c r="D16629" s="30" t="n">
        <f aca="false">Sens!D16628/ext_sh</f>
        <v>2050</v>
      </c>
      <c r="E16629" s="30" t="n">
        <f aca="false">Sens!E16628/ext_sh</f>
        <v>4500</v>
      </c>
      <c r="F16629" s="30" t="n">
        <f aca="false">Sens!F16628/ext_sh</f>
        <v>8700.89183333333</v>
      </c>
      <c r="G16629" s="30" t="n">
        <f aca="false">Sens!G16628/ext_sh</f>
        <v>13245.117</v>
      </c>
      <c r="H16629" s="30" t="n">
        <f aca="false">Sens!H16628/ext_sh</f>
        <v>17789.3421666667</v>
      </c>
      <c r="I16629" s="30" t="n">
        <f aca="false">Sens!I16628/ext_sh</f>
        <v>21009.3190327778</v>
      </c>
      <c r="J16629" s="30" t="n">
        <f aca="false">Sens!J16628/ext_sh</f>
        <v>22969.4471356556</v>
      </c>
      <c r="K16629" s="30" t="n">
        <f aca="false">Sens!K16628/ext_sh</f>
        <v>23696.3305497252</v>
      </c>
      <c r="L16629" s="1" t="s">
        <v>956</v>
      </c>
    </row>
    <row r="16630" customFormat="false" ht="17.15" hidden="false" customHeight="false" outlineLevel="0" collapsed="false">
      <c r="A16630" s="1" t="s">
        <v>957</v>
      </c>
      <c r="B16630" s="0" t="s">
        <v>456</v>
      </c>
      <c r="C16630" s="30" t="n">
        <f aca="false">Sens!C16629-Sens!C16628</f>
        <v>326.666666666667</v>
      </c>
      <c r="D16630" s="30" t="n">
        <f aca="false">Sens!D16629-Sens!D16628</f>
        <v>820</v>
      </c>
      <c r="E16630" s="30" t="n">
        <f aca="false">Sens!E16629-Sens!E16628</f>
        <v>1800</v>
      </c>
      <c r="F16630" s="30" t="n">
        <f aca="false">Sens!F16629-Sens!F16628</f>
        <v>3480.35673333333</v>
      </c>
      <c r="G16630" s="30" t="n">
        <f aca="false">Sens!G16629-Sens!G16628</f>
        <v>5298.0468</v>
      </c>
      <c r="H16630" s="30" t="n">
        <f aca="false">Sens!H16629-Sens!H16628</f>
        <v>7115.73686666667</v>
      </c>
      <c r="I16630" s="30" t="n">
        <f aca="false">Sens!I16629-Sens!I16628</f>
        <v>8403.72761311111</v>
      </c>
      <c r="J16630" s="30" t="n">
        <f aca="false">Sens!J16629-Sens!J16628</f>
        <v>9187.77885426222</v>
      </c>
      <c r="K16630" s="30" t="n">
        <f aca="false">Sens!K16629-Sens!K16628</f>
        <v>9478.53221989009</v>
      </c>
    </row>
    <row r="16631" customFormat="false" ht="17.15" hidden="false" customHeight="false" outlineLevel="0" collapsed="false">
      <c r="A16631" s="1" t="s">
        <v>958</v>
      </c>
      <c r="B16631" s="0" t="s">
        <v>456</v>
      </c>
      <c r="C16631" s="30" t="n">
        <f aca="false">Sens!C16629</f>
        <v>816.666666666667</v>
      </c>
      <c r="D16631" s="30" t="n">
        <f aca="false">Sens!D16629-Sens!C16629</f>
        <v>1233.33333333333</v>
      </c>
      <c r="E16631" s="30" t="n">
        <f aca="false">Sens!E16629-Sens!D16629</f>
        <v>2450</v>
      </c>
      <c r="F16631" s="30" t="n">
        <f aca="false">Sens!F16629-Sens!E16629</f>
        <v>4200.89183333333</v>
      </c>
      <c r="G16631" s="30" t="n">
        <f aca="false">Sens!G16629-Sens!F16629</f>
        <v>4544.22516666667</v>
      </c>
      <c r="H16631" s="30" t="n">
        <f aca="false">Sens!H16629-Sens!G16629</f>
        <v>4544.22516666667</v>
      </c>
      <c r="I16631" s="30" t="n">
        <f aca="false">Sens!I16629-Sens!H16629</f>
        <v>3219.97686611111</v>
      </c>
      <c r="J16631" s="30" t="n">
        <f aca="false">Sens!J16629-Sens!I16629</f>
        <v>1960.12810287778</v>
      </c>
      <c r="K16631" s="30" t="n">
        <f aca="false">Sens!K16629-Sens!J16629</f>
        <v>726.883414069667</v>
      </c>
    </row>
    <row r="16632" customFormat="false" ht="17.15" hidden="false" customHeight="false" outlineLevel="0" collapsed="false">
      <c r="A16632" s="1" t="s">
        <v>959</v>
      </c>
      <c r="B16632" s="0" t="s">
        <v>456</v>
      </c>
      <c r="D16632" s="30" t="n">
        <f aca="false">Sens!D16626-Sens!C16626</f>
        <v>990</v>
      </c>
      <c r="E16632" s="30" t="n">
        <f aca="false">Sens!E16626-Sens!D16626</f>
        <v>1620</v>
      </c>
      <c r="F16632" s="30" t="n">
        <f aca="false">Sens!F16626-Sens!E16626</f>
        <v>2726.5351</v>
      </c>
      <c r="G16632" s="30" t="n">
        <f aca="false">Sens!G16626-Sens!F16626</f>
        <v>2726.5351</v>
      </c>
      <c r="H16632" s="30" t="n">
        <f aca="false">Sens!H16626-Sens!G16626</f>
        <v>2726.5351</v>
      </c>
      <c r="I16632" s="30" t="n">
        <f aca="false">Sens!I16626-Sens!H16626</f>
        <v>1931.98611966667</v>
      </c>
      <c r="J16632" s="30" t="n">
        <f aca="false">Sens!J16626-Sens!I16626</f>
        <v>1176.07686172667</v>
      </c>
      <c r="K16632" s="30" t="n">
        <f aca="false">Sens!K16626-Sens!J16626</f>
        <v>436.130048441799</v>
      </c>
    </row>
    <row r="16633" customFormat="false" ht="17.15" hidden="false" customHeight="false" outlineLevel="0" collapsed="false">
      <c r="A16633" s="1" t="s">
        <v>960</v>
      </c>
      <c r="B16633" s="0" t="s">
        <v>456</v>
      </c>
      <c r="F16633" s="30" t="n">
        <f aca="false">Sens!F16652*ext_sh</f>
        <v>0</v>
      </c>
      <c r="G16633" s="30" t="n">
        <f aca="false">Sens!G16652*ext_sh</f>
        <v>0</v>
      </c>
      <c r="H16633" s="30" t="n">
        <f aca="false">Sens!H16652*ext_sh</f>
        <v>0</v>
      </c>
      <c r="I16633" s="30" t="n">
        <f aca="false">Sens!I16652*ext_sh</f>
        <v>490</v>
      </c>
      <c r="J16633" s="30" t="n">
        <f aca="false">Sens!J16652*ext_sh</f>
        <v>740</v>
      </c>
      <c r="K16633" s="30" t="n">
        <f aca="false">Sens!K16652*ext_sh</f>
        <v>1470</v>
      </c>
      <c r="L16633" s="1" t="s">
        <v>961</v>
      </c>
    </row>
    <row r="16634" customFormat="false" ht="17.15" hidden="false" customHeight="false" outlineLevel="0" collapsed="false">
      <c r="A16634" s="1" t="s">
        <v>962</v>
      </c>
      <c r="B16634" s="0" t="s">
        <v>456</v>
      </c>
      <c r="C16634" s="30" t="n">
        <f aca="false">mix_h*Sens!C16626</f>
        <v>128</v>
      </c>
      <c r="D16634" s="30" t="n">
        <f aca="false">mix_h*Sens!D16626</f>
        <v>326</v>
      </c>
      <c r="E16634" s="30" t="n">
        <f aca="false">mix_h*Sens!E16626</f>
        <v>650</v>
      </c>
      <c r="F16634" s="30" t="n">
        <f aca="false">Sens!E16634-Sens!F16633*mix_h</f>
        <v>650</v>
      </c>
      <c r="G16634" s="30" t="n">
        <f aca="false">Sens!F16634-Sens!G16633*mix_h</f>
        <v>650</v>
      </c>
      <c r="H16634" s="30" t="n">
        <f aca="false">Sens!G16634-Sens!H16633*mix_h</f>
        <v>650</v>
      </c>
      <c r="I16634" s="30" t="n">
        <f aca="false">Sens!H16634-Sens!I16633*mix_h</f>
        <v>552</v>
      </c>
      <c r="J16634" s="30" t="n">
        <f aca="false">Sens!I16634-Sens!J16633*mix_h</f>
        <v>404</v>
      </c>
      <c r="K16634" s="30" t="n">
        <f aca="false">Sens!J16634-Sens!K16633*mix_h</f>
        <v>110</v>
      </c>
    </row>
    <row r="16635" customFormat="false" ht="17.15" hidden="false" customHeight="false" outlineLevel="0" collapsed="false">
      <c r="A16635" s="1" t="s">
        <v>963</v>
      </c>
      <c r="B16635" s="0" t="s">
        <v>456</v>
      </c>
      <c r="C16635" s="30" t="n">
        <f aca="false">mix_g2*Sens!C16626</f>
        <v>288</v>
      </c>
      <c r="D16635" s="30" t="n">
        <f aca="false">mix_g2*Sens!D16626</f>
        <v>733.5</v>
      </c>
      <c r="E16635" s="30" t="n">
        <f aca="false">mix_g2*Sens!E16626</f>
        <v>1462.5</v>
      </c>
      <c r="F16635" s="30" t="n">
        <f aca="false">Sens!E16635-Sens!F16633*mix_g2</f>
        <v>1462.5</v>
      </c>
      <c r="G16635" s="30" t="n">
        <f aca="false">Sens!F16635-Sens!G16633*mix_g2</f>
        <v>1462.5</v>
      </c>
      <c r="H16635" s="30" t="n">
        <f aca="false">Sens!G16635-Sens!H16633*mix_g2</f>
        <v>1462.5</v>
      </c>
      <c r="I16635" s="30" t="n">
        <f aca="false">Sens!H16635-Sens!I16633*mix_g2</f>
        <v>1242</v>
      </c>
      <c r="J16635" s="30" t="n">
        <f aca="false">Sens!I16635-Sens!J16633*mix_g2</f>
        <v>909</v>
      </c>
      <c r="K16635" s="30" t="n">
        <f aca="false">Sens!J16635-Sens!K16633*mix_g2</f>
        <v>247.5</v>
      </c>
    </row>
    <row r="16636" customFormat="false" ht="17.15" hidden="false" customHeight="false" outlineLevel="0" collapsed="false">
      <c r="A16636" s="1" t="s">
        <v>964</v>
      </c>
      <c r="B16636" s="0" t="s">
        <v>456</v>
      </c>
      <c r="C16636" s="30" t="n">
        <f aca="false">mix_g3*Sens!C16626</f>
        <v>224</v>
      </c>
      <c r="D16636" s="30" t="n">
        <f aca="false">mix_g3*Sens!D16626</f>
        <v>570.5</v>
      </c>
      <c r="E16636" s="30" t="n">
        <f aca="false">mix_g3*Sens!E16626</f>
        <v>1137.5</v>
      </c>
      <c r="F16636" s="30" t="n">
        <f aca="false">Sens!E16636+(Sens!F16632+Sens!F16633)*(a_g3_27-nonnv*a_mai)-Sens!F16633*mix_g3</f>
        <v>2773.42106</v>
      </c>
      <c r="G16636" s="30" t="n">
        <f aca="false">Sens!F16636+(Sens!G16632+Sens!G16633)*(a_g3_28-nonnv*a_mai)-Sens!G16633*mix_g3</f>
        <v>3318.72808</v>
      </c>
      <c r="H16636" s="30" t="n">
        <f aca="false">Sens!G16636+(Sens!H16632+Sens!H16633)*(a_g3_29-nonnv*a_mai)-Sens!H16633*mix_g3</f>
        <v>3318.72808</v>
      </c>
      <c r="I16636" s="30" t="n">
        <f aca="false">Sens!H16636+(Sens!I16632+Sens!I16633)*(a_g3_29-nonnv*a_mai)-Sens!I16633*mix_g3</f>
        <v>3147.22808</v>
      </c>
      <c r="J16636" s="30" t="n">
        <f aca="false">Sens!I16636+(Sens!J16632+Sens!J16633)*(a_g3_29-nonnv*a_mai)-Sens!J16633*mix_g3</f>
        <v>2888.22808</v>
      </c>
      <c r="K16636" s="30" t="n">
        <f aca="false">Sens!J16636+(Sens!K16632+Sens!K16633)*(a_g3_29-nonnv*a_mai)-Sens!K16633*mix_g3</f>
        <v>2373.72808</v>
      </c>
    </row>
    <row r="16637" customFormat="false" ht="17.15" hidden="false" customHeight="false" outlineLevel="0" collapsed="false">
      <c r="A16637" s="1" t="s">
        <v>965</v>
      </c>
      <c r="B16637" s="0" t="s">
        <v>456</v>
      </c>
      <c r="C16637" s="30" t="n">
        <v>0</v>
      </c>
      <c r="D16637" s="30" t="n">
        <v>0</v>
      </c>
      <c r="E16637" s="30" t="n">
        <v>0</v>
      </c>
      <c r="F16637" s="30" t="n">
        <f aca="false">Sens!E16637+(Sens!F16632+Sens!F16633)*nonnv*a_mai</f>
        <v>272.65351</v>
      </c>
      <c r="G16637" s="30" t="n">
        <f aca="false">Sens!F16637+(Sens!G16632+Sens!G16633)*nonnv*a_mai</f>
        <v>545.30702</v>
      </c>
      <c r="H16637" s="30" t="n">
        <f aca="false">Sens!G16637+(Sens!H16632+Sens!H16633)*nonnv*a_mai</f>
        <v>817.96053</v>
      </c>
      <c r="I16637" s="30" t="n">
        <f aca="false">Sens!H16637+(Sens!I16632+Sens!I16633)*nonnv*a_mai</f>
        <v>1060.15914196667</v>
      </c>
      <c r="J16637" s="30" t="n">
        <f aca="false">Sens!I16637+(Sens!J16632+Sens!J16633)*nonnv*a_mai</f>
        <v>1251.76682813933</v>
      </c>
      <c r="K16637" s="30" t="n">
        <f aca="false">Sens!J16637+(Sens!K16632+Sens!K16633)*nonnv*a_mai</f>
        <v>1442.37983298351</v>
      </c>
      <c r="L16637" s="12" t="s">
        <v>966</v>
      </c>
    </row>
    <row r="16638" customFormat="false" ht="17.15" hidden="false" customHeight="false" outlineLevel="0" collapsed="false">
      <c r="A16638" s="1" t="s">
        <v>967</v>
      </c>
      <c r="B16638" s="0" t="s">
        <v>456</v>
      </c>
      <c r="C16638" s="30" t="n">
        <v>0</v>
      </c>
      <c r="D16638" s="30" t="n">
        <v>0</v>
      </c>
      <c r="E16638" s="30" t="n">
        <v>0</v>
      </c>
      <c r="F16638" s="30" t="n">
        <f aca="false">Sens!E16638+(Sens!F16632+Sens!F16633)*(1-a_g3_27)</f>
        <v>817.96053</v>
      </c>
      <c r="G16638" s="30" t="n">
        <f aca="false">Sens!F16638+(Sens!G16632+Sens!G16633)*(1-a_g3_28)</f>
        <v>2726.5351</v>
      </c>
      <c r="H16638" s="30" t="n">
        <f aca="false">Sens!G16638+(Sens!H16632+Sens!H16633)*(1-a_g3_29)</f>
        <v>5180.41669</v>
      </c>
      <c r="I16638" s="30" t="n">
        <f aca="false">Sens!H16638+(Sens!I16632+Sens!I16633)*(1-a_g3_29)</f>
        <v>7360.2041977</v>
      </c>
      <c r="J16638" s="30" t="n">
        <f aca="false">Sens!I16638+(Sens!J16632+Sens!J16633)*(1-a_g3_29)</f>
        <v>9084.673373254</v>
      </c>
      <c r="K16638" s="30" t="n">
        <f aca="false">Sens!J16638+(Sens!K16632+Sens!K16633)*(1-a_g3_29)</f>
        <v>10800.1904168516</v>
      </c>
    </row>
    <row r="16639" customFormat="false" ht="17.15" hidden="false" customHeight="false" outlineLevel="0" collapsed="false">
      <c r="A16639" s="1" t="s">
        <v>968</v>
      </c>
      <c r="B16639" s="0" t="s">
        <v>403</v>
      </c>
      <c r="C16639" s="15" t="n">
        <f aca="false">(Sens!C16634*tk_hold_h100+Sens!C16635*tk_hold_gb200+Sens!C16636*tk_hold_gb300+Sens!C16638*tk_hold_vr200+Sens!C16637*nv_hold_mai*tk_hold_vr200)/Sens!C16626</f>
        <v>9.7235358126469</v>
      </c>
      <c r="D16639" s="15" t="n">
        <f aca="false">(Sens!D16634*tk_hold_h100+Sens!D16635*tk_hold_gb200+Sens!D16636*tk_hold_gb300+Sens!D16638*tk_hold_vr200+Sens!D16637*nv_hold_mai*tk_hold_vr200)/Sens!D16626</f>
        <v>9.7235358126469</v>
      </c>
      <c r="E16639" s="15" t="n">
        <f aca="false">(Sens!E16634*tk_hold_h100+Sens!E16635*tk_hold_gb200+Sens!E16636*tk_hold_gb300+Sens!E16638*tk_hold_vr200+Sens!E16637*nv_hold_mai*tk_hold_vr200)/Sens!E16626</f>
        <v>9.7235358126469</v>
      </c>
      <c r="F16639" s="15" t="n">
        <f aca="false">(Sens!F16634*tk_hold_h100+Sens!F16635*tk_hold_gb200+Sens!F16636*tk_hold_gb300+Sens!F16638*tk_hold_vr200+Sens!F16637*nv_hold_mai*tk_hold_vr200)/Sens!F16626</f>
        <v>10.2195353876665</v>
      </c>
      <c r="G16639" s="15" t="n">
        <f aca="false">(Sens!G16634*tk_hold_h100+Sens!G16635*tk_hold_gb200+Sens!G16636*tk_hold_gb300+Sens!G16638*tk_hold_vr200+Sens!G16637*nv_hold_mai*tk_hold_vr200)/Sens!G16626</f>
        <v>10.5725598017306</v>
      </c>
      <c r="H16639" s="15" t="n">
        <f aca="false">(Sens!H16634*tk_hold_h100+Sens!H16635*tk_hold_gb200+Sens!H16636*tk_hold_gb300+Sens!H16638*tk_hold_vr200+Sens!H16637*nv_hold_mai*tk_hold_vr200)/Sens!H16626</f>
        <v>10.8210427149036</v>
      </c>
      <c r="I16639" s="15" t="n">
        <f aca="false">(Sens!I16634*tk_hold_h100+Sens!I16635*tk_hold_gb200+Sens!I16636*tk_hold_gb300+Sens!I16638*tk_hold_vr200+Sens!I16637*nv_hold_mai*tk_hold_vr200)/Sens!I16626</f>
        <v>11.0050618241982</v>
      </c>
      <c r="J16639" s="15" t="n">
        <f aca="false">(Sens!J16634*tk_hold_h100+Sens!J16635*tk_hold_gb200+Sens!J16636*tk_hold_gb300+Sens!J16638*tk_hold_vr200+Sens!J16637*nv_hold_mai*tk_hold_vr200)/Sens!J16626</f>
        <v>11.1505789658881</v>
      </c>
      <c r="K16639" s="15" t="n">
        <f aca="false">(Sens!K16634*tk_hold_h100+Sens!K16635*tk_hold_gb200+Sens!K16636*tk_hold_gb300+Sens!K16638*tk_hold_vr200+Sens!K16637*nv_hold_mai*tk_hold_vr200)/Sens!K16626</f>
        <v>11.3496914757183</v>
      </c>
      <c r="L16639" s="1" t="s">
        <v>969</v>
      </c>
    </row>
    <row r="16640" customFormat="false" ht="17.15" hidden="false" customHeight="false" outlineLevel="0" collapsed="false">
      <c r="A16640" s="1" t="s">
        <v>970</v>
      </c>
      <c r="B16640" s="0" t="s">
        <v>403</v>
      </c>
      <c r="C16640" s="15" t="n">
        <f aca="false">(Sens!C16634*tk_hold_h100+Sens!C16635*tk_hold_gb200+Sens!C16636*tk_hold_gb300+Sens!C16638*tk_hold_vr200+Sens!C16637*nv_out_mai*tk_hold_vr200)/Sens!C16626</f>
        <v>9.7235358126469</v>
      </c>
      <c r="D16640" s="15" t="n">
        <f aca="false">(Sens!D16634*tk_hold_h100+Sens!D16635*tk_hold_gb200+Sens!D16636*tk_hold_gb300+Sens!D16638*tk_hold_vr200+Sens!D16637*nv_out_mai*tk_hold_vr200)/Sens!D16626</f>
        <v>9.7235358126469</v>
      </c>
      <c r="E16640" s="15" t="n">
        <f aca="false">(Sens!E16634*tk_hold_h100+Sens!E16635*tk_hold_gb200+Sens!E16636*tk_hold_gb300+Sens!E16638*tk_hold_vr200+Sens!E16637*nv_out_mai*tk_hold_vr200)/Sens!E16626</f>
        <v>9.7235358126469</v>
      </c>
      <c r="F16640" s="15" t="n">
        <f aca="false">(Sens!F16634*tk_hold_h100+Sens!F16635*tk_hold_gb200+Sens!F16636*tk_hold_gb300+Sens!F16638*tk_hold_vr200+Sens!F16637*nv_out_mai*tk_hold_vr200)/Sens!F16626</f>
        <v>10.247422093969</v>
      </c>
      <c r="G16640" s="15" t="n">
        <f aca="false">(Sens!G16634*tk_hold_h100+Sens!G16635*tk_hold_gb200+Sens!G16636*tk_hold_gb300+Sens!G16638*tk_hold_vr200+Sens!G16637*nv_out_mai*tk_hold_vr200)/Sens!G16626</f>
        <v>10.6108602808053</v>
      </c>
      <c r="H16640" s="15" t="n">
        <f aca="false">(Sens!H16634*tk_hold_h100+Sens!H16635*tk_hold_gb200+Sens!H16636*tk_hold_gb300+Sens!H16638*tk_hold_vr200+Sens!H16637*nv_out_mai*tk_hold_vr200)/Sens!H16626</f>
        <v>10.8647885507393</v>
      </c>
      <c r="I16640" s="15" t="n">
        <f aca="false">(Sens!I16634*tk_hold_h100+Sens!I16635*tk_hold_gb200+Sens!I16636*tk_hold_gb300+Sens!I16638*tk_hold_vr200+Sens!I16637*nv_out_mai*tk_hold_vr200)/Sens!I16626</f>
        <v>11.0535625770025</v>
      </c>
      <c r="J16640" s="15" t="n">
        <f aca="false">(Sens!J16634*tk_hold_h100+Sens!J16635*tk_hold_gb200+Sens!J16636*tk_hold_gb300+Sens!J16638*tk_hold_vr200+Sens!J16637*nv_out_mai*tk_hold_vr200)/Sens!J16626</f>
        <v>11.2032127128058</v>
      </c>
      <c r="K16640" s="15" t="n">
        <f aca="false">(Sens!K16634*tk_hold_h100+Sens!K16635*tk_hold_gb200+Sens!K16636*tk_hold_gb300+Sens!K16638*tk_hold_vr200+Sens!K16637*nv_out_mai*tk_hold_vr200)/Sens!K16626</f>
        <v>11.4085735724225</v>
      </c>
      <c r="L16640" s="12" t="s">
        <v>971</v>
      </c>
    </row>
    <row r="16641" customFormat="false" ht="17.15" hidden="false" customHeight="false" outlineLevel="0" collapsed="false">
      <c r="A16641" s="0" t="s">
        <v>972</v>
      </c>
      <c r="B16641" s="0" t="s">
        <v>229</v>
      </c>
      <c r="C16641" s="15" t="n">
        <f aca="false">k_B</f>
        <v>1.17213932619116</v>
      </c>
      <c r="D16641" s="15" t="n">
        <f aca="false">k_B</f>
        <v>1.17213932619116</v>
      </c>
      <c r="E16641" s="15" t="n">
        <f aca="false">k_B</f>
        <v>1.17213932619116</v>
      </c>
      <c r="F16641" s="15" t="n">
        <f aca="false">(k_B+((ls_B*k_long+(1-ls_B)*k_spot)-k_B)*MIN(1,(Sens!F16624-base_fy)/k_ramp))</f>
        <v>1.17213932619116</v>
      </c>
      <c r="G16641" s="15" t="n">
        <f aca="false">(k_B+((ls_B*k_long+(1-ls_B)*k_spot)-k_B)*MIN(1,(Sens!G16624-base_fy)/k_ramp))</f>
        <v>1.17213932619116</v>
      </c>
      <c r="H16641" s="15" t="n">
        <f aca="false">(k_B+((ls_B*k_long+(1-ls_B)*k_spot)-k_B)*MIN(1,(Sens!H16624-base_fy)/k_ramp))</f>
        <v>1.17213932619116</v>
      </c>
      <c r="I16641" s="15" t="n">
        <f aca="false">(k_B+((ls_B*k_long+(1-ls_B)*k_spot)-k_B)*MIN(1,(Sens!I16624-base_fy)/k_ramp))</f>
        <v>1.17213932619116</v>
      </c>
      <c r="J16641" s="15" t="n">
        <f aca="false">(k_B+((ls_B*k_long+(1-ls_B)*k_spot)-k_B)*MIN(1,(Sens!J16624-base_fy)/k_ramp))</f>
        <v>1.17213932619116</v>
      </c>
      <c r="K16641" s="15" t="n">
        <f aca="false">(k_B+((ls_B*k_long+(1-ls_B)*k_spot)-k_B)*MIN(1,(Sens!K16624-base_fy)/k_ramp))</f>
        <v>1.17213932619116</v>
      </c>
      <c r="L16641" s="1" t="s">
        <v>973</v>
      </c>
    </row>
    <row r="16642" customFormat="false" ht="17.15" hidden="false" customHeight="false" outlineLevel="0" collapsed="false">
      <c r="A16642" s="1" t="s">
        <v>974</v>
      </c>
      <c r="B16642" s="0" t="s">
        <v>403</v>
      </c>
      <c r="C16642" s="15" t="n">
        <f aca="false">Sens!C16640*Sens!C16641*chip_f</f>
        <v>11.3973387156315</v>
      </c>
      <c r="D16642" s="15" t="n">
        <f aca="false">Sens!D16640*Sens!D16641*chip_f</f>
        <v>11.3973387156315</v>
      </c>
      <c r="E16642" s="15" t="n">
        <f aca="false">Sens!E16640*Sens!E16641*chip_f</f>
        <v>11.3973387156315</v>
      </c>
      <c r="F16642" s="15" t="n">
        <f aca="false">Sens!F16640*Sens!F16641*chip_f</f>
        <v>12.0114064284211</v>
      </c>
      <c r="G16642" s="15" t="n">
        <f aca="false">Sens!G16640*Sens!G16641*chip_f</f>
        <v>12.4374066198516</v>
      </c>
      <c r="H16642" s="15" t="n">
        <f aca="false">Sens!H16640*Sens!H16641*chip_f</f>
        <v>12.735045931073</v>
      </c>
      <c r="I16642" s="15" t="n">
        <f aca="false">Sens!I16640*Sens!I16641*chip_f</f>
        <v>12.9563153910195</v>
      </c>
      <c r="J16642" s="15" t="n">
        <f aca="false">Sens!J16640*Sens!J16641*chip_f</f>
        <v>13.1317262003643</v>
      </c>
      <c r="K16642" s="15" t="n">
        <f aca="false">Sens!K16640*Sens!K16641*chip_f</f>
        <v>13.3724377399815</v>
      </c>
      <c r="L16642" s="1" t="s">
        <v>975</v>
      </c>
    </row>
    <row r="16643" customFormat="false" ht="17.15" hidden="false" customHeight="false" outlineLevel="0" collapsed="false">
      <c r="A16643" s="0" t="s">
        <v>976</v>
      </c>
      <c r="B16643" s="0" t="s">
        <v>98</v>
      </c>
      <c r="D16643" s="6" t="n">
        <f aca="false">(Sens!C16626+Sens!D16626)/2*Sens!D16642/1000</f>
        <v>12.9359794422418</v>
      </c>
      <c r="E16643" s="6" t="n">
        <f aca="false">(Sens!D16626+Sens!E16626)/2*Sens!E16642/1000</f>
        <v>27.8095064661409</v>
      </c>
      <c r="F16643" s="6" t="n">
        <f aca="false">(Sens!E16626+Sens!F16626)/2*Sens!F16642/1000</f>
        <v>55.4118315060966</v>
      </c>
      <c r="G16643" s="6" t="n">
        <f aca="false">(Sens!F16626+Sens!G16626)/2*Sens!G16642/1000</f>
        <v>91.2881100675143</v>
      </c>
      <c r="H16643" s="6" t="n">
        <f aca="false">(Sens!G16626+Sens!H16626)/2*Sens!H16642/1000</f>
        <v>128.195273603944</v>
      </c>
      <c r="I16643" s="6" t="n">
        <f aca="false">(Sens!H16626+Sens!I16626)/2*Sens!I16642/1000</f>
        <v>160.601281810405</v>
      </c>
      <c r="J16643" s="6" t="n">
        <f aca="false">(Sens!I16626+Sens!J16626)/2*Sens!J16642/1000</f>
        <v>183.182719793589</v>
      </c>
      <c r="K16643" s="6" t="n">
        <f aca="false">(Sens!J16626+Sens!K16626)/2*Sens!K16642/1000</f>
        <v>197.320124937098</v>
      </c>
      <c r="L16643" s="12" t="s">
        <v>977</v>
      </c>
    </row>
    <row r="16644" customFormat="false" ht="17.15" hidden="false" customHeight="false" outlineLevel="0" collapsed="false">
      <c r="A16644" s="1" t="s">
        <v>978</v>
      </c>
      <c r="B16644" s="0" t="s">
        <v>403</v>
      </c>
      <c r="C16644" s="15" t="n">
        <f aca="false">(Sens!C16634*tk_opex_h100+Sens!C16635*tk_opex_gb200+Sens!C16636*tk_opex_gb300+(Sens!C16638+Sens!C16637)*tk_opex_vr200)/Sens!C16626</f>
        <v>1.88636041306092</v>
      </c>
      <c r="D16644" s="15" t="n">
        <f aca="false">(Sens!D16634*tk_opex_h100+Sens!D16635*tk_opex_gb200+Sens!D16636*tk_opex_gb300+(Sens!D16638+Sens!D16637)*tk_opex_vr200)/Sens!D16626</f>
        <v>1.88636041306092</v>
      </c>
      <c r="E16644" s="15" t="n">
        <f aca="false">(Sens!E16634*tk_opex_h100+Sens!E16635*tk_opex_gb200+Sens!E16636*tk_opex_gb300+(Sens!E16638+Sens!E16637)*tk_opex_vr200)/Sens!E16626</f>
        <v>1.88636041306092</v>
      </c>
      <c r="F16644" s="15" t="n">
        <f aca="false">(Sens!F16634*tk_opex_h100+Sens!F16635*tk_opex_gb200+Sens!F16636*tk_opex_gb300+(Sens!F16638+Sens!F16637)*tk_opex_vr200)/Sens!F16626</f>
        <v>1.95051159746876</v>
      </c>
      <c r="G16644" s="15" t="n">
        <f aca="false">(Sens!G16634*tk_opex_h100+Sens!G16635*tk_opex_gb200+Sens!G16636*tk_opex_gb300+(Sens!G16638+Sens!G16637)*tk_opex_vr200)/Sens!G16626</f>
        <v>1.98836003669956</v>
      </c>
      <c r="H16644" s="15" t="n">
        <f aca="false">(Sens!H16634*tk_opex_h100+Sens!H16635*tk_opex_gb200+Sens!H16636*tk_opex_gb300+(Sens!H16638+Sens!H16637)*tk_opex_vr200)/Sens!H16626</f>
        <v>2.01344013834343</v>
      </c>
      <c r="I16644" s="15" t="n">
        <f aca="false">(Sens!I16634*tk_opex_h100+Sens!I16635*tk_opex_gb200+Sens!I16636*tk_opex_gb300+(Sens!I16638+Sens!I16637)*tk_opex_vr200)/Sens!I16626</f>
        <v>2.03261166882178</v>
      </c>
      <c r="J16644" s="15" t="n">
        <f aca="false">(Sens!J16634*tk_opex_h100+Sens!J16635*tk_opex_gb200+Sens!J16636*tk_opex_gb300+(Sens!J16638+Sens!J16637)*tk_opex_vr200)/Sens!J16626</f>
        <v>2.04808073288745</v>
      </c>
      <c r="K16644" s="15" t="n">
        <f aca="false">(Sens!K16634*tk_opex_h100+Sens!K16635*tk_opex_gb200+Sens!K16636*tk_opex_gb300+(Sens!K16638+Sens!K16637)*tk_opex_vr200)/Sens!K16626</f>
        <v>2.06973825807449</v>
      </c>
      <c r="L16644" s="12" t="s">
        <v>979</v>
      </c>
    </row>
    <row r="16645" customFormat="false" ht="17.15" hidden="false" customHeight="false" outlineLevel="0" collapsed="false">
      <c r="A16645" s="0" t="s">
        <v>980</v>
      </c>
      <c r="B16645" s="0" t="s">
        <v>98</v>
      </c>
      <c r="D16645" s="6" t="n">
        <f aca="false">(Sens!C16629+Sens!D16629)/2*Sens!D16644/1000</f>
        <v>2.70378325872065</v>
      </c>
      <c r="E16645" s="6" t="n">
        <f aca="false">(Sens!D16629+Sens!E16629)/2*Sens!E16644/1000</f>
        <v>6.17783035277451</v>
      </c>
      <c r="F16645" s="6" t="n">
        <f aca="false">(Sens!E16629+Sens!F16629)/2*Sens!F16644/1000</f>
        <v>12.8742463089237</v>
      </c>
      <c r="G16645" s="6" t="n">
        <f aca="false">(Sens!F16629+Sens!G16629)/2*Sens!G16644/1000</f>
        <v>21.8182834646277</v>
      </c>
      <c r="H16645" s="6" t="n">
        <f aca="false">(Sens!G16629+Sens!H16629)/2*Sens!H16644/1000</f>
        <v>31.2430128789734</v>
      </c>
      <c r="I16645" s="6" t="n">
        <f aca="false">(Sens!H16629+Sens!I16629)/2*Sens!I16644/1000</f>
        <v>39.4313057443268</v>
      </c>
      <c r="J16645" s="6" t="n">
        <f aca="false">(Sens!I16629+Sens!J16629)/2*Sens!J16644/1000</f>
        <v>45.0360318228653</v>
      </c>
      <c r="K16645" s="6" t="n">
        <f aca="false">(Sens!J16629+Sens!K16629)/2*Sens!K16644/1000</f>
        <v>48.2929727091156</v>
      </c>
    </row>
    <row r="16646" customFormat="false" ht="17.15" hidden="false" customHeight="false" outlineLevel="0" collapsed="false">
      <c r="A16646" s="0" t="s">
        <v>981</v>
      </c>
      <c r="B16646" s="0" t="s">
        <v>98</v>
      </c>
      <c r="D16646" s="6" t="n">
        <f aca="false">(Sens!C16627+Sens!D16627)/2*rent_mw/1000</f>
        <v>2.44475</v>
      </c>
      <c r="E16646" s="6" t="n">
        <f aca="false">(Sens!D16627+Sens!E16627)/2*rent_mw/1000</f>
        <v>4.22275</v>
      </c>
      <c r="F16646" s="6" t="n">
        <f aca="false">(Sens!E16627+Sens!F16627)/2*rent_mw/1000</f>
        <v>5.80517</v>
      </c>
      <c r="G16646" s="6" t="n">
        <f aca="false">(Sens!F16627+Sens!G16627)/2*rent_mw/1000</f>
        <v>6.72084</v>
      </c>
      <c r="H16646" s="6" t="n">
        <f aca="false">(Sens!G16627+Sens!H16627)/2*rent_mw/1000</f>
        <v>6.72084</v>
      </c>
      <c r="I16646" s="6" t="n">
        <f aca="false">(Sens!H16627+Sens!I16627)/2*rent_mw/1000</f>
        <v>6.72084</v>
      </c>
      <c r="J16646" s="6" t="n">
        <f aca="false">(Sens!I16627+Sens!J16627)/2*rent_mw/1000</f>
        <v>6.72084</v>
      </c>
      <c r="K16646" s="6" t="n">
        <f aca="false">(Sens!J16627+Sens!K16627)/2*rent_mw/1000</f>
        <v>6.72084</v>
      </c>
    </row>
    <row r="16647" customFormat="false" ht="17.15" hidden="false" customHeight="false" outlineLevel="0" collapsed="false">
      <c r="A16647" s="0" t="s">
        <v>982</v>
      </c>
      <c r="B16647" s="0" t="s">
        <v>98</v>
      </c>
      <c r="D16647" s="6" t="n">
        <f aca="false">(Sens!C16629+Sens!D16629)/2*(1-self_build)*fac_rent/1000</f>
        <v>0.853242375631075</v>
      </c>
      <c r="E16647" s="6" t="n">
        <f aca="false">(Sens!D16629+Sens!E16629)/2*(1-self_build)*fac_rent/1000</f>
        <v>1.94955961408728</v>
      </c>
      <c r="F16647" s="6" t="n">
        <f aca="false">(Sens!E16629+Sens!F16629)/2*(1-self_build)*fac_rent/1000</f>
        <v>3.92914894476356</v>
      </c>
      <c r="G16647" s="6" t="n">
        <f aca="false">(Sens!F16629+Sens!G16629)/2*(1-self_build)*fac_rent/1000</f>
        <v>6.53206908578159</v>
      </c>
      <c r="H16647" s="6" t="n">
        <f aca="false">(Sens!G16629+Sens!H16629)/2*(1-self_build)*fac_rent/1000</f>
        <v>9.23717988341591</v>
      </c>
      <c r="I16647" s="6" t="n">
        <f aca="false">(Sens!H16629+Sens!I16629)/2*(1-self_build)*fac_rent/1000</f>
        <v>11.5481378557393</v>
      </c>
      <c r="J16647" s="6" t="n">
        <f aca="false">(Sens!I16629+Sens!J16629)/2*(1-self_build)*fac_rent/1000</f>
        <v>13.0899582289108</v>
      </c>
      <c r="K16647" s="6" t="n">
        <f aca="false">(Sens!J16629+Sens!K16629)/2*(1-self_build)*fac_rent/1000</f>
        <v>13.8897275626556</v>
      </c>
      <c r="L16647" s="12" t="s">
        <v>983</v>
      </c>
    </row>
    <row r="16648" customFormat="false" ht="17.15" hidden="false" customHeight="false" outlineLevel="0" collapsed="false">
      <c r="A16648" s="1" t="s">
        <v>984</v>
      </c>
      <c r="B16648" s="0" t="s">
        <v>168</v>
      </c>
      <c r="D16648" s="7" t="n">
        <f aca="false">(Sens!C16628+Sens!D16628)/(Sens!C16629+Sens!D16629)</f>
        <v>0.6</v>
      </c>
      <c r="E16648" s="7" t="n">
        <f aca="false">(Sens!D16628+Sens!E16628)/(Sens!D16629+Sens!E16629)</f>
        <v>0.6</v>
      </c>
      <c r="F16648" s="7" t="n">
        <f aca="false">(Sens!E16628+Sens!F16628)/(Sens!E16629+Sens!F16629)</f>
        <v>0.6</v>
      </c>
      <c r="G16648" s="7" t="n">
        <f aca="false">(Sens!F16628+Sens!G16628)/(Sens!F16629+Sens!G16629)</f>
        <v>0.6</v>
      </c>
      <c r="H16648" s="7" t="n">
        <f aca="false">(Sens!G16628+Sens!H16628)/(Sens!G16629+Sens!H16629)</f>
        <v>0.6</v>
      </c>
      <c r="I16648" s="7" t="n">
        <f aca="false">(Sens!H16628+Sens!I16628)/(Sens!H16629+Sens!I16629)</f>
        <v>0.6</v>
      </c>
      <c r="J16648" s="7" t="n">
        <f aca="false">(Sens!I16628+Sens!J16628)/(Sens!I16629+Sens!J16629)</f>
        <v>0.6</v>
      </c>
      <c r="K16648" s="7" t="n">
        <f aca="false">(Sens!J16628+Sens!K16628)/(Sens!J16629+Sens!K16629)</f>
        <v>0.6</v>
      </c>
    </row>
    <row r="16649" customFormat="false" ht="17.15" hidden="false" customHeight="false" outlineLevel="0" collapsed="false">
      <c r="A16649" s="0" t="s">
        <v>985</v>
      </c>
      <c r="B16649" s="0" t="s">
        <v>98</v>
      </c>
      <c r="D16649" s="6" t="n">
        <f aca="false">Sens!D16643-Sens!D16648*(Sens!D16645+Sens!D16647)-Sens!D16646</f>
        <v>8.35701406163072</v>
      </c>
      <c r="E16649" s="6" t="n">
        <f aca="false">Sens!E16643-Sens!E16648*(Sens!E16645+Sens!E16647)-Sens!E16646</f>
        <v>18.7103224860238</v>
      </c>
      <c r="F16649" s="6" t="n">
        <f aca="false">Sens!F16643-Sens!F16648*(Sens!F16645+Sens!F16647)-Sens!F16646</f>
        <v>39.5246243538843</v>
      </c>
      <c r="G16649" s="6" t="n">
        <f aca="false">Sens!G16643-Sens!G16648*(Sens!G16645+Sens!G16647)-Sens!G16646</f>
        <v>67.5570585372687</v>
      </c>
      <c r="H16649" s="6" t="n">
        <f aca="false">Sens!H16643-Sens!H16648*(Sens!H16645+Sens!H16647)-Sens!H16646</f>
        <v>97.1863179465102</v>
      </c>
      <c r="I16649" s="6" t="n">
        <f aca="false">Sens!I16643-Sens!I16648*(Sens!I16645+Sens!I16647)-Sens!I16646</f>
        <v>123.292775650365</v>
      </c>
      <c r="J16649" s="6" t="n">
        <f aca="false">Sens!J16643-Sens!J16648*(Sens!J16645+Sens!J16647)-Sens!J16646</f>
        <v>141.586285762524</v>
      </c>
      <c r="K16649" s="6" t="n">
        <f aca="false">Sens!K16643-Sens!K16648*(Sens!K16645+Sens!K16647)-Sens!K16646</f>
        <v>153.289664774035</v>
      </c>
    </row>
    <row r="16650" customFormat="false" ht="17.15" hidden="false" customHeight="false" outlineLevel="0" collapsed="false">
      <c r="A16650" s="1" t="s">
        <v>986</v>
      </c>
      <c r="B16650" s="0" t="s">
        <v>98</v>
      </c>
      <c r="D16650" s="6" t="n">
        <f aca="false">(1-Sens!D16648)*(Sens!D16645+Sens!D16647)</f>
        <v>1.42281025374069</v>
      </c>
      <c r="E16650" s="6" t="n">
        <f aca="false">(1-Sens!E16648)*(Sens!E16645+Sens!E16647)</f>
        <v>3.25095598674472</v>
      </c>
      <c r="F16650" s="6" t="n">
        <f aca="false">(1-Sens!F16648)*(Sens!F16645+Sens!F16647)</f>
        <v>6.72135810147489</v>
      </c>
      <c r="G16650" s="6" t="n">
        <f aca="false">(1-Sens!G16648)*(Sens!G16645+Sens!G16647)</f>
        <v>11.3401410201637</v>
      </c>
      <c r="H16650" s="6" t="n">
        <f aca="false">(1-Sens!H16648)*(Sens!H16645+Sens!H16647)</f>
        <v>16.1920771049557</v>
      </c>
      <c r="I16650" s="6" t="n">
        <f aca="false">(1-Sens!I16648)*(Sens!I16645+Sens!I16647)</f>
        <v>20.3917774400264</v>
      </c>
      <c r="J16650" s="6" t="n">
        <f aca="false">(1-Sens!J16648)*(Sens!J16645+Sens!J16647)</f>
        <v>23.2503960207104</v>
      </c>
      <c r="K16650" s="6" t="n">
        <f aca="false">(1-Sens!K16648)*(Sens!K16645+Sens!K16647)</f>
        <v>24.8730801087085</v>
      </c>
    </row>
    <row r="16651" customFormat="false" ht="17.15" hidden="false" customHeight="false" outlineLevel="0" collapsed="false">
      <c r="A16651" s="1" t="s">
        <v>987</v>
      </c>
      <c r="B16651" s="0" t="s">
        <v>414</v>
      </c>
      <c r="C16651" s="8" t="n">
        <f aca="false">cxit_open</f>
        <v>27.5918995</v>
      </c>
      <c r="D16651" s="8" t="n">
        <f aca="false">cxit_open</f>
        <v>27.5918995</v>
      </c>
      <c r="E16651" s="8" t="n">
        <f aca="false">cxit_open</f>
        <v>27.5918995</v>
      </c>
      <c r="F16651" s="8" t="n">
        <f aca="false">((a_g3_27-nonnv*a_mai)*tk_cxit_gb300+nonnv*a_mai*nv_hold_mai*tk_cxit_vr200+(1-a_g3_27)*tk_cxit_vr200)</f>
        <v>32.4975576</v>
      </c>
      <c r="G16651" s="8" t="n">
        <f aca="false">((a_g3_28-nonnv*a_mai)*tk_cxit_gb300+nonnv*a_mai*nv_hold_mai*tk_cxit_vr200+(1-a_g3_28)*tk_cxit_vr200)</f>
        <v>34.6372088</v>
      </c>
      <c r="H16651" s="8" t="n">
        <f aca="false">((a_g3_29-nonnv*a_mai)*tk_cxit_gb300+nonnv*a_mai*nv_hold_mai*tk_cxit_vr200+(1-a_g3_29)*tk_cxit_vr200)</f>
        <v>35.7070344</v>
      </c>
      <c r="I16651" s="8" t="n">
        <f aca="false">((a_g3_29-nonnv*a_mai)*tk_cxit_gb300+nonnv*a_mai*nv_hold_mai*tk_cxit_vr200+(1-a_g3_29)*tk_cxit_vr200)</f>
        <v>35.7070344</v>
      </c>
      <c r="J16651" s="8" t="n">
        <f aca="false">((a_g3_29-nonnv*a_mai)*tk_cxit_gb300+nonnv*a_mai*nv_hold_mai*tk_cxit_vr200+(1-a_g3_29)*tk_cxit_vr200)</f>
        <v>35.7070344</v>
      </c>
      <c r="K16651" s="8" t="n">
        <f aca="false">((a_g3_29-nonnv*a_mai)*tk_cxit_gb300+nonnv*a_mai*nv_hold_mai*tk_cxit_vr200+(1-a_g3_29)*tk_cxit_vr200)</f>
        <v>35.7070344</v>
      </c>
      <c r="L16651" s="12" t="s">
        <v>988</v>
      </c>
    </row>
    <row r="16652" customFormat="false" ht="17.15" hidden="false" customHeight="false" outlineLevel="0" collapsed="false">
      <c r="A16652" s="0" t="s">
        <v>989</v>
      </c>
      <c r="B16652" s="0" t="s">
        <v>456</v>
      </c>
      <c r="F16652" s="30" t="n">
        <f aca="false">Sens!C16631*IF(Sens!F16624-Sens!C16624=life_it,1,0)+Sens!D16631*IF(Sens!F16624-Sens!D16624=life_it,1,0)+Sens!E16631*IF(Sens!F16624-Sens!E16624=life_it,1,0)</f>
        <v>0</v>
      </c>
      <c r="G16652" s="30" t="n">
        <f aca="false">Sens!C16631*IF(Sens!G16624-Sens!C16624=life_it,1,0)+Sens!D16631*IF(Sens!G16624-Sens!D16624=life_it,1,0)+Sens!E16631*IF(Sens!G16624-Sens!E16624=life_it,1,0)+Sens!F16631*IF(Sens!G16624-Sens!F16624=life_it,1,0)</f>
        <v>0</v>
      </c>
      <c r="H16652" s="30" t="n">
        <f aca="false">Sens!C16631*IF(Sens!H16624-Sens!C16624=life_it,1,0)+Sens!D16631*IF(Sens!H16624-Sens!D16624=life_it,1,0)+Sens!E16631*IF(Sens!H16624-Sens!E16624=life_it,1,0)+Sens!F16631*IF(Sens!H16624-Sens!F16624=life_it,1,0)+Sens!G16631*IF(Sens!H16624-Sens!G16624=life_it,1,0)</f>
        <v>0</v>
      </c>
      <c r="I16652" s="30" t="n">
        <f aca="false">Sens!C16631*IF(Sens!I16624-Sens!C16624=life_it,1,0)+Sens!D16631*IF(Sens!I16624-Sens!D16624=life_it,1,0)+Sens!E16631*IF(Sens!I16624-Sens!E16624=life_it,1,0)+Sens!F16631*IF(Sens!I16624-Sens!F16624=life_it,1,0)+Sens!G16631*IF(Sens!I16624-Sens!G16624=life_it,1,0)+Sens!H16631*IF(Sens!I16624-Sens!H16624=life_it,1,0)</f>
        <v>816.666666666667</v>
      </c>
      <c r="J16652" s="30" t="n">
        <f aca="false">Sens!C16631*IF(Sens!J16624-Sens!C16624=life_it,1,0)+Sens!D16631*IF(Sens!J16624-Sens!D16624=life_it,1,0)+Sens!E16631*IF(Sens!J16624-Sens!E16624=life_it,1,0)+Sens!F16631*IF(Sens!J16624-Sens!F16624=life_it,1,0)+Sens!G16631*IF(Sens!J16624-Sens!G16624=life_it,1,0)+Sens!H16631*IF(Sens!J16624-Sens!H16624=life_it,1,0)+Sens!I16631*IF(Sens!J16624-Sens!I16624=life_it,1,0)</f>
        <v>1233.33333333333</v>
      </c>
      <c r="K16652" s="30" t="n">
        <f aca="false">Sens!C16631*IF(Sens!K16624-Sens!C16624=life_it,1,0)+Sens!D16631*IF(Sens!K16624-Sens!D16624=life_it,1,0)+Sens!E16631*IF(Sens!K16624-Sens!E16624=life_it,1,0)+Sens!F16631*IF(Sens!K16624-Sens!F16624=life_it,1,0)+Sens!G16631*IF(Sens!K16624-Sens!G16624=life_it,1,0)+Sens!H16631*IF(Sens!K16624-Sens!H16624=life_it,1,0)+Sens!I16631*IF(Sens!K16624-Sens!I16624=life_it,1,0)+Sens!J16631*IF(Sens!K16624-Sens!J16624=life_it,1,0)</f>
        <v>2450</v>
      </c>
      <c r="L16652" s="1" t="s">
        <v>990</v>
      </c>
    </row>
    <row r="16653" customFormat="false" ht="17.15" hidden="false" customHeight="false" outlineLevel="0" collapsed="false">
      <c r="A16653" s="0" t="s">
        <v>991</v>
      </c>
      <c r="B16653" s="0" t="s">
        <v>98</v>
      </c>
      <c r="C16653" s="6" t="n">
        <f aca="false">Sens!C16631*Sens!C16651/1000</f>
        <v>22.5333845916667</v>
      </c>
      <c r="D16653" s="6" t="n">
        <f aca="false">Sens!D16631*Sens!D16651/1000</f>
        <v>34.0300093833333</v>
      </c>
      <c r="E16653" s="6" t="n">
        <f aca="false">Sens!E16631*Sens!E16651/1000</f>
        <v>67.600153775</v>
      </c>
      <c r="F16653" s="6" t="n">
        <f aca="false">(Sens!F16631+Sens!F16652)*Sens!F16651/1000</f>
        <v>136.51872432512</v>
      </c>
      <c r="G16653" s="6" t="n">
        <f aca="false">(Sens!G16631+Sens!G16652)*Sens!G16651/1000</f>
        <v>157.399275932048</v>
      </c>
      <c r="H16653" s="6" t="n">
        <f aca="false">(Sens!H16631+Sens!H16652)*Sens!H16651/1000</f>
        <v>162.260804347512</v>
      </c>
      <c r="I16653" s="6" t="n">
        <f aca="false">(Sens!I16631+Sens!I16652)*Sens!I16651/1000</f>
        <v>144.136569485434</v>
      </c>
      <c r="J16653" s="6" t="n">
        <f aca="false">(Sens!J16631+Sens!J16652)*Sens!J16651/1000</f>
        <v>114.029037357864</v>
      </c>
      <c r="K16653" s="6" t="n">
        <f aca="false">(Sens!K16631+Sens!K16652)*Sens!K16651/1000</f>
        <v>113.437085350975</v>
      </c>
    </row>
    <row r="16654" customFormat="false" ht="17.15" hidden="false" customHeight="false" outlineLevel="0" collapsed="false">
      <c r="A16654" s="0" t="s">
        <v>992</v>
      </c>
      <c r="B16654" s="0" t="s">
        <v>98</v>
      </c>
      <c r="C16654" s="6" t="n">
        <f aca="false">Sens!C16631*self_build*tk_cxfac/1000</f>
        <v>6.2083</v>
      </c>
      <c r="D16654" s="6" t="n">
        <f aca="false">Sens!D16631*self_build*tk_cxfac/1000</f>
        <v>9.3758</v>
      </c>
      <c r="E16654" s="6" t="n">
        <f aca="false">Sens!E16631*self_build*tk_cxfac/1000</f>
        <v>18.6249</v>
      </c>
      <c r="F16654" s="6" t="n">
        <f aca="false">Sens!F16631*self_build*tk_cxfac/1000</f>
        <v>31.935179717</v>
      </c>
      <c r="G16654" s="6" t="n">
        <f aca="false">Sens!G16631*self_build*tk_cxfac/1000</f>
        <v>34.545199717</v>
      </c>
      <c r="H16654" s="6" t="n">
        <f aca="false">Sens!H16631*self_build*tk_cxfac/1000</f>
        <v>34.545199717</v>
      </c>
      <c r="I16654" s="6" t="n">
        <f aca="false">Sens!I16631*self_build*tk_cxfac/1000</f>
        <v>24.4782641361767</v>
      </c>
      <c r="J16654" s="6" t="n">
        <f aca="false">Sens!J16631*self_build*tk_cxfac/1000</f>
        <v>14.9008938380769</v>
      </c>
      <c r="K16654" s="6" t="n">
        <f aca="false">Sens!K16631*self_build*tk_cxfac/1000</f>
        <v>5.52576771375761</v>
      </c>
    </row>
    <row r="16655" customFormat="false" ht="17.15" hidden="false" customHeight="false" outlineLevel="0" collapsed="false">
      <c r="A16655" s="0" t="s">
        <v>993</v>
      </c>
      <c r="B16655" s="0" t="s">
        <v>98</v>
      </c>
      <c r="F16655" s="15" t="n">
        <f aca="false">capex_floor27-Sens!F16653-Sens!F16654-Sens!F16751</f>
        <v>1.94586576753863E-005</v>
      </c>
      <c r="L16655" s="12" t="s">
        <v>994</v>
      </c>
    </row>
    <row r="16656" customFormat="false" ht="17.15" hidden="false" customHeight="false" outlineLevel="0" collapsed="false">
      <c r="A16656" s="0" t="s">
        <v>995</v>
      </c>
      <c r="B16656" s="0" t="s">
        <v>98</v>
      </c>
      <c r="F16656" s="6" t="n">
        <f aca="false">MAX(0,Sens!F16655)</f>
        <v>1.94586576753863E-005</v>
      </c>
    </row>
    <row r="16657" customFormat="false" ht="17.15" hidden="false" customHeight="false" outlineLevel="0" collapsed="false">
      <c r="A16657" s="0" t="s">
        <v>996</v>
      </c>
      <c r="B16657" s="0" t="s">
        <v>98</v>
      </c>
      <c r="C16657" s="6" t="n">
        <f aca="false">Sens!C16653</f>
        <v>22.5333845916667</v>
      </c>
      <c r="D16657" s="6" t="n">
        <f aca="false">Sens!D16653</f>
        <v>34.0300093833333</v>
      </c>
      <c r="E16657" s="6" t="n">
        <f aca="false">Sens!E16653</f>
        <v>67.600153775</v>
      </c>
      <c r="F16657" s="6" t="n">
        <f aca="false">Sens!F16653</f>
        <v>136.51872432512</v>
      </c>
      <c r="G16657" s="6" t="n">
        <f aca="false">Sens!G16653</f>
        <v>157.399275932048</v>
      </c>
      <c r="H16657" s="6" t="n">
        <f aca="false">Sens!H16653</f>
        <v>162.260804347512</v>
      </c>
      <c r="I16657" s="6" t="n">
        <f aca="false">Sens!I16653</f>
        <v>144.136569485434</v>
      </c>
      <c r="J16657" s="6" t="n">
        <f aca="false">Sens!J16653</f>
        <v>114.029037357864</v>
      </c>
      <c r="K16657" s="6" t="n">
        <f aca="false">Sens!K16653</f>
        <v>113.437085350975</v>
      </c>
    </row>
    <row r="16658" customFormat="false" ht="17.15" hidden="false" customHeight="false" outlineLevel="0" collapsed="false">
      <c r="A16658" s="0" t="s">
        <v>997</v>
      </c>
      <c r="B16658" s="0" t="s">
        <v>98</v>
      </c>
      <c r="C16658" s="6" t="n">
        <f aca="false">Sens!C16657+Sens!C16654</f>
        <v>28.7416845916667</v>
      </c>
      <c r="D16658" s="6" t="n">
        <f aca="false">Sens!D16657+Sens!D16654</f>
        <v>43.4058093833333</v>
      </c>
      <c r="E16658" s="6" t="n">
        <f aca="false">Sens!E16657+Sens!E16654</f>
        <v>86.225053775</v>
      </c>
      <c r="F16658" s="6" t="n">
        <f aca="false">Sens!F16657+Sens!F16654</f>
        <v>168.45390404212</v>
      </c>
      <c r="G16658" s="6" t="n">
        <f aca="false">Sens!G16657+Sens!G16654</f>
        <v>191.944475649048</v>
      </c>
      <c r="H16658" s="6" t="n">
        <f aca="false">Sens!H16657+Sens!H16654</f>
        <v>196.806004064512</v>
      </c>
      <c r="I16658" s="6" t="n">
        <f aca="false">Sens!I16657+Sens!I16654</f>
        <v>168.61483362161</v>
      </c>
      <c r="J16658" s="6" t="n">
        <f aca="false">Sens!J16657+Sens!J16654</f>
        <v>128.92993119594</v>
      </c>
      <c r="K16658" s="6" t="n">
        <f aca="false">Sens!K16657+Sens!K16654</f>
        <v>118.962853064733</v>
      </c>
      <c r="L16658" s="12" t="s">
        <v>998</v>
      </c>
    </row>
    <row r="16659" customFormat="false" ht="17.15" hidden="false" customHeight="false" outlineLevel="0" collapsed="false">
      <c r="A16659" s="0" t="s">
        <v>999</v>
      </c>
      <c r="B16659" s="0" t="s">
        <v>98</v>
      </c>
      <c r="E16659" s="6" t="n">
        <f aca="false">(Sens!C16657*IF(2&lt;life_it,1,IF(2=life_it,0.5,0))+Sens!D16657*IF(1&lt;life_it,1,IF(1=life_it,0.5,0))+Sens!E16657*0.5)/life_it</f>
        <v>15.0605784770833</v>
      </c>
      <c r="F16659" s="6" t="n">
        <f aca="false">(Sens!C16657*IF(3&lt;life_it,1,IF(3=life_it,0.5,0))+Sens!D16657*IF(2&lt;life_it,1,IF(2=life_it,0.5,0))+Sens!E16657*IF(1&lt;life_it,1,IF(1=life_it,0.5,0))+Sens!F16657*0.5)/life_it</f>
        <v>32.0704849854266</v>
      </c>
      <c r="G16659" s="6" t="n">
        <f aca="false">(Sens!C16657*IF(4&lt;life_it,1,IF(4=life_it,0.5,0))+Sens!D16657*IF(3&lt;life_it,1,IF(3=life_it,0.5,0))+Sens!E16657*IF(2&lt;life_it,1,IF(2=life_it,0.5,0))+Sens!F16657*IF(1&lt;life_it,1,IF(1=life_it,0.5,0))+Sens!G16657*0.5)/life_it</f>
        <v>56.5636516735239</v>
      </c>
      <c r="H16659" s="6" t="n">
        <f aca="false">(Sens!C16657*IF(5&lt;life_it,1,IF(5=life_it,0.5,0))+Sens!D16657*IF(4&lt;life_it,1,IF(4=life_it,0.5,0))+Sens!E16657*IF(3&lt;life_it,1,IF(3=life_it,0.5,0))+Sens!F16657*IF(2&lt;life_it,1,IF(2=life_it,0.5,0))+Sens!G16657*IF(1&lt;life_it,1,IF(1=life_it,0.5,0))+Sens!H16657*0.5)/life_it</f>
        <v>83.2019916968207</v>
      </c>
      <c r="I16659" s="6" t="n">
        <f aca="false">(Sens!C16657*IF(6&lt;life_it,1,IF(6=life_it,0.5,0))+Sens!D16657*IF(5&lt;life_it,1,IF(5=life_it,0.5,0))+Sens!E16657*IF(4&lt;life_it,1,IF(4=life_it,0.5,0))+Sens!F16657*IF(3&lt;life_it,1,IF(3=life_it,0.5,0))+Sens!G16657*IF(2&lt;life_it,1,IF(2=life_it,0.5,0))+Sens!H16657*IF(1&lt;life_it,1,IF(1=life_it,0.5,0))+Sens!I16657*0.5)/life_it</f>
        <v>106.857324133594</v>
      </c>
      <c r="J16659" s="6" t="n">
        <f aca="false">(Sens!C16657*IF(7&lt;life_it,1,IF(7=life_it,0.5,0))+Sens!D16657*IF(6&lt;life_it,1,IF(6=life_it,0.5,0))+Sens!E16657*IF(5&lt;life_it,1,IF(5=life_it,0.5,0))+Sens!F16657*IF(4&lt;life_it,1,IF(4=life_it,0.5,0))+Sens!G16657*IF(3&lt;life_it,1,IF(3=life_it,0.5,0))+Sens!H16657*IF(2&lt;life_it,1,IF(2=life_it,0.5,0))+Sens!I16657*IF(1&lt;life_it,1,IF(1=life_it,0.5,0))+Sens!J16657*0.5)/life_it</f>
        <v>123.657508539285</v>
      </c>
      <c r="K16659" s="6" t="n">
        <f aca="false">(Sens!C16657*IF(8&lt;life_it,1,IF(8=life_it,0.5,0))+Sens!D16657*IF(7&lt;life_it,1,IF(7=life_it,0.5,0))+Sens!E16657*IF(6&lt;life_it,1,IF(6=life_it,0.5,0))+Sens!F16657*IF(5&lt;life_it,1,IF(5=life_it,0.5,0))+Sens!G16657*IF(4&lt;life_it,1,IF(4=life_it,0.5,0))+Sens!H16657*IF(3&lt;life_it,1,IF(3=life_it,0.5,0))+Sens!I16657*IF(2&lt;life_it,1,IF(2=life_it,0.5,0))+Sens!J16657*IF(1&lt;life_it,1,IF(1=life_it,0.5,0))+Sens!K16657*0.5)/life_it</f>
        <v>134.143838501827</v>
      </c>
    </row>
    <row r="16660" customFormat="false" ht="17.15" hidden="false" customHeight="false" outlineLevel="0" collapsed="false">
      <c r="A16660" s="0" t="s">
        <v>1000</v>
      </c>
      <c r="B16660" s="0" t="s">
        <v>98</v>
      </c>
      <c r="E16660" s="6" t="n">
        <f aca="false">(Sens!C16654*IF(2&lt;life_fac,1,IF(2=life_fac,0.5,0))+Sens!D16654*IF(1&lt;life_fac,1,IF(1=life_fac,0.5,0))+Sens!E16654*0.5)/life_fac</f>
        <v>1.2448275</v>
      </c>
      <c r="F16660" s="6" t="n">
        <f aca="false">(Sens!C16654*IF(3&lt;life_fac,1,IF(3=life_fac,0.5,0))+Sens!D16654*IF(2&lt;life_fac,1,IF(2=life_fac,0.5,0))+Sens!E16654*IF(1&lt;life_fac,1,IF(1=life_fac,0.5,0))+Sens!F16654*0.5)/life_fac</f>
        <v>2.508829492925</v>
      </c>
      <c r="G16660" s="6" t="n">
        <f aca="false">(Sens!C16654*IF(4&lt;life_fac,1,IF(4=life_fac,0.5,0))+Sens!D16654*IF(3&lt;life_fac,1,IF(3=life_fac,0.5,0))+Sens!E16654*IF(2&lt;life_fac,1,IF(2=life_fac,0.5,0))+Sens!F16654*IF(1&lt;life_fac,1,IF(1=life_fac,0.5,0))+Sens!G16654*0.5)/life_fac</f>
        <v>4.170838978775</v>
      </c>
      <c r="H16660" s="6" t="n">
        <f aca="false">(Sens!C16654*IF(5&lt;life_fac,1,IF(5=life_fac,0.5,0))+Sens!D16654*IF(4&lt;life_fac,1,IF(4=life_fac,0.5,0))+Sens!E16654*IF(3&lt;life_fac,1,IF(3=life_fac,0.5,0))+Sens!F16654*IF(2&lt;life_fac,1,IF(2=life_fac,0.5,0))+Sens!G16654*IF(1&lt;life_fac,1,IF(1=life_fac,0.5,0))+Sens!H16654*0.5)/life_fac</f>
        <v>5.898098964625</v>
      </c>
      <c r="I16660" s="6" t="n">
        <f aca="false">(Sens!C16654*IF(6&lt;life_fac,1,IF(6=life_fac,0.5,0))+Sens!D16654*IF(5&lt;life_fac,1,IF(5=life_fac,0.5,0))+Sens!E16654*IF(4&lt;life_fac,1,IF(4=life_fac,0.5,0))+Sens!F16654*IF(3&lt;life_fac,1,IF(3=life_fac,0.5,0))+Sens!G16654*IF(2&lt;life_fac,1,IF(2=life_fac,0.5,0))+Sens!H16654*IF(1&lt;life_fac,1,IF(1=life_fac,0.5,0))+Sens!I16654*0.5)/life_fac</f>
        <v>7.37368556095442</v>
      </c>
      <c r="J16660" s="6" t="n">
        <f aca="false">(Sens!C16654*IF(7&lt;life_fac,1,IF(7=life_fac,0.5,0))+Sens!D16654*IF(6&lt;life_fac,1,IF(6=life_fac,0.5,0))+Sens!E16654*IF(5&lt;life_fac,1,IF(5=life_fac,0.5,0))+Sens!F16654*IF(4&lt;life_fac,1,IF(4=life_fac,0.5,0))+Sens!G16654*IF(3&lt;life_fac,1,IF(3=life_fac,0.5,0))+Sens!H16654*IF(2&lt;life_fac,1,IF(2=life_fac,0.5,0))+Sens!I16654*IF(1&lt;life_fac,1,IF(1=life_fac,0.5,0))+Sens!J16654*0.5)/life_fac</f>
        <v>8.35816451031075</v>
      </c>
      <c r="K16660" s="6" t="n">
        <f aca="false">(Sens!C16654*IF(8&lt;life_fac,1,IF(8=life_fac,0.5,0))+Sens!D16654*IF(7&lt;life_fac,1,IF(7=life_fac,0.5,0))+Sens!E16654*IF(6&lt;life_fac,1,IF(6=life_fac,0.5,0))+Sens!F16654*IF(5&lt;life_fac,1,IF(5=life_fac,0.5,0))+Sens!G16654*IF(4&lt;life_fac,1,IF(4=life_fac,0.5,0))+Sens!H16654*IF(3&lt;life_fac,1,IF(3=life_fac,0.5,0))+Sens!I16654*IF(2&lt;life_fac,1,IF(2=life_fac,0.5,0))+Sens!J16654*IF(1&lt;life_fac,1,IF(1=life_fac,0.5,0))+Sens!K16654*0.5)/life_fac</f>
        <v>8.86883104910662</v>
      </c>
    </row>
    <row r="16661" customFormat="false" ht="17.15" hidden="false" customHeight="false" outlineLevel="0" collapsed="false">
      <c r="A16661" s="0" t="s">
        <v>1001</v>
      </c>
      <c r="B16661" s="0" t="s">
        <v>98</v>
      </c>
      <c r="E16661" s="6" t="n">
        <f aca="false">Sens!E16659+Sens!E16660</f>
        <v>16.3054059770833</v>
      </c>
      <c r="F16661" s="6" t="n">
        <f aca="false">Sens!F16659+Sens!F16660</f>
        <v>34.5793144783516</v>
      </c>
      <c r="G16661" s="6" t="n">
        <f aca="false">Sens!G16659+Sens!G16660</f>
        <v>60.7344906522989</v>
      </c>
      <c r="H16661" s="6" t="n">
        <f aca="false">Sens!H16659+Sens!H16660</f>
        <v>89.1000906614457</v>
      </c>
      <c r="I16661" s="6" t="n">
        <f aca="false">Sens!I16659+Sens!I16660</f>
        <v>114.231009694548</v>
      </c>
      <c r="J16661" s="6" t="n">
        <f aca="false">Sens!J16659+Sens!J16660</f>
        <v>132.015673049596</v>
      </c>
      <c r="K16661" s="6" t="n">
        <f aca="false">Sens!K16659+Sens!K16660</f>
        <v>143.012669550934</v>
      </c>
    </row>
    <row r="16662" customFormat="false" ht="17.15" hidden="false" customHeight="false" outlineLevel="0" collapsed="false">
      <c r="A16662" s="0" t="s">
        <v>1002</v>
      </c>
      <c r="B16662" s="0" t="s">
        <v>98</v>
      </c>
      <c r="E16662" s="6" t="n">
        <f aca="false">Sens!E16649-Sens!E16648*Sens!E16661</f>
        <v>8.92707889977379</v>
      </c>
      <c r="F16662" s="6" t="n">
        <f aca="false">Sens!F16649-Sens!F16648*Sens!F16661</f>
        <v>18.7770356668733</v>
      </c>
      <c r="G16662" s="6" t="n">
        <f aca="false">Sens!G16649-Sens!G16648*Sens!G16661</f>
        <v>31.1163641458894</v>
      </c>
      <c r="H16662" s="6" t="n">
        <f aca="false">Sens!H16649-Sens!H16648*Sens!H16661</f>
        <v>43.7262635496428</v>
      </c>
      <c r="I16662" s="6" t="n">
        <f aca="false">Sens!I16649-Sens!I16648*Sens!I16661</f>
        <v>54.7541698336361</v>
      </c>
      <c r="J16662" s="6" t="n">
        <f aca="false">Sens!J16649-Sens!J16648*Sens!J16661</f>
        <v>62.3768819327658</v>
      </c>
      <c r="K16662" s="6" t="n">
        <f aca="false">Sens!K16649-Sens!K16648*Sens!K16661</f>
        <v>67.4820630434748</v>
      </c>
    </row>
    <row r="16663" customFormat="false" ht="17.15" hidden="false" customHeight="false" outlineLevel="0" collapsed="false">
      <c r="A16663" s="3" t="s">
        <v>1890</v>
      </c>
    </row>
    <row r="16664" customFormat="false" ht="15" hidden="false" customHeight="false" outlineLevel="0" collapsed="false">
      <c r="A16664" s="4" t="s">
        <v>43</v>
      </c>
      <c r="B16664" s="4" t="s">
        <v>65</v>
      </c>
      <c r="C16664" s="23" t="s">
        <v>938</v>
      </c>
      <c r="D16664" s="23" t="s">
        <v>939</v>
      </c>
      <c r="E16664" s="23" t="s">
        <v>940</v>
      </c>
      <c r="F16664" s="23" t="s">
        <v>941</v>
      </c>
      <c r="G16664" s="23" t="s">
        <v>942</v>
      </c>
      <c r="H16664" s="23" t="s">
        <v>943</v>
      </c>
      <c r="I16664" s="23" t="s">
        <v>944</v>
      </c>
      <c r="J16664" s="23" t="s">
        <v>945</v>
      </c>
      <c r="K16664" s="23" t="s">
        <v>946</v>
      </c>
      <c r="L16664" s="4" t="s">
        <v>47</v>
      </c>
    </row>
    <row r="16665" customFormat="false" ht="17.15" hidden="false" customHeight="false" outlineLevel="0" collapsed="false">
      <c r="A16665" s="0" t="s">
        <v>1021</v>
      </c>
      <c r="B16665" s="0" t="s">
        <v>98</v>
      </c>
      <c r="D16665" s="6" t="n">
        <f aca="false">Sens!D16643</f>
        <v>12.9359794422418</v>
      </c>
      <c r="E16665" s="6" t="n">
        <f aca="false">Sens!E16643</f>
        <v>27.8095064661409</v>
      </c>
      <c r="F16665" s="6" t="n">
        <f aca="false">Sens!F16643</f>
        <v>55.4118315060966</v>
      </c>
      <c r="G16665" s="6" t="n">
        <f aca="false">Sens!G16643</f>
        <v>91.2881100675143</v>
      </c>
      <c r="H16665" s="6" t="n">
        <f aca="false">Sens!H16643</f>
        <v>128.195273603944</v>
      </c>
      <c r="I16665" s="6" t="n">
        <f aca="false">Sens!I16643</f>
        <v>160.601281810405</v>
      </c>
      <c r="J16665" s="6" t="n">
        <f aca="false">Sens!J16643</f>
        <v>183.182719793589</v>
      </c>
      <c r="K16665" s="6" t="n">
        <f aca="false">Sens!K16643</f>
        <v>197.320124937098</v>
      </c>
    </row>
    <row r="16666" customFormat="false" ht="17.15" hidden="false" customHeight="false" outlineLevel="0" collapsed="false">
      <c r="A16666" s="0" t="s">
        <v>1022</v>
      </c>
      <c r="B16666" s="0" t="s">
        <v>98</v>
      </c>
      <c r="D16666" s="6" t="n">
        <f aca="false">Q!L6-Sens!D16665</f>
        <v>59.6740205577583</v>
      </c>
      <c r="E16666" s="6" t="n">
        <f aca="false">Q!M6-Sens!E16665</f>
        <v>74.1284935338591</v>
      </c>
      <c r="F16666" s="6" t="n">
        <f aca="false">Q!$I$6+(Sens!F16665+Sens!E16666*(1+Sens!F16667))*(1-Q!$E$6/Q!M6)-Sens!F16665</f>
        <v>91.2972164940844</v>
      </c>
      <c r="G16666" s="6" t="n">
        <f aca="false">Sens!F16666*(1+Sens!G16667)</f>
        <v>108.474719793879</v>
      </c>
      <c r="H16666" s="6" t="n">
        <f aca="false">Sens!G16666*(1+Sens!H16667)</f>
        <v>125.951292505701</v>
      </c>
      <c r="I16666" s="6" t="n">
        <f aca="false">Sens!H16666*(1+Sens!I16667)</f>
        <v>142.838165154212</v>
      </c>
      <c r="J16666" s="6" t="n">
        <f aca="false">Sens!I16666*(1+Sens!J16667)</f>
        <v>158.12717866615</v>
      </c>
      <c r="K16666" s="6" t="n">
        <f aca="false">Sens!J16666*(1+Sens!K16667)</f>
        <v>170.777352959442</v>
      </c>
      <c r="L16666" s="12" t="s">
        <v>1023</v>
      </c>
    </row>
    <row r="16667" customFormat="false" ht="15" hidden="false" customHeight="false" outlineLevel="0" collapsed="false">
      <c r="A16667" s="1" t="s">
        <v>1024</v>
      </c>
      <c r="B16667" s="0" t="s">
        <v>168</v>
      </c>
      <c r="E16667" s="7" t="n">
        <f aca="false">Sens!E16666/Sens!D16666-1</f>
        <v>0.242223883039864</v>
      </c>
      <c r="F16667" s="7" t="n">
        <f aca="false">Sens!$E$16667+(glt_azo-Sens!$E$16667)*MIN(1,(Sens!F16624-base_fy)/n_conv)</f>
        <v>0.215186569199887</v>
      </c>
      <c r="G16667" s="7" t="n">
        <f aca="false">Sens!$E$16667+(glt_azo-Sens!$E$16667)*MIN(1,(Sens!G16624-base_fy)/n_conv)</f>
        <v>0.18814925535991</v>
      </c>
      <c r="H16667" s="7" t="n">
        <f aca="false">Sens!$E$16667+(glt_azo-Sens!$E$16667)*MIN(1,(Sens!H16624-base_fy)/n_conv)</f>
        <v>0.161111941519932</v>
      </c>
      <c r="I16667" s="7" t="n">
        <f aca="false">Sens!$E$16667+(glt_azo-Sens!$E$16667)*MIN(1,(Sens!I16624-base_fy)/n_conv)</f>
        <v>0.134074627679955</v>
      </c>
      <c r="J16667" s="7" t="n">
        <f aca="false">Sens!$E$16667+(glt_azo-Sens!$E$16667)*MIN(1,(Sens!J16624-base_fy)/n_conv)</f>
        <v>0.107037313839977</v>
      </c>
      <c r="K16667" s="7" t="n">
        <f aca="false">Sens!$E$16667+(glt_azo-Sens!$E$16667)*MIN(1,(Sens!K16624-base_fy)/n_conv)</f>
        <v>0.08</v>
      </c>
    </row>
    <row r="16668" customFormat="false" ht="15" hidden="false" customHeight="false" outlineLevel="0" collapsed="false">
      <c r="A16668" s="0" t="s">
        <v>1025</v>
      </c>
      <c r="B16668" s="0" t="s">
        <v>98</v>
      </c>
      <c r="D16668" s="6" t="n">
        <f aca="false">Sens!D16665+Sens!D16666</f>
        <v>72.61</v>
      </c>
      <c r="E16668" s="6" t="n">
        <f aca="false">Sens!E16665+Sens!E16666</f>
        <v>101.938</v>
      </c>
      <c r="F16668" s="6" t="n">
        <f aca="false">Sens!F16665+Sens!F16666</f>
        <v>146.709048000181</v>
      </c>
      <c r="G16668" s="6" t="n">
        <f aca="false">Sens!G16665+Sens!G16666</f>
        <v>199.762829861393</v>
      </c>
      <c r="H16668" s="6" t="n">
        <f aca="false">Sens!H16665+Sens!H16666</f>
        <v>254.146566109645</v>
      </c>
      <c r="I16668" s="6" t="n">
        <f aca="false">Sens!I16665+Sens!I16666</f>
        <v>303.439446964617</v>
      </c>
      <c r="J16668" s="6" t="n">
        <f aca="false">Sens!J16665+Sens!J16666</f>
        <v>341.309898459739</v>
      </c>
      <c r="K16668" s="6" t="n">
        <f aca="false">Sens!K16665+Sens!K16666</f>
        <v>368.09747789654</v>
      </c>
    </row>
    <row r="16669" customFormat="false" ht="17.15" hidden="false" customHeight="false" outlineLevel="0" collapsed="false">
      <c r="A16669" s="0" t="s">
        <v>1026</v>
      </c>
      <c r="B16669" s="1" t="s">
        <v>610</v>
      </c>
      <c r="C16669" s="30" t="n">
        <f aca="false">cop_s24</f>
        <v>1</v>
      </c>
      <c r="D16669" s="30" t="n">
        <f aca="false">cop_s25</f>
        <v>5</v>
      </c>
      <c r="E16669" s="30" t="n">
        <f aca="false">cop_s26</f>
        <v>30</v>
      </c>
      <c r="F16669" s="30" t="n">
        <f aca="false">Sens!E16669+cop_add_B</f>
        <v>50</v>
      </c>
      <c r="G16669" s="30" t="n">
        <f aca="false">Sens!F16669+cop_add_B</f>
        <v>70</v>
      </c>
      <c r="H16669" s="30" t="n">
        <f aca="false">Sens!G16669+cop_add_B</f>
        <v>90</v>
      </c>
      <c r="I16669" s="30" t="n">
        <f aca="false">Sens!H16669+cop_add_B*cop_tail</f>
        <v>100</v>
      </c>
      <c r="J16669" s="30" t="n">
        <f aca="false">Sens!I16669+cop_add_B*cop_tail</f>
        <v>110</v>
      </c>
      <c r="K16669" s="30" t="n">
        <f aca="false">Sens!J16669+cop_add_B*cop_tail</f>
        <v>120</v>
      </c>
      <c r="L16669" s="12" t="s">
        <v>1027</v>
      </c>
    </row>
    <row r="16670" customFormat="false" ht="17.15" hidden="false" customHeight="false" outlineLevel="0" collapsed="false">
      <c r="A16670" s="0" t="s">
        <v>1028</v>
      </c>
      <c r="B16670" s="0" t="s">
        <v>98</v>
      </c>
      <c r="D16670" s="6" t="n">
        <f aca="false">(Sens!C16669+Sens!D16669)/2*cop_px*12/1000</f>
        <v>0.9</v>
      </c>
      <c r="E16670" s="6" t="n">
        <f aca="false">(Sens!D16669+Sens!E16669)/2*cop_px*12/1000</f>
        <v>5.25</v>
      </c>
      <c r="F16670" s="6" t="n">
        <f aca="false">(Sens!E16669+Sens!F16669)/2*cop_px*12/1000</f>
        <v>12</v>
      </c>
      <c r="G16670" s="6" t="n">
        <f aca="false">(Sens!F16669+Sens!G16669)/2*cop_px*12/1000</f>
        <v>18</v>
      </c>
      <c r="H16670" s="6" t="n">
        <f aca="false">(Sens!G16669+Sens!H16669)/2*cop_px*12/1000</f>
        <v>24</v>
      </c>
      <c r="I16670" s="6" t="n">
        <f aca="false">(Sens!H16669+Sens!I16669)/2*cop_px*12/1000</f>
        <v>28.5</v>
      </c>
      <c r="J16670" s="6" t="n">
        <f aca="false">(Sens!I16669+Sens!J16669)/2*cop_px*12/1000</f>
        <v>31.5</v>
      </c>
      <c r="K16670" s="6" t="n">
        <f aca="false">(Sens!J16669+Sens!K16669)/2*cop_px*12/1000</f>
        <v>34.5</v>
      </c>
      <c r="L16670" s="1" t="s">
        <v>1029</v>
      </c>
    </row>
    <row r="16671" customFormat="false" ht="17.15" hidden="false" customHeight="false" outlineLevel="0" collapsed="false">
      <c r="A16671" s="0" t="s">
        <v>1030</v>
      </c>
      <c r="B16671" s="0" t="s">
        <v>98</v>
      </c>
      <c r="D16671" s="6" t="n">
        <f aca="false">Q!L7-Sens!D16670</f>
        <v>83.705</v>
      </c>
      <c r="E16671" s="6" t="n">
        <f aca="false">Q!M7-Sens!E16670</f>
        <v>95.049</v>
      </c>
      <c r="F16671" s="6" t="n">
        <f aca="false">Q!$I$7+(Sens!E16671*(1+Sens!F16672)+Sens!F16670)*(1-Q!$E$7/Q!M7)-Sens!F16670</f>
        <v>106.584003697747</v>
      </c>
      <c r="G16671" s="6" t="n">
        <f aca="false">Sens!F16671*(1+Sens!G16672)</f>
        <v>118.700726545688</v>
      </c>
      <c r="H16671" s="6" t="n">
        <f aca="false">Sens!G16671*(1+Sens!H16672)</f>
        <v>130.898624783666</v>
      </c>
      <c r="I16671" s="6" t="n">
        <f aca="false">Sens!H16671*(1+Sens!I16672)</f>
        <v>142.920510030657</v>
      </c>
      <c r="J16671" s="6" t="n">
        <f aca="false">Sens!I16671*(1+Sens!J16672)</f>
        <v>154.485722618572</v>
      </c>
      <c r="K16671" s="6" t="n">
        <f aca="false">Sens!J16671*(1+Sens!K16672)</f>
        <v>165.299723201872</v>
      </c>
      <c r="L16671" s="12" t="s">
        <v>1031</v>
      </c>
    </row>
    <row r="16672" customFormat="false" ht="15" hidden="false" customHeight="false" outlineLevel="0" collapsed="false">
      <c r="A16672" s="1" t="s">
        <v>1024</v>
      </c>
      <c r="B16672" s="0" t="s">
        <v>168</v>
      </c>
      <c r="E16672" s="7" t="n">
        <f aca="false">Sens!E16671/Sens!D16671-1</f>
        <v>0.135523564900544</v>
      </c>
      <c r="F16672" s="7" t="n">
        <f aca="false">Sens!$E$16672+(glt_m365b-Sens!$E$16672)*MIN(1,(Sens!F16624-base_fy)/n_conv)</f>
        <v>0.124602970750453</v>
      </c>
      <c r="G16672" s="7" t="n">
        <f aca="false">Sens!$E$16672+(glt_m365b-Sens!$E$16672)*MIN(1,(Sens!G16624-base_fy)/n_conv)</f>
        <v>0.113682376600363</v>
      </c>
      <c r="H16672" s="7" t="n">
        <f aca="false">Sens!$E$16672+(glt_m365b-Sens!$E$16672)*MIN(1,(Sens!H16624-base_fy)/n_conv)</f>
        <v>0.102761782450272</v>
      </c>
      <c r="I16672" s="7" t="n">
        <f aca="false">Sens!$E$16672+(glt_m365b-Sens!$E$16672)*MIN(1,(Sens!I16624-base_fy)/n_conv)</f>
        <v>0.0918411883001813</v>
      </c>
      <c r="J16672" s="7" t="n">
        <f aca="false">Sens!$E$16672+(glt_m365b-Sens!$E$16672)*MIN(1,(Sens!J16624-base_fy)/n_conv)</f>
        <v>0.0809205941500906</v>
      </c>
      <c r="K16672" s="7" t="n">
        <f aca="false">Sens!$E$16672+(glt_m365b-Sens!$E$16672)*MIN(1,(Sens!K16624-base_fy)/n_conv)</f>
        <v>0.07</v>
      </c>
    </row>
    <row r="16673" customFormat="false" ht="15" hidden="false" customHeight="false" outlineLevel="0" collapsed="false">
      <c r="A16673" s="0" t="s">
        <v>1032</v>
      </c>
      <c r="B16673" s="0" t="s">
        <v>98</v>
      </c>
      <c r="D16673" s="6" t="n">
        <f aca="false">Sens!D16671+Sens!D16670</f>
        <v>84.605</v>
      </c>
      <c r="E16673" s="6" t="n">
        <f aca="false">Sens!E16671+Sens!E16670</f>
        <v>100.299</v>
      </c>
      <c r="F16673" s="6" t="n">
        <f aca="false">Sens!F16671+Sens!F16670</f>
        <v>118.584003697747</v>
      </c>
      <c r="G16673" s="6" t="n">
        <f aca="false">Sens!G16671+Sens!G16670</f>
        <v>136.700726545688</v>
      </c>
      <c r="H16673" s="6" t="n">
        <f aca="false">Sens!H16671+Sens!H16670</f>
        <v>154.898624783666</v>
      </c>
      <c r="I16673" s="6" t="n">
        <f aca="false">Sens!I16671+Sens!I16670</f>
        <v>171.420510030657</v>
      </c>
      <c r="J16673" s="6" t="n">
        <f aca="false">Sens!J16671+Sens!J16670</f>
        <v>185.985722618572</v>
      </c>
      <c r="K16673" s="6" t="n">
        <f aca="false">Sens!K16671+Sens!K16670</f>
        <v>199.799723201872</v>
      </c>
    </row>
    <row r="16674" customFormat="false" ht="17.15" hidden="false" customHeight="false" outlineLevel="0" collapsed="false">
      <c r="A16674" s="0" t="s">
        <v>1033</v>
      </c>
      <c r="B16674" s="0" t="s">
        <v>98</v>
      </c>
      <c r="D16674" s="6" t="n">
        <f aca="false">Q!L8</f>
        <v>35.391</v>
      </c>
      <c r="E16674" s="6" t="n">
        <f aca="false">Q!M8</f>
        <v>37.285</v>
      </c>
      <c r="F16674" s="6" t="n">
        <f aca="false">Q!$I$8+(Q!M8-Q!$E$8)*(1+Sens!F16675)</f>
        <v>38.3851437782675</v>
      </c>
      <c r="G16674" s="6" t="n">
        <f aca="false">Sens!F16674*(1+Sens!G16675)</f>
        <v>40.0105353288615</v>
      </c>
      <c r="H16674" s="6" t="n">
        <f aca="false">Sens!G16674*(1+Sens!H16675)</f>
        <v>41.4812512033683</v>
      </c>
      <c r="I16674" s="6" t="n">
        <f aca="false">Sens!H16674*(1+Sens!I16675)</f>
        <v>42.7743107216329</v>
      </c>
      <c r="J16674" s="6" t="n">
        <f aca="false">Sens!I16674*(1+Sens!J16675)</f>
        <v>43.8687373064601</v>
      </c>
      <c r="K16674" s="6" t="n">
        <f aca="false">Sens!J16674*(1+Sens!K16675)</f>
        <v>44.7461120525893</v>
      </c>
      <c r="L16674" s="12" t="s">
        <v>1034</v>
      </c>
    </row>
    <row r="16675" customFormat="false" ht="15" hidden="false" customHeight="false" outlineLevel="0" collapsed="false">
      <c r="A16675" s="1" t="s">
        <v>1024</v>
      </c>
      <c r="B16675" s="0" t="s">
        <v>168</v>
      </c>
      <c r="E16675" s="7" t="n">
        <f aca="false">Sens!E16674/Sens!D16674-1</f>
        <v>0.0535164307309768</v>
      </c>
      <c r="F16675" s="7" t="n">
        <f aca="false">Sens!$E$16675+(glt_lic-Sens!$E$16675)*MIN(1,(Sens!F16624-base_fy)/n_conv)</f>
        <v>0.0479303589424807</v>
      </c>
      <c r="G16675" s="7" t="n">
        <f aca="false">Sens!$E$16675+(glt_lic-Sens!$E$16675)*MIN(1,(Sens!G16624-base_fy)/n_conv)</f>
        <v>0.0423442871539845</v>
      </c>
      <c r="H16675" s="7" t="n">
        <f aca="false">Sens!$E$16675+(glt_lic-Sens!$E$16675)*MIN(1,(Sens!H16624-base_fy)/n_conv)</f>
        <v>0.0367582153654884</v>
      </c>
      <c r="I16675" s="7" t="n">
        <f aca="false">Sens!$E$16675+(glt_lic-Sens!$E$16675)*MIN(1,(Sens!I16624-base_fy)/n_conv)</f>
        <v>0.0311721435769923</v>
      </c>
      <c r="J16675" s="7" t="n">
        <f aca="false">Sens!$E$16675+(glt_lic-Sens!$E$16675)*MIN(1,(Sens!J16624-base_fy)/n_conv)</f>
        <v>0.0255860717884961</v>
      </c>
      <c r="K16675" s="7" t="n">
        <f aca="false">Sens!$E$16675+(glt_lic-Sens!$E$16675)*MIN(1,(Sens!K16624-base_fy)/n_conv)</f>
        <v>0.02</v>
      </c>
    </row>
    <row r="16676" customFormat="false" ht="17.15" hidden="false" customHeight="false" outlineLevel="0" collapsed="false">
      <c r="A16676" s="0" t="s">
        <v>1035</v>
      </c>
      <c r="B16676" s="0" t="s">
        <v>98</v>
      </c>
      <c r="D16676" s="6" t="n">
        <f aca="false">Q!L9</f>
        <v>18.417</v>
      </c>
      <c r="E16676" s="6" t="n">
        <f aca="false">Q!M9</f>
        <v>20.345</v>
      </c>
      <c r="F16676" s="6" t="n">
        <f aca="false">Q!$I$9+(Q!M9-Q!$E$9)*(1+Sens!F16677)</f>
        <v>22.3161797133988</v>
      </c>
      <c r="G16676" s="6" t="n">
        <f aca="false">Sens!F16676*(1+Sens!G16677)</f>
        <v>24.3943499673233</v>
      </c>
      <c r="H16676" s="6" t="n">
        <f aca="false">Sens!G16676*(1+Sens!H16677)</f>
        <v>26.5250243109019</v>
      </c>
      <c r="I16676" s="6" t="n">
        <f aca="false">Sens!H16676*(1+Sens!I16677)</f>
        <v>28.6884573538181</v>
      </c>
      <c r="J16676" s="6" t="n">
        <f aca="false">Sens!I16676*(1+Sens!J16677)</f>
        <v>30.8624968052127</v>
      </c>
      <c r="K16676" s="6" t="n">
        <f aca="false">Sens!J16676*(1+Sens!K16677)</f>
        <v>33.0228715815776</v>
      </c>
      <c r="L16676" s="12" t="s">
        <v>1034</v>
      </c>
    </row>
    <row r="16677" customFormat="false" ht="15" hidden="false" customHeight="false" outlineLevel="0" collapsed="false">
      <c r="A16677" s="1" t="s">
        <v>1024</v>
      </c>
      <c r="B16677" s="0" t="s">
        <v>168</v>
      </c>
      <c r="E16677" s="7" t="n">
        <f aca="false">Sens!E16676/Sens!D16676-1</f>
        <v>0.104685888038225</v>
      </c>
      <c r="F16677" s="7" t="n">
        <f aca="false">Sens!$E$16677+(glt_ind-Sens!$E$16677)*MIN(1,(Sens!F16624-base_fy)/n_conv)</f>
        <v>0.0989049066985211</v>
      </c>
      <c r="G16677" s="7" t="n">
        <f aca="false">Sens!$E$16677+(glt_ind-Sens!$E$16677)*MIN(1,(Sens!G16624-base_fy)/n_conv)</f>
        <v>0.0931239253588169</v>
      </c>
      <c r="H16677" s="7" t="n">
        <f aca="false">Sens!$E$16677+(glt_ind-Sens!$E$16677)*MIN(1,(Sens!H16624-base_fy)/n_conv)</f>
        <v>0.0873429440191127</v>
      </c>
      <c r="I16677" s="7" t="n">
        <f aca="false">Sens!$E$16677+(glt_ind-Sens!$E$16677)*MIN(1,(Sens!I16624-base_fy)/n_conv)</f>
        <v>0.0815619626794085</v>
      </c>
      <c r="J16677" s="7" t="n">
        <f aca="false">Sens!$E$16677+(glt_ind-Sens!$E$16677)*MIN(1,(Sens!J16624-base_fy)/n_conv)</f>
        <v>0.0757809813397042</v>
      </c>
      <c r="K16677" s="7" t="n">
        <f aca="false">Sens!$E$16677+(glt_ind-Sens!$E$16677)*MIN(1,(Sens!K16624-base_fy)/n_conv)</f>
        <v>0.07</v>
      </c>
    </row>
    <row r="16678" customFormat="false" ht="17.15" hidden="false" customHeight="false" outlineLevel="0" collapsed="false">
      <c r="A16678" s="0" t="s">
        <v>1036</v>
      </c>
      <c r="B16678" s="0" t="s">
        <v>98</v>
      </c>
      <c r="D16678" s="6" t="n">
        <f aca="false">Q!L10</f>
        <v>7.76</v>
      </c>
      <c r="E16678" s="6" t="n">
        <f aca="false">Q!M10</f>
        <v>8.26</v>
      </c>
      <c r="F16678" s="6" t="n">
        <f aca="false">Q!$I$10+(Q!M10-Q!$E$10)*(1+Sens!F16679)</f>
        <v>8.75372082474227</v>
      </c>
      <c r="G16678" s="6" t="n">
        <f aca="false">Sens!F16678*(1+Sens!G16679)</f>
        <v>9.33399324642364</v>
      </c>
      <c r="H16678" s="6" t="n">
        <f aca="false">Sens!G16678*(1+Sens!H16679)</f>
        <v>9.96139155535851</v>
      </c>
      <c r="I16678" s="6" t="n">
        <f aca="false">Sens!H16678*(1+Sens!I16679)</f>
        <v>10.6402039077391</v>
      </c>
      <c r="J16678" s="6" t="n">
        <f aca="false">Sens!I16678*(1+Sens!J16679)</f>
        <v>11.3751458271397</v>
      </c>
      <c r="K16678" s="6" t="n">
        <f aca="false">Sens!J16678*(1+Sens!K16679)</f>
        <v>12.1714060350394</v>
      </c>
      <c r="L16678" s="12" t="s">
        <v>1034</v>
      </c>
    </row>
    <row r="16679" customFormat="false" ht="15" hidden="false" customHeight="false" outlineLevel="0" collapsed="false">
      <c r="A16679" s="1" t="s">
        <v>1024</v>
      </c>
      <c r="B16679" s="0" t="s">
        <v>168</v>
      </c>
      <c r="E16679" s="7" t="n">
        <f aca="false">Sens!E16678/Sens!D16678-1</f>
        <v>0.0644329896907216</v>
      </c>
      <c r="F16679" s="7" t="n">
        <f aca="false">Sens!$E$16679+(glt_fro-Sens!$E$16679)*MIN(1,(Sens!F16624-base_fy)/n_conv)</f>
        <v>0.065360824742268</v>
      </c>
      <c r="G16679" s="7" t="n">
        <f aca="false">Sens!$E$16679+(glt_fro-Sens!$E$16679)*MIN(1,(Sens!G16624-base_fy)/n_conv)</f>
        <v>0.0662886597938144</v>
      </c>
      <c r="H16679" s="7" t="n">
        <f aca="false">Sens!$E$16679+(glt_fro-Sens!$E$16679)*MIN(1,(Sens!H16624-base_fy)/n_conv)</f>
        <v>0.0672164948453608</v>
      </c>
      <c r="I16679" s="7" t="n">
        <f aca="false">Sens!$E$16679+(glt_fro-Sens!$E$16679)*MIN(1,(Sens!I16624-base_fy)/n_conv)</f>
        <v>0.0681443298969072</v>
      </c>
      <c r="J16679" s="7" t="n">
        <f aca="false">Sens!$E$16679+(glt_fro-Sens!$E$16679)*MIN(1,(Sens!J16624-base_fy)/n_conv)</f>
        <v>0.0690721649484536</v>
      </c>
      <c r="K16679" s="7" t="n">
        <f aca="false">Sens!$E$16679+(glt_fro-Sens!$E$16679)*MIN(1,(Sens!K16624-base_fy)/n_conv)</f>
        <v>0.07</v>
      </c>
    </row>
    <row r="16680" customFormat="false" ht="15" hidden="false" customHeight="false" outlineLevel="0" collapsed="false">
      <c r="A16680" s="0" t="s">
        <v>852</v>
      </c>
      <c r="B16680" s="0" t="s">
        <v>98</v>
      </c>
      <c r="D16680" s="6" t="n">
        <f aca="false">Sens!D16668+Sens!D16673+Sens!D16674+Sens!D16676+Sens!D16678</f>
        <v>218.783</v>
      </c>
      <c r="E16680" s="6" t="n">
        <f aca="false">Sens!E16668+Sens!E16673+Sens!E16674+Sens!E16676+Sens!E16678</f>
        <v>268.127</v>
      </c>
      <c r="F16680" s="6" t="n">
        <f aca="false">Sens!F16668+Sens!F16673+Sens!F16674+Sens!F16676+Sens!F16678</f>
        <v>334.748096014336</v>
      </c>
      <c r="G16680" s="6" t="n">
        <f aca="false">Sens!G16668+Sens!G16673+Sens!G16674+Sens!G16676+Sens!G16678</f>
        <v>410.20243494969</v>
      </c>
      <c r="H16680" s="6" t="n">
        <f aca="false">Sens!H16668+Sens!H16673+Sens!H16674+Sens!H16676+Sens!H16678</f>
        <v>487.012857962939</v>
      </c>
      <c r="I16680" s="6" t="n">
        <f aca="false">Sens!I16668+Sens!I16673+Sens!I16674+Sens!I16676+Sens!I16678</f>
        <v>556.962928978464</v>
      </c>
      <c r="J16680" s="6" t="n">
        <f aca="false">Sens!J16668+Sens!J16673+Sens!J16674+Sens!J16676+Sens!J16678</f>
        <v>613.402001017124</v>
      </c>
      <c r="K16680" s="6" t="n">
        <f aca="false">Sens!K16668+Sens!K16673+Sens!K16674+Sens!K16676+Sens!K16678</f>
        <v>657.837590767618</v>
      </c>
    </row>
    <row r="16681" customFormat="false" ht="17.15" hidden="false" customHeight="false" outlineLevel="0" collapsed="false">
      <c r="A16681" s="0" t="s">
        <v>1037</v>
      </c>
      <c r="B16681" s="0" t="s">
        <v>98</v>
      </c>
      <c r="D16681" s="6" t="n">
        <f aca="false">Q!L13</f>
        <v>22.171</v>
      </c>
      <c r="E16681" s="6" t="n">
        <f aca="false">Q!M13</f>
        <v>24.835</v>
      </c>
      <c r="F16681" s="6" t="n">
        <f aca="false">Q!$I$13+(Q!M13-Q!$E$13)*(1+Sens!F16682)</f>
        <v>27.5591895660247</v>
      </c>
      <c r="G16681" s="6" t="n">
        <f aca="false">Sens!F16681*(1+Sens!G16682)</f>
        <v>30.4098563144583</v>
      </c>
      <c r="H16681" s="6" t="n">
        <f aca="false">Sens!G16681*(1+Sens!H16682)</f>
        <v>33.3011792571777</v>
      </c>
      <c r="I16681" s="6" t="n">
        <f aca="false">Sens!H16681*(1+Sens!I16682)</f>
        <v>36.189023797112</v>
      </c>
      <c r="J16681" s="6" t="n">
        <f aca="false">Sens!I16681*(1+Sens!J16682)</f>
        <v>39.0247773769199</v>
      </c>
      <c r="K16681" s="6" t="n">
        <f aca="false">Sens!J16681*(1+Sens!K16682)</f>
        <v>41.7565117933043</v>
      </c>
      <c r="L16681" s="12" t="s">
        <v>1034</v>
      </c>
    </row>
    <row r="16682" customFormat="false" ht="15" hidden="false" customHeight="false" outlineLevel="0" collapsed="false">
      <c r="A16682" s="1" t="s">
        <v>1024</v>
      </c>
      <c r="B16682" s="0" t="s">
        <v>168</v>
      </c>
      <c r="E16682" s="7" t="n">
        <f aca="false">Sens!E16681/Sens!D16681-1</f>
        <v>0.120156961796942</v>
      </c>
      <c r="F16682" s="7" t="n">
        <f aca="false">Sens!$E$16682+(glt_srch-Sens!$E$16682)*MIN(1,(Sens!F16624-base_fy)/n_conv)</f>
        <v>0.111797468164118</v>
      </c>
      <c r="G16682" s="7" t="n">
        <f aca="false">Sens!$E$16682+(glt_srch-Sens!$E$16682)*MIN(1,(Sens!G16624-base_fy)/n_conv)</f>
        <v>0.103437974531295</v>
      </c>
      <c r="H16682" s="7" t="n">
        <f aca="false">Sens!$E$16682+(glt_srch-Sens!$E$16682)*MIN(1,(Sens!H16624-base_fy)/n_conv)</f>
        <v>0.095078480898471</v>
      </c>
      <c r="I16682" s="7" t="n">
        <f aca="false">Sens!$E$16682+(glt_srch-Sens!$E$16682)*MIN(1,(Sens!I16624-base_fy)/n_conv)</f>
        <v>0.0867189872656474</v>
      </c>
      <c r="J16682" s="7" t="n">
        <f aca="false">Sens!$E$16682+(glt_srch-Sens!$E$16682)*MIN(1,(Sens!J16624-base_fy)/n_conv)</f>
        <v>0.0783594936328237</v>
      </c>
      <c r="K16682" s="7" t="n">
        <f aca="false">Sens!$E$16682+(glt_srch-Sens!$E$16682)*MIN(1,(Sens!K16624-base_fy)/n_conv)</f>
        <v>0.07</v>
      </c>
    </row>
    <row r="16683" customFormat="false" ht="17.15" hidden="false" customHeight="false" outlineLevel="0" collapsed="false">
      <c r="A16683" s="0" t="s">
        <v>1038</v>
      </c>
      <c r="B16683" s="0" t="s">
        <v>98</v>
      </c>
      <c r="D16683" s="6" t="n">
        <f aca="false">Q!L14</f>
        <v>23.455</v>
      </c>
      <c r="E16683" s="6" t="n">
        <f aca="false">Q!M14</f>
        <v>21.79</v>
      </c>
      <c r="F16683" s="6" t="n">
        <f aca="false">Q!$I$14+(Q!M14-Q!$E$14)*(1+Sens!F16684)</f>
        <v>20.7520981041711</v>
      </c>
      <c r="G16683" s="6" t="n">
        <f aca="false">Sens!F16683*(1+Sens!G16684)</f>
        <v>19.9083593495882</v>
      </c>
      <c r="H16683" s="6" t="n">
        <f aca="false">Sens!G16683*(1+Sens!H16684)</f>
        <v>19.4008256265831</v>
      </c>
      <c r="I16683" s="6" t="n">
        <f aca="false">Sens!H16683*(1+Sens!I16684)</f>
        <v>19.200434522122</v>
      </c>
      <c r="J16683" s="6" t="n">
        <f aca="false">Sens!I16683*(1+Sens!J16684)</f>
        <v>19.2932782348507</v>
      </c>
      <c r="K16683" s="6" t="n">
        <f aca="false">Sens!J16683*(1+Sens!K16684)</f>
        <v>19.6791437995477</v>
      </c>
      <c r="L16683" s="12" t="s">
        <v>1034</v>
      </c>
    </row>
    <row r="16684" customFormat="false" ht="15" hidden="false" customHeight="false" outlineLevel="0" collapsed="false">
      <c r="A16684" s="1" t="s">
        <v>1024</v>
      </c>
      <c r="B16684" s="0" t="s">
        <v>168</v>
      </c>
      <c r="E16684" s="7" t="n">
        <f aca="false">Sens!E16683/Sens!D16683-1</f>
        <v>-0.0709869963760392</v>
      </c>
      <c r="F16684" s="7" t="n">
        <f aca="false">Sens!$E$16684+(glt_xbox-Sens!$E$16684)*MIN(1,(Sens!F16624-base_fy)/n_conv)</f>
        <v>-0.0558224969800327</v>
      </c>
      <c r="G16684" s="7" t="n">
        <f aca="false">Sens!$E$16684+(glt_xbox-Sens!$E$16684)*MIN(1,(Sens!G16624-base_fy)/n_conv)</f>
        <v>-0.0406579975840262</v>
      </c>
      <c r="H16684" s="7" t="n">
        <f aca="false">Sens!$E$16684+(glt_xbox-Sens!$E$16684)*MIN(1,(Sens!H16624-base_fy)/n_conv)</f>
        <v>-0.0254934981880196</v>
      </c>
      <c r="I16684" s="7" t="n">
        <f aca="false">Sens!$E$16684+(glt_xbox-Sens!$E$16684)*MIN(1,(Sens!I16624-base_fy)/n_conv)</f>
        <v>-0.0103289987920131</v>
      </c>
      <c r="J16684" s="7" t="n">
        <f aca="false">Sens!$E$16684+(glt_xbox-Sens!$E$16684)*MIN(1,(Sens!J16624-base_fy)/n_conv)</f>
        <v>0.00483550060399347</v>
      </c>
      <c r="K16684" s="7" t="n">
        <f aca="false">Sens!$E$16684+(glt_xbox-Sens!$E$16684)*MIN(1,(Sens!K16624-base_fy)/n_conv)</f>
        <v>0.02</v>
      </c>
    </row>
    <row r="16685" customFormat="false" ht="17.15" hidden="false" customHeight="false" outlineLevel="0" collapsed="false">
      <c r="A16685" s="0" t="s">
        <v>1039</v>
      </c>
      <c r="B16685" s="0" t="s">
        <v>98</v>
      </c>
      <c r="D16685" s="6" t="n">
        <f aca="false">Q!L15</f>
        <v>17.315</v>
      </c>
      <c r="E16685" s="6" t="n">
        <f aca="false">Q!M15</f>
        <v>17.087</v>
      </c>
      <c r="F16685" s="6" t="n">
        <f aca="false">Q!$I$15+(Q!M15-Q!$E$15)*(1+Sens!F16686)</f>
        <v>15.9912273250553</v>
      </c>
      <c r="G16685" s="6" t="n">
        <f aca="false">Sens!F16685*(1+Sens!G16686)</f>
        <v>15.9574562664827</v>
      </c>
      <c r="H16685" s="6" t="n">
        <f aca="false">Sens!G16685*(1+Sens!H16686)</f>
        <v>16.0119687434196</v>
      </c>
      <c r="I16685" s="6" t="n">
        <f aca="false">Sens!H16685*(1+Sens!I16686)</f>
        <v>16.1551810001948</v>
      </c>
      <c r="J16685" s="6" t="n">
        <f aca="false">Sens!I16685*(1+Sens!J16686)</f>
        <v>16.3889793892005</v>
      </c>
      <c r="K16685" s="6" t="n">
        <f aca="false">Sens!J16685*(1+Sens!K16686)</f>
        <v>16.7167589769845</v>
      </c>
      <c r="L16685" s="12" t="s">
        <v>1034</v>
      </c>
    </row>
    <row r="16686" customFormat="false" ht="15" hidden="false" customHeight="false" outlineLevel="0" collapsed="false">
      <c r="A16686" s="1" t="s">
        <v>1024</v>
      </c>
      <c r="B16686" s="0" t="s">
        <v>168</v>
      </c>
      <c r="E16686" s="7" t="n">
        <f aca="false">Sens!E16685/Sens!D16685-1</f>
        <v>-0.0131677736066995</v>
      </c>
      <c r="F16686" s="7" t="n">
        <f aca="false">Sens!$E$16686+(glt_win-Sens!$E$16686)*MIN(1,(Sens!F16624-base_fy)/n_conv)</f>
        <v>-0.00763981133891627</v>
      </c>
      <c r="G16686" s="7" t="n">
        <f aca="false">Sens!$E$16686+(glt_win-Sens!$E$16686)*MIN(1,(Sens!G16624-base_fy)/n_conv)</f>
        <v>-0.00211184907113301</v>
      </c>
      <c r="H16686" s="7" t="n">
        <f aca="false">Sens!$E$16686+(glt_win-Sens!$E$16686)*MIN(1,(Sens!H16624-base_fy)/n_conv)</f>
        <v>0.00341611319665024</v>
      </c>
      <c r="I16686" s="7" t="n">
        <f aca="false">Sens!$E$16686+(glt_win-Sens!$E$16686)*MIN(1,(Sens!I16624-base_fy)/n_conv)</f>
        <v>0.00894407546443349</v>
      </c>
      <c r="J16686" s="7" t="n">
        <f aca="false">Sens!$E$16686+(glt_win-Sens!$E$16686)*MIN(1,(Sens!J16624-base_fy)/n_conv)</f>
        <v>0.0144720377322168</v>
      </c>
      <c r="K16686" s="7" t="n">
        <f aca="false">Sens!$E$16686+(glt_win-Sens!$E$16686)*MIN(1,(Sens!K16624-base_fy)/n_conv)</f>
        <v>0.02</v>
      </c>
    </row>
    <row r="16687" customFormat="false" ht="15" hidden="false" customHeight="false" outlineLevel="0" collapsed="false">
      <c r="A16687" s="0" t="s">
        <v>866</v>
      </c>
      <c r="B16687" s="0" t="s">
        <v>98</v>
      </c>
      <c r="D16687" s="6" t="n">
        <f aca="false">Sens!D16681+Sens!D16683+Sens!D16685</f>
        <v>62.941</v>
      </c>
      <c r="E16687" s="6" t="n">
        <f aca="false">Sens!E16681+Sens!E16683+Sens!E16685</f>
        <v>63.712</v>
      </c>
      <c r="F16687" s="6" t="n">
        <f aca="false">Sens!F16681+Sens!F16683+Sens!F16685</f>
        <v>64.3025149952511</v>
      </c>
      <c r="G16687" s="6" t="n">
        <f aca="false">Sens!G16681+Sens!G16683+Sens!G16685</f>
        <v>66.2756719305292</v>
      </c>
      <c r="H16687" s="6" t="n">
        <f aca="false">Sens!H16681+Sens!H16683+Sens!H16685</f>
        <v>68.7139736271804</v>
      </c>
      <c r="I16687" s="6" t="n">
        <f aca="false">Sens!I16681+Sens!I16683+Sens!I16685</f>
        <v>71.5446393194289</v>
      </c>
      <c r="J16687" s="6" t="n">
        <f aca="false">Sens!J16681+Sens!J16683+Sens!J16685</f>
        <v>74.707035000971</v>
      </c>
      <c r="K16687" s="6" t="n">
        <f aca="false">Sens!K16681+Sens!K16683+Sens!K16685</f>
        <v>78.1524145698365</v>
      </c>
    </row>
    <row r="16688" customFormat="false" ht="15" hidden="false" customHeight="false" outlineLevel="0" collapsed="false">
      <c r="A16688" s="1" t="s">
        <v>1040</v>
      </c>
      <c r="B16688" s="0" t="s">
        <v>98</v>
      </c>
      <c r="D16688" s="6" t="n">
        <f aca="false">Sens!D16680+Sens!D16687</f>
        <v>281.724</v>
      </c>
      <c r="E16688" s="6" t="n">
        <f aca="false">Sens!E16680+Sens!E16687</f>
        <v>331.839</v>
      </c>
      <c r="F16688" s="6" t="n">
        <f aca="false">Sens!F16680+Sens!F16687</f>
        <v>399.050611009588</v>
      </c>
      <c r="G16688" s="6" t="n">
        <f aca="false">Sens!G16680+Sens!G16687</f>
        <v>476.478106880219</v>
      </c>
      <c r="H16688" s="6" t="n">
        <f aca="false">Sens!H16680+Sens!H16687</f>
        <v>555.72683159012</v>
      </c>
      <c r="I16688" s="6" t="n">
        <f aca="false">Sens!I16680+Sens!I16687</f>
        <v>628.507568297893</v>
      </c>
      <c r="J16688" s="6" t="n">
        <f aca="false">Sens!J16680+Sens!J16687</f>
        <v>688.109036018095</v>
      </c>
      <c r="K16688" s="6" t="n">
        <f aca="false">Sens!K16680+Sens!K16687</f>
        <v>735.990005337455</v>
      </c>
    </row>
    <row r="16689" customFormat="false" ht="15" hidden="false" customHeight="false" outlineLevel="0" collapsed="false">
      <c r="A16689" s="26" t="s">
        <v>1041</v>
      </c>
      <c r="B16689" s="31" t="s">
        <v>98</v>
      </c>
      <c r="C16689" s="31"/>
      <c r="D16689" s="27" t="n">
        <f aca="false">(Sens!D16668+Sens!D16673+Sens!D16674+Sens!D16676+Sens!D16678-Sens!D16680)+(Sens!D16681+Sens!D16683+Sens!D16685-Sens!D16687)+(Sens!D16680-Q!L5)+(Sens!D16687-Q!L12)+(Sens!D16668-Q!L6)+(Sens!D16673-Q!L7)</f>
        <v>0</v>
      </c>
      <c r="E16689" s="27" t="n">
        <f aca="false">(Sens!E16668+Sens!E16673+Sens!E16674+Sens!E16676+Sens!E16678-Sens!E16680)+(Sens!E16681+Sens!E16683+Sens!E16685-Sens!E16687)+(Sens!E16680-Q!M5)+(Sens!E16687-Q!M12)+(Sens!E16668-Q!M6)+(Sens!E16673-Q!M7)</f>
        <v>0</v>
      </c>
      <c r="F16689" s="27" t="n">
        <f aca="false">(Sens!F16668+Sens!F16673+Sens!F16674+Sens!F16676+Sens!F16678-Sens!F16680)+(Sens!F16681+Sens!F16683+Sens!F16685-Sens!F16687)</f>
        <v>0</v>
      </c>
      <c r="G16689" s="27" t="n">
        <f aca="false">(Sens!G16668+Sens!G16673+Sens!G16674+Sens!G16676+Sens!G16678-Sens!G16680)+(Sens!G16681+Sens!G16683+Sens!G16685-Sens!G16687)</f>
        <v>0</v>
      </c>
      <c r="H16689" s="27" t="n">
        <f aca="false">(Sens!H16668+Sens!H16673+Sens!H16674+Sens!H16676+Sens!H16678-Sens!H16680)+(Sens!H16681+Sens!H16683+Sens!H16685-Sens!H16687)</f>
        <v>0</v>
      </c>
      <c r="I16689" s="27" t="n">
        <f aca="false">(Sens!I16668+Sens!I16673+Sens!I16674+Sens!I16676+Sens!I16678-Sens!I16680)+(Sens!I16681+Sens!I16683+Sens!I16685-Sens!I16687)</f>
        <v>0</v>
      </c>
      <c r="J16689" s="27" t="n">
        <f aca="false">(Sens!J16668+Sens!J16673+Sens!J16674+Sens!J16676+Sens!J16678-Sens!J16680)+(Sens!J16681+Sens!J16683+Sens!J16685-Sens!J16687)</f>
        <v>0</v>
      </c>
      <c r="K16689" s="27" t="n">
        <f aca="false">(Sens!K16668+Sens!K16673+Sens!K16674+Sens!K16676+Sens!K16678-Sens!K16680)+(Sens!K16681+Sens!K16683+Sens!K16685-Sens!K16687)</f>
        <v>0</v>
      </c>
    </row>
    <row r="16690" customFormat="false" ht="17.15" hidden="false" customHeight="false" outlineLevel="0" collapsed="false">
      <c r="A16690" s="3" t="s">
        <v>1891</v>
      </c>
    </row>
    <row r="16691" customFormat="false" ht="15" hidden="false" customHeight="false" outlineLevel="0" collapsed="false">
      <c r="A16691" s="4" t="s">
        <v>43</v>
      </c>
      <c r="B16691" s="4" t="s">
        <v>65</v>
      </c>
      <c r="C16691" s="23" t="s">
        <v>938</v>
      </c>
      <c r="D16691" s="23" t="s">
        <v>939</v>
      </c>
      <c r="E16691" s="23" t="s">
        <v>940</v>
      </c>
      <c r="F16691" s="23" t="s">
        <v>941</v>
      </c>
      <c r="G16691" s="23" t="s">
        <v>942</v>
      </c>
      <c r="H16691" s="23" t="s">
        <v>943</v>
      </c>
      <c r="I16691" s="23" t="s">
        <v>944</v>
      </c>
      <c r="J16691" s="23" t="s">
        <v>945</v>
      </c>
      <c r="K16691" s="23" t="s">
        <v>946</v>
      </c>
      <c r="L16691" s="4" t="s">
        <v>47</v>
      </c>
    </row>
    <row r="16692" customFormat="false" ht="15" hidden="false" customHeight="false" outlineLevel="0" collapsed="false">
      <c r="A16692" s="0" t="s">
        <v>1025</v>
      </c>
      <c r="B16692" s="0" t="s">
        <v>98</v>
      </c>
      <c r="D16692" s="6" t="n">
        <f aca="false">Sens!D16668</f>
        <v>72.61</v>
      </c>
      <c r="E16692" s="6" t="n">
        <f aca="false">Sens!E16668</f>
        <v>101.938</v>
      </c>
      <c r="F16692" s="6" t="n">
        <f aca="false">Sens!F16668</f>
        <v>146.709048000181</v>
      </c>
      <c r="G16692" s="6" t="n">
        <f aca="false">Sens!G16668</f>
        <v>199.762829861393</v>
      </c>
      <c r="H16692" s="6" t="n">
        <f aca="false">Sens!H16668</f>
        <v>254.146566109645</v>
      </c>
      <c r="I16692" s="6" t="n">
        <f aca="false">Sens!I16668</f>
        <v>303.439446964617</v>
      </c>
      <c r="J16692" s="6" t="n">
        <f aca="false">Sens!J16668</f>
        <v>341.309898459739</v>
      </c>
      <c r="K16692" s="6" t="n">
        <f aca="false">Sens!K16668</f>
        <v>368.09747789654</v>
      </c>
    </row>
    <row r="16693" customFormat="false" ht="17.15" hidden="false" customHeight="false" outlineLevel="0" collapsed="false">
      <c r="A16693" s="0" t="s">
        <v>1021</v>
      </c>
      <c r="B16693" s="0" t="s">
        <v>98</v>
      </c>
      <c r="D16693" s="6" t="n">
        <f aca="false">Sens!D16665</f>
        <v>12.9359794422418</v>
      </c>
      <c r="E16693" s="6" t="n">
        <f aca="false">Sens!E16665</f>
        <v>27.8095064661409</v>
      </c>
      <c r="F16693" s="6" t="n">
        <f aca="false">Sens!F16665</f>
        <v>55.4118315060966</v>
      </c>
      <c r="G16693" s="6" t="n">
        <f aca="false">Sens!G16665</f>
        <v>91.2881100675143</v>
      </c>
      <c r="H16693" s="6" t="n">
        <f aca="false">Sens!H16665</f>
        <v>128.195273603944</v>
      </c>
      <c r="I16693" s="6" t="n">
        <f aca="false">Sens!I16665</f>
        <v>160.601281810405</v>
      </c>
      <c r="J16693" s="6" t="n">
        <f aca="false">Sens!J16665</f>
        <v>183.182719793589</v>
      </c>
      <c r="K16693" s="6" t="n">
        <f aca="false">Sens!K16665</f>
        <v>197.320124937098</v>
      </c>
    </row>
    <row r="16694" customFormat="false" ht="17.15" hidden="false" customHeight="false" outlineLevel="0" collapsed="false">
      <c r="A16694" s="0" t="s">
        <v>1052</v>
      </c>
      <c r="B16694" s="0" t="s">
        <v>98</v>
      </c>
      <c r="D16694" s="6" t="n">
        <f aca="false">Sens!D16666</f>
        <v>59.6740205577583</v>
      </c>
      <c r="E16694" s="6" t="n">
        <f aca="false">Sens!E16666</f>
        <v>74.1284935338591</v>
      </c>
      <c r="F16694" s="6" t="n">
        <f aca="false">Sens!F16666</f>
        <v>91.2972164940844</v>
      </c>
      <c r="G16694" s="6" t="n">
        <f aca="false">Sens!G16666</f>
        <v>108.474719793879</v>
      </c>
      <c r="H16694" s="6" t="n">
        <f aca="false">Sens!H16666</f>
        <v>125.951292505701</v>
      </c>
      <c r="I16694" s="6" t="n">
        <f aca="false">Sens!I16666</f>
        <v>142.838165154212</v>
      </c>
      <c r="J16694" s="6" t="n">
        <f aca="false">Sens!J16666</f>
        <v>158.12717866615</v>
      </c>
      <c r="K16694" s="6" t="n">
        <f aca="false">Sens!K16666</f>
        <v>170.777352959442</v>
      </c>
    </row>
    <row r="16695" customFormat="false" ht="15" hidden="false" customHeight="false" outlineLevel="0" collapsed="false">
      <c r="A16695" s="0" t="s">
        <v>1032</v>
      </c>
      <c r="B16695" s="0" t="s">
        <v>98</v>
      </c>
      <c r="D16695" s="6" t="n">
        <f aca="false">Sens!D16673</f>
        <v>84.605</v>
      </c>
      <c r="E16695" s="6" t="n">
        <f aca="false">Sens!E16673</f>
        <v>100.299</v>
      </c>
      <c r="F16695" s="6" t="n">
        <f aca="false">Sens!F16673</f>
        <v>118.584003697747</v>
      </c>
      <c r="G16695" s="6" t="n">
        <f aca="false">Sens!G16673</f>
        <v>136.700726545688</v>
      </c>
      <c r="H16695" s="6" t="n">
        <f aca="false">Sens!H16673</f>
        <v>154.898624783666</v>
      </c>
      <c r="I16695" s="6" t="n">
        <f aca="false">Sens!I16673</f>
        <v>171.420510030657</v>
      </c>
      <c r="J16695" s="6" t="n">
        <f aca="false">Sens!J16673</f>
        <v>185.985722618572</v>
      </c>
      <c r="K16695" s="6" t="n">
        <f aca="false">Sens!K16673</f>
        <v>199.799723201872</v>
      </c>
    </row>
    <row r="16696" customFormat="false" ht="17.15" hidden="false" customHeight="false" outlineLevel="0" collapsed="false">
      <c r="A16696" s="0" t="s">
        <v>1053</v>
      </c>
      <c r="B16696" s="0" t="s">
        <v>98</v>
      </c>
      <c r="D16696" s="6" t="n">
        <f aca="false">Sens!D16671</f>
        <v>83.705</v>
      </c>
      <c r="E16696" s="6" t="n">
        <f aca="false">Sens!E16671</f>
        <v>95.049</v>
      </c>
      <c r="F16696" s="6" t="n">
        <f aca="false">Sens!F16671</f>
        <v>106.584003697747</v>
      </c>
      <c r="G16696" s="6" t="n">
        <f aca="false">Sens!G16671</f>
        <v>118.700726545688</v>
      </c>
      <c r="H16696" s="6" t="n">
        <f aca="false">Sens!H16671</f>
        <v>130.898624783666</v>
      </c>
      <c r="I16696" s="6" t="n">
        <f aca="false">Sens!I16671</f>
        <v>142.920510030657</v>
      </c>
      <c r="J16696" s="6" t="n">
        <f aca="false">Sens!J16671</f>
        <v>154.485722618572</v>
      </c>
      <c r="K16696" s="6" t="n">
        <f aca="false">Sens!K16671</f>
        <v>165.299723201872</v>
      </c>
    </row>
    <row r="16697" customFormat="false" ht="17.15" hidden="false" customHeight="false" outlineLevel="0" collapsed="false">
      <c r="A16697" s="0" t="s">
        <v>1054</v>
      </c>
      <c r="B16697" s="0" t="s">
        <v>98</v>
      </c>
      <c r="D16697" s="6" t="n">
        <f aca="false">Sens!D16670</f>
        <v>0.9</v>
      </c>
      <c r="E16697" s="6" t="n">
        <f aca="false">Sens!E16670</f>
        <v>5.25</v>
      </c>
      <c r="F16697" s="6" t="n">
        <f aca="false">Sens!F16670</f>
        <v>12</v>
      </c>
      <c r="G16697" s="6" t="n">
        <f aca="false">Sens!G16670</f>
        <v>18</v>
      </c>
      <c r="H16697" s="6" t="n">
        <f aca="false">Sens!H16670</f>
        <v>24</v>
      </c>
      <c r="I16697" s="6" t="n">
        <f aca="false">Sens!I16670</f>
        <v>28.5</v>
      </c>
      <c r="J16697" s="6" t="n">
        <f aca="false">Sens!J16670</f>
        <v>31.5</v>
      </c>
      <c r="K16697" s="6" t="n">
        <f aca="false">Sens!K16670</f>
        <v>34.5</v>
      </c>
    </row>
    <row r="16698" customFormat="false" ht="15" hidden="false" customHeight="false" outlineLevel="0" collapsed="false">
      <c r="A16698" s="0" t="s">
        <v>1033</v>
      </c>
      <c r="B16698" s="0" t="s">
        <v>98</v>
      </c>
      <c r="D16698" s="6" t="n">
        <f aca="false">Sens!D16674</f>
        <v>35.391</v>
      </c>
      <c r="E16698" s="6" t="n">
        <f aca="false">Sens!E16674</f>
        <v>37.285</v>
      </c>
      <c r="F16698" s="6" t="n">
        <f aca="false">Sens!F16674</f>
        <v>38.3851437782675</v>
      </c>
      <c r="G16698" s="6" t="n">
        <f aca="false">Sens!G16674</f>
        <v>40.0105353288615</v>
      </c>
      <c r="H16698" s="6" t="n">
        <f aca="false">Sens!H16674</f>
        <v>41.4812512033683</v>
      </c>
      <c r="I16698" s="6" t="n">
        <f aca="false">Sens!I16674</f>
        <v>42.7743107216329</v>
      </c>
      <c r="J16698" s="6" t="n">
        <f aca="false">Sens!J16674</f>
        <v>43.8687373064601</v>
      </c>
      <c r="K16698" s="6" t="n">
        <f aca="false">Sens!K16674</f>
        <v>44.7461120525893</v>
      </c>
    </row>
    <row r="16699" customFormat="false" ht="15" hidden="false" customHeight="false" outlineLevel="0" collapsed="false">
      <c r="A16699" s="0" t="s">
        <v>1035</v>
      </c>
      <c r="B16699" s="0" t="s">
        <v>98</v>
      </c>
      <c r="D16699" s="6" t="n">
        <f aca="false">Sens!D16676</f>
        <v>18.417</v>
      </c>
      <c r="E16699" s="6" t="n">
        <f aca="false">Sens!E16676</f>
        <v>20.345</v>
      </c>
      <c r="F16699" s="6" t="n">
        <f aca="false">Sens!F16676</f>
        <v>22.3161797133988</v>
      </c>
      <c r="G16699" s="6" t="n">
        <f aca="false">Sens!G16676</f>
        <v>24.3943499673233</v>
      </c>
      <c r="H16699" s="6" t="n">
        <f aca="false">Sens!H16676</f>
        <v>26.5250243109019</v>
      </c>
      <c r="I16699" s="6" t="n">
        <f aca="false">Sens!I16676</f>
        <v>28.6884573538181</v>
      </c>
      <c r="J16699" s="6" t="n">
        <f aca="false">Sens!J16676</f>
        <v>30.8624968052127</v>
      </c>
      <c r="K16699" s="6" t="n">
        <f aca="false">Sens!K16676</f>
        <v>33.0228715815776</v>
      </c>
    </row>
    <row r="16700" customFormat="false" ht="15" hidden="false" customHeight="false" outlineLevel="0" collapsed="false">
      <c r="A16700" s="0" t="s">
        <v>1036</v>
      </c>
      <c r="B16700" s="0" t="s">
        <v>98</v>
      </c>
      <c r="D16700" s="6" t="n">
        <f aca="false">Sens!D16678</f>
        <v>7.76</v>
      </c>
      <c r="E16700" s="6" t="n">
        <f aca="false">Sens!E16678</f>
        <v>8.26</v>
      </c>
      <c r="F16700" s="6" t="n">
        <f aca="false">Sens!F16678</f>
        <v>8.75372082474227</v>
      </c>
      <c r="G16700" s="6" t="n">
        <f aca="false">Sens!G16678</f>
        <v>9.33399324642364</v>
      </c>
      <c r="H16700" s="6" t="n">
        <f aca="false">Sens!H16678</f>
        <v>9.96139155535851</v>
      </c>
      <c r="I16700" s="6" t="n">
        <f aca="false">Sens!I16678</f>
        <v>10.6402039077391</v>
      </c>
      <c r="J16700" s="6" t="n">
        <f aca="false">Sens!J16678</f>
        <v>11.3751458271397</v>
      </c>
      <c r="K16700" s="6" t="n">
        <f aca="false">Sens!K16678</f>
        <v>12.1714060350394</v>
      </c>
    </row>
    <row r="16701" customFormat="false" ht="15" hidden="false" customHeight="false" outlineLevel="0" collapsed="false">
      <c r="A16701" s="0" t="s">
        <v>852</v>
      </c>
      <c r="B16701" s="0" t="s">
        <v>98</v>
      </c>
      <c r="D16701" s="6" t="n">
        <f aca="false">Sens!D16680</f>
        <v>218.783</v>
      </c>
      <c r="E16701" s="6" t="n">
        <f aca="false">Sens!E16680</f>
        <v>268.127</v>
      </c>
      <c r="F16701" s="6" t="n">
        <f aca="false">Sens!F16680</f>
        <v>334.748096014336</v>
      </c>
      <c r="G16701" s="6" t="n">
        <f aca="false">Sens!G16680</f>
        <v>410.20243494969</v>
      </c>
      <c r="H16701" s="6" t="n">
        <f aca="false">Sens!H16680</f>
        <v>487.012857962939</v>
      </c>
      <c r="I16701" s="6" t="n">
        <f aca="false">Sens!I16680</f>
        <v>556.962928978464</v>
      </c>
      <c r="J16701" s="6" t="n">
        <f aca="false">Sens!J16680</f>
        <v>613.402001017124</v>
      </c>
      <c r="K16701" s="6" t="n">
        <f aca="false">Sens!K16680</f>
        <v>657.837590767618</v>
      </c>
    </row>
    <row r="16702" customFormat="false" ht="15" hidden="false" customHeight="false" outlineLevel="0" collapsed="false">
      <c r="A16702" s="0" t="s">
        <v>1037</v>
      </c>
      <c r="B16702" s="0" t="s">
        <v>98</v>
      </c>
      <c r="D16702" s="6" t="n">
        <f aca="false">Sens!D16681</f>
        <v>22.171</v>
      </c>
      <c r="E16702" s="6" t="n">
        <f aca="false">Sens!E16681</f>
        <v>24.835</v>
      </c>
      <c r="F16702" s="6" t="n">
        <f aca="false">Sens!F16681</f>
        <v>27.5591895660247</v>
      </c>
      <c r="G16702" s="6" t="n">
        <f aca="false">Sens!G16681</f>
        <v>30.4098563144583</v>
      </c>
      <c r="H16702" s="6" t="n">
        <f aca="false">Sens!H16681</f>
        <v>33.3011792571777</v>
      </c>
      <c r="I16702" s="6" t="n">
        <f aca="false">Sens!I16681</f>
        <v>36.189023797112</v>
      </c>
      <c r="J16702" s="6" t="n">
        <f aca="false">Sens!J16681</f>
        <v>39.0247773769199</v>
      </c>
      <c r="K16702" s="6" t="n">
        <f aca="false">Sens!K16681</f>
        <v>41.7565117933043</v>
      </c>
    </row>
    <row r="16703" customFormat="false" ht="15" hidden="false" customHeight="false" outlineLevel="0" collapsed="false">
      <c r="A16703" s="0" t="s">
        <v>1038</v>
      </c>
      <c r="B16703" s="0" t="s">
        <v>98</v>
      </c>
      <c r="D16703" s="6" t="n">
        <f aca="false">Sens!D16683</f>
        <v>23.455</v>
      </c>
      <c r="E16703" s="6" t="n">
        <f aca="false">Sens!E16683</f>
        <v>21.79</v>
      </c>
      <c r="F16703" s="6" t="n">
        <f aca="false">Sens!F16683</f>
        <v>20.7520981041711</v>
      </c>
      <c r="G16703" s="6" t="n">
        <f aca="false">Sens!G16683</f>
        <v>19.9083593495882</v>
      </c>
      <c r="H16703" s="6" t="n">
        <f aca="false">Sens!H16683</f>
        <v>19.4008256265831</v>
      </c>
      <c r="I16703" s="6" t="n">
        <f aca="false">Sens!I16683</f>
        <v>19.200434522122</v>
      </c>
      <c r="J16703" s="6" t="n">
        <f aca="false">Sens!J16683</f>
        <v>19.2932782348507</v>
      </c>
      <c r="K16703" s="6" t="n">
        <f aca="false">Sens!K16683</f>
        <v>19.6791437995477</v>
      </c>
    </row>
    <row r="16704" customFormat="false" ht="15" hidden="false" customHeight="false" outlineLevel="0" collapsed="false">
      <c r="A16704" s="0" t="s">
        <v>1039</v>
      </c>
      <c r="B16704" s="0" t="s">
        <v>98</v>
      </c>
      <c r="D16704" s="6" t="n">
        <f aca="false">Sens!D16685</f>
        <v>17.315</v>
      </c>
      <c r="E16704" s="6" t="n">
        <f aca="false">Sens!E16685</f>
        <v>17.087</v>
      </c>
      <c r="F16704" s="6" t="n">
        <f aca="false">Sens!F16685</f>
        <v>15.9912273250553</v>
      </c>
      <c r="G16704" s="6" t="n">
        <f aca="false">Sens!G16685</f>
        <v>15.9574562664827</v>
      </c>
      <c r="H16704" s="6" t="n">
        <f aca="false">Sens!H16685</f>
        <v>16.0119687434196</v>
      </c>
      <c r="I16704" s="6" t="n">
        <f aca="false">Sens!I16685</f>
        <v>16.1551810001948</v>
      </c>
      <c r="J16704" s="6" t="n">
        <f aca="false">Sens!J16685</f>
        <v>16.3889793892005</v>
      </c>
      <c r="K16704" s="6" t="n">
        <f aca="false">Sens!K16685</f>
        <v>16.7167589769845</v>
      </c>
    </row>
    <row r="16705" customFormat="false" ht="15" hidden="false" customHeight="false" outlineLevel="0" collapsed="false">
      <c r="A16705" s="0" t="s">
        <v>866</v>
      </c>
      <c r="B16705" s="0" t="s">
        <v>98</v>
      </c>
      <c r="D16705" s="6" t="n">
        <f aca="false">Sens!D16687</f>
        <v>62.941</v>
      </c>
      <c r="E16705" s="6" t="n">
        <f aca="false">Sens!E16687</f>
        <v>63.712</v>
      </c>
      <c r="F16705" s="6" t="n">
        <f aca="false">Sens!F16687</f>
        <v>64.3025149952511</v>
      </c>
      <c r="G16705" s="6" t="n">
        <f aca="false">Sens!G16687</f>
        <v>66.2756719305292</v>
      </c>
      <c r="H16705" s="6" t="n">
        <f aca="false">Sens!H16687</f>
        <v>68.7139736271804</v>
      </c>
      <c r="I16705" s="6" t="n">
        <f aca="false">Sens!I16687</f>
        <v>71.5446393194289</v>
      </c>
      <c r="J16705" s="6" t="n">
        <f aca="false">Sens!J16687</f>
        <v>74.707035000971</v>
      </c>
      <c r="K16705" s="6" t="n">
        <f aca="false">Sens!K16687</f>
        <v>78.1524145698365</v>
      </c>
    </row>
    <row r="16706" customFormat="false" ht="15" hidden="false" customHeight="false" outlineLevel="0" collapsed="false">
      <c r="A16706" s="1" t="s">
        <v>1055</v>
      </c>
      <c r="B16706" s="0" t="s">
        <v>98</v>
      </c>
      <c r="D16706" s="6" t="n">
        <f aca="false">Sens!D16688</f>
        <v>281.724</v>
      </c>
      <c r="E16706" s="6" t="n">
        <f aca="false">Sens!E16688</f>
        <v>331.839</v>
      </c>
      <c r="F16706" s="6" t="n">
        <f aca="false">Sens!F16688</f>
        <v>399.050611009588</v>
      </c>
      <c r="G16706" s="6" t="n">
        <f aca="false">Sens!G16688</f>
        <v>476.478106880219</v>
      </c>
      <c r="H16706" s="6" t="n">
        <f aca="false">Sens!H16688</f>
        <v>555.72683159012</v>
      </c>
      <c r="I16706" s="6" t="n">
        <f aca="false">Sens!I16688</f>
        <v>628.507568297893</v>
      </c>
      <c r="J16706" s="6" t="n">
        <f aca="false">Sens!J16688</f>
        <v>688.109036018095</v>
      </c>
      <c r="K16706" s="6" t="n">
        <f aca="false">Sens!K16688</f>
        <v>735.990005337455</v>
      </c>
    </row>
    <row r="16707" customFormat="false" ht="15" hidden="false" customHeight="false" outlineLevel="0" collapsed="false">
      <c r="A16707" s="1" t="s">
        <v>1056</v>
      </c>
      <c r="B16707" s="0" t="s">
        <v>168</v>
      </c>
      <c r="E16707" s="7" t="n">
        <f aca="false">Sens!E16706/Sens!D16706-1</f>
        <v>0.177886867998467</v>
      </c>
      <c r="F16707" s="7" t="n">
        <f aca="false">Sens!F16706/Sens!E16706-1</f>
        <v>0.202542832547071</v>
      </c>
      <c r="G16707" s="7" t="n">
        <f aca="false">Sens!G16706/Sens!F16706-1</f>
        <v>0.194029262791359</v>
      </c>
      <c r="H16707" s="7" t="n">
        <f aca="false">Sens!H16706/Sens!G16706-1</f>
        <v>0.166321859421387</v>
      </c>
      <c r="I16707" s="7" t="n">
        <f aca="false">Sens!I16706/Sens!H16706-1</f>
        <v>0.13096494999085</v>
      </c>
      <c r="J16707" s="7" t="n">
        <f aca="false">Sens!J16706/Sens!I16706-1</f>
        <v>0.0948301511811749</v>
      </c>
      <c r="K16707" s="7" t="n">
        <f aca="false">Sens!K16706/Sens!J16706-1</f>
        <v>0.0695834043924704</v>
      </c>
    </row>
    <row r="16708" customFormat="false" ht="17.15" hidden="false" customHeight="false" outlineLevel="0" collapsed="false">
      <c r="A16708" s="26" t="s">
        <v>1057</v>
      </c>
      <c r="B16708" s="31" t="s">
        <v>98</v>
      </c>
      <c r="C16708" s="31"/>
      <c r="D16708" s="27" t="n">
        <f aca="false">(Sens!D16701+Sens!D16705-Sens!D16706)+(Sens!D16693+Sens!D16694-Sens!D16692)+(Sens!D16696+Sens!D16697-Sens!D16695)+(Sens!D16706-Q!L18)</f>
        <v>0</v>
      </c>
      <c r="E16708" s="27" t="n">
        <f aca="false">(Sens!E16701+Sens!E16705-Sens!E16706)+(Sens!E16693+Sens!E16694-Sens!E16692)+(Sens!E16696+Sens!E16697-Sens!E16695)+(Sens!E16706-Q!M18)</f>
        <v>0</v>
      </c>
      <c r="F16708" s="27" t="n">
        <f aca="false">(Sens!F16701+Sens!F16705-Sens!F16706)+(Sens!F16693+Sens!F16694-Sens!F16692)+(Sens!F16696+Sens!F16697-Sens!F16695)</f>
        <v>0</v>
      </c>
      <c r="G16708" s="27" t="n">
        <f aca="false">(Sens!G16701+Sens!G16705-Sens!G16706)+(Sens!G16693+Sens!G16694-Sens!G16692)+(Sens!G16696+Sens!G16697-Sens!G16695)</f>
        <v>0</v>
      </c>
      <c r="H16708" s="27" t="n">
        <f aca="false">(Sens!H16701+Sens!H16705-Sens!H16706)+(Sens!H16693+Sens!H16694-Sens!H16692)+(Sens!H16696+Sens!H16697-Sens!H16695)</f>
        <v>0</v>
      </c>
      <c r="I16708" s="27" t="n">
        <f aca="false">(Sens!I16701+Sens!I16705-Sens!I16706)+(Sens!I16693+Sens!I16694-Sens!I16692)+(Sens!I16696+Sens!I16697-Sens!I16695)</f>
        <v>0</v>
      </c>
      <c r="J16708" s="27" t="n">
        <f aca="false">(Sens!J16701+Sens!J16705-Sens!J16706)+(Sens!J16693+Sens!J16694-Sens!J16692)+(Sens!J16696+Sens!J16697-Sens!J16695)</f>
        <v>0</v>
      </c>
      <c r="K16708" s="27" t="n">
        <f aca="false">(Sens!K16701+Sens!K16705-Sens!K16706)+(Sens!K16693+Sens!K16694-Sens!K16692)+(Sens!K16696+Sens!K16697-Sens!K16695)</f>
        <v>0</v>
      </c>
    </row>
    <row r="16709" customFormat="false" ht="17.15" hidden="false" customHeight="false" outlineLevel="0" collapsed="false">
      <c r="A16709" s="0" t="s">
        <v>1058</v>
      </c>
      <c r="B16709" s="0" t="s">
        <v>168</v>
      </c>
      <c r="E16709" s="7" t="n">
        <f aca="false">(Q!M21+Sens!E16645+Sens!E16646+Sens!E16647+Sens!E16661-Sens!E16643)/(Q!M5-Sens!E16643)</f>
        <v>0.570957350878296</v>
      </c>
      <c r="F16709" s="7" t="n">
        <f aca="false">Sens!$E$16709+dm_seg</f>
        <v>0.570957350878296</v>
      </c>
      <c r="G16709" s="7" t="n">
        <f aca="false">Sens!$E$16709+dm_seg</f>
        <v>0.570957350878296</v>
      </c>
      <c r="H16709" s="7" t="n">
        <f aca="false">Sens!$E$16709+dm_seg</f>
        <v>0.570957350878296</v>
      </c>
      <c r="I16709" s="7" t="n">
        <f aca="false">Sens!$E$16709+dm_seg</f>
        <v>0.570957350878296</v>
      </c>
      <c r="J16709" s="7" t="n">
        <f aca="false">Sens!$E$16709+dm_seg</f>
        <v>0.570957350878296</v>
      </c>
      <c r="K16709" s="7" t="n">
        <f aca="false">Sens!$E$16709+dm_seg</f>
        <v>0.570957350878296</v>
      </c>
      <c r="L16709" s="12" t="s">
        <v>1059</v>
      </c>
    </row>
    <row r="16710" customFormat="false" ht="17.15" hidden="false" customHeight="false" outlineLevel="0" collapsed="false">
      <c r="A16710" s="0" t="s">
        <v>880</v>
      </c>
      <c r="B16710" s="0" t="s">
        <v>98</v>
      </c>
      <c r="D16710" s="6" t="n">
        <f aca="false">Q!L21</f>
        <v>110.814</v>
      </c>
      <c r="E16710" s="6" t="n">
        <f aca="false">Q!M21</f>
        <v>136.365</v>
      </c>
      <c r="F16710" s="6" t="n">
        <f aca="false">Q!$I$21+(Sens!F16709*(Sens!F16680-Sens!F16643)+Sens!F16643-(Sens!F16645+Sens!F16646+Sens!F16647)-Sens!F16661-Sens!F16744)*(Sens!F16680-Q!$I$5)/Sens!F16680</f>
        <v>162.089887157538</v>
      </c>
      <c r="G16710" s="6" t="n">
        <f aca="false">(Sens!G16709*(Sens!G16680-Sens!G16643)+Sens!G16643-(Sens!G16645+Sens!G16646+Sens!G16647)-Sens!G16661-Sens!G16744)</f>
        <v>177.568903205394</v>
      </c>
      <c r="H16710" s="6" t="n">
        <f aca="false">(Sens!H16709*(Sens!H16680-Sens!H16643)+Sens!H16643-(Sens!H16645+Sens!H16646+Sens!H16647)-Sens!H16661-Sens!H16744)</f>
        <v>196.763686018119</v>
      </c>
      <c r="I16710" s="6" t="n">
        <f aca="false">(Sens!I16709*(Sens!I16680-Sens!I16643)+Sens!I16643-(Sens!I16645+Sens!I16646+Sens!I16647)-Sens!I16661-Sens!I16744)</f>
        <v>214.975583154087</v>
      </c>
      <c r="J16710" s="6" t="n">
        <f aca="false">(Sens!J16709*(Sens!J16680-Sens!J16643)+Sens!J16643-(Sens!J16645+Sens!J16646+Sens!J16647)-Sens!J16661-Sens!J16744)</f>
        <v>231.957076519688</v>
      </c>
      <c r="K16710" s="6" t="n">
        <f aca="false">(Sens!K16709*(Sens!K16680-Sens!K16643)+Sens!K16643-(Sens!K16645+Sens!K16646+Sens!K16647)-Sens!K16661-Sens!K16744)</f>
        <v>248.339746289158</v>
      </c>
      <c r="L16710" s="1" t="s">
        <v>1060</v>
      </c>
    </row>
    <row r="16711" customFormat="false" ht="17.15" hidden="false" customHeight="false" outlineLevel="0" collapsed="false">
      <c r="A16711" s="0" t="s">
        <v>1061</v>
      </c>
      <c r="B16711" s="0" t="s">
        <v>168</v>
      </c>
      <c r="E16711" s="7" t="n">
        <f aca="false">Q!M22/Q!M12</f>
        <v>0.296207935710698</v>
      </c>
      <c r="F16711" s="7" t="n">
        <f aca="false">Sens!$E$16711+dm_seg</f>
        <v>0.296207935710698</v>
      </c>
      <c r="G16711" s="7" t="n">
        <f aca="false">Sens!$E$16711+dm_seg</f>
        <v>0.296207935710698</v>
      </c>
      <c r="H16711" s="7" t="n">
        <f aca="false">Sens!$E$16711+dm_seg</f>
        <v>0.296207935710698</v>
      </c>
      <c r="I16711" s="7" t="n">
        <f aca="false">Sens!$E$16711+dm_seg</f>
        <v>0.296207935710698</v>
      </c>
      <c r="J16711" s="7" t="n">
        <f aca="false">Sens!$E$16711+dm_seg</f>
        <v>0.296207935710698</v>
      </c>
      <c r="K16711" s="7" t="n">
        <f aca="false">Sens!$E$16711+dm_seg</f>
        <v>0.296207935710698</v>
      </c>
      <c r="L16711" s="12" t="s">
        <v>1062</v>
      </c>
    </row>
    <row r="16712" customFormat="false" ht="17.15" hidden="false" customHeight="false" outlineLevel="0" collapsed="false">
      <c r="A16712" s="0" t="s">
        <v>882</v>
      </c>
      <c r="B16712" s="0" t="s">
        <v>98</v>
      </c>
      <c r="D16712" s="6" t="n">
        <f aca="false">Q!L22</f>
        <v>17.714</v>
      </c>
      <c r="E16712" s="6" t="n">
        <f aca="false">Q!M22</f>
        <v>18.872</v>
      </c>
      <c r="F16712" s="6" t="n">
        <f aca="false">Q!$I$22+(Sens!F16687-Q!$I$12)*Sens!F16711</f>
        <v>19.8174315512051</v>
      </c>
      <c r="G16712" s="6" t="n">
        <f aca="false">Sens!G16687*Sens!G16711</f>
        <v>19.6313799703815</v>
      </c>
      <c r="H16712" s="6" t="n">
        <f aca="false">Sens!H16687*Sens!H16711</f>
        <v>20.3536242825865</v>
      </c>
      <c r="I16712" s="6" t="n">
        <f aca="false">Sens!I16687*Sens!I16711</f>
        <v>21.1920899239745</v>
      </c>
      <c r="J16712" s="6" t="n">
        <f aca="false">Sens!J16687*Sens!J16711</f>
        <v>22.1288166207045</v>
      </c>
      <c r="K16712" s="6" t="n">
        <f aca="false">Sens!K16687*Sens!K16711</f>
        <v>23.1493653905379</v>
      </c>
      <c r="L16712" s="12" t="s">
        <v>1063</v>
      </c>
    </row>
    <row r="16713" customFormat="false" ht="15" hidden="false" customHeight="false" outlineLevel="0" collapsed="false">
      <c r="A16713" s="1" t="s">
        <v>1064</v>
      </c>
      <c r="B16713" s="0" t="s">
        <v>98</v>
      </c>
      <c r="D16713" s="6" t="n">
        <f aca="false">Sens!D16710+Sens!D16712</f>
        <v>128.528</v>
      </c>
      <c r="E16713" s="6" t="n">
        <f aca="false">Sens!E16710+Sens!E16712</f>
        <v>155.237</v>
      </c>
      <c r="F16713" s="6" t="n">
        <f aca="false">Sens!F16710+Sens!F16712</f>
        <v>181.907318708743</v>
      </c>
      <c r="G16713" s="6" t="n">
        <f aca="false">Sens!G16710+Sens!G16712</f>
        <v>197.200283175776</v>
      </c>
      <c r="H16713" s="6" t="n">
        <f aca="false">Sens!H16710+Sens!H16712</f>
        <v>217.117310300706</v>
      </c>
      <c r="I16713" s="6" t="n">
        <f aca="false">Sens!I16710+Sens!I16712</f>
        <v>236.167673078062</v>
      </c>
      <c r="J16713" s="6" t="n">
        <f aca="false">Sens!J16710+Sens!J16712</f>
        <v>254.085893140393</v>
      </c>
      <c r="K16713" s="6" t="n">
        <f aca="false">Sens!K16710+Sens!K16712</f>
        <v>271.489111679696</v>
      </c>
    </row>
    <row r="16714" customFormat="false" ht="15" hidden="false" customHeight="false" outlineLevel="0" collapsed="false">
      <c r="A16714" s="26" t="s">
        <v>1065</v>
      </c>
      <c r="B16714" s="31" t="s">
        <v>98</v>
      </c>
      <c r="C16714" s="31"/>
      <c r="D16714" s="27" t="n">
        <f aca="false">Sens!D16713-Q!L23</f>
        <v>0</v>
      </c>
      <c r="E16714" s="27" t="n">
        <f aca="false">Sens!E16713-Q!M23</f>
        <v>0</v>
      </c>
      <c r="F16714" s="31"/>
      <c r="G16714" s="31"/>
      <c r="H16714" s="31"/>
      <c r="I16714" s="31"/>
      <c r="J16714" s="31"/>
      <c r="K16714" s="31"/>
    </row>
    <row r="16715" customFormat="false" ht="15" hidden="false" customHeight="false" outlineLevel="0" collapsed="false">
      <c r="A16715" s="1" t="s">
        <v>1066</v>
      </c>
      <c r="B16715" s="0" t="s">
        <v>168</v>
      </c>
      <c r="D16715" s="7" t="n">
        <f aca="false">Sens!D16713/Sens!D16706</f>
        <v>0.456219562408598</v>
      </c>
      <c r="E16715" s="7" t="n">
        <f aca="false">Sens!E16713/Sens!E16706</f>
        <v>0.467808184089272</v>
      </c>
      <c r="F16715" s="7" t="n">
        <f aca="false">Sens!F16713/Sens!F16706</f>
        <v>0.455850244781037</v>
      </c>
      <c r="G16715" s="7" t="n">
        <f aca="false">Sens!G16713/Sens!G16706</f>
        <v>0.41387060670418</v>
      </c>
      <c r="H16715" s="7" t="n">
        <f aca="false">Sens!H16713/Sens!H16706</f>
        <v>0.390690709821335</v>
      </c>
      <c r="I16715" s="7" t="n">
        <f aca="false">Sens!I16713/Sens!I16706</f>
        <v>0.375759473696784</v>
      </c>
      <c r="J16715" s="7" t="n">
        <f aca="false">Sens!J16713/Sens!J16706</f>
        <v>0.369252371122345</v>
      </c>
      <c r="K16715" s="7" t="n">
        <f aca="false">Sens!K16713/Sens!K16706</f>
        <v>0.368876084880008</v>
      </c>
    </row>
    <row r="16716" customFormat="false" ht="17.15" hidden="false" customHeight="false" outlineLevel="0" collapsed="false">
      <c r="A16716" s="1" t="s">
        <v>1067</v>
      </c>
      <c r="B16716" s="0" t="s">
        <v>98</v>
      </c>
      <c r="F16716" s="6" t="n">
        <f aca="false">Sens!F16731</f>
        <v>4.73227043167332</v>
      </c>
      <c r="G16716" s="6" t="n">
        <f aca="false">Sens!G16731</f>
        <v>20.0947842931317</v>
      </c>
      <c r="H16716" s="6" t="n">
        <f aca="false">Sens!H16731</f>
        <v>36.981714439492</v>
      </c>
      <c r="I16716" s="6" t="n">
        <f aca="false">Sens!I16731</f>
        <v>52.3124633477239</v>
      </c>
      <c r="J16716" s="6" t="n">
        <f aca="false">Sens!J16731</f>
        <v>63.0190683975349</v>
      </c>
      <c r="K16716" s="6" t="n">
        <f aca="false">Sens!K16731</f>
        <v>68.798488671223</v>
      </c>
      <c r="L16716" s="1" t="s">
        <v>1068</v>
      </c>
    </row>
    <row r="16717" customFormat="false" ht="17.15" hidden="false" customHeight="false" outlineLevel="0" collapsed="false">
      <c r="A16717" s="1" t="s">
        <v>1069</v>
      </c>
      <c r="B16717" s="0" t="s">
        <v>98</v>
      </c>
      <c r="D16717" s="6" t="n">
        <f aca="false">Sens!D16713</f>
        <v>128.528</v>
      </c>
      <c r="E16717" s="6" t="n">
        <f aca="false">Sens!E16713</f>
        <v>155.237</v>
      </c>
      <c r="F16717" s="6" t="n">
        <f aca="false">Sens!F16713+Sens!F16716</f>
        <v>186.639589140416</v>
      </c>
      <c r="G16717" s="6" t="n">
        <f aca="false">Sens!G16713+Sens!G16716</f>
        <v>217.295067468907</v>
      </c>
      <c r="H16717" s="6" t="n">
        <f aca="false">Sens!H16713+Sens!H16716</f>
        <v>254.099024740198</v>
      </c>
      <c r="I16717" s="6" t="n">
        <f aca="false">Sens!I16713+Sens!I16716</f>
        <v>288.480136425786</v>
      </c>
      <c r="J16717" s="6" t="n">
        <f aca="false">Sens!J16713+Sens!J16716</f>
        <v>317.104961537928</v>
      </c>
      <c r="K16717" s="6" t="n">
        <f aca="false">Sens!K16713+Sens!K16716</f>
        <v>340.287600350919</v>
      </c>
    </row>
    <row r="16718" customFormat="false" ht="17.15" hidden="false" customHeight="false" outlineLevel="0" collapsed="false">
      <c r="A16718" s="1" t="s">
        <v>1070</v>
      </c>
      <c r="B16718" s="0" t="s">
        <v>98</v>
      </c>
      <c r="E16718" s="6" t="n">
        <f aca="false">Sens!E16661</f>
        <v>16.3054059770833</v>
      </c>
      <c r="F16718" s="6" t="n">
        <f aca="false">Sens!F16661</f>
        <v>34.5793144783516</v>
      </c>
      <c r="G16718" s="6" t="n">
        <f aca="false">Sens!G16661</f>
        <v>60.7344906522989</v>
      </c>
      <c r="H16718" s="6" t="n">
        <f aca="false">Sens!H16661</f>
        <v>89.1000906614457</v>
      </c>
      <c r="I16718" s="6" t="n">
        <f aca="false">Sens!I16661</f>
        <v>114.231009694548</v>
      </c>
      <c r="J16718" s="6" t="n">
        <f aca="false">Sens!J16661</f>
        <v>132.015673049596</v>
      </c>
      <c r="K16718" s="6" t="n">
        <f aca="false">Sens!K16661</f>
        <v>143.012669550934</v>
      </c>
    </row>
    <row r="16719" customFormat="false" ht="17.15" hidden="false" customHeight="false" outlineLevel="0" collapsed="false">
      <c r="A16719" s="1" t="s">
        <v>1071</v>
      </c>
      <c r="B16719" s="0" t="s">
        <v>98</v>
      </c>
      <c r="E16719" s="6" t="n">
        <f aca="false">Sens!E16743</f>
        <v>22.2285940229167</v>
      </c>
      <c r="F16719" s="6" t="n">
        <f aca="false">Sens!F16743</f>
        <v>23.580344216413</v>
      </c>
      <c r="G16719" s="6" t="n">
        <f aca="false">Sens!G16743</f>
        <v>25.3583505401965</v>
      </c>
      <c r="H16719" s="6" t="n">
        <f aca="false">Sens!H16743</f>
        <v>27.528569983033</v>
      </c>
      <c r="I16719" s="6" t="n">
        <f aca="false">Sens!I16743</f>
        <v>30.0244523528154</v>
      </c>
      <c r="J16719" s="6" t="n">
        <f aca="false">Sens!J16743</f>
        <v>32.7625785967048</v>
      </c>
      <c r="K16719" s="6" t="n">
        <f aca="false">Sens!K16743</f>
        <v>35.6585684431062</v>
      </c>
    </row>
    <row r="16720" customFormat="false" ht="17.15" hidden="false" customHeight="false" outlineLevel="0" collapsed="false">
      <c r="A16720" s="1" t="s">
        <v>1072</v>
      </c>
      <c r="B16720" s="0" t="s">
        <v>98</v>
      </c>
      <c r="D16720" s="6" t="n">
        <f aca="false">Q!L27</f>
        <v>-4.901</v>
      </c>
      <c r="E16720" s="6" t="n">
        <f aca="false">Q!M27</f>
        <v>10.697</v>
      </c>
      <c r="F16720" s="6" t="n">
        <f aca="false">Q!$I$27+oie_f*(q_per_yr-1)/q_per_yr</f>
        <v>-0.862</v>
      </c>
      <c r="G16720" s="6" t="n">
        <f aca="false">oie_f</f>
        <v>-1.2</v>
      </c>
      <c r="H16720" s="6" t="n">
        <f aca="false">oie_f</f>
        <v>-1.2</v>
      </c>
      <c r="I16720" s="6" t="n">
        <f aca="false">oie_f</f>
        <v>-1.2</v>
      </c>
      <c r="J16720" s="6" t="n">
        <f aca="false">oie_f</f>
        <v>-1.2</v>
      </c>
      <c r="K16720" s="6" t="n">
        <f aca="false">oie_f</f>
        <v>-1.2</v>
      </c>
      <c r="L16720" s="12" t="s">
        <v>1073</v>
      </c>
    </row>
    <row r="16721" customFormat="false" ht="15" hidden="false" customHeight="false" outlineLevel="0" collapsed="false">
      <c r="A16721" s="1" t="s">
        <v>1074</v>
      </c>
      <c r="B16721" s="0" t="s">
        <v>98</v>
      </c>
      <c r="D16721" s="6" t="n">
        <f aca="false">Sens!D16713+Sens!D16720</f>
        <v>123.627</v>
      </c>
      <c r="E16721" s="6" t="n">
        <f aca="false">Sens!E16713+Sens!E16720</f>
        <v>165.934</v>
      </c>
      <c r="F16721" s="6" t="n">
        <f aca="false">Sens!F16713+Sens!F16720</f>
        <v>181.045318708743</v>
      </c>
      <c r="G16721" s="6" t="n">
        <f aca="false">Sens!G16713+Sens!G16720</f>
        <v>196.000283175776</v>
      </c>
      <c r="H16721" s="6" t="n">
        <f aca="false">Sens!H16713+Sens!H16720</f>
        <v>215.917310300706</v>
      </c>
      <c r="I16721" s="6" t="n">
        <f aca="false">Sens!I16713+Sens!I16720</f>
        <v>234.967673078062</v>
      </c>
      <c r="J16721" s="6" t="n">
        <f aca="false">Sens!J16713+Sens!J16720</f>
        <v>252.885893140393</v>
      </c>
      <c r="K16721" s="6" t="n">
        <f aca="false">Sens!K16713+Sens!K16720</f>
        <v>270.289111679696</v>
      </c>
    </row>
    <row r="16722" customFormat="false" ht="15" hidden="false" customHeight="false" outlineLevel="0" collapsed="false">
      <c r="A16722" s="1" t="s">
        <v>1075</v>
      </c>
      <c r="B16722" s="0" t="s">
        <v>98</v>
      </c>
      <c r="D16722" s="6" t="n">
        <f aca="false">Q!L29</f>
        <v>21.795</v>
      </c>
      <c r="E16722" s="6" t="n">
        <f aca="false">Q!M29</f>
        <v>32.185</v>
      </c>
      <c r="F16722" s="6" t="n">
        <f aca="false">Q!$I$29+(Sens!F16721-Q!$I$28)*tax_f</f>
        <v>36.3424637417486</v>
      </c>
      <c r="G16722" s="6" t="n">
        <f aca="false">Sens!G16721*tax_f</f>
        <v>39.2000566351551</v>
      </c>
      <c r="H16722" s="6" t="n">
        <f aca="false">Sens!H16721*tax_f</f>
        <v>43.1834620601411</v>
      </c>
      <c r="I16722" s="6" t="n">
        <f aca="false">Sens!I16721*tax_f</f>
        <v>46.9935346156123</v>
      </c>
      <c r="J16722" s="6" t="n">
        <f aca="false">Sens!J16721*tax_f</f>
        <v>50.5771786280786</v>
      </c>
      <c r="K16722" s="6" t="n">
        <f aca="false">Sens!K16721*tax_f</f>
        <v>54.0578223359393</v>
      </c>
    </row>
    <row r="16723" customFormat="false" ht="15" hidden="false" customHeight="false" outlineLevel="0" collapsed="false">
      <c r="A16723" s="1" t="s">
        <v>1076</v>
      </c>
      <c r="B16723" s="0" t="s">
        <v>98</v>
      </c>
      <c r="D16723" s="6" t="n">
        <f aca="false">Sens!D16721-Sens!D16722</f>
        <v>101.832</v>
      </c>
      <c r="E16723" s="6" t="n">
        <f aca="false">Sens!E16721-Sens!E16722</f>
        <v>133.749</v>
      </c>
      <c r="F16723" s="6" t="n">
        <f aca="false">Sens!F16721-Sens!F16722</f>
        <v>144.702854966994</v>
      </c>
      <c r="G16723" s="6" t="n">
        <f aca="false">Sens!G16721-Sens!G16722</f>
        <v>156.80022654062</v>
      </c>
      <c r="H16723" s="6" t="n">
        <f aca="false">Sens!H16721-Sens!H16722</f>
        <v>172.733848240564</v>
      </c>
      <c r="I16723" s="6" t="n">
        <f aca="false">Sens!I16721-Sens!I16722</f>
        <v>187.974138462449</v>
      </c>
      <c r="J16723" s="6" t="n">
        <f aca="false">Sens!J16721-Sens!J16722</f>
        <v>202.308714512314</v>
      </c>
      <c r="K16723" s="6" t="n">
        <f aca="false">Sens!K16721-Sens!K16722</f>
        <v>216.231289343757</v>
      </c>
    </row>
    <row r="16724" customFormat="false" ht="17.15" hidden="false" customHeight="false" outlineLevel="0" collapsed="false">
      <c r="A16724" s="1" t="s">
        <v>1077</v>
      </c>
      <c r="B16724" s="1" t="s">
        <v>81</v>
      </c>
      <c r="D16724" s="15" t="n">
        <f aca="false">Q!L31</f>
        <v>7.465</v>
      </c>
      <c r="E16724" s="15" t="n">
        <f aca="false">Q!M31</f>
        <v>7.453</v>
      </c>
      <c r="F16724" s="15" t="n">
        <f aca="false">Sens!F16768</f>
        <v>7.47325460584037</v>
      </c>
      <c r="G16724" s="15" t="n">
        <f aca="false">Sens!G16768</f>
        <v>7.51800921168074</v>
      </c>
      <c r="H16724" s="15" t="n">
        <f aca="false">Sens!H16768</f>
        <v>7.54570915070954</v>
      </c>
      <c r="I16724" s="15" t="n">
        <f aca="false">Sens!I16768</f>
        <v>7.55739051476501</v>
      </c>
      <c r="J16724" s="15" t="n">
        <f aca="false">Sens!J16768</f>
        <v>7.57153992592748</v>
      </c>
      <c r="K16724" s="15" t="n">
        <f aca="false">Sens!K16768</f>
        <v>7.58797456589273</v>
      </c>
    </row>
    <row r="16725" customFormat="false" ht="17.15" hidden="false" customHeight="false" outlineLevel="0" collapsed="false">
      <c r="A16725" s="0" t="s">
        <v>1078</v>
      </c>
      <c r="B16725" s="0" t="s">
        <v>75</v>
      </c>
      <c r="D16725" s="8" t="n">
        <f aca="false">Sens!D16723/Sens!D16724</f>
        <v>13.641259209645</v>
      </c>
      <c r="E16725" s="8" t="n">
        <f aca="false">Sens!E16723/Sens!E16724</f>
        <v>17.9456594659869</v>
      </c>
      <c r="F16725" s="8" t="n">
        <f aca="false">Sens!F16723/Sens!F16724</f>
        <v>19.3627626247216</v>
      </c>
      <c r="G16725" s="8" t="n">
        <f aca="false">Sens!G16723/Sens!G16724</f>
        <v>20.8566153785765</v>
      </c>
      <c r="H16725" s="8" t="n">
        <f aca="false">Sens!H16723/Sens!H16724</f>
        <v>22.8916652882548</v>
      </c>
      <c r="I16725" s="8" t="n">
        <f aca="false">Sens!I16723/Sens!I16724</f>
        <v>24.8728894047755</v>
      </c>
      <c r="J16725" s="8" t="n">
        <f aca="false">Sens!J16723/Sens!J16724</f>
        <v>26.7196259270246</v>
      </c>
      <c r="K16725" s="8" t="n">
        <f aca="false">Sens!K16723/Sens!K16724</f>
        <v>28.496575399145</v>
      </c>
      <c r="L16725" s="1" t="s">
        <v>1079</v>
      </c>
    </row>
    <row r="16726" customFormat="false" ht="17.15" hidden="false" customHeight="false" outlineLevel="0" collapsed="false">
      <c r="A16726" s="1" t="s">
        <v>1080</v>
      </c>
      <c r="B16726" s="0" t="s">
        <v>98</v>
      </c>
      <c r="D16726" s="6" t="n">
        <f aca="false">Sens!D16723</f>
        <v>101.832</v>
      </c>
      <c r="E16726" s="6" t="n">
        <f aca="false">Sens!E16723</f>
        <v>133.749</v>
      </c>
      <c r="F16726" s="6" t="n">
        <f aca="false">Sens!F16723+Sens!F16716*(1-tax_f)</f>
        <v>148.488671312333</v>
      </c>
      <c r="G16726" s="6" t="n">
        <f aca="false">Sens!G16723+Sens!G16716*(1-tax_f)</f>
        <v>172.876053975126</v>
      </c>
      <c r="H16726" s="6" t="n">
        <f aca="false">Sens!H16723+Sens!H16716*(1-tax_f)</f>
        <v>202.319219792158</v>
      </c>
      <c r="I16726" s="6" t="n">
        <f aca="false">Sens!I16723+Sens!I16716*(1-tax_f)</f>
        <v>229.824109140628</v>
      </c>
      <c r="J16726" s="6" t="n">
        <f aca="false">Sens!J16723+Sens!J16716*(1-tax_f)</f>
        <v>252.723969230342</v>
      </c>
      <c r="K16726" s="6" t="n">
        <f aca="false">Sens!K16723+Sens!K16716*(1-tax_f)</f>
        <v>271.270080280735</v>
      </c>
    </row>
    <row r="16727" customFormat="false" ht="17.15" hidden="false" customHeight="false" outlineLevel="0" collapsed="false">
      <c r="A16727" s="0" t="s">
        <v>1081</v>
      </c>
      <c r="B16727" s="0" t="s">
        <v>75</v>
      </c>
      <c r="D16727" s="8" t="n">
        <f aca="false">Sens!D16726/Sens!D16724</f>
        <v>13.641259209645</v>
      </c>
      <c r="E16727" s="8" t="n">
        <f aca="false">Sens!E16726/Sens!E16724</f>
        <v>17.9456594659869</v>
      </c>
      <c r="F16727" s="8" t="n">
        <f aca="false">Sens!F16726/Sens!F16724</f>
        <v>19.8693446355071</v>
      </c>
      <c r="G16727" s="8" t="n">
        <f aca="false">Sens!G16726/Sens!G16724</f>
        <v>22.9949244683723</v>
      </c>
      <c r="H16727" s="8" t="n">
        <f aca="false">Sens!H16726/Sens!H16724</f>
        <v>26.8124858447709</v>
      </c>
      <c r="I16727" s="8" t="n">
        <f aca="false">Sens!I16726/Sens!I16724</f>
        <v>30.4105112328941</v>
      </c>
      <c r="J16727" s="8" t="n">
        <f aca="false">Sens!J16726/Sens!J16724</f>
        <v>33.3781465465078</v>
      </c>
      <c r="K16727" s="8" t="n">
        <f aca="false">Sens!K16726/Sens!K16724</f>
        <v>35.7499986228302</v>
      </c>
      <c r="L16727" s="1" t="s">
        <v>1082</v>
      </c>
    </row>
    <row r="16728" customFormat="false" ht="17.15" hidden="false" customHeight="false" outlineLevel="0" collapsed="false">
      <c r="A16728" s="0" t="s">
        <v>1083</v>
      </c>
      <c r="B16728" s="0" t="s">
        <v>168</v>
      </c>
      <c r="E16728" s="7" t="n">
        <f aca="false">Sens!E16727/Sens!D16727-1</f>
        <v>0.315542736208578</v>
      </c>
      <c r="F16728" s="7" t="n">
        <f aca="false">Sens!F16727/Sens!E16727-1</f>
        <v>0.107195011315482</v>
      </c>
      <c r="G16728" s="7" t="n">
        <f aca="false">Sens!G16727/Sens!F16727-1</f>
        <v>0.157306639459044</v>
      </c>
      <c r="H16728" s="7" t="n">
        <f aca="false">Sens!H16727/Sens!G16727-1</f>
        <v>0.166017565382717</v>
      </c>
      <c r="I16728" s="7" t="n">
        <f aca="false">Sens!I16727/Sens!H16727-1</f>
        <v>0.134192159912127</v>
      </c>
      <c r="J16728" s="7" t="n">
        <f aca="false">Sens!J16727/Sens!I16727-1</f>
        <v>0.097585840990523</v>
      </c>
      <c r="K16728" s="7" t="n">
        <f aca="false">Sens!K16727/Sens!J16727-1</f>
        <v>0.0710600294422437</v>
      </c>
    </row>
    <row r="16729" customFormat="false" ht="17.15" hidden="false" customHeight="false" outlineLevel="0" collapsed="false">
      <c r="A16729" s="0" t="s">
        <v>1003</v>
      </c>
      <c r="B16729" s="0" t="s">
        <v>98</v>
      </c>
      <c r="E16729" s="6" t="n">
        <f aca="false">Sens!E16670</f>
        <v>5.25</v>
      </c>
      <c r="F16729" s="6" t="n">
        <f aca="false">Sens!F16670</f>
        <v>12</v>
      </c>
      <c r="G16729" s="6" t="n">
        <f aca="false">Sens!G16670</f>
        <v>18</v>
      </c>
      <c r="H16729" s="6" t="n">
        <f aca="false">Sens!H16670</f>
        <v>24</v>
      </c>
      <c r="I16729" s="6" t="n">
        <f aca="false">Sens!I16670</f>
        <v>28.5</v>
      </c>
      <c r="J16729" s="6" t="n">
        <f aca="false">Sens!J16670</f>
        <v>31.5</v>
      </c>
      <c r="K16729" s="6" t="n">
        <f aca="false">Sens!K16670</f>
        <v>34.5</v>
      </c>
    </row>
    <row r="16730" customFormat="false" ht="17.15" hidden="false" customHeight="false" outlineLevel="0" collapsed="false">
      <c r="A16730" s="1" t="s">
        <v>1004</v>
      </c>
      <c r="B16730" s="0" t="s">
        <v>98</v>
      </c>
      <c r="F16730" s="6" t="n">
        <f aca="false">MAX(0,((Sens!E16630+Sens!F16630)/2-(0*(Sens!$D$16630+Sens!$E$16630)/2+(1-0)*Sens!$E$16630))*Sens!F16639/1000-(Sens!F16729-Sens!$E$16729)*Sens!F16709)</f>
        <v>4.73227043167332</v>
      </c>
      <c r="G16730" s="6" t="n">
        <f aca="false">MAX(0,((Sens!F16630+Sens!G16630)/2-(0*(Sens!$D$16630+Sens!$E$16630)/2+(1-0)*Sens!$E$16630))*Sens!G16639/1000-(Sens!G16729-Sens!$E$16729)*Sens!G16709)</f>
        <v>20.0947842931317</v>
      </c>
      <c r="H16730" s="6" t="n">
        <f aca="false">MAX(0,((Sens!G16630+Sens!H16630)/2-(0*(Sens!$D$16630+Sens!$E$16630)/2+(1-0)*Sens!$E$16630))*Sens!H16639/1000-(Sens!H16729-Sens!$E$16729)*Sens!H16709)</f>
        <v>36.981714439492</v>
      </c>
      <c r="I16730" s="6" t="n">
        <f aca="false">MAX(0,((Sens!H16630+Sens!I16630)/2-(0*(Sens!$D$16630+Sens!$E$16630)/2+(1-0)*Sens!$E$16630))*Sens!I16639/1000-(Sens!I16729-Sens!$E$16729)*Sens!I16709)</f>
        <v>52.3124633477239</v>
      </c>
      <c r="J16730" s="6" t="n">
        <f aca="false">MAX(0,((Sens!I16630+Sens!J16630)/2-(0*(Sens!$D$16630+Sens!$E$16630)/2+(1-0)*Sens!$E$16630))*Sens!J16639/1000-(Sens!J16729-Sens!$E$16729)*Sens!J16709)</f>
        <v>63.0190683975349</v>
      </c>
      <c r="K16730" s="6" t="n">
        <f aca="false">MAX(0,((Sens!J16630+Sens!K16630)/2-(0*(Sens!$D$16630+Sens!$E$16630)/2+(1-0)*Sens!$E$16630))*Sens!K16639/1000-(Sens!K16729-Sens!$E$16729)*Sens!K16709)</f>
        <v>68.798488671223</v>
      </c>
      <c r="L16730" s="1" t="s">
        <v>1005</v>
      </c>
    </row>
    <row r="16731" customFormat="false" ht="17.15" hidden="false" customHeight="false" outlineLevel="0" collapsed="false">
      <c r="A16731" s="1" t="s">
        <v>1006</v>
      </c>
      <c r="B16731" s="0" t="s">
        <v>98</v>
      </c>
      <c r="F16731" s="6" t="n">
        <f aca="false">IF(internal_ai_reading=2,1,0)*Sens!F16730</f>
        <v>4.73227043167332</v>
      </c>
      <c r="G16731" s="6" t="n">
        <f aca="false">IF(internal_ai_reading=2,1,0)*Sens!G16730</f>
        <v>20.0947842931317</v>
      </c>
      <c r="H16731" s="6" t="n">
        <f aca="false">IF(internal_ai_reading=2,1,0)*Sens!H16730</f>
        <v>36.981714439492</v>
      </c>
      <c r="I16731" s="6" t="n">
        <f aca="false">IF(internal_ai_reading=2,1,0)*Sens!I16730</f>
        <v>52.3124633477239</v>
      </c>
      <c r="J16731" s="6" t="n">
        <f aca="false">IF(internal_ai_reading=2,1,0)*Sens!J16730</f>
        <v>63.0190683975349</v>
      </c>
      <c r="K16731" s="6" t="n">
        <f aca="false">IF(internal_ai_reading=2,1,0)*Sens!K16730</f>
        <v>68.798488671223</v>
      </c>
    </row>
    <row r="16732" customFormat="false" ht="17.15" hidden="false" customHeight="false" outlineLevel="0" collapsed="false">
      <c r="A16732" s="0" t="s">
        <v>1007</v>
      </c>
      <c r="B16732" s="0" t="s">
        <v>98</v>
      </c>
      <c r="F16732" s="6" t="n">
        <f aca="false">Sens!F16649+Sens!F16729*Sens!F16709+Sens!F16731-Sens!F16650-Sens!F16661</f>
        <v>9.80771041627061</v>
      </c>
      <c r="G16732" s="6" t="n">
        <f aca="false">Sens!G16649+Sens!G16729*Sens!G16709+Sens!G16731-Sens!G16650-Sens!G16661</f>
        <v>25.854443473747</v>
      </c>
      <c r="H16732" s="6" t="n">
        <f aca="false">Sens!H16649+Sens!H16729*Sens!H16709+Sens!H16731-Sens!H16650-Sens!H16661</f>
        <v>42.5788410406799</v>
      </c>
      <c r="I16732" s="6" t="n">
        <f aca="false">Sens!I16649+Sens!I16729*Sens!I16709+Sens!I16731-Sens!I16650-Sens!I16661</f>
        <v>57.2547363635457</v>
      </c>
      <c r="J16732" s="6" t="n">
        <f aca="false">Sens!J16649+Sens!J16729*Sens!J16709+Sens!J16731-Sens!J16650-Sens!J16661</f>
        <v>67.3244416424182</v>
      </c>
      <c r="K16732" s="6" t="n">
        <f aca="false">Sens!K16649+Sens!K16729*Sens!K16709+Sens!K16731-Sens!K16650-Sens!K16661</f>
        <v>73.9004323909168</v>
      </c>
    </row>
    <row r="16733" customFormat="false" ht="17.15" hidden="false" customHeight="false" outlineLevel="0" collapsed="false">
      <c r="A16733" s="0" t="s">
        <v>1008</v>
      </c>
      <c r="B16733" s="0" t="s">
        <v>98</v>
      </c>
      <c r="E16733" s="6" t="n">
        <f aca="false">Sens!E16629*(cxit_open+self_build*tk_cxfac)/1000*ai_net_open</f>
        <v>126.6980382</v>
      </c>
      <c r="F16733" s="6" t="n">
        <f aca="false">Sens!E16733+Sens!F16658-Sens!F16661</f>
        <v>260.572627763768</v>
      </c>
      <c r="G16733" s="6" t="n">
        <f aca="false">Sens!F16733+Sens!G16658-Sens!G16661</f>
        <v>391.782612760517</v>
      </c>
      <c r="H16733" s="6" t="n">
        <f aca="false">Sens!G16733+Sens!H16658-Sens!H16661</f>
        <v>499.488526163584</v>
      </c>
      <c r="I16733" s="6" t="n">
        <f aca="false">Sens!H16733+Sens!I16658-Sens!I16661</f>
        <v>553.872350090646</v>
      </c>
      <c r="J16733" s="6" t="n">
        <f aca="false">Sens!I16733+Sens!J16658-Sens!J16661</f>
        <v>550.78660823699</v>
      </c>
      <c r="K16733" s="6" t="n">
        <f aca="false">Sens!J16733+Sens!K16658-Sens!K16661</f>
        <v>526.736791750789</v>
      </c>
      <c r="L16733" s="1" t="s">
        <v>1009</v>
      </c>
    </row>
    <row r="16734" customFormat="false" ht="17.15" hidden="false" customHeight="false" outlineLevel="0" collapsed="false">
      <c r="A16734" s="0" t="s">
        <v>1010</v>
      </c>
      <c r="B16734" s="0" t="s">
        <v>168</v>
      </c>
      <c r="F16734" s="7" t="n">
        <f aca="false">Sens!F16732*(1-tax_f)/((Sens!E16733+Sens!F16733)/2)</f>
        <v>0.0405203338264229</v>
      </c>
      <c r="G16734" s="7" t="n">
        <f aca="false">Sens!G16732*(1-tax_f)/((Sens!F16733+Sens!G16733)/2)</f>
        <v>0.063411937221121</v>
      </c>
      <c r="H16734" s="7" t="n">
        <f aca="false">Sens!H16732*(1-tax_f)/((Sens!G16733+Sens!H16733)/2)</f>
        <v>0.0764370601603081</v>
      </c>
      <c r="I16734" s="7" t="n">
        <f aca="false">Sens!I16732*(1-tax_f)/((Sens!H16733+Sens!I16733)/2)</f>
        <v>0.0869669457512333</v>
      </c>
      <c r="J16734" s="7" t="n">
        <f aca="false">Sens!J16732*(1-tax_f)/((Sens!I16733+Sens!J16733)/2)</f>
        <v>0.0975134504779169</v>
      </c>
      <c r="K16734" s="7" t="n">
        <f aca="false">Sens!K16732*(1-tax_f)/((Sens!J16733+Sens!K16733)/2)</f>
        <v>0.109733757825406</v>
      </c>
    </row>
    <row r="16735" customFormat="false" ht="17.15" hidden="false" customHeight="false" outlineLevel="0" collapsed="false">
      <c r="A16735" s="1" t="s">
        <v>1011</v>
      </c>
      <c r="B16735" s="0" t="s">
        <v>168</v>
      </c>
      <c r="F16735" s="7" t="n">
        <f aca="false">(Sens!F16732-Sens!F16731)*(1-tax_f)/((Sens!E16733+Sens!F16733)/2)</f>
        <v>0.0209690655375262</v>
      </c>
      <c r="G16735" s="7" t="n">
        <f aca="false">(Sens!G16732-Sens!G16731)*(1-tax_f)/((Sens!F16733+Sens!G16733)/2)</f>
        <v>0.014126436206105</v>
      </c>
      <c r="H16735" s="7" t="n">
        <f aca="false">(Sens!H16732-Sens!H16731)*(1-tax_f)/((Sens!G16733+Sens!H16733)/2)</f>
        <v>0.010047899197893</v>
      </c>
      <c r="I16735" s="7" t="n">
        <f aca="false">(Sens!I16732-Sens!I16731)*(1-tax_f)/((Sens!H16733+Sens!I16733)/2)</f>
        <v>0.00750705385359906</v>
      </c>
      <c r="J16735" s="7" t="n">
        <f aca="false">(Sens!J16732-Sens!J16731)*(1-tax_f)/((Sens!I16733+Sens!J16733)/2)</f>
        <v>0.0062359492401547</v>
      </c>
      <c r="K16735" s="7" t="n">
        <f aca="false">(Sens!K16732-Sens!K16731)*(1-tax_f)/((Sens!J16733+Sens!K16733)/2)</f>
        <v>0.00757580758951756</v>
      </c>
    </row>
    <row r="16736" customFormat="false" ht="17.15" hidden="false" customHeight="false" outlineLevel="0" collapsed="false">
      <c r="A16736" s="1" t="s">
        <v>1012</v>
      </c>
      <c r="B16736" s="0" t="s">
        <v>168</v>
      </c>
      <c r="F16736" s="7" t="n">
        <f aca="false">(Sens!F16732-Sens!F16731+Sens!F16730)*(1-tax_f)/((Sens!E16733+Sens!F16733)/2)</f>
        <v>0.0405203338264229</v>
      </c>
      <c r="G16736" s="7" t="n">
        <f aca="false">(Sens!G16732-Sens!G16731+Sens!G16730)*(1-tax_f)/((Sens!F16733+Sens!G16733)/2)</f>
        <v>0.063411937221121</v>
      </c>
      <c r="H16736" s="7" t="n">
        <f aca="false">(Sens!H16732-Sens!H16731+Sens!H16730)*(1-tax_f)/((Sens!G16733+Sens!H16733)/2)</f>
        <v>0.0764370601603081</v>
      </c>
      <c r="I16736" s="7" t="n">
        <f aca="false">(Sens!I16732-Sens!I16731+Sens!I16730)*(1-tax_f)/((Sens!H16733+Sens!I16733)/2)</f>
        <v>0.0869669457512333</v>
      </c>
      <c r="J16736" s="7" t="n">
        <f aca="false">(Sens!J16732-Sens!J16731+Sens!J16730)*(1-tax_f)/((Sens!I16733+Sens!J16733)/2)</f>
        <v>0.0975134504779169</v>
      </c>
      <c r="K16736" s="7" t="n">
        <f aca="false">(Sens!K16732-Sens!K16731+Sens!K16730)*(1-tax_f)/((Sens!J16733+Sens!K16733)/2)</f>
        <v>0.109733757825406</v>
      </c>
    </row>
    <row r="16737" customFormat="false" ht="17.15" hidden="false" customHeight="false" outlineLevel="0" collapsed="false">
      <c r="A16737" s="1" t="s">
        <v>1013</v>
      </c>
      <c r="B16737" s="0" t="s">
        <v>168</v>
      </c>
      <c r="F16737" s="7" t="n">
        <f aca="false">Sens!F16662*(1-tax_f)/(Sens!F16648*(Sens!E16733+Sens!F16733)/2)</f>
        <v>0.129294830495493</v>
      </c>
      <c r="G16737" s="7" t="n">
        <f aca="false">Sens!G16662*(1-tax_f)/(Sens!G16648*(Sens!F16733+Sens!G16733)/2)</f>
        <v>0.12719599062164</v>
      </c>
      <c r="H16737" s="7" t="n">
        <f aca="false">Sens!H16662*(1-tax_f)/(Sens!H16648*(Sens!G16733+Sens!H16733)/2)</f>
        <v>0.130828167067624</v>
      </c>
      <c r="I16737" s="7" t="n">
        <f aca="false">Sens!I16662*(1-tax_f)/(Sens!I16648*(Sens!H16733+Sens!I16733)/2)</f>
        <v>0.138614526937417</v>
      </c>
      <c r="J16737" s="7" t="n">
        <f aca="false">Sens!J16662*(1-tax_f)/(Sens!J16648*(Sens!I16733+Sens!J16733)/2)</f>
        <v>0.150578919010924</v>
      </c>
      <c r="K16737" s="7" t="n">
        <f aca="false">Sens!K16662*(1-tax_f)/(Sens!K16648*(Sens!J16733+Sens!K16733)/2)</f>
        <v>0.167005345886664</v>
      </c>
    </row>
    <row r="16738" customFormat="false" ht="17.15" hidden="false" customHeight="false" outlineLevel="0" collapsed="false">
      <c r="A16738" s="0" t="s">
        <v>1014</v>
      </c>
      <c r="B16738" s="0" t="s">
        <v>253</v>
      </c>
      <c r="F16738" s="7" t="n">
        <f aca="false">Sens!F16734-wacc</f>
        <v>-0.0624162571191744</v>
      </c>
      <c r="G16738" s="7" t="n">
        <f aca="false">Sens!G16734-wacc</f>
        <v>-0.0395246537244763</v>
      </c>
      <c r="H16738" s="7" t="n">
        <f aca="false">Sens!H16734-wacc</f>
        <v>-0.0264995307852892</v>
      </c>
      <c r="I16738" s="7" t="n">
        <f aca="false">Sens!I16734-wacc</f>
        <v>-0.015969645194364</v>
      </c>
      <c r="J16738" s="7" t="n">
        <f aca="false">Sens!J16734-wacc</f>
        <v>-0.00542314046768037</v>
      </c>
      <c r="K16738" s="7" t="n">
        <f aca="false">Sens!K16734-wacc</f>
        <v>0.00679716687980864</v>
      </c>
    </row>
    <row r="16739" customFormat="false" ht="17.15" hidden="false" customHeight="false" outlineLevel="0" collapsed="false">
      <c r="A16739" s="0" t="s">
        <v>1015</v>
      </c>
      <c r="B16739" s="0" t="s">
        <v>98</v>
      </c>
      <c r="F16739" s="6" t="n">
        <f aca="false">Sens!F16732*(1-tax_f)-wacc*(Sens!E16733+Sens!F16733)/2</f>
        <v>-12.0859927307542</v>
      </c>
      <c r="G16739" s="6" t="n">
        <f aca="false">Sens!G16732*(1-tax_f)-wacc*(Sens!F16733+Sens!G16733)/2</f>
        <v>-12.8920574935349</v>
      </c>
      <c r="H16739" s="6" t="n">
        <f aca="false">Sens!H16732*(1-tax_f)-wacc*(Sens!G16733+Sens!H16733)/2</f>
        <v>-11.8091334919795</v>
      </c>
      <c r="I16739" s="6" t="n">
        <f aca="false">Sens!I16732*(1-tax_f)-wacc*(Sens!H16733+Sens!I16733)/2</f>
        <v>-8.41089972770222</v>
      </c>
      <c r="J16739" s="6" t="n">
        <f aca="false">Sens!J16732*(1-tax_f)-wacc*(Sens!I16733+Sens!J16733)/2</f>
        <v>-2.99536034994613</v>
      </c>
      <c r="K16739" s="6" t="n">
        <f aca="false">Sens!K16732*(1-tax_f)-wacc*(Sens!J16733+Sens!K16733)/2</f>
        <v>3.66205318330786</v>
      </c>
    </row>
    <row r="16740" customFormat="false" ht="17.15" hidden="false" customHeight="false" outlineLevel="0" collapsed="false">
      <c r="A16740" s="3" t="s">
        <v>1892</v>
      </c>
    </row>
    <row r="16741" customFormat="false" ht="15" hidden="false" customHeight="false" outlineLevel="0" collapsed="false">
      <c r="A16741" s="4" t="s">
        <v>43</v>
      </c>
      <c r="B16741" s="4" t="s">
        <v>65</v>
      </c>
      <c r="C16741" s="23" t="s">
        <v>938</v>
      </c>
      <c r="D16741" s="23" t="s">
        <v>939</v>
      </c>
      <c r="E16741" s="23" t="s">
        <v>940</v>
      </c>
      <c r="F16741" s="23" t="s">
        <v>941</v>
      </c>
      <c r="G16741" s="23" t="s">
        <v>942</v>
      </c>
      <c r="H16741" s="23" t="s">
        <v>943</v>
      </c>
      <c r="I16741" s="23" t="s">
        <v>944</v>
      </c>
      <c r="J16741" s="23" t="s">
        <v>945</v>
      </c>
      <c r="K16741" s="23" t="s">
        <v>946</v>
      </c>
      <c r="L16741" s="4" t="s">
        <v>47</v>
      </c>
    </row>
    <row r="16742" customFormat="false" ht="15" hidden="false" customHeight="false" outlineLevel="0" collapsed="false">
      <c r="A16742" s="1" t="s">
        <v>1076</v>
      </c>
      <c r="B16742" s="0" t="s">
        <v>98</v>
      </c>
      <c r="F16742" s="6" t="n">
        <f aca="false">Sens!F16723</f>
        <v>144.702854966994</v>
      </c>
      <c r="G16742" s="6" t="n">
        <f aca="false">Sens!G16723</f>
        <v>156.80022654062</v>
      </c>
      <c r="H16742" s="6" t="n">
        <f aca="false">Sens!H16723</f>
        <v>172.733848240564</v>
      </c>
      <c r="I16742" s="6" t="n">
        <f aca="false">Sens!I16723</f>
        <v>187.974138462449</v>
      </c>
      <c r="J16742" s="6" t="n">
        <f aca="false">Sens!J16723</f>
        <v>202.308714512314</v>
      </c>
      <c r="K16742" s="6" t="n">
        <f aca="false">Sens!K16723</f>
        <v>216.231289343757</v>
      </c>
    </row>
    <row r="16743" customFormat="false" ht="17.15" hidden="false" customHeight="false" outlineLevel="0" collapsed="false">
      <c r="A16743" s="1" t="s">
        <v>1098</v>
      </c>
      <c r="B16743" s="0" t="s">
        <v>98</v>
      </c>
      <c r="E16743" s="6" t="n">
        <f aca="false">Q!M38-Sens!E16661</f>
        <v>22.2285940229167</v>
      </c>
      <c r="F16743" s="6" t="n">
        <f aca="false">Sens!E16743*(1-1/life_nonai)+(Sens!F16751+Sens!F16752)/life_nonai</f>
        <v>23.580344216413</v>
      </c>
      <c r="G16743" s="6" t="n">
        <f aca="false">Sens!F16743*(1-1/life_nonai)+(Sens!G16751)/life_nonai</f>
        <v>25.3583505401965</v>
      </c>
      <c r="H16743" s="6" t="n">
        <f aca="false">Sens!G16743*(1-1/life_nonai)+(Sens!H16751)/life_nonai</f>
        <v>27.528569983033</v>
      </c>
      <c r="I16743" s="6" t="n">
        <f aca="false">Sens!H16743*(1-1/life_nonai)+(Sens!I16751)/life_nonai</f>
        <v>30.0244523528154</v>
      </c>
      <c r="J16743" s="6" t="n">
        <f aca="false">Sens!I16743*(1-1/life_nonai)+(Sens!J16751)/life_nonai</f>
        <v>32.7625785967048</v>
      </c>
      <c r="K16743" s="6" t="n">
        <f aca="false">Sens!J16743*(1-1/life_nonai)+(Sens!K16751)/life_nonai</f>
        <v>35.6585684431062</v>
      </c>
      <c r="L16743" s="12" t="s">
        <v>1099</v>
      </c>
    </row>
    <row r="16744" customFormat="false" ht="17.15" hidden="false" customHeight="false" outlineLevel="0" collapsed="false">
      <c r="A16744" s="1" t="s">
        <v>1100</v>
      </c>
      <c r="B16744" s="0" t="s">
        <v>98</v>
      </c>
      <c r="F16744" s="6" t="n">
        <f aca="false">Sens!$F$16752/life_nonai*(1-1/life_nonai)^(Sens!F16624-2027)</f>
        <v>1.94586576753864E-006</v>
      </c>
      <c r="G16744" s="6" t="n">
        <f aca="false">Sens!$F$16752/life_nonai*(1-1/life_nonai)^(Sens!G16624-2027)</f>
        <v>1.75127919078477E-006</v>
      </c>
      <c r="H16744" s="6" t="n">
        <f aca="false">Sens!$F$16752/life_nonai*(1-1/life_nonai)^(Sens!H16624-2027)</f>
        <v>1.57615127170629E-006</v>
      </c>
      <c r="I16744" s="6" t="n">
        <f aca="false">Sens!$F$16752/life_nonai*(1-1/life_nonai)^(Sens!I16624-2027)</f>
        <v>1.41853614453567E-006</v>
      </c>
      <c r="J16744" s="6" t="n">
        <f aca="false">Sens!$F$16752/life_nonai*(1-1/life_nonai)^(Sens!J16624-2027)</f>
        <v>1.2766825300821E-006</v>
      </c>
      <c r="K16744" s="6" t="n">
        <f aca="false">Sens!$F$16752/life_nonai*(1-1/life_nonai)^(Sens!K16624-2027)</f>
        <v>1.14901427707389E-006</v>
      </c>
      <c r="L16744" s="1" t="s">
        <v>1101</v>
      </c>
    </row>
    <row r="16745" customFormat="false" ht="17.15" hidden="false" customHeight="false" outlineLevel="0" collapsed="false">
      <c r="A16745" s="1" t="s">
        <v>1102</v>
      </c>
      <c r="B16745" s="0" t="s">
        <v>98</v>
      </c>
      <c r="E16745" s="6" t="n">
        <f aca="false">Sens!E16661+Sens!E16743</f>
        <v>38.534</v>
      </c>
      <c r="F16745" s="6" t="n">
        <f aca="false">Sens!F16661+Sens!F16743</f>
        <v>58.1596586947647</v>
      </c>
      <c r="G16745" s="6" t="n">
        <f aca="false">Sens!G16661+Sens!G16743</f>
        <v>86.0928411924955</v>
      </c>
      <c r="H16745" s="6" t="n">
        <f aca="false">Sens!H16661+Sens!H16743</f>
        <v>116.628660644479</v>
      </c>
      <c r="I16745" s="6" t="n">
        <f aca="false">Sens!I16661+Sens!I16743</f>
        <v>144.255462047364</v>
      </c>
      <c r="J16745" s="6" t="n">
        <f aca="false">Sens!J16661+Sens!J16743</f>
        <v>164.778251646301</v>
      </c>
      <c r="K16745" s="6" t="n">
        <f aca="false">Sens!K16661+Sens!K16743</f>
        <v>178.67123799404</v>
      </c>
    </row>
    <row r="16746" customFormat="false" ht="17.15" hidden="false" customHeight="false" outlineLevel="0" collapsed="false">
      <c r="A16746" s="1" t="s">
        <v>1103</v>
      </c>
      <c r="B16746" s="0" t="s">
        <v>98</v>
      </c>
      <c r="F16746" s="6" t="n">
        <f aca="false">Sens!F16688*sbc_r</f>
        <v>14.9175438377464</v>
      </c>
      <c r="G16746" s="6" t="n">
        <f aca="false">Sens!G16688*sbc_r</f>
        <v>17.8119838712421</v>
      </c>
      <c r="H16746" s="6" t="n">
        <f aca="false">Sens!H16688*sbc_r</f>
        <v>20.7745061486909</v>
      </c>
      <c r="I16746" s="6" t="n">
        <f aca="false">Sens!I16688*sbc_r</f>
        <v>23.4952383075388</v>
      </c>
      <c r="J16746" s="6" t="n">
        <f aca="false">Sens!J16688*sbc_r</f>
        <v>25.7232953082804</v>
      </c>
      <c r="K16746" s="6" t="n">
        <f aca="false">Sens!K16688*sbc_r</f>
        <v>27.5132097680234</v>
      </c>
    </row>
    <row r="16747" customFormat="false" ht="17.15" hidden="false" customHeight="false" outlineLevel="0" collapsed="false">
      <c r="A16747" s="1" t="s">
        <v>1104</v>
      </c>
      <c r="B16747" s="0" t="s">
        <v>98</v>
      </c>
      <c r="F16747" s="6" t="n">
        <f aca="false">wc27-wc26q1</f>
        <v>-4.677</v>
      </c>
      <c r="G16747" s="6" t="n">
        <f aca="false">wc_f</f>
        <v>0</v>
      </c>
      <c r="H16747" s="6" t="n">
        <f aca="false">wc_f</f>
        <v>0</v>
      </c>
      <c r="I16747" s="6" t="n">
        <f aca="false">wc_f</f>
        <v>0</v>
      </c>
      <c r="J16747" s="6" t="n">
        <f aca="false">wc_f</f>
        <v>0</v>
      </c>
      <c r="K16747" s="6" t="n">
        <f aca="false">wc_f</f>
        <v>0</v>
      </c>
      <c r="L16747" s="12" t="s">
        <v>1105</v>
      </c>
    </row>
    <row r="16748" customFormat="false" ht="17.15" hidden="false" customHeight="false" outlineLevel="0" collapsed="false">
      <c r="A16748" s="0" t="s">
        <v>1106</v>
      </c>
      <c r="B16748" s="0" t="s">
        <v>98</v>
      </c>
      <c r="F16748" s="6" t="n">
        <f aca="false">Q!$I$35-Q!$I$26-Q!$I$38-Q!$I$39</f>
        <v>6.493</v>
      </c>
      <c r="L16748" s="1" t="s">
        <v>1107</v>
      </c>
    </row>
    <row r="16749" customFormat="false" ht="15" hidden="false" customHeight="false" outlineLevel="0" collapsed="false">
      <c r="A16749" s="1" t="s">
        <v>904</v>
      </c>
      <c r="B16749" s="0" t="s">
        <v>98</v>
      </c>
      <c r="E16749" s="6" t="n">
        <f aca="false">Q!M35</f>
        <v>182.935</v>
      </c>
      <c r="F16749" s="6" t="n">
        <f aca="false">Sens!F16742+Sens!F16745+Sens!F16746+Sens!F16747+Sens!F16748</f>
        <v>219.596057499506</v>
      </c>
      <c r="G16749" s="6" t="n">
        <f aca="false">Sens!G16742+Sens!G16745+Sens!G16746+Sens!G16747</f>
        <v>260.705051604358</v>
      </c>
      <c r="H16749" s="6" t="n">
        <f aca="false">Sens!H16742+Sens!H16745+Sens!H16746+Sens!H16747</f>
        <v>310.137015033734</v>
      </c>
      <c r="I16749" s="6" t="n">
        <f aca="false">Sens!I16742+Sens!I16745+Sens!I16746+Sens!I16747</f>
        <v>355.724838817352</v>
      </c>
      <c r="J16749" s="6" t="n">
        <f aca="false">Sens!J16742+Sens!J16745+Sens!J16746+Sens!J16747</f>
        <v>392.810261466896</v>
      </c>
      <c r="K16749" s="6" t="n">
        <f aca="false">Sens!K16742+Sens!K16745+Sens!K16746+Sens!K16747</f>
        <v>422.415737105821</v>
      </c>
    </row>
    <row r="16750" customFormat="false" ht="17.15" hidden="false" customHeight="false" outlineLevel="0" collapsed="false">
      <c r="A16750" s="0" t="s">
        <v>1108</v>
      </c>
      <c r="B16750" s="0" t="s">
        <v>98</v>
      </c>
      <c r="F16750" s="6" t="n">
        <f aca="false">Sens!F16658</f>
        <v>168.45390404212</v>
      </c>
      <c r="G16750" s="6" t="n">
        <f aca="false">Sens!G16658</f>
        <v>191.944475649048</v>
      </c>
      <c r="H16750" s="6" t="n">
        <f aca="false">Sens!H16658</f>
        <v>196.806004064512</v>
      </c>
      <c r="I16750" s="6" t="n">
        <f aca="false">Sens!I16658</f>
        <v>168.61483362161</v>
      </c>
      <c r="J16750" s="6" t="n">
        <f aca="false">Sens!J16658</f>
        <v>128.92993119594</v>
      </c>
      <c r="K16750" s="6" t="n">
        <f aca="false">Sens!K16658</f>
        <v>118.962853064733</v>
      </c>
    </row>
    <row r="16751" customFormat="false" ht="17.15" hidden="false" customHeight="false" outlineLevel="0" collapsed="false">
      <c r="A16751" s="1" t="s">
        <v>1109</v>
      </c>
      <c r="B16751" s="0" t="s">
        <v>98</v>
      </c>
      <c r="E16751" s="6" t="n">
        <f aca="false">Sens!E16666*cx_azo+Sens!E16673*cx_m365+Sens!E16674*cx_lic+(Sens!E16676+Sens!E16678)*cx_ind+Sens!E16681*cx_srch+(Sens!E16683+Sens!E16685)*cx_dev</f>
        <v>30.1846587067718</v>
      </c>
      <c r="F16751" s="6" t="n">
        <f aca="false">Sens!F16666*cx_azo+Sens!F16673*cx_m365+Sens!F16674*cx_lic+(Sens!F16676+Sens!F16678)*cx_ind+Sens!F16681*cx_srch+(Sens!F16683+Sens!F16685)*cx_dev</f>
        <v>35.7460764992227</v>
      </c>
      <c r="G16751" s="6" t="n">
        <f aca="false">Sens!G16666*cx_azo+Sens!G16673*cx_m365+Sens!G16674*cx_lic+(Sens!G16676+Sens!G16678)*cx_ind+Sens!G16681*cx_srch+(Sens!G16683+Sens!G16685)*cx_dev</f>
        <v>41.360407454248</v>
      </c>
      <c r="H16751" s="6" t="n">
        <f aca="false">Sens!H16666*cx_azo+Sens!H16673*cx_m365+Sens!H16674*cx_lic+(Sens!H16676+Sens!H16678)*cx_ind+Sens!H16681*cx_srch+(Sens!H16683+Sens!H16685)*cx_dev</f>
        <v>47.0605449685615</v>
      </c>
      <c r="I16751" s="6" t="n">
        <f aca="false">Sens!I16666*cx_azo+Sens!I16673*cx_m365+Sens!I16674*cx_lic+(Sens!I16676+Sens!I16678)*cx_ind+Sens!I16681*cx_srch+(Sens!I16683+Sens!I16685)*cx_dev</f>
        <v>52.4873936808571</v>
      </c>
      <c r="J16751" s="6" t="n">
        <f aca="false">Sens!J16666*cx_azo+Sens!J16673*cx_m365+Sens!J16674*cx_lic+(Sens!J16676+Sens!J16678)*cx_ind+Sens!J16681*cx_srch+(Sens!J16683+Sens!J16685)*cx_dev</f>
        <v>57.4057147917091</v>
      </c>
      <c r="K16751" s="6" t="n">
        <f aca="false">Sens!K16666*cx_azo+Sens!K16673*cx_m365+Sens!K16674*cx_lic+(Sens!K16676+Sens!K16678)*cx_ind+Sens!K16681*cx_srch+(Sens!K16683+Sens!K16685)*cx_dev</f>
        <v>61.7224770607185</v>
      </c>
    </row>
    <row r="16752" customFormat="false" ht="17.15" hidden="false" customHeight="false" outlineLevel="0" collapsed="false">
      <c r="A16752" s="0" t="s">
        <v>1110</v>
      </c>
      <c r="B16752" s="0" t="s">
        <v>98</v>
      </c>
      <c r="F16752" s="6" t="n">
        <f aca="false">Sens!F16656</f>
        <v>1.94586576753863E-005</v>
      </c>
      <c r="L16752" s="1" t="s">
        <v>1111</v>
      </c>
    </row>
    <row r="16753" customFormat="false" ht="17.15" hidden="false" customHeight="false" outlineLevel="0" collapsed="false">
      <c r="A16753" s="1" t="s">
        <v>1112</v>
      </c>
      <c r="B16753" s="0" t="s">
        <v>98</v>
      </c>
      <c r="E16753" s="6" t="n">
        <f aca="false">Q!M43</f>
        <v>145.3</v>
      </c>
      <c r="F16753" s="6" t="n">
        <f aca="false">Sens!F16750+Sens!F16751+Sens!F16752</f>
        <v>204.2</v>
      </c>
      <c r="G16753" s="6" t="n">
        <f aca="false">Sens!G16750+Sens!G16751</f>
        <v>233.304883103296</v>
      </c>
      <c r="H16753" s="6" t="n">
        <f aca="false">Sens!H16750+Sens!H16751</f>
        <v>243.866549033074</v>
      </c>
      <c r="I16753" s="6" t="n">
        <f aca="false">Sens!I16750+Sens!I16751</f>
        <v>221.102227302467</v>
      </c>
      <c r="J16753" s="6" t="n">
        <f aca="false">Sens!J16750+Sens!J16751</f>
        <v>186.33564598765</v>
      </c>
      <c r="K16753" s="6" t="n">
        <f aca="false">Sens!K16750+Sens!K16751</f>
        <v>180.685330125451</v>
      </c>
      <c r="L16753" s="1" t="s">
        <v>1113</v>
      </c>
    </row>
    <row r="16754" customFormat="false" ht="15" hidden="false" customHeight="false" outlineLevel="0" collapsed="false">
      <c r="A16754" s="1" t="s">
        <v>1114</v>
      </c>
      <c r="B16754" s="0" t="s">
        <v>98</v>
      </c>
      <c r="E16754" s="6" t="n">
        <f aca="false">fl_liab</f>
        <v>66.594</v>
      </c>
      <c r="F16754" s="6" t="n">
        <f aca="false">Sens!E16754-Sens!F16755</f>
        <v>62.46973</v>
      </c>
      <c r="G16754" s="6" t="n">
        <f aca="false">Sens!F16754-Sens!G16755</f>
        <v>57.98686785</v>
      </c>
      <c r="H16754" s="6" t="n">
        <f aca="false">Sens!G16754-Sens!H16755</f>
        <v>53.92827690325</v>
      </c>
      <c r="I16754" s="6" t="n">
        <f aca="false">Sens!H16754-Sens!I16755</f>
        <v>49.7850493638962</v>
      </c>
      <c r="J16754" s="6" t="n">
        <f aca="false">Sens!I16754-Sens!J16755</f>
        <v>45.4823765852716</v>
      </c>
      <c r="K16754" s="6" t="n">
        <f aca="false">Sens!J16754-Sens!K16755</f>
        <v>40.9860835316088</v>
      </c>
    </row>
    <row r="16755" customFormat="false" ht="15" hidden="false" customHeight="false" outlineLevel="0" collapsed="false">
      <c r="A16755" s="1" t="s">
        <v>1115</v>
      </c>
      <c r="B16755" s="0" t="s">
        <v>98</v>
      </c>
      <c r="F16755" s="6" t="n">
        <f aca="false">fl_pay_27-Sens!E16754*fl_rate</f>
        <v>4.12427</v>
      </c>
      <c r="G16755" s="6" t="n">
        <f aca="false">fl_pay_28-Sens!F16754*fl_rate</f>
        <v>4.48286215</v>
      </c>
      <c r="H16755" s="6" t="n">
        <f aca="false">fl_pay_29-Sens!G16754*fl_rate</f>
        <v>4.05859094675</v>
      </c>
      <c r="I16755" s="6" t="n">
        <f aca="false">fl_pay_30-Sens!H16754*fl_rate</f>
        <v>4.14322753935375</v>
      </c>
      <c r="J16755" s="6" t="n">
        <f aca="false">fl_pay_31-Sens!I16754*fl_rate</f>
        <v>4.30267277862467</v>
      </c>
      <c r="K16755" s="6" t="n">
        <f aca="false">fl_pay_32-Sens!J16754*fl_rate</f>
        <v>4.49629305366278</v>
      </c>
    </row>
    <row r="16756" customFormat="false" ht="17.15" hidden="false" customHeight="false" outlineLevel="0" collapsed="false">
      <c r="A16756" s="1" t="s">
        <v>1116</v>
      </c>
      <c r="B16756" s="0" t="s">
        <v>98</v>
      </c>
      <c r="E16756" s="6" t="n">
        <f aca="false">Q!M35-Q!M36-Q!M44</f>
        <v>63.886</v>
      </c>
      <c r="F16756" s="6" t="n">
        <f aca="false">Sens!F16749-Sens!F16753-Sens!F16755</f>
        <v>11.2717874995055</v>
      </c>
      <c r="G16756" s="6" t="n">
        <f aca="false">Sens!G16749-Sens!G16753-Sens!G16755</f>
        <v>22.917306351062</v>
      </c>
      <c r="H16756" s="6" t="n">
        <f aca="false">Sens!H16749-Sens!H16753-Sens!H16755</f>
        <v>62.2118750539102</v>
      </c>
      <c r="I16756" s="6" t="n">
        <f aca="false">Sens!I16749-Sens!I16753-Sens!I16755</f>
        <v>130.479383975531</v>
      </c>
      <c r="J16756" s="6" t="n">
        <f aca="false">Sens!J16749-Sens!J16753-Sens!J16755</f>
        <v>202.171942700621</v>
      </c>
      <c r="K16756" s="6" t="n">
        <f aca="false">Sens!K16749-Sens!K16753-Sens!K16755</f>
        <v>237.234113926707</v>
      </c>
      <c r="L16756" s="12" t="s">
        <v>1117</v>
      </c>
    </row>
    <row r="16757" customFormat="false" ht="15" hidden="false" customHeight="false" outlineLevel="0" collapsed="false">
      <c r="A16757" s="1" t="s">
        <v>1118</v>
      </c>
      <c r="B16757" s="0" t="s">
        <v>75</v>
      </c>
      <c r="F16757" s="8" t="n">
        <f aca="false">dps_27</f>
        <v>3.85</v>
      </c>
      <c r="G16757" s="8" t="n">
        <f aca="false">Sens!F16757*(1+dps_g)</f>
        <v>4.158</v>
      </c>
      <c r="H16757" s="8" t="n">
        <f aca="false">Sens!G16757*(1+dps_g)</f>
        <v>4.49064</v>
      </c>
      <c r="I16757" s="8" t="n">
        <f aca="false">Sens!H16757*(1+dps_g)</f>
        <v>4.8498912</v>
      </c>
      <c r="J16757" s="8" t="n">
        <f aca="false">Sens!I16757*(1+dps_g)</f>
        <v>5.237882496</v>
      </c>
      <c r="K16757" s="8" t="n">
        <f aca="false">Sens!J16757*(1+dps_g)</f>
        <v>5.65691309568</v>
      </c>
    </row>
    <row r="16758" customFormat="false" ht="17.15" hidden="false" customHeight="false" outlineLevel="0" collapsed="false">
      <c r="A16758" s="1" t="s">
        <v>1119</v>
      </c>
      <c r="B16758" s="0" t="s">
        <v>98</v>
      </c>
      <c r="E16758" s="6" t="n">
        <f aca="false">Q!M41</f>
        <v>26.445</v>
      </c>
      <c r="F16758" s="6" t="n">
        <f aca="false">Sens!F16757*Sens!E16767</f>
        <v>28.59395</v>
      </c>
      <c r="G16758" s="6" t="n">
        <f aca="false">Sens!G16757*Sens!F16767</f>
        <v>31.0665353021685</v>
      </c>
      <c r="H16758" s="6" t="n">
        <f aca="false">Sens!H16757*Sens!G16767</f>
        <v>33.753936926342</v>
      </c>
      <c r="I16758" s="6" t="n">
        <f aca="false">Sens!I16757*Sens!H16767</f>
        <v>36.504690157522</v>
      </c>
      <c r="J16758" s="6" t="n">
        <f aca="false">Sens!J16757*Sens!I16767</f>
        <v>39.4929632555164</v>
      </c>
      <c r="K16758" s="6" t="n">
        <f aca="false">Sens!K16757*Sens!J16767</f>
        <v>42.739154578336</v>
      </c>
      <c r="L16758" s="1" t="s">
        <v>1120</v>
      </c>
    </row>
    <row r="16759" customFormat="false" ht="15" hidden="false" customHeight="false" outlineLevel="0" collapsed="false">
      <c r="A16759" s="1" t="s">
        <v>1121</v>
      </c>
      <c r="B16759" s="0" t="s">
        <v>98</v>
      </c>
      <c r="E16759" s="6" t="n">
        <f aca="false">Sens!E16756-Sens!E16758</f>
        <v>37.441</v>
      </c>
      <c r="F16759" s="6" t="n">
        <f aca="false">Sens!F16756-Sens!F16758</f>
        <v>-17.3221625004945</v>
      </c>
      <c r="G16759" s="6" t="n">
        <f aca="false">Sens!G16756-Sens!G16758</f>
        <v>-8.14922895110651</v>
      </c>
      <c r="H16759" s="6" t="n">
        <f aca="false">Sens!H16756-Sens!H16758</f>
        <v>28.4579381275682</v>
      </c>
      <c r="I16759" s="6" t="n">
        <f aca="false">Sens!I16756-Sens!I16758</f>
        <v>93.9746938180087</v>
      </c>
      <c r="J16759" s="6" t="n">
        <f aca="false">Sens!J16756-Sens!J16758</f>
        <v>162.678979445105</v>
      </c>
      <c r="K16759" s="6" t="n">
        <f aca="false">Sens!K16756-Sens!K16758</f>
        <v>194.494959348371</v>
      </c>
    </row>
    <row r="16760" customFormat="false" ht="15" hidden="false" customHeight="false" outlineLevel="0" collapsed="false">
      <c r="A16760" s="1" t="s">
        <v>1122</v>
      </c>
      <c r="B16760" s="0" t="s">
        <v>98</v>
      </c>
      <c r="F16760" s="6" t="n">
        <f aca="false">debt_mat_27</f>
        <v>9.25</v>
      </c>
      <c r="G16760" s="6" t="n">
        <f aca="false">debt_mat_28</f>
        <v>0</v>
      </c>
      <c r="H16760" s="6" t="n">
        <f aca="false">debt_mat_29</f>
        <v>2.001</v>
      </c>
      <c r="I16760" s="6" t="n">
        <f aca="false">debt_mat_30</f>
        <v>0</v>
      </c>
      <c r="J16760" s="6" t="n">
        <f aca="false">debt_mat_31</f>
        <v>0.5</v>
      </c>
      <c r="K16760" s="6" t="n">
        <f aca="false">debt_mat_32</f>
        <v>0</v>
      </c>
    </row>
    <row r="16761" customFormat="false" ht="15" hidden="false" customHeight="false" outlineLevel="0" collapsed="false">
      <c r="A16761" s="1" t="s">
        <v>1123</v>
      </c>
      <c r="B16761" s="0" t="s">
        <v>98</v>
      </c>
      <c r="E16761" s="6" t="n">
        <f aca="false">Q!M40</f>
        <v>22.271</v>
      </c>
      <c r="F16761" s="6" t="n">
        <f aca="false">MAX(0,MIN(bb_target,Sens!E16763+Sens!F16759-Sens!F16760-min_cash))</f>
        <v>0.270837499505504</v>
      </c>
      <c r="G16761" s="6" t="n">
        <f aca="false">MAX(0,MIN(bb_target,Sens!F16763+Sens!G16759-Sens!G16760-min_cash))</f>
        <v>0</v>
      </c>
      <c r="H16761" s="6" t="n">
        <f aca="false">MAX(0,MIN(bb_target,Sens!G16763+Sens!H16759-Sens!H16760-min_cash))</f>
        <v>22.271</v>
      </c>
      <c r="I16761" s="6" t="n">
        <f aca="false">MAX(0,MIN(bb_target,Sens!H16763+Sens!I16759-Sens!I16760-min_cash))</f>
        <v>22.271</v>
      </c>
      <c r="J16761" s="6" t="n">
        <f aca="false">MAX(0,MIN(bb_target,Sens!I16763+Sens!J16759-Sens!J16760-min_cash))</f>
        <v>22.271</v>
      </c>
      <c r="K16761" s="6" t="n">
        <f aca="false">MAX(0,MIN(bb_target,Sens!J16763+Sens!K16759-Sens!K16760-min_cash))</f>
        <v>22.271</v>
      </c>
    </row>
    <row r="16762" customFormat="false" ht="15" hidden="false" customHeight="false" outlineLevel="0" collapsed="false">
      <c r="A16762" s="1" t="s">
        <v>1124</v>
      </c>
      <c r="B16762" s="0" t="s">
        <v>98</v>
      </c>
      <c r="F16762" s="6" t="n">
        <f aca="false">MAX(0,min_cash-(Sens!E16763+Sens!F16759-Sens!F16760-Sens!F16761))</f>
        <v>0</v>
      </c>
      <c r="G16762" s="6" t="n">
        <f aca="false">MAX(0,min_cash-(Sens!F16763+Sens!G16759-Sens!G16760-Sens!G16761))</f>
        <v>8.14922895110651</v>
      </c>
      <c r="H16762" s="6" t="n">
        <f aca="false">MAX(0,min_cash-(Sens!G16763+Sens!H16759-Sens!H16760-Sens!H16761))</f>
        <v>0</v>
      </c>
      <c r="I16762" s="6" t="n">
        <f aca="false">MAX(0,min_cash-(Sens!H16763+Sens!I16759-Sens!I16760-Sens!I16761))</f>
        <v>0</v>
      </c>
      <c r="J16762" s="6" t="n">
        <f aca="false">MAX(0,min_cash-(Sens!I16763+Sens!J16759-Sens!J16760-Sens!J16761))</f>
        <v>0</v>
      </c>
      <c r="K16762" s="6" t="n">
        <f aca="false">MAX(0,min_cash-(Sens!J16763+Sens!K16759-Sens!K16760-Sens!K16761))</f>
        <v>0</v>
      </c>
    </row>
    <row r="16763" customFormat="false" ht="15" hidden="false" customHeight="false" outlineLevel="0" collapsed="false">
      <c r="A16763" s="1" t="s">
        <v>1125</v>
      </c>
      <c r="B16763" s="0" t="s">
        <v>98</v>
      </c>
      <c r="E16763" s="6" t="n">
        <f aca="false">cash_open</f>
        <v>76.843</v>
      </c>
      <c r="F16763" s="6" t="n">
        <f aca="false">Sens!E16763+Sens!F16759-Sens!F16760-Sens!F16761+Sens!F16762</f>
        <v>50</v>
      </c>
      <c r="G16763" s="6" t="n">
        <f aca="false">Sens!F16763+Sens!G16759-Sens!G16760-Sens!G16761+Sens!G16762</f>
        <v>50</v>
      </c>
      <c r="H16763" s="6" t="n">
        <f aca="false">Sens!G16763+Sens!H16759-Sens!H16760-Sens!H16761+Sens!H16762</f>
        <v>54.1859381275682</v>
      </c>
      <c r="I16763" s="6" t="n">
        <f aca="false">Sens!H16763+Sens!I16759-Sens!I16760-Sens!I16761+Sens!I16762</f>
        <v>125.889631945577</v>
      </c>
      <c r="J16763" s="6" t="n">
        <f aca="false">Sens!I16763+Sens!J16759-Sens!J16760-Sens!J16761+Sens!J16762</f>
        <v>265.797611390682</v>
      </c>
      <c r="K16763" s="6" t="n">
        <f aca="false">Sens!J16763+Sens!K16759-Sens!K16760-Sens!K16761+Sens!K16762</f>
        <v>438.021570739053</v>
      </c>
    </row>
    <row r="16764" customFormat="false" ht="15" hidden="false" customHeight="false" outlineLevel="0" collapsed="false">
      <c r="A16764" s="1" t="s">
        <v>1126</v>
      </c>
      <c r="B16764" s="0" t="s">
        <v>98</v>
      </c>
      <c r="E16764" s="6" t="n">
        <f aca="false">debt_face</f>
        <v>46.136</v>
      </c>
      <c r="F16764" s="6" t="n">
        <f aca="false">Sens!E16764-Sens!F16760+Sens!F16762</f>
        <v>36.886</v>
      </c>
      <c r="G16764" s="6" t="n">
        <f aca="false">Sens!F16764-Sens!G16760+Sens!G16762</f>
        <v>45.0352289511065</v>
      </c>
      <c r="H16764" s="6" t="n">
        <f aca="false">Sens!G16764-Sens!H16760+Sens!H16762</f>
        <v>43.0342289511065</v>
      </c>
      <c r="I16764" s="6" t="n">
        <f aca="false">Sens!H16764-Sens!I16760+Sens!I16762</f>
        <v>43.0342289511065</v>
      </c>
      <c r="J16764" s="6" t="n">
        <f aca="false">Sens!I16764-Sens!J16760+Sens!J16762</f>
        <v>42.5342289511065</v>
      </c>
      <c r="K16764" s="6" t="n">
        <f aca="false">Sens!J16764-Sens!K16760+Sens!K16762</f>
        <v>42.5342289511065</v>
      </c>
    </row>
    <row r="16765" customFormat="false" ht="15" hidden="false" customHeight="false" outlineLevel="0" collapsed="false">
      <c r="A16765" s="1" t="s">
        <v>1127</v>
      </c>
      <c r="B16765" s="0" t="s">
        <v>98</v>
      </c>
      <c r="E16765" s="6" t="n">
        <f aca="false">Sens!E16763-Sens!E16764</f>
        <v>30.707</v>
      </c>
      <c r="F16765" s="6" t="n">
        <f aca="false">Sens!F16763-Sens!F16764</f>
        <v>13.114</v>
      </c>
      <c r="G16765" s="6" t="n">
        <f aca="false">Sens!G16763-Sens!G16764</f>
        <v>4.96477104889349</v>
      </c>
      <c r="H16765" s="6" t="n">
        <f aca="false">Sens!H16763-Sens!H16764</f>
        <v>11.1517091764617</v>
      </c>
      <c r="I16765" s="6" t="n">
        <f aca="false">Sens!I16763-Sens!I16764</f>
        <v>82.8554029944703</v>
      </c>
      <c r="J16765" s="6" t="n">
        <f aca="false">Sens!J16763-Sens!J16764</f>
        <v>223.263382439575</v>
      </c>
      <c r="K16765" s="6" t="n">
        <f aca="false">Sens!K16763-Sens!K16764</f>
        <v>395.487341787946</v>
      </c>
    </row>
    <row r="16766" customFormat="false" ht="15" hidden="false" customHeight="false" outlineLevel="0" collapsed="false">
      <c r="A16766" s="1" t="s">
        <v>1128</v>
      </c>
      <c r="B16766" s="0" t="s">
        <v>75</v>
      </c>
      <c r="F16766" s="30" t="n">
        <f aca="false">px*(1+bb_g)^(Sens!F16624-base_fy-mid_yr)</f>
        <v>551.84177959629</v>
      </c>
      <c r="G16766" s="30" t="n">
        <f aca="false">px*(1+bb_g)^(Sens!G16624-base_fy-mid_yr)</f>
        <v>595.989121963993</v>
      </c>
      <c r="H16766" s="30" t="n">
        <f aca="false">px*(1+bb_g)^(Sens!H16624-base_fy-mid_yr)</f>
        <v>643.668251721112</v>
      </c>
      <c r="I16766" s="30" t="n">
        <f aca="false">px*(1+bb_g)^(Sens!I16624-base_fy-mid_yr)</f>
        <v>695.161711858801</v>
      </c>
      <c r="J16766" s="30" t="n">
        <f aca="false">px*(1+bb_g)^(Sens!J16624-base_fy-mid_yr)</f>
        <v>750.774648807506</v>
      </c>
      <c r="K16766" s="30" t="n">
        <f aca="false">px*(1+bb_g)^(Sens!K16624-base_fy-mid_yr)</f>
        <v>810.836620712106</v>
      </c>
    </row>
    <row r="16767" customFormat="false" ht="15" hidden="false" customHeight="false" outlineLevel="0" collapsed="false">
      <c r="A16767" s="1" t="s">
        <v>1129</v>
      </c>
      <c r="B16767" s="1" t="s">
        <v>81</v>
      </c>
      <c r="E16767" s="15" t="n">
        <f aca="false">sh_out26</f>
        <v>7.427</v>
      </c>
      <c r="F16767" s="15" t="n">
        <f aca="false">Sens!E16767+sh_iss-Sens!F16761/Sens!F16766</f>
        <v>7.47150921168074</v>
      </c>
      <c r="G16767" s="15" t="n">
        <f aca="false">Sens!F16767+sh_iss-Sens!G16761/Sens!G16766</f>
        <v>7.51650921168074</v>
      </c>
      <c r="H16767" s="15" t="n">
        <f aca="false">Sens!G16767+sh_iss-Sens!H16761/Sens!H16766</f>
        <v>7.52690908973834</v>
      </c>
      <c r="I16767" s="15" t="n">
        <f aca="false">Sens!H16767+sh_iss-Sens!I16761/Sens!I16766</f>
        <v>7.53987193979168</v>
      </c>
      <c r="J16767" s="15" t="n">
        <f aca="false">Sens!I16767+sh_iss-Sens!J16761/Sens!J16766</f>
        <v>7.55520791206329</v>
      </c>
      <c r="K16767" s="15" t="n">
        <f aca="false">Sens!J16767+sh_iss-Sens!K16761/Sens!K16766</f>
        <v>7.57274121972218</v>
      </c>
    </row>
    <row r="16768" customFormat="false" ht="15" hidden="false" customHeight="false" outlineLevel="0" collapsed="false">
      <c r="A16768" s="1" t="s">
        <v>1130</v>
      </c>
      <c r="B16768" s="1" t="s">
        <v>81</v>
      </c>
      <c r="E16768" s="15" t="n">
        <f aca="false">sh_dil26</f>
        <v>7.453</v>
      </c>
      <c r="F16768" s="15" t="n">
        <f aca="false">(Sens!E16767+Sens!F16767)/2+dil_gap</f>
        <v>7.47325460584037</v>
      </c>
      <c r="G16768" s="15" t="n">
        <f aca="false">(Sens!F16767+Sens!G16767)/2+dil_gap</f>
        <v>7.51800921168074</v>
      </c>
      <c r="H16768" s="15" t="n">
        <f aca="false">(Sens!G16767+Sens!H16767)/2+dil_gap</f>
        <v>7.54570915070954</v>
      </c>
      <c r="I16768" s="15" t="n">
        <f aca="false">(Sens!H16767+Sens!I16767)/2+dil_gap</f>
        <v>7.55739051476501</v>
      </c>
      <c r="J16768" s="15" t="n">
        <f aca="false">(Sens!I16767+Sens!J16767)/2+dil_gap</f>
        <v>7.57153992592748</v>
      </c>
      <c r="K16768" s="15" t="n">
        <f aca="false">(Sens!J16767+Sens!K16767)/2+dil_gap</f>
        <v>7.58797456589273</v>
      </c>
    </row>
    <row r="16769" customFormat="false" ht="17.15" hidden="false" customHeight="false" outlineLevel="0" collapsed="false">
      <c r="A16769" s="1" t="s">
        <v>1131</v>
      </c>
      <c r="B16769" s="0" t="s">
        <v>98</v>
      </c>
      <c r="C16769" s="6" t="n">
        <f aca="false">SUM(Sens!F16759:J16759)</f>
        <v>259.640219939081</v>
      </c>
    </row>
    <row r="16770" customFormat="false" ht="15" hidden="false" customHeight="false" outlineLevel="0" collapsed="false">
      <c r="A16770" s="26" t="s">
        <v>1096</v>
      </c>
      <c r="B16770" s="31" t="s">
        <v>98</v>
      </c>
      <c r="C16770" s="27" t="n">
        <f aca="false">Sens!$C$16769-(Sens!F16759+Sens!G16759+Sens!H16759+Sens!I16759+Sens!J16759)</f>
        <v>0</v>
      </c>
      <c r="D16770" s="31"/>
      <c r="E16770" s="31"/>
      <c r="F16770" s="31"/>
      <c r="G16770" s="31"/>
      <c r="H16770" s="31"/>
      <c r="I16770" s="31"/>
      <c r="J16770" s="31"/>
      <c r="K16770" s="31"/>
    </row>
    <row r="16771" customFormat="false" ht="17.15" hidden="false" customHeight="false" outlineLevel="0" collapsed="false">
      <c r="A16771" s="1" t="s">
        <v>1090</v>
      </c>
      <c r="B16771" s="1" t="s">
        <v>1132</v>
      </c>
      <c r="C16771" s="33" t="str">
        <f aca="false">IF(SUM(Sens!F16762:J16762)&gt;0.05,"需要舉債 "&amp;TEXT(SUM(Sens!F16762:J16762),"0.0")&amp;" 十億美元","不需舉債")&amp;"；"&amp;IF(SUM(Sens!F16761:J16761)&lt;COUNT(Sens!F16761:J16761)*bb_target-0.05,"回購較每年 "&amp;TEXT(bb_target,"0.0")&amp;" 的目標少 "&amp;TEXT(COUNT(Sens!F16761:J16761)*bb_target-SUM(Sens!F16761:J16761),"0.0")&amp;" 十億美元（"&amp;TEXT(COUNTIF(Sens!F16761:J16761,"&lt;"&amp;(bb_target-0.05)),"0")&amp;" 年減少）","回購不減")</f>
        <v>需要舉債 8.1 十億美元；回購較每年 22.3 的目標少 44.3 十億美元（2 年減少）</v>
      </c>
    </row>
    <row r="16772" customFormat="false" ht="17.15" hidden="false" customHeight="false" outlineLevel="0" collapsed="false">
      <c r="A16772" s="3" t="s">
        <v>1893</v>
      </c>
    </row>
    <row r="16773" customFormat="false" ht="15" hidden="false" customHeight="false" outlineLevel="0" collapsed="false">
      <c r="A16773" s="4" t="s">
        <v>43</v>
      </c>
      <c r="B16773" s="4" t="s">
        <v>65</v>
      </c>
      <c r="C16773" s="23" t="s">
        <v>938</v>
      </c>
      <c r="D16773" s="23" t="s">
        <v>939</v>
      </c>
      <c r="E16773" s="23" t="s">
        <v>940</v>
      </c>
      <c r="F16773" s="23" t="s">
        <v>941</v>
      </c>
      <c r="G16773" s="23" t="s">
        <v>942</v>
      </c>
      <c r="H16773" s="23" t="s">
        <v>943</v>
      </c>
      <c r="I16773" s="23" t="s">
        <v>944</v>
      </c>
      <c r="J16773" s="23" t="s">
        <v>945</v>
      </c>
      <c r="K16773" s="23" t="s">
        <v>946</v>
      </c>
      <c r="L16773" s="4" t="s">
        <v>47</v>
      </c>
    </row>
    <row r="16774" customFormat="false" ht="17.15" hidden="false" customHeight="false" outlineLevel="0" collapsed="false">
      <c r="A16774" s="1" t="s">
        <v>1212</v>
      </c>
      <c r="B16774" s="1" t="s">
        <v>279</v>
      </c>
      <c r="F16774" s="8" t="n">
        <f aca="false">(1-v_off)*mid_yr</f>
        <v>0.373972602739726</v>
      </c>
      <c r="G16774" s="8" t="n">
        <f aca="false">Sens!G16624-base_fy-mid_yr-v_off</f>
        <v>1.24794520547945</v>
      </c>
      <c r="H16774" s="8" t="n">
        <f aca="false">Sens!H16624-base_fy-mid_yr-v_off</f>
        <v>2.24794520547945</v>
      </c>
      <c r="I16774" s="8" t="n">
        <f aca="false">Sens!I16624-base_fy-mid_yr-v_off</f>
        <v>3.24794520547945</v>
      </c>
      <c r="J16774" s="8" t="n">
        <f aca="false">Sens!J16624-base_fy-mid_yr-v_off</f>
        <v>4.24794520547945</v>
      </c>
      <c r="K16774" s="8" t="n">
        <f aca="false">Sens!K16624-base_fy-mid_yr-v_off</f>
        <v>5.24794520547945</v>
      </c>
      <c r="L16774" s="12" t="s">
        <v>1213</v>
      </c>
    </row>
    <row r="16775" customFormat="false" ht="15" hidden="false" customHeight="false" outlineLevel="0" collapsed="false">
      <c r="A16775" s="1" t="s">
        <v>1214</v>
      </c>
      <c r="B16775" s="1" t="s">
        <v>279</v>
      </c>
      <c r="F16775" s="8" t="n">
        <f aca="false">Sens!F16624-base_fy-v_off</f>
        <v>0.747945205479452</v>
      </c>
      <c r="G16775" s="8" t="n">
        <f aca="false">Sens!G16624-base_fy-v_off</f>
        <v>1.74794520547945</v>
      </c>
      <c r="H16775" s="8" t="n">
        <f aca="false">Sens!H16624-base_fy-v_off</f>
        <v>2.74794520547945</v>
      </c>
      <c r="I16775" s="8" t="n">
        <f aca="false">Sens!I16624-base_fy-v_off</f>
        <v>3.74794520547945</v>
      </c>
      <c r="J16775" s="8" t="n">
        <f aca="false">Sens!J16624-base_fy-v_off</f>
        <v>4.74794520547945</v>
      </c>
      <c r="K16775" s="8" t="n">
        <f aca="false">Sens!K16624-base_fy-v_off</f>
        <v>5.74794520547945</v>
      </c>
    </row>
    <row r="16776" customFormat="false" ht="15" hidden="false" customHeight="false" outlineLevel="0" collapsed="false">
      <c r="A16776" s="1" t="s">
        <v>1215</v>
      </c>
      <c r="B16776" s="0" t="s">
        <v>229</v>
      </c>
      <c r="F16776" s="15" t="n">
        <f aca="false">1/(1+wacc)^Sens!F16774</f>
        <v>0.964022703286649</v>
      </c>
      <c r="G16776" s="15" t="n">
        <f aca="false">1/(1+wacc)^Sens!G16774</f>
        <v>0.884910302296739</v>
      </c>
      <c r="H16776" s="15" t="n">
        <f aca="false">1/(1+wacc)^Sens!H16774</f>
        <v>0.802322009770358</v>
      </c>
      <c r="I16776" s="15" t="n">
        <f aca="false">1/(1+wacc)^Sens!I16774</f>
        <v>0.727441646561469</v>
      </c>
      <c r="J16776" s="15" t="n">
        <f aca="false">1/(1+wacc)^Sens!J16774</f>
        <v>0.659549834988973</v>
      </c>
      <c r="K16776" s="15" t="n">
        <f aca="false">1/(1+wacc)^Sens!K16774</f>
        <v>0.597994336576966</v>
      </c>
    </row>
    <row r="16777" customFormat="false" ht="17.15" hidden="false" customHeight="false" outlineLevel="0" collapsed="false">
      <c r="A16777" s="1" t="s">
        <v>1216</v>
      </c>
      <c r="B16777" s="0" t="s">
        <v>98</v>
      </c>
      <c r="F16777" s="6" t="n">
        <f aca="false">Q!$I$35-Q!$I$39-Q!$I$43</f>
        <v>9.666</v>
      </c>
      <c r="L16777" s="12" t="s">
        <v>1217</v>
      </c>
    </row>
    <row r="16778" customFormat="false" ht="17.15" hidden="false" customHeight="false" outlineLevel="0" collapsed="false">
      <c r="A16778" s="1" t="s">
        <v>1218</v>
      </c>
      <c r="B16778" s="0" t="s">
        <v>98</v>
      </c>
      <c r="F16778" s="6" t="n">
        <f aca="false">Sens!F16749-Sens!F16746-Sens!F16753+Sens!F16731*(1-tax_f)*(1-v_off)-Sens!F16777</f>
        <v>-6.35590315391913</v>
      </c>
      <c r="G16778" s="6" t="n">
        <f aca="false">Sens!G16749-Sens!G16746-Sens!G16753+Sens!G16731*(1-tax_f)</f>
        <v>25.6640120643252</v>
      </c>
      <c r="H16778" s="6" t="n">
        <f aca="false">Sens!H16749-Sens!H16746-Sens!H16753+Sens!H16731*(1-tax_f)</f>
        <v>75.0813314035629</v>
      </c>
      <c r="I16778" s="6" t="n">
        <f aca="false">Sens!I16749-Sens!I16746-Sens!I16753+Sens!I16731*(1-tax_f)</f>
        <v>152.977343885525</v>
      </c>
      <c r="J16778" s="6" t="n">
        <f aca="false">Sens!J16749-Sens!J16746-Sens!J16753+Sens!J16731*(1-tax_f)</f>
        <v>231.166574888994</v>
      </c>
      <c r="K16778" s="6" t="n">
        <f aca="false">Sens!K16749-Sens!K16746-Sens!K16753+Sens!K16731*(1-tax_f)</f>
        <v>269.255988149325</v>
      </c>
      <c r="L16778" s="1" t="s">
        <v>1219</v>
      </c>
    </row>
    <row r="16779" customFormat="false" ht="15" hidden="false" customHeight="false" outlineLevel="0" collapsed="false">
      <c r="A16779" s="1" t="s">
        <v>1220</v>
      </c>
      <c r="B16779" s="0" t="s">
        <v>98</v>
      </c>
      <c r="F16779" s="6" t="n">
        <f aca="false">Sens!F16778*Sens!F16776</f>
        <v>-6.12723494026926</v>
      </c>
      <c r="G16779" s="6" t="n">
        <f aca="false">Sens!G16778*Sens!G16776</f>
        <v>22.7103486739892</v>
      </c>
      <c r="H16779" s="6" t="n">
        <f aca="false">Sens!H16778*Sens!H16776</f>
        <v>60.2394047079409</v>
      </c>
      <c r="I16779" s="6" t="n">
        <f aca="false">Sens!I16778*Sens!I16776</f>
        <v>111.282090922686</v>
      </c>
      <c r="J16779" s="6" t="n">
        <f aca="false">Sens!J16778*Sens!J16776</f>
        <v>152.465876323002</v>
      </c>
      <c r="K16779" s="6" t="n">
        <f aca="false">Sens!K16778*Sens!K16776</f>
        <v>161.013556002731</v>
      </c>
    </row>
    <row r="16780" customFormat="false" ht="17.15" hidden="false" customHeight="false" outlineLevel="0" collapsed="false">
      <c r="A16780" s="1" t="s">
        <v>1221</v>
      </c>
      <c r="B16780" s="0" t="s">
        <v>98</v>
      </c>
      <c r="C16780" s="6" t="n">
        <f aca="false">SUM(Sens!F16779:K16779)</f>
        <v>501.584041690079</v>
      </c>
    </row>
    <row r="16781" customFormat="false" ht="17.15" hidden="false" customHeight="false" outlineLevel="0" collapsed="false">
      <c r="A16781" s="1" t="s">
        <v>1222</v>
      </c>
      <c r="B16781" s="0" t="s">
        <v>98</v>
      </c>
      <c r="C16781" s="6" t="n">
        <f aca="false">Sens!K16717*(1+g_tv)*(1-tax_f)</f>
        <v>280.396982689158</v>
      </c>
    </row>
    <row r="16782" customFormat="false" ht="17.15" hidden="false" customHeight="false" outlineLevel="0" collapsed="false">
      <c r="A16782" s="1" t="s">
        <v>1223</v>
      </c>
      <c r="B16782" s="0" t="s">
        <v>98</v>
      </c>
      <c r="C16782" s="6" t="n">
        <f aca="false">Sens!$C$16781*(1-g_tv/(wacc+ronic_prem))</f>
        <v>198.677650395353</v>
      </c>
    </row>
    <row r="16783" customFormat="false" ht="17.15" hidden="false" customHeight="false" outlineLevel="0" collapsed="false">
      <c r="A16783" s="1" t="s">
        <v>1224</v>
      </c>
      <c r="B16783" s="0" t="s">
        <v>98</v>
      </c>
      <c r="C16783" s="6" t="n">
        <f aca="false">Sens!$C$16782/(wacc-g_tv)</f>
        <v>2723.97774312683</v>
      </c>
    </row>
    <row r="16784" customFormat="false" ht="15" hidden="false" customHeight="false" outlineLevel="0" collapsed="false">
      <c r="A16784" s="1" t="s">
        <v>1225</v>
      </c>
      <c r="B16784" s="0" t="s">
        <v>98</v>
      </c>
      <c r="C16784" s="6" t="n">
        <f aca="false">Sens!$C$16783/(1+wacc)^Sens!K16775</f>
        <v>1551.04841105346</v>
      </c>
    </row>
    <row r="16785" customFormat="false" ht="17.15" hidden="false" customHeight="false" outlineLevel="0" collapsed="false">
      <c r="A16785" s="0" t="s">
        <v>1226</v>
      </c>
      <c r="B16785" s="0" t="s">
        <v>98</v>
      </c>
      <c r="C16785" s="6" t="n">
        <f aca="false">Sens!$C$16780+Sens!$C$16784</f>
        <v>2052.63245274353</v>
      </c>
    </row>
    <row r="16786" customFormat="false" ht="15" hidden="false" customHeight="false" outlineLevel="0" collapsed="false">
      <c r="A16786" s="1" t="s">
        <v>1141</v>
      </c>
      <c r="B16786" s="0" t="s">
        <v>168</v>
      </c>
      <c r="C16786" s="7" t="n">
        <f aca="false">Sens!$C$16784/Sens!$C$16785</f>
        <v>0.755638647815557</v>
      </c>
    </row>
    <row r="16787" customFormat="false" ht="17.15" hidden="false" customHeight="false" outlineLevel="0" collapsed="false">
      <c r="A16787" s="1" t="s">
        <v>1227</v>
      </c>
      <c r="B16787" s="0" t="s">
        <v>98</v>
      </c>
      <c r="C16787" s="6" t="n">
        <f aca="false">Sens!$C$16785+cash_val-debt_val-fl_val+oai_v</f>
        <v>2168.48345274353</v>
      </c>
    </row>
    <row r="16788" customFormat="false" ht="17.15" hidden="false" customHeight="false" outlineLevel="0" collapsed="false">
      <c r="A16788" s="0" t="s">
        <v>1149</v>
      </c>
      <c r="B16788" s="0" t="s">
        <v>75</v>
      </c>
      <c r="C16788" s="5" t="n">
        <f aca="false">Sens!$C$16787/shd_val</f>
        <v>291.227968404987</v>
      </c>
    </row>
    <row r="16789" customFormat="false" ht="15" hidden="false" customHeight="false" outlineLevel="0" collapsed="false">
      <c r="A16789" s="1" t="s">
        <v>1228</v>
      </c>
      <c r="B16789" s="0" t="s">
        <v>75</v>
      </c>
      <c r="C16789" s="8" t="n">
        <f aca="false">div_rem27+Sens!G16757*roll_div_q/q_per_yr</f>
        <v>3.9795</v>
      </c>
    </row>
    <row r="16790" customFormat="false" ht="17.15" hidden="false" customHeight="false" outlineLevel="0" collapsed="false">
      <c r="A16790" s="0" t="s">
        <v>1229</v>
      </c>
      <c r="B16790" s="0" t="s">
        <v>75</v>
      </c>
      <c r="C16790" s="5" t="n">
        <f aca="false">Sens!$C$16788*(1+wacc)^t_roll-Sens!$C$16789</f>
        <v>319.736640531681</v>
      </c>
    </row>
    <row r="16791" customFormat="false" ht="17.15" hidden="false" customHeight="false" outlineLevel="0" collapsed="false">
      <c r="A16791" s="1" t="s">
        <v>1230</v>
      </c>
      <c r="B16791" s="0" t="s">
        <v>168</v>
      </c>
      <c r="F16791" s="7" t="n">
        <f aca="false">Sens!F16743/(Sens!F16688-Sens!F16643)</f>
        <v>0.0686195668908011</v>
      </c>
      <c r="G16791" s="7" t="n">
        <f aca="false">Sens!G16743/(Sens!G16688-Sens!G16643)</f>
        <v>0.0658333569148391</v>
      </c>
      <c r="H16791" s="7" t="n">
        <f aca="false">Sens!H16743/(Sens!H16688-Sens!H16643)</f>
        <v>0.0643895625218926</v>
      </c>
      <c r="I16791" s="7" t="n">
        <f aca="false">Sens!I16743/(Sens!I16688-Sens!I16643)</f>
        <v>0.0641676618157989</v>
      </c>
      <c r="J16791" s="7" t="n">
        <f aca="false">Sens!J16743/(Sens!J16688-Sens!J16643)</f>
        <v>0.0648858606572163</v>
      </c>
      <c r="K16791" s="7" t="n">
        <f aca="false">Sens!K16743/(Sens!K16688-Sens!K16643)</f>
        <v>0.0661974425163768</v>
      </c>
    </row>
    <row r="16792" customFormat="false" ht="17.15" hidden="false" customHeight="false" outlineLevel="0" collapsed="false">
      <c r="A16792" s="0" t="s">
        <v>1231</v>
      </c>
      <c r="B16792" s="0" t="s">
        <v>98</v>
      </c>
      <c r="F16792" s="6" t="n">
        <f aca="false">Sens!F16673*(al_m365+Sens!F16791+sbc_r)</f>
        <v>83.7205619248671</v>
      </c>
      <c r="G16792" s="6" t="n">
        <f aca="false">Sens!G16673*(al_m365+Sens!G16791+sbc_r)</f>
        <v>96.1301303332381</v>
      </c>
      <c r="H16792" s="6" t="n">
        <f aca="false">Sens!H16673*(al_m365+Sens!H16791+sbc_r)</f>
        <v>108.70354073822</v>
      </c>
      <c r="I16792" s="6" t="n">
        <f aca="false">Sens!I16673*(al_m365+Sens!I16791+sbc_r)</f>
        <v>120.260101315626</v>
      </c>
      <c r="J16792" s="6" t="n">
        <f aca="false">Sens!J16673*(al_m365+Sens!J16791+sbc_r)</f>
        <v>130.611904548619</v>
      </c>
      <c r="K16792" s="6" t="n">
        <f aca="false">Sens!K16673*(al_m365+Sens!K16791+sbc_r)</f>
        <v>140.575094974638</v>
      </c>
      <c r="L16792" s="12" t="s">
        <v>1232</v>
      </c>
    </row>
    <row r="16793" customFormat="false" ht="17.15" hidden="false" customHeight="false" outlineLevel="0" collapsed="false">
      <c r="A16793" s="0" t="s">
        <v>1233</v>
      </c>
      <c r="B16793" s="0" t="s">
        <v>98</v>
      </c>
      <c r="F16793" s="6" t="n">
        <f aca="false">Sens!F16674*(al_lic+Sens!F16791+sbc_r)</f>
        <v>32.8577657183496</v>
      </c>
      <c r="G16793" s="6" t="n">
        <f aca="false">Sens!G16674*(al_lic+Sens!G16791+sbc_r)</f>
        <v>34.1376266324889</v>
      </c>
      <c r="H16793" s="6" t="n">
        <f aca="false">Sens!H16674*(al_lic+Sens!H16791+sbc_r)</f>
        <v>35.3325744664128</v>
      </c>
      <c r="I16793" s="6" t="n">
        <f aca="false">Sens!I16674*(al_lic+Sens!I16791+sbc_r)</f>
        <v>36.4244749008727</v>
      </c>
      <c r="J16793" s="6" t="n">
        <f aca="false">Sens!J16674*(al_lic+Sens!J16791+sbc_r)</f>
        <v>37.3879406068527</v>
      </c>
      <c r="K16793" s="6" t="n">
        <f aca="false">Sens!K16674*(al_lic+Sens!K16791+sbc_r)</f>
        <v>38.1943876078259</v>
      </c>
    </row>
    <row r="16794" customFormat="false" ht="17.15" hidden="false" customHeight="false" outlineLevel="0" collapsed="false">
      <c r="A16794" s="0" t="s">
        <v>1234</v>
      </c>
      <c r="B16794" s="0" t="s">
        <v>98</v>
      </c>
      <c r="F16794" s="6" t="n">
        <f aca="false">Sens!F16676*(al_ind+Sens!F16791+sbc_r)</f>
        <v>9.06041701092022</v>
      </c>
      <c r="G16794" s="6" t="n">
        <f aca="false">Sens!G16676*(al_ind+Sens!G16791+sbc_r)</f>
        <v>9.83619082712885</v>
      </c>
      <c r="H16794" s="6" t="n">
        <f aca="false">Sens!H16676*(al_ind+Sens!H16791+sbc_r)</f>
        <v>10.6570160105312</v>
      </c>
      <c r="I16794" s="6" t="n">
        <f aca="false">Sens!I16676*(al_ind+Sens!I16791+sbc_r)</f>
        <v>11.5198571637125</v>
      </c>
      <c r="J16794" s="6" t="n">
        <f aca="false">Sens!J16676*(al_ind+Sens!J16791+sbc_r)</f>
        <v>12.4150086539206</v>
      </c>
      <c r="K16794" s="6" t="n">
        <f aca="false">Sens!K16676*(al_ind+Sens!K16791+sbc_r)</f>
        <v>13.3273714589988</v>
      </c>
    </row>
    <row r="16795" customFormat="false" ht="17.15" hidden="false" customHeight="false" outlineLevel="0" collapsed="false">
      <c r="A16795" s="0" t="s">
        <v>1235</v>
      </c>
      <c r="B16795" s="0" t="s">
        <v>98</v>
      </c>
      <c r="F16795" s="6" t="n">
        <f aca="false">Sens!F16678*(al_fro+Sens!F16791+sbc_r)</f>
        <v>3.55402950182022</v>
      </c>
      <c r="G16795" s="6" t="n">
        <f aca="false">Sens!G16678*(al_fro+Sens!G16791+sbc_r)</f>
        <v>3.76361488926481</v>
      </c>
      <c r="H16795" s="6" t="n">
        <f aca="false">Sens!H16678*(al_fro+Sens!H16791+sbc_r)</f>
        <v>4.00220968879544</v>
      </c>
      <c r="I16795" s="6" t="n">
        <f aca="false">Sens!I16678*(al_fro+Sens!I16791+sbc_r)</f>
        <v>4.2725765173852</v>
      </c>
      <c r="J16795" s="6" t="n">
        <f aca="false">Sens!J16678*(al_fro+Sens!J16791+sbc_r)</f>
        <v>4.57586224390293</v>
      </c>
      <c r="K16795" s="6" t="n">
        <f aca="false">Sens!K16678*(al_fro+Sens!K16791+sbc_r)</f>
        <v>4.91213639633217</v>
      </c>
    </row>
    <row r="16796" customFormat="false" ht="17.15" hidden="false" customHeight="false" outlineLevel="0" collapsed="false">
      <c r="A16796" s="0" t="s">
        <v>1236</v>
      </c>
      <c r="B16796" s="0" t="s">
        <v>98</v>
      </c>
      <c r="F16796" s="6" t="n">
        <f aca="false">Sens!F16681*(al_srch+Sens!F16791+sbc_r)</f>
        <v>11.1890902994147</v>
      </c>
      <c r="G16796" s="6" t="n">
        <f aca="false">Sens!G16681*(al_srch+Sens!G16791+sbc_r)</f>
        <v>12.261738891803</v>
      </c>
      <c r="H16796" s="6" t="n">
        <f aca="false">Sens!H16681*(al_srch+Sens!H16791+sbc_r)</f>
        <v>13.3794863429193</v>
      </c>
      <c r="I16796" s="6" t="n">
        <f aca="false">Sens!I16681*(al_srch+Sens!I16791+sbc_r)</f>
        <v>14.5317114787784</v>
      </c>
      <c r="J16796" s="6" t="n">
        <f aca="false">Sens!J16681*(al_srch+Sens!J16791+sbc_r)</f>
        <v>15.6984365817724</v>
      </c>
      <c r="K16796" s="6" t="n">
        <f aca="false">Sens!K16681*(al_srch+Sens!K16791+sbc_r)</f>
        <v>16.8520942258664</v>
      </c>
    </row>
    <row r="16797" customFormat="false" ht="17.15" hidden="false" customHeight="false" outlineLevel="0" collapsed="false">
      <c r="A16797" s="0" t="s">
        <v>1237</v>
      </c>
      <c r="B16797" s="0" t="s">
        <v>98</v>
      </c>
      <c r="F16797" s="6" t="n">
        <f aca="false">Sens!F16649-Sens!F16650+Sens!F16731</f>
        <v>37.5355366840827</v>
      </c>
      <c r="G16797" s="6" t="n">
        <f aca="false">Sens!G16649-Sens!G16650+Sens!G16731</f>
        <v>76.3117018102367</v>
      </c>
      <c r="H16797" s="6" t="n">
        <f aca="false">Sens!H16649-Sens!H16650+Sens!H16731</f>
        <v>117.975955281046</v>
      </c>
      <c r="I16797" s="6" t="n">
        <f aca="false">Sens!I16649-Sens!I16650+Sens!I16731</f>
        <v>155.213461558063</v>
      </c>
      <c r="J16797" s="6" t="n">
        <f aca="false">Sens!J16649-Sens!J16650+Sens!J16731</f>
        <v>181.354958139348</v>
      </c>
      <c r="K16797" s="6" t="n">
        <f aca="false">Sens!K16649-Sens!K16650+Sens!K16731</f>
        <v>197.21507333655</v>
      </c>
    </row>
    <row r="16798" customFormat="false" ht="17.15" hidden="false" customHeight="false" outlineLevel="0" collapsed="false">
      <c r="A16798" s="0" t="s">
        <v>1238</v>
      </c>
      <c r="B16798" s="0" t="s">
        <v>98</v>
      </c>
      <c r="F16798" s="6" t="n">
        <f aca="false">Sens!F16710+Sens!F16731+Sens!F16661+Sens!F16791*(Sens!F16680-Sens!F16643)+sbc_r*Sens!F16680</f>
        <v>233.083155087339</v>
      </c>
      <c r="G16798" s="6" t="n">
        <f aca="false">Sens!G16710+Sens!G16731+Sens!G16661+Sens!G16791*(Sens!G16680-Sens!G16643)+sbc_r*Sens!G16680</f>
        <v>294.727806582782</v>
      </c>
      <c r="H16798" s="6" t="n">
        <f aca="false">Sens!H16710+Sens!H16731+Sens!H16661+Sens!H16791*(Sens!H16680-Sens!H16643)+sbc_r*Sens!H16680</f>
        <v>364.155398512083</v>
      </c>
      <c r="I16798" s="6" t="n">
        <f aca="false">Sens!I16710+Sens!I16731+Sens!I16661+Sens!I16791*(Sens!I16680-Sens!I16643)+sbc_r*Sens!I16680</f>
        <v>427.773370994373</v>
      </c>
      <c r="J16798" s="6" t="n">
        <f aca="false">Sens!J16710+Sens!J16731+Sens!J16661+Sens!J16791*(Sens!J16680-Sens!J16643)+sbc_r*Sens!J16680</f>
        <v>477.837519437905</v>
      </c>
      <c r="K16798" s="6" t="n">
        <f aca="false">Sens!K16710+Sens!K16731+Sens!K16661+Sens!K16791*(Sens!K16680-Sens!K16643)+sbc_r*Sens!K16680</f>
        <v>515.227653382234</v>
      </c>
    </row>
    <row r="16799" customFormat="false" ht="17.15" hidden="false" customHeight="false" outlineLevel="0" collapsed="false">
      <c r="A16799" s="0" t="s">
        <v>1239</v>
      </c>
      <c r="B16799" s="0" t="s">
        <v>98</v>
      </c>
      <c r="F16799" s="6" t="n">
        <f aca="false">Sens!F16798-Sens!F16792-Sens!F16793-Sens!F16794-Sens!F16795-Sens!F16797</f>
        <v>66.3548442472996</v>
      </c>
      <c r="G16799" s="6" t="n">
        <f aca="false">Sens!G16798-Sens!G16792-Sens!G16793-Sens!G16794-Sens!G16795-Sens!G16797</f>
        <v>74.548542090425</v>
      </c>
      <c r="H16799" s="6" t="n">
        <f aca="false">Sens!H16798-Sens!H16792-Sens!H16793-Sens!H16794-Sens!H16795-Sens!H16797</f>
        <v>87.4841023270775</v>
      </c>
      <c r="I16799" s="6" t="n">
        <f aca="false">Sens!I16798-Sens!I16792-Sens!I16793-Sens!I16794-Sens!I16795-Sens!I16797</f>
        <v>100.082899538713</v>
      </c>
      <c r="J16799" s="6" t="n">
        <f aca="false">Sens!J16798-Sens!J16792-Sens!J16793-Sens!J16794-Sens!J16795-Sens!J16797</f>
        <v>111.491845245262</v>
      </c>
      <c r="K16799" s="6" t="n">
        <f aca="false">Sens!K16798-Sens!K16792-Sens!K16793-Sens!K16794-Sens!K16795-Sens!K16797</f>
        <v>121.003589607889</v>
      </c>
    </row>
    <row r="16800" customFormat="false" ht="17.15" hidden="false" customHeight="false" outlineLevel="0" collapsed="false">
      <c r="A16800" s="0" t="s">
        <v>1240</v>
      </c>
      <c r="B16800" s="0" t="s">
        <v>98</v>
      </c>
      <c r="F16800" s="6" t="n">
        <f aca="false">Sens!F16712+Sens!F16791*Sens!F16687+sbc_r*Sens!F16687</f>
        <v>26.6336365855879</v>
      </c>
      <c r="G16800" s="6" t="n">
        <f aca="false">Sens!G16712+Sens!G16791*Sens!G16687+sbc_r*Sens!G16687</f>
        <v>26.4720859498625</v>
      </c>
      <c r="H16800" s="6" t="n">
        <f aca="false">Sens!H16712+Sens!H16791*Sens!H16687+sbc_r*Sens!H16687</f>
        <v>27.346793021284</v>
      </c>
      <c r="I16800" s="6" t="n">
        <f aca="false">Sens!I16712+Sens!I16791*Sens!I16687+sbc_r*Sens!I16687</f>
        <v>28.4574657863154</v>
      </c>
      <c r="J16800" s="6" t="n">
        <f aca="false">Sens!J16712+Sens!J16791*Sens!J16687+sbc_r*Sens!J16687</f>
        <v>29.7689890546037</v>
      </c>
      <c r="K16800" s="6" t="n">
        <f aca="false">Sens!K16712+Sens!K16791*Sens!K16687+sbc_r*Sens!K16687</f>
        <v>31.2443947307494</v>
      </c>
    </row>
    <row r="16801" customFormat="false" ht="17.15" hidden="false" customHeight="false" outlineLevel="0" collapsed="false">
      <c r="A16801" s="0" t="s">
        <v>1241</v>
      </c>
      <c r="B16801" s="0" t="s">
        <v>98</v>
      </c>
      <c r="F16801" s="6" t="n">
        <f aca="false">(Sens!F16800-Sens!F16796)*Sens!F16683/(Sens!F16683+Sens!F16685)</f>
        <v>8.72285608232241</v>
      </c>
      <c r="G16801" s="6" t="n">
        <f aca="false">(Sens!G16800-Sens!G16796)*Sens!G16683/(Sens!G16683+Sens!G16685)</f>
        <v>7.88786455444355</v>
      </c>
      <c r="H16801" s="6" t="n">
        <f aca="false">(Sens!H16800-Sens!H16796)*Sens!H16683/(Sens!H16683+Sens!H16685)</f>
        <v>7.65195986819674</v>
      </c>
      <c r="I16801" s="6" t="n">
        <f aca="false">(Sens!I16800-Sens!I16796)*Sens!I16683/(Sens!I16683+Sens!I16685)</f>
        <v>7.56260440676676</v>
      </c>
      <c r="J16801" s="6" t="n">
        <f aca="false">(Sens!J16800-Sens!J16796)*Sens!J16683/(Sens!J16683+Sens!J16685)</f>
        <v>7.60790100885945</v>
      </c>
      <c r="K16801" s="6" t="n">
        <f aca="false">(Sens!K16800-Sens!K16796)*Sens!K16683/(Sens!K16683+Sens!K16685)</f>
        <v>7.78186910160995</v>
      </c>
    </row>
    <row r="16802" customFormat="false" ht="17.15" hidden="false" customHeight="false" outlineLevel="0" collapsed="false">
      <c r="A16802" s="0" t="s">
        <v>1242</v>
      </c>
      <c r="B16802" s="0" t="s">
        <v>98</v>
      </c>
      <c r="F16802" s="6" t="n">
        <f aca="false">Sens!F16800-Sens!F16796-Sens!F16801</f>
        <v>6.72169020385088</v>
      </c>
      <c r="G16802" s="6" t="n">
        <f aca="false">Sens!G16800-Sens!G16796-Sens!G16801</f>
        <v>6.322482503616</v>
      </c>
      <c r="H16802" s="6" t="n">
        <f aca="false">Sens!H16800-Sens!H16796-Sens!H16801</f>
        <v>6.315346810168</v>
      </c>
      <c r="I16802" s="6" t="n">
        <f aca="false">Sens!I16800-Sens!I16796-Sens!I16801</f>
        <v>6.36314990077033</v>
      </c>
      <c r="J16802" s="6" t="n">
        <f aca="false">Sens!J16800-Sens!J16796-Sens!J16801</f>
        <v>6.46265146397189</v>
      </c>
      <c r="K16802" s="6" t="n">
        <f aca="false">Sens!K16800-Sens!K16796-Sens!K16801</f>
        <v>6.61043140327304</v>
      </c>
    </row>
    <row r="16803" customFormat="false" ht="17.15" hidden="false" customHeight="false" outlineLevel="0" collapsed="false">
      <c r="A16803" s="0" t="s">
        <v>1243</v>
      </c>
      <c r="B16803" s="0" t="s">
        <v>98</v>
      </c>
      <c r="F16803" s="6" t="n">
        <f aca="false">Sens!F16797-tax_f*(Sens!F16797-Sens!F16661)-Sens!F16658</f>
        <v>-131.509611799183</v>
      </c>
      <c r="G16803" s="6" t="n">
        <f aca="false">Sens!G16797-tax_f*(Sens!G16797-Sens!G16661)-Sens!G16658</f>
        <v>-118.748216070399</v>
      </c>
      <c r="H16803" s="6" t="n">
        <f aca="false">Sens!H16797-tax_f*(Sens!H16797-Sens!H16661)-Sens!H16658</f>
        <v>-84.605221707386</v>
      </c>
      <c r="I16803" s="6" t="n">
        <f aca="false">Sens!I16797-tax_f*(Sens!I16797-Sens!I16661)-Sens!I16658</f>
        <v>-21.5978624362506</v>
      </c>
      <c r="J16803" s="6" t="n">
        <f aca="false">Sens!J16797-tax_f*(Sens!J16797-Sens!J16661)-Sens!J16658</f>
        <v>42.5571699254573</v>
      </c>
      <c r="K16803" s="6" t="n">
        <f aca="false">Sens!K16797-tax_f*(Sens!K16797-Sens!K16661)-Sens!K16658</f>
        <v>67.4117395146939</v>
      </c>
    </row>
    <row r="16804" customFormat="false" ht="17.15" hidden="false" customHeight="false" outlineLevel="0" collapsed="false">
      <c r="A16804" s="0" t="s">
        <v>1244</v>
      </c>
      <c r="B16804" s="0" t="s">
        <v>98</v>
      </c>
      <c r="G16804" s="6" t="n">
        <f aca="false">Sens!G16803/(1+wacc)^(Sens!G16774-Sens!F16775)</f>
        <v>-113.071153193835</v>
      </c>
      <c r="H16804" s="6" t="n">
        <f aca="false">Sens!H16803/(1+wacc)^(Sens!H16774-Sens!F16775)</f>
        <v>-73.0417803364113</v>
      </c>
      <c r="I16804" s="6" t="n">
        <f aca="false">Sens!I16803/(1+wacc)^(Sens!I16774-Sens!F16775)</f>
        <v>-16.9057486600188</v>
      </c>
      <c r="J16804" s="6" t="n">
        <f aca="false">Sens!J16803/(1+wacc)^(Sens!J16774-Sens!F16775)</f>
        <v>30.2027043649203</v>
      </c>
      <c r="K16804" s="6" t="n">
        <f aca="false">Sens!K16803/(1+wacc)^(Sens!K16774-Sens!F16775)</f>
        <v>43.3768570371461</v>
      </c>
      <c r="L16804" s="1" t="s">
        <v>1245</v>
      </c>
    </row>
    <row r="16805" customFormat="false" ht="17.15" hidden="false" customHeight="false" outlineLevel="0" collapsed="false">
      <c r="A16805" s="0" t="s">
        <v>1246</v>
      </c>
      <c r="B16805" s="0" t="s">
        <v>98</v>
      </c>
      <c r="C16805" s="6" t="n">
        <f aca="false">(Sens!K16797-Sens!K16661)*(1-tax_f)*(1+g_tv)*(1-g_tv/(wacc+ronic_prem))/(wacc-g_tv)/(1+wacc)^(Sens!K16775-Sens!F16775)</f>
        <v>265.841789853475</v>
      </c>
    </row>
    <row r="16806" customFormat="false" ht="17.15" hidden="false" customHeight="false" outlineLevel="0" collapsed="false">
      <c r="A16806" s="1" t="s">
        <v>1247</v>
      </c>
      <c r="B16806" s="0" t="s">
        <v>98</v>
      </c>
      <c r="C16806" s="6" t="n">
        <f aca="false">(SUM(Sens!G16804:K16804)+Sens!$C$16805)*(1+wacc)^(t_roll-Sens!F16775)</f>
        <v>140.905733683411</v>
      </c>
      <c r="L16806" s="12" t="s">
        <v>1248</v>
      </c>
    </row>
    <row r="16807" customFormat="false" ht="17.15" hidden="false" customHeight="false" outlineLevel="0" collapsed="false">
      <c r="A16807" s="1" t="s">
        <v>1249</v>
      </c>
      <c r="B16807" s="0" t="s">
        <v>98</v>
      </c>
      <c r="C16807" s="6" t="n">
        <f aca="false">(w_ntm28*Sens!G16649+(1-w_ntm28)*Sens!H16649)*m_ai</f>
        <v>463.789109510335</v>
      </c>
    </row>
    <row r="16808" customFormat="false" ht="17.15" hidden="false" customHeight="false" outlineLevel="0" collapsed="false">
      <c r="A16808" s="1" t="s">
        <v>1250</v>
      </c>
      <c r="B16808" s="0" t="s">
        <v>98</v>
      </c>
      <c r="C16808" s="6" t="n">
        <f aca="false">(w_ntm28*Sens!G16799+(1-w_ntm28)*Sens!H16799)*m_cloud</f>
        <v>1089.03436702245</v>
      </c>
    </row>
    <row r="16809" customFormat="false" ht="17.15" hidden="false" customHeight="false" outlineLevel="0" collapsed="false">
      <c r="A16809" s="1" t="s">
        <v>1251</v>
      </c>
      <c r="B16809" s="0" t="s">
        <v>98</v>
      </c>
      <c r="C16809" s="6" t="n">
        <f aca="false">(w_ntm28*Sens!G16792+(1-w_ntm28)*Sens!H16792)*m_sw</f>
        <v>1082.84962646159</v>
      </c>
    </row>
    <row r="16810" customFormat="false" ht="17.15" hidden="false" customHeight="false" outlineLevel="0" collapsed="false">
      <c r="A16810" s="1" t="s">
        <v>1252</v>
      </c>
      <c r="B16810" s="0" t="s">
        <v>98</v>
      </c>
      <c r="C16810" s="6" t="n">
        <f aca="false">(w_ntm28*Sens!G16793+(1-w_ntm28)*Sens!H16793)*m_sw</f>
        <v>372.929250898731</v>
      </c>
    </row>
    <row r="16811" customFormat="false" ht="17.15" hidden="false" customHeight="false" outlineLevel="0" collapsed="false">
      <c r="A16811" s="1" t="s">
        <v>1253</v>
      </c>
      <c r="B16811" s="0" t="s">
        <v>98</v>
      </c>
      <c r="C16811" s="6" t="n">
        <f aca="false">(w_ntm28*Sens!G16794+(1-w_ntm28)*Sens!H16794)*m_sw</f>
        <v>109.1453525431</v>
      </c>
    </row>
    <row r="16812" customFormat="false" ht="17.15" hidden="false" customHeight="false" outlineLevel="0" collapsed="false">
      <c r="A16812" s="1" t="s">
        <v>1254</v>
      </c>
      <c r="B16812" s="0" t="s">
        <v>98</v>
      </c>
      <c r="C16812" s="6" t="n">
        <f aca="false">(w_ntm28*Sens!G16795+(1-w_ntm28)*Sens!H16795)*m_sw</f>
        <v>41.4942157634893</v>
      </c>
    </row>
    <row r="16813" customFormat="false" ht="17.15" hidden="false" customHeight="false" outlineLevel="0" collapsed="false">
      <c r="A16813" s="1" t="s">
        <v>1255</v>
      </c>
      <c r="B16813" s="0" t="s">
        <v>98</v>
      </c>
      <c r="C16813" s="6" t="n">
        <f aca="false">(w_ntm28*Sens!G16796+(1-w_ntm28)*Sens!H16796)*m_ads</f>
        <v>115.052171478463</v>
      </c>
    </row>
    <row r="16814" customFormat="false" ht="17.15" hidden="false" customHeight="false" outlineLevel="0" collapsed="false">
      <c r="A16814" s="1" t="s">
        <v>1256</v>
      </c>
      <c r="B16814" s="0" t="s">
        <v>98</v>
      </c>
      <c r="C16814" s="6" t="n">
        <f aca="false">(w_ntm28*Sens!G16801+(1-w_ntm28)*Sens!H16801)*m_game</f>
        <v>98.6441755076202</v>
      </c>
    </row>
    <row r="16815" customFormat="false" ht="17.15" hidden="false" customHeight="false" outlineLevel="0" collapsed="false">
      <c r="A16815" s="1" t="s">
        <v>1257</v>
      </c>
      <c r="B16815" s="0" t="s">
        <v>98</v>
      </c>
      <c r="C16815" s="6" t="n">
        <f aca="false">(w_ntm28*Sens!G16802+(1-w_ntm28)*Sens!H16802)*m_pc</f>
        <v>91.4523754763561</v>
      </c>
    </row>
    <row r="16816" customFormat="false" ht="17.15" hidden="false" customHeight="false" outlineLevel="0" collapsed="false">
      <c r="A16816" s="1" t="s">
        <v>1258</v>
      </c>
      <c r="B16816" s="0" t="s">
        <v>98</v>
      </c>
      <c r="C16816" s="6" t="n">
        <f aca="false">Sens!$C$16806+Sens!$C$16808+Sens!$C$16809+Sens!$C$16810+Sens!$C$16811+Sens!$C$16812+Sens!$C$16813+Sens!$C$16814+Sens!$C$16815</f>
        <v>3141.50726883521</v>
      </c>
    </row>
    <row r="16817" customFormat="false" ht="17.15" hidden="false" customHeight="false" outlineLevel="0" collapsed="false">
      <c r="A16817" s="1" t="s">
        <v>1259</v>
      </c>
      <c r="B16817" s="0" t="s">
        <v>98</v>
      </c>
      <c r="C16817" s="6" t="n">
        <f aca="false">(Sens!G16778-Sens!G16803)*t_stub</f>
        <v>47.8736427515113</v>
      </c>
      <c r="L16817" s="1" t="s">
        <v>1260</v>
      </c>
    </row>
    <row r="16818" customFormat="false" ht="17.15" hidden="false" customHeight="false" outlineLevel="0" collapsed="false">
      <c r="A16818" s="1" t="s">
        <v>1169</v>
      </c>
      <c r="B16818" s="0" t="s">
        <v>98</v>
      </c>
      <c r="C16818" s="6" t="n">
        <f aca="false">Sens!F16765+oai_v-Sens!F16754+Sens!$C$16817</f>
        <v>162.101912751511</v>
      </c>
      <c r="L16818" s="1" t="s">
        <v>1261</v>
      </c>
    </row>
    <row r="16819" customFormat="false" ht="17.15" hidden="false" customHeight="false" outlineLevel="0" collapsed="false">
      <c r="A16819" s="1" t="s">
        <v>1262</v>
      </c>
      <c r="B16819" s="0" t="s">
        <v>75</v>
      </c>
      <c r="C16819" s="5" t="n">
        <f aca="false">(Sens!$C$16816+Sens!$C$16818)/(Sens!F16767+dil_gap)-Sens!G16757*roll_div_q/q_per_yr</f>
        <v>439.705629955747</v>
      </c>
      <c r="L16819" s="1" t="s">
        <v>1263</v>
      </c>
    </row>
    <row r="16820" customFormat="false" ht="17.15" hidden="false" customHeight="false" outlineLevel="0" collapsed="false">
      <c r="A16820" s="1" t="s">
        <v>1264</v>
      </c>
      <c r="B16820" s="0" t="s">
        <v>75</v>
      </c>
      <c r="C16820" s="5" t="n">
        <f aca="false">w_dcf*Sens!$C$16790+(1-w_dcf)*Sens!$C$16819</f>
        <v>379.721135243714</v>
      </c>
    </row>
    <row r="16821" customFormat="false" ht="17.15" hidden="false" customHeight="false" outlineLevel="0" collapsed="false">
      <c r="A16821" s="3" t="s">
        <v>1894</v>
      </c>
    </row>
    <row r="16822" customFormat="false" ht="15" hidden="false" customHeight="false" outlineLevel="0" collapsed="false">
      <c r="A16822" s="4" t="s">
        <v>43</v>
      </c>
      <c r="B16822" s="4" t="s">
        <v>65</v>
      </c>
      <c r="C16822" s="23" t="s">
        <v>938</v>
      </c>
      <c r="D16822" s="23" t="s">
        <v>939</v>
      </c>
      <c r="E16822" s="23" t="s">
        <v>940</v>
      </c>
      <c r="F16822" s="23" t="s">
        <v>941</v>
      </c>
      <c r="G16822" s="23" t="s">
        <v>942</v>
      </c>
      <c r="H16822" s="23" t="s">
        <v>943</v>
      </c>
      <c r="I16822" s="23" t="s">
        <v>944</v>
      </c>
      <c r="J16822" s="23" t="s">
        <v>945</v>
      </c>
      <c r="K16822" s="23" t="s">
        <v>946</v>
      </c>
      <c r="L16822" s="4" t="s">
        <v>47</v>
      </c>
    </row>
    <row r="16823" customFormat="false" ht="17.15" hidden="false" customHeight="false" outlineLevel="0" collapsed="false">
      <c r="A16823" s="1" t="s">
        <v>947</v>
      </c>
      <c r="B16823" s="1" t="s">
        <v>279</v>
      </c>
      <c r="C16823" s="21" t="n">
        <v>2024</v>
      </c>
      <c r="D16823" s="21" t="n">
        <v>2025</v>
      </c>
      <c r="E16823" s="21" t="n">
        <v>2026</v>
      </c>
      <c r="F16823" s="21" t="n">
        <v>2027</v>
      </c>
      <c r="G16823" s="21" t="n">
        <v>2028</v>
      </c>
      <c r="H16823" s="21" t="n">
        <v>2029</v>
      </c>
      <c r="I16823" s="21" t="n">
        <v>2030</v>
      </c>
      <c r="J16823" s="21" t="n">
        <v>2031</v>
      </c>
      <c r="K16823" s="21" t="n">
        <v>2032</v>
      </c>
    </row>
    <row r="16824" customFormat="false" ht="17.15" hidden="false" customHeight="false" outlineLevel="0" collapsed="false">
      <c r="A16824" s="1" t="s">
        <v>948</v>
      </c>
      <c r="B16824" s="0" t="s">
        <v>456</v>
      </c>
      <c r="F16824" s="30" t="n">
        <f aca="false">pace</f>
        <v>2726.5351</v>
      </c>
      <c r="G16824" s="30" t="n">
        <f aca="false">pace</f>
        <v>2726.5351</v>
      </c>
      <c r="H16824" s="30" t="n">
        <f aca="false">pace</f>
        <v>2726.5351</v>
      </c>
      <c r="I16824" s="30" t="n">
        <f aca="false">pace+(g_tv*Sens!H16825-pace)*MIN(1,(Sens!I16823-pace_y0)/(pace_y1-pace_y0))</f>
        <v>1931.98611966667</v>
      </c>
      <c r="J16824" s="30" t="n">
        <f aca="false">pace+(g_tv*Sens!I16825-pace)*MIN(1,(Sens!J16823-pace_y0)/(pace_y1-pace_y0))</f>
        <v>1176.07686172667</v>
      </c>
      <c r="K16824" s="30" t="n">
        <f aca="false">pace+(g_tv*Sens!J16825-pace)*MIN(1,(Sens!K16823-pace_y0)/(pace_y1-pace_y0))</f>
        <v>436.1300484418</v>
      </c>
      <c r="L16824" s="12" t="s">
        <v>949</v>
      </c>
    </row>
    <row r="16825" customFormat="false" ht="17.15" hidden="false" customHeight="false" outlineLevel="0" collapsed="false">
      <c r="A16825" s="1" t="s">
        <v>950</v>
      </c>
      <c r="B16825" s="0" t="s">
        <v>456</v>
      </c>
      <c r="C16825" s="30" t="n">
        <f aca="false">mw_ext_24</f>
        <v>640</v>
      </c>
      <c r="D16825" s="30" t="n">
        <f aca="false">mw_ext_25</f>
        <v>1630</v>
      </c>
      <c r="E16825" s="30" t="n">
        <f aca="false">mw_ext_26</f>
        <v>3250</v>
      </c>
      <c r="F16825" s="30" t="n">
        <f aca="false">Sens!E16825+Sens!F16824</f>
        <v>5976.5351</v>
      </c>
      <c r="G16825" s="30" t="n">
        <f aca="false">Sens!F16825+Sens!G16824</f>
        <v>8703.0702</v>
      </c>
      <c r="H16825" s="30" t="n">
        <f aca="false">Sens!G16825+Sens!H16824</f>
        <v>11429.6053</v>
      </c>
      <c r="I16825" s="30" t="n">
        <f aca="false">Sens!H16825+Sens!I16824</f>
        <v>13361.5914196667</v>
      </c>
      <c r="J16825" s="30" t="n">
        <f aca="false">Sens!I16825+Sens!J16824</f>
        <v>14537.6682813933</v>
      </c>
      <c r="K16825" s="30" t="n">
        <f aca="false">Sens!J16825+Sens!K16824</f>
        <v>14973.7983298351</v>
      </c>
      <c r="L16825" s="1" t="s">
        <v>951</v>
      </c>
    </row>
    <row r="16826" customFormat="false" ht="17.15" hidden="false" customHeight="false" outlineLevel="0" collapsed="false">
      <c r="A16826" s="1" t="s">
        <v>952</v>
      </c>
      <c r="B16826" s="0" t="s">
        <v>456</v>
      </c>
      <c r="C16826" s="30" t="n">
        <f aca="false">rent_ext_24</f>
        <v>150</v>
      </c>
      <c r="D16826" s="30" t="n">
        <f aca="false">rent_ext_25</f>
        <v>400</v>
      </c>
      <c r="E16826" s="30" t="n">
        <f aca="false">rent_ext_26</f>
        <v>550</v>
      </c>
      <c r="F16826" s="30" t="n">
        <f aca="false">rent_ext_f</f>
        <v>756</v>
      </c>
      <c r="G16826" s="30" t="n">
        <f aca="false">rent_ext_f</f>
        <v>756</v>
      </c>
      <c r="H16826" s="30" t="n">
        <f aca="false">rent_ext_f</f>
        <v>756</v>
      </c>
      <c r="I16826" s="30" t="n">
        <f aca="false">rent_ext_f</f>
        <v>756</v>
      </c>
      <c r="J16826" s="30" t="n">
        <f aca="false">rent_ext_f</f>
        <v>756</v>
      </c>
      <c r="K16826" s="30" t="n">
        <f aca="false">rent_ext_f</f>
        <v>756</v>
      </c>
      <c r="L16826" s="1" t="s">
        <v>953</v>
      </c>
    </row>
    <row r="16827" customFormat="false" ht="17.15" hidden="false" customHeight="false" outlineLevel="0" collapsed="false">
      <c r="A16827" s="1" t="s">
        <v>954</v>
      </c>
      <c r="B16827" s="0" t="s">
        <v>456</v>
      </c>
      <c r="C16827" s="30" t="n">
        <f aca="false">Sens!C16825-Sens!C16826</f>
        <v>490</v>
      </c>
      <c r="D16827" s="30" t="n">
        <f aca="false">Sens!D16825-Sens!D16826</f>
        <v>1230</v>
      </c>
      <c r="E16827" s="30" t="n">
        <f aca="false">Sens!E16825-Sens!E16826</f>
        <v>2700</v>
      </c>
      <c r="F16827" s="30" t="n">
        <f aca="false">Sens!F16825-Sens!F16826</f>
        <v>5220.5351</v>
      </c>
      <c r="G16827" s="30" t="n">
        <f aca="false">Sens!G16825-Sens!G16826</f>
        <v>7947.0702</v>
      </c>
      <c r="H16827" s="30" t="n">
        <f aca="false">Sens!H16825-Sens!H16826</f>
        <v>10673.6053</v>
      </c>
      <c r="I16827" s="30" t="n">
        <f aca="false">Sens!I16825-Sens!I16826</f>
        <v>12605.5914196667</v>
      </c>
      <c r="J16827" s="30" t="n">
        <f aca="false">Sens!J16825-Sens!J16826</f>
        <v>13781.6682813933</v>
      </c>
      <c r="K16827" s="30" t="n">
        <f aca="false">Sens!K16825-Sens!K16826</f>
        <v>14217.7983298351</v>
      </c>
    </row>
    <row r="16828" customFormat="false" ht="17.15" hidden="false" customHeight="false" outlineLevel="0" collapsed="false">
      <c r="A16828" s="1" t="s">
        <v>955</v>
      </c>
      <c r="B16828" s="0" t="s">
        <v>456</v>
      </c>
      <c r="C16828" s="30" t="n">
        <f aca="false">Sens!C16827/ext_sh</f>
        <v>816.666666666667</v>
      </c>
      <c r="D16828" s="30" t="n">
        <f aca="false">Sens!D16827/ext_sh</f>
        <v>2050</v>
      </c>
      <c r="E16828" s="30" t="n">
        <f aca="false">Sens!E16827/ext_sh</f>
        <v>4500</v>
      </c>
      <c r="F16828" s="30" t="n">
        <f aca="false">Sens!F16827/ext_sh</f>
        <v>8700.89183333333</v>
      </c>
      <c r="G16828" s="30" t="n">
        <f aca="false">Sens!G16827/ext_sh</f>
        <v>13245.117</v>
      </c>
      <c r="H16828" s="30" t="n">
        <f aca="false">Sens!H16827/ext_sh</f>
        <v>17789.3421666667</v>
      </c>
      <c r="I16828" s="30" t="n">
        <f aca="false">Sens!I16827/ext_sh</f>
        <v>21009.3190327778</v>
      </c>
      <c r="J16828" s="30" t="n">
        <f aca="false">Sens!J16827/ext_sh</f>
        <v>22969.4471356556</v>
      </c>
      <c r="K16828" s="30" t="n">
        <f aca="false">Sens!K16827/ext_sh</f>
        <v>23696.3305497252</v>
      </c>
      <c r="L16828" s="1" t="s">
        <v>956</v>
      </c>
    </row>
    <row r="16829" customFormat="false" ht="17.15" hidden="false" customHeight="false" outlineLevel="0" collapsed="false">
      <c r="A16829" s="1" t="s">
        <v>957</v>
      </c>
      <c r="B16829" s="0" t="s">
        <v>456</v>
      </c>
      <c r="C16829" s="30" t="n">
        <f aca="false">Sens!C16828-Sens!C16827</f>
        <v>326.666666666667</v>
      </c>
      <c r="D16829" s="30" t="n">
        <f aca="false">Sens!D16828-Sens!D16827</f>
        <v>820</v>
      </c>
      <c r="E16829" s="30" t="n">
        <f aca="false">Sens!E16828-Sens!E16827</f>
        <v>1800</v>
      </c>
      <c r="F16829" s="30" t="n">
        <f aca="false">Sens!F16828-Sens!F16827</f>
        <v>3480.35673333333</v>
      </c>
      <c r="G16829" s="30" t="n">
        <f aca="false">Sens!G16828-Sens!G16827</f>
        <v>5298.0468</v>
      </c>
      <c r="H16829" s="30" t="n">
        <f aca="false">Sens!H16828-Sens!H16827</f>
        <v>7115.73686666667</v>
      </c>
      <c r="I16829" s="30" t="n">
        <f aca="false">Sens!I16828-Sens!I16827</f>
        <v>8403.72761311111</v>
      </c>
      <c r="J16829" s="30" t="n">
        <f aca="false">Sens!J16828-Sens!J16827</f>
        <v>9187.77885426222</v>
      </c>
      <c r="K16829" s="30" t="n">
        <f aca="false">Sens!K16828-Sens!K16827</f>
        <v>9478.53221989009</v>
      </c>
    </row>
    <row r="16830" customFormat="false" ht="17.15" hidden="false" customHeight="false" outlineLevel="0" collapsed="false">
      <c r="A16830" s="1" t="s">
        <v>958</v>
      </c>
      <c r="B16830" s="0" t="s">
        <v>456</v>
      </c>
      <c r="C16830" s="30" t="n">
        <f aca="false">Sens!C16828</f>
        <v>816.666666666667</v>
      </c>
      <c r="D16830" s="30" t="n">
        <f aca="false">Sens!D16828-Sens!C16828</f>
        <v>1233.33333333333</v>
      </c>
      <c r="E16830" s="30" t="n">
        <f aca="false">Sens!E16828-Sens!D16828</f>
        <v>2450</v>
      </c>
      <c r="F16830" s="30" t="n">
        <f aca="false">Sens!F16828-Sens!E16828</f>
        <v>4200.89183333333</v>
      </c>
      <c r="G16830" s="30" t="n">
        <f aca="false">Sens!G16828-Sens!F16828</f>
        <v>4544.22516666667</v>
      </c>
      <c r="H16830" s="30" t="n">
        <f aca="false">Sens!H16828-Sens!G16828</f>
        <v>4544.22516666667</v>
      </c>
      <c r="I16830" s="30" t="n">
        <f aca="false">Sens!I16828-Sens!H16828</f>
        <v>3219.97686611111</v>
      </c>
      <c r="J16830" s="30" t="n">
        <f aca="false">Sens!J16828-Sens!I16828</f>
        <v>1960.12810287778</v>
      </c>
      <c r="K16830" s="30" t="n">
        <f aca="false">Sens!K16828-Sens!J16828</f>
        <v>726.883414069667</v>
      </c>
    </row>
    <row r="16831" customFormat="false" ht="17.15" hidden="false" customHeight="false" outlineLevel="0" collapsed="false">
      <c r="A16831" s="1" t="s">
        <v>959</v>
      </c>
      <c r="B16831" s="0" t="s">
        <v>456</v>
      </c>
      <c r="D16831" s="30" t="n">
        <f aca="false">Sens!D16825-Sens!C16825</f>
        <v>990</v>
      </c>
      <c r="E16831" s="30" t="n">
        <f aca="false">Sens!E16825-Sens!D16825</f>
        <v>1620</v>
      </c>
      <c r="F16831" s="30" t="n">
        <f aca="false">Sens!F16825-Sens!E16825</f>
        <v>2726.5351</v>
      </c>
      <c r="G16831" s="30" t="n">
        <f aca="false">Sens!G16825-Sens!F16825</f>
        <v>2726.5351</v>
      </c>
      <c r="H16831" s="30" t="n">
        <f aca="false">Sens!H16825-Sens!G16825</f>
        <v>2726.5351</v>
      </c>
      <c r="I16831" s="30" t="n">
        <f aca="false">Sens!I16825-Sens!H16825</f>
        <v>1931.98611966667</v>
      </c>
      <c r="J16831" s="30" t="n">
        <f aca="false">Sens!J16825-Sens!I16825</f>
        <v>1176.07686172667</v>
      </c>
      <c r="K16831" s="30" t="n">
        <f aca="false">Sens!K16825-Sens!J16825</f>
        <v>436.130048441799</v>
      </c>
    </row>
    <row r="16832" customFormat="false" ht="17.15" hidden="false" customHeight="false" outlineLevel="0" collapsed="false">
      <c r="A16832" s="1" t="s">
        <v>960</v>
      </c>
      <c r="B16832" s="0" t="s">
        <v>456</v>
      </c>
      <c r="F16832" s="30" t="n">
        <f aca="false">Sens!F16851*ext_sh</f>
        <v>0</v>
      </c>
      <c r="G16832" s="30" t="n">
        <f aca="false">Sens!G16851*ext_sh</f>
        <v>0</v>
      </c>
      <c r="H16832" s="30" t="n">
        <f aca="false">Sens!H16851*ext_sh</f>
        <v>0</v>
      </c>
      <c r="I16832" s="30" t="n">
        <f aca="false">Sens!I16851*ext_sh</f>
        <v>490</v>
      </c>
      <c r="J16832" s="30" t="n">
        <f aca="false">Sens!J16851*ext_sh</f>
        <v>740</v>
      </c>
      <c r="K16832" s="30" t="n">
        <f aca="false">Sens!K16851*ext_sh</f>
        <v>1470</v>
      </c>
      <c r="L16832" s="1" t="s">
        <v>961</v>
      </c>
    </row>
    <row r="16833" customFormat="false" ht="17.15" hidden="false" customHeight="false" outlineLevel="0" collapsed="false">
      <c r="A16833" s="1" t="s">
        <v>962</v>
      </c>
      <c r="B16833" s="0" t="s">
        <v>456</v>
      </c>
      <c r="C16833" s="30" t="n">
        <f aca="false">mix_h*Sens!C16825</f>
        <v>128</v>
      </c>
      <c r="D16833" s="30" t="n">
        <f aca="false">mix_h*Sens!D16825</f>
        <v>326</v>
      </c>
      <c r="E16833" s="30" t="n">
        <f aca="false">mix_h*Sens!E16825</f>
        <v>650</v>
      </c>
      <c r="F16833" s="30" t="n">
        <f aca="false">Sens!E16833-Sens!F16832*mix_h</f>
        <v>650</v>
      </c>
      <c r="G16833" s="30" t="n">
        <f aca="false">Sens!F16833-Sens!G16832*mix_h</f>
        <v>650</v>
      </c>
      <c r="H16833" s="30" t="n">
        <f aca="false">Sens!G16833-Sens!H16832*mix_h</f>
        <v>650</v>
      </c>
      <c r="I16833" s="30" t="n">
        <f aca="false">Sens!H16833-Sens!I16832*mix_h</f>
        <v>552</v>
      </c>
      <c r="J16833" s="30" t="n">
        <f aca="false">Sens!I16833-Sens!J16832*mix_h</f>
        <v>404</v>
      </c>
      <c r="K16833" s="30" t="n">
        <f aca="false">Sens!J16833-Sens!K16832*mix_h</f>
        <v>110</v>
      </c>
    </row>
    <row r="16834" customFormat="false" ht="17.15" hidden="false" customHeight="false" outlineLevel="0" collapsed="false">
      <c r="A16834" s="1" t="s">
        <v>963</v>
      </c>
      <c r="B16834" s="0" t="s">
        <v>456</v>
      </c>
      <c r="C16834" s="30" t="n">
        <f aca="false">mix_g2*Sens!C16825</f>
        <v>288</v>
      </c>
      <c r="D16834" s="30" t="n">
        <f aca="false">mix_g2*Sens!D16825</f>
        <v>733.5</v>
      </c>
      <c r="E16834" s="30" t="n">
        <f aca="false">mix_g2*Sens!E16825</f>
        <v>1462.5</v>
      </c>
      <c r="F16834" s="30" t="n">
        <f aca="false">Sens!E16834-Sens!F16832*mix_g2</f>
        <v>1462.5</v>
      </c>
      <c r="G16834" s="30" t="n">
        <f aca="false">Sens!F16834-Sens!G16832*mix_g2</f>
        <v>1462.5</v>
      </c>
      <c r="H16834" s="30" t="n">
        <f aca="false">Sens!G16834-Sens!H16832*mix_g2</f>
        <v>1462.5</v>
      </c>
      <c r="I16834" s="30" t="n">
        <f aca="false">Sens!H16834-Sens!I16832*mix_g2</f>
        <v>1242</v>
      </c>
      <c r="J16834" s="30" t="n">
        <f aca="false">Sens!I16834-Sens!J16832*mix_g2</f>
        <v>909</v>
      </c>
      <c r="K16834" s="30" t="n">
        <f aca="false">Sens!J16834-Sens!K16832*mix_g2</f>
        <v>247.5</v>
      </c>
    </row>
    <row r="16835" customFormat="false" ht="17.15" hidden="false" customHeight="false" outlineLevel="0" collapsed="false">
      <c r="A16835" s="1" t="s">
        <v>964</v>
      </c>
      <c r="B16835" s="0" t="s">
        <v>456</v>
      </c>
      <c r="C16835" s="30" t="n">
        <f aca="false">mix_g3*Sens!C16825</f>
        <v>224</v>
      </c>
      <c r="D16835" s="30" t="n">
        <f aca="false">mix_g3*Sens!D16825</f>
        <v>570.5</v>
      </c>
      <c r="E16835" s="30" t="n">
        <f aca="false">mix_g3*Sens!E16825</f>
        <v>1137.5</v>
      </c>
      <c r="F16835" s="30" t="n">
        <f aca="false">Sens!E16835+(Sens!F16831+Sens!F16832)*(a_g3_27-nonnv*a_mai)-Sens!F16832*mix_g3</f>
        <v>2773.42106</v>
      </c>
      <c r="G16835" s="30" t="n">
        <f aca="false">Sens!F16835+(Sens!G16831+Sens!G16832)*(a_g3_28-nonnv*a_mai)-Sens!G16832*mix_g3</f>
        <v>3318.72808</v>
      </c>
      <c r="H16835" s="30" t="n">
        <f aca="false">Sens!G16835+(Sens!H16831+Sens!H16832)*(a_g3_29-nonnv*a_mai)-Sens!H16832*mix_g3</f>
        <v>3318.72808</v>
      </c>
      <c r="I16835" s="30" t="n">
        <f aca="false">Sens!H16835+(Sens!I16831+Sens!I16832)*(a_g3_29-nonnv*a_mai)-Sens!I16832*mix_g3</f>
        <v>3147.22808</v>
      </c>
      <c r="J16835" s="30" t="n">
        <f aca="false">Sens!I16835+(Sens!J16831+Sens!J16832)*(a_g3_29-nonnv*a_mai)-Sens!J16832*mix_g3</f>
        <v>2888.22808</v>
      </c>
      <c r="K16835" s="30" t="n">
        <f aca="false">Sens!J16835+(Sens!K16831+Sens!K16832)*(a_g3_29-nonnv*a_mai)-Sens!K16832*mix_g3</f>
        <v>2373.72808</v>
      </c>
    </row>
    <row r="16836" customFormat="false" ht="17.15" hidden="false" customHeight="false" outlineLevel="0" collapsed="false">
      <c r="A16836" s="1" t="s">
        <v>965</v>
      </c>
      <c r="B16836" s="0" t="s">
        <v>456</v>
      </c>
      <c r="C16836" s="30" t="n">
        <v>0</v>
      </c>
      <c r="D16836" s="30" t="n">
        <v>0</v>
      </c>
      <c r="E16836" s="30" t="n">
        <v>0</v>
      </c>
      <c r="F16836" s="30" t="n">
        <f aca="false">Sens!E16836+(Sens!F16831+Sens!F16832)*nonnv*a_mai</f>
        <v>272.65351</v>
      </c>
      <c r="G16836" s="30" t="n">
        <f aca="false">Sens!F16836+(Sens!G16831+Sens!G16832)*nonnv*a_mai</f>
        <v>545.30702</v>
      </c>
      <c r="H16836" s="30" t="n">
        <f aca="false">Sens!G16836+(Sens!H16831+Sens!H16832)*nonnv*a_mai</f>
        <v>817.96053</v>
      </c>
      <c r="I16836" s="30" t="n">
        <f aca="false">Sens!H16836+(Sens!I16831+Sens!I16832)*nonnv*a_mai</f>
        <v>1060.15914196667</v>
      </c>
      <c r="J16836" s="30" t="n">
        <f aca="false">Sens!I16836+(Sens!J16831+Sens!J16832)*nonnv*a_mai</f>
        <v>1251.76682813933</v>
      </c>
      <c r="K16836" s="30" t="n">
        <f aca="false">Sens!J16836+(Sens!K16831+Sens!K16832)*nonnv*a_mai</f>
        <v>1442.37983298351</v>
      </c>
      <c r="L16836" s="12" t="s">
        <v>966</v>
      </c>
    </row>
    <row r="16837" customFormat="false" ht="17.15" hidden="false" customHeight="false" outlineLevel="0" collapsed="false">
      <c r="A16837" s="1" t="s">
        <v>967</v>
      </c>
      <c r="B16837" s="0" t="s">
        <v>456</v>
      </c>
      <c r="C16837" s="30" t="n">
        <v>0</v>
      </c>
      <c r="D16837" s="30" t="n">
        <v>0</v>
      </c>
      <c r="E16837" s="30" t="n">
        <v>0</v>
      </c>
      <c r="F16837" s="30" t="n">
        <f aca="false">Sens!E16837+(Sens!F16831+Sens!F16832)*(1-a_g3_27)</f>
        <v>817.96053</v>
      </c>
      <c r="G16837" s="30" t="n">
        <f aca="false">Sens!F16837+(Sens!G16831+Sens!G16832)*(1-a_g3_28)</f>
        <v>2726.5351</v>
      </c>
      <c r="H16837" s="30" t="n">
        <f aca="false">Sens!G16837+(Sens!H16831+Sens!H16832)*(1-a_g3_29)</f>
        <v>5180.41669</v>
      </c>
      <c r="I16837" s="30" t="n">
        <f aca="false">Sens!H16837+(Sens!I16831+Sens!I16832)*(1-a_g3_29)</f>
        <v>7360.2041977</v>
      </c>
      <c r="J16837" s="30" t="n">
        <f aca="false">Sens!I16837+(Sens!J16831+Sens!J16832)*(1-a_g3_29)</f>
        <v>9084.673373254</v>
      </c>
      <c r="K16837" s="30" t="n">
        <f aca="false">Sens!J16837+(Sens!K16831+Sens!K16832)*(1-a_g3_29)</f>
        <v>10800.1904168516</v>
      </c>
    </row>
    <row r="16838" customFormat="false" ht="17.15" hidden="false" customHeight="false" outlineLevel="0" collapsed="false">
      <c r="A16838" s="1" t="s">
        <v>968</v>
      </c>
      <c r="B16838" s="0" t="s">
        <v>403</v>
      </c>
      <c r="C16838" s="15" t="n">
        <f aca="false">(Sens!C16833*tk_hold_h100+Sens!C16834*tk_hold_gb200+Sens!C16835*tk_hold_gb300+Sens!C16837*tk_hold_vr200+Sens!C16836*nv_hold_mai*tk_hold_vr200)/Sens!C16825</f>
        <v>9.7235358126469</v>
      </c>
      <c r="D16838" s="15" t="n">
        <f aca="false">(Sens!D16833*tk_hold_h100+Sens!D16834*tk_hold_gb200+Sens!D16835*tk_hold_gb300+Sens!D16837*tk_hold_vr200+Sens!D16836*nv_hold_mai*tk_hold_vr200)/Sens!D16825</f>
        <v>9.7235358126469</v>
      </c>
      <c r="E16838" s="15" t="n">
        <f aca="false">(Sens!E16833*tk_hold_h100+Sens!E16834*tk_hold_gb200+Sens!E16835*tk_hold_gb300+Sens!E16837*tk_hold_vr200+Sens!E16836*nv_hold_mai*tk_hold_vr200)/Sens!E16825</f>
        <v>9.7235358126469</v>
      </c>
      <c r="F16838" s="15" t="n">
        <f aca="false">(Sens!F16833*tk_hold_h100+Sens!F16834*tk_hold_gb200+Sens!F16835*tk_hold_gb300+Sens!F16837*tk_hold_vr200+Sens!F16836*nv_hold_mai*tk_hold_vr200)/Sens!F16825</f>
        <v>10.2195353876665</v>
      </c>
      <c r="G16838" s="15" t="n">
        <f aca="false">(Sens!G16833*tk_hold_h100+Sens!G16834*tk_hold_gb200+Sens!G16835*tk_hold_gb300+Sens!G16837*tk_hold_vr200+Sens!G16836*nv_hold_mai*tk_hold_vr200)/Sens!G16825</f>
        <v>10.5725598017306</v>
      </c>
      <c r="H16838" s="15" t="n">
        <f aca="false">(Sens!H16833*tk_hold_h100+Sens!H16834*tk_hold_gb200+Sens!H16835*tk_hold_gb300+Sens!H16837*tk_hold_vr200+Sens!H16836*nv_hold_mai*tk_hold_vr200)/Sens!H16825</f>
        <v>10.8210427149036</v>
      </c>
      <c r="I16838" s="15" t="n">
        <f aca="false">(Sens!I16833*tk_hold_h100+Sens!I16834*tk_hold_gb200+Sens!I16835*tk_hold_gb300+Sens!I16837*tk_hold_vr200+Sens!I16836*nv_hold_mai*tk_hold_vr200)/Sens!I16825</f>
        <v>11.0050618241982</v>
      </c>
      <c r="J16838" s="15" t="n">
        <f aca="false">(Sens!J16833*tk_hold_h100+Sens!J16834*tk_hold_gb200+Sens!J16835*tk_hold_gb300+Sens!J16837*tk_hold_vr200+Sens!J16836*nv_hold_mai*tk_hold_vr200)/Sens!J16825</f>
        <v>11.1505789658881</v>
      </c>
      <c r="K16838" s="15" t="n">
        <f aca="false">(Sens!K16833*tk_hold_h100+Sens!K16834*tk_hold_gb200+Sens!K16835*tk_hold_gb300+Sens!K16837*tk_hold_vr200+Sens!K16836*nv_hold_mai*tk_hold_vr200)/Sens!K16825</f>
        <v>11.3496914757183</v>
      </c>
      <c r="L16838" s="1" t="s">
        <v>969</v>
      </c>
    </row>
    <row r="16839" customFormat="false" ht="17.15" hidden="false" customHeight="false" outlineLevel="0" collapsed="false">
      <c r="A16839" s="1" t="s">
        <v>970</v>
      </c>
      <c r="B16839" s="0" t="s">
        <v>403</v>
      </c>
      <c r="C16839" s="15" t="n">
        <f aca="false">(Sens!C16833*tk_hold_h100+Sens!C16834*tk_hold_gb200+Sens!C16835*tk_hold_gb300+Sens!C16837*tk_hold_vr200+Sens!C16836*nv_out_mai*tk_hold_vr200)/Sens!C16825</f>
        <v>9.7235358126469</v>
      </c>
      <c r="D16839" s="15" t="n">
        <f aca="false">(Sens!D16833*tk_hold_h100+Sens!D16834*tk_hold_gb200+Sens!D16835*tk_hold_gb300+Sens!D16837*tk_hold_vr200+Sens!D16836*nv_out_mai*tk_hold_vr200)/Sens!D16825</f>
        <v>9.7235358126469</v>
      </c>
      <c r="E16839" s="15" t="n">
        <f aca="false">(Sens!E16833*tk_hold_h100+Sens!E16834*tk_hold_gb200+Sens!E16835*tk_hold_gb300+Sens!E16837*tk_hold_vr200+Sens!E16836*nv_out_mai*tk_hold_vr200)/Sens!E16825</f>
        <v>9.7235358126469</v>
      </c>
      <c r="F16839" s="15" t="n">
        <f aca="false">(Sens!F16833*tk_hold_h100+Sens!F16834*tk_hold_gb200+Sens!F16835*tk_hold_gb300+Sens!F16837*tk_hold_vr200+Sens!F16836*nv_out_mai*tk_hold_vr200)/Sens!F16825</f>
        <v>10.247422093969</v>
      </c>
      <c r="G16839" s="15" t="n">
        <f aca="false">(Sens!G16833*tk_hold_h100+Sens!G16834*tk_hold_gb200+Sens!G16835*tk_hold_gb300+Sens!G16837*tk_hold_vr200+Sens!G16836*nv_out_mai*tk_hold_vr200)/Sens!G16825</f>
        <v>10.6108602808053</v>
      </c>
      <c r="H16839" s="15" t="n">
        <f aca="false">(Sens!H16833*tk_hold_h100+Sens!H16834*tk_hold_gb200+Sens!H16835*tk_hold_gb300+Sens!H16837*tk_hold_vr200+Sens!H16836*nv_out_mai*tk_hold_vr200)/Sens!H16825</f>
        <v>10.8647885507393</v>
      </c>
      <c r="I16839" s="15" t="n">
        <f aca="false">(Sens!I16833*tk_hold_h100+Sens!I16834*tk_hold_gb200+Sens!I16835*tk_hold_gb300+Sens!I16837*tk_hold_vr200+Sens!I16836*nv_out_mai*tk_hold_vr200)/Sens!I16825</f>
        <v>11.0535625770025</v>
      </c>
      <c r="J16839" s="15" t="n">
        <f aca="false">(Sens!J16833*tk_hold_h100+Sens!J16834*tk_hold_gb200+Sens!J16835*tk_hold_gb300+Sens!J16837*tk_hold_vr200+Sens!J16836*nv_out_mai*tk_hold_vr200)/Sens!J16825</f>
        <v>11.2032127128058</v>
      </c>
      <c r="K16839" s="15" t="n">
        <f aca="false">(Sens!K16833*tk_hold_h100+Sens!K16834*tk_hold_gb200+Sens!K16835*tk_hold_gb300+Sens!K16837*tk_hold_vr200+Sens!K16836*nv_out_mai*tk_hold_vr200)/Sens!K16825</f>
        <v>11.4085735724225</v>
      </c>
      <c r="L16839" s="12" t="s">
        <v>971</v>
      </c>
    </row>
    <row r="16840" customFormat="false" ht="17.15" hidden="false" customHeight="false" outlineLevel="0" collapsed="false">
      <c r="A16840" s="0" t="s">
        <v>972</v>
      </c>
      <c r="B16840" s="0" t="s">
        <v>229</v>
      </c>
      <c r="C16840" s="15" t="n">
        <f aca="false">k_B</f>
        <v>1.17213932619116</v>
      </c>
      <c r="D16840" s="15" t="n">
        <f aca="false">k_B</f>
        <v>1.17213932619116</v>
      </c>
      <c r="E16840" s="15" t="n">
        <f aca="false">k_B</f>
        <v>1.17213932619116</v>
      </c>
      <c r="F16840" s="15" t="n">
        <f aca="false">(k_B+((ls_C*k_long+(1-ls_C)*k_spot)-k_B)*MIN(1,(Sens!F16823-base_fy)/k_ramp))</f>
        <v>1.07843258004497</v>
      </c>
      <c r="G16840" s="15" t="n">
        <f aca="false">(k_B+((ls_C*k_long+(1-ls_C)*k_spot)-k_B)*MIN(1,(Sens!G16823-base_fy)/k_ramp))</f>
        <v>0.984725833898784</v>
      </c>
      <c r="H16840" s="15" t="n">
        <f aca="false">(k_B+((ls_C*k_long+(1-ls_C)*k_spot)-k_B)*MIN(1,(Sens!H16823-base_fy)/k_ramp))</f>
        <v>0.891019087752599</v>
      </c>
      <c r="I16840" s="15" t="n">
        <f aca="false">(k_B+((ls_C*k_long+(1-ls_C)*k_spot)-k_B)*MIN(1,(Sens!I16823-base_fy)/k_ramp))</f>
        <v>0.891019087752599</v>
      </c>
      <c r="J16840" s="15" t="n">
        <f aca="false">(k_B+((ls_C*k_long+(1-ls_C)*k_spot)-k_B)*MIN(1,(Sens!J16823-base_fy)/k_ramp))</f>
        <v>0.891019087752599</v>
      </c>
      <c r="K16840" s="15" t="n">
        <f aca="false">(k_B+((ls_C*k_long+(1-ls_C)*k_spot)-k_B)*MIN(1,(Sens!K16823-base_fy)/k_ramp))</f>
        <v>0.891019087752599</v>
      </c>
      <c r="L16840" s="1" t="s">
        <v>973</v>
      </c>
    </row>
    <row r="16841" customFormat="false" ht="17.15" hidden="false" customHeight="false" outlineLevel="0" collapsed="false">
      <c r="A16841" s="1" t="s">
        <v>974</v>
      </c>
      <c r="B16841" s="0" t="s">
        <v>403</v>
      </c>
      <c r="C16841" s="15" t="n">
        <f aca="false">Sens!C16839*Sens!C16840*chip_f</f>
        <v>11.3973387156315</v>
      </c>
      <c r="D16841" s="15" t="n">
        <f aca="false">Sens!D16839*Sens!D16840*chip_f</f>
        <v>11.3973387156315</v>
      </c>
      <c r="E16841" s="15" t="n">
        <f aca="false">Sens!E16839*Sens!E16840*chip_f</f>
        <v>11.3973387156315</v>
      </c>
      <c r="F16841" s="15" t="n">
        <f aca="false">Sens!F16839*Sens!F16840*chip_f</f>
        <v>11.0511538476088</v>
      </c>
      <c r="G16841" s="15" t="n">
        <f aca="false">Sens!G16839*Sens!G16840*chip_f</f>
        <v>10.4487882383995</v>
      </c>
      <c r="H16841" s="15" t="n">
        <f aca="false">Sens!H16839*Sens!H16840*chip_f</f>
        <v>9.68073398310464</v>
      </c>
      <c r="I16841" s="15" t="n">
        <f aca="false">Sens!I16839*Sens!I16840*chip_f</f>
        <v>9.84893524377706</v>
      </c>
      <c r="J16841" s="15" t="n">
        <f aca="false">Sens!J16839*Sens!J16840*chip_f</f>
        <v>9.98227637126252</v>
      </c>
      <c r="K16841" s="15" t="n">
        <f aca="false">Sens!K16839*Sens!K16840*chip_f</f>
        <v>10.1652568170583</v>
      </c>
      <c r="L16841" s="1" t="s">
        <v>975</v>
      </c>
    </row>
    <row r="16842" customFormat="false" ht="17.15" hidden="false" customHeight="false" outlineLevel="0" collapsed="false">
      <c r="A16842" s="0" t="s">
        <v>976</v>
      </c>
      <c r="B16842" s="0" t="s">
        <v>98</v>
      </c>
      <c r="D16842" s="6" t="n">
        <f aca="false">(Sens!C16825+Sens!D16825)/2*Sens!D16841/1000</f>
        <v>12.9359794422418</v>
      </c>
      <c r="E16842" s="6" t="n">
        <f aca="false">(Sens!D16825+Sens!E16825)/2*Sens!E16841/1000</f>
        <v>27.8095064661409</v>
      </c>
      <c r="F16842" s="6" t="n">
        <f aca="false">(Sens!E16825+Sens!F16825)/2*Sens!F16841/1000</f>
        <v>50.9819294352312</v>
      </c>
      <c r="G16842" s="6" t="n">
        <f aca="false">(Sens!F16825+Sens!G16825)/2*Sens!G16841/1000</f>
        <v>76.6920436014933</v>
      </c>
      <c r="H16842" s="6" t="n">
        <f aca="false">(Sens!G16825+Sens!H16825)/2*Sens!H16841/1000</f>
        <v>97.4495379418341</v>
      </c>
      <c r="I16842" s="6" t="n">
        <f aca="false">(Sens!H16825+Sens!I16825)/2*Sens!I16841/1000</f>
        <v>122.083445553868</v>
      </c>
      <c r="J16842" s="6" t="n">
        <f aca="false">(Sens!I16825+Sens!J16825)/2*Sens!J16841/1000</f>
        <v>139.249060444804</v>
      </c>
      <c r="K16842" s="6" t="n">
        <f aca="false">(Sens!J16825+Sens!K16825)/2*Sens!K16841/1000</f>
        <v>149.995818575589</v>
      </c>
      <c r="L16842" s="12" t="s">
        <v>977</v>
      </c>
    </row>
    <row r="16843" customFormat="false" ht="17.15" hidden="false" customHeight="false" outlineLevel="0" collapsed="false">
      <c r="A16843" s="1" t="s">
        <v>978</v>
      </c>
      <c r="B16843" s="0" t="s">
        <v>403</v>
      </c>
      <c r="C16843" s="15" t="n">
        <f aca="false">(Sens!C16833*tk_opex_h100+Sens!C16834*tk_opex_gb200+Sens!C16835*tk_opex_gb300+(Sens!C16837+Sens!C16836)*tk_opex_vr200)/Sens!C16825</f>
        <v>1.88636041306092</v>
      </c>
      <c r="D16843" s="15" t="n">
        <f aca="false">(Sens!D16833*tk_opex_h100+Sens!D16834*tk_opex_gb200+Sens!D16835*tk_opex_gb300+(Sens!D16837+Sens!D16836)*tk_opex_vr200)/Sens!D16825</f>
        <v>1.88636041306092</v>
      </c>
      <c r="E16843" s="15" t="n">
        <f aca="false">(Sens!E16833*tk_opex_h100+Sens!E16834*tk_opex_gb200+Sens!E16835*tk_opex_gb300+(Sens!E16837+Sens!E16836)*tk_opex_vr200)/Sens!E16825</f>
        <v>1.88636041306092</v>
      </c>
      <c r="F16843" s="15" t="n">
        <f aca="false">(Sens!F16833*tk_opex_h100+Sens!F16834*tk_opex_gb200+Sens!F16835*tk_opex_gb300+(Sens!F16837+Sens!F16836)*tk_opex_vr200)/Sens!F16825</f>
        <v>1.95051159746876</v>
      </c>
      <c r="G16843" s="15" t="n">
        <f aca="false">(Sens!G16833*tk_opex_h100+Sens!G16834*tk_opex_gb200+Sens!G16835*tk_opex_gb300+(Sens!G16837+Sens!G16836)*tk_opex_vr200)/Sens!G16825</f>
        <v>1.98836003669956</v>
      </c>
      <c r="H16843" s="15" t="n">
        <f aca="false">(Sens!H16833*tk_opex_h100+Sens!H16834*tk_opex_gb200+Sens!H16835*tk_opex_gb300+(Sens!H16837+Sens!H16836)*tk_opex_vr200)/Sens!H16825</f>
        <v>2.01344013834343</v>
      </c>
      <c r="I16843" s="15" t="n">
        <f aca="false">(Sens!I16833*tk_opex_h100+Sens!I16834*tk_opex_gb200+Sens!I16835*tk_opex_gb300+(Sens!I16837+Sens!I16836)*tk_opex_vr200)/Sens!I16825</f>
        <v>2.03261166882178</v>
      </c>
      <c r="J16843" s="15" t="n">
        <f aca="false">(Sens!J16833*tk_opex_h100+Sens!J16834*tk_opex_gb200+Sens!J16835*tk_opex_gb300+(Sens!J16837+Sens!J16836)*tk_opex_vr200)/Sens!J16825</f>
        <v>2.04808073288745</v>
      </c>
      <c r="K16843" s="15" t="n">
        <f aca="false">(Sens!K16833*tk_opex_h100+Sens!K16834*tk_opex_gb200+Sens!K16835*tk_opex_gb300+(Sens!K16837+Sens!K16836)*tk_opex_vr200)/Sens!K16825</f>
        <v>2.06973825807449</v>
      </c>
      <c r="L16843" s="12" t="s">
        <v>979</v>
      </c>
    </row>
    <row r="16844" customFormat="false" ht="17.15" hidden="false" customHeight="false" outlineLevel="0" collapsed="false">
      <c r="A16844" s="0" t="s">
        <v>980</v>
      </c>
      <c r="B16844" s="0" t="s">
        <v>98</v>
      </c>
      <c r="D16844" s="6" t="n">
        <f aca="false">(Sens!C16828+Sens!D16828)/2*Sens!D16843/1000</f>
        <v>2.70378325872065</v>
      </c>
      <c r="E16844" s="6" t="n">
        <f aca="false">(Sens!D16828+Sens!E16828)/2*Sens!E16843/1000</f>
        <v>6.17783035277451</v>
      </c>
      <c r="F16844" s="6" t="n">
        <f aca="false">(Sens!E16828+Sens!F16828)/2*Sens!F16843/1000</f>
        <v>12.8742463089237</v>
      </c>
      <c r="G16844" s="6" t="n">
        <f aca="false">(Sens!F16828+Sens!G16828)/2*Sens!G16843/1000</f>
        <v>21.8182834646277</v>
      </c>
      <c r="H16844" s="6" t="n">
        <f aca="false">(Sens!G16828+Sens!H16828)/2*Sens!H16843/1000</f>
        <v>31.2430128789734</v>
      </c>
      <c r="I16844" s="6" t="n">
        <f aca="false">(Sens!H16828+Sens!I16828)/2*Sens!I16843/1000</f>
        <v>39.4313057443268</v>
      </c>
      <c r="J16844" s="6" t="n">
        <f aca="false">(Sens!I16828+Sens!J16828)/2*Sens!J16843/1000</f>
        <v>45.0360318228653</v>
      </c>
      <c r="K16844" s="6" t="n">
        <f aca="false">(Sens!J16828+Sens!K16828)/2*Sens!K16843/1000</f>
        <v>48.2929727091156</v>
      </c>
    </row>
    <row r="16845" customFormat="false" ht="17.15" hidden="false" customHeight="false" outlineLevel="0" collapsed="false">
      <c r="A16845" s="0" t="s">
        <v>981</v>
      </c>
      <c r="B16845" s="0" t="s">
        <v>98</v>
      </c>
      <c r="D16845" s="6" t="n">
        <f aca="false">(Sens!C16826+Sens!D16826)/2*rent_mw/1000</f>
        <v>2.44475</v>
      </c>
      <c r="E16845" s="6" t="n">
        <f aca="false">(Sens!D16826+Sens!E16826)/2*rent_mw/1000</f>
        <v>4.22275</v>
      </c>
      <c r="F16845" s="6" t="n">
        <f aca="false">(Sens!E16826+Sens!F16826)/2*rent_mw/1000</f>
        <v>5.80517</v>
      </c>
      <c r="G16845" s="6" t="n">
        <f aca="false">(Sens!F16826+Sens!G16826)/2*rent_mw/1000</f>
        <v>6.72084</v>
      </c>
      <c r="H16845" s="6" t="n">
        <f aca="false">(Sens!G16826+Sens!H16826)/2*rent_mw/1000</f>
        <v>6.72084</v>
      </c>
      <c r="I16845" s="6" t="n">
        <f aca="false">(Sens!H16826+Sens!I16826)/2*rent_mw/1000</f>
        <v>6.72084</v>
      </c>
      <c r="J16845" s="6" t="n">
        <f aca="false">(Sens!I16826+Sens!J16826)/2*rent_mw/1000</f>
        <v>6.72084</v>
      </c>
      <c r="K16845" s="6" t="n">
        <f aca="false">(Sens!J16826+Sens!K16826)/2*rent_mw/1000</f>
        <v>6.72084</v>
      </c>
    </row>
    <row r="16846" customFormat="false" ht="17.15" hidden="false" customHeight="false" outlineLevel="0" collapsed="false">
      <c r="A16846" s="0" t="s">
        <v>982</v>
      </c>
      <c r="B16846" s="0" t="s">
        <v>98</v>
      </c>
      <c r="D16846" s="6" t="n">
        <f aca="false">(Sens!C16828+Sens!D16828)/2*(1-self_build)*fac_rent/1000</f>
        <v>0.853242375631075</v>
      </c>
      <c r="E16846" s="6" t="n">
        <f aca="false">(Sens!D16828+Sens!E16828)/2*(1-self_build)*fac_rent/1000</f>
        <v>1.94955961408728</v>
      </c>
      <c r="F16846" s="6" t="n">
        <f aca="false">(Sens!E16828+Sens!F16828)/2*(1-self_build)*fac_rent/1000</f>
        <v>3.92914894476356</v>
      </c>
      <c r="G16846" s="6" t="n">
        <f aca="false">(Sens!F16828+Sens!G16828)/2*(1-self_build)*fac_rent/1000</f>
        <v>6.53206908578159</v>
      </c>
      <c r="H16846" s="6" t="n">
        <f aca="false">(Sens!G16828+Sens!H16828)/2*(1-self_build)*fac_rent/1000</f>
        <v>9.23717988341591</v>
      </c>
      <c r="I16846" s="6" t="n">
        <f aca="false">(Sens!H16828+Sens!I16828)/2*(1-self_build)*fac_rent/1000</f>
        <v>11.5481378557393</v>
      </c>
      <c r="J16846" s="6" t="n">
        <f aca="false">(Sens!I16828+Sens!J16828)/2*(1-self_build)*fac_rent/1000</f>
        <v>13.0899582289108</v>
      </c>
      <c r="K16846" s="6" t="n">
        <f aca="false">(Sens!J16828+Sens!K16828)/2*(1-self_build)*fac_rent/1000</f>
        <v>13.8897275626556</v>
      </c>
      <c r="L16846" s="12" t="s">
        <v>983</v>
      </c>
    </row>
    <row r="16847" customFormat="false" ht="17.15" hidden="false" customHeight="false" outlineLevel="0" collapsed="false">
      <c r="A16847" s="1" t="s">
        <v>984</v>
      </c>
      <c r="B16847" s="0" t="s">
        <v>168</v>
      </c>
      <c r="D16847" s="7" t="n">
        <f aca="false">(Sens!C16827+Sens!D16827)/(Sens!C16828+Sens!D16828)</f>
        <v>0.6</v>
      </c>
      <c r="E16847" s="7" t="n">
        <f aca="false">(Sens!D16827+Sens!E16827)/(Sens!D16828+Sens!E16828)</f>
        <v>0.6</v>
      </c>
      <c r="F16847" s="7" t="n">
        <f aca="false">(Sens!E16827+Sens!F16827)/(Sens!E16828+Sens!F16828)</f>
        <v>0.6</v>
      </c>
      <c r="G16847" s="7" t="n">
        <f aca="false">(Sens!F16827+Sens!G16827)/(Sens!F16828+Sens!G16828)</f>
        <v>0.6</v>
      </c>
      <c r="H16847" s="7" t="n">
        <f aca="false">(Sens!G16827+Sens!H16827)/(Sens!G16828+Sens!H16828)</f>
        <v>0.6</v>
      </c>
      <c r="I16847" s="7" t="n">
        <f aca="false">(Sens!H16827+Sens!I16827)/(Sens!H16828+Sens!I16828)</f>
        <v>0.6</v>
      </c>
      <c r="J16847" s="7" t="n">
        <f aca="false">(Sens!I16827+Sens!J16827)/(Sens!I16828+Sens!J16828)</f>
        <v>0.6</v>
      </c>
      <c r="K16847" s="7" t="n">
        <f aca="false">(Sens!J16827+Sens!K16827)/(Sens!J16828+Sens!K16828)</f>
        <v>0.6</v>
      </c>
    </row>
    <row r="16848" customFormat="false" ht="17.15" hidden="false" customHeight="false" outlineLevel="0" collapsed="false">
      <c r="A16848" s="0" t="s">
        <v>985</v>
      </c>
      <c r="B16848" s="0" t="s">
        <v>98</v>
      </c>
      <c r="D16848" s="6" t="n">
        <f aca="false">Sens!D16842-Sens!D16847*(Sens!D16844+Sens!D16846)-Sens!D16845</f>
        <v>8.35701406163072</v>
      </c>
      <c r="E16848" s="6" t="n">
        <f aca="false">Sens!E16842-Sens!E16847*(Sens!E16844+Sens!E16846)-Sens!E16845</f>
        <v>18.7103224860238</v>
      </c>
      <c r="F16848" s="6" t="n">
        <f aca="false">Sens!F16842-Sens!F16847*(Sens!F16844+Sens!F16846)-Sens!F16845</f>
        <v>35.0947222830189</v>
      </c>
      <c r="G16848" s="6" t="n">
        <f aca="false">Sens!G16842-Sens!G16847*(Sens!G16844+Sens!G16846)-Sens!G16845</f>
        <v>52.9609920712477</v>
      </c>
      <c r="H16848" s="6" t="n">
        <f aca="false">Sens!H16842-Sens!H16847*(Sens!H16844+Sens!H16846)-Sens!H16845</f>
        <v>66.4405822844005</v>
      </c>
      <c r="I16848" s="6" t="n">
        <f aca="false">Sens!I16842-Sens!I16847*(Sens!I16844+Sens!I16846)-Sens!I16845</f>
        <v>84.7749393938279</v>
      </c>
      <c r="J16848" s="6" t="n">
        <f aca="false">Sens!J16842-Sens!J16847*(Sens!J16844+Sens!J16846)-Sens!J16845</f>
        <v>97.6526264137382</v>
      </c>
      <c r="K16848" s="6" t="n">
        <f aca="false">Sens!K16842-Sens!K16847*(Sens!K16844+Sens!K16846)-Sens!K16845</f>
        <v>105.965358412527</v>
      </c>
    </row>
    <row r="16849" customFormat="false" ht="17.15" hidden="false" customHeight="false" outlineLevel="0" collapsed="false">
      <c r="A16849" s="1" t="s">
        <v>986</v>
      </c>
      <c r="B16849" s="0" t="s">
        <v>98</v>
      </c>
      <c r="D16849" s="6" t="n">
        <f aca="false">(1-Sens!D16847)*(Sens!D16844+Sens!D16846)</f>
        <v>1.42281025374069</v>
      </c>
      <c r="E16849" s="6" t="n">
        <f aca="false">(1-Sens!E16847)*(Sens!E16844+Sens!E16846)</f>
        <v>3.25095598674472</v>
      </c>
      <c r="F16849" s="6" t="n">
        <f aca="false">(1-Sens!F16847)*(Sens!F16844+Sens!F16846)</f>
        <v>6.72135810147489</v>
      </c>
      <c r="G16849" s="6" t="n">
        <f aca="false">(1-Sens!G16847)*(Sens!G16844+Sens!G16846)</f>
        <v>11.3401410201637</v>
      </c>
      <c r="H16849" s="6" t="n">
        <f aca="false">(1-Sens!H16847)*(Sens!H16844+Sens!H16846)</f>
        <v>16.1920771049557</v>
      </c>
      <c r="I16849" s="6" t="n">
        <f aca="false">(1-Sens!I16847)*(Sens!I16844+Sens!I16846)</f>
        <v>20.3917774400264</v>
      </c>
      <c r="J16849" s="6" t="n">
        <f aca="false">(1-Sens!J16847)*(Sens!J16844+Sens!J16846)</f>
        <v>23.2503960207104</v>
      </c>
      <c r="K16849" s="6" t="n">
        <f aca="false">(1-Sens!K16847)*(Sens!K16844+Sens!K16846)</f>
        <v>24.8730801087085</v>
      </c>
    </row>
    <row r="16850" customFormat="false" ht="17.15" hidden="false" customHeight="false" outlineLevel="0" collapsed="false">
      <c r="A16850" s="1" t="s">
        <v>987</v>
      </c>
      <c r="B16850" s="0" t="s">
        <v>414</v>
      </c>
      <c r="C16850" s="8" t="n">
        <f aca="false">cxit_open</f>
        <v>27.5918995</v>
      </c>
      <c r="D16850" s="8" t="n">
        <f aca="false">cxit_open</f>
        <v>27.5918995</v>
      </c>
      <c r="E16850" s="8" t="n">
        <f aca="false">cxit_open</f>
        <v>27.5918995</v>
      </c>
      <c r="F16850" s="8" t="n">
        <f aca="false">((a_g3_27-nonnv*a_mai)*tk_cxit_gb300+nonnv*a_mai*nv_hold_mai*tk_cxit_vr200+(1-a_g3_27)*tk_cxit_vr200)</f>
        <v>32.4975576</v>
      </c>
      <c r="G16850" s="8" t="n">
        <f aca="false">((a_g3_28-nonnv*a_mai)*tk_cxit_gb300+nonnv*a_mai*nv_hold_mai*tk_cxit_vr200+(1-a_g3_28)*tk_cxit_vr200)</f>
        <v>34.6372088</v>
      </c>
      <c r="H16850" s="8" t="n">
        <f aca="false">((a_g3_29-nonnv*a_mai)*tk_cxit_gb300+nonnv*a_mai*nv_hold_mai*tk_cxit_vr200+(1-a_g3_29)*tk_cxit_vr200)</f>
        <v>35.7070344</v>
      </c>
      <c r="I16850" s="8" t="n">
        <f aca="false">((a_g3_29-nonnv*a_mai)*tk_cxit_gb300+nonnv*a_mai*nv_hold_mai*tk_cxit_vr200+(1-a_g3_29)*tk_cxit_vr200)</f>
        <v>35.7070344</v>
      </c>
      <c r="J16850" s="8" t="n">
        <f aca="false">((a_g3_29-nonnv*a_mai)*tk_cxit_gb300+nonnv*a_mai*nv_hold_mai*tk_cxit_vr200+(1-a_g3_29)*tk_cxit_vr200)</f>
        <v>35.7070344</v>
      </c>
      <c r="K16850" s="8" t="n">
        <f aca="false">((a_g3_29-nonnv*a_mai)*tk_cxit_gb300+nonnv*a_mai*nv_hold_mai*tk_cxit_vr200+(1-a_g3_29)*tk_cxit_vr200)</f>
        <v>35.7070344</v>
      </c>
      <c r="L16850" s="12" t="s">
        <v>988</v>
      </c>
    </row>
    <row r="16851" customFormat="false" ht="17.15" hidden="false" customHeight="false" outlineLevel="0" collapsed="false">
      <c r="A16851" s="0" t="s">
        <v>989</v>
      </c>
      <c r="B16851" s="0" t="s">
        <v>456</v>
      </c>
      <c r="F16851" s="30" t="n">
        <f aca="false">Sens!C16830*IF(Sens!F16823-Sens!C16823=life_it,1,0)+Sens!D16830*IF(Sens!F16823-Sens!D16823=life_it,1,0)+Sens!E16830*IF(Sens!F16823-Sens!E16823=life_it,1,0)</f>
        <v>0</v>
      </c>
      <c r="G16851" s="30" t="n">
        <f aca="false">Sens!C16830*IF(Sens!G16823-Sens!C16823=life_it,1,0)+Sens!D16830*IF(Sens!G16823-Sens!D16823=life_it,1,0)+Sens!E16830*IF(Sens!G16823-Sens!E16823=life_it,1,0)+Sens!F16830*IF(Sens!G16823-Sens!F16823=life_it,1,0)</f>
        <v>0</v>
      </c>
      <c r="H16851" s="30" t="n">
        <f aca="false">Sens!C16830*IF(Sens!H16823-Sens!C16823=life_it,1,0)+Sens!D16830*IF(Sens!H16823-Sens!D16823=life_it,1,0)+Sens!E16830*IF(Sens!H16823-Sens!E16823=life_it,1,0)+Sens!F16830*IF(Sens!H16823-Sens!F16823=life_it,1,0)+Sens!G16830*IF(Sens!H16823-Sens!G16823=life_it,1,0)</f>
        <v>0</v>
      </c>
      <c r="I16851" s="30" t="n">
        <f aca="false">Sens!C16830*IF(Sens!I16823-Sens!C16823=life_it,1,0)+Sens!D16830*IF(Sens!I16823-Sens!D16823=life_it,1,0)+Sens!E16830*IF(Sens!I16823-Sens!E16823=life_it,1,0)+Sens!F16830*IF(Sens!I16823-Sens!F16823=life_it,1,0)+Sens!G16830*IF(Sens!I16823-Sens!G16823=life_it,1,0)+Sens!H16830*IF(Sens!I16823-Sens!H16823=life_it,1,0)</f>
        <v>816.666666666667</v>
      </c>
      <c r="J16851" s="30" t="n">
        <f aca="false">Sens!C16830*IF(Sens!J16823-Sens!C16823=life_it,1,0)+Sens!D16830*IF(Sens!J16823-Sens!D16823=life_it,1,0)+Sens!E16830*IF(Sens!J16823-Sens!E16823=life_it,1,0)+Sens!F16830*IF(Sens!J16823-Sens!F16823=life_it,1,0)+Sens!G16830*IF(Sens!J16823-Sens!G16823=life_it,1,0)+Sens!H16830*IF(Sens!J16823-Sens!H16823=life_it,1,0)+Sens!I16830*IF(Sens!J16823-Sens!I16823=life_it,1,0)</f>
        <v>1233.33333333333</v>
      </c>
      <c r="K16851" s="30" t="n">
        <f aca="false">Sens!C16830*IF(Sens!K16823-Sens!C16823=life_it,1,0)+Sens!D16830*IF(Sens!K16823-Sens!D16823=life_it,1,0)+Sens!E16830*IF(Sens!K16823-Sens!E16823=life_it,1,0)+Sens!F16830*IF(Sens!K16823-Sens!F16823=life_it,1,0)+Sens!G16830*IF(Sens!K16823-Sens!G16823=life_it,1,0)+Sens!H16830*IF(Sens!K16823-Sens!H16823=life_it,1,0)+Sens!I16830*IF(Sens!K16823-Sens!I16823=life_it,1,0)+Sens!J16830*IF(Sens!K16823-Sens!J16823=life_it,1,0)</f>
        <v>2450</v>
      </c>
      <c r="L16851" s="1" t="s">
        <v>990</v>
      </c>
    </row>
    <row r="16852" customFormat="false" ht="17.15" hidden="false" customHeight="false" outlineLevel="0" collapsed="false">
      <c r="A16852" s="0" t="s">
        <v>991</v>
      </c>
      <c r="B16852" s="0" t="s">
        <v>98</v>
      </c>
      <c r="C16852" s="6" t="n">
        <f aca="false">Sens!C16830*Sens!C16850/1000</f>
        <v>22.5333845916667</v>
      </c>
      <c r="D16852" s="6" t="n">
        <f aca="false">Sens!D16830*Sens!D16850/1000</f>
        <v>34.0300093833333</v>
      </c>
      <c r="E16852" s="6" t="n">
        <f aca="false">Sens!E16830*Sens!E16850/1000</f>
        <v>67.600153775</v>
      </c>
      <c r="F16852" s="6" t="n">
        <f aca="false">(Sens!F16830+Sens!F16851)*Sens!F16850/1000</f>
        <v>136.51872432512</v>
      </c>
      <c r="G16852" s="6" t="n">
        <f aca="false">(Sens!G16830+Sens!G16851)*Sens!G16850/1000</f>
        <v>157.399275932048</v>
      </c>
      <c r="H16852" s="6" t="n">
        <f aca="false">(Sens!H16830+Sens!H16851)*Sens!H16850/1000</f>
        <v>162.260804347512</v>
      </c>
      <c r="I16852" s="6" t="n">
        <f aca="false">(Sens!I16830+Sens!I16851)*Sens!I16850/1000</f>
        <v>144.136569485434</v>
      </c>
      <c r="J16852" s="6" t="n">
        <f aca="false">(Sens!J16830+Sens!J16851)*Sens!J16850/1000</f>
        <v>114.029037357864</v>
      </c>
      <c r="K16852" s="6" t="n">
        <f aca="false">(Sens!K16830+Sens!K16851)*Sens!K16850/1000</f>
        <v>113.437085350975</v>
      </c>
    </row>
    <row r="16853" customFormat="false" ht="17.15" hidden="false" customHeight="false" outlineLevel="0" collapsed="false">
      <c r="A16853" s="0" t="s">
        <v>992</v>
      </c>
      <c r="B16853" s="0" t="s">
        <v>98</v>
      </c>
      <c r="C16853" s="6" t="n">
        <f aca="false">Sens!C16830*self_build*tk_cxfac/1000</f>
        <v>6.2083</v>
      </c>
      <c r="D16853" s="6" t="n">
        <f aca="false">Sens!D16830*self_build*tk_cxfac/1000</f>
        <v>9.3758</v>
      </c>
      <c r="E16853" s="6" t="n">
        <f aca="false">Sens!E16830*self_build*tk_cxfac/1000</f>
        <v>18.6249</v>
      </c>
      <c r="F16853" s="6" t="n">
        <f aca="false">Sens!F16830*self_build*tk_cxfac/1000</f>
        <v>31.935179717</v>
      </c>
      <c r="G16853" s="6" t="n">
        <f aca="false">Sens!G16830*self_build*tk_cxfac/1000</f>
        <v>34.545199717</v>
      </c>
      <c r="H16853" s="6" t="n">
        <f aca="false">Sens!H16830*self_build*tk_cxfac/1000</f>
        <v>34.545199717</v>
      </c>
      <c r="I16853" s="6" t="n">
        <f aca="false">Sens!I16830*self_build*tk_cxfac/1000</f>
        <v>24.4782641361767</v>
      </c>
      <c r="J16853" s="6" t="n">
        <f aca="false">Sens!J16830*self_build*tk_cxfac/1000</f>
        <v>14.9008938380769</v>
      </c>
      <c r="K16853" s="6" t="n">
        <f aca="false">Sens!K16830*self_build*tk_cxfac/1000</f>
        <v>5.52576771375761</v>
      </c>
    </row>
    <row r="16854" customFormat="false" ht="17.15" hidden="false" customHeight="false" outlineLevel="0" collapsed="false">
      <c r="A16854" s="0" t="s">
        <v>993</v>
      </c>
      <c r="B16854" s="0" t="s">
        <v>98</v>
      </c>
      <c r="F16854" s="15" t="n">
        <f aca="false">capex_floor27-Sens!F16852-Sens!F16853-Sens!F16950</f>
        <v>-0.0799631154216058</v>
      </c>
      <c r="L16854" s="12" t="s">
        <v>994</v>
      </c>
    </row>
    <row r="16855" customFormat="false" ht="17.15" hidden="false" customHeight="false" outlineLevel="0" collapsed="false">
      <c r="A16855" s="0" t="s">
        <v>995</v>
      </c>
      <c r="B16855" s="0" t="s">
        <v>98</v>
      </c>
      <c r="F16855" s="6" t="n">
        <f aca="false">MAX(0,Sens!F16854)</f>
        <v>0</v>
      </c>
    </row>
    <row r="16856" customFormat="false" ht="17.15" hidden="false" customHeight="false" outlineLevel="0" collapsed="false">
      <c r="A16856" s="0" t="s">
        <v>996</v>
      </c>
      <c r="B16856" s="0" t="s">
        <v>98</v>
      </c>
      <c r="C16856" s="6" t="n">
        <f aca="false">Sens!C16852</f>
        <v>22.5333845916667</v>
      </c>
      <c r="D16856" s="6" t="n">
        <f aca="false">Sens!D16852</f>
        <v>34.0300093833333</v>
      </c>
      <c r="E16856" s="6" t="n">
        <f aca="false">Sens!E16852</f>
        <v>67.600153775</v>
      </c>
      <c r="F16856" s="6" t="n">
        <f aca="false">Sens!F16852</f>
        <v>136.51872432512</v>
      </c>
      <c r="G16856" s="6" t="n">
        <f aca="false">Sens!G16852</f>
        <v>157.399275932048</v>
      </c>
      <c r="H16856" s="6" t="n">
        <f aca="false">Sens!H16852</f>
        <v>162.260804347512</v>
      </c>
      <c r="I16856" s="6" t="n">
        <f aca="false">Sens!I16852</f>
        <v>144.136569485434</v>
      </c>
      <c r="J16856" s="6" t="n">
        <f aca="false">Sens!J16852</f>
        <v>114.029037357864</v>
      </c>
      <c r="K16856" s="6" t="n">
        <f aca="false">Sens!K16852</f>
        <v>113.437085350975</v>
      </c>
    </row>
    <row r="16857" customFormat="false" ht="17.15" hidden="false" customHeight="false" outlineLevel="0" collapsed="false">
      <c r="A16857" s="0" t="s">
        <v>997</v>
      </c>
      <c r="B16857" s="0" t="s">
        <v>98</v>
      </c>
      <c r="C16857" s="6" t="n">
        <f aca="false">Sens!C16856+Sens!C16853</f>
        <v>28.7416845916667</v>
      </c>
      <c r="D16857" s="6" t="n">
        <f aca="false">Sens!D16856+Sens!D16853</f>
        <v>43.4058093833333</v>
      </c>
      <c r="E16857" s="6" t="n">
        <f aca="false">Sens!E16856+Sens!E16853</f>
        <v>86.225053775</v>
      </c>
      <c r="F16857" s="6" t="n">
        <f aca="false">Sens!F16856+Sens!F16853</f>
        <v>168.45390404212</v>
      </c>
      <c r="G16857" s="6" t="n">
        <f aca="false">Sens!G16856+Sens!G16853</f>
        <v>191.944475649048</v>
      </c>
      <c r="H16857" s="6" t="n">
        <f aca="false">Sens!H16856+Sens!H16853</f>
        <v>196.806004064512</v>
      </c>
      <c r="I16857" s="6" t="n">
        <f aca="false">Sens!I16856+Sens!I16853</f>
        <v>168.61483362161</v>
      </c>
      <c r="J16857" s="6" t="n">
        <f aca="false">Sens!J16856+Sens!J16853</f>
        <v>128.92993119594</v>
      </c>
      <c r="K16857" s="6" t="n">
        <f aca="false">Sens!K16856+Sens!K16853</f>
        <v>118.962853064733</v>
      </c>
      <c r="L16857" s="12" t="s">
        <v>998</v>
      </c>
    </row>
    <row r="16858" customFormat="false" ht="17.15" hidden="false" customHeight="false" outlineLevel="0" collapsed="false">
      <c r="A16858" s="0" t="s">
        <v>999</v>
      </c>
      <c r="B16858" s="0" t="s">
        <v>98</v>
      </c>
      <c r="E16858" s="6" t="n">
        <f aca="false">(Sens!C16856*IF(2&lt;life_it,1,IF(2=life_it,0.5,0))+Sens!D16856*IF(1&lt;life_it,1,IF(1=life_it,0.5,0))+Sens!E16856*0.5)/life_it</f>
        <v>15.0605784770833</v>
      </c>
      <c r="F16858" s="6" t="n">
        <f aca="false">(Sens!C16856*IF(3&lt;life_it,1,IF(3=life_it,0.5,0))+Sens!D16856*IF(2&lt;life_it,1,IF(2=life_it,0.5,0))+Sens!E16856*IF(1&lt;life_it,1,IF(1=life_it,0.5,0))+Sens!F16856*0.5)/life_it</f>
        <v>32.0704849854266</v>
      </c>
      <c r="G16858" s="6" t="n">
        <f aca="false">(Sens!C16856*IF(4&lt;life_it,1,IF(4=life_it,0.5,0))+Sens!D16856*IF(3&lt;life_it,1,IF(3=life_it,0.5,0))+Sens!E16856*IF(2&lt;life_it,1,IF(2=life_it,0.5,0))+Sens!F16856*IF(1&lt;life_it,1,IF(1=life_it,0.5,0))+Sens!G16856*0.5)/life_it</f>
        <v>56.5636516735239</v>
      </c>
      <c r="H16858" s="6" t="n">
        <f aca="false">(Sens!C16856*IF(5&lt;life_it,1,IF(5=life_it,0.5,0))+Sens!D16856*IF(4&lt;life_it,1,IF(4=life_it,0.5,0))+Sens!E16856*IF(3&lt;life_it,1,IF(3=life_it,0.5,0))+Sens!F16856*IF(2&lt;life_it,1,IF(2=life_it,0.5,0))+Sens!G16856*IF(1&lt;life_it,1,IF(1=life_it,0.5,0))+Sens!H16856*0.5)/life_it</f>
        <v>83.2019916968207</v>
      </c>
      <c r="I16858" s="6" t="n">
        <f aca="false">(Sens!C16856*IF(6&lt;life_it,1,IF(6=life_it,0.5,0))+Sens!D16856*IF(5&lt;life_it,1,IF(5=life_it,0.5,0))+Sens!E16856*IF(4&lt;life_it,1,IF(4=life_it,0.5,0))+Sens!F16856*IF(3&lt;life_it,1,IF(3=life_it,0.5,0))+Sens!G16856*IF(2&lt;life_it,1,IF(2=life_it,0.5,0))+Sens!H16856*IF(1&lt;life_it,1,IF(1=life_it,0.5,0))+Sens!I16856*0.5)/life_it</f>
        <v>106.857324133594</v>
      </c>
      <c r="J16858" s="6" t="n">
        <f aca="false">(Sens!C16856*IF(7&lt;life_it,1,IF(7=life_it,0.5,0))+Sens!D16856*IF(6&lt;life_it,1,IF(6=life_it,0.5,0))+Sens!E16856*IF(5&lt;life_it,1,IF(5=life_it,0.5,0))+Sens!F16856*IF(4&lt;life_it,1,IF(4=life_it,0.5,0))+Sens!G16856*IF(3&lt;life_it,1,IF(3=life_it,0.5,0))+Sens!H16856*IF(2&lt;life_it,1,IF(2=life_it,0.5,0))+Sens!I16856*IF(1&lt;life_it,1,IF(1=life_it,0.5,0))+Sens!J16856*0.5)/life_it</f>
        <v>123.657508539285</v>
      </c>
      <c r="K16858" s="6" t="n">
        <f aca="false">(Sens!C16856*IF(8&lt;life_it,1,IF(8=life_it,0.5,0))+Sens!D16856*IF(7&lt;life_it,1,IF(7=life_it,0.5,0))+Sens!E16856*IF(6&lt;life_it,1,IF(6=life_it,0.5,0))+Sens!F16856*IF(5&lt;life_it,1,IF(5=life_it,0.5,0))+Sens!G16856*IF(4&lt;life_it,1,IF(4=life_it,0.5,0))+Sens!H16856*IF(3&lt;life_it,1,IF(3=life_it,0.5,0))+Sens!I16856*IF(2&lt;life_it,1,IF(2=life_it,0.5,0))+Sens!J16856*IF(1&lt;life_it,1,IF(1=life_it,0.5,0))+Sens!K16856*0.5)/life_it</f>
        <v>134.143838501827</v>
      </c>
    </row>
    <row r="16859" customFormat="false" ht="17.15" hidden="false" customHeight="false" outlineLevel="0" collapsed="false">
      <c r="A16859" s="0" t="s">
        <v>1000</v>
      </c>
      <c r="B16859" s="0" t="s">
        <v>98</v>
      </c>
      <c r="E16859" s="6" t="n">
        <f aca="false">(Sens!C16853*IF(2&lt;life_fac,1,IF(2=life_fac,0.5,0))+Sens!D16853*IF(1&lt;life_fac,1,IF(1=life_fac,0.5,0))+Sens!E16853*0.5)/life_fac</f>
        <v>1.2448275</v>
      </c>
      <c r="F16859" s="6" t="n">
        <f aca="false">(Sens!C16853*IF(3&lt;life_fac,1,IF(3=life_fac,0.5,0))+Sens!D16853*IF(2&lt;life_fac,1,IF(2=life_fac,0.5,0))+Sens!E16853*IF(1&lt;life_fac,1,IF(1=life_fac,0.5,0))+Sens!F16853*0.5)/life_fac</f>
        <v>2.508829492925</v>
      </c>
      <c r="G16859" s="6" t="n">
        <f aca="false">(Sens!C16853*IF(4&lt;life_fac,1,IF(4=life_fac,0.5,0))+Sens!D16853*IF(3&lt;life_fac,1,IF(3=life_fac,0.5,0))+Sens!E16853*IF(2&lt;life_fac,1,IF(2=life_fac,0.5,0))+Sens!F16853*IF(1&lt;life_fac,1,IF(1=life_fac,0.5,0))+Sens!G16853*0.5)/life_fac</f>
        <v>4.170838978775</v>
      </c>
      <c r="H16859" s="6" t="n">
        <f aca="false">(Sens!C16853*IF(5&lt;life_fac,1,IF(5=life_fac,0.5,0))+Sens!D16853*IF(4&lt;life_fac,1,IF(4=life_fac,0.5,0))+Sens!E16853*IF(3&lt;life_fac,1,IF(3=life_fac,0.5,0))+Sens!F16853*IF(2&lt;life_fac,1,IF(2=life_fac,0.5,0))+Sens!G16853*IF(1&lt;life_fac,1,IF(1=life_fac,0.5,0))+Sens!H16853*0.5)/life_fac</f>
        <v>5.898098964625</v>
      </c>
      <c r="I16859" s="6" t="n">
        <f aca="false">(Sens!C16853*IF(6&lt;life_fac,1,IF(6=life_fac,0.5,0))+Sens!D16853*IF(5&lt;life_fac,1,IF(5=life_fac,0.5,0))+Sens!E16853*IF(4&lt;life_fac,1,IF(4=life_fac,0.5,0))+Sens!F16853*IF(3&lt;life_fac,1,IF(3=life_fac,0.5,0))+Sens!G16853*IF(2&lt;life_fac,1,IF(2=life_fac,0.5,0))+Sens!H16853*IF(1&lt;life_fac,1,IF(1=life_fac,0.5,0))+Sens!I16853*0.5)/life_fac</f>
        <v>7.37368556095442</v>
      </c>
      <c r="J16859" s="6" t="n">
        <f aca="false">(Sens!C16853*IF(7&lt;life_fac,1,IF(7=life_fac,0.5,0))+Sens!D16853*IF(6&lt;life_fac,1,IF(6=life_fac,0.5,0))+Sens!E16853*IF(5&lt;life_fac,1,IF(5=life_fac,0.5,0))+Sens!F16853*IF(4&lt;life_fac,1,IF(4=life_fac,0.5,0))+Sens!G16853*IF(3&lt;life_fac,1,IF(3=life_fac,0.5,0))+Sens!H16853*IF(2&lt;life_fac,1,IF(2=life_fac,0.5,0))+Sens!I16853*IF(1&lt;life_fac,1,IF(1=life_fac,0.5,0))+Sens!J16853*0.5)/life_fac</f>
        <v>8.35816451031075</v>
      </c>
      <c r="K16859" s="6" t="n">
        <f aca="false">(Sens!C16853*IF(8&lt;life_fac,1,IF(8=life_fac,0.5,0))+Sens!D16853*IF(7&lt;life_fac,1,IF(7=life_fac,0.5,0))+Sens!E16853*IF(6&lt;life_fac,1,IF(6=life_fac,0.5,0))+Sens!F16853*IF(5&lt;life_fac,1,IF(5=life_fac,0.5,0))+Sens!G16853*IF(4&lt;life_fac,1,IF(4=life_fac,0.5,0))+Sens!H16853*IF(3&lt;life_fac,1,IF(3=life_fac,0.5,0))+Sens!I16853*IF(2&lt;life_fac,1,IF(2=life_fac,0.5,0))+Sens!J16853*IF(1&lt;life_fac,1,IF(1=life_fac,0.5,0))+Sens!K16853*0.5)/life_fac</f>
        <v>8.86883104910662</v>
      </c>
    </row>
    <row r="16860" customFormat="false" ht="17.15" hidden="false" customHeight="false" outlineLevel="0" collapsed="false">
      <c r="A16860" s="0" t="s">
        <v>1001</v>
      </c>
      <c r="B16860" s="0" t="s">
        <v>98</v>
      </c>
      <c r="E16860" s="6" t="n">
        <f aca="false">Sens!E16858+Sens!E16859</f>
        <v>16.3054059770833</v>
      </c>
      <c r="F16860" s="6" t="n">
        <f aca="false">Sens!F16858+Sens!F16859</f>
        <v>34.5793144783516</v>
      </c>
      <c r="G16860" s="6" t="n">
        <f aca="false">Sens!G16858+Sens!G16859</f>
        <v>60.7344906522989</v>
      </c>
      <c r="H16860" s="6" t="n">
        <f aca="false">Sens!H16858+Sens!H16859</f>
        <v>89.1000906614457</v>
      </c>
      <c r="I16860" s="6" t="n">
        <f aca="false">Sens!I16858+Sens!I16859</f>
        <v>114.231009694548</v>
      </c>
      <c r="J16860" s="6" t="n">
        <f aca="false">Sens!J16858+Sens!J16859</f>
        <v>132.015673049596</v>
      </c>
      <c r="K16860" s="6" t="n">
        <f aca="false">Sens!K16858+Sens!K16859</f>
        <v>143.012669550934</v>
      </c>
    </row>
    <row r="16861" customFormat="false" ht="17.15" hidden="false" customHeight="false" outlineLevel="0" collapsed="false">
      <c r="A16861" s="0" t="s">
        <v>1002</v>
      </c>
      <c r="B16861" s="0" t="s">
        <v>98</v>
      </c>
      <c r="E16861" s="6" t="n">
        <f aca="false">Sens!E16848-Sens!E16847*Sens!E16860</f>
        <v>8.92707889977379</v>
      </c>
      <c r="F16861" s="6" t="n">
        <f aca="false">Sens!F16848-Sens!F16847*Sens!F16860</f>
        <v>14.3471335960079</v>
      </c>
      <c r="G16861" s="6" t="n">
        <f aca="false">Sens!G16848-Sens!G16847*Sens!G16860</f>
        <v>16.5202976798683</v>
      </c>
      <c r="H16861" s="6" t="n">
        <f aca="false">Sens!H16848-Sens!H16847*Sens!H16860</f>
        <v>12.9805278875331</v>
      </c>
      <c r="I16861" s="6" t="n">
        <f aca="false">Sens!I16848-Sens!I16847*Sens!I16860</f>
        <v>16.2363335770989</v>
      </c>
      <c r="J16861" s="6" t="n">
        <f aca="false">Sens!J16848-Sens!J16847*Sens!J16860</f>
        <v>18.4432225839805</v>
      </c>
      <c r="K16861" s="6" t="n">
        <f aca="false">Sens!K16848-Sens!K16847*Sens!K16860</f>
        <v>20.1577566819661</v>
      </c>
    </row>
    <row r="16862" customFormat="false" ht="17.15" hidden="false" customHeight="false" outlineLevel="0" collapsed="false">
      <c r="A16862" s="3" t="s">
        <v>1895</v>
      </c>
    </row>
    <row r="16863" customFormat="false" ht="15" hidden="false" customHeight="false" outlineLevel="0" collapsed="false">
      <c r="A16863" s="4" t="s">
        <v>43</v>
      </c>
      <c r="B16863" s="4" t="s">
        <v>65</v>
      </c>
      <c r="C16863" s="23" t="s">
        <v>938</v>
      </c>
      <c r="D16863" s="23" t="s">
        <v>939</v>
      </c>
      <c r="E16863" s="23" t="s">
        <v>940</v>
      </c>
      <c r="F16863" s="23" t="s">
        <v>941</v>
      </c>
      <c r="G16863" s="23" t="s">
        <v>942</v>
      </c>
      <c r="H16863" s="23" t="s">
        <v>943</v>
      </c>
      <c r="I16863" s="23" t="s">
        <v>944</v>
      </c>
      <c r="J16863" s="23" t="s">
        <v>945</v>
      </c>
      <c r="K16863" s="23" t="s">
        <v>946</v>
      </c>
      <c r="L16863" s="4" t="s">
        <v>47</v>
      </c>
    </row>
    <row r="16864" customFormat="false" ht="17.15" hidden="false" customHeight="false" outlineLevel="0" collapsed="false">
      <c r="A16864" s="0" t="s">
        <v>1021</v>
      </c>
      <c r="B16864" s="0" t="s">
        <v>98</v>
      </c>
      <c r="D16864" s="6" t="n">
        <f aca="false">Sens!D16842</f>
        <v>12.9359794422418</v>
      </c>
      <c r="E16864" s="6" t="n">
        <f aca="false">Sens!E16842</f>
        <v>27.8095064661409</v>
      </c>
      <c r="F16864" s="6" t="n">
        <f aca="false">Sens!F16842</f>
        <v>50.9819294352312</v>
      </c>
      <c r="G16864" s="6" t="n">
        <f aca="false">Sens!G16842</f>
        <v>76.6920436014933</v>
      </c>
      <c r="H16864" s="6" t="n">
        <f aca="false">Sens!H16842</f>
        <v>97.4495379418341</v>
      </c>
      <c r="I16864" s="6" t="n">
        <f aca="false">Sens!I16842</f>
        <v>122.083445553868</v>
      </c>
      <c r="J16864" s="6" t="n">
        <f aca="false">Sens!J16842</f>
        <v>139.249060444804</v>
      </c>
      <c r="K16864" s="6" t="n">
        <f aca="false">Sens!K16842</f>
        <v>149.995818575589</v>
      </c>
    </row>
    <row r="16865" customFormat="false" ht="17.15" hidden="false" customHeight="false" outlineLevel="0" collapsed="false">
      <c r="A16865" s="0" t="s">
        <v>1022</v>
      </c>
      <c r="B16865" s="0" t="s">
        <v>98</v>
      </c>
      <c r="D16865" s="6" t="n">
        <f aca="false">Q!L6-Sens!D16864</f>
        <v>59.6740205577583</v>
      </c>
      <c r="E16865" s="6" t="n">
        <f aca="false">Q!M6-Sens!E16864</f>
        <v>74.1284935338591</v>
      </c>
      <c r="F16865" s="6" t="n">
        <f aca="false">Q!$I$6+(Sens!F16864+Sens!E16865*(1+Sens!F16866))*(1-Q!$E$6/Q!M6)-Sens!F16864</f>
        <v>92.2699541184664</v>
      </c>
      <c r="G16865" s="6" t="n">
        <f aca="false">Sens!F16865*(1+Sens!G16866)</f>
        <v>109.630477277949</v>
      </c>
      <c r="H16865" s="6" t="n">
        <f aca="false">Sens!G16865*(1+Sens!H16866)</f>
        <v>127.293256321956</v>
      </c>
      <c r="I16865" s="6" t="n">
        <f aca="false">Sens!H16865*(1+Sens!I16866)</f>
        <v>144.360052269491</v>
      </c>
      <c r="J16865" s="6" t="n">
        <f aca="false">Sens!I16865*(1+Sens!J16866)</f>
        <v>159.811964490216</v>
      </c>
      <c r="K16865" s="6" t="n">
        <f aca="false">Sens!J16865*(1+Sens!K16866)</f>
        <v>172.596921649434</v>
      </c>
      <c r="L16865" s="12" t="s">
        <v>1023</v>
      </c>
    </row>
    <row r="16866" customFormat="false" ht="15" hidden="false" customHeight="false" outlineLevel="0" collapsed="false">
      <c r="A16866" s="1" t="s">
        <v>1024</v>
      </c>
      <c r="B16866" s="0" t="s">
        <v>168</v>
      </c>
      <c r="E16866" s="7" t="n">
        <f aca="false">Sens!E16865/Sens!D16865-1</f>
        <v>0.242223883039864</v>
      </c>
      <c r="F16866" s="7" t="n">
        <f aca="false">Sens!$E$16866+(glt_azo-Sens!$E$16866)*MIN(1,(Sens!F16823-base_fy)/n_conv)</f>
        <v>0.215186569199887</v>
      </c>
      <c r="G16866" s="7" t="n">
        <f aca="false">Sens!$E$16866+(glt_azo-Sens!$E$16866)*MIN(1,(Sens!G16823-base_fy)/n_conv)</f>
        <v>0.18814925535991</v>
      </c>
      <c r="H16866" s="7" t="n">
        <f aca="false">Sens!$E$16866+(glt_azo-Sens!$E$16866)*MIN(1,(Sens!H16823-base_fy)/n_conv)</f>
        <v>0.161111941519932</v>
      </c>
      <c r="I16866" s="7" t="n">
        <f aca="false">Sens!$E$16866+(glt_azo-Sens!$E$16866)*MIN(1,(Sens!I16823-base_fy)/n_conv)</f>
        <v>0.134074627679955</v>
      </c>
      <c r="J16866" s="7" t="n">
        <f aca="false">Sens!$E$16866+(glt_azo-Sens!$E$16866)*MIN(1,(Sens!J16823-base_fy)/n_conv)</f>
        <v>0.107037313839977</v>
      </c>
      <c r="K16866" s="7" t="n">
        <f aca="false">Sens!$E$16866+(glt_azo-Sens!$E$16866)*MIN(1,(Sens!K16823-base_fy)/n_conv)</f>
        <v>0.08</v>
      </c>
    </row>
    <row r="16867" customFormat="false" ht="15" hidden="false" customHeight="false" outlineLevel="0" collapsed="false">
      <c r="A16867" s="0" t="s">
        <v>1025</v>
      </c>
      <c r="B16867" s="0" t="s">
        <v>98</v>
      </c>
      <c r="D16867" s="6" t="n">
        <f aca="false">Sens!D16864+Sens!D16865</f>
        <v>72.61</v>
      </c>
      <c r="E16867" s="6" t="n">
        <f aca="false">Sens!E16864+Sens!E16865</f>
        <v>101.938</v>
      </c>
      <c r="F16867" s="6" t="n">
        <f aca="false">Sens!F16864+Sens!F16865</f>
        <v>143.251883553698</v>
      </c>
      <c r="G16867" s="6" t="n">
        <f aca="false">Sens!G16864+Sens!G16865</f>
        <v>186.322520879442</v>
      </c>
      <c r="H16867" s="6" t="n">
        <f aca="false">Sens!H16864+Sens!H16865</f>
        <v>224.74279426379</v>
      </c>
      <c r="I16867" s="6" t="n">
        <f aca="false">Sens!I16864+Sens!I16865</f>
        <v>266.443497823359</v>
      </c>
      <c r="J16867" s="6" t="n">
        <f aca="false">Sens!J16864+Sens!J16865</f>
        <v>299.06102493502</v>
      </c>
      <c r="K16867" s="6" t="n">
        <f aca="false">Sens!K16864+Sens!K16865</f>
        <v>322.592740225023</v>
      </c>
    </row>
    <row r="16868" customFormat="false" ht="17.15" hidden="false" customHeight="false" outlineLevel="0" collapsed="false">
      <c r="A16868" s="0" t="s">
        <v>1026</v>
      </c>
      <c r="B16868" s="1" t="s">
        <v>610</v>
      </c>
      <c r="C16868" s="30" t="n">
        <f aca="false">cop_s24</f>
        <v>1</v>
      </c>
      <c r="D16868" s="30" t="n">
        <f aca="false">cop_s25</f>
        <v>5</v>
      </c>
      <c r="E16868" s="30" t="n">
        <f aca="false">cop_s26</f>
        <v>30</v>
      </c>
      <c r="F16868" s="30" t="n">
        <f aca="false">Sens!E16868+cop_add_C</f>
        <v>40</v>
      </c>
      <c r="G16868" s="30" t="n">
        <f aca="false">Sens!F16868+cop_add_C</f>
        <v>50</v>
      </c>
      <c r="H16868" s="30" t="n">
        <f aca="false">Sens!G16868+cop_add_C</f>
        <v>60</v>
      </c>
      <c r="I16868" s="30" t="n">
        <f aca="false">Sens!H16868+cop_add_C*cop_tail</f>
        <v>65</v>
      </c>
      <c r="J16868" s="30" t="n">
        <f aca="false">Sens!I16868+cop_add_C*cop_tail</f>
        <v>70</v>
      </c>
      <c r="K16868" s="30" t="n">
        <f aca="false">Sens!J16868+cop_add_C*cop_tail</f>
        <v>75</v>
      </c>
      <c r="L16868" s="12" t="s">
        <v>1027</v>
      </c>
    </row>
    <row r="16869" customFormat="false" ht="17.15" hidden="false" customHeight="false" outlineLevel="0" collapsed="false">
      <c r="A16869" s="0" t="s">
        <v>1028</v>
      </c>
      <c r="B16869" s="0" t="s">
        <v>98</v>
      </c>
      <c r="D16869" s="6" t="n">
        <f aca="false">(Sens!C16868+Sens!D16868)/2*cop_px*12/1000</f>
        <v>0.9</v>
      </c>
      <c r="E16869" s="6" t="n">
        <f aca="false">(Sens!D16868+Sens!E16868)/2*cop_px*12/1000</f>
        <v>5.25</v>
      </c>
      <c r="F16869" s="6" t="n">
        <f aca="false">(Sens!E16868+Sens!F16868)/2*cop_px*12/1000</f>
        <v>10.5</v>
      </c>
      <c r="G16869" s="6" t="n">
        <f aca="false">(Sens!F16868+Sens!G16868)/2*cop_px*12/1000</f>
        <v>13.5</v>
      </c>
      <c r="H16869" s="6" t="n">
        <f aca="false">(Sens!G16868+Sens!H16868)/2*cop_px*12/1000</f>
        <v>16.5</v>
      </c>
      <c r="I16869" s="6" t="n">
        <f aca="false">(Sens!H16868+Sens!I16868)/2*cop_px*12/1000</f>
        <v>18.75</v>
      </c>
      <c r="J16869" s="6" t="n">
        <f aca="false">(Sens!I16868+Sens!J16868)/2*cop_px*12/1000</f>
        <v>20.25</v>
      </c>
      <c r="K16869" s="6" t="n">
        <f aca="false">(Sens!J16868+Sens!K16868)/2*cop_px*12/1000</f>
        <v>21.75</v>
      </c>
      <c r="L16869" s="1" t="s">
        <v>1029</v>
      </c>
    </row>
    <row r="16870" customFormat="false" ht="17.15" hidden="false" customHeight="false" outlineLevel="0" collapsed="false">
      <c r="A16870" s="0" t="s">
        <v>1030</v>
      </c>
      <c r="B16870" s="0" t="s">
        <v>98</v>
      </c>
      <c r="D16870" s="6" t="n">
        <f aca="false">Q!L7-Sens!D16869</f>
        <v>83.705</v>
      </c>
      <c r="E16870" s="6" t="n">
        <f aca="false">Q!M7-Sens!E16869</f>
        <v>95.049</v>
      </c>
      <c r="F16870" s="6" t="n">
        <f aca="false">Q!$I$7+(Sens!E16870*(1+Sens!F16871)+Sens!F16869)*(1-Q!$E$7/Q!M7)-Sens!F16869</f>
        <v>106.938354189776</v>
      </c>
      <c r="G16870" s="6" t="n">
        <f aca="false">Sens!F16870*(1+Sens!G16871)</f>
        <v>119.095360443801</v>
      </c>
      <c r="H16870" s="6" t="n">
        <f aca="false">Sens!G16870*(1+Sens!H16871)</f>
        <v>131.333811964563</v>
      </c>
      <c r="I16870" s="6" t="n">
        <f aca="false">Sens!H16870*(1+Sens!I16871)</f>
        <v>143.395665319381</v>
      </c>
      <c r="J16870" s="6" t="n">
        <f aca="false">Sens!I16870*(1+Sens!J16871)</f>
        <v>154.999327755573</v>
      </c>
      <c r="K16870" s="6" t="n">
        <f aca="false">Sens!J16870*(1+Sens!K16871)</f>
        <v>165.849280698463</v>
      </c>
      <c r="L16870" s="12" t="s">
        <v>1031</v>
      </c>
    </row>
    <row r="16871" customFormat="false" ht="15" hidden="false" customHeight="false" outlineLevel="0" collapsed="false">
      <c r="A16871" s="1" t="s">
        <v>1024</v>
      </c>
      <c r="B16871" s="0" t="s">
        <v>168</v>
      </c>
      <c r="E16871" s="7" t="n">
        <f aca="false">Sens!E16870/Sens!D16870-1</f>
        <v>0.135523564900544</v>
      </c>
      <c r="F16871" s="7" t="n">
        <f aca="false">Sens!$E$16871+(glt_m365b-Sens!$E$16871)*MIN(1,(Sens!F16823-base_fy)/n_conv)</f>
        <v>0.124602970750453</v>
      </c>
      <c r="G16871" s="7" t="n">
        <f aca="false">Sens!$E$16871+(glt_m365b-Sens!$E$16871)*MIN(1,(Sens!G16823-base_fy)/n_conv)</f>
        <v>0.113682376600363</v>
      </c>
      <c r="H16871" s="7" t="n">
        <f aca="false">Sens!$E$16871+(glt_m365b-Sens!$E$16871)*MIN(1,(Sens!H16823-base_fy)/n_conv)</f>
        <v>0.102761782450272</v>
      </c>
      <c r="I16871" s="7" t="n">
        <f aca="false">Sens!$E$16871+(glt_m365b-Sens!$E$16871)*MIN(1,(Sens!I16823-base_fy)/n_conv)</f>
        <v>0.0918411883001813</v>
      </c>
      <c r="J16871" s="7" t="n">
        <f aca="false">Sens!$E$16871+(glt_m365b-Sens!$E$16871)*MIN(1,(Sens!J16823-base_fy)/n_conv)</f>
        <v>0.0809205941500906</v>
      </c>
      <c r="K16871" s="7" t="n">
        <f aca="false">Sens!$E$16871+(glt_m365b-Sens!$E$16871)*MIN(1,(Sens!K16823-base_fy)/n_conv)</f>
        <v>0.07</v>
      </c>
    </row>
    <row r="16872" customFormat="false" ht="15" hidden="false" customHeight="false" outlineLevel="0" collapsed="false">
      <c r="A16872" s="0" t="s">
        <v>1032</v>
      </c>
      <c r="B16872" s="0" t="s">
        <v>98</v>
      </c>
      <c r="D16872" s="6" t="n">
        <f aca="false">Sens!D16870+Sens!D16869</f>
        <v>84.605</v>
      </c>
      <c r="E16872" s="6" t="n">
        <f aca="false">Sens!E16870+Sens!E16869</f>
        <v>100.299</v>
      </c>
      <c r="F16872" s="6" t="n">
        <f aca="false">Sens!F16870+Sens!F16869</f>
        <v>117.438354189776</v>
      </c>
      <c r="G16872" s="6" t="n">
        <f aca="false">Sens!G16870+Sens!G16869</f>
        <v>132.595360443801</v>
      </c>
      <c r="H16872" s="6" t="n">
        <f aca="false">Sens!H16870+Sens!H16869</f>
        <v>147.833811964563</v>
      </c>
      <c r="I16872" s="6" t="n">
        <f aca="false">Sens!I16870+Sens!I16869</f>
        <v>162.145665319381</v>
      </c>
      <c r="J16872" s="6" t="n">
        <f aca="false">Sens!J16870+Sens!J16869</f>
        <v>175.249327755573</v>
      </c>
      <c r="K16872" s="6" t="n">
        <f aca="false">Sens!K16870+Sens!K16869</f>
        <v>187.599280698463</v>
      </c>
    </row>
    <row r="16873" customFormat="false" ht="17.15" hidden="false" customHeight="false" outlineLevel="0" collapsed="false">
      <c r="A16873" s="0" t="s">
        <v>1033</v>
      </c>
      <c r="B16873" s="0" t="s">
        <v>98</v>
      </c>
      <c r="D16873" s="6" t="n">
        <f aca="false">Q!L8</f>
        <v>35.391</v>
      </c>
      <c r="E16873" s="6" t="n">
        <f aca="false">Q!M8</f>
        <v>37.285</v>
      </c>
      <c r="F16873" s="6" t="n">
        <f aca="false">Q!$I$8+(Q!M8-Q!$E$8)*(1+Sens!F16874)</f>
        <v>38.3851437782675</v>
      </c>
      <c r="G16873" s="6" t="n">
        <f aca="false">Sens!F16873*(1+Sens!G16874)</f>
        <v>40.0105353288615</v>
      </c>
      <c r="H16873" s="6" t="n">
        <f aca="false">Sens!G16873*(1+Sens!H16874)</f>
        <v>41.4812512033683</v>
      </c>
      <c r="I16873" s="6" t="n">
        <f aca="false">Sens!H16873*(1+Sens!I16874)</f>
        <v>42.7743107216329</v>
      </c>
      <c r="J16873" s="6" t="n">
        <f aca="false">Sens!I16873*(1+Sens!J16874)</f>
        <v>43.8687373064601</v>
      </c>
      <c r="K16873" s="6" t="n">
        <f aca="false">Sens!J16873*(1+Sens!K16874)</f>
        <v>44.7461120525893</v>
      </c>
      <c r="L16873" s="12" t="s">
        <v>1034</v>
      </c>
    </row>
    <row r="16874" customFormat="false" ht="15" hidden="false" customHeight="false" outlineLevel="0" collapsed="false">
      <c r="A16874" s="1" t="s">
        <v>1024</v>
      </c>
      <c r="B16874" s="0" t="s">
        <v>168</v>
      </c>
      <c r="E16874" s="7" t="n">
        <f aca="false">Sens!E16873/Sens!D16873-1</f>
        <v>0.0535164307309768</v>
      </c>
      <c r="F16874" s="7" t="n">
        <f aca="false">Sens!$E$16874+(glt_lic-Sens!$E$16874)*MIN(1,(Sens!F16823-base_fy)/n_conv)</f>
        <v>0.0479303589424807</v>
      </c>
      <c r="G16874" s="7" t="n">
        <f aca="false">Sens!$E$16874+(glt_lic-Sens!$E$16874)*MIN(1,(Sens!G16823-base_fy)/n_conv)</f>
        <v>0.0423442871539845</v>
      </c>
      <c r="H16874" s="7" t="n">
        <f aca="false">Sens!$E$16874+(glt_lic-Sens!$E$16874)*MIN(1,(Sens!H16823-base_fy)/n_conv)</f>
        <v>0.0367582153654884</v>
      </c>
      <c r="I16874" s="7" t="n">
        <f aca="false">Sens!$E$16874+(glt_lic-Sens!$E$16874)*MIN(1,(Sens!I16823-base_fy)/n_conv)</f>
        <v>0.0311721435769923</v>
      </c>
      <c r="J16874" s="7" t="n">
        <f aca="false">Sens!$E$16874+(glt_lic-Sens!$E$16874)*MIN(1,(Sens!J16823-base_fy)/n_conv)</f>
        <v>0.0255860717884961</v>
      </c>
      <c r="K16874" s="7" t="n">
        <f aca="false">Sens!$E$16874+(glt_lic-Sens!$E$16874)*MIN(1,(Sens!K16823-base_fy)/n_conv)</f>
        <v>0.02</v>
      </c>
    </row>
    <row r="16875" customFormat="false" ht="17.15" hidden="false" customHeight="false" outlineLevel="0" collapsed="false">
      <c r="A16875" s="0" t="s">
        <v>1035</v>
      </c>
      <c r="B16875" s="0" t="s">
        <v>98</v>
      </c>
      <c r="D16875" s="6" t="n">
        <f aca="false">Q!L9</f>
        <v>18.417</v>
      </c>
      <c r="E16875" s="6" t="n">
        <f aca="false">Q!M9</f>
        <v>20.345</v>
      </c>
      <c r="F16875" s="6" t="n">
        <f aca="false">Q!$I$9+(Q!M9-Q!$E$9)*(1+Sens!F16876)</f>
        <v>22.3161797133988</v>
      </c>
      <c r="G16875" s="6" t="n">
        <f aca="false">Sens!F16875*(1+Sens!G16876)</f>
        <v>24.3943499673233</v>
      </c>
      <c r="H16875" s="6" t="n">
        <f aca="false">Sens!G16875*(1+Sens!H16876)</f>
        <v>26.5250243109019</v>
      </c>
      <c r="I16875" s="6" t="n">
        <f aca="false">Sens!H16875*(1+Sens!I16876)</f>
        <v>28.6884573538181</v>
      </c>
      <c r="J16875" s="6" t="n">
        <f aca="false">Sens!I16875*(1+Sens!J16876)</f>
        <v>30.8624968052127</v>
      </c>
      <c r="K16875" s="6" t="n">
        <f aca="false">Sens!J16875*(1+Sens!K16876)</f>
        <v>33.0228715815776</v>
      </c>
      <c r="L16875" s="12" t="s">
        <v>1034</v>
      </c>
    </row>
    <row r="16876" customFormat="false" ht="15" hidden="false" customHeight="false" outlineLevel="0" collapsed="false">
      <c r="A16876" s="1" t="s">
        <v>1024</v>
      </c>
      <c r="B16876" s="0" t="s">
        <v>168</v>
      </c>
      <c r="E16876" s="7" t="n">
        <f aca="false">Sens!E16875/Sens!D16875-1</f>
        <v>0.104685888038225</v>
      </c>
      <c r="F16876" s="7" t="n">
        <f aca="false">Sens!$E$16876+(glt_ind-Sens!$E$16876)*MIN(1,(Sens!F16823-base_fy)/n_conv)</f>
        <v>0.0989049066985211</v>
      </c>
      <c r="G16876" s="7" t="n">
        <f aca="false">Sens!$E$16876+(glt_ind-Sens!$E$16876)*MIN(1,(Sens!G16823-base_fy)/n_conv)</f>
        <v>0.0931239253588169</v>
      </c>
      <c r="H16876" s="7" t="n">
        <f aca="false">Sens!$E$16876+(glt_ind-Sens!$E$16876)*MIN(1,(Sens!H16823-base_fy)/n_conv)</f>
        <v>0.0873429440191127</v>
      </c>
      <c r="I16876" s="7" t="n">
        <f aca="false">Sens!$E$16876+(glt_ind-Sens!$E$16876)*MIN(1,(Sens!I16823-base_fy)/n_conv)</f>
        <v>0.0815619626794085</v>
      </c>
      <c r="J16876" s="7" t="n">
        <f aca="false">Sens!$E$16876+(glt_ind-Sens!$E$16876)*MIN(1,(Sens!J16823-base_fy)/n_conv)</f>
        <v>0.0757809813397042</v>
      </c>
      <c r="K16876" s="7" t="n">
        <f aca="false">Sens!$E$16876+(glt_ind-Sens!$E$16876)*MIN(1,(Sens!K16823-base_fy)/n_conv)</f>
        <v>0.07</v>
      </c>
    </row>
    <row r="16877" customFormat="false" ht="17.15" hidden="false" customHeight="false" outlineLevel="0" collapsed="false">
      <c r="A16877" s="0" t="s">
        <v>1036</v>
      </c>
      <c r="B16877" s="0" t="s">
        <v>98</v>
      </c>
      <c r="D16877" s="6" t="n">
        <f aca="false">Q!L10</f>
        <v>7.76</v>
      </c>
      <c r="E16877" s="6" t="n">
        <f aca="false">Q!M10</f>
        <v>8.26</v>
      </c>
      <c r="F16877" s="6" t="n">
        <f aca="false">Q!$I$10+(Q!M10-Q!$E$10)*(1+Sens!F16878)</f>
        <v>8.75372082474227</v>
      </c>
      <c r="G16877" s="6" t="n">
        <f aca="false">Sens!F16877*(1+Sens!G16878)</f>
        <v>9.33399324642364</v>
      </c>
      <c r="H16877" s="6" t="n">
        <f aca="false">Sens!G16877*(1+Sens!H16878)</f>
        <v>9.96139155535851</v>
      </c>
      <c r="I16877" s="6" t="n">
        <f aca="false">Sens!H16877*(1+Sens!I16878)</f>
        <v>10.6402039077391</v>
      </c>
      <c r="J16877" s="6" t="n">
        <f aca="false">Sens!I16877*(1+Sens!J16878)</f>
        <v>11.3751458271397</v>
      </c>
      <c r="K16877" s="6" t="n">
        <f aca="false">Sens!J16877*(1+Sens!K16878)</f>
        <v>12.1714060350394</v>
      </c>
      <c r="L16877" s="12" t="s">
        <v>1034</v>
      </c>
    </row>
    <row r="16878" customFormat="false" ht="15" hidden="false" customHeight="false" outlineLevel="0" collapsed="false">
      <c r="A16878" s="1" t="s">
        <v>1024</v>
      </c>
      <c r="B16878" s="0" t="s">
        <v>168</v>
      </c>
      <c r="E16878" s="7" t="n">
        <f aca="false">Sens!E16877/Sens!D16877-1</f>
        <v>0.0644329896907216</v>
      </c>
      <c r="F16878" s="7" t="n">
        <f aca="false">Sens!$E$16878+(glt_fro-Sens!$E$16878)*MIN(1,(Sens!F16823-base_fy)/n_conv)</f>
        <v>0.065360824742268</v>
      </c>
      <c r="G16878" s="7" t="n">
        <f aca="false">Sens!$E$16878+(glt_fro-Sens!$E$16878)*MIN(1,(Sens!G16823-base_fy)/n_conv)</f>
        <v>0.0662886597938144</v>
      </c>
      <c r="H16878" s="7" t="n">
        <f aca="false">Sens!$E$16878+(glt_fro-Sens!$E$16878)*MIN(1,(Sens!H16823-base_fy)/n_conv)</f>
        <v>0.0672164948453608</v>
      </c>
      <c r="I16878" s="7" t="n">
        <f aca="false">Sens!$E$16878+(glt_fro-Sens!$E$16878)*MIN(1,(Sens!I16823-base_fy)/n_conv)</f>
        <v>0.0681443298969072</v>
      </c>
      <c r="J16878" s="7" t="n">
        <f aca="false">Sens!$E$16878+(glt_fro-Sens!$E$16878)*MIN(1,(Sens!J16823-base_fy)/n_conv)</f>
        <v>0.0690721649484536</v>
      </c>
      <c r="K16878" s="7" t="n">
        <f aca="false">Sens!$E$16878+(glt_fro-Sens!$E$16878)*MIN(1,(Sens!K16823-base_fy)/n_conv)</f>
        <v>0.07</v>
      </c>
    </row>
    <row r="16879" customFormat="false" ht="15" hidden="false" customHeight="false" outlineLevel="0" collapsed="false">
      <c r="A16879" s="0" t="s">
        <v>852</v>
      </c>
      <c r="B16879" s="0" t="s">
        <v>98</v>
      </c>
      <c r="D16879" s="6" t="n">
        <f aca="false">Sens!D16867+Sens!D16872+Sens!D16873+Sens!D16875+Sens!D16877</f>
        <v>218.783</v>
      </c>
      <c r="E16879" s="6" t="n">
        <f aca="false">Sens!E16867+Sens!E16872+Sens!E16873+Sens!E16875+Sens!E16877</f>
        <v>268.127</v>
      </c>
      <c r="F16879" s="6" t="n">
        <f aca="false">Sens!F16867+Sens!F16872+Sens!F16873+Sens!F16875+Sens!F16877</f>
        <v>330.145282059882</v>
      </c>
      <c r="G16879" s="6" t="n">
        <f aca="false">Sens!G16867+Sens!G16872+Sens!G16873+Sens!G16875+Sens!G16877</f>
        <v>392.656759865851</v>
      </c>
      <c r="H16879" s="6" t="n">
        <f aca="false">Sens!H16867+Sens!H16872+Sens!H16873+Sens!H16875+Sens!H16877</f>
        <v>450.544273297982</v>
      </c>
      <c r="I16879" s="6" t="n">
        <f aca="false">Sens!I16867+Sens!I16872+Sens!I16873+Sens!I16875+Sens!I16877</f>
        <v>510.69213512593</v>
      </c>
      <c r="J16879" s="6" t="n">
        <f aca="false">Sens!J16867+Sens!J16872+Sens!J16873+Sens!J16875+Sens!J16877</f>
        <v>560.416732629406</v>
      </c>
      <c r="K16879" s="6" t="n">
        <f aca="false">Sens!K16867+Sens!K16872+Sens!K16873+Sens!K16875+Sens!K16877</f>
        <v>600.132410592692</v>
      </c>
    </row>
    <row r="16880" customFormat="false" ht="17.15" hidden="false" customHeight="false" outlineLevel="0" collapsed="false">
      <c r="A16880" s="0" t="s">
        <v>1037</v>
      </c>
      <c r="B16880" s="0" t="s">
        <v>98</v>
      </c>
      <c r="D16880" s="6" t="n">
        <f aca="false">Q!L13</f>
        <v>22.171</v>
      </c>
      <c r="E16880" s="6" t="n">
        <f aca="false">Q!M13</f>
        <v>24.835</v>
      </c>
      <c r="F16880" s="6" t="n">
        <f aca="false">Q!$I$13+(Q!M13-Q!$E$13)*(1+Sens!F16881)</f>
        <v>27.5591895660247</v>
      </c>
      <c r="G16880" s="6" t="n">
        <f aca="false">Sens!F16880*(1+Sens!G16881)</f>
        <v>30.4098563144583</v>
      </c>
      <c r="H16880" s="6" t="n">
        <f aca="false">Sens!G16880*(1+Sens!H16881)</f>
        <v>33.3011792571777</v>
      </c>
      <c r="I16880" s="6" t="n">
        <f aca="false">Sens!H16880*(1+Sens!I16881)</f>
        <v>36.189023797112</v>
      </c>
      <c r="J16880" s="6" t="n">
        <f aca="false">Sens!I16880*(1+Sens!J16881)</f>
        <v>39.0247773769199</v>
      </c>
      <c r="K16880" s="6" t="n">
        <f aca="false">Sens!J16880*(1+Sens!K16881)</f>
        <v>41.7565117933043</v>
      </c>
      <c r="L16880" s="12" t="s">
        <v>1034</v>
      </c>
    </row>
    <row r="16881" customFormat="false" ht="15" hidden="false" customHeight="false" outlineLevel="0" collapsed="false">
      <c r="A16881" s="1" t="s">
        <v>1024</v>
      </c>
      <c r="B16881" s="0" t="s">
        <v>168</v>
      </c>
      <c r="E16881" s="7" t="n">
        <f aca="false">Sens!E16880/Sens!D16880-1</f>
        <v>0.120156961796942</v>
      </c>
      <c r="F16881" s="7" t="n">
        <f aca="false">Sens!$E$16881+(glt_srch-Sens!$E$16881)*MIN(1,(Sens!F16823-base_fy)/n_conv)</f>
        <v>0.111797468164118</v>
      </c>
      <c r="G16881" s="7" t="n">
        <f aca="false">Sens!$E$16881+(glt_srch-Sens!$E$16881)*MIN(1,(Sens!G16823-base_fy)/n_conv)</f>
        <v>0.103437974531295</v>
      </c>
      <c r="H16881" s="7" t="n">
        <f aca="false">Sens!$E$16881+(glt_srch-Sens!$E$16881)*MIN(1,(Sens!H16823-base_fy)/n_conv)</f>
        <v>0.095078480898471</v>
      </c>
      <c r="I16881" s="7" t="n">
        <f aca="false">Sens!$E$16881+(glt_srch-Sens!$E$16881)*MIN(1,(Sens!I16823-base_fy)/n_conv)</f>
        <v>0.0867189872656474</v>
      </c>
      <c r="J16881" s="7" t="n">
        <f aca="false">Sens!$E$16881+(glt_srch-Sens!$E$16881)*MIN(1,(Sens!J16823-base_fy)/n_conv)</f>
        <v>0.0783594936328237</v>
      </c>
      <c r="K16881" s="7" t="n">
        <f aca="false">Sens!$E$16881+(glt_srch-Sens!$E$16881)*MIN(1,(Sens!K16823-base_fy)/n_conv)</f>
        <v>0.07</v>
      </c>
    </row>
    <row r="16882" customFormat="false" ht="17.15" hidden="false" customHeight="false" outlineLevel="0" collapsed="false">
      <c r="A16882" s="0" t="s">
        <v>1038</v>
      </c>
      <c r="B16882" s="0" t="s">
        <v>98</v>
      </c>
      <c r="D16882" s="6" t="n">
        <f aca="false">Q!L14</f>
        <v>23.455</v>
      </c>
      <c r="E16882" s="6" t="n">
        <f aca="false">Q!M14</f>
        <v>21.79</v>
      </c>
      <c r="F16882" s="6" t="n">
        <f aca="false">Q!$I$14+(Q!M14-Q!$E$14)*(1+Sens!F16883)</f>
        <v>20.7520981041711</v>
      </c>
      <c r="G16882" s="6" t="n">
        <f aca="false">Sens!F16882*(1+Sens!G16883)</f>
        <v>19.9083593495882</v>
      </c>
      <c r="H16882" s="6" t="n">
        <f aca="false">Sens!G16882*(1+Sens!H16883)</f>
        <v>19.4008256265831</v>
      </c>
      <c r="I16882" s="6" t="n">
        <f aca="false">Sens!H16882*(1+Sens!I16883)</f>
        <v>19.200434522122</v>
      </c>
      <c r="J16882" s="6" t="n">
        <f aca="false">Sens!I16882*(1+Sens!J16883)</f>
        <v>19.2932782348507</v>
      </c>
      <c r="K16882" s="6" t="n">
        <f aca="false">Sens!J16882*(1+Sens!K16883)</f>
        <v>19.6791437995477</v>
      </c>
      <c r="L16882" s="12" t="s">
        <v>1034</v>
      </c>
    </row>
    <row r="16883" customFormat="false" ht="15" hidden="false" customHeight="false" outlineLevel="0" collapsed="false">
      <c r="A16883" s="1" t="s">
        <v>1024</v>
      </c>
      <c r="B16883" s="0" t="s">
        <v>168</v>
      </c>
      <c r="E16883" s="7" t="n">
        <f aca="false">Sens!E16882/Sens!D16882-1</f>
        <v>-0.0709869963760392</v>
      </c>
      <c r="F16883" s="7" t="n">
        <f aca="false">Sens!$E$16883+(glt_xbox-Sens!$E$16883)*MIN(1,(Sens!F16823-base_fy)/n_conv)</f>
        <v>-0.0558224969800327</v>
      </c>
      <c r="G16883" s="7" t="n">
        <f aca="false">Sens!$E$16883+(glt_xbox-Sens!$E$16883)*MIN(1,(Sens!G16823-base_fy)/n_conv)</f>
        <v>-0.0406579975840262</v>
      </c>
      <c r="H16883" s="7" t="n">
        <f aca="false">Sens!$E$16883+(glt_xbox-Sens!$E$16883)*MIN(1,(Sens!H16823-base_fy)/n_conv)</f>
        <v>-0.0254934981880196</v>
      </c>
      <c r="I16883" s="7" t="n">
        <f aca="false">Sens!$E$16883+(glt_xbox-Sens!$E$16883)*MIN(1,(Sens!I16823-base_fy)/n_conv)</f>
        <v>-0.0103289987920131</v>
      </c>
      <c r="J16883" s="7" t="n">
        <f aca="false">Sens!$E$16883+(glt_xbox-Sens!$E$16883)*MIN(1,(Sens!J16823-base_fy)/n_conv)</f>
        <v>0.00483550060399347</v>
      </c>
      <c r="K16883" s="7" t="n">
        <f aca="false">Sens!$E$16883+(glt_xbox-Sens!$E$16883)*MIN(1,(Sens!K16823-base_fy)/n_conv)</f>
        <v>0.02</v>
      </c>
    </row>
    <row r="16884" customFormat="false" ht="17.15" hidden="false" customHeight="false" outlineLevel="0" collapsed="false">
      <c r="A16884" s="0" t="s">
        <v>1039</v>
      </c>
      <c r="B16884" s="0" t="s">
        <v>98</v>
      </c>
      <c r="D16884" s="6" t="n">
        <f aca="false">Q!L15</f>
        <v>17.315</v>
      </c>
      <c r="E16884" s="6" t="n">
        <f aca="false">Q!M15</f>
        <v>17.087</v>
      </c>
      <c r="F16884" s="6" t="n">
        <f aca="false">Q!$I$15+(Q!M15-Q!$E$15)*(1+Sens!F16885)</f>
        <v>15.9912273250553</v>
      </c>
      <c r="G16884" s="6" t="n">
        <f aca="false">Sens!F16884*(1+Sens!G16885)</f>
        <v>15.9574562664827</v>
      </c>
      <c r="H16884" s="6" t="n">
        <f aca="false">Sens!G16884*(1+Sens!H16885)</f>
        <v>16.0119687434196</v>
      </c>
      <c r="I16884" s="6" t="n">
        <f aca="false">Sens!H16884*(1+Sens!I16885)</f>
        <v>16.1551810001948</v>
      </c>
      <c r="J16884" s="6" t="n">
        <f aca="false">Sens!I16884*(1+Sens!J16885)</f>
        <v>16.3889793892005</v>
      </c>
      <c r="K16884" s="6" t="n">
        <f aca="false">Sens!J16884*(1+Sens!K16885)</f>
        <v>16.7167589769845</v>
      </c>
      <c r="L16884" s="12" t="s">
        <v>1034</v>
      </c>
    </row>
    <row r="16885" customFormat="false" ht="15" hidden="false" customHeight="false" outlineLevel="0" collapsed="false">
      <c r="A16885" s="1" t="s">
        <v>1024</v>
      </c>
      <c r="B16885" s="0" t="s">
        <v>168</v>
      </c>
      <c r="E16885" s="7" t="n">
        <f aca="false">Sens!E16884/Sens!D16884-1</f>
        <v>-0.0131677736066995</v>
      </c>
      <c r="F16885" s="7" t="n">
        <f aca="false">Sens!$E$16885+(glt_win-Sens!$E$16885)*MIN(1,(Sens!F16823-base_fy)/n_conv)</f>
        <v>-0.00763981133891627</v>
      </c>
      <c r="G16885" s="7" t="n">
        <f aca="false">Sens!$E$16885+(glt_win-Sens!$E$16885)*MIN(1,(Sens!G16823-base_fy)/n_conv)</f>
        <v>-0.00211184907113301</v>
      </c>
      <c r="H16885" s="7" t="n">
        <f aca="false">Sens!$E$16885+(glt_win-Sens!$E$16885)*MIN(1,(Sens!H16823-base_fy)/n_conv)</f>
        <v>0.00341611319665024</v>
      </c>
      <c r="I16885" s="7" t="n">
        <f aca="false">Sens!$E$16885+(glt_win-Sens!$E$16885)*MIN(1,(Sens!I16823-base_fy)/n_conv)</f>
        <v>0.00894407546443349</v>
      </c>
      <c r="J16885" s="7" t="n">
        <f aca="false">Sens!$E$16885+(glt_win-Sens!$E$16885)*MIN(1,(Sens!J16823-base_fy)/n_conv)</f>
        <v>0.0144720377322168</v>
      </c>
      <c r="K16885" s="7" t="n">
        <f aca="false">Sens!$E$16885+(glt_win-Sens!$E$16885)*MIN(1,(Sens!K16823-base_fy)/n_conv)</f>
        <v>0.02</v>
      </c>
    </row>
    <row r="16886" customFormat="false" ht="15" hidden="false" customHeight="false" outlineLevel="0" collapsed="false">
      <c r="A16886" s="0" t="s">
        <v>866</v>
      </c>
      <c r="B16886" s="0" t="s">
        <v>98</v>
      </c>
      <c r="D16886" s="6" t="n">
        <f aca="false">Sens!D16880+Sens!D16882+Sens!D16884</f>
        <v>62.941</v>
      </c>
      <c r="E16886" s="6" t="n">
        <f aca="false">Sens!E16880+Sens!E16882+Sens!E16884</f>
        <v>63.712</v>
      </c>
      <c r="F16886" s="6" t="n">
        <f aca="false">Sens!F16880+Sens!F16882+Sens!F16884</f>
        <v>64.3025149952511</v>
      </c>
      <c r="G16886" s="6" t="n">
        <f aca="false">Sens!G16880+Sens!G16882+Sens!G16884</f>
        <v>66.2756719305292</v>
      </c>
      <c r="H16886" s="6" t="n">
        <f aca="false">Sens!H16880+Sens!H16882+Sens!H16884</f>
        <v>68.7139736271804</v>
      </c>
      <c r="I16886" s="6" t="n">
        <f aca="false">Sens!I16880+Sens!I16882+Sens!I16884</f>
        <v>71.5446393194289</v>
      </c>
      <c r="J16886" s="6" t="n">
        <f aca="false">Sens!J16880+Sens!J16882+Sens!J16884</f>
        <v>74.707035000971</v>
      </c>
      <c r="K16886" s="6" t="n">
        <f aca="false">Sens!K16880+Sens!K16882+Sens!K16884</f>
        <v>78.1524145698365</v>
      </c>
    </row>
    <row r="16887" customFormat="false" ht="15" hidden="false" customHeight="false" outlineLevel="0" collapsed="false">
      <c r="A16887" s="1" t="s">
        <v>1040</v>
      </c>
      <c r="B16887" s="0" t="s">
        <v>98</v>
      </c>
      <c r="D16887" s="6" t="n">
        <f aca="false">Sens!D16879+Sens!D16886</f>
        <v>281.724</v>
      </c>
      <c r="E16887" s="6" t="n">
        <f aca="false">Sens!E16879+Sens!E16886</f>
        <v>331.839</v>
      </c>
      <c r="F16887" s="6" t="n">
        <f aca="false">Sens!F16879+Sens!F16886</f>
        <v>394.447797055133</v>
      </c>
      <c r="G16887" s="6" t="n">
        <f aca="false">Sens!G16879+Sens!G16886</f>
        <v>458.93243179638</v>
      </c>
      <c r="H16887" s="6" t="n">
        <f aca="false">Sens!H16879+Sens!H16886</f>
        <v>519.258246925162</v>
      </c>
      <c r="I16887" s="6" t="n">
        <f aca="false">Sens!I16879+Sens!I16886</f>
        <v>582.236774445359</v>
      </c>
      <c r="J16887" s="6" t="n">
        <f aca="false">Sens!J16879+Sens!J16886</f>
        <v>635.123767630377</v>
      </c>
      <c r="K16887" s="6" t="n">
        <f aca="false">Sens!K16879+Sens!K16886</f>
        <v>678.284825162529</v>
      </c>
    </row>
    <row r="16888" customFormat="false" ht="15" hidden="false" customHeight="false" outlineLevel="0" collapsed="false">
      <c r="A16888" s="26" t="s">
        <v>1041</v>
      </c>
      <c r="B16888" s="31" t="s">
        <v>98</v>
      </c>
      <c r="C16888" s="31"/>
      <c r="D16888" s="27" t="n">
        <f aca="false">(Sens!D16867+Sens!D16872+Sens!D16873+Sens!D16875+Sens!D16877-Sens!D16879)+(Sens!D16880+Sens!D16882+Sens!D16884-Sens!D16886)+(Sens!D16879-Q!L5)+(Sens!D16886-Q!L12)+(Sens!D16867-Q!L6)+(Sens!D16872-Q!L7)</f>
        <v>0</v>
      </c>
      <c r="E16888" s="27" t="n">
        <f aca="false">(Sens!E16867+Sens!E16872+Sens!E16873+Sens!E16875+Sens!E16877-Sens!E16879)+(Sens!E16880+Sens!E16882+Sens!E16884-Sens!E16886)+(Sens!E16879-Q!M5)+(Sens!E16886-Q!M12)+(Sens!E16867-Q!M6)+(Sens!E16872-Q!M7)</f>
        <v>0</v>
      </c>
      <c r="F16888" s="27" t="n">
        <f aca="false">(Sens!F16867+Sens!F16872+Sens!F16873+Sens!F16875+Sens!F16877-Sens!F16879)+(Sens!F16880+Sens!F16882+Sens!F16884-Sens!F16886)</f>
        <v>0</v>
      </c>
      <c r="G16888" s="27" t="n">
        <f aca="false">(Sens!G16867+Sens!G16872+Sens!G16873+Sens!G16875+Sens!G16877-Sens!G16879)+(Sens!G16880+Sens!G16882+Sens!G16884-Sens!G16886)</f>
        <v>0</v>
      </c>
      <c r="H16888" s="27" t="n">
        <f aca="false">(Sens!H16867+Sens!H16872+Sens!H16873+Sens!H16875+Sens!H16877-Sens!H16879)+(Sens!H16880+Sens!H16882+Sens!H16884-Sens!H16886)</f>
        <v>0</v>
      </c>
      <c r="I16888" s="27" t="n">
        <f aca="false">(Sens!I16867+Sens!I16872+Sens!I16873+Sens!I16875+Sens!I16877-Sens!I16879)+(Sens!I16880+Sens!I16882+Sens!I16884-Sens!I16886)</f>
        <v>0</v>
      </c>
      <c r="J16888" s="27" t="n">
        <f aca="false">(Sens!J16867+Sens!J16872+Sens!J16873+Sens!J16875+Sens!J16877-Sens!J16879)+(Sens!J16880+Sens!J16882+Sens!J16884-Sens!J16886)</f>
        <v>0</v>
      </c>
      <c r="K16888" s="27" t="n">
        <f aca="false">(Sens!K16867+Sens!K16872+Sens!K16873+Sens!K16875+Sens!K16877-Sens!K16879)+(Sens!K16880+Sens!K16882+Sens!K16884-Sens!K16886)</f>
        <v>0</v>
      </c>
    </row>
    <row r="16889" customFormat="false" ht="17.15" hidden="false" customHeight="false" outlineLevel="0" collapsed="false">
      <c r="A16889" s="3" t="s">
        <v>1896</v>
      </c>
    </row>
    <row r="16890" customFormat="false" ht="15" hidden="false" customHeight="false" outlineLevel="0" collapsed="false">
      <c r="A16890" s="4" t="s">
        <v>43</v>
      </c>
      <c r="B16890" s="4" t="s">
        <v>65</v>
      </c>
      <c r="C16890" s="23" t="s">
        <v>938</v>
      </c>
      <c r="D16890" s="23" t="s">
        <v>939</v>
      </c>
      <c r="E16890" s="23" t="s">
        <v>940</v>
      </c>
      <c r="F16890" s="23" t="s">
        <v>941</v>
      </c>
      <c r="G16890" s="23" t="s">
        <v>942</v>
      </c>
      <c r="H16890" s="23" t="s">
        <v>943</v>
      </c>
      <c r="I16890" s="23" t="s">
        <v>944</v>
      </c>
      <c r="J16890" s="23" t="s">
        <v>945</v>
      </c>
      <c r="K16890" s="23" t="s">
        <v>946</v>
      </c>
      <c r="L16890" s="4" t="s">
        <v>47</v>
      </c>
    </row>
    <row r="16891" customFormat="false" ht="15" hidden="false" customHeight="false" outlineLevel="0" collapsed="false">
      <c r="A16891" s="0" t="s">
        <v>1025</v>
      </c>
      <c r="B16891" s="0" t="s">
        <v>98</v>
      </c>
      <c r="D16891" s="6" t="n">
        <f aca="false">Sens!D16867</f>
        <v>72.61</v>
      </c>
      <c r="E16891" s="6" t="n">
        <f aca="false">Sens!E16867</f>
        <v>101.938</v>
      </c>
      <c r="F16891" s="6" t="n">
        <f aca="false">Sens!F16867</f>
        <v>143.251883553698</v>
      </c>
      <c r="G16891" s="6" t="n">
        <f aca="false">Sens!G16867</f>
        <v>186.322520879442</v>
      </c>
      <c r="H16891" s="6" t="n">
        <f aca="false">Sens!H16867</f>
        <v>224.74279426379</v>
      </c>
      <c r="I16891" s="6" t="n">
        <f aca="false">Sens!I16867</f>
        <v>266.443497823359</v>
      </c>
      <c r="J16891" s="6" t="n">
        <f aca="false">Sens!J16867</f>
        <v>299.06102493502</v>
      </c>
      <c r="K16891" s="6" t="n">
        <f aca="false">Sens!K16867</f>
        <v>322.592740225023</v>
      </c>
    </row>
    <row r="16892" customFormat="false" ht="17.15" hidden="false" customHeight="false" outlineLevel="0" collapsed="false">
      <c r="A16892" s="0" t="s">
        <v>1021</v>
      </c>
      <c r="B16892" s="0" t="s">
        <v>98</v>
      </c>
      <c r="D16892" s="6" t="n">
        <f aca="false">Sens!D16864</f>
        <v>12.9359794422418</v>
      </c>
      <c r="E16892" s="6" t="n">
        <f aca="false">Sens!E16864</f>
        <v>27.8095064661409</v>
      </c>
      <c r="F16892" s="6" t="n">
        <f aca="false">Sens!F16864</f>
        <v>50.9819294352312</v>
      </c>
      <c r="G16892" s="6" t="n">
        <f aca="false">Sens!G16864</f>
        <v>76.6920436014933</v>
      </c>
      <c r="H16892" s="6" t="n">
        <f aca="false">Sens!H16864</f>
        <v>97.4495379418341</v>
      </c>
      <c r="I16892" s="6" t="n">
        <f aca="false">Sens!I16864</f>
        <v>122.083445553868</v>
      </c>
      <c r="J16892" s="6" t="n">
        <f aca="false">Sens!J16864</f>
        <v>139.249060444804</v>
      </c>
      <c r="K16892" s="6" t="n">
        <f aca="false">Sens!K16864</f>
        <v>149.995818575589</v>
      </c>
    </row>
    <row r="16893" customFormat="false" ht="17.15" hidden="false" customHeight="false" outlineLevel="0" collapsed="false">
      <c r="A16893" s="0" t="s">
        <v>1052</v>
      </c>
      <c r="B16893" s="0" t="s">
        <v>98</v>
      </c>
      <c r="D16893" s="6" t="n">
        <f aca="false">Sens!D16865</f>
        <v>59.6740205577583</v>
      </c>
      <c r="E16893" s="6" t="n">
        <f aca="false">Sens!E16865</f>
        <v>74.1284935338591</v>
      </c>
      <c r="F16893" s="6" t="n">
        <f aca="false">Sens!F16865</f>
        <v>92.2699541184664</v>
      </c>
      <c r="G16893" s="6" t="n">
        <f aca="false">Sens!G16865</f>
        <v>109.630477277949</v>
      </c>
      <c r="H16893" s="6" t="n">
        <f aca="false">Sens!H16865</f>
        <v>127.293256321956</v>
      </c>
      <c r="I16893" s="6" t="n">
        <f aca="false">Sens!I16865</f>
        <v>144.360052269491</v>
      </c>
      <c r="J16893" s="6" t="n">
        <f aca="false">Sens!J16865</f>
        <v>159.811964490216</v>
      </c>
      <c r="K16893" s="6" t="n">
        <f aca="false">Sens!K16865</f>
        <v>172.596921649434</v>
      </c>
    </row>
    <row r="16894" customFormat="false" ht="15" hidden="false" customHeight="false" outlineLevel="0" collapsed="false">
      <c r="A16894" s="0" t="s">
        <v>1032</v>
      </c>
      <c r="B16894" s="0" t="s">
        <v>98</v>
      </c>
      <c r="D16894" s="6" t="n">
        <f aca="false">Sens!D16872</f>
        <v>84.605</v>
      </c>
      <c r="E16894" s="6" t="n">
        <f aca="false">Sens!E16872</f>
        <v>100.299</v>
      </c>
      <c r="F16894" s="6" t="n">
        <f aca="false">Sens!F16872</f>
        <v>117.438354189776</v>
      </c>
      <c r="G16894" s="6" t="n">
        <f aca="false">Sens!G16872</f>
        <v>132.595360443801</v>
      </c>
      <c r="H16894" s="6" t="n">
        <f aca="false">Sens!H16872</f>
        <v>147.833811964563</v>
      </c>
      <c r="I16894" s="6" t="n">
        <f aca="false">Sens!I16872</f>
        <v>162.145665319381</v>
      </c>
      <c r="J16894" s="6" t="n">
        <f aca="false">Sens!J16872</f>
        <v>175.249327755573</v>
      </c>
      <c r="K16894" s="6" t="n">
        <f aca="false">Sens!K16872</f>
        <v>187.599280698463</v>
      </c>
    </row>
    <row r="16895" customFormat="false" ht="17.15" hidden="false" customHeight="false" outlineLevel="0" collapsed="false">
      <c r="A16895" s="0" t="s">
        <v>1053</v>
      </c>
      <c r="B16895" s="0" t="s">
        <v>98</v>
      </c>
      <c r="D16895" s="6" t="n">
        <f aca="false">Sens!D16870</f>
        <v>83.705</v>
      </c>
      <c r="E16895" s="6" t="n">
        <f aca="false">Sens!E16870</f>
        <v>95.049</v>
      </c>
      <c r="F16895" s="6" t="n">
        <f aca="false">Sens!F16870</f>
        <v>106.938354189776</v>
      </c>
      <c r="G16895" s="6" t="n">
        <f aca="false">Sens!G16870</f>
        <v>119.095360443801</v>
      </c>
      <c r="H16895" s="6" t="n">
        <f aca="false">Sens!H16870</f>
        <v>131.333811964563</v>
      </c>
      <c r="I16895" s="6" t="n">
        <f aca="false">Sens!I16870</f>
        <v>143.395665319381</v>
      </c>
      <c r="J16895" s="6" t="n">
        <f aca="false">Sens!J16870</f>
        <v>154.999327755573</v>
      </c>
      <c r="K16895" s="6" t="n">
        <f aca="false">Sens!K16870</f>
        <v>165.849280698463</v>
      </c>
    </row>
    <row r="16896" customFormat="false" ht="17.15" hidden="false" customHeight="false" outlineLevel="0" collapsed="false">
      <c r="A16896" s="0" t="s">
        <v>1054</v>
      </c>
      <c r="B16896" s="0" t="s">
        <v>98</v>
      </c>
      <c r="D16896" s="6" t="n">
        <f aca="false">Sens!D16869</f>
        <v>0.9</v>
      </c>
      <c r="E16896" s="6" t="n">
        <f aca="false">Sens!E16869</f>
        <v>5.25</v>
      </c>
      <c r="F16896" s="6" t="n">
        <f aca="false">Sens!F16869</f>
        <v>10.5</v>
      </c>
      <c r="G16896" s="6" t="n">
        <f aca="false">Sens!G16869</f>
        <v>13.5</v>
      </c>
      <c r="H16896" s="6" t="n">
        <f aca="false">Sens!H16869</f>
        <v>16.5</v>
      </c>
      <c r="I16896" s="6" t="n">
        <f aca="false">Sens!I16869</f>
        <v>18.75</v>
      </c>
      <c r="J16896" s="6" t="n">
        <f aca="false">Sens!J16869</f>
        <v>20.25</v>
      </c>
      <c r="K16896" s="6" t="n">
        <f aca="false">Sens!K16869</f>
        <v>21.75</v>
      </c>
    </row>
    <row r="16897" customFormat="false" ht="15" hidden="false" customHeight="false" outlineLevel="0" collapsed="false">
      <c r="A16897" s="0" t="s">
        <v>1033</v>
      </c>
      <c r="B16897" s="0" t="s">
        <v>98</v>
      </c>
      <c r="D16897" s="6" t="n">
        <f aca="false">Sens!D16873</f>
        <v>35.391</v>
      </c>
      <c r="E16897" s="6" t="n">
        <f aca="false">Sens!E16873</f>
        <v>37.285</v>
      </c>
      <c r="F16897" s="6" t="n">
        <f aca="false">Sens!F16873</f>
        <v>38.3851437782675</v>
      </c>
      <c r="G16897" s="6" t="n">
        <f aca="false">Sens!G16873</f>
        <v>40.0105353288615</v>
      </c>
      <c r="H16897" s="6" t="n">
        <f aca="false">Sens!H16873</f>
        <v>41.4812512033683</v>
      </c>
      <c r="I16897" s="6" t="n">
        <f aca="false">Sens!I16873</f>
        <v>42.7743107216329</v>
      </c>
      <c r="J16897" s="6" t="n">
        <f aca="false">Sens!J16873</f>
        <v>43.8687373064601</v>
      </c>
      <c r="K16897" s="6" t="n">
        <f aca="false">Sens!K16873</f>
        <v>44.7461120525893</v>
      </c>
    </row>
    <row r="16898" customFormat="false" ht="15" hidden="false" customHeight="false" outlineLevel="0" collapsed="false">
      <c r="A16898" s="0" t="s">
        <v>1035</v>
      </c>
      <c r="B16898" s="0" t="s">
        <v>98</v>
      </c>
      <c r="D16898" s="6" t="n">
        <f aca="false">Sens!D16875</f>
        <v>18.417</v>
      </c>
      <c r="E16898" s="6" t="n">
        <f aca="false">Sens!E16875</f>
        <v>20.345</v>
      </c>
      <c r="F16898" s="6" t="n">
        <f aca="false">Sens!F16875</f>
        <v>22.3161797133988</v>
      </c>
      <c r="G16898" s="6" t="n">
        <f aca="false">Sens!G16875</f>
        <v>24.3943499673233</v>
      </c>
      <c r="H16898" s="6" t="n">
        <f aca="false">Sens!H16875</f>
        <v>26.5250243109019</v>
      </c>
      <c r="I16898" s="6" t="n">
        <f aca="false">Sens!I16875</f>
        <v>28.6884573538181</v>
      </c>
      <c r="J16898" s="6" t="n">
        <f aca="false">Sens!J16875</f>
        <v>30.8624968052127</v>
      </c>
      <c r="K16898" s="6" t="n">
        <f aca="false">Sens!K16875</f>
        <v>33.0228715815776</v>
      </c>
    </row>
    <row r="16899" customFormat="false" ht="15" hidden="false" customHeight="false" outlineLevel="0" collapsed="false">
      <c r="A16899" s="0" t="s">
        <v>1036</v>
      </c>
      <c r="B16899" s="0" t="s">
        <v>98</v>
      </c>
      <c r="D16899" s="6" t="n">
        <f aca="false">Sens!D16877</f>
        <v>7.76</v>
      </c>
      <c r="E16899" s="6" t="n">
        <f aca="false">Sens!E16877</f>
        <v>8.26</v>
      </c>
      <c r="F16899" s="6" t="n">
        <f aca="false">Sens!F16877</f>
        <v>8.75372082474227</v>
      </c>
      <c r="G16899" s="6" t="n">
        <f aca="false">Sens!G16877</f>
        <v>9.33399324642364</v>
      </c>
      <c r="H16899" s="6" t="n">
        <f aca="false">Sens!H16877</f>
        <v>9.96139155535851</v>
      </c>
      <c r="I16899" s="6" t="n">
        <f aca="false">Sens!I16877</f>
        <v>10.6402039077391</v>
      </c>
      <c r="J16899" s="6" t="n">
        <f aca="false">Sens!J16877</f>
        <v>11.3751458271397</v>
      </c>
      <c r="K16899" s="6" t="n">
        <f aca="false">Sens!K16877</f>
        <v>12.1714060350394</v>
      </c>
    </row>
    <row r="16900" customFormat="false" ht="15" hidden="false" customHeight="false" outlineLevel="0" collapsed="false">
      <c r="A16900" s="0" t="s">
        <v>852</v>
      </c>
      <c r="B16900" s="0" t="s">
        <v>98</v>
      </c>
      <c r="D16900" s="6" t="n">
        <f aca="false">Sens!D16879</f>
        <v>218.783</v>
      </c>
      <c r="E16900" s="6" t="n">
        <f aca="false">Sens!E16879</f>
        <v>268.127</v>
      </c>
      <c r="F16900" s="6" t="n">
        <f aca="false">Sens!F16879</f>
        <v>330.145282059882</v>
      </c>
      <c r="G16900" s="6" t="n">
        <f aca="false">Sens!G16879</f>
        <v>392.656759865851</v>
      </c>
      <c r="H16900" s="6" t="n">
        <f aca="false">Sens!H16879</f>
        <v>450.544273297982</v>
      </c>
      <c r="I16900" s="6" t="n">
        <f aca="false">Sens!I16879</f>
        <v>510.69213512593</v>
      </c>
      <c r="J16900" s="6" t="n">
        <f aca="false">Sens!J16879</f>
        <v>560.416732629406</v>
      </c>
      <c r="K16900" s="6" t="n">
        <f aca="false">Sens!K16879</f>
        <v>600.132410592692</v>
      </c>
    </row>
    <row r="16901" customFormat="false" ht="15" hidden="false" customHeight="false" outlineLevel="0" collapsed="false">
      <c r="A16901" s="0" t="s">
        <v>1037</v>
      </c>
      <c r="B16901" s="0" t="s">
        <v>98</v>
      </c>
      <c r="D16901" s="6" t="n">
        <f aca="false">Sens!D16880</f>
        <v>22.171</v>
      </c>
      <c r="E16901" s="6" t="n">
        <f aca="false">Sens!E16880</f>
        <v>24.835</v>
      </c>
      <c r="F16901" s="6" t="n">
        <f aca="false">Sens!F16880</f>
        <v>27.5591895660247</v>
      </c>
      <c r="G16901" s="6" t="n">
        <f aca="false">Sens!G16880</f>
        <v>30.4098563144583</v>
      </c>
      <c r="H16901" s="6" t="n">
        <f aca="false">Sens!H16880</f>
        <v>33.3011792571777</v>
      </c>
      <c r="I16901" s="6" t="n">
        <f aca="false">Sens!I16880</f>
        <v>36.189023797112</v>
      </c>
      <c r="J16901" s="6" t="n">
        <f aca="false">Sens!J16880</f>
        <v>39.0247773769199</v>
      </c>
      <c r="K16901" s="6" t="n">
        <f aca="false">Sens!K16880</f>
        <v>41.7565117933043</v>
      </c>
    </row>
    <row r="16902" customFormat="false" ht="15" hidden="false" customHeight="false" outlineLevel="0" collapsed="false">
      <c r="A16902" s="0" t="s">
        <v>1038</v>
      </c>
      <c r="B16902" s="0" t="s">
        <v>98</v>
      </c>
      <c r="D16902" s="6" t="n">
        <f aca="false">Sens!D16882</f>
        <v>23.455</v>
      </c>
      <c r="E16902" s="6" t="n">
        <f aca="false">Sens!E16882</f>
        <v>21.79</v>
      </c>
      <c r="F16902" s="6" t="n">
        <f aca="false">Sens!F16882</f>
        <v>20.7520981041711</v>
      </c>
      <c r="G16902" s="6" t="n">
        <f aca="false">Sens!G16882</f>
        <v>19.9083593495882</v>
      </c>
      <c r="H16902" s="6" t="n">
        <f aca="false">Sens!H16882</f>
        <v>19.4008256265831</v>
      </c>
      <c r="I16902" s="6" t="n">
        <f aca="false">Sens!I16882</f>
        <v>19.200434522122</v>
      </c>
      <c r="J16902" s="6" t="n">
        <f aca="false">Sens!J16882</f>
        <v>19.2932782348507</v>
      </c>
      <c r="K16902" s="6" t="n">
        <f aca="false">Sens!K16882</f>
        <v>19.6791437995477</v>
      </c>
    </row>
    <row r="16903" customFormat="false" ht="15" hidden="false" customHeight="false" outlineLevel="0" collapsed="false">
      <c r="A16903" s="0" t="s">
        <v>1039</v>
      </c>
      <c r="B16903" s="0" t="s">
        <v>98</v>
      </c>
      <c r="D16903" s="6" t="n">
        <f aca="false">Sens!D16884</f>
        <v>17.315</v>
      </c>
      <c r="E16903" s="6" t="n">
        <f aca="false">Sens!E16884</f>
        <v>17.087</v>
      </c>
      <c r="F16903" s="6" t="n">
        <f aca="false">Sens!F16884</f>
        <v>15.9912273250553</v>
      </c>
      <c r="G16903" s="6" t="n">
        <f aca="false">Sens!G16884</f>
        <v>15.9574562664827</v>
      </c>
      <c r="H16903" s="6" t="n">
        <f aca="false">Sens!H16884</f>
        <v>16.0119687434196</v>
      </c>
      <c r="I16903" s="6" t="n">
        <f aca="false">Sens!I16884</f>
        <v>16.1551810001948</v>
      </c>
      <c r="J16903" s="6" t="n">
        <f aca="false">Sens!J16884</f>
        <v>16.3889793892005</v>
      </c>
      <c r="K16903" s="6" t="n">
        <f aca="false">Sens!K16884</f>
        <v>16.7167589769845</v>
      </c>
    </row>
    <row r="16904" customFormat="false" ht="15" hidden="false" customHeight="false" outlineLevel="0" collapsed="false">
      <c r="A16904" s="0" t="s">
        <v>866</v>
      </c>
      <c r="B16904" s="0" t="s">
        <v>98</v>
      </c>
      <c r="D16904" s="6" t="n">
        <f aca="false">Sens!D16886</f>
        <v>62.941</v>
      </c>
      <c r="E16904" s="6" t="n">
        <f aca="false">Sens!E16886</f>
        <v>63.712</v>
      </c>
      <c r="F16904" s="6" t="n">
        <f aca="false">Sens!F16886</f>
        <v>64.3025149952511</v>
      </c>
      <c r="G16904" s="6" t="n">
        <f aca="false">Sens!G16886</f>
        <v>66.2756719305292</v>
      </c>
      <c r="H16904" s="6" t="n">
        <f aca="false">Sens!H16886</f>
        <v>68.7139736271804</v>
      </c>
      <c r="I16904" s="6" t="n">
        <f aca="false">Sens!I16886</f>
        <v>71.5446393194289</v>
      </c>
      <c r="J16904" s="6" t="n">
        <f aca="false">Sens!J16886</f>
        <v>74.707035000971</v>
      </c>
      <c r="K16904" s="6" t="n">
        <f aca="false">Sens!K16886</f>
        <v>78.1524145698365</v>
      </c>
    </row>
    <row r="16905" customFormat="false" ht="15" hidden="false" customHeight="false" outlineLevel="0" collapsed="false">
      <c r="A16905" s="1" t="s">
        <v>1055</v>
      </c>
      <c r="B16905" s="0" t="s">
        <v>98</v>
      </c>
      <c r="D16905" s="6" t="n">
        <f aca="false">Sens!D16887</f>
        <v>281.724</v>
      </c>
      <c r="E16905" s="6" t="n">
        <f aca="false">Sens!E16887</f>
        <v>331.839</v>
      </c>
      <c r="F16905" s="6" t="n">
        <f aca="false">Sens!F16887</f>
        <v>394.447797055133</v>
      </c>
      <c r="G16905" s="6" t="n">
        <f aca="false">Sens!G16887</f>
        <v>458.93243179638</v>
      </c>
      <c r="H16905" s="6" t="n">
        <f aca="false">Sens!H16887</f>
        <v>519.258246925162</v>
      </c>
      <c r="I16905" s="6" t="n">
        <f aca="false">Sens!I16887</f>
        <v>582.236774445359</v>
      </c>
      <c r="J16905" s="6" t="n">
        <f aca="false">Sens!J16887</f>
        <v>635.123767630377</v>
      </c>
      <c r="K16905" s="6" t="n">
        <f aca="false">Sens!K16887</f>
        <v>678.284825162529</v>
      </c>
    </row>
    <row r="16906" customFormat="false" ht="15" hidden="false" customHeight="false" outlineLevel="0" collapsed="false">
      <c r="A16906" s="1" t="s">
        <v>1056</v>
      </c>
      <c r="B16906" s="0" t="s">
        <v>168</v>
      </c>
      <c r="E16906" s="7" t="n">
        <f aca="false">Sens!E16905/Sens!D16905-1</f>
        <v>0.177886867998467</v>
      </c>
      <c r="F16906" s="7" t="n">
        <f aca="false">Sens!F16905/Sens!E16905-1</f>
        <v>0.188672208676897</v>
      </c>
      <c r="G16906" s="7" t="n">
        <f aca="false">Sens!G16905/Sens!F16905-1</f>
        <v>0.16348078306604</v>
      </c>
      <c r="H16906" s="7" t="n">
        <f aca="false">Sens!H16905/Sens!G16905-1</f>
        <v>0.131448141271366</v>
      </c>
      <c r="I16906" s="7" t="n">
        <f aca="false">Sens!I16905/Sens!H16905-1</f>
        <v>0.121285560495438</v>
      </c>
      <c r="J16906" s="7" t="n">
        <f aca="false">Sens!J16905/Sens!I16905-1</f>
        <v>0.0908341683422489</v>
      </c>
      <c r="K16906" s="7" t="n">
        <f aca="false">Sens!K16905/Sens!J16905-1</f>
        <v>0.0679569238814417</v>
      </c>
    </row>
    <row r="16907" customFormat="false" ht="17.15" hidden="false" customHeight="false" outlineLevel="0" collapsed="false">
      <c r="A16907" s="26" t="s">
        <v>1057</v>
      </c>
      <c r="B16907" s="31" t="s">
        <v>98</v>
      </c>
      <c r="C16907" s="31"/>
      <c r="D16907" s="27" t="n">
        <f aca="false">(Sens!D16900+Sens!D16904-Sens!D16905)+(Sens!D16892+Sens!D16893-Sens!D16891)+(Sens!D16895+Sens!D16896-Sens!D16894)+(Sens!D16905-Q!L18)</f>
        <v>0</v>
      </c>
      <c r="E16907" s="27" t="n">
        <f aca="false">(Sens!E16900+Sens!E16904-Sens!E16905)+(Sens!E16892+Sens!E16893-Sens!E16891)+(Sens!E16895+Sens!E16896-Sens!E16894)+(Sens!E16905-Q!M18)</f>
        <v>0</v>
      </c>
      <c r="F16907" s="27" t="n">
        <f aca="false">(Sens!F16900+Sens!F16904-Sens!F16905)+(Sens!F16892+Sens!F16893-Sens!F16891)+(Sens!F16895+Sens!F16896-Sens!F16894)</f>
        <v>0</v>
      </c>
      <c r="G16907" s="27" t="n">
        <f aca="false">(Sens!G16900+Sens!G16904-Sens!G16905)+(Sens!G16892+Sens!G16893-Sens!G16891)+(Sens!G16895+Sens!G16896-Sens!G16894)</f>
        <v>0</v>
      </c>
      <c r="H16907" s="27" t="n">
        <f aca="false">(Sens!H16900+Sens!H16904-Sens!H16905)+(Sens!H16892+Sens!H16893-Sens!H16891)+(Sens!H16895+Sens!H16896-Sens!H16894)</f>
        <v>0</v>
      </c>
      <c r="I16907" s="27" t="n">
        <f aca="false">(Sens!I16900+Sens!I16904-Sens!I16905)+(Sens!I16892+Sens!I16893-Sens!I16891)+(Sens!I16895+Sens!I16896-Sens!I16894)</f>
        <v>0</v>
      </c>
      <c r="J16907" s="27" t="n">
        <f aca="false">(Sens!J16900+Sens!J16904-Sens!J16905)+(Sens!J16892+Sens!J16893-Sens!J16891)+(Sens!J16895+Sens!J16896-Sens!J16894)</f>
        <v>0</v>
      </c>
      <c r="K16907" s="27" t="n">
        <f aca="false">(Sens!K16900+Sens!K16904-Sens!K16905)+(Sens!K16892+Sens!K16893-Sens!K16891)+(Sens!K16895+Sens!K16896-Sens!K16894)</f>
        <v>0</v>
      </c>
    </row>
    <row r="16908" customFormat="false" ht="17.15" hidden="false" customHeight="false" outlineLevel="0" collapsed="false">
      <c r="A16908" s="0" t="s">
        <v>1058</v>
      </c>
      <c r="B16908" s="0" t="s">
        <v>168</v>
      </c>
      <c r="E16908" s="7" t="n">
        <f aca="false">(Q!M21+Sens!E16844+Sens!E16845+Sens!E16846+Sens!E16860-Sens!E16842)/(Q!M5-Sens!E16842)</f>
        <v>0.570957350878296</v>
      </c>
      <c r="F16908" s="7" t="n">
        <f aca="false">Sens!$E$16908+dm_seg</f>
        <v>0.570957350878296</v>
      </c>
      <c r="G16908" s="7" t="n">
        <f aca="false">Sens!$E$16908+dm_seg</f>
        <v>0.570957350878296</v>
      </c>
      <c r="H16908" s="7" t="n">
        <f aca="false">Sens!$E$16908+dm_seg</f>
        <v>0.570957350878296</v>
      </c>
      <c r="I16908" s="7" t="n">
        <f aca="false">Sens!$E$16908+dm_seg</f>
        <v>0.570957350878296</v>
      </c>
      <c r="J16908" s="7" t="n">
        <f aca="false">Sens!$E$16908+dm_seg</f>
        <v>0.570957350878296</v>
      </c>
      <c r="K16908" s="7" t="n">
        <f aca="false">Sens!$E$16908+dm_seg</f>
        <v>0.570957350878296</v>
      </c>
      <c r="L16908" s="12" t="s">
        <v>1059</v>
      </c>
    </row>
    <row r="16909" customFormat="false" ht="17.15" hidden="false" customHeight="false" outlineLevel="0" collapsed="false">
      <c r="A16909" s="0" t="s">
        <v>880</v>
      </c>
      <c r="B16909" s="0" t="s">
        <v>98</v>
      </c>
      <c r="D16909" s="6" t="n">
        <f aca="false">Q!L21</f>
        <v>110.814</v>
      </c>
      <c r="E16909" s="6" t="n">
        <f aca="false">Q!M21</f>
        <v>136.365</v>
      </c>
      <c r="F16909" s="6" t="n">
        <f aca="false">Q!$I$21+(Sens!F16908*(Sens!F16879-Sens!F16842)+Sens!F16842-(Sens!F16844+Sens!F16845+Sens!F16846)-Sens!F16860-Sens!F16943)*(Sens!F16879-Q!$I$5)/Sens!F16879</f>
        <v>158.110234156687</v>
      </c>
      <c r="G16909" s="6" t="n">
        <f aca="false">(Sens!G16908*(Sens!G16879-Sens!G16842)+Sens!G16842-(Sens!G16844+Sens!G16845+Sens!G16846)-Sens!G16860-Sens!G16943)</f>
        <v>161.288737768095</v>
      </c>
      <c r="H16909" s="6" t="n">
        <f aca="false">(Sens!H16908*(Sens!H16879-Sens!H16842)+Sens!H16842-(Sens!H16844+Sens!H16845+Sens!H16846)-Sens!H16860-Sens!H16943)</f>
        <v>162.750449226018</v>
      </c>
      <c r="I16909" s="6" t="n">
        <f aca="false">(Sens!I16908*(Sens!I16879-Sens!I16842)+Sens!I16842-(Sens!I16844+Sens!I16845+Sens!I16846)-Sens!I16860-Sens!I16943)</f>
        <v>172.031140185604</v>
      </c>
      <c r="J16909" s="6" t="n">
        <f aca="false">(Sens!J16908*(Sens!J16879-Sens!J16842)+Sens!J16842-(Sens!J16844+Sens!J16845+Sens!J16846)-Sens!J16860-Sens!J16943)</f>
        <v>182.855335729531</v>
      </c>
      <c r="K16909" s="6" t="n">
        <f aca="false">(Sens!K16908*(Sens!K16879-Sens!K16842)+Sens!K16842-(Sens!K16844+Sens!K16845+Sens!K16846)-Sens!K16860-Sens!K16943)</f>
        <v>195.088404864353</v>
      </c>
      <c r="L16909" s="1" t="s">
        <v>1060</v>
      </c>
    </row>
    <row r="16910" customFormat="false" ht="17.15" hidden="false" customHeight="false" outlineLevel="0" collapsed="false">
      <c r="A16910" s="0" t="s">
        <v>1061</v>
      </c>
      <c r="B16910" s="0" t="s">
        <v>168</v>
      </c>
      <c r="E16910" s="7" t="n">
        <f aca="false">Q!M22/Q!M12</f>
        <v>0.296207935710698</v>
      </c>
      <c r="F16910" s="7" t="n">
        <f aca="false">Sens!$E$16910+dm_seg</f>
        <v>0.296207935710698</v>
      </c>
      <c r="G16910" s="7" t="n">
        <f aca="false">Sens!$E$16910+dm_seg</f>
        <v>0.296207935710698</v>
      </c>
      <c r="H16910" s="7" t="n">
        <f aca="false">Sens!$E$16910+dm_seg</f>
        <v>0.296207935710698</v>
      </c>
      <c r="I16910" s="7" t="n">
        <f aca="false">Sens!$E$16910+dm_seg</f>
        <v>0.296207935710698</v>
      </c>
      <c r="J16910" s="7" t="n">
        <f aca="false">Sens!$E$16910+dm_seg</f>
        <v>0.296207935710698</v>
      </c>
      <c r="K16910" s="7" t="n">
        <f aca="false">Sens!$E$16910+dm_seg</f>
        <v>0.296207935710698</v>
      </c>
      <c r="L16910" s="12" t="s">
        <v>1062</v>
      </c>
    </row>
    <row r="16911" customFormat="false" ht="17.15" hidden="false" customHeight="false" outlineLevel="0" collapsed="false">
      <c r="A16911" s="0" t="s">
        <v>882</v>
      </c>
      <c r="B16911" s="0" t="s">
        <v>98</v>
      </c>
      <c r="D16911" s="6" t="n">
        <f aca="false">Q!L22</f>
        <v>17.714</v>
      </c>
      <c r="E16911" s="6" t="n">
        <f aca="false">Q!M22</f>
        <v>18.872</v>
      </c>
      <c r="F16911" s="6" t="n">
        <f aca="false">Q!$I$22+(Sens!F16886-Q!$I$12)*Sens!F16910</f>
        <v>19.8174315512051</v>
      </c>
      <c r="G16911" s="6" t="n">
        <f aca="false">Sens!G16886*Sens!G16910</f>
        <v>19.6313799703815</v>
      </c>
      <c r="H16911" s="6" t="n">
        <f aca="false">Sens!H16886*Sens!H16910</f>
        <v>20.3536242825865</v>
      </c>
      <c r="I16911" s="6" t="n">
        <f aca="false">Sens!I16886*Sens!I16910</f>
        <v>21.1920899239745</v>
      </c>
      <c r="J16911" s="6" t="n">
        <f aca="false">Sens!J16886*Sens!J16910</f>
        <v>22.1288166207045</v>
      </c>
      <c r="K16911" s="6" t="n">
        <f aca="false">Sens!K16886*Sens!K16910</f>
        <v>23.1493653905379</v>
      </c>
      <c r="L16911" s="12" t="s">
        <v>1063</v>
      </c>
    </row>
    <row r="16912" customFormat="false" ht="15" hidden="false" customHeight="false" outlineLevel="0" collapsed="false">
      <c r="A16912" s="1" t="s">
        <v>1064</v>
      </c>
      <c r="B16912" s="0" t="s">
        <v>98</v>
      </c>
      <c r="D16912" s="6" t="n">
        <f aca="false">Sens!D16909+Sens!D16911</f>
        <v>128.528</v>
      </c>
      <c r="E16912" s="6" t="n">
        <f aca="false">Sens!E16909+Sens!E16911</f>
        <v>155.237</v>
      </c>
      <c r="F16912" s="6" t="n">
        <f aca="false">Sens!F16909+Sens!F16911</f>
        <v>177.927665707892</v>
      </c>
      <c r="G16912" s="6" t="n">
        <f aca="false">Sens!G16909+Sens!G16911</f>
        <v>180.920117738477</v>
      </c>
      <c r="H16912" s="6" t="n">
        <f aca="false">Sens!H16909+Sens!H16911</f>
        <v>183.104073508605</v>
      </c>
      <c r="I16912" s="6" t="n">
        <f aca="false">Sens!I16909+Sens!I16911</f>
        <v>193.223230109579</v>
      </c>
      <c r="J16912" s="6" t="n">
        <f aca="false">Sens!J16909+Sens!J16911</f>
        <v>204.984152350235</v>
      </c>
      <c r="K16912" s="6" t="n">
        <f aca="false">Sens!K16909+Sens!K16911</f>
        <v>218.237770254891</v>
      </c>
    </row>
    <row r="16913" customFormat="false" ht="15" hidden="false" customHeight="false" outlineLevel="0" collapsed="false">
      <c r="A16913" s="26" t="s">
        <v>1065</v>
      </c>
      <c r="B16913" s="31" t="s">
        <v>98</v>
      </c>
      <c r="C16913" s="31"/>
      <c r="D16913" s="27" t="n">
        <f aca="false">Sens!D16912-Q!L23</f>
        <v>0</v>
      </c>
      <c r="E16913" s="27" t="n">
        <f aca="false">Sens!E16912-Q!M23</f>
        <v>0</v>
      </c>
      <c r="F16913" s="31"/>
      <c r="G16913" s="31"/>
      <c r="H16913" s="31"/>
      <c r="I16913" s="31"/>
      <c r="J16913" s="31"/>
      <c r="K16913" s="31"/>
    </row>
    <row r="16914" customFormat="false" ht="15" hidden="false" customHeight="false" outlineLevel="0" collapsed="false">
      <c r="A16914" s="1" t="s">
        <v>1066</v>
      </c>
      <c r="B16914" s="0" t="s">
        <v>168</v>
      </c>
      <c r="D16914" s="7" t="n">
        <f aca="false">Sens!D16912/Sens!D16905</f>
        <v>0.456219562408598</v>
      </c>
      <c r="E16914" s="7" t="n">
        <f aca="false">Sens!E16912/Sens!E16905</f>
        <v>0.467808184089272</v>
      </c>
      <c r="F16914" s="7" t="n">
        <f aca="false">Sens!F16912/Sens!F16905</f>
        <v>0.451080388929191</v>
      </c>
      <c r="G16914" s="7" t="n">
        <f aca="false">Sens!G16912/Sens!G16905</f>
        <v>0.394219508589333</v>
      </c>
      <c r="H16914" s="7" t="n">
        <f aca="false">Sens!H16912/Sens!H16905</f>
        <v>0.352626221331819</v>
      </c>
      <c r="I16914" s="7" t="n">
        <f aca="false">Sens!I16912/Sens!I16905</f>
        <v>0.331863665419698</v>
      </c>
      <c r="J16914" s="7" t="n">
        <f aca="false">Sens!J16912/Sens!J16905</f>
        <v>0.32274678227682</v>
      </c>
      <c r="K16914" s="7" t="n">
        <f aca="false">Sens!K16912/Sens!K16905</f>
        <v>0.3217494512023</v>
      </c>
    </row>
    <row r="16915" customFormat="false" ht="17.15" hidden="false" customHeight="false" outlineLevel="0" collapsed="false">
      <c r="A16915" s="1" t="s">
        <v>1067</v>
      </c>
      <c r="B16915" s="0" t="s">
        <v>98</v>
      </c>
      <c r="F16915" s="6" t="n">
        <f aca="false">Sens!F16930</f>
        <v>5.58870645799077</v>
      </c>
      <c r="G16915" s="6" t="n">
        <f aca="false">Sens!G16930</f>
        <v>22.664092372084</v>
      </c>
      <c r="H16915" s="6" t="n">
        <f aca="false">Sens!H16930</f>
        <v>41.2638945710792</v>
      </c>
      <c r="I16915" s="6" t="n">
        <f aca="false">Sens!I16930</f>
        <v>57.8792975187873</v>
      </c>
      <c r="J16915" s="6" t="n">
        <f aca="false">Sens!J16930</f>
        <v>69.4423385949158</v>
      </c>
      <c r="K16915" s="6" t="n">
        <f aca="false">Sens!K16930</f>
        <v>76.0781948949212</v>
      </c>
      <c r="L16915" s="1" t="s">
        <v>1068</v>
      </c>
    </row>
    <row r="16916" customFormat="false" ht="17.15" hidden="false" customHeight="false" outlineLevel="0" collapsed="false">
      <c r="A16916" s="1" t="s">
        <v>1069</v>
      </c>
      <c r="B16916" s="0" t="s">
        <v>98</v>
      </c>
      <c r="D16916" s="6" t="n">
        <f aca="false">Sens!D16912</f>
        <v>128.528</v>
      </c>
      <c r="E16916" s="6" t="n">
        <f aca="false">Sens!E16912</f>
        <v>155.237</v>
      </c>
      <c r="F16916" s="6" t="n">
        <f aca="false">Sens!F16912+Sens!F16915</f>
        <v>183.516372165883</v>
      </c>
      <c r="G16916" s="6" t="n">
        <f aca="false">Sens!G16912+Sens!G16915</f>
        <v>203.584210110561</v>
      </c>
      <c r="H16916" s="6" t="n">
        <f aca="false">Sens!H16912+Sens!H16915</f>
        <v>224.367968079684</v>
      </c>
      <c r="I16916" s="6" t="n">
        <f aca="false">Sens!I16912+Sens!I16915</f>
        <v>251.102527628366</v>
      </c>
      <c r="J16916" s="6" t="n">
        <f aca="false">Sens!J16912+Sens!J16915</f>
        <v>274.426490945151</v>
      </c>
      <c r="K16916" s="6" t="n">
        <f aca="false">Sens!K16912+Sens!K16915</f>
        <v>294.315965149813</v>
      </c>
    </row>
    <row r="16917" customFormat="false" ht="17.15" hidden="false" customHeight="false" outlineLevel="0" collapsed="false">
      <c r="A16917" s="1" t="s">
        <v>1070</v>
      </c>
      <c r="B16917" s="0" t="s">
        <v>98</v>
      </c>
      <c r="E16917" s="6" t="n">
        <f aca="false">Sens!E16860</f>
        <v>16.3054059770833</v>
      </c>
      <c r="F16917" s="6" t="n">
        <f aca="false">Sens!F16860</f>
        <v>34.5793144783516</v>
      </c>
      <c r="G16917" s="6" t="n">
        <f aca="false">Sens!G16860</f>
        <v>60.7344906522989</v>
      </c>
      <c r="H16917" s="6" t="n">
        <f aca="false">Sens!H16860</f>
        <v>89.1000906614457</v>
      </c>
      <c r="I16917" s="6" t="n">
        <f aca="false">Sens!I16860</f>
        <v>114.231009694548</v>
      </c>
      <c r="J16917" s="6" t="n">
        <f aca="false">Sens!J16860</f>
        <v>132.015673049596</v>
      </c>
      <c r="K16917" s="6" t="n">
        <f aca="false">Sens!K16860</f>
        <v>143.012669550934</v>
      </c>
    </row>
    <row r="16918" customFormat="false" ht="17.15" hidden="false" customHeight="false" outlineLevel="0" collapsed="false">
      <c r="A16918" s="1" t="s">
        <v>1071</v>
      </c>
      <c r="B16918" s="0" t="s">
        <v>98</v>
      </c>
      <c r="E16918" s="6" t="n">
        <f aca="false">Sens!E16942</f>
        <v>22.2285940229167</v>
      </c>
      <c r="F16918" s="6" t="n">
        <f aca="false">Sens!F16942</f>
        <v>23.5883405279552</v>
      </c>
      <c r="G16918" s="6" t="n">
        <f aca="false">Sens!G16942</f>
        <v>25.347608709247</v>
      </c>
      <c r="H16918" s="6" t="n">
        <f aca="false">Sens!H16942</f>
        <v>27.4750934833125</v>
      </c>
      <c r="I16918" s="6" t="n">
        <f aca="false">Sens!I16942</f>
        <v>29.9140127982598</v>
      </c>
      <c r="J16918" s="6" t="n">
        <f aca="false">Sens!J16942</f>
        <v>32.5895147654561</v>
      </c>
      <c r="K16918" s="6" t="n">
        <f aca="false">Sens!K16942</f>
        <v>35.4171979437481</v>
      </c>
    </row>
    <row r="16919" customFormat="false" ht="17.15" hidden="false" customHeight="false" outlineLevel="0" collapsed="false">
      <c r="A16919" s="1" t="s">
        <v>1072</v>
      </c>
      <c r="B16919" s="0" t="s">
        <v>98</v>
      </c>
      <c r="D16919" s="6" t="n">
        <f aca="false">Q!L27</f>
        <v>-4.901</v>
      </c>
      <c r="E16919" s="6" t="n">
        <f aca="false">Q!M27</f>
        <v>10.697</v>
      </c>
      <c r="F16919" s="6" t="n">
        <f aca="false">Q!$I$27+oie_f*(q_per_yr-1)/q_per_yr</f>
        <v>-0.862</v>
      </c>
      <c r="G16919" s="6" t="n">
        <f aca="false">oie_f</f>
        <v>-1.2</v>
      </c>
      <c r="H16919" s="6" t="n">
        <f aca="false">oie_f</f>
        <v>-1.2</v>
      </c>
      <c r="I16919" s="6" t="n">
        <f aca="false">oie_f</f>
        <v>-1.2</v>
      </c>
      <c r="J16919" s="6" t="n">
        <f aca="false">oie_f</f>
        <v>-1.2</v>
      </c>
      <c r="K16919" s="6" t="n">
        <f aca="false">oie_f</f>
        <v>-1.2</v>
      </c>
      <c r="L16919" s="12" t="s">
        <v>1073</v>
      </c>
    </row>
    <row r="16920" customFormat="false" ht="15" hidden="false" customHeight="false" outlineLevel="0" collapsed="false">
      <c r="A16920" s="1" t="s">
        <v>1074</v>
      </c>
      <c r="B16920" s="0" t="s">
        <v>98</v>
      </c>
      <c r="D16920" s="6" t="n">
        <f aca="false">Sens!D16912+Sens!D16919</f>
        <v>123.627</v>
      </c>
      <c r="E16920" s="6" t="n">
        <f aca="false">Sens!E16912+Sens!E16919</f>
        <v>165.934</v>
      </c>
      <c r="F16920" s="6" t="n">
        <f aca="false">Sens!F16912+Sens!F16919</f>
        <v>177.065665707892</v>
      </c>
      <c r="G16920" s="6" t="n">
        <f aca="false">Sens!G16912+Sens!G16919</f>
        <v>179.720117738477</v>
      </c>
      <c r="H16920" s="6" t="n">
        <f aca="false">Sens!H16912+Sens!H16919</f>
        <v>181.904073508605</v>
      </c>
      <c r="I16920" s="6" t="n">
        <f aca="false">Sens!I16912+Sens!I16919</f>
        <v>192.023230109579</v>
      </c>
      <c r="J16920" s="6" t="n">
        <f aca="false">Sens!J16912+Sens!J16919</f>
        <v>203.784152350235</v>
      </c>
      <c r="K16920" s="6" t="n">
        <f aca="false">Sens!K16912+Sens!K16919</f>
        <v>217.037770254891</v>
      </c>
    </row>
    <row r="16921" customFormat="false" ht="15" hidden="false" customHeight="false" outlineLevel="0" collapsed="false">
      <c r="A16921" s="1" t="s">
        <v>1075</v>
      </c>
      <c r="B16921" s="0" t="s">
        <v>98</v>
      </c>
      <c r="D16921" s="6" t="n">
        <f aca="false">Q!L29</f>
        <v>21.795</v>
      </c>
      <c r="E16921" s="6" t="n">
        <f aca="false">Q!M29</f>
        <v>32.185</v>
      </c>
      <c r="F16921" s="6" t="n">
        <f aca="false">Q!$I$29+(Sens!F16920-Q!$I$28)*tax_f</f>
        <v>35.5465331415784</v>
      </c>
      <c r="G16921" s="6" t="n">
        <f aca="false">Sens!G16920*tax_f</f>
        <v>35.9440235476954</v>
      </c>
      <c r="H16921" s="6" t="n">
        <f aca="false">Sens!H16920*tax_f</f>
        <v>36.380814701721</v>
      </c>
      <c r="I16921" s="6" t="n">
        <f aca="false">Sens!I16920*tax_f</f>
        <v>38.4046460219157</v>
      </c>
      <c r="J16921" s="6" t="n">
        <f aca="false">Sens!J16920*tax_f</f>
        <v>40.756830470047</v>
      </c>
      <c r="K16921" s="6" t="n">
        <f aca="false">Sens!K16920*tax_f</f>
        <v>43.4075540509783</v>
      </c>
    </row>
    <row r="16922" customFormat="false" ht="15" hidden="false" customHeight="false" outlineLevel="0" collapsed="false">
      <c r="A16922" s="1" t="s">
        <v>1076</v>
      </c>
      <c r="B16922" s="0" t="s">
        <v>98</v>
      </c>
      <c r="D16922" s="6" t="n">
        <f aca="false">Sens!D16920-Sens!D16921</f>
        <v>101.832</v>
      </c>
      <c r="E16922" s="6" t="n">
        <f aca="false">Sens!E16920-Sens!E16921</f>
        <v>133.749</v>
      </c>
      <c r="F16922" s="6" t="n">
        <f aca="false">Sens!F16920-Sens!F16921</f>
        <v>141.519132566314</v>
      </c>
      <c r="G16922" s="6" t="n">
        <f aca="false">Sens!G16920-Sens!G16921</f>
        <v>143.776094190781</v>
      </c>
      <c r="H16922" s="6" t="n">
        <f aca="false">Sens!H16920-Sens!H16921</f>
        <v>145.523258806884</v>
      </c>
      <c r="I16922" s="6" t="n">
        <f aca="false">Sens!I16920-Sens!I16921</f>
        <v>153.618584087663</v>
      </c>
      <c r="J16922" s="6" t="n">
        <f aca="false">Sens!J16920-Sens!J16921</f>
        <v>163.027321880188</v>
      </c>
      <c r="K16922" s="6" t="n">
        <f aca="false">Sens!K16920-Sens!K16921</f>
        <v>173.630216203913</v>
      </c>
    </row>
    <row r="16923" customFormat="false" ht="17.15" hidden="false" customHeight="false" outlineLevel="0" collapsed="false">
      <c r="A16923" s="1" t="s">
        <v>1077</v>
      </c>
      <c r="B16923" s="1" t="s">
        <v>81</v>
      </c>
      <c r="D16923" s="15" t="n">
        <f aca="false">Q!L31</f>
        <v>7.465</v>
      </c>
      <c r="E16923" s="15" t="n">
        <f aca="false">Q!M31</f>
        <v>7.453</v>
      </c>
      <c r="F16923" s="15" t="n">
        <f aca="false">Sens!F16967</f>
        <v>7.4735</v>
      </c>
      <c r="G16923" s="15" t="n">
        <f aca="false">Sens!G16967</f>
        <v>7.5185</v>
      </c>
      <c r="H16923" s="15" t="n">
        <f aca="false">Sens!H16967</f>
        <v>7.5635</v>
      </c>
      <c r="I16923" s="15" t="n">
        <f aca="false">Sens!I16967</f>
        <v>7.59248142502667</v>
      </c>
      <c r="J16923" s="15" t="n">
        <f aca="false">Sens!J16967</f>
        <v>7.60663083618914</v>
      </c>
      <c r="K16923" s="15" t="n">
        <f aca="false">Sens!K16967</f>
        <v>7.62306547615439</v>
      </c>
    </row>
    <row r="16924" customFormat="false" ht="17.15" hidden="false" customHeight="false" outlineLevel="0" collapsed="false">
      <c r="A16924" s="0" t="s">
        <v>1078</v>
      </c>
      <c r="B16924" s="0" t="s">
        <v>75</v>
      </c>
      <c r="D16924" s="8" t="n">
        <f aca="false">Sens!D16922/Sens!D16923</f>
        <v>13.641259209645</v>
      </c>
      <c r="E16924" s="8" t="n">
        <f aca="false">Sens!E16922/Sens!E16923</f>
        <v>17.9456594659869</v>
      </c>
      <c r="F16924" s="8" t="n">
        <f aca="false">Sens!F16922/Sens!F16923</f>
        <v>18.9361253182998</v>
      </c>
      <c r="G16924" s="8" t="n">
        <f aca="false">Sens!G16922/Sens!G16923</f>
        <v>19.1229758849214</v>
      </c>
      <c r="H16924" s="8" t="n">
        <f aca="false">Sens!H16922/Sens!H16923</f>
        <v>19.2402008074151</v>
      </c>
      <c r="I16924" s="8" t="n">
        <f aca="false">Sens!I16922/Sens!I16923</f>
        <v>20.2329878057125</v>
      </c>
      <c r="J16924" s="8" t="n">
        <f aca="false">Sens!J16922/Sens!J16923</f>
        <v>21.4322642167111</v>
      </c>
      <c r="K16924" s="8" t="n">
        <f aca="false">Sens!K16922/Sens!K16923</f>
        <v>22.7769545922232</v>
      </c>
      <c r="L16924" s="1" t="s">
        <v>1079</v>
      </c>
    </row>
    <row r="16925" customFormat="false" ht="17.15" hidden="false" customHeight="false" outlineLevel="0" collapsed="false">
      <c r="A16925" s="1" t="s">
        <v>1080</v>
      </c>
      <c r="B16925" s="0" t="s">
        <v>98</v>
      </c>
      <c r="D16925" s="6" t="n">
        <f aca="false">Sens!D16922</f>
        <v>101.832</v>
      </c>
      <c r="E16925" s="6" t="n">
        <f aca="false">Sens!E16922</f>
        <v>133.749</v>
      </c>
      <c r="F16925" s="6" t="n">
        <f aca="false">Sens!F16922+Sens!F16915*(1-tax_f)</f>
        <v>145.990097732706</v>
      </c>
      <c r="G16925" s="6" t="n">
        <f aca="false">Sens!G16922+Sens!G16915*(1-tax_f)</f>
        <v>161.907368088449</v>
      </c>
      <c r="H16925" s="6" t="n">
        <f aca="false">Sens!H16922+Sens!H16915*(1-tax_f)</f>
        <v>178.534374463747</v>
      </c>
      <c r="I16925" s="6" t="n">
        <f aca="false">Sens!I16922+Sens!I16915*(1-tax_f)</f>
        <v>199.922022102693</v>
      </c>
      <c r="J16925" s="6" t="n">
        <f aca="false">Sens!J16922+Sens!J16915*(1-tax_f)</f>
        <v>218.581192756121</v>
      </c>
      <c r="K16925" s="6" t="n">
        <f aca="false">Sens!K16922+Sens!K16915*(1-tax_f)</f>
        <v>234.49277211985</v>
      </c>
    </row>
    <row r="16926" customFormat="false" ht="17.15" hidden="false" customHeight="false" outlineLevel="0" collapsed="false">
      <c r="A16926" s="0" t="s">
        <v>1081</v>
      </c>
      <c r="B16926" s="0" t="s">
        <v>75</v>
      </c>
      <c r="D16926" s="8" t="n">
        <f aca="false">Sens!D16925/Sens!D16923</f>
        <v>13.641259209645</v>
      </c>
      <c r="E16926" s="8" t="n">
        <f aca="false">Sens!E16925/Sens!E16923</f>
        <v>17.9456594659869</v>
      </c>
      <c r="F16926" s="8" t="n">
        <f aca="false">Sens!F16925/Sens!F16923</f>
        <v>19.5343677972444</v>
      </c>
      <c r="G16926" s="8" t="n">
        <f aca="false">Sens!G16925/Sens!G16923</f>
        <v>21.5345305697212</v>
      </c>
      <c r="H16926" s="8" t="n">
        <f aca="false">Sens!H16925/Sens!H16923</f>
        <v>23.604729882164</v>
      </c>
      <c r="I16926" s="8" t="n">
        <f aca="false">Sens!I16925/Sens!I16923</f>
        <v>26.3315786909535</v>
      </c>
      <c r="J16926" s="8" t="n">
        <f aca="false">Sens!J16925/Sens!J16923</f>
        <v>28.7356120552352</v>
      </c>
      <c r="K16926" s="8" t="n">
        <f aca="false">Sens!K16925/Sens!K16923</f>
        <v>30.7609547436479</v>
      </c>
      <c r="L16926" s="1" t="s">
        <v>1082</v>
      </c>
    </row>
    <row r="16927" customFormat="false" ht="17.15" hidden="false" customHeight="false" outlineLevel="0" collapsed="false">
      <c r="A16927" s="0" t="s">
        <v>1083</v>
      </c>
      <c r="B16927" s="0" t="s">
        <v>168</v>
      </c>
      <c r="E16927" s="7" t="n">
        <f aca="false">Sens!E16926/Sens!D16926-1</f>
        <v>0.315542736208578</v>
      </c>
      <c r="F16927" s="7" t="n">
        <f aca="false">Sens!F16926/Sens!E16926-1</f>
        <v>0.0885288353024143</v>
      </c>
      <c r="G16927" s="7" t="n">
        <f aca="false">Sens!G16926/Sens!F16926-1</f>
        <v>0.1023919889928</v>
      </c>
      <c r="H16927" s="7" t="n">
        <f aca="false">Sens!H16926/Sens!G16926-1</f>
        <v>0.0961339419840255</v>
      </c>
      <c r="I16927" s="7" t="n">
        <f aca="false">Sens!I16926/Sens!H16926-1</f>
        <v>0.115521288419827</v>
      </c>
      <c r="J16927" s="7" t="n">
        <f aca="false">Sens!J16926/Sens!I16926-1</f>
        <v>0.0912984896385123</v>
      </c>
      <c r="K16927" s="7" t="n">
        <f aca="false">Sens!K16926/Sens!J16926-1</f>
        <v>0.0704819749278214</v>
      </c>
    </row>
    <row r="16928" customFormat="false" ht="17.15" hidden="false" customHeight="false" outlineLevel="0" collapsed="false">
      <c r="A16928" s="0" t="s">
        <v>1003</v>
      </c>
      <c r="B16928" s="0" t="s">
        <v>98</v>
      </c>
      <c r="E16928" s="6" t="n">
        <f aca="false">Sens!E16869</f>
        <v>5.25</v>
      </c>
      <c r="F16928" s="6" t="n">
        <f aca="false">Sens!F16869</f>
        <v>10.5</v>
      </c>
      <c r="G16928" s="6" t="n">
        <f aca="false">Sens!G16869</f>
        <v>13.5</v>
      </c>
      <c r="H16928" s="6" t="n">
        <f aca="false">Sens!H16869</f>
        <v>16.5</v>
      </c>
      <c r="I16928" s="6" t="n">
        <f aca="false">Sens!I16869</f>
        <v>18.75</v>
      </c>
      <c r="J16928" s="6" t="n">
        <f aca="false">Sens!J16869</f>
        <v>20.25</v>
      </c>
      <c r="K16928" s="6" t="n">
        <f aca="false">Sens!K16869</f>
        <v>21.75</v>
      </c>
    </row>
    <row r="16929" customFormat="false" ht="17.15" hidden="false" customHeight="false" outlineLevel="0" collapsed="false">
      <c r="A16929" s="1" t="s">
        <v>1004</v>
      </c>
      <c r="B16929" s="0" t="s">
        <v>98</v>
      </c>
      <c r="F16929" s="6" t="n">
        <f aca="false">MAX(0,((Sens!E16829+Sens!F16829)/2-(0*(Sens!$D$16829+Sens!$E$16829)/2+(1-0)*Sens!$E$16829))*Sens!F16838/1000-(Sens!F16928-Sens!$E$16928)*Sens!F16908)</f>
        <v>5.58870645799077</v>
      </c>
      <c r="G16929" s="6" t="n">
        <f aca="false">MAX(0,((Sens!F16829+Sens!G16829)/2-(0*(Sens!$D$16829+Sens!$E$16829)/2+(1-0)*Sens!$E$16829))*Sens!G16838/1000-(Sens!G16928-Sens!$E$16928)*Sens!G16908)</f>
        <v>22.664092372084</v>
      </c>
      <c r="H16929" s="6" t="n">
        <f aca="false">MAX(0,((Sens!G16829+Sens!H16829)/2-(0*(Sens!$D$16829+Sens!$E$16829)/2+(1-0)*Sens!$E$16829))*Sens!H16838/1000-(Sens!H16928-Sens!$E$16928)*Sens!H16908)</f>
        <v>41.2638945710792</v>
      </c>
      <c r="I16929" s="6" t="n">
        <f aca="false">MAX(0,((Sens!H16829+Sens!I16829)/2-(0*(Sens!$D$16829+Sens!$E$16829)/2+(1-0)*Sens!$E$16829))*Sens!I16838/1000-(Sens!I16928-Sens!$E$16928)*Sens!I16908)</f>
        <v>57.8792975187873</v>
      </c>
      <c r="J16929" s="6" t="n">
        <f aca="false">MAX(0,((Sens!I16829+Sens!J16829)/2-(0*(Sens!$D$16829+Sens!$E$16829)/2+(1-0)*Sens!$E$16829))*Sens!J16838/1000-(Sens!J16928-Sens!$E$16928)*Sens!J16908)</f>
        <v>69.4423385949158</v>
      </c>
      <c r="K16929" s="6" t="n">
        <f aca="false">MAX(0,((Sens!J16829+Sens!K16829)/2-(0*(Sens!$D$16829+Sens!$E$16829)/2+(1-0)*Sens!$E$16829))*Sens!K16838/1000-(Sens!K16928-Sens!$E$16928)*Sens!K16908)</f>
        <v>76.0781948949212</v>
      </c>
      <c r="L16929" s="1" t="s">
        <v>1005</v>
      </c>
    </row>
    <row r="16930" customFormat="false" ht="17.15" hidden="false" customHeight="false" outlineLevel="0" collapsed="false">
      <c r="A16930" s="1" t="s">
        <v>1006</v>
      </c>
      <c r="B16930" s="0" t="s">
        <v>98</v>
      </c>
      <c r="F16930" s="6" t="n">
        <f aca="false">IF(internal_ai_reading=2,1,0)*Sens!F16929</f>
        <v>5.58870645799077</v>
      </c>
      <c r="G16930" s="6" t="n">
        <f aca="false">IF(internal_ai_reading=2,1,0)*Sens!G16929</f>
        <v>22.664092372084</v>
      </c>
      <c r="H16930" s="6" t="n">
        <f aca="false">IF(internal_ai_reading=2,1,0)*Sens!H16929</f>
        <v>41.2638945710792</v>
      </c>
      <c r="I16930" s="6" t="n">
        <f aca="false">IF(internal_ai_reading=2,1,0)*Sens!I16929</f>
        <v>57.8792975187873</v>
      </c>
      <c r="J16930" s="6" t="n">
        <f aca="false">IF(internal_ai_reading=2,1,0)*Sens!J16929</f>
        <v>69.4423385949158</v>
      </c>
      <c r="K16930" s="6" t="n">
        <f aca="false">IF(internal_ai_reading=2,1,0)*Sens!K16929</f>
        <v>76.0781948949212</v>
      </c>
    </row>
    <row r="16931" customFormat="false" ht="17.15" hidden="false" customHeight="false" outlineLevel="0" collapsed="false">
      <c r="A16931" s="0" t="s">
        <v>1007</v>
      </c>
      <c r="B16931" s="0" t="s">
        <v>98</v>
      </c>
      <c r="F16931" s="6" t="n">
        <f aca="false">Sens!F16848+Sens!F16928*Sens!F16908+Sens!F16930-Sens!F16849-Sens!F16860</f>
        <v>5.37780834540521</v>
      </c>
      <c r="G16931" s="6" t="n">
        <f aca="false">Sens!G16848+Sens!G16928*Sens!G16908+Sens!G16930-Sens!G16849-Sens!G16860</f>
        <v>11.258377007726</v>
      </c>
      <c r="H16931" s="6" t="n">
        <f aca="false">Sens!H16848+Sens!H16928*Sens!H16908+Sens!H16930-Sens!H16849-Sens!H16860</f>
        <v>11.8331053785702</v>
      </c>
      <c r="I16931" s="6" t="n">
        <f aca="false">Sens!I16848+Sens!I16928*Sens!I16908+Sens!I16930-Sens!I16849-Sens!I16860</f>
        <v>18.7369001070085</v>
      </c>
      <c r="J16931" s="6" t="n">
        <f aca="false">Sens!J16848+Sens!J16928*Sens!J16908+Sens!J16930-Sens!J16849-Sens!J16860</f>
        <v>23.3907822936329</v>
      </c>
      <c r="K16931" s="6" t="n">
        <f aca="false">Sens!K16848+Sens!K16928*Sens!K16908+Sens!K16930-Sens!K16849-Sens!K16860</f>
        <v>26.5761260294081</v>
      </c>
    </row>
    <row r="16932" customFormat="false" ht="17.15" hidden="false" customHeight="false" outlineLevel="0" collapsed="false">
      <c r="A16932" s="0" t="s">
        <v>1008</v>
      </c>
      <c r="B16932" s="0" t="s">
        <v>98</v>
      </c>
      <c r="E16932" s="6" t="n">
        <f aca="false">Sens!E16828*(cxit_open+self_build*tk_cxfac)/1000*ai_net_open</f>
        <v>126.6980382</v>
      </c>
      <c r="F16932" s="6" t="n">
        <f aca="false">Sens!E16932+Sens!F16857-Sens!F16860</f>
        <v>260.572627763768</v>
      </c>
      <c r="G16932" s="6" t="n">
        <f aca="false">Sens!F16932+Sens!G16857-Sens!G16860</f>
        <v>391.782612760517</v>
      </c>
      <c r="H16932" s="6" t="n">
        <f aca="false">Sens!G16932+Sens!H16857-Sens!H16860</f>
        <v>499.488526163584</v>
      </c>
      <c r="I16932" s="6" t="n">
        <f aca="false">Sens!H16932+Sens!I16857-Sens!I16860</f>
        <v>553.872350090646</v>
      </c>
      <c r="J16932" s="6" t="n">
        <f aca="false">Sens!I16932+Sens!J16857-Sens!J16860</f>
        <v>550.78660823699</v>
      </c>
      <c r="K16932" s="6" t="n">
        <f aca="false">Sens!J16932+Sens!K16857-Sens!K16860</f>
        <v>526.736791750789</v>
      </c>
      <c r="L16932" s="1" t="s">
        <v>1009</v>
      </c>
    </row>
    <row r="16933" customFormat="false" ht="17.15" hidden="false" customHeight="false" outlineLevel="0" collapsed="false">
      <c r="A16933" s="0" t="s">
        <v>1010</v>
      </c>
      <c r="B16933" s="0" t="s">
        <v>168</v>
      </c>
      <c r="F16933" s="7" t="n">
        <f aca="false">Sens!F16931*(1-tax_f)/((Sens!E16932+Sens!F16932)/2)</f>
        <v>0.0222182935834684</v>
      </c>
      <c r="G16933" s="7" t="n">
        <f aca="false">Sens!G16931*(1-tax_f)/((Sens!F16932+Sens!G16932)/2)</f>
        <v>0.0276128742338065</v>
      </c>
      <c r="H16933" s="7" t="n">
        <f aca="false">Sens!H16931*(1-tax_f)/((Sens!G16932+Sens!H16932)/2)</f>
        <v>0.0212426586914587</v>
      </c>
      <c r="I16933" s="7" t="n">
        <f aca="false">Sens!I16931*(1-tax_f)/((Sens!H16932+Sens!I16932)/2)</f>
        <v>0.0284603698950921</v>
      </c>
      <c r="J16933" s="7" t="n">
        <f aca="false">Sens!J16931*(1-tax_f)/((Sens!I16932+Sens!J16932)/2)</f>
        <v>0.0338794624238339</v>
      </c>
      <c r="K16933" s="7" t="n">
        <f aca="false">Sens!K16931*(1-tax_f)/((Sens!J16932+Sens!K16932)/2)</f>
        <v>0.0394625319946975</v>
      </c>
    </row>
    <row r="16934" customFormat="false" ht="17.15" hidden="false" customHeight="false" outlineLevel="0" collapsed="false">
      <c r="A16934" s="1" t="s">
        <v>1011</v>
      </c>
      <c r="B16934" s="0" t="s">
        <v>168</v>
      </c>
      <c r="F16934" s="7" t="n">
        <f aca="false">(Sens!F16931-Sens!F16930)*(1-tax_f)/((Sens!E16932+Sens!F16932)/2)</f>
        <v>-0.000871320783610466</v>
      </c>
      <c r="G16934" s="7" t="n">
        <f aca="false">(Sens!G16931-Sens!G16930)*(1-tax_f)/((Sens!F16932+Sens!G16932)/2)</f>
        <v>-0.0279742438618356</v>
      </c>
      <c r="H16934" s="7" t="n">
        <f aca="false">(Sens!H16931-Sens!H16930)*(1-tax_f)/((Sens!G16932+Sens!H16932)/2)</f>
        <v>-0.0528338242443913</v>
      </c>
      <c r="I16934" s="7" t="n">
        <f aca="false">(Sens!I16931-Sens!I16930)*(1-tax_f)/((Sens!H16932+Sens!I16932)/2)</f>
        <v>-0.0594552515388191</v>
      </c>
      <c r="J16934" s="7" t="n">
        <f aca="false">(Sens!J16931-Sens!J16930)*(1-tax_f)/((Sens!I16932+Sens!J16932)/2)</f>
        <v>-0.0667015729394002</v>
      </c>
      <c r="K16934" s="7" t="n">
        <f aca="false">(Sens!K16931-Sens!K16930)*(1-tax_f)/((Sens!J16932+Sens!K16932)/2)</f>
        <v>-0.0735049560740113</v>
      </c>
    </row>
    <row r="16935" customFormat="false" ht="17.15" hidden="false" customHeight="false" outlineLevel="0" collapsed="false">
      <c r="A16935" s="1" t="s">
        <v>1012</v>
      </c>
      <c r="B16935" s="0" t="s">
        <v>168</v>
      </c>
      <c r="F16935" s="7" t="n">
        <f aca="false">(Sens!F16931-Sens!F16930+Sens!F16929)*(1-tax_f)/((Sens!E16932+Sens!F16932)/2)</f>
        <v>0.0222182935834684</v>
      </c>
      <c r="G16935" s="7" t="n">
        <f aca="false">(Sens!G16931-Sens!G16930+Sens!G16929)*(1-tax_f)/((Sens!F16932+Sens!G16932)/2)</f>
        <v>0.0276128742338065</v>
      </c>
      <c r="H16935" s="7" t="n">
        <f aca="false">(Sens!H16931-Sens!H16930+Sens!H16929)*(1-tax_f)/((Sens!G16932+Sens!H16932)/2)</f>
        <v>0.0212426586914587</v>
      </c>
      <c r="I16935" s="7" t="n">
        <f aca="false">(Sens!I16931-Sens!I16930+Sens!I16929)*(1-tax_f)/((Sens!H16932+Sens!I16932)/2)</f>
        <v>0.0284603698950921</v>
      </c>
      <c r="J16935" s="7" t="n">
        <f aca="false">(Sens!J16931-Sens!J16930+Sens!J16929)*(1-tax_f)/((Sens!I16932+Sens!J16932)/2)</f>
        <v>0.0338794624238339</v>
      </c>
      <c r="K16935" s="7" t="n">
        <f aca="false">(Sens!K16931-Sens!K16930+Sens!K16929)*(1-tax_f)/((Sens!J16932+Sens!K16932)/2)</f>
        <v>0.0394625319946975</v>
      </c>
    </row>
    <row r="16936" customFormat="false" ht="17.15" hidden="false" customHeight="false" outlineLevel="0" collapsed="false">
      <c r="A16936" s="1" t="s">
        <v>1013</v>
      </c>
      <c r="B16936" s="0" t="s">
        <v>168</v>
      </c>
      <c r="F16936" s="7" t="n">
        <f aca="false">Sens!F16861*(1-tax_f)/(Sens!F16847*(Sens!E16932+Sens!F16932)/2)</f>
        <v>0.098791430090569</v>
      </c>
      <c r="G16936" s="7" t="n">
        <f aca="false">Sens!G16861*(1-tax_f)/(Sens!G16847*(Sens!F16932+Sens!G16932)/2)</f>
        <v>0.0675308856427828</v>
      </c>
      <c r="H16936" s="7" t="n">
        <f aca="false">Sens!H16861*(1-tax_f)/(Sens!H16847*(Sens!G16932+Sens!H16932)/2)</f>
        <v>0.0388374979528754</v>
      </c>
      <c r="I16936" s="7" t="n">
        <f aca="false">Sens!I16861*(1-tax_f)/(Sens!I16847*(Sens!H16932+Sens!I16932)/2)</f>
        <v>0.0411035671771815</v>
      </c>
      <c r="J16936" s="7" t="n">
        <f aca="false">Sens!J16861*(1-tax_f)/(Sens!J16847*(Sens!I16932+Sens!J16932)/2)</f>
        <v>0.0445222722541192</v>
      </c>
      <c r="K16936" s="7" t="n">
        <f aca="false">Sens!K16861*(1-tax_f)/(Sens!K16847*(Sens!J16932+Sens!K16932)/2)</f>
        <v>0.0498866361688162</v>
      </c>
    </row>
    <row r="16937" customFormat="false" ht="17.15" hidden="false" customHeight="false" outlineLevel="0" collapsed="false">
      <c r="A16937" s="0" t="s">
        <v>1014</v>
      </c>
      <c r="B16937" s="0" t="s">
        <v>253</v>
      </c>
      <c r="F16937" s="7" t="n">
        <f aca="false">Sens!F16933-wacc</f>
        <v>-0.0807182973621289</v>
      </c>
      <c r="G16937" s="7" t="n">
        <f aca="false">Sens!G16933-wacc</f>
        <v>-0.0753237167117908</v>
      </c>
      <c r="H16937" s="7" t="n">
        <f aca="false">Sens!H16933-wacc</f>
        <v>-0.0816939322541386</v>
      </c>
      <c r="I16937" s="7" t="n">
        <f aca="false">Sens!I16933-wacc</f>
        <v>-0.0744762210505052</v>
      </c>
      <c r="J16937" s="7" t="n">
        <f aca="false">Sens!J16933-wacc</f>
        <v>-0.0690571285217634</v>
      </c>
      <c r="K16937" s="7" t="n">
        <f aca="false">Sens!K16933-wacc</f>
        <v>-0.0634740589508998</v>
      </c>
    </row>
    <row r="16938" customFormat="false" ht="17.15" hidden="false" customHeight="false" outlineLevel="0" collapsed="false">
      <c r="A16938" s="0" t="s">
        <v>1015</v>
      </c>
      <c r="B16938" s="0" t="s">
        <v>98</v>
      </c>
      <c r="F16938" s="6" t="n">
        <f aca="false">Sens!F16931*(1-tax_f)-wacc*(Sens!E16932+Sens!F16932)/2</f>
        <v>-15.6299143874465</v>
      </c>
      <c r="G16938" s="6" t="n">
        <f aca="false">Sens!G16931*(1-tax_f)-wacc*(Sens!F16932+Sens!G16932)/2</f>
        <v>-24.5689106663517</v>
      </c>
      <c r="H16938" s="6" t="n">
        <f aca="false">Sens!H16931*(1-tax_f)-wacc*(Sens!G16932+Sens!H16932)/2</f>
        <v>-36.4057220216672</v>
      </c>
      <c r="I16938" s="6" t="n">
        <f aca="false">Sens!I16931*(1-tax_f)-wacc*(Sens!H16932+Sens!I16932)/2</f>
        <v>-39.2251687329319</v>
      </c>
      <c r="J16938" s="6" t="n">
        <f aca="false">Sens!J16931*(1-tax_f)-wacc*(Sens!I16932+Sens!J16932)/2</f>
        <v>-38.1422878289744</v>
      </c>
      <c r="K16938" s="6" t="n">
        <f aca="false">Sens!K16931*(1-tax_f)-wacc*(Sens!J16932+Sens!K16932)/2</f>
        <v>-34.1973919058991</v>
      </c>
    </row>
    <row r="16939" customFormat="false" ht="17.15" hidden="false" customHeight="false" outlineLevel="0" collapsed="false">
      <c r="A16939" s="3" t="s">
        <v>1897</v>
      </c>
    </row>
    <row r="16940" customFormat="false" ht="15" hidden="false" customHeight="false" outlineLevel="0" collapsed="false">
      <c r="A16940" s="4" t="s">
        <v>43</v>
      </c>
      <c r="B16940" s="4" t="s">
        <v>65</v>
      </c>
      <c r="C16940" s="23" t="s">
        <v>938</v>
      </c>
      <c r="D16940" s="23" t="s">
        <v>939</v>
      </c>
      <c r="E16940" s="23" t="s">
        <v>940</v>
      </c>
      <c r="F16940" s="23" t="s">
        <v>941</v>
      </c>
      <c r="G16940" s="23" t="s">
        <v>942</v>
      </c>
      <c r="H16940" s="23" t="s">
        <v>943</v>
      </c>
      <c r="I16940" s="23" t="s">
        <v>944</v>
      </c>
      <c r="J16940" s="23" t="s">
        <v>945</v>
      </c>
      <c r="K16940" s="23" t="s">
        <v>946</v>
      </c>
      <c r="L16940" s="4" t="s">
        <v>47</v>
      </c>
    </row>
    <row r="16941" customFormat="false" ht="15" hidden="false" customHeight="false" outlineLevel="0" collapsed="false">
      <c r="A16941" s="1" t="s">
        <v>1076</v>
      </c>
      <c r="B16941" s="0" t="s">
        <v>98</v>
      </c>
      <c r="F16941" s="6" t="n">
        <f aca="false">Sens!F16922</f>
        <v>141.519132566314</v>
      </c>
      <c r="G16941" s="6" t="n">
        <f aca="false">Sens!G16922</f>
        <v>143.776094190781</v>
      </c>
      <c r="H16941" s="6" t="n">
        <f aca="false">Sens!H16922</f>
        <v>145.523258806884</v>
      </c>
      <c r="I16941" s="6" t="n">
        <f aca="false">Sens!I16922</f>
        <v>153.618584087663</v>
      </c>
      <c r="J16941" s="6" t="n">
        <f aca="false">Sens!J16922</f>
        <v>163.027321880188</v>
      </c>
      <c r="K16941" s="6" t="n">
        <f aca="false">Sens!K16922</f>
        <v>173.630216203913</v>
      </c>
    </row>
    <row r="16942" customFormat="false" ht="17.15" hidden="false" customHeight="false" outlineLevel="0" collapsed="false">
      <c r="A16942" s="1" t="s">
        <v>1098</v>
      </c>
      <c r="B16942" s="0" t="s">
        <v>98</v>
      </c>
      <c r="E16942" s="6" t="n">
        <f aca="false">Q!M38-Sens!E16860</f>
        <v>22.2285940229167</v>
      </c>
      <c r="F16942" s="6" t="n">
        <f aca="false">Sens!E16942*(1-1/life_nonai)+(Sens!F16950+Sens!F16951)/life_nonai</f>
        <v>23.5883405279552</v>
      </c>
      <c r="G16942" s="6" t="n">
        <f aca="false">Sens!F16942*(1-1/life_nonai)+(Sens!G16950)/life_nonai</f>
        <v>25.347608709247</v>
      </c>
      <c r="H16942" s="6" t="n">
        <f aca="false">Sens!G16942*(1-1/life_nonai)+(Sens!H16950)/life_nonai</f>
        <v>27.4750934833125</v>
      </c>
      <c r="I16942" s="6" t="n">
        <f aca="false">Sens!H16942*(1-1/life_nonai)+(Sens!I16950)/life_nonai</f>
        <v>29.9140127982598</v>
      </c>
      <c r="J16942" s="6" t="n">
        <f aca="false">Sens!I16942*(1-1/life_nonai)+(Sens!J16950)/life_nonai</f>
        <v>32.5895147654561</v>
      </c>
      <c r="K16942" s="6" t="n">
        <f aca="false">Sens!J16942*(1-1/life_nonai)+(Sens!K16950)/life_nonai</f>
        <v>35.4171979437481</v>
      </c>
      <c r="L16942" s="12" t="s">
        <v>1099</v>
      </c>
    </row>
    <row r="16943" customFormat="false" ht="17.15" hidden="false" customHeight="false" outlineLevel="0" collapsed="false">
      <c r="A16943" s="1" t="s">
        <v>1100</v>
      </c>
      <c r="B16943" s="0" t="s">
        <v>98</v>
      </c>
      <c r="F16943" s="6" t="n">
        <f aca="false">Sens!$F$16951/life_nonai*(1-1/life_nonai)^(Sens!F16823-2027)</f>
        <v>0</v>
      </c>
      <c r="G16943" s="6" t="n">
        <f aca="false">Sens!$F$16951/life_nonai*(1-1/life_nonai)^(Sens!G16823-2027)</f>
        <v>0</v>
      </c>
      <c r="H16943" s="6" t="n">
        <f aca="false">Sens!$F$16951/life_nonai*(1-1/life_nonai)^(Sens!H16823-2027)</f>
        <v>0</v>
      </c>
      <c r="I16943" s="6" t="n">
        <f aca="false">Sens!$F$16951/life_nonai*(1-1/life_nonai)^(Sens!I16823-2027)</f>
        <v>0</v>
      </c>
      <c r="J16943" s="6" t="n">
        <f aca="false">Sens!$F$16951/life_nonai*(1-1/life_nonai)^(Sens!J16823-2027)</f>
        <v>0</v>
      </c>
      <c r="K16943" s="6" t="n">
        <f aca="false">Sens!$F$16951/life_nonai*(1-1/life_nonai)^(Sens!K16823-2027)</f>
        <v>0</v>
      </c>
      <c r="L16943" s="1" t="s">
        <v>1101</v>
      </c>
    </row>
    <row r="16944" customFormat="false" ht="17.15" hidden="false" customHeight="false" outlineLevel="0" collapsed="false">
      <c r="A16944" s="1" t="s">
        <v>1102</v>
      </c>
      <c r="B16944" s="0" t="s">
        <v>98</v>
      </c>
      <c r="E16944" s="6" t="n">
        <f aca="false">Sens!E16860+Sens!E16942</f>
        <v>38.534</v>
      </c>
      <c r="F16944" s="6" t="n">
        <f aca="false">Sens!F16860+Sens!F16942</f>
        <v>58.1676550063068</v>
      </c>
      <c r="G16944" s="6" t="n">
        <f aca="false">Sens!G16860+Sens!G16942</f>
        <v>86.0820993615459</v>
      </c>
      <c r="H16944" s="6" t="n">
        <f aca="false">Sens!H16860+Sens!H16942</f>
        <v>116.575184144758</v>
      </c>
      <c r="I16944" s="6" t="n">
        <f aca="false">Sens!I16860+Sens!I16942</f>
        <v>144.145022492808</v>
      </c>
      <c r="J16944" s="6" t="n">
        <f aca="false">Sens!J16860+Sens!J16942</f>
        <v>164.605187815052</v>
      </c>
      <c r="K16944" s="6" t="n">
        <f aca="false">Sens!K16860+Sens!K16942</f>
        <v>178.429867494682</v>
      </c>
    </row>
    <row r="16945" customFormat="false" ht="17.15" hidden="false" customHeight="false" outlineLevel="0" collapsed="false">
      <c r="A16945" s="1" t="s">
        <v>1103</v>
      </c>
      <c r="B16945" s="0" t="s">
        <v>98</v>
      </c>
      <c r="F16945" s="6" t="n">
        <f aca="false">Sens!F16887*sbc_r</f>
        <v>14.7454787486369</v>
      </c>
      <c r="G16945" s="6" t="n">
        <f aca="false">Sens!G16887*sbc_r</f>
        <v>17.1560811611477</v>
      </c>
      <c r="H16945" s="6" t="n">
        <f aca="false">Sens!H16887*sbc_r</f>
        <v>19.4112161412813</v>
      </c>
      <c r="I16945" s="6" t="n">
        <f aca="false">Sens!I16887*sbc_r</f>
        <v>21.7655163708747</v>
      </c>
      <c r="J16945" s="6" t="n">
        <f aca="false">Sens!J16887*sbc_r</f>
        <v>23.7425689489627</v>
      </c>
      <c r="K16945" s="6" t="n">
        <f aca="false">Sens!K16887*sbc_r</f>
        <v>25.3560408997772</v>
      </c>
    </row>
    <row r="16946" customFormat="false" ht="17.15" hidden="false" customHeight="false" outlineLevel="0" collapsed="false">
      <c r="A16946" s="1" t="s">
        <v>1104</v>
      </c>
      <c r="B16946" s="0" t="s">
        <v>98</v>
      </c>
      <c r="F16946" s="6" t="n">
        <f aca="false">wc27-wc26q1</f>
        <v>-4.677</v>
      </c>
      <c r="G16946" s="6" t="n">
        <f aca="false">wc_f</f>
        <v>0</v>
      </c>
      <c r="H16946" s="6" t="n">
        <f aca="false">wc_f</f>
        <v>0</v>
      </c>
      <c r="I16946" s="6" t="n">
        <f aca="false">wc_f</f>
        <v>0</v>
      </c>
      <c r="J16946" s="6" t="n">
        <f aca="false">wc_f</f>
        <v>0</v>
      </c>
      <c r="K16946" s="6" t="n">
        <f aca="false">wc_f</f>
        <v>0</v>
      </c>
      <c r="L16946" s="12" t="s">
        <v>1105</v>
      </c>
    </row>
    <row r="16947" customFormat="false" ht="17.15" hidden="false" customHeight="false" outlineLevel="0" collapsed="false">
      <c r="A16947" s="0" t="s">
        <v>1106</v>
      </c>
      <c r="B16947" s="0" t="s">
        <v>98</v>
      </c>
      <c r="F16947" s="6" t="n">
        <f aca="false">Q!$I$35-Q!$I$26-Q!$I$38-Q!$I$39</f>
        <v>6.493</v>
      </c>
      <c r="L16947" s="1" t="s">
        <v>1107</v>
      </c>
    </row>
    <row r="16948" customFormat="false" ht="15" hidden="false" customHeight="false" outlineLevel="0" collapsed="false">
      <c r="A16948" s="1" t="s">
        <v>904</v>
      </c>
      <c r="B16948" s="0" t="s">
        <v>98</v>
      </c>
      <c r="E16948" s="6" t="n">
        <f aca="false">Q!M35</f>
        <v>182.935</v>
      </c>
      <c r="F16948" s="6" t="n">
        <f aca="false">Sens!F16941+Sens!F16944+Sens!F16945+Sens!F16946+Sens!F16947</f>
        <v>216.248266321257</v>
      </c>
      <c r="G16948" s="6" t="n">
        <f aca="false">Sens!G16941+Sens!G16944+Sens!G16945+Sens!G16946</f>
        <v>247.014274713475</v>
      </c>
      <c r="H16948" s="6" t="n">
        <f aca="false">Sens!H16941+Sens!H16944+Sens!H16945+Sens!H16946</f>
        <v>281.509659092923</v>
      </c>
      <c r="I16948" s="6" t="n">
        <f aca="false">Sens!I16941+Sens!I16944+Sens!I16945+Sens!I16946</f>
        <v>319.529122951346</v>
      </c>
      <c r="J16948" s="6" t="n">
        <f aca="false">Sens!J16941+Sens!J16944+Sens!J16945+Sens!J16946</f>
        <v>351.375078644203</v>
      </c>
      <c r="K16948" s="6" t="n">
        <f aca="false">Sens!K16941+Sens!K16944+Sens!K16945+Sens!K16946</f>
        <v>377.416124598373</v>
      </c>
    </row>
    <row r="16949" customFormat="false" ht="17.15" hidden="false" customHeight="false" outlineLevel="0" collapsed="false">
      <c r="A16949" s="0" t="s">
        <v>1108</v>
      </c>
      <c r="B16949" s="0" t="s">
        <v>98</v>
      </c>
      <c r="F16949" s="6" t="n">
        <f aca="false">Sens!F16857</f>
        <v>168.45390404212</v>
      </c>
      <c r="G16949" s="6" t="n">
        <f aca="false">Sens!G16857</f>
        <v>191.944475649048</v>
      </c>
      <c r="H16949" s="6" t="n">
        <f aca="false">Sens!H16857</f>
        <v>196.806004064512</v>
      </c>
      <c r="I16949" s="6" t="n">
        <f aca="false">Sens!I16857</f>
        <v>168.61483362161</v>
      </c>
      <c r="J16949" s="6" t="n">
        <f aca="false">Sens!J16857</f>
        <v>128.92993119594</v>
      </c>
      <c r="K16949" s="6" t="n">
        <f aca="false">Sens!K16857</f>
        <v>118.962853064733</v>
      </c>
    </row>
    <row r="16950" customFormat="false" ht="17.15" hidden="false" customHeight="false" outlineLevel="0" collapsed="false">
      <c r="A16950" s="1" t="s">
        <v>1109</v>
      </c>
      <c r="B16950" s="0" t="s">
        <v>98</v>
      </c>
      <c r="E16950" s="6" t="n">
        <f aca="false">Sens!E16865*cx_azo+Sens!E16872*cx_m365+Sens!E16873*cx_lic+(Sens!E16875+Sens!E16877)*cx_ind+Sens!E16880*cx_srch+(Sens!E16882+Sens!E16884)*cx_dev</f>
        <v>30.1846587067718</v>
      </c>
      <c r="F16950" s="6" t="n">
        <f aca="false">Sens!F16865*cx_azo+Sens!F16872*cx_m365+Sens!F16873*cx_lic+(Sens!F16875+Sens!F16877)*cx_ind+Sens!F16880*cx_srch+(Sens!F16882+Sens!F16884)*cx_dev</f>
        <v>35.826059073302</v>
      </c>
      <c r="G16950" s="6" t="n">
        <f aca="false">Sens!G16865*cx_azo+Sens!G16872*cx_m365+Sens!G16873*cx_lic+(Sens!G16875+Sens!G16877)*cx_ind+Sens!G16880*cx_srch+(Sens!G16882+Sens!G16884)*cx_dev</f>
        <v>41.1810223408732</v>
      </c>
      <c r="H16950" s="6" t="n">
        <f aca="false">Sens!H16865*cx_azo+Sens!H16872*cx_m365+Sens!H16873*cx_lic+(Sens!H16875+Sens!H16877)*cx_ind+Sens!H16880*cx_srch+(Sens!H16882+Sens!H16884)*cx_dev</f>
        <v>46.6224564499022</v>
      </c>
      <c r="I16950" s="6" t="n">
        <f aca="false">Sens!I16865*cx_azo+Sens!I16872*cx_m365+Sens!I16873*cx_lic+(Sens!I16875+Sens!I16877)*cx_ind+Sens!I16880*cx_srch+(Sens!I16882+Sens!I16884)*cx_dev</f>
        <v>51.8642866327854</v>
      </c>
      <c r="J16950" s="6" t="n">
        <f aca="false">Sens!J16865*cx_azo+Sens!J16872*cx_m365+Sens!J16873*cx_lic+(Sens!J16875+Sens!J16877)*cx_ind+Sens!J16880*cx_srch+(Sens!J16882+Sens!J16884)*cx_dev</f>
        <v>56.6690324702225</v>
      </c>
      <c r="K16950" s="6" t="n">
        <f aca="false">Sens!K16865*cx_azo+Sens!K16872*cx_m365+Sens!K16873*cx_lic+(Sens!K16875+Sens!K16877)*cx_ind+Sens!K16880*cx_srch+(Sens!K16882+Sens!K16884)*cx_dev</f>
        <v>60.866346548376</v>
      </c>
    </row>
    <row r="16951" customFormat="false" ht="17.15" hidden="false" customHeight="false" outlineLevel="0" collapsed="false">
      <c r="A16951" s="0" t="s">
        <v>1110</v>
      </c>
      <c r="B16951" s="0" t="s">
        <v>98</v>
      </c>
      <c r="F16951" s="6" t="n">
        <f aca="false">Sens!F16855</f>
        <v>0</v>
      </c>
      <c r="L16951" s="1" t="s">
        <v>1111</v>
      </c>
    </row>
    <row r="16952" customFormat="false" ht="17.15" hidden="false" customHeight="false" outlineLevel="0" collapsed="false">
      <c r="A16952" s="1" t="s">
        <v>1112</v>
      </c>
      <c r="B16952" s="0" t="s">
        <v>98</v>
      </c>
      <c r="E16952" s="6" t="n">
        <f aca="false">Q!M43</f>
        <v>145.3</v>
      </c>
      <c r="F16952" s="6" t="n">
        <f aca="false">Sens!F16949+Sens!F16950+Sens!F16951</f>
        <v>204.279963115422</v>
      </c>
      <c r="G16952" s="6" t="n">
        <f aca="false">Sens!G16949+Sens!G16950</f>
        <v>233.125497989921</v>
      </c>
      <c r="H16952" s="6" t="n">
        <f aca="false">Sens!H16949+Sens!H16950</f>
        <v>243.428460514415</v>
      </c>
      <c r="I16952" s="6" t="n">
        <f aca="false">Sens!I16949+Sens!I16950</f>
        <v>220.479120254396</v>
      </c>
      <c r="J16952" s="6" t="n">
        <f aca="false">Sens!J16949+Sens!J16950</f>
        <v>185.598963666163</v>
      </c>
      <c r="K16952" s="6" t="n">
        <f aca="false">Sens!K16949+Sens!K16950</f>
        <v>179.829199613109</v>
      </c>
      <c r="L16952" s="1" t="s">
        <v>1113</v>
      </c>
    </row>
    <row r="16953" customFormat="false" ht="15" hidden="false" customHeight="false" outlineLevel="0" collapsed="false">
      <c r="A16953" s="1" t="s">
        <v>1114</v>
      </c>
      <c r="B16953" s="0" t="s">
        <v>98</v>
      </c>
      <c r="E16953" s="6" t="n">
        <f aca="false">fl_liab</f>
        <v>66.594</v>
      </c>
      <c r="F16953" s="6" t="n">
        <f aca="false">Sens!E16953-Sens!F16954</f>
        <v>62.46973</v>
      </c>
      <c r="G16953" s="6" t="n">
        <f aca="false">Sens!F16953-Sens!G16954</f>
        <v>57.98686785</v>
      </c>
      <c r="H16953" s="6" t="n">
        <f aca="false">Sens!G16953-Sens!H16954</f>
        <v>53.92827690325</v>
      </c>
      <c r="I16953" s="6" t="n">
        <f aca="false">Sens!H16953-Sens!I16954</f>
        <v>49.7850493638962</v>
      </c>
      <c r="J16953" s="6" t="n">
        <f aca="false">Sens!I16953-Sens!J16954</f>
        <v>45.4823765852716</v>
      </c>
      <c r="K16953" s="6" t="n">
        <f aca="false">Sens!J16953-Sens!K16954</f>
        <v>40.9860835316088</v>
      </c>
    </row>
    <row r="16954" customFormat="false" ht="15" hidden="false" customHeight="false" outlineLevel="0" collapsed="false">
      <c r="A16954" s="1" t="s">
        <v>1115</v>
      </c>
      <c r="B16954" s="0" t="s">
        <v>98</v>
      </c>
      <c r="F16954" s="6" t="n">
        <f aca="false">fl_pay_27-Sens!E16953*fl_rate</f>
        <v>4.12427</v>
      </c>
      <c r="G16954" s="6" t="n">
        <f aca="false">fl_pay_28-Sens!F16953*fl_rate</f>
        <v>4.48286215</v>
      </c>
      <c r="H16954" s="6" t="n">
        <f aca="false">fl_pay_29-Sens!G16953*fl_rate</f>
        <v>4.05859094675</v>
      </c>
      <c r="I16954" s="6" t="n">
        <f aca="false">fl_pay_30-Sens!H16953*fl_rate</f>
        <v>4.14322753935375</v>
      </c>
      <c r="J16954" s="6" t="n">
        <f aca="false">fl_pay_31-Sens!I16953*fl_rate</f>
        <v>4.30267277862467</v>
      </c>
      <c r="K16954" s="6" t="n">
        <f aca="false">fl_pay_32-Sens!J16953*fl_rate</f>
        <v>4.49629305366278</v>
      </c>
    </row>
    <row r="16955" customFormat="false" ht="17.15" hidden="false" customHeight="false" outlineLevel="0" collapsed="false">
      <c r="A16955" s="1" t="s">
        <v>1116</v>
      </c>
      <c r="B16955" s="0" t="s">
        <v>98</v>
      </c>
      <c r="E16955" s="6" t="n">
        <f aca="false">Q!M35-Q!M36-Q!M44</f>
        <v>63.886</v>
      </c>
      <c r="F16955" s="6" t="n">
        <f aca="false">Sens!F16948-Sens!F16952-Sens!F16954</f>
        <v>7.8440332058357</v>
      </c>
      <c r="G16955" s="6" t="n">
        <f aca="false">Sens!G16948-Sens!G16952-Sens!G16954</f>
        <v>9.40591457355372</v>
      </c>
      <c r="H16955" s="6" t="n">
        <f aca="false">Sens!H16948-Sens!H16952-Sens!H16954</f>
        <v>34.0226076317587</v>
      </c>
      <c r="I16955" s="6" t="n">
        <f aca="false">Sens!I16948-Sens!I16952-Sens!I16954</f>
        <v>94.9067751575962</v>
      </c>
      <c r="J16955" s="6" t="n">
        <f aca="false">Sens!J16948-Sens!J16952-Sens!J16954</f>
        <v>161.473442199415</v>
      </c>
      <c r="K16955" s="6" t="n">
        <f aca="false">Sens!K16948-Sens!K16952-Sens!K16954</f>
        <v>193.090631931601</v>
      </c>
      <c r="L16955" s="12" t="s">
        <v>1117</v>
      </c>
    </row>
    <row r="16956" customFormat="false" ht="15" hidden="false" customHeight="false" outlineLevel="0" collapsed="false">
      <c r="A16956" s="1" t="s">
        <v>1118</v>
      </c>
      <c r="B16956" s="0" t="s">
        <v>75</v>
      </c>
      <c r="F16956" s="8" t="n">
        <f aca="false">dps_27</f>
        <v>3.85</v>
      </c>
      <c r="G16956" s="8" t="n">
        <f aca="false">Sens!F16956*(1+dps_g)</f>
        <v>4.158</v>
      </c>
      <c r="H16956" s="8" t="n">
        <f aca="false">Sens!G16956*(1+dps_g)</f>
        <v>4.49064</v>
      </c>
      <c r="I16956" s="8" t="n">
        <f aca="false">Sens!H16956*(1+dps_g)</f>
        <v>4.8498912</v>
      </c>
      <c r="J16956" s="8" t="n">
        <f aca="false">Sens!I16956*(1+dps_g)</f>
        <v>5.237882496</v>
      </c>
      <c r="K16956" s="8" t="n">
        <f aca="false">Sens!J16956*(1+dps_g)</f>
        <v>5.65691309568</v>
      </c>
    </row>
    <row r="16957" customFormat="false" ht="17.15" hidden="false" customHeight="false" outlineLevel="0" collapsed="false">
      <c r="A16957" s="1" t="s">
        <v>1119</v>
      </c>
      <c r="B16957" s="0" t="s">
        <v>98</v>
      </c>
      <c r="E16957" s="6" t="n">
        <f aca="false">Q!M41</f>
        <v>26.445</v>
      </c>
      <c r="F16957" s="6" t="n">
        <f aca="false">Sens!F16956*Sens!E16966</f>
        <v>28.59395</v>
      </c>
      <c r="G16957" s="6" t="n">
        <f aca="false">Sens!G16956*Sens!F16966</f>
        <v>31.068576</v>
      </c>
      <c r="H16957" s="6" t="n">
        <f aca="false">Sens!H16956*Sens!G16966</f>
        <v>33.75614088</v>
      </c>
      <c r="I16957" s="6" t="n">
        <f aca="false">Sens!I16956*Sens!H16966</f>
        <v>36.6748772544</v>
      </c>
      <c r="J16957" s="6" t="n">
        <f aca="false">Sens!J16956*Sens!I16966</f>
        <v>39.6767653201446</v>
      </c>
      <c r="K16957" s="6" t="n">
        <f aca="false">Sens!K16956*Sens!J16966</f>
        <v>42.9376608081345</v>
      </c>
      <c r="L16957" s="1" t="s">
        <v>1120</v>
      </c>
    </row>
    <row r="16958" customFormat="false" ht="15" hidden="false" customHeight="false" outlineLevel="0" collapsed="false">
      <c r="A16958" s="1" t="s">
        <v>1121</v>
      </c>
      <c r="B16958" s="0" t="s">
        <v>98</v>
      </c>
      <c r="E16958" s="6" t="n">
        <f aca="false">Sens!E16955-Sens!E16957</f>
        <v>37.441</v>
      </c>
      <c r="F16958" s="6" t="n">
        <f aca="false">Sens!F16955-Sens!F16957</f>
        <v>-20.7499167941643</v>
      </c>
      <c r="G16958" s="6" t="n">
        <f aca="false">Sens!G16955-Sens!G16957</f>
        <v>-21.6626614264463</v>
      </c>
      <c r="H16958" s="6" t="n">
        <f aca="false">Sens!H16955-Sens!H16957</f>
        <v>0.266466751758742</v>
      </c>
      <c r="I16958" s="6" t="n">
        <f aca="false">Sens!I16955-Sens!I16957</f>
        <v>58.2318979031962</v>
      </c>
      <c r="J16958" s="6" t="n">
        <f aca="false">Sens!J16955-Sens!J16957</f>
        <v>121.796676879271</v>
      </c>
      <c r="K16958" s="6" t="n">
        <f aca="false">Sens!K16955-Sens!K16957</f>
        <v>150.152971123467</v>
      </c>
    </row>
    <row r="16959" customFormat="false" ht="15" hidden="false" customHeight="false" outlineLevel="0" collapsed="false">
      <c r="A16959" s="1" t="s">
        <v>1122</v>
      </c>
      <c r="B16959" s="0" t="s">
        <v>98</v>
      </c>
      <c r="F16959" s="6" t="n">
        <f aca="false">debt_mat_27</f>
        <v>9.25</v>
      </c>
      <c r="G16959" s="6" t="n">
        <f aca="false">debt_mat_28</f>
        <v>0</v>
      </c>
      <c r="H16959" s="6" t="n">
        <f aca="false">debt_mat_29</f>
        <v>2.001</v>
      </c>
      <c r="I16959" s="6" t="n">
        <f aca="false">debt_mat_30</f>
        <v>0</v>
      </c>
      <c r="J16959" s="6" t="n">
        <f aca="false">debt_mat_31</f>
        <v>0.5</v>
      </c>
      <c r="K16959" s="6" t="n">
        <f aca="false">debt_mat_32</f>
        <v>0</v>
      </c>
    </row>
    <row r="16960" customFormat="false" ht="15" hidden="false" customHeight="false" outlineLevel="0" collapsed="false">
      <c r="A16960" s="1" t="s">
        <v>1123</v>
      </c>
      <c r="B16960" s="0" t="s">
        <v>98</v>
      </c>
      <c r="E16960" s="6" t="n">
        <f aca="false">Q!M40</f>
        <v>22.271</v>
      </c>
      <c r="F16960" s="6" t="n">
        <f aca="false">MAX(0,MIN(bb_target,Sens!E16962+Sens!F16958-Sens!F16959-min_cash))</f>
        <v>0</v>
      </c>
      <c r="G16960" s="6" t="n">
        <f aca="false">MAX(0,MIN(bb_target,Sens!F16962+Sens!G16958-Sens!G16959-min_cash))</f>
        <v>0</v>
      </c>
      <c r="H16960" s="6" t="n">
        <f aca="false">MAX(0,MIN(bb_target,Sens!G16962+Sens!H16958-Sens!H16959-min_cash))</f>
        <v>0</v>
      </c>
      <c r="I16960" s="6" t="n">
        <f aca="false">MAX(0,MIN(bb_target,Sens!H16962+Sens!I16958-Sens!I16959-min_cash))</f>
        <v>22.271</v>
      </c>
      <c r="J16960" s="6" t="n">
        <f aca="false">MAX(0,MIN(bb_target,Sens!I16962+Sens!J16958-Sens!J16959-min_cash))</f>
        <v>22.271</v>
      </c>
      <c r="K16960" s="6" t="n">
        <f aca="false">MAX(0,MIN(bb_target,Sens!J16962+Sens!K16958-Sens!K16959-min_cash))</f>
        <v>22.271</v>
      </c>
    </row>
    <row r="16961" customFormat="false" ht="15" hidden="false" customHeight="false" outlineLevel="0" collapsed="false">
      <c r="A16961" s="1" t="s">
        <v>1124</v>
      </c>
      <c r="B16961" s="0" t="s">
        <v>98</v>
      </c>
      <c r="F16961" s="6" t="n">
        <f aca="false">MAX(0,min_cash-(Sens!E16962+Sens!F16958-Sens!F16959-Sens!F16960))</f>
        <v>3.1569167941643</v>
      </c>
      <c r="G16961" s="6" t="n">
        <f aca="false">MAX(0,min_cash-(Sens!F16962+Sens!G16958-Sens!G16959-Sens!G16960))</f>
        <v>21.6626614264463</v>
      </c>
      <c r="H16961" s="6" t="n">
        <f aca="false">MAX(0,min_cash-(Sens!G16962+Sens!H16958-Sens!H16959-Sens!H16960))</f>
        <v>1.73453324824126</v>
      </c>
      <c r="I16961" s="6" t="n">
        <f aca="false">MAX(0,min_cash-(Sens!H16962+Sens!I16958-Sens!I16959-Sens!I16960))</f>
        <v>0</v>
      </c>
      <c r="J16961" s="6" t="n">
        <f aca="false">MAX(0,min_cash-(Sens!I16962+Sens!J16958-Sens!J16959-Sens!J16960))</f>
        <v>0</v>
      </c>
      <c r="K16961" s="6" t="n">
        <f aca="false">MAX(0,min_cash-(Sens!J16962+Sens!K16958-Sens!K16959-Sens!K16960))</f>
        <v>0</v>
      </c>
    </row>
    <row r="16962" customFormat="false" ht="15" hidden="false" customHeight="false" outlineLevel="0" collapsed="false">
      <c r="A16962" s="1" t="s">
        <v>1125</v>
      </c>
      <c r="B16962" s="0" t="s">
        <v>98</v>
      </c>
      <c r="E16962" s="6" t="n">
        <f aca="false">cash_open</f>
        <v>76.843</v>
      </c>
      <c r="F16962" s="6" t="n">
        <f aca="false">Sens!E16962+Sens!F16958-Sens!F16959-Sens!F16960+Sens!F16961</f>
        <v>50</v>
      </c>
      <c r="G16962" s="6" t="n">
        <f aca="false">Sens!F16962+Sens!G16958-Sens!G16959-Sens!G16960+Sens!G16961</f>
        <v>50</v>
      </c>
      <c r="H16962" s="6" t="n">
        <f aca="false">Sens!G16962+Sens!H16958-Sens!H16959-Sens!H16960+Sens!H16961</f>
        <v>50</v>
      </c>
      <c r="I16962" s="6" t="n">
        <f aca="false">Sens!H16962+Sens!I16958-Sens!I16959-Sens!I16960+Sens!I16961</f>
        <v>85.9608979031962</v>
      </c>
      <c r="J16962" s="6" t="n">
        <f aca="false">Sens!I16962+Sens!J16958-Sens!J16959-Sens!J16960+Sens!J16961</f>
        <v>184.986574782467</v>
      </c>
      <c r="K16962" s="6" t="n">
        <f aca="false">Sens!J16962+Sens!K16958-Sens!K16959-Sens!K16960+Sens!K16961</f>
        <v>312.868545905934</v>
      </c>
    </row>
    <row r="16963" customFormat="false" ht="15" hidden="false" customHeight="false" outlineLevel="0" collapsed="false">
      <c r="A16963" s="1" t="s">
        <v>1126</v>
      </c>
      <c r="B16963" s="0" t="s">
        <v>98</v>
      </c>
      <c r="E16963" s="6" t="n">
        <f aca="false">debt_face</f>
        <v>46.136</v>
      </c>
      <c r="F16963" s="6" t="n">
        <f aca="false">Sens!E16963-Sens!F16959+Sens!F16961</f>
        <v>40.0429167941643</v>
      </c>
      <c r="G16963" s="6" t="n">
        <f aca="false">Sens!F16963-Sens!G16959+Sens!G16961</f>
        <v>61.7055782206106</v>
      </c>
      <c r="H16963" s="6" t="n">
        <f aca="false">Sens!G16963-Sens!H16959+Sens!H16961</f>
        <v>61.4391114688519</v>
      </c>
      <c r="I16963" s="6" t="n">
        <f aca="false">Sens!H16963-Sens!I16959+Sens!I16961</f>
        <v>61.4391114688519</v>
      </c>
      <c r="J16963" s="6" t="n">
        <f aca="false">Sens!I16963-Sens!J16959+Sens!J16961</f>
        <v>60.9391114688519</v>
      </c>
      <c r="K16963" s="6" t="n">
        <f aca="false">Sens!J16963-Sens!K16959+Sens!K16961</f>
        <v>60.9391114688519</v>
      </c>
    </row>
    <row r="16964" customFormat="false" ht="15" hidden="false" customHeight="false" outlineLevel="0" collapsed="false">
      <c r="A16964" s="1" t="s">
        <v>1127</v>
      </c>
      <c r="B16964" s="0" t="s">
        <v>98</v>
      </c>
      <c r="E16964" s="6" t="n">
        <f aca="false">Sens!E16962-Sens!E16963</f>
        <v>30.707</v>
      </c>
      <c r="F16964" s="6" t="n">
        <f aca="false">Sens!F16962-Sens!F16963</f>
        <v>9.95708320583569</v>
      </c>
      <c r="G16964" s="6" t="n">
        <f aca="false">Sens!G16962-Sens!G16963</f>
        <v>-11.7055782206106</v>
      </c>
      <c r="H16964" s="6" t="n">
        <f aca="false">Sens!H16962-Sens!H16963</f>
        <v>-11.4391114688518</v>
      </c>
      <c r="I16964" s="6" t="n">
        <f aca="false">Sens!I16962-Sens!I16963</f>
        <v>24.5217864343444</v>
      </c>
      <c r="J16964" s="6" t="n">
        <f aca="false">Sens!J16962-Sens!J16963</f>
        <v>124.047463313615</v>
      </c>
      <c r="K16964" s="6" t="n">
        <f aca="false">Sens!K16962-Sens!K16963</f>
        <v>251.929434437082</v>
      </c>
    </row>
    <row r="16965" customFormat="false" ht="15" hidden="false" customHeight="false" outlineLevel="0" collapsed="false">
      <c r="A16965" s="1" t="s">
        <v>1128</v>
      </c>
      <c r="B16965" s="0" t="s">
        <v>75</v>
      </c>
      <c r="F16965" s="30" t="n">
        <f aca="false">px*(1+bb_g)^(Sens!F16823-base_fy-mid_yr)</f>
        <v>551.84177959629</v>
      </c>
      <c r="G16965" s="30" t="n">
        <f aca="false">px*(1+bb_g)^(Sens!G16823-base_fy-mid_yr)</f>
        <v>595.989121963993</v>
      </c>
      <c r="H16965" s="30" t="n">
        <f aca="false">px*(1+bb_g)^(Sens!H16823-base_fy-mid_yr)</f>
        <v>643.668251721112</v>
      </c>
      <c r="I16965" s="30" t="n">
        <f aca="false">px*(1+bb_g)^(Sens!I16823-base_fy-mid_yr)</f>
        <v>695.161711858801</v>
      </c>
      <c r="J16965" s="30" t="n">
        <f aca="false">px*(1+bb_g)^(Sens!J16823-base_fy-mid_yr)</f>
        <v>750.774648807506</v>
      </c>
      <c r="K16965" s="30" t="n">
        <f aca="false">px*(1+bb_g)^(Sens!K16823-base_fy-mid_yr)</f>
        <v>810.836620712106</v>
      </c>
    </row>
    <row r="16966" customFormat="false" ht="15" hidden="false" customHeight="false" outlineLevel="0" collapsed="false">
      <c r="A16966" s="1" t="s">
        <v>1129</v>
      </c>
      <c r="B16966" s="1" t="s">
        <v>81</v>
      </c>
      <c r="E16966" s="15" t="n">
        <f aca="false">sh_out26</f>
        <v>7.427</v>
      </c>
      <c r="F16966" s="15" t="n">
        <f aca="false">Sens!E16966+sh_iss-Sens!F16960/Sens!F16965</f>
        <v>7.472</v>
      </c>
      <c r="G16966" s="15" t="n">
        <f aca="false">Sens!F16966+sh_iss-Sens!G16960/Sens!G16965</f>
        <v>7.517</v>
      </c>
      <c r="H16966" s="15" t="n">
        <f aca="false">Sens!G16966+sh_iss-Sens!H16960/Sens!H16965</f>
        <v>7.562</v>
      </c>
      <c r="I16966" s="15" t="n">
        <f aca="false">Sens!H16966+sh_iss-Sens!I16960/Sens!I16965</f>
        <v>7.57496285005334</v>
      </c>
      <c r="J16966" s="15" t="n">
        <f aca="false">Sens!I16966+sh_iss-Sens!J16960/Sens!J16965</f>
        <v>7.59029882232494</v>
      </c>
      <c r="K16966" s="15" t="n">
        <f aca="false">Sens!J16966+sh_iss-Sens!K16960/Sens!K16965</f>
        <v>7.60783212998384</v>
      </c>
    </row>
    <row r="16967" customFormat="false" ht="15" hidden="false" customHeight="false" outlineLevel="0" collapsed="false">
      <c r="A16967" s="1" t="s">
        <v>1130</v>
      </c>
      <c r="B16967" s="1" t="s">
        <v>81</v>
      </c>
      <c r="E16967" s="15" t="n">
        <f aca="false">sh_dil26</f>
        <v>7.453</v>
      </c>
      <c r="F16967" s="15" t="n">
        <f aca="false">(Sens!E16966+Sens!F16966)/2+dil_gap</f>
        <v>7.4735</v>
      </c>
      <c r="G16967" s="15" t="n">
        <f aca="false">(Sens!F16966+Sens!G16966)/2+dil_gap</f>
        <v>7.5185</v>
      </c>
      <c r="H16967" s="15" t="n">
        <f aca="false">(Sens!G16966+Sens!H16966)/2+dil_gap</f>
        <v>7.5635</v>
      </c>
      <c r="I16967" s="15" t="n">
        <f aca="false">(Sens!H16966+Sens!I16966)/2+dil_gap</f>
        <v>7.59248142502667</v>
      </c>
      <c r="J16967" s="15" t="n">
        <f aca="false">(Sens!I16966+Sens!J16966)/2+dil_gap</f>
        <v>7.60663083618914</v>
      </c>
      <c r="K16967" s="15" t="n">
        <f aca="false">(Sens!J16966+Sens!K16966)/2+dil_gap</f>
        <v>7.62306547615439</v>
      </c>
    </row>
    <row r="16968" customFormat="false" ht="17.15" hidden="false" customHeight="false" outlineLevel="0" collapsed="false">
      <c r="A16968" s="1" t="s">
        <v>1131</v>
      </c>
      <c r="B16968" s="0" t="s">
        <v>98</v>
      </c>
      <c r="C16968" s="6" t="n">
        <f aca="false">SUM(Sens!F16958:J16958)</f>
        <v>137.882463313615</v>
      </c>
    </row>
    <row r="16969" customFormat="false" ht="15" hidden="false" customHeight="false" outlineLevel="0" collapsed="false">
      <c r="A16969" s="26" t="s">
        <v>1096</v>
      </c>
      <c r="B16969" s="31" t="s">
        <v>98</v>
      </c>
      <c r="C16969" s="27" t="n">
        <f aca="false">Sens!$C$16968-(Sens!F16958+Sens!G16958+Sens!H16958+Sens!I16958+Sens!J16958)</f>
        <v>0</v>
      </c>
      <c r="D16969" s="31"/>
      <c r="E16969" s="31"/>
      <c r="F16969" s="31"/>
      <c r="G16969" s="31"/>
      <c r="H16969" s="31"/>
      <c r="I16969" s="31"/>
      <c r="J16969" s="31"/>
      <c r="K16969" s="31"/>
    </row>
    <row r="16970" customFormat="false" ht="17.15" hidden="false" customHeight="false" outlineLevel="0" collapsed="false">
      <c r="A16970" s="1" t="s">
        <v>1090</v>
      </c>
      <c r="B16970" s="1" t="s">
        <v>1132</v>
      </c>
      <c r="C16970" s="33" t="str">
        <f aca="false">IF(SUM(Sens!F16961:J16961)&gt;0.05,"需要舉債 "&amp;TEXT(SUM(Sens!F16961:J16961),"0.0")&amp;" 十億美元","不需舉債")&amp;"；"&amp;IF(SUM(Sens!F16960:J16960)&lt;COUNT(Sens!F16960:J16960)*bb_target-0.05,"回購較每年 "&amp;TEXT(bb_target,"0.0")&amp;" 的目標少 "&amp;TEXT(COUNT(Sens!F16960:J16960)*bb_target-SUM(Sens!F16960:J16960),"0.0")&amp;" 十億美元（"&amp;TEXT(COUNTIF(Sens!F16960:J16960,"&lt;"&amp;(bb_target-0.05)),"0")&amp;" 年減少）","回購不減")</f>
        <v>需要舉債 26.6 十億美元；回購較每年 22.3 的目標少 66.8 十億美元（3 年減少）</v>
      </c>
    </row>
    <row r="16971" customFormat="false" ht="17.15" hidden="false" customHeight="false" outlineLevel="0" collapsed="false">
      <c r="A16971" s="3" t="s">
        <v>1898</v>
      </c>
    </row>
    <row r="16972" customFormat="false" ht="15" hidden="false" customHeight="false" outlineLevel="0" collapsed="false">
      <c r="A16972" s="4" t="s">
        <v>43</v>
      </c>
      <c r="B16972" s="4" t="s">
        <v>65</v>
      </c>
      <c r="C16972" s="23" t="s">
        <v>938</v>
      </c>
      <c r="D16972" s="23" t="s">
        <v>939</v>
      </c>
      <c r="E16972" s="23" t="s">
        <v>940</v>
      </c>
      <c r="F16972" s="23" t="s">
        <v>941</v>
      </c>
      <c r="G16972" s="23" t="s">
        <v>942</v>
      </c>
      <c r="H16972" s="23" t="s">
        <v>943</v>
      </c>
      <c r="I16972" s="23" t="s">
        <v>944</v>
      </c>
      <c r="J16972" s="23" t="s">
        <v>945</v>
      </c>
      <c r="K16972" s="23" t="s">
        <v>946</v>
      </c>
      <c r="L16972" s="4" t="s">
        <v>47</v>
      </c>
    </row>
    <row r="16973" customFormat="false" ht="17.15" hidden="false" customHeight="false" outlineLevel="0" collapsed="false">
      <c r="A16973" s="1" t="s">
        <v>1212</v>
      </c>
      <c r="B16973" s="1" t="s">
        <v>279</v>
      </c>
      <c r="F16973" s="8" t="n">
        <f aca="false">(1-v_off)*mid_yr</f>
        <v>0.373972602739726</v>
      </c>
      <c r="G16973" s="8" t="n">
        <f aca="false">Sens!G16823-base_fy-mid_yr-v_off</f>
        <v>1.24794520547945</v>
      </c>
      <c r="H16973" s="8" t="n">
        <f aca="false">Sens!H16823-base_fy-mid_yr-v_off</f>
        <v>2.24794520547945</v>
      </c>
      <c r="I16973" s="8" t="n">
        <f aca="false">Sens!I16823-base_fy-mid_yr-v_off</f>
        <v>3.24794520547945</v>
      </c>
      <c r="J16973" s="8" t="n">
        <f aca="false">Sens!J16823-base_fy-mid_yr-v_off</f>
        <v>4.24794520547945</v>
      </c>
      <c r="K16973" s="8" t="n">
        <f aca="false">Sens!K16823-base_fy-mid_yr-v_off</f>
        <v>5.24794520547945</v>
      </c>
      <c r="L16973" s="12" t="s">
        <v>1213</v>
      </c>
    </row>
    <row r="16974" customFormat="false" ht="15" hidden="false" customHeight="false" outlineLevel="0" collapsed="false">
      <c r="A16974" s="1" t="s">
        <v>1214</v>
      </c>
      <c r="B16974" s="1" t="s">
        <v>279</v>
      </c>
      <c r="F16974" s="8" t="n">
        <f aca="false">Sens!F16823-base_fy-v_off</f>
        <v>0.747945205479452</v>
      </c>
      <c r="G16974" s="8" t="n">
        <f aca="false">Sens!G16823-base_fy-v_off</f>
        <v>1.74794520547945</v>
      </c>
      <c r="H16974" s="8" t="n">
        <f aca="false">Sens!H16823-base_fy-v_off</f>
        <v>2.74794520547945</v>
      </c>
      <c r="I16974" s="8" t="n">
        <f aca="false">Sens!I16823-base_fy-v_off</f>
        <v>3.74794520547945</v>
      </c>
      <c r="J16974" s="8" t="n">
        <f aca="false">Sens!J16823-base_fy-v_off</f>
        <v>4.74794520547945</v>
      </c>
      <c r="K16974" s="8" t="n">
        <f aca="false">Sens!K16823-base_fy-v_off</f>
        <v>5.74794520547945</v>
      </c>
    </row>
    <row r="16975" customFormat="false" ht="15" hidden="false" customHeight="false" outlineLevel="0" collapsed="false">
      <c r="A16975" s="1" t="s">
        <v>1215</v>
      </c>
      <c r="B16975" s="0" t="s">
        <v>229</v>
      </c>
      <c r="F16975" s="15" t="n">
        <f aca="false">1/(1+wacc)^Sens!F16973</f>
        <v>0.964022703286649</v>
      </c>
      <c r="G16975" s="15" t="n">
        <f aca="false">1/(1+wacc)^Sens!G16973</f>
        <v>0.884910302296739</v>
      </c>
      <c r="H16975" s="15" t="n">
        <f aca="false">1/(1+wacc)^Sens!H16973</f>
        <v>0.802322009770358</v>
      </c>
      <c r="I16975" s="15" t="n">
        <f aca="false">1/(1+wacc)^Sens!I16973</f>
        <v>0.727441646561469</v>
      </c>
      <c r="J16975" s="15" t="n">
        <f aca="false">1/(1+wacc)^Sens!J16973</f>
        <v>0.659549834988973</v>
      </c>
      <c r="K16975" s="15" t="n">
        <f aca="false">1/(1+wacc)^Sens!K16973</f>
        <v>0.597994336576966</v>
      </c>
    </row>
    <row r="16976" customFormat="false" ht="17.15" hidden="false" customHeight="false" outlineLevel="0" collapsed="false">
      <c r="A16976" s="1" t="s">
        <v>1216</v>
      </c>
      <c r="B16976" s="0" t="s">
        <v>98</v>
      </c>
      <c r="F16976" s="6" t="n">
        <f aca="false">Q!$I$35-Q!$I$39-Q!$I$43</f>
        <v>9.666</v>
      </c>
      <c r="L16976" s="12" t="s">
        <v>1217</v>
      </c>
    </row>
    <row r="16977" customFormat="false" ht="17.15" hidden="false" customHeight="false" outlineLevel="0" collapsed="false">
      <c r="A16977" s="1" t="s">
        <v>1218</v>
      </c>
      <c r="B16977" s="0" t="s">
        <v>98</v>
      </c>
      <c r="F16977" s="6" t="n">
        <f aca="false">Sens!F16948-Sens!F16945-Sens!F16952+Sens!F16930*(1-tax_f)*(1-v_off)-Sens!F16976</f>
        <v>-9.09913858273222</v>
      </c>
      <c r="G16977" s="6" t="n">
        <f aca="false">Sens!G16948-Sens!G16945-Sens!G16952+Sens!G16930*(1-tax_f)</f>
        <v>14.8639694600732</v>
      </c>
      <c r="H16977" s="6" t="n">
        <f aca="false">Sens!H16948-Sens!H16945-Sens!H16952+Sens!H16930*(1-tax_f)</f>
        <v>51.6810980940908</v>
      </c>
      <c r="I16977" s="6" t="n">
        <f aca="false">Sens!I16948-Sens!I16945-Sens!I16952+Sens!I16930*(1-tax_f)</f>
        <v>123.587924341105</v>
      </c>
      <c r="J16977" s="6" t="n">
        <f aca="false">Sens!J16948-Sens!J16945-Sens!J16952+Sens!J16930*(1-tax_f)</f>
        <v>197.58741690501</v>
      </c>
      <c r="K16977" s="6" t="n">
        <f aca="false">Sens!K16948-Sens!K16945-Sens!K16952+Sens!K16930*(1-tax_f)</f>
        <v>233.093440001424</v>
      </c>
      <c r="L16977" s="1" t="s">
        <v>1219</v>
      </c>
    </row>
    <row r="16978" customFormat="false" ht="15" hidden="false" customHeight="false" outlineLevel="0" collapsed="false">
      <c r="A16978" s="1" t="s">
        <v>1220</v>
      </c>
      <c r="B16978" s="0" t="s">
        <v>98</v>
      </c>
      <c r="F16978" s="6" t="n">
        <f aca="false">Sens!F16977*Sens!F16975</f>
        <v>-8.77177617410536</v>
      </c>
      <c r="G16978" s="6" t="n">
        <f aca="false">Sens!G16977*Sens!G16975</f>
        <v>13.1532797082429</v>
      </c>
      <c r="H16978" s="6" t="n">
        <f aca="false">Sens!H16977*Sens!H16975</f>
        <v>41.46488248999</v>
      </c>
      <c r="I16978" s="6" t="n">
        <f aca="false">Sens!I16977*Sens!I16975</f>
        <v>89.9030031778077</v>
      </c>
      <c r="J16978" s="6" t="n">
        <f aca="false">Sens!J16977*Sens!J16975</f>
        <v>130.318748215597</v>
      </c>
      <c r="K16978" s="6" t="n">
        <f aca="false">Sens!K16977*Sens!K16975</f>
        <v>139.388557014094</v>
      </c>
    </row>
    <row r="16979" customFormat="false" ht="17.15" hidden="false" customHeight="false" outlineLevel="0" collapsed="false">
      <c r="A16979" s="1" t="s">
        <v>1221</v>
      </c>
      <c r="B16979" s="0" t="s">
        <v>98</v>
      </c>
      <c r="C16979" s="6" t="n">
        <f aca="false">SUM(Sens!F16978:K16978)</f>
        <v>405.456694431626</v>
      </c>
    </row>
    <row r="16980" customFormat="false" ht="17.15" hidden="false" customHeight="false" outlineLevel="0" collapsed="false">
      <c r="A16980" s="1" t="s">
        <v>1222</v>
      </c>
      <c r="B16980" s="0" t="s">
        <v>98</v>
      </c>
      <c r="C16980" s="6" t="n">
        <f aca="false">Sens!K16916*(1+g_tv)*(1-tax_f)</f>
        <v>242.516355283446</v>
      </c>
    </row>
    <row r="16981" customFormat="false" ht="17.15" hidden="false" customHeight="false" outlineLevel="0" collapsed="false">
      <c r="A16981" s="1" t="s">
        <v>1223</v>
      </c>
      <c r="B16981" s="0" t="s">
        <v>98</v>
      </c>
      <c r="C16981" s="6" t="n">
        <f aca="false">Sens!$C$16980*(1-g_tv/(wacc+ronic_prem))</f>
        <v>171.837011896714</v>
      </c>
    </row>
    <row r="16982" customFormat="false" ht="17.15" hidden="false" customHeight="false" outlineLevel="0" collapsed="false">
      <c r="A16982" s="1" t="s">
        <v>1224</v>
      </c>
      <c r="B16982" s="0" t="s">
        <v>98</v>
      </c>
      <c r="C16982" s="6" t="n">
        <f aca="false">Sens!$C$16981/(wacc-g_tv)</f>
        <v>2355.97811289104</v>
      </c>
    </row>
    <row r="16983" customFormat="false" ht="15" hidden="false" customHeight="false" outlineLevel="0" collapsed="false">
      <c r="A16983" s="1" t="s">
        <v>1225</v>
      </c>
      <c r="B16983" s="0" t="s">
        <v>98</v>
      </c>
      <c r="C16983" s="6" t="n">
        <f aca="false">Sens!$C$16982/(1+wacc)^Sens!K16974</f>
        <v>1341.50732974848</v>
      </c>
    </row>
    <row r="16984" customFormat="false" ht="17.15" hidden="false" customHeight="false" outlineLevel="0" collapsed="false">
      <c r="A16984" s="0" t="s">
        <v>1226</v>
      </c>
      <c r="B16984" s="0" t="s">
        <v>98</v>
      </c>
      <c r="C16984" s="6" t="n">
        <f aca="false">Sens!$C$16979+Sens!$C$16983</f>
        <v>1746.96402418011</v>
      </c>
    </row>
    <row r="16985" customFormat="false" ht="15" hidden="false" customHeight="false" outlineLevel="0" collapsed="false">
      <c r="A16985" s="1" t="s">
        <v>1141</v>
      </c>
      <c r="B16985" s="0" t="s">
        <v>168</v>
      </c>
      <c r="C16985" s="7" t="n">
        <f aca="false">Sens!$C$16983/Sens!$C$16984</f>
        <v>0.767907816749738</v>
      </c>
    </row>
    <row r="16986" customFormat="false" ht="17.15" hidden="false" customHeight="false" outlineLevel="0" collapsed="false">
      <c r="A16986" s="1" t="s">
        <v>1227</v>
      </c>
      <c r="B16986" s="0" t="s">
        <v>98</v>
      </c>
      <c r="C16986" s="6" t="n">
        <f aca="false">Sens!$C$16984+cash_val-debt_val-fl_val+oai_v</f>
        <v>1862.81502418011</v>
      </c>
    </row>
    <row r="16987" customFormat="false" ht="17.15" hidden="false" customHeight="false" outlineLevel="0" collapsed="false">
      <c r="A16987" s="0" t="s">
        <v>1149</v>
      </c>
      <c r="B16987" s="0" t="s">
        <v>75</v>
      </c>
      <c r="C16987" s="5" t="n">
        <f aca="false">Sens!$C$16986/shd_val</f>
        <v>250.176608135927</v>
      </c>
    </row>
    <row r="16988" customFormat="false" ht="15" hidden="false" customHeight="false" outlineLevel="0" collapsed="false">
      <c r="A16988" s="1" t="s">
        <v>1228</v>
      </c>
      <c r="B16988" s="0" t="s">
        <v>75</v>
      </c>
      <c r="C16988" s="8" t="n">
        <f aca="false">div_rem27+Sens!G16956*roll_div_q/q_per_yr</f>
        <v>3.9795</v>
      </c>
    </row>
    <row r="16989" customFormat="false" ht="17.15" hidden="false" customHeight="false" outlineLevel="0" collapsed="false">
      <c r="A16989" s="0" t="s">
        <v>1229</v>
      </c>
      <c r="B16989" s="0" t="s">
        <v>75</v>
      </c>
      <c r="C16989" s="5" t="n">
        <f aca="false">Sens!$C$16987*(1+wacc)^t_roll-Sens!$C$16988</f>
        <v>274.105762485669</v>
      </c>
    </row>
    <row r="16990" customFormat="false" ht="17.15" hidden="false" customHeight="false" outlineLevel="0" collapsed="false">
      <c r="A16990" s="1" t="s">
        <v>1230</v>
      </c>
      <c r="B16990" s="0" t="s">
        <v>168</v>
      </c>
      <c r="F16990" s="7" t="n">
        <f aca="false">Sens!F16942/(Sens!F16887-Sens!F16842)</f>
        <v>0.068677393452264</v>
      </c>
      <c r="G16990" s="7" t="n">
        <f aca="false">Sens!G16942/(Sens!G16887-Sens!G16842)</f>
        <v>0.0663132664471956</v>
      </c>
      <c r="H16990" s="7" t="n">
        <f aca="false">Sens!H16942/(Sens!H16887-Sens!H16842)</f>
        <v>0.0651363826734039</v>
      </c>
      <c r="I16990" s="7" t="n">
        <f aca="false">Sens!I16942/(Sens!I16887-Sens!I16842)</f>
        <v>0.0650087936347709</v>
      </c>
      <c r="J16990" s="7" t="n">
        <f aca="false">Sens!J16942/(Sens!J16887-Sens!J16842)</f>
        <v>0.0657212684841778</v>
      </c>
      <c r="K16990" s="7" t="n">
        <f aca="false">Sens!K16942/(Sens!K16887-Sens!K16842)</f>
        <v>0.0670413306015285</v>
      </c>
    </row>
    <row r="16991" customFormat="false" ht="17.15" hidden="false" customHeight="false" outlineLevel="0" collapsed="false">
      <c r="A16991" s="0" t="s">
        <v>1231</v>
      </c>
      <c r="B16991" s="0" t="s">
        <v>98</v>
      </c>
      <c r="F16991" s="6" t="n">
        <f aca="false">Sens!F16872*(al_m365+Sens!F16990+sbc_r)</f>
        <v>82.9185219618347</v>
      </c>
      <c r="G16991" s="6" t="n">
        <f aca="false">Sens!G16872*(al_m365+Sens!G16990+sbc_r)</f>
        <v>93.3068052157631</v>
      </c>
      <c r="H16991" s="6" t="n">
        <f aca="false">Sens!H16872*(al_m365+Sens!H16990+sbc_r)</f>
        <v>103.856057136159</v>
      </c>
      <c r="I16991" s="6" t="n">
        <f aca="false">Sens!I16872*(al_m365+Sens!I16990+sbc_r)</f>
        <v>113.889717587147</v>
      </c>
      <c r="J16991" s="6" t="n">
        <f aca="false">Sens!J16872*(al_m365+Sens!J16990+sbc_r)</f>
        <v>123.218477864124</v>
      </c>
      <c r="K16991" s="6" t="n">
        <f aca="false">Sens!K16872*(al_m365+Sens!K16990+sbc_r)</f>
        <v>132.149420086311</v>
      </c>
      <c r="L16991" s="12" t="s">
        <v>1232</v>
      </c>
    </row>
    <row r="16992" customFormat="false" ht="17.15" hidden="false" customHeight="false" outlineLevel="0" collapsed="false">
      <c r="A16992" s="0" t="s">
        <v>1233</v>
      </c>
      <c r="B16992" s="0" t="s">
        <v>98</v>
      </c>
      <c r="F16992" s="6" t="n">
        <f aca="false">Sens!F16873*(al_lic+Sens!F16990+sbc_r)</f>
        <v>32.8599853992256</v>
      </c>
      <c r="G16992" s="6" t="n">
        <f aca="false">Sens!G16873*(al_lic+Sens!G16990+sbc_r)</f>
        <v>34.1568280697879</v>
      </c>
      <c r="H16992" s="6" t="n">
        <f aca="false">Sens!H16873*(al_lic+Sens!H16990+sbc_r)</f>
        <v>35.3635535007213</v>
      </c>
      <c r="I16992" s="6" t="n">
        <f aca="false">Sens!I16873*(al_lic+Sens!I16990+sbc_r)</f>
        <v>36.4604537346553</v>
      </c>
      <c r="J16992" s="6" t="n">
        <f aca="false">Sens!J16873*(al_lic+Sens!J16990+sbc_r)</f>
        <v>37.4245888933574</v>
      </c>
      <c r="K16992" s="6" t="n">
        <f aca="false">Sens!K16873*(al_lic+Sens!K16990+sbc_r)</f>
        <v>38.2321483186439</v>
      </c>
    </row>
    <row r="16993" customFormat="false" ht="17.15" hidden="false" customHeight="false" outlineLevel="0" collapsed="false">
      <c r="A16993" s="0" t="s">
        <v>1234</v>
      </c>
      <c r="B16993" s="0" t="s">
        <v>98</v>
      </c>
      <c r="F16993" s="6" t="n">
        <f aca="false">Sens!F16875*(al_ind+Sens!F16990+sbc_r)</f>
        <v>9.06170747885803</v>
      </c>
      <c r="G16993" s="6" t="n">
        <f aca="false">Sens!G16875*(al_ind+Sens!G16990+sbc_r)</f>
        <v>9.8478979082138</v>
      </c>
      <c r="H16993" s="6" t="n">
        <f aca="false">Sens!H16875*(al_ind+Sens!H16990+sbc_r)</f>
        <v>10.6768254332059</v>
      </c>
      <c r="I16993" s="6" t="n">
        <f aca="false">Sens!I16875*(al_ind+Sens!I16990+sbc_r)</f>
        <v>11.54398793803</v>
      </c>
      <c r="J16993" s="6" t="n">
        <f aca="false">Sens!J16875*(al_ind+Sens!J16990+sbc_r)</f>
        <v>12.4407914253112</v>
      </c>
      <c r="K16993" s="6" t="n">
        <f aca="false">Sens!K16875*(al_ind+Sens!K16990+sbc_r)</f>
        <v>13.355239066864</v>
      </c>
    </row>
    <row r="16994" customFormat="false" ht="17.15" hidden="false" customHeight="false" outlineLevel="0" collapsed="false">
      <c r="A16994" s="0" t="s">
        <v>1235</v>
      </c>
      <c r="B16994" s="0" t="s">
        <v>98</v>
      </c>
      <c r="F16994" s="6" t="n">
        <f aca="false">Sens!F16877*(al_fro+Sens!F16990+sbc_r)</f>
        <v>3.55453569939552</v>
      </c>
      <c r="G16994" s="6" t="n">
        <f aca="false">Sens!G16877*(al_fro+Sens!G16990+sbc_r)</f>
        <v>3.76809436159872</v>
      </c>
      <c r="H16994" s="6" t="n">
        <f aca="false">Sens!H16877*(al_fro+Sens!H16990+sbc_r)</f>
        <v>4.00964905674607</v>
      </c>
      <c r="I16994" s="6" t="n">
        <f aca="false">Sens!I16877*(al_fro+Sens!I16990+sbc_r)</f>
        <v>4.28152633145235</v>
      </c>
      <c r="J16994" s="6" t="n">
        <f aca="false">Sens!J16877*(al_fro+Sens!J16990+sbc_r)</f>
        <v>4.58536512975975</v>
      </c>
      <c r="K16994" s="6" t="n">
        <f aca="false">Sens!K16877*(al_fro+Sens!K16990+sbc_r)</f>
        <v>4.92240770086468</v>
      </c>
    </row>
    <row r="16995" customFormat="false" ht="17.15" hidden="false" customHeight="false" outlineLevel="0" collapsed="false">
      <c r="A16995" s="0" t="s">
        <v>1236</v>
      </c>
      <c r="B16995" s="0" t="s">
        <v>98</v>
      </c>
      <c r="F16995" s="6" t="n">
        <f aca="false">Sens!F16880*(al_srch+Sens!F16990+sbc_r)</f>
        <v>11.190683952584</v>
      </c>
      <c r="G16995" s="6" t="n">
        <f aca="false">Sens!G16880*(al_srch+Sens!G16990+sbc_r)</f>
        <v>12.2763328717258</v>
      </c>
      <c r="H16995" s="6" t="n">
        <f aca="false">Sens!H16880*(al_srch+Sens!H16990+sbc_r)</f>
        <v>13.4043563346576</v>
      </c>
      <c r="I16995" s="6" t="n">
        <f aca="false">Sens!I16880*(al_srch+Sens!I16990+sbc_r)</f>
        <v>14.5621512181916</v>
      </c>
      <c r="J16995" s="6" t="n">
        <f aca="false">Sens!J16880*(al_srch+Sens!J16990+sbc_r)</f>
        <v>15.7310381862385</v>
      </c>
      <c r="K16995" s="6" t="n">
        <f aca="false">Sens!K16880*(al_srch+Sens!K16990+sbc_r)</f>
        <v>16.8873320486462</v>
      </c>
    </row>
    <row r="16996" customFormat="false" ht="17.15" hidden="false" customHeight="false" outlineLevel="0" collapsed="false">
      <c r="A16996" s="0" t="s">
        <v>1237</v>
      </c>
      <c r="B16996" s="0" t="s">
        <v>98</v>
      </c>
      <c r="F16996" s="6" t="n">
        <f aca="false">Sens!F16848-Sens!F16849+Sens!F16930</f>
        <v>33.9620706395347</v>
      </c>
      <c r="G16996" s="6" t="n">
        <f aca="false">Sens!G16848-Sens!G16849+Sens!G16930</f>
        <v>64.284943423168</v>
      </c>
      <c r="H16996" s="6" t="n">
        <f aca="false">Sens!H16848-Sens!H16849+Sens!H16930</f>
        <v>91.512399750524</v>
      </c>
      <c r="I16996" s="6" t="n">
        <f aca="false">Sens!I16848-Sens!I16849+Sens!I16930</f>
        <v>122.262459472589</v>
      </c>
      <c r="J16996" s="6" t="n">
        <f aca="false">Sens!J16848-Sens!J16849+Sens!J16930</f>
        <v>143.844568987944</v>
      </c>
      <c r="K16996" s="6" t="n">
        <f aca="false">Sens!K16848-Sens!K16849+Sens!K16930</f>
        <v>157.170473198739</v>
      </c>
    </row>
    <row r="16997" customFormat="false" ht="17.15" hidden="false" customHeight="false" outlineLevel="0" collapsed="false">
      <c r="A16997" s="0" t="s">
        <v>1238</v>
      </c>
      <c r="B16997" s="0" t="s">
        <v>98</v>
      </c>
      <c r="F16997" s="6" t="n">
        <f aca="false">Sens!F16909+Sens!F16930+Sens!F16860+Sens!F16990*(Sens!F16879-Sens!F16842)+sbc_r*Sens!F16879</f>
        <v>229.792150941903</v>
      </c>
      <c r="G16997" s="6" t="n">
        <f aca="false">Sens!G16909+Sens!G16930+Sens!G16860+Sens!G16990*(Sens!G16879-Sens!G16842)+sbc_r*Sens!G16879</f>
        <v>280.318498356669</v>
      </c>
      <c r="H16997" s="6" t="n">
        <f aca="false">Sens!H16909+Sens!H16930+Sens!H16860+Sens!H16990*(Sens!H16879-Sens!H16842)+sbc_r*Sens!H16879</f>
        <v>332.956258364244</v>
      </c>
      <c r="I16997" s="6" t="n">
        <f aca="false">Sens!I16909+Sens!I16930+Sens!I16860+Sens!I16990*(Sens!I16879-Sens!I16842)+sbc_r*Sens!I16879</f>
        <v>388.495422233125</v>
      </c>
      <c r="J16997" s="6" t="n">
        <f aca="false">Sens!J16909+Sens!J16930+Sens!J16860+Sens!J16990*(Sens!J16879-Sens!J16842)+sbc_r*Sens!J16879</f>
        <v>432.942847812793</v>
      </c>
      <c r="K16997" s="6" t="n">
        <f aca="false">Sens!K16909+Sens!K16930+Sens!K16860+Sens!K16990*(Sens!K16879-Sens!K16842)+sbc_r*Sens!K16879</f>
        <v>466.791526922041</v>
      </c>
    </row>
    <row r="16998" customFormat="false" ht="17.15" hidden="false" customHeight="false" outlineLevel="0" collapsed="false">
      <c r="A16998" s="0" t="s">
        <v>1239</v>
      </c>
      <c r="B16998" s="0" t="s">
        <v>98</v>
      </c>
      <c r="F16998" s="6" t="n">
        <f aca="false">Sens!F16997-Sens!F16991-Sens!F16992-Sens!F16993-Sens!F16994-Sens!F16996</f>
        <v>67.4353297630543</v>
      </c>
      <c r="G16998" s="6" t="n">
        <f aca="false">Sens!G16997-Sens!G16991-Sens!G16992-Sens!G16993-Sens!G16994-Sens!G16996</f>
        <v>74.9539293781376</v>
      </c>
      <c r="H16998" s="6" t="n">
        <f aca="false">Sens!H16997-Sens!H16991-Sens!H16992-Sens!H16993-Sens!H16994-Sens!H16996</f>
        <v>87.537773486888</v>
      </c>
      <c r="I16998" s="6" t="n">
        <f aca="false">Sens!I16997-Sens!I16991-Sens!I16992-Sens!I16993-Sens!I16994-Sens!I16996</f>
        <v>100.057277169252</v>
      </c>
      <c r="J16998" s="6" t="n">
        <f aca="false">Sens!J16997-Sens!J16991-Sens!J16992-Sens!J16993-Sens!J16994-Sens!J16996</f>
        <v>111.429055512297</v>
      </c>
      <c r="K16998" s="6" t="n">
        <f aca="false">Sens!K16997-Sens!K16991-Sens!K16992-Sens!K16993-Sens!K16994-Sens!K16996</f>
        <v>120.961838550618</v>
      </c>
    </row>
    <row r="16999" customFormat="false" ht="17.15" hidden="false" customHeight="false" outlineLevel="0" collapsed="false">
      <c r="A16999" s="0" t="s">
        <v>1240</v>
      </c>
      <c r="B16999" s="0" t="s">
        <v>98</v>
      </c>
      <c r="F16999" s="6" t="n">
        <f aca="false">Sens!F16911+Sens!F16990*Sens!F16886+sbc_r*Sens!F16886</f>
        <v>26.6373549789235</v>
      </c>
      <c r="G16999" s="6" t="n">
        <f aca="false">Sens!G16911+Sens!G16990*Sens!G16886+sbc_r*Sens!G16886</f>
        <v>26.5038922765853</v>
      </c>
      <c r="H16999" s="6" t="n">
        <f aca="false">Sens!H16911+Sens!H16990*Sens!H16886+sbc_r*Sens!H16886</f>
        <v>27.3981100014792</v>
      </c>
      <c r="I16999" s="6" t="n">
        <f aca="false">Sens!I16911+Sens!I16990*Sens!I16886+sbc_r*Sens!I16886</f>
        <v>28.5176442589239</v>
      </c>
      <c r="J16999" s="6" t="n">
        <f aca="false">Sens!J16911+Sens!J16990*Sens!J16886+sbc_r*Sens!J16886</f>
        <v>29.8313998963726</v>
      </c>
      <c r="K16999" s="6" t="n">
        <f aca="false">Sens!K16911+Sens!K16990*Sens!K16886+sbc_r*Sens!K16886</f>
        <v>31.3103466222307</v>
      </c>
    </row>
    <row r="17000" customFormat="false" ht="17.15" hidden="false" customHeight="false" outlineLevel="0" collapsed="false">
      <c r="A17000" s="0" t="s">
        <v>1241</v>
      </c>
      <c r="B17000" s="0" t="s">
        <v>98</v>
      </c>
      <c r="F17000" s="6" t="n">
        <f aca="false">(Sens!F16999-Sens!F16995)*Sens!F16882/(Sens!F16882+Sens!F16884)</f>
        <v>8.72405610479892</v>
      </c>
      <c r="G17000" s="6" t="n">
        <f aca="false">(Sens!G16999-Sens!G16995)*Sens!G16882/(Sens!G16882+Sens!G16884)</f>
        <v>7.897418765869</v>
      </c>
      <c r="H17000" s="6" t="n">
        <f aca="false">(Sens!H16999-Sens!H16995)*Sens!H16882/(Sens!H16882+Sens!H16884)</f>
        <v>7.66644879573063</v>
      </c>
      <c r="I17000" s="6" t="n">
        <f aca="false">(Sens!I16999-Sens!I16995)*Sens!I16882/(Sens!I16882+Sens!I16884)</f>
        <v>7.5787545031814</v>
      </c>
      <c r="J17000" s="6" t="n">
        <f aca="false">(Sens!J16999-Sens!J16995)*Sens!J16882/(Sens!J16882+Sens!J16884)</f>
        <v>7.62401876450459</v>
      </c>
      <c r="K17000" s="6" t="n">
        <f aca="false">(Sens!K16999-Sens!K16995)*Sens!K16882/(Sens!K16882+Sens!K16884)</f>
        <v>7.79847609658838</v>
      </c>
    </row>
    <row r="17001" customFormat="false" ht="17.15" hidden="false" customHeight="false" outlineLevel="0" collapsed="false">
      <c r="A17001" s="0" t="s">
        <v>1242</v>
      </c>
      <c r="B17001" s="0" t="s">
        <v>98</v>
      </c>
      <c r="F17001" s="6" t="n">
        <f aca="false">Sens!F16999-Sens!F16995-Sens!F17000</f>
        <v>6.72261492154066</v>
      </c>
      <c r="G17001" s="6" t="n">
        <f aca="false">Sens!G16999-Sens!G16995-Sens!G17000</f>
        <v>6.33014063899044</v>
      </c>
      <c r="H17001" s="6" t="n">
        <f aca="false">Sens!H16999-Sens!H16995-Sens!H17000</f>
        <v>6.32730487109095</v>
      </c>
      <c r="I17001" s="6" t="n">
        <f aca="false">Sens!I16999-Sens!I16995-Sens!I17000</f>
        <v>6.37673853755084</v>
      </c>
      <c r="J17001" s="6" t="n">
        <f aca="false">Sens!J16999-Sens!J16995-Sens!J17000</f>
        <v>6.47634294562954</v>
      </c>
      <c r="K17001" s="6" t="n">
        <f aca="false">Sens!K16999-Sens!K16995-Sens!K17000</f>
        <v>6.62453847699607</v>
      </c>
    </row>
    <row r="17002" customFormat="false" ht="17.15" hidden="false" customHeight="false" outlineLevel="0" collapsed="false">
      <c r="A17002" s="0" t="s">
        <v>1243</v>
      </c>
      <c r="B17002" s="0" t="s">
        <v>98</v>
      </c>
      <c r="F17002" s="6" t="n">
        <f aca="false">Sens!F16996-tax_f*(Sens!F16996-Sens!F16860)-Sens!F16857</f>
        <v>-134.368384634821</v>
      </c>
      <c r="G17002" s="6" t="n">
        <f aca="false">Sens!G16996-tax_f*(Sens!G16996-Sens!G16860)-Sens!G16857</f>
        <v>-128.369622780054</v>
      </c>
      <c r="H17002" s="6" t="n">
        <f aca="false">Sens!H16996-tax_f*(Sens!H16996-Sens!H16860)-Sens!H16857</f>
        <v>-105.776066131804</v>
      </c>
      <c r="I17002" s="6" t="n">
        <f aca="false">Sens!I16996-tax_f*(Sens!I16996-Sens!I16860)-Sens!I16857</f>
        <v>-47.9586641046296</v>
      </c>
      <c r="J17002" s="6" t="n">
        <f aca="false">Sens!J16996-tax_f*(Sens!J16996-Sens!J16860)-Sens!J16857</f>
        <v>12.5488586043336</v>
      </c>
      <c r="K17002" s="6" t="n">
        <f aca="false">Sens!K16996-tax_f*(Sens!K16996-Sens!K16860)-Sens!K16857</f>
        <v>35.3760594044456</v>
      </c>
    </row>
    <row r="17003" customFormat="false" ht="17.15" hidden="false" customHeight="false" outlineLevel="0" collapsed="false">
      <c r="A17003" s="0" t="s">
        <v>1244</v>
      </c>
      <c r="B17003" s="0" t="s">
        <v>98</v>
      </c>
      <c r="G17003" s="6" t="n">
        <f aca="false">Sens!G17002/(1+wacc)^(Sens!G16973-Sens!F16974)</f>
        <v>-122.232583891562</v>
      </c>
      <c r="H17003" s="6" t="n">
        <f aca="false">Sens!H17002/(1+wacc)^(Sens!H16973-Sens!F16974)</f>
        <v>-91.3190939203515</v>
      </c>
      <c r="I17003" s="6" t="n">
        <f aca="false">Sens!I17002/(1+wacc)^(Sens!I16973-Sens!F16974)</f>
        <v>-37.539692819892</v>
      </c>
      <c r="J17003" s="6" t="n">
        <f aca="false">Sens!J17002/(1+wacc)^(Sens!J16973-Sens!F16974)</f>
        <v>8.90588982321295</v>
      </c>
      <c r="K17003" s="6" t="n">
        <f aca="false">Sens!K17002/(1+wacc)^(Sens!K16973-Sens!F16974)</f>
        <v>22.7631312049104</v>
      </c>
      <c r="L17003" s="1" t="s">
        <v>1245</v>
      </c>
    </row>
    <row r="17004" customFormat="false" ht="17.15" hidden="false" customHeight="false" outlineLevel="0" collapsed="false">
      <c r="A17004" s="0" t="s">
        <v>1246</v>
      </c>
      <c r="B17004" s="0" t="s">
        <v>98</v>
      </c>
      <c r="C17004" s="6" t="n">
        <f aca="false">(Sens!K16996-Sens!K16860)*(1-tax_f)*(1+g_tv)*(1-g_tv/(wacc+ronic_prem))/(wacc-g_tv)/(1+wacc)^(Sens!K16974-Sens!F16974)</f>
        <v>69.4385414531269</v>
      </c>
    </row>
    <row r="17005" customFormat="false" ht="17.15" hidden="false" customHeight="false" outlineLevel="0" collapsed="false">
      <c r="A17005" s="1" t="s">
        <v>1247</v>
      </c>
      <c r="B17005" s="0" t="s">
        <v>98</v>
      </c>
      <c r="C17005" s="6" t="n">
        <f aca="false">(SUM(Sens!G17003:K17003)+Sens!$C$17004)*(1+wacc)^(t_roll-Sens!F16974)</f>
        <v>-154.935227242307</v>
      </c>
      <c r="L17005" s="12" t="s">
        <v>1248</v>
      </c>
    </row>
    <row r="17006" customFormat="false" ht="17.15" hidden="false" customHeight="false" outlineLevel="0" collapsed="false">
      <c r="A17006" s="1" t="s">
        <v>1249</v>
      </c>
      <c r="B17006" s="0" t="s">
        <v>98</v>
      </c>
      <c r="C17006" s="6" t="n">
        <f aca="false">(w_ntm28*Sens!G16848+(1-w_ntm28)*Sens!H16848)*m_ai</f>
        <v>344.355829012336</v>
      </c>
    </row>
    <row r="17007" customFormat="false" ht="17.15" hidden="false" customHeight="false" outlineLevel="0" collapsed="false">
      <c r="A17007" s="1" t="s">
        <v>1250</v>
      </c>
      <c r="B17007" s="0" t="s">
        <v>98</v>
      </c>
      <c r="C17007" s="6" t="n">
        <f aca="false">(w_ntm28*Sens!G16998+(1-w_ntm28)*Sens!H16998)*m_cloud</f>
        <v>1093.03877543039</v>
      </c>
    </row>
    <row r="17008" customFormat="false" ht="17.15" hidden="false" customHeight="false" outlineLevel="0" collapsed="false">
      <c r="A17008" s="1" t="s">
        <v>1251</v>
      </c>
      <c r="B17008" s="0" t="s">
        <v>98</v>
      </c>
      <c r="C17008" s="6" t="n">
        <f aca="false">(w_ntm28*Sens!G16991+(1-w_ntm28)*Sens!H16991)*m_sw</f>
        <v>1045.17056616266</v>
      </c>
    </row>
    <row r="17009" customFormat="false" ht="17.15" hidden="false" customHeight="false" outlineLevel="0" collapsed="false">
      <c r="A17009" s="1" t="s">
        <v>1252</v>
      </c>
      <c r="B17009" s="0" t="s">
        <v>98</v>
      </c>
      <c r="C17009" s="6" t="n">
        <f aca="false">(w_ntm28*Sens!G16992+(1-w_ntm28)*Sens!H16992)*m_sw</f>
        <v>373.178444957791</v>
      </c>
    </row>
    <row r="17010" customFormat="false" ht="17.15" hidden="false" customHeight="false" outlineLevel="0" collapsed="false">
      <c r="A17010" s="1" t="s">
        <v>1253</v>
      </c>
      <c r="B17010" s="0" t="s">
        <v>98</v>
      </c>
      <c r="C17010" s="6" t="n">
        <f aca="false">(w_ntm28*Sens!G16993+(1-w_ntm28)*Sens!H16993)*m_sw</f>
        <v>109.30055788101</v>
      </c>
    </row>
    <row r="17011" customFormat="false" ht="17.15" hidden="false" customHeight="false" outlineLevel="0" collapsed="false">
      <c r="A17011" s="1" t="s">
        <v>1254</v>
      </c>
      <c r="B17011" s="0" t="s">
        <v>98</v>
      </c>
      <c r="C17011" s="6" t="n">
        <f aca="false">(w_ntm28*Sens!G16994+(1-w_ntm28)*Sens!H16994)*m_sw</f>
        <v>41.5531037214606</v>
      </c>
    </row>
    <row r="17012" customFormat="false" ht="17.15" hidden="false" customHeight="false" outlineLevel="0" collapsed="false">
      <c r="A17012" s="1" t="s">
        <v>1255</v>
      </c>
      <c r="B17012" s="0" t="s">
        <v>98</v>
      </c>
      <c r="C17012" s="6" t="n">
        <f aca="false">(w_ntm28*Sens!G16995+(1-w_ntm28)*Sens!H16995)*m_ads</f>
        <v>115.215899994784</v>
      </c>
    </row>
    <row r="17013" customFormat="false" ht="17.15" hidden="false" customHeight="false" outlineLevel="0" collapsed="false">
      <c r="A17013" s="1" t="s">
        <v>1256</v>
      </c>
      <c r="B17013" s="0" t="s">
        <v>98</v>
      </c>
      <c r="C17013" s="6" t="n">
        <f aca="false">(w_ntm28*Sens!G17000+(1-w_ntm28)*Sens!H17000)*m_game</f>
        <v>98.7853357615783</v>
      </c>
    </row>
    <row r="17014" customFormat="false" ht="17.15" hidden="false" customHeight="false" outlineLevel="0" collapsed="false">
      <c r="A17014" s="1" t="s">
        <v>1257</v>
      </c>
      <c r="B17014" s="0" t="s">
        <v>98</v>
      </c>
      <c r="C17014" s="6" t="n">
        <f aca="false">(w_ntm28*Sens!G17001+(1-w_ntm28)*Sens!H17001)*m_pc</f>
        <v>91.5836445602173</v>
      </c>
    </row>
    <row r="17015" customFormat="false" ht="17.15" hidden="false" customHeight="false" outlineLevel="0" collapsed="false">
      <c r="A17015" s="1" t="s">
        <v>1258</v>
      </c>
      <c r="B17015" s="0" t="s">
        <v>98</v>
      </c>
      <c r="C17015" s="6" t="n">
        <f aca="false">Sens!$C$17005+Sens!$C$17007+Sens!$C$17008+Sens!$C$17009+Sens!$C$17010+Sens!$C$17011+Sens!$C$17012+Sens!$C$17013+Sens!$C$17014</f>
        <v>2812.89110122758</v>
      </c>
    </row>
    <row r="17016" customFormat="false" ht="17.15" hidden="false" customHeight="false" outlineLevel="0" collapsed="false">
      <c r="A17016" s="1" t="s">
        <v>1259</v>
      </c>
      <c r="B17016" s="0" t="s">
        <v>98</v>
      </c>
      <c r="C17016" s="6" t="n">
        <f aca="false">(Sens!G16977-Sens!G17002)*t_stub</f>
        <v>47.4829168796038</v>
      </c>
      <c r="L17016" s="1" t="s">
        <v>1260</v>
      </c>
    </row>
    <row r="17017" customFormat="false" ht="17.15" hidden="false" customHeight="false" outlineLevel="0" collapsed="false">
      <c r="A17017" s="1" t="s">
        <v>1169</v>
      </c>
      <c r="B17017" s="0" t="s">
        <v>98</v>
      </c>
      <c r="C17017" s="6" t="n">
        <f aca="false">Sens!F16964+oai_v-Sens!F16953+Sens!$C$17016</f>
        <v>158.55427008544</v>
      </c>
      <c r="L17017" s="1" t="s">
        <v>1261</v>
      </c>
    </row>
    <row r="17018" customFormat="false" ht="17.15" hidden="false" customHeight="false" outlineLevel="0" collapsed="false">
      <c r="A17018" s="1" t="s">
        <v>1262</v>
      </c>
      <c r="B17018" s="0" t="s">
        <v>75</v>
      </c>
      <c r="C17018" s="5" t="n">
        <f aca="false">(Sens!$C$17015+Sens!$C$17017)/(Sens!F16966+dil_gap)-Sens!G16956*roll_div_q/q_per_yr</f>
        <v>395.364631711982</v>
      </c>
      <c r="L17018" s="1" t="s">
        <v>1263</v>
      </c>
    </row>
    <row r="17019" customFormat="false" ht="17.15" hidden="false" customHeight="false" outlineLevel="0" collapsed="false">
      <c r="A17019" s="1" t="s">
        <v>1264</v>
      </c>
      <c r="B17019" s="0" t="s">
        <v>75</v>
      </c>
      <c r="C17019" s="5" t="n">
        <f aca="false">w_dcf*Sens!$C$16989+(1-w_dcf)*Sens!$C$17018</f>
        <v>334.735197098826</v>
      </c>
    </row>
    <row r="17020" customFormat="false" ht="17.15" hidden="false" customHeight="false" outlineLevel="0" collapsed="false">
      <c r="A17020" s="3" t="s">
        <v>1899</v>
      </c>
    </row>
    <row r="17021" customFormat="false" ht="15" hidden="false" customHeight="false" outlineLevel="0" collapsed="false">
      <c r="A17021" s="4" t="s">
        <v>43</v>
      </c>
      <c r="B17021" s="4" t="s">
        <v>65</v>
      </c>
      <c r="C17021" s="23" t="s">
        <v>938</v>
      </c>
      <c r="D17021" s="23" t="s">
        <v>939</v>
      </c>
      <c r="E17021" s="23" t="s">
        <v>940</v>
      </c>
      <c r="F17021" s="23" t="s">
        <v>941</v>
      </c>
      <c r="G17021" s="23" t="s">
        <v>942</v>
      </c>
      <c r="H17021" s="23" t="s">
        <v>943</v>
      </c>
      <c r="I17021" s="23" t="s">
        <v>944</v>
      </c>
      <c r="J17021" s="23" t="s">
        <v>945</v>
      </c>
      <c r="K17021" s="23" t="s">
        <v>946</v>
      </c>
      <c r="L17021" s="4" t="s">
        <v>47</v>
      </c>
    </row>
    <row r="17022" customFormat="false" ht="17.15" hidden="false" customHeight="false" outlineLevel="0" collapsed="false">
      <c r="A17022" s="1" t="s">
        <v>947</v>
      </c>
      <c r="B17022" s="1" t="s">
        <v>279</v>
      </c>
      <c r="C17022" s="21" t="n">
        <v>2024</v>
      </c>
      <c r="D17022" s="21" t="n">
        <v>2025</v>
      </c>
      <c r="E17022" s="21" t="n">
        <v>2026</v>
      </c>
      <c r="F17022" s="21" t="n">
        <v>2027</v>
      </c>
      <c r="G17022" s="21" t="n">
        <v>2028</v>
      </c>
      <c r="H17022" s="21" t="n">
        <v>2029</v>
      </c>
      <c r="I17022" s="21" t="n">
        <v>2030</v>
      </c>
      <c r="J17022" s="21" t="n">
        <v>2031</v>
      </c>
      <c r="K17022" s="21" t="n">
        <v>2032</v>
      </c>
    </row>
    <row r="17023" customFormat="false" ht="17.15" hidden="false" customHeight="false" outlineLevel="0" collapsed="false">
      <c r="A17023" s="1" t="s">
        <v>948</v>
      </c>
      <c r="B17023" s="0" t="s">
        <v>456</v>
      </c>
      <c r="F17023" s="30" t="n">
        <f aca="false">pace</f>
        <v>2726.5351</v>
      </c>
      <c r="G17023" s="30" t="n">
        <f aca="false">pace</f>
        <v>2726.5351</v>
      </c>
      <c r="H17023" s="30" t="n">
        <f aca="false">pace</f>
        <v>2726.5351</v>
      </c>
      <c r="I17023" s="30" t="n">
        <f aca="false">pace+(g_tv*Sens!H17024-pace)*MIN(1,(Sens!I17022-pace_y0)/(pace_y1-pace_y0))</f>
        <v>1931.98611966667</v>
      </c>
      <c r="J17023" s="30" t="n">
        <f aca="false">pace+(g_tv*Sens!I17024-pace)*MIN(1,(Sens!J17022-pace_y0)/(pace_y1-pace_y0))</f>
        <v>1176.07686172667</v>
      </c>
      <c r="K17023" s="30" t="n">
        <f aca="false">pace+(g_tv*Sens!J17024-pace)*MIN(1,(Sens!K17022-pace_y0)/(pace_y1-pace_y0))</f>
        <v>436.1300484418</v>
      </c>
      <c r="L17023" s="12" t="s">
        <v>949</v>
      </c>
    </row>
    <row r="17024" customFormat="false" ht="17.15" hidden="false" customHeight="false" outlineLevel="0" collapsed="false">
      <c r="A17024" s="1" t="s">
        <v>950</v>
      </c>
      <c r="B17024" s="0" t="s">
        <v>456</v>
      </c>
      <c r="C17024" s="30" t="n">
        <f aca="false">mw_ext_24</f>
        <v>640</v>
      </c>
      <c r="D17024" s="30" t="n">
        <f aca="false">mw_ext_25</f>
        <v>1630</v>
      </c>
      <c r="E17024" s="30" t="n">
        <f aca="false">mw_ext_26</f>
        <v>3250</v>
      </c>
      <c r="F17024" s="30" t="n">
        <f aca="false">Sens!E17024+Sens!F17023</f>
        <v>5976.5351</v>
      </c>
      <c r="G17024" s="30" t="n">
        <f aca="false">Sens!F17024+Sens!G17023</f>
        <v>8703.0702</v>
      </c>
      <c r="H17024" s="30" t="n">
        <f aca="false">Sens!G17024+Sens!H17023</f>
        <v>11429.6053</v>
      </c>
      <c r="I17024" s="30" t="n">
        <f aca="false">Sens!H17024+Sens!I17023</f>
        <v>13361.5914196667</v>
      </c>
      <c r="J17024" s="30" t="n">
        <f aca="false">Sens!I17024+Sens!J17023</f>
        <v>14537.6682813933</v>
      </c>
      <c r="K17024" s="30" t="n">
        <f aca="false">Sens!J17024+Sens!K17023</f>
        <v>14973.7983298351</v>
      </c>
      <c r="L17024" s="1" t="s">
        <v>951</v>
      </c>
    </row>
    <row r="17025" customFormat="false" ht="17.15" hidden="false" customHeight="false" outlineLevel="0" collapsed="false">
      <c r="A17025" s="1" t="s">
        <v>952</v>
      </c>
      <c r="B17025" s="0" t="s">
        <v>456</v>
      </c>
      <c r="C17025" s="30" t="n">
        <f aca="false">rent_ext_24</f>
        <v>150</v>
      </c>
      <c r="D17025" s="30" t="n">
        <f aca="false">rent_ext_25</f>
        <v>400</v>
      </c>
      <c r="E17025" s="30" t="n">
        <f aca="false">rent_ext_26</f>
        <v>550</v>
      </c>
      <c r="F17025" s="30" t="n">
        <f aca="false">rent_ext_f</f>
        <v>756</v>
      </c>
      <c r="G17025" s="30" t="n">
        <f aca="false">rent_ext_f</f>
        <v>756</v>
      </c>
      <c r="H17025" s="30" t="n">
        <f aca="false">rent_ext_f</f>
        <v>756</v>
      </c>
      <c r="I17025" s="30" t="n">
        <f aca="false">rent_ext_f</f>
        <v>756</v>
      </c>
      <c r="J17025" s="30" t="n">
        <f aca="false">rent_ext_f</f>
        <v>756</v>
      </c>
      <c r="K17025" s="30" t="n">
        <f aca="false">rent_ext_f</f>
        <v>756</v>
      </c>
      <c r="L17025" s="1" t="s">
        <v>953</v>
      </c>
    </row>
    <row r="17026" customFormat="false" ht="17.15" hidden="false" customHeight="false" outlineLevel="0" collapsed="false">
      <c r="A17026" s="1" t="s">
        <v>954</v>
      </c>
      <c r="B17026" s="0" t="s">
        <v>456</v>
      </c>
      <c r="C17026" s="30" t="n">
        <f aca="false">Sens!C17024-Sens!C17025</f>
        <v>490</v>
      </c>
      <c r="D17026" s="30" t="n">
        <f aca="false">Sens!D17024-Sens!D17025</f>
        <v>1230</v>
      </c>
      <c r="E17026" s="30" t="n">
        <f aca="false">Sens!E17024-Sens!E17025</f>
        <v>2700</v>
      </c>
      <c r="F17026" s="30" t="n">
        <f aca="false">Sens!F17024-Sens!F17025</f>
        <v>5220.5351</v>
      </c>
      <c r="G17026" s="30" t="n">
        <f aca="false">Sens!G17024-Sens!G17025</f>
        <v>7947.0702</v>
      </c>
      <c r="H17026" s="30" t="n">
        <f aca="false">Sens!H17024-Sens!H17025</f>
        <v>10673.6053</v>
      </c>
      <c r="I17026" s="30" t="n">
        <f aca="false">Sens!I17024-Sens!I17025</f>
        <v>12605.5914196667</v>
      </c>
      <c r="J17026" s="30" t="n">
        <f aca="false">Sens!J17024-Sens!J17025</f>
        <v>13781.6682813933</v>
      </c>
      <c r="K17026" s="30" t="n">
        <f aca="false">Sens!K17024-Sens!K17025</f>
        <v>14217.7983298351</v>
      </c>
    </row>
    <row r="17027" customFormat="false" ht="17.15" hidden="false" customHeight="false" outlineLevel="0" collapsed="false">
      <c r="A17027" s="1" t="s">
        <v>955</v>
      </c>
      <c r="B17027" s="0" t="s">
        <v>456</v>
      </c>
      <c r="C17027" s="30" t="n">
        <f aca="false">Sens!C17026/ext_sh</f>
        <v>816.666666666667</v>
      </c>
      <c r="D17027" s="30" t="n">
        <f aca="false">Sens!D17026/ext_sh</f>
        <v>2050</v>
      </c>
      <c r="E17027" s="30" t="n">
        <f aca="false">Sens!E17026/ext_sh</f>
        <v>4500</v>
      </c>
      <c r="F17027" s="30" t="n">
        <f aca="false">Sens!F17026/ext_sh</f>
        <v>8700.89183333333</v>
      </c>
      <c r="G17027" s="30" t="n">
        <f aca="false">Sens!G17026/ext_sh</f>
        <v>13245.117</v>
      </c>
      <c r="H17027" s="30" t="n">
        <f aca="false">Sens!H17026/ext_sh</f>
        <v>17789.3421666667</v>
      </c>
      <c r="I17027" s="30" t="n">
        <f aca="false">Sens!I17026/ext_sh</f>
        <v>21009.3190327778</v>
      </c>
      <c r="J17027" s="30" t="n">
        <f aca="false">Sens!J17026/ext_sh</f>
        <v>22969.4471356556</v>
      </c>
      <c r="K17027" s="30" t="n">
        <f aca="false">Sens!K17026/ext_sh</f>
        <v>23696.3305497252</v>
      </c>
      <c r="L17027" s="1" t="s">
        <v>956</v>
      </c>
    </row>
    <row r="17028" customFormat="false" ht="17.15" hidden="false" customHeight="false" outlineLevel="0" collapsed="false">
      <c r="A17028" s="1" t="s">
        <v>957</v>
      </c>
      <c r="B17028" s="0" t="s">
        <v>456</v>
      </c>
      <c r="C17028" s="30" t="n">
        <f aca="false">Sens!C17027-Sens!C17026</f>
        <v>326.666666666667</v>
      </c>
      <c r="D17028" s="30" t="n">
        <f aca="false">Sens!D17027-Sens!D17026</f>
        <v>820</v>
      </c>
      <c r="E17028" s="30" t="n">
        <f aca="false">Sens!E17027-Sens!E17026</f>
        <v>1800</v>
      </c>
      <c r="F17028" s="30" t="n">
        <f aca="false">Sens!F17027-Sens!F17026</f>
        <v>3480.35673333333</v>
      </c>
      <c r="G17028" s="30" t="n">
        <f aca="false">Sens!G17027-Sens!G17026</f>
        <v>5298.0468</v>
      </c>
      <c r="H17028" s="30" t="n">
        <f aca="false">Sens!H17027-Sens!H17026</f>
        <v>7115.73686666667</v>
      </c>
      <c r="I17028" s="30" t="n">
        <f aca="false">Sens!I17027-Sens!I17026</f>
        <v>8403.72761311111</v>
      </c>
      <c r="J17028" s="30" t="n">
        <f aca="false">Sens!J17027-Sens!J17026</f>
        <v>9187.77885426222</v>
      </c>
      <c r="K17028" s="30" t="n">
        <f aca="false">Sens!K17027-Sens!K17026</f>
        <v>9478.53221989009</v>
      </c>
    </row>
    <row r="17029" customFormat="false" ht="17.15" hidden="false" customHeight="false" outlineLevel="0" collapsed="false">
      <c r="A17029" s="1" t="s">
        <v>958</v>
      </c>
      <c r="B17029" s="0" t="s">
        <v>456</v>
      </c>
      <c r="C17029" s="30" t="n">
        <f aca="false">Sens!C17027</f>
        <v>816.666666666667</v>
      </c>
      <c r="D17029" s="30" t="n">
        <f aca="false">Sens!D17027-Sens!C17027</f>
        <v>1233.33333333333</v>
      </c>
      <c r="E17029" s="30" t="n">
        <f aca="false">Sens!E17027-Sens!D17027</f>
        <v>2450</v>
      </c>
      <c r="F17029" s="30" t="n">
        <f aca="false">Sens!F17027-Sens!E17027</f>
        <v>4200.89183333333</v>
      </c>
      <c r="G17029" s="30" t="n">
        <f aca="false">Sens!G17027-Sens!F17027</f>
        <v>4544.22516666667</v>
      </c>
      <c r="H17029" s="30" t="n">
        <f aca="false">Sens!H17027-Sens!G17027</f>
        <v>4544.22516666667</v>
      </c>
      <c r="I17029" s="30" t="n">
        <f aca="false">Sens!I17027-Sens!H17027</f>
        <v>3219.97686611111</v>
      </c>
      <c r="J17029" s="30" t="n">
        <f aca="false">Sens!J17027-Sens!I17027</f>
        <v>1960.12810287778</v>
      </c>
      <c r="K17029" s="30" t="n">
        <f aca="false">Sens!K17027-Sens!J17027</f>
        <v>726.883414069667</v>
      </c>
    </row>
    <row r="17030" customFormat="false" ht="17.15" hidden="false" customHeight="false" outlineLevel="0" collapsed="false">
      <c r="A17030" s="1" t="s">
        <v>959</v>
      </c>
      <c r="B17030" s="0" t="s">
        <v>456</v>
      </c>
      <c r="D17030" s="30" t="n">
        <f aca="false">Sens!D17024-Sens!C17024</f>
        <v>990</v>
      </c>
      <c r="E17030" s="30" t="n">
        <f aca="false">Sens!E17024-Sens!D17024</f>
        <v>1620</v>
      </c>
      <c r="F17030" s="30" t="n">
        <f aca="false">Sens!F17024-Sens!E17024</f>
        <v>2726.5351</v>
      </c>
      <c r="G17030" s="30" t="n">
        <f aca="false">Sens!G17024-Sens!F17024</f>
        <v>2726.5351</v>
      </c>
      <c r="H17030" s="30" t="n">
        <f aca="false">Sens!H17024-Sens!G17024</f>
        <v>2726.5351</v>
      </c>
      <c r="I17030" s="30" t="n">
        <f aca="false">Sens!I17024-Sens!H17024</f>
        <v>1931.98611966667</v>
      </c>
      <c r="J17030" s="30" t="n">
        <f aca="false">Sens!J17024-Sens!I17024</f>
        <v>1176.07686172667</v>
      </c>
      <c r="K17030" s="30" t="n">
        <f aca="false">Sens!K17024-Sens!J17024</f>
        <v>436.130048441799</v>
      </c>
    </row>
    <row r="17031" customFormat="false" ht="17.15" hidden="false" customHeight="false" outlineLevel="0" collapsed="false">
      <c r="A17031" s="1" t="s">
        <v>960</v>
      </c>
      <c r="B17031" s="0" t="s">
        <v>456</v>
      </c>
      <c r="F17031" s="30" t="n">
        <f aca="false">Sens!F17050*ext_sh</f>
        <v>0</v>
      </c>
      <c r="G17031" s="30" t="n">
        <f aca="false">Sens!G17050*ext_sh</f>
        <v>0</v>
      </c>
      <c r="H17031" s="30" t="n">
        <f aca="false">Sens!H17050*ext_sh</f>
        <v>0</v>
      </c>
      <c r="I17031" s="30" t="n">
        <f aca="false">Sens!I17050*ext_sh</f>
        <v>490</v>
      </c>
      <c r="J17031" s="30" t="n">
        <f aca="false">Sens!J17050*ext_sh</f>
        <v>740</v>
      </c>
      <c r="K17031" s="30" t="n">
        <f aca="false">Sens!K17050*ext_sh</f>
        <v>1470</v>
      </c>
      <c r="L17031" s="1" t="s">
        <v>961</v>
      </c>
    </row>
    <row r="17032" customFormat="false" ht="17.15" hidden="false" customHeight="false" outlineLevel="0" collapsed="false">
      <c r="A17032" s="1" t="s">
        <v>962</v>
      </c>
      <c r="B17032" s="0" t="s">
        <v>456</v>
      </c>
      <c r="C17032" s="30" t="n">
        <f aca="false">mix_h*Sens!C17024</f>
        <v>128</v>
      </c>
      <c r="D17032" s="30" t="n">
        <f aca="false">mix_h*Sens!D17024</f>
        <v>326</v>
      </c>
      <c r="E17032" s="30" t="n">
        <f aca="false">mix_h*Sens!E17024</f>
        <v>650</v>
      </c>
      <c r="F17032" s="30" t="n">
        <f aca="false">Sens!E17032-Sens!F17031*mix_h</f>
        <v>650</v>
      </c>
      <c r="G17032" s="30" t="n">
        <f aca="false">Sens!F17032-Sens!G17031*mix_h</f>
        <v>650</v>
      </c>
      <c r="H17032" s="30" t="n">
        <f aca="false">Sens!G17032-Sens!H17031*mix_h</f>
        <v>650</v>
      </c>
      <c r="I17032" s="30" t="n">
        <f aca="false">Sens!H17032-Sens!I17031*mix_h</f>
        <v>552</v>
      </c>
      <c r="J17032" s="30" t="n">
        <f aca="false">Sens!I17032-Sens!J17031*mix_h</f>
        <v>404</v>
      </c>
      <c r="K17032" s="30" t="n">
        <f aca="false">Sens!J17032-Sens!K17031*mix_h</f>
        <v>110</v>
      </c>
    </row>
    <row r="17033" customFormat="false" ht="17.15" hidden="false" customHeight="false" outlineLevel="0" collapsed="false">
      <c r="A17033" s="1" t="s">
        <v>963</v>
      </c>
      <c r="B17033" s="0" t="s">
        <v>456</v>
      </c>
      <c r="C17033" s="30" t="n">
        <f aca="false">mix_g2*Sens!C17024</f>
        <v>288</v>
      </c>
      <c r="D17033" s="30" t="n">
        <f aca="false">mix_g2*Sens!D17024</f>
        <v>733.5</v>
      </c>
      <c r="E17033" s="30" t="n">
        <f aca="false">mix_g2*Sens!E17024</f>
        <v>1462.5</v>
      </c>
      <c r="F17033" s="30" t="n">
        <f aca="false">Sens!E17033-Sens!F17031*mix_g2</f>
        <v>1462.5</v>
      </c>
      <c r="G17033" s="30" t="n">
        <f aca="false">Sens!F17033-Sens!G17031*mix_g2</f>
        <v>1462.5</v>
      </c>
      <c r="H17033" s="30" t="n">
        <f aca="false">Sens!G17033-Sens!H17031*mix_g2</f>
        <v>1462.5</v>
      </c>
      <c r="I17033" s="30" t="n">
        <f aca="false">Sens!H17033-Sens!I17031*mix_g2</f>
        <v>1242</v>
      </c>
      <c r="J17033" s="30" t="n">
        <f aca="false">Sens!I17033-Sens!J17031*mix_g2</f>
        <v>909</v>
      </c>
      <c r="K17033" s="30" t="n">
        <f aca="false">Sens!J17033-Sens!K17031*mix_g2</f>
        <v>247.5</v>
      </c>
    </row>
    <row r="17034" customFormat="false" ht="17.15" hidden="false" customHeight="false" outlineLevel="0" collapsed="false">
      <c r="A17034" s="1" t="s">
        <v>964</v>
      </c>
      <c r="B17034" s="0" t="s">
        <v>456</v>
      </c>
      <c r="C17034" s="30" t="n">
        <f aca="false">mix_g3*Sens!C17024</f>
        <v>224</v>
      </c>
      <c r="D17034" s="30" t="n">
        <f aca="false">mix_g3*Sens!D17024</f>
        <v>570.5</v>
      </c>
      <c r="E17034" s="30" t="n">
        <f aca="false">mix_g3*Sens!E17024</f>
        <v>1137.5</v>
      </c>
      <c r="F17034" s="30" t="n">
        <f aca="false">Sens!E17034+(Sens!F17030+Sens!F17031)*(a_g3_27-nonnv*a_mai)-Sens!F17031*mix_g3</f>
        <v>2773.42106</v>
      </c>
      <c r="G17034" s="30" t="n">
        <f aca="false">Sens!F17034+(Sens!G17030+Sens!G17031)*(a_g3_28-nonnv*a_mai)-Sens!G17031*mix_g3</f>
        <v>3318.72808</v>
      </c>
      <c r="H17034" s="30" t="n">
        <f aca="false">Sens!G17034+(Sens!H17030+Sens!H17031)*(a_g3_29-nonnv*a_mai)-Sens!H17031*mix_g3</f>
        <v>3318.72808</v>
      </c>
      <c r="I17034" s="30" t="n">
        <f aca="false">Sens!H17034+(Sens!I17030+Sens!I17031)*(a_g3_29-nonnv*a_mai)-Sens!I17031*mix_g3</f>
        <v>3147.22808</v>
      </c>
      <c r="J17034" s="30" t="n">
        <f aca="false">Sens!I17034+(Sens!J17030+Sens!J17031)*(a_g3_29-nonnv*a_mai)-Sens!J17031*mix_g3</f>
        <v>2888.22808</v>
      </c>
      <c r="K17034" s="30" t="n">
        <f aca="false">Sens!J17034+(Sens!K17030+Sens!K17031)*(a_g3_29-nonnv*a_mai)-Sens!K17031*mix_g3</f>
        <v>2373.72808</v>
      </c>
    </row>
    <row r="17035" customFormat="false" ht="17.15" hidden="false" customHeight="false" outlineLevel="0" collapsed="false">
      <c r="A17035" s="1" t="s">
        <v>965</v>
      </c>
      <c r="B17035" s="0" t="s">
        <v>456</v>
      </c>
      <c r="C17035" s="30" t="n">
        <v>0</v>
      </c>
      <c r="D17035" s="30" t="n">
        <v>0</v>
      </c>
      <c r="E17035" s="30" t="n">
        <v>0</v>
      </c>
      <c r="F17035" s="30" t="n">
        <f aca="false">Sens!E17035+(Sens!F17030+Sens!F17031)*nonnv*a_mai</f>
        <v>272.65351</v>
      </c>
      <c r="G17035" s="30" t="n">
        <f aca="false">Sens!F17035+(Sens!G17030+Sens!G17031)*nonnv*a_mai</f>
        <v>545.30702</v>
      </c>
      <c r="H17035" s="30" t="n">
        <f aca="false">Sens!G17035+(Sens!H17030+Sens!H17031)*nonnv*a_mai</f>
        <v>817.96053</v>
      </c>
      <c r="I17035" s="30" t="n">
        <f aca="false">Sens!H17035+(Sens!I17030+Sens!I17031)*nonnv*a_mai</f>
        <v>1060.15914196667</v>
      </c>
      <c r="J17035" s="30" t="n">
        <f aca="false">Sens!I17035+(Sens!J17030+Sens!J17031)*nonnv*a_mai</f>
        <v>1251.76682813933</v>
      </c>
      <c r="K17035" s="30" t="n">
        <f aca="false">Sens!J17035+(Sens!K17030+Sens!K17031)*nonnv*a_mai</f>
        <v>1442.37983298351</v>
      </c>
      <c r="L17035" s="12" t="s">
        <v>966</v>
      </c>
    </row>
    <row r="17036" customFormat="false" ht="17.15" hidden="false" customHeight="false" outlineLevel="0" collapsed="false">
      <c r="A17036" s="1" t="s">
        <v>967</v>
      </c>
      <c r="B17036" s="0" t="s">
        <v>456</v>
      </c>
      <c r="C17036" s="30" t="n">
        <v>0</v>
      </c>
      <c r="D17036" s="30" t="n">
        <v>0</v>
      </c>
      <c r="E17036" s="30" t="n">
        <v>0</v>
      </c>
      <c r="F17036" s="30" t="n">
        <f aca="false">Sens!E17036+(Sens!F17030+Sens!F17031)*(1-a_g3_27)</f>
        <v>817.96053</v>
      </c>
      <c r="G17036" s="30" t="n">
        <f aca="false">Sens!F17036+(Sens!G17030+Sens!G17031)*(1-a_g3_28)</f>
        <v>2726.5351</v>
      </c>
      <c r="H17036" s="30" t="n">
        <f aca="false">Sens!G17036+(Sens!H17030+Sens!H17031)*(1-a_g3_29)</f>
        <v>5180.41669</v>
      </c>
      <c r="I17036" s="30" t="n">
        <f aca="false">Sens!H17036+(Sens!I17030+Sens!I17031)*(1-a_g3_29)</f>
        <v>7360.2041977</v>
      </c>
      <c r="J17036" s="30" t="n">
        <f aca="false">Sens!I17036+(Sens!J17030+Sens!J17031)*(1-a_g3_29)</f>
        <v>9084.673373254</v>
      </c>
      <c r="K17036" s="30" t="n">
        <f aca="false">Sens!J17036+(Sens!K17030+Sens!K17031)*(1-a_g3_29)</f>
        <v>10800.1904168516</v>
      </c>
    </row>
    <row r="17037" customFormat="false" ht="17.15" hidden="false" customHeight="false" outlineLevel="0" collapsed="false">
      <c r="A17037" s="1" t="s">
        <v>968</v>
      </c>
      <c r="B17037" s="0" t="s">
        <v>403</v>
      </c>
      <c r="C17037" s="15" t="n">
        <f aca="false">(Sens!C17032*tk_hold_h100+Sens!C17033*tk_hold_gb200+Sens!C17034*tk_hold_gb300+Sens!C17036*tk_hold_vr200+Sens!C17035*nv_hold_mai*tk_hold_vr200)/Sens!C17024</f>
        <v>9.7235358126469</v>
      </c>
      <c r="D17037" s="15" t="n">
        <f aca="false">(Sens!D17032*tk_hold_h100+Sens!D17033*tk_hold_gb200+Sens!D17034*tk_hold_gb300+Sens!D17036*tk_hold_vr200+Sens!D17035*nv_hold_mai*tk_hold_vr200)/Sens!D17024</f>
        <v>9.7235358126469</v>
      </c>
      <c r="E17037" s="15" t="n">
        <f aca="false">(Sens!E17032*tk_hold_h100+Sens!E17033*tk_hold_gb200+Sens!E17034*tk_hold_gb300+Sens!E17036*tk_hold_vr200+Sens!E17035*nv_hold_mai*tk_hold_vr200)/Sens!E17024</f>
        <v>9.7235358126469</v>
      </c>
      <c r="F17037" s="15" t="n">
        <f aca="false">(Sens!F17032*tk_hold_h100+Sens!F17033*tk_hold_gb200+Sens!F17034*tk_hold_gb300+Sens!F17036*tk_hold_vr200+Sens!F17035*nv_hold_mai*tk_hold_vr200)/Sens!F17024</f>
        <v>10.2195353876665</v>
      </c>
      <c r="G17037" s="15" t="n">
        <f aca="false">(Sens!G17032*tk_hold_h100+Sens!G17033*tk_hold_gb200+Sens!G17034*tk_hold_gb300+Sens!G17036*tk_hold_vr200+Sens!G17035*nv_hold_mai*tk_hold_vr200)/Sens!G17024</f>
        <v>10.5725598017306</v>
      </c>
      <c r="H17037" s="15" t="n">
        <f aca="false">(Sens!H17032*tk_hold_h100+Sens!H17033*tk_hold_gb200+Sens!H17034*tk_hold_gb300+Sens!H17036*tk_hold_vr200+Sens!H17035*nv_hold_mai*tk_hold_vr200)/Sens!H17024</f>
        <v>10.8210427149036</v>
      </c>
      <c r="I17037" s="15" t="n">
        <f aca="false">(Sens!I17032*tk_hold_h100+Sens!I17033*tk_hold_gb200+Sens!I17034*tk_hold_gb300+Sens!I17036*tk_hold_vr200+Sens!I17035*nv_hold_mai*tk_hold_vr200)/Sens!I17024</f>
        <v>11.0050618241982</v>
      </c>
      <c r="J17037" s="15" t="n">
        <f aca="false">(Sens!J17032*tk_hold_h100+Sens!J17033*tk_hold_gb200+Sens!J17034*tk_hold_gb300+Sens!J17036*tk_hold_vr200+Sens!J17035*nv_hold_mai*tk_hold_vr200)/Sens!J17024</f>
        <v>11.1505789658881</v>
      </c>
      <c r="K17037" s="15" t="n">
        <f aca="false">(Sens!K17032*tk_hold_h100+Sens!K17033*tk_hold_gb200+Sens!K17034*tk_hold_gb300+Sens!K17036*tk_hold_vr200+Sens!K17035*nv_hold_mai*tk_hold_vr200)/Sens!K17024</f>
        <v>11.3496914757183</v>
      </c>
      <c r="L17037" s="1" t="s">
        <v>969</v>
      </c>
    </row>
    <row r="17038" customFormat="false" ht="17.15" hidden="false" customHeight="false" outlineLevel="0" collapsed="false">
      <c r="A17038" s="1" t="s">
        <v>970</v>
      </c>
      <c r="B17038" s="0" t="s">
        <v>403</v>
      </c>
      <c r="C17038" s="15" t="n">
        <f aca="false">(Sens!C17032*tk_hold_h100+Sens!C17033*tk_hold_gb200+Sens!C17034*tk_hold_gb300+Sens!C17036*tk_hold_vr200+Sens!C17035*nv_out_mai*tk_hold_vr200)/Sens!C17024</f>
        <v>9.7235358126469</v>
      </c>
      <c r="D17038" s="15" t="n">
        <f aca="false">(Sens!D17032*tk_hold_h100+Sens!D17033*tk_hold_gb200+Sens!D17034*tk_hold_gb300+Sens!D17036*tk_hold_vr200+Sens!D17035*nv_out_mai*tk_hold_vr200)/Sens!D17024</f>
        <v>9.7235358126469</v>
      </c>
      <c r="E17038" s="15" t="n">
        <f aca="false">(Sens!E17032*tk_hold_h100+Sens!E17033*tk_hold_gb200+Sens!E17034*tk_hold_gb300+Sens!E17036*tk_hold_vr200+Sens!E17035*nv_out_mai*tk_hold_vr200)/Sens!E17024</f>
        <v>9.7235358126469</v>
      </c>
      <c r="F17038" s="15" t="n">
        <f aca="false">(Sens!F17032*tk_hold_h100+Sens!F17033*tk_hold_gb200+Sens!F17034*tk_hold_gb300+Sens!F17036*tk_hold_vr200+Sens!F17035*nv_out_mai*tk_hold_vr200)/Sens!F17024</f>
        <v>10.247422093969</v>
      </c>
      <c r="G17038" s="15" t="n">
        <f aca="false">(Sens!G17032*tk_hold_h100+Sens!G17033*tk_hold_gb200+Sens!G17034*tk_hold_gb300+Sens!G17036*tk_hold_vr200+Sens!G17035*nv_out_mai*tk_hold_vr200)/Sens!G17024</f>
        <v>10.6108602808053</v>
      </c>
      <c r="H17038" s="15" t="n">
        <f aca="false">(Sens!H17032*tk_hold_h100+Sens!H17033*tk_hold_gb200+Sens!H17034*tk_hold_gb300+Sens!H17036*tk_hold_vr200+Sens!H17035*nv_out_mai*tk_hold_vr200)/Sens!H17024</f>
        <v>10.8647885507393</v>
      </c>
      <c r="I17038" s="15" t="n">
        <f aca="false">(Sens!I17032*tk_hold_h100+Sens!I17033*tk_hold_gb200+Sens!I17034*tk_hold_gb300+Sens!I17036*tk_hold_vr200+Sens!I17035*nv_out_mai*tk_hold_vr200)/Sens!I17024</f>
        <v>11.0535625770025</v>
      </c>
      <c r="J17038" s="15" t="n">
        <f aca="false">(Sens!J17032*tk_hold_h100+Sens!J17033*tk_hold_gb200+Sens!J17034*tk_hold_gb300+Sens!J17036*tk_hold_vr200+Sens!J17035*nv_out_mai*tk_hold_vr200)/Sens!J17024</f>
        <v>11.2032127128058</v>
      </c>
      <c r="K17038" s="15" t="n">
        <f aca="false">(Sens!K17032*tk_hold_h100+Sens!K17033*tk_hold_gb200+Sens!K17034*tk_hold_gb300+Sens!K17036*tk_hold_vr200+Sens!K17035*nv_out_mai*tk_hold_vr200)/Sens!K17024</f>
        <v>11.4085735724225</v>
      </c>
      <c r="L17038" s="12" t="s">
        <v>971</v>
      </c>
    </row>
    <row r="17039" customFormat="false" ht="17.15" hidden="false" customHeight="false" outlineLevel="0" collapsed="false">
      <c r="A17039" s="0" t="s">
        <v>972</v>
      </c>
      <c r="B17039" s="0" t="s">
        <v>229</v>
      </c>
      <c r="C17039" s="15" t="n">
        <f aca="false">k_B</f>
        <v>1.17213932619116</v>
      </c>
      <c r="D17039" s="15" t="n">
        <f aca="false">k_B</f>
        <v>1.17213932619116</v>
      </c>
      <c r="E17039" s="15" t="n">
        <f aca="false">k_B</f>
        <v>1.17213932619116</v>
      </c>
      <c r="F17039" s="15" t="n">
        <f aca="false">(k_B+((ls_A*k_long+(1-ls_A)*k_spot)-k_B)*MIN(1,(Sens!F17022-base_fy)/k_ramp))</f>
        <v>1.25022828131298</v>
      </c>
      <c r="G17039" s="15" t="n">
        <f aca="false">(k_B+((ls_A*k_long+(1-ls_A)*k_spot)-k_B)*MIN(1,(Sens!G17022-base_fy)/k_ramp))</f>
        <v>1.3283172364348</v>
      </c>
      <c r="H17039" s="15" t="n">
        <f aca="false">(k_B+((ls_A*k_long+(1-ls_A)*k_spot)-k_B)*MIN(1,(Sens!H17022-base_fy)/k_ramp))</f>
        <v>1.40640619155662</v>
      </c>
      <c r="I17039" s="15" t="n">
        <f aca="false">(k_B+((ls_A*k_long+(1-ls_A)*k_spot)-k_B)*MIN(1,(Sens!I17022-base_fy)/k_ramp))</f>
        <v>1.40640619155662</v>
      </c>
      <c r="J17039" s="15" t="n">
        <f aca="false">(k_B+((ls_A*k_long+(1-ls_A)*k_spot)-k_B)*MIN(1,(Sens!J17022-base_fy)/k_ramp))</f>
        <v>1.40640619155662</v>
      </c>
      <c r="K17039" s="15" t="n">
        <f aca="false">(k_B+((ls_A*k_long+(1-ls_A)*k_spot)-k_B)*MIN(1,(Sens!K17022-base_fy)/k_ramp))</f>
        <v>1.40640619155662</v>
      </c>
      <c r="L17039" s="1" t="s">
        <v>973</v>
      </c>
    </row>
    <row r="17040" customFormat="false" ht="17.15" hidden="false" customHeight="false" outlineLevel="0" collapsed="false">
      <c r="A17040" s="1" t="s">
        <v>974</v>
      </c>
      <c r="B17040" s="0" t="s">
        <v>403</v>
      </c>
      <c r="C17040" s="15" t="n">
        <f aca="false">Sens!C17038*Sens!C17039*chip_f</f>
        <v>11.3973387156315</v>
      </c>
      <c r="D17040" s="15" t="n">
        <f aca="false">Sens!D17038*Sens!D17039*chip_f</f>
        <v>11.3973387156315</v>
      </c>
      <c r="E17040" s="15" t="n">
        <f aca="false">Sens!E17038*Sens!E17039*chip_f</f>
        <v>11.3973387156315</v>
      </c>
      <c r="F17040" s="15" t="n">
        <f aca="false">Sens!F17038*Sens!F17039*chip_f</f>
        <v>12.8116169124314</v>
      </c>
      <c r="G17040" s="15" t="n">
        <f aca="false">Sens!G17038*Sens!G17039*chip_f</f>
        <v>14.094588604395</v>
      </c>
      <c r="H17040" s="15" t="n">
        <f aca="false">Sens!H17038*Sens!H17039*chip_f</f>
        <v>15.2803058877132</v>
      </c>
      <c r="I17040" s="15" t="n">
        <f aca="false">Sens!I17038*Sens!I17039*chip_f</f>
        <v>15.5457988470549</v>
      </c>
      <c r="J17040" s="15" t="n">
        <f aca="false">Sens!J17038*Sens!J17039*chip_f</f>
        <v>15.7562677246158</v>
      </c>
      <c r="K17040" s="15" t="n">
        <f aca="false">Sens!K17038*Sens!K17039*chip_f</f>
        <v>16.0450885090842</v>
      </c>
      <c r="L17040" s="1" t="s">
        <v>975</v>
      </c>
    </row>
    <row r="17041" customFormat="false" ht="17.15" hidden="false" customHeight="false" outlineLevel="0" collapsed="false">
      <c r="A17041" s="0" t="s">
        <v>976</v>
      </c>
      <c r="B17041" s="0" t="s">
        <v>98</v>
      </c>
      <c r="D17041" s="6" t="n">
        <f aca="false">(Sens!C17024+Sens!D17024)/2*Sens!D17040/1000</f>
        <v>12.9359794422418</v>
      </c>
      <c r="E17041" s="6" t="n">
        <f aca="false">(Sens!D17024+Sens!E17024)/2*Sens!E17040/1000</f>
        <v>27.8095064661409</v>
      </c>
      <c r="F17041" s="6" t="n">
        <f aca="false">(Sens!E17024+Sens!F17024)/2*Sens!F17040/1000</f>
        <v>59.1034165651511</v>
      </c>
      <c r="G17041" s="6" t="n">
        <f aca="false">(Sens!F17024+Sens!G17024)/2*Sens!G17040/1000</f>
        <v>103.451498789198</v>
      </c>
      <c r="H17041" s="6" t="n">
        <f aca="false">(Sens!G17024+Sens!H17024)/2*Sens!H17040/1000</f>
        <v>153.816719989035</v>
      </c>
      <c r="I17041" s="6" t="n">
        <f aca="false">(Sens!H17024+Sens!I17024)/2*Sens!I17040/1000</f>
        <v>192.699478690852</v>
      </c>
      <c r="J17041" s="6" t="n">
        <f aca="false">(Sens!I17024+Sens!J17024)/2*Sens!J17040/1000</f>
        <v>219.794102584244</v>
      </c>
      <c r="K17041" s="6" t="n">
        <f aca="false">(Sens!J17024+Sens!K17024)/2*Sens!K17040/1000</f>
        <v>236.757046905022</v>
      </c>
      <c r="L17041" s="12" t="s">
        <v>977</v>
      </c>
    </row>
    <row r="17042" customFormat="false" ht="17.15" hidden="false" customHeight="false" outlineLevel="0" collapsed="false">
      <c r="A17042" s="1" t="s">
        <v>978</v>
      </c>
      <c r="B17042" s="0" t="s">
        <v>403</v>
      </c>
      <c r="C17042" s="15" t="n">
        <f aca="false">(Sens!C17032*tk_opex_h100+Sens!C17033*tk_opex_gb200+Sens!C17034*tk_opex_gb300+(Sens!C17036+Sens!C17035)*tk_opex_vr200)/Sens!C17024</f>
        <v>1.88636041306092</v>
      </c>
      <c r="D17042" s="15" t="n">
        <f aca="false">(Sens!D17032*tk_opex_h100+Sens!D17033*tk_opex_gb200+Sens!D17034*tk_opex_gb300+(Sens!D17036+Sens!D17035)*tk_opex_vr200)/Sens!D17024</f>
        <v>1.88636041306092</v>
      </c>
      <c r="E17042" s="15" t="n">
        <f aca="false">(Sens!E17032*tk_opex_h100+Sens!E17033*tk_opex_gb200+Sens!E17034*tk_opex_gb300+(Sens!E17036+Sens!E17035)*tk_opex_vr200)/Sens!E17024</f>
        <v>1.88636041306092</v>
      </c>
      <c r="F17042" s="15" t="n">
        <f aca="false">(Sens!F17032*tk_opex_h100+Sens!F17033*tk_opex_gb200+Sens!F17034*tk_opex_gb300+(Sens!F17036+Sens!F17035)*tk_opex_vr200)/Sens!F17024</f>
        <v>1.95051159746876</v>
      </c>
      <c r="G17042" s="15" t="n">
        <f aca="false">(Sens!G17032*tk_opex_h100+Sens!G17033*tk_opex_gb200+Sens!G17034*tk_opex_gb300+(Sens!G17036+Sens!G17035)*tk_opex_vr200)/Sens!G17024</f>
        <v>1.98836003669956</v>
      </c>
      <c r="H17042" s="15" t="n">
        <f aca="false">(Sens!H17032*tk_opex_h100+Sens!H17033*tk_opex_gb200+Sens!H17034*tk_opex_gb300+(Sens!H17036+Sens!H17035)*tk_opex_vr200)/Sens!H17024</f>
        <v>2.01344013834343</v>
      </c>
      <c r="I17042" s="15" t="n">
        <f aca="false">(Sens!I17032*tk_opex_h100+Sens!I17033*tk_opex_gb200+Sens!I17034*tk_opex_gb300+(Sens!I17036+Sens!I17035)*tk_opex_vr200)/Sens!I17024</f>
        <v>2.03261166882178</v>
      </c>
      <c r="J17042" s="15" t="n">
        <f aca="false">(Sens!J17032*tk_opex_h100+Sens!J17033*tk_opex_gb200+Sens!J17034*tk_opex_gb300+(Sens!J17036+Sens!J17035)*tk_opex_vr200)/Sens!J17024</f>
        <v>2.04808073288745</v>
      </c>
      <c r="K17042" s="15" t="n">
        <f aca="false">(Sens!K17032*tk_opex_h100+Sens!K17033*tk_opex_gb200+Sens!K17034*tk_opex_gb300+(Sens!K17036+Sens!K17035)*tk_opex_vr200)/Sens!K17024</f>
        <v>2.06973825807449</v>
      </c>
      <c r="L17042" s="12" t="s">
        <v>979</v>
      </c>
    </row>
    <row r="17043" customFormat="false" ht="17.15" hidden="false" customHeight="false" outlineLevel="0" collapsed="false">
      <c r="A17043" s="0" t="s">
        <v>980</v>
      </c>
      <c r="B17043" s="0" t="s">
        <v>98</v>
      </c>
      <c r="D17043" s="6" t="n">
        <f aca="false">(Sens!C17027+Sens!D17027)/2*Sens!D17042/1000</f>
        <v>2.70378325872065</v>
      </c>
      <c r="E17043" s="6" t="n">
        <f aca="false">(Sens!D17027+Sens!E17027)/2*Sens!E17042/1000</f>
        <v>6.17783035277451</v>
      </c>
      <c r="F17043" s="6" t="n">
        <f aca="false">(Sens!E17027+Sens!F17027)/2*Sens!F17042/1000</f>
        <v>12.8742463089237</v>
      </c>
      <c r="G17043" s="6" t="n">
        <f aca="false">(Sens!F17027+Sens!G17027)/2*Sens!G17042/1000</f>
        <v>21.8182834646277</v>
      </c>
      <c r="H17043" s="6" t="n">
        <f aca="false">(Sens!G17027+Sens!H17027)/2*Sens!H17042/1000</f>
        <v>31.2430128789734</v>
      </c>
      <c r="I17043" s="6" t="n">
        <f aca="false">(Sens!H17027+Sens!I17027)/2*Sens!I17042/1000</f>
        <v>39.4313057443268</v>
      </c>
      <c r="J17043" s="6" t="n">
        <f aca="false">(Sens!I17027+Sens!J17027)/2*Sens!J17042/1000</f>
        <v>45.0360318228653</v>
      </c>
      <c r="K17043" s="6" t="n">
        <f aca="false">(Sens!J17027+Sens!K17027)/2*Sens!K17042/1000</f>
        <v>48.2929727091156</v>
      </c>
    </row>
    <row r="17044" customFormat="false" ht="17.15" hidden="false" customHeight="false" outlineLevel="0" collapsed="false">
      <c r="A17044" s="0" t="s">
        <v>981</v>
      </c>
      <c r="B17044" s="0" t="s">
        <v>98</v>
      </c>
      <c r="D17044" s="6" t="n">
        <f aca="false">(Sens!C17025+Sens!D17025)/2*rent_mw/1000</f>
        <v>2.44475</v>
      </c>
      <c r="E17044" s="6" t="n">
        <f aca="false">(Sens!D17025+Sens!E17025)/2*rent_mw/1000</f>
        <v>4.22275</v>
      </c>
      <c r="F17044" s="6" t="n">
        <f aca="false">(Sens!E17025+Sens!F17025)/2*rent_mw/1000</f>
        <v>5.80517</v>
      </c>
      <c r="G17044" s="6" t="n">
        <f aca="false">(Sens!F17025+Sens!G17025)/2*rent_mw/1000</f>
        <v>6.72084</v>
      </c>
      <c r="H17044" s="6" t="n">
        <f aca="false">(Sens!G17025+Sens!H17025)/2*rent_mw/1000</f>
        <v>6.72084</v>
      </c>
      <c r="I17044" s="6" t="n">
        <f aca="false">(Sens!H17025+Sens!I17025)/2*rent_mw/1000</f>
        <v>6.72084</v>
      </c>
      <c r="J17044" s="6" t="n">
        <f aca="false">(Sens!I17025+Sens!J17025)/2*rent_mw/1000</f>
        <v>6.72084</v>
      </c>
      <c r="K17044" s="6" t="n">
        <f aca="false">(Sens!J17025+Sens!K17025)/2*rent_mw/1000</f>
        <v>6.72084</v>
      </c>
    </row>
    <row r="17045" customFormat="false" ht="17.15" hidden="false" customHeight="false" outlineLevel="0" collapsed="false">
      <c r="A17045" s="0" t="s">
        <v>982</v>
      </c>
      <c r="B17045" s="0" t="s">
        <v>98</v>
      </c>
      <c r="D17045" s="6" t="n">
        <f aca="false">(Sens!C17027+Sens!D17027)/2*(1-self_build)*fac_rent/1000</f>
        <v>0.853242375631075</v>
      </c>
      <c r="E17045" s="6" t="n">
        <f aca="false">(Sens!D17027+Sens!E17027)/2*(1-self_build)*fac_rent/1000</f>
        <v>1.94955961408728</v>
      </c>
      <c r="F17045" s="6" t="n">
        <f aca="false">(Sens!E17027+Sens!F17027)/2*(1-self_build)*fac_rent/1000</f>
        <v>3.92914894476356</v>
      </c>
      <c r="G17045" s="6" t="n">
        <f aca="false">(Sens!F17027+Sens!G17027)/2*(1-self_build)*fac_rent/1000</f>
        <v>6.53206908578159</v>
      </c>
      <c r="H17045" s="6" t="n">
        <f aca="false">(Sens!G17027+Sens!H17027)/2*(1-self_build)*fac_rent/1000</f>
        <v>9.23717988341591</v>
      </c>
      <c r="I17045" s="6" t="n">
        <f aca="false">(Sens!H17027+Sens!I17027)/2*(1-self_build)*fac_rent/1000</f>
        <v>11.5481378557393</v>
      </c>
      <c r="J17045" s="6" t="n">
        <f aca="false">(Sens!I17027+Sens!J17027)/2*(1-self_build)*fac_rent/1000</f>
        <v>13.0899582289108</v>
      </c>
      <c r="K17045" s="6" t="n">
        <f aca="false">(Sens!J17027+Sens!K17027)/2*(1-self_build)*fac_rent/1000</f>
        <v>13.8897275626556</v>
      </c>
      <c r="L17045" s="12" t="s">
        <v>983</v>
      </c>
    </row>
    <row r="17046" customFormat="false" ht="17.15" hidden="false" customHeight="false" outlineLevel="0" collapsed="false">
      <c r="A17046" s="1" t="s">
        <v>984</v>
      </c>
      <c r="B17046" s="0" t="s">
        <v>168</v>
      </c>
      <c r="D17046" s="7" t="n">
        <f aca="false">(Sens!C17026+Sens!D17026)/(Sens!C17027+Sens!D17027)</f>
        <v>0.6</v>
      </c>
      <c r="E17046" s="7" t="n">
        <f aca="false">(Sens!D17026+Sens!E17026)/(Sens!D17027+Sens!E17027)</f>
        <v>0.6</v>
      </c>
      <c r="F17046" s="7" t="n">
        <f aca="false">(Sens!E17026+Sens!F17026)/(Sens!E17027+Sens!F17027)</f>
        <v>0.6</v>
      </c>
      <c r="G17046" s="7" t="n">
        <f aca="false">(Sens!F17026+Sens!G17026)/(Sens!F17027+Sens!G17027)</f>
        <v>0.6</v>
      </c>
      <c r="H17046" s="7" t="n">
        <f aca="false">(Sens!G17026+Sens!H17026)/(Sens!G17027+Sens!H17027)</f>
        <v>0.6</v>
      </c>
      <c r="I17046" s="7" t="n">
        <f aca="false">(Sens!H17026+Sens!I17026)/(Sens!H17027+Sens!I17027)</f>
        <v>0.6</v>
      </c>
      <c r="J17046" s="7" t="n">
        <f aca="false">(Sens!I17026+Sens!J17026)/(Sens!I17027+Sens!J17027)</f>
        <v>0.6</v>
      </c>
      <c r="K17046" s="7" t="n">
        <f aca="false">(Sens!J17026+Sens!K17026)/(Sens!J17027+Sens!K17027)</f>
        <v>0.6</v>
      </c>
    </row>
    <row r="17047" customFormat="false" ht="17.15" hidden="false" customHeight="false" outlineLevel="0" collapsed="false">
      <c r="A17047" s="0" t="s">
        <v>985</v>
      </c>
      <c r="B17047" s="0" t="s">
        <v>98</v>
      </c>
      <c r="D17047" s="6" t="n">
        <f aca="false">Sens!D17041-Sens!D17046*(Sens!D17043+Sens!D17045)-Sens!D17044</f>
        <v>8.35701406163072</v>
      </c>
      <c r="E17047" s="6" t="n">
        <f aca="false">Sens!E17041-Sens!E17046*(Sens!E17043+Sens!E17045)-Sens!E17044</f>
        <v>18.7103224860238</v>
      </c>
      <c r="F17047" s="6" t="n">
        <f aca="false">Sens!F17041-Sens!F17046*(Sens!F17043+Sens!F17045)-Sens!F17044</f>
        <v>43.2162094129388</v>
      </c>
      <c r="G17047" s="6" t="n">
        <f aca="false">Sens!G17041-Sens!G17046*(Sens!G17043+Sens!G17045)-Sens!G17044</f>
        <v>79.7204472589529</v>
      </c>
      <c r="H17047" s="6" t="n">
        <f aca="false">Sens!H17041-Sens!H17046*(Sens!H17043+Sens!H17045)-Sens!H17044</f>
        <v>122.807764331602</v>
      </c>
      <c r="I17047" s="6" t="n">
        <f aca="false">Sens!I17041-Sens!I17046*(Sens!I17043+Sens!I17045)-Sens!I17044</f>
        <v>155.390972530813</v>
      </c>
      <c r="J17047" s="6" t="n">
        <f aca="false">Sens!J17041-Sens!J17046*(Sens!J17043+Sens!J17045)-Sens!J17044</f>
        <v>178.197668553178</v>
      </c>
      <c r="K17047" s="6" t="n">
        <f aca="false">Sens!K17041-Sens!K17046*(Sens!K17043+Sens!K17045)-Sens!K17044</f>
        <v>192.726586741959</v>
      </c>
    </row>
    <row r="17048" customFormat="false" ht="17.15" hidden="false" customHeight="false" outlineLevel="0" collapsed="false">
      <c r="A17048" s="1" t="s">
        <v>986</v>
      </c>
      <c r="B17048" s="0" t="s">
        <v>98</v>
      </c>
      <c r="D17048" s="6" t="n">
        <f aca="false">(1-Sens!D17046)*(Sens!D17043+Sens!D17045)</f>
        <v>1.42281025374069</v>
      </c>
      <c r="E17048" s="6" t="n">
        <f aca="false">(1-Sens!E17046)*(Sens!E17043+Sens!E17045)</f>
        <v>3.25095598674472</v>
      </c>
      <c r="F17048" s="6" t="n">
        <f aca="false">(1-Sens!F17046)*(Sens!F17043+Sens!F17045)</f>
        <v>6.72135810147489</v>
      </c>
      <c r="G17048" s="6" t="n">
        <f aca="false">(1-Sens!G17046)*(Sens!G17043+Sens!G17045)</f>
        <v>11.3401410201637</v>
      </c>
      <c r="H17048" s="6" t="n">
        <f aca="false">(1-Sens!H17046)*(Sens!H17043+Sens!H17045)</f>
        <v>16.1920771049557</v>
      </c>
      <c r="I17048" s="6" t="n">
        <f aca="false">(1-Sens!I17046)*(Sens!I17043+Sens!I17045)</f>
        <v>20.3917774400264</v>
      </c>
      <c r="J17048" s="6" t="n">
        <f aca="false">(1-Sens!J17046)*(Sens!J17043+Sens!J17045)</f>
        <v>23.2503960207104</v>
      </c>
      <c r="K17048" s="6" t="n">
        <f aca="false">(1-Sens!K17046)*(Sens!K17043+Sens!K17045)</f>
        <v>24.8730801087085</v>
      </c>
    </row>
    <row r="17049" customFormat="false" ht="17.15" hidden="false" customHeight="false" outlineLevel="0" collapsed="false">
      <c r="A17049" s="1" t="s">
        <v>987</v>
      </c>
      <c r="B17049" s="0" t="s">
        <v>414</v>
      </c>
      <c r="C17049" s="8" t="n">
        <f aca="false">cxit_open</f>
        <v>27.5918995</v>
      </c>
      <c r="D17049" s="8" t="n">
        <f aca="false">cxit_open</f>
        <v>27.5918995</v>
      </c>
      <c r="E17049" s="8" t="n">
        <f aca="false">cxit_open</f>
        <v>27.5918995</v>
      </c>
      <c r="F17049" s="8" t="n">
        <f aca="false">((a_g3_27-nonnv*a_mai)*tk_cxit_gb300+nonnv*a_mai*nv_hold_mai*tk_cxit_vr200+(1-a_g3_27)*tk_cxit_vr200)</f>
        <v>32.4975576</v>
      </c>
      <c r="G17049" s="8" t="n">
        <f aca="false">((a_g3_28-nonnv*a_mai)*tk_cxit_gb300+nonnv*a_mai*nv_hold_mai*tk_cxit_vr200+(1-a_g3_28)*tk_cxit_vr200)</f>
        <v>34.6372088</v>
      </c>
      <c r="H17049" s="8" t="n">
        <f aca="false">((a_g3_29-nonnv*a_mai)*tk_cxit_gb300+nonnv*a_mai*nv_hold_mai*tk_cxit_vr200+(1-a_g3_29)*tk_cxit_vr200)</f>
        <v>35.7070344</v>
      </c>
      <c r="I17049" s="8" t="n">
        <f aca="false">((a_g3_29-nonnv*a_mai)*tk_cxit_gb300+nonnv*a_mai*nv_hold_mai*tk_cxit_vr200+(1-a_g3_29)*tk_cxit_vr200)</f>
        <v>35.7070344</v>
      </c>
      <c r="J17049" s="8" t="n">
        <f aca="false">((a_g3_29-nonnv*a_mai)*tk_cxit_gb300+nonnv*a_mai*nv_hold_mai*tk_cxit_vr200+(1-a_g3_29)*tk_cxit_vr200)</f>
        <v>35.7070344</v>
      </c>
      <c r="K17049" s="8" t="n">
        <f aca="false">((a_g3_29-nonnv*a_mai)*tk_cxit_gb300+nonnv*a_mai*nv_hold_mai*tk_cxit_vr200+(1-a_g3_29)*tk_cxit_vr200)</f>
        <v>35.7070344</v>
      </c>
      <c r="L17049" s="12" t="s">
        <v>988</v>
      </c>
    </row>
    <row r="17050" customFormat="false" ht="17.15" hidden="false" customHeight="false" outlineLevel="0" collapsed="false">
      <c r="A17050" s="0" t="s">
        <v>989</v>
      </c>
      <c r="B17050" s="0" t="s">
        <v>456</v>
      </c>
      <c r="F17050" s="30" t="n">
        <f aca="false">Sens!C17029*IF(Sens!F17022-Sens!C17022=life_it,1,0)+Sens!D17029*IF(Sens!F17022-Sens!D17022=life_it,1,0)+Sens!E17029*IF(Sens!F17022-Sens!E17022=life_it,1,0)</f>
        <v>0</v>
      </c>
      <c r="G17050" s="30" t="n">
        <f aca="false">Sens!C17029*IF(Sens!G17022-Sens!C17022=life_it,1,0)+Sens!D17029*IF(Sens!G17022-Sens!D17022=life_it,1,0)+Sens!E17029*IF(Sens!G17022-Sens!E17022=life_it,1,0)+Sens!F17029*IF(Sens!G17022-Sens!F17022=life_it,1,0)</f>
        <v>0</v>
      </c>
      <c r="H17050" s="30" t="n">
        <f aca="false">Sens!C17029*IF(Sens!H17022-Sens!C17022=life_it,1,0)+Sens!D17029*IF(Sens!H17022-Sens!D17022=life_it,1,0)+Sens!E17029*IF(Sens!H17022-Sens!E17022=life_it,1,0)+Sens!F17029*IF(Sens!H17022-Sens!F17022=life_it,1,0)+Sens!G17029*IF(Sens!H17022-Sens!G17022=life_it,1,0)</f>
        <v>0</v>
      </c>
      <c r="I17050" s="30" t="n">
        <f aca="false">Sens!C17029*IF(Sens!I17022-Sens!C17022=life_it,1,0)+Sens!D17029*IF(Sens!I17022-Sens!D17022=life_it,1,0)+Sens!E17029*IF(Sens!I17022-Sens!E17022=life_it,1,0)+Sens!F17029*IF(Sens!I17022-Sens!F17022=life_it,1,0)+Sens!G17029*IF(Sens!I17022-Sens!G17022=life_it,1,0)+Sens!H17029*IF(Sens!I17022-Sens!H17022=life_it,1,0)</f>
        <v>816.666666666667</v>
      </c>
      <c r="J17050" s="30" t="n">
        <f aca="false">Sens!C17029*IF(Sens!J17022-Sens!C17022=life_it,1,0)+Sens!D17029*IF(Sens!J17022-Sens!D17022=life_it,1,0)+Sens!E17029*IF(Sens!J17022-Sens!E17022=life_it,1,0)+Sens!F17029*IF(Sens!J17022-Sens!F17022=life_it,1,0)+Sens!G17029*IF(Sens!J17022-Sens!G17022=life_it,1,0)+Sens!H17029*IF(Sens!J17022-Sens!H17022=life_it,1,0)+Sens!I17029*IF(Sens!J17022-Sens!I17022=life_it,1,0)</f>
        <v>1233.33333333333</v>
      </c>
      <c r="K17050" s="30" t="n">
        <f aca="false">Sens!C17029*IF(Sens!K17022-Sens!C17022=life_it,1,0)+Sens!D17029*IF(Sens!K17022-Sens!D17022=life_it,1,0)+Sens!E17029*IF(Sens!K17022-Sens!E17022=life_it,1,0)+Sens!F17029*IF(Sens!K17022-Sens!F17022=life_it,1,0)+Sens!G17029*IF(Sens!K17022-Sens!G17022=life_it,1,0)+Sens!H17029*IF(Sens!K17022-Sens!H17022=life_it,1,0)+Sens!I17029*IF(Sens!K17022-Sens!I17022=life_it,1,0)+Sens!J17029*IF(Sens!K17022-Sens!J17022=life_it,1,0)</f>
        <v>2450</v>
      </c>
      <c r="L17050" s="1" t="s">
        <v>990</v>
      </c>
    </row>
    <row r="17051" customFormat="false" ht="17.15" hidden="false" customHeight="false" outlineLevel="0" collapsed="false">
      <c r="A17051" s="0" t="s">
        <v>991</v>
      </c>
      <c r="B17051" s="0" t="s">
        <v>98</v>
      </c>
      <c r="C17051" s="6" t="n">
        <f aca="false">Sens!C17029*Sens!C17049/1000</f>
        <v>22.5333845916667</v>
      </c>
      <c r="D17051" s="6" t="n">
        <f aca="false">Sens!D17029*Sens!D17049/1000</f>
        <v>34.0300093833333</v>
      </c>
      <c r="E17051" s="6" t="n">
        <f aca="false">Sens!E17029*Sens!E17049/1000</f>
        <v>67.600153775</v>
      </c>
      <c r="F17051" s="6" t="n">
        <f aca="false">(Sens!F17029+Sens!F17050)*Sens!F17049/1000</f>
        <v>136.51872432512</v>
      </c>
      <c r="G17051" s="6" t="n">
        <f aca="false">(Sens!G17029+Sens!G17050)*Sens!G17049/1000</f>
        <v>157.399275932048</v>
      </c>
      <c r="H17051" s="6" t="n">
        <f aca="false">(Sens!H17029+Sens!H17050)*Sens!H17049/1000</f>
        <v>162.260804347512</v>
      </c>
      <c r="I17051" s="6" t="n">
        <f aca="false">(Sens!I17029+Sens!I17050)*Sens!I17049/1000</f>
        <v>144.136569485434</v>
      </c>
      <c r="J17051" s="6" t="n">
        <f aca="false">(Sens!J17029+Sens!J17050)*Sens!J17049/1000</f>
        <v>114.029037357864</v>
      </c>
      <c r="K17051" s="6" t="n">
        <f aca="false">(Sens!K17029+Sens!K17050)*Sens!K17049/1000</f>
        <v>113.437085350975</v>
      </c>
    </row>
    <row r="17052" customFormat="false" ht="17.15" hidden="false" customHeight="false" outlineLevel="0" collapsed="false">
      <c r="A17052" s="0" t="s">
        <v>992</v>
      </c>
      <c r="B17052" s="0" t="s">
        <v>98</v>
      </c>
      <c r="C17052" s="6" t="n">
        <f aca="false">Sens!C17029*self_build*tk_cxfac/1000</f>
        <v>6.2083</v>
      </c>
      <c r="D17052" s="6" t="n">
        <f aca="false">Sens!D17029*self_build*tk_cxfac/1000</f>
        <v>9.3758</v>
      </c>
      <c r="E17052" s="6" t="n">
        <f aca="false">Sens!E17029*self_build*tk_cxfac/1000</f>
        <v>18.6249</v>
      </c>
      <c r="F17052" s="6" t="n">
        <f aca="false">Sens!F17029*self_build*tk_cxfac/1000</f>
        <v>31.935179717</v>
      </c>
      <c r="G17052" s="6" t="n">
        <f aca="false">Sens!G17029*self_build*tk_cxfac/1000</f>
        <v>34.545199717</v>
      </c>
      <c r="H17052" s="6" t="n">
        <f aca="false">Sens!H17029*self_build*tk_cxfac/1000</f>
        <v>34.545199717</v>
      </c>
      <c r="I17052" s="6" t="n">
        <f aca="false">Sens!I17029*self_build*tk_cxfac/1000</f>
        <v>24.4782641361767</v>
      </c>
      <c r="J17052" s="6" t="n">
        <f aca="false">Sens!J17029*self_build*tk_cxfac/1000</f>
        <v>14.9008938380769</v>
      </c>
      <c r="K17052" s="6" t="n">
        <f aca="false">Sens!K17029*self_build*tk_cxfac/1000</f>
        <v>5.52576771375761</v>
      </c>
    </row>
    <row r="17053" customFormat="false" ht="17.15" hidden="false" customHeight="false" outlineLevel="0" collapsed="false">
      <c r="A17053" s="0" t="s">
        <v>993</v>
      </c>
      <c r="B17053" s="0" t="s">
        <v>98</v>
      </c>
      <c r="F17053" s="15" t="n">
        <f aca="false">capex_floor27-Sens!F17051-Sens!F17052-Sens!F17149</f>
        <v>0.0475774452575593</v>
      </c>
      <c r="L17053" s="12" t="s">
        <v>994</v>
      </c>
    </row>
    <row r="17054" customFormat="false" ht="17.15" hidden="false" customHeight="false" outlineLevel="0" collapsed="false">
      <c r="A17054" s="0" t="s">
        <v>995</v>
      </c>
      <c r="B17054" s="0" t="s">
        <v>98</v>
      </c>
      <c r="F17054" s="6" t="n">
        <f aca="false">MAX(0,Sens!F17053)</f>
        <v>0.0475774452575593</v>
      </c>
    </row>
    <row r="17055" customFormat="false" ht="17.15" hidden="false" customHeight="false" outlineLevel="0" collapsed="false">
      <c r="A17055" s="0" t="s">
        <v>996</v>
      </c>
      <c r="B17055" s="0" t="s">
        <v>98</v>
      </c>
      <c r="C17055" s="6" t="n">
        <f aca="false">Sens!C17051</f>
        <v>22.5333845916667</v>
      </c>
      <c r="D17055" s="6" t="n">
        <f aca="false">Sens!D17051</f>
        <v>34.0300093833333</v>
      </c>
      <c r="E17055" s="6" t="n">
        <f aca="false">Sens!E17051</f>
        <v>67.600153775</v>
      </c>
      <c r="F17055" s="6" t="n">
        <f aca="false">Sens!F17051</f>
        <v>136.51872432512</v>
      </c>
      <c r="G17055" s="6" t="n">
        <f aca="false">Sens!G17051</f>
        <v>157.399275932048</v>
      </c>
      <c r="H17055" s="6" t="n">
        <f aca="false">Sens!H17051</f>
        <v>162.260804347512</v>
      </c>
      <c r="I17055" s="6" t="n">
        <f aca="false">Sens!I17051</f>
        <v>144.136569485434</v>
      </c>
      <c r="J17055" s="6" t="n">
        <f aca="false">Sens!J17051</f>
        <v>114.029037357864</v>
      </c>
      <c r="K17055" s="6" t="n">
        <f aca="false">Sens!K17051</f>
        <v>113.437085350975</v>
      </c>
    </row>
    <row r="17056" customFormat="false" ht="17.15" hidden="false" customHeight="false" outlineLevel="0" collapsed="false">
      <c r="A17056" s="0" t="s">
        <v>997</v>
      </c>
      <c r="B17056" s="0" t="s">
        <v>98</v>
      </c>
      <c r="C17056" s="6" t="n">
        <f aca="false">Sens!C17055+Sens!C17052</f>
        <v>28.7416845916667</v>
      </c>
      <c r="D17056" s="6" t="n">
        <f aca="false">Sens!D17055+Sens!D17052</f>
        <v>43.4058093833333</v>
      </c>
      <c r="E17056" s="6" t="n">
        <f aca="false">Sens!E17055+Sens!E17052</f>
        <v>86.225053775</v>
      </c>
      <c r="F17056" s="6" t="n">
        <f aca="false">Sens!F17055+Sens!F17052</f>
        <v>168.45390404212</v>
      </c>
      <c r="G17056" s="6" t="n">
        <f aca="false">Sens!G17055+Sens!G17052</f>
        <v>191.944475649048</v>
      </c>
      <c r="H17056" s="6" t="n">
        <f aca="false">Sens!H17055+Sens!H17052</f>
        <v>196.806004064512</v>
      </c>
      <c r="I17056" s="6" t="n">
        <f aca="false">Sens!I17055+Sens!I17052</f>
        <v>168.61483362161</v>
      </c>
      <c r="J17056" s="6" t="n">
        <f aca="false">Sens!J17055+Sens!J17052</f>
        <v>128.92993119594</v>
      </c>
      <c r="K17056" s="6" t="n">
        <f aca="false">Sens!K17055+Sens!K17052</f>
        <v>118.962853064733</v>
      </c>
      <c r="L17056" s="12" t="s">
        <v>998</v>
      </c>
    </row>
    <row r="17057" customFormat="false" ht="17.15" hidden="false" customHeight="false" outlineLevel="0" collapsed="false">
      <c r="A17057" s="0" t="s">
        <v>999</v>
      </c>
      <c r="B17057" s="0" t="s">
        <v>98</v>
      </c>
      <c r="E17057" s="6" t="n">
        <f aca="false">(Sens!C17055*IF(2&lt;life_it,1,IF(2=life_it,0.5,0))+Sens!D17055*IF(1&lt;life_it,1,IF(1=life_it,0.5,0))+Sens!E17055*0.5)/life_it</f>
        <v>15.0605784770833</v>
      </c>
      <c r="F17057" s="6" t="n">
        <f aca="false">(Sens!C17055*IF(3&lt;life_it,1,IF(3=life_it,0.5,0))+Sens!D17055*IF(2&lt;life_it,1,IF(2=life_it,0.5,0))+Sens!E17055*IF(1&lt;life_it,1,IF(1=life_it,0.5,0))+Sens!F17055*0.5)/life_it</f>
        <v>32.0704849854266</v>
      </c>
      <c r="G17057" s="6" t="n">
        <f aca="false">(Sens!C17055*IF(4&lt;life_it,1,IF(4=life_it,0.5,0))+Sens!D17055*IF(3&lt;life_it,1,IF(3=life_it,0.5,0))+Sens!E17055*IF(2&lt;life_it,1,IF(2=life_it,0.5,0))+Sens!F17055*IF(1&lt;life_it,1,IF(1=life_it,0.5,0))+Sens!G17055*0.5)/life_it</f>
        <v>56.5636516735239</v>
      </c>
      <c r="H17057" s="6" t="n">
        <f aca="false">(Sens!C17055*IF(5&lt;life_it,1,IF(5=life_it,0.5,0))+Sens!D17055*IF(4&lt;life_it,1,IF(4=life_it,0.5,0))+Sens!E17055*IF(3&lt;life_it,1,IF(3=life_it,0.5,0))+Sens!F17055*IF(2&lt;life_it,1,IF(2=life_it,0.5,0))+Sens!G17055*IF(1&lt;life_it,1,IF(1=life_it,0.5,0))+Sens!H17055*0.5)/life_it</f>
        <v>83.2019916968207</v>
      </c>
      <c r="I17057" s="6" t="n">
        <f aca="false">(Sens!C17055*IF(6&lt;life_it,1,IF(6=life_it,0.5,0))+Sens!D17055*IF(5&lt;life_it,1,IF(5=life_it,0.5,0))+Sens!E17055*IF(4&lt;life_it,1,IF(4=life_it,0.5,0))+Sens!F17055*IF(3&lt;life_it,1,IF(3=life_it,0.5,0))+Sens!G17055*IF(2&lt;life_it,1,IF(2=life_it,0.5,0))+Sens!H17055*IF(1&lt;life_it,1,IF(1=life_it,0.5,0))+Sens!I17055*0.5)/life_it</f>
        <v>106.857324133594</v>
      </c>
      <c r="J17057" s="6" t="n">
        <f aca="false">(Sens!C17055*IF(7&lt;life_it,1,IF(7=life_it,0.5,0))+Sens!D17055*IF(6&lt;life_it,1,IF(6=life_it,0.5,0))+Sens!E17055*IF(5&lt;life_it,1,IF(5=life_it,0.5,0))+Sens!F17055*IF(4&lt;life_it,1,IF(4=life_it,0.5,0))+Sens!G17055*IF(3&lt;life_it,1,IF(3=life_it,0.5,0))+Sens!H17055*IF(2&lt;life_it,1,IF(2=life_it,0.5,0))+Sens!I17055*IF(1&lt;life_it,1,IF(1=life_it,0.5,0))+Sens!J17055*0.5)/life_it</f>
        <v>123.657508539285</v>
      </c>
      <c r="K17057" s="6" t="n">
        <f aca="false">(Sens!C17055*IF(8&lt;life_it,1,IF(8=life_it,0.5,0))+Sens!D17055*IF(7&lt;life_it,1,IF(7=life_it,0.5,0))+Sens!E17055*IF(6&lt;life_it,1,IF(6=life_it,0.5,0))+Sens!F17055*IF(5&lt;life_it,1,IF(5=life_it,0.5,0))+Sens!G17055*IF(4&lt;life_it,1,IF(4=life_it,0.5,0))+Sens!H17055*IF(3&lt;life_it,1,IF(3=life_it,0.5,0))+Sens!I17055*IF(2&lt;life_it,1,IF(2=life_it,0.5,0))+Sens!J17055*IF(1&lt;life_it,1,IF(1=life_it,0.5,0))+Sens!K17055*0.5)/life_it</f>
        <v>134.143838501827</v>
      </c>
    </row>
    <row r="17058" customFormat="false" ht="17.15" hidden="false" customHeight="false" outlineLevel="0" collapsed="false">
      <c r="A17058" s="0" t="s">
        <v>1000</v>
      </c>
      <c r="B17058" s="0" t="s">
        <v>98</v>
      </c>
      <c r="E17058" s="6" t="n">
        <f aca="false">(Sens!C17052*IF(2&lt;life_fac,1,IF(2=life_fac,0.5,0))+Sens!D17052*IF(1&lt;life_fac,1,IF(1=life_fac,0.5,0))+Sens!E17052*0.5)/life_fac</f>
        <v>1.2448275</v>
      </c>
      <c r="F17058" s="6" t="n">
        <f aca="false">(Sens!C17052*IF(3&lt;life_fac,1,IF(3=life_fac,0.5,0))+Sens!D17052*IF(2&lt;life_fac,1,IF(2=life_fac,0.5,0))+Sens!E17052*IF(1&lt;life_fac,1,IF(1=life_fac,0.5,0))+Sens!F17052*0.5)/life_fac</f>
        <v>2.508829492925</v>
      </c>
      <c r="G17058" s="6" t="n">
        <f aca="false">(Sens!C17052*IF(4&lt;life_fac,1,IF(4=life_fac,0.5,0))+Sens!D17052*IF(3&lt;life_fac,1,IF(3=life_fac,0.5,0))+Sens!E17052*IF(2&lt;life_fac,1,IF(2=life_fac,0.5,0))+Sens!F17052*IF(1&lt;life_fac,1,IF(1=life_fac,0.5,0))+Sens!G17052*0.5)/life_fac</f>
        <v>4.170838978775</v>
      </c>
      <c r="H17058" s="6" t="n">
        <f aca="false">(Sens!C17052*IF(5&lt;life_fac,1,IF(5=life_fac,0.5,0))+Sens!D17052*IF(4&lt;life_fac,1,IF(4=life_fac,0.5,0))+Sens!E17052*IF(3&lt;life_fac,1,IF(3=life_fac,0.5,0))+Sens!F17052*IF(2&lt;life_fac,1,IF(2=life_fac,0.5,0))+Sens!G17052*IF(1&lt;life_fac,1,IF(1=life_fac,0.5,0))+Sens!H17052*0.5)/life_fac</f>
        <v>5.898098964625</v>
      </c>
      <c r="I17058" s="6" t="n">
        <f aca="false">(Sens!C17052*IF(6&lt;life_fac,1,IF(6=life_fac,0.5,0))+Sens!D17052*IF(5&lt;life_fac,1,IF(5=life_fac,0.5,0))+Sens!E17052*IF(4&lt;life_fac,1,IF(4=life_fac,0.5,0))+Sens!F17052*IF(3&lt;life_fac,1,IF(3=life_fac,0.5,0))+Sens!G17052*IF(2&lt;life_fac,1,IF(2=life_fac,0.5,0))+Sens!H17052*IF(1&lt;life_fac,1,IF(1=life_fac,0.5,0))+Sens!I17052*0.5)/life_fac</f>
        <v>7.37368556095442</v>
      </c>
      <c r="J17058" s="6" t="n">
        <f aca="false">(Sens!C17052*IF(7&lt;life_fac,1,IF(7=life_fac,0.5,0))+Sens!D17052*IF(6&lt;life_fac,1,IF(6=life_fac,0.5,0))+Sens!E17052*IF(5&lt;life_fac,1,IF(5=life_fac,0.5,0))+Sens!F17052*IF(4&lt;life_fac,1,IF(4=life_fac,0.5,0))+Sens!G17052*IF(3&lt;life_fac,1,IF(3=life_fac,0.5,0))+Sens!H17052*IF(2&lt;life_fac,1,IF(2=life_fac,0.5,0))+Sens!I17052*IF(1&lt;life_fac,1,IF(1=life_fac,0.5,0))+Sens!J17052*0.5)/life_fac</f>
        <v>8.35816451031075</v>
      </c>
      <c r="K17058" s="6" t="n">
        <f aca="false">(Sens!C17052*IF(8&lt;life_fac,1,IF(8=life_fac,0.5,0))+Sens!D17052*IF(7&lt;life_fac,1,IF(7=life_fac,0.5,0))+Sens!E17052*IF(6&lt;life_fac,1,IF(6=life_fac,0.5,0))+Sens!F17052*IF(5&lt;life_fac,1,IF(5=life_fac,0.5,0))+Sens!G17052*IF(4&lt;life_fac,1,IF(4=life_fac,0.5,0))+Sens!H17052*IF(3&lt;life_fac,1,IF(3=life_fac,0.5,0))+Sens!I17052*IF(2&lt;life_fac,1,IF(2=life_fac,0.5,0))+Sens!J17052*IF(1&lt;life_fac,1,IF(1=life_fac,0.5,0))+Sens!K17052*0.5)/life_fac</f>
        <v>8.86883104910662</v>
      </c>
    </row>
    <row r="17059" customFormat="false" ht="17.15" hidden="false" customHeight="false" outlineLevel="0" collapsed="false">
      <c r="A17059" s="0" t="s">
        <v>1001</v>
      </c>
      <c r="B17059" s="0" t="s">
        <v>98</v>
      </c>
      <c r="E17059" s="6" t="n">
        <f aca="false">Sens!E17057+Sens!E17058</f>
        <v>16.3054059770833</v>
      </c>
      <c r="F17059" s="6" t="n">
        <f aca="false">Sens!F17057+Sens!F17058</f>
        <v>34.5793144783516</v>
      </c>
      <c r="G17059" s="6" t="n">
        <f aca="false">Sens!G17057+Sens!G17058</f>
        <v>60.7344906522989</v>
      </c>
      <c r="H17059" s="6" t="n">
        <f aca="false">Sens!H17057+Sens!H17058</f>
        <v>89.1000906614457</v>
      </c>
      <c r="I17059" s="6" t="n">
        <f aca="false">Sens!I17057+Sens!I17058</f>
        <v>114.231009694548</v>
      </c>
      <c r="J17059" s="6" t="n">
        <f aca="false">Sens!J17057+Sens!J17058</f>
        <v>132.015673049596</v>
      </c>
      <c r="K17059" s="6" t="n">
        <f aca="false">Sens!K17057+Sens!K17058</f>
        <v>143.012669550934</v>
      </c>
    </row>
    <row r="17060" customFormat="false" ht="17.15" hidden="false" customHeight="false" outlineLevel="0" collapsed="false">
      <c r="A17060" s="0" t="s">
        <v>1002</v>
      </c>
      <c r="B17060" s="0" t="s">
        <v>98</v>
      </c>
      <c r="E17060" s="6" t="n">
        <f aca="false">Sens!E17047-Sens!E17046*Sens!E17059</f>
        <v>8.92707889977379</v>
      </c>
      <c r="F17060" s="6" t="n">
        <f aca="false">Sens!F17047-Sens!F17046*Sens!F17059</f>
        <v>22.4686207259278</v>
      </c>
      <c r="G17060" s="6" t="n">
        <f aca="false">Sens!G17047-Sens!G17046*Sens!G17059</f>
        <v>43.2797528675735</v>
      </c>
      <c r="H17060" s="6" t="n">
        <f aca="false">Sens!H17047-Sens!H17046*Sens!H17059</f>
        <v>69.3477099347341</v>
      </c>
      <c r="I17060" s="6" t="n">
        <f aca="false">Sens!I17047-Sens!I17046*Sens!I17059</f>
        <v>86.8523667140836</v>
      </c>
      <c r="J17060" s="6" t="n">
        <f aca="false">Sens!J17047-Sens!J17046*Sens!J17059</f>
        <v>98.9882647234202</v>
      </c>
      <c r="K17060" s="6" t="n">
        <f aca="false">Sens!K17047-Sens!K17046*Sens!K17059</f>
        <v>106.918985011399</v>
      </c>
    </row>
    <row r="17061" customFormat="false" ht="17.15" hidden="false" customHeight="false" outlineLevel="0" collapsed="false">
      <c r="A17061" s="3" t="s">
        <v>1900</v>
      </c>
    </row>
    <row r="17062" customFormat="false" ht="15" hidden="false" customHeight="false" outlineLevel="0" collapsed="false">
      <c r="A17062" s="4" t="s">
        <v>43</v>
      </c>
      <c r="B17062" s="4" t="s">
        <v>65</v>
      </c>
      <c r="C17062" s="23" t="s">
        <v>938</v>
      </c>
      <c r="D17062" s="23" t="s">
        <v>939</v>
      </c>
      <c r="E17062" s="23" t="s">
        <v>940</v>
      </c>
      <c r="F17062" s="23" t="s">
        <v>941</v>
      </c>
      <c r="G17062" s="23" t="s">
        <v>942</v>
      </c>
      <c r="H17062" s="23" t="s">
        <v>943</v>
      </c>
      <c r="I17062" s="23" t="s">
        <v>944</v>
      </c>
      <c r="J17062" s="23" t="s">
        <v>945</v>
      </c>
      <c r="K17062" s="23" t="s">
        <v>946</v>
      </c>
      <c r="L17062" s="4" t="s">
        <v>47</v>
      </c>
    </row>
    <row r="17063" customFormat="false" ht="17.15" hidden="false" customHeight="false" outlineLevel="0" collapsed="false">
      <c r="A17063" s="0" t="s">
        <v>1021</v>
      </c>
      <c r="B17063" s="0" t="s">
        <v>98</v>
      </c>
      <c r="D17063" s="6" t="n">
        <f aca="false">Sens!D17041</f>
        <v>12.9359794422418</v>
      </c>
      <c r="E17063" s="6" t="n">
        <f aca="false">Sens!E17041</f>
        <v>27.8095064661409</v>
      </c>
      <c r="F17063" s="6" t="n">
        <f aca="false">Sens!F17041</f>
        <v>59.1034165651511</v>
      </c>
      <c r="G17063" s="6" t="n">
        <f aca="false">Sens!G17041</f>
        <v>103.451498789198</v>
      </c>
      <c r="H17063" s="6" t="n">
        <f aca="false">Sens!H17041</f>
        <v>153.816719989035</v>
      </c>
      <c r="I17063" s="6" t="n">
        <f aca="false">Sens!I17041</f>
        <v>192.699478690852</v>
      </c>
      <c r="J17063" s="6" t="n">
        <f aca="false">Sens!J17041</f>
        <v>219.794102584244</v>
      </c>
      <c r="K17063" s="6" t="n">
        <f aca="false">Sens!K17041</f>
        <v>236.757046905022</v>
      </c>
    </row>
    <row r="17064" customFormat="false" ht="17.15" hidden="false" customHeight="false" outlineLevel="0" collapsed="false">
      <c r="A17064" s="0" t="s">
        <v>1022</v>
      </c>
      <c r="B17064" s="0" t="s">
        <v>98</v>
      </c>
      <c r="D17064" s="6" t="n">
        <f aca="false">Q!L6-Sens!D17063</f>
        <v>59.6740205577583</v>
      </c>
      <c r="E17064" s="6" t="n">
        <f aca="false">Q!M6-Sens!E17063</f>
        <v>74.1284935338591</v>
      </c>
      <c r="F17064" s="6" t="n">
        <f aca="false">Q!$I$6+(Sens!F17063+Sens!E17064*(1+Sens!F17065))*(1-Q!$E$6/Q!M6)-Sens!F17063</f>
        <v>90.4866018070994</v>
      </c>
      <c r="G17064" s="6" t="n">
        <f aca="false">Sens!F17064*(1+Sens!G17065)</f>
        <v>107.511588557154</v>
      </c>
      <c r="H17064" s="6" t="n">
        <f aca="false">Sens!G17064*(1+Sens!H17065)</f>
        <v>124.832989325489</v>
      </c>
      <c r="I17064" s="6" t="n">
        <f aca="false">Sens!H17064*(1+Sens!I17065)</f>
        <v>141.56992589148</v>
      </c>
      <c r="J17064" s="6" t="n">
        <f aca="false">Sens!I17064*(1+Sens!J17065)</f>
        <v>156.723190479428</v>
      </c>
      <c r="K17064" s="6" t="n">
        <f aca="false">Sens!J17064*(1+Sens!K17065)</f>
        <v>169.261045717783</v>
      </c>
      <c r="L17064" s="12" t="s">
        <v>1023</v>
      </c>
    </row>
    <row r="17065" customFormat="false" ht="15" hidden="false" customHeight="false" outlineLevel="0" collapsed="false">
      <c r="A17065" s="1" t="s">
        <v>1024</v>
      </c>
      <c r="B17065" s="0" t="s">
        <v>168</v>
      </c>
      <c r="E17065" s="7" t="n">
        <f aca="false">Sens!E17064/Sens!D17064-1</f>
        <v>0.242223883039864</v>
      </c>
      <c r="F17065" s="7" t="n">
        <f aca="false">Sens!$E$17065+(glt_azo-Sens!$E$17065)*MIN(1,(Sens!F17022-base_fy)/n_conv)</f>
        <v>0.215186569199887</v>
      </c>
      <c r="G17065" s="7" t="n">
        <f aca="false">Sens!$E$17065+(glt_azo-Sens!$E$17065)*MIN(1,(Sens!G17022-base_fy)/n_conv)</f>
        <v>0.18814925535991</v>
      </c>
      <c r="H17065" s="7" t="n">
        <f aca="false">Sens!$E$17065+(glt_azo-Sens!$E$17065)*MIN(1,(Sens!H17022-base_fy)/n_conv)</f>
        <v>0.161111941519932</v>
      </c>
      <c r="I17065" s="7" t="n">
        <f aca="false">Sens!$E$17065+(glt_azo-Sens!$E$17065)*MIN(1,(Sens!I17022-base_fy)/n_conv)</f>
        <v>0.134074627679955</v>
      </c>
      <c r="J17065" s="7" t="n">
        <f aca="false">Sens!$E$17065+(glt_azo-Sens!$E$17065)*MIN(1,(Sens!J17022-base_fy)/n_conv)</f>
        <v>0.107037313839977</v>
      </c>
      <c r="K17065" s="7" t="n">
        <f aca="false">Sens!$E$17065+(glt_azo-Sens!$E$17065)*MIN(1,(Sens!K17022-base_fy)/n_conv)</f>
        <v>0.08</v>
      </c>
    </row>
    <row r="17066" customFormat="false" ht="15" hidden="false" customHeight="false" outlineLevel="0" collapsed="false">
      <c r="A17066" s="0" t="s">
        <v>1025</v>
      </c>
      <c r="B17066" s="0" t="s">
        <v>98</v>
      </c>
      <c r="D17066" s="6" t="n">
        <f aca="false">Sens!D17063+Sens!D17064</f>
        <v>72.61</v>
      </c>
      <c r="E17066" s="6" t="n">
        <f aca="false">Sens!E17063+Sens!E17064</f>
        <v>101.938</v>
      </c>
      <c r="F17066" s="6" t="n">
        <f aca="false">Sens!F17063+Sens!F17064</f>
        <v>149.59001837225</v>
      </c>
      <c r="G17066" s="6" t="n">
        <f aca="false">Sens!G17063+Sens!G17064</f>
        <v>210.963087346352</v>
      </c>
      <c r="H17066" s="6" t="n">
        <f aca="false">Sens!H17063+Sens!H17064</f>
        <v>278.649709314524</v>
      </c>
      <c r="I17066" s="6" t="n">
        <f aca="false">Sens!I17063+Sens!I17064</f>
        <v>334.269404582332</v>
      </c>
      <c r="J17066" s="6" t="n">
        <f aca="false">Sens!J17063+Sens!J17064</f>
        <v>376.517293063672</v>
      </c>
      <c r="K17066" s="6" t="n">
        <f aca="false">Sens!K17063+Sens!K17064</f>
        <v>406.018092622804</v>
      </c>
    </row>
    <row r="17067" customFormat="false" ht="17.15" hidden="false" customHeight="false" outlineLevel="0" collapsed="false">
      <c r="A17067" s="0" t="s">
        <v>1026</v>
      </c>
      <c r="B17067" s="1" t="s">
        <v>610</v>
      </c>
      <c r="C17067" s="30" t="n">
        <f aca="false">cop_s24</f>
        <v>1</v>
      </c>
      <c r="D17067" s="30" t="n">
        <f aca="false">cop_s25</f>
        <v>5</v>
      </c>
      <c r="E17067" s="30" t="n">
        <f aca="false">cop_s26</f>
        <v>30</v>
      </c>
      <c r="F17067" s="30" t="n">
        <f aca="false">Sens!E17067+cop_add_A</f>
        <v>60</v>
      </c>
      <c r="G17067" s="30" t="n">
        <f aca="false">Sens!F17067+cop_add_A</f>
        <v>90</v>
      </c>
      <c r="H17067" s="30" t="n">
        <f aca="false">Sens!G17067+cop_add_A</f>
        <v>120</v>
      </c>
      <c r="I17067" s="30" t="n">
        <f aca="false">Sens!H17067+cop_add_A*cop_tail</f>
        <v>135</v>
      </c>
      <c r="J17067" s="30" t="n">
        <f aca="false">Sens!I17067+cop_add_A*cop_tail</f>
        <v>150</v>
      </c>
      <c r="K17067" s="30" t="n">
        <f aca="false">Sens!J17067+cop_add_A*cop_tail</f>
        <v>165</v>
      </c>
      <c r="L17067" s="12" t="s">
        <v>1027</v>
      </c>
    </row>
    <row r="17068" customFormat="false" ht="17.15" hidden="false" customHeight="false" outlineLevel="0" collapsed="false">
      <c r="A17068" s="0" t="s">
        <v>1028</v>
      </c>
      <c r="B17068" s="0" t="s">
        <v>98</v>
      </c>
      <c r="D17068" s="6" t="n">
        <f aca="false">(Sens!C17067+Sens!D17067)/2*cop_px*12/1000</f>
        <v>0.9</v>
      </c>
      <c r="E17068" s="6" t="n">
        <f aca="false">(Sens!D17067+Sens!E17067)/2*cop_px*12/1000</f>
        <v>5.25</v>
      </c>
      <c r="F17068" s="6" t="n">
        <f aca="false">(Sens!E17067+Sens!F17067)/2*cop_px*12/1000</f>
        <v>13.5</v>
      </c>
      <c r="G17068" s="6" t="n">
        <f aca="false">(Sens!F17067+Sens!G17067)/2*cop_px*12/1000</f>
        <v>22.5</v>
      </c>
      <c r="H17068" s="6" t="n">
        <f aca="false">(Sens!G17067+Sens!H17067)/2*cop_px*12/1000</f>
        <v>31.5</v>
      </c>
      <c r="I17068" s="6" t="n">
        <f aca="false">(Sens!H17067+Sens!I17067)/2*cop_px*12/1000</f>
        <v>38.25</v>
      </c>
      <c r="J17068" s="6" t="n">
        <f aca="false">(Sens!I17067+Sens!J17067)/2*cop_px*12/1000</f>
        <v>42.75</v>
      </c>
      <c r="K17068" s="6" t="n">
        <f aca="false">(Sens!J17067+Sens!K17067)/2*cop_px*12/1000</f>
        <v>47.25</v>
      </c>
      <c r="L17068" s="1" t="s">
        <v>1029</v>
      </c>
    </row>
    <row r="17069" customFormat="false" ht="17.15" hidden="false" customHeight="false" outlineLevel="0" collapsed="false">
      <c r="A17069" s="0" t="s">
        <v>1030</v>
      </c>
      <c r="B17069" s="0" t="s">
        <v>98</v>
      </c>
      <c r="D17069" s="6" t="n">
        <f aca="false">Q!L7-Sens!D17068</f>
        <v>83.705</v>
      </c>
      <c r="E17069" s="6" t="n">
        <f aca="false">Q!M7-Sens!E17068</f>
        <v>95.049</v>
      </c>
      <c r="F17069" s="6" t="n">
        <f aca="false">Q!$I$7+(Sens!E17069*(1+Sens!F17070)+Sens!F17068)*(1-Q!$E$7/Q!M7)-Sens!F17068</f>
        <v>106.229653205718</v>
      </c>
      <c r="G17069" s="6" t="n">
        <f aca="false">Sens!F17069*(1+Sens!G17070)</f>
        <v>118.306092647576</v>
      </c>
      <c r="H17069" s="6" t="n">
        <f aca="false">Sens!G17069*(1+Sens!H17070)</f>
        <v>130.463437602768</v>
      </c>
      <c r="I17069" s="6" t="n">
        <f aca="false">Sens!H17069*(1+Sens!I17070)</f>
        <v>142.445354741933</v>
      </c>
      <c r="J17069" s="6" t="n">
        <f aca="false">Sens!I17069*(1+Sens!J17070)</f>
        <v>153.972117481571</v>
      </c>
      <c r="K17069" s="6" t="n">
        <f aca="false">Sens!J17069*(1+Sens!K17070)</f>
        <v>164.75016570528</v>
      </c>
      <c r="L17069" s="12" t="s">
        <v>1031</v>
      </c>
    </row>
    <row r="17070" customFormat="false" ht="15" hidden="false" customHeight="false" outlineLevel="0" collapsed="false">
      <c r="A17070" s="1" t="s">
        <v>1024</v>
      </c>
      <c r="B17070" s="0" t="s">
        <v>168</v>
      </c>
      <c r="E17070" s="7" t="n">
        <f aca="false">Sens!E17069/Sens!D17069-1</f>
        <v>0.135523564900544</v>
      </c>
      <c r="F17070" s="7" t="n">
        <f aca="false">Sens!$E$17070+(glt_m365b-Sens!$E$17070)*MIN(1,(Sens!F17022-base_fy)/n_conv)</f>
        <v>0.124602970750453</v>
      </c>
      <c r="G17070" s="7" t="n">
        <f aca="false">Sens!$E$17070+(glt_m365b-Sens!$E$17070)*MIN(1,(Sens!G17022-base_fy)/n_conv)</f>
        <v>0.113682376600363</v>
      </c>
      <c r="H17070" s="7" t="n">
        <f aca="false">Sens!$E$17070+(glt_m365b-Sens!$E$17070)*MIN(1,(Sens!H17022-base_fy)/n_conv)</f>
        <v>0.102761782450272</v>
      </c>
      <c r="I17070" s="7" t="n">
        <f aca="false">Sens!$E$17070+(glt_m365b-Sens!$E$17070)*MIN(1,(Sens!I17022-base_fy)/n_conv)</f>
        <v>0.0918411883001813</v>
      </c>
      <c r="J17070" s="7" t="n">
        <f aca="false">Sens!$E$17070+(glt_m365b-Sens!$E$17070)*MIN(1,(Sens!J17022-base_fy)/n_conv)</f>
        <v>0.0809205941500906</v>
      </c>
      <c r="K17070" s="7" t="n">
        <f aca="false">Sens!$E$17070+(glt_m365b-Sens!$E$17070)*MIN(1,(Sens!K17022-base_fy)/n_conv)</f>
        <v>0.07</v>
      </c>
    </row>
    <row r="17071" customFormat="false" ht="15" hidden="false" customHeight="false" outlineLevel="0" collapsed="false">
      <c r="A17071" s="0" t="s">
        <v>1032</v>
      </c>
      <c r="B17071" s="0" t="s">
        <v>98</v>
      </c>
      <c r="D17071" s="6" t="n">
        <f aca="false">Sens!D17069+Sens!D17068</f>
        <v>84.605</v>
      </c>
      <c r="E17071" s="6" t="n">
        <f aca="false">Sens!E17069+Sens!E17068</f>
        <v>100.299</v>
      </c>
      <c r="F17071" s="6" t="n">
        <f aca="false">Sens!F17069+Sens!F17068</f>
        <v>119.729653205718</v>
      </c>
      <c r="G17071" s="6" t="n">
        <f aca="false">Sens!G17069+Sens!G17068</f>
        <v>140.806092647576</v>
      </c>
      <c r="H17071" s="6" t="n">
        <f aca="false">Sens!H17069+Sens!H17068</f>
        <v>161.963437602768</v>
      </c>
      <c r="I17071" s="6" t="n">
        <f aca="false">Sens!I17069+Sens!I17068</f>
        <v>180.695354741933</v>
      </c>
      <c r="J17071" s="6" t="n">
        <f aca="false">Sens!J17069+Sens!J17068</f>
        <v>196.722117481571</v>
      </c>
      <c r="K17071" s="6" t="n">
        <f aca="false">Sens!K17069+Sens!K17068</f>
        <v>212.00016570528</v>
      </c>
    </row>
    <row r="17072" customFormat="false" ht="17.15" hidden="false" customHeight="false" outlineLevel="0" collapsed="false">
      <c r="A17072" s="0" t="s">
        <v>1033</v>
      </c>
      <c r="B17072" s="0" t="s">
        <v>98</v>
      </c>
      <c r="D17072" s="6" t="n">
        <f aca="false">Q!L8</f>
        <v>35.391</v>
      </c>
      <c r="E17072" s="6" t="n">
        <f aca="false">Q!M8</f>
        <v>37.285</v>
      </c>
      <c r="F17072" s="6" t="n">
        <f aca="false">Q!$I$8+(Q!M8-Q!$E$8)*(1+Sens!F17073)</f>
        <v>38.3851437782675</v>
      </c>
      <c r="G17072" s="6" t="n">
        <f aca="false">Sens!F17072*(1+Sens!G17073)</f>
        <v>40.0105353288615</v>
      </c>
      <c r="H17072" s="6" t="n">
        <f aca="false">Sens!G17072*(1+Sens!H17073)</f>
        <v>41.4812512033683</v>
      </c>
      <c r="I17072" s="6" t="n">
        <f aca="false">Sens!H17072*(1+Sens!I17073)</f>
        <v>42.7743107216329</v>
      </c>
      <c r="J17072" s="6" t="n">
        <f aca="false">Sens!I17072*(1+Sens!J17073)</f>
        <v>43.8687373064601</v>
      </c>
      <c r="K17072" s="6" t="n">
        <f aca="false">Sens!J17072*(1+Sens!K17073)</f>
        <v>44.7461120525893</v>
      </c>
      <c r="L17072" s="12" t="s">
        <v>1034</v>
      </c>
    </row>
    <row r="17073" customFormat="false" ht="15" hidden="false" customHeight="false" outlineLevel="0" collapsed="false">
      <c r="A17073" s="1" t="s">
        <v>1024</v>
      </c>
      <c r="B17073" s="0" t="s">
        <v>168</v>
      </c>
      <c r="E17073" s="7" t="n">
        <f aca="false">Sens!E17072/Sens!D17072-1</f>
        <v>0.0535164307309768</v>
      </c>
      <c r="F17073" s="7" t="n">
        <f aca="false">Sens!$E$17073+(glt_lic-Sens!$E$17073)*MIN(1,(Sens!F17022-base_fy)/n_conv)</f>
        <v>0.0479303589424807</v>
      </c>
      <c r="G17073" s="7" t="n">
        <f aca="false">Sens!$E$17073+(glt_lic-Sens!$E$17073)*MIN(1,(Sens!G17022-base_fy)/n_conv)</f>
        <v>0.0423442871539845</v>
      </c>
      <c r="H17073" s="7" t="n">
        <f aca="false">Sens!$E$17073+(glt_lic-Sens!$E$17073)*MIN(1,(Sens!H17022-base_fy)/n_conv)</f>
        <v>0.0367582153654884</v>
      </c>
      <c r="I17073" s="7" t="n">
        <f aca="false">Sens!$E$17073+(glt_lic-Sens!$E$17073)*MIN(1,(Sens!I17022-base_fy)/n_conv)</f>
        <v>0.0311721435769923</v>
      </c>
      <c r="J17073" s="7" t="n">
        <f aca="false">Sens!$E$17073+(glt_lic-Sens!$E$17073)*MIN(1,(Sens!J17022-base_fy)/n_conv)</f>
        <v>0.0255860717884961</v>
      </c>
      <c r="K17073" s="7" t="n">
        <f aca="false">Sens!$E$17073+(glt_lic-Sens!$E$17073)*MIN(1,(Sens!K17022-base_fy)/n_conv)</f>
        <v>0.02</v>
      </c>
    </row>
    <row r="17074" customFormat="false" ht="17.15" hidden="false" customHeight="false" outlineLevel="0" collapsed="false">
      <c r="A17074" s="0" t="s">
        <v>1035</v>
      </c>
      <c r="B17074" s="0" t="s">
        <v>98</v>
      </c>
      <c r="D17074" s="6" t="n">
        <f aca="false">Q!L9</f>
        <v>18.417</v>
      </c>
      <c r="E17074" s="6" t="n">
        <f aca="false">Q!M9</f>
        <v>20.345</v>
      </c>
      <c r="F17074" s="6" t="n">
        <f aca="false">Q!$I$9+(Q!M9-Q!$E$9)*(1+Sens!F17075)</f>
        <v>22.3161797133988</v>
      </c>
      <c r="G17074" s="6" t="n">
        <f aca="false">Sens!F17074*(1+Sens!G17075)</f>
        <v>24.3943499673233</v>
      </c>
      <c r="H17074" s="6" t="n">
        <f aca="false">Sens!G17074*(1+Sens!H17075)</f>
        <v>26.5250243109019</v>
      </c>
      <c r="I17074" s="6" t="n">
        <f aca="false">Sens!H17074*(1+Sens!I17075)</f>
        <v>28.6884573538181</v>
      </c>
      <c r="J17074" s="6" t="n">
        <f aca="false">Sens!I17074*(1+Sens!J17075)</f>
        <v>30.8624968052127</v>
      </c>
      <c r="K17074" s="6" t="n">
        <f aca="false">Sens!J17074*(1+Sens!K17075)</f>
        <v>33.0228715815776</v>
      </c>
      <c r="L17074" s="12" t="s">
        <v>1034</v>
      </c>
    </row>
    <row r="17075" customFormat="false" ht="15" hidden="false" customHeight="false" outlineLevel="0" collapsed="false">
      <c r="A17075" s="1" t="s">
        <v>1024</v>
      </c>
      <c r="B17075" s="0" t="s">
        <v>168</v>
      </c>
      <c r="E17075" s="7" t="n">
        <f aca="false">Sens!E17074/Sens!D17074-1</f>
        <v>0.104685888038225</v>
      </c>
      <c r="F17075" s="7" t="n">
        <f aca="false">Sens!$E$17075+(glt_ind-Sens!$E$17075)*MIN(1,(Sens!F17022-base_fy)/n_conv)</f>
        <v>0.0989049066985211</v>
      </c>
      <c r="G17075" s="7" t="n">
        <f aca="false">Sens!$E$17075+(glt_ind-Sens!$E$17075)*MIN(1,(Sens!G17022-base_fy)/n_conv)</f>
        <v>0.0931239253588169</v>
      </c>
      <c r="H17075" s="7" t="n">
        <f aca="false">Sens!$E$17075+(glt_ind-Sens!$E$17075)*MIN(1,(Sens!H17022-base_fy)/n_conv)</f>
        <v>0.0873429440191127</v>
      </c>
      <c r="I17075" s="7" t="n">
        <f aca="false">Sens!$E$17075+(glt_ind-Sens!$E$17075)*MIN(1,(Sens!I17022-base_fy)/n_conv)</f>
        <v>0.0815619626794085</v>
      </c>
      <c r="J17075" s="7" t="n">
        <f aca="false">Sens!$E$17075+(glt_ind-Sens!$E$17075)*MIN(1,(Sens!J17022-base_fy)/n_conv)</f>
        <v>0.0757809813397042</v>
      </c>
      <c r="K17075" s="7" t="n">
        <f aca="false">Sens!$E$17075+(glt_ind-Sens!$E$17075)*MIN(1,(Sens!K17022-base_fy)/n_conv)</f>
        <v>0.07</v>
      </c>
    </row>
    <row r="17076" customFormat="false" ht="17.15" hidden="false" customHeight="false" outlineLevel="0" collapsed="false">
      <c r="A17076" s="0" t="s">
        <v>1036</v>
      </c>
      <c r="B17076" s="0" t="s">
        <v>98</v>
      </c>
      <c r="D17076" s="6" t="n">
        <f aca="false">Q!L10</f>
        <v>7.76</v>
      </c>
      <c r="E17076" s="6" t="n">
        <f aca="false">Q!M10</f>
        <v>8.26</v>
      </c>
      <c r="F17076" s="6" t="n">
        <f aca="false">Q!$I$10+(Q!M10-Q!$E$10)*(1+Sens!F17077)</f>
        <v>8.75372082474227</v>
      </c>
      <c r="G17076" s="6" t="n">
        <f aca="false">Sens!F17076*(1+Sens!G17077)</f>
        <v>9.33399324642364</v>
      </c>
      <c r="H17076" s="6" t="n">
        <f aca="false">Sens!G17076*(1+Sens!H17077)</f>
        <v>9.96139155535851</v>
      </c>
      <c r="I17076" s="6" t="n">
        <f aca="false">Sens!H17076*(1+Sens!I17077)</f>
        <v>10.6402039077391</v>
      </c>
      <c r="J17076" s="6" t="n">
        <f aca="false">Sens!I17076*(1+Sens!J17077)</f>
        <v>11.3751458271397</v>
      </c>
      <c r="K17076" s="6" t="n">
        <f aca="false">Sens!J17076*(1+Sens!K17077)</f>
        <v>12.1714060350394</v>
      </c>
      <c r="L17076" s="12" t="s">
        <v>1034</v>
      </c>
    </row>
    <row r="17077" customFormat="false" ht="15" hidden="false" customHeight="false" outlineLevel="0" collapsed="false">
      <c r="A17077" s="1" t="s">
        <v>1024</v>
      </c>
      <c r="B17077" s="0" t="s">
        <v>168</v>
      </c>
      <c r="E17077" s="7" t="n">
        <f aca="false">Sens!E17076/Sens!D17076-1</f>
        <v>0.0644329896907216</v>
      </c>
      <c r="F17077" s="7" t="n">
        <f aca="false">Sens!$E$17077+(glt_fro-Sens!$E$17077)*MIN(1,(Sens!F17022-base_fy)/n_conv)</f>
        <v>0.065360824742268</v>
      </c>
      <c r="G17077" s="7" t="n">
        <f aca="false">Sens!$E$17077+(glt_fro-Sens!$E$17077)*MIN(1,(Sens!G17022-base_fy)/n_conv)</f>
        <v>0.0662886597938144</v>
      </c>
      <c r="H17077" s="7" t="n">
        <f aca="false">Sens!$E$17077+(glt_fro-Sens!$E$17077)*MIN(1,(Sens!H17022-base_fy)/n_conv)</f>
        <v>0.0672164948453608</v>
      </c>
      <c r="I17077" s="7" t="n">
        <f aca="false">Sens!$E$17077+(glt_fro-Sens!$E$17077)*MIN(1,(Sens!I17022-base_fy)/n_conv)</f>
        <v>0.0681443298969072</v>
      </c>
      <c r="J17077" s="7" t="n">
        <f aca="false">Sens!$E$17077+(glt_fro-Sens!$E$17077)*MIN(1,(Sens!J17022-base_fy)/n_conv)</f>
        <v>0.0690721649484536</v>
      </c>
      <c r="K17077" s="7" t="n">
        <f aca="false">Sens!$E$17077+(glt_fro-Sens!$E$17077)*MIN(1,(Sens!K17022-base_fy)/n_conv)</f>
        <v>0.07</v>
      </c>
    </row>
    <row r="17078" customFormat="false" ht="15" hidden="false" customHeight="false" outlineLevel="0" collapsed="false">
      <c r="A17078" s="0" t="s">
        <v>852</v>
      </c>
      <c r="B17078" s="0" t="s">
        <v>98</v>
      </c>
      <c r="D17078" s="6" t="n">
        <f aca="false">Sens!D17066+Sens!D17071+Sens!D17072+Sens!D17074+Sens!D17076</f>
        <v>218.783</v>
      </c>
      <c r="E17078" s="6" t="n">
        <f aca="false">Sens!E17066+Sens!E17071+Sens!E17072+Sens!E17074+Sens!E17076</f>
        <v>268.127</v>
      </c>
      <c r="F17078" s="6" t="n">
        <f aca="false">Sens!F17066+Sens!F17071+Sens!F17072+Sens!F17074+Sens!F17076</f>
        <v>338.774715894377</v>
      </c>
      <c r="G17078" s="6" t="n">
        <f aca="false">Sens!G17066+Sens!G17071+Sens!G17072+Sens!G17074+Sens!G17076</f>
        <v>425.508058536537</v>
      </c>
      <c r="H17078" s="6" t="n">
        <f aca="false">Sens!H17066+Sens!H17071+Sens!H17072+Sens!H17074+Sens!H17076</f>
        <v>518.580813986921</v>
      </c>
      <c r="I17078" s="6" t="n">
        <f aca="false">Sens!I17066+Sens!I17071+Sens!I17072+Sens!I17074+Sens!I17076</f>
        <v>597.067731307455</v>
      </c>
      <c r="J17078" s="6" t="n">
        <f aca="false">Sens!J17066+Sens!J17071+Sens!J17072+Sens!J17074+Sens!J17076</f>
        <v>659.345790484055</v>
      </c>
      <c r="K17078" s="6" t="n">
        <f aca="false">Sens!K17066+Sens!K17071+Sens!K17072+Sens!K17074+Sens!K17076</f>
        <v>707.958647997291</v>
      </c>
    </row>
    <row r="17079" customFormat="false" ht="17.15" hidden="false" customHeight="false" outlineLevel="0" collapsed="false">
      <c r="A17079" s="0" t="s">
        <v>1037</v>
      </c>
      <c r="B17079" s="0" t="s">
        <v>98</v>
      </c>
      <c r="D17079" s="6" t="n">
        <f aca="false">Q!L13</f>
        <v>22.171</v>
      </c>
      <c r="E17079" s="6" t="n">
        <f aca="false">Q!M13</f>
        <v>24.835</v>
      </c>
      <c r="F17079" s="6" t="n">
        <f aca="false">Q!$I$13+(Q!M13-Q!$E$13)*(1+Sens!F17080)</f>
        <v>27.5591895660247</v>
      </c>
      <c r="G17079" s="6" t="n">
        <f aca="false">Sens!F17079*(1+Sens!G17080)</f>
        <v>30.4098563144583</v>
      </c>
      <c r="H17079" s="6" t="n">
        <f aca="false">Sens!G17079*(1+Sens!H17080)</f>
        <v>33.3011792571777</v>
      </c>
      <c r="I17079" s="6" t="n">
        <f aca="false">Sens!H17079*(1+Sens!I17080)</f>
        <v>36.189023797112</v>
      </c>
      <c r="J17079" s="6" t="n">
        <f aca="false">Sens!I17079*(1+Sens!J17080)</f>
        <v>39.0247773769199</v>
      </c>
      <c r="K17079" s="6" t="n">
        <f aca="false">Sens!J17079*(1+Sens!K17080)</f>
        <v>41.7565117933043</v>
      </c>
      <c r="L17079" s="12" t="s">
        <v>1034</v>
      </c>
    </row>
    <row r="17080" customFormat="false" ht="15" hidden="false" customHeight="false" outlineLevel="0" collapsed="false">
      <c r="A17080" s="1" t="s">
        <v>1024</v>
      </c>
      <c r="B17080" s="0" t="s">
        <v>168</v>
      </c>
      <c r="E17080" s="7" t="n">
        <f aca="false">Sens!E17079/Sens!D17079-1</f>
        <v>0.120156961796942</v>
      </c>
      <c r="F17080" s="7" t="n">
        <f aca="false">Sens!$E$17080+(glt_srch-Sens!$E$17080)*MIN(1,(Sens!F17022-base_fy)/n_conv)</f>
        <v>0.111797468164118</v>
      </c>
      <c r="G17080" s="7" t="n">
        <f aca="false">Sens!$E$17080+(glt_srch-Sens!$E$17080)*MIN(1,(Sens!G17022-base_fy)/n_conv)</f>
        <v>0.103437974531295</v>
      </c>
      <c r="H17080" s="7" t="n">
        <f aca="false">Sens!$E$17080+(glt_srch-Sens!$E$17080)*MIN(1,(Sens!H17022-base_fy)/n_conv)</f>
        <v>0.095078480898471</v>
      </c>
      <c r="I17080" s="7" t="n">
        <f aca="false">Sens!$E$17080+(glt_srch-Sens!$E$17080)*MIN(1,(Sens!I17022-base_fy)/n_conv)</f>
        <v>0.0867189872656474</v>
      </c>
      <c r="J17080" s="7" t="n">
        <f aca="false">Sens!$E$17080+(glt_srch-Sens!$E$17080)*MIN(1,(Sens!J17022-base_fy)/n_conv)</f>
        <v>0.0783594936328237</v>
      </c>
      <c r="K17080" s="7" t="n">
        <f aca="false">Sens!$E$17080+(glt_srch-Sens!$E$17080)*MIN(1,(Sens!K17022-base_fy)/n_conv)</f>
        <v>0.07</v>
      </c>
    </row>
    <row r="17081" customFormat="false" ht="17.15" hidden="false" customHeight="false" outlineLevel="0" collapsed="false">
      <c r="A17081" s="0" t="s">
        <v>1038</v>
      </c>
      <c r="B17081" s="0" t="s">
        <v>98</v>
      </c>
      <c r="D17081" s="6" t="n">
        <f aca="false">Q!L14</f>
        <v>23.455</v>
      </c>
      <c r="E17081" s="6" t="n">
        <f aca="false">Q!M14</f>
        <v>21.79</v>
      </c>
      <c r="F17081" s="6" t="n">
        <f aca="false">Q!$I$14+(Q!M14-Q!$E$14)*(1+Sens!F17082)</f>
        <v>20.7520981041711</v>
      </c>
      <c r="G17081" s="6" t="n">
        <f aca="false">Sens!F17081*(1+Sens!G17082)</f>
        <v>19.9083593495882</v>
      </c>
      <c r="H17081" s="6" t="n">
        <f aca="false">Sens!G17081*(1+Sens!H17082)</f>
        <v>19.4008256265831</v>
      </c>
      <c r="I17081" s="6" t="n">
        <f aca="false">Sens!H17081*(1+Sens!I17082)</f>
        <v>19.200434522122</v>
      </c>
      <c r="J17081" s="6" t="n">
        <f aca="false">Sens!I17081*(1+Sens!J17082)</f>
        <v>19.2932782348507</v>
      </c>
      <c r="K17081" s="6" t="n">
        <f aca="false">Sens!J17081*(1+Sens!K17082)</f>
        <v>19.6791437995477</v>
      </c>
      <c r="L17081" s="12" t="s">
        <v>1034</v>
      </c>
    </row>
    <row r="17082" customFormat="false" ht="15" hidden="false" customHeight="false" outlineLevel="0" collapsed="false">
      <c r="A17082" s="1" t="s">
        <v>1024</v>
      </c>
      <c r="B17082" s="0" t="s">
        <v>168</v>
      </c>
      <c r="E17082" s="7" t="n">
        <f aca="false">Sens!E17081/Sens!D17081-1</f>
        <v>-0.0709869963760392</v>
      </c>
      <c r="F17082" s="7" t="n">
        <f aca="false">Sens!$E$17082+(glt_xbox-Sens!$E$17082)*MIN(1,(Sens!F17022-base_fy)/n_conv)</f>
        <v>-0.0558224969800327</v>
      </c>
      <c r="G17082" s="7" t="n">
        <f aca="false">Sens!$E$17082+(glt_xbox-Sens!$E$17082)*MIN(1,(Sens!G17022-base_fy)/n_conv)</f>
        <v>-0.0406579975840262</v>
      </c>
      <c r="H17082" s="7" t="n">
        <f aca="false">Sens!$E$17082+(glt_xbox-Sens!$E$17082)*MIN(1,(Sens!H17022-base_fy)/n_conv)</f>
        <v>-0.0254934981880196</v>
      </c>
      <c r="I17082" s="7" t="n">
        <f aca="false">Sens!$E$17082+(glt_xbox-Sens!$E$17082)*MIN(1,(Sens!I17022-base_fy)/n_conv)</f>
        <v>-0.0103289987920131</v>
      </c>
      <c r="J17082" s="7" t="n">
        <f aca="false">Sens!$E$17082+(glt_xbox-Sens!$E$17082)*MIN(1,(Sens!J17022-base_fy)/n_conv)</f>
        <v>0.00483550060399347</v>
      </c>
      <c r="K17082" s="7" t="n">
        <f aca="false">Sens!$E$17082+(glt_xbox-Sens!$E$17082)*MIN(1,(Sens!K17022-base_fy)/n_conv)</f>
        <v>0.02</v>
      </c>
    </row>
    <row r="17083" customFormat="false" ht="17.15" hidden="false" customHeight="false" outlineLevel="0" collapsed="false">
      <c r="A17083" s="0" t="s">
        <v>1039</v>
      </c>
      <c r="B17083" s="0" t="s">
        <v>98</v>
      </c>
      <c r="D17083" s="6" t="n">
        <f aca="false">Q!L15</f>
        <v>17.315</v>
      </c>
      <c r="E17083" s="6" t="n">
        <f aca="false">Q!M15</f>
        <v>17.087</v>
      </c>
      <c r="F17083" s="6" t="n">
        <f aca="false">Q!$I$15+(Q!M15-Q!$E$15)*(1+Sens!F17084)</f>
        <v>15.9912273250553</v>
      </c>
      <c r="G17083" s="6" t="n">
        <f aca="false">Sens!F17083*(1+Sens!G17084)</f>
        <v>15.9574562664827</v>
      </c>
      <c r="H17083" s="6" t="n">
        <f aca="false">Sens!G17083*(1+Sens!H17084)</f>
        <v>16.0119687434196</v>
      </c>
      <c r="I17083" s="6" t="n">
        <f aca="false">Sens!H17083*(1+Sens!I17084)</f>
        <v>16.1551810001948</v>
      </c>
      <c r="J17083" s="6" t="n">
        <f aca="false">Sens!I17083*(1+Sens!J17084)</f>
        <v>16.3889793892005</v>
      </c>
      <c r="K17083" s="6" t="n">
        <f aca="false">Sens!J17083*(1+Sens!K17084)</f>
        <v>16.7167589769845</v>
      </c>
      <c r="L17083" s="12" t="s">
        <v>1034</v>
      </c>
    </row>
    <row r="17084" customFormat="false" ht="15" hidden="false" customHeight="false" outlineLevel="0" collapsed="false">
      <c r="A17084" s="1" t="s">
        <v>1024</v>
      </c>
      <c r="B17084" s="0" t="s">
        <v>168</v>
      </c>
      <c r="E17084" s="7" t="n">
        <f aca="false">Sens!E17083/Sens!D17083-1</f>
        <v>-0.0131677736066995</v>
      </c>
      <c r="F17084" s="7" t="n">
        <f aca="false">Sens!$E$17084+(glt_win-Sens!$E$17084)*MIN(1,(Sens!F17022-base_fy)/n_conv)</f>
        <v>-0.00763981133891627</v>
      </c>
      <c r="G17084" s="7" t="n">
        <f aca="false">Sens!$E$17084+(glt_win-Sens!$E$17084)*MIN(1,(Sens!G17022-base_fy)/n_conv)</f>
        <v>-0.00211184907113301</v>
      </c>
      <c r="H17084" s="7" t="n">
        <f aca="false">Sens!$E$17084+(glt_win-Sens!$E$17084)*MIN(1,(Sens!H17022-base_fy)/n_conv)</f>
        <v>0.00341611319665024</v>
      </c>
      <c r="I17084" s="7" t="n">
        <f aca="false">Sens!$E$17084+(glt_win-Sens!$E$17084)*MIN(1,(Sens!I17022-base_fy)/n_conv)</f>
        <v>0.00894407546443349</v>
      </c>
      <c r="J17084" s="7" t="n">
        <f aca="false">Sens!$E$17084+(glt_win-Sens!$E$17084)*MIN(1,(Sens!J17022-base_fy)/n_conv)</f>
        <v>0.0144720377322168</v>
      </c>
      <c r="K17084" s="7" t="n">
        <f aca="false">Sens!$E$17084+(glt_win-Sens!$E$17084)*MIN(1,(Sens!K17022-base_fy)/n_conv)</f>
        <v>0.02</v>
      </c>
    </row>
    <row r="17085" customFormat="false" ht="15" hidden="false" customHeight="false" outlineLevel="0" collapsed="false">
      <c r="A17085" s="0" t="s">
        <v>866</v>
      </c>
      <c r="B17085" s="0" t="s">
        <v>98</v>
      </c>
      <c r="D17085" s="6" t="n">
        <f aca="false">Sens!D17079+Sens!D17081+Sens!D17083</f>
        <v>62.941</v>
      </c>
      <c r="E17085" s="6" t="n">
        <f aca="false">Sens!E17079+Sens!E17081+Sens!E17083</f>
        <v>63.712</v>
      </c>
      <c r="F17085" s="6" t="n">
        <f aca="false">Sens!F17079+Sens!F17081+Sens!F17083</f>
        <v>64.3025149952511</v>
      </c>
      <c r="G17085" s="6" t="n">
        <f aca="false">Sens!G17079+Sens!G17081+Sens!G17083</f>
        <v>66.2756719305292</v>
      </c>
      <c r="H17085" s="6" t="n">
        <f aca="false">Sens!H17079+Sens!H17081+Sens!H17083</f>
        <v>68.7139736271804</v>
      </c>
      <c r="I17085" s="6" t="n">
        <f aca="false">Sens!I17079+Sens!I17081+Sens!I17083</f>
        <v>71.5446393194289</v>
      </c>
      <c r="J17085" s="6" t="n">
        <f aca="false">Sens!J17079+Sens!J17081+Sens!J17083</f>
        <v>74.707035000971</v>
      </c>
      <c r="K17085" s="6" t="n">
        <f aca="false">Sens!K17079+Sens!K17081+Sens!K17083</f>
        <v>78.1524145698365</v>
      </c>
    </row>
    <row r="17086" customFormat="false" ht="15" hidden="false" customHeight="false" outlineLevel="0" collapsed="false">
      <c r="A17086" s="1" t="s">
        <v>1040</v>
      </c>
      <c r="B17086" s="0" t="s">
        <v>98</v>
      </c>
      <c r="D17086" s="6" t="n">
        <f aca="false">Sens!D17078+Sens!D17085</f>
        <v>281.724</v>
      </c>
      <c r="E17086" s="6" t="n">
        <f aca="false">Sens!E17078+Sens!E17085</f>
        <v>331.839</v>
      </c>
      <c r="F17086" s="6" t="n">
        <f aca="false">Sens!F17078+Sens!F17085</f>
        <v>403.077230889628</v>
      </c>
      <c r="G17086" s="6" t="n">
        <f aca="false">Sens!G17078+Sens!G17085</f>
        <v>491.783730467066</v>
      </c>
      <c r="H17086" s="6" t="n">
        <f aca="false">Sens!H17078+Sens!H17085</f>
        <v>587.294787614101</v>
      </c>
      <c r="I17086" s="6" t="n">
        <f aca="false">Sens!I17078+Sens!I17085</f>
        <v>668.612370626884</v>
      </c>
      <c r="J17086" s="6" t="n">
        <f aca="false">Sens!J17078+Sens!J17085</f>
        <v>734.052825485026</v>
      </c>
      <c r="K17086" s="6" t="n">
        <f aca="false">Sens!K17078+Sens!K17085</f>
        <v>786.111062567128</v>
      </c>
    </row>
    <row r="17087" customFormat="false" ht="15" hidden="false" customHeight="false" outlineLevel="0" collapsed="false">
      <c r="A17087" s="26" t="s">
        <v>1041</v>
      </c>
      <c r="B17087" s="31" t="s">
        <v>98</v>
      </c>
      <c r="C17087" s="31"/>
      <c r="D17087" s="27" t="n">
        <f aca="false">(Sens!D17066+Sens!D17071+Sens!D17072+Sens!D17074+Sens!D17076-Sens!D17078)+(Sens!D17079+Sens!D17081+Sens!D17083-Sens!D17085)+(Sens!D17078-Q!L5)+(Sens!D17085-Q!L12)+(Sens!D17066-Q!L6)+(Sens!D17071-Q!L7)</f>
        <v>0</v>
      </c>
      <c r="E17087" s="27" t="n">
        <f aca="false">(Sens!E17066+Sens!E17071+Sens!E17072+Sens!E17074+Sens!E17076-Sens!E17078)+(Sens!E17079+Sens!E17081+Sens!E17083-Sens!E17085)+(Sens!E17078-Q!M5)+(Sens!E17085-Q!M12)+(Sens!E17066-Q!M6)+(Sens!E17071-Q!M7)</f>
        <v>0</v>
      </c>
      <c r="F17087" s="27" t="n">
        <f aca="false">(Sens!F17066+Sens!F17071+Sens!F17072+Sens!F17074+Sens!F17076-Sens!F17078)+(Sens!F17079+Sens!F17081+Sens!F17083-Sens!F17085)</f>
        <v>0</v>
      </c>
      <c r="G17087" s="27" t="n">
        <f aca="false">(Sens!G17066+Sens!G17071+Sens!G17072+Sens!G17074+Sens!G17076-Sens!G17078)+(Sens!G17079+Sens!G17081+Sens!G17083-Sens!G17085)</f>
        <v>0</v>
      </c>
      <c r="H17087" s="27" t="n">
        <f aca="false">(Sens!H17066+Sens!H17071+Sens!H17072+Sens!H17074+Sens!H17076-Sens!H17078)+(Sens!H17079+Sens!H17081+Sens!H17083-Sens!H17085)</f>
        <v>0</v>
      </c>
      <c r="I17087" s="27" t="n">
        <f aca="false">(Sens!I17066+Sens!I17071+Sens!I17072+Sens!I17074+Sens!I17076-Sens!I17078)+(Sens!I17079+Sens!I17081+Sens!I17083-Sens!I17085)</f>
        <v>0</v>
      </c>
      <c r="J17087" s="27" t="n">
        <f aca="false">(Sens!J17066+Sens!J17071+Sens!J17072+Sens!J17074+Sens!J17076-Sens!J17078)+(Sens!J17079+Sens!J17081+Sens!J17083-Sens!J17085)</f>
        <v>0</v>
      </c>
      <c r="K17087" s="27" t="n">
        <f aca="false">(Sens!K17066+Sens!K17071+Sens!K17072+Sens!K17074+Sens!K17076-Sens!K17078)+(Sens!K17079+Sens!K17081+Sens!K17083-Sens!K17085)</f>
        <v>0</v>
      </c>
    </row>
    <row r="17088" customFormat="false" ht="17.15" hidden="false" customHeight="false" outlineLevel="0" collapsed="false">
      <c r="A17088" s="3" t="s">
        <v>1901</v>
      </c>
    </row>
    <row r="17089" customFormat="false" ht="15" hidden="false" customHeight="false" outlineLevel="0" collapsed="false">
      <c r="A17089" s="4" t="s">
        <v>43</v>
      </c>
      <c r="B17089" s="4" t="s">
        <v>65</v>
      </c>
      <c r="C17089" s="23" t="s">
        <v>938</v>
      </c>
      <c r="D17089" s="23" t="s">
        <v>939</v>
      </c>
      <c r="E17089" s="23" t="s">
        <v>940</v>
      </c>
      <c r="F17089" s="23" t="s">
        <v>941</v>
      </c>
      <c r="G17089" s="23" t="s">
        <v>942</v>
      </c>
      <c r="H17089" s="23" t="s">
        <v>943</v>
      </c>
      <c r="I17089" s="23" t="s">
        <v>944</v>
      </c>
      <c r="J17089" s="23" t="s">
        <v>945</v>
      </c>
      <c r="K17089" s="23" t="s">
        <v>946</v>
      </c>
      <c r="L17089" s="4" t="s">
        <v>47</v>
      </c>
    </row>
    <row r="17090" customFormat="false" ht="15" hidden="false" customHeight="false" outlineLevel="0" collapsed="false">
      <c r="A17090" s="0" t="s">
        <v>1025</v>
      </c>
      <c r="B17090" s="0" t="s">
        <v>98</v>
      </c>
      <c r="D17090" s="6" t="n">
        <f aca="false">Sens!D17066</f>
        <v>72.61</v>
      </c>
      <c r="E17090" s="6" t="n">
        <f aca="false">Sens!E17066</f>
        <v>101.938</v>
      </c>
      <c r="F17090" s="6" t="n">
        <f aca="false">Sens!F17066</f>
        <v>149.59001837225</v>
      </c>
      <c r="G17090" s="6" t="n">
        <f aca="false">Sens!G17066</f>
        <v>210.963087346352</v>
      </c>
      <c r="H17090" s="6" t="n">
        <f aca="false">Sens!H17066</f>
        <v>278.649709314524</v>
      </c>
      <c r="I17090" s="6" t="n">
        <f aca="false">Sens!I17066</f>
        <v>334.269404582332</v>
      </c>
      <c r="J17090" s="6" t="n">
        <f aca="false">Sens!J17066</f>
        <v>376.517293063672</v>
      </c>
      <c r="K17090" s="6" t="n">
        <f aca="false">Sens!K17066</f>
        <v>406.018092622804</v>
      </c>
    </row>
    <row r="17091" customFormat="false" ht="17.15" hidden="false" customHeight="false" outlineLevel="0" collapsed="false">
      <c r="A17091" s="0" t="s">
        <v>1021</v>
      </c>
      <c r="B17091" s="0" t="s">
        <v>98</v>
      </c>
      <c r="D17091" s="6" t="n">
        <f aca="false">Sens!D17063</f>
        <v>12.9359794422418</v>
      </c>
      <c r="E17091" s="6" t="n">
        <f aca="false">Sens!E17063</f>
        <v>27.8095064661409</v>
      </c>
      <c r="F17091" s="6" t="n">
        <f aca="false">Sens!F17063</f>
        <v>59.1034165651511</v>
      </c>
      <c r="G17091" s="6" t="n">
        <f aca="false">Sens!G17063</f>
        <v>103.451498789198</v>
      </c>
      <c r="H17091" s="6" t="n">
        <f aca="false">Sens!H17063</f>
        <v>153.816719989035</v>
      </c>
      <c r="I17091" s="6" t="n">
        <f aca="false">Sens!I17063</f>
        <v>192.699478690852</v>
      </c>
      <c r="J17091" s="6" t="n">
        <f aca="false">Sens!J17063</f>
        <v>219.794102584244</v>
      </c>
      <c r="K17091" s="6" t="n">
        <f aca="false">Sens!K17063</f>
        <v>236.757046905022</v>
      </c>
    </row>
    <row r="17092" customFormat="false" ht="17.15" hidden="false" customHeight="false" outlineLevel="0" collapsed="false">
      <c r="A17092" s="0" t="s">
        <v>1052</v>
      </c>
      <c r="B17092" s="0" t="s">
        <v>98</v>
      </c>
      <c r="D17092" s="6" t="n">
        <f aca="false">Sens!D17064</f>
        <v>59.6740205577583</v>
      </c>
      <c r="E17092" s="6" t="n">
        <f aca="false">Sens!E17064</f>
        <v>74.1284935338591</v>
      </c>
      <c r="F17092" s="6" t="n">
        <f aca="false">Sens!F17064</f>
        <v>90.4866018070994</v>
      </c>
      <c r="G17092" s="6" t="n">
        <f aca="false">Sens!G17064</f>
        <v>107.511588557154</v>
      </c>
      <c r="H17092" s="6" t="n">
        <f aca="false">Sens!H17064</f>
        <v>124.832989325489</v>
      </c>
      <c r="I17092" s="6" t="n">
        <f aca="false">Sens!I17064</f>
        <v>141.56992589148</v>
      </c>
      <c r="J17092" s="6" t="n">
        <f aca="false">Sens!J17064</f>
        <v>156.723190479428</v>
      </c>
      <c r="K17092" s="6" t="n">
        <f aca="false">Sens!K17064</f>
        <v>169.261045717783</v>
      </c>
    </row>
    <row r="17093" customFormat="false" ht="15" hidden="false" customHeight="false" outlineLevel="0" collapsed="false">
      <c r="A17093" s="0" t="s">
        <v>1032</v>
      </c>
      <c r="B17093" s="0" t="s">
        <v>98</v>
      </c>
      <c r="D17093" s="6" t="n">
        <f aca="false">Sens!D17071</f>
        <v>84.605</v>
      </c>
      <c r="E17093" s="6" t="n">
        <f aca="false">Sens!E17071</f>
        <v>100.299</v>
      </c>
      <c r="F17093" s="6" t="n">
        <f aca="false">Sens!F17071</f>
        <v>119.729653205718</v>
      </c>
      <c r="G17093" s="6" t="n">
        <f aca="false">Sens!G17071</f>
        <v>140.806092647576</v>
      </c>
      <c r="H17093" s="6" t="n">
        <f aca="false">Sens!H17071</f>
        <v>161.963437602768</v>
      </c>
      <c r="I17093" s="6" t="n">
        <f aca="false">Sens!I17071</f>
        <v>180.695354741933</v>
      </c>
      <c r="J17093" s="6" t="n">
        <f aca="false">Sens!J17071</f>
        <v>196.722117481571</v>
      </c>
      <c r="K17093" s="6" t="n">
        <f aca="false">Sens!K17071</f>
        <v>212.00016570528</v>
      </c>
    </row>
    <row r="17094" customFormat="false" ht="17.15" hidden="false" customHeight="false" outlineLevel="0" collapsed="false">
      <c r="A17094" s="0" t="s">
        <v>1053</v>
      </c>
      <c r="B17094" s="0" t="s">
        <v>98</v>
      </c>
      <c r="D17094" s="6" t="n">
        <f aca="false">Sens!D17069</f>
        <v>83.705</v>
      </c>
      <c r="E17094" s="6" t="n">
        <f aca="false">Sens!E17069</f>
        <v>95.049</v>
      </c>
      <c r="F17094" s="6" t="n">
        <f aca="false">Sens!F17069</f>
        <v>106.229653205718</v>
      </c>
      <c r="G17094" s="6" t="n">
        <f aca="false">Sens!G17069</f>
        <v>118.306092647576</v>
      </c>
      <c r="H17094" s="6" t="n">
        <f aca="false">Sens!H17069</f>
        <v>130.463437602768</v>
      </c>
      <c r="I17094" s="6" t="n">
        <f aca="false">Sens!I17069</f>
        <v>142.445354741933</v>
      </c>
      <c r="J17094" s="6" t="n">
        <f aca="false">Sens!J17069</f>
        <v>153.972117481571</v>
      </c>
      <c r="K17094" s="6" t="n">
        <f aca="false">Sens!K17069</f>
        <v>164.75016570528</v>
      </c>
    </row>
    <row r="17095" customFormat="false" ht="17.15" hidden="false" customHeight="false" outlineLevel="0" collapsed="false">
      <c r="A17095" s="0" t="s">
        <v>1054</v>
      </c>
      <c r="B17095" s="0" t="s">
        <v>98</v>
      </c>
      <c r="D17095" s="6" t="n">
        <f aca="false">Sens!D17068</f>
        <v>0.9</v>
      </c>
      <c r="E17095" s="6" t="n">
        <f aca="false">Sens!E17068</f>
        <v>5.25</v>
      </c>
      <c r="F17095" s="6" t="n">
        <f aca="false">Sens!F17068</f>
        <v>13.5</v>
      </c>
      <c r="G17095" s="6" t="n">
        <f aca="false">Sens!G17068</f>
        <v>22.5</v>
      </c>
      <c r="H17095" s="6" t="n">
        <f aca="false">Sens!H17068</f>
        <v>31.5</v>
      </c>
      <c r="I17095" s="6" t="n">
        <f aca="false">Sens!I17068</f>
        <v>38.25</v>
      </c>
      <c r="J17095" s="6" t="n">
        <f aca="false">Sens!J17068</f>
        <v>42.75</v>
      </c>
      <c r="K17095" s="6" t="n">
        <f aca="false">Sens!K17068</f>
        <v>47.25</v>
      </c>
    </row>
    <row r="17096" customFormat="false" ht="15" hidden="false" customHeight="false" outlineLevel="0" collapsed="false">
      <c r="A17096" s="0" t="s">
        <v>1033</v>
      </c>
      <c r="B17096" s="0" t="s">
        <v>98</v>
      </c>
      <c r="D17096" s="6" t="n">
        <f aca="false">Sens!D17072</f>
        <v>35.391</v>
      </c>
      <c r="E17096" s="6" t="n">
        <f aca="false">Sens!E17072</f>
        <v>37.285</v>
      </c>
      <c r="F17096" s="6" t="n">
        <f aca="false">Sens!F17072</f>
        <v>38.3851437782675</v>
      </c>
      <c r="G17096" s="6" t="n">
        <f aca="false">Sens!G17072</f>
        <v>40.0105353288615</v>
      </c>
      <c r="H17096" s="6" t="n">
        <f aca="false">Sens!H17072</f>
        <v>41.4812512033683</v>
      </c>
      <c r="I17096" s="6" t="n">
        <f aca="false">Sens!I17072</f>
        <v>42.7743107216329</v>
      </c>
      <c r="J17096" s="6" t="n">
        <f aca="false">Sens!J17072</f>
        <v>43.8687373064601</v>
      </c>
      <c r="K17096" s="6" t="n">
        <f aca="false">Sens!K17072</f>
        <v>44.7461120525893</v>
      </c>
    </row>
    <row r="17097" customFormat="false" ht="15" hidden="false" customHeight="false" outlineLevel="0" collapsed="false">
      <c r="A17097" s="0" t="s">
        <v>1035</v>
      </c>
      <c r="B17097" s="0" t="s">
        <v>98</v>
      </c>
      <c r="D17097" s="6" t="n">
        <f aca="false">Sens!D17074</f>
        <v>18.417</v>
      </c>
      <c r="E17097" s="6" t="n">
        <f aca="false">Sens!E17074</f>
        <v>20.345</v>
      </c>
      <c r="F17097" s="6" t="n">
        <f aca="false">Sens!F17074</f>
        <v>22.3161797133988</v>
      </c>
      <c r="G17097" s="6" t="n">
        <f aca="false">Sens!G17074</f>
        <v>24.3943499673233</v>
      </c>
      <c r="H17097" s="6" t="n">
        <f aca="false">Sens!H17074</f>
        <v>26.5250243109019</v>
      </c>
      <c r="I17097" s="6" t="n">
        <f aca="false">Sens!I17074</f>
        <v>28.6884573538181</v>
      </c>
      <c r="J17097" s="6" t="n">
        <f aca="false">Sens!J17074</f>
        <v>30.8624968052127</v>
      </c>
      <c r="K17097" s="6" t="n">
        <f aca="false">Sens!K17074</f>
        <v>33.0228715815776</v>
      </c>
    </row>
    <row r="17098" customFormat="false" ht="15" hidden="false" customHeight="false" outlineLevel="0" collapsed="false">
      <c r="A17098" s="0" t="s">
        <v>1036</v>
      </c>
      <c r="B17098" s="0" t="s">
        <v>98</v>
      </c>
      <c r="D17098" s="6" t="n">
        <f aca="false">Sens!D17076</f>
        <v>7.76</v>
      </c>
      <c r="E17098" s="6" t="n">
        <f aca="false">Sens!E17076</f>
        <v>8.26</v>
      </c>
      <c r="F17098" s="6" t="n">
        <f aca="false">Sens!F17076</f>
        <v>8.75372082474227</v>
      </c>
      <c r="G17098" s="6" t="n">
        <f aca="false">Sens!G17076</f>
        <v>9.33399324642364</v>
      </c>
      <c r="H17098" s="6" t="n">
        <f aca="false">Sens!H17076</f>
        <v>9.96139155535851</v>
      </c>
      <c r="I17098" s="6" t="n">
        <f aca="false">Sens!I17076</f>
        <v>10.6402039077391</v>
      </c>
      <c r="J17098" s="6" t="n">
        <f aca="false">Sens!J17076</f>
        <v>11.3751458271397</v>
      </c>
      <c r="K17098" s="6" t="n">
        <f aca="false">Sens!K17076</f>
        <v>12.1714060350394</v>
      </c>
    </row>
    <row r="17099" customFormat="false" ht="15" hidden="false" customHeight="false" outlineLevel="0" collapsed="false">
      <c r="A17099" s="0" t="s">
        <v>852</v>
      </c>
      <c r="B17099" s="0" t="s">
        <v>98</v>
      </c>
      <c r="D17099" s="6" t="n">
        <f aca="false">Sens!D17078</f>
        <v>218.783</v>
      </c>
      <c r="E17099" s="6" t="n">
        <f aca="false">Sens!E17078</f>
        <v>268.127</v>
      </c>
      <c r="F17099" s="6" t="n">
        <f aca="false">Sens!F17078</f>
        <v>338.774715894377</v>
      </c>
      <c r="G17099" s="6" t="n">
        <f aca="false">Sens!G17078</f>
        <v>425.508058536537</v>
      </c>
      <c r="H17099" s="6" t="n">
        <f aca="false">Sens!H17078</f>
        <v>518.580813986921</v>
      </c>
      <c r="I17099" s="6" t="n">
        <f aca="false">Sens!I17078</f>
        <v>597.067731307455</v>
      </c>
      <c r="J17099" s="6" t="n">
        <f aca="false">Sens!J17078</f>
        <v>659.345790484055</v>
      </c>
      <c r="K17099" s="6" t="n">
        <f aca="false">Sens!K17078</f>
        <v>707.958647997291</v>
      </c>
    </row>
    <row r="17100" customFormat="false" ht="15" hidden="false" customHeight="false" outlineLevel="0" collapsed="false">
      <c r="A17100" s="0" t="s">
        <v>1037</v>
      </c>
      <c r="B17100" s="0" t="s">
        <v>98</v>
      </c>
      <c r="D17100" s="6" t="n">
        <f aca="false">Sens!D17079</f>
        <v>22.171</v>
      </c>
      <c r="E17100" s="6" t="n">
        <f aca="false">Sens!E17079</f>
        <v>24.835</v>
      </c>
      <c r="F17100" s="6" t="n">
        <f aca="false">Sens!F17079</f>
        <v>27.5591895660247</v>
      </c>
      <c r="G17100" s="6" t="n">
        <f aca="false">Sens!G17079</f>
        <v>30.4098563144583</v>
      </c>
      <c r="H17100" s="6" t="n">
        <f aca="false">Sens!H17079</f>
        <v>33.3011792571777</v>
      </c>
      <c r="I17100" s="6" t="n">
        <f aca="false">Sens!I17079</f>
        <v>36.189023797112</v>
      </c>
      <c r="J17100" s="6" t="n">
        <f aca="false">Sens!J17079</f>
        <v>39.0247773769199</v>
      </c>
      <c r="K17100" s="6" t="n">
        <f aca="false">Sens!K17079</f>
        <v>41.7565117933043</v>
      </c>
    </row>
    <row r="17101" customFormat="false" ht="15" hidden="false" customHeight="false" outlineLevel="0" collapsed="false">
      <c r="A17101" s="0" t="s">
        <v>1038</v>
      </c>
      <c r="B17101" s="0" t="s">
        <v>98</v>
      </c>
      <c r="D17101" s="6" t="n">
        <f aca="false">Sens!D17081</f>
        <v>23.455</v>
      </c>
      <c r="E17101" s="6" t="n">
        <f aca="false">Sens!E17081</f>
        <v>21.79</v>
      </c>
      <c r="F17101" s="6" t="n">
        <f aca="false">Sens!F17081</f>
        <v>20.7520981041711</v>
      </c>
      <c r="G17101" s="6" t="n">
        <f aca="false">Sens!G17081</f>
        <v>19.9083593495882</v>
      </c>
      <c r="H17101" s="6" t="n">
        <f aca="false">Sens!H17081</f>
        <v>19.4008256265831</v>
      </c>
      <c r="I17101" s="6" t="n">
        <f aca="false">Sens!I17081</f>
        <v>19.200434522122</v>
      </c>
      <c r="J17101" s="6" t="n">
        <f aca="false">Sens!J17081</f>
        <v>19.2932782348507</v>
      </c>
      <c r="K17101" s="6" t="n">
        <f aca="false">Sens!K17081</f>
        <v>19.6791437995477</v>
      </c>
    </row>
    <row r="17102" customFormat="false" ht="15" hidden="false" customHeight="false" outlineLevel="0" collapsed="false">
      <c r="A17102" s="0" t="s">
        <v>1039</v>
      </c>
      <c r="B17102" s="0" t="s">
        <v>98</v>
      </c>
      <c r="D17102" s="6" t="n">
        <f aca="false">Sens!D17083</f>
        <v>17.315</v>
      </c>
      <c r="E17102" s="6" t="n">
        <f aca="false">Sens!E17083</f>
        <v>17.087</v>
      </c>
      <c r="F17102" s="6" t="n">
        <f aca="false">Sens!F17083</f>
        <v>15.9912273250553</v>
      </c>
      <c r="G17102" s="6" t="n">
        <f aca="false">Sens!G17083</f>
        <v>15.9574562664827</v>
      </c>
      <c r="H17102" s="6" t="n">
        <f aca="false">Sens!H17083</f>
        <v>16.0119687434196</v>
      </c>
      <c r="I17102" s="6" t="n">
        <f aca="false">Sens!I17083</f>
        <v>16.1551810001948</v>
      </c>
      <c r="J17102" s="6" t="n">
        <f aca="false">Sens!J17083</f>
        <v>16.3889793892005</v>
      </c>
      <c r="K17102" s="6" t="n">
        <f aca="false">Sens!K17083</f>
        <v>16.7167589769845</v>
      </c>
    </row>
    <row r="17103" customFormat="false" ht="15" hidden="false" customHeight="false" outlineLevel="0" collapsed="false">
      <c r="A17103" s="0" t="s">
        <v>866</v>
      </c>
      <c r="B17103" s="0" t="s">
        <v>98</v>
      </c>
      <c r="D17103" s="6" t="n">
        <f aca="false">Sens!D17085</f>
        <v>62.941</v>
      </c>
      <c r="E17103" s="6" t="n">
        <f aca="false">Sens!E17085</f>
        <v>63.712</v>
      </c>
      <c r="F17103" s="6" t="n">
        <f aca="false">Sens!F17085</f>
        <v>64.3025149952511</v>
      </c>
      <c r="G17103" s="6" t="n">
        <f aca="false">Sens!G17085</f>
        <v>66.2756719305292</v>
      </c>
      <c r="H17103" s="6" t="n">
        <f aca="false">Sens!H17085</f>
        <v>68.7139736271804</v>
      </c>
      <c r="I17103" s="6" t="n">
        <f aca="false">Sens!I17085</f>
        <v>71.5446393194289</v>
      </c>
      <c r="J17103" s="6" t="n">
        <f aca="false">Sens!J17085</f>
        <v>74.707035000971</v>
      </c>
      <c r="K17103" s="6" t="n">
        <f aca="false">Sens!K17085</f>
        <v>78.1524145698365</v>
      </c>
    </row>
    <row r="17104" customFormat="false" ht="15" hidden="false" customHeight="false" outlineLevel="0" collapsed="false">
      <c r="A17104" s="1" t="s">
        <v>1055</v>
      </c>
      <c r="B17104" s="0" t="s">
        <v>98</v>
      </c>
      <c r="D17104" s="6" t="n">
        <f aca="false">Sens!D17086</f>
        <v>281.724</v>
      </c>
      <c r="E17104" s="6" t="n">
        <f aca="false">Sens!E17086</f>
        <v>331.839</v>
      </c>
      <c r="F17104" s="6" t="n">
        <f aca="false">Sens!F17086</f>
        <v>403.077230889628</v>
      </c>
      <c r="G17104" s="6" t="n">
        <f aca="false">Sens!G17086</f>
        <v>491.783730467066</v>
      </c>
      <c r="H17104" s="6" t="n">
        <f aca="false">Sens!H17086</f>
        <v>587.294787614101</v>
      </c>
      <c r="I17104" s="6" t="n">
        <f aca="false">Sens!I17086</f>
        <v>668.612370626884</v>
      </c>
      <c r="J17104" s="6" t="n">
        <f aca="false">Sens!J17086</f>
        <v>734.052825485026</v>
      </c>
      <c r="K17104" s="6" t="n">
        <f aca="false">Sens!K17086</f>
        <v>786.111062567128</v>
      </c>
    </row>
    <row r="17105" customFormat="false" ht="15" hidden="false" customHeight="false" outlineLevel="0" collapsed="false">
      <c r="A17105" s="1" t="s">
        <v>1056</v>
      </c>
      <c r="B17105" s="0" t="s">
        <v>168</v>
      </c>
      <c r="E17105" s="7" t="n">
        <f aca="false">Sens!E17104/Sens!D17104-1</f>
        <v>0.177886867998467</v>
      </c>
      <c r="F17105" s="7" t="n">
        <f aca="false">Sens!F17104/Sens!E17104-1</f>
        <v>0.21467709006364</v>
      </c>
      <c r="G17105" s="7" t="n">
        <f aca="false">Sens!G17104/Sens!F17104-1</f>
        <v>0.220073208753704</v>
      </c>
      <c r="H17105" s="7" t="n">
        <f aca="false">Sens!H17104/Sens!G17104-1</f>
        <v>0.194213535808362</v>
      </c>
      <c r="I17105" s="7" t="n">
        <f aca="false">Sens!I17104/Sens!H17104-1</f>
        <v>0.13846127145643</v>
      </c>
      <c r="J17105" s="7" t="n">
        <f aca="false">Sens!J17104/Sens!I17104-1</f>
        <v>0.0978750285412546</v>
      </c>
      <c r="K17105" s="7" t="n">
        <f aca="false">Sens!K17104/Sens!J17104-1</f>
        <v>0.0709189247350204</v>
      </c>
    </row>
    <row r="17106" customFormat="false" ht="17.15" hidden="false" customHeight="false" outlineLevel="0" collapsed="false">
      <c r="A17106" s="26" t="s">
        <v>1057</v>
      </c>
      <c r="B17106" s="31" t="s">
        <v>98</v>
      </c>
      <c r="C17106" s="31"/>
      <c r="D17106" s="27" t="n">
        <f aca="false">(Sens!D17099+Sens!D17103-Sens!D17104)+(Sens!D17091+Sens!D17092-Sens!D17090)+(Sens!D17094+Sens!D17095-Sens!D17093)+(Sens!D17104-Q!L18)</f>
        <v>0</v>
      </c>
      <c r="E17106" s="27" t="n">
        <f aca="false">(Sens!E17099+Sens!E17103-Sens!E17104)+(Sens!E17091+Sens!E17092-Sens!E17090)+(Sens!E17094+Sens!E17095-Sens!E17093)+(Sens!E17104-Q!M18)</f>
        <v>0</v>
      </c>
      <c r="F17106" s="27" t="n">
        <f aca="false">(Sens!F17099+Sens!F17103-Sens!F17104)+(Sens!F17091+Sens!F17092-Sens!F17090)+(Sens!F17094+Sens!F17095-Sens!F17093)</f>
        <v>0</v>
      </c>
      <c r="G17106" s="27" t="n">
        <f aca="false">(Sens!G17099+Sens!G17103-Sens!G17104)+(Sens!G17091+Sens!G17092-Sens!G17090)+(Sens!G17094+Sens!G17095-Sens!G17093)</f>
        <v>0</v>
      </c>
      <c r="H17106" s="27" t="n">
        <f aca="false">(Sens!H17099+Sens!H17103-Sens!H17104)+(Sens!H17091+Sens!H17092-Sens!H17090)+(Sens!H17094+Sens!H17095-Sens!H17093)</f>
        <v>0</v>
      </c>
      <c r="I17106" s="27" t="n">
        <f aca="false">(Sens!I17099+Sens!I17103-Sens!I17104)+(Sens!I17091+Sens!I17092-Sens!I17090)+(Sens!I17094+Sens!I17095-Sens!I17093)</f>
        <v>0</v>
      </c>
      <c r="J17106" s="27" t="n">
        <f aca="false">(Sens!J17099+Sens!J17103-Sens!J17104)+(Sens!J17091+Sens!J17092-Sens!J17090)+(Sens!J17094+Sens!J17095-Sens!J17093)</f>
        <v>0</v>
      </c>
      <c r="K17106" s="27" t="n">
        <f aca="false">(Sens!K17099+Sens!K17103-Sens!K17104)+(Sens!K17091+Sens!K17092-Sens!K17090)+(Sens!K17094+Sens!K17095-Sens!K17093)</f>
        <v>0</v>
      </c>
    </row>
    <row r="17107" customFormat="false" ht="17.15" hidden="false" customHeight="false" outlineLevel="0" collapsed="false">
      <c r="A17107" s="0" t="s">
        <v>1058</v>
      </c>
      <c r="B17107" s="0" t="s">
        <v>168</v>
      </c>
      <c r="E17107" s="7" t="n">
        <f aca="false">(Q!M21+Sens!E17043+Sens!E17044+Sens!E17045+Sens!E17059-Sens!E17041)/(Q!M5-Sens!E17041)</f>
        <v>0.570957350878296</v>
      </c>
      <c r="F17107" s="7" t="n">
        <f aca="false">Sens!$E$17107+dm_seg</f>
        <v>0.570957350878296</v>
      </c>
      <c r="G17107" s="7" t="n">
        <f aca="false">Sens!$E$17107+dm_seg</f>
        <v>0.570957350878296</v>
      </c>
      <c r="H17107" s="7" t="n">
        <f aca="false">Sens!$E$17107+dm_seg</f>
        <v>0.570957350878296</v>
      </c>
      <c r="I17107" s="7" t="n">
        <f aca="false">Sens!$E$17107+dm_seg</f>
        <v>0.570957350878296</v>
      </c>
      <c r="J17107" s="7" t="n">
        <f aca="false">Sens!$E$17107+dm_seg</f>
        <v>0.570957350878296</v>
      </c>
      <c r="K17107" s="7" t="n">
        <f aca="false">Sens!$E$17107+dm_seg</f>
        <v>0.570957350878296</v>
      </c>
      <c r="L17107" s="12" t="s">
        <v>1059</v>
      </c>
    </row>
    <row r="17108" customFormat="false" ht="17.15" hidden="false" customHeight="false" outlineLevel="0" collapsed="false">
      <c r="A17108" s="0" t="s">
        <v>880</v>
      </c>
      <c r="B17108" s="0" t="s">
        <v>98</v>
      </c>
      <c r="D17108" s="6" t="n">
        <f aca="false">Q!L21</f>
        <v>110.814</v>
      </c>
      <c r="E17108" s="6" t="n">
        <f aca="false">Q!M21</f>
        <v>136.365</v>
      </c>
      <c r="F17108" s="6" t="n">
        <f aca="false">Q!$I$21+(Sens!F17107*(Sens!F17078-Sens!F17041)+Sens!F17041-(Sens!F17043+Sens!F17044+Sens!F17045)-Sens!F17059-Sens!F17142)*(Sens!F17078-Q!$I$5)/Sens!F17078</f>
        <v>165.52261952713</v>
      </c>
      <c r="G17108" s="6" t="n">
        <f aca="false">(Sens!G17107*(Sens!G17078-Sens!G17041)+Sens!G17041-(Sens!G17043+Sens!G17044+Sens!G17045)-Sens!G17059-Sens!G17142)</f>
        <v>191.526375772808</v>
      </c>
      <c r="H17108" s="6" t="n">
        <f aca="false">(Sens!H17107*(Sens!H17078-Sens!H17041)+Sens!H17041-(Sens!H17043+Sens!H17044+Sens!H17045)-Sens!H17059-Sens!H17142)</f>
        <v>225.780337369755</v>
      </c>
      <c r="I17108" s="6" t="n">
        <f aca="false">(Sens!I17107*(Sens!I17078-Sens!I17041)+Sens!I17041-(Sens!I17043+Sens!I17044+Sens!I17045)-Sens!I17059-Sens!I17142)</f>
        <v>251.645211689499</v>
      </c>
      <c r="J17108" s="6" t="n">
        <f aca="false">(Sens!J17107*(Sens!J17078-Sens!J17041)+Sens!J17041-(Sens!J17043+Sens!J17044+Sens!J17045)-Sens!J17059-Sens!J17142)</f>
        <v>273.896866780231</v>
      </c>
      <c r="K17108" s="6" t="n">
        <f aca="false">(Sens!K17107*(Sens!K17078-Sens!K17041)+Sens!K17041-(Sens!K17043+Sens!K17044+Sens!K17045)-Sens!K17059-Sens!K17142)</f>
        <v>293.87685497157</v>
      </c>
      <c r="L17108" s="1" t="s">
        <v>1060</v>
      </c>
    </row>
    <row r="17109" customFormat="false" ht="17.15" hidden="false" customHeight="false" outlineLevel="0" collapsed="false">
      <c r="A17109" s="0" t="s">
        <v>1061</v>
      </c>
      <c r="B17109" s="0" t="s">
        <v>168</v>
      </c>
      <c r="E17109" s="7" t="n">
        <f aca="false">Q!M22/Q!M12</f>
        <v>0.296207935710698</v>
      </c>
      <c r="F17109" s="7" t="n">
        <f aca="false">Sens!$E$17109+dm_seg</f>
        <v>0.296207935710698</v>
      </c>
      <c r="G17109" s="7" t="n">
        <f aca="false">Sens!$E$17109+dm_seg</f>
        <v>0.296207935710698</v>
      </c>
      <c r="H17109" s="7" t="n">
        <f aca="false">Sens!$E$17109+dm_seg</f>
        <v>0.296207935710698</v>
      </c>
      <c r="I17109" s="7" t="n">
        <f aca="false">Sens!$E$17109+dm_seg</f>
        <v>0.296207935710698</v>
      </c>
      <c r="J17109" s="7" t="n">
        <f aca="false">Sens!$E$17109+dm_seg</f>
        <v>0.296207935710698</v>
      </c>
      <c r="K17109" s="7" t="n">
        <f aca="false">Sens!$E$17109+dm_seg</f>
        <v>0.296207935710698</v>
      </c>
      <c r="L17109" s="12" t="s">
        <v>1062</v>
      </c>
    </row>
    <row r="17110" customFormat="false" ht="17.15" hidden="false" customHeight="false" outlineLevel="0" collapsed="false">
      <c r="A17110" s="0" t="s">
        <v>882</v>
      </c>
      <c r="B17110" s="0" t="s">
        <v>98</v>
      </c>
      <c r="D17110" s="6" t="n">
        <f aca="false">Q!L22</f>
        <v>17.714</v>
      </c>
      <c r="E17110" s="6" t="n">
        <f aca="false">Q!M22</f>
        <v>18.872</v>
      </c>
      <c r="F17110" s="6" t="n">
        <f aca="false">Q!$I$22+(Sens!F17085-Q!$I$12)*Sens!F17109</f>
        <v>19.8174315512051</v>
      </c>
      <c r="G17110" s="6" t="n">
        <f aca="false">Sens!G17085*Sens!G17109</f>
        <v>19.6313799703815</v>
      </c>
      <c r="H17110" s="6" t="n">
        <f aca="false">Sens!H17085*Sens!H17109</f>
        <v>20.3536242825865</v>
      </c>
      <c r="I17110" s="6" t="n">
        <f aca="false">Sens!I17085*Sens!I17109</f>
        <v>21.1920899239745</v>
      </c>
      <c r="J17110" s="6" t="n">
        <f aca="false">Sens!J17085*Sens!J17109</f>
        <v>22.1288166207045</v>
      </c>
      <c r="K17110" s="6" t="n">
        <f aca="false">Sens!K17085*Sens!K17109</f>
        <v>23.1493653905379</v>
      </c>
      <c r="L17110" s="12" t="s">
        <v>1063</v>
      </c>
    </row>
    <row r="17111" customFormat="false" ht="15" hidden="false" customHeight="false" outlineLevel="0" collapsed="false">
      <c r="A17111" s="1" t="s">
        <v>1064</v>
      </c>
      <c r="B17111" s="0" t="s">
        <v>98</v>
      </c>
      <c r="D17111" s="6" t="n">
        <f aca="false">Sens!D17108+Sens!D17110</f>
        <v>128.528</v>
      </c>
      <c r="E17111" s="6" t="n">
        <f aca="false">Sens!E17108+Sens!E17110</f>
        <v>155.237</v>
      </c>
      <c r="F17111" s="6" t="n">
        <f aca="false">Sens!F17108+Sens!F17110</f>
        <v>185.340051078335</v>
      </c>
      <c r="G17111" s="6" t="n">
        <f aca="false">Sens!G17108+Sens!G17110</f>
        <v>211.15775574319</v>
      </c>
      <c r="H17111" s="6" t="n">
        <f aca="false">Sens!H17108+Sens!H17110</f>
        <v>246.133961652341</v>
      </c>
      <c r="I17111" s="6" t="n">
        <f aca="false">Sens!I17108+Sens!I17110</f>
        <v>272.837301613473</v>
      </c>
      <c r="J17111" s="6" t="n">
        <f aca="false">Sens!J17108+Sens!J17110</f>
        <v>296.025683400936</v>
      </c>
      <c r="K17111" s="6" t="n">
        <f aca="false">Sens!K17108+Sens!K17110</f>
        <v>317.026220362108</v>
      </c>
    </row>
    <row r="17112" customFormat="false" ht="15" hidden="false" customHeight="false" outlineLevel="0" collapsed="false">
      <c r="A17112" s="26" t="s">
        <v>1065</v>
      </c>
      <c r="B17112" s="31" t="s">
        <v>98</v>
      </c>
      <c r="C17112" s="31"/>
      <c r="D17112" s="27" t="n">
        <f aca="false">Sens!D17111-Q!L23</f>
        <v>0</v>
      </c>
      <c r="E17112" s="27" t="n">
        <f aca="false">Sens!E17111-Q!M23</f>
        <v>0</v>
      </c>
      <c r="F17112" s="31"/>
      <c r="G17112" s="31"/>
      <c r="H17112" s="31"/>
      <c r="I17112" s="31"/>
      <c r="J17112" s="31"/>
      <c r="K17112" s="31"/>
    </row>
    <row r="17113" customFormat="false" ht="15" hidden="false" customHeight="false" outlineLevel="0" collapsed="false">
      <c r="A17113" s="1" t="s">
        <v>1066</v>
      </c>
      <c r="B17113" s="0" t="s">
        <v>168</v>
      </c>
      <c r="D17113" s="7" t="n">
        <f aca="false">Sens!D17111/Sens!D17104</f>
        <v>0.456219562408598</v>
      </c>
      <c r="E17113" s="7" t="n">
        <f aca="false">Sens!E17111/Sens!E17104</f>
        <v>0.467808184089272</v>
      </c>
      <c r="F17113" s="7" t="n">
        <f aca="false">Sens!F17111/Sens!F17104</f>
        <v>0.45981275268085</v>
      </c>
      <c r="G17113" s="7" t="n">
        <f aca="false">Sens!G17111/Sens!G17104</f>
        <v>0.429371170011348</v>
      </c>
      <c r="H17113" s="7" t="n">
        <f aca="false">Sens!H17111/Sens!H17104</f>
        <v>0.419097813982423</v>
      </c>
      <c r="I17113" s="7" t="n">
        <f aca="false">Sens!I17111/Sens!I17104</f>
        <v>0.408064991914021</v>
      </c>
      <c r="J17113" s="7" t="n">
        <f aca="false">Sens!J17111/Sens!J17104</f>
        <v>0.403275722296058</v>
      </c>
      <c r="K17113" s="7" t="n">
        <f aca="false">Sens!K17111/Sens!K17104</f>
        <v>0.403284262820098</v>
      </c>
    </row>
    <row r="17114" customFormat="false" ht="17.15" hidden="false" customHeight="false" outlineLevel="0" collapsed="false">
      <c r="A17114" s="1" t="s">
        <v>1067</v>
      </c>
      <c r="B17114" s="0" t="s">
        <v>98</v>
      </c>
      <c r="F17114" s="6" t="n">
        <f aca="false">Sens!F17129</f>
        <v>8.88340674531245</v>
      </c>
      <c r="G17114" s="6" t="n">
        <f aca="false">Sens!G17129</f>
        <v>22.7060305170273</v>
      </c>
      <c r="H17114" s="6" t="n">
        <f aca="false">Sens!H17129</f>
        <v>38.0018452382075</v>
      </c>
      <c r="I17114" s="6" t="n">
        <f aca="false">Sens!I17129</f>
        <v>52.1381094705177</v>
      </c>
      <c r="J17114" s="6" t="n">
        <f aca="false">Sens!J17129</f>
        <v>62.0595818934393</v>
      </c>
      <c r="K17114" s="6" t="n">
        <f aca="false">Sens!K17129</f>
        <v>67.0801312706266</v>
      </c>
      <c r="L17114" s="1" t="s">
        <v>1068</v>
      </c>
    </row>
    <row r="17115" customFormat="false" ht="17.15" hidden="false" customHeight="false" outlineLevel="0" collapsed="false">
      <c r="A17115" s="1" t="s">
        <v>1069</v>
      </c>
      <c r="B17115" s="0" t="s">
        <v>98</v>
      </c>
      <c r="D17115" s="6" t="n">
        <f aca="false">Sens!D17111</f>
        <v>128.528</v>
      </c>
      <c r="E17115" s="6" t="n">
        <f aca="false">Sens!E17111</f>
        <v>155.237</v>
      </c>
      <c r="F17115" s="6" t="n">
        <f aca="false">Sens!F17111+Sens!F17114</f>
        <v>194.223457823647</v>
      </c>
      <c r="G17115" s="6" t="n">
        <f aca="false">Sens!G17111+Sens!G17114</f>
        <v>233.863786260217</v>
      </c>
      <c r="H17115" s="6" t="n">
        <f aca="false">Sens!H17111+Sens!H17114</f>
        <v>284.135806890549</v>
      </c>
      <c r="I17115" s="6" t="n">
        <f aca="false">Sens!I17111+Sens!I17114</f>
        <v>324.975411083991</v>
      </c>
      <c r="J17115" s="6" t="n">
        <f aca="false">Sens!J17111+Sens!J17114</f>
        <v>358.085265294375</v>
      </c>
      <c r="K17115" s="6" t="n">
        <f aca="false">Sens!K17111+Sens!K17114</f>
        <v>384.106351632735</v>
      </c>
    </row>
    <row r="17116" customFormat="false" ht="17.15" hidden="false" customHeight="false" outlineLevel="0" collapsed="false">
      <c r="A17116" s="1" t="s">
        <v>1070</v>
      </c>
      <c r="B17116" s="0" t="s">
        <v>98</v>
      </c>
      <c r="E17116" s="6" t="n">
        <f aca="false">Sens!E17059</f>
        <v>16.3054059770833</v>
      </c>
      <c r="F17116" s="6" t="n">
        <f aca="false">Sens!F17059</f>
        <v>34.5793144783516</v>
      </c>
      <c r="G17116" s="6" t="n">
        <f aca="false">Sens!G17059</f>
        <v>60.7344906522989</v>
      </c>
      <c r="H17116" s="6" t="n">
        <f aca="false">Sens!H17059</f>
        <v>89.1000906614457</v>
      </c>
      <c r="I17116" s="6" t="n">
        <f aca="false">Sens!I17059</f>
        <v>114.231009694548</v>
      </c>
      <c r="J17116" s="6" t="n">
        <f aca="false">Sens!J17059</f>
        <v>132.015673049596</v>
      </c>
      <c r="K17116" s="6" t="n">
        <f aca="false">Sens!K17059</f>
        <v>143.012669550934</v>
      </c>
    </row>
    <row r="17117" customFormat="false" ht="17.15" hidden="false" customHeight="false" outlineLevel="0" collapsed="false">
      <c r="A17117" s="1" t="s">
        <v>1071</v>
      </c>
      <c r="B17117" s="0" t="s">
        <v>98</v>
      </c>
      <c r="E17117" s="6" t="n">
        <f aca="false">Sens!E17141</f>
        <v>22.2285940229167</v>
      </c>
      <c r="F17117" s="6" t="n">
        <f aca="false">Sens!F17141</f>
        <v>23.5755864718873</v>
      </c>
      <c r="G17117" s="6" t="n">
        <f aca="false">Sens!G17141</f>
        <v>25.3758596064077</v>
      </c>
      <c r="H17117" s="6" t="n">
        <f aca="false">Sens!H17141</f>
        <v>27.5926102072099</v>
      </c>
      <c r="I17117" s="6" t="n">
        <f aca="false">Sens!I17141</f>
        <v>30.1494722164327</v>
      </c>
      <c r="J17117" s="6" t="n">
        <f aca="false">Sens!J17141</f>
        <v>32.9543806588559</v>
      </c>
      <c r="K17117" s="6" t="n">
        <f aca="false">Sens!K17141</f>
        <v>35.9228685792431</v>
      </c>
    </row>
    <row r="17118" customFormat="false" ht="17.15" hidden="false" customHeight="false" outlineLevel="0" collapsed="false">
      <c r="A17118" s="1" t="s">
        <v>1072</v>
      </c>
      <c r="B17118" s="0" t="s">
        <v>98</v>
      </c>
      <c r="D17118" s="6" t="n">
        <f aca="false">Q!L27</f>
        <v>-4.901</v>
      </c>
      <c r="E17118" s="6" t="n">
        <f aca="false">Q!M27</f>
        <v>10.697</v>
      </c>
      <c r="F17118" s="6" t="n">
        <f aca="false">Q!$I$27+oie_f*(q_per_yr-1)/q_per_yr</f>
        <v>-0.862</v>
      </c>
      <c r="G17118" s="6" t="n">
        <f aca="false">oie_f</f>
        <v>-1.2</v>
      </c>
      <c r="H17118" s="6" t="n">
        <f aca="false">oie_f</f>
        <v>-1.2</v>
      </c>
      <c r="I17118" s="6" t="n">
        <f aca="false">oie_f</f>
        <v>-1.2</v>
      </c>
      <c r="J17118" s="6" t="n">
        <f aca="false">oie_f</f>
        <v>-1.2</v>
      </c>
      <c r="K17118" s="6" t="n">
        <f aca="false">oie_f</f>
        <v>-1.2</v>
      </c>
      <c r="L17118" s="12" t="s">
        <v>1073</v>
      </c>
    </row>
    <row r="17119" customFormat="false" ht="15" hidden="false" customHeight="false" outlineLevel="0" collapsed="false">
      <c r="A17119" s="1" t="s">
        <v>1074</v>
      </c>
      <c r="B17119" s="0" t="s">
        <v>98</v>
      </c>
      <c r="D17119" s="6" t="n">
        <f aca="false">Sens!D17111+Sens!D17118</f>
        <v>123.627</v>
      </c>
      <c r="E17119" s="6" t="n">
        <f aca="false">Sens!E17111+Sens!E17118</f>
        <v>165.934</v>
      </c>
      <c r="F17119" s="6" t="n">
        <f aca="false">Sens!F17111+Sens!F17118</f>
        <v>184.478051078335</v>
      </c>
      <c r="G17119" s="6" t="n">
        <f aca="false">Sens!G17111+Sens!G17118</f>
        <v>209.95775574319</v>
      </c>
      <c r="H17119" s="6" t="n">
        <f aca="false">Sens!H17111+Sens!H17118</f>
        <v>244.933961652341</v>
      </c>
      <c r="I17119" s="6" t="n">
        <f aca="false">Sens!I17111+Sens!I17118</f>
        <v>271.637301613473</v>
      </c>
      <c r="J17119" s="6" t="n">
        <f aca="false">Sens!J17111+Sens!J17118</f>
        <v>294.825683400936</v>
      </c>
      <c r="K17119" s="6" t="n">
        <f aca="false">Sens!K17111+Sens!K17118</f>
        <v>315.826220362108</v>
      </c>
    </row>
    <row r="17120" customFormat="false" ht="15" hidden="false" customHeight="false" outlineLevel="0" collapsed="false">
      <c r="A17120" s="1" t="s">
        <v>1075</v>
      </c>
      <c r="B17120" s="0" t="s">
        <v>98</v>
      </c>
      <c r="D17120" s="6" t="n">
        <f aca="false">Q!L29</f>
        <v>21.795</v>
      </c>
      <c r="E17120" s="6" t="n">
        <f aca="false">Q!M29</f>
        <v>32.185</v>
      </c>
      <c r="F17120" s="6" t="n">
        <f aca="false">Q!$I$29+(Sens!F17119-Q!$I$28)*tax_f</f>
        <v>37.0290102156669</v>
      </c>
      <c r="G17120" s="6" t="n">
        <f aca="false">Sens!G17119*tax_f</f>
        <v>41.991551148638</v>
      </c>
      <c r="H17120" s="6" t="n">
        <f aca="false">Sens!H17119*tax_f</f>
        <v>48.9867923304683</v>
      </c>
      <c r="I17120" s="6" t="n">
        <f aca="false">Sens!I17119*tax_f</f>
        <v>54.3274603226947</v>
      </c>
      <c r="J17120" s="6" t="n">
        <f aca="false">Sens!J17119*tax_f</f>
        <v>58.9651366801872</v>
      </c>
      <c r="K17120" s="6" t="n">
        <f aca="false">Sens!K17119*tax_f</f>
        <v>63.1652440724216</v>
      </c>
    </row>
    <row r="17121" customFormat="false" ht="15" hidden="false" customHeight="false" outlineLevel="0" collapsed="false">
      <c r="A17121" s="1" t="s">
        <v>1076</v>
      </c>
      <c r="B17121" s="0" t="s">
        <v>98</v>
      </c>
      <c r="D17121" s="6" t="n">
        <f aca="false">Sens!D17119-Sens!D17120</f>
        <v>101.832</v>
      </c>
      <c r="E17121" s="6" t="n">
        <f aca="false">Sens!E17119-Sens!E17120</f>
        <v>133.749</v>
      </c>
      <c r="F17121" s="6" t="n">
        <f aca="false">Sens!F17119-Sens!F17120</f>
        <v>147.449040862668</v>
      </c>
      <c r="G17121" s="6" t="n">
        <f aca="false">Sens!G17119-Sens!G17120</f>
        <v>167.966204594552</v>
      </c>
      <c r="H17121" s="6" t="n">
        <f aca="false">Sens!H17119-Sens!H17120</f>
        <v>195.947169321873</v>
      </c>
      <c r="I17121" s="6" t="n">
        <f aca="false">Sens!I17119-Sens!I17120</f>
        <v>217.309841290779</v>
      </c>
      <c r="J17121" s="6" t="n">
        <f aca="false">Sens!J17119-Sens!J17120</f>
        <v>235.860546720749</v>
      </c>
      <c r="K17121" s="6" t="n">
        <f aca="false">Sens!K17119-Sens!K17120</f>
        <v>252.660976289687</v>
      </c>
    </row>
    <row r="17122" customFormat="false" ht="17.15" hidden="false" customHeight="false" outlineLevel="0" collapsed="false">
      <c r="A17122" s="1" t="s">
        <v>1077</v>
      </c>
      <c r="B17122" s="1" t="s">
        <v>81</v>
      </c>
      <c r="D17122" s="15" t="n">
        <f aca="false">Q!L31</f>
        <v>7.465</v>
      </c>
      <c r="E17122" s="15" t="n">
        <f aca="false">Q!M31</f>
        <v>7.453</v>
      </c>
      <c r="F17122" s="15" t="n">
        <f aca="false">Sens!F17166</f>
        <v>7.47059122371746</v>
      </c>
      <c r="G17122" s="15" t="n">
        <f aca="false">Sens!G17166</f>
        <v>7.50982110302586</v>
      </c>
      <c r="H17122" s="15" t="n">
        <f aca="false">Sens!H17166</f>
        <v>7.5346596976456</v>
      </c>
      <c r="I17122" s="15" t="n">
        <f aca="false">Sens!I17166</f>
        <v>7.54634106170107</v>
      </c>
      <c r="J17122" s="15" t="n">
        <f aca="false">Sens!J17166</f>
        <v>7.56049047286354</v>
      </c>
      <c r="K17122" s="15" t="n">
        <f aca="false">Sens!K17166</f>
        <v>7.57692511282879</v>
      </c>
    </row>
    <row r="17123" customFormat="false" ht="17.15" hidden="false" customHeight="false" outlineLevel="0" collapsed="false">
      <c r="A17123" s="0" t="s">
        <v>1078</v>
      </c>
      <c r="B17123" s="0" t="s">
        <v>75</v>
      </c>
      <c r="D17123" s="8" t="n">
        <f aca="false">Sens!D17121/Sens!D17122</f>
        <v>13.641259209645</v>
      </c>
      <c r="E17123" s="8" t="n">
        <f aca="false">Sens!E17121/Sens!E17122</f>
        <v>17.9456594659869</v>
      </c>
      <c r="F17123" s="8" t="n">
        <f aca="false">Sens!F17121/Sens!F17122</f>
        <v>19.7372652909384</v>
      </c>
      <c r="G17123" s="8" t="n">
        <f aca="false">Sens!G17121/Sens!G17122</f>
        <v>22.3662058376963</v>
      </c>
      <c r="H17123" s="8" t="n">
        <f aca="false">Sens!H17121/Sens!H17122</f>
        <v>26.0061074003252</v>
      </c>
      <c r="I17123" s="8" t="n">
        <f aca="false">Sens!I17121/Sens!I17122</f>
        <v>28.7967161189761</v>
      </c>
      <c r="J17123" s="8" t="n">
        <f aca="false">Sens!J17121/Sens!J17122</f>
        <v>31.1964610718458</v>
      </c>
      <c r="K17123" s="8" t="n">
        <f aca="false">Sens!K17121/Sens!K17122</f>
        <v>33.346109738091</v>
      </c>
      <c r="L17123" s="1" t="s">
        <v>1079</v>
      </c>
    </row>
    <row r="17124" customFormat="false" ht="17.15" hidden="false" customHeight="false" outlineLevel="0" collapsed="false">
      <c r="A17124" s="1" t="s">
        <v>1080</v>
      </c>
      <c r="B17124" s="0" t="s">
        <v>98</v>
      </c>
      <c r="D17124" s="6" t="n">
        <f aca="false">Sens!D17121</f>
        <v>101.832</v>
      </c>
      <c r="E17124" s="6" t="n">
        <f aca="false">Sens!E17121</f>
        <v>133.749</v>
      </c>
      <c r="F17124" s="6" t="n">
        <f aca="false">Sens!F17121+Sens!F17114*(1-tax_f)</f>
        <v>154.555766258918</v>
      </c>
      <c r="G17124" s="6" t="n">
        <f aca="false">Sens!G17121+Sens!G17114*(1-tax_f)</f>
        <v>186.131029008174</v>
      </c>
      <c r="H17124" s="6" t="n">
        <f aca="false">Sens!H17121+Sens!H17114*(1-tax_f)</f>
        <v>226.348645512439</v>
      </c>
      <c r="I17124" s="6" t="n">
        <f aca="false">Sens!I17121+Sens!I17114*(1-tax_f)</f>
        <v>259.020328867193</v>
      </c>
      <c r="J17124" s="6" t="n">
        <f aca="false">Sens!J17121+Sens!J17114*(1-tax_f)</f>
        <v>285.5082122355</v>
      </c>
      <c r="K17124" s="6" t="n">
        <f aca="false">Sens!K17121+Sens!K17114*(1-tax_f)</f>
        <v>306.325081306188</v>
      </c>
    </row>
    <row r="17125" customFormat="false" ht="17.15" hidden="false" customHeight="false" outlineLevel="0" collapsed="false">
      <c r="A17125" s="0" t="s">
        <v>1081</v>
      </c>
      <c r="B17125" s="0" t="s">
        <v>75</v>
      </c>
      <c r="D17125" s="8" t="n">
        <f aca="false">Sens!D17124/Sens!D17122</f>
        <v>13.641259209645</v>
      </c>
      <c r="E17125" s="8" t="n">
        <f aca="false">Sens!E17124/Sens!E17122</f>
        <v>17.9456594659869</v>
      </c>
      <c r="F17125" s="8" t="n">
        <f aca="false">Sens!F17124/Sens!F17122</f>
        <v>20.6885588610762</v>
      </c>
      <c r="G17125" s="8" t="n">
        <f aca="false">Sens!G17124/Sens!G17122</f>
        <v>24.7850150429253</v>
      </c>
      <c r="H17125" s="8" t="n">
        <f aca="false">Sens!H17124/Sens!H17122</f>
        <v>30.0409911788276</v>
      </c>
      <c r="I17125" s="8" t="n">
        <f aca="false">Sens!I17124/Sens!I17122</f>
        <v>34.3239626660613</v>
      </c>
      <c r="J17125" s="8" t="n">
        <f aca="false">Sens!J17124/Sens!J17122</f>
        <v>37.7631865631283</v>
      </c>
      <c r="K17125" s="8" t="n">
        <f aca="false">Sens!K17124/Sens!K17122</f>
        <v>40.4286800706974</v>
      </c>
      <c r="L17125" s="1" t="s">
        <v>1082</v>
      </c>
    </row>
    <row r="17126" customFormat="false" ht="17.15" hidden="false" customHeight="false" outlineLevel="0" collapsed="false">
      <c r="A17126" s="0" t="s">
        <v>1083</v>
      </c>
      <c r="B17126" s="0" t="s">
        <v>168</v>
      </c>
      <c r="E17126" s="7" t="n">
        <f aca="false">Sens!E17125/Sens!D17125-1</f>
        <v>0.315542736208578</v>
      </c>
      <c r="F17126" s="7" t="n">
        <f aca="false">Sens!F17125/Sens!E17125-1</f>
        <v>0.152844725505241</v>
      </c>
      <c r="G17126" s="7" t="n">
        <f aca="false">Sens!G17125/Sens!F17125-1</f>
        <v>0.19800587413347</v>
      </c>
      <c r="H17126" s="7" t="n">
        <f aca="false">Sens!H17125/Sens!G17125-1</f>
        <v>0.212062656681848</v>
      </c>
      <c r="I17126" s="7" t="n">
        <f aca="false">Sens!I17125/Sens!H17125-1</f>
        <v>0.142570911250502</v>
      </c>
      <c r="J17126" s="7" t="n">
        <f aca="false">Sens!J17125/Sens!I17125-1</f>
        <v>0.100198917314044</v>
      </c>
      <c r="K17126" s="7" t="n">
        <f aca="false">Sens!K17125/Sens!J17125-1</f>
        <v>0.0705844434794503</v>
      </c>
    </row>
    <row r="17127" customFormat="false" ht="17.15" hidden="false" customHeight="false" outlineLevel="0" collapsed="false">
      <c r="A17127" s="0" t="s">
        <v>1003</v>
      </c>
      <c r="B17127" s="0" t="s">
        <v>98</v>
      </c>
      <c r="E17127" s="6" t="n">
        <f aca="false">Sens!E17068</f>
        <v>5.25</v>
      </c>
      <c r="F17127" s="6" t="n">
        <f aca="false">Sens!F17068</f>
        <v>13.5</v>
      </c>
      <c r="G17127" s="6" t="n">
        <f aca="false">Sens!G17068</f>
        <v>22.5</v>
      </c>
      <c r="H17127" s="6" t="n">
        <f aca="false">Sens!H17068</f>
        <v>31.5</v>
      </c>
      <c r="I17127" s="6" t="n">
        <f aca="false">Sens!I17068</f>
        <v>38.25</v>
      </c>
      <c r="J17127" s="6" t="n">
        <f aca="false">Sens!J17068</f>
        <v>42.75</v>
      </c>
      <c r="K17127" s="6" t="n">
        <f aca="false">Sens!K17068</f>
        <v>47.25</v>
      </c>
    </row>
    <row r="17128" customFormat="false" ht="17.15" hidden="false" customHeight="false" outlineLevel="0" collapsed="false">
      <c r="A17128" s="1" t="s">
        <v>1004</v>
      </c>
      <c r="B17128" s="0" t="s">
        <v>98</v>
      </c>
      <c r="F17128" s="6" t="n">
        <f aca="false">MAX(0,((Sens!E17028+Sens!F17028)/2-(shadow_base*(Sens!$D$17028+Sens!$E$17028)/2+(1-shadow_base)*Sens!$E$17028))*Sens!F17037/1000-(Sens!F17127-Sens!$E$17127)*Sens!F17107)</f>
        <v>8.88340674531245</v>
      </c>
      <c r="G17128" s="6" t="n">
        <f aca="false">MAX(0,((Sens!F17028+Sens!G17028)/2-(shadow_base*(Sens!$D$17028+Sens!$E$17028)/2+(1-shadow_base)*Sens!$E$17028))*Sens!G17037/1000-(Sens!G17127-Sens!$E$17127)*Sens!G17107)</f>
        <v>22.7060305170273</v>
      </c>
      <c r="H17128" s="6" t="n">
        <f aca="false">MAX(0,((Sens!G17028+Sens!H17028)/2-(shadow_base*(Sens!$D$17028+Sens!$E$17028)/2+(1-shadow_base)*Sens!$E$17028))*Sens!H17037/1000-(Sens!H17127-Sens!$E$17127)*Sens!H17107)</f>
        <v>38.0018452382075</v>
      </c>
      <c r="I17128" s="6" t="n">
        <f aca="false">MAX(0,((Sens!H17028+Sens!I17028)/2-(shadow_base*(Sens!$D$17028+Sens!$E$17028)/2+(1-shadow_base)*Sens!$E$17028))*Sens!I17037/1000-(Sens!I17127-Sens!$E$17127)*Sens!I17107)</f>
        <v>52.1381094705177</v>
      </c>
      <c r="J17128" s="6" t="n">
        <f aca="false">MAX(0,((Sens!I17028+Sens!J17028)/2-(shadow_base*(Sens!$D$17028+Sens!$E$17028)/2+(1-shadow_base)*Sens!$E$17028))*Sens!J17037/1000-(Sens!J17127-Sens!$E$17127)*Sens!J17107)</f>
        <v>62.0595818934393</v>
      </c>
      <c r="K17128" s="6" t="n">
        <f aca="false">MAX(0,((Sens!J17028+Sens!K17028)/2-(shadow_base*(Sens!$D$17028+Sens!$E$17028)/2+(1-shadow_base)*Sens!$E$17028))*Sens!K17037/1000-(Sens!K17127-Sens!$E$17127)*Sens!K17107)</f>
        <v>67.0801312706266</v>
      </c>
      <c r="L17128" s="1" t="s">
        <v>1005</v>
      </c>
    </row>
    <row r="17129" customFormat="false" ht="17.15" hidden="false" customHeight="false" outlineLevel="0" collapsed="false">
      <c r="A17129" s="1" t="s">
        <v>1006</v>
      </c>
      <c r="B17129" s="0" t="s">
        <v>98</v>
      </c>
      <c r="F17129" s="6" t="n">
        <f aca="false">IF(internal_ai_reading=2,1,0)*Sens!F17128</f>
        <v>8.88340674531245</v>
      </c>
      <c r="G17129" s="6" t="n">
        <f aca="false">IF(internal_ai_reading=2,1,0)*Sens!G17128</f>
        <v>22.7060305170273</v>
      </c>
      <c r="H17129" s="6" t="n">
        <f aca="false">IF(internal_ai_reading=2,1,0)*Sens!H17128</f>
        <v>38.0018452382075</v>
      </c>
      <c r="I17129" s="6" t="n">
        <f aca="false">IF(internal_ai_reading=2,1,0)*Sens!I17128</f>
        <v>52.1381094705177</v>
      </c>
      <c r="J17129" s="6" t="n">
        <f aca="false">IF(internal_ai_reading=2,1,0)*Sens!J17128</f>
        <v>62.0595818934393</v>
      </c>
      <c r="K17129" s="6" t="n">
        <f aca="false">IF(internal_ai_reading=2,1,0)*Sens!K17128</f>
        <v>67.0801312706266</v>
      </c>
    </row>
    <row r="17130" customFormat="false" ht="17.15" hidden="false" customHeight="false" outlineLevel="0" collapsed="false">
      <c r="A17130" s="0" t="s">
        <v>1007</v>
      </c>
      <c r="B17130" s="0" t="s">
        <v>98</v>
      </c>
      <c r="F17130" s="6" t="n">
        <f aca="false">Sens!F17047+Sens!F17127*Sens!F17107+Sens!F17129-Sens!F17048-Sens!F17059</f>
        <v>18.5068678152817</v>
      </c>
      <c r="G17130" s="6" t="n">
        <f aca="false">Sens!G17047+Sens!G17127*Sens!G17107+Sens!G17129-Sens!G17048-Sens!G17059</f>
        <v>43.1983864982792</v>
      </c>
      <c r="H17130" s="6" t="n">
        <f aca="false">Sens!H17047+Sens!H17127*Sens!H17107+Sens!H17129-Sens!H17048-Sens!H17059</f>
        <v>73.502598356074</v>
      </c>
      <c r="I17130" s="6" t="n">
        <f aca="false">Sens!I17047+Sens!I17127*Sens!I17107+Sens!I17129-Sens!I17048-Sens!I17059</f>
        <v>94.7454135378504</v>
      </c>
      <c r="J17130" s="6" t="n">
        <f aca="false">Sens!J17047+Sens!J17127*Sens!J17107+Sens!J17129-Sens!J17048-Sens!J17059</f>
        <v>109.399608126358</v>
      </c>
      <c r="K17130" s="6" t="n">
        <f aca="false">Sens!K17047+Sens!K17127*Sens!K17107+Sens!K17129-Sens!K17048-Sens!K17059</f>
        <v>118.898703181943</v>
      </c>
    </row>
    <row r="17131" customFormat="false" ht="17.15" hidden="false" customHeight="false" outlineLevel="0" collapsed="false">
      <c r="A17131" s="0" t="s">
        <v>1008</v>
      </c>
      <c r="B17131" s="0" t="s">
        <v>98</v>
      </c>
      <c r="E17131" s="6" t="n">
        <f aca="false">Sens!E17027*(cxit_open+self_build*tk_cxfac)/1000*ai_net_open</f>
        <v>126.6980382</v>
      </c>
      <c r="F17131" s="6" t="n">
        <f aca="false">Sens!E17131+Sens!F17056-Sens!F17059</f>
        <v>260.572627763768</v>
      </c>
      <c r="G17131" s="6" t="n">
        <f aca="false">Sens!F17131+Sens!G17056-Sens!G17059</f>
        <v>391.782612760517</v>
      </c>
      <c r="H17131" s="6" t="n">
        <f aca="false">Sens!G17131+Sens!H17056-Sens!H17059</f>
        <v>499.488526163584</v>
      </c>
      <c r="I17131" s="6" t="n">
        <f aca="false">Sens!H17131+Sens!I17056-Sens!I17059</f>
        <v>553.872350090646</v>
      </c>
      <c r="J17131" s="6" t="n">
        <f aca="false">Sens!I17131+Sens!J17056-Sens!J17059</f>
        <v>550.78660823699</v>
      </c>
      <c r="K17131" s="6" t="n">
        <f aca="false">Sens!J17131+Sens!K17056-Sens!K17059</f>
        <v>526.736791750789</v>
      </c>
      <c r="L17131" s="1" t="s">
        <v>1009</v>
      </c>
    </row>
    <row r="17132" customFormat="false" ht="17.15" hidden="false" customHeight="false" outlineLevel="0" collapsed="false">
      <c r="A17132" s="0" t="s">
        <v>1010</v>
      </c>
      <c r="B17132" s="0" t="s">
        <v>168</v>
      </c>
      <c r="F17132" s="7" t="n">
        <f aca="false">Sens!F17130*(1-tax_f)/((Sens!E17131+Sens!F17131)/2)</f>
        <v>0.0764607059271074</v>
      </c>
      <c r="G17132" s="7" t="n">
        <f aca="false">Sens!G17130*(1-tax_f)/((Sens!F17131+Sens!G17131)/2)</f>
        <v>0.105950583522098</v>
      </c>
      <c r="H17132" s="7" t="n">
        <f aca="false">Sens!H17130*(1-tax_f)/((Sens!G17131+Sens!H17131)/2)</f>
        <v>0.131951044114011</v>
      </c>
      <c r="I17132" s="7" t="n">
        <f aca="false">Sens!I17130*(1-tax_f)/((Sens!H17131+Sens!I17131)/2)</f>
        <v>0.143913320760143</v>
      </c>
      <c r="J17132" s="7" t="n">
        <f aca="false">Sens!J17130*(1-tax_f)/((Sens!I17131+Sens!J17131)/2)</f>
        <v>0.158455577336889</v>
      </c>
      <c r="K17132" s="7" t="n">
        <f aca="false">Sens!K17130*(1-tax_f)/((Sens!J17131+Sens!K17131)/2)</f>
        <v>0.176551084731214</v>
      </c>
    </row>
    <row r="17133" customFormat="false" ht="17.15" hidden="false" customHeight="false" outlineLevel="0" collapsed="false">
      <c r="A17133" s="1" t="s">
        <v>1011</v>
      </c>
      <c r="B17133" s="0" t="s">
        <v>168</v>
      </c>
      <c r="F17133" s="7" t="n">
        <f aca="false">(Sens!F17130-Sens!F17129)*(1-tax_f)/((Sens!E17131+Sens!F17131)/2)</f>
        <v>0.0397591118181705</v>
      </c>
      <c r="G17133" s="7" t="n">
        <f aca="false">(Sens!G17130-Sens!G17129)*(1-tax_f)/((Sens!F17131+Sens!G17131)/2)</f>
        <v>0.0502606057761598</v>
      </c>
      <c r="H17133" s="7" t="n">
        <f aca="false">(Sens!H17130-Sens!H17129)*(1-tax_f)/((Sens!G17131+Sens!H17131)/2)</f>
        <v>0.0637305557287023</v>
      </c>
      <c r="I17133" s="7" t="n">
        <f aca="false">(Sens!I17130-Sens!I17129)*(1-tax_f)/((Sens!H17131+Sens!I17131)/2)</f>
        <v>0.0647182632699936</v>
      </c>
      <c r="J17133" s="7" t="n">
        <f aca="false">(Sens!J17130-Sens!J17129)*(1-tax_f)/((Sens!I17131+Sens!J17131)/2)</f>
        <v>0.0685678067440289</v>
      </c>
      <c r="K17133" s="7" t="n">
        <f aca="false">(Sens!K17130-Sens!K17129)*(1-tax_f)/((Sens!J17131+Sens!K17131)/2)</f>
        <v>0.0769447002812616</v>
      </c>
    </row>
    <row r="17134" customFormat="false" ht="17.15" hidden="false" customHeight="false" outlineLevel="0" collapsed="false">
      <c r="A17134" s="1" t="s">
        <v>1012</v>
      </c>
      <c r="B17134" s="0" t="s">
        <v>168</v>
      </c>
      <c r="F17134" s="7" t="n">
        <f aca="false">(Sens!F17130-Sens!F17129+Sens!F17128)*(1-tax_f)/((Sens!E17131+Sens!F17131)/2)</f>
        <v>0.0764607059271074</v>
      </c>
      <c r="G17134" s="7" t="n">
        <f aca="false">(Sens!G17130-Sens!G17129+Sens!G17128)*(1-tax_f)/((Sens!F17131+Sens!G17131)/2)</f>
        <v>0.105950583522098</v>
      </c>
      <c r="H17134" s="7" t="n">
        <f aca="false">(Sens!H17130-Sens!H17129+Sens!H17128)*(1-tax_f)/((Sens!G17131+Sens!H17131)/2)</f>
        <v>0.131951044114011</v>
      </c>
      <c r="I17134" s="7" t="n">
        <f aca="false">(Sens!I17130-Sens!I17129+Sens!I17128)*(1-tax_f)/((Sens!H17131+Sens!I17131)/2)</f>
        <v>0.143913320760143</v>
      </c>
      <c r="J17134" s="7" t="n">
        <f aca="false">(Sens!J17130-Sens!J17129+Sens!J17128)*(1-tax_f)/((Sens!I17131+Sens!J17131)/2)</f>
        <v>0.158455577336889</v>
      </c>
      <c r="K17134" s="7" t="n">
        <f aca="false">(Sens!K17130-Sens!K17129+Sens!K17128)*(1-tax_f)/((Sens!J17131+Sens!K17131)/2)</f>
        <v>0.176551084731214</v>
      </c>
    </row>
    <row r="17135" customFormat="false" ht="17.15" hidden="false" customHeight="false" outlineLevel="0" collapsed="false">
      <c r="A17135" s="1" t="s">
        <v>1013</v>
      </c>
      <c r="B17135" s="0" t="s">
        <v>168</v>
      </c>
      <c r="F17135" s="7" t="n">
        <f aca="false">Sens!F17060*(1-tax_f)/(Sens!F17046*(Sens!E17131+Sens!F17131)/2)</f>
        <v>0.15471433083293</v>
      </c>
      <c r="G17135" s="7" t="n">
        <f aca="false">Sens!G17060*(1-tax_f)/(Sens!G17046*(Sens!F17131+Sens!G17131)/2)</f>
        <v>0.176916911437355</v>
      </c>
      <c r="H17135" s="7" t="n">
        <f aca="false">Sens!H17060*(1-tax_f)/(Sens!H17046*(Sens!G17131+Sens!H17131)/2)</f>
        <v>0.207487057996582</v>
      </c>
      <c r="I17135" s="7" t="n">
        <f aca="false">Sens!I17060*(1-tax_f)/(Sens!I17046*(Sens!H17131+Sens!I17131)/2)</f>
        <v>0.219873660070946</v>
      </c>
      <c r="J17135" s="7" t="n">
        <f aca="false">Sens!J17060*(1-tax_f)/(Sens!J17046*(Sens!I17131+Sens!J17131)/2)</f>
        <v>0.238959457974928</v>
      </c>
      <c r="K17135" s="7" t="n">
        <f aca="false">Sens!K17060*(1-tax_f)/(Sens!K17046*(Sens!J17131+Sens!K17131)/2)</f>
        <v>0.264604270651536</v>
      </c>
    </row>
    <row r="17136" customFormat="false" ht="17.15" hidden="false" customHeight="false" outlineLevel="0" collapsed="false">
      <c r="A17136" s="0" t="s">
        <v>1014</v>
      </c>
      <c r="B17136" s="0" t="s">
        <v>253</v>
      </c>
      <c r="F17136" s="7" t="n">
        <f aca="false">Sens!F17132-wacc</f>
        <v>-0.0264758850184899</v>
      </c>
      <c r="G17136" s="7" t="n">
        <f aca="false">Sens!G17132-wacc</f>
        <v>0.00301399257650095</v>
      </c>
      <c r="H17136" s="7" t="n">
        <f aca="false">Sens!H17132-wacc</f>
        <v>0.0290144531684132</v>
      </c>
      <c r="I17136" s="7" t="n">
        <f aca="false">Sens!I17132-wacc</f>
        <v>0.0409767298145461</v>
      </c>
      <c r="J17136" s="7" t="n">
        <f aca="false">Sens!J17132-wacc</f>
        <v>0.0555189863912922</v>
      </c>
      <c r="K17136" s="7" t="n">
        <f aca="false">Sens!K17132-wacc</f>
        <v>0.0736144937856168</v>
      </c>
    </row>
    <row r="17137" customFormat="false" ht="17.15" hidden="false" customHeight="false" outlineLevel="0" collapsed="false">
      <c r="A17137" s="0" t="s">
        <v>1015</v>
      </c>
      <c r="B17137" s="0" t="s">
        <v>98</v>
      </c>
      <c r="F17137" s="6" t="n">
        <f aca="false">Sens!F17130*(1-tax_f)-wacc*(Sens!E17131+Sens!F17131)/2</f>
        <v>-5.12666681154535</v>
      </c>
      <c r="G17137" s="6" t="n">
        <f aca="false">Sens!G17130*(1-tax_f)-wacc*(Sens!F17131+Sens!G17131)/2</f>
        <v>0.983096926090845</v>
      </c>
      <c r="H17137" s="6" t="n">
        <f aca="false">Sens!H17130*(1-tax_f)-wacc*(Sens!G17131+Sens!H17131)/2</f>
        <v>12.9298723603358</v>
      </c>
      <c r="I17137" s="6" t="n">
        <f aca="false">Sens!I17130*(1-tax_f)-wacc*(Sens!H17131+Sens!I17131)/2</f>
        <v>21.5816420117415</v>
      </c>
      <c r="J17137" s="6" t="n">
        <f aca="false">Sens!J17130*(1-tax_f)-wacc*(Sens!I17131+Sens!J17131)/2</f>
        <v>30.6647728372055</v>
      </c>
      <c r="K17137" s="6" t="n">
        <f aca="false">Sens!K17130*(1-tax_f)-wacc*(Sens!J17131+Sens!K17131)/2</f>
        <v>39.6606698161285</v>
      </c>
    </row>
    <row r="17138" customFormat="false" ht="17.15" hidden="false" customHeight="false" outlineLevel="0" collapsed="false">
      <c r="A17138" s="3" t="s">
        <v>1902</v>
      </c>
    </row>
    <row r="17139" customFormat="false" ht="15" hidden="false" customHeight="false" outlineLevel="0" collapsed="false">
      <c r="A17139" s="4" t="s">
        <v>43</v>
      </c>
      <c r="B17139" s="4" t="s">
        <v>65</v>
      </c>
      <c r="C17139" s="23" t="s">
        <v>938</v>
      </c>
      <c r="D17139" s="23" t="s">
        <v>939</v>
      </c>
      <c r="E17139" s="23" t="s">
        <v>940</v>
      </c>
      <c r="F17139" s="23" t="s">
        <v>941</v>
      </c>
      <c r="G17139" s="23" t="s">
        <v>942</v>
      </c>
      <c r="H17139" s="23" t="s">
        <v>943</v>
      </c>
      <c r="I17139" s="23" t="s">
        <v>944</v>
      </c>
      <c r="J17139" s="23" t="s">
        <v>945</v>
      </c>
      <c r="K17139" s="23" t="s">
        <v>946</v>
      </c>
      <c r="L17139" s="4" t="s">
        <v>47</v>
      </c>
    </row>
    <row r="17140" customFormat="false" ht="15" hidden="false" customHeight="false" outlineLevel="0" collapsed="false">
      <c r="A17140" s="1" t="s">
        <v>1076</v>
      </c>
      <c r="B17140" s="0" t="s">
        <v>98</v>
      </c>
      <c r="F17140" s="6" t="n">
        <f aca="false">Sens!F17121</f>
        <v>147.449040862668</v>
      </c>
      <c r="G17140" s="6" t="n">
        <f aca="false">Sens!G17121</f>
        <v>167.966204594552</v>
      </c>
      <c r="H17140" s="6" t="n">
        <f aca="false">Sens!H17121</f>
        <v>195.947169321873</v>
      </c>
      <c r="I17140" s="6" t="n">
        <f aca="false">Sens!I17121</f>
        <v>217.309841290779</v>
      </c>
      <c r="J17140" s="6" t="n">
        <f aca="false">Sens!J17121</f>
        <v>235.860546720749</v>
      </c>
      <c r="K17140" s="6" t="n">
        <f aca="false">Sens!K17121</f>
        <v>252.660976289687</v>
      </c>
    </row>
    <row r="17141" customFormat="false" ht="17.15" hidden="false" customHeight="false" outlineLevel="0" collapsed="false">
      <c r="A17141" s="1" t="s">
        <v>1098</v>
      </c>
      <c r="B17141" s="0" t="s">
        <v>98</v>
      </c>
      <c r="E17141" s="6" t="n">
        <f aca="false">Q!M38-Sens!E17059</f>
        <v>22.2285940229167</v>
      </c>
      <c r="F17141" s="6" t="n">
        <f aca="false">Sens!E17141*(1-1/life_nonai)+(Sens!F17149+Sens!F17150)/life_nonai</f>
        <v>23.5755864718873</v>
      </c>
      <c r="G17141" s="6" t="n">
        <f aca="false">Sens!F17141*(1-1/life_nonai)+(Sens!G17149)/life_nonai</f>
        <v>25.3758596064077</v>
      </c>
      <c r="H17141" s="6" t="n">
        <f aca="false">Sens!G17141*(1-1/life_nonai)+(Sens!H17149)/life_nonai</f>
        <v>27.5926102072099</v>
      </c>
      <c r="I17141" s="6" t="n">
        <f aca="false">Sens!H17141*(1-1/life_nonai)+(Sens!I17149)/life_nonai</f>
        <v>30.1494722164327</v>
      </c>
      <c r="J17141" s="6" t="n">
        <f aca="false">Sens!I17141*(1-1/life_nonai)+(Sens!J17149)/life_nonai</f>
        <v>32.9543806588559</v>
      </c>
      <c r="K17141" s="6" t="n">
        <f aca="false">Sens!J17141*(1-1/life_nonai)+(Sens!K17149)/life_nonai</f>
        <v>35.9228685792431</v>
      </c>
      <c r="L17141" s="12" t="s">
        <v>1099</v>
      </c>
    </row>
    <row r="17142" customFormat="false" ht="17.15" hidden="false" customHeight="false" outlineLevel="0" collapsed="false">
      <c r="A17142" s="1" t="s">
        <v>1100</v>
      </c>
      <c r="B17142" s="0" t="s">
        <v>98</v>
      </c>
      <c r="F17142" s="6" t="n">
        <f aca="false">Sens!$F$17150/life_nonai*(1-1/life_nonai)^(Sens!F17022-2027)</f>
        <v>0</v>
      </c>
      <c r="G17142" s="6" t="n">
        <f aca="false">Sens!$F$17150/life_nonai*(1-1/life_nonai)^(Sens!G17022-2027)</f>
        <v>0</v>
      </c>
      <c r="H17142" s="6" t="n">
        <f aca="false">Sens!$F$17150/life_nonai*(1-1/life_nonai)^(Sens!H17022-2027)</f>
        <v>0</v>
      </c>
      <c r="I17142" s="6" t="n">
        <f aca="false">Sens!$F$17150/life_nonai*(1-1/life_nonai)^(Sens!I17022-2027)</f>
        <v>0</v>
      </c>
      <c r="J17142" s="6" t="n">
        <f aca="false">Sens!$F$17150/life_nonai*(1-1/life_nonai)^(Sens!J17022-2027)</f>
        <v>0</v>
      </c>
      <c r="K17142" s="6" t="n">
        <f aca="false">Sens!$F$17150/life_nonai*(1-1/life_nonai)^(Sens!K17022-2027)</f>
        <v>0</v>
      </c>
      <c r="L17142" s="1" t="s">
        <v>1101</v>
      </c>
    </row>
    <row r="17143" customFormat="false" ht="17.15" hidden="false" customHeight="false" outlineLevel="0" collapsed="false">
      <c r="A17143" s="1" t="s">
        <v>1102</v>
      </c>
      <c r="B17143" s="0" t="s">
        <v>98</v>
      </c>
      <c r="E17143" s="6" t="n">
        <f aca="false">Sens!E17059+Sens!E17141</f>
        <v>38.534</v>
      </c>
      <c r="F17143" s="6" t="n">
        <f aca="false">Sens!F17059+Sens!F17141</f>
        <v>58.1549009502389</v>
      </c>
      <c r="G17143" s="6" t="n">
        <f aca="false">Sens!G17059+Sens!G17141</f>
        <v>86.1103502587067</v>
      </c>
      <c r="H17143" s="6" t="n">
        <f aca="false">Sens!H17059+Sens!H17141</f>
        <v>116.692700868656</v>
      </c>
      <c r="I17143" s="6" t="n">
        <f aca="false">Sens!I17059+Sens!I17141</f>
        <v>144.380481910981</v>
      </c>
      <c r="J17143" s="6" t="n">
        <f aca="false">Sens!J17059+Sens!J17141</f>
        <v>164.970053708452</v>
      </c>
      <c r="K17143" s="6" t="n">
        <f aca="false">Sens!K17059+Sens!K17141</f>
        <v>178.935538130177</v>
      </c>
    </row>
    <row r="17144" customFormat="false" ht="17.15" hidden="false" customHeight="false" outlineLevel="0" collapsed="false">
      <c r="A17144" s="1" t="s">
        <v>1103</v>
      </c>
      <c r="B17144" s="0" t="s">
        <v>98</v>
      </c>
      <c r="F17144" s="6" t="n">
        <f aca="false">Sens!F17086*sbc_r</f>
        <v>15.0680693022395</v>
      </c>
      <c r="G17144" s="6" t="n">
        <f aca="false">Sens!G17086*sbc_r</f>
        <v>18.3841476633065</v>
      </c>
      <c r="H17144" s="6" t="n">
        <f aca="false">Sens!H17086*sbc_r</f>
        <v>21.9545979838202</v>
      </c>
      <c r="I17144" s="6" t="n">
        <f aca="false">Sens!I17086*sbc_r</f>
        <v>24.9944595349748</v>
      </c>
      <c r="J17144" s="6" t="n">
        <f aca="false">Sens!J17086*sbc_r</f>
        <v>27.4407929753337</v>
      </c>
      <c r="K17144" s="6" t="n">
        <f aca="false">Sens!K17086*sbc_r</f>
        <v>29.3868645070206</v>
      </c>
    </row>
    <row r="17145" customFormat="false" ht="17.15" hidden="false" customHeight="false" outlineLevel="0" collapsed="false">
      <c r="A17145" s="1" t="s">
        <v>1104</v>
      </c>
      <c r="B17145" s="0" t="s">
        <v>98</v>
      </c>
      <c r="F17145" s="6" t="n">
        <f aca="false">wc27-wc26q1</f>
        <v>-4.677</v>
      </c>
      <c r="G17145" s="6" t="n">
        <f aca="false">wc_f</f>
        <v>0</v>
      </c>
      <c r="H17145" s="6" t="n">
        <f aca="false">wc_f</f>
        <v>0</v>
      </c>
      <c r="I17145" s="6" t="n">
        <f aca="false">wc_f</f>
        <v>0</v>
      </c>
      <c r="J17145" s="6" t="n">
        <f aca="false">wc_f</f>
        <v>0</v>
      </c>
      <c r="K17145" s="6" t="n">
        <f aca="false">wc_f</f>
        <v>0</v>
      </c>
      <c r="L17145" s="12" t="s">
        <v>1105</v>
      </c>
    </row>
    <row r="17146" customFormat="false" ht="17.15" hidden="false" customHeight="false" outlineLevel="0" collapsed="false">
      <c r="A17146" s="0" t="s">
        <v>1106</v>
      </c>
      <c r="B17146" s="0" t="s">
        <v>98</v>
      </c>
      <c r="F17146" s="6" t="n">
        <f aca="false">Q!$I$35-Q!$I$26-Q!$I$38-Q!$I$39</f>
        <v>6.493</v>
      </c>
      <c r="L17146" s="1" t="s">
        <v>1107</v>
      </c>
    </row>
    <row r="17147" customFormat="false" ht="15" hidden="false" customHeight="false" outlineLevel="0" collapsed="false">
      <c r="A17147" s="1" t="s">
        <v>904</v>
      </c>
      <c r="B17147" s="0" t="s">
        <v>98</v>
      </c>
      <c r="E17147" s="6" t="n">
        <f aca="false">Q!M35</f>
        <v>182.935</v>
      </c>
      <c r="F17147" s="6" t="n">
        <f aca="false">Sens!F17140+Sens!F17143+Sens!F17144+Sens!F17145+Sens!F17146</f>
        <v>222.488011115146</v>
      </c>
      <c r="G17147" s="6" t="n">
        <f aca="false">Sens!G17140+Sens!G17143+Sens!G17144+Sens!G17145</f>
        <v>272.460702516565</v>
      </c>
      <c r="H17147" s="6" t="n">
        <f aca="false">Sens!H17140+Sens!H17143+Sens!H17144+Sens!H17145</f>
        <v>334.594468174349</v>
      </c>
      <c r="I17147" s="6" t="n">
        <f aca="false">Sens!I17140+Sens!I17143+Sens!I17144+Sens!I17145</f>
        <v>386.684782736735</v>
      </c>
      <c r="J17147" s="6" t="n">
        <f aca="false">Sens!J17140+Sens!J17143+Sens!J17144+Sens!J17145</f>
        <v>428.271393404534</v>
      </c>
      <c r="K17147" s="6" t="n">
        <f aca="false">Sens!K17140+Sens!K17143+Sens!K17144+Sens!K17145</f>
        <v>460.983378926884</v>
      </c>
    </row>
    <row r="17148" customFormat="false" ht="17.15" hidden="false" customHeight="false" outlineLevel="0" collapsed="false">
      <c r="A17148" s="0" t="s">
        <v>1108</v>
      </c>
      <c r="B17148" s="0" t="s">
        <v>98</v>
      </c>
      <c r="F17148" s="6" t="n">
        <f aca="false">Sens!F17056</f>
        <v>168.45390404212</v>
      </c>
      <c r="G17148" s="6" t="n">
        <f aca="false">Sens!G17056</f>
        <v>191.944475649048</v>
      </c>
      <c r="H17148" s="6" t="n">
        <f aca="false">Sens!H17056</f>
        <v>196.806004064512</v>
      </c>
      <c r="I17148" s="6" t="n">
        <f aca="false">Sens!I17056</f>
        <v>168.61483362161</v>
      </c>
      <c r="J17148" s="6" t="n">
        <f aca="false">Sens!J17056</f>
        <v>128.92993119594</v>
      </c>
      <c r="K17148" s="6" t="n">
        <f aca="false">Sens!K17056</f>
        <v>118.962853064733</v>
      </c>
    </row>
    <row r="17149" customFormat="false" ht="17.15" hidden="false" customHeight="false" outlineLevel="0" collapsed="false">
      <c r="A17149" s="1" t="s">
        <v>1109</v>
      </c>
      <c r="B17149" s="0" t="s">
        <v>98</v>
      </c>
      <c r="E17149" s="6" t="n">
        <f aca="false">Sens!E17064*cx_azo+Sens!E17071*cx_m365+Sens!E17072*cx_lic+(Sens!E17074+Sens!E17076)*cx_ind+Sens!E17079*cx_srch+(Sens!E17081+Sens!E17083)*cx_dev</f>
        <v>30.1846587067718</v>
      </c>
      <c r="F17149" s="6" t="n">
        <f aca="false">Sens!F17064*cx_azo+Sens!F17071*cx_m365+Sens!F17072*cx_lic+(Sens!F17074+Sens!F17076)*cx_ind+Sens!F17079*cx_srch+(Sens!F17081+Sens!F17083)*cx_dev</f>
        <v>35.6985185126228</v>
      </c>
      <c r="G17149" s="6" t="n">
        <f aca="false">Sens!G17064*cx_azo+Sens!G17071*cx_m365+Sens!G17072*cx_lic+(Sens!G17074+Sens!G17076)*cx_ind+Sens!G17079*cx_srch+(Sens!G17081+Sens!G17083)*cx_dev</f>
        <v>41.5783178170917</v>
      </c>
      <c r="H17149" s="6" t="n">
        <f aca="false">Sens!H17064*cx_azo+Sens!H17071*cx_m365+Sens!H17072*cx_lic+(Sens!H17074+Sens!H17076)*cx_ind+Sens!H17079*cx_srch+(Sens!H17081+Sens!H17083)*cx_dev</f>
        <v>47.5433656144293</v>
      </c>
      <c r="I17149" s="6" t="n">
        <f aca="false">Sens!I17064*cx_azo+Sens!I17071*cx_m365+Sens!I17072*cx_lic+(Sens!I17074+Sens!I17076)*cx_ind+Sens!I17079*cx_srch+(Sens!I17081+Sens!I17083)*cx_dev</f>
        <v>53.1612302994382</v>
      </c>
      <c r="J17149" s="6" t="n">
        <f aca="false">Sens!J17064*cx_azo+Sens!J17071*cx_m365+Sens!J17072*cx_lic+(Sens!J17074+Sens!J17076)*cx_ind+Sens!J17079*cx_srch+(Sens!J17081+Sens!J17083)*cx_dev</f>
        <v>58.1985566406647</v>
      </c>
      <c r="K17149" s="6" t="n">
        <f aca="false">Sens!K17064*cx_azo+Sens!K17071*cx_m365+Sens!K17072*cx_lic+(Sens!K17074+Sens!K17076)*cx_ind+Sens!K17079*cx_srch+(Sens!K17081+Sens!K17083)*cx_dev</f>
        <v>62.6392598627275</v>
      </c>
    </row>
    <row r="17150" customFormat="false" ht="17.15" hidden="false" customHeight="false" outlineLevel="0" collapsed="false">
      <c r="A17150" s="0" t="s">
        <v>1110</v>
      </c>
      <c r="B17150" s="0" t="s">
        <v>98</v>
      </c>
      <c r="F17150" s="6" t="n">
        <f aca="false">0</f>
        <v>0</v>
      </c>
      <c r="L17150" s="1" t="s">
        <v>1111</v>
      </c>
    </row>
    <row r="17151" customFormat="false" ht="17.15" hidden="false" customHeight="false" outlineLevel="0" collapsed="false">
      <c r="A17151" s="1" t="s">
        <v>1112</v>
      </c>
      <c r="B17151" s="0" t="s">
        <v>98</v>
      </c>
      <c r="E17151" s="6" t="n">
        <f aca="false">Q!M43</f>
        <v>145.3</v>
      </c>
      <c r="F17151" s="6" t="n">
        <f aca="false">Sens!F17148+Sens!F17149+Sens!F17150</f>
        <v>204.152422554742</v>
      </c>
      <c r="G17151" s="6" t="n">
        <f aca="false">Sens!G17148+Sens!G17149</f>
        <v>233.52279346614</v>
      </c>
      <c r="H17151" s="6" t="n">
        <f aca="false">Sens!H17148+Sens!H17149</f>
        <v>244.349369678942</v>
      </c>
      <c r="I17151" s="6" t="n">
        <f aca="false">Sens!I17148+Sens!I17149</f>
        <v>221.776063921049</v>
      </c>
      <c r="J17151" s="6" t="n">
        <f aca="false">Sens!J17148+Sens!J17149</f>
        <v>187.128487836605</v>
      </c>
      <c r="K17151" s="6" t="n">
        <f aca="false">Sens!K17148+Sens!K17149</f>
        <v>181.60211292746</v>
      </c>
      <c r="L17151" s="1" t="s">
        <v>1113</v>
      </c>
    </row>
    <row r="17152" customFormat="false" ht="15" hidden="false" customHeight="false" outlineLevel="0" collapsed="false">
      <c r="A17152" s="1" t="s">
        <v>1114</v>
      </c>
      <c r="B17152" s="0" t="s">
        <v>98</v>
      </c>
      <c r="E17152" s="6" t="n">
        <f aca="false">fl_liab</f>
        <v>66.594</v>
      </c>
      <c r="F17152" s="6" t="n">
        <f aca="false">Sens!E17152-Sens!F17153</f>
        <v>62.46973</v>
      </c>
      <c r="G17152" s="6" t="n">
        <f aca="false">Sens!F17152-Sens!G17153</f>
        <v>57.98686785</v>
      </c>
      <c r="H17152" s="6" t="n">
        <f aca="false">Sens!G17152-Sens!H17153</f>
        <v>53.92827690325</v>
      </c>
      <c r="I17152" s="6" t="n">
        <f aca="false">Sens!H17152-Sens!I17153</f>
        <v>49.7850493638962</v>
      </c>
      <c r="J17152" s="6" t="n">
        <f aca="false">Sens!I17152-Sens!J17153</f>
        <v>45.4823765852716</v>
      </c>
      <c r="K17152" s="6" t="n">
        <f aca="false">Sens!J17152-Sens!K17153</f>
        <v>40.9860835316088</v>
      </c>
    </row>
    <row r="17153" customFormat="false" ht="15" hidden="false" customHeight="false" outlineLevel="0" collapsed="false">
      <c r="A17153" s="1" t="s">
        <v>1115</v>
      </c>
      <c r="B17153" s="0" t="s">
        <v>98</v>
      </c>
      <c r="F17153" s="6" t="n">
        <f aca="false">fl_pay_27-Sens!E17152*fl_rate</f>
        <v>4.12427</v>
      </c>
      <c r="G17153" s="6" t="n">
        <f aca="false">fl_pay_28-Sens!F17152*fl_rate</f>
        <v>4.48286215</v>
      </c>
      <c r="H17153" s="6" t="n">
        <f aca="false">fl_pay_29-Sens!G17152*fl_rate</f>
        <v>4.05859094675</v>
      </c>
      <c r="I17153" s="6" t="n">
        <f aca="false">fl_pay_30-Sens!H17152*fl_rate</f>
        <v>4.14322753935375</v>
      </c>
      <c r="J17153" s="6" t="n">
        <f aca="false">fl_pay_31-Sens!I17152*fl_rate</f>
        <v>4.30267277862467</v>
      </c>
      <c r="K17153" s="6" t="n">
        <f aca="false">fl_pay_32-Sens!J17152*fl_rate</f>
        <v>4.49629305366278</v>
      </c>
    </row>
    <row r="17154" customFormat="false" ht="17.15" hidden="false" customHeight="false" outlineLevel="0" collapsed="false">
      <c r="A17154" s="1" t="s">
        <v>1116</v>
      </c>
      <c r="B17154" s="0" t="s">
        <v>98</v>
      </c>
      <c r="E17154" s="6" t="n">
        <f aca="false">Q!M35-Q!M36-Q!M44</f>
        <v>63.886</v>
      </c>
      <c r="F17154" s="6" t="n">
        <f aca="false">Sens!F17147-Sens!F17151-Sens!F17153</f>
        <v>14.2113185604036</v>
      </c>
      <c r="G17154" s="6" t="n">
        <f aca="false">Sens!G17147-Sens!G17151-Sens!G17153</f>
        <v>34.455046900425</v>
      </c>
      <c r="H17154" s="6" t="n">
        <f aca="false">Sens!H17147-Sens!H17151-Sens!H17153</f>
        <v>86.1865075486572</v>
      </c>
      <c r="I17154" s="6" t="n">
        <f aca="false">Sens!I17147-Sens!I17151-Sens!I17153</f>
        <v>160.765491276332</v>
      </c>
      <c r="J17154" s="6" t="n">
        <f aca="false">Sens!J17147-Sens!J17151-Sens!J17153</f>
        <v>236.840232789305</v>
      </c>
      <c r="K17154" s="6" t="n">
        <f aca="false">Sens!K17147-Sens!K17151-Sens!K17153</f>
        <v>274.884972945761</v>
      </c>
      <c r="L17154" s="12" t="s">
        <v>1117</v>
      </c>
    </row>
    <row r="17155" customFormat="false" ht="15" hidden="false" customHeight="false" outlineLevel="0" collapsed="false">
      <c r="A17155" s="1" t="s">
        <v>1118</v>
      </c>
      <c r="B17155" s="0" t="s">
        <v>75</v>
      </c>
      <c r="F17155" s="8" t="n">
        <f aca="false">dps_27</f>
        <v>3.85</v>
      </c>
      <c r="G17155" s="8" t="n">
        <f aca="false">Sens!F17155*(1+dps_g)</f>
        <v>4.158</v>
      </c>
      <c r="H17155" s="8" t="n">
        <f aca="false">Sens!G17155*(1+dps_g)</f>
        <v>4.49064</v>
      </c>
      <c r="I17155" s="8" t="n">
        <f aca="false">Sens!H17155*(1+dps_g)</f>
        <v>4.8498912</v>
      </c>
      <c r="J17155" s="8" t="n">
        <f aca="false">Sens!I17155*(1+dps_g)</f>
        <v>5.237882496</v>
      </c>
      <c r="K17155" s="8" t="n">
        <f aca="false">Sens!J17155*(1+dps_g)</f>
        <v>5.65691309568</v>
      </c>
    </row>
    <row r="17156" customFormat="false" ht="17.15" hidden="false" customHeight="false" outlineLevel="0" collapsed="false">
      <c r="A17156" s="1" t="s">
        <v>1119</v>
      </c>
      <c r="B17156" s="0" t="s">
        <v>98</v>
      </c>
      <c r="E17156" s="6" t="n">
        <f aca="false">Q!M41</f>
        <v>26.445</v>
      </c>
      <c r="F17156" s="6" t="n">
        <f aca="false">Sens!F17155*Sens!E17165</f>
        <v>28.59395</v>
      </c>
      <c r="G17156" s="6" t="n">
        <f aca="false">Sens!G17155*Sens!F17165</f>
        <v>31.0443866164344</v>
      </c>
      <c r="H17156" s="6" t="n">
        <f aca="false">Sens!H17155*Sens!G17165</f>
        <v>33.704317810435</v>
      </c>
      <c r="I17156" s="6" t="n">
        <f aca="false">Sens!I17155*Sens!H17165</f>
        <v>36.4511015123424</v>
      </c>
      <c r="J17156" s="6" t="n">
        <f aca="false">Sens!J17155*Sens!I17165</f>
        <v>39.4350875187224</v>
      </c>
      <c r="K17156" s="6" t="n">
        <f aca="false">Sens!K17155*Sens!J17165</f>
        <v>42.6766487825985</v>
      </c>
      <c r="L17156" s="1" t="s">
        <v>1120</v>
      </c>
    </row>
    <row r="17157" customFormat="false" ht="15" hidden="false" customHeight="false" outlineLevel="0" collapsed="false">
      <c r="A17157" s="1" t="s">
        <v>1121</v>
      </c>
      <c r="B17157" s="0" t="s">
        <v>98</v>
      </c>
      <c r="E17157" s="6" t="n">
        <f aca="false">Sens!E17154-Sens!E17156</f>
        <v>37.441</v>
      </c>
      <c r="F17157" s="6" t="n">
        <f aca="false">Sens!F17154-Sens!F17156</f>
        <v>-14.3826314395964</v>
      </c>
      <c r="G17157" s="6" t="n">
        <f aca="false">Sens!G17154-Sens!G17156</f>
        <v>3.41066028399061</v>
      </c>
      <c r="H17157" s="6" t="n">
        <f aca="false">Sens!H17154-Sens!H17156</f>
        <v>52.4821897382223</v>
      </c>
      <c r="I17157" s="6" t="n">
        <f aca="false">Sens!I17154-Sens!I17156</f>
        <v>124.31438976399</v>
      </c>
      <c r="J17157" s="6" t="n">
        <f aca="false">Sens!J17154-Sens!J17156</f>
        <v>197.405145270582</v>
      </c>
      <c r="K17157" s="6" t="n">
        <f aca="false">Sens!K17154-Sens!K17156</f>
        <v>232.208324163163</v>
      </c>
    </row>
    <row r="17158" customFormat="false" ht="15" hidden="false" customHeight="false" outlineLevel="0" collapsed="false">
      <c r="A17158" s="1" t="s">
        <v>1122</v>
      </c>
      <c r="B17158" s="0" t="s">
        <v>98</v>
      </c>
      <c r="F17158" s="6" t="n">
        <f aca="false">debt_mat_27</f>
        <v>9.25</v>
      </c>
      <c r="G17158" s="6" t="n">
        <f aca="false">debt_mat_28</f>
        <v>0</v>
      </c>
      <c r="H17158" s="6" t="n">
        <f aca="false">debt_mat_29</f>
        <v>2.001</v>
      </c>
      <c r="I17158" s="6" t="n">
        <f aca="false">debt_mat_30</f>
        <v>0</v>
      </c>
      <c r="J17158" s="6" t="n">
        <f aca="false">debt_mat_31</f>
        <v>0.5</v>
      </c>
      <c r="K17158" s="6" t="n">
        <f aca="false">debt_mat_32</f>
        <v>0</v>
      </c>
    </row>
    <row r="17159" customFormat="false" ht="15" hidden="false" customHeight="false" outlineLevel="0" collapsed="false">
      <c r="A17159" s="1" t="s">
        <v>1123</v>
      </c>
      <c r="B17159" s="0" t="s">
        <v>98</v>
      </c>
      <c r="E17159" s="6" t="n">
        <f aca="false">Q!M40</f>
        <v>22.271</v>
      </c>
      <c r="F17159" s="6" t="n">
        <f aca="false">MAX(0,MIN(bb_target,Sens!E17161+Sens!F17157-Sens!F17158-min_cash))</f>
        <v>3.21036856040364</v>
      </c>
      <c r="G17159" s="6" t="n">
        <f aca="false">MAX(0,MIN(bb_target,Sens!F17161+Sens!G17157-Sens!G17158-min_cash))</f>
        <v>3.41066028399061</v>
      </c>
      <c r="H17159" s="6" t="n">
        <f aca="false">MAX(0,MIN(bb_target,Sens!G17161+Sens!H17157-Sens!H17158-min_cash))</f>
        <v>22.271</v>
      </c>
      <c r="I17159" s="6" t="n">
        <f aca="false">MAX(0,MIN(bb_target,Sens!H17161+Sens!I17157-Sens!I17158-min_cash))</f>
        <v>22.271</v>
      </c>
      <c r="J17159" s="6" t="n">
        <f aca="false">MAX(0,MIN(bb_target,Sens!I17161+Sens!J17157-Sens!J17158-min_cash))</f>
        <v>22.271</v>
      </c>
      <c r="K17159" s="6" t="n">
        <f aca="false">MAX(0,MIN(bb_target,Sens!J17161+Sens!K17157-Sens!K17158-min_cash))</f>
        <v>22.271</v>
      </c>
    </row>
    <row r="17160" customFormat="false" ht="15" hidden="false" customHeight="false" outlineLevel="0" collapsed="false">
      <c r="A17160" s="1" t="s">
        <v>1124</v>
      </c>
      <c r="B17160" s="0" t="s">
        <v>98</v>
      </c>
      <c r="F17160" s="6" t="n">
        <f aca="false">MAX(0,min_cash-(Sens!E17161+Sens!F17157-Sens!F17158-Sens!F17159))</f>
        <v>0</v>
      </c>
      <c r="G17160" s="6" t="n">
        <f aca="false">MAX(0,min_cash-(Sens!F17161+Sens!G17157-Sens!G17158-Sens!G17159))</f>
        <v>0</v>
      </c>
      <c r="H17160" s="6" t="n">
        <f aca="false">MAX(0,min_cash-(Sens!G17161+Sens!H17157-Sens!H17158-Sens!H17159))</f>
        <v>0</v>
      </c>
      <c r="I17160" s="6" t="n">
        <f aca="false">MAX(0,min_cash-(Sens!H17161+Sens!I17157-Sens!I17158-Sens!I17159))</f>
        <v>0</v>
      </c>
      <c r="J17160" s="6" t="n">
        <f aca="false">MAX(0,min_cash-(Sens!I17161+Sens!J17157-Sens!J17158-Sens!J17159))</f>
        <v>0</v>
      </c>
      <c r="K17160" s="6" t="n">
        <f aca="false">MAX(0,min_cash-(Sens!J17161+Sens!K17157-Sens!K17158-Sens!K17159))</f>
        <v>0</v>
      </c>
    </row>
    <row r="17161" customFormat="false" ht="15" hidden="false" customHeight="false" outlineLevel="0" collapsed="false">
      <c r="A17161" s="1" t="s">
        <v>1125</v>
      </c>
      <c r="B17161" s="0" t="s">
        <v>98</v>
      </c>
      <c r="E17161" s="6" t="n">
        <f aca="false">cash_open</f>
        <v>76.843</v>
      </c>
      <c r="F17161" s="6" t="n">
        <f aca="false">Sens!E17161+Sens!F17157-Sens!F17158-Sens!F17159+Sens!F17160</f>
        <v>50</v>
      </c>
      <c r="G17161" s="6" t="n">
        <f aca="false">Sens!F17161+Sens!G17157-Sens!G17158-Sens!G17159+Sens!G17160</f>
        <v>50</v>
      </c>
      <c r="H17161" s="6" t="n">
        <f aca="false">Sens!G17161+Sens!H17157-Sens!H17158-Sens!H17159+Sens!H17160</f>
        <v>78.2101897382223</v>
      </c>
      <c r="I17161" s="6" t="n">
        <f aca="false">Sens!H17161+Sens!I17157-Sens!I17158-Sens!I17159+Sens!I17160</f>
        <v>180.253579502212</v>
      </c>
      <c r="J17161" s="6" t="n">
        <f aca="false">Sens!I17161+Sens!J17157-Sens!J17158-Sens!J17159+Sens!J17160</f>
        <v>354.887724772794</v>
      </c>
      <c r="K17161" s="6" t="n">
        <f aca="false">Sens!J17161+Sens!K17157-Sens!K17158-Sens!K17159+Sens!K17160</f>
        <v>564.825048935957</v>
      </c>
    </row>
    <row r="17162" customFormat="false" ht="15" hidden="false" customHeight="false" outlineLevel="0" collapsed="false">
      <c r="A17162" s="1" t="s">
        <v>1126</v>
      </c>
      <c r="B17162" s="0" t="s">
        <v>98</v>
      </c>
      <c r="E17162" s="6" t="n">
        <f aca="false">debt_face</f>
        <v>46.136</v>
      </c>
      <c r="F17162" s="6" t="n">
        <f aca="false">Sens!E17162-Sens!F17158+Sens!F17160</f>
        <v>36.886</v>
      </c>
      <c r="G17162" s="6" t="n">
        <f aca="false">Sens!F17162-Sens!G17158+Sens!G17160</f>
        <v>36.886</v>
      </c>
      <c r="H17162" s="6" t="n">
        <f aca="false">Sens!G17162-Sens!H17158+Sens!H17160</f>
        <v>34.885</v>
      </c>
      <c r="I17162" s="6" t="n">
        <f aca="false">Sens!H17162-Sens!I17158+Sens!I17160</f>
        <v>34.885</v>
      </c>
      <c r="J17162" s="6" t="n">
        <f aca="false">Sens!I17162-Sens!J17158+Sens!J17160</f>
        <v>34.385</v>
      </c>
      <c r="K17162" s="6" t="n">
        <f aca="false">Sens!J17162-Sens!K17158+Sens!K17160</f>
        <v>34.385</v>
      </c>
    </row>
    <row r="17163" customFormat="false" ht="15" hidden="false" customHeight="false" outlineLevel="0" collapsed="false">
      <c r="A17163" s="1" t="s">
        <v>1127</v>
      </c>
      <c r="B17163" s="0" t="s">
        <v>98</v>
      </c>
      <c r="E17163" s="6" t="n">
        <f aca="false">Sens!E17161-Sens!E17162</f>
        <v>30.707</v>
      </c>
      <c r="F17163" s="6" t="n">
        <f aca="false">Sens!F17161-Sens!F17162</f>
        <v>13.114</v>
      </c>
      <c r="G17163" s="6" t="n">
        <f aca="false">Sens!G17161-Sens!G17162</f>
        <v>13.114</v>
      </c>
      <c r="H17163" s="6" t="n">
        <f aca="false">Sens!H17161-Sens!H17162</f>
        <v>43.3251897382223</v>
      </c>
      <c r="I17163" s="6" t="n">
        <f aca="false">Sens!I17161-Sens!I17162</f>
        <v>145.368579502212</v>
      </c>
      <c r="J17163" s="6" t="n">
        <f aca="false">Sens!J17161-Sens!J17162</f>
        <v>320.502724772794</v>
      </c>
      <c r="K17163" s="6" t="n">
        <f aca="false">Sens!K17161-Sens!K17162</f>
        <v>530.440048935957</v>
      </c>
    </row>
    <row r="17164" customFormat="false" ht="15" hidden="false" customHeight="false" outlineLevel="0" collapsed="false">
      <c r="A17164" s="1" t="s">
        <v>1128</v>
      </c>
      <c r="B17164" s="0" t="s">
        <v>75</v>
      </c>
      <c r="F17164" s="30" t="n">
        <f aca="false">px*(1+bb_g)^(Sens!F17022-base_fy-mid_yr)</f>
        <v>551.84177959629</v>
      </c>
      <c r="G17164" s="30" t="n">
        <f aca="false">px*(1+bb_g)^(Sens!G17022-base_fy-mid_yr)</f>
        <v>595.989121963993</v>
      </c>
      <c r="H17164" s="30" t="n">
        <f aca="false">px*(1+bb_g)^(Sens!H17022-base_fy-mid_yr)</f>
        <v>643.668251721112</v>
      </c>
      <c r="I17164" s="30" t="n">
        <f aca="false">px*(1+bb_g)^(Sens!I17022-base_fy-mid_yr)</f>
        <v>695.161711858801</v>
      </c>
      <c r="J17164" s="30" t="n">
        <f aca="false">px*(1+bb_g)^(Sens!J17022-base_fy-mid_yr)</f>
        <v>750.774648807506</v>
      </c>
      <c r="K17164" s="30" t="n">
        <f aca="false">px*(1+bb_g)^(Sens!K17022-base_fy-mid_yr)</f>
        <v>810.836620712106</v>
      </c>
    </row>
    <row r="17165" customFormat="false" ht="15" hidden="false" customHeight="false" outlineLevel="0" collapsed="false">
      <c r="A17165" s="1" t="s">
        <v>1129</v>
      </c>
      <c r="B17165" s="1" t="s">
        <v>81</v>
      </c>
      <c r="E17165" s="15" t="n">
        <f aca="false">sh_out26</f>
        <v>7.427</v>
      </c>
      <c r="F17165" s="15" t="n">
        <f aca="false">Sens!E17165+sh_iss-Sens!F17159/Sens!F17164</f>
        <v>7.46618244743493</v>
      </c>
      <c r="G17165" s="15" t="n">
        <f aca="false">Sens!F17165+sh_iss-Sens!G17159/Sens!G17164</f>
        <v>7.5054597586168</v>
      </c>
      <c r="H17165" s="15" t="n">
        <f aca="false">Sens!G17165+sh_iss-Sens!H17159/Sens!H17164</f>
        <v>7.5158596366744</v>
      </c>
      <c r="I17165" s="15" t="n">
        <f aca="false">Sens!H17165+sh_iss-Sens!I17159/Sens!I17164</f>
        <v>7.52882248672774</v>
      </c>
      <c r="J17165" s="15" t="n">
        <f aca="false">Sens!I17165+sh_iss-Sens!J17159/Sens!J17164</f>
        <v>7.54415845899935</v>
      </c>
      <c r="K17165" s="15" t="n">
        <f aca="false">Sens!J17165+sh_iss-Sens!K17159/Sens!K17164</f>
        <v>7.56169176665824</v>
      </c>
    </row>
    <row r="17166" customFormat="false" ht="15" hidden="false" customHeight="false" outlineLevel="0" collapsed="false">
      <c r="A17166" s="1" t="s">
        <v>1130</v>
      </c>
      <c r="B17166" s="1" t="s">
        <v>81</v>
      </c>
      <c r="E17166" s="15" t="n">
        <f aca="false">sh_dil26</f>
        <v>7.453</v>
      </c>
      <c r="F17166" s="15" t="n">
        <f aca="false">(Sens!E17165+Sens!F17165)/2+dil_gap</f>
        <v>7.47059122371746</v>
      </c>
      <c r="G17166" s="15" t="n">
        <f aca="false">(Sens!F17165+Sens!G17165)/2+dil_gap</f>
        <v>7.50982110302586</v>
      </c>
      <c r="H17166" s="15" t="n">
        <f aca="false">(Sens!G17165+Sens!H17165)/2+dil_gap</f>
        <v>7.5346596976456</v>
      </c>
      <c r="I17166" s="15" t="n">
        <f aca="false">(Sens!H17165+Sens!I17165)/2+dil_gap</f>
        <v>7.54634106170107</v>
      </c>
      <c r="J17166" s="15" t="n">
        <f aca="false">(Sens!I17165+Sens!J17165)/2+dil_gap</f>
        <v>7.56049047286354</v>
      </c>
      <c r="K17166" s="15" t="n">
        <f aca="false">(Sens!J17165+Sens!K17165)/2+dil_gap</f>
        <v>7.57692511282879</v>
      </c>
    </row>
    <row r="17167" customFormat="false" ht="17.15" hidden="false" customHeight="false" outlineLevel="0" collapsed="false">
      <c r="A17167" s="1" t="s">
        <v>1131</v>
      </c>
      <c r="B17167" s="0" t="s">
        <v>98</v>
      </c>
      <c r="C17167" s="6" t="n">
        <f aca="false">SUM(Sens!F17157:J17157)</f>
        <v>363.229753617189</v>
      </c>
    </row>
    <row r="17168" customFormat="false" ht="15" hidden="false" customHeight="false" outlineLevel="0" collapsed="false">
      <c r="A17168" s="26" t="s">
        <v>1096</v>
      </c>
      <c r="B17168" s="31" t="s">
        <v>98</v>
      </c>
      <c r="C17168" s="27" t="n">
        <f aca="false">Sens!$C$17167-(Sens!F17157+Sens!G17157+Sens!H17157+Sens!I17157+Sens!J17157)</f>
        <v>0</v>
      </c>
      <c r="D17168" s="31"/>
      <c r="E17168" s="31"/>
      <c r="F17168" s="31"/>
      <c r="G17168" s="31"/>
      <c r="H17168" s="31"/>
      <c r="I17168" s="31"/>
      <c r="J17168" s="31"/>
      <c r="K17168" s="31"/>
    </row>
    <row r="17169" customFormat="false" ht="17.15" hidden="false" customHeight="false" outlineLevel="0" collapsed="false">
      <c r="A17169" s="1" t="s">
        <v>1090</v>
      </c>
      <c r="B17169" s="1" t="s">
        <v>1132</v>
      </c>
      <c r="C17169" s="33" t="str">
        <f aca="false">IF(SUM(Sens!F17160:J17160)&gt;0.05,"需要舉債 "&amp;TEXT(SUM(Sens!F17160:J17160),"0.0")&amp;" 十億美元","不需舉債")&amp;"；"&amp;IF(SUM(Sens!F17159:J17159)&lt;COUNT(Sens!F17159:J17159)*bb_target-0.05,"回購較每年 "&amp;TEXT(bb_target,"0.0")&amp;" 的目標少 "&amp;TEXT(COUNT(Sens!F17159:J17159)*bb_target-SUM(Sens!F17159:J17159),"0.0")&amp;" 十億美元（"&amp;TEXT(COUNTIF(Sens!F17159:J17159,"&lt;"&amp;(bb_target-0.05)),"0")&amp;" 年減少）","回購不減")</f>
        <v>不需舉債；回購較每年 22.3 的目標少 37.9 十億美元（2 年減少）</v>
      </c>
    </row>
    <row r="17170" customFormat="false" ht="17.15" hidden="false" customHeight="false" outlineLevel="0" collapsed="false">
      <c r="A17170" s="3" t="s">
        <v>1903</v>
      </c>
    </row>
    <row r="17171" customFormat="false" ht="15" hidden="false" customHeight="false" outlineLevel="0" collapsed="false">
      <c r="A17171" s="4" t="s">
        <v>43</v>
      </c>
      <c r="B17171" s="4" t="s">
        <v>65</v>
      </c>
      <c r="C17171" s="23" t="s">
        <v>938</v>
      </c>
      <c r="D17171" s="23" t="s">
        <v>939</v>
      </c>
      <c r="E17171" s="23" t="s">
        <v>940</v>
      </c>
      <c r="F17171" s="23" t="s">
        <v>941</v>
      </c>
      <c r="G17171" s="23" t="s">
        <v>942</v>
      </c>
      <c r="H17171" s="23" t="s">
        <v>943</v>
      </c>
      <c r="I17171" s="23" t="s">
        <v>944</v>
      </c>
      <c r="J17171" s="23" t="s">
        <v>945</v>
      </c>
      <c r="K17171" s="23" t="s">
        <v>946</v>
      </c>
      <c r="L17171" s="4" t="s">
        <v>47</v>
      </c>
    </row>
    <row r="17172" customFormat="false" ht="17.15" hidden="false" customHeight="false" outlineLevel="0" collapsed="false">
      <c r="A17172" s="1" t="s">
        <v>1212</v>
      </c>
      <c r="B17172" s="1" t="s">
        <v>279</v>
      </c>
      <c r="F17172" s="8" t="n">
        <f aca="false">(1-v_off)*mid_yr</f>
        <v>0.373972602739726</v>
      </c>
      <c r="G17172" s="8" t="n">
        <f aca="false">Sens!G17022-base_fy-mid_yr-v_off</f>
        <v>1.24794520547945</v>
      </c>
      <c r="H17172" s="8" t="n">
        <f aca="false">Sens!H17022-base_fy-mid_yr-v_off</f>
        <v>2.24794520547945</v>
      </c>
      <c r="I17172" s="8" t="n">
        <f aca="false">Sens!I17022-base_fy-mid_yr-v_off</f>
        <v>3.24794520547945</v>
      </c>
      <c r="J17172" s="8" t="n">
        <f aca="false">Sens!J17022-base_fy-mid_yr-v_off</f>
        <v>4.24794520547945</v>
      </c>
      <c r="K17172" s="8" t="n">
        <f aca="false">Sens!K17022-base_fy-mid_yr-v_off</f>
        <v>5.24794520547945</v>
      </c>
      <c r="L17172" s="12" t="s">
        <v>1213</v>
      </c>
    </row>
    <row r="17173" customFormat="false" ht="15" hidden="false" customHeight="false" outlineLevel="0" collapsed="false">
      <c r="A17173" s="1" t="s">
        <v>1214</v>
      </c>
      <c r="B17173" s="1" t="s">
        <v>279</v>
      </c>
      <c r="F17173" s="8" t="n">
        <f aca="false">Sens!F17022-base_fy-v_off</f>
        <v>0.747945205479452</v>
      </c>
      <c r="G17173" s="8" t="n">
        <f aca="false">Sens!G17022-base_fy-v_off</f>
        <v>1.74794520547945</v>
      </c>
      <c r="H17173" s="8" t="n">
        <f aca="false">Sens!H17022-base_fy-v_off</f>
        <v>2.74794520547945</v>
      </c>
      <c r="I17173" s="8" t="n">
        <f aca="false">Sens!I17022-base_fy-v_off</f>
        <v>3.74794520547945</v>
      </c>
      <c r="J17173" s="8" t="n">
        <f aca="false">Sens!J17022-base_fy-v_off</f>
        <v>4.74794520547945</v>
      </c>
      <c r="K17173" s="8" t="n">
        <f aca="false">Sens!K17022-base_fy-v_off</f>
        <v>5.74794520547945</v>
      </c>
    </row>
    <row r="17174" customFormat="false" ht="15" hidden="false" customHeight="false" outlineLevel="0" collapsed="false">
      <c r="A17174" s="1" t="s">
        <v>1215</v>
      </c>
      <c r="B17174" s="0" t="s">
        <v>229</v>
      </c>
      <c r="F17174" s="15" t="n">
        <f aca="false">1/(1+wacc)^Sens!F17172</f>
        <v>0.964022703286649</v>
      </c>
      <c r="G17174" s="15" t="n">
        <f aca="false">1/(1+wacc)^Sens!G17172</f>
        <v>0.884910302296739</v>
      </c>
      <c r="H17174" s="15" t="n">
        <f aca="false">1/(1+wacc)^Sens!H17172</f>
        <v>0.802322009770358</v>
      </c>
      <c r="I17174" s="15" t="n">
        <f aca="false">1/(1+wacc)^Sens!I17172</f>
        <v>0.727441646561469</v>
      </c>
      <c r="J17174" s="15" t="n">
        <f aca="false">1/(1+wacc)^Sens!J17172</f>
        <v>0.659549834988973</v>
      </c>
      <c r="K17174" s="15" t="n">
        <f aca="false">1/(1+wacc)^Sens!K17172</f>
        <v>0.597994336576966</v>
      </c>
    </row>
    <row r="17175" customFormat="false" ht="17.15" hidden="false" customHeight="false" outlineLevel="0" collapsed="false">
      <c r="A17175" s="1" t="s">
        <v>1216</v>
      </c>
      <c r="B17175" s="0" t="s">
        <v>98</v>
      </c>
      <c r="F17175" s="6" t="n">
        <f aca="false">Q!$I$35-Q!$I$39-Q!$I$43</f>
        <v>9.666</v>
      </c>
      <c r="L17175" s="12" t="s">
        <v>1217</v>
      </c>
    </row>
    <row r="17176" customFormat="false" ht="17.15" hidden="false" customHeight="false" outlineLevel="0" collapsed="false">
      <c r="A17176" s="1" t="s">
        <v>1218</v>
      </c>
      <c r="B17176" s="0" t="s">
        <v>98</v>
      </c>
      <c r="F17176" s="6" t="n">
        <f aca="false">Sens!F17147-Sens!F17144-Sens!F17151+Sens!F17129*(1-tax_f)*(1-v_off)-Sens!F17175</f>
        <v>-1.08303955505159</v>
      </c>
      <c r="G17176" s="6" t="n">
        <f aca="false">Sens!G17147-Sens!G17144-Sens!G17151+Sens!G17129*(1-tax_f)</f>
        <v>38.7185858007405</v>
      </c>
      <c r="H17176" s="6" t="n">
        <f aca="false">Sens!H17147-Sens!H17144-Sens!H17151+Sens!H17129*(1-tax_f)</f>
        <v>98.691976702153</v>
      </c>
      <c r="I17176" s="6" t="n">
        <f aca="false">Sens!I17147-Sens!I17144-Sens!I17151+Sens!I17129*(1-tax_f)</f>
        <v>181.624746857125</v>
      </c>
      <c r="J17176" s="6" t="n">
        <f aca="false">Sens!J17147-Sens!J17144-Sens!J17151+Sens!J17129*(1-tax_f)</f>
        <v>263.349778107347</v>
      </c>
      <c r="K17176" s="6" t="n">
        <f aca="false">Sens!K17147-Sens!K17144-Sens!K17151+Sens!K17129*(1-tax_f)</f>
        <v>303.658506508905</v>
      </c>
      <c r="L17176" s="1" t="s">
        <v>1219</v>
      </c>
    </row>
    <row r="17177" customFormat="false" ht="15" hidden="false" customHeight="false" outlineLevel="0" collapsed="false">
      <c r="A17177" s="1" t="s">
        <v>1220</v>
      </c>
      <c r="B17177" s="0" t="s">
        <v>98</v>
      </c>
      <c r="F17177" s="6" t="n">
        <f aca="false">Sens!F17176*Sens!F17174</f>
        <v>-1.04407471962721</v>
      </c>
      <c r="G17177" s="6" t="n">
        <f aca="false">Sens!G17176*Sens!G17174</f>
        <v>34.2624754654355</v>
      </c>
      <c r="H17177" s="6" t="n">
        <f aca="false">Sens!H17176*Sens!H17174</f>
        <v>79.1827450958808</v>
      </c>
      <c r="I17177" s="6" t="n">
        <f aca="false">Sens!I17176*Sens!I17174</f>
        <v>132.121404910057</v>
      </c>
      <c r="J17177" s="6" t="n">
        <f aca="false">Sens!J17176*Sens!J17174</f>
        <v>173.692302695083</v>
      </c>
      <c r="K17177" s="6" t="n">
        <f aca="false">Sens!K17176*Sens!K17174</f>
        <v>181.586067145745</v>
      </c>
    </row>
    <row r="17178" customFormat="false" ht="17.15" hidden="false" customHeight="false" outlineLevel="0" collapsed="false">
      <c r="A17178" s="1" t="s">
        <v>1221</v>
      </c>
      <c r="B17178" s="0" t="s">
        <v>98</v>
      </c>
      <c r="C17178" s="6" t="n">
        <f aca="false">SUM(Sens!F17177:K17177)</f>
        <v>599.800920592574</v>
      </c>
    </row>
    <row r="17179" customFormat="false" ht="17.15" hidden="false" customHeight="false" outlineLevel="0" collapsed="false">
      <c r="A17179" s="1" t="s">
        <v>1222</v>
      </c>
      <c r="B17179" s="0" t="s">
        <v>98</v>
      </c>
      <c r="C17179" s="6" t="n">
        <f aca="false">Sens!K17115*(1+g_tv)*(1-tax_f)</f>
        <v>316.503633745373</v>
      </c>
    </row>
    <row r="17180" customFormat="false" ht="17.15" hidden="false" customHeight="false" outlineLevel="0" collapsed="false">
      <c r="A17180" s="1" t="s">
        <v>1223</v>
      </c>
      <c r="B17180" s="0" t="s">
        <v>98</v>
      </c>
      <c r="C17180" s="6" t="n">
        <f aca="false">Sens!$C$17179*(1-g_tv/(wacc+ronic_prem))</f>
        <v>224.261322968058</v>
      </c>
    </row>
    <row r="17181" customFormat="false" ht="17.15" hidden="false" customHeight="false" outlineLevel="0" collapsed="false">
      <c r="A17181" s="1" t="s">
        <v>1224</v>
      </c>
      <c r="B17181" s="0" t="s">
        <v>98</v>
      </c>
      <c r="C17181" s="6" t="n">
        <f aca="false">Sens!$C$17180/(wacc-g_tv)</f>
        <v>3074.74369257719</v>
      </c>
    </row>
    <row r="17182" customFormat="false" ht="15" hidden="false" customHeight="false" outlineLevel="0" collapsed="false">
      <c r="A17182" s="1" t="s">
        <v>1225</v>
      </c>
      <c r="B17182" s="0" t="s">
        <v>98</v>
      </c>
      <c r="C17182" s="6" t="n">
        <f aca="false">Sens!$C$17181/(1+wacc)^Sens!K17173</f>
        <v>1750.77653655647</v>
      </c>
    </row>
    <row r="17183" customFormat="false" ht="17.15" hidden="false" customHeight="false" outlineLevel="0" collapsed="false">
      <c r="A17183" s="0" t="s">
        <v>1226</v>
      </c>
      <c r="B17183" s="0" t="s">
        <v>98</v>
      </c>
      <c r="C17183" s="6" t="n">
        <f aca="false">Sens!$C$17178+Sens!$C$17182</f>
        <v>2350.57745714904</v>
      </c>
    </row>
    <row r="17184" customFormat="false" ht="15" hidden="false" customHeight="false" outlineLevel="0" collapsed="false">
      <c r="A17184" s="1" t="s">
        <v>1141</v>
      </c>
      <c r="B17184" s="0" t="s">
        <v>168</v>
      </c>
      <c r="C17184" s="7" t="n">
        <f aca="false">Sens!$C$17182/Sens!$C$17183</f>
        <v>0.744828268148177</v>
      </c>
    </row>
    <row r="17185" customFormat="false" ht="17.15" hidden="false" customHeight="false" outlineLevel="0" collapsed="false">
      <c r="A17185" s="1" t="s">
        <v>1227</v>
      </c>
      <c r="B17185" s="0" t="s">
        <v>98</v>
      </c>
      <c r="C17185" s="6" t="n">
        <f aca="false">Sens!$C$17183+cash_val-debt_val-fl_val+oai_v</f>
        <v>2466.42845714904</v>
      </c>
    </row>
    <row r="17186" customFormat="false" ht="17.15" hidden="false" customHeight="false" outlineLevel="0" collapsed="false">
      <c r="A17186" s="0" t="s">
        <v>1149</v>
      </c>
      <c r="B17186" s="0" t="s">
        <v>75</v>
      </c>
      <c r="C17186" s="5" t="n">
        <f aca="false">Sens!$C$17185/shd_val</f>
        <v>331.242070527671</v>
      </c>
    </row>
    <row r="17187" customFormat="false" ht="15" hidden="false" customHeight="false" outlineLevel="0" collapsed="false">
      <c r="A17187" s="1" t="s">
        <v>1228</v>
      </c>
      <c r="B17187" s="0" t="s">
        <v>75</v>
      </c>
      <c r="C17187" s="8" t="n">
        <f aca="false">div_rem27+Sens!G17155*roll_div_q/q_per_yr</f>
        <v>3.9795</v>
      </c>
    </row>
    <row r="17188" customFormat="false" ht="17.15" hidden="false" customHeight="false" outlineLevel="0" collapsed="false">
      <c r="A17188" s="0" t="s">
        <v>1229</v>
      </c>
      <c r="B17188" s="0" t="s">
        <v>75</v>
      </c>
      <c r="C17188" s="5" t="n">
        <f aca="false">Sens!$C$17186*(1+wacc)^t_roll-Sens!$C$17187</f>
        <v>364.214548257847</v>
      </c>
    </row>
    <row r="17189" customFormat="false" ht="17.15" hidden="false" customHeight="false" outlineLevel="0" collapsed="false">
      <c r="A17189" s="1" t="s">
        <v>1230</v>
      </c>
      <c r="B17189" s="0" t="s">
        <v>168</v>
      </c>
      <c r="F17189" s="7" t="n">
        <f aca="false">Sens!F17141/(Sens!F17086-Sens!F17041)</f>
        <v>0.0685388988641094</v>
      </c>
      <c r="G17189" s="7" t="n">
        <f aca="false">Sens!G17141/(Sens!G17086-Sens!G17041)</f>
        <v>0.0653457465963261</v>
      </c>
      <c r="H17189" s="7" t="n">
        <f aca="false">Sens!H17141/(Sens!H17086-Sens!H17041)</f>
        <v>0.0636539937496352</v>
      </c>
      <c r="I17189" s="7" t="n">
        <f aca="false">Sens!I17141/(Sens!I17086-Sens!I17041)</f>
        <v>0.0633508205541219</v>
      </c>
      <c r="J17189" s="7" t="n">
        <f aca="false">Sens!J17141/(Sens!J17086-Sens!J17041)</f>
        <v>0.0640813255883536</v>
      </c>
      <c r="K17189" s="7" t="n">
        <f aca="false">Sens!K17141/(Sens!K17086-Sens!K17041)</f>
        <v>0.0653911094760038</v>
      </c>
    </row>
    <row r="17190" customFormat="false" ht="17.15" hidden="false" customHeight="false" outlineLevel="0" collapsed="false">
      <c r="A17190" s="0" t="s">
        <v>1231</v>
      </c>
      <c r="B17190" s="0" t="s">
        <v>98</v>
      </c>
      <c r="F17190" s="6" t="n">
        <f aca="false">Sens!F17071*(al_m365+Sens!F17189+sbc_r)</f>
        <v>84.5197345892455</v>
      </c>
      <c r="G17190" s="6" t="n">
        <f aca="false">Sens!G17071*(al_m365+Sens!G17189+sbc_r)</f>
        <v>98.9484307244519</v>
      </c>
      <c r="H17190" s="6" t="n">
        <f aca="false">Sens!H17071*(al_m365+Sens!H17189+sbc_r)</f>
        <v>113.542294363182</v>
      </c>
      <c r="I17190" s="6" t="n">
        <f aca="false">Sens!I17071*(al_m365+Sens!I17189+sbc_r)</f>
        <v>126.619271500968</v>
      </c>
      <c r="J17190" s="6" t="n">
        <f aca="false">Sens!J17071*(al_m365+Sens!J17189+sbc_r)</f>
        <v>137.993466050855</v>
      </c>
      <c r="K17190" s="6" t="n">
        <f aca="false">Sens!K17071*(al_m365+Sens!K17189+sbc_r)</f>
        <v>148.988139922556</v>
      </c>
      <c r="L17190" s="12" t="s">
        <v>1232</v>
      </c>
    </row>
    <row r="17191" customFormat="false" ht="17.15" hidden="false" customHeight="false" outlineLevel="0" collapsed="false">
      <c r="A17191" s="0" t="s">
        <v>1233</v>
      </c>
      <c r="B17191" s="0" t="s">
        <v>98</v>
      </c>
      <c r="F17191" s="6" t="n">
        <f aca="false">Sens!F17072*(al_lic+Sens!F17189+sbc_r)</f>
        <v>32.8546692645468</v>
      </c>
      <c r="G17191" s="6" t="n">
        <f aca="false">Sens!G17072*(al_lic+Sens!G17189+sbc_r)</f>
        <v>34.1181170826133</v>
      </c>
      <c r="H17191" s="6" t="n">
        <f aca="false">Sens!H17072*(al_lic+Sens!H17189+sbc_r)</f>
        <v>35.3020621533934</v>
      </c>
      <c r="I17191" s="6" t="n">
        <f aca="false">Sens!I17072*(al_lic+Sens!I17189+sbc_r)</f>
        <v>36.3895350789355</v>
      </c>
      <c r="J17191" s="6" t="n">
        <f aca="false">Sens!J17072*(al_lic+Sens!J17189+sbc_r)</f>
        <v>37.3526466692629</v>
      </c>
      <c r="K17191" s="6" t="n">
        <f aca="false">Sens!K17072*(al_lic+Sens!K17189+sbc_r)</f>
        <v>38.1583073392497</v>
      </c>
    </row>
    <row r="17192" customFormat="false" ht="17.15" hidden="false" customHeight="false" outlineLevel="0" collapsed="false">
      <c r="A17192" s="0" t="s">
        <v>1234</v>
      </c>
      <c r="B17192" s="0" t="s">
        <v>98</v>
      </c>
      <c r="F17192" s="6" t="n">
        <f aca="false">Sens!F17074*(al_ind+Sens!F17189+sbc_r)</f>
        <v>9.05861680873944</v>
      </c>
      <c r="G17192" s="6" t="n">
        <f aca="false">Sens!G17074*(al_ind+Sens!G17189+sbc_r)</f>
        <v>9.82429589037136</v>
      </c>
      <c r="H17192" s="6" t="n">
        <f aca="false">Sens!H17074*(al_ind+Sens!H17189+sbc_r)</f>
        <v>10.6375050309648</v>
      </c>
      <c r="I17192" s="6" t="n">
        <f aca="false">Sens!I17074*(al_ind+Sens!I17189+sbc_r)</f>
        <v>11.496423248012</v>
      </c>
      <c r="J17192" s="6" t="n">
        <f aca="false">Sens!J17074*(al_ind+Sens!J17189+sbc_r)</f>
        <v>12.3901786929281</v>
      </c>
      <c r="K17192" s="6" t="n">
        <f aca="false">Sens!K17074*(al_ind+Sens!K17189+sbc_r)</f>
        <v>13.3007440265546</v>
      </c>
    </row>
    <row r="17193" customFormat="false" ht="17.15" hidden="false" customHeight="false" outlineLevel="0" collapsed="false">
      <c r="A17193" s="0" t="s">
        <v>1235</v>
      </c>
      <c r="B17193" s="0" t="s">
        <v>98</v>
      </c>
      <c r="F17193" s="6" t="n">
        <f aca="false">Sens!F17076*(al_fro+Sens!F17189+sbc_r)</f>
        <v>3.55332335643508</v>
      </c>
      <c r="G17193" s="6" t="n">
        <f aca="false">Sens!G17076*(al_fro+Sens!G17189+sbc_r)</f>
        <v>3.75906353784493</v>
      </c>
      <c r="H17193" s="6" t="n">
        <f aca="false">Sens!H17076*(al_fro+Sens!H17189+sbc_r)</f>
        <v>3.99488240023908</v>
      </c>
      <c r="I17193" s="6" t="n">
        <f aca="false">Sens!I17076*(al_fro+Sens!I17189+sbc_r)</f>
        <v>4.2638851598007</v>
      </c>
      <c r="J17193" s="6" t="n">
        <f aca="false">Sens!J17076*(al_fro+Sens!J17189+sbc_r)</f>
        <v>4.56671054017157</v>
      </c>
      <c r="K17193" s="6" t="n">
        <f aca="false">Sens!K17076*(al_fro+Sens!K17189+sbc_r)</f>
        <v>4.90232218949832</v>
      </c>
    </row>
    <row r="17194" customFormat="false" ht="17.15" hidden="false" customHeight="false" outlineLevel="0" collapsed="false">
      <c r="A17194" s="0" t="s">
        <v>1236</v>
      </c>
      <c r="B17194" s="0" t="s">
        <v>98</v>
      </c>
      <c r="F17194" s="6" t="n">
        <f aca="false">Sens!F17079*(al_srch+Sens!F17189+sbc_r)</f>
        <v>11.1868671539751</v>
      </c>
      <c r="G17194" s="6" t="n">
        <f aca="false">Sens!G17079*(al_srch+Sens!G17189+sbc_r)</f>
        <v>12.2469107320795</v>
      </c>
      <c r="H17194" s="6" t="n">
        <f aca="false">Sens!H17079*(al_srch+Sens!H17189+sbc_r)</f>
        <v>13.3549910353783</v>
      </c>
      <c r="I17194" s="6" t="n">
        <f aca="false">Sens!I17079*(al_srch+Sens!I17189+sbc_r)</f>
        <v>14.5021507909211</v>
      </c>
      <c r="J17194" s="6" t="n">
        <f aca="false">Sens!J17079*(al_srch+Sens!J17189+sbc_r)</f>
        <v>15.6670397798181</v>
      </c>
      <c r="K17194" s="6" t="n">
        <f aca="false">Sens!K17079*(al_srch+Sens!K17189+sbc_r)</f>
        <v>16.8184245707567</v>
      </c>
    </row>
    <row r="17195" customFormat="false" ht="17.15" hidden="false" customHeight="false" outlineLevel="0" collapsed="false">
      <c r="A17195" s="0" t="s">
        <v>1237</v>
      </c>
      <c r="B17195" s="0" t="s">
        <v>98</v>
      </c>
      <c r="F17195" s="6" t="n">
        <f aca="false">Sens!F17047-Sens!F17048+Sens!F17129</f>
        <v>45.3782580567763</v>
      </c>
      <c r="G17195" s="6" t="n">
        <f aca="false">Sens!G17047-Sens!G17048+Sens!G17129</f>
        <v>91.0863367558165</v>
      </c>
      <c r="H17195" s="6" t="n">
        <f aca="false">Sens!H17047-Sens!H17048+Sens!H17129</f>
        <v>144.617532464853</v>
      </c>
      <c r="I17195" s="6" t="n">
        <f aca="false">Sens!I17047-Sens!I17048+Sens!I17129</f>
        <v>187.137304561304</v>
      </c>
      <c r="J17195" s="6" t="n">
        <f aca="false">Sens!J17047-Sens!J17048+Sens!J17129</f>
        <v>217.006854425907</v>
      </c>
      <c r="K17195" s="6" t="n">
        <f aca="false">Sens!K17047-Sens!K17048+Sens!K17129</f>
        <v>234.933637903877</v>
      </c>
    </row>
    <row r="17196" customFormat="false" ht="17.15" hidden="false" customHeight="false" outlineLevel="0" collapsed="false">
      <c r="A17196" s="0" t="s">
        <v>1238</v>
      </c>
      <c r="B17196" s="0" t="s">
        <v>98</v>
      </c>
      <c r="F17196" s="6" t="n">
        <f aca="false">Sens!F17108+Sens!F17129+Sens!F17059+Sens!F17189*(Sens!F17078-Sens!F17041)+sbc_r*Sens!F17078</f>
        <v>240.817978647533</v>
      </c>
      <c r="G17196" s="6" t="n">
        <f aca="false">Sens!G17108+Sens!G17129+Sens!G17059+Sens!G17189*(Sens!G17078-Sens!G17041)+sbc_r*Sens!G17078</f>
        <v>311.918514933867</v>
      </c>
      <c r="H17196" s="6" t="n">
        <f aca="false">Sens!H17108+Sens!H17129+Sens!H17059+Sens!H17189*(Sens!H17078-Sens!H17041)+sbc_r*Sens!H17078</f>
        <v>395.486856574959</v>
      </c>
      <c r="I17196" s="6" t="n">
        <f aca="false">Sens!I17108+Sens!I17129+Sens!I17059+Sens!I17189*(Sens!I17078-Sens!I17041)+sbc_r*Sens!I17078</f>
        <v>465.951327357079</v>
      </c>
      <c r="J17196" s="6" t="n">
        <f aca="false">Sens!J17108+Sens!J17129+Sens!J17059+Sens!J17189*(Sens!J17078-Sens!J17041)+sbc_r*Sens!J17078</f>
        <v>520.787227353106</v>
      </c>
      <c r="K17196" s="6" t="n">
        <f aca="false">Sens!K17108+Sens!K17129+Sens!K17059+Sens!K17189*(Sens!K17078-Sens!K17041)+sbc_r*Sens!K17078</f>
        <v>561.247376413236</v>
      </c>
    </row>
    <row r="17197" customFormat="false" ht="17.15" hidden="false" customHeight="false" outlineLevel="0" collapsed="false">
      <c r="A17197" s="0" t="s">
        <v>1239</v>
      </c>
      <c r="B17197" s="0" t="s">
        <v>98</v>
      </c>
      <c r="F17197" s="6" t="n">
        <f aca="false">Sens!F17196-Sens!F17190-Sens!F17191-Sens!F17192-Sens!F17193-Sens!F17195</f>
        <v>65.4533765717902</v>
      </c>
      <c r="G17197" s="6" t="n">
        <f aca="false">Sens!G17196-Sens!G17190-Sens!G17191-Sens!G17192-Sens!G17193-Sens!G17195</f>
        <v>74.1822709427694</v>
      </c>
      <c r="H17197" s="6" t="n">
        <f aca="false">Sens!H17196-Sens!H17190-Sens!H17191-Sens!H17192-Sens!H17193-Sens!H17195</f>
        <v>87.3925801623256</v>
      </c>
      <c r="I17197" s="6" t="n">
        <f aca="false">Sens!I17196-Sens!I17190-Sens!I17191-Sens!I17192-Sens!I17193-Sens!I17195</f>
        <v>100.04490780806</v>
      </c>
      <c r="J17197" s="6" t="n">
        <f aca="false">Sens!J17196-Sens!J17190-Sens!J17191-Sens!J17192-Sens!J17193-Sens!J17195</f>
        <v>111.477370973981</v>
      </c>
      <c r="K17197" s="6" t="n">
        <f aca="false">Sens!K17196-Sens!K17190-Sens!K17191-Sens!K17192-Sens!K17193-Sens!K17195</f>
        <v>120.9642250315</v>
      </c>
    </row>
    <row r="17198" customFormat="false" ht="17.15" hidden="false" customHeight="false" outlineLevel="0" collapsed="false">
      <c r="A17198" s="0" t="s">
        <v>1240</v>
      </c>
      <c r="B17198" s="0" t="s">
        <v>98</v>
      </c>
      <c r="F17198" s="6" t="n">
        <f aca="false">Sens!F17110+Sens!F17189*Sens!F17085+sbc_r*Sens!F17085</f>
        <v>26.628449428592</v>
      </c>
      <c r="G17198" s="6" t="n">
        <f aca="false">Sens!G17110+Sens!G17189*Sens!G17085+sbc_r*Sens!G17085</f>
        <v>26.4397692483628</v>
      </c>
      <c r="H17198" s="6" t="n">
        <f aca="false">Sens!H17110+Sens!H17189*Sens!H17085+sbc_r*Sens!H17085</f>
        <v>27.2962491680661</v>
      </c>
      <c r="I17198" s="6" t="n">
        <f aca="false">Sens!I17110+Sens!I17189*Sens!I17085+sbc_r*Sens!I17085</f>
        <v>28.3990251728675</v>
      </c>
      <c r="J17198" s="6" t="n">
        <f aca="false">Sens!J17110+Sens!J17189*Sens!J17085+sbc_r*Sens!J17085</f>
        <v>29.7088846250547</v>
      </c>
      <c r="K17198" s="6" t="n">
        <f aca="false">Sens!K17110+Sens!K17189*Sens!K17085+sbc_r*Sens!K17085</f>
        <v>31.1813778566968</v>
      </c>
    </row>
    <row r="17199" customFormat="false" ht="17.15" hidden="false" customHeight="false" outlineLevel="0" collapsed="false">
      <c r="A17199" s="0" t="s">
        <v>1241</v>
      </c>
      <c r="B17199" s="0" t="s">
        <v>98</v>
      </c>
      <c r="F17199" s="6" t="n">
        <f aca="false">(Sens!F17198-Sens!F17194)*Sens!F17081/(Sens!F17081+Sens!F17083)</f>
        <v>8.72118205151864</v>
      </c>
      <c r="G17199" s="6" t="n">
        <f aca="false">(Sens!G17198-Sens!G17194)*Sens!G17081/(Sens!G17081+Sens!G17083)</f>
        <v>7.87815703300003</v>
      </c>
      <c r="H17199" s="6" t="n">
        <f aca="false">(Sens!H17198-Sens!H17194)*Sens!H17081/(Sens!H17081+Sens!H17083)</f>
        <v>7.63768922670981</v>
      </c>
      <c r="I17199" s="6" t="n">
        <f aca="false">(Sens!I17198-Sens!I17194)*Sens!I17081/(Sens!I17081+Sens!I17083)</f>
        <v>7.54692069960696</v>
      </c>
      <c r="J17199" s="6" t="n">
        <f aca="false">(Sens!J17198-Sens!J17194)*Sens!J17081/(Sens!J17081+Sens!J17083)</f>
        <v>7.59237888992619</v>
      </c>
      <c r="K17199" s="6" t="n">
        <f aca="false">(Sens!K17198-Sens!K17194)*Sens!K17081/(Sens!K17081+Sens!K17083)</f>
        <v>7.76600115775812</v>
      </c>
    </row>
    <row r="17200" customFormat="false" ht="17.15" hidden="false" customHeight="false" outlineLevel="0" collapsed="false">
      <c r="A17200" s="0" t="s">
        <v>1242</v>
      </c>
      <c r="B17200" s="0" t="s">
        <v>98</v>
      </c>
      <c r="F17200" s="6" t="n">
        <f aca="false">Sens!F17198-Sens!F17194-Sens!F17199</f>
        <v>6.72040022309819</v>
      </c>
      <c r="G17200" s="6" t="n">
        <f aca="false">Sens!G17198-Sens!G17194-Sens!G17199</f>
        <v>6.31470148328324</v>
      </c>
      <c r="H17200" s="6" t="n">
        <f aca="false">Sens!H17198-Sens!H17194-Sens!H17199</f>
        <v>6.30356890597798</v>
      </c>
      <c r="I17200" s="6" t="n">
        <f aca="false">Sens!I17198-Sens!I17194-Sens!I17199</f>
        <v>6.34995368233951</v>
      </c>
      <c r="J17200" s="6" t="n">
        <f aca="false">Sens!J17198-Sens!J17194-Sens!J17199</f>
        <v>6.44946595531041</v>
      </c>
      <c r="K17200" s="6" t="n">
        <f aca="false">Sens!K17198-Sens!K17194-Sens!K17199</f>
        <v>6.59695212818195</v>
      </c>
    </row>
    <row r="17201" customFormat="false" ht="17.15" hidden="false" customHeight="false" outlineLevel="0" collapsed="false">
      <c r="A17201" s="0" t="s">
        <v>1243</v>
      </c>
      <c r="B17201" s="0" t="s">
        <v>98</v>
      </c>
      <c r="F17201" s="6" t="n">
        <f aca="false">Sens!F17195-tax_f*(Sens!F17195-Sens!F17059)-Sens!F17056</f>
        <v>-125.235434701028</v>
      </c>
      <c r="G17201" s="6" t="n">
        <f aca="false">Sens!G17195-tax_f*(Sens!G17195-Sens!G17059)-Sens!G17056</f>
        <v>-106.928508113935</v>
      </c>
      <c r="H17201" s="6" t="n">
        <f aca="false">Sens!H17195-tax_f*(Sens!H17195-Sens!H17059)-Sens!H17056</f>
        <v>-63.2919599603405</v>
      </c>
      <c r="I17201" s="6" t="n">
        <f aca="false">Sens!I17195-tax_f*(Sens!I17195-Sens!I17059)-Sens!I17056</f>
        <v>3.94121196634245</v>
      </c>
      <c r="J17201" s="6" t="n">
        <f aca="false">Sens!J17195-tax_f*(Sens!J17195-Sens!J17059)-Sens!J17056</f>
        <v>71.0786869547042</v>
      </c>
      <c r="K17201" s="6" t="n">
        <f aca="false">Sens!K17195-tax_f*(Sens!K17195-Sens!K17059)-Sens!K17056</f>
        <v>97.5865911685559</v>
      </c>
    </row>
    <row r="17202" customFormat="false" ht="17.15" hidden="false" customHeight="false" outlineLevel="0" collapsed="false">
      <c r="A17202" s="0" t="s">
        <v>1244</v>
      </c>
      <c r="B17202" s="0" t="s">
        <v>98</v>
      </c>
      <c r="G17202" s="6" t="n">
        <f aca="false">Sens!G17201/(1+wacc)^(Sens!G17172-Sens!F17173)</f>
        <v>-101.81651667568</v>
      </c>
      <c r="H17202" s="6" t="n">
        <f aca="false">Sens!H17201/(1+wacc)^(Sens!H17172-Sens!F17173)</f>
        <v>-54.6415143556151</v>
      </c>
      <c r="I17202" s="6" t="n">
        <f aca="false">Sens!I17201/(1+wacc)^(Sens!I17172-Sens!F17173)</f>
        <v>3.08498765169516</v>
      </c>
      <c r="J17202" s="6" t="n">
        <f aca="false">Sens!J17201/(1+wacc)^(Sens!J17172-Sens!F17173)</f>
        <v>50.4443451596971</v>
      </c>
      <c r="K17202" s="6" t="n">
        <f aca="false">Sens!K17201/(1+wacc)^(Sens!K17172-Sens!F17173)</f>
        <v>62.7932114544856</v>
      </c>
      <c r="L17202" s="1" t="s">
        <v>1245</v>
      </c>
    </row>
    <row r="17203" customFormat="false" ht="17.15" hidden="false" customHeight="false" outlineLevel="0" collapsed="false">
      <c r="A17203" s="0" t="s">
        <v>1246</v>
      </c>
      <c r="B17203" s="0" t="s">
        <v>98</v>
      </c>
      <c r="C17203" s="6" t="n">
        <f aca="false">(Sens!K17195-Sens!K17059)*(1-tax_f)*(1+g_tv)*(1-g_tv/(wacc+ronic_prem))/(wacc-g_tv)/(1+wacc)^(Sens!K17173-Sens!F17173)</f>
        <v>450.836735002813</v>
      </c>
    </row>
    <row r="17204" customFormat="false" ht="17.15" hidden="false" customHeight="false" outlineLevel="0" collapsed="false">
      <c r="A17204" s="1" t="s">
        <v>1247</v>
      </c>
      <c r="B17204" s="0" t="s">
        <v>98</v>
      </c>
      <c r="C17204" s="6" t="n">
        <f aca="false">(SUM(Sens!G17202:K17202)+Sens!$C$17203)*(1+wacc)^(t_roll-Sens!F17173)</f>
        <v>424.259738494477</v>
      </c>
      <c r="L17204" s="12" t="s">
        <v>1248</v>
      </c>
    </row>
    <row r="17205" customFormat="false" ht="17.15" hidden="false" customHeight="false" outlineLevel="0" collapsed="false">
      <c r="A17205" s="1" t="s">
        <v>1249</v>
      </c>
      <c r="B17205" s="0" t="s">
        <v>98</v>
      </c>
      <c r="C17205" s="6" t="n">
        <f aca="false">(w_ntm28*Sens!G17047+(1-w_ntm28)*Sens!H17047)*m_ai</f>
        <v>563.316843258668</v>
      </c>
    </row>
    <row r="17206" customFormat="false" ht="17.15" hidden="false" customHeight="false" outlineLevel="0" collapsed="false">
      <c r="A17206" s="1" t="s">
        <v>1250</v>
      </c>
      <c r="B17206" s="0" t="s">
        <v>98</v>
      </c>
      <c r="C17206" s="6" t="n">
        <f aca="false">(w_ntm28*Sens!G17197+(1-w_ntm28)*Sens!H17197)*m_cloud</f>
        <v>1085.22083870226</v>
      </c>
    </row>
    <row r="17207" customFormat="false" ht="17.15" hidden="false" customHeight="false" outlineLevel="0" collapsed="false">
      <c r="A17207" s="1" t="s">
        <v>1251</v>
      </c>
      <c r="B17207" s="0" t="s">
        <v>98</v>
      </c>
      <c r="C17207" s="6" t="n">
        <f aca="false">(w_ntm28*Sens!G17190+(1-w_ntm28)*Sens!H17190)*m_sw</f>
        <v>1120.46126353859</v>
      </c>
    </row>
    <row r="17208" customFormat="false" ht="17.15" hidden="false" customHeight="false" outlineLevel="0" collapsed="false">
      <c r="A17208" s="1" t="s">
        <v>1252</v>
      </c>
      <c r="B17208" s="0" t="s">
        <v>98</v>
      </c>
      <c r="C17208" s="6" t="n">
        <f aca="false">(w_ntm28*Sens!G17191+(1-w_ntm28)*Sens!H17191)*m_sw</f>
        <v>372.679480414775</v>
      </c>
    </row>
    <row r="17209" customFormat="false" ht="17.15" hidden="false" customHeight="false" outlineLevel="0" collapsed="false">
      <c r="A17209" s="1" t="s">
        <v>1253</v>
      </c>
      <c r="B17209" s="0" t="s">
        <v>98</v>
      </c>
      <c r="C17209" s="6" t="n">
        <f aca="false">(w_ntm28*Sens!G17192+(1-w_ntm28)*Sens!H17192)*m_sw</f>
        <v>108.989845057679</v>
      </c>
    </row>
    <row r="17210" customFormat="false" ht="17.15" hidden="false" customHeight="false" outlineLevel="0" collapsed="false">
      <c r="A17210" s="1" t="s">
        <v>1254</v>
      </c>
      <c r="B17210" s="0" t="s">
        <v>98</v>
      </c>
      <c r="C17210" s="6" t="n">
        <f aca="false">(w_ntm28*Sens!G17193+(1-w_ntm28)*Sens!H17193)*m_sw</f>
        <v>41.4352046899932</v>
      </c>
    </row>
    <row r="17211" customFormat="false" ht="17.15" hidden="false" customHeight="false" outlineLevel="0" collapsed="false">
      <c r="A17211" s="1" t="s">
        <v>1255</v>
      </c>
      <c r="B17211" s="0" t="s">
        <v>98</v>
      </c>
      <c r="C17211" s="6" t="n">
        <f aca="false">(w_ntm28*Sens!G17194+(1-w_ntm28)*Sens!H17194)*m_ads</f>
        <v>114.888133173536</v>
      </c>
    </row>
    <row r="17212" customFormat="false" ht="17.15" hidden="false" customHeight="false" outlineLevel="0" collapsed="false">
      <c r="A17212" s="1" t="s">
        <v>1256</v>
      </c>
      <c r="B17212" s="0" t="s">
        <v>98</v>
      </c>
      <c r="C17212" s="6" t="n">
        <f aca="false">(w_ntm28*Sens!G17199+(1-w_ntm28)*Sens!H17199)*m_game</f>
        <v>98.5026219371645</v>
      </c>
    </row>
    <row r="17213" customFormat="false" ht="17.15" hidden="false" customHeight="false" outlineLevel="0" collapsed="false">
      <c r="A17213" s="1" t="s">
        <v>1257</v>
      </c>
      <c r="B17213" s="0" t="s">
        <v>98</v>
      </c>
      <c r="C17213" s="6" t="n">
        <f aca="false">(w_ntm28*Sens!G17200+(1-w_ntm28)*Sens!H17200)*m_pc</f>
        <v>91.3207698953472</v>
      </c>
    </row>
    <row r="17214" customFormat="false" ht="17.15" hidden="false" customHeight="false" outlineLevel="0" collapsed="false">
      <c r="A17214" s="1" t="s">
        <v>1258</v>
      </c>
      <c r="B17214" s="0" t="s">
        <v>98</v>
      </c>
      <c r="C17214" s="6" t="n">
        <f aca="false">Sens!$C$17204+Sens!$C$17206+Sens!$C$17207+Sens!$C$17208+Sens!$C$17209+Sens!$C$17210+Sens!$C$17211+Sens!$C$17212+Sens!$C$17213</f>
        <v>3457.75789590382</v>
      </c>
    </row>
    <row r="17215" customFormat="false" ht="17.15" hidden="false" customHeight="false" outlineLevel="0" collapsed="false">
      <c r="A17215" s="1" t="s">
        <v>1259</v>
      </c>
      <c r="B17215" s="0" t="s">
        <v>98</v>
      </c>
      <c r="C17215" s="6" t="n">
        <f aca="false">(Sens!G17176-Sens!G17201)*t_stub</f>
        <v>48.28300921555</v>
      </c>
      <c r="L17215" s="1" t="s">
        <v>1260</v>
      </c>
    </row>
    <row r="17216" customFormat="false" ht="17.15" hidden="false" customHeight="false" outlineLevel="0" collapsed="false">
      <c r="A17216" s="1" t="s">
        <v>1169</v>
      </c>
      <c r="B17216" s="0" t="s">
        <v>98</v>
      </c>
      <c r="C17216" s="6" t="n">
        <f aca="false">Sens!F17163+oai_v-Sens!F17152+Sens!$C$17215</f>
        <v>162.51127921555</v>
      </c>
      <c r="L17216" s="1" t="s">
        <v>1261</v>
      </c>
    </row>
    <row r="17217" customFormat="false" ht="17.15" hidden="false" customHeight="false" outlineLevel="0" collapsed="false">
      <c r="A17217" s="1" t="s">
        <v>1262</v>
      </c>
      <c r="B17217" s="0" t="s">
        <v>75</v>
      </c>
      <c r="C17217" s="5" t="n">
        <f aca="false">(Sens!$C$17214+Sens!$C$17216)/(Sens!F17165+dil_gap)-Sens!G17155*roll_div_q/q_per_yr</f>
        <v>482.295745907015</v>
      </c>
      <c r="L17217" s="1" t="s">
        <v>1263</v>
      </c>
    </row>
    <row r="17218" customFormat="false" ht="17.15" hidden="false" customHeight="false" outlineLevel="0" collapsed="false">
      <c r="A17218" s="1" t="s">
        <v>1264</v>
      </c>
      <c r="B17218" s="0" t="s">
        <v>75</v>
      </c>
      <c r="C17218" s="5" t="n">
        <f aca="false">w_dcf*Sens!$C$17188+(1-w_dcf)*Sens!$C$17217</f>
        <v>423.255147082431</v>
      </c>
    </row>
    <row r="17219" customFormat="false" ht="17.15" hidden="false" customHeight="false" outlineLevel="0" collapsed="false">
      <c r="A17219" s="3" t="s">
        <v>1904</v>
      </c>
    </row>
    <row r="17220" customFormat="false" ht="15" hidden="false" customHeight="false" outlineLevel="0" collapsed="false">
      <c r="A17220" s="4" t="s">
        <v>43</v>
      </c>
      <c r="B17220" s="4" t="s">
        <v>65</v>
      </c>
      <c r="C17220" s="23" t="s">
        <v>938</v>
      </c>
      <c r="D17220" s="23" t="s">
        <v>939</v>
      </c>
      <c r="E17220" s="23" t="s">
        <v>940</v>
      </c>
      <c r="F17220" s="23" t="s">
        <v>941</v>
      </c>
      <c r="G17220" s="23" t="s">
        <v>942</v>
      </c>
      <c r="H17220" s="23" t="s">
        <v>943</v>
      </c>
      <c r="I17220" s="23" t="s">
        <v>944</v>
      </c>
      <c r="J17220" s="23" t="s">
        <v>945</v>
      </c>
      <c r="K17220" s="23" t="s">
        <v>946</v>
      </c>
      <c r="L17220" s="4" t="s">
        <v>47</v>
      </c>
    </row>
    <row r="17221" customFormat="false" ht="17.15" hidden="false" customHeight="false" outlineLevel="0" collapsed="false">
      <c r="A17221" s="1" t="s">
        <v>947</v>
      </c>
      <c r="B17221" s="1" t="s">
        <v>279</v>
      </c>
      <c r="C17221" s="21" t="n">
        <v>2024</v>
      </c>
      <c r="D17221" s="21" t="n">
        <v>2025</v>
      </c>
      <c r="E17221" s="21" t="n">
        <v>2026</v>
      </c>
      <c r="F17221" s="21" t="n">
        <v>2027</v>
      </c>
      <c r="G17221" s="21" t="n">
        <v>2028</v>
      </c>
      <c r="H17221" s="21" t="n">
        <v>2029</v>
      </c>
      <c r="I17221" s="21" t="n">
        <v>2030</v>
      </c>
      <c r="J17221" s="21" t="n">
        <v>2031</v>
      </c>
      <c r="K17221" s="21" t="n">
        <v>2032</v>
      </c>
    </row>
    <row r="17222" customFormat="false" ht="17.15" hidden="false" customHeight="false" outlineLevel="0" collapsed="false">
      <c r="A17222" s="1" t="s">
        <v>948</v>
      </c>
      <c r="B17222" s="0" t="s">
        <v>456</v>
      </c>
      <c r="F17222" s="30" t="n">
        <f aca="false">pace</f>
        <v>2726.5351</v>
      </c>
      <c r="G17222" s="30" t="n">
        <f aca="false">pace</f>
        <v>2726.5351</v>
      </c>
      <c r="H17222" s="30" t="n">
        <f aca="false">pace</f>
        <v>2726.5351</v>
      </c>
      <c r="I17222" s="30" t="n">
        <f aca="false">pace+(g_tv*Sens!H17223-pace)*MIN(1,(Sens!I17221-pace_y0)/(pace_y1-pace_y0))</f>
        <v>1931.98611966667</v>
      </c>
      <c r="J17222" s="30" t="n">
        <f aca="false">pace+(g_tv*Sens!I17223-pace)*MIN(1,(Sens!J17221-pace_y0)/(pace_y1-pace_y0))</f>
        <v>1176.07686172667</v>
      </c>
      <c r="K17222" s="30" t="n">
        <f aca="false">pace+(g_tv*Sens!J17223-pace)*MIN(1,(Sens!K17221-pace_y0)/(pace_y1-pace_y0))</f>
        <v>436.1300484418</v>
      </c>
      <c r="L17222" s="12" t="s">
        <v>949</v>
      </c>
    </row>
    <row r="17223" customFormat="false" ht="17.15" hidden="false" customHeight="false" outlineLevel="0" collapsed="false">
      <c r="A17223" s="1" t="s">
        <v>950</v>
      </c>
      <c r="B17223" s="0" t="s">
        <v>456</v>
      </c>
      <c r="C17223" s="30" t="n">
        <f aca="false">mw_ext_24</f>
        <v>640</v>
      </c>
      <c r="D17223" s="30" t="n">
        <f aca="false">mw_ext_25</f>
        <v>1630</v>
      </c>
      <c r="E17223" s="30" t="n">
        <f aca="false">mw_ext_26</f>
        <v>3250</v>
      </c>
      <c r="F17223" s="30" t="n">
        <f aca="false">Sens!E17223+Sens!F17222</f>
        <v>5976.5351</v>
      </c>
      <c r="G17223" s="30" t="n">
        <f aca="false">Sens!F17223+Sens!G17222</f>
        <v>8703.0702</v>
      </c>
      <c r="H17223" s="30" t="n">
        <f aca="false">Sens!G17223+Sens!H17222</f>
        <v>11429.6053</v>
      </c>
      <c r="I17223" s="30" t="n">
        <f aca="false">Sens!H17223+Sens!I17222</f>
        <v>13361.5914196667</v>
      </c>
      <c r="J17223" s="30" t="n">
        <f aca="false">Sens!I17223+Sens!J17222</f>
        <v>14537.6682813933</v>
      </c>
      <c r="K17223" s="30" t="n">
        <f aca="false">Sens!J17223+Sens!K17222</f>
        <v>14973.7983298351</v>
      </c>
      <c r="L17223" s="1" t="s">
        <v>951</v>
      </c>
    </row>
    <row r="17224" customFormat="false" ht="17.15" hidden="false" customHeight="false" outlineLevel="0" collapsed="false">
      <c r="A17224" s="1" t="s">
        <v>952</v>
      </c>
      <c r="B17224" s="0" t="s">
        <v>456</v>
      </c>
      <c r="C17224" s="30" t="n">
        <f aca="false">rent_ext_24</f>
        <v>150</v>
      </c>
      <c r="D17224" s="30" t="n">
        <f aca="false">rent_ext_25</f>
        <v>400</v>
      </c>
      <c r="E17224" s="30" t="n">
        <f aca="false">rent_ext_26</f>
        <v>550</v>
      </c>
      <c r="F17224" s="30" t="n">
        <f aca="false">rent_ext_f</f>
        <v>756</v>
      </c>
      <c r="G17224" s="30" t="n">
        <f aca="false">rent_ext_f</f>
        <v>756</v>
      </c>
      <c r="H17224" s="30" t="n">
        <f aca="false">rent_ext_f</f>
        <v>756</v>
      </c>
      <c r="I17224" s="30" t="n">
        <f aca="false">rent_ext_f</f>
        <v>756</v>
      </c>
      <c r="J17224" s="30" t="n">
        <f aca="false">rent_ext_f</f>
        <v>756</v>
      </c>
      <c r="K17224" s="30" t="n">
        <f aca="false">rent_ext_f</f>
        <v>756</v>
      </c>
      <c r="L17224" s="1" t="s">
        <v>953</v>
      </c>
    </row>
    <row r="17225" customFormat="false" ht="17.15" hidden="false" customHeight="false" outlineLevel="0" collapsed="false">
      <c r="A17225" s="1" t="s">
        <v>954</v>
      </c>
      <c r="B17225" s="0" t="s">
        <v>456</v>
      </c>
      <c r="C17225" s="30" t="n">
        <f aca="false">Sens!C17223-Sens!C17224</f>
        <v>490</v>
      </c>
      <c r="D17225" s="30" t="n">
        <f aca="false">Sens!D17223-Sens!D17224</f>
        <v>1230</v>
      </c>
      <c r="E17225" s="30" t="n">
        <f aca="false">Sens!E17223-Sens!E17224</f>
        <v>2700</v>
      </c>
      <c r="F17225" s="30" t="n">
        <f aca="false">Sens!F17223-Sens!F17224</f>
        <v>5220.5351</v>
      </c>
      <c r="G17225" s="30" t="n">
        <f aca="false">Sens!G17223-Sens!G17224</f>
        <v>7947.0702</v>
      </c>
      <c r="H17225" s="30" t="n">
        <f aca="false">Sens!H17223-Sens!H17224</f>
        <v>10673.6053</v>
      </c>
      <c r="I17225" s="30" t="n">
        <f aca="false">Sens!I17223-Sens!I17224</f>
        <v>12605.5914196667</v>
      </c>
      <c r="J17225" s="30" t="n">
        <f aca="false">Sens!J17223-Sens!J17224</f>
        <v>13781.6682813933</v>
      </c>
      <c r="K17225" s="30" t="n">
        <f aca="false">Sens!K17223-Sens!K17224</f>
        <v>14217.7983298351</v>
      </c>
    </row>
    <row r="17226" customFormat="false" ht="17.15" hidden="false" customHeight="false" outlineLevel="0" collapsed="false">
      <c r="A17226" s="1" t="s">
        <v>955</v>
      </c>
      <c r="B17226" s="0" t="s">
        <v>456</v>
      </c>
      <c r="C17226" s="30" t="n">
        <f aca="false">Sens!C17225/ext_sh</f>
        <v>816.666666666667</v>
      </c>
      <c r="D17226" s="30" t="n">
        <f aca="false">Sens!D17225/ext_sh</f>
        <v>2050</v>
      </c>
      <c r="E17226" s="30" t="n">
        <f aca="false">Sens!E17225/ext_sh</f>
        <v>4500</v>
      </c>
      <c r="F17226" s="30" t="n">
        <f aca="false">Sens!F17225/ext_sh</f>
        <v>8700.89183333333</v>
      </c>
      <c r="G17226" s="30" t="n">
        <f aca="false">Sens!G17225/ext_sh</f>
        <v>13245.117</v>
      </c>
      <c r="H17226" s="30" t="n">
        <f aca="false">Sens!H17225/ext_sh</f>
        <v>17789.3421666667</v>
      </c>
      <c r="I17226" s="30" t="n">
        <f aca="false">Sens!I17225/ext_sh</f>
        <v>21009.3190327778</v>
      </c>
      <c r="J17226" s="30" t="n">
        <f aca="false">Sens!J17225/ext_sh</f>
        <v>22969.4471356556</v>
      </c>
      <c r="K17226" s="30" t="n">
        <f aca="false">Sens!K17225/ext_sh</f>
        <v>23696.3305497252</v>
      </c>
      <c r="L17226" s="1" t="s">
        <v>956</v>
      </c>
    </row>
    <row r="17227" customFormat="false" ht="17.15" hidden="false" customHeight="false" outlineLevel="0" collapsed="false">
      <c r="A17227" s="1" t="s">
        <v>957</v>
      </c>
      <c r="B17227" s="0" t="s">
        <v>456</v>
      </c>
      <c r="C17227" s="30" t="n">
        <f aca="false">Sens!C17226-Sens!C17225</f>
        <v>326.666666666667</v>
      </c>
      <c r="D17227" s="30" t="n">
        <f aca="false">Sens!D17226-Sens!D17225</f>
        <v>820</v>
      </c>
      <c r="E17227" s="30" t="n">
        <f aca="false">Sens!E17226-Sens!E17225</f>
        <v>1800</v>
      </c>
      <c r="F17227" s="30" t="n">
        <f aca="false">Sens!F17226-Sens!F17225</f>
        <v>3480.35673333333</v>
      </c>
      <c r="G17227" s="30" t="n">
        <f aca="false">Sens!G17226-Sens!G17225</f>
        <v>5298.0468</v>
      </c>
      <c r="H17227" s="30" t="n">
        <f aca="false">Sens!H17226-Sens!H17225</f>
        <v>7115.73686666667</v>
      </c>
      <c r="I17227" s="30" t="n">
        <f aca="false">Sens!I17226-Sens!I17225</f>
        <v>8403.72761311111</v>
      </c>
      <c r="J17227" s="30" t="n">
        <f aca="false">Sens!J17226-Sens!J17225</f>
        <v>9187.77885426222</v>
      </c>
      <c r="K17227" s="30" t="n">
        <f aca="false">Sens!K17226-Sens!K17225</f>
        <v>9478.53221989009</v>
      </c>
    </row>
    <row r="17228" customFormat="false" ht="17.15" hidden="false" customHeight="false" outlineLevel="0" collapsed="false">
      <c r="A17228" s="1" t="s">
        <v>958</v>
      </c>
      <c r="B17228" s="0" t="s">
        <v>456</v>
      </c>
      <c r="C17228" s="30" t="n">
        <f aca="false">Sens!C17226</f>
        <v>816.666666666667</v>
      </c>
      <c r="D17228" s="30" t="n">
        <f aca="false">Sens!D17226-Sens!C17226</f>
        <v>1233.33333333333</v>
      </c>
      <c r="E17228" s="30" t="n">
        <f aca="false">Sens!E17226-Sens!D17226</f>
        <v>2450</v>
      </c>
      <c r="F17228" s="30" t="n">
        <f aca="false">Sens!F17226-Sens!E17226</f>
        <v>4200.89183333333</v>
      </c>
      <c r="G17228" s="30" t="n">
        <f aca="false">Sens!G17226-Sens!F17226</f>
        <v>4544.22516666667</v>
      </c>
      <c r="H17228" s="30" t="n">
        <f aca="false">Sens!H17226-Sens!G17226</f>
        <v>4544.22516666667</v>
      </c>
      <c r="I17228" s="30" t="n">
        <f aca="false">Sens!I17226-Sens!H17226</f>
        <v>3219.97686611111</v>
      </c>
      <c r="J17228" s="30" t="n">
        <f aca="false">Sens!J17226-Sens!I17226</f>
        <v>1960.12810287778</v>
      </c>
      <c r="K17228" s="30" t="n">
        <f aca="false">Sens!K17226-Sens!J17226</f>
        <v>726.883414069667</v>
      </c>
    </row>
    <row r="17229" customFormat="false" ht="17.15" hidden="false" customHeight="false" outlineLevel="0" collapsed="false">
      <c r="A17229" s="1" t="s">
        <v>959</v>
      </c>
      <c r="B17229" s="0" t="s">
        <v>456</v>
      </c>
      <c r="D17229" s="30" t="n">
        <f aca="false">Sens!D17223-Sens!C17223</f>
        <v>990</v>
      </c>
      <c r="E17229" s="30" t="n">
        <f aca="false">Sens!E17223-Sens!D17223</f>
        <v>1620</v>
      </c>
      <c r="F17229" s="30" t="n">
        <f aca="false">Sens!F17223-Sens!E17223</f>
        <v>2726.5351</v>
      </c>
      <c r="G17229" s="30" t="n">
        <f aca="false">Sens!G17223-Sens!F17223</f>
        <v>2726.5351</v>
      </c>
      <c r="H17229" s="30" t="n">
        <f aca="false">Sens!H17223-Sens!G17223</f>
        <v>2726.5351</v>
      </c>
      <c r="I17229" s="30" t="n">
        <f aca="false">Sens!I17223-Sens!H17223</f>
        <v>1931.98611966667</v>
      </c>
      <c r="J17229" s="30" t="n">
        <f aca="false">Sens!J17223-Sens!I17223</f>
        <v>1176.07686172667</v>
      </c>
      <c r="K17229" s="30" t="n">
        <f aca="false">Sens!K17223-Sens!J17223</f>
        <v>436.130048441799</v>
      </c>
    </row>
    <row r="17230" customFormat="false" ht="17.15" hidden="false" customHeight="false" outlineLevel="0" collapsed="false">
      <c r="A17230" s="1" t="s">
        <v>960</v>
      </c>
      <c r="B17230" s="0" t="s">
        <v>456</v>
      </c>
      <c r="F17230" s="30" t="n">
        <f aca="false">Sens!F17249*ext_sh</f>
        <v>0</v>
      </c>
      <c r="G17230" s="30" t="n">
        <f aca="false">Sens!G17249*ext_sh</f>
        <v>0</v>
      </c>
      <c r="H17230" s="30" t="n">
        <f aca="false">Sens!H17249*ext_sh</f>
        <v>0</v>
      </c>
      <c r="I17230" s="30" t="n">
        <f aca="false">Sens!I17249*ext_sh</f>
        <v>490</v>
      </c>
      <c r="J17230" s="30" t="n">
        <f aca="false">Sens!J17249*ext_sh</f>
        <v>740</v>
      </c>
      <c r="K17230" s="30" t="n">
        <f aca="false">Sens!K17249*ext_sh</f>
        <v>1470</v>
      </c>
      <c r="L17230" s="1" t="s">
        <v>961</v>
      </c>
    </row>
    <row r="17231" customFormat="false" ht="17.15" hidden="false" customHeight="false" outlineLevel="0" collapsed="false">
      <c r="A17231" s="1" t="s">
        <v>962</v>
      </c>
      <c r="B17231" s="0" t="s">
        <v>456</v>
      </c>
      <c r="C17231" s="30" t="n">
        <f aca="false">mix_h*Sens!C17223</f>
        <v>128</v>
      </c>
      <c r="D17231" s="30" t="n">
        <f aca="false">mix_h*Sens!D17223</f>
        <v>326</v>
      </c>
      <c r="E17231" s="30" t="n">
        <f aca="false">mix_h*Sens!E17223</f>
        <v>650</v>
      </c>
      <c r="F17231" s="30" t="n">
        <f aca="false">Sens!E17231-Sens!F17230*mix_h</f>
        <v>650</v>
      </c>
      <c r="G17231" s="30" t="n">
        <f aca="false">Sens!F17231-Sens!G17230*mix_h</f>
        <v>650</v>
      </c>
      <c r="H17231" s="30" t="n">
        <f aca="false">Sens!G17231-Sens!H17230*mix_h</f>
        <v>650</v>
      </c>
      <c r="I17231" s="30" t="n">
        <f aca="false">Sens!H17231-Sens!I17230*mix_h</f>
        <v>552</v>
      </c>
      <c r="J17231" s="30" t="n">
        <f aca="false">Sens!I17231-Sens!J17230*mix_h</f>
        <v>404</v>
      </c>
      <c r="K17231" s="30" t="n">
        <f aca="false">Sens!J17231-Sens!K17230*mix_h</f>
        <v>110</v>
      </c>
    </row>
    <row r="17232" customFormat="false" ht="17.15" hidden="false" customHeight="false" outlineLevel="0" collapsed="false">
      <c r="A17232" s="1" t="s">
        <v>963</v>
      </c>
      <c r="B17232" s="0" t="s">
        <v>456</v>
      </c>
      <c r="C17232" s="30" t="n">
        <f aca="false">mix_g2*Sens!C17223</f>
        <v>288</v>
      </c>
      <c r="D17232" s="30" t="n">
        <f aca="false">mix_g2*Sens!D17223</f>
        <v>733.5</v>
      </c>
      <c r="E17232" s="30" t="n">
        <f aca="false">mix_g2*Sens!E17223</f>
        <v>1462.5</v>
      </c>
      <c r="F17232" s="30" t="n">
        <f aca="false">Sens!E17232-Sens!F17230*mix_g2</f>
        <v>1462.5</v>
      </c>
      <c r="G17232" s="30" t="n">
        <f aca="false">Sens!F17232-Sens!G17230*mix_g2</f>
        <v>1462.5</v>
      </c>
      <c r="H17232" s="30" t="n">
        <f aca="false">Sens!G17232-Sens!H17230*mix_g2</f>
        <v>1462.5</v>
      </c>
      <c r="I17232" s="30" t="n">
        <f aca="false">Sens!H17232-Sens!I17230*mix_g2</f>
        <v>1242</v>
      </c>
      <c r="J17232" s="30" t="n">
        <f aca="false">Sens!I17232-Sens!J17230*mix_g2</f>
        <v>909</v>
      </c>
      <c r="K17232" s="30" t="n">
        <f aca="false">Sens!J17232-Sens!K17230*mix_g2</f>
        <v>247.5</v>
      </c>
    </row>
    <row r="17233" customFormat="false" ht="17.15" hidden="false" customHeight="false" outlineLevel="0" collapsed="false">
      <c r="A17233" s="1" t="s">
        <v>964</v>
      </c>
      <c r="B17233" s="0" t="s">
        <v>456</v>
      </c>
      <c r="C17233" s="30" t="n">
        <f aca="false">mix_g3*Sens!C17223</f>
        <v>224</v>
      </c>
      <c r="D17233" s="30" t="n">
        <f aca="false">mix_g3*Sens!D17223</f>
        <v>570.5</v>
      </c>
      <c r="E17233" s="30" t="n">
        <f aca="false">mix_g3*Sens!E17223</f>
        <v>1137.5</v>
      </c>
      <c r="F17233" s="30" t="n">
        <f aca="false">Sens!E17233+(Sens!F17229+Sens!F17230)*(a_g3_27-nonnv*a_mai)-Sens!F17230*mix_g3</f>
        <v>2773.42106</v>
      </c>
      <c r="G17233" s="30" t="n">
        <f aca="false">Sens!F17233+(Sens!G17229+Sens!G17230)*(a_g3_28-nonnv*a_mai)-Sens!G17230*mix_g3</f>
        <v>3318.72808</v>
      </c>
      <c r="H17233" s="30" t="n">
        <f aca="false">Sens!G17233+(Sens!H17229+Sens!H17230)*(a_g3_29-nonnv*a_mai)-Sens!H17230*mix_g3</f>
        <v>3318.72808</v>
      </c>
      <c r="I17233" s="30" t="n">
        <f aca="false">Sens!H17233+(Sens!I17229+Sens!I17230)*(a_g3_29-nonnv*a_mai)-Sens!I17230*mix_g3</f>
        <v>3147.22808</v>
      </c>
      <c r="J17233" s="30" t="n">
        <f aca="false">Sens!I17233+(Sens!J17229+Sens!J17230)*(a_g3_29-nonnv*a_mai)-Sens!J17230*mix_g3</f>
        <v>2888.22808</v>
      </c>
      <c r="K17233" s="30" t="n">
        <f aca="false">Sens!J17233+(Sens!K17229+Sens!K17230)*(a_g3_29-nonnv*a_mai)-Sens!K17230*mix_g3</f>
        <v>2373.72808</v>
      </c>
    </row>
    <row r="17234" customFormat="false" ht="17.15" hidden="false" customHeight="false" outlineLevel="0" collapsed="false">
      <c r="A17234" s="1" t="s">
        <v>965</v>
      </c>
      <c r="B17234" s="0" t="s">
        <v>456</v>
      </c>
      <c r="C17234" s="30" t="n">
        <v>0</v>
      </c>
      <c r="D17234" s="30" t="n">
        <v>0</v>
      </c>
      <c r="E17234" s="30" t="n">
        <v>0</v>
      </c>
      <c r="F17234" s="30" t="n">
        <f aca="false">Sens!E17234+(Sens!F17229+Sens!F17230)*nonnv*a_mai</f>
        <v>272.65351</v>
      </c>
      <c r="G17234" s="30" t="n">
        <f aca="false">Sens!F17234+(Sens!G17229+Sens!G17230)*nonnv*a_mai</f>
        <v>545.30702</v>
      </c>
      <c r="H17234" s="30" t="n">
        <f aca="false">Sens!G17234+(Sens!H17229+Sens!H17230)*nonnv*a_mai</f>
        <v>817.96053</v>
      </c>
      <c r="I17234" s="30" t="n">
        <f aca="false">Sens!H17234+(Sens!I17229+Sens!I17230)*nonnv*a_mai</f>
        <v>1060.15914196667</v>
      </c>
      <c r="J17234" s="30" t="n">
        <f aca="false">Sens!I17234+(Sens!J17229+Sens!J17230)*nonnv*a_mai</f>
        <v>1251.76682813933</v>
      </c>
      <c r="K17234" s="30" t="n">
        <f aca="false">Sens!J17234+(Sens!K17229+Sens!K17230)*nonnv*a_mai</f>
        <v>1442.37983298351</v>
      </c>
      <c r="L17234" s="12" t="s">
        <v>966</v>
      </c>
    </row>
    <row r="17235" customFormat="false" ht="17.15" hidden="false" customHeight="false" outlineLevel="0" collapsed="false">
      <c r="A17235" s="1" t="s">
        <v>967</v>
      </c>
      <c r="B17235" s="0" t="s">
        <v>456</v>
      </c>
      <c r="C17235" s="30" t="n">
        <v>0</v>
      </c>
      <c r="D17235" s="30" t="n">
        <v>0</v>
      </c>
      <c r="E17235" s="30" t="n">
        <v>0</v>
      </c>
      <c r="F17235" s="30" t="n">
        <f aca="false">Sens!E17235+(Sens!F17229+Sens!F17230)*(1-a_g3_27)</f>
        <v>817.96053</v>
      </c>
      <c r="G17235" s="30" t="n">
        <f aca="false">Sens!F17235+(Sens!G17229+Sens!G17230)*(1-a_g3_28)</f>
        <v>2726.5351</v>
      </c>
      <c r="H17235" s="30" t="n">
        <f aca="false">Sens!G17235+(Sens!H17229+Sens!H17230)*(1-a_g3_29)</f>
        <v>5180.41669</v>
      </c>
      <c r="I17235" s="30" t="n">
        <f aca="false">Sens!H17235+(Sens!I17229+Sens!I17230)*(1-a_g3_29)</f>
        <v>7360.2041977</v>
      </c>
      <c r="J17235" s="30" t="n">
        <f aca="false">Sens!I17235+(Sens!J17229+Sens!J17230)*(1-a_g3_29)</f>
        <v>9084.673373254</v>
      </c>
      <c r="K17235" s="30" t="n">
        <f aca="false">Sens!J17235+(Sens!K17229+Sens!K17230)*(1-a_g3_29)</f>
        <v>10800.1904168516</v>
      </c>
    </row>
    <row r="17236" customFormat="false" ht="17.15" hidden="false" customHeight="false" outlineLevel="0" collapsed="false">
      <c r="A17236" s="1" t="s">
        <v>968</v>
      </c>
      <c r="B17236" s="0" t="s">
        <v>403</v>
      </c>
      <c r="C17236" s="15" t="n">
        <f aca="false">(Sens!C17231*tk_hold_h100+Sens!C17232*tk_hold_gb200+Sens!C17233*tk_hold_gb300+Sens!C17235*tk_hold_vr200+Sens!C17234*nv_hold_mai*tk_hold_vr200)/Sens!C17223</f>
        <v>9.7235358126469</v>
      </c>
      <c r="D17236" s="15" t="n">
        <f aca="false">(Sens!D17231*tk_hold_h100+Sens!D17232*tk_hold_gb200+Sens!D17233*tk_hold_gb300+Sens!D17235*tk_hold_vr200+Sens!D17234*nv_hold_mai*tk_hold_vr200)/Sens!D17223</f>
        <v>9.7235358126469</v>
      </c>
      <c r="E17236" s="15" t="n">
        <f aca="false">(Sens!E17231*tk_hold_h100+Sens!E17232*tk_hold_gb200+Sens!E17233*tk_hold_gb300+Sens!E17235*tk_hold_vr200+Sens!E17234*nv_hold_mai*tk_hold_vr200)/Sens!E17223</f>
        <v>9.7235358126469</v>
      </c>
      <c r="F17236" s="15" t="n">
        <f aca="false">(Sens!F17231*tk_hold_h100+Sens!F17232*tk_hold_gb200+Sens!F17233*tk_hold_gb300+Sens!F17235*tk_hold_vr200+Sens!F17234*nv_hold_mai*tk_hold_vr200)/Sens!F17223</f>
        <v>10.2195353876665</v>
      </c>
      <c r="G17236" s="15" t="n">
        <f aca="false">(Sens!G17231*tk_hold_h100+Sens!G17232*tk_hold_gb200+Sens!G17233*tk_hold_gb300+Sens!G17235*tk_hold_vr200+Sens!G17234*nv_hold_mai*tk_hold_vr200)/Sens!G17223</f>
        <v>10.5725598017306</v>
      </c>
      <c r="H17236" s="15" t="n">
        <f aca="false">(Sens!H17231*tk_hold_h100+Sens!H17232*tk_hold_gb200+Sens!H17233*tk_hold_gb300+Sens!H17235*tk_hold_vr200+Sens!H17234*nv_hold_mai*tk_hold_vr200)/Sens!H17223</f>
        <v>10.8210427149036</v>
      </c>
      <c r="I17236" s="15" t="n">
        <f aca="false">(Sens!I17231*tk_hold_h100+Sens!I17232*tk_hold_gb200+Sens!I17233*tk_hold_gb300+Sens!I17235*tk_hold_vr200+Sens!I17234*nv_hold_mai*tk_hold_vr200)/Sens!I17223</f>
        <v>11.0050618241982</v>
      </c>
      <c r="J17236" s="15" t="n">
        <f aca="false">(Sens!J17231*tk_hold_h100+Sens!J17232*tk_hold_gb200+Sens!J17233*tk_hold_gb300+Sens!J17235*tk_hold_vr200+Sens!J17234*nv_hold_mai*tk_hold_vr200)/Sens!J17223</f>
        <v>11.1505789658881</v>
      </c>
      <c r="K17236" s="15" t="n">
        <f aca="false">(Sens!K17231*tk_hold_h100+Sens!K17232*tk_hold_gb200+Sens!K17233*tk_hold_gb300+Sens!K17235*tk_hold_vr200+Sens!K17234*nv_hold_mai*tk_hold_vr200)/Sens!K17223</f>
        <v>11.3496914757183</v>
      </c>
      <c r="L17236" s="1" t="s">
        <v>969</v>
      </c>
    </row>
    <row r="17237" customFormat="false" ht="17.15" hidden="false" customHeight="false" outlineLevel="0" collapsed="false">
      <c r="A17237" s="1" t="s">
        <v>970</v>
      </c>
      <c r="B17237" s="0" t="s">
        <v>403</v>
      </c>
      <c r="C17237" s="15" t="n">
        <f aca="false">(Sens!C17231*tk_hold_h100+Sens!C17232*tk_hold_gb200+Sens!C17233*tk_hold_gb300+Sens!C17235*tk_hold_vr200+Sens!C17234*nv_out_mai*tk_hold_vr200)/Sens!C17223</f>
        <v>9.7235358126469</v>
      </c>
      <c r="D17237" s="15" t="n">
        <f aca="false">(Sens!D17231*tk_hold_h100+Sens!D17232*tk_hold_gb200+Sens!D17233*tk_hold_gb300+Sens!D17235*tk_hold_vr200+Sens!D17234*nv_out_mai*tk_hold_vr200)/Sens!D17223</f>
        <v>9.7235358126469</v>
      </c>
      <c r="E17237" s="15" t="n">
        <f aca="false">(Sens!E17231*tk_hold_h100+Sens!E17232*tk_hold_gb200+Sens!E17233*tk_hold_gb300+Sens!E17235*tk_hold_vr200+Sens!E17234*nv_out_mai*tk_hold_vr200)/Sens!E17223</f>
        <v>9.7235358126469</v>
      </c>
      <c r="F17237" s="15" t="n">
        <f aca="false">(Sens!F17231*tk_hold_h100+Sens!F17232*tk_hold_gb200+Sens!F17233*tk_hold_gb300+Sens!F17235*tk_hold_vr200+Sens!F17234*nv_out_mai*tk_hold_vr200)/Sens!F17223</f>
        <v>10.247422093969</v>
      </c>
      <c r="G17237" s="15" t="n">
        <f aca="false">(Sens!G17231*tk_hold_h100+Sens!G17232*tk_hold_gb200+Sens!G17233*tk_hold_gb300+Sens!G17235*tk_hold_vr200+Sens!G17234*nv_out_mai*tk_hold_vr200)/Sens!G17223</f>
        <v>10.6108602808053</v>
      </c>
      <c r="H17237" s="15" t="n">
        <f aca="false">(Sens!H17231*tk_hold_h100+Sens!H17232*tk_hold_gb200+Sens!H17233*tk_hold_gb300+Sens!H17235*tk_hold_vr200+Sens!H17234*nv_out_mai*tk_hold_vr200)/Sens!H17223</f>
        <v>10.8647885507393</v>
      </c>
      <c r="I17237" s="15" t="n">
        <f aca="false">(Sens!I17231*tk_hold_h100+Sens!I17232*tk_hold_gb200+Sens!I17233*tk_hold_gb300+Sens!I17235*tk_hold_vr200+Sens!I17234*nv_out_mai*tk_hold_vr200)/Sens!I17223</f>
        <v>11.0535625770025</v>
      </c>
      <c r="J17237" s="15" t="n">
        <f aca="false">(Sens!J17231*tk_hold_h100+Sens!J17232*tk_hold_gb200+Sens!J17233*tk_hold_gb300+Sens!J17235*tk_hold_vr200+Sens!J17234*nv_out_mai*tk_hold_vr200)/Sens!J17223</f>
        <v>11.2032127128058</v>
      </c>
      <c r="K17237" s="15" t="n">
        <f aca="false">(Sens!K17231*tk_hold_h100+Sens!K17232*tk_hold_gb200+Sens!K17233*tk_hold_gb300+Sens!K17235*tk_hold_vr200+Sens!K17234*nv_out_mai*tk_hold_vr200)/Sens!K17223</f>
        <v>11.4085735724225</v>
      </c>
      <c r="L17237" s="12" t="s">
        <v>971</v>
      </c>
    </row>
    <row r="17238" customFormat="false" ht="17.15" hidden="false" customHeight="false" outlineLevel="0" collapsed="false">
      <c r="A17238" s="0" t="s">
        <v>972</v>
      </c>
      <c r="B17238" s="0" t="s">
        <v>229</v>
      </c>
      <c r="C17238" s="15" t="n">
        <f aca="false">k_B</f>
        <v>1.17213932619116</v>
      </c>
      <c r="D17238" s="15" t="n">
        <f aca="false">k_B</f>
        <v>1.17213932619116</v>
      </c>
      <c r="E17238" s="15" t="n">
        <f aca="false">k_B</f>
        <v>1.17213932619116</v>
      </c>
      <c r="F17238" s="15" t="n">
        <f aca="false">(k_B+((ls_B*k_long+(1-ls_B)*k_spot)-k_B)*MIN(1,(Sens!F17221-base_fy)/k_ramp))</f>
        <v>1.17213932619116</v>
      </c>
      <c r="G17238" s="15" t="n">
        <f aca="false">(k_B+((ls_B*k_long+(1-ls_B)*k_spot)-k_B)*MIN(1,(Sens!G17221-base_fy)/k_ramp))</f>
        <v>1.17213932619116</v>
      </c>
      <c r="H17238" s="15" t="n">
        <f aca="false">(k_B+((ls_B*k_long+(1-ls_B)*k_spot)-k_B)*MIN(1,(Sens!H17221-base_fy)/k_ramp))</f>
        <v>1.17213932619116</v>
      </c>
      <c r="I17238" s="15" t="n">
        <f aca="false">(k_B+((ls_B*k_long+(1-ls_B)*k_spot)-k_B)*MIN(1,(Sens!I17221-base_fy)/k_ramp))</f>
        <v>1.17213932619116</v>
      </c>
      <c r="J17238" s="15" t="n">
        <f aca="false">(k_B+((ls_B*k_long+(1-ls_B)*k_spot)-k_B)*MIN(1,(Sens!J17221-base_fy)/k_ramp))</f>
        <v>1.17213932619116</v>
      </c>
      <c r="K17238" s="15" t="n">
        <f aca="false">(k_B+((ls_B*k_long+(1-ls_B)*k_spot)-k_B)*MIN(1,(Sens!K17221-base_fy)/k_ramp))</f>
        <v>1.17213932619116</v>
      </c>
      <c r="L17238" s="1" t="s">
        <v>973</v>
      </c>
    </row>
    <row r="17239" customFormat="false" ht="17.15" hidden="false" customHeight="false" outlineLevel="0" collapsed="false">
      <c r="A17239" s="1" t="s">
        <v>974</v>
      </c>
      <c r="B17239" s="0" t="s">
        <v>403</v>
      </c>
      <c r="C17239" s="15" t="n">
        <f aca="false">Sens!C17237*Sens!C17238*chip_f</f>
        <v>11.3973387156315</v>
      </c>
      <c r="D17239" s="15" t="n">
        <f aca="false">Sens!D17237*Sens!D17238*chip_f</f>
        <v>11.3973387156315</v>
      </c>
      <c r="E17239" s="15" t="n">
        <f aca="false">Sens!E17237*Sens!E17238*chip_f</f>
        <v>11.3973387156315</v>
      </c>
      <c r="F17239" s="15" t="n">
        <f aca="false">Sens!F17237*Sens!F17238*chip_f</f>
        <v>12.0114064284211</v>
      </c>
      <c r="G17239" s="15" t="n">
        <f aca="false">Sens!G17237*Sens!G17238*chip_f</f>
        <v>12.4374066198516</v>
      </c>
      <c r="H17239" s="15" t="n">
        <f aca="false">Sens!H17237*Sens!H17238*chip_f</f>
        <v>12.735045931073</v>
      </c>
      <c r="I17239" s="15" t="n">
        <f aca="false">Sens!I17237*Sens!I17238*chip_f</f>
        <v>12.9563153910195</v>
      </c>
      <c r="J17239" s="15" t="n">
        <f aca="false">Sens!J17237*Sens!J17238*chip_f</f>
        <v>13.1317262003643</v>
      </c>
      <c r="K17239" s="15" t="n">
        <f aca="false">Sens!K17237*Sens!K17238*chip_f</f>
        <v>13.3724377399815</v>
      </c>
      <c r="L17239" s="1" t="s">
        <v>975</v>
      </c>
    </row>
    <row r="17240" customFormat="false" ht="17.15" hidden="false" customHeight="false" outlineLevel="0" collapsed="false">
      <c r="A17240" s="0" t="s">
        <v>976</v>
      </c>
      <c r="B17240" s="0" t="s">
        <v>98</v>
      </c>
      <c r="D17240" s="6" t="n">
        <f aca="false">(Sens!C17223+Sens!D17223)/2*Sens!D17239/1000</f>
        <v>12.9359794422418</v>
      </c>
      <c r="E17240" s="6" t="n">
        <f aca="false">(Sens!D17223+Sens!E17223)/2*Sens!E17239/1000</f>
        <v>27.8095064661409</v>
      </c>
      <c r="F17240" s="6" t="n">
        <f aca="false">(Sens!E17223+Sens!F17223)/2*Sens!F17239/1000</f>
        <v>55.4118315060966</v>
      </c>
      <c r="G17240" s="6" t="n">
        <f aca="false">(Sens!F17223+Sens!G17223)/2*Sens!G17239/1000</f>
        <v>91.2881100675143</v>
      </c>
      <c r="H17240" s="6" t="n">
        <f aca="false">(Sens!G17223+Sens!H17223)/2*Sens!H17239/1000</f>
        <v>128.195273603944</v>
      </c>
      <c r="I17240" s="6" t="n">
        <f aca="false">(Sens!H17223+Sens!I17223)/2*Sens!I17239/1000</f>
        <v>160.601281810405</v>
      </c>
      <c r="J17240" s="6" t="n">
        <f aca="false">(Sens!I17223+Sens!J17223)/2*Sens!J17239/1000</f>
        <v>183.182719793589</v>
      </c>
      <c r="K17240" s="6" t="n">
        <f aca="false">(Sens!J17223+Sens!K17223)/2*Sens!K17239/1000</f>
        <v>197.320124937098</v>
      </c>
      <c r="L17240" s="12" t="s">
        <v>977</v>
      </c>
    </row>
    <row r="17241" customFormat="false" ht="17.15" hidden="false" customHeight="false" outlineLevel="0" collapsed="false">
      <c r="A17241" s="1" t="s">
        <v>978</v>
      </c>
      <c r="B17241" s="0" t="s">
        <v>403</v>
      </c>
      <c r="C17241" s="15" t="n">
        <f aca="false">(Sens!C17231*tk_opex_h100+Sens!C17232*tk_opex_gb200+Sens!C17233*tk_opex_gb300+(Sens!C17235+Sens!C17234)*tk_opex_vr200)/Sens!C17223</f>
        <v>1.88636041306092</v>
      </c>
      <c r="D17241" s="15" t="n">
        <f aca="false">(Sens!D17231*tk_opex_h100+Sens!D17232*tk_opex_gb200+Sens!D17233*tk_opex_gb300+(Sens!D17235+Sens!D17234)*tk_opex_vr200)/Sens!D17223</f>
        <v>1.88636041306092</v>
      </c>
      <c r="E17241" s="15" t="n">
        <f aca="false">(Sens!E17231*tk_opex_h100+Sens!E17232*tk_opex_gb200+Sens!E17233*tk_opex_gb300+(Sens!E17235+Sens!E17234)*tk_opex_vr200)/Sens!E17223</f>
        <v>1.88636041306092</v>
      </c>
      <c r="F17241" s="15" t="n">
        <f aca="false">(Sens!F17231*tk_opex_h100+Sens!F17232*tk_opex_gb200+Sens!F17233*tk_opex_gb300+(Sens!F17235+Sens!F17234)*tk_opex_vr200)/Sens!F17223</f>
        <v>1.95051159746876</v>
      </c>
      <c r="G17241" s="15" t="n">
        <f aca="false">(Sens!G17231*tk_opex_h100+Sens!G17232*tk_opex_gb200+Sens!G17233*tk_opex_gb300+(Sens!G17235+Sens!G17234)*tk_opex_vr200)/Sens!G17223</f>
        <v>1.98836003669956</v>
      </c>
      <c r="H17241" s="15" t="n">
        <f aca="false">(Sens!H17231*tk_opex_h100+Sens!H17232*tk_opex_gb200+Sens!H17233*tk_opex_gb300+(Sens!H17235+Sens!H17234)*tk_opex_vr200)/Sens!H17223</f>
        <v>2.01344013834343</v>
      </c>
      <c r="I17241" s="15" t="n">
        <f aca="false">(Sens!I17231*tk_opex_h100+Sens!I17232*tk_opex_gb200+Sens!I17233*tk_opex_gb300+(Sens!I17235+Sens!I17234)*tk_opex_vr200)/Sens!I17223</f>
        <v>2.03261166882178</v>
      </c>
      <c r="J17241" s="15" t="n">
        <f aca="false">(Sens!J17231*tk_opex_h100+Sens!J17232*tk_opex_gb200+Sens!J17233*tk_opex_gb300+(Sens!J17235+Sens!J17234)*tk_opex_vr200)/Sens!J17223</f>
        <v>2.04808073288745</v>
      </c>
      <c r="K17241" s="15" t="n">
        <f aca="false">(Sens!K17231*tk_opex_h100+Sens!K17232*tk_opex_gb200+Sens!K17233*tk_opex_gb300+(Sens!K17235+Sens!K17234)*tk_opex_vr200)/Sens!K17223</f>
        <v>2.06973825807449</v>
      </c>
      <c r="L17241" s="12" t="s">
        <v>979</v>
      </c>
    </row>
    <row r="17242" customFormat="false" ht="17.15" hidden="false" customHeight="false" outlineLevel="0" collapsed="false">
      <c r="A17242" s="0" t="s">
        <v>980</v>
      </c>
      <c r="B17242" s="0" t="s">
        <v>98</v>
      </c>
      <c r="D17242" s="6" t="n">
        <f aca="false">(Sens!C17226+Sens!D17226)/2*Sens!D17241/1000</f>
        <v>2.70378325872065</v>
      </c>
      <c r="E17242" s="6" t="n">
        <f aca="false">(Sens!D17226+Sens!E17226)/2*Sens!E17241/1000</f>
        <v>6.17783035277451</v>
      </c>
      <c r="F17242" s="6" t="n">
        <f aca="false">(Sens!E17226+Sens!F17226)/2*Sens!F17241/1000</f>
        <v>12.8742463089237</v>
      </c>
      <c r="G17242" s="6" t="n">
        <f aca="false">(Sens!F17226+Sens!G17226)/2*Sens!G17241/1000</f>
        <v>21.8182834646277</v>
      </c>
      <c r="H17242" s="6" t="n">
        <f aca="false">(Sens!G17226+Sens!H17226)/2*Sens!H17241/1000</f>
        <v>31.2430128789734</v>
      </c>
      <c r="I17242" s="6" t="n">
        <f aca="false">(Sens!H17226+Sens!I17226)/2*Sens!I17241/1000</f>
        <v>39.4313057443268</v>
      </c>
      <c r="J17242" s="6" t="n">
        <f aca="false">(Sens!I17226+Sens!J17226)/2*Sens!J17241/1000</f>
        <v>45.0360318228653</v>
      </c>
      <c r="K17242" s="6" t="n">
        <f aca="false">(Sens!J17226+Sens!K17226)/2*Sens!K17241/1000</f>
        <v>48.2929727091156</v>
      </c>
    </row>
    <row r="17243" customFormat="false" ht="17.15" hidden="false" customHeight="false" outlineLevel="0" collapsed="false">
      <c r="A17243" s="0" t="s">
        <v>981</v>
      </c>
      <c r="B17243" s="0" t="s">
        <v>98</v>
      </c>
      <c r="D17243" s="6" t="n">
        <f aca="false">(Sens!C17224+Sens!D17224)/2*rent_mw/1000</f>
        <v>2.44475</v>
      </c>
      <c r="E17243" s="6" t="n">
        <f aca="false">(Sens!D17224+Sens!E17224)/2*rent_mw/1000</f>
        <v>4.22275</v>
      </c>
      <c r="F17243" s="6" t="n">
        <f aca="false">(Sens!E17224+Sens!F17224)/2*rent_mw/1000</f>
        <v>5.80517</v>
      </c>
      <c r="G17243" s="6" t="n">
        <f aca="false">(Sens!F17224+Sens!G17224)/2*rent_mw/1000</f>
        <v>6.72084</v>
      </c>
      <c r="H17243" s="6" t="n">
        <f aca="false">(Sens!G17224+Sens!H17224)/2*rent_mw/1000</f>
        <v>6.72084</v>
      </c>
      <c r="I17243" s="6" t="n">
        <f aca="false">(Sens!H17224+Sens!I17224)/2*rent_mw/1000</f>
        <v>6.72084</v>
      </c>
      <c r="J17243" s="6" t="n">
        <f aca="false">(Sens!I17224+Sens!J17224)/2*rent_mw/1000</f>
        <v>6.72084</v>
      </c>
      <c r="K17243" s="6" t="n">
        <f aca="false">(Sens!J17224+Sens!K17224)/2*rent_mw/1000</f>
        <v>6.72084</v>
      </c>
    </row>
    <row r="17244" customFormat="false" ht="17.15" hidden="false" customHeight="false" outlineLevel="0" collapsed="false">
      <c r="A17244" s="0" t="s">
        <v>982</v>
      </c>
      <c r="B17244" s="0" t="s">
        <v>98</v>
      </c>
      <c r="D17244" s="6" t="n">
        <f aca="false">(Sens!C17226+Sens!D17226)/2*(1-self_build)*fac_rent/1000</f>
        <v>0.853242375631075</v>
      </c>
      <c r="E17244" s="6" t="n">
        <f aca="false">(Sens!D17226+Sens!E17226)/2*(1-self_build)*fac_rent/1000</f>
        <v>1.94955961408728</v>
      </c>
      <c r="F17244" s="6" t="n">
        <f aca="false">(Sens!E17226+Sens!F17226)/2*(1-self_build)*fac_rent/1000</f>
        <v>3.92914894476356</v>
      </c>
      <c r="G17244" s="6" t="n">
        <f aca="false">(Sens!F17226+Sens!G17226)/2*(1-self_build)*fac_rent/1000</f>
        <v>6.53206908578159</v>
      </c>
      <c r="H17244" s="6" t="n">
        <f aca="false">(Sens!G17226+Sens!H17226)/2*(1-self_build)*fac_rent/1000</f>
        <v>9.23717988341591</v>
      </c>
      <c r="I17244" s="6" t="n">
        <f aca="false">(Sens!H17226+Sens!I17226)/2*(1-self_build)*fac_rent/1000</f>
        <v>11.5481378557393</v>
      </c>
      <c r="J17244" s="6" t="n">
        <f aca="false">(Sens!I17226+Sens!J17226)/2*(1-self_build)*fac_rent/1000</f>
        <v>13.0899582289108</v>
      </c>
      <c r="K17244" s="6" t="n">
        <f aca="false">(Sens!J17226+Sens!K17226)/2*(1-self_build)*fac_rent/1000</f>
        <v>13.8897275626556</v>
      </c>
      <c r="L17244" s="12" t="s">
        <v>983</v>
      </c>
    </row>
    <row r="17245" customFormat="false" ht="17.15" hidden="false" customHeight="false" outlineLevel="0" collapsed="false">
      <c r="A17245" s="1" t="s">
        <v>984</v>
      </c>
      <c r="B17245" s="0" t="s">
        <v>168</v>
      </c>
      <c r="D17245" s="7" t="n">
        <f aca="false">(Sens!C17225+Sens!D17225)/(Sens!C17226+Sens!D17226)</f>
        <v>0.6</v>
      </c>
      <c r="E17245" s="7" t="n">
        <f aca="false">(Sens!D17225+Sens!E17225)/(Sens!D17226+Sens!E17226)</f>
        <v>0.6</v>
      </c>
      <c r="F17245" s="7" t="n">
        <f aca="false">(Sens!E17225+Sens!F17225)/(Sens!E17226+Sens!F17226)</f>
        <v>0.6</v>
      </c>
      <c r="G17245" s="7" t="n">
        <f aca="false">(Sens!F17225+Sens!G17225)/(Sens!F17226+Sens!G17226)</f>
        <v>0.6</v>
      </c>
      <c r="H17245" s="7" t="n">
        <f aca="false">(Sens!G17225+Sens!H17225)/(Sens!G17226+Sens!H17226)</f>
        <v>0.6</v>
      </c>
      <c r="I17245" s="7" t="n">
        <f aca="false">(Sens!H17225+Sens!I17225)/(Sens!H17226+Sens!I17226)</f>
        <v>0.6</v>
      </c>
      <c r="J17245" s="7" t="n">
        <f aca="false">(Sens!I17225+Sens!J17225)/(Sens!I17226+Sens!J17226)</f>
        <v>0.6</v>
      </c>
      <c r="K17245" s="7" t="n">
        <f aca="false">(Sens!J17225+Sens!K17225)/(Sens!J17226+Sens!K17226)</f>
        <v>0.6</v>
      </c>
    </row>
    <row r="17246" customFormat="false" ht="17.15" hidden="false" customHeight="false" outlineLevel="0" collapsed="false">
      <c r="A17246" s="0" t="s">
        <v>985</v>
      </c>
      <c r="B17246" s="0" t="s">
        <v>98</v>
      </c>
      <c r="D17246" s="6" t="n">
        <f aca="false">Sens!D17240-Sens!D17245*(Sens!D17242+Sens!D17244)-Sens!D17243</f>
        <v>8.35701406163072</v>
      </c>
      <c r="E17246" s="6" t="n">
        <f aca="false">Sens!E17240-Sens!E17245*(Sens!E17242+Sens!E17244)-Sens!E17243</f>
        <v>18.7103224860238</v>
      </c>
      <c r="F17246" s="6" t="n">
        <f aca="false">Sens!F17240-Sens!F17245*(Sens!F17242+Sens!F17244)-Sens!F17243</f>
        <v>39.5246243538843</v>
      </c>
      <c r="G17246" s="6" t="n">
        <f aca="false">Sens!G17240-Sens!G17245*(Sens!G17242+Sens!G17244)-Sens!G17243</f>
        <v>67.5570585372687</v>
      </c>
      <c r="H17246" s="6" t="n">
        <f aca="false">Sens!H17240-Sens!H17245*(Sens!H17242+Sens!H17244)-Sens!H17243</f>
        <v>97.1863179465102</v>
      </c>
      <c r="I17246" s="6" t="n">
        <f aca="false">Sens!I17240-Sens!I17245*(Sens!I17242+Sens!I17244)-Sens!I17243</f>
        <v>123.292775650365</v>
      </c>
      <c r="J17246" s="6" t="n">
        <f aca="false">Sens!J17240-Sens!J17245*(Sens!J17242+Sens!J17244)-Sens!J17243</f>
        <v>141.586285762524</v>
      </c>
      <c r="K17246" s="6" t="n">
        <f aca="false">Sens!K17240-Sens!K17245*(Sens!K17242+Sens!K17244)-Sens!K17243</f>
        <v>153.289664774035</v>
      </c>
    </row>
    <row r="17247" customFormat="false" ht="17.15" hidden="false" customHeight="false" outlineLevel="0" collapsed="false">
      <c r="A17247" s="1" t="s">
        <v>986</v>
      </c>
      <c r="B17247" s="0" t="s">
        <v>98</v>
      </c>
      <c r="D17247" s="6" t="n">
        <f aca="false">(1-Sens!D17245)*(Sens!D17242+Sens!D17244)</f>
        <v>1.42281025374069</v>
      </c>
      <c r="E17247" s="6" t="n">
        <f aca="false">(1-Sens!E17245)*(Sens!E17242+Sens!E17244)</f>
        <v>3.25095598674472</v>
      </c>
      <c r="F17247" s="6" t="n">
        <f aca="false">(1-Sens!F17245)*(Sens!F17242+Sens!F17244)</f>
        <v>6.72135810147489</v>
      </c>
      <c r="G17247" s="6" t="n">
        <f aca="false">(1-Sens!G17245)*(Sens!G17242+Sens!G17244)</f>
        <v>11.3401410201637</v>
      </c>
      <c r="H17247" s="6" t="n">
        <f aca="false">(1-Sens!H17245)*(Sens!H17242+Sens!H17244)</f>
        <v>16.1920771049557</v>
      </c>
      <c r="I17247" s="6" t="n">
        <f aca="false">(1-Sens!I17245)*(Sens!I17242+Sens!I17244)</f>
        <v>20.3917774400264</v>
      </c>
      <c r="J17247" s="6" t="n">
        <f aca="false">(1-Sens!J17245)*(Sens!J17242+Sens!J17244)</f>
        <v>23.2503960207104</v>
      </c>
      <c r="K17247" s="6" t="n">
        <f aca="false">(1-Sens!K17245)*(Sens!K17242+Sens!K17244)</f>
        <v>24.8730801087085</v>
      </c>
    </row>
    <row r="17248" customFormat="false" ht="17.15" hidden="false" customHeight="false" outlineLevel="0" collapsed="false">
      <c r="A17248" s="1" t="s">
        <v>987</v>
      </c>
      <c r="B17248" s="0" t="s">
        <v>414</v>
      </c>
      <c r="C17248" s="8" t="n">
        <f aca="false">cxit_open</f>
        <v>27.5918995</v>
      </c>
      <c r="D17248" s="8" t="n">
        <f aca="false">cxit_open</f>
        <v>27.5918995</v>
      </c>
      <c r="E17248" s="8" t="n">
        <f aca="false">cxit_open</f>
        <v>27.5918995</v>
      </c>
      <c r="F17248" s="8" t="n">
        <f aca="false">((a_g3_27-nonnv*a_mai)*tk_cxit_gb300+nonnv*a_mai*nv_hold_mai*tk_cxit_vr200+(1-a_g3_27)*tk_cxit_vr200)</f>
        <v>32.4975576</v>
      </c>
      <c r="G17248" s="8" t="n">
        <f aca="false">((a_g3_28-nonnv*a_mai)*tk_cxit_gb300+nonnv*a_mai*nv_hold_mai*tk_cxit_vr200+(1-a_g3_28)*tk_cxit_vr200)</f>
        <v>34.6372088</v>
      </c>
      <c r="H17248" s="8" t="n">
        <f aca="false">((a_g3_29-nonnv*a_mai)*tk_cxit_gb300+nonnv*a_mai*nv_hold_mai*tk_cxit_vr200+(1-a_g3_29)*tk_cxit_vr200)</f>
        <v>35.7070344</v>
      </c>
      <c r="I17248" s="8" t="n">
        <f aca="false">((a_g3_29-nonnv*a_mai)*tk_cxit_gb300+nonnv*a_mai*nv_hold_mai*tk_cxit_vr200+(1-a_g3_29)*tk_cxit_vr200)</f>
        <v>35.7070344</v>
      </c>
      <c r="J17248" s="8" t="n">
        <f aca="false">((a_g3_29-nonnv*a_mai)*tk_cxit_gb300+nonnv*a_mai*nv_hold_mai*tk_cxit_vr200+(1-a_g3_29)*tk_cxit_vr200)</f>
        <v>35.7070344</v>
      </c>
      <c r="K17248" s="8" t="n">
        <f aca="false">((a_g3_29-nonnv*a_mai)*tk_cxit_gb300+nonnv*a_mai*nv_hold_mai*tk_cxit_vr200+(1-a_g3_29)*tk_cxit_vr200)</f>
        <v>35.7070344</v>
      </c>
      <c r="L17248" s="12" t="s">
        <v>988</v>
      </c>
    </row>
    <row r="17249" customFormat="false" ht="17.15" hidden="false" customHeight="false" outlineLevel="0" collapsed="false">
      <c r="A17249" s="0" t="s">
        <v>989</v>
      </c>
      <c r="B17249" s="0" t="s">
        <v>456</v>
      </c>
      <c r="F17249" s="30" t="n">
        <f aca="false">Sens!C17228*IF(Sens!F17221-Sens!C17221=life_it,1,0)+Sens!D17228*IF(Sens!F17221-Sens!D17221=life_it,1,0)+Sens!E17228*IF(Sens!F17221-Sens!E17221=life_it,1,0)</f>
        <v>0</v>
      </c>
      <c r="G17249" s="30" t="n">
        <f aca="false">Sens!C17228*IF(Sens!G17221-Sens!C17221=life_it,1,0)+Sens!D17228*IF(Sens!G17221-Sens!D17221=life_it,1,0)+Sens!E17228*IF(Sens!G17221-Sens!E17221=life_it,1,0)+Sens!F17228*IF(Sens!G17221-Sens!F17221=life_it,1,0)</f>
        <v>0</v>
      </c>
      <c r="H17249" s="30" t="n">
        <f aca="false">Sens!C17228*IF(Sens!H17221-Sens!C17221=life_it,1,0)+Sens!D17228*IF(Sens!H17221-Sens!D17221=life_it,1,0)+Sens!E17228*IF(Sens!H17221-Sens!E17221=life_it,1,0)+Sens!F17228*IF(Sens!H17221-Sens!F17221=life_it,1,0)+Sens!G17228*IF(Sens!H17221-Sens!G17221=life_it,1,0)</f>
        <v>0</v>
      </c>
      <c r="I17249" s="30" t="n">
        <f aca="false">Sens!C17228*IF(Sens!I17221-Sens!C17221=life_it,1,0)+Sens!D17228*IF(Sens!I17221-Sens!D17221=life_it,1,0)+Sens!E17228*IF(Sens!I17221-Sens!E17221=life_it,1,0)+Sens!F17228*IF(Sens!I17221-Sens!F17221=life_it,1,0)+Sens!G17228*IF(Sens!I17221-Sens!G17221=life_it,1,0)+Sens!H17228*IF(Sens!I17221-Sens!H17221=life_it,1,0)</f>
        <v>816.666666666667</v>
      </c>
      <c r="J17249" s="30" t="n">
        <f aca="false">Sens!C17228*IF(Sens!J17221-Sens!C17221=life_it,1,0)+Sens!D17228*IF(Sens!J17221-Sens!D17221=life_it,1,0)+Sens!E17228*IF(Sens!J17221-Sens!E17221=life_it,1,0)+Sens!F17228*IF(Sens!J17221-Sens!F17221=life_it,1,0)+Sens!G17228*IF(Sens!J17221-Sens!G17221=life_it,1,0)+Sens!H17228*IF(Sens!J17221-Sens!H17221=life_it,1,0)+Sens!I17228*IF(Sens!J17221-Sens!I17221=life_it,1,0)</f>
        <v>1233.33333333333</v>
      </c>
      <c r="K17249" s="30" t="n">
        <f aca="false">Sens!C17228*IF(Sens!K17221-Sens!C17221=life_it,1,0)+Sens!D17228*IF(Sens!K17221-Sens!D17221=life_it,1,0)+Sens!E17228*IF(Sens!K17221-Sens!E17221=life_it,1,0)+Sens!F17228*IF(Sens!K17221-Sens!F17221=life_it,1,0)+Sens!G17228*IF(Sens!K17221-Sens!G17221=life_it,1,0)+Sens!H17228*IF(Sens!K17221-Sens!H17221=life_it,1,0)+Sens!I17228*IF(Sens!K17221-Sens!I17221=life_it,1,0)+Sens!J17228*IF(Sens!K17221-Sens!J17221=life_it,1,0)</f>
        <v>2450</v>
      </c>
      <c r="L17249" s="1" t="s">
        <v>990</v>
      </c>
    </row>
    <row r="17250" customFormat="false" ht="17.15" hidden="false" customHeight="false" outlineLevel="0" collapsed="false">
      <c r="A17250" s="0" t="s">
        <v>991</v>
      </c>
      <c r="B17250" s="0" t="s">
        <v>98</v>
      </c>
      <c r="C17250" s="6" t="n">
        <f aca="false">Sens!C17228*Sens!C17248/1000</f>
        <v>22.5333845916667</v>
      </c>
      <c r="D17250" s="6" t="n">
        <f aca="false">Sens!D17228*Sens!D17248/1000</f>
        <v>34.0300093833333</v>
      </c>
      <c r="E17250" s="6" t="n">
        <f aca="false">Sens!E17228*Sens!E17248/1000</f>
        <v>67.600153775</v>
      </c>
      <c r="F17250" s="6" t="n">
        <f aca="false">(Sens!F17228+Sens!F17249)*Sens!F17248/1000</f>
        <v>136.51872432512</v>
      </c>
      <c r="G17250" s="6" t="n">
        <f aca="false">(Sens!G17228+Sens!G17249)*Sens!G17248/1000</f>
        <v>157.399275932048</v>
      </c>
      <c r="H17250" s="6" t="n">
        <f aca="false">(Sens!H17228+Sens!H17249)*Sens!H17248/1000</f>
        <v>162.260804347512</v>
      </c>
      <c r="I17250" s="6" t="n">
        <f aca="false">(Sens!I17228+Sens!I17249)*Sens!I17248/1000</f>
        <v>144.136569485434</v>
      </c>
      <c r="J17250" s="6" t="n">
        <f aca="false">(Sens!J17228+Sens!J17249)*Sens!J17248/1000</f>
        <v>114.029037357864</v>
      </c>
      <c r="K17250" s="6" t="n">
        <f aca="false">(Sens!K17228+Sens!K17249)*Sens!K17248/1000</f>
        <v>113.437085350975</v>
      </c>
    </row>
    <row r="17251" customFormat="false" ht="17.15" hidden="false" customHeight="false" outlineLevel="0" collapsed="false">
      <c r="A17251" s="0" t="s">
        <v>992</v>
      </c>
      <c r="B17251" s="0" t="s">
        <v>98</v>
      </c>
      <c r="C17251" s="6" t="n">
        <f aca="false">Sens!C17228*self_build*tk_cxfac/1000</f>
        <v>6.2083</v>
      </c>
      <c r="D17251" s="6" t="n">
        <f aca="false">Sens!D17228*self_build*tk_cxfac/1000</f>
        <v>9.3758</v>
      </c>
      <c r="E17251" s="6" t="n">
        <f aca="false">Sens!E17228*self_build*tk_cxfac/1000</f>
        <v>18.6249</v>
      </c>
      <c r="F17251" s="6" t="n">
        <f aca="false">Sens!F17228*self_build*tk_cxfac/1000</f>
        <v>31.935179717</v>
      </c>
      <c r="G17251" s="6" t="n">
        <f aca="false">Sens!G17228*self_build*tk_cxfac/1000</f>
        <v>34.545199717</v>
      </c>
      <c r="H17251" s="6" t="n">
        <f aca="false">Sens!H17228*self_build*tk_cxfac/1000</f>
        <v>34.545199717</v>
      </c>
      <c r="I17251" s="6" t="n">
        <f aca="false">Sens!I17228*self_build*tk_cxfac/1000</f>
        <v>24.4782641361767</v>
      </c>
      <c r="J17251" s="6" t="n">
        <f aca="false">Sens!J17228*self_build*tk_cxfac/1000</f>
        <v>14.9008938380769</v>
      </c>
      <c r="K17251" s="6" t="n">
        <f aca="false">Sens!K17228*self_build*tk_cxfac/1000</f>
        <v>5.52576771375761</v>
      </c>
    </row>
    <row r="17252" customFormat="false" ht="17.15" hidden="false" customHeight="false" outlineLevel="0" collapsed="false">
      <c r="A17252" s="0" t="s">
        <v>993</v>
      </c>
      <c r="B17252" s="0" t="s">
        <v>98</v>
      </c>
      <c r="F17252" s="15" t="n">
        <f aca="false">capex_floor27-Sens!F17250-Sens!F17251-Sens!F17348</f>
        <v>1.94586576753863E-005</v>
      </c>
      <c r="L17252" s="12" t="s">
        <v>994</v>
      </c>
    </row>
    <row r="17253" customFormat="false" ht="17.15" hidden="false" customHeight="false" outlineLevel="0" collapsed="false">
      <c r="A17253" s="0" t="s">
        <v>995</v>
      </c>
      <c r="B17253" s="0" t="s">
        <v>98</v>
      </c>
      <c r="F17253" s="6" t="n">
        <f aca="false">MAX(0,Sens!F17252)</f>
        <v>1.94586576753863E-005</v>
      </c>
    </row>
    <row r="17254" customFormat="false" ht="17.15" hidden="false" customHeight="false" outlineLevel="0" collapsed="false">
      <c r="A17254" s="0" t="s">
        <v>996</v>
      </c>
      <c r="B17254" s="0" t="s">
        <v>98</v>
      </c>
      <c r="C17254" s="6" t="n">
        <f aca="false">Sens!C17250</f>
        <v>22.5333845916667</v>
      </c>
      <c r="D17254" s="6" t="n">
        <f aca="false">Sens!D17250</f>
        <v>34.0300093833333</v>
      </c>
      <c r="E17254" s="6" t="n">
        <f aca="false">Sens!E17250</f>
        <v>67.600153775</v>
      </c>
      <c r="F17254" s="6" t="n">
        <f aca="false">Sens!F17250</f>
        <v>136.51872432512</v>
      </c>
      <c r="G17254" s="6" t="n">
        <f aca="false">Sens!G17250</f>
        <v>157.399275932048</v>
      </c>
      <c r="H17254" s="6" t="n">
        <f aca="false">Sens!H17250</f>
        <v>162.260804347512</v>
      </c>
      <c r="I17254" s="6" t="n">
        <f aca="false">Sens!I17250</f>
        <v>144.136569485434</v>
      </c>
      <c r="J17254" s="6" t="n">
        <f aca="false">Sens!J17250</f>
        <v>114.029037357864</v>
      </c>
      <c r="K17254" s="6" t="n">
        <f aca="false">Sens!K17250</f>
        <v>113.437085350975</v>
      </c>
    </row>
    <row r="17255" customFormat="false" ht="17.15" hidden="false" customHeight="false" outlineLevel="0" collapsed="false">
      <c r="A17255" s="0" t="s">
        <v>997</v>
      </c>
      <c r="B17255" s="0" t="s">
        <v>98</v>
      </c>
      <c r="C17255" s="6" t="n">
        <f aca="false">Sens!C17254+Sens!C17251</f>
        <v>28.7416845916667</v>
      </c>
      <c r="D17255" s="6" t="n">
        <f aca="false">Sens!D17254+Sens!D17251</f>
        <v>43.4058093833333</v>
      </c>
      <c r="E17255" s="6" t="n">
        <f aca="false">Sens!E17254+Sens!E17251</f>
        <v>86.225053775</v>
      </c>
      <c r="F17255" s="6" t="n">
        <f aca="false">Sens!F17254+Sens!F17251</f>
        <v>168.45390404212</v>
      </c>
      <c r="G17255" s="6" t="n">
        <f aca="false">Sens!G17254+Sens!G17251</f>
        <v>191.944475649048</v>
      </c>
      <c r="H17255" s="6" t="n">
        <f aca="false">Sens!H17254+Sens!H17251</f>
        <v>196.806004064512</v>
      </c>
      <c r="I17255" s="6" t="n">
        <f aca="false">Sens!I17254+Sens!I17251</f>
        <v>168.61483362161</v>
      </c>
      <c r="J17255" s="6" t="n">
        <f aca="false">Sens!J17254+Sens!J17251</f>
        <v>128.92993119594</v>
      </c>
      <c r="K17255" s="6" t="n">
        <f aca="false">Sens!K17254+Sens!K17251</f>
        <v>118.962853064733</v>
      </c>
      <c r="L17255" s="12" t="s">
        <v>998</v>
      </c>
    </row>
    <row r="17256" customFormat="false" ht="17.15" hidden="false" customHeight="false" outlineLevel="0" collapsed="false">
      <c r="A17256" s="0" t="s">
        <v>999</v>
      </c>
      <c r="B17256" s="0" t="s">
        <v>98</v>
      </c>
      <c r="E17256" s="6" t="n">
        <f aca="false">(Sens!C17254*IF(2&lt;life_it,1,IF(2=life_it,0.5,0))+Sens!D17254*IF(1&lt;life_it,1,IF(1=life_it,0.5,0))+Sens!E17254*0.5)/life_it</f>
        <v>15.0605784770833</v>
      </c>
      <c r="F17256" s="6" t="n">
        <f aca="false">(Sens!C17254*IF(3&lt;life_it,1,IF(3=life_it,0.5,0))+Sens!D17254*IF(2&lt;life_it,1,IF(2=life_it,0.5,0))+Sens!E17254*IF(1&lt;life_it,1,IF(1=life_it,0.5,0))+Sens!F17254*0.5)/life_it</f>
        <v>32.0704849854266</v>
      </c>
      <c r="G17256" s="6" t="n">
        <f aca="false">(Sens!C17254*IF(4&lt;life_it,1,IF(4=life_it,0.5,0))+Sens!D17254*IF(3&lt;life_it,1,IF(3=life_it,0.5,0))+Sens!E17254*IF(2&lt;life_it,1,IF(2=life_it,0.5,0))+Sens!F17254*IF(1&lt;life_it,1,IF(1=life_it,0.5,0))+Sens!G17254*0.5)/life_it</f>
        <v>56.5636516735239</v>
      </c>
      <c r="H17256" s="6" t="n">
        <f aca="false">(Sens!C17254*IF(5&lt;life_it,1,IF(5=life_it,0.5,0))+Sens!D17254*IF(4&lt;life_it,1,IF(4=life_it,0.5,0))+Sens!E17254*IF(3&lt;life_it,1,IF(3=life_it,0.5,0))+Sens!F17254*IF(2&lt;life_it,1,IF(2=life_it,0.5,0))+Sens!G17254*IF(1&lt;life_it,1,IF(1=life_it,0.5,0))+Sens!H17254*0.5)/life_it</f>
        <v>83.2019916968207</v>
      </c>
      <c r="I17256" s="6" t="n">
        <f aca="false">(Sens!C17254*IF(6&lt;life_it,1,IF(6=life_it,0.5,0))+Sens!D17254*IF(5&lt;life_it,1,IF(5=life_it,0.5,0))+Sens!E17254*IF(4&lt;life_it,1,IF(4=life_it,0.5,0))+Sens!F17254*IF(3&lt;life_it,1,IF(3=life_it,0.5,0))+Sens!G17254*IF(2&lt;life_it,1,IF(2=life_it,0.5,0))+Sens!H17254*IF(1&lt;life_it,1,IF(1=life_it,0.5,0))+Sens!I17254*0.5)/life_it</f>
        <v>106.857324133594</v>
      </c>
      <c r="J17256" s="6" t="n">
        <f aca="false">(Sens!C17254*IF(7&lt;life_it,1,IF(7=life_it,0.5,0))+Sens!D17254*IF(6&lt;life_it,1,IF(6=life_it,0.5,0))+Sens!E17254*IF(5&lt;life_it,1,IF(5=life_it,0.5,0))+Sens!F17254*IF(4&lt;life_it,1,IF(4=life_it,0.5,0))+Sens!G17254*IF(3&lt;life_it,1,IF(3=life_it,0.5,0))+Sens!H17254*IF(2&lt;life_it,1,IF(2=life_it,0.5,0))+Sens!I17254*IF(1&lt;life_it,1,IF(1=life_it,0.5,0))+Sens!J17254*0.5)/life_it</f>
        <v>123.657508539285</v>
      </c>
      <c r="K17256" s="6" t="n">
        <f aca="false">(Sens!C17254*IF(8&lt;life_it,1,IF(8=life_it,0.5,0))+Sens!D17254*IF(7&lt;life_it,1,IF(7=life_it,0.5,0))+Sens!E17254*IF(6&lt;life_it,1,IF(6=life_it,0.5,0))+Sens!F17254*IF(5&lt;life_it,1,IF(5=life_it,0.5,0))+Sens!G17254*IF(4&lt;life_it,1,IF(4=life_it,0.5,0))+Sens!H17254*IF(3&lt;life_it,1,IF(3=life_it,0.5,0))+Sens!I17254*IF(2&lt;life_it,1,IF(2=life_it,0.5,0))+Sens!J17254*IF(1&lt;life_it,1,IF(1=life_it,0.5,0))+Sens!K17254*0.5)/life_it</f>
        <v>134.143838501827</v>
      </c>
    </row>
    <row r="17257" customFormat="false" ht="17.15" hidden="false" customHeight="false" outlineLevel="0" collapsed="false">
      <c r="A17257" s="0" t="s">
        <v>1000</v>
      </c>
      <c r="B17257" s="0" t="s">
        <v>98</v>
      </c>
      <c r="E17257" s="6" t="n">
        <f aca="false">(Sens!C17251*IF(2&lt;life_fac,1,IF(2=life_fac,0.5,0))+Sens!D17251*IF(1&lt;life_fac,1,IF(1=life_fac,0.5,0))+Sens!E17251*0.5)/life_fac</f>
        <v>1.2448275</v>
      </c>
      <c r="F17257" s="6" t="n">
        <f aca="false">(Sens!C17251*IF(3&lt;life_fac,1,IF(3=life_fac,0.5,0))+Sens!D17251*IF(2&lt;life_fac,1,IF(2=life_fac,0.5,0))+Sens!E17251*IF(1&lt;life_fac,1,IF(1=life_fac,0.5,0))+Sens!F17251*0.5)/life_fac</f>
        <v>2.508829492925</v>
      </c>
      <c r="G17257" s="6" t="n">
        <f aca="false">(Sens!C17251*IF(4&lt;life_fac,1,IF(4=life_fac,0.5,0))+Sens!D17251*IF(3&lt;life_fac,1,IF(3=life_fac,0.5,0))+Sens!E17251*IF(2&lt;life_fac,1,IF(2=life_fac,0.5,0))+Sens!F17251*IF(1&lt;life_fac,1,IF(1=life_fac,0.5,0))+Sens!G17251*0.5)/life_fac</f>
        <v>4.170838978775</v>
      </c>
      <c r="H17257" s="6" t="n">
        <f aca="false">(Sens!C17251*IF(5&lt;life_fac,1,IF(5=life_fac,0.5,0))+Sens!D17251*IF(4&lt;life_fac,1,IF(4=life_fac,0.5,0))+Sens!E17251*IF(3&lt;life_fac,1,IF(3=life_fac,0.5,0))+Sens!F17251*IF(2&lt;life_fac,1,IF(2=life_fac,0.5,0))+Sens!G17251*IF(1&lt;life_fac,1,IF(1=life_fac,0.5,0))+Sens!H17251*0.5)/life_fac</f>
        <v>5.898098964625</v>
      </c>
      <c r="I17257" s="6" t="n">
        <f aca="false">(Sens!C17251*IF(6&lt;life_fac,1,IF(6=life_fac,0.5,0))+Sens!D17251*IF(5&lt;life_fac,1,IF(5=life_fac,0.5,0))+Sens!E17251*IF(4&lt;life_fac,1,IF(4=life_fac,0.5,0))+Sens!F17251*IF(3&lt;life_fac,1,IF(3=life_fac,0.5,0))+Sens!G17251*IF(2&lt;life_fac,1,IF(2=life_fac,0.5,0))+Sens!H17251*IF(1&lt;life_fac,1,IF(1=life_fac,0.5,0))+Sens!I17251*0.5)/life_fac</f>
        <v>7.37368556095442</v>
      </c>
      <c r="J17257" s="6" t="n">
        <f aca="false">(Sens!C17251*IF(7&lt;life_fac,1,IF(7=life_fac,0.5,0))+Sens!D17251*IF(6&lt;life_fac,1,IF(6=life_fac,0.5,0))+Sens!E17251*IF(5&lt;life_fac,1,IF(5=life_fac,0.5,0))+Sens!F17251*IF(4&lt;life_fac,1,IF(4=life_fac,0.5,0))+Sens!G17251*IF(3&lt;life_fac,1,IF(3=life_fac,0.5,0))+Sens!H17251*IF(2&lt;life_fac,1,IF(2=life_fac,0.5,0))+Sens!I17251*IF(1&lt;life_fac,1,IF(1=life_fac,0.5,0))+Sens!J17251*0.5)/life_fac</f>
        <v>8.35816451031075</v>
      </c>
      <c r="K17257" s="6" t="n">
        <f aca="false">(Sens!C17251*IF(8&lt;life_fac,1,IF(8=life_fac,0.5,0))+Sens!D17251*IF(7&lt;life_fac,1,IF(7=life_fac,0.5,0))+Sens!E17251*IF(6&lt;life_fac,1,IF(6=life_fac,0.5,0))+Sens!F17251*IF(5&lt;life_fac,1,IF(5=life_fac,0.5,0))+Sens!G17251*IF(4&lt;life_fac,1,IF(4=life_fac,0.5,0))+Sens!H17251*IF(3&lt;life_fac,1,IF(3=life_fac,0.5,0))+Sens!I17251*IF(2&lt;life_fac,1,IF(2=life_fac,0.5,0))+Sens!J17251*IF(1&lt;life_fac,1,IF(1=life_fac,0.5,0))+Sens!K17251*0.5)/life_fac</f>
        <v>8.86883104910662</v>
      </c>
    </row>
    <row r="17258" customFormat="false" ht="17.15" hidden="false" customHeight="false" outlineLevel="0" collapsed="false">
      <c r="A17258" s="0" t="s">
        <v>1001</v>
      </c>
      <c r="B17258" s="0" t="s">
        <v>98</v>
      </c>
      <c r="E17258" s="6" t="n">
        <f aca="false">Sens!E17256+Sens!E17257</f>
        <v>16.3054059770833</v>
      </c>
      <c r="F17258" s="6" t="n">
        <f aca="false">Sens!F17256+Sens!F17257</f>
        <v>34.5793144783516</v>
      </c>
      <c r="G17258" s="6" t="n">
        <f aca="false">Sens!G17256+Sens!G17257</f>
        <v>60.7344906522989</v>
      </c>
      <c r="H17258" s="6" t="n">
        <f aca="false">Sens!H17256+Sens!H17257</f>
        <v>89.1000906614457</v>
      </c>
      <c r="I17258" s="6" t="n">
        <f aca="false">Sens!I17256+Sens!I17257</f>
        <v>114.231009694548</v>
      </c>
      <c r="J17258" s="6" t="n">
        <f aca="false">Sens!J17256+Sens!J17257</f>
        <v>132.015673049596</v>
      </c>
      <c r="K17258" s="6" t="n">
        <f aca="false">Sens!K17256+Sens!K17257</f>
        <v>143.012669550934</v>
      </c>
    </row>
    <row r="17259" customFormat="false" ht="17.15" hidden="false" customHeight="false" outlineLevel="0" collapsed="false">
      <c r="A17259" s="0" t="s">
        <v>1002</v>
      </c>
      <c r="B17259" s="0" t="s">
        <v>98</v>
      </c>
      <c r="E17259" s="6" t="n">
        <f aca="false">Sens!E17246-Sens!E17245*Sens!E17258</f>
        <v>8.92707889977379</v>
      </c>
      <c r="F17259" s="6" t="n">
        <f aca="false">Sens!F17246-Sens!F17245*Sens!F17258</f>
        <v>18.7770356668733</v>
      </c>
      <c r="G17259" s="6" t="n">
        <f aca="false">Sens!G17246-Sens!G17245*Sens!G17258</f>
        <v>31.1163641458894</v>
      </c>
      <c r="H17259" s="6" t="n">
        <f aca="false">Sens!H17246-Sens!H17245*Sens!H17258</f>
        <v>43.7262635496428</v>
      </c>
      <c r="I17259" s="6" t="n">
        <f aca="false">Sens!I17246-Sens!I17245*Sens!I17258</f>
        <v>54.7541698336361</v>
      </c>
      <c r="J17259" s="6" t="n">
        <f aca="false">Sens!J17246-Sens!J17245*Sens!J17258</f>
        <v>62.3768819327658</v>
      </c>
      <c r="K17259" s="6" t="n">
        <f aca="false">Sens!K17246-Sens!K17245*Sens!K17258</f>
        <v>67.4820630434748</v>
      </c>
    </row>
    <row r="17260" customFormat="false" ht="17.15" hidden="false" customHeight="false" outlineLevel="0" collapsed="false">
      <c r="A17260" s="3" t="s">
        <v>1905</v>
      </c>
    </row>
    <row r="17261" customFormat="false" ht="15" hidden="false" customHeight="false" outlineLevel="0" collapsed="false">
      <c r="A17261" s="4" t="s">
        <v>43</v>
      </c>
      <c r="B17261" s="4" t="s">
        <v>65</v>
      </c>
      <c r="C17261" s="23" t="s">
        <v>938</v>
      </c>
      <c r="D17261" s="23" t="s">
        <v>939</v>
      </c>
      <c r="E17261" s="23" t="s">
        <v>940</v>
      </c>
      <c r="F17261" s="23" t="s">
        <v>941</v>
      </c>
      <c r="G17261" s="23" t="s">
        <v>942</v>
      </c>
      <c r="H17261" s="23" t="s">
        <v>943</v>
      </c>
      <c r="I17261" s="23" t="s">
        <v>944</v>
      </c>
      <c r="J17261" s="23" t="s">
        <v>945</v>
      </c>
      <c r="K17261" s="23" t="s">
        <v>946</v>
      </c>
      <c r="L17261" s="4" t="s">
        <v>47</v>
      </c>
    </row>
    <row r="17262" customFormat="false" ht="17.15" hidden="false" customHeight="false" outlineLevel="0" collapsed="false">
      <c r="A17262" s="0" t="s">
        <v>1021</v>
      </c>
      <c r="B17262" s="0" t="s">
        <v>98</v>
      </c>
      <c r="D17262" s="6" t="n">
        <f aca="false">Sens!D17240</f>
        <v>12.9359794422418</v>
      </c>
      <c r="E17262" s="6" t="n">
        <f aca="false">Sens!E17240</f>
        <v>27.8095064661409</v>
      </c>
      <c r="F17262" s="6" t="n">
        <f aca="false">Sens!F17240</f>
        <v>55.4118315060966</v>
      </c>
      <c r="G17262" s="6" t="n">
        <f aca="false">Sens!G17240</f>
        <v>91.2881100675143</v>
      </c>
      <c r="H17262" s="6" t="n">
        <f aca="false">Sens!H17240</f>
        <v>128.195273603944</v>
      </c>
      <c r="I17262" s="6" t="n">
        <f aca="false">Sens!I17240</f>
        <v>160.601281810405</v>
      </c>
      <c r="J17262" s="6" t="n">
        <f aca="false">Sens!J17240</f>
        <v>183.182719793589</v>
      </c>
      <c r="K17262" s="6" t="n">
        <f aca="false">Sens!K17240</f>
        <v>197.320124937098</v>
      </c>
    </row>
    <row r="17263" customFormat="false" ht="17.15" hidden="false" customHeight="false" outlineLevel="0" collapsed="false">
      <c r="A17263" s="0" t="s">
        <v>1022</v>
      </c>
      <c r="B17263" s="0" t="s">
        <v>98</v>
      </c>
      <c r="D17263" s="6" t="n">
        <f aca="false">Q!L6-Sens!D17262</f>
        <v>59.6740205577583</v>
      </c>
      <c r="E17263" s="6" t="n">
        <f aca="false">Q!M6-Sens!E17262</f>
        <v>74.1284935338591</v>
      </c>
      <c r="F17263" s="6" t="n">
        <f aca="false">Q!$I$6+(Sens!F17262+Sens!E17263*(1+Sens!F17264))*(1-Q!$E$6/Q!M6)-Sens!F17262</f>
        <v>91.2972164940844</v>
      </c>
      <c r="G17263" s="6" t="n">
        <f aca="false">Sens!F17263*(1+Sens!G17264)</f>
        <v>108.474719793879</v>
      </c>
      <c r="H17263" s="6" t="n">
        <f aca="false">Sens!G17263*(1+Sens!H17264)</f>
        <v>125.951292505701</v>
      </c>
      <c r="I17263" s="6" t="n">
        <f aca="false">Sens!H17263*(1+Sens!I17264)</f>
        <v>142.838165154212</v>
      </c>
      <c r="J17263" s="6" t="n">
        <f aca="false">Sens!I17263*(1+Sens!J17264)</f>
        <v>158.12717866615</v>
      </c>
      <c r="K17263" s="6" t="n">
        <f aca="false">Sens!J17263*(1+Sens!K17264)</f>
        <v>170.777352959442</v>
      </c>
      <c r="L17263" s="12" t="s">
        <v>1023</v>
      </c>
    </row>
    <row r="17264" customFormat="false" ht="15" hidden="false" customHeight="false" outlineLevel="0" collapsed="false">
      <c r="A17264" s="1" t="s">
        <v>1024</v>
      </c>
      <c r="B17264" s="0" t="s">
        <v>168</v>
      </c>
      <c r="E17264" s="7" t="n">
        <f aca="false">Sens!E17263/Sens!D17263-1</f>
        <v>0.242223883039864</v>
      </c>
      <c r="F17264" s="7" t="n">
        <f aca="false">Sens!$E$17264+(glt_azo-Sens!$E$17264)*MIN(1,(Sens!F17221-base_fy)/n_conv)</f>
        <v>0.215186569199887</v>
      </c>
      <c r="G17264" s="7" t="n">
        <f aca="false">Sens!$E$17264+(glt_azo-Sens!$E$17264)*MIN(1,(Sens!G17221-base_fy)/n_conv)</f>
        <v>0.18814925535991</v>
      </c>
      <c r="H17264" s="7" t="n">
        <f aca="false">Sens!$E$17264+(glt_azo-Sens!$E$17264)*MIN(1,(Sens!H17221-base_fy)/n_conv)</f>
        <v>0.161111941519932</v>
      </c>
      <c r="I17264" s="7" t="n">
        <f aca="false">Sens!$E$17264+(glt_azo-Sens!$E$17264)*MIN(1,(Sens!I17221-base_fy)/n_conv)</f>
        <v>0.134074627679955</v>
      </c>
      <c r="J17264" s="7" t="n">
        <f aca="false">Sens!$E$17264+(glt_azo-Sens!$E$17264)*MIN(1,(Sens!J17221-base_fy)/n_conv)</f>
        <v>0.107037313839977</v>
      </c>
      <c r="K17264" s="7" t="n">
        <f aca="false">Sens!$E$17264+(glt_azo-Sens!$E$17264)*MIN(1,(Sens!K17221-base_fy)/n_conv)</f>
        <v>0.08</v>
      </c>
    </row>
    <row r="17265" customFormat="false" ht="15" hidden="false" customHeight="false" outlineLevel="0" collapsed="false">
      <c r="A17265" s="0" t="s">
        <v>1025</v>
      </c>
      <c r="B17265" s="0" t="s">
        <v>98</v>
      </c>
      <c r="D17265" s="6" t="n">
        <f aca="false">Sens!D17262+Sens!D17263</f>
        <v>72.61</v>
      </c>
      <c r="E17265" s="6" t="n">
        <f aca="false">Sens!E17262+Sens!E17263</f>
        <v>101.938</v>
      </c>
      <c r="F17265" s="6" t="n">
        <f aca="false">Sens!F17262+Sens!F17263</f>
        <v>146.709048000181</v>
      </c>
      <c r="G17265" s="6" t="n">
        <f aca="false">Sens!G17262+Sens!G17263</f>
        <v>199.762829861393</v>
      </c>
      <c r="H17265" s="6" t="n">
        <f aca="false">Sens!H17262+Sens!H17263</f>
        <v>254.146566109645</v>
      </c>
      <c r="I17265" s="6" t="n">
        <f aca="false">Sens!I17262+Sens!I17263</f>
        <v>303.439446964617</v>
      </c>
      <c r="J17265" s="6" t="n">
        <f aca="false">Sens!J17262+Sens!J17263</f>
        <v>341.309898459739</v>
      </c>
      <c r="K17265" s="6" t="n">
        <f aca="false">Sens!K17262+Sens!K17263</f>
        <v>368.09747789654</v>
      </c>
    </row>
    <row r="17266" customFormat="false" ht="17.15" hidden="false" customHeight="false" outlineLevel="0" collapsed="false">
      <c r="A17266" s="0" t="s">
        <v>1026</v>
      </c>
      <c r="B17266" s="1" t="s">
        <v>610</v>
      </c>
      <c r="C17266" s="30" t="n">
        <f aca="false">cop_s24</f>
        <v>1</v>
      </c>
      <c r="D17266" s="30" t="n">
        <f aca="false">cop_s25</f>
        <v>5</v>
      </c>
      <c r="E17266" s="30" t="n">
        <f aca="false">cop_s26</f>
        <v>30</v>
      </c>
      <c r="F17266" s="30" t="n">
        <f aca="false">Sens!E17266+cop_add_B</f>
        <v>50</v>
      </c>
      <c r="G17266" s="30" t="n">
        <f aca="false">Sens!F17266+cop_add_B</f>
        <v>70</v>
      </c>
      <c r="H17266" s="30" t="n">
        <f aca="false">Sens!G17266+cop_add_B</f>
        <v>90</v>
      </c>
      <c r="I17266" s="30" t="n">
        <f aca="false">Sens!H17266+cop_add_B*cop_tail</f>
        <v>100</v>
      </c>
      <c r="J17266" s="30" t="n">
        <f aca="false">Sens!I17266+cop_add_B*cop_tail</f>
        <v>110</v>
      </c>
      <c r="K17266" s="30" t="n">
        <f aca="false">Sens!J17266+cop_add_B*cop_tail</f>
        <v>120</v>
      </c>
      <c r="L17266" s="12" t="s">
        <v>1027</v>
      </c>
    </row>
    <row r="17267" customFormat="false" ht="17.15" hidden="false" customHeight="false" outlineLevel="0" collapsed="false">
      <c r="A17267" s="0" t="s">
        <v>1028</v>
      </c>
      <c r="B17267" s="0" t="s">
        <v>98</v>
      </c>
      <c r="D17267" s="6" t="n">
        <f aca="false">(Sens!C17266+Sens!D17266)/2*cop_px*12/1000</f>
        <v>0.9</v>
      </c>
      <c r="E17267" s="6" t="n">
        <f aca="false">(Sens!D17266+Sens!E17266)/2*cop_px*12/1000</f>
        <v>5.25</v>
      </c>
      <c r="F17267" s="6" t="n">
        <f aca="false">(Sens!E17266+Sens!F17266)/2*cop_px*12/1000</f>
        <v>12</v>
      </c>
      <c r="G17267" s="6" t="n">
        <f aca="false">(Sens!F17266+Sens!G17266)/2*cop_px*12/1000</f>
        <v>18</v>
      </c>
      <c r="H17267" s="6" t="n">
        <f aca="false">(Sens!G17266+Sens!H17266)/2*cop_px*12/1000</f>
        <v>24</v>
      </c>
      <c r="I17267" s="6" t="n">
        <f aca="false">(Sens!H17266+Sens!I17266)/2*cop_px*12/1000</f>
        <v>28.5</v>
      </c>
      <c r="J17267" s="6" t="n">
        <f aca="false">(Sens!I17266+Sens!J17266)/2*cop_px*12/1000</f>
        <v>31.5</v>
      </c>
      <c r="K17267" s="6" t="n">
        <f aca="false">(Sens!J17266+Sens!K17266)/2*cop_px*12/1000</f>
        <v>34.5</v>
      </c>
      <c r="L17267" s="1" t="s">
        <v>1029</v>
      </c>
    </row>
    <row r="17268" customFormat="false" ht="17.15" hidden="false" customHeight="false" outlineLevel="0" collapsed="false">
      <c r="A17268" s="0" t="s">
        <v>1030</v>
      </c>
      <c r="B17268" s="0" t="s">
        <v>98</v>
      </c>
      <c r="D17268" s="6" t="n">
        <f aca="false">Q!L7-Sens!D17267</f>
        <v>83.705</v>
      </c>
      <c r="E17268" s="6" t="n">
        <f aca="false">Q!M7-Sens!E17267</f>
        <v>95.049</v>
      </c>
      <c r="F17268" s="6" t="n">
        <f aca="false">Q!$I$7+(Sens!E17268*(1+Sens!F17269)+Sens!F17267)*(1-Q!$E$7/Q!M7)-Sens!F17267</f>
        <v>106.584003697747</v>
      </c>
      <c r="G17268" s="6" t="n">
        <f aca="false">Sens!F17268*(1+Sens!G17269)</f>
        <v>118.700726545688</v>
      </c>
      <c r="H17268" s="6" t="n">
        <f aca="false">Sens!G17268*(1+Sens!H17269)</f>
        <v>130.898624783666</v>
      </c>
      <c r="I17268" s="6" t="n">
        <f aca="false">Sens!H17268*(1+Sens!I17269)</f>
        <v>142.920510030657</v>
      </c>
      <c r="J17268" s="6" t="n">
        <f aca="false">Sens!I17268*(1+Sens!J17269)</f>
        <v>154.485722618572</v>
      </c>
      <c r="K17268" s="6" t="n">
        <f aca="false">Sens!J17268*(1+Sens!K17269)</f>
        <v>165.299723201872</v>
      </c>
      <c r="L17268" s="12" t="s">
        <v>1031</v>
      </c>
    </row>
    <row r="17269" customFormat="false" ht="15" hidden="false" customHeight="false" outlineLevel="0" collapsed="false">
      <c r="A17269" s="1" t="s">
        <v>1024</v>
      </c>
      <c r="B17269" s="0" t="s">
        <v>168</v>
      </c>
      <c r="E17269" s="7" t="n">
        <f aca="false">Sens!E17268/Sens!D17268-1</f>
        <v>0.135523564900544</v>
      </c>
      <c r="F17269" s="7" t="n">
        <f aca="false">Sens!$E$17269+(glt_m365b-Sens!$E$17269)*MIN(1,(Sens!F17221-base_fy)/n_conv)</f>
        <v>0.124602970750453</v>
      </c>
      <c r="G17269" s="7" t="n">
        <f aca="false">Sens!$E$17269+(glt_m365b-Sens!$E$17269)*MIN(1,(Sens!G17221-base_fy)/n_conv)</f>
        <v>0.113682376600363</v>
      </c>
      <c r="H17269" s="7" t="n">
        <f aca="false">Sens!$E$17269+(glt_m365b-Sens!$E$17269)*MIN(1,(Sens!H17221-base_fy)/n_conv)</f>
        <v>0.102761782450272</v>
      </c>
      <c r="I17269" s="7" t="n">
        <f aca="false">Sens!$E$17269+(glt_m365b-Sens!$E$17269)*MIN(1,(Sens!I17221-base_fy)/n_conv)</f>
        <v>0.0918411883001813</v>
      </c>
      <c r="J17269" s="7" t="n">
        <f aca="false">Sens!$E$17269+(glt_m365b-Sens!$E$17269)*MIN(1,(Sens!J17221-base_fy)/n_conv)</f>
        <v>0.0809205941500906</v>
      </c>
      <c r="K17269" s="7" t="n">
        <f aca="false">Sens!$E$17269+(glt_m365b-Sens!$E$17269)*MIN(1,(Sens!K17221-base_fy)/n_conv)</f>
        <v>0.07</v>
      </c>
    </row>
    <row r="17270" customFormat="false" ht="15" hidden="false" customHeight="false" outlineLevel="0" collapsed="false">
      <c r="A17270" s="0" t="s">
        <v>1032</v>
      </c>
      <c r="B17270" s="0" t="s">
        <v>98</v>
      </c>
      <c r="D17270" s="6" t="n">
        <f aca="false">Sens!D17268+Sens!D17267</f>
        <v>84.605</v>
      </c>
      <c r="E17270" s="6" t="n">
        <f aca="false">Sens!E17268+Sens!E17267</f>
        <v>100.299</v>
      </c>
      <c r="F17270" s="6" t="n">
        <f aca="false">Sens!F17268+Sens!F17267</f>
        <v>118.584003697747</v>
      </c>
      <c r="G17270" s="6" t="n">
        <f aca="false">Sens!G17268+Sens!G17267</f>
        <v>136.700726545688</v>
      </c>
      <c r="H17270" s="6" t="n">
        <f aca="false">Sens!H17268+Sens!H17267</f>
        <v>154.898624783666</v>
      </c>
      <c r="I17270" s="6" t="n">
        <f aca="false">Sens!I17268+Sens!I17267</f>
        <v>171.420510030657</v>
      </c>
      <c r="J17270" s="6" t="n">
        <f aca="false">Sens!J17268+Sens!J17267</f>
        <v>185.985722618572</v>
      </c>
      <c r="K17270" s="6" t="n">
        <f aca="false">Sens!K17268+Sens!K17267</f>
        <v>199.799723201872</v>
      </c>
    </row>
    <row r="17271" customFormat="false" ht="17.15" hidden="false" customHeight="false" outlineLevel="0" collapsed="false">
      <c r="A17271" s="0" t="s">
        <v>1033</v>
      </c>
      <c r="B17271" s="0" t="s">
        <v>98</v>
      </c>
      <c r="D17271" s="6" t="n">
        <f aca="false">Q!L8</f>
        <v>35.391</v>
      </c>
      <c r="E17271" s="6" t="n">
        <f aca="false">Q!M8</f>
        <v>37.285</v>
      </c>
      <c r="F17271" s="6" t="n">
        <f aca="false">Q!$I$8+(Q!M8-Q!$E$8)*(1+Sens!F17272)</f>
        <v>38.3851437782675</v>
      </c>
      <c r="G17271" s="6" t="n">
        <f aca="false">Sens!F17271*(1+Sens!G17272)</f>
        <v>40.0105353288615</v>
      </c>
      <c r="H17271" s="6" t="n">
        <f aca="false">Sens!G17271*(1+Sens!H17272)</f>
        <v>41.4812512033683</v>
      </c>
      <c r="I17271" s="6" t="n">
        <f aca="false">Sens!H17271*(1+Sens!I17272)</f>
        <v>42.7743107216329</v>
      </c>
      <c r="J17271" s="6" t="n">
        <f aca="false">Sens!I17271*(1+Sens!J17272)</f>
        <v>43.8687373064601</v>
      </c>
      <c r="K17271" s="6" t="n">
        <f aca="false">Sens!J17271*(1+Sens!K17272)</f>
        <v>44.7461120525893</v>
      </c>
      <c r="L17271" s="12" t="s">
        <v>1034</v>
      </c>
    </row>
    <row r="17272" customFormat="false" ht="15" hidden="false" customHeight="false" outlineLevel="0" collapsed="false">
      <c r="A17272" s="1" t="s">
        <v>1024</v>
      </c>
      <c r="B17272" s="0" t="s">
        <v>168</v>
      </c>
      <c r="E17272" s="7" t="n">
        <f aca="false">Sens!E17271/Sens!D17271-1</f>
        <v>0.0535164307309768</v>
      </c>
      <c r="F17272" s="7" t="n">
        <f aca="false">Sens!$E$17272+(glt_lic-Sens!$E$17272)*MIN(1,(Sens!F17221-base_fy)/n_conv)</f>
        <v>0.0479303589424807</v>
      </c>
      <c r="G17272" s="7" t="n">
        <f aca="false">Sens!$E$17272+(glt_lic-Sens!$E$17272)*MIN(1,(Sens!G17221-base_fy)/n_conv)</f>
        <v>0.0423442871539845</v>
      </c>
      <c r="H17272" s="7" t="n">
        <f aca="false">Sens!$E$17272+(glt_lic-Sens!$E$17272)*MIN(1,(Sens!H17221-base_fy)/n_conv)</f>
        <v>0.0367582153654884</v>
      </c>
      <c r="I17272" s="7" t="n">
        <f aca="false">Sens!$E$17272+(glt_lic-Sens!$E$17272)*MIN(1,(Sens!I17221-base_fy)/n_conv)</f>
        <v>0.0311721435769923</v>
      </c>
      <c r="J17272" s="7" t="n">
        <f aca="false">Sens!$E$17272+(glt_lic-Sens!$E$17272)*MIN(1,(Sens!J17221-base_fy)/n_conv)</f>
        <v>0.0255860717884961</v>
      </c>
      <c r="K17272" s="7" t="n">
        <f aca="false">Sens!$E$17272+(glt_lic-Sens!$E$17272)*MIN(1,(Sens!K17221-base_fy)/n_conv)</f>
        <v>0.02</v>
      </c>
    </row>
    <row r="17273" customFormat="false" ht="17.15" hidden="false" customHeight="false" outlineLevel="0" collapsed="false">
      <c r="A17273" s="0" t="s">
        <v>1035</v>
      </c>
      <c r="B17273" s="0" t="s">
        <v>98</v>
      </c>
      <c r="D17273" s="6" t="n">
        <f aca="false">Q!L9</f>
        <v>18.417</v>
      </c>
      <c r="E17273" s="6" t="n">
        <f aca="false">Q!M9</f>
        <v>20.345</v>
      </c>
      <c r="F17273" s="6" t="n">
        <f aca="false">Q!$I$9+(Q!M9-Q!$E$9)*(1+Sens!F17274)</f>
        <v>22.3161797133988</v>
      </c>
      <c r="G17273" s="6" t="n">
        <f aca="false">Sens!F17273*(1+Sens!G17274)</f>
        <v>24.3943499673233</v>
      </c>
      <c r="H17273" s="6" t="n">
        <f aca="false">Sens!G17273*(1+Sens!H17274)</f>
        <v>26.5250243109019</v>
      </c>
      <c r="I17273" s="6" t="n">
        <f aca="false">Sens!H17273*(1+Sens!I17274)</f>
        <v>28.6884573538181</v>
      </c>
      <c r="J17273" s="6" t="n">
        <f aca="false">Sens!I17273*(1+Sens!J17274)</f>
        <v>30.8624968052127</v>
      </c>
      <c r="K17273" s="6" t="n">
        <f aca="false">Sens!J17273*(1+Sens!K17274)</f>
        <v>33.0228715815776</v>
      </c>
      <c r="L17273" s="12" t="s">
        <v>1034</v>
      </c>
    </row>
    <row r="17274" customFormat="false" ht="15" hidden="false" customHeight="false" outlineLevel="0" collapsed="false">
      <c r="A17274" s="1" t="s">
        <v>1024</v>
      </c>
      <c r="B17274" s="0" t="s">
        <v>168</v>
      </c>
      <c r="E17274" s="7" t="n">
        <f aca="false">Sens!E17273/Sens!D17273-1</f>
        <v>0.104685888038225</v>
      </c>
      <c r="F17274" s="7" t="n">
        <f aca="false">Sens!$E$17274+(glt_ind-Sens!$E$17274)*MIN(1,(Sens!F17221-base_fy)/n_conv)</f>
        <v>0.0989049066985211</v>
      </c>
      <c r="G17274" s="7" t="n">
        <f aca="false">Sens!$E$17274+(glt_ind-Sens!$E$17274)*MIN(1,(Sens!G17221-base_fy)/n_conv)</f>
        <v>0.0931239253588169</v>
      </c>
      <c r="H17274" s="7" t="n">
        <f aca="false">Sens!$E$17274+(glt_ind-Sens!$E$17274)*MIN(1,(Sens!H17221-base_fy)/n_conv)</f>
        <v>0.0873429440191127</v>
      </c>
      <c r="I17274" s="7" t="n">
        <f aca="false">Sens!$E$17274+(glt_ind-Sens!$E$17274)*MIN(1,(Sens!I17221-base_fy)/n_conv)</f>
        <v>0.0815619626794085</v>
      </c>
      <c r="J17274" s="7" t="n">
        <f aca="false">Sens!$E$17274+(glt_ind-Sens!$E$17274)*MIN(1,(Sens!J17221-base_fy)/n_conv)</f>
        <v>0.0757809813397042</v>
      </c>
      <c r="K17274" s="7" t="n">
        <f aca="false">Sens!$E$17274+(glt_ind-Sens!$E$17274)*MIN(1,(Sens!K17221-base_fy)/n_conv)</f>
        <v>0.07</v>
      </c>
    </row>
    <row r="17275" customFormat="false" ht="17.15" hidden="false" customHeight="false" outlineLevel="0" collapsed="false">
      <c r="A17275" s="0" t="s">
        <v>1036</v>
      </c>
      <c r="B17275" s="0" t="s">
        <v>98</v>
      </c>
      <c r="D17275" s="6" t="n">
        <f aca="false">Q!L10</f>
        <v>7.76</v>
      </c>
      <c r="E17275" s="6" t="n">
        <f aca="false">Q!M10</f>
        <v>8.26</v>
      </c>
      <c r="F17275" s="6" t="n">
        <f aca="false">Q!$I$10+(Q!M10-Q!$E$10)*(1+Sens!F17276)</f>
        <v>8.75372082474227</v>
      </c>
      <c r="G17275" s="6" t="n">
        <f aca="false">Sens!F17275*(1+Sens!G17276)</f>
        <v>9.33399324642364</v>
      </c>
      <c r="H17275" s="6" t="n">
        <f aca="false">Sens!G17275*(1+Sens!H17276)</f>
        <v>9.96139155535851</v>
      </c>
      <c r="I17275" s="6" t="n">
        <f aca="false">Sens!H17275*(1+Sens!I17276)</f>
        <v>10.6402039077391</v>
      </c>
      <c r="J17275" s="6" t="n">
        <f aca="false">Sens!I17275*(1+Sens!J17276)</f>
        <v>11.3751458271397</v>
      </c>
      <c r="K17275" s="6" t="n">
        <f aca="false">Sens!J17275*(1+Sens!K17276)</f>
        <v>12.1714060350394</v>
      </c>
      <c r="L17275" s="12" t="s">
        <v>1034</v>
      </c>
    </row>
    <row r="17276" customFormat="false" ht="15" hidden="false" customHeight="false" outlineLevel="0" collapsed="false">
      <c r="A17276" s="1" t="s">
        <v>1024</v>
      </c>
      <c r="B17276" s="0" t="s">
        <v>168</v>
      </c>
      <c r="E17276" s="7" t="n">
        <f aca="false">Sens!E17275/Sens!D17275-1</f>
        <v>0.0644329896907216</v>
      </c>
      <c r="F17276" s="7" t="n">
        <f aca="false">Sens!$E$17276+(glt_fro-Sens!$E$17276)*MIN(1,(Sens!F17221-base_fy)/n_conv)</f>
        <v>0.065360824742268</v>
      </c>
      <c r="G17276" s="7" t="n">
        <f aca="false">Sens!$E$17276+(glt_fro-Sens!$E$17276)*MIN(1,(Sens!G17221-base_fy)/n_conv)</f>
        <v>0.0662886597938144</v>
      </c>
      <c r="H17276" s="7" t="n">
        <f aca="false">Sens!$E$17276+(glt_fro-Sens!$E$17276)*MIN(1,(Sens!H17221-base_fy)/n_conv)</f>
        <v>0.0672164948453608</v>
      </c>
      <c r="I17276" s="7" t="n">
        <f aca="false">Sens!$E$17276+(glt_fro-Sens!$E$17276)*MIN(1,(Sens!I17221-base_fy)/n_conv)</f>
        <v>0.0681443298969072</v>
      </c>
      <c r="J17276" s="7" t="n">
        <f aca="false">Sens!$E$17276+(glt_fro-Sens!$E$17276)*MIN(1,(Sens!J17221-base_fy)/n_conv)</f>
        <v>0.0690721649484536</v>
      </c>
      <c r="K17276" s="7" t="n">
        <f aca="false">Sens!$E$17276+(glt_fro-Sens!$E$17276)*MIN(1,(Sens!K17221-base_fy)/n_conv)</f>
        <v>0.07</v>
      </c>
    </row>
    <row r="17277" customFormat="false" ht="15" hidden="false" customHeight="false" outlineLevel="0" collapsed="false">
      <c r="A17277" s="0" t="s">
        <v>852</v>
      </c>
      <c r="B17277" s="0" t="s">
        <v>98</v>
      </c>
      <c r="D17277" s="6" t="n">
        <f aca="false">Sens!D17265+Sens!D17270+Sens!D17271+Sens!D17273+Sens!D17275</f>
        <v>218.783</v>
      </c>
      <c r="E17277" s="6" t="n">
        <f aca="false">Sens!E17265+Sens!E17270+Sens!E17271+Sens!E17273+Sens!E17275</f>
        <v>268.127</v>
      </c>
      <c r="F17277" s="6" t="n">
        <f aca="false">Sens!F17265+Sens!F17270+Sens!F17271+Sens!F17273+Sens!F17275</f>
        <v>334.748096014336</v>
      </c>
      <c r="G17277" s="6" t="n">
        <f aca="false">Sens!G17265+Sens!G17270+Sens!G17271+Sens!G17273+Sens!G17275</f>
        <v>410.20243494969</v>
      </c>
      <c r="H17277" s="6" t="n">
        <f aca="false">Sens!H17265+Sens!H17270+Sens!H17271+Sens!H17273+Sens!H17275</f>
        <v>487.012857962939</v>
      </c>
      <c r="I17277" s="6" t="n">
        <f aca="false">Sens!I17265+Sens!I17270+Sens!I17271+Sens!I17273+Sens!I17275</f>
        <v>556.962928978464</v>
      </c>
      <c r="J17277" s="6" t="n">
        <f aca="false">Sens!J17265+Sens!J17270+Sens!J17271+Sens!J17273+Sens!J17275</f>
        <v>613.402001017124</v>
      </c>
      <c r="K17277" s="6" t="n">
        <f aca="false">Sens!K17265+Sens!K17270+Sens!K17271+Sens!K17273+Sens!K17275</f>
        <v>657.837590767618</v>
      </c>
    </row>
    <row r="17278" customFormat="false" ht="17.15" hidden="false" customHeight="false" outlineLevel="0" collapsed="false">
      <c r="A17278" s="0" t="s">
        <v>1037</v>
      </c>
      <c r="B17278" s="0" t="s">
        <v>98</v>
      </c>
      <c r="D17278" s="6" t="n">
        <f aca="false">Q!L13</f>
        <v>22.171</v>
      </c>
      <c r="E17278" s="6" t="n">
        <f aca="false">Q!M13</f>
        <v>24.835</v>
      </c>
      <c r="F17278" s="6" t="n">
        <f aca="false">Q!$I$13+(Q!M13-Q!$E$13)*(1+Sens!F17279)</f>
        <v>27.5591895660247</v>
      </c>
      <c r="G17278" s="6" t="n">
        <f aca="false">Sens!F17278*(1+Sens!G17279)</f>
        <v>30.4098563144583</v>
      </c>
      <c r="H17278" s="6" t="n">
        <f aca="false">Sens!G17278*(1+Sens!H17279)</f>
        <v>33.3011792571777</v>
      </c>
      <c r="I17278" s="6" t="n">
        <f aca="false">Sens!H17278*(1+Sens!I17279)</f>
        <v>36.189023797112</v>
      </c>
      <c r="J17278" s="6" t="n">
        <f aca="false">Sens!I17278*(1+Sens!J17279)</f>
        <v>39.0247773769199</v>
      </c>
      <c r="K17278" s="6" t="n">
        <f aca="false">Sens!J17278*(1+Sens!K17279)</f>
        <v>41.7565117933043</v>
      </c>
      <c r="L17278" s="12" t="s">
        <v>1034</v>
      </c>
    </row>
    <row r="17279" customFormat="false" ht="15" hidden="false" customHeight="false" outlineLevel="0" collapsed="false">
      <c r="A17279" s="1" t="s">
        <v>1024</v>
      </c>
      <c r="B17279" s="0" t="s">
        <v>168</v>
      </c>
      <c r="E17279" s="7" t="n">
        <f aca="false">Sens!E17278/Sens!D17278-1</f>
        <v>0.120156961796942</v>
      </c>
      <c r="F17279" s="7" t="n">
        <f aca="false">Sens!$E$17279+(glt_srch-Sens!$E$17279)*MIN(1,(Sens!F17221-base_fy)/n_conv)</f>
        <v>0.111797468164118</v>
      </c>
      <c r="G17279" s="7" t="n">
        <f aca="false">Sens!$E$17279+(glt_srch-Sens!$E$17279)*MIN(1,(Sens!G17221-base_fy)/n_conv)</f>
        <v>0.103437974531295</v>
      </c>
      <c r="H17279" s="7" t="n">
        <f aca="false">Sens!$E$17279+(glt_srch-Sens!$E$17279)*MIN(1,(Sens!H17221-base_fy)/n_conv)</f>
        <v>0.095078480898471</v>
      </c>
      <c r="I17279" s="7" t="n">
        <f aca="false">Sens!$E$17279+(glt_srch-Sens!$E$17279)*MIN(1,(Sens!I17221-base_fy)/n_conv)</f>
        <v>0.0867189872656474</v>
      </c>
      <c r="J17279" s="7" t="n">
        <f aca="false">Sens!$E$17279+(glt_srch-Sens!$E$17279)*MIN(1,(Sens!J17221-base_fy)/n_conv)</f>
        <v>0.0783594936328237</v>
      </c>
      <c r="K17279" s="7" t="n">
        <f aca="false">Sens!$E$17279+(glt_srch-Sens!$E$17279)*MIN(1,(Sens!K17221-base_fy)/n_conv)</f>
        <v>0.07</v>
      </c>
    </row>
    <row r="17280" customFormat="false" ht="17.15" hidden="false" customHeight="false" outlineLevel="0" collapsed="false">
      <c r="A17280" s="0" t="s">
        <v>1038</v>
      </c>
      <c r="B17280" s="0" t="s">
        <v>98</v>
      </c>
      <c r="D17280" s="6" t="n">
        <f aca="false">Q!L14</f>
        <v>23.455</v>
      </c>
      <c r="E17280" s="6" t="n">
        <f aca="false">Q!M14</f>
        <v>21.79</v>
      </c>
      <c r="F17280" s="6" t="n">
        <f aca="false">Q!$I$14+(Q!M14-Q!$E$14)*(1+Sens!F17281)</f>
        <v>20.7520981041711</v>
      </c>
      <c r="G17280" s="6" t="n">
        <f aca="false">Sens!F17280*(1+Sens!G17281)</f>
        <v>19.9083593495882</v>
      </c>
      <c r="H17280" s="6" t="n">
        <f aca="false">Sens!G17280*(1+Sens!H17281)</f>
        <v>19.4008256265831</v>
      </c>
      <c r="I17280" s="6" t="n">
        <f aca="false">Sens!H17280*(1+Sens!I17281)</f>
        <v>19.200434522122</v>
      </c>
      <c r="J17280" s="6" t="n">
        <f aca="false">Sens!I17280*(1+Sens!J17281)</f>
        <v>19.2932782348507</v>
      </c>
      <c r="K17280" s="6" t="n">
        <f aca="false">Sens!J17280*(1+Sens!K17281)</f>
        <v>19.6791437995477</v>
      </c>
      <c r="L17280" s="12" t="s">
        <v>1034</v>
      </c>
    </row>
    <row r="17281" customFormat="false" ht="15" hidden="false" customHeight="false" outlineLevel="0" collapsed="false">
      <c r="A17281" s="1" t="s">
        <v>1024</v>
      </c>
      <c r="B17281" s="0" t="s">
        <v>168</v>
      </c>
      <c r="E17281" s="7" t="n">
        <f aca="false">Sens!E17280/Sens!D17280-1</f>
        <v>-0.0709869963760392</v>
      </c>
      <c r="F17281" s="7" t="n">
        <f aca="false">Sens!$E$17281+(glt_xbox-Sens!$E$17281)*MIN(1,(Sens!F17221-base_fy)/n_conv)</f>
        <v>-0.0558224969800327</v>
      </c>
      <c r="G17281" s="7" t="n">
        <f aca="false">Sens!$E$17281+(glt_xbox-Sens!$E$17281)*MIN(1,(Sens!G17221-base_fy)/n_conv)</f>
        <v>-0.0406579975840262</v>
      </c>
      <c r="H17281" s="7" t="n">
        <f aca="false">Sens!$E$17281+(glt_xbox-Sens!$E$17281)*MIN(1,(Sens!H17221-base_fy)/n_conv)</f>
        <v>-0.0254934981880196</v>
      </c>
      <c r="I17281" s="7" t="n">
        <f aca="false">Sens!$E$17281+(glt_xbox-Sens!$E$17281)*MIN(1,(Sens!I17221-base_fy)/n_conv)</f>
        <v>-0.0103289987920131</v>
      </c>
      <c r="J17281" s="7" t="n">
        <f aca="false">Sens!$E$17281+(glt_xbox-Sens!$E$17281)*MIN(1,(Sens!J17221-base_fy)/n_conv)</f>
        <v>0.00483550060399347</v>
      </c>
      <c r="K17281" s="7" t="n">
        <f aca="false">Sens!$E$17281+(glt_xbox-Sens!$E$17281)*MIN(1,(Sens!K17221-base_fy)/n_conv)</f>
        <v>0.02</v>
      </c>
    </row>
    <row r="17282" customFormat="false" ht="17.15" hidden="false" customHeight="false" outlineLevel="0" collapsed="false">
      <c r="A17282" s="0" t="s">
        <v>1039</v>
      </c>
      <c r="B17282" s="0" t="s">
        <v>98</v>
      </c>
      <c r="D17282" s="6" t="n">
        <f aca="false">Q!L15</f>
        <v>17.315</v>
      </c>
      <c r="E17282" s="6" t="n">
        <f aca="false">Q!M15</f>
        <v>17.087</v>
      </c>
      <c r="F17282" s="6" t="n">
        <f aca="false">Q!$I$15+(Q!M15-Q!$E$15)*(1+Sens!F17283)</f>
        <v>15.9912273250553</v>
      </c>
      <c r="G17282" s="6" t="n">
        <f aca="false">Sens!F17282*(1+Sens!G17283)</f>
        <v>15.9574562664827</v>
      </c>
      <c r="H17282" s="6" t="n">
        <f aca="false">Sens!G17282*(1+Sens!H17283)</f>
        <v>16.0119687434196</v>
      </c>
      <c r="I17282" s="6" t="n">
        <f aca="false">Sens!H17282*(1+Sens!I17283)</f>
        <v>16.1551810001948</v>
      </c>
      <c r="J17282" s="6" t="n">
        <f aca="false">Sens!I17282*(1+Sens!J17283)</f>
        <v>16.3889793892005</v>
      </c>
      <c r="K17282" s="6" t="n">
        <f aca="false">Sens!J17282*(1+Sens!K17283)</f>
        <v>16.7167589769845</v>
      </c>
      <c r="L17282" s="12" t="s">
        <v>1034</v>
      </c>
    </row>
    <row r="17283" customFormat="false" ht="15" hidden="false" customHeight="false" outlineLevel="0" collapsed="false">
      <c r="A17283" s="1" t="s">
        <v>1024</v>
      </c>
      <c r="B17283" s="0" t="s">
        <v>168</v>
      </c>
      <c r="E17283" s="7" t="n">
        <f aca="false">Sens!E17282/Sens!D17282-1</f>
        <v>-0.0131677736066995</v>
      </c>
      <c r="F17283" s="7" t="n">
        <f aca="false">Sens!$E$17283+(glt_win-Sens!$E$17283)*MIN(1,(Sens!F17221-base_fy)/n_conv)</f>
        <v>-0.00763981133891627</v>
      </c>
      <c r="G17283" s="7" t="n">
        <f aca="false">Sens!$E$17283+(glt_win-Sens!$E$17283)*MIN(1,(Sens!G17221-base_fy)/n_conv)</f>
        <v>-0.00211184907113301</v>
      </c>
      <c r="H17283" s="7" t="n">
        <f aca="false">Sens!$E$17283+(glt_win-Sens!$E$17283)*MIN(1,(Sens!H17221-base_fy)/n_conv)</f>
        <v>0.00341611319665024</v>
      </c>
      <c r="I17283" s="7" t="n">
        <f aca="false">Sens!$E$17283+(glt_win-Sens!$E$17283)*MIN(1,(Sens!I17221-base_fy)/n_conv)</f>
        <v>0.00894407546443349</v>
      </c>
      <c r="J17283" s="7" t="n">
        <f aca="false">Sens!$E$17283+(glt_win-Sens!$E$17283)*MIN(1,(Sens!J17221-base_fy)/n_conv)</f>
        <v>0.0144720377322168</v>
      </c>
      <c r="K17283" s="7" t="n">
        <f aca="false">Sens!$E$17283+(glt_win-Sens!$E$17283)*MIN(1,(Sens!K17221-base_fy)/n_conv)</f>
        <v>0.02</v>
      </c>
    </row>
    <row r="17284" customFormat="false" ht="15" hidden="false" customHeight="false" outlineLevel="0" collapsed="false">
      <c r="A17284" s="0" t="s">
        <v>866</v>
      </c>
      <c r="B17284" s="0" t="s">
        <v>98</v>
      </c>
      <c r="D17284" s="6" t="n">
        <f aca="false">Sens!D17278+Sens!D17280+Sens!D17282</f>
        <v>62.941</v>
      </c>
      <c r="E17284" s="6" t="n">
        <f aca="false">Sens!E17278+Sens!E17280+Sens!E17282</f>
        <v>63.712</v>
      </c>
      <c r="F17284" s="6" t="n">
        <f aca="false">Sens!F17278+Sens!F17280+Sens!F17282</f>
        <v>64.3025149952511</v>
      </c>
      <c r="G17284" s="6" t="n">
        <f aca="false">Sens!G17278+Sens!G17280+Sens!G17282</f>
        <v>66.2756719305292</v>
      </c>
      <c r="H17284" s="6" t="n">
        <f aca="false">Sens!H17278+Sens!H17280+Sens!H17282</f>
        <v>68.7139736271804</v>
      </c>
      <c r="I17284" s="6" t="n">
        <f aca="false">Sens!I17278+Sens!I17280+Sens!I17282</f>
        <v>71.5446393194289</v>
      </c>
      <c r="J17284" s="6" t="n">
        <f aca="false">Sens!J17278+Sens!J17280+Sens!J17282</f>
        <v>74.707035000971</v>
      </c>
      <c r="K17284" s="6" t="n">
        <f aca="false">Sens!K17278+Sens!K17280+Sens!K17282</f>
        <v>78.1524145698365</v>
      </c>
    </row>
    <row r="17285" customFormat="false" ht="15" hidden="false" customHeight="false" outlineLevel="0" collapsed="false">
      <c r="A17285" s="1" t="s">
        <v>1040</v>
      </c>
      <c r="B17285" s="0" t="s">
        <v>98</v>
      </c>
      <c r="D17285" s="6" t="n">
        <f aca="false">Sens!D17277+Sens!D17284</f>
        <v>281.724</v>
      </c>
      <c r="E17285" s="6" t="n">
        <f aca="false">Sens!E17277+Sens!E17284</f>
        <v>331.839</v>
      </c>
      <c r="F17285" s="6" t="n">
        <f aca="false">Sens!F17277+Sens!F17284</f>
        <v>399.050611009588</v>
      </c>
      <c r="G17285" s="6" t="n">
        <f aca="false">Sens!G17277+Sens!G17284</f>
        <v>476.478106880219</v>
      </c>
      <c r="H17285" s="6" t="n">
        <f aca="false">Sens!H17277+Sens!H17284</f>
        <v>555.72683159012</v>
      </c>
      <c r="I17285" s="6" t="n">
        <f aca="false">Sens!I17277+Sens!I17284</f>
        <v>628.507568297893</v>
      </c>
      <c r="J17285" s="6" t="n">
        <f aca="false">Sens!J17277+Sens!J17284</f>
        <v>688.109036018095</v>
      </c>
      <c r="K17285" s="6" t="n">
        <f aca="false">Sens!K17277+Sens!K17284</f>
        <v>735.990005337455</v>
      </c>
    </row>
    <row r="17286" customFormat="false" ht="15" hidden="false" customHeight="false" outlineLevel="0" collapsed="false">
      <c r="A17286" s="26" t="s">
        <v>1041</v>
      </c>
      <c r="B17286" s="31" t="s">
        <v>98</v>
      </c>
      <c r="C17286" s="31"/>
      <c r="D17286" s="27" t="n">
        <f aca="false">(Sens!D17265+Sens!D17270+Sens!D17271+Sens!D17273+Sens!D17275-Sens!D17277)+(Sens!D17278+Sens!D17280+Sens!D17282-Sens!D17284)+(Sens!D17277-Q!L5)+(Sens!D17284-Q!L12)+(Sens!D17265-Q!L6)+(Sens!D17270-Q!L7)</f>
        <v>0</v>
      </c>
      <c r="E17286" s="27" t="n">
        <f aca="false">(Sens!E17265+Sens!E17270+Sens!E17271+Sens!E17273+Sens!E17275-Sens!E17277)+(Sens!E17278+Sens!E17280+Sens!E17282-Sens!E17284)+(Sens!E17277-Q!M5)+(Sens!E17284-Q!M12)+(Sens!E17265-Q!M6)+(Sens!E17270-Q!M7)</f>
        <v>0</v>
      </c>
      <c r="F17286" s="27" t="n">
        <f aca="false">(Sens!F17265+Sens!F17270+Sens!F17271+Sens!F17273+Sens!F17275-Sens!F17277)+(Sens!F17278+Sens!F17280+Sens!F17282-Sens!F17284)</f>
        <v>0</v>
      </c>
      <c r="G17286" s="27" t="n">
        <f aca="false">(Sens!G17265+Sens!G17270+Sens!G17271+Sens!G17273+Sens!G17275-Sens!G17277)+(Sens!G17278+Sens!G17280+Sens!G17282-Sens!G17284)</f>
        <v>0</v>
      </c>
      <c r="H17286" s="27" t="n">
        <f aca="false">(Sens!H17265+Sens!H17270+Sens!H17271+Sens!H17273+Sens!H17275-Sens!H17277)+(Sens!H17278+Sens!H17280+Sens!H17282-Sens!H17284)</f>
        <v>0</v>
      </c>
      <c r="I17286" s="27" t="n">
        <f aca="false">(Sens!I17265+Sens!I17270+Sens!I17271+Sens!I17273+Sens!I17275-Sens!I17277)+(Sens!I17278+Sens!I17280+Sens!I17282-Sens!I17284)</f>
        <v>0</v>
      </c>
      <c r="J17286" s="27" t="n">
        <f aca="false">(Sens!J17265+Sens!J17270+Sens!J17271+Sens!J17273+Sens!J17275-Sens!J17277)+(Sens!J17278+Sens!J17280+Sens!J17282-Sens!J17284)</f>
        <v>0</v>
      </c>
      <c r="K17286" s="27" t="n">
        <f aca="false">(Sens!K17265+Sens!K17270+Sens!K17271+Sens!K17273+Sens!K17275-Sens!K17277)+(Sens!K17278+Sens!K17280+Sens!K17282-Sens!K17284)</f>
        <v>0</v>
      </c>
    </row>
    <row r="17287" customFormat="false" ht="17.15" hidden="false" customHeight="false" outlineLevel="0" collapsed="false">
      <c r="A17287" s="3" t="s">
        <v>1906</v>
      </c>
    </row>
    <row r="17288" customFormat="false" ht="15" hidden="false" customHeight="false" outlineLevel="0" collapsed="false">
      <c r="A17288" s="4" t="s">
        <v>43</v>
      </c>
      <c r="B17288" s="4" t="s">
        <v>65</v>
      </c>
      <c r="C17288" s="23" t="s">
        <v>938</v>
      </c>
      <c r="D17288" s="23" t="s">
        <v>939</v>
      </c>
      <c r="E17288" s="23" t="s">
        <v>940</v>
      </c>
      <c r="F17288" s="23" t="s">
        <v>941</v>
      </c>
      <c r="G17288" s="23" t="s">
        <v>942</v>
      </c>
      <c r="H17288" s="23" t="s">
        <v>943</v>
      </c>
      <c r="I17288" s="23" t="s">
        <v>944</v>
      </c>
      <c r="J17288" s="23" t="s">
        <v>945</v>
      </c>
      <c r="K17288" s="23" t="s">
        <v>946</v>
      </c>
      <c r="L17288" s="4" t="s">
        <v>47</v>
      </c>
    </row>
    <row r="17289" customFormat="false" ht="15" hidden="false" customHeight="false" outlineLevel="0" collapsed="false">
      <c r="A17289" s="0" t="s">
        <v>1025</v>
      </c>
      <c r="B17289" s="0" t="s">
        <v>98</v>
      </c>
      <c r="D17289" s="6" t="n">
        <f aca="false">Sens!D17265</f>
        <v>72.61</v>
      </c>
      <c r="E17289" s="6" t="n">
        <f aca="false">Sens!E17265</f>
        <v>101.938</v>
      </c>
      <c r="F17289" s="6" t="n">
        <f aca="false">Sens!F17265</f>
        <v>146.709048000181</v>
      </c>
      <c r="G17289" s="6" t="n">
        <f aca="false">Sens!G17265</f>
        <v>199.762829861393</v>
      </c>
      <c r="H17289" s="6" t="n">
        <f aca="false">Sens!H17265</f>
        <v>254.146566109645</v>
      </c>
      <c r="I17289" s="6" t="n">
        <f aca="false">Sens!I17265</f>
        <v>303.439446964617</v>
      </c>
      <c r="J17289" s="6" t="n">
        <f aca="false">Sens!J17265</f>
        <v>341.309898459739</v>
      </c>
      <c r="K17289" s="6" t="n">
        <f aca="false">Sens!K17265</f>
        <v>368.09747789654</v>
      </c>
    </row>
    <row r="17290" customFormat="false" ht="17.15" hidden="false" customHeight="false" outlineLevel="0" collapsed="false">
      <c r="A17290" s="0" t="s">
        <v>1021</v>
      </c>
      <c r="B17290" s="0" t="s">
        <v>98</v>
      </c>
      <c r="D17290" s="6" t="n">
        <f aca="false">Sens!D17262</f>
        <v>12.9359794422418</v>
      </c>
      <c r="E17290" s="6" t="n">
        <f aca="false">Sens!E17262</f>
        <v>27.8095064661409</v>
      </c>
      <c r="F17290" s="6" t="n">
        <f aca="false">Sens!F17262</f>
        <v>55.4118315060966</v>
      </c>
      <c r="G17290" s="6" t="n">
        <f aca="false">Sens!G17262</f>
        <v>91.2881100675143</v>
      </c>
      <c r="H17290" s="6" t="n">
        <f aca="false">Sens!H17262</f>
        <v>128.195273603944</v>
      </c>
      <c r="I17290" s="6" t="n">
        <f aca="false">Sens!I17262</f>
        <v>160.601281810405</v>
      </c>
      <c r="J17290" s="6" t="n">
        <f aca="false">Sens!J17262</f>
        <v>183.182719793589</v>
      </c>
      <c r="K17290" s="6" t="n">
        <f aca="false">Sens!K17262</f>
        <v>197.320124937098</v>
      </c>
    </row>
    <row r="17291" customFormat="false" ht="17.15" hidden="false" customHeight="false" outlineLevel="0" collapsed="false">
      <c r="A17291" s="0" t="s">
        <v>1052</v>
      </c>
      <c r="B17291" s="0" t="s">
        <v>98</v>
      </c>
      <c r="D17291" s="6" t="n">
        <f aca="false">Sens!D17263</f>
        <v>59.6740205577583</v>
      </c>
      <c r="E17291" s="6" t="n">
        <f aca="false">Sens!E17263</f>
        <v>74.1284935338591</v>
      </c>
      <c r="F17291" s="6" t="n">
        <f aca="false">Sens!F17263</f>
        <v>91.2972164940844</v>
      </c>
      <c r="G17291" s="6" t="n">
        <f aca="false">Sens!G17263</f>
        <v>108.474719793879</v>
      </c>
      <c r="H17291" s="6" t="n">
        <f aca="false">Sens!H17263</f>
        <v>125.951292505701</v>
      </c>
      <c r="I17291" s="6" t="n">
        <f aca="false">Sens!I17263</f>
        <v>142.838165154212</v>
      </c>
      <c r="J17291" s="6" t="n">
        <f aca="false">Sens!J17263</f>
        <v>158.12717866615</v>
      </c>
      <c r="K17291" s="6" t="n">
        <f aca="false">Sens!K17263</f>
        <v>170.777352959442</v>
      </c>
    </row>
    <row r="17292" customFormat="false" ht="15" hidden="false" customHeight="false" outlineLevel="0" collapsed="false">
      <c r="A17292" s="0" t="s">
        <v>1032</v>
      </c>
      <c r="B17292" s="0" t="s">
        <v>98</v>
      </c>
      <c r="D17292" s="6" t="n">
        <f aca="false">Sens!D17270</f>
        <v>84.605</v>
      </c>
      <c r="E17292" s="6" t="n">
        <f aca="false">Sens!E17270</f>
        <v>100.299</v>
      </c>
      <c r="F17292" s="6" t="n">
        <f aca="false">Sens!F17270</f>
        <v>118.584003697747</v>
      </c>
      <c r="G17292" s="6" t="n">
        <f aca="false">Sens!G17270</f>
        <v>136.700726545688</v>
      </c>
      <c r="H17292" s="6" t="n">
        <f aca="false">Sens!H17270</f>
        <v>154.898624783666</v>
      </c>
      <c r="I17292" s="6" t="n">
        <f aca="false">Sens!I17270</f>
        <v>171.420510030657</v>
      </c>
      <c r="J17292" s="6" t="n">
        <f aca="false">Sens!J17270</f>
        <v>185.985722618572</v>
      </c>
      <c r="K17292" s="6" t="n">
        <f aca="false">Sens!K17270</f>
        <v>199.799723201872</v>
      </c>
    </row>
    <row r="17293" customFormat="false" ht="17.15" hidden="false" customHeight="false" outlineLevel="0" collapsed="false">
      <c r="A17293" s="0" t="s">
        <v>1053</v>
      </c>
      <c r="B17293" s="0" t="s">
        <v>98</v>
      </c>
      <c r="D17293" s="6" t="n">
        <f aca="false">Sens!D17268</f>
        <v>83.705</v>
      </c>
      <c r="E17293" s="6" t="n">
        <f aca="false">Sens!E17268</f>
        <v>95.049</v>
      </c>
      <c r="F17293" s="6" t="n">
        <f aca="false">Sens!F17268</f>
        <v>106.584003697747</v>
      </c>
      <c r="G17293" s="6" t="n">
        <f aca="false">Sens!G17268</f>
        <v>118.700726545688</v>
      </c>
      <c r="H17293" s="6" t="n">
        <f aca="false">Sens!H17268</f>
        <v>130.898624783666</v>
      </c>
      <c r="I17293" s="6" t="n">
        <f aca="false">Sens!I17268</f>
        <v>142.920510030657</v>
      </c>
      <c r="J17293" s="6" t="n">
        <f aca="false">Sens!J17268</f>
        <v>154.485722618572</v>
      </c>
      <c r="K17293" s="6" t="n">
        <f aca="false">Sens!K17268</f>
        <v>165.299723201872</v>
      </c>
    </row>
    <row r="17294" customFormat="false" ht="17.15" hidden="false" customHeight="false" outlineLevel="0" collapsed="false">
      <c r="A17294" s="0" t="s">
        <v>1054</v>
      </c>
      <c r="B17294" s="0" t="s">
        <v>98</v>
      </c>
      <c r="D17294" s="6" t="n">
        <f aca="false">Sens!D17267</f>
        <v>0.9</v>
      </c>
      <c r="E17294" s="6" t="n">
        <f aca="false">Sens!E17267</f>
        <v>5.25</v>
      </c>
      <c r="F17294" s="6" t="n">
        <f aca="false">Sens!F17267</f>
        <v>12</v>
      </c>
      <c r="G17294" s="6" t="n">
        <f aca="false">Sens!G17267</f>
        <v>18</v>
      </c>
      <c r="H17294" s="6" t="n">
        <f aca="false">Sens!H17267</f>
        <v>24</v>
      </c>
      <c r="I17294" s="6" t="n">
        <f aca="false">Sens!I17267</f>
        <v>28.5</v>
      </c>
      <c r="J17294" s="6" t="n">
        <f aca="false">Sens!J17267</f>
        <v>31.5</v>
      </c>
      <c r="K17294" s="6" t="n">
        <f aca="false">Sens!K17267</f>
        <v>34.5</v>
      </c>
    </row>
    <row r="17295" customFormat="false" ht="15" hidden="false" customHeight="false" outlineLevel="0" collapsed="false">
      <c r="A17295" s="0" t="s">
        <v>1033</v>
      </c>
      <c r="B17295" s="0" t="s">
        <v>98</v>
      </c>
      <c r="D17295" s="6" t="n">
        <f aca="false">Sens!D17271</f>
        <v>35.391</v>
      </c>
      <c r="E17295" s="6" t="n">
        <f aca="false">Sens!E17271</f>
        <v>37.285</v>
      </c>
      <c r="F17295" s="6" t="n">
        <f aca="false">Sens!F17271</f>
        <v>38.3851437782675</v>
      </c>
      <c r="G17295" s="6" t="n">
        <f aca="false">Sens!G17271</f>
        <v>40.0105353288615</v>
      </c>
      <c r="H17295" s="6" t="n">
        <f aca="false">Sens!H17271</f>
        <v>41.4812512033683</v>
      </c>
      <c r="I17295" s="6" t="n">
        <f aca="false">Sens!I17271</f>
        <v>42.7743107216329</v>
      </c>
      <c r="J17295" s="6" t="n">
        <f aca="false">Sens!J17271</f>
        <v>43.8687373064601</v>
      </c>
      <c r="K17295" s="6" t="n">
        <f aca="false">Sens!K17271</f>
        <v>44.7461120525893</v>
      </c>
    </row>
    <row r="17296" customFormat="false" ht="15" hidden="false" customHeight="false" outlineLevel="0" collapsed="false">
      <c r="A17296" s="0" t="s">
        <v>1035</v>
      </c>
      <c r="B17296" s="0" t="s">
        <v>98</v>
      </c>
      <c r="D17296" s="6" t="n">
        <f aca="false">Sens!D17273</f>
        <v>18.417</v>
      </c>
      <c r="E17296" s="6" t="n">
        <f aca="false">Sens!E17273</f>
        <v>20.345</v>
      </c>
      <c r="F17296" s="6" t="n">
        <f aca="false">Sens!F17273</f>
        <v>22.3161797133988</v>
      </c>
      <c r="G17296" s="6" t="n">
        <f aca="false">Sens!G17273</f>
        <v>24.3943499673233</v>
      </c>
      <c r="H17296" s="6" t="n">
        <f aca="false">Sens!H17273</f>
        <v>26.5250243109019</v>
      </c>
      <c r="I17296" s="6" t="n">
        <f aca="false">Sens!I17273</f>
        <v>28.6884573538181</v>
      </c>
      <c r="J17296" s="6" t="n">
        <f aca="false">Sens!J17273</f>
        <v>30.8624968052127</v>
      </c>
      <c r="K17296" s="6" t="n">
        <f aca="false">Sens!K17273</f>
        <v>33.0228715815776</v>
      </c>
    </row>
    <row r="17297" customFormat="false" ht="15" hidden="false" customHeight="false" outlineLevel="0" collapsed="false">
      <c r="A17297" s="0" t="s">
        <v>1036</v>
      </c>
      <c r="B17297" s="0" t="s">
        <v>98</v>
      </c>
      <c r="D17297" s="6" t="n">
        <f aca="false">Sens!D17275</f>
        <v>7.76</v>
      </c>
      <c r="E17297" s="6" t="n">
        <f aca="false">Sens!E17275</f>
        <v>8.26</v>
      </c>
      <c r="F17297" s="6" t="n">
        <f aca="false">Sens!F17275</f>
        <v>8.75372082474227</v>
      </c>
      <c r="G17297" s="6" t="n">
        <f aca="false">Sens!G17275</f>
        <v>9.33399324642364</v>
      </c>
      <c r="H17297" s="6" t="n">
        <f aca="false">Sens!H17275</f>
        <v>9.96139155535851</v>
      </c>
      <c r="I17297" s="6" t="n">
        <f aca="false">Sens!I17275</f>
        <v>10.6402039077391</v>
      </c>
      <c r="J17297" s="6" t="n">
        <f aca="false">Sens!J17275</f>
        <v>11.3751458271397</v>
      </c>
      <c r="K17297" s="6" t="n">
        <f aca="false">Sens!K17275</f>
        <v>12.1714060350394</v>
      </c>
    </row>
    <row r="17298" customFormat="false" ht="15" hidden="false" customHeight="false" outlineLevel="0" collapsed="false">
      <c r="A17298" s="0" t="s">
        <v>852</v>
      </c>
      <c r="B17298" s="0" t="s">
        <v>98</v>
      </c>
      <c r="D17298" s="6" t="n">
        <f aca="false">Sens!D17277</f>
        <v>218.783</v>
      </c>
      <c r="E17298" s="6" t="n">
        <f aca="false">Sens!E17277</f>
        <v>268.127</v>
      </c>
      <c r="F17298" s="6" t="n">
        <f aca="false">Sens!F17277</f>
        <v>334.748096014336</v>
      </c>
      <c r="G17298" s="6" t="n">
        <f aca="false">Sens!G17277</f>
        <v>410.20243494969</v>
      </c>
      <c r="H17298" s="6" t="n">
        <f aca="false">Sens!H17277</f>
        <v>487.012857962939</v>
      </c>
      <c r="I17298" s="6" t="n">
        <f aca="false">Sens!I17277</f>
        <v>556.962928978464</v>
      </c>
      <c r="J17298" s="6" t="n">
        <f aca="false">Sens!J17277</f>
        <v>613.402001017124</v>
      </c>
      <c r="K17298" s="6" t="n">
        <f aca="false">Sens!K17277</f>
        <v>657.837590767618</v>
      </c>
    </row>
    <row r="17299" customFormat="false" ht="15" hidden="false" customHeight="false" outlineLevel="0" collapsed="false">
      <c r="A17299" s="0" t="s">
        <v>1037</v>
      </c>
      <c r="B17299" s="0" t="s">
        <v>98</v>
      </c>
      <c r="D17299" s="6" t="n">
        <f aca="false">Sens!D17278</f>
        <v>22.171</v>
      </c>
      <c r="E17299" s="6" t="n">
        <f aca="false">Sens!E17278</f>
        <v>24.835</v>
      </c>
      <c r="F17299" s="6" t="n">
        <f aca="false">Sens!F17278</f>
        <v>27.5591895660247</v>
      </c>
      <c r="G17299" s="6" t="n">
        <f aca="false">Sens!G17278</f>
        <v>30.4098563144583</v>
      </c>
      <c r="H17299" s="6" t="n">
        <f aca="false">Sens!H17278</f>
        <v>33.3011792571777</v>
      </c>
      <c r="I17299" s="6" t="n">
        <f aca="false">Sens!I17278</f>
        <v>36.189023797112</v>
      </c>
      <c r="J17299" s="6" t="n">
        <f aca="false">Sens!J17278</f>
        <v>39.0247773769199</v>
      </c>
      <c r="K17299" s="6" t="n">
        <f aca="false">Sens!K17278</f>
        <v>41.7565117933043</v>
      </c>
    </row>
    <row r="17300" customFormat="false" ht="15" hidden="false" customHeight="false" outlineLevel="0" collapsed="false">
      <c r="A17300" s="0" t="s">
        <v>1038</v>
      </c>
      <c r="B17300" s="0" t="s">
        <v>98</v>
      </c>
      <c r="D17300" s="6" t="n">
        <f aca="false">Sens!D17280</f>
        <v>23.455</v>
      </c>
      <c r="E17300" s="6" t="n">
        <f aca="false">Sens!E17280</f>
        <v>21.79</v>
      </c>
      <c r="F17300" s="6" t="n">
        <f aca="false">Sens!F17280</f>
        <v>20.7520981041711</v>
      </c>
      <c r="G17300" s="6" t="n">
        <f aca="false">Sens!G17280</f>
        <v>19.9083593495882</v>
      </c>
      <c r="H17300" s="6" t="n">
        <f aca="false">Sens!H17280</f>
        <v>19.4008256265831</v>
      </c>
      <c r="I17300" s="6" t="n">
        <f aca="false">Sens!I17280</f>
        <v>19.200434522122</v>
      </c>
      <c r="J17300" s="6" t="n">
        <f aca="false">Sens!J17280</f>
        <v>19.2932782348507</v>
      </c>
      <c r="K17300" s="6" t="n">
        <f aca="false">Sens!K17280</f>
        <v>19.6791437995477</v>
      </c>
    </row>
    <row r="17301" customFormat="false" ht="15" hidden="false" customHeight="false" outlineLevel="0" collapsed="false">
      <c r="A17301" s="0" t="s">
        <v>1039</v>
      </c>
      <c r="B17301" s="0" t="s">
        <v>98</v>
      </c>
      <c r="D17301" s="6" t="n">
        <f aca="false">Sens!D17282</f>
        <v>17.315</v>
      </c>
      <c r="E17301" s="6" t="n">
        <f aca="false">Sens!E17282</f>
        <v>17.087</v>
      </c>
      <c r="F17301" s="6" t="n">
        <f aca="false">Sens!F17282</f>
        <v>15.9912273250553</v>
      </c>
      <c r="G17301" s="6" t="n">
        <f aca="false">Sens!G17282</f>
        <v>15.9574562664827</v>
      </c>
      <c r="H17301" s="6" t="n">
        <f aca="false">Sens!H17282</f>
        <v>16.0119687434196</v>
      </c>
      <c r="I17301" s="6" t="n">
        <f aca="false">Sens!I17282</f>
        <v>16.1551810001948</v>
      </c>
      <c r="J17301" s="6" t="n">
        <f aca="false">Sens!J17282</f>
        <v>16.3889793892005</v>
      </c>
      <c r="K17301" s="6" t="n">
        <f aca="false">Sens!K17282</f>
        <v>16.7167589769845</v>
      </c>
    </row>
    <row r="17302" customFormat="false" ht="15" hidden="false" customHeight="false" outlineLevel="0" collapsed="false">
      <c r="A17302" s="0" t="s">
        <v>866</v>
      </c>
      <c r="B17302" s="0" t="s">
        <v>98</v>
      </c>
      <c r="D17302" s="6" t="n">
        <f aca="false">Sens!D17284</f>
        <v>62.941</v>
      </c>
      <c r="E17302" s="6" t="n">
        <f aca="false">Sens!E17284</f>
        <v>63.712</v>
      </c>
      <c r="F17302" s="6" t="n">
        <f aca="false">Sens!F17284</f>
        <v>64.3025149952511</v>
      </c>
      <c r="G17302" s="6" t="n">
        <f aca="false">Sens!G17284</f>
        <v>66.2756719305292</v>
      </c>
      <c r="H17302" s="6" t="n">
        <f aca="false">Sens!H17284</f>
        <v>68.7139736271804</v>
      </c>
      <c r="I17302" s="6" t="n">
        <f aca="false">Sens!I17284</f>
        <v>71.5446393194289</v>
      </c>
      <c r="J17302" s="6" t="n">
        <f aca="false">Sens!J17284</f>
        <v>74.707035000971</v>
      </c>
      <c r="K17302" s="6" t="n">
        <f aca="false">Sens!K17284</f>
        <v>78.1524145698365</v>
      </c>
    </row>
    <row r="17303" customFormat="false" ht="15" hidden="false" customHeight="false" outlineLevel="0" collapsed="false">
      <c r="A17303" s="1" t="s">
        <v>1055</v>
      </c>
      <c r="B17303" s="0" t="s">
        <v>98</v>
      </c>
      <c r="D17303" s="6" t="n">
        <f aca="false">Sens!D17285</f>
        <v>281.724</v>
      </c>
      <c r="E17303" s="6" t="n">
        <f aca="false">Sens!E17285</f>
        <v>331.839</v>
      </c>
      <c r="F17303" s="6" t="n">
        <f aca="false">Sens!F17285</f>
        <v>399.050611009588</v>
      </c>
      <c r="G17303" s="6" t="n">
        <f aca="false">Sens!G17285</f>
        <v>476.478106880219</v>
      </c>
      <c r="H17303" s="6" t="n">
        <f aca="false">Sens!H17285</f>
        <v>555.72683159012</v>
      </c>
      <c r="I17303" s="6" t="n">
        <f aca="false">Sens!I17285</f>
        <v>628.507568297893</v>
      </c>
      <c r="J17303" s="6" t="n">
        <f aca="false">Sens!J17285</f>
        <v>688.109036018095</v>
      </c>
      <c r="K17303" s="6" t="n">
        <f aca="false">Sens!K17285</f>
        <v>735.990005337455</v>
      </c>
    </row>
    <row r="17304" customFormat="false" ht="15" hidden="false" customHeight="false" outlineLevel="0" collapsed="false">
      <c r="A17304" s="1" t="s">
        <v>1056</v>
      </c>
      <c r="B17304" s="0" t="s">
        <v>168</v>
      </c>
      <c r="E17304" s="7" t="n">
        <f aca="false">Sens!E17303/Sens!D17303-1</f>
        <v>0.177886867998467</v>
      </c>
      <c r="F17304" s="7" t="n">
        <f aca="false">Sens!F17303/Sens!E17303-1</f>
        <v>0.202542832547071</v>
      </c>
      <c r="G17304" s="7" t="n">
        <f aca="false">Sens!G17303/Sens!F17303-1</f>
        <v>0.194029262791359</v>
      </c>
      <c r="H17304" s="7" t="n">
        <f aca="false">Sens!H17303/Sens!G17303-1</f>
        <v>0.166321859421387</v>
      </c>
      <c r="I17304" s="7" t="n">
        <f aca="false">Sens!I17303/Sens!H17303-1</f>
        <v>0.13096494999085</v>
      </c>
      <c r="J17304" s="7" t="n">
        <f aca="false">Sens!J17303/Sens!I17303-1</f>
        <v>0.0948301511811749</v>
      </c>
      <c r="K17304" s="7" t="n">
        <f aca="false">Sens!K17303/Sens!J17303-1</f>
        <v>0.0695834043924704</v>
      </c>
    </row>
    <row r="17305" customFormat="false" ht="17.15" hidden="false" customHeight="false" outlineLevel="0" collapsed="false">
      <c r="A17305" s="26" t="s">
        <v>1057</v>
      </c>
      <c r="B17305" s="31" t="s">
        <v>98</v>
      </c>
      <c r="C17305" s="31"/>
      <c r="D17305" s="27" t="n">
        <f aca="false">(Sens!D17298+Sens!D17302-Sens!D17303)+(Sens!D17290+Sens!D17291-Sens!D17289)+(Sens!D17293+Sens!D17294-Sens!D17292)+(Sens!D17303-Q!L18)</f>
        <v>0</v>
      </c>
      <c r="E17305" s="27" t="n">
        <f aca="false">(Sens!E17298+Sens!E17302-Sens!E17303)+(Sens!E17290+Sens!E17291-Sens!E17289)+(Sens!E17293+Sens!E17294-Sens!E17292)+(Sens!E17303-Q!M18)</f>
        <v>0</v>
      </c>
      <c r="F17305" s="27" t="n">
        <f aca="false">(Sens!F17298+Sens!F17302-Sens!F17303)+(Sens!F17290+Sens!F17291-Sens!F17289)+(Sens!F17293+Sens!F17294-Sens!F17292)</f>
        <v>0</v>
      </c>
      <c r="G17305" s="27" t="n">
        <f aca="false">(Sens!G17298+Sens!G17302-Sens!G17303)+(Sens!G17290+Sens!G17291-Sens!G17289)+(Sens!G17293+Sens!G17294-Sens!G17292)</f>
        <v>0</v>
      </c>
      <c r="H17305" s="27" t="n">
        <f aca="false">(Sens!H17298+Sens!H17302-Sens!H17303)+(Sens!H17290+Sens!H17291-Sens!H17289)+(Sens!H17293+Sens!H17294-Sens!H17292)</f>
        <v>0</v>
      </c>
      <c r="I17305" s="27" t="n">
        <f aca="false">(Sens!I17298+Sens!I17302-Sens!I17303)+(Sens!I17290+Sens!I17291-Sens!I17289)+(Sens!I17293+Sens!I17294-Sens!I17292)</f>
        <v>0</v>
      </c>
      <c r="J17305" s="27" t="n">
        <f aca="false">(Sens!J17298+Sens!J17302-Sens!J17303)+(Sens!J17290+Sens!J17291-Sens!J17289)+(Sens!J17293+Sens!J17294-Sens!J17292)</f>
        <v>0</v>
      </c>
      <c r="K17305" s="27" t="n">
        <f aca="false">(Sens!K17298+Sens!K17302-Sens!K17303)+(Sens!K17290+Sens!K17291-Sens!K17289)+(Sens!K17293+Sens!K17294-Sens!K17292)</f>
        <v>0</v>
      </c>
    </row>
    <row r="17306" customFormat="false" ht="17.15" hidden="false" customHeight="false" outlineLevel="0" collapsed="false">
      <c r="A17306" s="0" t="s">
        <v>1058</v>
      </c>
      <c r="B17306" s="0" t="s">
        <v>168</v>
      </c>
      <c r="E17306" s="7" t="n">
        <f aca="false">(Q!M21+Sens!E17242+Sens!E17243+Sens!E17244+Sens!E17258-Sens!E17240)/(Q!M5-Sens!E17240)</f>
        <v>0.570957350878296</v>
      </c>
      <c r="F17306" s="7" t="n">
        <f aca="false">Sens!$E$17306+dm_seg</f>
        <v>0.570957350878296</v>
      </c>
      <c r="G17306" s="7" t="n">
        <f aca="false">Sens!$E$17306+dm_seg</f>
        <v>0.570957350878296</v>
      </c>
      <c r="H17306" s="7" t="n">
        <f aca="false">Sens!$E$17306+dm_seg</f>
        <v>0.570957350878296</v>
      </c>
      <c r="I17306" s="7" t="n">
        <f aca="false">Sens!$E$17306+dm_seg</f>
        <v>0.570957350878296</v>
      </c>
      <c r="J17306" s="7" t="n">
        <f aca="false">Sens!$E$17306+dm_seg</f>
        <v>0.570957350878296</v>
      </c>
      <c r="K17306" s="7" t="n">
        <f aca="false">Sens!$E$17306+dm_seg</f>
        <v>0.570957350878296</v>
      </c>
      <c r="L17306" s="12" t="s">
        <v>1059</v>
      </c>
    </row>
    <row r="17307" customFormat="false" ht="17.15" hidden="false" customHeight="false" outlineLevel="0" collapsed="false">
      <c r="A17307" s="0" t="s">
        <v>880</v>
      </c>
      <c r="B17307" s="0" t="s">
        <v>98</v>
      </c>
      <c r="D17307" s="6" t="n">
        <f aca="false">Q!L21</f>
        <v>110.814</v>
      </c>
      <c r="E17307" s="6" t="n">
        <f aca="false">Q!M21</f>
        <v>136.365</v>
      </c>
      <c r="F17307" s="6" t="n">
        <f aca="false">Q!$I$21+(Sens!F17306*(Sens!F17277-Sens!F17240)+Sens!F17240-(Sens!F17242+Sens!F17243+Sens!F17244)-Sens!F17258-Sens!F17341)*(Sens!F17277-Q!$I$5)/Sens!F17277</f>
        <v>162.089888657</v>
      </c>
      <c r="G17307" s="6" t="n">
        <f aca="false">(Sens!G17306*(Sens!G17277-Sens!G17240)+Sens!G17240-(Sens!G17242+Sens!G17243+Sens!G17244)-Sens!G17258-Sens!G17341)</f>
        <v>177.568904956673</v>
      </c>
      <c r="H17307" s="6" t="n">
        <f aca="false">(Sens!H17306*(Sens!H17277-Sens!H17240)+Sens!H17240-(Sens!H17242+Sens!H17243+Sens!H17244)-Sens!H17258-Sens!H17341)</f>
        <v>196.76368759427</v>
      </c>
      <c r="I17307" s="6" t="n">
        <f aca="false">(Sens!I17306*(Sens!I17277-Sens!I17240)+Sens!I17240-(Sens!I17242+Sens!I17243+Sens!I17244)-Sens!I17258-Sens!I17341)</f>
        <v>214.975584572623</v>
      </c>
      <c r="J17307" s="6" t="n">
        <f aca="false">(Sens!J17306*(Sens!J17277-Sens!J17240)+Sens!J17240-(Sens!J17242+Sens!J17243+Sens!J17244)-Sens!J17258-Sens!J17341)</f>
        <v>231.957077796371</v>
      </c>
      <c r="K17307" s="6" t="n">
        <f aca="false">(Sens!K17306*(Sens!K17277-Sens!K17240)+Sens!K17240-(Sens!K17242+Sens!K17243+Sens!K17244)-Sens!K17258-Sens!K17341)</f>
        <v>248.339747438173</v>
      </c>
      <c r="L17307" s="1" t="s">
        <v>1060</v>
      </c>
    </row>
    <row r="17308" customFormat="false" ht="17.15" hidden="false" customHeight="false" outlineLevel="0" collapsed="false">
      <c r="A17308" s="0" t="s">
        <v>1061</v>
      </c>
      <c r="B17308" s="0" t="s">
        <v>168</v>
      </c>
      <c r="E17308" s="7" t="n">
        <f aca="false">Q!M22/Q!M12</f>
        <v>0.296207935710698</v>
      </c>
      <c r="F17308" s="7" t="n">
        <f aca="false">Sens!$E$17308+dm_seg</f>
        <v>0.296207935710698</v>
      </c>
      <c r="G17308" s="7" t="n">
        <f aca="false">Sens!$E$17308+dm_seg</f>
        <v>0.296207935710698</v>
      </c>
      <c r="H17308" s="7" t="n">
        <f aca="false">Sens!$E$17308+dm_seg</f>
        <v>0.296207935710698</v>
      </c>
      <c r="I17308" s="7" t="n">
        <f aca="false">Sens!$E$17308+dm_seg</f>
        <v>0.296207935710698</v>
      </c>
      <c r="J17308" s="7" t="n">
        <f aca="false">Sens!$E$17308+dm_seg</f>
        <v>0.296207935710698</v>
      </c>
      <c r="K17308" s="7" t="n">
        <f aca="false">Sens!$E$17308+dm_seg</f>
        <v>0.296207935710698</v>
      </c>
      <c r="L17308" s="12" t="s">
        <v>1062</v>
      </c>
    </row>
    <row r="17309" customFormat="false" ht="17.15" hidden="false" customHeight="false" outlineLevel="0" collapsed="false">
      <c r="A17309" s="0" t="s">
        <v>882</v>
      </c>
      <c r="B17309" s="0" t="s">
        <v>98</v>
      </c>
      <c r="D17309" s="6" t="n">
        <f aca="false">Q!L22</f>
        <v>17.714</v>
      </c>
      <c r="E17309" s="6" t="n">
        <f aca="false">Q!M22</f>
        <v>18.872</v>
      </c>
      <c r="F17309" s="6" t="n">
        <f aca="false">Q!$I$22+(Sens!F17284-Q!$I$12)*Sens!F17308</f>
        <v>19.8174315512051</v>
      </c>
      <c r="G17309" s="6" t="n">
        <f aca="false">Sens!G17284*Sens!G17308</f>
        <v>19.6313799703815</v>
      </c>
      <c r="H17309" s="6" t="n">
        <f aca="false">Sens!H17284*Sens!H17308</f>
        <v>20.3536242825865</v>
      </c>
      <c r="I17309" s="6" t="n">
        <f aca="false">Sens!I17284*Sens!I17308</f>
        <v>21.1920899239745</v>
      </c>
      <c r="J17309" s="6" t="n">
        <f aca="false">Sens!J17284*Sens!J17308</f>
        <v>22.1288166207045</v>
      </c>
      <c r="K17309" s="6" t="n">
        <f aca="false">Sens!K17284*Sens!K17308</f>
        <v>23.1493653905379</v>
      </c>
      <c r="L17309" s="12" t="s">
        <v>1063</v>
      </c>
    </row>
    <row r="17310" customFormat="false" ht="15" hidden="false" customHeight="false" outlineLevel="0" collapsed="false">
      <c r="A17310" s="1" t="s">
        <v>1064</v>
      </c>
      <c r="B17310" s="0" t="s">
        <v>98</v>
      </c>
      <c r="D17310" s="6" t="n">
        <f aca="false">Sens!D17307+Sens!D17309</f>
        <v>128.528</v>
      </c>
      <c r="E17310" s="6" t="n">
        <f aca="false">Sens!E17307+Sens!E17309</f>
        <v>155.237</v>
      </c>
      <c r="F17310" s="6" t="n">
        <f aca="false">Sens!F17307+Sens!F17309</f>
        <v>181.907320208205</v>
      </c>
      <c r="G17310" s="6" t="n">
        <f aca="false">Sens!G17307+Sens!G17309</f>
        <v>197.200284927055</v>
      </c>
      <c r="H17310" s="6" t="n">
        <f aca="false">Sens!H17307+Sens!H17309</f>
        <v>217.117311876857</v>
      </c>
      <c r="I17310" s="6" t="n">
        <f aca="false">Sens!I17307+Sens!I17309</f>
        <v>236.167674496598</v>
      </c>
      <c r="J17310" s="6" t="n">
        <f aca="false">Sens!J17307+Sens!J17309</f>
        <v>254.085894417075</v>
      </c>
      <c r="K17310" s="6" t="n">
        <f aca="false">Sens!K17307+Sens!K17309</f>
        <v>271.489112828711</v>
      </c>
    </row>
    <row r="17311" customFormat="false" ht="15" hidden="false" customHeight="false" outlineLevel="0" collapsed="false">
      <c r="A17311" s="26" t="s">
        <v>1065</v>
      </c>
      <c r="B17311" s="31" t="s">
        <v>98</v>
      </c>
      <c r="C17311" s="31"/>
      <c r="D17311" s="27" t="n">
        <f aca="false">Sens!D17310-Q!L23</f>
        <v>0</v>
      </c>
      <c r="E17311" s="27" t="n">
        <f aca="false">Sens!E17310-Q!M23</f>
        <v>0</v>
      </c>
      <c r="F17311" s="31"/>
      <c r="G17311" s="31"/>
      <c r="H17311" s="31"/>
      <c r="I17311" s="31"/>
      <c r="J17311" s="31"/>
      <c r="K17311" s="31"/>
    </row>
    <row r="17312" customFormat="false" ht="15" hidden="false" customHeight="false" outlineLevel="0" collapsed="false">
      <c r="A17312" s="1" t="s">
        <v>1066</v>
      </c>
      <c r="B17312" s="0" t="s">
        <v>168</v>
      </c>
      <c r="D17312" s="7" t="n">
        <f aca="false">Sens!D17310/Sens!D17303</f>
        <v>0.456219562408598</v>
      </c>
      <c r="E17312" s="7" t="n">
        <f aca="false">Sens!E17310/Sens!E17303</f>
        <v>0.467808184089272</v>
      </c>
      <c r="F17312" s="7" t="n">
        <f aca="false">Sens!F17310/Sens!F17303</f>
        <v>0.455850248538611</v>
      </c>
      <c r="G17312" s="7" t="n">
        <f aca="false">Sens!G17310/Sens!G17303</f>
        <v>0.413870610379647</v>
      </c>
      <c r="H17312" s="7" t="n">
        <f aca="false">Sens!H17310/Sens!H17303</f>
        <v>0.390690712657533</v>
      </c>
      <c r="I17312" s="7" t="n">
        <f aca="false">Sens!I17310/Sens!I17303</f>
        <v>0.375759475953775</v>
      </c>
      <c r="J17312" s="7" t="n">
        <f aca="false">Sens!J17310/Sens!J17303</f>
        <v>0.369252372977695</v>
      </c>
      <c r="K17312" s="7" t="n">
        <f aca="false">Sens!K17310/Sens!K17303</f>
        <v>0.36887608644119</v>
      </c>
    </row>
    <row r="17313" customFormat="false" ht="17.15" hidden="false" customHeight="false" outlineLevel="0" collapsed="false">
      <c r="A17313" s="1" t="s">
        <v>1067</v>
      </c>
      <c r="B17313" s="0" t="s">
        <v>98</v>
      </c>
      <c r="F17313" s="6" t="n">
        <f aca="false">Sens!F17328</f>
        <v>9.7398427716299</v>
      </c>
      <c r="G17313" s="6" t="n">
        <f aca="false">Sens!G17328</f>
        <v>25.2753385959797</v>
      </c>
      <c r="H17313" s="6" t="n">
        <f aca="false">Sens!H17328</f>
        <v>42.2840253697948</v>
      </c>
      <c r="I17313" s="6" t="n">
        <f aca="false">Sens!I17328</f>
        <v>57.704943641581</v>
      </c>
      <c r="J17313" s="6" t="n">
        <f aca="false">Sens!J17328</f>
        <v>68.4828520908201</v>
      </c>
      <c r="K17313" s="6" t="n">
        <f aca="false">Sens!K17328</f>
        <v>74.3598374943249</v>
      </c>
      <c r="L17313" s="1" t="s">
        <v>1068</v>
      </c>
    </row>
    <row r="17314" customFormat="false" ht="17.15" hidden="false" customHeight="false" outlineLevel="0" collapsed="false">
      <c r="A17314" s="1" t="s">
        <v>1069</v>
      </c>
      <c r="B17314" s="0" t="s">
        <v>98</v>
      </c>
      <c r="D17314" s="6" t="n">
        <f aca="false">Sens!D17310</f>
        <v>128.528</v>
      </c>
      <c r="E17314" s="6" t="n">
        <f aca="false">Sens!E17310</f>
        <v>155.237</v>
      </c>
      <c r="F17314" s="6" t="n">
        <f aca="false">Sens!F17310+Sens!F17313</f>
        <v>191.647162979835</v>
      </c>
      <c r="G17314" s="6" t="n">
        <f aca="false">Sens!G17310+Sens!G17313</f>
        <v>222.475623523034</v>
      </c>
      <c r="H17314" s="6" t="n">
        <f aca="false">Sens!H17310+Sens!H17313</f>
        <v>259.401337246652</v>
      </c>
      <c r="I17314" s="6" t="n">
        <f aca="false">Sens!I17310+Sens!I17313</f>
        <v>293.872618138179</v>
      </c>
      <c r="J17314" s="6" t="n">
        <f aca="false">Sens!J17310+Sens!J17313</f>
        <v>322.568746507895</v>
      </c>
      <c r="K17314" s="6" t="n">
        <f aca="false">Sens!K17310+Sens!K17313</f>
        <v>345.848950323036</v>
      </c>
    </row>
    <row r="17315" customFormat="false" ht="17.15" hidden="false" customHeight="false" outlineLevel="0" collapsed="false">
      <c r="A17315" s="1" t="s">
        <v>1070</v>
      </c>
      <c r="B17315" s="0" t="s">
        <v>98</v>
      </c>
      <c r="E17315" s="6" t="n">
        <f aca="false">Sens!E17258</f>
        <v>16.3054059770833</v>
      </c>
      <c r="F17315" s="6" t="n">
        <f aca="false">Sens!F17258</f>
        <v>34.5793144783516</v>
      </c>
      <c r="G17315" s="6" t="n">
        <f aca="false">Sens!G17258</f>
        <v>60.7344906522989</v>
      </c>
      <c r="H17315" s="6" t="n">
        <f aca="false">Sens!H17258</f>
        <v>89.1000906614457</v>
      </c>
      <c r="I17315" s="6" t="n">
        <f aca="false">Sens!I17258</f>
        <v>114.231009694548</v>
      </c>
      <c r="J17315" s="6" t="n">
        <f aca="false">Sens!J17258</f>
        <v>132.015673049596</v>
      </c>
      <c r="K17315" s="6" t="n">
        <f aca="false">Sens!K17258</f>
        <v>143.012669550934</v>
      </c>
    </row>
    <row r="17316" customFormat="false" ht="17.15" hidden="false" customHeight="false" outlineLevel="0" collapsed="false">
      <c r="A17316" s="1" t="s">
        <v>1071</v>
      </c>
      <c r="B17316" s="0" t="s">
        <v>98</v>
      </c>
      <c r="E17316" s="6" t="n">
        <f aca="false">Sens!E17340</f>
        <v>22.2285940229167</v>
      </c>
      <c r="F17316" s="6" t="n">
        <f aca="false">Sens!F17340</f>
        <v>23.5803422705473</v>
      </c>
      <c r="G17316" s="6" t="n">
        <f aca="false">Sens!G17340</f>
        <v>25.3583487889173</v>
      </c>
      <c r="H17316" s="6" t="n">
        <f aca="false">Sens!H17340</f>
        <v>27.5285684068818</v>
      </c>
      <c r="I17316" s="6" t="n">
        <f aca="false">Sens!I17340</f>
        <v>30.0244509342793</v>
      </c>
      <c r="J17316" s="6" t="n">
        <f aca="false">Sens!J17340</f>
        <v>32.7625773200223</v>
      </c>
      <c r="K17316" s="6" t="n">
        <f aca="false">Sens!K17340</f>
        <v>35.6585672940919</v>
      </c>
    </row>
    <row r="17317" customFormat="false" ht="17.15" hidden="false" customHeight="false" outlineLevel="0" collapsed="false">
      <c r="A17317" s="1" t="s">
        <v>1072</v>
      </c>
      <c r="B17317" s="0" t="s">
        <v>98</v>
      </c>
      <c r="D17317" s="6" t="n">
        <f aca="false">Q!L27</f>
        <v>-4.901</v>
      </c>
      <c r="E17317" s="6" t="n">
        <f aca="false">Q!M27</f>
        <v>10.697</v>
      </c>
      <c r="F17317" s="6" t="n">
        <f aca="false">Q!$I$27+oie_f*(q_per_yr-1)/q_per_yr</f>
        <v>-0.862</v>
      </c>
      <c r="G17317" s="6" t="n">
        <f aca="false">oie_f</f>
        <v>-1.2</v>
      </c>
      <c r="H17317" s="6" t="n">
        <f aca="false">oie_f</f>
        <v>-1.2</v>
      </c>
      <c r="I17317" s="6" t="n">
        <f aca="false">oie_f</f>
        <v>-1.2</v>
      </c>
      <c r="J17317" s="6" t="n">
        <f aca="false">oie_f</f>
        <v>-1.2</v>
      </c>
      <c r="K17317" s="6" t="n">
        <f aca="false">oie_f</f>
        <v>-1.2</v>
      </c>
      <c r="L17317" s="12" t="s">
        <v>1073</v>
      </c>
    </row>
    <row r="17318" customFormat="false" ht="15" hidden="false" customHeight="false" outlineLevel="0" collapsed="false">
      <c r="A17318" s="1" t="s">
        <v>1074</v>
      </c>
      <c r="B17318" s="0" t="s">
        <v>98</v>
      </c>
      <c r="D17318" s="6" t="n">
        <f aca="false">Sens!D17310+Sens!D17317</f>
        <v>123.627</v>
      </c>
      <c r="E17318" s="6" t="n">
        <f aca="false">Sens!E17310+Sens!E17317</f>
        <v>165.934</v>
      </c>
      <c r="F17318" s="6" t="n">
        <f aca="false">Sens!F17310+Sens!F17317</f>
        <v>181.045320208205</v>
      </c>
      <c r="G17318" s="6" t="n">
        <f aca="false">Sens!G17310+Sens!G17317</f>
        <v>196.000284927055</v>
      </c>
      <c r="H17318" s="6" t="n">
        <f aca="false">Sens!H17310+Sens!H17317</f>
        <v>215.917311876857</v>
      </c>
      <c r="I17318" s="6" t="n">
        <f aca="false">Sens!I17310+Sens!I17317</f>
        <v>234.967674496598</v>
      </c>
      <c r="J17318" s="6" t="n">
        <f aca="false">Sens!J17310+Sens!J17317</f>
        <v>252.885894417075</v>
      </c>
      <c r="K17318" s="6" t="n">
        <f aca="false">Sens!K17310+Sens!K17317</f>
        <v>270.289112828711</v>
      </c>
    </row>
    <row r="17319" customFormat="false" ht="15" hidden="false" customHeight="false" outlineLevel="0" collapsed="false">
      <c r="A17319" s="1" t="s">
        <v>1075</v>
      </c>
      <c r="B17319" s="0" t="s">
        <v>98</v>
      </c>
      <c r="D17319" s="6" t="n">
        <f aca="false">Q!L29</f>
        <v>21.795</v>
      </c>
      <c r="E17319" s="6" t="n">
        <f aca="false">Q!M29</f>
        <v>32.185</v>
      </c>
      <c r="F17319" s="6" t="n">
        <f aca="false">Q!$I$29+(Sens!F17318-Q!$I$28)*tax_f</f>
        <v>36.342464041641</v>
      </c>
      <c r="G17319" s="6" t="n">
        <f aca="false">Sens!G17318*tax_f</f>
        <v>39.200056985411</v>
      </c>
      <c r="H17319" s="6" t="n">
        <f aca="false">Sens!H17318*tax_f</f>
        <v>43.1834623753714</v>
      </c>
      <c r="I17319" s="6" t="n">
        <f aca="false">Sens!I17318*tax_f</f>
        <v>46.9935348993196</v>
      </c>
      <c r="J17319" s="6" t="n">
        <f aca="false">Sens!J17318*tax_f</f>
        <v>50.5771788834151</v>
      </c>
      <c r="K17319" s="6" t="n">
        <f aca="false">Sens!K17318*tax_f</f>
        <v>54.0578225657421</v>
      </c>
    </row>
    <row r="17320" customFormat="false" ht="15" hidden="false" customHeight="false" outlineLevel="0" collapsed="false">
      <c r="A17320" s="1" t="s">
        <v>1076</v>
      </c>
      <c r="B17320" s="0" t="s">
        <v>98</v>
      </c>
      <c r="D17320" s="6" t="n">
        <f aca="false">Sens!D17318-Sens!D17319</f>
        <v>101.832</v>
      </c>
      <c r="E17320" s="6" t="n">
        <f aca="false">Sens!E17318-Sens!E17319</f>
        <v>133.749</v>
      </c>
      <c r="F17320" s="6" t="n">
        <f aca="false">Sens!F17318-Sens!F17319</f>
        <v>144.702856166564</v>
      </c>
      <c r="G17320" s="6" t="n">
        <f aca="false">Sens!G17318-Sens!G17319</f>
        <v>156.800227941644</v>
      </c>
      <c r="H17320" s="6" t="n">
        <f aca="false">Sens!H17318-Sens!H17319</f>
        <v>172.733849501485</v>
      </c>
      <c r="I17320" s="6" t="n">
        <f aca="false">Sens!I17318-Sens!I17319</f>
        <v>187.974139597278</v>
      </c>
      <c r="J17320" s="6" t="n">
        <f aca="false">Sens!J17318-Sens!J17319</f>
        <v>202.30871553366</v>
      </c>
      <c r="K17320" s="6" t="n">
        <f aca="false">Sens!K17318-Sens!K17319</f>
        <v>216.231290262969</v>
      </c>
    </row>
    <row r="17321" customFormat="false" ht="17.15" hidden="false" customHeight="false" outlineLevel="0" collapsed="false">
      <c r="A17321" s="1" t="s">
        <v>1077</v>
      </c>
      <c r="B17321" s="1" t="s">
        <v>81</v>
      </c>
      <c r="D17321" s="15" t="n">
        <f aca="false">Q!L31</f>
        <v>7.465</v>
      </c>
      <c r="E17321" s="15" t="n">
        <f aca="false">Q!M31</f>
        <v>7.453</v>
      </c>
      <c r="F17321" s="15" t="n">
        <f aca="false">Sens!F17365</f>
        <v>7.47325458888591</v>
      </c>
      <c r="G17321" s="15" t="n">
        <f aca="false">Sens!G17365</f>
        <v>7.51800917777181</v>
      </c>
      <c r="H17321" s="15" t="n">
        <f aca="false">Sens!H17365</f>
        <v>7.54570911680062</v>
      </c>
      <c r="I17321" s="15" t="n">
        <f aca="false">Sens!I17365</f>
        <v>7.55739048085609</v>
      </c>
      <c r="J17321" s="15" t="n">
        <f aca="false">Sens!J17365</f>
        <v>7.57153989201856</v>
      </c>
      <c r="K17321" s="15" t="n">
        <f aca="false">Sens!K17365</f>
        <v>7.58797453198381</v>
      </c>
    </row>
    <row r="17322" customFormat="false" ht="17.15" hidden="false" customHeight="false" outlineLevel="0" collapsed="false">
      <c r="A17322" s="0" t="s">
        <v>1078</v>
      </c>
      <c r="B17322" s="0" t="s">
        <v>75</v>
      </c>
      <c r="D17322" s="8" t="n">
        <f aca="false">Sens!D17320/Sens!D17321</f>
        <v>13.641259209645</v>
      </c>
      <c r="E17322" s="8" t="n">
        <f aca="false">Sens!E17320/Sens!E17321</f>
        <v>17.9456594659869</v>
      </c>
      <c r="F17322" s="8" t="n">
        <f aca="false">Sens!F17320/Sens!F17321</f>
        <v>19.3627628291646</v>
      </c>
      <c r="G17322" s="8" t="n">
        <f aca="false">Sens!G17320/Sens!G17321</f>
        <v>20.856615659003</v>
      </c>
      <c r="H17322" s="8" t="n">
        <f aca="false">Sens!H17320/Sens!H17321</f>
        <v>22.8916655582298</v>
      </c>
      <c r="I17322" s="8" t="n">
        <f aca="false">Sens!I17320/Sens!I17321</f>
        <v>24.872889666538</v>
      </c>
      <c r="J17322" s="8" t="n">
        <f aca="false">Sens!J17320/Sens!J17321</f>
        <v>26.7196261815805</v>
      </c>
      <c r="K17322" s="8" t="n">
        <f aca="false">Sens!K17320/Sens!K17321</f>
        <v>28.4965756476303</v>
      </c>
      <c r="L17322" s="1" t="s">
        <v>1079</v>
      </c>
    </row>
    <row r="17323" customFormat="false" ht="17.15" hidden="false" customHeight="false" outlineLevel="0" collapsed="false">
      <c r="A17323" s="1" t="s">
        <v>1080</v>
      </c>
      <c r="B17323" s="0" t="s">
        <v>98</v>
      </c>
      <c r="D17323" s="6" t="n">
        <f aca="false">Sens!D17320</f>
        <v>101.832</v>
      </c>
      <c r="E17323" s="6" t="n">
        <f aca="false">Sens!E17320</f>
        <v>133.749</v>
      </c>
      <c r="F17323" s="6" t="n">
        <f aca="false">Sens!F17320+Sens!F17313*(1-tax_f)</f>
        <v>152.494730383868</v>
      </c>
      <c r="G17323" s="6" t="n">
        <f aca="false">Sens!G17320+Sens!G17313*(1-tax_f)</f>
        <v>177.020498818428</v>
      </c>
      <c r="H17323" s="6" t="n">
        <f aca="false">Sens!H17320+Sens!H17313*(1-tax_f)</f>
        <v>206.561069797321</v>
      </c>
      <c r="I17323" s="6" t="n">
        <f aca="false">Sens!I17320+Sens!I17313*(1-tax_f)</f>
        <v>234.138094510543</v>
      </c>
      <c r="J17323" s="6" t="n">
        <f aca="false">Sens!J17320+Sens!J17313*(1-tax_f)</f>
        <v>257.094997206316</v>
      </c>
      <c r="K17323" s="6" t="n">
        <f aca="false">Sens!K17320+Sens!K17313*(1-tax_f)</f>
        <v>275.719160258428</v>
      </c>
    </row>
    <row r="17324" customFormat="false" ht="17.15" hidden="false" customHeight="false" outlineLevel="0" collapsed="false">
      <c r="A17324" s="0" t="s">
        <v>1081</v>
      </c>
      <c r="B17324" s="0" t="s">
        <v>75</v>
      </c>
      <c r="D17324" s="8" t="n">
        <f aca="false">Sens!D17323/Sens!D17321</f>
        <v>13.641259209645</v>
      </c>
      <c r="E17324" s="8" t="n">
        <f aca="false">Sens!E17323/Sens!E17321</f>
        <v>17.9456594659869</v>
      </c>
      <c r="F17324" s="8" t="n">
        <f aca="false">Sens!F17323/Sens!F17321</f>
        <v>20.4053974838025</v>
      </c>
      <c r="G17324" s="8" t="n">
        <f aca="false">Sens!G17323/Sens!G17321</f>
        <v>23.54619349785</v>
      </c>
      <c r="H17324" s="8" t="n">
        <f aca="false">Sens!H17323/Sens!H17321</f>
        <v>27.3746398913537</v>
      </c>
      <c r="I17324" s="8" t="n">
        <f aca="false">Sens!I17323/Sens!I17321</f>
        <v>30.9813413907416</v>
      </c>
      <c r="J17324" s="8" t="n">
        <f aca="false">Sens!J17323/Sens!J17321</f>
        <v>33.9554437898861</v>
      </c>
      <c r="K17324" s="8" t="n">
        <f aca="false">Sens!K17323/Sens!K17321</f>
        <v>36.336331796615</v>
      </c>
      <c r="L17324" s="1" t="s">
        <v>1082</v>
      </c>
    </row>
    <row r="17325" customFormat="false" ht="17.15" hidden="false" customHeight="false" outlineLevel="0" collapsed="false">
      <c r="A17325" s="0" t="s">
        <v>1083</v>
      </c>
      <c r="B17325" s="0" t="s">
        <v>168</v>
      </c>
      <c r="E17325" s="7" t="n">
        <f aca="false">Sens!E17324/Sens!D17324-1</f>
        <v>0.315542736208578</v>
      </c>
      <c r="F17325" s="7" t="n">
        <f aca="false">Sens!F17324/Sens!E17324-1</f>
        <v>0.137065902898564</v>
      </c>
      <c r="G17325" s="7" t="n">
        <f aca="false">Sens!G17324/Sens!F17324-1</f>
        <v>0.153919864415317</v>
      </c>
      <c r="H17325" s="7" t="n">
        <f aca="false">Sens!H17324/Sens!G17324-1</f>
        <v>0.16259300654491</v>
      </c>
      <c r="I17325" s="7" t="n">
        <f aca="false">Sens!I17324/Sens!H17324-1</f>
        <v>0.131753386115851</v>
      </c>
      <c r="J17325" s="7" t="n">
        <f aca="false">Sens!J17324/Sens!I17324-1</f>
        <v>0.0959965665022269</v>
      </c>
      <c r="K17325" s="7" t="n">
        <f aca="false">Sens!K17324/Sens!J17324-1</f>
        <v>0.0701180058626745</v>
      </c>
    </row>
    <row r="17326" customFormat="false" ht="17.15" hidden="false" customHeight="false" outlineLevel="0" collapsed="false">
      <c r="A17326" s="0" t="s">
        <v>1003</v>
      </c>
      <c r="B17326" s="0" t="s">
        <v>98</v>
      </c>
      <c r="E17326" s="6" t="n">
        <f aca="false">Sens!E17267</f>
        <v>5.25</v>
      </c>
      <c r="F17326" s="6" t="n">
        <f aca="false">Sens!F17267</f>
        <v>12</v>
      </c>
      <c r="G17326" s="6" t="n">
        <f aca="false">Sens!G17267</f>
        <v>18</v>
      </c>
      <c r="H17326" s="6" t="n">
        <f aca="false">Sens!H17267</f>
        <v>24</v>
      </c>
      <c r="I17326" s="6" t="n">
        <f aca="false">Sens!I17267</f>
        <v>28.5</v>
      </c>
      <c r="J17326" s="6" t="n">
        <f aca="false">Sens!J17267</f>
        <v>31.5</v>
      </c>
      <c r="K17326" s="6" t="n">
        <f aca="false">Sens!K17267</f>
        <v>34.5</v>
      </c>
    </row>
    <row r="17327" customFormat="false" ht="17.15" hidden="false" customHeight="false" outlineLevel="0" collapsed="false">
      <c r="A17327" s="1" t="s">
        <v>1004</v>
      </c>
      <c r="B17327" s="0" t="s">
        <v>98</v>
      </c>
      <c r="F17327" s="6" t="n">
        <f aca="false">MAX(0,((Sens!E17227+Sens!F17227)/2-(shadow_base*(Sens!$D$17227+Sens!$E$17227)/2+(1-shadow_base)*Sens!$E$17227))*Sens!F17236/1000-(Sens!F17326-Sens!$E$17326)*Sens!F17306)</f>
        <v>9.7398427716299</v>
      </c>
      <c r="G17327" s="6" t="n">
        <f aca="false">MAX(0,((Sens!F17227+Sens!G17227)/2-(shadow_base*(Sens!$D$17227+Sens!$E$17227)/2+(1-shadow_base)*Sens!$E$17227))*Sens!G17236/1000-(Sens!G17326-Sens!$E$17326)*Sens!G17306)</f>
        <v>25.2753385959797</v>
      </c>
      <c r="H17327" s="6" t="n">
        <f aca="false">MAX(0,((Sens!G17227+Sens!H17227)/2-(shadow_base*(Sens!$D$17227+Sens!$E$17227)/2+(1-shadow_base)*Sens!$E$17227))*Sens!H17236/1000-(Sens!H17326-Sens!$E$17326)*Sens!H17306)</f>
        <v>42.2840253697948</v>
      </c>
      <c r="I17327" s="6" t="n">
        <f aca="false">MAX(0,((Sens!H17227+Sens!I17227)/2-(shadow_base*(Sens!$D$17227+Sens!$E$17227)/2+(1-shadow_base)*Sens!$E$17227))*Sens!I17236/1000-(Sens!I17326-Sens!$E$17326)*Sens!I17306)</f>
        <v>57.704943641581</v>
      </c>
      <c r="J17327" s="6" t="n">
        <f aca="false">MAX(0,((Sens!I17227+Sens!J17227)/2-(shadow_base*(Sens!$D$17227+Sens!$E$17227)/2+(1-shadow_base)*Sens!$E$17227))*Sens!J17236/1000-(Sens!J17326-Sens!$E$17326)*Sens!J17306)</f>
        <v>68.4828520908201</v>
      </c>
      <c r="K17327" s="6" t="n">
        <f aca="false">MAX(0,((Sens!J17227+Sens!K17227)/2-(shadow_base*(Sens!$D$17227+Sens!$E$17227)/2+(1-shadow_base)*Sens!$E$17227))*Sens!K17236/1000-(Sens!K17326-Sens!$E$17326)*Sens!K17306)</f>
        <v>74.3598374943249</v>
      </c>
      <c r="L17327" s="1" t="s">
        <v>1005</v>
      </c>
    </row>
    <row r="17328" customFormat="false" ht="17.15" hidden="false" customHeight="false" outlineLevel="0" collapsed="false">
      <c r="A17328" s="1" t="s">
        <v>1006</v>
      </c>
      <c r="B17328" s="0" t="s">
        <v>98</v>
      </c>
      <c r="F17328" s="6" t="n">
        <f aca="false">IF(internal_ai_reading=2,1,0)*Sens!F17327</f>
        <v>9.7398427716299</v>
      </c>
      <c r="G17328" s="6" t="n">
        <f aca="false">IF(internal_ai_reading=2,1,0)*Sens!G17327</f>
        <v>25.2753385959797</v>
      </c>
      <c r="H17328" s="6" t="n">
        <f aca="false">IF(internal_ai_reading=2,1,0)*Sens!H17327</f>
        <v>42.2840253697948</v>
      </c>
      <c r="I17328" s="6" t="n">
        <f aca="false">IF(internal_ai_reading=2,1,0)*Sens!I17327</f>
        <v>57.704943641581</v>
      </c>
      <c r="J17328" s="6" t="n">
        <f aca="false">IF(internal_ai_reading=2,1,0)*Sens!J17327</f>
        <v>68.4828520908201</v>
      </c>
      <c r="K17328" s="6" t="n">
        <f aca="false">IF(internal_ai_reading=2,1,0)*Sens!K17327</f>
        <v>74.3598374943249</v>
      </c>
    </row>
    <row r="17329" customFormat="false" ht="17.15" hidden="false" customHeight="false" outlineLevel="0" collapsed="false">
      <c r="A17329" s="0" t="s">
        <v>1007</v>
      </c>
      <c r="B17329" s="0" t="s">
        <v>98</v>
      </c>
      <c r="F17329" s="6" t="n">
        <f aca="false">Sens!F17246+Sens!F17326*Sens!F17306+Sens!F17328-Sens!F17247-Sens!F17258</f>
        <v>14.8152827562272</v>
      </c>
      <c r="G17329" s="6" t="n">
        <f aca="false">Sens!G17246+Sens!G17326*Sens!G17306+Sens!G17328-Sens!G17247-Sens!G17258</f>
        <v>31.0349977765951</v>
      </c>
      <c r="H17329" s="6" t="n">
        <f aca="false">Sens!H17246+Sens!H17326*Sens!H17306+Sens!H17328-Sens!H17247-Sens!H17258</f>
        <v>47.8811519709826</v>
      </c>
      <c r="I17329" s="6" t="n">
        <f aca="false">Sens!I17246+Sens!I17326*Sens!I17306+Sens!I17328-Sens!I17247-Sens!I17258</f>
        <v>62.6472166574028</v>
      </c>
      <c r="J17329" s="6" t="n">
        <f aca="false">Sens!J17246+Sens!J17326*Sens!J17306+Sens!J17328-Sens!J17247-Sens!J17258</f>
        <v>72.7882253357034</v>
      </c>
      <c r="K17329" s="6" t="n">
        <f aca="false">Sens!K17246+Sens!K17326*Sens!K17306+Sens!K17328-Sens!K17247-Sens!K17258</f>
        <v>79.4617812140187</v>
      </c>
    </row>
    <row r="17330" customFormat="false" ht="17.15" hidden="false" customHeight="false" outlineLevel="0" collapsed="false">
      <c r="A17330" s="0" t="s">
        <v>1008</v>
      </c>
      <c r="B17330" s="0" t="s">
        <v>98</v>
      </c>
      <c r="E17330" s="6" t="n">
        <f aca="false">Sens!E17226*(cxit_open+self_build*tk_cxfac)/1000*ai_net_open</f>
        <v>126.6980382</v>
      </c>
      <c r="F17330" s="6" t="n">
        <f aca="false">Sens!E17330+Sens!F17255-Sens!F17258</f>
        <v>260.572627763768</v>
      </c>
      <c r="G17330" s="6" t="n">
        <f aca="false">Sens!F17330+Sens!G17255-Sens!G17258</f>
        <v>391.782612760517</v>
      </c>
      <c r="H17330" s="6" t="n">
        <f aca="false">Sens!G17330+Sens!H17255-Sens!H17258</f>
        <v>499.488526163584</v>
      </c>
      <c r="I17330" s="6" t="n">
        <f aca="false">Sens!H17330+Sens!I17255-Sens!I17258</f>
        <v>553.872350090646</v>
      </c>
      <c r="J17330" s="6" t="n">
        <f aca="false">Sens!I17330+Sens!J17255-Sens!J17258</f>
        <v>550.78660823699</v>
      </c>
      <c r="K17330" s="6" t="n">
        <f aca="false">Sens!J17330+Sens!K17255-Sens!K17258</f>
        <v>526.736791750789</v>
      </c>
      <c r="L17330" s="1" t="s">
        <v>1009</v>
      </c>
    </row>
    <row r="17331" customFormat="false" ht="17.15" hidden="false" customHeight="false" outlineLevel="0" collapsed="false">
      <c r="A17331" s="0" t="s">
        <v>1010</v>
      </c>
      <c r="B17331" s="0" t="s">
        <v>168</v>
      </c>
      <c r="F17331" s="7" t="n">
        <f aca="false">Sens!F17329*(1-tax_f)/((Sens!E17330+Sens!F17330)/2)</f>
        <v>0.0612090057246454</v>
      </c>
      <c r="G17331" s="7" t="n">
        <f aca="false">Sens!G17329*(1-tax_f)/((Sens!F17330+Sens!G17330)/2)</f>
        <v>0.0761180310326695</v>
      </c>
      <c r="H17331" s="7" t="n">
        <f aca="false">Sens!H17329*(1-tax_f)/((Sens!G17330+Sens!H17330)/2)</f>
        <v>0.0859557095566361</v>
      </c>
      <c r="I17331" s="7" t="n">
        <f aca="false">Sens!I17329*(1-tax_f)/((Sens!H17330+Sens!I17330)/2)</f>
        <v>0.0951578408800258</v>
      </c>
      <c r="J17331" s="7" t="n">
        <f aca="false">Sens!J17329*(1-tax_f)/((Sens!I17330+Sens!J17330)/2)</f>
        <v>0.105427253958487</v>
      </c>
      <c r="K17331" s="7" t="n">
        <f aca="false">Sens!K17329*(1-tax_f)/((Sens!J17330+Sens!K17330)/2)</f>
        <v>0.117991729872291</v>
      </c>
    </row>
    <row r="17332" customFormat="false" ht="17.15" hidden="false" customHeight="false" outlineLevel="0" collapsed="false">
      <c r="A17332" s="1" t="s">
        <v>1011</v>
      </c>
      <c r="B17332" s="0" t="s">
        <v>168</v>
      </c>
      <c r="F17332" s="7" t="n">
        <f aca="false">(Sens!F17329-Sens!F17328)*(1-tax_f)/((Sens!E17330+Sens!F17330)/2)</f>
        <v>0.0209690655375262</v>
      </c>
      <c r="G17332" s="7" t="n">
        <f aca="false">(Sens!G17329-Sens!G17328)*(1-tax_f)/((Sens!F17330+Sens!G17330)/2)</f>
        <v>0.014126436206105</v>
      </c>
      <c r="H17332" s="7" t="n">
        <f aca="false">(Sens!H17329-Sens!H17328)*(1-tax_f)/((Sens!G17330+Sens!H17330)/2)</f>
        <v>0.010047899197893</v>
      </c>
      <c r="I17332" s="7" t="n">
        <f aca="false">(Sens!I17329-Sens!I17328)*(1-tax_f)/((Sens!H17330+Sens!I17330)/2)</f>
        <v>0.00750705385359908</v>
      </c>
      <c r="J17332" s="7" t="n">
        <f aca="false">(Sens!J17329-Sens!J17328)*(1-tax_f)/((Sens!I17330+Sens!J17330)/2)</f>
        <v>0.00623594924015468</v>
      </c>
      <c r="K17332" s="7" t="n">
        <f aca="false">(Sens!K17329-Sens!K17328)*(1-tax_f)/((Sens!J17330+Sens!K17330)/2)</f>
        <v>0.00757580758951754</v>
      </c>
    </row>
    <row r="17333" customFormat="false" ht="17.15" hidden="false" customHeight="false" outlineLevel="0" collapsed="false">
      <c r="A17333" s="1" t="s">
        <v>1012</v>
      </c>
      <c r="B17333" s="0" t="s">
        <v>168</v>
      </c>
      <c r="F17333" s="7" t="n">
        <f aca="false">(Sens!F17329-Sens!F17328+Sens!F17327)*(1-tax_f)/((Sens!E17330+Sens!F17330)/2)</f>
        <v>0.0612090057246454</v>
      </c>
      <c r="G17333" s="7" t="n">
        <f aca="false">(Sens!G17329-Sens!G17328+Sens!G17327)*(1-tax_f)/((Sens!F17330+Sens!G17330)/2)</f>
        <v>0.0761180310326695</v>
      </c>
      <c r="H17333" s="7" t="n">
        <f aca="false">(Sens!H17329-Sens!H17328+Sens!H17327)*(1-tax_f)/((Sens!G17330+Sens!H17330)/2)</f>
        <v>0.0859557095566361</v>
      </c>
      <c r="I17333" s="7" t="n">
        <f aca="false">(Sens!I17329-Sens!I17328+Sens!I17327)*(1-tax_f)/((Sens!H17330+Sens!I17330)/2)</f>
        <v>0.0951578408800258</v>
      </c>
      <c r="J17333" s="7" t="n">
        <f aca="false">(Sens!J17329-Sens!J17328+Sens!J17327)*(1-tax_f)/((Sens!I17330+Sens!J17330)/2)</f>
        <v>0.105427253958487</v>
      </c>
      <c r="K17333" s="7" t="n">
        <f aca="false">(Sens!K17329-Sens!K17328+Sens!K17327)*(1-tax_f)/((Sens!J17330+Sens!K17330)/2)</f>
        <v>0.117991729872291</v>
      </c>
    </row>
    <row r="17334" customFormat="false" ht="17.15" hidden="false" customHeight="false" outlineLevel="0" collapsed="false">
      <c r="A17334" s="1" t="s">
        <v>1013</v>
      </c>
      <c r="B17334" s="0" t="s">
        <v>168</v>
      </c>
      <c r="F17334" s="7" t="n">
        <f aca="false">Sens!F17259*(1-tax_f)/(Sens!F17245*(Sens!E17330+Sens!F17330)/2)</f>
        <v>0.129294830495493</v>
      </c>
      <c r="G17334" s="7" t="n">
        <f aca="false">Sens!G17259*(1-tax_f)/(Sens!G17245*(Sens!F17330+Sens!G17330)/2)</f>
        <v>0.12719599062164</v>
      </c>
      <c r="H17334" s="7" t="n">
        <f aca="false">Sens!H17259*(1-tax_f)/(Sens!H17245*(Sens!G17330+Sens!H17330)/2)</f>
        <v>0.130828167067624</v>
      </c>
      <c r="I17334" s="7" t="n">
        <f aca="false">Sens!I17259*(1-tax_f)/(Sens!I17245*(Sens!H17330+Sens!I17330)/2)</f>
        <v>0.138614526937417</v>
      </c>
      <c r="J17334" s="7" t="n">
        <f aca="false">Sens!J17259*(1-tax_f)/(Sens!J17245*(Sens!I17330+Sens!J17330)/2)</f>
        <v>0.150578919010924</v>
      </c>
      <c r="K17334" s="7" t="n">
        <f aca="false">Sens!K17259*(1-tax_f)/(Sens!K17245*(Sens!J17330+Sens!K17330)/2)</f>
        <v>0.167005345886664</v>
      </c>
    </row>
    <row r="17335" customFormat="false" ht="17.15" hidden="false" customHeight="false" outlineLevel="0" collapsed="false">
      <c r="A17335" s="0" t="s">
        <v>1014</v>
      </c>
      <c r="B17335" s="0" t="s">
        <v>253</v>
      </c>
      <c r="F17335" s="7" t="n">
        <f aca="false">Sens!F17331-wacc</f>
        <v>-0.0417275852209519</v>
      </c>
      <c r="G17335" s="7" t="n">
        <f aca="false">Sens!G17331-wacc</f>
        <v>-0.0268185599129278</v>
      </c>
      <c r="H17335" s="7" t="n">
        <f aca="false">Sens!H17331-wacc</f>
        <v>-0.0169808813889612</v>
      </c>
      <c r="I17335" s="7" t="n">
        <f aca="false">Sens!I17331-wacc</f>
        <v>-0.00777875006557149</v>
      </c>
      <c r="J17335" s="7" t="n">
        <f aca="false">Sens!J17331-wacc</f>
        <v>0.0024906630128898</v>
      </c>
      <c r="K17335" s="7" t="n">
        <f aca="false">Sens!K17331-wacc</f>
        <v>0.0150551389266932</v>
      </c>
    </row>
    <row r="17336" customFormat="false" ht="17.15" hidden="false" customHeight="false" outlineLevel="0" collapsed="false">
      <c r="A17336" s="0" t="s">
        <v>1015</v>
      </c>
      <c r="B17336" s="0" t="s">
        <v>98</v>
      </c>
      <c r="F17336" s="6" t="n">
        <f aca="false">Sens!F17329*(1-tax_f)-wacc*(Sens!E17330+Sens!F17330)/2</f>
        <v>-8.07993485878896</v>
      </c>
      <c r="G17336" s="6" t="n">
        <f aca="false">Sens!G17329*(1-tax_f)-wacc*(Sens!F17330+Sens!G17330)/2</f>
        <v>-8.74761405125648</v>
      </c>
      <c r="H17336" s="6" t="n">
        <f aca="false">Sens!H17329*(1-tax_f)-wacc*(Sens!G17330+Sens!H17330)/2</f>
        <v>-7.56728474773728</v>
      </c>
      <c r="I17336" s="6" t="n">
        <f aca="false">Sens!I17329*(1-tax_f)-wacc*(Sens!H17330+Sens!I17330)/2</f>
        <v>-4.09691549261652</v>
      </c>
      <c r="J17336" s="6" t="n">
        <f aca="false">Sens!J17329*(1-tax_f)-wacc*(Sens!I17330+Sens!J17330)/2</f>
        <v>1.37566660468201</v>
      </c>
      <c r="K17336" s="6" t="n">
        <f aca="false">Sens!K17329*(1-tax_f)-wacc*(Sens!J17330+Sens!K17330)/2</f>
        <v>8.11113224178941</v>
      </c>
    </row>
    <row r="17337" customFormat="false" ht="17.15" hidden="false" customHeight="false" outlineLevel="0" collapsed="false">
      <c r="A17337" s="3" t="s">
        <v>1907</v>
      </c>
    </row>
    <row r="17338" customFormat="false" ht="15" hidden="false" customHeight="false" outlineLevel="0" collapsed="false">
      <c r="A17338" s="4" t="s">
        <v>43</v>
      </c>
      <c r="B17338" s="4" t="s">
        <v>65</v>
      </c>
      <c r="C17338" s="23" t="s">
        <v>938</v>
      </c>
      <c r="D17338" s="23" t="s">
        <v>939</v>
      </c>
      <c r="E17338" s="23" t="s">
        <v>940</v>
      </c>
      <c r="F17338" s="23" t="s">
        <v>941</v>
      </c>
      <c r="G17338" s="23" t="s">
        <v>942</v>
      </c>
      <c r="H17338" s="23" t="s">
        <v>943</v>
      </c>
      <c r="I17338" s="23" t="s">
        <v>944</v>
      </c>
      <c r="J17338" s="23" t="s">
        <v>945</v>
      </c>
      <c r="K17338" s="23" t="s">
        <v>946</v>
      </c>
      <c r="L17338" s="4" t="s">
        <v>47</v>
      </c>
    </row>
    <row r="17339" customFormat="false" ht="15" hidden="false" customHeight="false" outlineLevel="0" collapsed="false">
      <c r="A17339" s="1" t="s">
        <v>1076</v>
      </c>
      <c r="B17339" s="0" t="s">
        <v>98</v>
      </c>
      <c r="F17339" s="6" t="n">
        <f aca="false">Sens!F17320</f>
        <v>144.702856166564</v>
      </c>
      <c r="G17339" s="6" t="n">
        <f aca="false">Sens!G17320</f>
        <v>156.800227941644</v>
      </c>
      <c r="H17339" s="6" t="n">
        <f aca="false">Sens!H17320</f>
        <v>172.733849501485</v>
      </c>
      <c r="I17339" s="6" t="n">
        <f aca="false">Sens!I17320</f>
        <v>187.974139597278</v>
      </c>
      <c r="J17339" s="6" t="n">
        <f aca="false">Sens!J17320</f>
        <v>202.30871553366</v>
      </c>
      <c r="K17339" s="6" t="n">
        <f aca="false">Sens!K17320</f>
        <v>216.231290262969</v>
      </c>
    </row>
    <row r="17340" customFormat="false" ht="17.15" hidden="false" customHeight="false" outlineLevel="0" collapsed="false">
      <c r="A17340" s="1" t="s">
        <v>1098</v>
      </c>
      <c r="B17340" s="0" t="s">
        <v>98</v>
      </c>
      <c r="E17340" s="6" t="n">
        <f aca="false">Q!M38-Sens!E17258</f>
        <v>22.2285940229167</v>
      </c>
      <c r="F17340" s="6" t="n">
        <f aca="false">Sens!E17340*(1-1/life_nonai)+(Sens!F17348+Sens!F17349)/life_nonai</f>
        <v>23.5803422705473</v>
      </c>
      <c r="G17340" s="6" t="n">
        <f aca="false">Sens!F17340*(1-1/life_nonai)+(Sens!G17348)/life_nonai</f>
        <v>25.3583487889173</v>
      </c>
      <c r="H17340" s="6" t="n">
        <f aca="false">Sens!G17340*(1-1/life_nonai)+(Sens!H17348)/life_nonai</f>
        <v>27.5285684068818</v>
      </c>
      <c r="I17340" s="6" t="n">
        <f aca="false">Sens!H17340*(1-1/life_nonai)+(Sens!I17348)/life_nonai</f>
        <v>30.0244509342793</v>
      </c>
      <c r="J17340" s="6" t="n">
        <f aca="false">Sens!I17340*(1-1/life_nonai)+(Sens!J17348)/life_nonai</f>
        <v>32.7625773200223</v>
      </c>
      <c r="K17340" s="6" t="n">
        <f aca="false">Sens!J17340*(1-1/life_nonai)+(Sens!K17348)/life_nonai</f>
        <v>35.6585672940919</v>
      </c>
      <c r="L17340" s="12" t="s">
        <v>1099</v>
      </c>
    </row>
    <row r="17341" customFormat="false" ht="17.15" hidden="false" customHeight="false" outlineLevel="0" collapsed="false">
      <c r="A17341" s="1" t="s">
        <v>1100</v>
      </c>
      <c r="B17341" s="0" t="s">
        <v>98</v>
      </c>
      <c r="F17341" s="6" t="n">
        <f aca="false">Sens!$F$17349/life_nonai*(1-1/life_nonai)^(Sens!F17221-2027)</f>
        <v>0</v>
      </c>
      <c r="G17341" s="6" t="n">
        <f aca="false">Sens!$F$17349/life_nonai*(1-1/life_nonai)^(Sens!G17221-2027)</f>
        <v>0</v>
      </c>
      <c r="H17341" s="6" t="n">
        <f aca="false">Sens!$F$17349/life_nonai*(1-1/life_nonai)^(Sens!H17221-2027)</f>
        <v>0</v>
      </c>
      <c r="I17341" s="6" t="n">
        <f aca="false">Sens!$F$17349/life_nonai*(1-1/life_nonai)^(Sens!I17221-2027)</f>
        <v>0</v>
      </c>
      <c r="J17341" s="6" t="n">
        <f aca="false">Sens!$F$17349/life_nonai*(1-1/life_nonai)^(Sens!J17221-2027)</f>
        <v>0</v>
      </c>
      <c r="K17341" s="6" t="n">
        <f aca="false">Sens!$F$17349/life_nonai*(1-1/life_nonai)^(Sens!K17221-2027)</f>
        <v>0</v>
      </c>
      <c r="L17341" s="1" t="s">
        <v>1101</v>
      </c>
    </row>
    <row r="17342" customFormat="false" ht="17.15" hidden="false" customHeight="false" outlineLevel="0" collapsed="false">
      <c r="A17342" s="1" t="s">
        <v>1102</v>
      </c>
      <c r="B17342" s="0" t="s">
        <v>98</v>
      </c>
      <c r="E17342" s="6" t="n">
        <f aca="false">Sens!E17258+Sens!E17340</f>
        <v>38.534</v>
      </c>
      <c r="F17342" s="6" t="n">
        <f aca="false">Sens!F17258+Sens!F17340</f>
        <v>58.1596567488989</v>
      </c>
      <c r="G17342" s="6" t="n">
        <f aca="false">Sens!G17258+Sens!G17340</f>
        <v>86.0928394412163</v>
      </c>
      <c r="H17342" s="6" t="n">
        <f aca="false">Sens!H17258+Sens!H17340</f>
        <v>116.628659068327</v>
      </c>
      <c r="I17342" s="6" t="n">
        <f aca="false">Sens!I17258+Sens!I17340</f>
        <v>144.255460628828</v>
      </c>
      <c r="J17342" s="6" t="n">
        <f aca="false">Sens!J17258+Sens!J17340</f>
        <v>164.778250369618</v>
      </c>
      <c r="K17342" s="6" t="n">
        <f aca="false">Sens!K17258+Sens!K17340</f>
        <v>178.671236845026</v>
      </c>
    </row>
    <row r="17343" customFormat="false" ht="17.15" hidden="false" customHeight="false" outlineLevel="0" collapsed="false">
      <c r="A17343" s="1" t="s">
        <v>1103</v>
      </c>
      <c r="B17343" s="0" t="s">
        <v>98</v>
      </c>
      <c r="F17343" s="6" t="n">
        <f aca="false">Sens!F17285*sbc_r</f>
        <v>14.9175438377464</v>
      </c>
      <c r="G17343" s="6" t="n">
        <f aca="false">Sens!G17285*sbc_r</f>
        <v>17.8119838712421</v>
      </c>
      <c r="H17343" s="6" t="n">
        <f aca="false">Sens!H17285*sbc_r</f>
        <v>20.7745061486909</v>
      </c>
      <c r="I17343" s="6" t="n">
        <f aca="false">Sens!I17285*sbc_r</f>
        <v>23.4952383075388</v>
      </c>
      <c r="J17343" s="6" t="n">
        <f aca="false">Sens!J17285*sbc_r</f>
        <v>25.7232953082804</v>
      </c>
      <c r="K17343" s="6" t="n">
        <f aca="false">Sens!K17285*sbc_r</f>
        <v>27.5132097680234</v>
      </c>
    </row>
    <row r="17344" customFormat="false" ht="17.15" hidden="false" customHeight="false" outlineLevel="0" collapsed="false">
      <c r="A17344" s="1" t="s">
        <v>1104</v>
      </c>
      <c r="B17344" s="0" t="s">
        <v>98</v>
      </c>
      <c r="F17344" s="6" t="n">
        <f aca="false">wc27-wc26q1</f>
        <v>-4.677</v>
      </c>
      <c r="G17344" s="6" t="n">
        <f aca="false">wc_f</f>
        <v>0</v>
      </c>
      <c r="H17344" s="6" t="n">
        <f aca="false">wc_f</f>
        <v>0</v>
      </c>
      <c r="I17344" s="6" t="n">
        <f aca="false">wc_f</f>
        <v>0</v>
      </c>
      <c r="J17344" s="6" t="n">
        <f aca="false">wc_f</f>
        <v>0</v>
      </c>
      <c r="K17344" s="6" t="n">
        <f aca="false">wc_f</f>
        <v>0</v>
      </c>
      <c r="L17344" s="12" t="s">
        <v>1105</v>
      </c>
    </row>
    <row r="17345" customFormat="false" ht="17.15" hidden="false" customHeight="false" outlineLevel="0" collapsed="false">
      <c r="A17345" s="0" t="s">
        <v>1106</v>
      </c>
      <c r="B17345" s="0" t="s">
        <v>98</v>
      </c>
      <c r="F17345" s="6" t="n">
        <f aca="false">Q!$I$35-Q!$I$26-Q!$I$38-Q!$I$39</f>
        <v>6.493</v>
      </c>
      <c r="L17345" s="1" t="s">
        <v>1107</v>
      </c>
    </row>
    <row r="17346" customFormat="false" ht="15" hidden="false" customHeight="false" outlineLevel="0" collapsed="false">
      <c r="A17346" s="1" t="s">
        <v>904</v>
      </c>
      <c r="B17346" s="0" t="s">
        <v>98</v>
      </c>
      <c r="E17346" s="6" t="n">
        <f aca="false">Q!M35</f>
        <v>182.935</v>
      </c>
      <c r="F17346" s="6" t="n">
        <f aca="false">Sens!F17339+Sens!F17342+Sens!F17343+Sens!F17344+Sens!F17345</f>
        <v>219.596056753209</v>
      </c>
      <c r="G17346" s="6" t="n">
        <f aca="false">Sens!G17339+Sens!G17342+Sens!G17343+Sens!G17344</f>
        <v>260.705051254102</v>
      </c>
      <c r="H17346" s="6" t="n">
        <f aca="false">Sens!H17339+Sens!H17342+Sens!H17343+Sens!H17344</f>
        <v>310.137014718504</v>
      </c>
      <c r="I17346" s="6" t="n">
        <f aca="false">Sens!I17339+Sens!I17342+Sens!I17343+Sens!I17344</f>
        <v>355.724838533645</v>
      </c>
      <c r="J17346" s="6" t="n">
        <f aca="false">Sens!J17339+Sens!J17342+Sens!J17343+Sens!J17344</f>
        <v>392.810261211559</v>
      </c>
      <c r="K17346" s="6" t="n">
        <f aca="false">Sens!K17339+Sens!K17342+Sens!K17343+Sens!K17344</f>
        <v>422.415736876018</v>
      </c>
    </row>
    <row r="17347" customFormat="false" ht="17.15" hidden="false" customHeight="false" outlineLevel="0" collapsed="false">
      <c r="A17347" s="0" t="s">
        <v>1108</v>
      </c>
      <c r="B17347" s="0" t="s">
        <v>98</v>
      </c>
      <c r="F17347" s="6" t="n">
        <f aca="false">Sens!F17255</f>
        <v>168.45390404212</v>
      </c>
      <c r="G17347" s="6" t="n">
        <f aca="false">Sens!G17255</f>
        <v>191.944475649048</v>
      </c>
      <c r="H17347" s="6" t="n">
        <f aca="false">Sens!H17255</f>
        <v>196.806004064512</v>
      </c>
      <c r="I17347" s="6" t="n">
        <f aca="false">Sens!I17255</f>
        <v>168.61483362161</v>
      </c>
      <c r="J17347" s="6" t="n">
        <f aca="false">Sens!J17255</f>
        <v>128.92993119594</v>
      </c>
      <c r="K17347" s="6" t="n">
        <f aca="false">Sens!K17255</f>
        <v>118.962853064733</v>
      </c>
    </row>
    <row r="17348" customFormat="false" ht="17.15" hidden="false" customHeight="false" outlineLevel="0" collapsed="false">
      <c r="A17348" s="1" t="s">
        <v>1109</v>
      </c>
      <c r="B17348" s="0" t="s">
        <v>98</v>
      </c>
      <c r="E17348" s="6" t="n">
        <f aca="false">Sens!E17263*cx_azo+Sens!E17270*cx_m365+Sens!E17271*cx_lic+(Sens!E17273+Sens!E17275)*cx_ind+Sens!E17278*cx_srch+(Sens!E17280+Sens!E17282)*cx_dev</f>
        <v>30.1846587067718</v>
      </c>
      <c r="F17348" s="6" t="n">
        <f aca="false">Sens!F17263*cx_azo+Sens!F17270*cx_m365+Sens!F17271*cx_lic+(Sens!F17273+Sens!F17275)*cx_ind+Sens!F17278*cx_srch+(Sens!F17280+Sens!F17282)*cx_dev</f>
        <v>35.7460764992227</v>
      </c>
      <c r="G17348" s="6" t="n">
        <f aca="false">Sens!G17263*cx_azo+Sens!G17270*cx_m365+Sens!G17271*cx_lic+(Sens!G17273+Sens!G17275)*cx_ind+Sens!G17278*cx_srch+(Sens!G17280+Sens!G17282)*cx_dev</f>
        <v>41.360407454248</v>
      </c>
      <c r="H17348" s="6" t="n">
        <f aca="false">Sens!H17263*cx_azo+Sens!H17270*cx_m365+Sens!H17271*cx_lic+(Sens!H17273+Sens!H17275)*cx_ind+Sens!H17278*cx_srch+(Sens!H17280+Sens!H17282)*cx_dev</f>
        <v>47.0605449685615</v>
      </c>
      <c r="I17348" s="6" t="n">
        <f aca="false">Sens!I17263*cx_azo+Sens!I17270*cx_m365+Sens!I17271*cx_lic+(Sens!I17273+Sens!I17275)*cx_ind+Sens!I17278*cx_srch+(Sens!I17280+Sens!I17282)*cx_dev</f>
        <v>52.4873936808571</v>
      </c>
      <c r="J17348" s="6" t="n">
        <f aca="false">Sens!J17263*cx_azo+Sens!J17270*cx_m365+Sens!J17271*cx_lic+(Sens!J17273+Sens!J17275)*cx_ind+Sens!J17278*cx_srch+(Sens!J17280+Sens!J17282)*cx_dev</f>
        <v>57.4057147917091</v>
      </c>
      <c r="K17348" s="6" t="n">
        <f aca="false">Sens!K17263*cx_azo+Sens!K17270*cx_m365+Sens!K17271*cx_lic+(Sens!K17273+Sens!K17275)*cx_ind+Sens!K17278*cx_srch+(Sens!K17280+Sens!K17282)*cx_dev</f>
        <v>61.7224770607185</v>
      </c>
    </row>
    <row r="17349" customFormat="false" ht="17.15" hidden="false" customHeight="false" outlineLevel="0" collapsed="false">
      <c r="A17349" s="0" t="s">
        <v>1110</v>
      </c>
      <c r="B17349" s="0" t="s">
        <v>98</v>
      </c>
      <c r="F17349" s="6" t="n">
        <f aca="false">0</f>
        <v>0</v>
      </c>
      <c r="L17349" s="1" t="s">
        <v>1111</v>
      </c>
    </row>
    <row r="17350" customFormat="false" ht="17.15" hidden="false" customHeight="false" outlineLevel="0" collapsed="false">
      <c r="A17350" s="1" t="s">
        <v>1112</v>
      </c>
      <c r="B17350" s="0" t="s">
        <v>98</v>
      </c>
      <c r="E17350" s="6" t="n">
        <f aca="false">Q!M43</f>
        <v>145.3</v>
      </c>
      <c r="F17350" s="6" t="n">
        <f aca="false">Sens!F17347+Sens!F17348+Sens!F17349</f>
        <v>204.199980541342</v>
      </c>
      <c r="G17350" s="6" t="n">
        <f aca="false">Sens!G17347+Sens!G17348</f>
        <v>233.304883103296</v>
      </c>
      <c r="H17350" s="6" t="n">
        <f aca="false">Sens!H17347+Sens!H17348</f>
        <v>243.866549033074</v>
      </c>
      <c r="I17350" s="6" t="n">
        <f aca="false">Sens!I17347+Sens!I17348</f>
        <v>221.102227302467</v>
      </c>
      <c r="J17350" s="6" t="n">
        <f aca="false">Sens!J17347+Sens!J17348</f>
        <v>186.33564598765</v>
      </c>
      <c r="K17350" s="6" t="n">
        <f aca="false">Sens!K17347+Sens!K17348</f>
        <v>180.685330125451</v>
      </c>
      <c r="L17350" s="1" t="s">
        <v>1113</v>
      </c>
    </row>
    <row r="17351" customFormat="false" ht="15" hidden="false" customHeight="false" outlineLevel="0" collapsed="false">
      <c r="A17351" s="1" t="s">
        <v>1114</v>
      </c>
      <c r="B17351" s="0" t="s">
        <v>98</v>
      </c>
      <c r="E17351" s="6" t="n">
        <f aca="false">fl_liab</f>
        <v>66.594</v>
      </c>
      <c r="F17351" s="6" t="n">
        <f aca="false">Sens!E17351-Sens!F17352</f>
        <v>62.46973</v>
      </c>
      <c r="G17351" s="6" t="n">
        <f aca="false">Sens!F17351-Sens!G17352</f>
        <v>57.98686785</v>
      </c>
      <c r="H17351" s="6" t="n">
        <f aca="false">Sens!G17351-Sens!H17352</f>
        <v>53.92827690325</v>
      </c>
      <c r="I17351" s="6" t="n">
        <f aca="false">Sens!H17351-Sens!I17352</f>
        <v>49.7850493638962</v>
      </c>
      <c r="J17351" s="6" t="n">
        <f aca="false">Sens!I17351-Sens!J17352</f>
        <v>45.4823765852716</v>
      </c>
      <c r="K17351" s="6" t="n">
        <f aca="false">Sens!J17351-Sens!K17352</f>
        <v>40.9860835316088</v>
      </c>
    </row>
    <row r="17352" customFormat="false" ht="15" hidden="false" customHeight="false" outlineLevel="0" collapsed="false">
      <c r="A17352" s="1" t="s">
        <v>1115</v>
      </c>
      <c r="B17352" s="0" t="s">
        <v>98</v>
      </c>
      <c r="F17352" s="6" t="n">
        <f aca="false">fl_pay_27-Sens!E17351*fl_rate</f>
        <v>4.12427</v>
      </c>
      <c r="G17352" s="6" t="n">
        <f aca="false">fl_pay_28-Sens!F17351*fl_rate</f>
        <v>4.48286215</v>
      </c>
      <c r="H17352" s="6" t="n">
        <f aca="false">fl_pay_29-Sens!G17351*fl_rate</f>
        <v>4.05859094675</v>
      </c>
      <c r="I17352" s="6" t="n">
        <f aca="false">fl_pay_30-Sens!H17351*fl_rate</f>
        <v>4.14322753935375</v>
      </c>
      <c r="J17352" s="6" t="n">
        <f aca="false">fl_pay_31-Sens!I17351*fl_rate</f>
        <v>4.30267277862467</v>
      </c>
      <c r="K17352" s="6" t="n">
        <f aca="false">fl_pay_32-Sens!J17351*fl_rate</f>
        <v>4.49629305366278</v>
      </c>
    </row>
    <row r="17353" customFormat="false" ht="17.15" hidden="false" customHeight="false" outlineLevel="0" collapsed="false">
      <c r="A17353" s="1" t="s">
        <v>1116</v>
      </c>
      <c r="B17353" s="0" t="s">
        <v>98</v>
      </c>
      <c r="E17353" s="6" t="n">
        <f aca="false">Q!M35-Q!M36-Q!M44</f>
        <v>63.886</v>
      </c>
      <c r="F17353" s="6" t="n">
        <f aca="false">Sens!F17346-Sens!F17350-Sens!F17352</f>
        <v>11.2718062118671</v>
      </c>
      <c r="G17353" s="6" t="n">
        <f aca="false">Sens!G17346-Sens!G17350-Sens!G17352</f>
        <v>22.9173060008062</v>
      </c>
      <c r="H17353" s="6" t="n">
        <f aca="false">Sens!H17346-Sens!H17350-Sens!H17352</f>
        <v>62.2118747386799</v>
      </c>
      <c r="I17353" s="6" t="n">
        <f aca="false">Sens!I17346-Sens!I17350-Sens!I17352</f>
        <v>130.479383691823</v>
      </c>
      <c r="J17353" s="6" t="n">
        <f aca="false">Sens!J17346-Sens!J17350-Sens!J17352</f>
        <v>202.171942445285</v>
      </c>
      <c r="K17353" s="6" t="n">
        <f aca="false">Sens!K17346-Sens!K17350-Sens!K17352</f>
        <v>237.234113696904</v>
      </c>
      <c r="L17353" s="12" t="s">
        <v>1117</v>
      </c>
    </row>
    <row r="17354" customFormat="false" ht="15" hidden="false" customHeight="false" outlineLevel="0" collapsed="false">
      <c r="A17354" s="1" t="s">
        <v>1118</v>
      </c>
      <c r="B17354" s="0" t="s">
        <v>75</v>
      </c>
      <c r="F17354" s="8" t="n">
        <f aca="false">dps_27</f>
        <v>3.85</v>
      </c>
      <c r="G17354" s="8" t="n">
        <f aca="false">Sens!F17354*(1+dps_g)</f>
        <v>4.158</v>
      </c>
      <c r="H17354" s="8" t="n">
        <f aca="false">Sens!G17354*(1+dps_g)</f>
        <v>4.49064</v>
      </c>
      <c r="I17354" s="8" t="n">
        <f aca="false">Sens!H17354*(1+dps_g)</f>
        <v>4.8498912</v>
      </c>
      <c r="J17354" s="8" t="n">
        <f aca="false">Sens!I17354*(1+dps_g)</f>
        <v>5.237882496</v>
      </c>
      <c r="K17354" s="8" t="n">
        <f aca="false">Sens!J17354*(1+dps_g)</f>
        <v>5.65691309568</v>
      </c>
    </row>
    <row r="17355" customFormat="false" ht="17.15" hidden="false" customHeight="false" outlineLevel="0" collapsed="false">
      <c r="A17355" s="1" t="s">
        <v>1119</v>
      </c>
      <c r="B17355" s="0" t="s">
        <v>98</v>
      </c>
      <c r="E17355" s="6" t="n">
        <f aca="false">Q!M41</f>
        <v>26.445</v>
      </c>
      <c r="F17355" s="6" t="n">
        <f aca="false">Sens!F17354*Sens!E17364</f>
        <v>28.59395</v>
      </c>
      <c r="G17355" s="6" t="n">
        <f aca="false">Sens!G17354*Sens!F17364</f>
        <v>31.0665351611752</v>
      </c>
      <c r="H17355" s="6" t="n">
        <f aca="false">Sens!H17354*Sens!G17364</f>
        <v>33.7539367740692</v>
      </c>
      <c r="I17355" s="6" t="n">
        <f aca="false">Sens!I17354*Sens!H17364</f>
        <v>36.5046899930674</v>
      </c>
      <c r="J17355" s="6" t="n">
        <f aca="false">Sens!J17354*Sens!I17364</f>
        <v>39.4929630779054</v>
      </c>
      <c r="K17355" s="6" t="n">
        <f aca="false">Sens!K17354*Sens!J17364</f>
        <v>42.7391543865161</v>
      </c>
      <c r="L17355" s="1" t="s">
        <v>1120</v>
      </c>
    </row>
    <row r="17356" customFormat="false" ht="15" hidden="false" customHeight="false" outlineLevel="0" collapsed="false">
      <c r="A17356" s="1" t="s">
        <v>1121</v>
      </c>
      <c r="B17356" s="0" t="s">
        <v>98</v>
      </c>
      <c r="E17356" s="6" t="n">
        <f aca="false">Sens!E17353-Sens!E17355</f>
        <v>37.441</v>
      </c>
      <c r="F17356" s="6" t="n">
        <f aca="false">Sens!F17353-Sens!F17355</f>
        <v>-17.3221437881329</v>
      </c>
      <c r="G17356" s="6" t="n">
        <f aca="false">Sens!G17353-Sens!G17355</f>
        <v>-8.14922916036904</v>
      </c>
      <c r="H17356" s="6" t="n">
        <f aca="false">Sens!H17353-Sens!H17355</f>
        <v>28.4579379646107</v>
      </c>
      <c r="I17356" s="6" t="n">
        <f aca="false">Sens!I17353-Sens!I17355</f>
        <v>93.974693698756</v>
      </c>
      <c r="J17356" s="6" t="n">
        <f aca="false">Sens!J17353-Sens!J17355</f>
        <v>162.678979367379</v>
      </c>
      <c r="K17356" s="6" t="n">
        <f aca="false">Sens!K17353-Sens!K17355</f>
        <v>194.494959310388</v>
      </c>
    </row>
    <row r="17357" customFormat="false" ht="15" hidden="false" customHeight="false" outlineLevel="0" collapsed="false">
      <c r="A17357" s="1" t="s">
        <v>1122</v>
      </c>
      <c r="B17357" s="0" t="s">
        <v>98</v>
      </c>
      <c r="F17357" s="6" t="n">
        <f aca="false">debt_mat_27</f>
        <v>9.25</v>
      </c>
      <c r="G17357" s="6" t="n">
        <f aca="false">debt_mat_28</f>
        <v>0</v>
      </c>
      <c r="H17357" s="6" t="n">
        <f aca="false">debt_mat_29</f>
        <v>2.001</v>
      </c>
      <c r="I17357" s="6" t="n">
        <f aca="false">debt_mat_30</f>
        <v>0</v>
      </c>
      <c r="J17357" s="6" t="n">
        <f aca="false">debt_mat_31</f>
        <v>0.5</v>
      </c>
      <c r="K17357" s="6" t="n">
        <f aca="false">debt_mat_32</f>
        <v>0</v>
      </c>
    </row>
    <row r="17358" customFormat="false" ht="15" hidden="false" customHeight="false" outlineLevel="0" collapsed="false">
      <c r="A17358" s="1" t="s">
        <v>1123</v>
      </c>
      <c r="B17358" s="0" t="s">
        <v>98</v>
      </c>
      <c r="E17358" s="6" t="n">
        <f aca="false">Q!M40</f>
        <v>22.271</v>
      </c>
      <c r="F17358" s="6" t="n">
        <f aca="false">MAX(0,MIN(bb_target,Sens!E17360+Sens!F17356-Sens!F17357-min_cash))</f>
        <v>0.270856211867127</v>
      </c>
      <c r="G17358" s="6" t="n">
        <f aca="false">MAX(0,MIN(bb_target,Sens!F17360+Sens!G17356-Sens!G17357-min_cash))</f>
        <v>0</v>
      </c>
      <c r="H17358" s="6" t="n">
        <f aca="false">MAX(0,MIN(bb_target,Sens!G17360+Sens!H17356-Sens!H17357-min_cash))</f>
        <v>22.271</v>
      </c>
      <c r="I17358" s="6" t="n">
        <f aca="false">MAX(0,MIN(bb_target,Sens!H17360+Sens!I17356-Sens!I17357-min_cash))</f>
        <v>22.271</v>
      </c>
      <c r="J17358" s="6" t="n">
        <f aca="false">MAX(0,MIN(bb_target,Sens!I17360+Sens!J17356-Sens!J17357-min_cash))</f>
        <v>22.271</v>
      </c>
      <c r="K17358" s="6" t="n">
        <f aca="false">MAX(0,MIN(bb_target,Sens!J17360+Sens!K17356-Sens!K17357-min_cash))</f>
        <v>22.271</v>
      </c>
    </row>
    <row r="17359" customFormat="false" ht="15" hidden="false" customHeight="false" outlineLevel="0" collapsed="false">
      <c r="A17359" s="1" t="s">
        <v>1124</v>
      </c>
      <c r="B17359" s="0" t="s">
        <v>98</v>
      </c>
      <c r="F17359" s="6" t="n">
        <f aca="false">MAX(0,min_cash-(Sens!E17360+Sens!F17356-Sens!F17357-Sens!F17358))</f>
        <v>0</v>
      </c>
      <c r="G17359" s="6" t="n">
        <f aca="false">MAX(0,min_cash-(Sens!F17360+Sens!G17356-Sens!G17357-Sens!G17358))</f>
        <v>8.14922916036904</v>
      </c>
      <c r="H17359" s="6" t="n">
        <f aca="false">MAX(0,min_cash-(Sens!G17360+Sens!H17356-Sens!H17357-Sens!H17358))</f>
        <v>0</v>
      </c>
      <c r="I17359" s="6" t="n">
        <f aca="false">MAX(0,min_cash-(Sens!H17360+Sens!I17356-Sens!I17357-Sens!I17358))</f>
        <v>0</v>
      </c>
      <c r="J17359" s="6" t="n">
        <f aca="false">MAX(0,min_cash-(Sens!I17360+Sens!J17356-Sens!J17357-Sens!J17358))</f>
        <v>0</v>
      </c>
      <c r="K17359" s="6" t="n">
        <f aca="false">MAX(0,min_cash-(Sens!J17360+Sens!K17356-Sens!K17357-Sens!K17358))</f>
        <v>0</v>
      </c>
    </row>
    <row r="17360" customFormat="false" ht="15" hidden="false" customHeight="false" outlineLevel="0" collapsed="false">
      <c r="A17360" s="1" t="s">
        <v>1125</v>
      </c>
      <c r="B17360" s="0" t="s">
        <v>98</v>
      </c>
      <c r="E17360" s="6" t="n">
        <f aca="false">cash_open</f>
        <v>76.843</v>
      </c>
      <c r="F17360" s="6" t="n">
        <f aca="false">Sens!E17360+Sens!F17356-Sens!F17357-Sens!F17358+Sens!F17359</f>
        <v>50</v>
      </c>
      <c r="G17360" s="6" t="n">
        <f aca="false">Sens!F17360+Sens!G17356-Sens!G17357-Sens!G17358+Sens!G17359</f>
        <v>50</v>
      </c>
      <c r="H17360" s="6" t="n">
        <f aca="false">Sens!G17360+Sens!H17356-Sens!H17357-Sens!H17358+Sens!H17359</f>
        <v>54.1859379646107</v>
      </c>
      <c r="I17360" s="6" t="n">
        <f aca="false">Sens!H17360+Sens!I17356-Sens!I17357-Sens!I17358+Sens!I17359</f>
        <v>125.889631663367</v>
      </c>
      <c r="J17360" s="6" t="n">
        <f aca="false">Sens!I17360+Sens!J17356-Sens!J17357-Sens!J17358+Sens!J17359</f>
        <v>265.797611030746</v>
      </c>
      <c r="K17360" s="6" t="n">
        <f aca="false">Sens!J17360+Sens!K17356-Sens!K17357-Sens!K17358+Sens!K17359</f>
        <v>438.021570341134</v>
      </c>
    </row>
    <row r="17361" customFormat="false" ht="15" hidden="false" customHeight="false" outlineLevel="0" collapsed="false">
      <c r="A17361" s="1" t="s">
        <v>1126</v>
      </c>
      <c r="B17361" s="0" t="s">
        <v>98</v>
      </c>
      <c r="E17361" s="6" t="n">
        <f aca="false">debt_face</f>
        <v>46.136</v>
      </c>
      <c r="F17361" s="6" t="n">
        <f aca="false">Sens!E17361-Sens!F17357+Sens!F17359</f>
        <v>36.886</v>
      </c>
      <c r="G17361" s="6" t="n">
        <f aca="false">Sens!F17361-Sens!G17357+Sens!G17359</f>
        <v>45.035229160369</v>
      </c>
      <c r="H17361" s="6" t="n">
        <f aca="false">Sens!G17361-Sens!H17357+Sens!H17359</f>
        <v>43.034229160369</v>
      </c>
      <c r="I17361" s="6" t="n">
        <f aca="false">Sens!H17361-Sens!I17357+Sens!I17359</f>
        <v>43.034229160369</v>
      </c>
      <c r="J17361" s="6" t="n">
        <f aca="false">Sens!I17361-Sens!J17357+Sens!J17359</f>
        <v>42.534229160369</v>
      </c>
      <c r="K17361" s="6" t="n">
        <f aca="false">Sens!J17361-Sens!K17357+Sens!K17359</f>
        <v>42.534229160369</v>
      </c>
    </row>
    <row r="17362" customFormat="false" ht="15" hidden="false" customHeight="false" outlineLevel="0" collapsed="false">
      <c r="A17362" s="1" t="s">
        <v>1127</v>
      </c>
      <c r="B17362" s="0" t="s">
        <v>98</v>
      </c>
      <c r="E17362" s="6" t="n">
        <f aca="false">Sens!E17360-Sens!E17361</f>
        <v>30.707</v>
      </c>
      <c r="F17362" s="6" t="n">
        <f aca="false">Sens!F17360-Sens!F17361</f>
        <v>13.114</v>
      </c>
      <c r="G17362" s="6" t="n">
        <f aca="false">Sens!G17360-Sens!G17361</f>
        <v>4.96477083963096</v>
      </c>
      <c r="H17362" s="6" t="n">
        <f aca="false">Sens!H17360-Sens!H17361</f>
        <v>11.1517088042417</v>
      </c>
      <c r="I17362" s="6" t="n">
        <f aca="false">Sens!I17360-Sens!I17361</f>
        <v>82.8554025029977</v>
      </c>
      <c r="J17362" s="6" t="n">
        <f aca="false">Sens!J17360-Sens!J17361</f>
        <v>223.263381870377</v>
      </c>
      <c r="K17362" s="6" t="n">
        <f aca="false">Sens!K17360-Sens!K17361</f>
        <v>395.487341180765</v>
      </c>
    </row>
    <row r="17363" customFormat="false" ht="15" hidden="false" customHeight="false" outlineLevel="0" collapsed="false">
      <c r="A17363" s="1" t="s">
        <v>1128</v>
      </c>
      <c r="B17363" s="0" t="s">
        <v>75</v>
      </c>
      <c r="F17363" s="30" t="n">
        <f aca="false">px*(1+bb_g)^(Sens!F17221-base_fy-mid_yr)</f>
        <v>551.84177959629</v>
      </c>
      <c r="G17363" s="30" t="n">
        <f aca="false">px*(1+bb_g)^(Sens!G17221-base_fy-mid_yr)</f>
        <v>595.989121963993</v>
      </c>
      <c r="H17363" s="30" t="n">
        <f aca="false">px*(1+bb_g)^(Sens!H17221-base_fy-mid_yr)</f>
        <v>643.668251721112</v>
      </c>
      <c r="I17363" s="30" t="n">
        <f aca="false">px*(1+bb_g)^(Sens!I17221-base_fy-mid_yr)</f>
        <v>695.161711858801</v>
      </c>
      <c r="J17363" s="30" t="n">
        <f aca="false">px*(1+bb_g)^(Sens!J17221-base_fy-mid_yr)</f>
        <v>750.774648807506</v>
      </c>
      <c r="K17363" s="30" t="n">
        <f aca="false">px*(1+bb_g)^(Sens!K17221-base_fy-mid_yr)</f>
        <v>810.836620712106</v>
      </c>
    </row>
    <row r="17364" customFormat="false" ht="15" hidden="false" customHeight="false" outlineLevel="0" collapsed="false">
      <c r="A17364" s="1" t="s">
        <v>1129</v>
      </c>
      <c r="B17364" s="1" t="s">
        <v>81</v>
      </c>
      <c r="E17364" s="15" t="n">
        <f aca="false">sh_out26</f>
        <v>7.427</v>
      </c>
      <c r="F17364" s="15" t="n">
        <f aca="false">Sens!E17364+sh_iss-Sens!F17358/Sens!F17363</f>
        <v>7.47150917777181</v>
      </c>
      <c r="G17364" s="15" t="n">
        <f aca="false">Sens!F17364+sh_iss-Sens!G17358/Sens!G17363</f>
        <v>7.51650917777181</v>
      </c>
      <c r="H17364" s="15" t="n">
        <f aca="false">Sens!G17364+sh_iss-Sens!H17358/Sens!H17363</f>
        <v>7.52690905582942</v>
      </c>
      <c r="I17364" s="15" t="n">
        <f aca="false">Sens!H17364+sh_iss-Sens!I17358/Sens!I17363</f>
        <v>7.53987190588275</v>
      </c>
      <c r="J17364" s="15" t="n">
        <f aca="false">Sens!I17364+sh_iss-Sens!J17358/Sens!J17363</f>
        <v>7.55520787815436</v>
      </c>
      <c r="K17364" s="15" t="n">
        <f aca="false">Sens!J17364+sh_iss-Sens!K17358/Sens!K17363</f>
        <v>7.57274118581326</v>
      </c>
    </row>
    <row r="17365" customFormat="false" ht="15" hidden="false" customHeight="false" outlineLevel="0" collapsed="false">
      <c r="A17365" s="1" t="s">
        <v>1130</v>
      </c>
      <c r="B17365" s="1" t="s">
        <v>81</v>
      </c>
      <c r="E17365" s="15" t="n">
        <f aca="false">sh_dil26</f>
        <v>7.453</v>
      </c>
      <c r="F17365" s="15" t="n">
        <f aca="false">(Sens!E17364+Sens!F17364)/2+dil_gap</f>
        <v>7.47325458888591</v>
      </c>
      <c r="G17365" s="15" t="n">
        <f aca="false">(Sens!F17364+Sens!G17364)/2+dil_gap</f>
        <v>7.51800917777181</v>
      </c>
      <c r="H17365" s="15" t="n">
        <f aca="false">(Sens!G17364+Sens!H17364)/2+dil_gap</f>
        <v>7.54570911680062</v>
      </c>
      <c r="I17365" s="15" t="n">
        <f aca="false">(Sens!H17364+Sens!I17364)/2+dil_gap</f>
        <v>7.55739048085609</v>
      </c>
      <c r="J17365" s="15" t="n">
        <f aca="false">(Sens!I17364+Sens!J17364)/2+dil_gap</f>
        <v>7.57153989201856</v>
      </c>
      <c r="K17365" s="15" t="n">
        <f aca="false">(Sens!J17364+Sens!K17364)/2+dil_gap</f>
        <v>7.58797453198381</v>
      </c>
    </row>
    <row r="17366" customFormat="false" ht="17.15" hidden="false" customHeight="false" outlineLevel="0" collapsed="false">
      <c r="A17366" s="1" t="s">
        <v>1131</v>
      </c>
      <c r="B17366" s="0" t="s">
        <v>98</v>
      </c>
      <c r="C17366" s="6" t="n">
        <f aca="false">SUM(Sens!F17356:J17356)</f>
        <v>259.640238082244</v>
      </c>
    </row>
    <row r="17367" customFormat="false" ht="15" hidden="false" customHeight="false" outlineLevel="0" collapsed="false">
      <c r="A17367" s="26" t="s">
        <v>1096</v>
      </c>
      <c r="B17367" s="31" t="s">
        <v>98</v>
      </c>
      <c r="C17367" s="27" t="n">
        <f aca="false">Sens!$C$17366-(Sens!F17356+Sens!G17356+Sens!H17356+Sens!I17356+Sens!J17356)</f>
        <v>0</v>
      </c>
      <c r="D17367" s="31"/>
      <c r="E17367" s="31"/>
      <c r="F17367" s="31"/>
      <c r="G17367" s="31"/>
      <c r="H17367" s="31"/>
      <c r="I17367" s="31"/>
      <c r="J17367" s="31"/>
      <c r="K17367" s="31"/>
    </row>
    <row r="17368" customFormat="false" ht="17.15" hidden="false" customHeight="false" outlineLevel="0" collapsed="false">
      <c r="A17368" s="1" t="s">
        <v>1090</v>
      </c>
      <c r="B17368" s="1" t="s">
        <v>1132</v>
      </c>
      <c r="C17368" s="33" t="str">
        <f aca="false">IF(SUM(Sens!F17359:J17359)&gt;0.05,"需要舉債 "&amp;TEXT(SUM(Sens!F17359:J17359),"0.0")&amp;" 十億美元","不需舉債")&amp;"；"&amp;IF(SUM(Sens!F17358:J17358)&lt;COUNT(Sens!F17358:J17358)*bb_target-0.05,"回購較每年 "&amp;TEXT(bb_target,"0.0")&amp;" 的目標少 "&amp;TEXT(COUNT(Sens!F17358:J17358)*bb_target-SUM(Sens!F17358:J17358),"0.0")&amp;" 十億美元（"&amp;TEXT(COUNTIF(Sens!F17358:J17358,"&lt;"&amp;(bb_target-0.05)),"0")&amp;" 年減少）","回購不減")</f>
        <v>需要舉債 8.1 十億美元；回購較每年 22.3 的目標少 44.3 十億美元（2 年減少）</v>
      </c>
    </row>
    <row r="17369" customFormat="false" ht="17.15" hidden="false" customHeight="false" outlineLevel="0" collapsed="false">
      <c r="A17369" s="3" t="s">
        <v>1908</v>
      </c>
    </row>
    <row r="17370" customFormat="false" ht="15" hidden="false" customHeight="false" outlineLevel="0" collapsed="false">
      <c r="A17370" s="4" t="s">
        <v>43</v>
      </c>
      <c r="B17370" s="4" t="s">
        <v>65</v>
      </c>
      <c r="C17370" s="23" t="s">
        <v>938</v>
      </c>
      <c r="D17370" s="23" t="s">
        <v>939</v>
      </c>
      <c r="E17370" s="23" t="s">
        <v>940</v>
      </c>
      <c r="F17370" s="23" t="s">
        <v>941</v>
      </c>
      <c r="G17370" s="23" t="s">
        <v>942</v>
      </c>
      <c r="H17370" s="23" t="s">
        <v>943</v>
      </c>
      <c r="I17370" s="23" t="s">
        <v>944</v>
      </c>
      <c r="J17370" s="23" t="s">
        <v>945</v>
      </c>
      <c r="K17370" s="23" t="s">
        <v>946</v>
      </c>
      <c r="L17370" s="4" t="s">
        <v>47</v>
      </c>
    </row>
    <row r="17371" customFormat="false" ht="17.15" hidden="false" customHeight="false" outlineLevel="0" collapsed="false">
      <c r="A17371" s="1" t="s">
        <v>1212</v>
      </c>
      <c r="B17371" s="1" t="s">
        <v>279</v>
      </c>
      <c r="F17371" s="8" t="n">
        <f aca="false">(1-v_off)*mid_yr</f>
        <v>0.373972602739726</v>
      </c>
      <c r="G17371" s="8" t="n">
        <f aca="false">Sens!G17221-base_fy-mid_yr-v_off</f>
        <v>1.24794520547945</v>
      </c>
      <c r="H17371" s="8" t="n">
        <f aca="false">Sens!H17221-base_fy-mid_yr-v_off</f>
        <v>2.24794520547945</v>
      </c>
      <c r="I17371" s="8" t="n">
        <f aca="false">Sens!I17221-base_fy-mid_yr-v_off</f>
        <v>3.24794520547945</v>
      </c>
      <c r="J17371" s="8" t="n">
        <f aca="false">Sens!J17221-base_fy-mid_yr-v_off</f>
        <v>4.24794520547945</v>
      </c>
      <c r="K17371" s="8" t="n">
        <f aca="false">Sens!K17221-base_fy-mid_yr-v_off</f>
        <v>5.24794520547945</v>
      </c>
      <c r="L17371" s="12" t="s">
        <v>1213</v>
      </c>
    </row>
    <row r="17372" customFormat="false" ht="15" hidden="false" customHeight="false" outlineLevel="0" collapsed="false">
      <c r="A17372" s="1" t="s">
        <v>1214</v>
      </c>
      <c r="B17372" s="1" t="s">
        <v>279</v>
      </c>
      <c r="F17372" s="8" t="n">
        <f aca="false">Sens!F17221-base_fy-v_off</f>
        <v>0.747945205479452</v>
      </c>
      <c r="G17372" s="8" t="n">
        <f aca="false">Sens!G17221-base_fy-v_off</f>
        <v>1.74794520547945</v>
      </c>
      <c r="H17372" s="8" t="n">
        <f aca="false">Sens!H17221-base_fy-v_off</f>
        <v>2.74794520547945</v>
      </c>
      <c r="I17372" s="8" t="n">
        <f aca="false">Sens!I17221-base_fy-v_off</f>
        <v>3.74794520547945</v>
      </c>
      <c r="J17372" s="8" t="n">
        <f aca="false">Sens!J17221-base_fy-v_off</f>
        <v>4.74794520547945</v>
      </c>
      <c r="K17372" s="8" t="n">
        <f aca="false">Sens!K17221-base_fy-v_off</f>
        <v>5.74794520547945</v>
      </c>
    </row>
    <row r="17373" customFormat="false" ht="15" hidden="false" customHeight="false" outlineLevel="0" collapsed="false">
      <c r="A17373" s="1" t="s">
        <v>1215</v>
      </c>
      <c r="B17373" s="0" t="s">
        <v>229</v>
      </c>
      <c r="F17373" s="15" t="n">
        <f aca="false">1/(1+wacc)^Sens!F17371</f>
        <v>0.964022703286649</v>
      </c>
      <c r="G17373" s="15" t="n">
        <f aca="false">1/(1+wacc)^Sens!G17371</f>
        <v>0.884910302296739</v>
      </c>
      <c r="H17373" s="15" t="n">
        <f aca="false">1/(1+wacc)^Sens!H17371</f>
        <v>0.802322009770358</v>
      </c>
      <c r="I17373" s="15" t="n">
        <f aca="false">1/(1+wacc)^Sens!I17371</f>
        <v>0.727441646561469</v>
      </c>
      <c r="J17373" s="15" t="n">
        <f aca="false">1/(1+wacc)^Sens!J17371</f>
        <v>0.659549834988973</v>
      </c>
      <c r="K17373" s="15" t="n">
        <f aca="false">1/(1+wacc)^Sens!K17371</f>
        <v>0.597994336576966</v>
      </c>
    </row>
    <row r="17374" customFormat="false" ht="17.15" hidden="false" customHeight="false" outlineLevel="0" collapsed="false">
      <c r="A17374" s="1" t="s">
        <v>1216</v>
      </c>
      <c r="B17374" s="0" t="s">
        <v>98</v>
      </c>
      <c r="F17374" s="6" t="n">
        <f aca="false">Q!$I$35-Q!$I$39-Q!$I$43</f>
        <v>9.666</v>
      </c>
      <c r="L17374" s="12" t="s">
        <v>1217</v>
      </c>
    </row>
    <row r="17375" customFormat="false" ht="17.15" hidden="false" customHeight="false" outlineLevel="0" collapsed="false">
      <c r="A17375" s="1" t="s">
        <v>1218</v>
      </c>
      <c r="B17375" s="0" t="s">
        <v>98</v>
      </c>
      <c r="F17375" s="6" t="n">
        <f aca="false">Sens!F17346-Sens!F17343-Sens!F17350+Sens!F17328*(1-tax_f)*(1-v_off)-Sens!F17374</f>
        <v>-3.35957266334787</v>
      </c>
      <c r="G17375" s="6" t="n">
        <f aca="false">Sens!G17346-Sens!G17343-Sens!G17350+Sens!G17328*(1-tax_f)</f>
        <v>29.8084551563478</v>
      </c>
      <c r="H17375" s="6" t="n">
        <f aca="false">Sens!H17346-Sens!H17343-Sens!H17350+Sens!H17328*(1-tax_f)</f>
        <v>79.3231798325749</v>
      </c>
      <c r="I17375" s="6" t="n">
        <f aca="false">Sens!I17346-Sens!I17343-Sens!I17350+Sens!I17328*(1-tax_f)</f>
        <v>157.291327836903</v>
      </c>
      <c r="J17375" s="6" t="n">
        <f aca="false">Sens!J17346-Sens!J17343-Sens!J17350+Sens!J17328*(1-tax_f)</f>
        <v>235.537601588285</v>
      </c>
      <c r="K17375" s="6" t="n">
        <f aca="false">Sens!K17346-Sens!K17343-Sens!K17350+Sens!K17328*(1-tax_f)</f>
        <v>273.705066978003</v>
      </c>
      <c r="L17375" s="1" t="s">
        <v>1219</v>
      </c>
    </row>
    <row r="17376" customFormat="false" ht="15" hidden="false" customHeight="false" outlineLevel="0" collapsed="false">
      <c r="A17376" s="1" t="s">
        <v>1220</v>
      </c>
      <c r="B17376" s="0" t="s">
        <v>98</v>
      </c>
      <c r="F17376" s="6" t="n">
        <f aca="false">Sens!F17375*Sens!F17373</f>
        <v>-3.23870432080854</v>
      </c>
      <c r="G17376" s="6" t="n">
        <f aca="false">Sens!G17375*Sens!G17373</f>
        <v>26.3778090634025</v>
      </c>
      <c r="H17376" s="6" t="n">
        <f aca="false">Sens!H17375*Sens!H17373</f>
        <v>63.642733064647</v>
      </c>
      <c r="I17376" s="6" t="n">
        <f aca="false">Sens!I17375*Sens!I17373</f>
        <v>114.420262511517</v>
      </c>
      <c r="J17376" s="6" t="n">
        <f aca="false">Sens!J17375*Sens!J17373</f>
        <v>155.348786261252</v>
      </c>
      <c r="K17376" s="6" t="n">
        <f aca="false">Sens!K17375*Sens!K17373</f>
        <v>163.674079945265</v>
      </c>
    </row>
    <row r="17377" customFormat="false" ht="17.15" hidden="false" customHeight="false" outlineLevel="0" collapsed="false">
      <c r="A17377" s="1" t="s">
        <v>1221</v>
      </c>
      <c r="B17377" s="0" t="s">
        <v>98</v>
      </c>
      <c r="C17377" s="6" t="n">
        <f aca="false">SUM(Sens!F17376:K17376)</f>
        <v>520.224966525274</v>
      </c>
    </row>
    <row r="17378" customFormat="false" ht="17.15" hidden="false" customHeight="false" outlineLevel="0" collapsed="false">
      <c r="A17378" s="1" t="s">
        <v>1222</v>
      </c>
      <c r="B17378" s="0" t="s">
        <v>98</v>
      </c>
      <c r="C17378" s="6" t="n">
        <f aca="false">Sens!K17314*(1+g_tv)*(1-tax_f)</f>
        <v>284.979535066181</v>
      </c>
    </row>
    <row r="17379" customFormat="false" ht="17.15" hidden="false" customHeight="false" outlineLevel="0" collapsed="false">
      <c r="A17379" s="1" t="s">
        <v>1223</v>
      </c>
      <c r="B17379" s="0" t="s">
        <v>98</v>
      </c>
      <c r="C17379" s="6" t="n">
        <f aca="false">Sens!$C$17378*(1-g_tv/(wacc+ronic_prem))</f>
        <v>201.924656587606</v>
      </c>
    </row>
    <row r="17380" customFormat="false" ht="17.15" hidden="false" customHeight="false" outlineLevel="0" collapsed="false">
      <c r="A17380" s="1" t="s">
        <v>1224</v>
      </c>
      <c r="B17380" s="0" t="s">
        <v>98</v>
      </c>
      <c r="C17380" s="6" t="n">
        <f aca="false">Sens!$C$17379/(wacc-g_tv)</f>
        <v>2768.49594928586</v>
      </c>
    </row>
    <row r="17381" customFormat="false" ht="15" hidden="false" customHeight="false" outlineLevel="0" collapsed="false">
      <c r="A17381" s="1" t="s">
        <v>1225</v>
      </c>
      <c r="B17381" s="0" t="s">
        <v>98</v>
      </c>
      <c r="C17381" s="6" t="n">
        <f aca="false">Sens!$C$17380/(1+wacc)^Sens!K17372</f>
        <v>1576.39733069868</v>
      </c>
    </row>
    <row r="17382" customFormat="false" ht="17.15" hidden="false" customHeight="false" outlineLevel="0" collapsed="false">
      <c r="A17382" s="0" t="s">
        <v>1226</v>
      </c>
      <c r="B17382" s="0" t="s">
        <v>98</v>
      </c>
      <c r="C17382" s="6" t="n">
        <f aca="false">Sens!$C$17377+Sens!$C$17381</f>
        <v>2096.62229722396</v>
      </c>
    </row>
    <row r="17383" customFormat="false" ht="15" hidden="false" customHeight="false" outlineLevel="0" collapsed="false">
      <c r="A17383" s="1" t="s">
        <v>1141</v>
      </c>
      <c r="B17383" s="0" t="s">
        <v>168</v>
      </c>
      <c r="C17383" s="7" t="n">
        <f aca="false">Sens!$C$17381/Sens!$C$17382</f>
        <v>0.751874733368008</v>
      </c>
    </row>
    <row r="17384" customFormat="false" ht="17.15" hidden="false" customHeight="false" outlineLevel="0" collapsed="false">
      <c r="A17384" s="1" t="s">
        <v>1227</v>
      </c>
      <c r="B17384" s="0" t="s">
        <v>98</v>
      </c>
      <c r="C17384" s="6" t="n">
        <f aca="false">Sens!$C$17382+cash_val-debt_val-fl_val+oai_v</f>
        <v>2212.47329722396</v>
      </c>
    </row>
    <row r="17385" customFormat="false" ht="17.15" hidden="false" customHeight="false" outlineLevel="0" collapsed="false">
      <c r="A17385" s="0" t="s">
        <v>1149</v>
      </c>
      <c r="B17385" s="0" t="s">
        <v>75</v>
      </c>
      <c r="C17385" s="5" t="n">
        <f aca="false">Sens!$C$17384/shd_val</f>
        <v>297.135817515976</v>
      </c>
    </row>
    <row r="17386" customFormat="false" ht="15" hidden="false" customHeight="false" outlineLevel="0" collapsed="false">
      <c r="A17386" s="1" t="s">
        <v>1228</v>
      </c>
      <c r="B17386" s="0" t="s">
        <v>75</v>
      </c>
      <c r="C17386" s="8" t="n">
        <f aca="false">div_rem27+Sens!G17354*roll_div_q/q_per_yr</f>
        <v>3.9795</v>
      </c>
    </row>
    <row r="17387" customFormat="false" ht="17.15" hidden="false" customHeight="false" outlineLevel="0" collapsed="false">
      <c r="A17387" s="0" t="s">
        <v>1229</v>
      </c>
      <c r="B17387" s="0" t="s">
        <v>75</v>
      </c>
      <c r="C17387" s="5" t="n">
        <f aca="false">Sens!$C$17385*(1+wacc)^t_roll-Sens!$C$17386</f>
        <v>326.303544539999</v>
      </c>
    </row>
    <row r="17388" customFormat="false" ht="17.15" hidden="false" customHeight="false" outlineLevel="0" collapsed="false">
      <c r="A17388" s="1" t="s">
        <v>1230</v>
      </c>
      <c r="B17388" s="0" t="s">
        <v>168</v>
      </c>
      <c r="F17388" s="7" t="n">
        <f aca="false">Sens!F17340/(Sens!F17285-Sens!F17240)</f>
        <v>0.0686195612282686</v>
      </c>
      <c r="G17388" s="7" t="n">
        <f aca="false">Sens!G17340/(Sens!G17285-Sens!G17240)</f>
        <v>0.0658333523683057</v>
      </c>
      <c r="H17388" s="7" t="n">
        <f aca="false">Sens!H17340/(Sens!H17285-Sens!H17240)</f>
        <v>0.0643895588352612</v>
      </c>
      <c r="I17388" s="7" t="n">
        <f aca="false">Sens!I17340/(Sens!I17285-Sens!I17240)</f>
        <v>0.0641676587841317</v>
      </c>
      <c r="J17388" s="7" t="n">
        <f aca="false">Sens!J17340/(Sens!J17285-Sens!J17240)</f>
        <v>0.0648858581287632</v>
      </c>
      <c r="K17388" s="7" t="n">
        <f aca="false">Sens!K17340/(Sens!K17285-Sens!K17240)</f>
        <v>0.0661974403833185</v>
      </c>
    </row>
    <row r="17389" customFormat="false" ht="17.15" hidden="false" customHeight="false" outlineLevel="0" collapsed="false">
      <c r="A17389" s="0" t="s">
        <v>1231</v>
      </c>
      <c r="B17389" s="0" t="s">
        <v>98</v>
      </c>
      <c r="F17389" s="6" t="n">
        <f aca="false">Sens!F17270*(al_m365+Sens!F17388+sbc_r)</f>
        <v>83.7205612533813</v>
      </c>
      <c r="G17389" s="6" t="n">
        <f aca="false">Sens!G17270*(al_m365+Sens!G17388+sbc_r)</f>
        <v>96.1301297117237</v>
      </c>
      <c r="H17389" s="6" t="n">
        <f aca="false">Sens!H17270*(al_m365+Sens!H17388+sbc_r)</f>
        <v>108.703540167166</v>
      </c>
      <c r="I17389" s="6" t="n">
        <f aca="false">Sens!I17270*(al_m365+Sens!I17388+sbc_r)</f>
        <v>120.260100795936</v>
      </c>
      <c r="J17389" s="6" t="n">
        <f aca="false">Sens!J17270*(al_m365+Sens!J17388+sbc_r)</f>
        <v>130.611904078363</v>
      </c>
      <c r="K17389" s="6" t="n">
        <f aca="false">Sens!K17270*(al_m365+Sens!K17388+sbc_r)</f>
        <v>140.575094548453</v>
      </c>
      <c r="L17389" s="12" t="s">
        <v>1232</v>
      </c>
    </row>
    <row r="17390" customFormat="false" ht="17.15" hidden="false" customHeight="false" outlineLevel="0" collapsed="false">
      <c r="A17390" s="0" t="s">
        <v>1233</v>
      </c>
      <c r="B17390" s="0" t="s">
        <v>98</v>
      </c>
      <c r="F17390" s="6" t="n">
        <f aca="false">Sens!F17271*(al_lic+Sens!F17388+sbc_r)</f>
        <v>32.8577655009925</v>
      </c>
      <c r="G17390" s="6" t="n">
        <f aca="false">Sens!G17271*(al_lic+Sens!G17388+sbc_r)</f>
        <v>34.1376264505797</v>
      </c>
      <c r="H17390" s="6" t="n">
        <f aca="false">Sens!H17271*(al_lic+Sens!H17388+sbc_r)</f>
        <v>35.3325743134867</v>
      </c>
      <c r="I17390" s="6" t="n">
        <f aca="false">Sens!I17271*(al_lic+Sens!I17388+sbc_r)</f>
        <v>36.4244747711953</v>
      </c>
      <c r="J17390" s="6" t="n">
        <f aca="false">Sens!J17271*(al_lic+Sens!J17388+sbc_r)</f>
        <v>37.3879404959327</v>
      </c>
      <c r="K17390" s="6" t="n">
        <f aca="false">Sens!K17271*(al_lic+Sens!K17388+sbc_r)</f>
        <v>38.1943875123798</v>
      </c>
    </row>
    <row r="17391" customFormat="false" ht="17.15" hidden="false" customHeight="false" outlineLevel="0" collapsed="false">
      <c r="A17391" s="0" t="s">
        <v>1234</v>
      </c>
      <c r="B17391" s="0" t="s">
        <v>98</v>
      </c>
      <c r="F17391" s="6" t="n">
        <f aca="false">Sens!F17273*(al_ind+Sens!F17388+sbc_r)</f>
        <v>9.06041688455413</v>
      </c>
      <c r="G17391" s="6" t="n">
        <f aca="false">Sens!G17273*(al_ind+Sens!G17388+sbc_r)</f>
        <v>9.83619071621912</v>
      </c>
      <c r="H17391" s="6" t="n">
        <f aca="false">Sens!H17273*(al_ind+Sens!H17388+sbc_r)</f>
        <v>10.6570159127432</v>
      </c>
      <c r="I17391" s="6" t="n">
        <f aca="false">Sens!I17273*(al_ind+Sens!I17388+sbc_r)</f>
        <v>11.5198570767386</v>
      </c>
      <c r="J17391" s="6" t="n">
        <f aca="false">Sens!J17273*(al_ind+Sens!J17388+sbc_r)</f>
        <v>12.4150085758862</v>
      </c>
      <c r="K17391" s="6" t="n">
        <f aca="false">Sens!K17273*(al_ind+Sens!K17388+sbc_r)</f>
        <v>13.3273713885591</v>
      </c>
    </row>
    <row r="17392" customFormat="false" ht="17.15" hidden="false" customHeight="false" outlineLevel="0" collapsed="false">
      <c r="A17392" s="0" t="s">
        <v>1235</v>
      </c>
      <c r="B17392" s="0" t="s">
        <v>98</v>
      </c>
      <c r="F17392" s="6" t="n">
        <f aca="false">Sens!F17275*(al_fro+Sens!F17388+sbc_r)</f>
        <v>3.55402945225199</v>
      </c>
      <c r="G17392" s="6" t="n">
        <f aca="false">Sens!G17275*(al_fro+Sens!G17388+sbc_r)</f>
        <v>3.7636148468275</v>
      </c>
      <c r="H17392" s="6" t="n">
        <f aca="false">Sens!H17275*(al_fro+Sens!H17388+sbc_r)</f>
        <v>4.00220965207146</v>
      </c>
      <c r="I17392" s="6" t="n">
        <f aca="false">Sens!I17275*(al_fro+Sens!I17388+sbc_r)</f>
        <v>4.27257648512764</v>
      </c>
      <c r="J17392" s="6" t="n">
        <f aca="false">Sens!J17275*(al_fro+Sens!J17388+sbc_r)</f>
        <v>4.5758622151414</v>
      </c>
      <c r="K17392" s="6" t="n">
        <f aca="false">Sens!K17275*(al_fro+Sens!K17388+sbc_r)</f>
        <v>4.91213637036985</v>
      </c>
    </row>
    <row r="17393" customFormat="false" ht="17.15" hidden="false" customHeight="false" outlineLevel="0" collapsed="false">
      <c r="A17393" s="0" t="s">
        <v>1236</v>
      </c>
      <c r="B17393" s="0" t="s">
        <v>98</v>
      </c>
      <c r="F17393" s="6" t="n">
        <f aca="false">Sens!F17278*(al_srch+Sens!F17388+sbc_r)</f>
        <v>11.1890901433598</v>
      </c>
      <c r="G17393" s="6" t="n">
        <f aca="false">Sens!G17278*(al_srch+Sens!G17388+sbc_r)</f>
        <v>12.2617387535435</v>
      </c>
      <c r="H17393" s="6" t="n">
        <f aca="false">Sens!H17278*(al_srch+Sens!H17388+sbc_r)</f>
        <v>13.3794862201501</v>
      </c>
      <c r="I17393" s="6" t="n">
        <f aca="false">Sens!I17278*(al_srch+Sens!I17388+sbc_r)</f>
        <v>14.5317113690653</v>
      </c>
      <c r="J17393" s="6" t="n">
        <f aca="false">Sens!J17278*(al_srch+Sens!J17388+sbc_r)</f>
        <v>15.6984364831001</v>
      </c>
      <c r="K17393" s="6" t="n">
        <f aca="false">Sens!K17278*(al_srch+Sens!K17388+sbc_r)</f>
        <v>16.8520941367973</v>
      </c>
    </row>
    <row r="17394" customFormat="false" ht="17.15" hidden="false" customHeight="false" outlineLevel="0" collapsed="false">
      <c r="A17394" s="0" t="s">
        <v>1237</v>
      </c>
      <c r="B17394" s="0" t="s">
        <v>98</v>
      </c>
      <c r="F17394" s="6" t="n">
        <f aca="false">Sens!F17246-Sens!F17247+Sens!F17328</f>
        <v>42.5431090240393</v>
      </c>
      <c r="G17394" s="6" t="n">
        <f aca="false">Sens!G17246-Sens!G17247+Sens!G17328</f>
        <v>81.4922561130847</v>
      </c>
      <c r="H17394" s="6" t="n">
        <f aca="false">Sens!H17246-Sens!H17247+Sens!H17328</f>
        <v>123.278266211349</v>
      </c>
      <c r="I17394" s="6" t="n">
        <f aca="false">Sens!I17246-Sens!I17247+Sens!I17328</f>
        <v>160.60594185192</v>
      </c>
      <c r="J17394" s="6" t="n">
        <f aca="false">Sens!J17246-Sens!J17247+Sens!J17328</f>
        <v>186.818741832633</v>
      </c>
      <c r="K17394" s="6" t="n">
        <f aca="false">Sens!K17246-Sens!K17247+Sens!K17328</f>
        <v>202.776422159652</v>
      </c>
    </row>
    <row r="17395" customFormat="false" ht="17.15" hidden="false" customHeight="false" outlineLevel="0" collapsed="false">
      <c r="A17395" s="0" t="s">
        <v>1238</v>
      </c>
      <c r="B17395" s="0" t="s">
        <v>98</v>
      </c>
      <c r="F17395" s="6" t="n">
        <f aca="false">Sens!F17307+Sens!F17328+Sens!F17258+Sens!F17388*(Sens!F17277-Sens!F17240)+sbc_r*Sens!F17277</f>
        <v>238.090727345007</v>
      </c>
      <c r="G17395" s="6" t="n">
        <f aca="false">Sens!G17307+Sens!G17328+Sens!G17258+Sens!G17388*(Sens!G17277-Sens!G17240)+sbc_r*Sens!G17277</f>
        <v>299.908361186955</v>
      </c>
      <c r="H17395" s="6" t="n">
        <f aca="false">Sens!H17307+Sens!H17328+Sens!H17258+Sens!H17388*(Sens!H17277-Sens!H17240)+sbc_r*Sens!H17277</f>
        <v>369.457709695709</v>
      </c>
      <c r="I17395" s="6" t="n">
        <f aca="false">Sens!I17307+Sens!I17328+Sens!I17258+Sens!I17388*(Sens!I17277-Sens!I17240)+sbc_r*Sens!I17277</f>
        <v>433.165851505129</v>
      </c>
      <c r="J17395" s="6" t="n">
        <f aca="false">Sens!J17307+Sens!J17328+Sens!J17258+Sens!J17388*(Sens!J17277-Sens!J17240)+sbc_r*Sens!J17277</f>
        <v>483.301303320084</v>
      </c>
      <c r="K17395" s="6" t="n">
        <f aca="false">Sens!K17307+Sens!K17328+Sens!K17258+Sens!K17388*(Sens!K17277-Sens!K17240)+sbc_r*Sens!K17277</f>
        <v>520.789002372039</v>
      </c>
    </row>
    <row r="17396" customFormat="false" ht="17.15" hidden="false" customHeight="false" outlineLevel="0" collapsed="false">
      <c r="A17396" s="0" t="s">
        <v>1239</v>
      </c>
      <c r="B17396" s="0" t="s">
        <v>98</v>
      </c>
      <c r="F17396" s="6" t="n">
        <f aca="false">Sens!F17395-Sens!F17389-Sens!F17390-Sens!F17391-Sens!F17392-Sens!F17394</f>
        <v>66.3548452297882</v>
      </c>
      <c r="G17396" s="6" t="n">
        <f aca="false">Sens!G17395-Sens!G17389-Sens!G17390-Sens!G17391-Sens!G17392-Sens!G17394</f>
        <v>74.5485433485203</v>
      </c>
      <c r="H17396" s="6" t="n">
        <f aca="false">Sens!H17395-Sens!H17389-Sens!H17390-Sens!H17391-Sens!H17392-Sens!H17394</f>
        <v>87.4841034388928</v>
      </c>
      <c r="I17396" s="6" t="n">
        <f aca="false">Sens!I17395-Sens!I17389-Sens!I17390-Sens!I17391-Sens!I17392-Sens!I17394</f>
        <v>100.082900524212</v>
      </c>
      <c r="J17396" s="6" t="n">
        <f aca="false">Sens!J17395-Sens!J17389-Sens!J17390-Sens!J17391-Sens!J17392-Sens!J17394</f>
        <v>111.491846122128</v>
      </c>
      <c r="K17396" s="6" t="n">
        <f aca="false">Sens!K17395-Sens!K17389-Sens!K17390-Sens!K17391-Sens!K17392-Sens!K17394</f>
        <v>121.003590392626</v>
      </c>
    </row>
    <row r="17397" customFormat="false" ht="17.15" hidden="false" customHeight="false" outlineLevel="0" collapsed="false">
      <c r="A17397" s="0" t="s">
        <v>1240</v>
      </c>
      <c r="B17397" s="0" t="s">
        <v>98</v>
      </c>
      <c r="F17397" s="6" t="n">
        <f aca="false">Sens!F17309+Sens!F17388*Sens!F17284+sbc_r*Sens!F17284</f>
        <v>26.6336362214729</v>
      </c>
      <c r="G17397" s="6" t="n">
        <f aca="false">Sens!G17309+Sens!G17388*Sens!G17284+sbc_r*Sens!G17284</f>
        <v>26.4720856485379</v>
      </c>
      <c r="H17397" s="6" t="n">
        <f aca="false">Sens!H17309+Sens!H17388*Sens!H17284+sbc_r*Sens!H17284</f>
        <v>27.3467927679609</v>
      </c>
      <c r="I17397" s="6" t="n">
        <f aca="false">Sens!I17309+Sens!I17388*Sens!I17284+sbc_r*Sens!I17284</f>
        <v>28.4574655694159</v>
      </c>
      <c r="J17397" s="6" t="n">
        <f aca="false">Sens!J17309+Sens!J17388*Sens!J17284+sbc_r*Sens!J17284</f>
        <v>29.7689888657105</v>
      </c>
      <c r="K17397" s="6" t="n">
        <f aca="false">Sens!K17309+Sens!K17388*Sens!K17284+sbc_r*Sens!K17284</f>
        <v>31.2443945640457</v>
      </c>
    </row>
    <row r="17398" customFormat="false" ht="17.15" hidden="false" customHeight="false" outlineLevel="0" collapsed="false">
      <c r="A17398" s="0" t="s">
        <v>1241</v>
      </c>
      <c r="B17398" s="0" t="s">
        <v>98</v>
      </c>
      <c r="F17398" s="6" t="n">
        <f aca="false">(Sens!F17397-Sens!F17393)*Sens!F17280/(Sens!F17280+Sens!F17282)</f>
        <v>8.72285596481298</v>
      </c>
      <c r="G17398" s="6" t="n">
        <f aca="false">(Sens!G17397-Sens!G17393)*Sens!G17280/(Sens!G17280+Sens!G17282)</f>
        <v>7.88786446392953</v>
      </c>
      <c r="H17398" s="6" t="n">
        <f aca="false">(Sens!H17397-Sens!H17393)*Sens!H17280/(Sens!H17280+Sens!H17282)</f>
        <v>7.65195979667305</v>
      </c>
      <c r="I17398" s="6" t="n">
        <f aca="false">(Sens!I17397-Sens!I17393)*Sens!I17280/(Sens!I17280+Sens!I17282)</f>
        <v>7.56260434855743</v>
      </c>
      <c r="J17398" s="6" t="n">
        <f aca="false">(Sens!J17397-Sens!J17393)*Sens!J17280/(Sens!J17280+Sens!J17282)</f>
        <v>7.6079009600773</v>
      </c>
      <c r="K17398" s="6" t="n">
        <f aca="false">(Sens!K17397-Sens!K17393)*Sens!K17280/(Sens!K17280+Sens!K17282)</f>
        <v>7.78186905963319</v>
      </c>
    </row>
    <row r="17399" customFormat="false" ht="17.15" hidden="false" customHeight="false" outlineLevel="0" collapsed="false">
      <c r="A17399" s="0" t="s">
        <v>1242</v>
      </c>
      <c r="B17399" s="0" t="s">
        <v>98</v>
      </c>
      <c r="F17399" s="6" t="n">
        <f aca="false">Sens!F17397-Sens!F17393-Sens!F17398</f>
        <v>6.72169011330004</v>
      </c>
      <c r="G17399" s="6" t="n">
        <f aca="false">Sens!G17397-Sens!G17393-Sens!G17398</f>
        <v>6.32248243106489</v>
      </c>
      <c r="H17399" s="6" t="n">
        <f aca="false">Sens!H17397-Sens!H17393-Sens!H17398</f>
        <v>6.31534675113777</v>
      </c>
      <c r="I17399" s="6" t="n">
        <f aca="false">Sens!I17397-Sens!I17393-Sens!I17398</f>
        <v>6.3631498517932</v>
      </c>
      <c r="J17399" s="6" t="n">
        <f aca="false">Sens!J17397-Sens!J17393-Sens!J17398</f>
        <v>6.46265142253312</v>
      </c>
      <c r="K17399" s="6" t="n">
        <f aca="false">Sens!K17397-Sens!K17393-Sens!K17398</f>
        <v>6.61043136761522</v>
      </c>
    </row>
    <row r="17400" customFormat="false" ht="17.15" hidden="false" customHeight="false" outlineLevel="0" collapsed="false">
      <c r="A17400" s="0" t="s">
        <v>1243</v>
      </c>
      <c r="B17400" s="0" t="s">
        <v>98</v>
      </c>
      <c r="F17400" s="6" t="n">
        <f aca="false">Sens!F17394-tax_f*(Sens!F17394-Sens!F17258)-Sens!F17255</f>
        <v>-127.503553927218</v>
      </c>
      <c r="G17400" s="6" t="n">
        <f aca="false">Sens!G17394-tax_f*(Sens!G17394-Sens!G17258)-Sens!G17255</f>
        <v>-114.603772628121</v>
      </c>
      <c r="H17400" s="6" t="n">
        <f aca="false">Sens!H17394-tax_f*(Sens!H17394-Sens!H17258)-Sens!H17255</f>
        <v>-80.3633729631438</v>
      </c>
      <c r="I17400" s="6" t="n">
        <f aca="false">Sens!I17394-tax_f*(Sens!I17394-Sens!I17258)-Sens!I17255</f>
        <v>-17.2838782011649</v>
      </c>
      <c r="J17400" s="6" t="n">
        <f aca="false">Sens!J17394-tax_f*(Sens!J17394-Sens!J17258)-Sens!J17255</f>
        <v>46.9281968800854</v>
      </c>
      <c r="K17400" s="6" t="n">
        <f aca="false">Sens!K17394-tax_f*(Sens!K17394-Sens!K17258)-Sens!K17255</f>
        <v>71.8608185731755</v>
      </c>
    </row>
    <row r="17401" customFormat="false" ht="17.15" hidden="false" customHeight="false" outlineLevel="0" collapsed="false">
      <c r="A17401" s="0" t="s">
        <v>1244</v>
      </c>
      <c r="B17401" s="0" t="s">
        <v>98</v>
      </c>
      <c r="G17401" s="6" t="n">
        <f aca="false">Sens!G17400/(1+wacc)^(Sens!G17371-Sens!F17372)</f>
        <v>-109.124845494465</v>
      </c>
      <c r="H17401" s="6" t="n">
        <f aca="false">Sens!H17400/(1+wacc)^(Sens!H17371-Sens!F17372)</f>
        <v>-69.3796874071025</v>
      </c>
      <c r="I17401" s="6" t="n">
        <f aca="false">Sens!I17400/(1+wacc)^(Sens!I17371-Sens!F17372)</f>
        <v>-13.5289731380471</v>
      </c>
      <c r="J17401" s="6" t="n">
        <f aca="false">Sens!J17400/(1+wacc)^(Sens!J17371-Sens!F17372)</f>
        <v>33.3048099587126</v>
      </c>
      <c r="K17401" s="6" t="n">
        <f aca="false">Sens!K17400/(1+wacc)^(Sens!K17371-Sens!F17372)</f>
        <v>46.2396679904913</v>
      </c>
      <c r="L17401" s="1" t="s">
        <v>1245</v>
      </c>
    </row>
    <row r="17402" customFormat="false" ht="17.15" hidden="false" customHeight="false" outlineLevel="0" collapsed="false">
      <c r="A17402" s="0" t="s">
        <v>1246</v>
      </c>
      <c r="B17402" s="0" t="s">
        <v>98</v>
      </c>
      <c r="C17402" s="6" t="n">
        <f aca="false">(Sens!K17394-Sens!K17258)*(1-tax_f)*(1+g_tv)*(1-g_tv/(wacc+ronic_prem))/(wacc-g_tv)/(1+wacc)^(Sens!K17372-Sens!F17372)</f>
        <v>293.118051086843</v>
      </c>
    </row>
    <row r="17403" customFormat="false" ht="17.15" hidden="false" customHeight="false" outlineLevel="0" collapsed="false">
      <c r="A17403" s="1" t="s">
        <v>1247</v>
      </c>
      <c r="B17403" s="0" t="s">
        <v>98</v>
      </c>
      <c r="C17403" s="6" t="n">
        <f aca="false">(SUM(Sens!G17401:K17401)+Sens!$C$17402)*(1+wacc)^(t_roll-Sens!F17372)</f>
        <v>186.592133308255</v>
      </c>
      <c r="L17403" s="12" t="s">
        <v>1248</v>
      </c>
    </row>
    <row r="17404" customFormat="false" ht="17.15" hidden="false" customHeight="false" outlineLevel="0" collapsed="false">
      <c r="A17404" s="1" t="s">
        <v>1249</v>
      </c>
      <c r="B17404" s="0" t="s">
        <v>98</v>
      </c>
      <c r="C17404" s="6" t="n">
        <f aca="false">(w_ntm28*Sens!G17246+(1-w_ntm28)*Sens!H17246)*m_ai</f>
        <v>463.789109510335</v>
      </c>
    </row>
    <row r="17405" customFormat="false" ht="17.15" hidden="false" customHeight="false" outlineLevel="0" collapsed="false">
      <c r="A17405" s="1" t="s">
        <v>1250</v>
      </c>
      <c r="B17405" s="0" t="s">
        <v>98</v>
      </c>
      <c r="C17405" s="6" t="n">
        <f aca="false">(w_ntm28*Sens!G17396+(1-w_ntm28)*Sens!H17396)*m_cloud</f>
        <v>1089.0343837447</v>
      </c>
    </row>
    <row r="17406" customFormat="false" ht="17.15" hidden="false" customHeight="false" outlineLevel="0" collapsed="false">
      <c r="A17406" s="1" t="s">
        <v>1251</v>
      </c>
      <c r="B17406" s="0" t="s">
        <v>98</v>
      </c>
      <c r="C17406" s="6" t="n">
        <f aca="false">(w_ntm28*Sens!G17389+(1-w_ntm28)*Sens!H17389)*m_sw</f>
        <v>1082.8496199284</v>
      </c>
    </row>
    <row r="17407" customFormat="false" ht="17.15" hidden="false" customHeight="false" outlineLevel="0" collapsed="false">
      <c r="A17407" s="1" t="s">
        <v>1252</v>
      </c>
      <c r="B17407" s="0" t="s">
        <v>98</v>
      </c>
      <c r="C17407" s="6" t="n">
        <f aca="false">(w_ntm28*Sens!G17390+(1-w_ntm28)*Sens!H17390)*m_sw</f>
        <v>372.929249037021</v>
      </c>
    </row>
    <row r="17408" customFormat="false" ht="17.15" hidden="false" customHeight="false" outlineLevel="0" collapsed="false">
      <c r="A17408" s="1" t="s">
        <v>1253</v>
      </c>
      <c r="B17408" s="0" t="s">
        <v>98</v>
      </c>
      <c r="C17408" s="6" t="n">
        <f aca="false">(w_ntm28*Sens!G17391+(1-w_ntm28)*Sens!H17391)*m_sw</f>
        <v>109.145351391866</v>
      </c>
    </row>
    <row r="17409" customFormat="false" ht="17.15" hidden="false" customHeight="false" outlineLevel="0" collapsed="false">
      <c r="A17409" s="1" t="s">
        <v>1254</v>
      </c>
      <c r="B17409" s="0" t="s">
        <v>98</v>
      </c>
      <c r="C17409" s="6" t="n">
        <f aca="false">(w_ntm28*Sens!G17392+(1-w_ntm28)*Sens!H17392)*m_sw</f>
        <v>41.4942153254525</v>
      </c>
    </row>
    <row r="17410" customFormat="false" ht="17.15" hidden="false" customHeight="false" outlineLevel="0" collapsed="false">
      <c r="A17410" s="1" t="s">
        <v>1255</v>
      </c>
      <c r="B17410" s="0" t="s">
        <v>98</v>
      </c>
      <c r="C17410" s="6" t="n">
        <f aca="false">(w_ntm28*Sens!G17393+(1-w_ntm28)*Sens!H17393)*m_ads</f>
        <v>115.052170265314</v>
      </c>
    </row>
    <row r="17411" customFormat="false" ht="17.15" hidden="false" customHeight="false" outlineLevel="0" collapsed="false">
      <c r="A17411" s="1" t="s">
        <v>1256</v>
      </c>
      <c r="B17411" s="0" t="s">
        <v>98</v>
      </c>
      <c r="C17411" s="6" t="n">
        <f aca="false">(w_ntm28*Sens!G17398+(1-w_ntm28)*Sens!H17398)*m_game</f>
        <v>98.6441744432822</v>
      </c>
    </row>
    <row r="17412" customFormat="false" ht="17.15" hidden="false" customHeight="false" outlineLevel="0" collapsed="false">
      <c r="A17412" s="1" t="s">
        <v>1257</v>
      </c>
      <c r="B17412" s="0" t="s">
        <v>98</v>
      </c>
      <c r="C17412" s="6" t="n">
        <f aca="false">(w_ntm28*Sens!G17399+(1-w_ntm28)*Sens!H17399)*m_pc</f>
        <v>91.4523744908639</v>
      </c>
    </row>
    <row r="17413" customFormat="false" ht="17.15" hidden="false" customHeight="false" outlineLevel="0" collapsed="false">
      <c r="A17413" s="1" t="s">
        <v>1258</v>
      </c>
      <c r="B17413" s="0" t="s">
        <v>98</v>
      </c>
      <c r="C17413" s="6" t="n">
        <f aca="false">Sens!$C$17403+Sens!$C$17405+Sens!$C$17406+Sens!$C$17407+Sens!$C$17408+Sens!$C$17409+Sens!$C$17410+Sens!$C$17411+Sens!$C$17412</f>
        <v>3187.19367193516</v>
      </c>
    </row>
    <row r="17414" customFormat="false" ht="17.15" hidden="false" customHeight="false" outlineLevel="0" collapsed="false">
      <c r="A17414" s="1" t="s">
        <v>1259</v>
      </c>
      <c r="B17414" s="0" t="s">
        <v>98</v>
      </c>
      <c r="C17414" s="6" t="n">
        <f aca="false">(Sens!G17375-Sens!G17400)*t_stub</f>
        <v>47.8736426353991</v>
      </c>
      <c r="L17414" s="1" t="s">
        <v>1260</v>
      </c>
    </row>
    <row r="17415" customFormat="false" ht="17.15" hidden="false" customHeight="false" outlineLevel="0" collapsed="false">
      <c r="A17415" s="1" t="s">
        <v>1169</v>
      </c>
      <c r="B17415" s="0" t="s">
        <v>98</v>
      </c>
      <c r="C17415" s="6" t="n">
        <f aca="false">Sens!F17362+oai_v-Sens!F17351+Sens!$C$17414</f>
        <v>162.101912635399</v>
      </c>
      <c r="L17415" s="1" t="s">
        <v>1261</v>
      </c>
    </row>
    <row r="17416" customFormat="false" ht="17.15" hidden="false" customHeight="false" outlineLevel="0" collapsed="false">
      <c r="A17416" s="1" t="s">
        <v>1262</v>
      </c>
      <c r="B17416" s="0" t="s">
        <v>75</v>
      </c>
      <c r="C17416" s="5" t="n">
        <f aca="false">(Sens!$C$17413+Sens!$C$17415)/(Sens!F17364+dil_gap)-Sens!G17354*roll_div_q/q_per_yr</f>
        <v>445.800801990825</v>
      </c>
      <c r="L17416" s="1" t="s">
        <v>1263</v>
      </c>
    </row>
    <row r="17417" customFormat="false" ht="17.15" hidden="false" customHeight="false" outlineLevel="0" collapsed="false">
      <c r="A17417" s="1" t="s">
        <v>1264</v>
      </c>
      <c r="B17417" s="0" t="s">
        <v>75</v>
      </c>
      <c r="C17417" s="5" t="n">
        <f aca="false">w_dcf*Sens!$C$17387+(1-w_dcf)*Sens!$C$17416</f>
        <v>386.052173265412</v>
      </c>
    </row>
    <row r="17418" customFormat="false" ht="17.15" hidden="false" customHeight="false" outlineLevel="0" collapsed="false">
      <c r="A17418" s="3" t="s">
        <v>1909</v>
      </c>
    </row>
    <row r="17419" customFormat="false" ht="15" hidden="false" customHeight="false" outlineLevel="0" collapsed="false">
      <c r="A17419" s="4" t="s">
        <v>43</v>
      </c>
      <c r="B17419" s="4" t="s">
        <v>65</v>
      </c>
      <c r="C17419" s="23" t="s">
        <v>938</v>
      </c>
      <c r="D17419" s="23" t="s">
        <v>939</v>
      </c>
      <c r="E17419" s="23" t="s">
        <v>940</v>
      </c>
      <c r="F17419" s="23" t="s">
        <v>941</v>
      </c>
      <c r="G17419" s="23" t="s">
        <v>942</v>
      </c>
      <c r="H17419" s="23" t="s">
        <v>943</v>
      </c>
      <c r="I17419" s="23" t="s">
        <v>944</v>
      </c>
      <c r="J17419" s="23" t="s">
        <v>945</v>
      </c>
      <c r="K17419" s="23" t="s">
        <v>946</v>
      </c>
      <c r="L17419" s="4" t="s">
        <v>47</v>
      </c>
    </row>
    <row r="17420" customFormat="false" ht="17.15" hidden="false" customHeight="false" outlineLevel="0" collapsed="false">
      <c r="A17420" s="1" t="s">
        <v>947</v>
      </c>
      <c r="B17420" s="1" t="s">
        <v>279</v>
      </c>
      <c r="C17420" s="21" t="n">
        <v>2024</v>
      </c>
      <c r="D17420" s="21" t="n">
        <v>2025</v>
      </c>
      <c r="E17420" s="21" t="n">
        <v>2026</v>
      </c>
      <c r="F17420" s="21" t="n">
        <v>2027</v>
      </c>
      <c r="G17420" s="21" t="n">
        <v>2028</v>
      </c>
      <c r="H17420" s="21" t="n">
        <v>2029</v>
      </c>
      <c r="I17420" s="21" t="n">
        <v>2030</v>
      </c>
      <c r="J17420" s="21" t="n">
        <v>2031</v>
      </c>
      <c r="K17420" s="21" t="n">
        <v>2032</v>
      </c>
    </row>
    <row r="17421" customFormat="false" ht="17.15" hidden="false" customHeight="false" outlineLevel="0" collapsed="false">
      <c r="A17421" s="1" t="s">
        <v>948</v>
      </c>
      <c r="B17421" s="0" t="s">
        <v>456</v>
      </c>
      <c r="F17421" s="30" t="n">
        <f aca="false">pace</f>
        <v>2726.5351</v>
      </c>
      <c r="G17421" s="30" t="n">
        <f aca="false">pace</f>
        <v>2726.5351</v>
      </c>
      <c r="H17421" s="30" t="n">
        <f aca="false">pace</f>
        <v>2726.5351</v>
      </c>
      <c r="I17421" s="30" t="n">
        <f aca="false">pace+(g_tv*Sens!H17422-pace)*MIN(1,(Sens!I17420-pace_y0)/(pace_y1-pace_y0))</f>
        <v>1931.98611966667</v>
      </c>
      <c r="J17421" s="30" t="n">
        <f aca="false">pace+(g_tv*Sens!I17422-pace)*MIN(1,(Sens!J17420-pace_y0)/(pace_y1-pace_y0))</f>
        <v>1176.07686172667</v>
      </c>
      <c r="K17421" s="30" t="n">
        <f aca="false">pace+(g_tv*Sens!J17422-pace)*MIN(1,(Sens!K17420-pace_y0)/(pace_y1-pace_y0))</f>
        <v>436.1300484418</v>
      </c>
      <c r="L17421" s="12" t="s">
        <v>949</v>
      </c>
    </row>
    <row r="17422" customFormat="false" ht="17.15" hidden="false" customHeight="false" outlineLevel="0" collapsed="false">
      <c r="A17422" s="1" t="s">
        <v>950</v>
      </c>
      <c r="B17422" s="0" t="s">
        <v>456</v>
      </c>
      <c r="C17422" s="30" t="n">
        <f aca="false">mw_ext_24</f>
        <v>640</v>
      </c>
      <c r="D17422" s="30" t="n">
        <f aca="false">mw_ext_25</f>
        <v>1630</v>
      </c>
      <c r="E17422" s="30" t="n">
        <f aca="false">mw_ext_26</f>
        <v>3250</v>
      </c>
      <c r="F17422" s="30" t="n">
        <f aca="false">Sens!E17422+Sens!F17421</f>
        <v>5976.5351</v>
      </c>
      <c r="G17422" s="30" t="n">
        <f aca="false">Sens!F17422+Sens!G17421</f>
        <v>8703.0702</v>
      </c>
      <c r="H17422" s="30" t="n">
        <f aca="false">Sens!G17422+Sens!H17421</f>
        <v>11429.6053</v>
      </c>
      <c r="I17422" s="30" t="n">
        <f aca="false">Sens!H17422+Sens!I17421</f>
        <v>13361.5914196667</v>
      </c>
      <c r="J17422" s="30" t="n">
        <f aca="false">Sens!I17422+Sens!J17421</f>
        <v>14537.6682813933</v>
      </c>
      <c r="K17422" s="30" t="n">
        <f aca="false">Sens!J17422+Sens!K17421</f>
        <v>14973.7983298351</v>
      </c>
      <c r="L17422" s="1" t="s">
        <v>951</v>
      </c>
    </row>
    <row r="17423" customFormat="false" ht="17.15" hidden="false" customHeight="false" outlineLevel="0" collapsed="false">
      <c r="A17423" s="1" t="s">
        <v>952</v>
      </c>
      <c r="B17423" s="0" t="s">
        <v>456</v>
      </c>
      <c r="C17423" s="30" t="n">
        <f aca="false">rent_ext_24</f>
        <v>150</v>
      </c>
      <c r="D17423" s="30" t="n">
        <f aca="false">rent_ext_25</f>
        <v>400</v>
      </c>
      <c r="E17423" s="30" t="n">
        <f aca="false">rent_ext_26</f>
        <v>550</v>
      </c>
      <c r="F17423" s="30" t="n">
        <f aca="false">rent_ext_f</f>
        <v>756</v>
      </c>
      <c r="G17423" s="30" t="n">
        <f aca="false">rent_ext_f</f>
        <v>756</v>
      </c>
      <c r="H17423" s="30" t="n">
        <f aca="false">rent_ext_f</f>
        <v>756</v>
      </c>
      <c r="I17423" s="30" t="n">
        <f aca="false">rent_ext_f</f>
        <v>756</v>
      </c>
      <c r="J17423" s="30" t="n">
        <f aca="false">rent_ext_f</f>
        <v>756</v>
      </c>
      <c r="K17423" s="30" t="n">
        <f aca="false">rent_ext_f</f>
        <v>756</v>
      </c>
      <c r="L17423" s="1" t="s">
        <v>953</v>
      </c>
    </row>
    <row r="17424" customFormat="false" ht="17.15" hidden="false" customHeight="false" outlineLevel="0" collapsed="false">
      <c r="A17424" s="1" t="s">
        <v>954</v>
      </c>
      <c r="B17424" s="0" t="s">
        <v>456</v>
      </c>
      <c r="C17424" s="30" t="n">
        <f aca="false">Sens!C17422-Sens!C17423</f>
        <v>490</v>
      </c>
      <c r="D17424" s="30" t="n">
        <f aca="false">Sens!D17422-Sens!D17423</f>
        <v>1230</v>
      </c>
      <c r="E17424" s="30" t="n">
        <f aca="false">Sens!E17422-Sens!E17423</f>
        <v>2700</v>
      </c>
      <c r="F17424" s="30" t="n">
        <f aca="false">Sens!F17422-Sens!F17423</f>
        <v>5220.5351</v>
      </c>
      <c r="G17424" s="30" t="n">
        <f aca="false">Sens!G17422-Sens!G17423</f>
        <v>7947.0702</v>
      </c>
      <c r="H17424" s="30" t="n">
        <f aca="false">Sens!H17422-Sens!H17423</f>
        <v>10673.6053</v>
      </c>
      <c r="I17424" s="30" t="n">
        <f aca="false">Sens!I17422-Sens!I17423</f>
        <v>12605.5914196667</v>
      </c>
      <c r="J17424" s="30" t="n">
        <f aca="false">Sens!J17422-Sens!J17423</f>
        <v>13781.6682813933</v>
      </c>
      <c r="K17424" s="30" t="n">
        <f aca="false">Sens!K17422-Sens!K17423</f>
        <v>14217.7983298351</v>
      </c>
    </row>
    <row r="17425" customFormat="false" ht="17.15" hidden="false" customHeight="false" outlineLevel="0" collapsed="false">
      <c r="A17425" s="1" t="s">
        <v>955</v>
      </c>
      <c r="B17425" s="0" t="s">
        <v>456</v>
      </c>
      <c r="C17425" s="30" t="n">
        <f aca="false">Sens!C17424/ext_sh</f>
        <v>816.666666666667</v>
      </c>
      <c r="D17425" s="30" t="n">
        <f aca="false">Sens!D17424/ext_sh</f>
        <v>2050</v>
      </c>
      <c r="E17425" s="30" t="n">
        <f aca="false">Sens!E17424/ext_sh</f>
        <v>4500</v>
      </c>
      <c r="F17425" s="30" t="n">
        <f aca="false">Sens!F17424/ext_sh</f>
        <v>8700.89183333333</v>
      </c>
      <c r="G17425" s="30" t="n">
        <f aca="false">Sens!G17424/ext_sh</f>
        <v>13245.117</v>
      </c>
      <c r="H17425" s="30" t="n">
        <f aca="false">Sens!H17424/ext_sh</f>
        <v>17789.3421666667</v>
      </c>
      <c r="I17425" s="30" t="n">
        <f aca="false">Sens!I17424/ext_sh</f>
        <v>21009.3190327778</v>
      </c>
      <c r="J17425" s="30" t="n">
        <f aca="false">Sens!J17424/ext_sh</f>
        <v>22969.4471356556</v>
      </c>
      <c r="K17425" s="30" t="n">
        <f aca="false">Sens!K17424/ext_sh</f>
        <v>23696.3305497252</v>
      </c>
      <c r="L17425" s="1" t="s">
        <v>956</v>
      </c>
    </row>
    <row r="17426" customFormat="false" ht="17.15" hidden="false" customHeight="false" outlineLevel="0" collapsed="false">
      <c r="A17426" s="1" t="s">
        <v>957</v>
      </c>
      <c r="B17426" s="0" t="s">
        <v>456</v>
      </c>
      <c r="C17426" s="30" t="n">
        <f aca="false">Sens!C17425-Sens!C17424</f>
        <v>326.666666666667</v>
      </c>
      <c r="D17426" s="30" t="n">
        <f aca="false">Sens!D17425-Sens!D17424</f>
        <v>820</v>
      </c>
      <c r="E17426" s="30" t="n">
        <f aca="false">Sens!E17425-Sens!E17424</f>
        <v>1800</v>
      </c>
      <c r="F17426" s="30" t="n">
        <f aca="false">Sens!F17425-Sens!F17424</f>
        <v>3480.35673333333</v>
      </c>
      <c r="G17426" s="30" t="n">
        <f aca="false">Sens!G17425-Sens!G17424</f>
        <v>5298.0468</v>
      </c>
      <c r="H17426" s="30" t="n">
        <f aca="false">Sens!H17425-Sens!H17424</f>
        <v>7115.73686666667</v>
      </c>
      <c r="I17426" s="30" t="n">
        <f aca="false">Sens!I17425-Sens!I17424</f>
        <v>8403.72761311111</v>
      </c>
      <c r="J17426" s="30" t="n">
        <f aca="false">Sens!J17425-Sens!J17424</f>
        <v>9187.77885426222</v>
      </c>
      <c r="K17426" s="30" t="n">
        <f aca="false">Sens!K17425-Sens!K17424</f>
        <v>9478.53221989009</v>
      </c>
    </row>
    <row r="17427" customFormat="false" ht="17.15" hidden="false" customHeight="false" outlineLevel="0" collapsed="false">
      <c r="A17427" s="1" t="s">
        <v>958</v>
      </c>
      <c r="B17427" s="0" t="s">
        <v>456</v>
      </c>
      <c r="C17427" s="30" t="n">
        <f aca="false">Sens!C17425</f>
        <v>816.666666666667</v>
      </c>
      <c r="D17427" s="30" t="n">
        <f aca="false">Sens!D17425-Sens!C17425</f>
        <v>1233.33333333333</v>
      </c>
      <c r="E17427" s="30" t="n">
        <f aca="false">Sens!E17425-Sens!D17425</f>
        <v>2450</v>
      </c>
      <c r="F17427" s="30" t="n">
        <f aca="false">Sens!F17425-Sens!E17425</f>
        <v>4200.89183333333</v>
      </c>
      <c r="G17427" s="30" t="n">
        <f aca="false">Sens!G17425-Sens!F17425</f>
        <v>4544.22516666667</v>
      </c>
      <c r="H17427" s="30" t="n">
        <f aca="false">Sens!H17425-Sens!G17425</f>
        <v>4544.22516666667</v>
      </c>
      <c r="I17427" s="30" t="n">
        <f aca="false">Sens!I17425-Sens!H17425</f>
        <v>3219.97686611111</v>
      </c>
      <c r="J17427" s="30" t="n">
        <f aca="false">Sens!J17425-Sens!I17425</f>
        <v>1960.12810287778</v>
      </c>
      <c r="K17427" s="30" t="n">
        <f aca="false">Sens!K17425-Sens!J17425</f>
        <v>726.883414069667</v>
      </c>
    </row>
    <row r="17428" customFormat="false" ht="17.15" hidden="false" customHeight="false" outlineLevel="0" collapsed="false">
      <c r="A17428" s="1" t="s">
        <v>959</v>
      </c>
      <c r="B17428" s="0" t="s">
        <v>456</v>
      </c>
      <c r="D17428" s="30" t="n">
        <f aca="false">Sens!D17422-Sens!C17422</f>
        <v>990</v>
      </c>
      <c r="E17428" s="30" t="n">
        <f aca="false">Sens!E17422-Sens!D17422</f>
        <v>1620</v>
      </c>
      <c r="F17428" s="30" t="n">
        <f aca="false">Sens!F17422-Sens!E17422</f>
        <v>2726.5351</v>
      </c>
      <c r="G17428" s="30" t="n">
        <f aca="false">Sens!G17422-Sens!F17422</f>
        <v>2726.5351</v>
      </c>
      <c r="H17428" s="30" t="n">
        <f aca="false">Sens!H17422-Sens!G17422</f>
        <v>2726.5351</v>
      </c>
      <c r="I17428" s="30" t="n">
        <f aca="false">Sens!I17422-Sens!H17422</f>
        <v>1931.98611966667</v>
      </c>
      <c r="J17428" s="30" t="n">
        <f aca="false">Sens!J17422-Sens!I17422</f>
        <v>1176.07686172667</v>
      </c>
      <c r="K17428" s="30" t="n">
        <f aca="false">Sens!K17422-Sens!J17422</f>
        <v>436.130048441799</v>
      </c>
    </row>
    <row r="17429" customFormat="false" ht="17.15" hidden="false" customHeight="false" outlineLevel="0" collapsed="false">
      <c r="A17429" s="1" t="s">
        <v>960</v>
      </c>
      <c r="B17429" s="0" t="s">
        <v>456</v>
      </c>
      <c r="F17429" s="30" t="n">
        <f aca="false">Sens!F17448*ext_sh</f>
        <v>0</v>
      </c>
      <c r="G17429" s="30" t="n">
        <f aca="false">Sens!G17448*ext_sh</f>
        <v>0</v>
      </c>
      <c r="H17429" s="30" t="n">
        <f aca="false">Sens!H17448*ext_sh</f>
        <v>0</v>
      </c>
      <c r="I17429" s="30" t="n">
        <f aca="false">Sens!I17448*ext_sh</f>
        <v>490</v>
      </c>
      <c r="J17429" s="30" t="n">
        <f aca="false">Sens!J17448*ext_sh</f>
        <v>740</v>
      </c>
      <c r="K17429" s="30" t="n">
        <f aca="false">Sens!K17448*ext_sh</f>
        <v>1470</v>
      </c>
      <c r="L17429" s="1" t="s">
        <v>961</v>
      </c>
    </row>
    <row r="17430" customFormat="false" ht="17.15" hidden="false" customHeight="false" outlineLevel="0" collapsed="false">
      <c r="A17430" s="1" t="s">
        <v>962</v>
      </c>
      <c r="B17430" s="0" t="s">
        <v>456</v>
      </c>
      <c r="C17430" s="30" t="n">
        <f aca="false">mix_h*Sens!C17422</f>
        <v>128</v>
      </c>
      <c r="D17430" s="30" t="n">
        <f aca="false">mix_h*Sens!D17422</f>
        <v>326</v>
      </c>
      <c r="E17430" s="30" t="n">
        <f aca="false">mix_h*Sens!E17422</f>
        <v>650</v>
      </c>
      <c r="F17430" s="30" t="n">
        <f aca="false">Sens!E17430-Sens!F17429*mix_h</f>
        <v>650</v>
      </c>
      <c r="G17430" s="30" t="n">
        <f aca="false">Sens!F17430-Sens!G17429*mix_h</f>
        <v>650</v>
      </c>
      <c r="H17430" s="30" t="n">
        <f aca="false">Sens!G17430-Sens!H17429*mix_h</f>
        <v>650</v>
      </c>
      <c r="I17430" s="30" t="n">
        <f aca="false">Sens!H17430-Sens!I17429*mix_h</f>
        <v>552</v>
      </c>
      <c r="J17430" s="30" t="n">
        <f aca="false">Sens!I17430-Sens!J17429*mix_h</f>
        <v>404</v>
      </c>
      <c r="K17430" s="30" t="n">
        <f aca="false">Sens!J17430-Sens!K17429*mix_h</f>
        <v>110</v>
      </c>
    </row>
    <row r="17431" customFormat="false" ht="17.15" hidden="false" customHeight="false" outlineLevel="0" collapsed="false">
      <c r="A17431" s="1" t="s">
        <v>963</v>
      </c>
      <c r="B17431" s="0" t="s">
        <v>456</v>
      </c>
      <c r="C17431" s="30" t="n">
        <f aca="false">mix_g2*Sens!C17422</f>
        <v>288</v>
      </c>
      <c r="D17431" s="30" t="n">
        <f aca="false">mix_g2*Sens!D17422</f>
        <v>733.5</v>
      </c>
      <c r="E17431" s="30" t="n">
        <f aca="false">mix_g2*Sens!E17422</f>
        <v>1462.5</v>
      </c>
      <c r="F17431" s="30" t="n">
        <f aca="false">Sens!E17431-Sens!F17429*mix_g2</f>
        <v>1462.5</v>
      </c>
      <c r="G17431" s="30" t="n">
        <f aca="false">Sens!F17431-Sens!G17429*mix_g2</f>
        <v>1462.5</v>
      </c>
      <c r="H17431" s="30" t="n">
        <f aca="false">Sens!G17431-Sens!H17429*mix_g2</f>
        <v>1462.5</v>
      </c>
      <c r="I17431" s="30" t="n">
        <f aca="false">Sens!H17431-Sens!I17429*mix_g2</f>
        <v>1242</v>
      </c>
      <c r="J17431" s="30" t="n">
        <f aca="false">Sens!I17431-Sens!J17429*mix_g2</f>
        <v>909</v>
      </c>
      <c r="K17431" s="30" t="n">
        <f aca="false">Sens!J17431-Sens!K17429*mix_g2</f>
        <v>247.5</v>
      </c>
    </row>
    <row r="17432" customFormat="false" ht="17.15" hidden="false" customHeight="false" outlineLevel="0" collapsed="false">
      <c r="A17432" s="1" t="s">
        <v>964</v>
      </c>
      <c r="B17432" s="0" t="s">
        <v>456</v>
      </c>
      <c r="C17432" s="30" t="n">
        <f aca="false">mix_g3*Sens!C17422</f>
        <v>224</v>
      </c>
      <c r="D17432" s="30" t="n">
        <f aca="false">mix_g3*Sens!D17422</f>
        <v>570.5</v>
      </c>
      <c r="E17432" s="30" t="n">
        <f aca="false">mix_g3*Sens!E17422</f>
        <v>1137.5</v>
      </c>
      <c r="F17432" s="30" t="n">
        <f aca="false">Sens!E17432+(Sens!F17428+Sens!F17429)*(a_g3_27-nonnv*a_mai)-Sens!F17429*mix_g3</f>
        <v>2773.42106</v>
      </c>
      <c r="G17432" s="30" t="n">
        <f aca="false">Sens!F17432+(Sens!G17428+Sens!G17429)*(a_g3_28-nonnv*a_mai)-Sens!G17429*mix_g3</f>
        <v>3318.72808</v>
      </c>
      <c r="H17432" s="30" t="n">
        <f aca="false">Sens!G17432+(Sens!H17428+Sens!H17429)*(a_g3_29-nonnv*a_mai)-Sens!H17429*mix_g3</f>
        <v>3318.72808</v>
      </c>
      <c r="I17432" s="30" t="n">
        <f aca="false">Sens!H17432+(Sens!I17428+Sens!I17429)*(a_g3_29-nonnv*a_mai)-Sens!I17429*mix_g3</f>
        <v>3147.22808</v>
      </c>
      <c r="J17432" s="30" t="n">
        <f aca="false">Sens!I17432+(Sens!J17428+Sens!J17429)*(a_g3_29-nonnv*a_mai)-Sens!J17429*mix_g3</f>
        <v>2888.22808</v>
      </c>
      <c r="K17432" s="30" t="n">
        <f aca="false">Sens!J17432+(Sens!K17428+Sens!K17429)*(a_g3_29-nonnv*a_mai)-Sens!K17429*mix_g3</f>
        <v>2373.72808</v>
      </c>
    </row>
    <row r="17433" customFormat="false" ht="17.15" hidden="false" customHeight="false" outlineLevel="0" collapsed="false">
      <c r="A17433" s="1" t="s">
        <v>965</v>
      </c>
      <c r="B17433" s="0" t="s">
        <v>456</v>
      </c>
      <c r="C17433" s="30" t="n">
        <v>0</v>
      </c>
      <c r="D17433" s="30" t="n">
        <v>0</v>
      </c>
      <c r="E17433" s="30" t="n">
        <v>0</v>
      </c>
      <c r="F17433" s="30" t="n">
        <f aca="false">Sens!E17433+(Sens!F17428+Sens!F17429)*nonnv*a_mai</f>
        <v>272.65351</v>
      </c>
      <c r="G17433" s="30" t="n">
        <f aca="false">Sens!F17433+(Sens!G17428+Sens!G17429)*nonnv*a_mai</f>
        <v>545.30702</v>
      </c>
      <c r="H17433" s="30" t="n">
        <f aca="false">Sens!G17433+(Sens!H17428+Sens!H17429)*nonnv*a_mai</f>
        <v>817.96053</v>
      </c>
      <c r="I17433" s="30" t="n">
        <f aca="false">Sens!H17433+(Sens!I17428+Sens!I17429)*nonnv*a_mai</f>
        <v>1060.15914196667</v>
      </c>
      <c r="J17433" s="30" t="n">
        <f aca="false">Sens!I17433+(Sens!J17428+Sens!J17429)*nonnv*a_mai</f>
        <v>1251.76682813933</v>
      </c>
      <c r="K17433" s="30" t="n">
        <f aca="false">Sens!J17433+(Sens!K17428+Sens!K17429)*nonnv*a_mai</f>
        <v>1442.37983298351</v>
      </c>
      <c r="L17433" s="12" t="s">
        <v>966</v>
      </c>
    </row>
    <row r="17434" customFormat="false" ht="17.15" hidden="false" customHeight="false" outlineLevel="0" collapsed="false">
      <c r="A17434" s="1" t="s">
        <v>967</v>
      </c>
      <c r="B17434" s="0" t="s">
        <v>456</v>
      </c>
      <c r="C17434" s="30" t="n">
        <v>0</v>
      </c>
      <c r="D17434" s="30" t="n">
        <v>0</v>
      </c>
      <c r="E17434" s="30" t="n">
        <v>0</v>
      </c>
      <c r="F17434" s="30" t="n">
        <f aca="false">Sens!E17434+(Sens!F17428+Sens!F17429)*(1-a_g3_27)</f>
        <v>817.96053</v>
      </c>
      <c r="G17434" s="30" t="n">
        <f aca="false">Sens!F17434+(Sens!G17428+Sens!G17429)*(1-a_g3_28)</f>
        <v>2726.5351</v>
      </c>
      <c r="H17434" s="30" t="n">
        <f aca="false">Sens!G17434+(Sens!H17428+Sens!H17429)*(1-a_g3_29)</f>
        <v>5180.41669</v>
      </c>
      <c r="I17434" s="30" t="n">
        <f aca="false">Sens!H17434+(Sens!I17428+Sens!I17429)*(1-a_g3_29)</f>
        <v>7360.2041977</v>
      </c>
      <c r="J17434" s="30" t="n">
        <f aca="false">Sens!I17434+(Sens!J17428+Sens!J17429)*(1-a_g3_29)</f>
        <v>9084.673373254</v>
      </c>
      <c r="K17434" s="30" t="n">
        <f aca="false">Sens!J17434+(Sens!K17428+Sens!K17429)*(1-a_g3_29)</f>
        <v>10800.1904168516</v>
      </c>
    </row>
    <row r="17435" customFormat="false" ht="17.15" hidden="false" customHeight="false" outlineLevel="0" collapsed="false">
      <c r="A17435" s="1" t="s">
        <v>968</v>
      </c>
      <c r="B17435" s="0" t="s">
        <v>403</v>
      </c>
      <c r="C17435" s="15" t="n">
        <f aca="false">(Sens!C17430*tk_hold_h100+Sens!C17431*tk_hold_gb200+Sens!C17432*tk_hold_gb300+Sens!C17434*tk_hold_vr200+Sens!C17433*nv_hold_mai*tk_hold_vr200)/Sens!C17422</f>
        <v>9.7235358126469</v>
      </c>
      <c r="D17435" s="15" t="n">
        <f aca="false">(Sens!D17430*tk_hold_h100+Sens!D17431*tk_hold_gb200+Sens!D17432*tk_hold_gb300+Sens!D17434*tk_hold_vr200+Sens!D17433*nv_hold_mai*tk_hold_vr200)/Sens!D17422</f>
        <v>9.7235358126469</v>
      </c>
      <c r="E17435" s="15" t="n">
        <f aca="false">(Sens!E17430*tk_hold_h100+Sens!E17431*tk_hold_gb200+Sens!E17432*tk_hold_gb300+Sens!E17434*tk_hold_vr200+Sens!E17433*nv_hold_mai*tk_hold_vr200)/Sens!E17422</f>
        <v>9.7235358126469</v>
      </c>
      <c r="F17435" s="15" t="n">
        <f aca="false">(Sens!F17430*tk_hold_h100+Sens!F17431*tk_hold_gb200+Sens!F17432*tk_hold_gb300+Sens!F17434*tk_hold_vr200+Sens!F17433*nv_hold_mai*tk_hold_vr200)/Sens!F17422</f>
        <v>10.2195353876665</v>
      </c>
      <c r="G17435" s="15" t="n">
        <f aca="false">(Sens!G17430*tk_hold_h100+Sens!G17431*tk_hold_gb200+Sens!G17432*tk_hold_gb300+Sens!G17434*tk_hold_vr200+Sens!G17433*nv_hold_mai*tk_hold_vr200)/Sens!G17422</f>
        <v>10.5725598017306</v>
      </c>
      <c r="H17435" s="15" t="n">
        <f aca="false">(Sens!H17430*tk_hold_h100+Sens!H17431*tk_hold_gb200+Sens!H17432*tk_hold_gb300+Sens!H17434*tk_hold_vr200+Sens!H17433*nv_hold_mai*tk_hold_vr200)/Sens!H17422</f>
        <v>10.8210427149036</v>
      </c>
      <c r="I17435" s="15" t="n">
        <f aca="false">(Sens!I17430*tk_hold_h100+Sens!I17431*tk_hold_gb200+Sens!I17432*tk_hold_gb300+Sens!I17434*tk_hold_vr200+Sens!I17433*nv_hold_mai*tk_hold_vr200)/Sens!I17422</f>
        <v>11.0050618241982</v>
      </c>
      <c r="J17435" s="15" t="n">
        <f aca="false">(Sens!J17430*tk_hold_h100+Sens!J17431*tk_hold_gb200+Sens!J17432*tk_hold_gb300+Sens!J17434*tk_hold_vr200+Sens!J17433*nv_hold_mai*tk_hold_vr200)/Sens!J17422</f>
        <v>11.1505789658881</v>
      </c>
      <c r="K17435" s="15" t="n">
        <f aca="false">(Sens!K17430*tk_hold_h100+Sens!K17431*tk_hold_gb200+Sens!K17432*tk_hold_gb300+Sens!K17434*tk_hold_vr200+Sens!K17433*nv_hold_mai*tk_hold_vr200)/Sens!K17422</f>
        <v>11.3496914757183</v>
      </c>
      <c r="L17435" s="1" t="s">
        <v>969</v>
      </c>
    </row>
    <row r="17436" customFormat="false" ht="17.15" hidden="false" customHeight="false" outlineLevel="0" collapsed="false">
      <c r="A17436" s="1" t="s">
        <v>970</v>
      </c>
      <c r="B17436" s="0" t="s">
        <v>403</v>
      </c>
      <c r="C17436" s="15" t="n">
        <f aca="false">(Sens!C17430*tk_hold_h100+Sens!C17431*tk_hold_gb200+Sens!C17432*tk_hold_gb300+Sens!C17434*tk_hold_vr200+Sens!C17433*nv_out_mai*tk_hold_vr200)/Sens!C17422</f>
        <v>9.7235358126469</v>
      </c>
      <c r="D17436" s="15" t="n">
        <f aca="false">(Sens!D17430*tk_hold_h100+Sens!D17431*tk_hold_gb200+Sens!D17432*tk_hold_gb300+Sens!D17434*tk_hold_vr200+Sens!D17433*nv_out_mai*tk_hold_vr200)/Sens!D17422</f>
        <v>9.7235358126469</v>
      </c>
      <c r="E17436" s="15" t="n">
        <f aca="false">(Sens!E17430*tk_hold_h100+Sens!E17431*tk_hold_gb200+Sens!E17432*tk_hold_gb300+Sens!E17434*tk_hold_vr200+Sens!E17433*nv_out_mai*tk_hold_vr200)/Sens!E17422</f>
        <v>9.7235358126469</v>
      </c>
      <c r="F17436" s="15" t="n">
        <f aca="false">(Sens!F17430*tk_hold_h100+Sens!F17431*tk_hold_gb200+Sens!F17432*tk_hold_gb300+Sens!F17434*tk_hold_vr200+Sens!F17433*nv_out_mai*tk_hold_vr200)/Sens!F17422</f>
        <v>10.247422093969</v>
      </c>
      <c r="G17436" s="15" t="n">
        <f aca="false">(Sens!G17430*tk_hold_h100+Sens!G17431*tk_hold_gb200+Sens!G17432*tk_hold_gb300+Sens!G17434*tk_hold_vr200+Sens!G17433*nv_out_mai*tk_hold_vr200)/Sens!G17422</f>
        <v>10.6108602808053</v>
      </c>
      <c r="H17436" s="15" t="n">
        <f aca="false">(Sens!H17430*tk_hold_h100+Sens!H17431*tk_hold_gb200+Sens!H17432*tk_hold_gb300+Sens!H17434*tk_hold_vr200+Sens!H17433*nv_out_mai*tk_hold_vr200)/Sens!H17422</f>
        <v>10.8647885507393</v>
      </c>
      <c r="I17436" s="15" t="n">
        <f aca="false">(Sens!I17430*tk_hold_h100+Sens!I17431*tk_hold_gb200+Sens!I17432*tk_hold_gb300+Sens!I17434*tk_hold_vr200+Sens!I17433*nv_out_mai*tk_hold_vr200)/Sens!I17422</f>
        <v>11.0535625770025</v>
      </c>
      <c r="J17436" s="15" t="n">
        <f aca="false">(Sens!J17430*tk_hold_h100+Sens!J17431*tk_hold_gb200+Sens!J17432*tk_hold_gb300+Sens!J17434*tk_hold_vr200+Sens!J17433*nv_out_mai*tk_hold_vr200)/Sens!J17422</f>
        <v>11.2032127128058</v>
      </c>
      <c r="K17436" s="15" t="n">
        <f aca="false">(Sens!K17430*tk_hold_h100+Sens!K17431*tk_hold_gb200+Sens!K17432*tk_hold_gb300+Sens!K17434*tk_hold_vr200+Sens!K17433*nv_out_mai*tk_hold_vr200)/Sens!K17422</f>
        <v>11.4085735724225</v>
      </c>
      <c r="L17436" s="12" t="s">
        <v>971</v>
      </c>
    </row>
    <row r="17437" customFormat="false" ht="17.15" hidden="false" customHeight="false" outlineLevel="0" collapsed="false">
      <c r="A17437" s="0" t="s">
        <v>972</v>
      </c>
      <c r="B17437" s="0" t="s">
        <v>229</v>
      </c>
      <c r="C17437" s="15" t="n">
        <f aca="false">k_B</f>
        <v>1.17213932619116</v>
      </c>
      <c r="D17437" s="15" t="n">
        <f aca="false">k_B</f>
        <v>1.17213932619116</v>
      </c>
      <c r="E17437" s="15" t="n">
        <f aca="false">k_B</f>
        <v>1.17213932619116</v>
      </c>
      <c r="F17437" s="15" t="n">
        <f aca="false">(k_B+((ls_C*k_long+(1-ls_C)*k_spot)-k_B)*MIN(1,(Sens!F17420-base_fy)/k_ramp))</f>
        <v>1.07843258004497</v>
      </c>
      <c r="G17437" s="15" t="n">
        <f aca="false">(k_B+((ls_C*k_long+(1-ls_C)*k_spot)-k_B)*MIN(1,(Sens!G17420-base_fy)/k_ramp))</f>
        <v>0.984725833898784</v>
      </c>
      <c r="H17437" s="15" t="n">
        <f aca="false">(k_B+((ls_C*k_long+(1-ls_C)*k_spot)-k_B)*MIN(1,(Sens!H17420-base_fy)/k_ramp))</f>
        <v>0.891019087752599</v>
      </c>
      <c r="I17437" s="15" t="n">
        <f aca="false">(k_B+((ls_C*k_long+(1-ls_C)*k_spot)-k_B)*MIN(1,(Sens!I17420-base_fy)/k_ramp))</f>
        <v>0.891019087752599</v>
      </c>
      <c r="J17437" s="15" t="n">
        <f aca="false">(k_B+((ls_C*k_long+(1-ls_C)*k_spot)-k_B)*MIN(1,(Sens!J17420-base_fy)/k_ramp))</f>
        <v>0.891019087752599</v>
      </c>
      <c r="K17437" s="15" t="n">
        <f aca="false">(k_B+((ls_C*k_long+(1-ls_C)*k_spot)-k_B)*MIN(1,(Sens!K17420-base_fy)/k_ramp))</f>
        <v>0.891019087752599</v>
      </c>
      <c r="L17437" s="1" t="s">
        <v>973</v>
      </c>
    </row>
    <row r="17438" customFormat="false" ht="17.15" hidden="false" customHeight="false" outlineLevel="0" collapsed="false">
      <c r="A17438" s="1" t="s">
        <v>974</v>
      </c>
      <c r="B17438" s="0" t="s">
        <v>403</v>
      </c>
      <c r="C17438" s="15" t="n">
        <f aca="false">Sens!C17436*Sens!C17437*chip_f</f>
        <v>11.3973387156315</v>
      </c>
      <c r="D17438" s="15" t="n">
        <f aca="false">Sens!D17436*Sens!D17437*chip_f</f>
        <v>11.3973387156315</v>
      </c>
      <c r="E17438" s="15" t="n">
        <f aca="false">Sens!E17436*Sens!E17437*chip_f</f>
        <v>11.3973387156315</v>
      </c>
      <c r="F17438" s="15" t="n">
        <f aca="false">Sens!F17436*Sens!F17437*chip_f</f>
        <v>11.0511538476088</v>
      </c>
      <c r="G17438" s="15" t="n">
        <f aca="false">Sens!G17436*Sens!G17437*chip_f</f>
        <v>10.4487882383995</v>
      </c>
      <c r="H17438" s="15" t="n">
        <f aca="false">Sens!H17436*Sens!H17437*chip_f</f>
        <v>9.68073398310464</v>
      </c>
      <c r="I17438" s="15" t="n">
        <f aca="false">Sens!I17436*Sens!I17437*chip_f</f>
        <v>9.84893524377706</v>
      </c>
      <c r="J17438" s="15" t="n">
        <f aca="false">Sens!J17436*Sens!J17437*chip_f</f>
        <v>9.98227637126252</v>
      </c>
      <c r="K17438" s="15" t="n">
        <f aca="false">Sens!K17436*Sens!K17437*chip_f</f>
        <v>10.1652568170583</v>
      </c>
      <c r="L17438" s="1" t="s">
        <v>975</v>
      </c>
    </row>
    <row r="17439" customFormat="false" ht="17.15" hidden="false" customHeight="false" outlineLevel="0" collapsed="false">
      <c r="A17439" s="0" t="s">
        <v>976</v>
      </c>
      <c r="B17439" s="0" t="s">
        <v>98</v>
      </c>
      <c r="D17439" s="6" t="n">
        <f aca="false">(Sens!C17422+Sens!D17422)/2*Sens!D17438/1000</f>
        <v>12.9359794422418</v>
      </c>
      <c r="E17439" s="6" t="n">
        <f aca="false">(Sens!D17422+Sens!E17422)/2*Sens!E17438/1000</f>
        <v>27.8095064661409</v>
      </c>
      <c r="F17439" s="6" t="n">
        <f aca="false">(Sens!E17422+Sens!F17422)/2*Sens!F17438/1000</f>
        <v>50.9819294352312</v>
      </c>
      <c r="G17439" s="6" t="n">
        <f aca="false">(Sens!F17422+Sens!G17422)/2*Sens!G17438/1000</f>
        <v>76.6920436014933</v>
      </c>
      <c r="H17439" s="6" t="n">
        <f aca="false">(Sens!G17422+Sens!H17422)/2*Sens!H17438/1000</f>
        <v>97.4495379418341</v>
      </c>
      <c r="I17439" s="6" t="n">
        <f aca="false">(Sens!H17422+Sens!I17422)/2*Sens!I17438/1000</f>
        <v>122.083445553868</v>
      </c>
      <c r="J17439" s="6" t="n">
        <f aca="false">(Sens!I17422+Sens!J17422)/2*Sens!J17438/1000</f>
        <v>139.249060444804</v>
      </c>
      <c r="K17439" s="6" t="n">
        <f aca="false">(Sens!J17422+Sens!K17422)/2*Sens!K17438/1000</f>
        <v>149.995818575589</v>
      </c>
      <c r="L17439" s="12" t="s">
        <v>977</v>
      </c>
    </row>
    <row r="17440" customFormat="false" ht="17.15" hidden="false" customHeight="false" outlineLevel="0" collapsed="false">
      <c r="A17440" s="1" t="s">
        <v>978</v>
      </c>
      <c r="B17440" s="0" t="s">
        <v>403</v>
      </c>
      <c r="C17440" s="15" t="n">
        <f aca="false">(Sens!C17430*tk_opex_h100+Sens!C17431*tk_opex_gb200+Sens!C17432*tk_opex_gb300+(Sens!C17434+Sens!C17433)*tk_opex_vr200)/Sens!C17422</f>
        <v>1.88636041306092</v>
      </c>
      <c r="D17440" s="15" t="n">
        <f aca="false">(Sens!D17430*tk_opex_h100+Sens!D17431*tk_opex_gb200+Sens!D17432*tk_opex_gb300+(Sens!D17434+Sens!D17433)*tk_opex_vr200)/Sens!D17422</f>
        <v>1.88636041306092</v>
      </c>
      <c r="E17440" s="15" t="n">
        <f aca="false">(Sens!E17430*tk_opex_h100+Sens!E17431*tk_opex_gb200+Sens!E17432*tk_opex_gb300+(Sens!E17434+Sens!E17433)*tk_opex_vr200)/Sens!E17422</f>
        <v>1.88636041306092</v>
      </c>
      <c r="F17440" s="15" t="n">
        <f aca="false">(Sens!F17430*tk_opex_h100+Sens!F17431*tk_opex_gb200+Sens!F17432*tk_opex_gb300+(Sens!F17434+Sens!F17433)*tk_opex_vr200)/Sens!F17422</f>
        <v>1.95051159746876</v>
      </c>
      <c r="G17440" s="15" t="n">
        <f aca="false">(Sens!G17430*tk_opex_h100+Sens!G17431*tk_opex_gb200+Sens!G17432*tk_opex_gb300+(Sens!G17434+Sens!G17433)*tk_opex_vr200)/Sens!G17422</f>
        <v>1.98836003669956</v>
      </c>
      <c r="H17440" s="15" t="n">
        <f aca="false">(Sens!H17430*tk_opex_h100+Sens!H17431*tk_opex_gb200+Sens!H17432*tk_opex_gb300+(Sens!H17434+Sens!H17433)*tk_opex_vr200)/Sens!H17422</f>
        <v>2.01344013834343</v>
      </c>
      <c r="I17440" s="15" t="n">
        <f aca="false">(Sens!I17430*tk_opex_h100+Sens!I17431*tk_opex_gb200+Sens!I17432*tk_opex_gb300+(Sens!I17434+Sens!I17433)*tk_opex_vr200)/Sens!I17422</f>
        <v>2.03261166882178</v>
      </c>
      <c r="J17440" s="15" t="n">
        <f aca="false">(Sens!J17430*tk_opex_h100+Sens!J17431*tk_opex_gb200+Sens!J17432*tk_opex_gb300+(Sens!J17434+Sens!J17433)*tk_opex_vr200)/Sens!J17422</f>
        <v>2.04808073288745</v>
      </c>
      <c r="K17440" s="15" t="n">
        <f aca="false">(Sens!K17430*tk_opex_h100+Sens!K17431*tk_opex_gb200+Sens!K17432*tk_opex_gb300+(Sens!K17434+Sens!K17433)*tk_opex_vr200)/Sens!K17422</f>
        <v>2.06973825807449</v>
      </c>
      <c r="L17440" s="12" t="s">
        <v>979</v>
      </c>
    </row>
    <row r="17441" customFormat="false" ht="17.15" hidden="false" customHeight="false" outlineLevel="0" collapsed="false">
      <c r="A17441" s="0" t="s">
        <v>980</v>
      </c>
      <c r="B17441" s="0" t="s">
        <v>98</v>
      </c>
      <c r="D17441" s="6" t="n">
        <f aca="false">(Sens!C17425+Sens!D17425)/2*Sens!D17440/1000</f>
        <v>2.70378325872065</v>
      </c>
      <c r="E17441" s="6" t="n">
        <f aca="false">(Sens!D17425+Sens!E17425)/2*Sens!E17440/1000</f>
        <v>6.17783035277451</v>
      </c>
      <c r="F17441" s="6" t="n">
        <f aca="false">(Sens!E17425+Sens!F17425)/2*Sens!F17440/1000</f>
        <v>12.8742463089237</v>
      </c>
      <c r="G17441" s="6" t="n">
        <f aca="false">(Sens!F17425+Sens!G17425)/2*Sens!G17440/1000</f>
        <v>21.8182834646277</v>
      </c>
      <c r="H17441" s="6" t="n">
        <f aca="false">(Sens!G17425+Sens!H17425)/2*Sens!H17440/1000</f>
        <v>31.2430128789734</v>
      </c>
      <c r="I17441" s="6" t="n">
        <f aca="false">(Sens!H17425+Sens!I17425)/2*Sens!I17440/1000</f>
        <v>39.4313057443268</v>
      </c>
      <c r="J17441" s="6" t="n">
        <f aca="false">(Sens!I17425+Sens!J17425)/2*Sens!J17440/1000</f>
        <v>45.0360318228653</v>
      </c>
      <c r="K17441" s="6" t="n">
        <f aca="false">(Sens!J17425+Sens!K17425)/2*Sens!K17440/1000</f>
        <v>48.2929727091156</v>
      </c>
    </row>
    <row r="17442" customFormat="false" ht="17.15" hidden="false" customHeight="false" outlineLevel="0" collapsed="false">
      <c r="A17442" s="0" t="s">
        <v>981</v>
      </c>
      <c r="B17442" s="0" t="s">
        <v>98</v>
      </c>
      <c r="D17442" s="6" t="n">
        <f aca="false">(Sens!C17423+Sens!D17423)/2*rent_mw/1000</f>
        <v>2.44475</v>
      </c>
      <c r="E17442" s="6" t="n">
        <f aca="false">(Sens!D17423+Sens!E17423)/2*rent_mw/1000</f>
        <v>4.22275</v>
      </c>
      <c r="F17442" s="6" t="n">
        <f aca="false">(Sens!E17423+Sens!F17423)/2*rent_mw/1000</f>
        <v>5.80517</v>
      </c>
      <c r="G17442" s="6" t="n">
        <f aca="false">(Sens!F17423+Sens!G17423)/2*rent_mw/1000</f>
        <v>6.72084</v>
      </c>
      <c r="H17442" s="6" t="n">
        <f aca="false">(Sens!G17423+Sens!H17423)/2*rent_mw/1000</f>
        <v>6.72084</v>
      </c>
      <c r="I17442" s="6" t="n">
        <f aca="false">(Sens!H17423+Sens!I17423)/2*rent_mw/1000</f>
        <v>6.72084</v>
      </c>
      <c r="J17442" s="6" t="n">
        <f aca="false">(Sens!I17423+Sens!J17423)/2*rent_mw/1000</f>
        <v>6.72084</v>
      </c>
      <c r="K17442" s="6" t="n">
        <f aca="false">(Sens!J17423+Sens!K17423)/2*rent_mw/1000</f>
        <v>6.72084</v>
      </c>
    </row>
    <row r="17443" customFormat="false" ht="17.15" hidden="false" customHeight="false" outlineLevel="0" collapsed="false">
      <c r="A17443" s="0" t="s">
        <v>982</v>
      </c>
      <c r="B17443" s="0" t="s">
        <v>98</v>
      </c>
      <c r="D17443" s="6" t="n">
        <f aca="false">(Sens!C17425+Sens!D17425)/2*(1-self_build)*fac_rent/1000</f>
        <v>0.853242375631075</v>
      </c>
      <c r="E17443" s="6" t="n">
        <f aca="false">(Sens!D17425+Sens!E17425)/2*(1-self_build)*fac_rent/1000</f>
        <v>1.94955961408728</v>
      </c>
      <c r="F17443" s="6" t="n">
        <f aca="false">(Sens!E17425+Sens!F17425)/2*(1-self_build)*fac_rent/1000</f>
        <v>3.92914894476356</v>
      </c>
      <c r="G17443" s="6" t="n">
        <f aca="false">(Sens!F17425+Sens!G17425)/2*(1-self_build)*fac_rent/1000</f>
        <v>6.53206908578159</v>
      </c>
      <c r="H17443" s="6" t="n">
        <f aca="false">(Sens!G17425+Sens!H17425)/2*(1-self_build)*fac_rent/1000</f>
        <v>9.23717988341591</v>
      </c>
      <c r="I17443" s="6" t="n">
        <f aca="false">(Sens!H17425+Sens!I17425)/2*(1-self_build)*fac_rent/1000</f>
        <v>11.5481378557393</v>
      </c>
      <c r="J17443" s="6" t="n">
        <f aca="false">(Sens!I17425+Sens!J17425)/2*(1-self_build)*fac_rent/1000</f>
        <v>13.0899582289108</v>
      </c>
      <c r="K17443" s="6" t="n">
        <f aca="false">(Sens!J17425+Sens!K17425)/2*(1-self_build)*fac_rent/1000</f>
        <v>13.8897275626556</v>
      </c>
      <c r="L17443" s="12" t="s">
        <v>983</v>
      </c>
    </row>
    <row r="17444" customFormat="false" ht="17.15" hidden="false" customHeight="false" outlineLevel="0" collapsed="false">
      <c r="A17444" s="1" t="s">
        <v>984</v>
      </c>
      <c r="B17444" s="0" t="s">
        <v>168</v>
      </c>
      <c r="D17444" s="7" t="n">
        <f aca="false">(Sens!C17424+Sens!D17424)/(Sens!C17425+Sens!D17425)</f>
        <v>0.6</v>
      </c>
      <c r="E17444" s="7" t="n">
        <f aca="false">(Sens!D17424+Sens!E17424)/(Sens!D17425+Sens!E17425)</f>
        <v>0.6</v>
      </c>
      <c r="F17444" s="7" t="n">
        <f aca="false">(Sens!E17424+Sens!F17424)/(Sens!E17425+Sens!F17425)</f>
        <v>0.6</v>
      </c>
      <c r="G17444" s="7" t="n">
        <f aca="false">(Sens!F17424+Sens!G17424)/(Sens!F17425+Sens!G17425)</f>
        <v>0.6</v>
      </c>
      <c r="H17444" s="7" t="n">
        <f aca="false">(Sens!G17424+Sens!H17424)/(Sens!G17425+Sens!H17425)</f>
        <v>0.6</v>
      </c>
      <c r="I17444" s="7" t="n">
        <f aca="false">(Sens!H17424+Sens!I17424)/(Sens!H17425+Sens!I17425)</f>
        <v>0.6</v>
      </c>
      <c r="J17444" s="7" t="n">
        <f aca="false">(Sens!I17424+Sens!J17424)/(Sens!I17425+Sens!J17425)</f>
        <v>0.6</v>
      </c>
      <c r="K17444" s="7" t="n">
        <f aca="false">(Sens!J17424+Sens!K17424)/(Sens!J17425+Sens!K17425)</f>
        <v>0.6</v>
      </c>
    </row>
    <row r="17445" customFormat="false" ht="17.15" hidden="false" customHeight="false" outlineLevel="0" collapsed="false">
      <c r="A17445" s="0" t="s">
        <v>985</v>
      </c>
      <c r="B17445" s="0" t="s">
        <v>98</v>
      </c>
      <c r="D17445" s="6" t="n">
        <f aca="false">Sens!D17439-Sens!D17444*(Sens!D17441+Sens!D17443)-Sens!D17442</f>
        <v>8.35701406163072</v>
      </c>
      <c r="E17445" s="6" t="n">
        <f aca="false">Sens!E17439-Sens!E17444*(Sens!E17441+Sens!E17443)-Sens!E17442</f>
        <v>18.7103224860238</v>
      </c>
      <c r="F17445" s="6" t="n">
        <f aca="false">Sens!F17439-Sens!F17444*(Sens!F17441+Sens!F17443)-Sens!F17442</f>
        <v>35.0947222830189</v>
      </c>
      <c r="G17445" s="6" t="n">
        <f aca="false">Sens!G17439-Sens!G17444*(Sens!G17441+Sens!G17443)-Sens!G17442</f>
        <v>52.9609920712477</v>
      </c>
      <c r="H17445" s="6" t="n">
        <f aca="false">Sens!H17439-Sens!H17444*(Sens!H17441+Sens!H17443)-Sens!H17442</f>
        <v>66.4405822844005</v>
      </c>
      <c r="I17445" s="6" t="n">
        <f aca="false">Sens!I17439-Sens!I17444*(Sens!I17441+Sens!I17443)-Sens!I17442</f>
        <v>84.7749393938279</v>
      </c>
      <c r="J17445" s="6" t="n">
        <f aca="false">Sens!J17439-Sens!J17444*(Sens!J17441+Sens!J17443)-Sens!J17442</f>
        <v>97.6526264137382</v>
      </c>
      <c r="K17445" s="6" t="n">
        <f aca="false">Sens!K17439-Sens!K17444*(Sens!K17441+Sens!K17443)-Sens!K17442</f>
        <v>105.965358412527</v>
      </c>
    </row>
    <row r="17446" customFormat="false" ht="17.15" hidden="false" customHeight="false" outlineLevel="0" collapsed="false">
      <c r="A17446" s="1" t="s">
        <v>986</v>
      </c>
      <c r="B17446" s="0" t="s">
        <v>98</v>
      </c>
      <c r="D17446" s="6" t="n">
        <f aca="false">(1-Sens!D17444)*(Sens!D17441+Sens!D17443)</f>
        <v>1.42281025374069</v>
      </c>
      <c r="E17446" s="6" t="n">
        <f aca="false">(1-Sens!E17444)*(Sens!E17441+Sens!E17443)</f>
        <v>3.25095598674472</v>
      </c>
      <c r="F17446" s="6" t="n">
        <f aca="false">(1-Sens!F17444)*(Sens!F17441+Sens!F17443)</f>
        <v>6.72135810147489</v>
      </c>
      <c r="G17446" s="6" t="n">
        <f aca="false">(1-Sens!G17444)*(Sens!G17441+Sens!G17443)</f>
        <v>11.3401410201637</v>
      </c>
      <c r="H17446" s="6" t="n">
        <f aca="false">(1-Sens!H17444)*(Sens!H17441+Sens!H17443)</f>
        <v>16.1920771049557</v>
      </c>
      <c r="I17446" s="6" t="n">
        <f aca="false">(1-Sens!I17444)*(Sens!I17441+Sens!I17443)</f>
        <v>20.3917774400264</v>
      </c>
      <c r="J17446" s="6" t="n">
        <f aca="false">(1-Sens!J17444)*(Sens!J17441+Sens!J17443)</f>
        <v>23.2503960207104</v>
      </c>
      <c r="K17446" s="6" t="n">
        <f aca="false">(1-Sens!K17444)*(Sens!K17441+Sens!K17443)</f>
        <v>24.8730801087085</v>
      </c>
    </row>
    <row r="17447" customFormat="false" ht="17.15" hidden="false" customHeight="false" outlineLevel="0" collapsed="false">
      <c r="A17447" s="1" t="s">
        <v>987</v>
      </c>
      <c r="B17447" s="0" t="s">
        <v>414</v>
      </c>
      <c r="C17447" s="8" t="n">
        <f aca="false">cxit_open</f>
        <v>27.5918995</v>
      </c>
      <c r="D17447" s="8" t="n">
        <f aca="false">cxit_open</f>
        <v>27.5918995</v>
      </c>
      <c r="E17447" s="8" t="n">
        <f aca="false">cxit_open</f>
        <v>27.5918995</v>
      </c>
      <c r="F17447" s="8" t="n">
        <f aca="false">((a_g3_27-nonnv*a_mai)*tk_cxit_gb300+nonnv*a_mai*nv_hold_mai*tk_cxit_vr200+(1-a_g3_27)*tk_cxit_vr200)</f>
        <v>32.4975576</v>
      </c>
      <c r="G17447" s="8" t="n">
        <f aca="false">((a_g3_28-nonnv*a_mai)*tk_cxit_gb300+nonnv*a_mai*nv_hold_mai*tk_cxit_vr200+(1-a_g3_28)*tk_cxit_vr200)</f>
        <v>34.6372088</v>
      </c>
      <c r="H17447" s="8" t="n">
        <f aca="false">((a_g3_29-nonnv*a_mai)*tk_cxit_gb300+nonnv*a_mai*nv_hold_mai*tk_cxit_vr200+(1-a_g3_29)*tk_cxit_vr200)</f>
        <v>35.7070344</v>
      </c>
      <c r="I17447" s="8" t="n">
        <f aca="false">((a_g3_29-nonnv*a_mai)*tk_cxit_gb300+nonnv*a_mai*nv_hold_mai*tk_cxit_vr200+(1-a_g3_29)*tk_cxit_vr200)</f>
        <v>35.7070344</v>
      </c>
      <c r="J17447" s="8" t="n">
        <f aca="false">((a_g3_29-nonnv*a_mai)*tk_cxit_gb300+nonnv*a_mai*nv_hold_mai*tk_cxit_vr200+(1-a_g3_29)*tk_cxit_vr200)</f>
        <v>35.7070344</v>
      </c>
      <c r="K17447" s="8" t="n">
        <f aca="false">((a_g3_29-nonnv*a_mai)*tk_cxit_gb300+nonnv*a_mai*nv_hold_mai*tk_cxit_vr200+(1-a_g3_29)*tk_cxit_vr200)</f>
        <v>35.7070344</v>
      </c>
      <c r="L17447" s="12" t="s">
        <v>988</v>
      </c>
    </row>
    <row r="17448" customFormat="false" ht="17.15" hidden="false" customHeight="false" outlineLevel="0" collapsed="false">
      <c r="A17448" s="0" t="s">
        <v>989</v>
      </c>
      <c r="B17448" s="0" t="s">
        <v>456</v>
      </c>
      <c r="F17448" s="30" t="n">
        <f aca="false">Sens!C17427*IF(Sens!F17420-Sens!C17420=life_it,1,0)+Sens!D17427*IF(Sens!F17420-Sens!D17420=life_it,1,0)+Sens!E17427*IF(Sens!F17420-Sens!E17420=life_it,1,0)</f>
        <v>0</v>
      </c>
      <c r="G17448" s="30" t="n">
        <f aca="false">Sens!C17427*IF(Sens!G17420-Sens!C17420=life_it,1,0)+Sens!D17427*IF(Sens!G17420-Sens!D17420=life_it,1,0)+Sens!E17427*IF(Sens!G17420-Sens!E17420=life_it,1,0)+Sens!F17427*IF(Sens!G17420-Sens!F17420=life_it,1,0)</f>
        <v>0</v>
      </c>
      <c r="H17448" s="30" t="n">
        <f aca="false">Sens!C17427*IF(Sens!H17420-Sens!C17420=life_it,1,0)+Sens!D17427*IF(Sens!H17420-Sens!D17420=life_it,1,0)+Sens!E17427*IF(Sens!H17420-Sens!E17420=life_it,1,0)+Sens!F17427*IF(Sens!H17420-Sens!F17420=life_it,1,0)+Sens!G17427*IF(Sens!H17420-Sens!G17420=life_it,1,0)</f>
        <v>0</v>
      </c>
      <c r="I17448" s="30" t="n">
        <f aca="false">Sens!C17427*IF(Sens!I17420-Sens!C17420=life_it,1,0)+Sens!D17427*IF(Sens!I17420-Sens!D17420=life_it,1,0)+Sens!E17427*IF(Sens!I17420-Sens!E17420=life_it,1,0)+Sens!F17427*IF(Sens!I17420-Sens!F17420=life_it,1,0)+Sens!G17427*IF(Sens!I17420-Sens!G17420=life_it,1,0)+Sens!H17427*IF(Sens!I17420-Sens!H17420=life_it,1,0)</f>
        <v>816.666666666667</v>
      </c>
      <c r="J17448" s="30" t="n">
        <f aca="false">Sens!C17427*IF(Sens!J17420-Sens!C17420=life_it,1,0)+Sens!D17427*IF(Sens!J17420-Sens!D17420=life_it,1,0)+Sens!E17427*IF(Sens!J17420-Sens!E17420=life_it,1,0)+Sens!F17427*IF(Sens!J17420-Sens!F17420=life_it,1,0)+Sens!G17427*IF(Sens!J17420-Sens!G17420=life_it,1,0)+Sens!H17427*IF(Sens!J17420-Sens!H17420=life_it,1,0)+Sens!I17427*IF(Sens!J17420-Sens!I17420=life_it,1,0)</f>
        <v>1233.33333333333</v>
      </c>
      <c r="K17448" s="30" t="n">
        <f aca="false">Sens!C17427*IF(Sens!K17420-Sens!C17420=life_it,1,0)+Sens!D17427*IF(Sens!K17420-Sens!D17420=life_it,1,0)+Sens!E17427*IF(Sens!K17420-Sens!E17420=life_it,1,0)+Sens!F17427*IF(Sens!K17420-Sens!F17420=life_it,1,0)+Sens!G17427*IF(Sens!K17420-Sens!G17420=life_it,1,0)+Sens!H17427*IF(Sens!K17420-Sens!H17420=life_it,1,0)+Sens!I17427*IF(Sens!K17420-Sens!I17420=life_it,1,0)+Sens!J17427*IF(Sens!K17420-Sens!J17420=life_it,1,0)</f>
        <v>2450</v>
      </c>
      <c r="L17448" s="1" t="s">
        <v>990</v>
      </c>
    </row>
    <row r="17449" customFormat="false" ht="17.15" hidden="false" customHeight="false" outlineLevel="0" collapsed="false">
      <c r="A17449" s="0" t="s">
        <v>991</v>
      </c>
      <c r="B17449" s="0" t="s">
        <v>98</v>
      </c>
      <c r="C17449" s="6" t="n">
        <f aca="false">Sens!C17427*Sens!C17447/1000</f>
        <v>22.5333845916667</v>
      </c>
      <c r="D17449" s="6" t="n">
        <f aca="false">Sens!D17427*Sens!D17447/1000</f>
        <v>34.0300093833333</v>
      </c>
      <c r="E17449" s="6" t="n">
        <f aca="false">Sens!E17427*Sens!E17447/1000</f>
        <v>67.600153775</v>
      </c>
      <c r="F17449" s="6" t="n">
        <f aca="false">(Sens!F17427+Sens!F17448)*Sens!F17447/1000</f>
        <v>136.51872432512</v>
      </c>
      <c r="G17449" s="6" t="n">
        <f aca="false">(Sens!G17427+Sens!G17448)*Sens!G17447/1000</f>
        <v>157.399275932048</v>
      </c>
      <c r="H17449" s="6" t="n">
        <f aca="false">(Sens!H17427+Sens!H17448)*Sens!H17447/1000</f>
        <v>162.260804347512</v>
      </c>
      <c r="I17449" s="6" t="n">
        <f aca="false">(Sens!I17427+Sens!I17448)*Sens!I17447/1000</f>
        <v>144.136569485434</v>
      </c>
      <c r="J17449" s="6" t="n">
        <f aca="false">(Sens!J17427+Sens!J17448)*Sens!J17447/1000</f>
        <v>114.029037357864</v>
      </c>
      <c r="K17449" s="6" t="n">
        <f aca="false">(Sens!K17427+Sens!K17448)*Sens!K17447/1000</f>
        <v>113.437085350975</v>
      </c>
    </row>
    <row r="17450" customFormat="false" ht="17.15" hidden="false" customHeight="false" outlineLevel="0" collapsed="false">
      <c r="A17450" s="0" t="s">
        <v>992</v>
      </c>
      <c r="B17450" s="0" t="s">
        <v>98</v>
      </c>
      <c r="C17450" s="6" t="n">
        <f aca="false">Sens!C17427*self_build*tk_cxfac/1000</f>
        <v>6.2083</v>
      </c>
      <c r="D17450" s="6" t="n">
        <f aca="false">Sens!D17427*self_build*tk_cxfac/1000</f>
        <v>9.3758</v>
      </c>
      <c r="E17450" s="6" t="n">
        <f aca="false">Sens!E17427*self_build*tk_cxfac/1000</f>
        <v>18.6249</v>
      </c>
      <c r="F17450" s="6" t="n">
        <f aca="false">Sens!F17427*self_build*tk_cxfac/1000</f>
        <v>31.935179717</v>
      </c>
      <c r="G17450" s="6" t="n">
        <f aca="false">Sens!G17427*self_build*tk_cxfac/1000</f>
        <v>34.545199717</v>
      </c>
      <c r="H17450" s="6" t="n">
        <f aca="false">Sens!H17427*self_build*tk_cxfac/1000</f>
        <v>34.545199717</v>
      </c>
      <c r="I17450" s="6" t="n">
        <f aca="false">Sens!I17427*self_build*tk_cxfac/1000</f>
        <v>24.4782641361767</v>
      </c>
      <c r="J17450" s="6" t="n">
        <f aca="false">Sens!J17427*self_build*tk_cxfac/1000</f>
        <v>14.9008938380769</v>
      </c>
      <c r="K17450" s="6" t="n">
        <f aca="false">Sens!K17427*self_build*tk_cxfac/1000</f>
        <v>5.52576771375761</v>
      </c>
    </row>
    <row r="17451" customFormat="false" ht="17.15" hidden="false" customHeight="false" outlineLevel="0" collapsed="false">
      <c r="A17451" s="0" t="s">
        <v>993</v>
      </c>
      <c r="B17451" s="0" t="s">
        <v>98</v>
      </c>
      <c r="F17451" s="15" t="n">
        <f aca="false">capex_floor27-Sens!F17449-Sens!F17450-Sens!F17547</f>
        <v>-0.0799631154216058</v>
      </c>
      <c r="L17451" s="12" t="s">
        <v>994</v>
      </c>
    </row>
    <row r="17452" customFormat="false" ht="17.15" hidden="false" customHeight="false" outlineLevel="0" collapsed="false">
      <c r="A17452" s="0" t="s">
        <v>995</v>
      </c>
      <c r="B17452" s="0" t="s">
        <v>98</v>
      </c>
      <c r="F17452" s="6" t="n">
        <f aca="false">MAX(0,Sens!F17451)</f>
        <v>0</v>
      </c>
    </row>
    <row r="17453" customFormat="false" ht="17.15" hidden="false" customHeight="false" outlineLevel="0" collapsed="false">
      <c r="A17453" s="0" t="s">
        <v>996</v>
      </c>
      <c r="B17453" s="0" t="s">
        <v>98</v>
      </c>
      <c r="C17453" s="6" t="n">
        <f aca="false">Sens!C17449</f>
        <v>22.5333845916667</v>
      </c>
      <c r="D17453" s="6" t="n">
        <f aca="false">Sens!D17449</f>
        <v>34.0300093833333</v>
      </c>
      <c r="E17453" s="6" t="n">
        <f aca="false">Sens!E17449</f>
        <v>67.600153775</v>
      </c>
      <c r="F17453" s="6" t="n">
        <f aca="false">Sens!F17449</f>
        <v>136.51872432512</v>
      </c>
      <c r="G17453" s="6" t="n">
        <f aca="false">Sens!G17449</f>
        <v>157.399275932048</v>
      </c>
      <c r="H17453" s="6" t="n">
        <f aca="false">Sens!H17449</f>
        <v>162.260804347512</v>
      </c>
      <c r="I17453" s="6" t="n">
        <f aca="false">Sens!I17449</f>
        <v>144.136569485434</v>
      </c>
      <c r="J17453" s="6" t="n">
        <f aca="false">Sens!J17449</f>
        <v>114.029037357864</v>
      </c>
      <c r="K17453" s="6" t="n">
        <f aca="false">Sens!K17449</f>
        <v>113.437085350975</v>
      </c>
    </row>
    <row r="17454" customFormat="false" ht="17.15" hidden="false" customHeight="false" outlineLevel="0" collapsed="false">
      <c r="A17454" s="0" t="s">
        <v>997</v>
      </c>
      <c r="B17454" s="0" t="s">
        <v>98</v>
      </c>
      <c r="C17454" s="6" t="n">
        <f aca="false">Sens!C17453+Sens!C17450</f>
        <v>28.7416845916667</v>
      </c>
      <c r="D17454" s="6" t="n">
        <f aca="false">Sens!D17453+Sens!D17450</f>
        <v>43.4058093833333</v>
      </c>
      <c r="E17454" s="6" t="n">
        <f aca="false">Sens!E17453+Sens!E17450</f>
        <v>86.225053775</v>
      </c>
      <c r="F17454" s="6" t="n">
        <f aca="false">Sens!F17453+Sens!F17450</f>
        <v>168.45390404212</v>
      </c>
      <c r="G17454" s="6" t="n">
        <f aca="false">Sens!G17453+Sens!G17450</f>
        <v>191.944475649048</v>
      </c>
      <c r="H17454" s="6" t="n">
        <f aca="false">Sens!H17453+Sens!H17450</f>
        <v>196.806004064512</v>
      </c>
      <c r="I17454" s="6" t="n">
        <f aca="false">Sens!I17453+Sens!I17450</f>
        <v>168.61483362161</v>
      </c>
      <c r="J17454" s="6" t="n">
        <f aca="false">Sens!J17453+Sens!J17450</f>
        <v>128.92993119594</v>
      </c>
      <c r="K17454" s="6" t="n">
        <f aca="false">Sens!K17453+Sens!K17450</f>
        <v>118.962853064733</v>
      </c>
      <c r="L17454" s="12" t="s">
        <v>998</v>
      </c>
    </row>
    <row r="17455" customFormat="false" ht="17.15" hidden="false" customHeight="false" outlineLevel="0" collapsed="false">
      <c r="A17455" s="0" t="s">
        <v>999</v>
      </c>
      <c r="B17455" s="0" t="s">
        <v>98</v>
      </c>
      <c r="E17455" s="6" t="n">
        <f aca="false">(Sens!C17453*IF(2&lt;life_it,1,IF(2=life_it,0.5,0))+Sens!D17453*IF(1&lt;life_it,1,IF(1=life_it,0.5,0))+Sens!E17453*0.5)/life_it</f>
        <v>15.0605784770833</v>
      </c>
      <c r="F17455" s="6" t="n">
        <f aca="false">(Sens!C17453*IF(3&lt;life_it,1,IF(3=life_it,0.5,0))+Sens!D17453*IF(2&lt;life_it,1,IF(2=life_it,0.5,0))+Sens!E17453*IF(1&lt;life_it,1,IF(1=life_it,0.5,0))+Sens!F17453*0.5)/life_it</f>
        <v>32.0704849854266</v>
      </c>
      <c r="G17455" s="6" t="n">
        <f aca="false">(Sens!C17453*IF(4&lt;life_it,1,IF(4=life_it,0.5,0))+Sens!D17453*IF(3&lt;life_it,1,IF(3=life_it,0.5,0))+Sens!E17453*IF(2&lt;life_it,1,IF(2=life_it,0.5,0))+Sens!F17453*IF(1&lt;life_it,1,IF(1=life_it,0.5,0))+Sens!G17453*0.5)/life_it</f>
        <v>56.5636516735239</v>
      </c>
      <c r="H17455" s="6" t="n">
        <f aca="false">(Sens!C17453*IF(5&lt;life_it,1,IF(5=life_it,0.5,0))+Sens!D17453*IF(4&lt;life_it,1,IF(4=life_it,0.5,0))+Sens!E17453*IF(3&lt;life_it,1,IF(3=life_it,0.5,0))+Sens!F17453*IF(2&lt;life_it,1,IF(2=life_it,0.5,0))+Sens!G17453*IF(1&lt;life_it,1,IF(1=life_it,0.5,0))+Sens!H17453*0.5)/life_it</f>
        <v>83.2019916968207</v>
      </c>
      <c r="I17455" s="6" t="n">
        <f aca="false">(Sens!C17453*IF(6&lt;life_it,1,IF(6=life_it,0.5,0))+Sens!D17453*IF(5&lt;life_it,1,IF(5=life_it,0.5,0))+Sens!E17453*IF(4&lt;life_it,1,IF(4=life_it,0.5,0))+Sens!F17453*IF(3&lt;life_it,1,IF(3=life_it,0.5,0))+Sens!G17453*IF(2&lt;life_it,1,IF(2=life_it,0.5,0))+Sens!H17453*IF(1&lt;life_it,1,IF(1=life_it,0.5,0))+Sens!I17453*0.5)/life_it</f>
        <v>106.857324133594</v>
      </c>
      <c r="J17455" s="6" t="n">
        <f aca="false">(Sens!C17453*IF(7&lt;life_it,1,IF(7=life_it,0.5,0))+Sens!D17453*IF(6&lt;life_it,1,IF(6=life_it,0.5,0))+Sens!E17453*IF(5&lt;life_it,1,IF(5=life_it,0.5,0))+Sens!F17453*IF(4&lt;life_it,1,IF(4=life_it,0.5,0))+Sens!G17453*IF(3&lt;life_it,1,IF(3=life_it,0.5,0))+Sens!H17453*IF(2&lt;life_it,1,IF(2=life_it,0.5,0))+Sens!I17453*IF(1&lt;life_it,1,IF(1=life_it,0.5,0))+Sens!J17453*0.5)/life_it</f>
        <v>123.657508539285</v>
      </c>
      <c r="K17455" s="6" t="n">
        <f aca="false">(Sens!C17453*IF(8&lt;life_it,1,IF(8=life_it,0.5,0))+Sens!D17453*IF(7&lt;life_it,1,IF(7=life_it,0.5,0))+Sens!E17453*IF(6&lt;life_it,1,IF(6=life_it,0.5,0))+Sens!F17453*IF(5&lt;life_it,1,IF(5=life_it,0.5,0))+Sens!G17453*IF(4&lt;life_it,1,IF(4=life_it,0.5,0))+Sens!H17453*IF(3&lt;life_it,1,IF(3=life_it,0.5,0))+Sens!I17453*IF(2&lt;life_it,1,IF(2=life_it,0.5,0))+Sens!J17453*IF(1&lt;life_it,1,IF(1=life_it,0.5,0))+Sens!K17453*0.5)/life_it</f>
        <v>134.143838501827</v>
      </c>
    </row>
    <row r="17456" customFormat="false" ht="17.15" hidden="false" customHeight="false" outlineLevel="0" collapsed="false">
      <c r="A17456" s="0" t="s">
        <v>1000</v>
      </c>
      <c r="B17456" s="0" t="s">
        <v>98</v>
      </c>
      <c r="E17456" s="6" t="n">
        <f aca="false">(Sens!C17450*IF(2&lt;life_fac,1,IF(2=life_fac,0.5,0))+Sens!D17450*IF(1&lt;life_fac,1,IF(1=life_fac,0.5,0))+Sens!E17450*0.5)/life_fac</f>
        <v>1.2448275</v>
      </c>
      <c r="F17456" s="6" t="n">
        <f aca="false">(Sens!C17450*IF(3&lt;life_fac,1,IF(3=life_fac,0.5,0))+Sens!D17450*IF(2&lt;life_fac,1,IF(2=life_fac,0.5,0))+Sens!E17450*IF(1&lt;life_fac,1,IF(1=life_fac,0.5,0))+Sens!F17450*0.5)/life_fac</f>
        <v>2.508829492925</v>
      </c>
      <c r="G17456" s="6" t="n">
        <f aca="false">(Sens!C17450*IF(4&lt;life_fac,1,IF(4=life_fac,0.5,0))+Sens!D17450*IF(3&lt;life_fac,1,IF(3=life_fac,0.5,0))+Sens!E17450*IF(2&lt;life_fac,1,IF(2=life_fac,0.5,0))+Sens!F17450*IF(1&lt;life_fac,1,IF(1=life_fac,0.5,0))+Sens!G17450*0.5)/life_fac</f>
        <v>4.170838978775</v>
      </c>
      <c r="H17456" s="6" t="n">
        <f aca="false">(Sens!C17450*IF(5&lt;life_fac,1,IF(5=life_fac,0.5,0))+Sens!D17450*IF(4&lt;life_fac,1,IF(4=life_fac,0.5,0))+Sens!E17450*IF(3&lt;life_fac,1,IF(3=life_fac,0.5,0))+Sens!F17450*IF(2&lt;life_fac,1,IF(2=life_fac,0.5,0))+Sens!G17450*IF(1&lt;life_fac,1,IF(1=life_fac,0.5,0))+Sens!H17450*0.5)/life_fac</f>
        <v>5.898098964625</v>
      </c>
      <c r="I17456" s="6" t="n">
        <f aca="false">(Sens!C17450*IF(6&lt;life_fac,1,IF(6=life_fac,0.5,0))+Sens!D17450*IF(5&lt;life_fac,1,IF(5=life_fac,0.5,0))+Sens!E17450*IF(4&lt;life_fac,1,IF(4=life_fac,0.5,0))+Sens!F17450*IF(3&lt;life_fac,1,IF(3=life_fac,0.5,0))+Sens!G17450*IF(2&lt;life_fac,1,IF(2=life_fac,0.5,0))+Sens!H17450*IF(1&lt;life_fac,1,IF(1=life_fac,0.5,0))+Sens!I17450*0.5)/life_fac</f>
        <v>7.37368556095442</v>
      </c>
      <c r="J17456" s="6" t="n">
        <f aca="false">(Sens!C17450*IF(7&lt;life_fac,1,IF(7=life_fac,0.5,0))+Sens!D17450*IF(6&lt;life_fac,1,IF(6=life_fac,0.5,0))+Sens!E17450*IF(5&lt;life_fac,1,IF(5=life_fac,0.5,0))+Sens!F17450*IF(4&lt;life_fac,1,IF(4=life_fac,0.5,0))+Sens!G17450*IF(3&lt;life_fac,1,IF(3=life_fac,0.5,0))+Sens!H17450*IF(2&lt;life_fac,1,IF(2=life_fac,0.5,0))+Sens!I17450*IF(1&lt;life_fac,1,IF(1=life_fac,0.5,0))+Sens!J17450*0.5)/life_fac</f>
        <v>8.35816451031075</v>
      </c>
      <c r="K17456" s="6" t="n">
        <f aca="false">(Sens!C17450*IF(8&lt;life_fac,1,IF(8=life_fac,0.5,0))+Sens!D17450*IF(7&lt;life_fac,1,IF(7=life_fac,0.5,0))+Sens!E17450*IF(6&lt;life_fac,1,IF(6=life_fac,0.5,0))+Sens!F17450*IF(5&lt;life_fac,1,IF(5=life_fac,0.5,0))+Sens!G17450*IF(4&lt;life_fac,1,IF(4=life_fac,0.5,0))+Sens!H17450*IF(3&lt;life_fac,1,IF(3=life_fac,0.5,0))+Sens!I17450*IF(2&lt;life_fac,1,IF(2=life_fac,0.5,0))+Sens!J17450*IF(1&lt;life_fac,1,IF(1=life_fac,0.5,0))+Sens!K17450*0.5)/life_fac</f>
        <v>8.86883104910662</v>
      </c>
    </row>
    <row r="17457" customFormat="false" ht="17.15" hidden="false" customHeight="false" outlineLevel="0" collapsed="false">
      <c r="A17457" s="0" t="s">
        <v>1001</v>
      </c>
      <c r="B17457" s="0" t="s">
        <v>98</v>
      </c>
      <c r="E17457" s="6" t="n">
        <f aca="false">Sens!E17455+Sens!E17456</f>
        <v>16.3054059770833</v>
      </c>
      <c r="F17457" s="6" t="n">
        <f aca="false">Sens!F17455+Sens!F17456</f>
        <v>34.5793144783516</v>
      </c>
      <c r="G17457" s="6" t="n">
        <f aca="false">Sens!G17455+Sens!G17456</f>
        <v>60.7344906522989</v>
      </c>
      <c r="H17457" s="6" t="n">
        <f aca="false">Sens!H17455+Sens!H17456</f>
        <v>89.1000906614457</v>
      </c>
      <c r="I17457" s="6" t="n">
        <f aca="false">Sens!I17455+Sens!I17456</f>
        <v>114.231009694548</v>
      </c>
      <c r="J17457" s="6" t="n">
        <f aca="false">Sens!J17455+Sens!J17456</f>
        <v>132.015673049596</v>
      </c>
      <c r="K17457" s="6" t="n">
        <f aca="false">Sens!K17455+Sens!K17456</f>
        <v>143.012669550934</v>
      </c>
    </row>
    <row r="17458" customFormat="false" ht="17.15" hidden="false" customHeight="false" outlineLevel="0" collapsed="false">
      <c r="A17458" s="0" t="s">
        <v>1002</v>
      </c>
      <c r="B17458" s="0" t="s">
        <v>98</v>
      </c>
      <c r="E17458" s="6" t="n">
        <f aca="false">Sens!E17445-Sens!E17444*Sens!E17457</f>
        <v>8.92707889977379</v>
      </c>
      <c r="F17458" s="6" t="n">
        <f aca="false">Sens!F17445-Sens!F17444*Sens!F17457</f>
        <v>14.3471335960079</v>
      </c>
      <c r="G17458" s="6" t="n">
        <f aca="false">Sens!G17445-Sens!G17444*Sens!G17457</f>
        <v>16.5202976798683</v>
      </c>
      <c r="H17458" s="6" t="n">
        <f aca="false">Sens!H17445-Sens!H17444*Sens!H17457</f>
        <v>12.9805278875331</v>
      </c>
      <c r="I17458" s="6" t="n">
        <f aca="false">Sens!I17445-Sens!I17444*Sens!I17457</f>
        <v>16.2363335770989</v>
      </c>
      <c r="J17458" s="6" t="n">
        <f aca="false">Sens!J17445-Sens!J17444*Sens!J17457</f>
        <v>18.4432225839805</v>
      </c>
      <c r="K17458" s="6" t="n">
        <f aca="false">Sens!K17445-Sens!K17444*Sens!K17457</f>
        <v>20.1577566819661</v>
      </c>
    </row>
    <row r="17459" customFormat="false" ht="17.15" hidden="false" customHeight="false" outlineLevel="0" collapsed="false">
      <c r="A17459" s="3" t="s">
        <v>1910</v>
      </c>
    </row>
    <row r="17460" customFormat="false" ht="15" hidden="false" customHeight="false" outlineLevel="0" collapsed="false">
      <c r="A17460" s="4" t="s">
        <v>43</v>
      </c>
      <c r="B17460" s="4" t="s">
        <v>65</v>
      </c>
      <c r="C17460" s="23" t="s">
        <v>938</v>
      </c>
      <c r="D17460" s="23" t="s">
        <v>939</v>
      </c>
      <c r="E17460" s="23" t="s">
        <v>940</v>
      </c>
      <c r="F17460" s="23" t="s">
        <v>941</v>
      </c>
      <c r="G17460" s="23" t="s">
        <v>942</v>
      </c>
      <c r="H17460" s="23" t="s">
        <v>943</v>
      </c>
      <c r="I17460" s="23" t="s">
        <v>944</v>
      </c>
      <c r="J17460" s="23" t="s">
        <v>945</v>
      </c>
      <c r="K17460" s="23" t="s">
        <v>946</v>
      </c>
      <c r="L17460" s="4" t="s">
        <v>47</v>
      </c>
    </row>
    <row r="17461" customFormat="false" ht="17.15" hidden="false" customHeight="false" outlineLevel="0" collapsed="false">
      <c r="A17461" s="0" t="s">
        <v>1021</v>
      </c>
      <c r="B17461" s="0" t="s">
        <v>98</v>
      </c>
      <c r="D17461" s="6" t="n">
        <f aca="false">Sens!D17439</f>
        <v>12.9359794422418</v>
      </c>
      <c r="E17461" s="6" t="n">
        <f aca="false">Sens!E17439</f>
        <v>27.8095064661409</v>
      </c>
      <c r="F17461" s="6" t="n">
        <f aca="false">Sens!F17439</f>
        <v>50.9819294352312</v>
      </c>
      <c r="G17461" s="6" t="n">
        <f aca="false">Sens!G17439</f>
        <v>76.6920436014933</v>
      </c>
      <c r="H17461" s="6" t="n">
        <f aca="false">Sens!H17439</f>
        <v>97.4495379418341</v>
      </c>
      <c r="I17461" s="6" t="n">
        <f aca="false">Sens!I17439</f>
        <v>122.083445553868</v>
      </c>
      <c r="J17461" s="6" t="n">
        <f aca="false">Sens!J17439</f>
        <v>139.249060444804</v>
      </c>
      <c r="K17461" s="6" t="n">
        <f aca="false">Sens!K17439</f>
        <v>149.995818575589</v>
      </c>
    </row>
    <row r="17462" customFormat="false" ht="17.15" hidden="false" customHeight="false" outlineLevel="0" collapsed="false">
      <c r="A17462" s="0" t="s">
        <v>1022</v>
      </c>
      <c r="B17462" s="0" t="s">
        <v>98</v>
      </c>
      <c r="D17462" s="6" t="n">
        <f aca="false">Q!L6-Sens!D17461</f>
        <v>59.6740205577583</v>
      </c>
      <c r="E17462" s="6" t="n">
        <f aca="false">Q!M6-Sens!E17461</f>
        <v>74.1284935338591</v>
      </c>
      <c r="F17462" s="6" t="n">
        <f aca="false">Q!$I$6+(Sens!F17461+Sens!E17462*(1+Sens!F17463))*(1-Q!$E$6/Q!M6)-Sens!F17461</f>
        <v>92.2699541184664</v>
      </c>
      <c r="G17462" s="6" t="n">
        <f aca="false">Sens!F17462*(1+Sens!G17463)</f>
        <v>109.630477277949</v>
      </c>
      <c r="H17462" s="6" t="n">
        <f aca="false">Sens!G17462*(1+Sens!H17463)</f>
        <v>127.293256321956</v>
      </c>
      <c r="I17462" s="6" t="n">
        <f aca="false">Sens!H17462*(1+Sens!I17463)</f>
        <v>144.360052269491</v>
      </c>
      <c r="J17462" s="6" t="n">
        <f aca="false">Sens!I17462*(1+Sens!J17463)</f>
        <v>159.811964490216</v>
      </c>
      <c r="K17462" s="6" t="n">
        <f aca="false">Sens!J17462*(1+Sens!K17463)</f>
        <v>172.596921649434</v>
      </c>
      <c r="L17462" s="12" t="s">
        <v>1023</v>
      </c>
    </row>
    <row r="17463" customFormat="false" ht="15" hidden="false" customHeight="false" outlineLevel="0" collapsed="false">
      <c r="A17463" s="1" t="s">
        <v>1024</v>
      </c>
      <c r="B17463" s="0" t="s">
        <v>168</v>
      </c>
      <c r="E17463" s="7" t="n">
        <f aca="false">Sens!E17462/Sens!D17462-1</f>
        <v>0.242223883039864</v>
      </c>
      <c r="F17463" s="7" t="n">
        <f aca="false">Sens!$E$17463+(glt_azo-Sens!$E$17463)*MIN(1,(Sens!F17420-base_fy)/n_conv)</f>
        <v>0.215186569199887</v>
      </c>
      <c r="G17463" s="7" t="n">
        <f aca="false">Sens!$E$17463+(glt_azo-Sens!$E$17463)*MIN(1,(Sens!G17420-base_fy)/n_conv)</f>
        <v>0.18814925535991</v>
      </c>
      <c r="H17463" s="7" t="n">
        <f aca="false">Sens!$E$17463+(glt_azo-Sens!$E$17463)*MIN(1,(Sens!H17420-base_fy)/n_conv)</f>
        <v>0.161111941519932</v>
      </c>
      <c r="I17463" s="7" t="n">
        <f aca="false">Sens!$E$17463+(glt_azo-Sens!$E$17463)*MIN(1,(Sens!I17420-base_fy)/n_conv)</f>
        <v>0.134074627679955</v>
      </c>
      <c r="J17463" s="7" t="n">
        <f aca="false">Sens!$E$17463+(glt_azo-Sens!$E$17463)*MIN(1,(Sens!J17420-base_fy)/n_conv)</f>
        <v>0.107037313839977</v>
      </c>
      <c r="K17463" s="7" t="n">
        <f aca="false">Sens!$E$17463+(glt_azo-Sens!$E$17463)*MIN(1,(Sens!K17420-base_fy)/n_conv)</f>
        <v>0.08</v>
      </c>
    </row>
    <row r="17464" customFormat="false" ht="15" hidden="false" customHeight="false" outlineLevel="0" collapsed="false">
      <c r="A17464" s="0" t="s">
        <v>1025</v>
      </c>
      <c r="B17464" s="0" t="s">
        <v>98</v>
      </c>
      <c r="D17464" s="6" t="n">
        <f aca="false">Sens!D17461+Sens!D17462</f>
        <v>72.61</v>
      </c>
      <c r="E17464" s="6" t="n">
        <f aca="false">Sens!E17461+Sens!E17462</f>
        <v>101.938</v>
      </c>
      <c r="F17464" s="6" t="n">
        <f aca="false">Sens!F17461+Sens!F17462</f>
        <v>143.251883553698</v>
      </c>
      <c r="G17464" s="6" t="n">
        <f aca="false">Sens!G17461+Sens!G17462</f>
        <v>186.322520879442</v>
      </c>
      <c r="H17464" s="6" t="n">
        <f aca="false">Sens!H17461+Sens!H17462</f>
        <v>224.74279426379</v>
      </c>
      <c r="I17464" s="6" t="n">
        <f aca="false">Sens!I17461+Sens!I17462</f>
        <v>266.443497823359</v>
      </c>
      <c r="J17464" s="6" t="n">
        <f aca="false">Sens!J17461+Sens!J17462</f>
        <v>299.06102493502</v>
      </c>
      <c r="K17464" s="6" t="n">
        <f aca="false">Sens!K17461+Sens!K17462</f>
        <v>322.592740225023</v>
      </c>
    </row>
    <row r="17465" customFormat="false" ht="17.15" hidden="false" customHeight="false" outlineLevel="0" collapsed="false">
      <c r="A17465" s="0" t="s">
        <v>1026</v>
      </c>
      <c r="B17465" s="1" t="s">
        <v>610</v>
      </c>
      <c r="C17465" s="30" t="n">
        <f aca="false">cop_s24</f>
        <v>1</v>
      </c>
      <c r="D17465" s="30" t="n">
        <f aca="false">cop_s25</f>
        <v>5</v>
      </c>
      <c r="E17465" s="30" t="n">
        <f aca="false">cop_s26</f>
        <v>30</v>
      </c>
      <c r="F17465" s="30" t="n">
        <f aca="false">Sens!E17465+cop_add_C</f>
        <v>40</v>
      </c>
      <c r="G17465" s="30" t="n">
        <f aca="false">Sens!F17465+cop_add_C</f>
        <v>50</v>
      </c>
      <c r="H17465" s="30" t="n">
        <f aca="false">Sens!G17465+cop_add_C</f>
        <v>60</v>
      </c>
      <c r="I17465" s="30" t="n">
        <f aca="false">Sens!H17465+cop_add_C*cop_tail</f>
        <v>65</v>
      </c>
      <c r="J17465" s="30" t="n">
        <f aca="false">Sens!I17465+cop_add_C*cop_tail</f>
        <v>70</v>
      </c>
      <c r="K17465" s="30" t="n">
        <f aca="false">Sens!J17465+cop_add_C*cop_tail</f>
        <v>75</v>
      </c>
      <c r="L17465" s="12" t="s">
        <v>1027</v>
      </c>
    </row>
    <row r="17466" customFormat="false" ht="17.15" hidden="false" customHeight="false" outlineLevel="0" collapsed="false">
      <c r="A17466" s="0" t="s">
        <v>1028</v>
      </c>
      <c r="B17466" s="0" t="s">
        <v>98</v>
      </c>
      <c r="D17466" s="6" t="n">
        <f aca="false">(Sens!C17465+Sens!D17465)/2*cop_px*12/1000</f>
        <v>0.9</v>
      </c>
      <c r="E17466" s="6" t="n">
        <f aca="false">(Sens!D17465+Sens!E17465)/2*cop_px*12/1000</f>
        <v>5.25</v>
      </c>
      <c r="F17466" s="6" t="n">
        <f aca="false">(Sens!E17465+Sens!F17465)/2*cop_px*12/1000</f>
        <v>10.5</v>
      </c>
      <c r="G17466" s="6" t="n">
        <f aca="false">(Sens!F17465+Sens!G17465)/2*cop_px*12/1000</f>
        <v>13.5</v>
      </c>
      <c r="H17466" s="6" t="n">
        <f aca="false">(Sens!G17465+Sens!H17465)/2*cop_px*12/1000</f>
        <v>16.5</v>
      </c>
      <c r="I17466" s="6" t="n">
        <f aca="false">(Sens!H17465+Sens!I17465)/2*cop_px*12/1000</f>
        <v>18.75</v>
      </c>
      <c r="J17466" s="6" t="n">
        <f aca="false">(Sens!I17465+Sens!J17465)/2*cop_px*12/1000</f>
        <v>20.25</v>
      </c>
      <c r="K17466" s="6" t="n">
        <f aca="false">(Sens!J17465+Sens!K17465)/2*cop_px*12/1000</f>
        <v>21.75</v>
      </c>
      <c r="L17466" s="1" t="s">
        <v>1029</v>
      </c>
    </row>
    <row r="17467" customFormat="false" ht="17.15" hidden="false" customHeight="false" outlineLevel="0" collapsed="false">
      <c r="A17467" s="0" t="s">
        <v>1030</v>
      </c>
      <c r="B17467" s="0" t="s">
        <v>98</v>
      </c>
      <c r="D17467" s="6" t="n">
        <f aca="false">Q!L7-Sens!D17466</f>
        <v>83.705</v>
      </c>
      <c r="E17467" s="6" t="n">
        <f aca="false">Q!M7-Sens!E17466</f>
        <v>95.049</v>
      </c>
      <c r="F17467" s="6" t="n">
        <f aca="false">Q!$I$7+(Sens!E17467*(1+Sens!F17468)+Sens!F17466)*(1-Q!$E$7/Q!M7)-Sens!F17466</f>
        <v>106.938354189776</v>
      </c>
      <c r="G17467" s="6" t="n">
        <f aca="false">Sens!F17467*(1+Sens!G17468)</f>
        <v>119.095360443801</v>
      </c>
      <c r="H17467" s="6" t="n">
        <f aca="false">Sens!G17467*(1+Sens!H17468)</f>
        <v>131.333811964563</v>
      </c>
      <c r="I17467" s="6" t="n">
        <f aca="false">Sens!H17467*(1+Sens!I17468)</f>
        <v>143.395665319381</v>
      </c>
      <c r="J17467" s="6" t="n">
        <f aca="false">Sens!I17467*(1+Sens!J17468)</f>
        <v>154.999327755573</v>
      </c>
      <c r="K17467" s="6" t="n">
        <f aca="false">Sens!J17467*(1+Sens!K17468)</f>
        <v>165.849280698463</v>
      </c>
      <c r="L17467" s="12" t="s">
        <v>1031</v>
      </c>
    </row>
    <row r="17468" customFormat="false" ht="15" hidden="false" customHeight="false" outlineLevel="0" collapsed="false">
      <c r="A17468" s="1" t="s">
        <v>1024</v>
      </c>
      <c r="B17468" s="0" t="s">
        <v>168</v>
      </c>
      <c r="E17468" s="7" t="n">
        <f aca="false">Sens!E17467/Sens!D17467-1</f>
        <v>0.135523564900544</v>
      </c>
      <c r="F17468" s="7" t="n">
        <f aca="false">Sens!$E$17468+(glt_m365b-Sens!$E$17468)*MIN(1,(Sens!F17420-base_fy)/n_conv)</f>
        <v>0.124602970750453</v>
      </c>
      <c r="G17468" s="7" t="n">
        <f aca="false">Sens!$E$17468+(glt_m365b-Sens!$E$17468)*MIN(1,(Sens!G17420-base_fy)/n_conv)</f>
        <v>0.113682376600363</v>
      </c>
      <c r="H17468" s="7" t="n">
        <f aca="false">Sens!$E$17468+(glt_m365b-Sens!$E$17468)*MIN(1,(Sens!H17420-base_fy)/n_conv)</f>
        <v>0.102761782450272</v>
      </c>
      <c r="I17468" s="7" t="n">
        <f aca="false">Sens!$E$17468+(glt_m365b-Sens!$E$17468)*MIN(1,(Sens!I17420-base_fy)/n_conv)</f>
        <v>0.0918411883001813</v>
      </c>
      <c r="J17468" s="7" t="n">
        <f aca="false">Sens!$E$17468+(glt_m365b-Sens!$E$17468)*MIN(1,(Sens!J17420-base_fy)/n_conv)</f>
        <v>0.0809205941500906</v>
      </c>
      <c r="K17468" s="7" t="n">
        <f aca="false">Sens!$E$17468+(glt_m365b-Sens!$E$17468)*MIN(1,(Sens!K17420-base_fy)/n_conv)</f>
        <v>0.07</v>
      </c>
    </row>
    <row r="17469" customFormat="false" ht="15" hidden="false" customHeight="false" outlineLevel="0" collapsed="false">
      <c r="A17469" s="0" t="s">
        <v>1032</v>
      </c>
      <c r="B17469" s="0" t="s">
        <v>98</v>
      </c>
      <c r="D17469" s="6" t="n">
        <f aca="false">Sens!D17467+Sens!D17466</f>
        <v>84.605</v>
      </c>
      <c r="E17469" s="6" t="n">
        <f aca="false">Sens!E17467+Sens!E17466</f>
        <v>100.299</v>
      </c>
      <c r="F17469" s="6" t="n">
        <f aca="false">Sens!F17467+Sens!F17466</f>
        <v>117.438354189776</v>
      </c>
      <c r="G17469" s="6" t="n">
        <f aca="false">Sens!G17467+Sens!G17466</f>
        <v>132.595360443801</v>
      </c>
      <c r="H17469" s="6" t="n">
        <f aca="false">Sens!H17467+Sens!H17466</f>
        <v>147.833811964563</v>
      </c>
      <c r="I17469" s="6" t="n">
        <f aca="false">Sens!I17467+Sens!I17466</f>
        <v>162.145665319381</v>
      </c>
      <c r="J17469" s="6" t="n">
        <f aca="false">Sens!J17467+Sens!J17466</f>
        <v>175.249327755573</v>
      </c>
      <c r="K17469" s="6" t="n">
        <f aca="false">Sens!K17467+Sens!K17466</f>
        <v>187.599280698463</v>
      </c>
    </row>
    <row r="17470" customFormat="false" ht="17.15" hidden="false" customHeight="false" outlineLevel="0" collapsed="false">
      <c r="A17470" s="0" t="s">
        <v>1033</v>
      </c>
      <c r="B17470" s="0" t="s">
        <v>98</v>
      </c>
      <c r="D17470" s="6" t="n">
        <f aca="false">Q!L8</f>
        <v>35.391</v>
      </c>
      <c r="E17470" s="6" t="n">
        <f aca="false">Q!M8</f>
        <v>37.285</v>
      </c>
      <c r="F17470" s="6" t="n">
        <f aca="false">Q!$I$8+(Q!M8-Q!$E$8)*(1+Sens!F17471)</f>
        <v>38.3851437782675</v>
      </c>
      <c r="G17470" s="6" t="n">
        <f aca="false">Sens!F17470*(1+Sens!G17471)</f>
        <v>40.0105353288615</v>
      </c>
      <c r="H17470" s="6" t="n">
        <f aca="false">Sens!G17470*(1+Sens!H17471)</f>
        <v>41.4812512033683</v>
      </c>
      <c r="I17470" s="6" t="n">
        <f aca="false">Sens!H17470*(1+Sens!I17471)</f>
        <v>42.7743107216329</v>
      </c>
      <c r="J17470" s="6" t="n">
        <f aca="false">Sens!I17470*(1+Sens!J17471)</f>
        <v>43.8687373064601</v>
      </c>
      <c r="K17470" s="6" t="n">
        <f aca="false">Sens!J17470*(1+Sens!K17471)</f>
        <v>44.7461120525893</v>
      </c>
      <c r="L17470" s="12" t="s">
        <v>1034</v>
      </c>
    </row>
    <row r="17471" customFormat="false" ht="15" hidden="false" customHeight="false" outlineLevel="0" collapsed="false">
      <c r="A17471" s="1" t="s">
        <v>1024</v>
      </c>
      <c r="B17471" s="0" t="s">
        <v>168</v>
      </c>
      <c r="E17471" s="7" t="n">
        <f aca="false">Sens!E17470/Sens!D17470-1</f>
        <v>0.0535164307309768</v>
      </c>
      <c r="F17471" s="7" t="n">
        <f aca="false">Sens!$E$17471+(glt_lic-Sens!$E$17471)*MIN(1,(Sens!F17420-base_fy)/n_conv)</f>
        <v>0.0479303589424807</v>
      </c>
      <c r="G17471" s="7" t="n">
        <f aca="false">Sens!$E$17471+(glt_lic-Sens!$E$17471)*MIN(1,(Sens!G17420-base_fy)/n_conv)</f>
        <v>0.0423442871539845</v>
      </c>
      <c r="H17471" s="7" t="n">
        <f aca="false">Sens!$E$17471+(glt_lic-Sens!$E$17471)*MIN(1,(Sens!H17420-base_fy)/n_conv)</f>
        <v>0.0367582153654884</v>
      </c>
      <c r="I17471" s="7" t="n">
        <f aca="false">Sens!$E$17471+(glt_lic-Sens!$E$17471)*MIN(1,(Sens!I17420-base_fy)/n_conv)</f>
        <v>0.0311721435769923</v>
      </c>
      <c r="J17471" s="7" t="n">
        <f aca="false">Sens!$E$17471+(glt_lic-Sens!$E$17471)*MIN(1,(Sens!J17420-base_fy)/n_conv)</f>
        <v>0.0255860717884961</v>
      </c>
      <c r="K17471" s="7" t="n">
        <f aca="false">Sens!$E$17471+(glt_lic-Sens!$E$17471)*MIN(1,(Sens!K17420-base_fy)/n_conv)</f>
        <v>0.02</v>
      </c>
    </row>
    <row r="17472" customFormat="false" ht="17.15" hidden="false" customHeight="false" outlineLevel="0" collapsed="false">
      <c r="A17472" s="0" t="s">
        <v>1035</v>
      </c>
      <c r="B17472" s="0" t="s">
        <v>98</v>
      </c>
      <c r="D17472" s="6" t="n">
        <f aca="false">Q!L9</f>
        <v>18.417</v>
      </c>
      <c r="E17472" s="6" t="n">
        <f aca="false">Q!M9</f>
        <v>20.345</v>
      </c>
      <c r="F17472" s="6" t="n">
        <f aca="false">Q!$I$9+(Q!M9-Q!$E$9)*(1+Sens!F17473)</f>
        <v>22.3161797133988</v>
      </c>
      <c r="G17472" s="6" t="n">
        <f aca="false">Sens!F17472*(1+Sens!G17473)</f>
        <v>24.3943499673233</v>
      </c>
      <c r="H17472" s="6" t="n">
        <f aca="false">Sens!G17472*(1+Sens!H17473)</f>
        <v>26.5250243109019</v>
      </c>
      <c r="I17472" s="6" t="n">
        <f aca="false">Sens!H17472*(1+Sens!I17473)</f>
        <v>28.6884573538181</v>
      </c>
      <c r="J17472" s="6" t="n">
        <f aca="false">Sens!I17472*(1+Sens!J17473)</f>
        <v>30.8624968052127</v>
      </c>
      <c r="K17472" s="6" t="n">
        <f aca="false">Sens!J17472*(1+Sens!K17473)</f>
        <v>33.0228715815776</v>
      </c>
      <c r="L17472" s="12" t="s">
        <v>1034</v>
      </c>
    </row>
    <row r="17473" customFormat="false" ht="15" hidden="false" customHeight="false" outlineLevel="0" collapsed="false">
      <c r="A17473" s="1" t="s">
        <v>1024</v>
      </c>
      <c r="B17473" s="0" t="s">
        <v>168</v>
      </c>
      <c r="E17473" s="7" t="n">
        <f aca="false">Sens!E17472/Sens!D17472-1</f>
        <v>0.104685888038225</v>
      </c>
      <c r="F17473" s="7" t="n">
        <f aca="false">Sens!$E$17473+(glt_ind-Sens!$E$17473)*MIN(1,(Sens!F17420-base_fy)/n_conv)</f>
        <v>0.0989049066985211</v>
      </c>
      <c r="G17473" s="7" t="n">
        <f aca="false">Sens!$E$17473+(glt_ind-Sens!$E$17473)*MIN(1,(Sens!G17420-base_fy)/n_conv)</f>
        <v>0.0931239253588169</v>
      </c>
      <c r="H17473" s="7" t="n">
        <f aca="false">Sens!$E$17473+(glt_ind-Sens!$E$17473)*MIN(1,(Sens!H17420-base_fy)/n_conv)</f>
        <v>0.0873429440191127</v>
      </c>
      <c r="I17473" s="7" t="n">
        <f aca="false">Sens!$E$17473+(glt_ind-Sens!$E$17473)*MIN(1,(Sens!I17420-base_fy)/n_conv)</f>
        <v>0.0815619626794085</v>
      </c>
      <c r="J17473" s="7" t="n">
        <f aca="false">Sens!$E$17473+(glt_ind-Sens!$E$17473)*MIN(1,(Sens!J17420-base_fy)/n_conv)</f>
        <v>0.0757809813397042</v>
      </c>
      <c r="K17473" s="7" t="n">
        <f aca="false">Sens!$E$17473+(glt_ind-Sens!$E$17473)*MIN(1,(Sens!K17420-base_fy)/n_conv)</f>
        <v>0.07</v>
      </c>
    </row>
    <row r="17474" customFormat="false" ht="17.15" hidden="false" customHeight="false" outlineLevel="0" collapsed="false">
      <c r="A17474" s="0" t="s">
        <v>1036</v>
      </c>
      <c r="B17474" s="0" t="s">
        <v>98</v>
      </c>
      <c r="D17474" s="6" t="n">
        <f aca="false">Q!L10</f>
        <v>7.76</v>
      </c>
      <c r="E17474" s="6" t="n">
        <f aca="false">Q!M10</f>
        <v>8.26</v>
      </c>
      <c r="F17474" s="6" t="n">
        <f aca="false">Q!$I$10+(Q!M10-Q!$E$10)*(1+Sens!F17475)</f>
        <v>8.75372082474227</v>
      </c>
      <c r="G17474" s="6" t="n">
        <f aca="false">Sens!F17474*(1+Sens!G17475)</f>
        <v>9.33399324642364</v>
      </c>
      <c r="H17474" s="6" t="n">
        <f aca="false">Sens!G17474*(1+Sens!H17475)</f>
        <v>9.96139155535851</v>
      </c>
      <c r="I17474" s="6" t="n">
        <f aca="false">Sens!H17474*(1+Sens!I17475)</f>
        <v>10.6402039077391</v>
      </c>
      <c r="J17474" s="6" t="n">
        <f aca="false">Sens!I17474*(1+Sens!J17475)</f>
        <v>11.3751458271397</v>
      </c>
      <c r="K17474" s="6" t="n">
        <f aca="false">Sens!J17474*(1+Sens!K17475)</f>
        <v>12.1714060350394</v>
      </c>
      <c r="L17474" s="12" t="s">
        <v>1034</v>
      </c>
    </row>
    <row r="17475" customFormat="false" ht="15" hidden="false" customHeight="false" outlineLevel="0" collapsed="false">
      <c r="A17475" s="1" t="s">
        <v>1024</v>
      </c>
      <c r="B17475" s="0" t="s">
        <v>168</v>
      </c>
      <c r="E17475" s="7" t="n">
        <f aca="false">Sens!E17474/Sens!D17474-1</f>
        <v>0.0644329896907216</v>
      </c>
      <c r="F17475" s="7" t="n">
        <f aca="false">Sens!$E$17475+(glt_fro-Sens!$E$17475)*MIN(1,(Sens!F17420-base_fy)/n_conv)</f>
        <v>0.065360824742268</v>
      </c>
      <c r="G17475" s="7" t="n">
        <f aca="false">Sens!$E$17475+(glt_fro-Sens!$E$17475)*MIN(1,(Sens!G17420-base_fy)/n_conv)</f>
        <v>0.0662886597938144</v>
      </c>
      <c r="H17475" s="7" t="n">
        <f aca="false">Sens!$E$17475+(glt_fro-Sens!$E$17475)*MIN(1,(Sens!H17420-base_fy)/n_conv)</f>
        <v>0.0672164948453608</v>
      </c>
      <c r="I17475" s="7" t="n">
        <f aca="false">Sens!$E$17475+(glt_fro-Sens!$E$17475)*MIN(1,(Sens!I17420-base_fy)/n_conv)</f>
        <v>0.0681443298969072</v>
      </c>
      <c r="J17475" s="7" t="n">
        <f aca="false">Sens!$E$17475+(glt_fro-Sens!$E$17475)*MIN(1,(Sens!J17420-base_fy)/n_conv)</f>
        <v>0.0690721649484536</v>
      </c>
      <c r="K17475" s="7" t="n">
        <f aca="false">Sens!$E$17475+(glt_fro-Sens!$E$17475)*MIN(1,(Sens!K17420-base_fy)/n_conv)</f>
        <v>0.07</v>
      </c>
    </row>
    <row r="17476" customFormat="false" ht="15" hidden="false" customHeight="false" outlineLevel="0" collapsed="false">
      <c r="A17476" s="0" t="s">
        <v>852</v>
      </c>
      <c r="B17476" s="0" t="s">
        <v>98</v>
      </c>
      <c r="D17476" s="6" t="n">
        <f aca="false">Sens!D17464+Sens!D17469+Sens!D17470+Sens!D17472+Sens!D17474</f>
        <v>218.783</v>
      </c>
      <c r="E17476" s="6" t="n">
        <f aca="false">Sens!E17464+Sens!E17469+Sens!E17470+Sens!E17472+Sens!E17474</f>
        <v>268.127</v>
      </c>
      <c r="F17476" s="6" t="n">
        <f aca="false">Sens!F17464+Sens!F17469+Sens!F17470+Sens!F17472+Sens!F17474</f>
        <v>330.145282059882</v>
      </c>
      <c r="G17476" s="6" t="n">
        <f aca="false">Sens!G17464+Sens!G17469+Sens!G17470+Sens!G17472+Sens!G17474</f>
        <v>392.656759865851</v>
      </c>
      <c r="H17476" s="6" t="n">
        <f aca="false">Sens!H17464+Sens!H17469+Sens!H17470+Sens!H17472+Sens!H17474</f>
        <v>450.544273297982</v>
      </c>
      <c r="I17476" s="6" t="n">
        <f aca="false">Sens!I17464+Sens!I17469+Sens!I17470+Sens!I17472+Sens!I17474</f>
        <v>510.69213512593</v>
      </c>
      <c r="J17476" s="6" t="n">
        <f aca="false">Sens!J17464+Sens!J17469+Sens!J17470+Sens!J17472+Sens!J17474</f>
        <v>560.416732629406</v>
      </c>
      <c r="K17476" s="6" t="n">
        <f aca="false">Sens!K17464+Sens!K17469+Sens!K17470+Sens!K17472+Sens!K17474</f>
        <v>600.132410592692</v>
      </c>
    </row>
    <row r="17477" customFormat="false" ht="17.15" hidden="false" customHeight="false" outlineLevel="0" collapsed="false">
      <c r="A17477" s="0" t="s">
        <v>1037</v>
      </c>
      <c r="B17477" s="0" t="s">
        <v>98</v>
      </c>
      <c r="D17477" s="6" t="n">
        <f aca="false">Q!L13</f>
        <v>22.171</v>
      </c>
      <c r="E17477" s="6" t="n">
        <f aca="false">Q!M13</f>
        <v>24.835</v>
      </c>
      <c r="F17477" s="6" t="n">
        <f aca="false">Q!$I$13+(Q!M13-Q!$E$13)*(1+Sens!F17478)</f>
        <v>27.5591895660247</v>
      </c>
      <c r="G17477" s="6" t="n">
        <f aca="false">Sens!F17477*(1+Sens!G17478)</f>
        <v>30.4098563144583</v>
      </c>
      <c r="H17477" s="6" t="n">
        <f aca="false">Sens!G17477*(1+Sens!H17478)</f>
        <v>33.3011792571777</v>
      </c>
      <c r="I17477" s="6" t="n">
        <f aca="false">Sens!H17477*(1+Sens!I17478)</f>
        <v>36.189023797112</v>
      </c>
      <c r="J17477" s="6" t="n">
        <f aca="false">Sens!I17477*(1+Sens!J17478)</f>
        <v>39.0247773769199</v>
      </c>
      <c r="K17477" s="6" t="n">
        <f aca="false">Sens!J17477*(1+Sens!K17478)</f>
        <v>41.7565117933043</v>
      </c>
      <c r="L17477" s="12" t="s">
        <v>1034</v>
      </c>
    </row>
    <row r="17478" customFormat="false" ht="15" hidden="false" customHeight="false" outlineLevel="0" collapsed="false">
      <c r="A17478" s="1" t="s">
        <v>1024</v>
      </c>
      <c r="B17478" s="0" t="s">
        <v>168</v>
      </c>
      <c r="E17478" s="7" t="n">
        <f aca="false">Sens!E17477/Sens!D17477-1</f>
        <v>0.120156961796942</v>
      </c>
      <c r="F17478" s="7" t="n">
        <f aca="false">Sens!$E$17478+(glt_srch-Sens!$E$17478)*MIN(1,(Sens!F17420-base_fy)/n_conv)</f>
        <v>0.111797468164118</v>
      </c>
      <c r="G17478" s="7" t="n">
        <f aca="false">Sens!$E$17478+(glt_srch-Sens!$E$17478)*MIN(1,(Sens!G17420-base_fy)/n_conv)</f>
        <v>0.103437974531295</v>
      </c>
      <c r="H17478" s="7" t="n">
        <f aca="false">Sens!$E$17478+(glt_srch-Sens!$E$17478)*MIN(1,(Sens!H17420-base_fy)/n_conv)</f>
        <v>0.095078480898471</v>
      </c>
      <c r="I17478" s="7" t="n">
        <f aca="false">Sens!$E$17478+(glt_srch-Sens!$E$17478)*MIN(1,(Sens!I17420-base_fy)/n_conv)</f>
        <v>0.0867189872656474</v>
      </c>
      <c r="J17478" s="7" t="n">
        <f aca="false">Sens!$E$17478+(glt_srch-Sens!$E$17478)*MIN(1,(Sens!J17420-base_fy)/n_conv)</f>
        <v>0.0783594936328237</v>
      </c>
      <c r="K17478" s="7" t="n">
        <f aca="false">Sens!$E$17478+(glt_srch-Sens!$E$17478)*MIN(1,(Sens!K17420-base_fy)/n_conv)</f>
        <v>0.07</v>
      </c>
    </row>
    <row r="17479" customFormat="false" ht="17.15" hidden="false" customHeight="false" outlineLevel="0" collapsed="false">
      <c r="A17479" s="0" t="s">
        <v>1038</v>
      </c>
      <c r="B17479" s="0" t="s">
        <v>98</v>
      </c>
      <c r="D17479" s="6" t="n">
        <f aca="false">Q!L14</f>
        <v>23.455</v>
      </c>
      <c r="E17479" s="6" t="n">
        <f aca="false">Q!M14</f>
        <v>21.79</v>
      </c>
      <c r="F17479" s="6" t="n">
        <f aca="false">Q!$I$14+(Q!M14-Q!$E$14)*(1+Sens!F17480)</f>
        <v>20.7520981041711</v>
      </c>
      <c r="G17479" s="6" t="n">
        <f aca="false">Sens!F17479*(1+Sens!G17480)</f>
        <v>19.9083593495882</v>
      </c>
      <c r="H17479" s="6" t="n">
        <f aca="false">Sens!G17479*(1+Sens!H17480)</f>
        <v>19.4008256265831</v>
      </c>
      <c r="I17479" s="6" t="n">
        <f aca="false">Sens!H17479*(1+Sens!I17480)</f>
        <v>19.200434522122</v>
      </c>
      <c r="J17479" s="6" t="n">
        <f aca="false">Sens!I17479*(1+Sens!J17480)</f>
        <v>19.2932782348507</v>
      </c>
      <c r="K17479" s="6" t="n">
        <f aca="false">Sens!J17479*(1+Sens!K17480)</f>
        <v>19.6791437995477</v>
      </c>
      <c r="L17479" s="12" t="s">
        <v>1034</v>
      </c>
    </row>
    <row r="17480" customFormat="false" ht="15" hidden="false" customHeight="false" outlineLevel="0" collapsed="false">
      <c r="A17480" s="1" t="s">
        <v>1024</v>
      </c>
      <c r="B17480" s="0" t="s">
        <v>168</v>
      </c>
      <c r="E17480" s="7" t="n">
        <f aca="false">Sens!E17479/Sens!D17479-1</f>
        <v>-0.0709869963760392</v>
      </c>
      <c r="F17480" s="7" t="n">
        <f aca="false">Sens!$E$17480+(glt_xbox-Sens!$E$17480)*MIN(1,(Sens!F17420-base_fy)/n_conv)</f>
        <v>-0.0558224969800327</v>
      </c>
      <c r="G17480" s="7" t="n">
        <f aca="false">Sens!$E$17480+(glt_xbox-Sens!$E$17480)*MIN(1,(Sens!G17420-base_fy)/n_conv)</f>
        <v>-0.0406579975840262</v>
      </c>
      <c r="H17480" s="7" t="n">
        <f aca="false">Sens!$E$17480+(glt_xbox-Sens!$E$17480)*MIN(1,(Sens!H17420-base_fy)/n_conv)</f>
        <v>-0.0254934981880196</v>
      </c>
      <c r="I17480" s="7" t="n">
        <f aca="false">Sens!$E$17480+(glt_xbox-Sens!$E$17480)*MIN(1,(Sens!I17420-base_fy)/n_conv)</f>
        <v>-0.0103289987920131</v>
      </c>
      <c r="J17480" s="7" t="n">
        <f aca="false">Sens!$E$17480+(glt_xbox-Sens!$E$17480)*MIN(1,(Sens!J17420-base_fy)/n_conv)</f>
        <v>0.00483550060399347</v>
      </c>
      <c r="K17480" s="7" t="n">
        <f aca="false">Sens!$E$17480+(glt_xbox-Sens!$E$17480)*MIN(1,(Sens!K17420-base_fy)/n_conv)</f>
        <v>0.02</v>
      </c>
    </row>
    <row r="17481" customFormat="false" ht="17.15" hidden="false" customHeight="false" outlineLevel="0" collapsed="false">
      <c r="A17481" s="0" t="s">
        <v>1039</v>
      </c>
      <c r="B17481" s="0" t="s">
        <v>98</v>
      </c>
      <c r="D17481" s="6" t="n">
        <f aca="false">Q!L15</f>
        <v>17.315</v>
      </c>
      <c r="E17481" s="6" t="n">
        <f aca="false">Q!M15</f>
        <v>17.087</v>
      </c>
      <c r="F17481" s="6" t="n">
        <f aca="false">Q!$I$15+(Q!M15-Q!$E$15)*(1+Sens!F17482)</f>
        <v>15.9912273250553</v>
      </c>
      <c r="G17481" s="6" t="n">
        <f aca="false">Sens!F17481*(1+Sens!G17482)</f>
        <v>15.9574562664827</v>
      </c>
      <c r="H17481" s="6" t="n">
        <f aca="false">Sens!G17481*(1+Sens!H17482)</f>
        <v>16.0119687434196</v>
      </c>
      <c r="I17481" s="6" t="n">
        <f aca="false">Sens!H17481*(1+Sens!I17482)</f>
        <v>16.1551810001948</v>
      </c>
      <c r="J17481" s="6" t="n">
        <f aca="false">Sens!I17481*(1+Sens!J17482)</f>
        <v>16.3889793892005</v>
      </c>
      <c r="K17481" s="6" t="n">
        <f aca="false">Sens!J17481*(1+Sens!K17482)</f>
        <v>16.7167589769845</v>
      </c>
      <c r="L17481" s="12" t="s">
        <v>1034</v>
      </c>
    </row>
    <row r="17482" customFormat="false" ht="15" hidden="false" customHeight="false" outlineLevel="0" collapsed="false">
      <c r="A17482" s="1" t="s">
        <v>1024</v>
      </c>
      <c r="B17482" s="0" t="s">
        <v>168</v>
      </c>
      <c r="E17482" s="7" t="n">
        <f aca="false">Sens!E17481/Sens!D17481-1</f>
        <v>-0.0131677736066995</v>
      </c>
      <c r="F17482" s="7" t="n">
        <f aca="false">Sens!$E$17482+(glt_win-Sens!$E$17482)*MIN(1,(Sens!F17420-base_fy)/n_conv)</f>
        <v>-0.00763981133891627</v>
      </c>
      <c r="G17482" s="7" t="n">
        <f aca="false">Sens!$E$17482+(glt_win-Sens!$E$17482)*MIN(1,(Sens!G17420-base_fy)/n_conv)</f>
        <v>-0.00211184907113301</v>
      </c>
      <c r="H17482" s="7" t="n">
        <f aca="false">Sens!$E$17482+(glt_win-Sens!$E$17482)*MIN(1,(Sens!H17420-base_fy)/n_conv)</f>
        <v>0.00341611319665024</v>
      </c>
      <c r="I17482" s="7" t="n">
        <f aca="false">Sens!$E$17482+(glt_win-Sens!$E$17482)*MIN(1,(Sens!I17420-base_fy)/n_conv)</f>
        <v>0.00894407546443349</v>
      </c>
      <c r="J17482" s="7" t="n">
        <f aca="false">Sens!$E$17482+(glt_win-Sens!$E$17482)*MIN(1,(Sens!J17420-base_fy)/n_conv)</f>
        <v>0.0144720377322168</v>
      </c>
      <c r="K17482" s="7" t="n">
        <f aca="false">Sens!$E$17482+(glt_win-Sens!$E$17482)*MIN(1,(Sens!K17420-base_fy)/n_conv)</f>
        <v>0.02</v>
      </c>
    </row>
    <row r="17483" customFormat="false" ht="15" hidden="false" customHeight="false" outlineLevel="0" collapsed="false">
      <c r="A17483" s="0" t="s">
        <v>866</v>
      </c>
      <c r="B17483" s="0" t="s">
        <v>98</v>
      </c>
      <c r="D17483" s="6" t="n">
        <f aca="false">Sens!D17477+Sens!D17479+Sens!D17481</f>
        <v>62.941</v>
      </c>
      <c r="E17483" s="6" t="n">
        <f aca="false">Sens!E17477+Sens!E17479+Sens!E17481</f>
        <v>63.712</v>
      </c>
      <c r="F17483" s="6" t="n">
        <f aca="false">Sens!F17477+Sens!F17479+Sens!F17481</f>
        <v>64.3025149952511</v>
      </c>
      <c r="G17483" s="6" t="n">
        <f aca="false">Sens!G17477+Sens!G17479+Sens!G17481</f>
        <v>66.2756719305292</v>
      </c>
      <c r="H17483" s="6" t="n">
        <f aca="false">Sens!H17477+Sens!H17479+Sens!H17481</f>
        <v>68.7139736271804</v>
      </c>
      <c r="I17483" s="6" t="n">
        <f aca="false">Sens!I17477+Sens!I17479+Sens!I17481</f>
        <v>71.5446393194289</v>
      </c>
      <c r="J17483" s="6" t="n">
        <f aca="false">Sens!J17477+Sens!J17479+Sens!J17481</f>
        <v>74.707035000971</v>
      </c>
      <c r="K17483" s="6" t="n">
        <f aca="false">Sens!K17477+Sens!K17479+Sens!K17481</f>
        <v>78.1524145698365</v>
      </c>
    </row>
    <row r="17484" customFormat="false" ht="15" hidden="false" customHeight="false" outlineLevel="0" collapsed="false">
      <c r="A17484" s="1" t="s">
        <v>1040</v>
      </c>
      <c r="B17484" s="0" t="s">
        <v>98</v>
      </c>
      <c r="D17484" s="6" t="n">
        <f aca="false">Sens!D17476+Sens!D17483</f>
        <v>281.724</v>
      </c>
      <c r="E17484" s="6" t="n">
        <f aca="false">Sens!E17476+Sens!E17483</f>
        <v>331.839</v>
      </c>
      <c r="F17484" s="6" t="n">
        <f aca="false">Sens!F17476+Sens!F17483</f>
        <v>394.447797055133</v>
      </c>
      <c r="G17484" s="6" t="n">
        <f aca="false">Sens!G17476+Sens!G17483</f>
        <v>458.93243179638</v>
      </c>
      <c r="H17484" s="6" t="n">
        <f aca="false">Sens!H17476+Sens!H17483</f>
        <v>519.258246925162</v>
      </c>
      <c r="I17484" s="6" t="n">
        <f aca="false">Sens!I17476+Sens!I17483</f>
        <v>582.236774445359</v>
      </c>
      <c r="J17484" s="6" t="n">
        <f aca="false">Sens!J17476+Sens!J17483</f>
        <v>635.123767630377</v>
      </c>
      <c r="K17484" s="6" t="n">
        <f aca="false">Sens!K17476+Sens!K17483</f>
        <v>678.284825162529</v>
      </c>
    </row>
    <row r="17485" customFormat="false" ht="15" hidden="false" customHeight="false" outlineLevel="0" collapsed="false">
      <c r="A17485" s="26" t="s">
        <v>1041</v>
      </c>
      <c r="B17485" s="31" t="s">
        <v>98</v>
      </c>
      <c r="C17485" s="31"/>
      <c r="D17485" s="27" t="n">
        <f aca="false">(Sens!D17464+Sens!D17469+Sens!D17470+Sens!D17472+Sens!D17474-Sens!D17476)+(Sens!D17477+Sens!D17479+Sens!D17481-Sens!D17483)+(Sens!D17476-Q!L5)+(Sens!D17483-Q!L12)+(Sens!D17464-Q!L6)+(Sens!D17469-Q!L7)</f>
        <v>0</v>
      </c>
      <c r="E17485" s="27" t="n">
        <f aca="false">(Sens!E17464+Sens!E17469+Sens!E17470+Sens!E17472+Sens!E17474-Sens!E17476)+(Sens!E17477+Sens!E17479+Sens!E17481-Sens!E17483)+(Sens!E17476-Q!M5)+(Sens!E17483-Q!M12)+(Sens!E17464-Q!M6)+(Sens!E17469-Q!M7)</f>
        <v>0</v>
      </c>
      <c r="F17485" s="27" t="n">
        <f aca="false">(Sens!F17464+Sens!F17469+Sens!F17470+Sens!F17472+Sens!F17474-Sens!F17476)+(Sens!F17477+Sens!F17479+Sens!F17481-Sens!F17483)</f>
        <v>0</v>
      </c>
      <c r="G17485" s="27" t="n">
        <f aca="false">(Sens!G17464+Sens!G17469+Sens!G17470+Sens!G17472+Sens!G17474-Sens!G17476)+(Sens!G17477+Sens!G17479+Sens!G17481-Sens!G17483)</f>
        <v>0</v>
      </c>
      <c r="H17485" s="27" t="n">
        <f aca="false">(Sens!H17464+Sens!H17469+Sens!H17470+Sens!H17472+Sens!H17474-Sens!H17476)+(Sens!H17477+Sens!H17479+Sens!H17481-Sens!H17483)</f>
        <v>0</v>
      </c>
      <c r="I17485" s="27" t="n">
        <f aca="false">(Sens!I17464+Sens!I17469+Sens!I17470+Sens!I17472+Sens!I17474-Sens!I17476)+(Sens!I17477+Sens!I17479+Sens!I17481-Sens!I17483)</f>
        <v>0</v>
      </c>
      <c r="J17485" s="27" t="n">
        <f aca="false">(Sens!J17464+Sens!J17469+Sens!J17470+Sens!J17472+Sens!J17474-Sens!J17476)+(Sens!J17477+Sens!J17479+Sens!J17481-Sens!J17483)</f>
        <v>0</v>
      </c>
      <c r="K17485" s="27" t="n">
        <f aca="false">(Sens!K17464+Sens!K17469+Sens!K17470+Sens!K17472+Sens!K17474-Sens!K17476)+(Sens!K17477+Sens!K17479+Sens!K17481-Sens!K17483)</f>
        <v>0</v>
      </c>
    </row>
    <row r="17486" customFormat="false" ht="17.15" hidden="false" customHeight="false" outlineLevel="0" collapsed="false">
      <c r="A17486" s="3" t="s">
        <v>1911</v>
      </c>
    </row>
    <row r="17487" customFormat="false" ht="15" hidden="false" customHeight="false" outlineLevel="0" collapsed="false">
      <c r="A17487" s="4" t="s">
        <v>43</v>
      </c>
      <c r="B17487" s="4" t="s">
        <v>65</v>
      </c>
      <c r="C17487" s="23" t="s">
        <v>938</v>
      </c>
      <c r="D17487" s="23" t="s">
        <v>939</v>
      </c>
      <c r="E17487" s="23" t="s">
        <v>940</v>
      </c>
      <c r="F17487" s="23" t="s">
        <v>941</v>
      </c>
      <c r="G17487" s="23" t="s">
        <v>942</v>
      </c>
      <c r="H17487" s="23" t="s">
        <v>943</v>
      </c>
      <c r="I17487" s="23" t="s">
        <v>944</v>
      </c>
      <c r="J17487" s="23" t="s">
        <v>945</v>
      </c>
      <c r="K17487" s="23" t="s">
        <v>946</v>
      </c>
      <c r="L17487" s="4" t="s">
        <v>47</v>
      </c>
    </row>
    <row r="17488" customFormat="false" ht="15" hidden="false" customHeight="false" outlineLevel="0" collapsed="false">
      <c r="A17488" s="0" t="s">
        <v>1025</v>
      </c>
      <c r="B17488" s="0" t="s">
        <v>98</v>
      </c>
      <c r="D17488" s="6" t="n">
        <f aca="false">Sens!D17464</f>
        <v>72.61</v>
      </c>
      <c r="E17488" s="6" t="n">
        <f aca="false">Sens!E17464</f>
        <v>101.938</v>
      </c>
      <c r="F17488" s="6" t="n">
        <f aca="false">Sens!F17464</f>
        <v>143.251883553698</v>
      </c>
      <c r="G17488" s="6" t="n">
        <f aca="false">Sens!G17464</f>
        <v>186.322520879442</v>
      </c>
      <c r="H17488" s="6" t="n">
        <f aca="false">Sens!H17464</f>
        <v>224.74279426379</v>
      </c>
      <c r="I17488" s="6" t="n">
        <f aca="false">Sens!I17464</f>
        <v>266.443497823359</v>
      </c>
      <c r="J17488" s="6" t="n">
        <f aca="false">Sens!J17464</f>
        <v>299.06102493502</v>
      </c>
      <c r="K17488" s="6" t="n">
        <f aca="false">Sens!K17464</f>
        <v>322.592740225023</v>
      </c>
    </row>
    <row r="17489" customFormat="false" ht="17.15" hidden="false" customHeight="false" outlineLevel="0" collapsed="false">
      <c r="A17489" s="0" t="s">
        <v>1021</v>
      </c>
      <c r="B17489" s="0" t="s">
        <v>98</v>
      </c>
      <c r="D17489" s="6" t="n">
        <f aca="false">Sens!D17461</f>
        <v>12.9359794422418</v>
      </c>
      <c r="E17489" s="6" t="n">
        <f aca="false">Sens!E17461</f>
        <v>27.8095064661409</v>
      </c>
      <c r="F17489" s="6" t="n">
        <f aca="false">Sens!F17461</f>
        <v>50.9819294352312</v>
      </c>
      <c r="G17489" s="6" t="n">
        <f aca="false">Sens!G17461</f>
        <v>76.6920436014933</v>
      </c>
      <c r="H17489" s="6" t="n">
        <f aca="false">Sens!H17461</f>
        <v>97.4495379418341</v>
      </c>
      <c r="I17489" s="6" t="n">
        <f aca="false">Sens!I17461</f>
        <v>122.083445553868</v>
      </c>
      <c r="J17489" s="6" t="n">
        <f aca="false">Sens!J17461</f>
        <v>139.249060444804</v>
      </c>
      <c r="K17489" s="6" t="n">
        <f aca="false">Sens!K17461</f>
        <v>149.995818575589</v>
      </c>
    </row>
    <row r="17490" customFormat="false" ht="17.15" hidden="false" customHeight="false" outlineLevel="0" collapsed="false">
      <c r="A17490" s="0" t="s">
        <v>1052</v>
      </c>
      <c r="B17490" s="0" t="s">
        <v>98</v>
      </c>
      <c r="D17490" s="6" t="n">
        <f aca="false">Sens!D17462</f>
        <v>59.6740205577583</v>
      </c>
      <c r="E17490" s="6" t="n">
        <f aca="false">Sens!E17462</f>
        <v>74.1284935338591</v>
      </c>
      <c r="F17490" s="6" t="n">
        <f aca="false">Sens!F17462</f>
        <v>92.2699541184664</v>
      </c>
      <c r="G17490" s="6" t="n">
        <f aca="false">Sens!G17462</f>
        <v>109.630477277949</v>
      </c>
      <c r="H17490" s="6" t="n">
        <f aca="false">Sens!H17462</f>
        <v>127.293256321956</v>
      </c>
      <c r="I17490" s="6" t="n">
        <f aca="false">Sens!I17462</f>
        <v>144.360052269491</v>
      </c>
      <c r="J17490" s="6" t="n">
        <f aca="false">Sens!J17462</f>
        <v>159.811964490216</v>
      </c>
      <c r="K17490" s="6" t="n">
        <f aca="false">Sens!K17462</f>
        <v>172.596921649434</v>
      </c>
    </row>
    <row r="17491" customFormat="false" ht="15" hidden="false" customHeight="false" outlineLevel="0" collapsed="false">
      <c r="A17491" s="0" t="s">
        <v>1032</v>
      </c>
      <c r="B17491" s="0" t="s">
        <v>98</v>
      </c>
      <c r="D17491" s="6" t="n">
        <f aca="false">Sens!D17469</f>
        <v>84.605</v>
      </c>
      <c r="E17491" s="6" t="n">
        <f aca="false">Sens!E17469</f>
        <v>100.299</v>
      </c>
      <c r="F17491" s="6" t="n">
        <f aca="false">Sens!F17469</f>
        <v>117.438354189776</v>
      </c>
      <c r="G17491" s="6" t="n">
        <f aca="false">Sens!G17469</f>
        <v>132.595360443801</v>
      </c>
      <c r="H17491" s="6" t="n">
        <f aca="false">Sens!H17469</f>
        <v>147.833811964563</v>
      </c>
      <c r="I17491" s="6" t="n">
        <f aca="false">Sens!I17469</f>
        <v>162.145665319381</v>
      </c>
      <c r="J17491" s="6" t="n">
        <f aca="false">Sens!J17469</f>
        <v>175.249327755573</v>
      </c>
      <c r="K17491" s="6" t="n">
        <f aca="false">Sens!K17469</f>
        <v>187.599280698463</v>
      </c>
    </row>
    <row r="17492" customFormat="false" ht="17.15" hidden="false" customHeight="false" outlineLevel="0" collapsed="false">
      <c r="A17492" s="0" t="s">
        <v>1053</v>
      </c>
      <c r="B17492" s="0" t="s">
        <v>98</v>
      </c>
      <c r="D17492" s="6" t="n">
        <f aca="false">Sens!D17467</f>
        <v>83.705</v>
      </c>
      <c r="E17492" s="6" t="n">
        <f aca="false">Sens!E17467</f>
        <v>95.049</v>
      </c>
      <c r="F17492" s="6" t="n">
        <f aca="false">Sens!F17467</f>
        <v>106.938354189776</v>
      </c>
      <c r="G17492" s="6" t="n">
        <f aca="false">Sens!G17467</f>
        <v>119.095360443801</v>
      </c>
      <c r="H17492" s="6" t="n">
        <f aca="false">Sens!H17467</f>
        <v>131.333811964563</v>
      </c>
      <c r="I17492" s="6" t="n">
        <f aca="false">Sens!I17467</f>
        <v>143.395665319381</v>
      </c>
      <c r="J17492" s="6" t="n">
        <f aca="false">Sens!J17467</f>
        <v>154.999327755573</v>
      </c>
      <c r="K17492" s="6" t="n">
        <f aca="false">Sens!K17467</f>
        <v>165.849280698463</v>
      </c>
    </row>
    <row r="17493" customFormat="false" ht="17.15" hidden="false" customHeight="false" outlineLevel="0" collapsed="false">
      <c r="A17493" s="0" t="s">
        <v>1054</v>
      </c>
      <c r="B17493" s="0" t="s">
        <v>98</v>
      </c>
      <c r="D17493" s="6" t="n">
        <f aca="false">Sens!D17466</f>
        <v>0.9</v>
      </c>
      <c r="E17493" s="6" t="n">
        <f aca="false">Sens!E17466</f>
        <v>5.25</v>
      </c>
      <c r="F17493" s="6" t="n">
        <f aca="false">Sens!F17466</f>
        <v>10.5</v>
      </c>
      <c r="G17493" s="6" t="n">
        <f aca="false">Sens!G17466</f>
        <v>13.5</v>
      </c>
      <c r="H17493" s="6" t="n">
        <f aca="false">Sens!H17466</f>
        <v>16.5</v>
      </c>
      <c r="I17493" s="6" t="n">
        <f aca="false">Sens!I17466</f>
        <v>18.75</v>
      </c>
      <c r="J17493" s="6" t="n">
        <f aca="false">Sens!J17466</f>
        <v>20.25</v>
      </c>
      <c r="K17493" s="6" t="n">
        <f aca="false">Sens!K17466</f>
        <v>21.75</v>
      </c>
    </row>
    <row r="17494" customFormat="false" ht="15" hidden="false" customHeight="false" outlineLevel="0" collapsed="false">
      <c r="A17494" s="0" t="s">
        <v>1033</v>
      </c>
      <c r="B17494" s="0" t="s">
        <v>98</v>
      </c>
      <c r="D17494" s="6" t="n">
        <f aca="false">Sens!D17470</f>
        <v>35.391</v>
      </c>
      <c r="E17494" s="6" t="n">
        <f aca="false">Sens!E17470</f>
        <v>37.285</v>
      </c>
      <c r="F17494" s="6" t="n">
        <f aca="false">Sens!F17470</f>
        <v>38.3851437782675</v>
      </c>
      <c r="G17494" s="6" t="n">
        <f aca="false">Sens!G17470</f>
        <v>40.0105353288615</v>
      </c>
      <c r="H17494" s="6" t="n">
        <f aca="false">Sens!H17470</f>
        <v>41.4812512033683</v>
      </c>
      <c r="I17494" s="6" t="n">
        <f aca="false">Sens!I17470</f>
        <v>42.7743107216329</v>
      </c>
      <c r="J17494" s="6" t="n">
        <f aca="false">Sens!J17470</f>
        <v>43.8687373064601</v>
      </c>
      <c r="K17494" s="6" t="n">
        <f aca="false">Sens!K17470</f>
        <v>44.7461120525893</v>
      </c>
    </row>
    <row r="17495" customFormat="false" ht="15" hidden="false" customHeight="false" outlineLevel="0" collapsed="false">
      <c r="A17495" s="0" t="s">
        <v>1035</v>
      </c>
      <c r="B17495" s="0" t="s">
        <v>98</v>
      </c>
      <c r="D17495" s="6" t="n">
        <f aca="false">Sens!D17472</f>
        <v>18.417</v>
      </c>
      <c r="E17495" s="6" t="n">
        <f aca="false">Sens!E17472</f>
        <v>20.345</v>
      </c>
      <c r="F17495" s="6" t="n">
        <f aca="false">Sens!F17472</f>
        <v>22.3161797133988</v>
      </c>
      <c r="G17495" s="6" t="n">
        <f aca="false">Sens!G17472</f>
        <v>24.3943499673233</v>
      </c>
      <c r="H17495" s="6" t="n">
        <f aca="false">Sens!H17472</f>
        <v>26.5250243109019</v>
      </c>
      <c r="I17495" s="6" t="n">
        <f aca="false">Sens!I17472</f>
        <v>28.6884573538181</v>
      </c>
      <c r="J17495" s="6" t="n">
        <f aca="false">Sens!J17472</f>
        <v>30.8624968052127</v>
      </c>
      <c r="K17495" s="6" t="n">
        <f aca="false">Sens!K17472</f>
        <v>33.0228715815776</v>
      </c>
    </row>
    <row r="17496" customFormat="false" ht="15" hidden="false" customHeight="false" outlineLevel="0" collapsed="false">
      <c r="A17496" s="0" t="s">
        <v>1036</v>
      </c>
      <c r="B17496" s="0" t="s">
        <v>98</v>
      </c>
      <c r="D17496" s="6" t="n">
        <f aca="false">Sens!D17474</f>
        <v>7.76</v>
      </c>
      <c r="E17496" s="6" t="n">
        <f aca="false">Sens!E17474</f>
        <v>8.26</v>
      </c>
      <c r="F17496" s="6" t="n">
        <f aca="false">Sens!F17474</f>
        <v>8.75372082474227</v>
      </c>
      <c r="G17496" s="6" t="n">
        <f aca="false">Sens!G17474</f>
        <v>9.33399324642364</v>
      </c>
      <c r="H17496" s="6" t="n">
        <f aca="false">Sens!H17474</f>
        <v>9.96139155535851</v>
      </c>
      <c r="I17496" s="6" t="n">
        <f aca="false">Sens!I17474</f>
        <v>10.6402039077391</v>
      </c>
      <c r="J17496" s="6" t="n">
        <f aca="false">Sens!J17474</f>
        <v>11.3751458271397</v>
      </c>
      <c r="K17496" s="6" t="n">
        <f aca="false">Sens!K17474</f>
        <v>12.1714060350394</v>
      </c>
    </row>
    <row r="17497" customFormat="false" ht="15" hidden="false" customHeight="false" outlineLevel="0" collapsed="false">
      <c r="A17497" s="0" t="s">
        <v>852</v>
      </c>
      <c r="B17497" s="0" t="s">
        <v>98</v>
      </c>
      <c r="D17497" s="6" t="n">
        <f aca="false">Sens!D17476</f>
        <v>218.783</v>
      </c>
      <c r="E17497" s="6" t="n">
        <f aca="false">Sens!E17476</f>
        <v>268.127</v>
      </c>
      <c r="F17497" s="6" t="n">
        <f aca="false">Sens!F17476</f>
        <v>330.145282059882</v>
      </c>
      <c r="G17497" s="6" t="n">
        <f aca="false">Sens!G17476</f>
        <v>392.656759865851</v>
      </c>
      <c r="H17497" s="6" t="n">
        <f aca="false">Sens!H17476</f>
        <v>450.544273297982</v>
      </c>
      <c r="I17497" s="6" t="n">
        <f aca="false">Sens!I17476</f>
        <v>510.69213512593</v>
      </c>
      <c r="J17497" s="6" t="n">
        <f aca="false">Sens!J17476</f>
        <v>560.416732629406</v>
      </c>
      <c r="K17497" s="6" t="n">
        <f aca="false">Sens!K17476</f>
        <v>600.132410592692</v>
      </c>
    </row>
    <row r="17498" customFormat="false" ht="15" hidden="false" customHeight="false" outlineLevel="0" collapsed="false">
      <c r="A17498" s="0" t="s">
        <v>1037</v>
      </c>
      <c r="B17498" s="0" t="s">
        <v>98</v>
      </c>
      <c r="D17498" s="6" t="n">
        <f aca="false">Sens!D17477</f>
        <v>22.171</v>
      </c>
      <c r="E17498" s="6" t="n">
        <f aca="false">Sens!E17477</f>
        <v>24.835</v>
      </c>
      <c r="F17498" s="6" t="n">
        <f aca="false">Sens!F17477</f>
        <v>27.5591895660247</v>
      </c>
      <c r="G17498" s="6" t="n">
        <f aca="false">Sens!G17477</f>
        <v>30.4098563144583</v>
      </c>
      <c r="H17498" s="6" t="n">
        <f aca="false">Sens!H17477</f>
        <v>33.3011792571777</v>
      </c>
      <c r="I17498" s="6" t="n">
        <f aca="false">Sens!I17477</f>
        <v>36.189023797112</v>
      </c>
      <c r="J17498" s="6" t="n">
        <f aca="false">Sens!J17477</f>
        <v>39.0247773769199</v>
      </c>
      <c r="K17498" s="6" t="n">
        <f aca="false">Sens!K17477</f>
        <v>41.7565117933043</v>
      </c>
    </row>
    <row r="17499" customFormat="false" ht="15" hidden="false" customHeight="false" outlineLevel="0" collapsed="false">
      <c r="A17499" s="0" t="s">
        <v>1038</v>
      </c>
      <c r="B17499" s="0" t="s">
        <v>98</v>
      </c>
      <c r="D17499" s="6" t="n">
        <f aca="false">Sens!D17479</f>
        <v>23.455</v>
      </c>
      <c r="E17499" s="6" t="n">
        <f aca="false">Sens!E17479</f>
        <v>21.79</v>
      </c>
      <c r="F17499" s="6" t="n">
        <f aca="false">Sens!F17479</f>
        <v>20.7520981041711</v>
      </c>
      <c r="G17499" s="6" t="n">
        <f aca="false">Sens!G17479</f>
        <v>19.9083593495882</v>
      </c>
      <c r="H17499" s="6" t="n">
        <f aca="false">Sens!H17479</f>
        <v>19.4008256265831</v>
      </c>
      <c r="I17499" s="6" t="n">
        <f aca="false">Sens!I17479</f>
        <v>19.200434522122</v>
      </c>
      <c r="J17499" s="6" t="n">
        <f aca="false">Sens!J17479</f>
        <v>19.2932782348507</v>
      </c>
      <c r="K17499" s="6" t="n">
        <f aca="false">Sens!K17479</f>
        <v>19.6791437995477</v>
      </c>
    </row>
    <row r="17500" customFormat="false" ht="15" hidden="false" customHeight="false" outlineLevel="0" collapsed="false">
      <c r="A17500" s="0" t="s">
        <v>1039</v>
      </c>
      <c r="B17500" s="0" t="s">
        <v>98</v>
      </c>
      <c r="D17500" s="6" t="n">
        <f aca="false">Sens!D17481</f>
        <v>17.315</v>
      </c>
      <c r="E17500" s="6" t="n">
        <f aca="false">Sens!E17481</f>
        <v>17.087</v>
      </c>
      <c r="F17500" s="6" t="n">
        <f aca="false">Sens!F17481</f>
        <v>15.9912273250553</v>
      </c>
      <c r="G17500" s="6" t="n">
        <f aca="false">Sens!G17481</f>
        <v>15.9574562664827</v>
      </c>
      <c r="H17500" s="6" t="n">
        <f aca="false">Sens!H17481</f>
        <v>16.0119687434196</v>
      </c>
      <c r="I17500" s="6" t="n">
        <f aca="false">Sens!I17481</f>
        <v>16.1551810001948</v>
      </c>
      <c r="J17500" s="6" t="n">
        <f aca="false">Sens!J17481</f>
        <v>16.3889793892005</v>
      </c>
      <c r="K17500" s="6" t="n">
        <f aca="false">Sens!K17481</f>
        <v>16.7167589769845</v>
      </c>
    </row>
    <row r="17501" customFormat="false" ht="15" hidden="false" customHeight="false" outlineLevel="0" collapsed="false">
      <c r="A17501" s="0" t="s">
        <v>866</v>
      </c>
      <c r="B17501" s="0" t="s">
        <v>98</v>
      </c>
      <c r="D17501" s="6" t="n">
        <f aca="false">Sens!D17483</f>
        <v>62.941</v>
      </c>
      <c r="E17501" s="6" t="n">
        <f aca="false">Sens!E17483</f>
        <v>63.712</v>
      </c>
      <c r="F17501" s="6" t="n">
        <f aca="false">Sens!F17483</f>
        <v>64.3025149952511</v>
      </c>
      <c r="G17501" s="6" t="n">
        <f aca="false">Sens!G17483</f>
        <v>66.2756719305292</v>
      </c>
      <c r="H17501" s="6" t="n">
        <f aca="false">Sens!H17483</f>
        <v>68.7139736271804</v>
      </c>
      <c r="I17501" s="6" t="n">
        <f aca="false">Sens!I17483</f>
        <v>71.5446393194289</v>
      </c>
      <c r="J17501" s="6" t="n">
        <f aca="false">Sens!J17483</f>
        <v>74.707035000971</v>
      </c>
      <c r="K17501" s="6" t="n">
        <f aca="false">Sens!K17483</f>
        <v>78.1524145698365</v>
      </c>
    </row>
    <row r="17502" customFormat="false" ht="15" hidden="false" customHeight="false" outlineLevel="0" collapsed="false">
      <c r="A17502" s="1" t="s">
        <v>1055</v>
      </c>
      <c r="B17502" s="0" t="s">
        <v>98</v>
      </c>
      <c r="D17502" s="6" t="n">
        <f aca="false">Sens!D17484</f>
        <v>281.724</v>
      </c>
      <c r="E17502" s="6" t="n">
        <f aca="false">Sens!E17484</f>
        <v>331.839</v>
      </c>
      <c r="F17502" s="6" t="n">
        <f aca="false">Sens!F17484</f>
        <v>394.447797055133</v>
      </c>
      <c r="G17502" s="6" t="n">
        <f aca="false">Sens!G17484</f>
        <v>458.93243179638</v>
      </c>
      <c r="H17502" s="6" t="n">
        <f aca="false">Sens!H17484</f>
        <v>519.258246925162</v>
      </c>
      <c r="I17502" s="6" t="n">
        <f aca="false">Sens!I17484</f>
        <v>582.236774445359</v>
      </c>
      <c r="J17502" s="6" t="n">
        <f aca="false">Sens!J17484</f>
        <v>635.123767630377</v>
      </c>
      <c r="K17502" s="6" t="n">
        <f aca="false">Sens!K17484</f>
        <v>678.284825162529</v>
      </c>
    </row>
    <row r="17503" customFormat="false" ht="15" hidden="false" customHeight="false" outlineLevel="0" collapsed="false">
      <c r="A17503" s="1" t="s">
        <v>1056</v>
      </c>
      <c r="B17503" s="0" t="s">
        <v>168</v>
      </c>
      <c r="E17503" s="7" t="n">
        <f aca="false">Sens!E17502/Sens!D17502-1</f>
        <v>0.177886867998467</v>
      </c>
      <c r="F17503" s="7" t="n">
        <f aca="false">Sens!F17502/Sens!E17502-1</f>
        <v>0.188672208676897</v>
      </c>
      <c r="G17503" s="7" t="n">
        <f aca="false">Sens!G17502/Sens!F17502-1</f>
        <v>0.16348078306604</v>
      </c>
      <c r="H17503" s="7" t="n">
        <f aca="false">Sens!H17502/Sens!G17502-1</f>
        <v>0.131448141271366</v>
      </c>
      <c r="I17503" s="7" t="n">
        <f aca="false">Sens!I17502/Sens!H17502-1</f>
        <v>0.121285560495438</v>
      </c>
      <c r="J17503" s="7" t="n">
        <f aca="false">Sens!J17502/Sens!I17502-1</f>
        <v>0.0908341683422489</v>
      </c>
      <c r="K17503" s="7" t="n">
        <f aca="false">Sens!K17502/Sens!J17502-1</f>
        <v>0.0679569238814417</v>
      </c>
    </row>
    <row r="17504" customFormat="false" ht="17.15" hidden="false" customHeight="false" outlineLevel="0" collapsed="false">
      <c r="A17504" s="26" t="s">
        <v>1057</v>
      </c>
      <c r="B17504" s="31" t="s">
        <v>98</v>
      </c>
      <c r="C17504" s="31"/>
      <c r="D17504" s="27" t="n">
        <f aca="false">(Sens!D17497+Sens!D17501-Sens!D17502)+(Sens!D17489+Sens!D17490-Sens!D17488)+(Sens!D17492+Sens!D17493-Sens!D17491)+(Sens!D17502-Q!L18)</f>
        <v>0</v>
      </c>
      <c r="E17504" s="27" t="n">
        <f aca="false">(Sens!E17497+Sens!E17501-Sens!E17502)+(Sens!E17489+Sens!E17490-Sens!E17488)+(Sens!E17492+Sens!E17493-Sens!E17491)+(Sens!E17502-Q!M18)</f>
        <v>0</v>
      </c>
      <c r="F17504" s="27" t="n">
        <f aca="false">(Sens!F17497+Sens!F17501-Sens!F17502)+(Sens!F17489+Sens!F17490-Sens!F17488)+(Sens!F17492+Sens!F17493-Sens!F17491)</f>
        <v>0</v>
      </c>
      <c r="G17504" s="27" t="n">
        <f aca="false">(Sens!G17497+Sens!G17501-Sens!G17502)+(Sens!G17489+Sens!G17490-Sens!G17488)+(Sens!G17492+Sens!G17493-Sens!G17491)</f>
        <v>0</v>
      </c>
      <c r="H17504" s="27" t="n">
        <f aca="false">(Sens!H17497+Sens!H17501-Sens!H17502)+(Sens!H17489+Sens!H17490-Sens!H17488)+(Sens!H17492+Sens!H17493-Sens!H17491)</f>
        <v>0</v>
      </c>
      <c r="I17504" s="27" t="n">
        <f aca="false">(Sens!I17497+Sens!I17501-Sens!I17502)+(Sens!I17489+Sens!I17490-Sens!I17488)+(Sens!I17492+Sens!I17493-Sens!I17491)</f>
        <v>0</v>
      </c>
      <c r="J17504" s="27" t="n">
        <f aca="false">(Sens!J17497+Sens!J17501-Sens!J17502)+(Sens!J17489+Sens!J17490-Sens!J17488)+(Sens!J17492+Sens!J17493-Sens!J17491)</f>
        <v>0</v>
      </c>
      <c r="K17504" s="27" t="n">
        <f aca="false">(Sens!K17497+Sens!K17501-Sens!K17502)+(Sens!K17489+Sens!K17490-Sens!K17488)+(Sens!K17492+Sens!K17493-Sens!K17491)</f>
        <v>0</v>
      </c>
    </row>
    <row r="17505" customFormat="false" ht="17.15" hidden="false" customHeight="false" outlineLevel="0" collapsed="false">
      <c r="A17505" s="0" t="s">
        <v>1058</v>
      </c>
      <c r="B17505" s="0" t="s">
        <v>168</v>
      </c>
      <c r="E17505" s="7" t="n">
        <f aca="false">(Q!M21+Sens!E17441+Sens!E17442+Sens!E17443+Sens!E17457-Sens!E17439)/(Q!M5-Sens!E17439)</f>
        <v>0.570957350878296</v>
      </c>
      <c r="F17505" s="7" t="n">
        <f aca="false">Sens!$E$17505+dm_seg</f>
        <v>0.570957350878296</v>
      </c>
      <c r="G17505" s="7" t="n">
        <f aca="false">Sens!$E$17505+dm_seg</f>
        <v>0.570957350878296</v>
      </c>
      <c r="H17505" s="7" t="n">
        <f aca="false">Sens!$E$17505+dm_seg</f>
        <v>0.570957350878296</v>
      </c>
      <c r="I17505" s="7" t="n">
        <f aca="false">Sens!$E$17505+dm_seg</f>
        <v>0.570957350878296</v>
      </c>
      <c r="J17505" s="7" t="n">
        <f aca="false">Sens!$E$17505+dm_seg</f>
        <v>0.570957350878296</v>
      </c>
      <c r="K17505" s="7" t="n">
        <f aca="false">Sens!$E$17505+dm_seg</f>
        <v>0.570957350878296</v>
      </c>
      <c r="L17505" s="12" t="s">
        <v>1059</v>
      </c>
    </row>
    <row r="17506" customFormat="false" ht="17.15" hidden="false" customHeight="false" outlineLevel="0" collapsed="false">
      <c r="A17506" s="0" t="s">
        <v>880</v>
      </c>
      <c r="B17506" s="0" t="s">
        <v>98</v>
      </c>
      <c r="D17506" s="6" t="n">
        <f aca="false">Q!L21</f>
        <v>110.814</v>
      </c>
      <c r="E17506" s="6" t="n">
        <f aca="false">Q!M21</f>
        <v>136.365</v>
      </c>
      <c r="F17506" s="6" t="n">
        <f aca="false">Q!$I$21+(Sens!F17505*(Sens!F17476-Sens!F17439)+Sens!F17439-(Sens!F17441+Sens!F17442+Sens!F17443)-Sens!F17457-Sens!F17540)*(Sens!F17476-Q!$I$5)/Sens!F17476</f>
        <v>158.110234156687</v>
      </c>
      <c r="G17506" s="6" t="n">
        <f aca="false">(Sens!G17505*(Sens!G17476-Sens!G17439)+Sens!G17439-(Sens!G17441+Sens!G17442+Sens!G17443)-Sens!G17457-Sens!G17540)</f>
        <v>161.288737768095</v>
      </c>
      <c r="H17506" s="6" t="n">
        <f aca="false">(Sens!H17505*(Sens!H17476-Sens!H17439)+Sens!H17439-(Sens!H17441+Sens!H17442+Sens!H17443)-Sens!H17457-Sens!H17540)</f>
        <v>162.750449226018</v>
      </c>
      <c r="I17506" s="6" t="n">
        <f aca="false">(Sens!I17505*(Sens!I17476-Sens!I17439)+Sens!I17439-(Sens!I17441+Sens!I17442+Sens!I17443)-Sens!I17457-Sens!I17540)</f>
        <v>172.031140185604</v>
      </c>
      <c r="J17506" s="6" t="n">
        <f aca="false">(Sens!J17505*(Sens!J17476-Sens!J17439)+Sens!J17439-(Sens!J17441+Sens!J17442+Sens!J17443)-Sens!J17457-Sens!J17540)</f>
        <v>182.855335729531</v>
      </c>
      <c r="K17506" s="6" t="n">
        <f aca="false">(Sens!K17505*(Sens!K17476-Sens!K17439)+Sens!K17439-(Sens!K17441+Sens!K17442+Sens!K17443)-Sens!K17457-Sens!K17540)</f>
        <v>195.088404864353</v>
      </c>
      <c r="L17506" s="1" t="s">
        <v>1060</v>
      </c>
    </row>
    <row r="17507" customFormat="false" ht="17.15" hidden="false" customHeight="false" outlineLevel="0" collapsed="false">
      <c r="A17507" s="0" t="s">
        <v>1061</v>
      </c>
      <c r="B17507" s="0" t="s">
        <v>168</v>
      </c>
      <c r="E17507" s="7" t="n">
        <f aca="false">Q!M22/Q!M12</f>
        <v>0.296207935710698</v>
      </c>
      <c r="F17507" s="7" t="n">
        <f aca="false">Sens!$E$17507+dm_seg</f>
        <v>0.296207935710698</v>
      </c>
      <c r="G17507" s="7" t="n">
        <f aca="false">Sens!$E$17507+dm_seg</f>
        <v>0.296207935710698</v>
      </c>
      <c r="H17507" s="7" t="n">
        <f aca="false">Sens!$E$17507+dm_seg</f>
        <v>0.296207935710698</v>
      </c>
      <c r="I17507" s="7" t="n">
        <f aca="false">Sens!$E$17507+dm_seg</f>
        <v>0.296207935710698</v>
      </c>
      <c r="J17507" s="7" t="n">
        <f aca="false">Sens!$E$17507+dm_seg</f>
        <v>0.296207935710698</v>
      </c>
      <c r="K17507" s="7" t="n">
        <f aca="false">Sens!$E$17507+dm_seg</f>
        <v>0.296207935710698</v>
      </c>
      <c r="L17507" s="12" t="s">
        <v>1062</v>
      </c>
    </row>
    <row r="17508" customFormat="false" ht="17.15" hidden="false" customHeight="false" outlineLevel="0" collapsed="false">
      <c r="A17508" s="0" t="s">
        <v>882</v>
      </c>
      <c r="B17508" s="0" t="s">
        <v>98</v>
      </c>
      <c r="D17508" s="6" t="n">
        <f aca="false">Q!L22</f>
        <v>17.714</v>
      </c>
      <c r="E17508" s="6" t="n">
        <f aca="false">Q!M22</f>
        <v>18.872</v>
      </c>
      <c r="F17508" s="6" t="n">
        <f aca="false">Q!$I$22+(Sens!F17483-Q!$I$12)*Sens!F17507</f>
        <v>19.8174315512051</v>
      </c>
      <c r="G17508" s="6" t="n">
        <f aca="false">Sens!G17483*Sens!G17507</f>
        <v>19.6313799703815</v>
      </c>
      <c r="H17508" s="6" t="n">
        <f aca="false">Sens!H17483*Sens!H17507</f>
        <v>20.3536242825865</v>
      </c>
      <c r="I17508" s="6" t="n">
        <f aca="false">Sens!I17483*Sens!I17507</f>
        <v>21.1920899239745</v>
      </c>
      <c r="J17508" s="6" t="n">
        <f aca="false">Sens!J17483*Sens!J17507</f>
        <v>22.1288166207045</v>
      </c>
      <c r="K17508" s="6" t="n">
        <f aca="false">Sens!K17483*Sens!K17507</f>
        <v>23.1493653905379</v>
      </c>
      <c r="L17508" s="12" t="s">
        <v>1063</v>
      </c>
    </row>
    <row r="17509" customFormat="false" ht="15" hidden="false" customHeight="false" outlineLevel="0" collapsed="false">
      <c r="A17509" s="1" t="s">
        <v>1064</v>
      </c>
      <c r="B17509" s="0" t="s">
        <v>98</v>
      </c>
      <c r="D17509" s="6" t="n">
        <f aca="false">Sens!D17506+Sens!D17508</f>
        <v>128.528</v>
      </c>
      <c r="E17509" s="6" t="n">
        <f aca="false">Sens!E17506+Sens!E17508</f>
        <v>155.237</v>
      </c>
      <c r="F17509" s="6" t="n">
        <f aca="false">Sens!F17506+Sens!F17508</f>
        <v>177.927665707892</v>
      </c>
      <c r="G17509" s="6" t="n">
        <f aca="false">Sens!G17506+Sens!G17508</f>
        <v>180.920117738477</v>
      </c>
      <c r="H17509" s="6" t="n">
        <f aca="false">Sens!H17506+Sens!H17508</f>
        <v>183.104073508605</v>
      </c>
      <c r="I17509" s="6" t="n">
        <f aca="false">Sens!I17506+Sens!I17508</f>
        <v>193.223230109579</v>
      </c>
      <c r="J17509" s="6" t="n">
        <f aca="false">Sens!J17506+Sens!J17508</f>
        <v>204.984152350235</v>
      </c>
      <c r="K17509" s="6" t="n">
        <f aca="false">Sens!K17506+Sens!K17508</f>
        <v>218.237770254891</v>
      </c>
    </row>
    <row r="17510" customFormat="false" ht="15" hidden="false" customHeight="false" outlineLevel="0" collapsed="false">
      <c r="A17510" s="26" t="s">
        <v>1065</v>
      </c>
      <c r="B17510" s="31" t="s">
        <v>98</v>
      </c>
      <c r="C17510" s="31"/>
      <c r="D17510" s="27" t="n">
        <f aca="false">Sens!D17509-Q!L23</f>
        <v>0</v>
      </c>
      <c r="E17510" s="27" t="n">
        <f aca="false">Sens!E17509-Q!M23</f>
        <v>0</v>
      </c>
      <c r="F17510" s="31"/>
      <c r="G17510" s="31"/>
      <c r="H17510" s="31"/>
      <c r="I17510" s="31"/>
      <c r="J17510" s="31"/>
      <c r="K17510" s="31"/>
    </row>
    <row r="17511" customFormat="false" ht="15" hidden="false" customHeight="false" outlineLevel="0" collapsed="false">
      <c r="A17511" s="1" t="s">
        <v>1066</v>
      </c>
      <c r="B17511" s="0" t="s">
        <v>168</v>
      </c>
      <c r="D17511" s="7" t="n">
        <f aca="false">Sens!D17509/Sens!D17502</f>
        <v>0.456219562408598</v>
      </c>
      <c r="E17511" s="7" t="n">
        <f aca="false">Sens!E17509/Sens!E17502</f>
        <v>0.467808184089272</v>
      </c>
      <c r="F17511" s="7" t="n">
        <f aca="false">Sens!F17509/Sens!F17502</f>
        <v>0.451080388929191</v>
      </c>
      <c r="G17511" s="7" t="n">
        <f aca="false">Sens!G17509/Sens!G17502</f>
        <v>0.394219508589333</v>
      </c>
      <c r="H17511" s="7" t="n">
        <f aca="false">Sens!H17509/Sens!H17502</f>
        <v>0.352626221331819</v>
      </c>
      <c r="I17511" s="7" t="n">
        <f aca="false">Sens!I17509/Sens!I17502</f>
        <v>0.331863665419698</v>
      </c>
      <c r="J17511" s="7" t="n">
        <f aca="false">Sens!J17509/Sens!J17502</f>
        <v>0.32274678227682</v>
      </c>
      <c r="K17511" s="7" t="n">
        <f aca="false">Sens!K17509/Sens!K17502</f>
        <v>0.3217494512023</v>
      </c>
    </row>
    <row r="17512" customFormat="false" ht="17.15" hidden="false" customHeight="false" outlineLevel="0" collapsed="false">
      <c r="A17512" s="1" t="s">
        <v>1067</v>
      </c>
      <c r="B17512" s="0" t="s">
        <v>98</v>
      </c>
      <c r="F17512" s="6" t="n">
        <f aca="false">Sens!F17527</f>
        <v>10.5962787979473</v>
      </c>
      <c r="G17512" s="6" t="n">
        <f aca="false">Sens!G17527</f>
        <v>27.844646674932</v>
      </c>
      <c r="H17512" s="6" t="n">
        <f aca="false">Sens!H17527</f>
        <v>46.566205501382</v>
      </c>
      <c r="I17512" s="6" t="n">
        <f aca="false">Sens!I17527</f>
        <v>63.2717778126444</v>
      </c>
      <c r="J17512" s="6" t="n">
        <f aca="false">Sens!J17527</f>
        <v>74.9061222882009</v>
      </c>
      <c r="K17512" s="6" t="n">
        <f aca="false">Sens!K17527</f>
        <v>81.6395437180232</v>
      </c>
      <c r="L17512" s="1" t="s">
        <v>1068</v>
      </c>
    </row>
    <row r="17513" customFormat="false" ht="17.15" hidden="false" customHeight="false" outlineLevel="0" collapsed="false">
      <c r="A17513" s="1" t="s">
        <v>1069</v>
      </c>
      <c r="B17513" s="0" t="s">
        <v>98</v>
      </c>
      <c r="D17513" s="6" t="n">
        <f aca="false">Sens!D17509</f>
        <v>128.528</v>
      </c>
      <c r="E17513" s="6" t="n">
        <f aca="false">Sens!E17509</f>
        <v>155.237</v>
      </c>
      <c r="F17513" s="6" t="n">
        <f aca="false">Sens!F17509+Sens!F17512</f>
        <v>188.523944505839</v>
      </c>
      <c r="G17513" s="6" t="n">
        <f aca="false">Sens!G17509+Sens!G17512</f>
        <v>208.764764413409</v>
      </c>
      <c r="H17513" s="6" t="n">
        <f aca="false">Sens!H17509+Sens!H17512</f>
        <v>229.670279009987</v>
      </c>
      <c r="I17513" s="6" t="n">
        <f aca="false">Sens!I17509+Sens!I17512</f>
        <v>256.495007922223</v>
      </c>
      <c r="J17513" s="6" t="n">
        <f aca="false">Sens!J17509+Sens!J17512</f>
        <v>279.890274638436</v>
      </c>
      <c r="K17513" s="6" t="n">
        <f aca="false">Sens!K17509+Sens!K17512</f>
        <v>299.877313972915</v>
      </c>
    </row>
    <row r="17514" customFormat="false" ht="17.15" hidden="false" customHeight="false" outlineLevel="0" collapsed="false">
      <c r="A17514" s="1" t="s">
        <v>1070</v>
      </c>
      <c r="B17514" s="0" t="s">
        <v>98</v>
      </c>
      <c r="E17514" s="6" t="n">
        <f aca="false">Sens!E17457</f>
        <v>16.3054059770833</v>
      </c>
      <c r="F17514" s="6" t="n">
        <f aca="false">Sens!F17457</f>
        <v>34.5793144783516</v>
      </c>
      <c r="G17514" s="6" t="n">
        <f aca="false">Sens!G17457</f>
        <v>60.7344906522989</v>
      </c>
      <c r="H17514" s="6" t="n">
        <f aca="false">Sens!H17457</f>
        <v>89.1000906614457</v>
      </c>
      <c r="I17514" s="6" t="n">
        <f aca="false">Sens!I17457</f>
        <v>114.231009694548</v>
      </c>
      <c r="J17514" s="6" t="n">
        <f aca="false">Sens!J17457</f>
        <v>132.015673049596</v>
      </c>
      <c r="K17514" s="6" t="n">
        <f aca="false">Sens!K17457</f>
        <v>143.012669550934</v>
      </c>
    </row>
    <row r="17515" customFormat="false" ht="17.15" hidden="false" customHeight="false" outlineLevel="0" collapsed="false">
      <c r="A17515" s="1" t="s">
        <v>1071</v>
      </c>
      <c r="B17515" s="0" t="s">
        <v>98</v>
      </c>
      <c r="E17515" s="6" t="n">
        <f aca="false">Sens!E17539</f>
        <v>22.2285940229167</v>
      </c>
      <c r="F17515" s="6" t="n">
        <f aca="false">Sens!F17539</f>
        <v>23.5883405279552</v>
      </c>
      <c r="G17515" s="6" t="n">
        <f aca="false">Sens!G17539</f>
        <v>25.347608709247</v>
      </c>
      <c r="H17515" s="6" t="n">
        <f aca="false">Sens!H17539</f>
        <v>27.4750934833125</v>
      </c>
      <c r="I17515" s="6" t="n">
        <f aca="false">Sens!I17539</f>
        <v>29.9140127982598</v>
      </c>
      <c r="J17515" s="6" t="n">
        <f aca="false">Sens!J17539</f>
        <v>32.5895147654561</v>
      </c>
      <c r="K17515" s="6" t="n">
        <f aca="false">Sens!K17539</f>
        <v>35.4171979437481</v>
      </c>
    </row>
    <row r="17516" customFormat="false" ht="17.15" hidden="false" customHeight="false" outlineLevel="0" collapsed="false">
      <c r="A17516" s="1" t="s">
        <v>1072</v>
      </c>
      <c r="B17516" s="0" t="s">
        <v>98</v>
      </c>
      <c r="D17516" s="6" t="n">
        <f aca="false">Q!L27</f>
        <v>-4.901</v>
      </c>
      <c r="E17516" s="6" t="n">
        <f aca="false">Q!M27</f>
        <v>10.697</v>
      </c>
      <c r="F17516" s="6" t="n">
        <f aca="false">Q!$I$27+oie_f*(q_per_yr-1)/q_per_yr</f>
        <v>-0.862</v>
      </c>
      <c r="G17516" s="6" t="n">
        <f aca="false">oie_f</f>
        <v>-1.2</v>
      </c>
      <c r="H17516" s="6" t="n">
        <f aca="false">oie_f</f>
        <v>-1.2</v>
      </c>
      <c r="I17516" s="6" t="n">
        <f aca="false">oie_f</f>
        <v>-1.2</v>
      </c>
      <c r="J17516" s="6" t="n">
        <f aca="false">oie_f</f>
        <v>-1.2</v>
      </c>
      <c r="K17516" s="6" t="n">
        <f aca="false">oie_f</f>
        <v>-1.2</v>
      </c>
      <c r="L17516" s="12" t="s">
        <v>1073</v>
      </c>
    </row>
    <row r="17517" customFormat="false" ht="15" hidden="false" customHeight="false" outlineLevel="0" collapsed="false">
      <c r="A17517" s="1" t="s">
        <v>1074</v>
      </c>
      <c r="B17517" s="0" t="s">
        <v>98</v>
      </c>
      <c r="D17517" s="6" t="n">
        <f aca="false">Sens!D17509+Sens!D17516</f>
        <v>123.627</v>
      </c>
      <c r="E17517" s="6" t="n">
        <f aca="false">Sens!E17509+Sens!E17516</f>
        <v>165.934</v>
      </c>
      <c r="F17517" s="6" t="n">
        <f aca="false">Sens!F17509+Sens!F17516</f>
        <v>177.065665707892</v>
      </c>
      <c r="G17517" s="6" t="n">
        <f aca="false">Sens!G17509+Sens!G17516</f>
        <v>179.720117738477</v>
      </c>
      <c r="H17517" s="6" t="n">
        <f aca="false">Sens!H17509+Sens!H17516</f>
        <v>181.904073508605</v>
      </c>
      <c r="I17517" s="6" t="n">
        <f aca="false">Sens!I17509+Sens!I17516</f>
        <v>192.023230109579</v>
      </c>
      <c r="J17517" s="6" t="n">
        <f aca="false">Sens!J17509+Sens!J17516</f>
        <v>203.784152350235</v>
      </c>
      <c r="K17517" s="6" t="n">
        <f aca="false">Sens!K17509+Sens!K17516</f>
        <v>217.037770254891</v>
      </c>
    </row>
    <row r="17518" customFormat="false" ht="15" hidden="false" customHeight="false" outlineLevel="0" collapsed="false">
      <c r="A17518" s="1" t="s">
        <v>1075</v>
      </c>
      <c r="B17518" s="0" t="s">
        <v>98</v>
      </c>
      <c r="D17518" s="6" t="n">
        <f aca="false">Q!L29</f>
        <v>21.795</v>
      </c>
      <c r="E17518" s="6" t="n">
        <f aca="false">Q!M29</f>
        <v>32.185</v>
      </c>
      <c r="F17518" s="6" t="n">
        <f aca="false">Q!$I$29+(Sens!F17517-Q!$I$28)*tax_f</f>
        <v>35.5465331415784</v>
      </c>
      <c r="G17518" s="6" t="n">
        <f aca="false">Sens!G17517*tax_f</f>
        <v>35.9440235476954</v>
      </c>
      <c r="H17518" s="6" t="n">
        <f aca="false">Sens!H17517*tax_f</f>
        <v>36.380814701721</v>
      </c>
      <c r="I17518" s="6" t="n">
        <f aca="false">Sens!I17517*tax_f</f>
        <v>38.4046460219157</v>
      </c>
      <c r="J17518" s="6" t="n">
        <f aca="false">Sens!J17517*tax_f</f>
        <v>40.756830470047</v>
      </c>
      <c r="K17518" s="6" t="n">
        <f aca="false">Sens!K17517*tax_f</f>
        <v>43.4075540509783</v>
      </c>
    </row>
    <row r="17519" customFormat="false" ht="15" hidden="false" customHeight="false" outlineLevel="0" collapsed="false">
      <c r="A17519" s="1" t="s">
        <v>1076</v>
      </c>
      <c r="B17519" s="0" t="s">
        <v>98</v>
      </c>
      <c r="D17519" s="6" t="n">
        <f aca="false">Sens!D17517-Sens!D17518</f>
        <v>101.832</v>
      </c>
      <c r="E17519" s="6" t="n">
        <f aca="false">Sens!E17517-Sens!E17518</f>
        <v>133.749</v>
      </c>
      <c r="F17519" s="6" t="n">
        <f aca="false">Sens!F17517-Sens!F17518</f>
        <v>141.519132566314</v>
      </c>
      <c r="G17519" s="6" t="n">
        <f aca="false">Sens!G17517-Sens!G17518</f>
        <v>143.776094190781</v>
      </c>
      <c r="H17519" s="6" t="n">
        <f aca="false">Sens!H17517-Sens!H17518</f>
        <v>145.523258806884</v>
      </c>
      <c r="I17519" s="6" t="n">
        <f aca="false">Sens!I17517-Sens!I17518</f>
        <v>153.618584087663</v>
      </c>
      <c r="J17519" s="6" t="n">
        <f aca="false">Sens!J17517-Sens!J17518</f>
        <v>163.027321880188</v>
      </c>
      <c r="K17519" s="6" t="n">
        <f aca="false">Sens!K17517-Sens!K17518</f>
        <v>173.630216203913</v>
      </c>
    </row>
    <row r="17520" customFormat="false" ht="17.15" hidden="false" customHeight="false" outlineLevel="0" collapsed="false">
      <c r="A17520" s="1" t="s">
        <v>1077</v>
      </c>
      <c r="B17520" s="1" t="s">
        <v>81</v>
      </c>
      <c r="D17520" s="15" t="n">
        <f aca="false">Q!L31</f>
        <v>7.465</v>
      </c>
      <c r="E17520" s="15" t="n">
        <f aca="false">Q!M31</f>
        <v>7.453</v>
      </c>
      <c r="F17520" s="15" t="n">
        <f aca="false">Sens!F17564</f>
        <v>7.4735</v>
      </c>
      <c r="G17520" s="15" t="n">
        <f aca="false">Sens!G17564</f>
        <v>7.5185</v>
      </c>
      <c r="H17520" s="15" t="n">
        <f aca="false">Sens!H17564</f>
        <v>7.5635</v>
      </c>
      <c r="I17520" s="15" t="n">
        <f aca="false">Sens!I17564</f>
        <v>7.59248142502667</v>
      </c>
      <c r="J17520" s="15" t="n">
        <f aca="false">Sens!J17564</f>
        <v>7.60663083618914</v>
      </c>
      <c r="K17520" s="15" t="n">
        <f aca="false">Sens!K17564</f>
        <v>7.62306547615439</v>
      </c>
    </row>
    <row r="17521" customFormat="false" ht="17.15" hidden="false" customHeight="false" outlineLevel="0" collapsed="false">
      <c r="A17521" s="0" t="s">
        <v>1078</v>
      </c>
      <c r="B17521" s="0" t="s">
        <v>75</v>
      </c>
      <c r="D17521" s="8" t="n">
        <f aca="false">Sens!D17519/Sens!D17520</f>
        <v>13.641259209645</v>
      </c>
      <c r="E17521" s="8" t="n">
        <f aca="false">Sens!E17519/Sens!E17520</f>
        <v>17.9456594659869</v>
      </c>
      <c r="F17521" s="8" t="n">
        <f aca="false">Sens!F17519/Sens!F17520</f>
        <v>18.9361253182998</v>
      </c>
      <c r="G17521" s="8" t="n">
        <f aca="false">Sens!G17519/Sens!G17520</f>
        <v>19.1229758849214</v>
      </c>
      <c r="H17521" s="8" t="n">
        <f aca="false">Sens!H17519/Sens!H17520</f>
        <v>19.2402008074151</v>
      </c>
      <c r="I17521" s="8" t="n">
        <f aca="false">Sens!I17519/Sens!I17520</f>
        <v>20.2329878057125</v>
      </c>
      <c r="J17521" s="8" t="n">
        <f aca="false">Sens!J17519/Sens!J17520</f>
        <v>21.4322642167111</v>
      </c>
      <c r="K17521" s="8" t="n">
        <f aca="false">Sens!K17519/Sens!K17520</f>
        <v>22.7769545922232</v>
      </c>
      <c r="L17521" s="1" t="s">
        <v>1079</v>
      </c>
    </row>
    <row r="17522" customFormat="false" ht="17.15" hidden="false" customHeight="false" outlineLevel="0" collapsed="false">
      <c r="A17522" s="1" t="s">
        <v>1080</v>
      </c>
      <c r="B17522" s="0" t="s">
        <v>98</v>
      </c>
      <c r="D17522" s="6" t="n">
        <f aca="false">Sens!D17519</f>
        <v>101.832</v>
      </c>
      <c r="E17522" s="6" t="n">
        <f aca="false">Sens!E17519</f>
        <v>133.749</v>
      </c>
      <c r="F17522" s="6" t="n">
        <f aca="false">Sens!F17519+Sens!F17512*(1-tax_f)</f>
        <v>149.996155604671</v>
      </c>
      <c r="G17522" s="6" t="n">
        <f aca="false">Sens!G17519+Sens!G17512*(1-tax_f)</f>
        <v>166.051811530727</v>
      </c>
      <c r="H17522" s="6" t="n">
        <f aca="false">Sens!H17519+Sens!H17512*(1-tax_f)</f>
        <v>182.776223207989</v>
      </c>
      <c r="I17522" s="6" t="n">
        <f aca="false">Sens!I17519+Sens!I17512*(1-tax_f)</f>
        <v>204.236006337778</v>
      </c>
      <c r="J17522" s="6" t="n">
        <f aca="false">Sens!J17519+Sens!J17512*(1-tax_f)</f>
        <v>222.952219710749</v>
      </c>
      <c r="K17522" s="6" t="n">
        <f aca="false">Sens!K17519+Sens!K17512*(1-tax_f)</f>
        <v>238.941851178332</v>
      </c>
    </row>
    <row r="17523" customFormat="false" ht="17.15" hidden="false" customHeight="false" outlineLevel="0" collapsed="false">
      <c r="A17523" s="0" t="s">
        <v>1081</v>
      </c>
      <c r="B17523" s="0" t="s">
        <v>75</v>
      </c>
      <c r="D17523" s="8" t="n">
        <f aca="false">Sens!D17522/Sens!D17520</f>
        <v>13.641259209645</v>
      </c>
      <c r="E17523" s="8" t="n">
        <f aca="false">Sens!E17522/Sens!E17520</f>
        <v>17.9456594659869</v>
      </c>
      <c r="F17523" s="8" t="n">
        <f aca="false">Sens!F17522/Sens!F17520</f>
        <v>20.0704028373147</v>
      </c>
      <c r="G17523" s="8" t="n">
        <f aca="false">Sens!G17522/Sens!G17520</f>
        <v>22.0857633212379</v>
      </c>
      <c r="H17523" s="8" t="n">
        <f aca="false">Sens!H17522/Sens!H17520</f>
        <v>24.1655613417055</v>
      </c>
      <c r="I17523" s="8" t="n">
        <f aca="false">Sens!I17522/Sens!I17520</f>
        <v>26.8997702996766</v>
      </c>
      <c r="J17523" s="8" t="n">
        <f aca="false">Sens!J17522/Sens!J17520</f>
        <v>29.3102458252655</v>
      </c>
      <c r="K17523" s="8" t="n">
        <f aca="false">Sens!K17522/Sens!K17520</f>
        <v>31.3445885944129</v>
      </c>
      <c r="L17523" s="1" t="s">
        <v>1082</v>
      </c>
    </row>
    <row r="17524" customFormat="false" ht="17.15" hidden="false" customHeight="false" outlineLevel="0" collapsed="false">
      <c r="A17524" s="0" t="s">
        <v>1083</v>
      </c>
      <c r="B17524" s="0" t="s">
        <v>168</v>
      </c>
      <c r="E17524" s="7" t="n">
        <f aca="false">Sens!E17523/Sens!D17523-1</f>
        <v>0.315542736208578</v>
      </c>
      <c r="F17524" s="7" t="n">
        <f aca="false">Sens!F17523/Sens!E17523-1</f>
        <v>0.118398734543858</v>
      </c>
      <c r="G17524" s="7" t="n">
        <f aca="false">Sens!G17523/Sens!F17523-1</f>
        <v>0.100414550732198</v>
      </c>
      <c r="H17524" s="7" t="n">
        <f aca="false">Sens!H17523/Sens!G17523-1</f>
        <v>0.0941691708915331</v>
      </c>
      <c r="I17524" s="7" t="n">
        <f aca="false">Sens!I17523/Sens!H17523-1</f>
        <v>0.113144855991916</v>
      </c>
      <c r="J17524" s="7" t="n">
        <f aca="false">Sens!J17523/Sens!I17523-1</f>
        <v>0.0896095207778762</v>
      </c>
      <c r="K17524" s="7" t="n">
        <f aca="false">Sens!K17523/Sens!J17523-1</f>
        <v>0.0694072230330376</v>
      </c>
    </row>
    <row r="17525" customFormat="false" ht="17.15" hidden="false" customHeight="false" outlineLevel="0" collapsed="false">
      <c r="A17525" s="0" t="s">
        <v>1003</v>
      </c>
      <c r="B17525" s="0" t="s">
        <v>98</v>
      </c>
      <c r="E17525" s="6" t="n">
        <f aca="false">Sens!E17466</f>
        <v>5.25</v>
      </c>
      <c r="F17525" s="6" t="n">
        <f aca="false">Sens!F17466</f>
        <v>10.5</v>
      </c>
      <c r="G17525" s="6" t="n">
        <f aca="false">Sens!G17466</f>
        <v>13.5</v>
      </c>
      <c r="H17525" s="6" t="n">
        <f aca="false">Sens!H17466</f>
        <v>16.5</v>
      </c>
      <c r="I17525" s="6" t="n">
        <f aca="false">Sens!I17466</f>
        <v>18.75</v>
      </c>
      <c r="J17525" s="6" t="n">
        <f aca="false">Sens!J17466</f>
        <v>20.25</v>
      </c>
      <c r="K17525" s="6" t="n">
        <f aca="false">Sens!K17466</f>
        <v>21.75</v>
      </c>
    </row>
    <row r="17526" customFormat="false" ht="17.15" hidden="false" customHeight="false" outlineLevel="0" collapsed="false">
      <c r="A17526" s="1" t="s">
        <v>1004</v>
      </c>
      <c r="B17526" s="0" t="s">
        <v>98</v>
      </c>
      <c r="F17526" s="6" t="n">
        <f aca="false">MAX(0,((Sens!E17426+Sens!F17426)/2-(shadow_base*(Sens!$D$17426+Sens!$E$17426)/2+(1-shadow_base)*Sens!$E$17426))*Sens!F17435/1000-(Sens!F17525-Sens!$E$17525)*Sens!F17505)</f>
        <v>10.5962787979473</v>
      </c>
      <c r="G17526" s="6" t="n">
        <f aca="false">MAX(0,((Sens!F17426+Sens!G17426)/2-(shadow_base*(Sens!$D$17426+Sens!$E$17426)/2+(1-shadow_base)*Sens!$E$17426))*Sens!G17435/1000-(Sens!G17525-Sens!$E$17525)*Sens!G17505)</f>
        <v>27.844646674932</v>
      </c>
      <c r="H17526" s="6" t="n">
        <f aca="false">MAX(0,((Sens!G17426+Sens!H17426)/2-(shadow_base*(Sens!$D$17426+Sens!$E$17426)/2+(1-shadow_base)*Sens!$E$17426))*Sens!H17435/1000-(Sens!H17525-Sens!$E$17525)*Sens!H17505)</f>
        <v>46.566205501382</v>
      </c>
      <c r="I17526" s="6" t="n">
        <f aca="false">MAX(0,((Sens!H17426+Sens!I17426)/2-(shadow_base*(Sens!$D$17426+Sens!$E$17426)/2+(1-shadow_base)*Sens!$E$17426))*Sens!I17435/1000-(Sens!I17525-Sens!$E$17525)*Sens!I17505)</f>
        <v>63.2717778126444</v>
      </c>
      <c r="J17526" s="6" t="n">
        <f aca="false">MAX(0,((Sens!I17426+Sens!J17426)/2-(shadow_base*(Sens!$D$17426+Sens!$E$17426)/2+(1-shadow_base)*Sens!$E$17426))*Sens!J17435/1000-(Sens!J17525-Sens!$E$17525)*Sens!J17505)</f>
        <v>74.9061222882009</v>
      </c>
      <c r="K17526" s="6" t="n">
        <f aca="false">MAX(0,((Sens!J17426+Sens!K17426)/2-(shadow_base*(Sens!$D$17426+Sens!$E$17426)/2+(1-shadow_base)*Sens!$E$17426))*Sens!K17435/1000-(Sens!K17525-Sens!$E$17525)*Sens!K17505)</f>
        <v>81.6395437180232</v>
      </c>
      <c r="L17526" s="1" t="s">
        <v>1005</v>
      </c>
    </row>
    <row r="17527" customFormat="false" ht="17.15" hidden="false" customHeight="false" outlineLevel="0" collapsed="false">
      <c r="A17527" s="1" t="s">
        <v>1006</v>
      </c>
      <c r="B17527" s="0" t="s">
        <v>98</v>
      </c>
      <c r="F17527" s="6" t="n">
        <f aca="false">IF(internal_ai_reading=2,1,0)*Sens!F17526</f>
        <v>10.5962787979473</v>
      </c>
      <c r="G17527" s="6" t="n">
        <f aca="false">IF(internal_ai_reading=2,1,0)*Sens!G17526</f>
        <v>27.844646674932</v>
      </c>
      <c r="H17527" s="6" t="n">
        <f aca="false">IF(internal_ai_reading=2,1,0)*Sens!H17526</f>
        <v>46.566205501382</v>
      </c>
      <c r="I17527" s="6" t="n">
        <f aca="false">IF(internal_ai_reading=2,1,0)*Sens!I17526</f>
        <v>63.2717778126444</v>
      </c>
      <c r="J17527" s="6" t="n">
        <f aca="false">IF(internal_ai_reading=2,1,0)*Sens!J17526</f>
        <v>74.9061222882009</v>
      </c>
      <c r="K17527" s="6" t="n">
        <f aca="false">IF(internal_ai_reading=2,1,0)*Sens!K17526</f>
        <v>81.6395437180232</v>
      </c>
    </row>
    <row r="17528" customFormat="false" ht="17.15" hidden="false" customHeight="false" outlineLevel="0" collapsed="false">
      <c r="A17528" s="0" t="s">
        <v>1007</v>
      </c>
      <c r="B17528" s="0" t="s">
        <v>98</v>
      </c>
      <c r="F17528" s="6" t="n">
        <f aca="false">Sens!F17445+Sens!F17525*Sens!F17505+Sens!F17527-Sens!F17446-Sens!F17457</f>
        <v>10.3853806853618</v>
      </c>
      <c r="G17528" s="6" t="n">
        <f aca="false">Sens!G17445+Sens!G17525*Sens!G17505+Sens!G17527-Sens!G17446-Sens!G17457</f>
        <v>16.4389313105741</v>
      </c>
      <c r="H17528" s="6" t="n">
        <f aca="false">Sens!H17445+Sens!H17525*Sens!H17505+Sens!H17527-Sens!H17446-Sens!H17457</f>
        <v>17.135416308873</v>
      </c>
      <c r="I17528" s="6" t="n">
        <f aca="false">Sens!I17445+Sens!I17525*Sens!I17505+Sens!I17527-Sens!I17446-Sens!I17457</f>
        <v>24.1293804008657</v>
      </c>
      <c r="J17528" s="6" t="n">
        <f aca="false">Sens!J17445+Sens!J17525*Sens!J17505+Sens!J17527-Sens!J17446-Sens!J17457</f>
        <v>28.8545659869181</v>
      </c>
      <c r="K17528" s="6" t="n">
        <f aca="false">Sens!K17445+Sens!K17525*Sens!K17505+Sens!K17527-Sens!K17446-Sens!K17457</f>
        <v>32.13747485251</v>
      </c>
    </row>
    <row r="17529" customFormat="false" ht="17.15" hidden="false" customHeight="false" outlineLevel="0" collapsed="false">
      <c r="A17529" s="0" t="s">
        <v>1008</v>
      </c>
      <c r="B17529" s="0" t="s">
        <v>98</v>
      </c>
      <c r="E17529" s="6" t="n">
        <f aca="false">Sens!E17425*(cxit_open+self_build*tk_cxfac)/1000*ai_net_open</f>
        <v>126.6980382</v>
      </c>
      <c r="F17529" s="6" t="n">
        <f aca="false">Sens!E17529+Sens!F17454-Sens!F17457</f>
        <v>260.572627763768</v>
      </c>
      <c r="G17529" s="6" t="n">
        <f aca="false">Sens!F17529+Sens!G17454-Sens!G17457</f>
        <v>391.782612760517</v>
      </c>
      <c r="H17529" s="6" t="n">
        <f aca="false">Sens!G17529+Sens!H17454-Sens!H17457</f>
        <v>499.488526163584</v>
      </c>
      <c r="I17529" s="6" t="n">
        <f aca="false">Sens!H17529+Sens!I17454-Sens!I17457</f>
        <v>553.872350090646</v>
      </c>
      <c r="J17529" s="6" t="n">
        <f aca="false">Sens!I17529+Sens!J17454-Sens!J17457</f>
        <v>550.78660823699</v>
      </c>
      <c r="K17529" s="6" t="n">
        <f aca="false">Sens!J17529+Sens!K17454-Sens!K17457</f>
        <v>526.736791750789</v>
      </c>
      <c r="L17529" s="1" t="s">
        <v>1009</v>
      </c>
    </row>
    <row r="17530" customFormat="false" ht="17.15" hidden="false" customHeight="false" outlineLevel="0" collapsed="false">
      <c r="A17530" s="0" t="s">
        <v>1010</v>
      </c>
      <c r="B17530" s="0" t="s">
        <v>168</v>
      </c>
      <c r="F17530" s="7" t="n">
        <f aca="false">Sens!F17528*(1-tax_f)/((Sens!E17529+Sens!F17529)/2)</f>
        <v>0.0429069654816909</v>
      </c>
      <c r="G17530" s="7" t="n">
        <f aca="false">Sens!G17528*(1-tax_f)/((Sens!F17529+Sens!G17529)/2)</f>
        <v>0.0403189680453549</v>
      </c>
      <c r="H17530" s="7" t="n">
        <f aca="false">Sens!H17528*(1-tax_f)/((Sens!G17529+Sens!H17529)/2)</f>
        <v>0.0307613080877867</v>
      </c>
      <c r="I17530" s="7" t="n">
        <f aca="false">Sens!I17528*(1-tax_f)/((Sens!H17529+Sens!I17529)/2)</f>
        <v>0.0366512650238846</v>
      </c>
      <c r="J17530" s="7" t="n">
        <f aca="false">Sens!J17528*(1-tax_f)/((Sens!I17529+Sens!J17529)/2)</f>
        <v>0.0417932659044041</v>
      </c>
      <c r="K17530" s="7" t="n">
        <f aca="false">Sens!K17528*(1-tax_f)/((Sens!J17529+Sens!K17529)/2)</f>
        <v>0.0477205040415821</v>
      </c>
    </row>
    <row r="17531" customFormat="false" ht="17.15" hidden="false" customHeight="false" outlineLevel="0" collapsed="false">
      <c r="A17531" s="1" t="s">
        <v>1011</v>
      </c>
      <c r="B17531" s="0" t="s">
        <v>168</v>
      </c>
      <c r="F17531" s="7" t="n">
        <f aca="false">(Sens!F17528-Sens!F17527)*(1-tax_f)/((Sens!E17529+Sens!F17529)/2)</f>
        <v>-0.000871320783610466</v>
      </c>
      <c r="G17531" s="7" t="n">
        <f aca="false">(Sens!G17528-Sens!G17527)*(1-tax_f)/((Sens!F17529+Sens!G17529)/2)</f>
        <v>-0.0279742438618356</v>
      </c>
      <c r="H17531" s="7" t="n">
        <f aca="false">(Sens!H17528-Sens!H17527)*(1-tax_f)/((Sens!G17529+Sens!H17529)/2)</f>
        <v>-0.0528338242443913</v>
      </c>
      <c r="I17531" s="7" t="n">
        <f aca="false">(Sens!I17528-Sens!I17527)*(1-tax_f)/((Sens!H17529+Sens!I17529)/2)</f>
        <v>-0.059455251538819</v>
      </c>
      <c r="J17531" s="7" t="n">
        <f aca="false">(Sens!J17528-Sens!J17527)*(1-tax_f)/((Sens!I17529+Sens!J17529)/2)</f>
        <v>-0.0667015729394002</v>
      </c>
      <c r="K17531" s="7" t="n">
        <f aca="false">(Sens!K17528-Sens!K17527)*(1-tax_f)/((Sens!J17529+Sens!K17529)/2)</f>
        <v>-0.0735049560740113</v>
      </c>
    </row>
    <row r="17532" customFormat="false" ht="17.15" hidden="false" customHeight="false" outlineLevel="0" collapsed="false">
      <c r="A17532" s="1" t="s">
        <v>1012</v>
      </c>
      <c r="B17532" s="0" t="s">
        <v>168</v>
      </c>
      <c r="F17532" s="7" t="n">
        <f aca="false">(Sens!F17528-Sens!F17527+Sens!F17526)*(1-tax_f)/((Sens!E17529+Sens!F17529)/2)</f>
        <v>0.0429069654816909</v>
      </c>
      <c r="G17532" s="7" t="n">
        <f aca="false">(Sens!G17528-Sens!G17527+Sens!G17526)*(1-tax_f)/((Sens!F17529+Sens!G17529)/2)</f>
        <v>0.0403189680453549</v>
      </c>
      <c r="H17532" s="7" t="n">
        <f aca="false">(Sens!H17528-Sens!H17527+Sens!H17526)*(1-tax_f)/((Sens!G17529+Sens!H17529)/2)</f>
        <v>0.0307613080877867</v>
      </c>
      <c r="I17532" s="7" t="n">
        <f aca="false">(Sens!I17528-Sens!I17527+Sens!I17526)*(1-tax_f)/((Sens!H17529+Sens!I17529)/2)</f>
        <v>0.0366512650238846</v>
      </c>
      <c r="J17532" s="7" t="n">
        <f aca="false">(Sens!J17528-Sens!J17527+Sens!J17526)*(1-tax_f)/((Sens!I17529+Sens!J17529)/2)</f>
        <v>0.0417932659044041</v>
      </c>
      <c r="K17532" s="7" t="n">
        <f aca="false">(Sens!K17528-Sens!K17527+Sens!K17526)*(1-tax_f)/((Sens!J17529+Sens!K17529)/2)</f>
        <v>0.0477205040415821</v>
      </c>
    </row>
    <row r="17533" customFormat="false" ht="17.15" hidden="false" customHeight="false" outlineLevel="0" collapsed="false">
      <c r="A17533" s="1" t="s">
        <v>1013</v>
      </c>
      <c r="B17533" s="0" t="s">
        <v>168</v>
      </c>
      <c r="F17533" s="7" t="n">
        <f aca="false">Sens!F17458*(1-tax_f)/(Sens!F17444*(Sens!E17529+Sens!F17529)/2)</f>
        <v>0.098791430090569</v>
      </c>
      <c r="G17533" s="7" t="n">
        <f aca="false">Sens!G17458*(1-tax_f)/(Sens!G17444*(Sens!F17529+Sens!G17529)/2)</f>
        <v>0.0675308856427828</v>
      </c>
      <c r="H17533" s="7" t="n">
        <f aca="false">Sens!H17458*(1-tax_f)/(Sens!H17444*(Sens!G17529+Sens!H17529)/2)</f>
        <v>0.0388374979528754</v>
      </c>
      <c r="I17533" s="7" t="n">
        <f aca="false">Sens!I17458*(1-tax_f)/(Sens!I17444*(Sens!H17529+Sens!I17529)/2)</f>
        <v>0.0411035671771815</v>
      </c>
      <c r="J17533" s="7" t="n">
        <f aca="false">Sens!J17458*(1-tax_f)/(Sens!J17444*(Sens!I17529+Sens!J17529)/2)</f>
        <v>0.0445222722541192</v>
      </c>
      <c r="K17533" s="7" t="n">
        <f aca="false">Sens!K17458*(1-tax_f)/(Sens!K17444*(Sens!J17529+Sens!K17529)/2)</f>
        <v>0.0498866361688162</v>
      </c>
    </row>
    <row r="17534" customFormat="false" ht="17.15" hidden="false" customHeight="false" outlineLevel="0" collapsed="false">
      <c r="A17534" s="0" t="s">
        <v>1014</v>
      </c>
      <c r="B17534" s="0" t="s">
        <v>253</v>
      </c>
      <c r="F17534" s="7" t="n">
        <f aca="false">Sens!F17530-wacc</f>
        <v>-0.0600296254639064</v>
      </c>
      <c r="G17534" s="7" t="n">
        <f aca="false">Sens!G17530-wacc</f>
        <v>-0.0626176229002424</v>
      </c>
      <c r="H17534" s="7" t="n">
        <f aca="false">Sens!H17530-wacc</f>
        <v>-0.0721752828578106</v>
      </c>
      <c r="I17534" s="7" t="n">
        <f aca="false">Sens!I17530-wacc</f>
        <v>-0.0662853259217127</v>
      </c>
      <c r="J17534" s="7" t="n">
        <f aca="false">Sens!J17530-wacc</f>
        <v>-0.0611433250411932</v>
      </c>
      <c r="K17534" s="7" t="n">
        <f aca="false">Sens!K17530-wacc</f>
        <v>-0.0552160869040152</v>
      </c>
    </row>
    <row r="17535" customFormat="false" ht="17.15" hidden="false" customHeight="false" outlineLevel="0" collapsed="false">
      <c r="A17535" s="0" t="s">
        <v>1015</v>
      </c>
      <c r="B17535" s="0" t="s">
        <v>98</v>
      </c>
      <c r="F17535" s="6" t="n">
        <f aca="false">Sens!F17528*(1-tax_f)-wacc*(Sens!E17529+Sens!F17529)/2</f>
        <v>-11.6238565154813</v>
      </c>
      <c r="G17535" s="6" t="n">
        <f aca="false">Sens!G17528*(1-tax_f)-wacc*(Sens!F17529+Sens!G17529)/2</f>
        <v>-20.4244672240733</v>
      </c>
      <c r="H17535" s="6" t="n">
        <f aca="false">Sens!H17528*(1-tax_f)-wacc*(Sens!G17529+Sens!H17529)/2</f>
        <v>-32.163873277425</v>
      </c>
      <c r="I17535" s="6" t="n">
        <f aca="false">Sens!I17528*(1-tax_f)-wacc*(Sens!H17529+Sens!I17529)/2</f>
        <v>-34.9111844978462</v>
      </c>
      <c r="J17535" s="6" t="n">
        <f aca="false">Sens!J17528*(1-tax_f)-wacc*(Sens!I17529+Sens!J17529)/2</f>
        <v>-33.7712608743463</v>
      </c>
      <c r="K17535" s="6" t="n">
        <f aca="false">Sens!K17528*(1-tax_f)-wacc*(Sens!J17529+Sens!K17529)/2</f>
        <v>-29.7483128474176</v>
      </c>
    </row>
    <row r="17536" customFormat="false" ht="17.15" hidden="false" customHeight="false" outlineLevel="0" collapsed="false">
      <c r="A17536" s="3" t="s">
        <v>1912</v>
      </c>
    </row>
    <row r="17537" customFormat="false" ht="15" hidden="false" customHeight="false" outlineLevel="0" collapsed="false">
      <c r="A17537" s="4" t="s">
        <v>43</v>
      </c>
      <c r="B17537" s="4" t="s">
        <v>65</v>
      </c>
      <c r="C17537" s="23" t="s">
        <v>938</v>
      </c>
      <c r="D17537" s="23" t="s">
        <v>939</v>
      </c>
      <c r="E17537" s="23" t="s">
        <v>940</v>
      </c>
      <c r="F17537" s="23" t="s">
        <v>941</v>
      </c>
      <c r="G17537" s="23" t="s">
        <v>942</v>
      </c>
      <c r="H17537" s="23" t="s">
        <v>943</v>
      </c>
      <c r="I17537" s="23" t="s">
        <v>944</v>
      </c>
      <c r="J17537" s="23" t="s">
        <v>945</v>
      </c>
      <c r="K17537" s="23" t="s">
        <v>946</v>
      </c>
      <c r="L17537" s="4" t="s">
        <v>47</v>
      </c>
    </row>
    <row r="17538" customFormat="false" ht="15" hidden="false" customHeight="false" outlineLevel="0" collapsed="false">
      <c r="A17538" s="1" t="s">
        <v>1076</v>
      </c>
      <c r="B17538" s="0" t="s">
        <v>98</v>
      </c>
      <c r="F17538" s="6" t="n">
        <f aca="false">Sens!F17519</f>
        <v>141.519132566314</v>
      </c>
      <c r="G17538" s="6" t="n">
        <f aca="false">Sens!G17519</f>
        <v>143.776094190781</v>
      </c>
      <c r="H17538" s="6" t="n">
        <f aca="false">Sens!H17519</f>
        <v>145.523258806884</v>
      </c>
      <c r="I17538" s="6" t="n">
        <f aca="false">Sens!I17519</f>
        <v>153.618584087663</v>
      </c>
      <c r="J17538" s="6" t="n">
        <f aca="false">Sens!J17519</f>
        <v>163.027321880188</v>
      </c>
      <c r="K17538" s="6" t="n">
        <f aca="false">Sens!K17519</f>
        <v>173.630216203913</v>
      </c>
    </row>
    <row r="17539" customFormat="false" ht="17.15" hidden="false" customHeight="false" outlineLevel="0" collapsed="false">
      <c r="A17539" s="1" t="s">
        <v>1098</v>
      </c>
      <c r="B17539" s="0" t="s">
        <v>98</v>
      </c>
      <c r="E17539" s="6" t="n">
        <f aca="false">Q!M38-Sens!E17457</f>
        <v>22.2285940229167</v>
      </c>
      <c r="F17539" s="6" t="n">
        <f aca="false">Sens!E17539*(1-1/life_nonai)+(Sens!F17547+Sens!F17548)/life_nonai</f>
        <v>23.5883405279552</v>
      </c>
      <c r="G17539" s="6" t="n">
        <f aca="false">Sens!F17539*(1-1/life_nonai)+(Sens!G17547)/life_nonai</f>
        <v>25.347608709247</v>
      </c>
      <c r="H17539" s="6" t="n">
        <f aca="false">Sens!G17539*(1-1/life_nonai)+(Sens!H17547)/life_nonai</f>
        <v>27.4750934833125</v>
      </c>
      <c r="I17539" s="6" t="n">
        <f aca="false">Sens!H17539*(1-1/life_nonai)+(Sens!I17547)/life_nonai</f>
        <v>29.9140127982598</v>
      </c>
      <c r="J17539" s="6" t="n">
        <f aca="false">Sens!I17539*(1-1/life_nonai)+(Sens!J17547)/life_nonai</f>
        <v>32.5895147654561</v>
      </c>
      <c r="K17539" s="6" t="n">
        <f aca="false">Sens!J17539*(1-1/life_nonai)+(Sens!K17547)/life_nonai</f>
        <v>35.4171979437481</v>
      </c>
      <c r="L17539" s="12" t="s">
        <v>1099</v>
      </c>
    </row>
    <row r="17540" customFormat="false" ht="17.15" hidden="false" customHeight="false" outlineLevel="0" collapsed="false">
      <c r="A17540" s="1" t="s">
        <v>1100</v>
      </c>
      <c r="B17540" s="0" t="s">
        <v>98</v>
      </c>
      <c r="F17540" s="6" t="n">
        <f aca="false">Sens!$F$17548/life_nonai*(1-1/life_nonai)^(Sens!F17420-2027)</f>
        <v>0</v>
      </c>
      <c r="G17540" s="6" t="n">
        <f aca="false">Sens!$F$17548/life_nonai*(1-1/life_nonai)^(Sens!G17420-2027)</f>
        <v>0</v>
      </c>
      <c r="H17540" s="6" t="n">
        <f aca="false">Sens!$F$17548/life_nonai*(1-1/life_nonai)^(Sens!H17420-2027)</f>
        <v>0</v>
      </c>
      <c r="I17540" s="6" t="n">
        <f aca="false">Sens!$F$17548/life_nonai*(1-1/life_nonai)^(Sens!I17420-2027)</f>
        <v>0</v>
      </c>
      <c r="J17540" s="6" t="n">
        <f aca="false">Sens!$F$17548/life_nonai*(1-1/life_nonai)^(Sens!J17420-2027)</f>
        <v>0</v>
      </c>
      <c r="K17540" s="6" t="n">
        <f aca="false">Sens!$F$17548/life_nonai*(1-1/life_nonai)^(Sens!K17420-2027)</f>
        <v>0</v>
      </c>
      <c r="L17540" s="1" t="s">
        <v>1101</v>
      </c>
    </row>
    <row r="17541" customFormat="false" ht="17.15" hidden="false" customHeight="false" outlineLevel="0" collapsed="false">
      <c r="A17541" s="1" t="s">
        <v>1102</v>
      </c>
      <c r="B17541" s="0" t="s">
        <v>98</v>
      </c>
      <c r="E17541" s="6" t="n">
        <f aca="false">Sens!E17457+Sens!E17539</f>
        <v>38.534</v>
      </c>
      <c r="F17541" s="6" t="n">
        <f aca="false">Sens!F17457+Sens!F17539</f>
        <v>58.1676550063068</v>
      </c>
      <c r="G17541" s="6" t="n">
        <f aca="false">Sens!G17457+Sens!G17539</f>
        <v>86.0820993615459</v>
      </c>
      <c r="H17541" s="6" t="n">
        <f aca="false">Sens!H17457+Sens!H17539</f>
        <v>116.575184144758</v>
      </c>
      <c r="I17541" s="6" t="n">
        <f aca="false">Sens!I17457+Sens!I17539</f>
        <v>144.145022492808</v>
      </c>
      <c r="J17541" s="6" t="n">
        <f aca="false">Sens!J17457+Sens!J17539</f>
        <v>164.605187815052</v>
      </c>
      <c r="K17541" s="6" t="n">
        <f aca="false">Sens!K17457+Sens!K17539</f>
        <v>178.429867494682</v>
      </c>
    </row>
    <row r="17542" customFormat="false" ht="17.15" hidden="false" customHeight="false" outlineLevel="0" collapsed="false">
      <c r="A17542" s="1" t="s">
        <v>1103</v>
      </c>
      <c r="B17542" s="0" t="s">
        <v>98</v>
      </c>
      <c r="F17542" s="6" t="n">
        <f aca="false">Sens!F17484*sbc_r</f>
        <v>14.7454787486369</v>
      </c>
      <c r="G17542" s="6" t="n">
        <f aca="false">Sens!G17484*sbc_r</f>
        <v>17.1560811611477</v>
      </c>
      <c r="H17542" s="6" t="n">
        <f aca="false">Sens!H17484*sbc_r</f>
        <v>19.4112161412813</v>
      </c>
      <c r="I17542" s="6" t="n">
        <f aca="false">Sens!I17484*sbc_r</f>
        <v>21.7655163708747</v>
      </c>
      <c r="J17542" s="6" t="n">
        <f aca="false">Sens!J17484*sbc_r</f>
        <v>23.7425689489627</v>
      </c>
      <c r="K17542" s="6" t="n">
        <f aca="false">Sens!K17484*sbc_r</f>
        <v>25.3560408997772</v>
      </c>
    </row>
    <row r="17543" customFormat="false" ht="17.15" hidden="false" customHeight="false" outlineLevel="0" collapsed="false">
      <c r="A17543" s="1" t="s">
        <v>1104</v>
      </c>
      <c r="B17543" s="0" t="s">
        <v>98</v>
      </c>
      <c r="F17543" s="6" t="n">
        <f aca="false">wc27-wc26q1</f>
        <v>-4.677</v>
      </c>
      <c r="G17543" s="6" t="n">
        <f aca="false">wc_f</f>
        <v>0</v>
      </c>
      <c r="H17543" s="6" t="n">
        <f aca="false">wc_f</f>
        <v>0</v>
      </c>
      <c r="I17543" s="6" t="n">
        <f aca="false">wc_f</f>
        <v>0</v>
      </c>
      <c r="J17543" s="6" t="n">
        <f aca="false">wc_f</f>
        <v>0</v>
      </c>
      <c r="K17543" s="6" t="n">
        <f aca="false">wc_f</f>
        <v>0</v>
      </c>
      <c r="L17543" s="12" t="s">
        <v>1105</v>
      </c>
    </row>
    <row r="17544" customFormat="false" ht="17.15" hidden="false" customHeight="false" outlineLevel="0" collapsed="false">
      <c r="A17544" s="0" t="s">
        <v>1106</v>
      </c>
      <c r="B17544" s="0" t="s">
        <v>98</v>
      </c>
      <c r="F17544" s="6" t="n">
        <f aca="false">Q!$I$35-Q!$I$26-Q!$I$38-Q!$I$39</f>
        <v>6.493</v>
      </c>
      <c r="L17544" s="1" t="s">
        <v>1107</v>
      </c>
    </row>
    <row r="17545" customFormat="false" ht="15" hidden="false" customHeight="false" outlineLevel="0" collapsed="false">
      <c r="A17545" s="1" t="s">
        <v>904</v>
      </c>
      <c r="B17545" s="0" t="s">
        <v>98</v>
      </c>
      <c r="E17545" s="6" t="n">
        <f aca="false">Q!M35</f>
        <v>182.935</v>
      </c>
      <c r="F17545" s="6" t="n">
        <f aca="false">Sens!F17538+Sens!F17541+Sens!F17542+Sens!F17543+Sens!F17544</f>
        <v>216.248266321257</v>
      </c>
      <c r="G17545" s="6" t="n">
        <f aca="false">Sens!G17538+Sens!G17541+Sens!G17542+Sens!G17543</f>
        <v>247.014274713475</v>
      </c>
      <c r="H17545" s="6" t="n">
        <f aca="false">Sens!H17538+Sens!H17541+Sens!H17542+Sens!H17543</f>
        <v>281.509659092923</v>
      </c>
      <c r="I17545" s="6" t="n">
        <f aca="false">Sens!I17538+Sens!I17541+Sens!I17542+Sens!I17543</f>
        <v>319.529122951346</v>
      </c>
      <c r="J17545" s="6" t="n">
        <f aca="false">Sens!J17538+Sens!J17541+Sens!J17542+Sens!J17543</f>
        <v>351.375078644203</v>
      </c>
      <c r="K17545" s="6" t="n">
        <f aca="false">Sens!K17538+Sens!K17541+Sens!K17542+Sens!K17543</f>
        <v>377.416124598373</v>
      </c>
    </row>
    <row r="17546" customFormat="false" ht="17.15" hidden="false" customHeight="false" outlineLevel="0" collapsed="false">
      <c r="A17546" s="0" t="s">
        <v>1108</v>
      </c>
      <c r="B17546" s="0" t="s">
        <v>98</v>
      </c>
      <c r="F17546" s="6" t="n">
        <f aca="false">Sens!F17454</f>
        <v>168.45390404212</v>
      </c>
      <c r="G17546" s="6" t="n">
        <f aca="false">Sens!G17454</f>
        <v>191.944475649048</v>
      </c>
      <c r="H17546" s="6" t="n">
        <f aca="false">Sens!H17454</f>
        <v>196.806004064512</v>
      </c>
      <c r="I17546" s="6" t="n">
        <f aca="false">Sens!I17454</f>
        <v>168.61483362161</v>
      </c>
      <c r="J17546" s="6" t="n">
        <f aca="false">Sens!J17454</f>
        <v>128.92993119594</v>
      </c>
      <c r="K17546" s="6" t="n">
        <f aca="false">Sens!K17454</f>
        <v>118.962853064733</v>
      </c>
    </row>
    <row r="17547" customFormat="false" ht="17.15" hidden="false" customHeight="false" outlineLevel="0" collapsed="false">
      <c r="A17547" s="1" t="s">
        <v>1109</v>
      </c>
      <c r="B17547" s="0" t="s">
        <v>98</v>
      </c>
      <c r="E17547" s="6" t="n">
        <f aca="false">Sens!E17462*cx_azo+Sens!E17469*cx_m365+Sens!E17470*cx_lic+(Sens!E17472+Sens!E17474)*cx_ind+Sens!E17477*cx_srch+(Sens!E17479+Sens!E17481)*cx_dev</f>
        <v>30.1846587067718</v>
      </c>
      <c r="F17547" s="6" t="n">
        <f aca="false">Sens!F17462*cx_azo+Sens!F17469*cx_m365+Sens!F17470*cx_lic+(Sens!F17472+Sens!F17474)*cx_ind+Sens!F17477*cx_srch+(Sens!F17479+Sens!F17481)*cx_dev</f>
        <v>35.826059073302</v>
      </c>
      <c r="G17547" s="6" t="n">
        <f aca="false">Sens!G17462*cx_azo+Sens!G17469*cx_m365+Sens!G17470*cx_lic+(Sens!G17472+Sens!G17474)*cx_ind+Sens!G17477*cx_srch+(Sens!G17479+Sens!G17481)*cx_dev</f>
        <v>41.1810223408732</v>
      </c>
      <c r="H17547" s="6" t="n">
        <f aca="false">Sens!H17462*cx_azo+Sens!H17469*cx_m365+Sens!H17470*cx_lic+(Sens!H17472+Sens!H17474)*cx_ind+Sens!H17477*cx_srch+(Sens!H17479+Sens!H17481)*cx_dev</f>
        <v>46.6224564499022</v>
      </c>
      <c r="I17547" s="6" t="n">
        <f aca="false">Sens!I17462*cx_azo+Sens!I17469*cx_m365+Sens!I17470*cx_lic+(Sens!I17472+Sens!I17474)*cx_ind+Sens!I17477*cx_srch+(Sens!I17479+Sens!I17481)*cx_dev</f>
        <v>51.8642866327854</v>
      </c>
      <c r="J17547" s="6" t="n">
        <f aca="false">Sens!J17462*cx_azo+Sens!J17469*cx_m365+Sens!J17470*cx_lic+(Sens!J17472+Sens!J17474)*cx_ind+Sens!J17477*cx_srch+(Sens!J17479+Sens!J17481)*cx_dev</f>
        <v>56.6690324702225</v>
      </c>
      <c r="K17547" s="6" t="n">
        <f aca="false">Sens!K17462*cx_azo+Sens!K17469*cx_m365+Sens!K17470*cx_lic+(Sens!K17472+Sens!K17474)*cx_ind+Sens!K17477*cx_srch+(Sens!K17479+Sens!K17481)*cx_dev</f>
        <v>60.866346548376</v>
      </c>
    </row>
    <row r="17548" customFormat="false" ht="17.15" hidden="false" customHeight="false" outlineLevel="0" collapsed="false">
      <c r="A17548" s="0" t="s">
        <v>1110</v>
      </c>
      <c r="B17548" s="0" t="s">
        <v>98</v>
      </c>
      <c r="F17548" s="6" t="n">
        <f aca="false">0</f>
        <v>0</v>
      </c>
      <c r="L17548" s="1" t="s">
        <v>1111</v>
      </c>
    </row>
    <row r="17549" customFormat="false" ht="17.15" hidden="false" customHeight="false" outlineLevel="0" collapsed="false">
      <c r="A17549" s="1" t="s">
        <v>1112</v>
      </c>
      <c r="B17549" s="0" t="s">
        <v>98</v>
      </c>
      <c r="E17549" s="6" t="n">
        <f aca="false">Q!M43</f>
        <v>145.3</v>
      </c>
      <c r="F17549" s="6" t="n">
        <f aca="false">Sens!F17546+Sens!F17547+Sens!F17548</f>
        <v>204.279963115422</v>
      </c>
      <c r="G17549" s="6" t="n">
        <f aca="false">Sens!G17546+Sens!G17547</f>
        <v>233.125497989921</v>
      </c>
      <c r="H17549" s="6" t="n">
        <f aca="false">Sens!H17546+Sens!H17547</f>
        <v>243.428460514415</v>
      </c>
      <c r="I17549" s="6" t="n">
        <f aca="false">Sens!I17546+Sens!I17547</f>
        <v>220.479120254396</v>
      </c>
      <c r="J17549" s="6" t="n">
        <f aca="false">Sens!J17546+Sens!J17547</f>
        <v>185.598963666163</v>
      </c>
      <c r="K17549" s="6" t="n">
        <f aca="false">Sens!K17546+Sens!K17547</f>
        <v>179.829199613109</v>
      </c>
      <c r="L17549" s="1" t="s">
        <v>1113</v>
      </c>
    </row>
    <row r="17550" customFormat="false" ht="15" hidden="false" customHeight="false" outlineLevel="0" collapsed="false">
      <c r="A17550" s="1" t="s">
        <v>1114</v>
      </c>
      <c r="B17550" s="0" t="s">
        <v>98</v>
      </c>
      <c r="E17550" s="6" t="n">
        <f aca="false">fl_liab</f>
        <v>66.594</v>
      </c>
      <c r="F17550" s="6" t="n">
        <f aca="false">Sens!E17550-Sens!F17551</f>
        <v>62.46973</v>
      </c>
      <c r="G17550" s="6" t="n">
        <f aca="false">Sens!F17550-Sens!G17551</f>
        <v>57.98686785</v>
      </c>
      <c r="H17550" s="6" t="n">
        <f aca="false">Sens!G17550-Sens!H17551</f>
        <v>53.92827690325</v>
      </c>
      <c r="I17550" s="6" t="n">
        <f aca="false">Sens!H17550-Sens!I17551</f>
        <v>49.7850493638962</v>
      </c>
      <c r="J17550" s="6" t="n">
        <f aca="false">Sens!I17550-Sens!J17551</f>
        <v>45.4823765852716</v>
      </c>
      <c r="K17550" s="6" t="n">
        <f aca="false">Sens!J17550-Sens!K17551</f>
        <v>40.9860835316088</v>
      </c>
    </row>
    <row r="17551" customFormat="false" ht="15" hidden="false" customHeight="false" outlineLevel="0" collapsed="false">
      <c r="A17551" s="1" t="s">
        <v>1115</v>
      </c>
      <c r="B17551" s="0" t="s">
        <v>98</v>
      </c>
      <c r="F17551" s="6" t="n">
        <f aca="false">fl_pay_27-Sens!E17550*fl_rate</f>
        <v>4.12427</v>
      </c>
      <c r="G17551" s="6" t="n">
        <f aca="false">fl_pay_28-Sens!F17550*fl_rate</f>
        <v>4.48286215</v>
      </c>
      <c r="H17551" s="6" t="n">
        <f aca="false">fl_pay_29-Sens!G17550*fl_rate</f>
        <v>4.05859094675</v>
      </c>
      <c r="I17551" s="6" t="n">
        <f aca="false">fl_pay_30-Sens!H17550*fl_rate</f>
        <v>4.14322753935375</v>
      </c>
      <c r="J17551" s="6" t="n">
        <f aca="false">fl_pay_31-Sens!I17550*fl_rate</f>
        <v>4.30267277862467</v>
      </c>
      <c r="K17551" s="6" t="n">
        <f aca="false">fl_pay_32-Sens!J17550*fl_rate</f>
        <v>4.49629305366278</v>
      </c>
    </row>
    <row r="17552" customFormat="false" ht="17.15" hidden="false" customHeight="false" outlineLevel="0" collapsed="false">
      <c r="A17552" s="1" t="s">
        <v>1116</v>
      </c>
      <c r="B17552" s="0" t="s">
        <v>98</v>
      </c>
      <c r="E17552" s="6" t="n">
        <f aca="false">Q!M35-Q!M36-Q!M44</f>
        <v>63.886</v>
      </c>
      <c r="F17552" s="6" t="n">
        <f aca="false">Sens!F17545-Sens!F17549-Sens!F17551</f>
        <v>7.8440332058357</v>
      </c>
      <c r="G17552" s="6" t="n">
        <f aca="false">Sens!G17545-Sens!G17549-Sens!G17551</f>
        <v>9.40591457355372</v>
      </c>
      <c r="H17552" s="6" t="n">
        <f aca="false">Sens!H17545-Sens!H17549-Sens!H17551</f>
        <v>34.0226076317587</v>
      </c>
      <c r="I17552" s="6" t="n">
        <f aca="false">Sens!I17545-Sens!I17549-Sens!I17551</f>
        <v>94.9067751575962</v>
      </c>
      <c r="J17552" s="6" t="n">
        <f aca="false">Sens!J17545-Sens!J17549-Sens!J17551</f>
        <v>161.473442199415</v>
      </c>
      <c r="K17552" s="6" t="n">
        <f aca="false">Sens!K17545-Sens!K17549-Sens!K17551</f>
        <v>193.090631931601</v>
      </c>
      <c r="L17552" s="12" t="s">
        <v>1117</v>
      </c>
    </row>
    <row r="17553" customFormat="false" ht="15" hidden="false" customHeight="false" outlineLevel="0" collapsed="false">
      <c r="A17553" s="1" t="s">
        <v>1118</v>
      </c>
      <c r="B17553" s="0" t="s">
        <v>75</v>
      </c>
      <c r="F17553" s="8" t="n">
        <f aca="false">dps_27</f>
        <v>3.85</v>
      </c>
      <c r="G17553" s="8" t="n">
        <f aca="false">Sens!F17553*(1+dps_g)</f>
        <v>4.158</v>
      </c>
      <c r="H17553" s="8" t="n">
        <f aca="false">Sens!G17553*(1+dps_g)</f>
        <v>4.49064</v>
      </c>
      <c r="I17553" s="8" t="n">
        <f aca="false">Sens!H17553*(1+dps_g)</f>
        <v>4.8498912</v>
      </c>
      <c r="J17553" s="8" t="n">
        <f aca="false">Sens!I17553*(1+dps_g)</f>
        <v>5.237882496</v>
      </c>
      <c r="K17553" s="8" t="n">
        <f aca="false">Sens!J17553*(1+dps_g)</f>
        <v>5.65691309568</v>
      </c>
    </row>
    <row r="17554" customFormat="false" ht="17.15" hidden="false" customHeight="false" outlineLevel="0" collapsed="false">
      <c r="A17554" s="1" t="s">
        <v>1119</v>
      </c>
      <c r="B17554" s="0" t="s">
        <v>98</v>
      </c>
      <c r="E17554" s="6" t="n">
        <f aca="false">Q!M41</f>
        <v>26.445</v>
      </c>
      <c r="F17554" s="6" t="n">
        <f aca="false">Sens!F17553*Sens!E17563</f>
        <v>28.59395</v>
      </c>
      <c r="G17554" s="6" t="n">
        <f aca="false">Sens!G17553*Sens!F17563</f>
        <v>31.068576</v>
      </c>
      <c r="H17554" s="6" t="n">
        <f aca="false">Sens!H17553*Sens!G17563</f>
        <v>33.75614088</v>
      </c>
      <c r="I17554" s="6" t="n">
        <f aca="false">Sens!I17553*Sens!H17563</f>
        <v>36.6748772544</v>
      </c>
      <c r="J17554" s="6" t="n">
        <f aca="false">Sens!J17553*Sens!I17563</f>
        <v>39.6767653201446</v>
      </c>
      <c r="K17554" s="6" t="n">
        <f aca="false">Sens!K17553*Sens!J17563</f>
        <v>42.9376608081345</v>
      </c>
      <c r="L17554" s="1" t="s">
        <v>1120</v>
      </c>
    </row>
    <row r="17555" customFormat="false" ht="15" hidden="false" customHeight="false" outlineLevel="0" collapsed="false">
      <c r="A17555" s="1" t="s">
        <v>1121</v>
      </c>
      <c r="B17555" s="0" t="s">
        <v>98</v>
      </c>
      <c r="E17555" s="6" t="n">
        <f aca="false">Sens!E17552-Sens!E17554</f>
        <v>37.441</v>
      </c>
      <c r="F17555" s="6" t="n">
        <f aca="false">Sens!F17552-Sens!F17554</f>
        <v>-20.7499167941643</v>
      </c>
      <c r="G17555" s="6" t="n">
        <f aca="false">Sens!G17552-Sens!G17554</f>
        <v>-21.6626614264463</v>
      </c>
      <c r="H17555" s="6" t="n">
        <f aca="false">Sens!H17552-Sens!H17554</f>
        <v>0.266466751758742</v>
      </c>
      <c r="I17555" s="6" t="n">
        <f aca="false">Sens!I17552-Sens!I17554</f>
        <v>58.2318979031962</v>
      </c>
      <c r="J17555" s="6" t="n">
        <f aca="false">Sens!J17552-Sens!J17554</f>
        <v>121.796676879271</v>
      </c>
      <c r="K17555" s="6" t="n">
        <f aca="false">Sens!K17552-Sens!K17554</f>
        <v>150.152971123467</v>
      </c>
    </row>
    <row r="17556" customFormat="false" ht="15" hidden="false" customHeight="false" outlineLevel="0" collapsed="false">
      <c r="A17556" s="1" t="s">
        <v>1122</v>
      </c>
      <c r="B17556" s="0" t="s">
        <v>98</v>
      </c>
      <c r="F17556" s="6" t="n">
        <f aca="false">debt_mat_27</f>
        <v>9.25</v>
      </c>
      <c r="G17556" s="6" t="n">
        <f aca="false">debt_mat_28</f>
        <v>0</v>
      </c>
      <c r="H17556" s="6" t="n">
        <f aca="false">debt_mat_29</f>
        <v>2.001</v>
      </c>
      <c r="I17556" s="6" t="n">
        <f aca="false">debt_mat_30</f>
        <v>0</v>
      </c>
      <c r="J17556" s="6" t="n">
        <f aca="false">debt_mat_31</f>
        <v>0.5</v>
      </c>
      <c r="K17556" s="6" t="n">
        <f aca="false">debt_mat_32</f>
        <v>0</v>
      </c>
    </row>
    <row r="17557" customFormat="false" ht="15" hidden="false" customHeight="false" outlineLevel="0" collapsed="false">
      <c r="A17557" s="1" t="s">
        <v>1123</v>
      </c>
      <c r="B17557" s="0" t="s">
        <v>98</v>
      </c>
      <c r="E17557" s="6" t="n">
        <f aca="false">Q!M40</f>
        <v>22.271</v>
      </c>
      <c r="F17557" s="6" t="n">
        <f aca="false">MAX(0,MIN(bb_target,Sens!E17559+Sens!F17555-Sens!F17556-min_cash))</f>
        <v>0</v>
      </c>
      <c r="G17557" s="6" t="n">
        <f aca="false">MAX(0,MIN(bb_target,Sens!F17559+Sens!G17555-Sens!G17556-min_cash))</f>
        <v>0</v>
      </c>
      <c r="H17557" s="6" t="n">
        <f aca="false">MAX(0,MIN(bb_target,Sens!G17559+Sens!H17555-Sens!H17556-min_cash))</f>
        <v>0</v>
      </c>
      <c r="I17557" s="6" t="n">
        <f aca="false">MAX(0,MIN(bb_target,Sens!H17559+Sens!I17555-Sens!I17556-min_cash))</f>
        <v>22.271</v>
      </c>
      <c r="J17557" s="6" t="n">
        <f aca="false">MAX(0,MIN(bb_target,Sens!I17559+Sens!J17555-Sens!J17556-min_cash))</f>
        <v>22.271</v>
      </c>
      <c r="K17557" s="6" t="n">
        <f aca="false">MAX(0,MIN(bb_target,Sens!J17559+Sens!K17555-Sens!K17556-min_cash))</f>
        <v>22.271</v>
      </c>
    </row>
    <row r="17558" customFormat="false" ht="15" hidden="false" customHeight="false" outlineLevel="0" collapsed="false">
      <c r="A17558" s="1" t="s">
        <v>1124</v>
      </c>
      <c r="B17558" s="0" t="s">
        <v>98</v>
      </c>
      <c r="F17558" s="6" t="n">
        <f aca="false">MAX(0,min_cash-(Sens!E17559+Sens!F17555-Sens!F17556-Sens!F17557))</f>
        <v>3.1569167941643</v>
      </c>
      <c r="G17558" s="6" t="n">
        <f aca="false">MAX(0,min_cash-(Sens!F17559+Sens!G17555-Sens!G17556-Sens!G17557))</f>
        <v>21.6626614264463</v>
      </c>
      <c r="H17558" s="6" t="n">
        <f aca="false">MAX(0,min_cash-(Sens!G17559+Sens!H17555-Sens!H17556-Sens!H17557))</f>
        <v>1.73453324824126</v>
      </c>
      <c r="I17558" s="6" t="n">
        <f aca="false">MAX(0,min_cash-(Sens!H17559+Sens!I17555-Sens!I17556-Sens!I17557))</f>
        <v>0</v>
      </c>
      <c r="J17558" s="6" t="n">
        <f aca="false">MAX(0,min_cash-(Sens!I17559+Sens!J17555-Sens!J17556-Sens!J17557))</f>
        <v>0</v>
      </c>
      <c r="K17558" s="6" t="n">
        <f aca="false">MAX(0,min_cash-(Sens!J17559+Sens!K17555-Sens!K17556-Sens!K17557))</f>
        <v>0</v>
      </c>
    </row>
    <row r="17559" customFormat="false" ht="15" hidden="false" customHeight="false" outlineLevel="0" collapsed="false">
      <c r="A17559" s="1" t="s">
        <v>1125</v>
      </c>
      <c r="B17559" s="0" t="s">
        <v>98</v>
      </c>
      <c r="E17559" s="6" t="n">
        <f aca="false">cash_open</f>
        <v>76.843</v>
      </c>
      <c r="F17559" s="6" t="n">
        <f aca="false">Sens!E17559+Sens!F17555-Sens!F17556-Sens!F17557+Sens!F17558</f>
        <v>50</v>
      </c>
      <c r="G17559" s="6" t="n">
        <f aca="false">Sens!F17559+Sens!G17555-Sens!G17556-Sens!G17557+Sens!G17558</f>
        <v>50</v>
      </c>
      <c r="H17559" s="6" t="n">
        <f aca="false">Sens!G17559+Sens!H17555-Sens!H17556-Sens!H17557+Sens!H17558</f>
        <v>50</v>
      </c>
      <c r="I17559" s="6" t="n">
        <f aca="false">Sens!H17559+Sens!I17555-Sens!I17556-Sens!I17557+Sens!I17558</f>
        <v>85.9608979031962</v>
      </c>
      <c r="J17559" s="6" t="n">
        <f aca="false">Sens!I17559+Sens!J17555-Sens!J17556-Sens!J17557+Sens!J17558</f>
        <v>184.986574782467</v>
      </c>
      <c r="K17559" s="6" t="n">
        <f aca="false">Sens!J17559+Sens!K17555-Sens!K17556-Sens!K17557+Sens!K17558</f>
        <v>312.868545905934</v>
      </c>
    </row>
    <row r="17560" customFormat="false" ht="15" hidden="false" customHeight="false" outlineLevel="0" collapsed="false">
      <c r="A17560" s="1" t="s">
        <v>1126</v>
      </c>
      <c r="B17560" s="0" t="s">
        <v>98</v>
      </c>
      <c r="E17560" s="6" t="n">
        <f aca="false">debt_face</f>
        <v>46.136</v>
      </c>
      <c r="F17560" s="6" t="n">
        <f aca="false">Sens!E17560-Sens!F17556+Sens!F17558</f>
        <v>40.0429167941643</v>
      </c>
      <c r="G17560" s="6" t="n">
        <f aca="false">Sens!F17560-Sens!G17556+Sens!G17558</f>
        <v>61.7055782206106</v>
      </c>
      <c r="H17560" s="6" t="n">
        <f aca="false">Sens!G17560-Sens!H17556+Sens!H17558</f>
        <v>61.4391114688519</v>
      </c>
      <c r="I17560" s="6" t="n">
        <f aca="false">Sens!H17560-Sens!I17556+Sens!I17558</f>
        <v>61.4391114688519</v>
      </c>
      <c r="J17560" s="6" t="n">
        <f aca="false">Sens!I17560-Sens!J17556+Sens!J17558</f>
        <v>60.9391114688519</v>
      </c>
      <c r="K17560" s="6" t="n">
        <f aca="false">Sens!J17560-Sens!K17556+Sens!K17558</f>
        <v>60.9391114688519</v>
      </c>
    </row>
    <row r="17561" customFormat="false" ht="15" hidden="false" customHeight="false" outlineLevel="0" collapsed="false">
      <c r="A17561" s="1" t="s">
        <v>1127</v>
      </c>
      <c r="B17561" s="0" t="s">
        <v>98</v>
      </c>
      <c r="E17561" s="6" t="n">
        <f aca="false">Sens!E17559-Sens!E17560</f>
        <v>30.707</v>
      </c>
      <c r="F17561" s="6" t="n">
        <f aca="false">Sens!F17559-Sens!F17560</f>
        <v>9.95708320583569</v>
      </c>
      <c r="G17561" s="6" t="n">
        <f aca="false">Sens!G17559-Sens!G17560</f>
        <v>-11.7055782206106</v>
      </c>
      <c r="H17561" s="6" t="n">
        <f aca="false">Sens!H17559-Sens!H17560</f>
        <v>-11.4391114688518</v>
      </c>
      <c r="I17561" s="6" t="n">
        <f aca="false">Sens!I17559-Sens!I17560</f>
        <v>24.5217864343444</v>
      </c>
      <c r="J17561" s="6" t="n">
        <f aca="false">Sens!J17559-Sens!J17560</f>
        <v>124.047463313615</v>
      </c>
      <c r="K17561" s="6" t="n">
        <f aca="false">Sens!K17559-Sens!K17560</f>
        <v>251.929434437082</v>
      </c>
    </row>
    <row r="17562" customFormat="false" ht="15" hidden="false" customHeight="false" outlineLevel="0" collapsed="false">
      <c r="A17562" s="1" t="s">
        <v>1128</v>
      </c>
      <c r="B17562" s="0" t="s">
        <v>75</v>
      </c>
      <c r="F17562" s="30" t="n">
        <f aca="false">px*(1+bb_g)^(Sens!F17420-base_fy-mid_yr)</f>
        <v>551.84177959629</v>
      </c>
      <c r="G17562" s="30" t="n">
        <f aca="false">px*(1+bb_g)^(Sens!G17420-base_fy-mid_yr)</f>
        <v>595.989121963993</v>
      </c>
      <c r="H17562" s="30" t="n">
        <f aca="false">px*(1+bb_g)^(Sens!H17420-base_fy-mid_yr)</f>
        <v>643.668251721112</v>
      </c>
      <c r="I17562" s="30" t="n">
        <f aca="false">px*(1+bb_g)^(Sens!I17420-base_fy-mid_yr)</f>
        <v>695.161711858801</v>
      </c>
      <c r="J17562" s="30" t="n">
        <f aca="false">px*(1+bb_g)^(Sens!J17420-base_fy-mid_yr)</f>
        <v>750.774648807506</v>
      </c>
      <c r="K17562" s="30" t="n">
        <f aca="false">px*(1+bb_g)^(Sens!K17420-base_fy-mid_yr)</f>
        <v>810.836620712106</v>
      </c>
    </row>
    <row r="17563" customFormat="false" ht="15" hidden="false" customHeight="false" outlineLevel="0" collapsed="false">
      <c r="A17563" s="1" t="s">
        <v>1129</v>
      </c>
      <c r="B17563" s="1" t="s">
        <v>81</v>
      </c>
      <c r="E17563" s="15" t="n">
        <f aca="false">sh_out26</f>
        <v>7.427</v>
      </c>
      <c r="F17563" s="15" t="n">
        <f aca="false">Sens!E17563+sh_iss-Sens!F17557/Sens!F17562</f>
        <v>7.472</v>
      </c>
      <c r="G17563" s="15" t="n">
        <f aca="false">Sens!F17563+sh_iss-Sens!G17557/Sens!G17562</f>
        <v>7.517</v>
      </c>
      <c r="H17563" s="15" t="n">
        <f aca="false">Sens!G17563+sh_iss-Sens!H17557/Sens!H17562</f>
        <v>7.562</v>
      </c>
      <c r="I17563" s="15" t="n">
        <f aca="false">Sens!H17563+sh_iss-Sens!I17557/Sens!I17562</f>
        <v>7.57496285005334</v>
      </c>
      <c r="J17563" s="15" t="n">
        <f aca="false">Sens!I17563+sh_iss-Sens!J17557/Sens!J17562</f>
        <v>7.59029882232494</v>
      </c>
      <c r="K17563" s="15" t="n">
        <f aca="false">Sens!J17563+sh_iss-Sens!K17557/Sens!K17562</f>
        <v>7.60783212998384</v>
      </c>
    </row>
    <row r="17564" customFormat="false" ht="15" hidden="false" customHeight="false" outlineLevel="0" collapsed="false">
      <c r="A17564" s="1" t="s">
        <v>1130</v>
      </c>
      <c r="B17564" s="1" t="s">
        <v>81</v>
      </c>
      <c r="E17564" s="15" t="n">
        <f aca="false">sh_dil26</f>
        <v>7.453</v>
      </c>
      <c r="F17564" s="15" t="n">
        <f aca="false">(Sens!E17563+Sens!F17563)/2+dil_gap</f>
        <v>7.4735</v>
      </c>
      <c r="G17564" s="15" t="n">
        <f aca="false">(Sens!F17563+Sens!G17563)/2+dil_gap</f>
        <v>7.5185</v>
      </c>
      <c r="H17564" s="15" t="n">
        <f aca="false">(Sens!G17563+Sens!H17563)/2+dil_gap</f>
        <v>7.5635</v>
      </c>
      <c r="I17564" s="15" t="n">
        <f aca="false">(Sens!H17563+Sens!I17563)/2+dil_gap</f>
        <v>7.59248142502667</v>
      </c>
      <c r="J17564" s="15" t="n">
        <f aca="false">(Sens!I17563+Sens!J17563)/2+dil_gap</f>
        <v>7.60663083618914</v>
      </c>
      <c r="K17564" s="15" t="n">
        <f aca="false">(Sens!J17563+Sens!K17563)/2+dil_gap</f>
        <v>7.62306547615439</v>
      </c>
    </row>
    <row r="17565" customFormat="false" ht="17.15" hidden="false" customHeight="false" outlineLevel="0" collapsed="false">
      <c r="A17565" s="1" t="s">
        <v>1131</v>
      </c>
      <c r="B17565" s="0" t="s">
        <v>98</v>
      </c>
      <c r="C17565" s="6" t="n">
        <f aca="false">SUM(Sens!F17555:J17555)</f>
        <v>137.882463313615</v>
      </c>
    </row>
    <row r="17566" customFormat="false" ht="15" hidden="false" customHeight="false" outlineLevel="0" collapsed="false">
      <c r="A17566" s="26" t="s">
        <v>1096</v>
      </c>
      <c r="B17566" s="31" t="s">
        <v>98</v>
      </c>
      <c r="C17566" s="27" t="n">
        <f aca="false">Sens!$C$17565-(Sens!F17555+Sens!G17555+Sens!H17555+Sens!I17555+Sens!J17555)</f>
        <v>0</v>
      </c>
      <c r="D17566" s="31"/>
      <c r="E17566" s="31"/>
      <c r="F17566" s="31"/>
      <c r="G17566" s="31"/>
      <c r="H17566" s="31"/>
      <c r="I17566" s="31"/>
      <c r="J17566" s="31"/>
      <c r="K17566" s="31"/>
    </row>
    <row r="17567" customFormat="false" ht="17.15" hidden="false" customHeight="false" outlineLevel="0" collapsed="false">
      <c r="A17567" s="1" t="s">
        <v>1090</v>
      </c>
      <c r="B17567" s="1" t="s">
        <v>1132</v>
      </c>
      <c r="C17567" s="33" t="str">
        <f aca="false">IF(SUM(Sens!F17558:J17558)&gt;0.05,"需要舉債 "&amp;TEXT(SUM(Sens!F17558:J17558),"0.0")&amp;" 十億美元","不需舉債")&amp;"；"&amp;IF(SUM(Sens!F17557:J17557)&lt;COUNT(Sens!F17557:J17557)*bb_target-0.05,"回購較每年 "&amp;TEXT(bb_target,"0.0")&amp;" 的目標少 "&amp;TEXT(COUNT(Sens!F17557:J17557)*bb_target-SUM(Sens!F17557:J17557),"0.0")&amp;" 十億美元（"&amp;TEXT(COUNTIF(Sens!F17557:J17557,"&lt;"&amp;(bb_target-0.05)),"0")&amp;" 年減少）","回購不減")</f>
        <v>需要舉債 26.6 十億美元；回購較每年 22.3 的目標少 66.8 十億美元（3 年減少）</v>
      </c>
    </row>
    <row r="17568" customFormat="false" ht="17.15" hidden="false" customHeight="false" outlineLevel="0" collapsed="false">
      <c r="A17568" s="3" t="s">
        <v>1913</v>
      </c>
    </row>
    <row r="17569" customFormat="false" ht="15" hidden="false" customHeight="false" outlineLevel="0" collapsed="false">
      <c r="A17569" s="4" t="s">
        <v>43</v>
      </c>
      <c r="B17569" s="4" t="s">
        <v>65</v>
      </c>
      <c r="C17569" s="23" t="s">
        <v>938</v>
      </c>
      <c r="D17569" s="23" t="s">
        <v>939</v>
      </c>
      <c r="E17569" s="23" t="s">
        <v>940</v>
      </c>
      <c r="F17569" s="23" t="s">
        <v>941</v>
      </c>
      <c r="G17569" s="23" t="s">
        <v>942</v>
      </c>
      <c r="H17569" s="23" t="s">
        <v>943</v>
      </c>
      <c r="I17569" s="23" t="s">
        <v>944</v>
      </c>
      <c r="J17569" s="23" t="s">
        <v>945</v>
      </c>
      <c r="K17569" s="23" t="s">
        <v>946</v>
      </c>
      <c r="L17569" s="4" t="s">
        <v>47</v>
      </c>
    </row>
    <row r="17570" customFormat="false" ht="17.15" hidden="false" customHeight="false" outlineLevel="0" collapsed="false">
      <c r="A17570" s="1" t="s">
        <v>1212</v>
      </c>
      <c r="B17570" s="1" t="s">
        <v>279</v>
      </c>
      <c r="F17570" s="8" t="n">
        <f aca="false">(1-v_off)*mid_yr</f>
        <v>0.373972602739726</v>
      </c>
      <c r="G17570" s="8" t="n">
        <f aca="false">Sens!G17420-base_fy-mid_yr-v_off</f>
        <v>1.24794520547945</v>
      </c>
      <c r="H17570" s="8" t="n">
        <f aca="false">Sens!H17420-base_fy-mid_yr-v_off</f>
        <v>2.24794520547945</v>
      </c>
      <c r="I17570" s="8" t="n">
        <f aca="false">Sens!I17420-base_fy-mid_yr-v_off</f>
        <v>3.24794520547945</v>
      </c>
      <c r="J17570" s="8" t="n">
        <f aca="false">Sens!J17420-base_fy-mid_yr-v_off</f>
        <v>4.24794520547945</v>
      </c>
      <c r="K17570" s="8" t="n">
        <f aca="false">Sens!K17420-base_fy-mid_yr-v_off</f>
        <v>5.24794520547945</v>
      </c>
      <c r="L17570" s="12" t="s">
        <v>1213</v>
      </c>
    </row>
    <row r="17571" customFormat="false" ht="15" hidden="false" customHeight="false" outlineLevel="0" collapsed="false">
      <c r="A17571" s="1" t="s">
        <v>1214</v>
      </c>
      <c r="B17571" s="1" t="s">
        <v>279</v>
      </c>
      <c r="F17571" s="8" t="n">
        <f aca="false">Sens!F17420-base_fy-v_off</f>
        <v>0.747945205479452</v>
      </c>
      <c r="G17571" s="8" t="n">
        <f aca="false">Sens!G17420-base_fy-v_off</f>
        <v>1.74794520547945</v>
      </c>
      <c r="H17571" s="8" t="n">
        <f aca="false">Sens!H17420-base_fy-v_off</f>
        <v>2.74794520547945</v>
      </c>
      <c r="I17571" s="8" t="n">
        <f aca="false">Sens!I17420-base_fy-v_off</f>
        <v>3.74794520547945</v>
      </c>
      <c r="J17571" s="8" t="n">
        <f aca="false">Sens!J17420-base_fy-v_off</f>
        <v>4.74794520547945</v>
      </c>
      <c r="K17571" s="8" t="n">
        <f aca="false">Sens!K17420-base_fy-v_off</f>
        <v>5.74794520547945</v>
      </c>
    </row>
    <row r="17572" customFormat="false" ht="15" hidden="false" customHeight="false" outlineLevel="0" collapsed="false">
      <c r="A17572" s="1" t="s">
        <v>1215</v>
      </c>
      <c r="B17572" s="0" t="s">
        <v>229</v>
      </c>
      <c r="F17572" s="15" t="n">
        <f aca="false">1/(1+wacc)^Sens!F17570</f>
        <v>0.964022703286649</v>
      </c>
      <c r="G17572" s="15" t="n">
        <f aca="false">1/(1+wacc)^Sens!G17570</f>
        <v>0.884910302296739</v>
      </c>
      <c r="H17572" s="15" t="n">
        <f aca="false">1/(1+wacc)^Sens!H17570</f>
        <v>0.802322009770358</v>
      </c>
      <c r="I17572" s="15" t="n">
        <f aca="false">1/(1+wacc)^Sens!I17570</f>
        <v>0.727441646561469</v>
      </c>
      <c r="J17572" s="15" t="n">
        <f aca="false">1/(1+wacc)^Sens!J17570</f>
        <v>0.659549834988973</v>
      </c>
      <c r="K17572" s="15" t="n">
        <f aca="false">1/(1+wacc)^Sens!K17570</f>
        <v>0.597994336576966</v>
      </c>
    </row>
    <row r="17573" customFormat="false" ht="17.15" hidden="false" customHeight="false" outlineLevel="0" collapsed="false">
      <c r="A17573" s="1" t="s">
        <v>1216</v>
      </c>
      <c r="B17573" s="0" t="s">
        <v>98</v>
      </c>
      <c r="F17573" s="6" t="n">
        <f aca="false">Q!$I$35-Q!$I$39-Q!$I$43</f>
        <v>9.666</v>
      </c>
      <c r="L17573" s="12" t="s">
        <v>1217</v>
      </c>
    </row>
    <row r="17574" customFormat="false" ht="17.15" hidden="false" customHeight="false" outlineLevel="0" collapsed="false">
      <c r="A17574" s="1" t="s">
        <v>1218</v>
      </c>
      <c r="B17574" s="0" t="s">
        <v>98</v>
      </c>
      <c r="F17574" s="6" t="n">
        <f aca="false">Sens!F17545-Sens!F17542-Sens!F17549+Sens!F17527*(1-tax_f)*(1-v_off)-Sens!F17573</f>
        <v>-6.10282680452259</v>
      </c>
      <c r="G17574" s="6" t="n">
        <f aca="false">Sens!G17545-Sens!G17542-Sens!G17549+Sens!G17527*(1-tax_f)</f>
        <v>19.0084129023516</v>
      </c>
      <c r="H17574" s="6" t="n">
        <f aca="false">Sens!H17545-Sens!H17542-Sens!H17549+Sens!H17527*(1-tax_f)</f>
        <v>55.9229468383331</v>
      </c>
      <c r="I17574" s="6" t="n">
        <f aca="false">Sens!I17545-Sens!I17542-Sens!I17549+Sens!I17527*(1-tax_f)</f>
        <v>127.901908576191</v>
      </c>
      <c r="J17574" s="6" t="n">
        <f aca="false">Sens!J17545-Sens!J17542-Sens!J17549+Sens!J17527*(1-tax_f)</f>
        <v>201.958443859638</v>
      </c>
      <c r="K17574" s="6" t="n">
        <f aca="false">Sens!K17545-Sens!K17542-Sens!K17549+Sens!K17527*(1-tax_f)</f>
        <v>237.542519059905</v>
      </c>
      <c r="L17574" s="1" t="s">
        <v>1219</v>
      </c>
    </row>
    <row r="17575" customFormat="false" ht="15" hidden="false" customHeight="false" outlineLevel="0" collapsed="false">
      <c r="A17575" s="1" t="s">
        <v>1220</v>
      </c>
      <c r="B17575" s="0" t="s">
        <v>98</v>
      </c>
      <c r="F17575" s="6" t="n">
        <f aca="false">Sens!F17574*Sens!F17572</f>
        <v>-5.88326359378609</v>
      </c>
      <c r="G17575" s="6" t="n">
        <f aca="false">Sens!G17574*Sens!G17572</f>
        <v>16.8207404076012</v>
      </c>
      <c r="H17575" s="6" t="n">
        <f aca="false">Sens!H17574*Sens!H17572</f>
        <v>44.8682110996123</v>
      </c>
      <c r="I17575" s="6" t="n">
        <f aca="false">Sens!I17574*Sens!I17572</f>
        <v>93.0411749730187</v>
      </c>
      <c r="J17575" s="6" t="n">
        <f aca="false">Sens!J17574*Sens!J17572</f>
        <v>133.201658322254</v>
      </c>
      <c r="K17575" s="6" t="n">
        <f aca="false">Sens!K17574*Sens!K17572</f>
        <v>142.049081094049</v>
      </c>
    </row>
    <row r="17576" customFormat="false" ht="17.15" hidden="false" customHeight="false" outlineLevel="0" collapsed="false">
      <c r="A17576" s="1" t="s">
        <v>1221</v>
      </c>
      <c r="B17576" s="0" t="s">
        <v>98</v>
      </c>
      <c r="C17576" s="6" t="n">
        <f aca="false">SUM(Sens!F17575:K17575)</f>
        <v>424.097602302749</v>
      </c>
    </row>
    <row r="17577" customFormat="false" ht="17.15" hidden="false" customHeight="false" outlineLevel="0" collapsed="false">
      <c r="A17577" s="1" t="s">
        <v>1222</v>
      </c>
      <c r="B17577" s="0" t="s">
        <v>98</v>
      </c>
      <c r="C17577" s="6" t="n">
        <f aca="false">Sens!K17513*(1+g_tv)*(1-tax_f)</f>
        <v>247.098906713682</v>
      </c>
    </row>
    <row r="17578" customFormat="false" ht="17.15" hidden="false" customHeight="false" outlineLevel="0" collapsed="false">
      <c r="A17578" s="1" t="s">
        <v>1223</v>
      </c>
      <c r="B17578" s="0" t="s">
        <v>98</v>
      </c>
      <c r="C17578" s="6" t="n">
        <f aca="false">Sens!$C$17577*(1-g_tv/(wacc+ronic_prem))</f>
        <v>175.084017418113</v>
      </c>
    </row>
    <row r="17579" customFormat="false" ht="17.15" hidden="false" customHeight="false" outlineLevel="0" collapsed="false">
      <c r="A17579" s="1" t="s">
        <v>1224</v>
      </c>
      <c r="B17579" s="0" t="s">
        <v>98</v>
      </c>
      <c r="C17579" s="6" t="n">
        <f aca="false">Sens!$C$17578/(wacc-g_tv)</f>
        <v>2400.4963098523</v>
      </c>
    </row>
    <row r="17580" customFormat="false" ht="15" hidden="false" customHeight="false" outlineLevel="0" collapsed="false">
      <c r="A17580" s="1" t="s">
        <v>1225</v>
      </c>
      <c r="B17580" s="0" t="s">
        <v>98</v>
      </c>
      <c r="C17580" s="6" t="n">
        <f aca="false">Sens!$C$17579/(1+wacc)^Sens!K17571</f>
        <v>1366.85624415645</v>
      </c>
    </row>
    <row r="17581" customFormat="false" ht="17.15" hidden="false" customHeight="false" outlineLevel="0" collapsed="false">
      <c r="A17581" s="0" t="s">
        <v>1226</v>
      </c>
      <c r="B17581" s="0" t="s">
        <v>98</v>
      </c>
      <c r="C17581" s="6" t="n">
        <f aca="false">Sens!$C$17576+Sens!$C$17580</f>
        <v>1790.9538464592</v>
      </c>
    </row>
    <row r="17582" customFormat="false" ht="15" hidden="false" customHeight="false" outlineLevel="0" collapsed="false">
      <c r="A17582" s="1" t="s">
        <v>1141</v>
      </c>
      <c r="B17582" s="0" t="s">
        <v>168</v>
      </c>
      <c r="C17582" s="7" t="n">
        <f aca="false">Sens!$C$17580/Sens!$C$17581</f>
        <v>0.763200149941769</v>
      </c>
    </row>
    <row r="17583" customFormat="false" ht="17.15" hidden="false" customHeight="false" outlineLevel="0" collapsed="false">
      <c r="A17583" s="1" t="s">
        <v>1227</v>
      </c>
      <c r="B17583" s="0" t="s">
        <v>98</v>
      </c>
      <c r="C17583" s="6" t="n">
        <f aca="false">Sens!$C$17581+cash_val-debt_val-fl_val+oai_v</f>
        <v>1906.8048464592</v>
      </c>
    </row>
    <row r="17584" customFormat="false" ht="17.15" hidden="false" customHeight="false" outlineLevel="0" collapsed="false">
      <c r="A17584" s="0" t="s">
        <v>1149</v>
      </c>
      <c r="B17584" s="0" t="s">
        <v>75</v>
      </c>
      <c r="C17584" s="5" t="n">
        <f aca="false">Sens!$C$17583/shd_val</f>
        <v>256.084454265269</v>
      </c>
    </row>
    <row r="17585" customFormat="false" ht="15" hidden="false" customHeight="false" outlineLevel="0" collapsed="false">
      <c r="A17585" s="1" t="s">
        <v>1228</v>
      </c>
      <c r="B17585" s="0" t="s">
        <v>75</v>
      </c>
      <c r="C17585" s="8" t="n">
        <f aca="false">div_rem27+Sens!G17553*roll_div_q/q_per_yr</f>
        <v>3.9795</v>
      </c>
    </row>
    <row r="17586" customFormat="false" ht="17.15" hidden="false" customHeight="false" outlineLevel="0" collapsed="false">
      <c r="A17586" s="0" t="s">
        <v>1229</v>
      </c>
      <c r="B17586" s="0" t="s">
        <v>75</v>
      </c>
      <c r="C17586" s="5" t="n">
        <f aca="false">Sens!$C$17584*(1+wacc)^t_roll-Sens!$C$17585</f>
        <v>280.67266317972</v>
      </c>
    </row>
    <row r="17587" customFormat="false" ht="17.15" hidden="false" customHeight="false" outlineLevel="0" collapsed="false">
      <c r="A17587" s="1" t="s">
        <v>1230</v>
      </c>
      <c r="B17587" s="0" t="s">
        <v>168</v>
      </c>
      <c r="F17587" s="7" t="n">
        <f aca="false">Sens!F17539/(Sens!F17484-Sens!F17439)</f>
        <v>0.068677393452264</v>
      </c>
      <c r="G17587" s="7" t="n">
        <f aca="false">Sens!G17539/(Sens!G17484-Sens!G17439)</f>
        <v>0.0663132664471956</v>
      </c>
      <c r="H17587" s="7" t="n">
        <f aca="false">Sens!H17539/(Sens!H17484-Sens!H17439)</f>
        <v>0.0651363826734039</v>
      </c>
      <c r="I17587" s="7" t="n">
        <f aca="false">Sens!I17539/(Sens!I17484-Sens!I17439)</f>
        <v>0.0650087936347709</v>
      </c>
      <c r="J17587" s="7" t="n">
        <f aca="false">Sens!J17539/(Sens!J17484-Sens!J17439)</f>
        <v>0.0657212684841778</v>
      </c>
      <c r="K17587" s="7" t="n">
        <f aca="false">Sens!K17539/(Sens!K17484-Sens!K17439)</f>
        <v>0.0670413306015285</v>
      </c>
    </row>
    <row r="17588" customFormat="false" ht="17.15" hidden="false" customHeight="false" outlineLevel="0" collapsed="false">
      <c r="A17588" s="0" t="s">
        <v>1231</v>
      </c>
      <c r="B17588" s="0" t="s">
        <v>98</v>
      </c>
      <c r="F17588" s="6" t="n">
        <f aca="false">Sens!F17469*(al_m365+Sens!F17587+sbc_r)</f>
        <v>82.9185219618347</v>
      </c>
      <c r="G17588" s="6" t="n">
        <f aca="false">Sens!G17469*(al_m365+Sens!G17587+sbc_r)</f>
        <v>93.3068052157631</v>
      </c>
      <c r="H17588" s="6" t="n">
        <f aca="false">Sens!H17469*(al_m365+Sens!H17587+sbc_r)</f>
        <v>103.856057136159</v>
      </c>
      <c r="I17588" s="6" t="n">
        <f aca="false">Sens!I17469*(al_m365+Sens!I17587+sbc_r)</f>
        <v>113.889717587147</v>
      </c>
      <c r="J17588" s="6" t="n">
        <f aca="false">Sens!J17469*(al_m365+Sens!J17587+sbc_r)</f>
        <v>123.218477864124</v>
      </c>
      <c r="K17588" s="6" t="n">
        <f aca="false">Sens!K17469*(al_m365+Sens!K17587+sbc_r)</f>
        <v>132.149420086311</v>
      </c>
      <c r="L17588" s="12" t="s">
        <v>1232</v>
      </c>
    </row>
    <row r="17589" customFormat="false" ht="17.15" hidden="false" customHeight="false" outlineLevel="0" collapsed="false">
      <c r="A17589" s="0" t="s">
        <v>1233</v>
      </c>
      <c r="B17589" s="0" t="s">
        <v>98</v>
      </c>
      <c r="F17589" s="6" t="n">
        <f aca="false">Sens!F17470*(al_lic+Sens!F17587+sbc_r)</f>
        <v>32.8599853992256</v>
      </c>
      <c r="G17589" s="6" t="n">
        <f aca="false">Sens!G17470*(al_lic+Sens!G17587+sbc_r)</f>
        <v>34.1568280697879</v>
      </c>
      <c r="H17589" s="6" t="n">
        <f aca="false">Sens!H17470*(al_lic+Sens!H17587+sbc_r)</f>
        <v>35.3635535007213</v>
      </c>
      <c r="I17589" s="6" t="n">
        <f aca="false">Sens!I17470*(al_lic+Sens!I17587+sbc_r)</f>
        <v>36.4604537346553</v>
      </c>
      <c r="J17589" s="6" t="n">
        <f aca="false">Sens!J17470*(al_lic+Sens!J17587+sbc_r)</f>
        <v>37.4245888933574</v>
      </c>
      <c r="K17589" s="6" t="n">
        <f aca="false">Sens!K17470*(al_lic+Sens!K17587+sbc_r)</f>
        <v>38.2321483186439</v>
      </c>
    </row>
    <row r="17590" customFormat="false" ht="17.15" hidden="false" customHeight="false" outlineLevel="0" collapsed="false">
      <c r="A17590" s="0" t="s">
        <v>1234</v>
      </c>
      <c r="B17590" s="0" t="s">
        <v>98</v>
      </c>
      <c r="F17590" s="6" t="n">
        <f aca="false">Sens!F17472*(al_ind+Sens!F17587+sbc_r)</f>
        <v>9.06170747885803</v>
      </c>
      <c r="G17590" s="6" t="n">
        <f aca="false">Sens!G17472*(al_ind+Sens!G17587+sbc_r)</f>
        <v>9.8478979082138</v>
      </c>
      <c r="H17590" s="6" t="n">
        <f aca="false">Sens!H17472*(al_ind+Sens!H17587+sbc_r)</f>
        <v>10.6768254332059</v>
      </c>
      <c r="I17590" s="6" t="n">
        <f aca="false">Sens!I17472*(al_ind+Sens!I17587+sbc_r)</f>
        <v>11.54398793803</v>
      </c>
      <c r="J17590" s="6" t="n">
        <f aca="false">Sens!J17472*(al_ind+Sens!J17587+sbc_r)</f>
        <v>12.4407914253112</v>
      </c>
      <c r="K17590" s="6" t="n">
        <f aca="false">Sens!K17472*(al_ind+Sens!K17587+sbc_r)</f>
        <v>13.355239066864</v>
      </c>
    </row>
    <row r="17591" customFormat="false" ht="17.15" hidden="false" customHeight="false" outlineLevel="0" collapsed="false">
      <c r="A17591" s="0" t="s">
        <v>1235</v>
      </c>
      <c r="B17591" s="0" t="s">
        <v>98</v>
      </c>
      <c r="F17591" s="6" t="n">
        <f aca="false">Sens!F17474*(al_fro+Sens!F17587+sbc_r)</f>
        <v>3.55453569939552</v>
      </c>
      <c r="G17591" s="6" t="n">
        <f aca="false">Sens!G17474*(al_fro+Sens!G17587+sbc_r)</f>
        <v>3.76809436159872</v>
      </c>
      <c r="H17591" s="6" t="n">
        <f aca="false">Sens!H17474*(al_fro+Sens!H17587+sbc_r)</f>
        <v>4.00964905674607</v>
      </c>
      <c r="I17591" s="6" t="n">
        <f aca="false">Sens!I17474*(al_fro+Sens!I17587+sbc_r)</f>
        <v>4.28152633145235</v>
      </c>
      <c r="J17591" s="6" t="n">
        <f aca="false">Sens!J17474*(al_fro+Sens!J17587+sbc_r)</f>
        <v>4.58536512975975</v>
      </c>
      <c r="K17591" s="6" t="n">
        <f aca="false">Sens!K17474*(al_fro+Sens!K17587+sbc_r)</f>
        <v>4.92240770086468</v>
      </c>
    </row>
    <row r="17592" customFormat="false" ht="17.15" hidden="false" customHeight="false" outlineLevel="0" collapsed="false">
      <c r="A17592" s="0" t="s">
        <v>1236</v>
      </c>
      <c r="B17592" s="0" t="s">
        <v>98</v>
      </c>
      <c r="F17592" s="6" t="n">
        <f aca="false">Sens!F17477*(al_srch+Sens!F17587+sbc_r)</f>
        <v>11.190683952584</v>
      </c>
      <c r="G17592" s="6" t="n">
        <f aca="false">Sens!G17477*(al_srch+Sens!G17587+sbc_r)</f>
        <v>12.2763328717258</v>
      </c>
      <c r="H17592" s="6" t="n">
        <f aca="false">Sens!H17477*(al_srch+Sens!H17587+sbc_r)</f>
        <v>13.4043563346576</v>
      </c>
      <c r="I17592" s="6" t="n">
        <f aca="false">Sens!I17477*(al_srch+Sens!I17587+sbc_r)</f>
        <v>14.5621512181916</v>
      </c>
      <c r="J17592" s="6" t="n">
        <f aca="false">Sens!J17477*(al_srch+Sens!J17587+sbc_r)</f>
        <v>15.7310381862385</v>
      </c>
      <c r="K17592" s="6" t="n">
        <f aca="false">Sens!K17477*(al_srch+Sens!K17587+sbc_r)</f>
        <v>16.8873320486462</v>
      </c>
    </row>
    <row r="17593" customFormat="false" ht="17.15" hidden="false" customHeight="false" outlineLevel="0" collapsed="false">
      <c r="A17593" s="0" t="s">
        <v>1237</v>
      </c>
      <c r="B17593" s="0" t="s">
        <v>98</v>
      </c>
      <c r="F17593" s="6" t="n">
        <f aca="false">Sens!F17445-Sens!F17446+Sens!F17527</f>
        <v>38.9696429794913</v>
      </c>
      <c r="G17593" s="6" t="n">
        <f aca="false">Sens!G17445-Sens!G17446+Sens!G17527</f>
        <v>69.465497726016</v>
      </c>
      <c r="H17593" s="6" t="n">
        <f aca="false">Sens!H17445-Sens!H17446+Sens!H17527</f>
        <v>96.8147106808268</v>
      </c>
      <c r="I17593" s="6" t="n">
        <f aca="false">Sens!I17445-Sens!I17446+Sens!I17527</f>
        <v>127.654939766446</v>
      </c>
      <c r="J17593" s="6" t="n">
        <f aca="false">Sens!J17445-Sens!J17446+Sens!J17527</f>
        <v>149.308352681229</v>
      </c>
      <c r="K17593" s="6" t="n">
        <f aca="false">Sens!K17445-Sens!K17446+Sens!K17527</f>
        <v>162.731822021841</v>
      </c>
    </row>
    <row r="17594" customFormat="false" ht="17.15" hidden="false" customHeight="false" outlineLevel="0" collapsed="false">
      <c r="A17594" s="0" t="s">
        <v>1238</v>
      </c>
      <c r="B17594" s="0" t="s">
        <v>98</v>
      </c>
      <c r="F17594" s="6" t="n">
        <f aca="false">Sens!F17506+Sens!F17527+Sens!F17457+Sens!F17587*(Sens!F17476-Sens!F17439)+sbc_r*Sens!F17476</f>
        <v>234.79972328186</v>
      </c>
      <c r="G17594" s="6" t="n">
        <f aca="false">Sens!G17506+Sens!G17527+Sens!G17457+Sens!G17587*(Sens!G17476-Sens!G17439)+sbc_r*Sens!G17476</f>
        <v>285.499052659517</v>
      </c>
      <c r="H17594" s="6" t="n">
        <f aca="false">Sens!H17506+Sens!H17527+Sens!H17457+Sens!H17587*(Sens!H17476-Sens!H17439)+sbc_r*Sens!H17476</f>
        <v>338.258569294547</v>
      </c>
      <c r="I17594" s="6" t="n">
        <f aca="false">Sens!I17506+Sens!I17527+Sens!I17457+Sens!I17587*(Sens!I17476-Sens!I17439)+sbc_r*Sens!I17476</f>
        <v>393.887902526982</v>
      </c>
      <c r="J17594" s="6" t="n">
        <f aca="false">Sens!J17506+Sens!J17527+Sens!J17457+Sens!J17587*(Sens!J17476-Sens!J17439)+sbc_r*Sens!J17476</f>
        <v>438.406631506078</v>
      </c>
      <c r="K17594" s="6" t="n">
        <f aca="false">Sens!K17506+Sens!K17527+Sens!K17457+Sens!K17587*(Sens!K17476-Sens!K17439)+sbc_r*Sens!K17476</f>
        <v>472.352875745143</v>
      </c>
    </row>
    <row r="17595" customFormat="false" ht="17.15" hidden="false" customHeight="false" outlineLevel="0" collapsed="false">
      <c r="A17595" s="0" t="s">
        <v>1239</v>
      </c>
      <c r="B17595" s="0" t="s">
        <v>98</v>
      </c>
      <c r="F17595" s="6" t="n">
        <f aca="false">Sens!F17594-Sens!F17588-Sens!F17589-Sens!F17590-Sens!F17591-Sens!F17593</f>
        <v>67.4353297630543</v>
      </c>
      <c r="G17595" s="6" t="n">
        <f aca="false">Sens!G17594-Sens!G17588-Sens!G17589-Sens!G17590-Sens!G17591-Sens!G17593</f>
        <v>74.9539293781376</v>
      </c>
      <c r="H17595" s="6" t="n">
        <f aca="false">Sens!H17594-Sens!H17588-Sens!H17589-Sens!H17590-Sens!H17591-Sens!H17593</f>
        <v>87.537773486888</v>
      </c>
      <c r="I17595" s="6" t="n">
        <f aca="false">Sens!I17594-Sens!I17588-Sens!I17589-Sens!I17590-Sens!I17591-Sens!I17593</f>
        <v>100.057277169252</v>
      </c>
      <c r="J17595" s="6" t="n">
        <f aca="false">Sens!J17594-Sens!J17588-Sens!J17589-Sens!J17590-Sens!J17591-Sens!J17593</f>
        <v>111.429055512297</v>
      </c>
      <c r="K17595" s="6" t="n">
        <f aca="false">Sens!K17594-Sens!K17588-Sens!K17589-Sens!K17590-Sens!K17591-Sens!K17593</f>
        <v>120.961838550618</v>
      </c>
    </row>
    <row r="17596" customFormat="false" ht="17.15" hidden="false" customHeight="false" outlineLevel="0" collapsed="false">
      <c r="A17596" s="0" t="s">
        <v>1240</v>
      </c>
      <c r="B17596" s="0" t="s">
        <v>98</v>
      </c>
      <c r="F17596" s="6" t="n">
        <f aca="false">Sens!F17508+Sens!F17587*Sens!F17483+sbc_r*Sens!F17483</f>
        <v>26.6373549789235</v>
      </c>
      <c r="G17596" s="6" t="n">
        <f aca="false">Sens!G17508+Sens!G17587*Sens!G17483+sbc_r*Sens!G17483</f>
        <v>26.5038922765853</v>
      </c>
      <c r="H17596" s="6" t="n">
        <f aca="false">Sens!H17508+Sens!H17587*Sens!H17483+sbc_r*Sens!H17483</f>
        <v>27.3981100014792</v>
      </c>
      <c r="I17596" s="6" t="n">
        <f aca="false">Sens!I17508+Sens!I17587*Sens!I17483+sbc_r*Sens!I17483</f>
        <v>28.5176442589239</v>
      </c>
      <c r="J17596" s="6" t="n">
        <f aca="false">Sens!J17508+Sens!J17587*Sens!J17483+sbc_r*Sens!J17483</f>
        <v>29.8313998963726</v>
      </c>
      <c r="K17596" s="6" t="n">
        <f aca="false">Sens!K17508+Sens!K17587*Sens!K17483+sbc_r*Sens!K17483</f>
        <v>31.3103466222307</v>
      </c>
    </row>
    <row r="17597" customFormat="false" ht="17.15" hidden="false" customHeight="false" outlineLevel="0" collapsed="false">
      <c r="A17597" s="0" t="s">
        <v>1241</v>
      </c>
      <c r="B17597" s="0" t="s">
        <v>98</v>
      </c>
      <c r="F17597" s="6" t="n">
        <f aca="false">(Sens!F17596-Sens!F17592)*Sens!F17479/(Sens!F17479+Sens!F17481)</f>
        <v>8.72405610479892</v>
      </c>
      <c r="G17597" s="6" t="n">
        <f aca="false">(Sens!G17596-Sens!G17592)*Sens!G17479/(Sens!G17479+Sens!G17481)</f>
        <v>7.897418765869</v>
      </c>
      <c r="H17597" s="6" t="n">
        <f aca="false">(Sens!H17596-Sens!H17592)*Sens!H17479/(Sens!H17479+Sens!H17481)</f>
        <v>7.66644879573063</v>
      </c>
      <c r="I17597" s="6" t="n">
        <f aca="false">(Sens!I17596-Sens!I17592)*Sens!I17479/(Sens!I17479+Sens!I17481)</f>
        <v>7.5787545031814</v>
      </c>
      <c r="J17597" s="6" t="n">
        <f aca="false">(Sens!J17596-Sens!J17592)*Sens!J17479/(Sens!J17479+Sens!J17481)</f>
        <v>7.62401876450459</v>
      </c>
      <c r="K17597" s="6" t="n">
        <f aca="false">(Sens!K17596-Sens!K17592)*Sens!K17479/(Sens!K17479+Sens!K17481)</f>
        <v>7.79847609658838</v>
      </c>
    </row>
    <row r="17598" customFormat="false" ht="17.15" hidden="false" customHeight="false" outlineLevel="0" collapsed="false">
      <c r="A17598" s="0" t="s">
        <v>1242</v>
      </c>
      <c r="B17598" s="0" t="s">
        <v>98</v>
      </c>
      <c r="F17598" s="6" t="n">
        <f aca="false">Sens!F17596-Sens!F17592-Sens!F17597</f>
        <v>6.72261492154066</v>
      </c>
      <c r="G17598" s="6" t="n">
        <f aca="false">Sens!G17596-Sens!G17592-Sens!G17597</f>
        <v>6.33014063899044</v>
      </c>
      <c r="H17598" s="6" t="n">
        <f aca="false">Sens!H17596-Sens!H17592-Sens!H17597</f>
        <v>6.32730487109095</v>
      </c>
      <c r="I17598" s="6" t="n">
        <f aca="false">Sens!I17596-Sens!I17592-Sens!I17597</f>
        <v>6.37673853755084</v>
      </c>
      <c r="J17598" s="6" t="n">
        <f aca="false">Sens!J17596-Sens!J17592-Sens!J17597</f>
        <v>6.47634294562954</v>
      </c>
      <c r="K17598" s="6" t="n">
        <f aca="false">Sens!K17596-Sens!K17592-Sens!K17597</f>
        <v>6.62453847699607</v>
      </c>
    </row>
    <row r="17599" customFormat="false" ht="17.15" hidden="false" customHeight="false" outlineLevel="0" collapsed="false">
      <c r="A17599" s="0" t="s">
        <v>1243</v>
      </c>
      <c r="B17599" s="0" t="s">
        <v>98</v>
      </c>
      <c r="F17599" s="6" t="n">
        <f aca="false">Sens!F17593-tax_f*(Sens!F17593-Sens!F17457)-Sens!F17454</f>
        <v>-130.362326762856</v>
      </c>
      <c r="G17599" s="6" t="n">
        <f aca="false">Sens!G17593-tax_f*(Sens!G17593-Sens!G17457)-Sens!G17454</f>
        <v>-124.225179337776</v>
      </c>
      <c r="H17599" s="6" t="n">
        <f aca="false">Sens!H17593-tax_f*(Sens!H17593-Sens!H17457)-Sens!H17454</f>
        <v>-101.534217387562</v>
      </c>
      <c r="I17599" s="6" t="n">
        <f aca="false">Sens!I17593-tax_f*(Sens!I17593-Sens!I17457)-Sens!I17454</f>
        <v>-43.6446798695439</v>
      </c>
      <c r="J17599" s="6" t="n">
        <f aca="false">Sens!J17593-tax_f*(Sens!J17593-Sens!J17457)-Sens!J17454</f>
        <v>16.9198855589618</v>
      </c>
      <c r="K17599" s="6" t="n">
        <f aca="false">Sens!K17593-tax_f*(Sens!K17593-Sens!K17457)-Sens!K17454</f>
        <v>39.8251384629271</v>
      </c>
    </row>
    <row r="17600" customFormat="false" ht="17.15" hidden="false" customHeight="false" outlineLevel="0" collapsed="false">
      <c r="A17600" s="0" t="s">
        <v>1244</v>
      </c>
      <c r="B17600" s="0" t="s">
        <v>98</v>
      </c>
      <c r="G17600" s="6" t="n">
        <f aca="false">Sens!G17599/(1+wacc)^(Sens!G17570-Sens!F17571)</f>
        <v>-118.286276192192</v>
      </c>
      <c r="H17600" s="6" t="n">
        <f aca="false">Sens!H17599/(1+wacc)^(Sens!H17570-Sens!F17571)</f>
        <v>-87.6570009910427</v>
      </c>
      <c r="I17600" s="6" t="n">
        <f aca="false">Sens!I17599/(1+wacc)^(Sens!I17570-Sens!F17571)</f>
        <v>-34.1629172979204</v>
      </c>
      <c r="J17600" s="6" t="n">
        <f aca="false">Sens!J17599/(1+wacc)^(Sens!J17570-Sens!F17571)</f>
        <v>12.0079954170053</v>
      </c>
      <c r="K17600" s="6" t="n">
        <f aca="false">Sens!K17599/(1+wacc)^(Sens!K17570-Sens!F17571)</f>
        <v>25.6259421582556</v>
      </c>
      <c r="L17600" s="1" t="s">
        <v>1245</v>
      </c>
    </row>
    <row r="17601" customFormat="false" ht="17.15" hidden="false" customHeight="false" outlineLevel="0" collapsed="false">
      <c r="A17601" s="0" t="s">
        <v>1246</v>
      </c>
      <c r="B17601" s="0" t="s">
        <v>98</v>
      </c>
      <c r="C17601" s="6" t="n">
        <f aca="false">(Sens!K17593-Sens!K17457)*(1-tax_f)*(1+g_tv)*(1-g_tv/(wacc+ronic_prem))/(wacc-g_tv)/(1+wacc)^(Sens!K17571-Sens!F17571)</f>
        <v>96.7148026864948</v>
      </c>
    </row>
    <row r="17602" customFormat="false" ht="17.15" hidden="false" customHeight="false" outlineLevel="0" collapsed="false">
      <c r="A17602" s="1" t="s">
        <v>1247</v>
      </c>
      <c r="B17602" s="0" t="s">
        <v>98</v>
      </c>
      <c r="C17602" s="6" t="n">
        <f aca="false">(SUM(Sens!G17600:K17600)+Sens!$C$17601)*(1+wacc)^(t_roll-Sens!F17571)</f>
        <v>-109.248827617462</v>
      </c>
      <c r="L17602" s="12" t="s">
        <v>1248</v>
      </c>
    </row>
    <row r="17603" customFormat="false" ht="17.15" hidden="false" customHeight="false" outlineLevel="0" collapsed="false">
      <c r="A17603" s="1" t="s">
        <v>1249</v>
      </c>
      <c r="B17603" s="0" t="s">
        <v>98</v>
      </c>
      <c r="C17603" s="6" t="n">
        <f aca="false">(w_ntm28*Sens!G17445+(1-w_ntm28)*Sens!H17445)*m_ai</f>
        <v>344.355829012336</v>
      </c>
    </row>
    <row r="17604" customFormat="false" ht="17.15" hidden="false" customHeight="false" outlineLevel="0" collapsed="false">
      <c r="A17604" s="1" t="s">
        <v>1250</v>
      </c>
      <c r="B17604" s="0" t="s">
        <v>98</v>
      </c>
      <c r="C17604" s="6" t="n">
        <f aca="false">(w_ntm28*Sens!G17595+(1-w_ntm28)*Sens!H17595)*m_cloud</f>
        <v>1093.03877543039</v>
      </c>
    </row>
    <row r="17605" customFormat="false" ht="17.15" hidden="false" customHeight="false" outlineLevel="0" collapsed="false">
      <c r="A17605" s="1" t="s">
        <v>1251</v>
      </c>
      <c r="B17605" s="0" t="s">
        <v>98</v>
      </c>
      <c r="C17605" s="6" t="n">
        <f aca="false">(w_ntm28*Sens!G17588+(1-w_ntm28)*Sens!H17588)*m_sw</f>
        <v>1045.17056616266</v>
      </c>
    </row>
    <row r="17606" customFormat="false" ht="17.15" hidden="false" customHeight="false" outlineLevel="0" collapsed="false">
      <c r="A17606" s="1" t="s">
        <v>1252</v>
      </c>
      <c r="B17606" s="0" t="s">
        <v>98</v>
      </c>
      <c r="C17606" s="6" t="n">
        <f aca="false">(w_ntm28*Sens!G17589+(1-w_ntm28)*Sens!H17589)*m_sw</f>
        <v>373.178444957791</v>
      </c>
    </row>
    <row r="17607" customFormat="false" ht="17.15" hidden="false" customHeight="false" outlineLevel="0" collapsed="false">
      <c r="A17607" s="1" t="s">
        <v>1253</v>
      </c>
      <c r="B17607" s="0" t="s">
        <v>98</v>
      </c>
      <c r="C17607" s="6" t="n">
        <f aca="false">(w_ntm28*Sens!G17590+(1-w_ntm28)*Sens!H17590)*m_sw</f>
        <v>109.30055788101</v>
      </c>
    </row>
    <row r="17608" customFormat="false" ht="17.15" hidden="false" customHeight="false" outlineLevel="0" collapsed="false">
      <c r="A17608" s="1" t="s">
        <v>1254</v>
      </c>
      <c r="B17608" s="0" t="s">
        <v>98</v>
      </c>
      <c r="C17608" s="6" t="n">
        <f aca="false">(w_ntm28*Sens!G17591+(1-w_ntm28)*Sens!H17591)*m_sw</f>
        <v>41.5531037214606</v>
      </c>
    </row>
    <row r="17609" customFormat="false" ht="17.15" hidden="false" customHeight="false" outlineLevel="0" collapsed="false">
      <c r="A17609" s="1" t="s">
        <v>1255</v>
      </c>
      <c r="B17609" s="0" t="s">
        <v>98</v>
      </c>
      <c r="C17609" s="6" t="n">
        <f aca="false">(w_ntm28*Sens!G17592+(1-w_ntm28)*Sens!H17592)*m_ads</f>
        <v>115.215899994784</v>
      </c>
    </row>
    <row r="17610" customFormat="false" ht="17.15" hidden="false" customHeight="false" outlineLevel="0" collapsed="false">
      <c r="A17610" s="1" t="s">
        <v>1256</v>
      </c>
      <c r="B17610" s="0" t="s">
        <v>98</v>
      </c>
      <c r="C17610" s="6" t="n">
        <f aca="false">(w_ntm28*Sens!G17597+(1-w_ntm28)*Sens!H17597)*m_game</f>
        <v>98.7853357615783</v>
      </c>
    </row>
    <row r="17611" customFormat="false" ht="17.15" hidden="false" customHeight="false" outlineLevel="0" collapsed="false">
      <c r="A17611" s="1" t="s">
        <v>1257</v>
      </c>
      <c r="B17611" s="0" t="s">
        <v>98</v>
      </c>
      <c r="C17611" s="6" t="n">
        <f aca="false">(w_ntm28*Sens!G17598+(1-w_ntm28)*Sens!H17598)*m_pc</f>
        <v>91.5836445602173</v>
      </c>
    </row>
    <row r="17612" customFormat="false" ht="17.15" hidden="false" customHeight="false" outlineLevel="0" collapsed="false">
      <c r="A17612" s="1" t="s">
        <v>1258</v>
      </c>
      <c r="B17612" s="0" t="s">
        <v>98</v>
      </c>
      <c r="C17612" s="6" t="n">
        <f aca="false">Sens!$C$17602+Sens!$C$17604+Sens!$C$17605+Sens!$C$17606+Sens!$C$17607+Sens!$C$17608+Sens!$C$17609+Sens!$C$17610+Sens!$C$17611</f>
        <v>2858.57750085243</v>
      </c>
    </row>
    <row r="17613" customFormat="false" ht="17.15" hidden="false" customHeight="false" outlineLevel="0" collapsed="false">
      <c r="A17613" s="1" t="s">
        <v>1259</v>
      </c>
      <c r="B17613" s="0" t="s">
        <v>98</v>
      </c>
      <c r="C17613" s="6" t="n">
        <f aca="false">(Sens!G17574-Sens!G17599)*t_stub</f>
        <v>47.4829168796038</v>
      </c>
      <c r="L17613" s="1" t="s">
        <v>1260</v>
      </c>
    </row>
    <row r="17614" customFormat="false" ht="17.15" hidden="false" customHeight="false" outlineLevel="0" collapsed="false">
      <c r="A17614" s="1" t="s">
        <v>1169</v>
      </c>
      <c r="B17614" s="0" t="s">
        <v>98</v>
      </c>
      <c r="C17614" s="6" t="n">
        <f aca="false">Sens!F17561+oai_v-Sens!F17550+Sens!$C$17613</f>
        <v>158.55427008544</v>
      </c>
      <c r="L17614" s="1" t="s">
        <v>1261</v>
      </c>
    </row>
    <row r="17615" customFormat="false" ht="17.15" hidden="false" customHeight="false" outlineLevel="0" collapsed="false">
      <c r="A17615" s="1" t="s">
        <v>1262</v>
      </c>
      <c r="B17615" s="0" t="s">
        <v>75</v>
      </c>
      <c r="C17615" s="5" t="n">
        <f aca="false">(Sens!$C$17612+Sens!$C$17614)/(Sens!F17563+dil_gap)-Sens!G17553*roll_div_q/q_per_yr</f>
        <v>401.459402206225</v>
      </c>
      <c r="L17615" s="1" t="s">
        <v>1263</v>
      </c>
    </row>
    <row r="17616" customFormat="false" ht="17.15" hidden="false" customHeight="false" outlineLevel="0" collapsed="false">
      <c r="A17616" s="1" t="s">
        <v>1264</v>
      </c>
      <c r="B17616" s="0" t="s">
        <v>75</v>
      </c>
      <c r="C17616" s="5" t="n">
        <f aca="false">w_dcf*Sens!$C$17586+(1-w_dcf)*Sens!$C$17615</f>
        <v>341.066032692973</v>
      </c>
    </row>
    <row r="17617" customFormat="false" ht="17.15" hidden="false" customHeight="false" outlineLevel="0" collapsed="false">
      <c r="A17617" s="3" t="s">
        <v>1914</v>
      </c>
    </row>
    <row r="17618" customFormat="false" ht="15" hidden="false" customHeight="false" outlineLevel="0" collapsed="false">
      <c r="A17618" s="4" t="s">
        <v>43</v>
      </c>
      <c r="B17618" s="4" t="s">
        <v>65</v>
      </c>
      <c r="C17618" s="23" t="s">
        <v>938</v>
      </c>
      <c r="D17618" s="23" t="s">
        <v>939</v>
      </c>
      <c r="E17618" s="23" t="s">
        <v>940</v>
      </c>
      <c r="F17618" s="23" t="s">
        <v>941</v>
      </c>
      <c r="G17618" s="23" t="s">
        <v>942</v>
      </c>
      <c r="H17618" s="23" t="s">
        <v>943</v>
      </c>
      <c r="I17618" s="23" t="s">
        <v>944</v>
      </c>
      <c r="J17618" s="23" t="s">
        <v>945</v>
      </c>
      <c r="K17618" s="23" t="s">
        <v>946</v>
      </c>
      <c r="L17618" s="4" t="s">
        <v>47</v>
      </c>
    </row>
    <row r="17619" customFormat="false" ht="17.15" hidden="false" customHeight="false" outlineLevel="0" collapsed="false">
      <c r="A17619" s="1" t="s">
        <v>947</v>
      </c>
      <c r="B17619" s="1" t="s">
        <v>279</v>
      </c>
      <c r="C17619" s="21" t="n">
        <v>2024</v>
      </c>
      <c r="D17619" s="21" t="n">
        <v>2025</v>
      </c>
      <c r="E17619" s="21" t="n">
        <v>2026</v>
      </c>
      <c r="F17619" s="21" t="n">
        <v>2027</v>
      </c>
      <c r="G17619" s="21" t="n">
        <v>2028</v>
      </c>
      <c r="H17619" s="21" t="n">
        <v>2029</v>
      </c>
      <c r="I17619" s="21" t="n">
        <v>2030</v>
      </c>
      <c r="J17619" s="21" t="n">
        <v>2031</v>
      </c>
      <c r="K17619" s="21" t="n">
        <v>2032</v>
      </c>
    </row>
    <row r="17620" customFormat="false" ht="17.15" hidden="false" customHeight="false" outlineLevel="0" collapsed="false">
      <c r="A17620" s="1" t="s">
        <v>948</v>
      </c>
      <c r="B17620" s="0" t="s">
        <v>456</v>
      </c>
      <c r="F17620" s="30" t="n">
        <f aca="false">pace</f>
        <v>2726.5351</v>
      </c>
      <c r="G17620" s="30" t="n">
        <f aca="false">pace</f>
        <v>2726.5351</v>
      </c>
      <c r="H17620" s="30" t="n">
        <f aca="false">pace</f>
        <v>2726.5351</v>
      </c>
      <c r="I17620" s="30" t="n">
        <f aca="false">pace+(g_tv*Sens!H17621-pace)*MIN(1,(Sens!I17619-pace_y0)/(pace_y1-pace_y0))</f>
        <v>1931.98611966667</v>
      </c>
      <c r="J17620" s="30" t="n">
        <f aca="false">pace+(g_tv*Sens!I17621-pace)*MIN(1,(Sens!J17619-pace_y0)/(pace_y1-pace_y0))</f>
        <v>1176.07686172667</v>
      </c>
      <c r="K17620" s="30" t="n">
        <f aca="false">pace+(g_tv*Sens!J17621-pace)*MIN(1,(Sens!K17619-pace_y0)/(pace_y1-pace_y0))</f>
        <v>436.1300484418</v>
      </c>
      <c r="L17620" s="12" t="s">
        <v>949</v>
      </c>
    </row>
    <row r="17621" customFormat="false" ht="17.15" hidden="false" customHeight="false" outlineLevel="0" collapsed="false">
      <c r="A17621" s="1" t="s">
        <v>950</v>
      </c>
      <c r="B17621" s="0" t="s">
        <v>456</v>
      </c>
      <c r="C17621" s="30" t="n">
        <f aca="false">mw_ext_24</f>
        <v>640</v>
      </c>
      <c r="D17621" s="30" t="n">
        <f aca="false">mw_ext_25</f>
        <v>1630</v>
      </c>
      <c r="E17621" s="30" t="n">
        <f aca="false">mw_ext_26</f>
        <v>3250</v>
      </c>
      <c r="F17621" s="30" t="n">
        <f aca="false">Sens!E17621+Sens!F17620</f>
        <v>5976.5351</v>
      </c>
      <c r="G17621" s="30" t="n">
        <f aca="false">Sens!F17621+Sens!G17620</f>
        <v>8703.0702</v>
      </c>
      <c r="H17621" s="30" t="n">
        <f aca="false">Sens!G17621+Sens!H17620</f>
        <v>11429.6053</v>
      </c>
      <c r="I17621" s="30" t="n">
        <f aca="false">Sens!H17621+Sens!I17620</f>
        <v>13361.5914196667</v>
      </c>
      <c r="J17621" s="30" t="n">
        <f aca="false">Sens!I17621+Sens!J17620</f>
        <v>14537.6682813933</v>
      </c>
      <c r="K17621" s="30" t="n">
        <f aca="false">Sens!J17621+Sens!K17620</f>
        <v>14973.7983298351</v>
      </c>
      <c r="L17621" s="1" t="s">
        <v>951</v>
      </c>
    </row>
    <row r="17622" customFormat="false" ht="17.15" hidden="false" customHeight="false" outlineLevel="0" collapsed="false">
      <c r="A17622" s="1" t="s">
        <v>952</v>
      </c>
      <c r="B17622" s="0" t="s">
        <v>456</v>
      </c>
      <c r="C17622" s="30" t="n">
        <f aca="false">rent_ext_24</f>
        <v>150</v>
      </c>
      <c r="D17622" s="30" t="n">
        <f aca="false">rent_ext_25</f>
        <v>400</v>
      </c>
      <c r="E17622" s="30" t="n">
        <f aca="false">rent_ext_26</f>
        <v>550</v>
      </c>
      <c r="F17622" s="30" t="n">
        <f aca="false">rent_ext_f</f>
        <v>756</v>
      </c>
      <c r="G17622" s="30" t="n">
        <f aca="false">rent_ext_f</f>
        <v>756</v>
      </c>
      <c r="H17622" s="30" t="n">
        <f aca="false">rent_ext_f</f>
        <v>756</v>
      </c>
      <c r="I17622" s="30" t="n">
        <f aca="false">rent_ext_f</f>
        <v>756</v>
      </c>
      <c r="J17622" s="30" t="n">
        <f aca="false">rent_ext_f</f>
        <v>756</v>
      </c>
      <c r="K17622" s="30" t="n">
        <f aca="false">rent_ext_f</f>
        <v>756</v>
      </c>
      <c r="L17622" s="1" t="s">
        <v>953</v>
      </c>
    </row>
    <row r="17623" customFormat="false" ht="17.15" hidden="false" customHeight="false" outlineLevel="0" collapsed="false">
      <c r="A17623" s="1" t="s">
        <v>954</v>
      </c>
      <c r="B17623" s="0" t="s">
        <v>456</v>
      </c>
      <c r="C17623" s="30" t="n">
        <f aca="false">Sens!C17621-Sens!C17622</f>
        <v>490</v>
      </c>
      <c r="D17623" s="30" t="n">
        <f aca="false">Sens!D17621-Sens!D17622</f>
        <v>1230</v>
      </c>
      <c r="E17623" s="30" t="n">
        <f aca="false">Sens!E17621-Sens!E17622</f>
        <v>2700</v>
      </c>
      <c r="F17623" s="30" t="n">
        <f aca="false">Sens!F17621-Sens!F17622</f>
        <v>5220.5351</v>
      </c>
      <c r="G17623" s="30" t="n">
        <f aca="false">Sens!G17621-Sens!G17622</f>
        <v>7947.0702</v>
      </c>
      <c r="H17623" s="30" t="n">
        <f aca="false">Sens!H17621-Sens!H17622</f>
        <v>10673.6053</v>
      </c>
      <c r="I17623" s="30" t="n">
        <f aca="false">Sens!I17621-Sens!I17622</f>
        <v>12605.5914196667</v>
      </c>
      <c r="J17623" s="30" t="n">
        <f aca="false">Sens!J17621-Sens!J17622</f>
        <v>13781.6682813933</v>
      </c>
      <c r="K17623" s="30" t="n">
        <f aca="false">Sens!K17621-Sens!K17622</f>
        <v>14217.7983298351</v>
      </c>
    </row>
    <row r="17624" customFormat="false" ht="17.15" hidden="false" customHeight="false" outlineLevel="0" collapsed="false">
      <c r="A17624" s="1" t="s">
        <v>955</v>
      </c>
      <c r="B17624" s="0" t="s">
        <v>456</v>
      </c>
      <c r="C17624" s="30" t="n">
        <f aca="false">Sens!C17623/ext_sh</f>
        <v>816.666666666667</v>
      </c>
      <c r="D17624" s="30" t="n">
        <f aca="false">Sens!D17623/ext_sh</f>
        <v>2050</v>
      </c>
      <c r="E17624" s="30" t="n">
        <f aca="false">Sens!E17623/ext_sh</f>
        <v>4500</v>
      </c>
      <c r="F17624" s="30" t="n">
        <f aca="false">Sens!F17623/ext_sh</f>
        <v>8700.89183333333</v>
      </c>
      <c r="G17624" s="30" t="n">
        <f aca="false">Sens!G17623/ext_sh</f>
        <v>13245.117</v>
      </c>
      <c r="H17624" s="30" t="n">
        <f aca="false">Sens!H17623/ext_sh</f>
        <v>17789.3421666667</v>
      </c>
      <c r="I17624" s="30" t="n">
        <f aca="false">Sens!I17623/ext_sh</f>
        <v>21009.3190327778</v>
      </c>
      <c r="J17624" s="30" t="n">
        <f aca="false">Sens!J17623/ext_sh</f>
        <v>22969.4471356556</v>
      </c>
      <c r="K17624" s="30" t="n">
        <f aca="false">Sens!K17623/ext_sh</f>
        <v>23696.3305497252</v>
      </c>
      <c r="L17624" s="1" t="s">
        <v>956</v>
      </c>
    </row>
    <row r="17625" customFormat="false" ht="17.15" hidden="false" customHeight="false" outlineLevel="0" collapsed="false">
      <c r="A17625" s="1" t="s">
        <v>957</v>
      </c>
      <c r="B17625" s="0" t="s">
        <v>456</v>
      </c>
      <c r="C17625" s="30" t="n">
        <f aca="false">Sens!C17624-Sens!C17623</f>
        <v>326.666666666667</v>
      </c>
      <c r="D17625" s="30" t="n">
        <f aca="false">Sens!D17624-Sens!D17623</f>
        <v>820</v>
      </c>
      <c r="E17625" s="30" t="n">
        <f aca="false">Sens!E17624-Sens!E17623</f>
        <v>1800</v>
      </c>
      <c r="F17625" s="30" t="n">
        <f aca="false">Sens!F17624-Sens!F17623</f>
        <v>3480.35673333333</v>
      </c>
      <c r="G17625" s="30" t="n">
        <f aca="false">Sens!G17624-Sens!G17623</f>
        <v>5298.0468</v>
      </c>
      <c r="H17625" s="30" t="n">
        <f aca="false">Sens!H17624-Sens!H17623</f>
        <v>7115.73686666667</v>
      </c>
      <c r="I17625" s="30" t="n">
        <f aca="false">Sens!I17624-Sens!I17623</f>
        <v>8403.72761311111</v>
      </c>
      <c r="J17625" s="30" t="n">
        <f aca="false">Sens!J17624-Sens!J17623</f>
        <v>9187.77885426222</v>
      </c>
      <c r="K17625" s="30" t="n">
        <f aca="false">Sens!K17624-Sens!K17623</f>
        <v>9478.53221989009</v>
      </c>
    </row>
    <row r="17626" customFormat="false" ht="17.15" hidden="false" customHeight="false" outlineLevel="0" collapsed="false">
      <c r="A17626" s="1" t="s">
        <v>958</v>
      </c>
      <c r="B17626" s="0" t="s">
        <v>456</v>
      </c>
      <c r="C17626" s="30" t="n">
        <f aca="false">Sens!C17624</f>
        <v>816.666666666667</v>
      </c>
      <c r="D17626" s="30" t="n">
        <f aca="false">Sens!D17624-Sens!C17624</f>
        <v>1233.33333333333</v>
      </c>
      <c r="E17626" s="30" t="n">
        <f aca="false">Sens!E17624-Sens!D17624</f>
        <v>2450</v>
      </c>
      <c r="F17626" s="30" t="n">
        <f aca="false">Sens!F17624-Sens!E17624</f>
        <v>4200.89183333333</v>
      </c>
      <c r="G17626" s="30" t="n">
        <f aca="false">Sens!G17624-Sens!F17624</f>
        <v>4544.22516666667</v>
      </c>
      <c r="H17626" s="30" t="n">
        <f aca="false">Sens!H17624-Sens!G17624</f>
        <v>4544.22516666667</v>
      </c>
      <c r="I17626" s="30" t="n">
        <f aca="false">Sens!I17624-Sens!H17624</f>
        <v>3219.97686611111</v>
      </c>
      <c r="J17626" s="30" t="n">
        <f aca="false">Sens!J17624-Sens!I17624</f>
        <v>1960.12810287778</v>
      </c>
      <c r="K17626" s="30" t="n">
        <f aca="false">Sens!K17624-Sens!J17624</f>
        <v>726.883414069667</v>
      </c>
    </row>
    <row r="17627" customFormat="false" ht="17.15" hidden="false" customHeight="false" outlineLevel="0" collapsed="false">
      <c r="A17627" s="1" t="s">
        <v>959</v>
      </c>
      <c r="B17627" s="0" t="s">
        <v>456</v>
      </c>
      <c r="D17627" s="30" t="n">
        <f aca="false">Sens!D17621-Sens!C17621</f>
        <v>990</v>
      </c>
      <c r="E17627" s="30" t="n">
        <f aca="false">Sens!E17621-Sens!D17621</f>
        <v>1620</v>
      </c>
      <c r="F17627" s="30" t="n">
        <f aca="false">Sens!F17621-Sens!E17621</f>
        <v>2726.5351</v>
      </c>
      <c r="G17627" s="30" t="n">
        <f aca="false">Sens!G17621-Sens!F17621</f>
        <v>2726.5351</v>
      </c>
      <c r="H17627" s="30" t="n">
        <f aca="false">Sens!H17621-Sens!G17621</f>
        <v>2726.5351</v>
      </c>
      <c r="I17627" s="30" t="n">
        <f aca="false">Sens!I17621-Sens!H17621</f>
        <v>1931.98611966667</v>
      </c>
      <c r="J17627" s="30" t="n">
        <f aca="false">Sens!J17621-Sens!I17621</f>
        <v>1176.07686172667</v>
      </c>
      <c r="K17627" s="30" t="n">
        <f aca="false">Sens!K17621-Sens!J17621</f>
        <v>436.130048441799</v>
      </c>
    </row>
    <row r="17628" customFormat="false" ht="17.15" hidden="false" customHeight="false" outlineLevel="0" collapsed="false">
      <c r="A17628" s="1" t="s">
        <v>960</v>
      </c>
      <c r="B17628" s="0" t="s">
        <v>456</v>
      </c>
      <c r="F17628" s="30" t="n">
        <f aca="false">Sens!F17647*ext_sh</f>
        <v>0</v>
      </c>
      <c r="G17628" s="30" t="n">
        <f aca="false">Sens!G17647*ext_sh</f>
        <v>0</v>
      </c>
      <c r="H17628" s="30" t="n">
        <f aca="false">Sens!H17647*ext_sh</f>
        <v>0</v>
      </c>
      <c r="I17628" s="30" t="n">
        <f aca="false">Sens!I17647*ext_sh</f>
        <v>490</v>
      </c>
      <c r="J17628" s="30" t="n">
        <f aca="false">Sens!J17647*ext_sh</f>
        <v>740</v>
      </c>
      <c r="K17628" s="30" t="n">
        <f aca="false">Sens!K17647*ext_sh</f>
        <v>1470</v>
      </c>
      <c r="L17628" s="1" t="s">
        <v>961</v>
      </c>
    </row>
    <row r="17629" customFormat="false" ht="17.15" hidden="false" customHeight="false" outlineLevel="0" collapsed="false">
      <c r="A17629" s="1" t="s">
        <v>962</v>
      </c>
      <c r="B17629" s="0" t="s">
        <v>456</v>
      </c>
      <c r="C17629" s="30" t="n">
        <f aca="false">mix_h*Sens!C17621</f>
        <v>128</v>
      </c>
      <c r="D17629" s="30" t="n">
        <f aca="false">mix_h*Sens!D17621</f>
        <v>326</v>
      </c>
      <c r="E17629" s="30" t="n">
        <f aca="false">mix_h*Sens!E17621</f>
        <v>650</v>
      </c>
      <c r="F17629" s="30" t="n">
        <f aca="false">Sens!E17629-Sens!F17628*mix_h</f>
        <v>650</v>
      </c>
      <c r="G17629" s="30" t="n">
        <f aca="false">Sens!F17629-Sens!G17628*mix_h</f>
        <v>650</v>
      </c>
      <c r="H17629" s="30" t="n">
        <f aca="false">Sens!G17629-Sens!H17628*mix_h</f>
        <v>650</v>
      </c>
      <c r="I17629" s="30" t="n">
        <f aca="false">Sens!H17629-Sens!I17628*mix_h</f>
        <v>552</v>
      </c>
      <c r="J17629" s="30" t="n">
        <f aca="false">Sens!I17629-Sens!J17628*mix_h</f>
        <v>404</v>
      </c>
      <c r="K17629" s="30" t="n">
        <f aca="false">Sens!J17629-Sens!K17628*mix_h</f>
        <v>110</v>
      </c>
    </row>
    <row r="17630" customFormat="false" ht="17.15" hidden="false" customHeight="false" outlineLevel="0" collapsed="false">
      <c r="A17630" s="1" t="s">
        <v>963</v>
      </c>
      <c r="B17630" s="0" t="s">
        <v>456</v>
      </c>
      <c r="C17630" s="30" t="n">
        <f aca="false">mix_g2*Sens!C17621</f>
        <v>288</v>
      </c>
      <c r="D17630" s="30" t="n">
        <f aca="false">mix_g2*Sens!D17621</f>
        <v>733.5</v>
      </c>
      <c r="E17630" s="30" t="n">
        <f aca="false">mix_g2*Sens!E17621</f>
        <v>1462.5</v>
      </c>
      <c r="F17630" s="30" t="n">
        <f aca="false">Sens!E17630-Sens!F17628*mix_g2</f>
        <v>1462.5</v>
      </c>
      <c r="G17630" s="30" t="n">
        <f aca="false">Sens!F17630-Sens!G17628*mix_g2</f>
        <v>1462.5</v>
      </c>
      <c r="H17630" s="30" t="n">
        <f aca="false">Sens!G17630-Sens!H17628*mix_g2</f>
        <v>1462.5</v>
      </c>
      <c r="I17630" s="30" t="n">
        <f aca="false">Sens!H17630-Sens!I17628*mix_g2</f>
        <v>1242</v>
      </c>
      <c r="J17630" s="30" t="n">
        <f aca="false">Sens!I17630-Sens!J17628*mix_g2</f>
        <v>909</v>
      </c>
      <c r="K17630" s="30" t="n">
        <f aca="false">Sens!J17630-Sens!K17628*mix_g2</f>
        <v>247.5</v>
      </c>
    </row>
    <row r="17631" customFormat="false" ht="17.15" hidden="false" customHeight="false" outlineLevel="0" collapsed="false">
      <c r="A17631" s="1" t="s">
        <v>964</v>
      </c>
      <c r="B17631" s="0" t="s">
        <v>456</v>
      </c>
      <c r="C17631" s="30" t="n">
        <f aca="false">mix_g3*Sens!C17621</f>
        <v>224</v>
      </c>
      <c r="D17631" s="30" t="n">
        <f aca="false">mix_g3*Sens!D17621</f>
        <v>570.5</v>
      </c>
      <c r="E17631" s="30" t="n">
        <f aca="false">mix_g3*Sens!E17621</f>
        <v>1137.5</v>
      </c>
      <c r="F17631" s="30" t="n">
        <f aca="false">Sens!E17631+(Sens!F17627+Sens!F17628)*(a_g3_27-nonnv*a_mai)-Sens!F17628*mix_g3</f>
        <v>2773.42106</v>
      </c>
      <c r="G17631" s="30" t="n">
        <f aca="false">Sens!F17631+(Sens!G17627+Sens!G17628)*(a_g3_28-nonnv*a_mai)-Sens!G17628*mix_g3</f>
        <v>3318.72808</v>
      </c>
      <c r="H17631" s="30" t="n">
        <f aca="false">Sens!G17631+(Sens!H17627+Sens!H17628)*(a_g3_29-nonnv*a_mai)-Sens!H17628*mix_g3</f>
        <v>3318.72808</v>
      </c>
      <c r="I17631" s="30" t="n">
        <f aca="false">Sens!H17631+(Sens!I17627+Sens!I17628)*(a_g3_29-nonnv*a_mai)-Sens!I17628*mix_g3</f>
        <v>3147.22808</v>
      </c>
      <c r="J17631" s="30" t="n">
        <f aca="false">Sens!I17631+(Sens!J17627+Sens!J17628)*(a_g3_29-nonnv*a_mai)-Sens!J17628*mix_g3</f>
        <v>2888.22808</v>
      </c>
      <c r="K17631" s="30" t="n">
        <f aca="false">Sens!J17631+(Sens!K17627+Sens!K17628)*(a_g3_29-nonnv*a_mai)-Sens!K17628*mix_g3</f>
        <v>2373.72808</v>
      </c>
    </row>
    <row r="17632" customFormat="false" ht="17.15" hidden="false" customHeight="false" outlineLevel="0" collapsed="false">
      <c r="A17632" s="1" t="s">
        <v>965</v>
      </c>
      <c r="B17632" s="0" t="s">
        <v>456</v>
      </c>
      <c r="C17632" s="30" t="n">
        <v>0</v>
      </c>
      <c r="D17632" s="30" t="n">
        <v>0</v>
      </c>
      <c r="E17632" s="30" t="n">
        <v>0</v>
      </c>
      <c r="F17632" s="30" t="n">
        <f aca="false">Sens!E17632+(Sens!F17627+Sens!F17628)*nonnv*a_mai</f>
        <v>272.65351</v>
      </c>
      <c r="G17632" s="30" t="n">
        <f aca="false">Sens!F17632+(Sens!G17627+Sens!G17628)*nonnv*a_mai</f>
        <v>545.30702</v>
      </c>
      <c r="H17632" s="30" t="n">
        <f aca="false">Sens!G17632+(Sens!H17627+Sens!H17628)*nonnv*a_mai</f>
        <v>817.96053</v>
      </c>
      <c r="I17632" s="30" t="n">
        <f aca="false">Sens!H17632+(Sens!I17627+Sens!I17628)*nonnv*a_mai</f>
        <v>1060.15914196667</v>
      </c>
      <c r="J17632" s="30" t="n">
        <f aca="false">Sens!I17632+(Sens!J17627+Sens!J17628)*nonnv*a_mai</f>
        <v>1251.76682813933</v>
      </c>
      <c r="K17632" s="30" t="n">
        <f aca="false">Sens!J17632+(Sens!K17627+Sens!K17628)*nonnv*a_mai</f>
        <v>1442.37983298351</v>
      </c>
      <c r="L17632" s="12" t="s">
        <v>966</v>
      </c>
    </row>
    <row r="17633" customFormat="false" ht="17.15" hidden="false" customHeight="false" outlineLevel="0" collapsed="false">
      <c r="A17633" s="1" t="s">
        <v>967</v>
      </c>
      <c r="B17633" s="0" t="s">
        <v>456</v>
      </c>
      <c r="C17633" s="30" t="n">
        <v>0</v>
      </c>
      <c r="D17633" s="30" t="n">
        <v>0</v>
      </c>
      <c r="E17633" s="30" t="n">
        <v>0</v>
      </c>
      <c r="F17633" s="30" t="n">
        <f aca="false">Sens!E17633+(Sens!F17627+Sens!F17628)*(1-a_g3_27)</f>
        <v>817.96053</v>
      </c>
      <c r="G17633" s="30" t="n">
        <f aca="false">Sens!F17633+(Sens!G17627+Sens!G17628)*(1-a_g3_28)</f>
        <v>2726.5351</v>
      </c>
      <c r="H17633" s="30" t="n">
        <f aca="false">Sens!G17633+(Sens!H17627+Sens!H17628)*(1-a_g3_29)</f>
        <v>5180.41669</v>
      </c>
      <c r="I17633" s="30" t="n">
        <f aca="false">Sens!H17633+(Sens!I17627+Sens!I17628)*(1-a_g3_29)</f>
        <v>7360.2041977</v>
      </c>
      <c r="J17633" s="30" t="n">
        <f aca="false">Sens!I17633+(Sens!J17627+Sens!J17628)*(1-a_g3_29)</f>
        <v>9084.673373254</v>
      </c>
      <c r="K17633" s="30" t="n">
        <f aca="false">Sens!J17633+(Sens!K17627+Sens!K17628)*(1-a_g3_29)</f>
        <v>10800.1904168516</v>
      </c>
    </row>
    <row r="17634" customFormat="false" ht="17.15" hidden="false" customHeight="false" outlineLevel="0" collapsed="false">
      <c r="A17634" s="1" t="s">
        <v>968</v>
      </c>
      <c r="B17634" s="0" t="s">
        <v>403</v>
      </c>
      <c r="C17634" s="15" t="n">
        <f aca="false">(Sens!C17629*tk_hold_h100+Sens!C17630*tk_hold_gb200+Sens!C17631*tk_hold_gb300+Sens!C17633*tk_hold_vr200+Sens!C17632*nv_hold_mai*tk_hold_vr200)/Sens!C17621</f>
        <v>9.7235358126469</v>
      </c>
      <c r="D17634" s="15" t="n">
        <f aca="false">(Sens!D17629*tk_hold_h100+Sens!D17630*tk_hold_gb200+Sens!D17631*tk_hold_gb300+Sens!D17633*tk_hold_vr200+Sens!D17632*nv_hold_mai*tk_hold_vr200)/Sens!D17621</f>
        <v>9.7235358126469</v>
      </c>
      <c r="E17634" s="15" t="n">
        <f aca="false">(Sens!E17629*tk_hold_h100+Sens!E17630*tk_hold_gb200+Sens!E17631*tk_hold_gb300+Sens!E17633*tk_hold_vr200+Sens!E17632*nv_hold_mai*tk_hold_vr200)/Sens!E17621</f>
        <v>9.7235358126469</v>
      </c>
      <c r="F17634" s="15" t="n">
        <f aca="false">(Sens!F17629*tk_hold_h100+Sens!F17630*tk_hold_gb200+Sens!F17631*tk_hold_gb300+Sens!F17633*tk_hold_vr200+Sens!F17632*nv_hold_mai*tk_hold_vr200)/Sens!F17621</f>
        <v>10.2195353876665</v>
      </c>
      <c r="G17634" s="15" t="n">
        <f aca="false">(Sens!G17629*tk_hold_h100+Sens!G17630*tk_hold_gb200+Sens!G17631*tk_hold_gb300+Sens!G17633*tk_hold_vr200+Sens!G17632*nv_hold_mai*tk_hold_vr200)/Sens!G17621</f>
        <v>10.5725598017306</v>
      </c>
      <c r="H17634" s="15" t="n">
        <f aca="false">(Sens!H17629*tk_hold_h100+Sens!H17630*tk_hold_gb200+Sens!H17631*tk_hold_gb300+Sens!H17633*tk_hold_vr200+Sens!H17632*nv_hold_mai*tk_hold_vr200)/Sens!H17621</f>
        <v>10.8210427149036</v>
      </c>
      <c r="I17634" s="15" t="n">
        <f aca="false">(Sens!I17629*tk_hold_h100+Sens!I17630*tk_hold_gb200+Sens!I17631*tk_hold_gb300+Sens!I17633*tk_hold_vr200+Sens!I17632*nv_hold_mai*tk_hold_vr200)/Sens!I17621</f>
        <v>11.0050618241982</v>
      </c>
      <c r="J17634" s="15" t="n">
        <f aca="false">(Sens!J17629*tk_hold_h100+Sens!J17630*tk_hold_gb200+Sens!J17631*tk_hold_gb300+Sens!J17633*tk_hold_vr200+Sens!J17632*nv_hold_mai*tk_hold_vr200)/Sens!J17621</f>
        <v>11.1505789658881</v>
      </c>
      <c r="K17634" s="15" t="n">
        <f aca="false">(Sens!K17629*tk_hold_h100+Sens!K17630*tk_hold_gb200+Sens!K17631*tk_hold_gb300+Sens!K17633*tk_hold_vr200+Sens!K17632*nv_hold_mai*tk_hold_vr200)/Sens!K17621</f>
        <v>11.3496914757183</v>
      </c>
      <c r="L17634" s="1" t="s">
        <v>969</v>
      </c>
    </row>
    <row r="17635" customFormat="false" ht="17.15" hidden="false" customHeight="false" outlineLevel="0" collapsed="false">
      <c r="A17635" s="1" t="s">
        <v>970</v>
      </c>
      <c r="B17635" s="0" t="s">
        <v>403</v>
      </c>
      <c r="C17635" s="15" t="n">
        <f aca="false">(Sens!C17629*tk_hold_h100+Sens!C17630*tk_hold_gb200+Sens!C17631*tk_hold_gb300+Sens!C17633*tk_hold_vr200+Sens!C17632*nv_out_mai*tk_hold_vr200)/Sens!C17621</f>
        <v>9.7235358126469</v>
      </c>
      <c r="D17635" s="15" t="n">
        <f aca="false">(Sens!D17629*tk_hold_h100+Sens!D17630*tk_hold_gb200+Sens!D17631*tk_hold_gb300+Sens!D17633*tk_hold_vr200+Sens!D17632*nv_out_mai*tk_hold_vr200)/Sens!D17621</f>
        <v>9.7235358126469</v>
      </c>
      <c r="E17635" s="15" t="n">
        <f aca="false">(Sens!E17629*tk_hold_h100+Sens!E17630*tk_hold_gb200+Sens!E17631*tk_hold_gb300+Sens!E17633*tk_hold_vr200+Sens!E17632*nv_out_mai*tk_hold_vr200)/Sens!E17621</f>
        <v>9.7235358126469</v>
      </c>
      <c r="F17635" s="15" t="n">
        <f aca="false">(Sens!F17629*tk_hold_h100+Sens!F17630*tk_hold_gb200+Sens!F17631*tk_hold_gb300+Sens!F17633*tk_hold_vr200+Sens!F17632*nv_out_mai*tk_hold_vr200)/Sens!F17621</f>
        <v>10.247422093969</v>
      </c>
      <c r="G17635" s="15" t="n">
        <f aca="false">(Sens!G17629*tk_hold_h100+Sens!G17630*tk_hold_gb200+Sens!G17631*tk_hold_gb300+Sens!G17633*tk_hold_vr200+Sens!G17632*nv_out_mai*tk_hold_vr200)/Sens!G17621</f>
        <v>10.6108602808053</v>
      </c>
      <c r="H17635" s="15" t="n">
        <f aca="false">(Sens!H17629*tk_hold_h100+Sens!H17630*tk_hold_gb200+Sens!H17631*tk_hold_gb300+Sens!H17633*tk_hold_vr200+Sens!H17632*nv_out_mai*tk_hold_vr200)/Sens!H17621</f>
        <v>10.8647885507393</v>
      </c>
      <c r="I17635" s="15" t="n">
        <f aca="false">(Sens!I17629*tk_hold_h100+Sens!I17630*tk_hold_gb200+Sens!I17631*tk_hold_gb300+Sens!I17633*tk_hold_vr200+Sens!I17632*nv_out_mai*tk_hold_vr200)/Sens!I17621</f>
        <v>11.0535625770025</v>
      </c>
      <c r="J17635" s="15" t="n">
        <f aca="false">(Sens!J17629*tk_hold_h100+Sens!J17630*tk_hold_gb200+Sens!J17631*tk_hold_gb300+Sens!J17633*tk_hold_vr200+Sens!J17632*nv_out_mai*tk_hold_vr200)/Sens!J17621</f>
        <v>11.2032127128058</v>
      </c>
      <c r="K17635" s="15" t="n">
        <f aca="false">(Sens!K17629*tk_hold_h100+Sens!K17630*tk_hold_gb200+Sens!K17631*tk_hold_gb300+Sens!K17633*tk_hold_vr200+Sens!K17632*nv_out_mai*tk_hold_vr200)/Sens!K17621</f>
        <v>11.4085735724225</v>
      </c>
      <c r="L17635" s="12" t="s">
        <v>971</v>
      </c>
    </row>
    <row r="17636" customFormat="false" ht="17.15" hidden="false" customHeight="false" outlineLevel="0" collapsed="false">
      <c r="A17636" s="0" t="s">
        <v>972</v>
      </c>
      <c r="B17636" s="0" t="s">
        <v>229</v>
      </c>
      <c r="C17636" s="15" t="n">
        <f aca="false">k_B</f>
        <v>1.17213932619116</v>
      </c>
      <c r="D17636" s="15" t="n">
        <f aca="false">k_B</f>
        <v>1.17213932619116</v>
      </c>
      <c r="E17636" s="15" t="n">
        <f aca="false">k_B</f>
        <v>1.17213932619116</v>
      </c>
      <c r="F17636" s="15" t="n">
        <f aca="false">(k_B+((ls_A*k_long+(1-ls_A)*k_spot)-k_B)*MIN(1,(Sens!F17619-base_fy)/k_ramp))</f>
        <v>1.25022828131298</v>
      </c>
      <c r="G17636" s="15" t="n">
        <f aca="false">(k_B+((ls_A*k_long+(1-ls_A)*k_spot)-k_B)*MIN(1,(Sens!G17619-base_fy)/k_ramp))</f>
        <v>1.3283172364348</v>
      </c>
      <c r="H17636" s="15" t="n">
        <f aca="false">(k_B+((ls_A*k_long+(1-ls_A)*k_spot)-k_B)*MIN(1,(Sens!H17619-base_fy)/k_ramp))</f>
        <v>1.40640619155662</v>
      </c>
      <c r="I17636" s="15" t="n">
        <f aca="false">(k_B+((ls_A*k_long+(1-ls_A)*k_spot)-k_B)*MIN(1,(Sens!I17619-base_fy)/k_ramp))</f>
        <v>1.40640619155662</v>
      </c>
      <c r="J17636" s="15" t="n">
        <f aca="false">(k_B+((ls_A*k_long+(1-ls_A)*k_spot)-k_B)*MIN(1,(Sens!J17619-base_fy)/k_ramp))</f>
        <v>1.40640619155662</v>
      </c>
      <c r="K17636" s="15" t="n">
        <f aca="false">(k_B+((ls_A*k_long+(1-ls_A)*k_spot)-k_B)*MIN(1,(Sens!K17619-base_fy)/k_ramp))</f>
        <v>1.40640619155662</v>
      </c>
      <c r="L17636" s="1" t="s">
        <v>973</v>
      </c>
    </row>
    <row r="17637" customFormat="false" ht="17.15" hidden="false" customHeight="false" outlineLevel="0" collapsed="false">
      <c r="A17637" s="1" t="s">
        <v>974</v>
      </c>
      <c r="B17637" s="0" t="s">
        <v>403</v>
      </c>
      <c r="C17637" s="15" t="n">
        <f aca="false">Sens!C17635*Sens!C17636*chip_f</f>
        <v>11.3973387156315</v>
      </c>
      <c r="D17637" s="15" t="n">
        <f aca="false">Sens!D17635*Sens!D17636*chip_f</f>
        <v>11.3973387156315</v>
      </c>
      <c r="E17637" s="15" t="n">
        <f aca="false">Sens!E17635*Sens!E17636*chip_f</f>
        <v>11.3973387156315</v>
      </c>
      <c r="F17637" s="15" t="n">
        <f aca="false">Sens!F17635*Sens!F17636*chip_f</f>
        <v>12.8116169124314</v>
      </c>
      <c r="G17637" s="15" t="n">
        <f aca="false">Sens!G17635*Sens!G17636*chip_f</f>
        <v>14.094588604395</v>
      </c>
      <c r="H17637" s="15" t="n">
        <f aca="false">Sens!H17635*Sens!H17636*chip_f</f>
        <v>15.2803058877132</v>
      </c>
      <c r="I17637" s="15" t="n">
        <f aca="false">Sens!I17635*Sens!I17636*chip_f</f>
        <v>15.5457988470549</v>
      </c>
      <c r="J17637" s="15" t="n">
        <f aca="false">Sens!J17635*Sens!J17636*chip_f</f>
        <v>15.7562677246158</v>
      </c>
      <c r="K17637" s="15" t="n">
        <f aca="false">Sens!K17635*Sens!K17636*chip_f</f>
        <v>16.0450885090842</v>
      </c>
      <c r="L17637" s="1" t="s">
        <v>975</v>
      </c>
    </row>
    <row r="17638" customFormat="false" ht="17.15" hidden="false" customHeight="false" outlineLevel="0" collapsed="false">
      <c r="A17638" s="0" t="s">
        <v>976</v>
      </c>
      <c r="B17638" s="0" t="s">
        <v>98</v>
      </c>
      <c r="D17638" s="6" t="n">
        <f aca="false">(Sens!C17621+Sens!D17621)/2*Sens!D17637/1000</f>
        <v>12.9359794422418</v>
      </c>
      <c r="E17638" s="6" t="n">
        <f aca="false">(Sens!D17621+Sens!E17621)/2*Sens!E17637/1000</f>
        <v>27.8095064661409</v>
      </c>
      <c r="F17638" s="6" t="n">
        <f aca="false">(Sens!E17621+Sens!F17621)/2*Sens!F17637/1000</f>
        <v>59.1034165651511</v>
      </c>
      <c r="G17638" s="6" t="n">
        <f aca="false">(Sens!F17621+Sens!G17621)/2*Sens!G17637/1000</f>
        <v>103.451498789198</v>
      </c>
      <c r="H17638" s="6" t="n">
        <f aca="false">(Sens!G17621+Sens!H17621)/2*Sens!H17637/1000</f>
        <v>153.816719989035</v>
      </c>
      <c r="I17638" s="6" t="n">
        <f aca="false">(Sens!H17621+Sens!I17621)/2*Sens!I17637/1000</f>
        <v>192.699478690852</v>
      </c>
      <c r="J17638" s="6" t="n">
        <f aca="false">(Sens!I17621+Sens!J17621)/2*Sens!J17637/1000</f>
        <v>219.794102584244</v>
      </c>
      <c r="K17638" s="6" t="n">
        <f aca="false">(Sens!J17621+Sens!K17621)/2*Sens!K17637/1000</f>
        <v>236.757046905022</v>
      </c>
      <c r="L17638" s="12" t="s">
        <v>977</v>
      </c>
    </row>
    <row r="17639" customFormat="false" ht="17.15" hidden="false" customHeight="false" outlineLevel="0" collapsed="false">
      <c r="A17639" s="1" t="s">
        <v>978</v>
      </c>
      <c r="B17639" s="0" t="s">
        <v>403</v>
      </c>
      <c r="C17639" s="15" t="n">
        <f aca="false">(Sens!C17629*tk_opex_h100+Sens!C17630*tk_opex_gb200+Sens!C17631*tk_opex_gb300+(Sens!C17633+Sens!C17632)*tk_opex_vr200)/Sens!C17621</f>
        <v>1.88636041306092</v>
      </c>
      <c r="D17639" s="15" t="n">
        <f aca="false">(Sens!D17629*tk_opex_h100+Sens!D17630*tk_opex_gb200+Sens!D17631*tk_opex_gb300+(Sens!D17633+Sens!D17632)*tk_opex_vr200)/Sens!D17621</f>
        <v>1.88636041306092</v>
      </c>
      <c r="E17639" s="15" t="n">
        <f aca="false">(Sens!E17629*tk_opex_h100+Sens!E17630*tk_opex_gb200+Sens!E17631*tk_opex_gb300+(Sens!E17633+Sens!E17632)*tk_opex_vr200)/Sens!E17621</f>
        <v>1.88636041306092</v>
      </c>
      <c r="F17639" s="15" t="n">
        <f aca="false">(Sens!F17629*tk_opex_h100+Sens!F17630*tk_opex_gb200+Sens!F17631*tk_opex_gb300+(Sens!F17633+Sens!F17632)*tk_opex_vr200)/Sens!F17621</f>
        <v>1.95051159746876</v>
      </c>
      <c r="G17639" s="15" t="n">
        <f aca="false">(Sens!G17629*tk_opex_h100+Sens!G17630*tk_opex_gb200+Sens!G17631*tk_opex_gb300+(Sens!G17633+Sens!G17632)*tk_opex_vr200)/Sens!G17621</f>
        <v>1.98836003669956</v>
      </c>
      <c r="H17639" s="15" t="n">
        <f aca="false">(Sens!H17629*tk_opex_h100+Sens!H17630*tk_opex_gb200+Sens!H17631*tk_opex_gb300+(Sens!H17633+Sens!H17632)*tk_opex_vr200)/Sens!H17621</f>
        <v>2.01344013834343</v>
      </c>
      <c r="I17639" s="15" t="n">
        <f aca="false">(Sens!I17629*tk_opex_h100+Sens!I17630*tk_opex_gb200+Sens!I17631*tk_opex_gb300+(Sens!I17633+Sens!I17632)*tk_opex_vr200)/Sens!I17621</f>
        <v>2.03261166882178</v>
      </c>
      <c r="J17639" s="15" t="n">
        <f aca="false">(Sens!J17629*tk_opex_h100+Sens!J17630*tk_opex_gb200+Sens!J17631*tk_opex_gb300+(Sens!J17633+Sens!J17632)*tk_opex_vr200)/Sens!J17621</f>
        <v>2.04808073288745</v>
      </c>
      <c r="K17639" s="15" t="n">
        <f aca="false">(Sens!K17629*tk_opex_h100+Sens!K17630*tk_opex_gb200+Sens!K17631*tk_opex_gb300+(Sens!K17633+Sens!K17632)*tk_opex_vr200)/Sens!K17621</f>
        <v>2.06973825807449</v>
      </c>
      <c r="L17639" s="12" t="s">
        <v>979</v>
      </c>
    </row>
    <row r="17640" customFormat="false" ht="17.15" hidden="false" customHeight="false" outlineLevel="0" collapsed="false">
      <c r="A17640" s="0" t="s">
        <v>980</v>
      </c>
      <c r="B17640" s="0" t="s">
        <v>98</v>
      </c>
      <c r="D17640" s="6" t="n">
        <f aca="false">(Sens!C17624+Sens!D17624)/2*Sens!D17639/1000</f>
        <v>2.70378325872065</v>
      </c>
      <c r="E17640" s="6" t="n">
        <f aca="false">(Sens!D17624+Sens!E17624)/2*Sens!E17639/1000</f>
        <v>6.17783035277451</v>
      </c>
      <c r="F17640" s="6" t="n">
        <f aca="false">(Sens!E17624+Sens!F17624)/2*Sens!F17639/1000</f>
        <v>12.8742463089237</v>
      </c>
      <c r="G17640" s="6" t="n">
        <f aca="false">(Sens!F17624+Sens!G17624)/2*Sens!G17639/1000</f>
        <v>21.8182834646277</v>
      </c>
      <c r="H17640" s="6" t="n">
        <f aca="false">(Sens!G17624+Sens!H17624)/2*Sens!H17639/1000</f>
        <v>31.2430128789734</v>
      </c>
      <c r="I17640" s="6" t="n">
        <f aca="false">(Sens!H17624+Sens!I17624)/2*Sens!I17639/1000</f>
        <v>39.4313057443268</v>
      </c>
      <c r="J17640" s="6" t="n">
        <f aca="false">(Sens!I17624+Sens!J17624)/2*Sens!J17639/1000</f>
        <v>45.0360318228653</v>
      </c>
      <c r="K17640" s="6" t="n">
        <f aca="false">(Sens!J17624+Sens!K17624)/2*Sens!K17639/1000</f>
        <v>48.2929727091156</v>
      </c>
    </row>
    <row r="17641" customFormat="false" ht="17.15" hidden="false" customHeight="false" outlineLevel="0" collapsed="false">
      <c r="A17641" s="0" t="s">
        <v>981</v>
      </c>
      <c r="B17641" s="0" t="s">
        <v>98</v>
      </c>
      <c r="D17641" s="6" t="n">
        <f aca="false">(Sens!C17622+Sens!D17622)/2*rent_mw/1000</f>
        <v>2.44475</v>
      </c>
      <c r="E17641" s="6" t="n">
        <f aca="false">(Sens!D17622+Sens!E17622)/2*rent_mw/1000</f>
        <v>4.22275</v>
      </c>
      <c r="F17641" s="6" t="n">
        <f aca="false">(Sens!E17622+Sens!F17622)/2*rent_mw/1000</f>
        <v>5.80517</v>
      </c>
      <c r="G17641" s="6" t="n">
        <f aca="false">(Sens!F17622+Sens!G17622)/2*rent_mw/1000</f>
        <v>6.72084</v>
      </c>
      <c r="H17641" s="6" t="n">
        <f aca="false">(Sens!G17622+Sens!H17622)/2*rent_mw/1000</f>
        <v>6.72084</v>
      </c>
      <c r="I17641" s="6" t="n">
        <f aca="false">(Sens!H17622+Sens!I17622)/2*rent_mw/1000</f>
        <v>6.72084</v>
      </c>
      <c r="J17641" s="6" t="n">
        <f aca="false">(Sens!I17622+Sens!J17622)/2*rent_mw/1000</f>
        <v>6.72084</v>
      </c>
      <c r="K17641" s="6" t="n">
        <f aca="false">(Sens!J17622+Sens!K17622)/2*rent_mw/1000</f>
        <v>6.72084</v>
      </c>
    </row>
    <row r="17642" customFormat="false" ht="17.15" hidden="false" customHeight="false" outlineLevel="0" collapsed="false">
      <c r="A17642" s="0" t="s">
        <v>982</v>
      </c>
      <c r="B17642" s="0" t="s">
        <v>98</v>
      </c>
      <c r="D17642" s="6" t="n">
        <f aca="false">(Sens!C17624+Sens!D17624)/2*(1-self_build)*fac_rent/1000</f>
        <v>0.853242375631075</v>
      </c>
      <c r="E17642" s="6" t="n">
        <f aca="false">(Sens!D17624+Sens!E17624)/2*(1-self_build)*fac_rent/1000</f>
        <v>1.94955961408728</v>
      </c>
      <c r="F17642" s="6" t="n">
        <f aca="false">(Sens!E17624+Sens!F17624)/2*(1-self_build)*fac_rent/1000</f>
        <v>3.92914894476356</v>
      </c>
      <c r="G17642" s="6" t="n">
        <f aca="false">(Sens!F17624+Sens!G17624)/2*(1-self_build)*fac_rent/1000</f>
        <v>6.53206908578159</v>
      </c>
      <c r="H17642" s="6" t="n">
        <f aca="false">(Sens!G17624+Sens!H17624)/2*(1-self_build)*fac_rent/1000</f>
        <v>9.23717988341591</v>
      </c>
      <c r="I17642" s="6" t="n">
        <f aca="false">(Sens!H17624+Sens!I17624)/2*(1-self_build)*fac_rent/1000</f>
        <v>11.5481378557393</v>
      </c>
      <c r="J17642" s="6" t="n">
        <f aca="false">(Sens!I17624+Sens!J17624)/2*(1-self_build)*fac_rent/1000</f>
        <v>13.0899582289108</v>
      </c>
      <c r="K17642" s="6" t="n">
        <f aca="false">(Sens!J17624+Sens!K17624)/2*(1-self_build)*fac_rent/1000</f>
        <v>13.8897275626556</v>
      </c>
      <c r="L17642" s="12" t="s">
        <v>983</v>
      </c>
    </row>
    <row r="17643" customFormat="false" ht="17.15" hidden="false" customHeight="false" outlineLevel="0" collapsed="false">
      <c r="A17643" s="1" t="s">
        <v>984</v>
      </c>
      <c r="B17643" s="0" t="s">
        <v>168</v>
      </c>
      <c r="D17643" s="7" t="n">
        <f aca="false">(Sens!C17623+Sens!D17623)/(Sens!C17624+Sens!D17624)</f>
        <v>0.6</v>
      </c>
      <c r="E17643" s="7" t="n">
        <f aca="false">(Sens!D17623+Sens!E17623)/(Sens!D17624+Sens!E17624)</f>
        <v>0.6</v>
      </c>
      <c r="F17643" s="7" t="n">
        <f aca="false">(Sens!E17623+Sens!F17623)/(Sens!E17624+Sens!F17624)</f>
        <v>0.6</v>
      </c>
      <c r="G17643" s="7" t="n">
        <f aca="false">(Sens!F17623+Sens!G17623)/(Sens!F17624+Sens!G17624)</f>
        <v>0.6</v>
      </c>
      <c r="H17643" s="7" t="n">
        <f aca="false">(Sens!G17623+Sens!H17623)/(Sens!G17624+Sens!H17624)</f>
        <v>0.6</v>
      </c>
      <c r="I17643" s="7" t="n">
        <f aca="false">(Sens!H17623+Sens!I17623)/(Sens!H17624+Sens!I17624)</f>
        <v>0.6</v>
      </c>
      <c r="J17643" s="7" t="n">
        <f aca="false">(Sens!I17623+Sens!J17623)/(Sens!I17624+Sens!J17624)</f>
        <v>0.6</v>
      </c>
      <c r="K17643" s="7" t="n">
        <f aca="false">(Sens!J17623+Sens!K17623)/(Sens!J17624+Sens!K17624)</f>
        <v>0.6</v>
      </c>
    </row>
    <row r="17644" customFormat="false" ht="17.15" hidden="false" customHeight="false" outlineLevel="0" collapsed="false">
      <c r="A17644" s="0" t="s">
        <v>985</v>
      </c>
      <c r="B17644" s="0" t="s">
        <v>98</v>
      </c>
      <c r="D17644" s="6" t="n">
        <f aca="false">Sens!D17638-Sens!D17643*(Sens!D17640+Sens!D17642)-Sens!D17641</f>
        <v>8.35701406163072</v>
      </c>
      <c r="E17644" s="6" t="n">
        <f aca="false">Sens!E17638-Sens!E17643*(Sens!E17640+Sens!E17642)-Sens!E17641</f>
        <v>18.7103224860238</v>
      </c>
      <c r="F17644" s="6" t="n">
        <f aca="false">Sens!F17638-Sens!F17643*(Sens!F17640+Sens!F17642)-Sens!F17641</f>
        <v>43.2162094129388</v>
      </c>
      <c r="G17644" s="6" t="n">
        <f aca="false">Sens!G17638-Sens!G17643*(Sens!G17640+Sens!G17642)-Sens!G17641</f>
        <v>79.7204472589529</v>
      </c>
      <c r="H17644" s="6" t="n">
        <f aca="false">Sens!H17638-Sens!H17643*(Sens!H17640+Sens!H17642)-Sens!H17641</f>
        <v>122.807764331602</v>
      </c>
      <c r="I17644" s="6" t="n">
        <f aca="false">Sens!I17638-Sens!I17643*(Sens!I17640+Sens!I17642)-Sens!I17641</f>
        <v>155.390972530813</v>
      </c>
      <c r="J17644" s="6" t="n">
        <f aca="false">Sens!J17638-Sens!J17643*(Sens!J17640+Sens!J17642)-Sens!J17641</f>
        <v>178.197668553178</v>
      </c>
      <c r="K17644" s="6" t="n">
        <f aca="false">Sens!K17638-Sens!K17643*(Sens!K17640+Sens!K17642)-Sens!K17641</f>
        <v>192.726586741959</v>
      </c>
    </row>
    <row r="17645" customFormat="false" ht="17.15" hidden="false" customHeight="false" outlineLevel="0" collapsed="false">
      <c r="A17645" s="1" t="s">
        <v>986</v>
      </c>
      <c r="B17645" s="0" t="s">
        <v>98</v>
      </c>
      <c r="D17645" s="6" t="n">
        <f aca="false">(1-Sens!D17643)*(Sens!D17640+Sens!D17642)</f>
        <v>1.42281025374069</v>
      </c>
      <c r="E17645" s="6" t="n">
        <f aca="false">(1-Sens!E17643)*(Sens!E17640+Sens!E17642)</f>
        <v>3.25095598674472</v>
      </c>
      <c r="F17645" s="6" t="n">
        <f aca="false">(1-Sens!F17643)*(Sens!F17640+Sens!F17642)</f>
        <v>6.72135810147489</v>
      </c>
      <c r="G17645" s="6" t="n">
        <f aca="false">(1-Sens!G17643)*(Sens!G17640+Sens!G17642)</f>
        <v>11.3401410201637</v>
      </c>
      <c r="H17645" s="6" t="n">
        <f aca="false">(1-Sens!H17643)*(Sens!H17640+Sens!H17642)</f>
        <v>16.1920771049557</v>
      </c>
      <c r="I17645" s="6" t="n">
        <f aca="false">(1-Sens!I17643)*(Sens!I17640+Sens!I17642)</f>
        <v>20.3917774400264</v>
      </c>
      <c r="J17645" s="6" t="n">
        <f aca="false">(1-Sens!J17643)*(Sens!J17640+Sens!J17642)</f>
        <v>23.2503960207104</v>
      </c>
      <c r="K17645" s="6" t="n">
        <f aca="false">(1-Sens!K17643)*(Sens!K17640+Sens!K17642)</f>
        <v>24.8730801087085</v>
      </c>
    </row>
    <row r="17646" customFormat="false" ht="17.15" hidden="false" customHeight="false" outlineLevel="0" collapsed="false">
      <c r="A17646" s="1" t="s">
        <v>987</v>
      </c>
      <c r="B17646" s="0" t="s">
        <v>414</v>
      </c>
      <c r="C17646" s="8" t="n">
        <f aca="false">cxit_open</f>
        <v>27.5918995</v>
      </c>
      <c r="D17646" s="8" t="n">
        <f aca="false">cxit_open</f>
        <v>27.5918995</v>
      </c>
      <c r="E17646" s="8" t="n">
        <f aca="false">cxit_open</f>
        <v>27.5918995</v>
      </c>
      <c r="F17646" s="8" t="n">
        <f aca="false">((a_g3_27-nonnv*a_mai)*tk_cxit_gb300+nonnv*a_mai*nv_hold_mai*tk_cxit_vr200+(1-a_g3_27)*tk_cxit_vr200)</f>
        <v>32.4975576</v>
      </c>
      <c r="G17646" s="8" t="n">
        <f aca="false">((a_g3_28-nonnv*a_mai)*tk_cxit_gb300+nonnv*a_mai*nv_hold_mai*tk_cxit_vr200+(1-a_g3_28)*tk_cxit_vr200)</f>
        <v>34.6372088</v>
      </c>
      <c r="H17646" s="8" t="n">
        <f aca="false">((a_g3_29-nonnv*a_mai)*tk_cxit_gb300+nonnv*a_mai*nv_hold_mai*tk_cxit_vr200+(1-a_g3_29)*tk_cxit_vr200)</f>
        <v>35.7070344</v>
      </c>
      <c r="I17646" s="8" t="n">
        <f aca="false">((a_g3_29-nonnv*a_mai)*tk_cxit_gb300+nonnv*a_mai*nv_hold_mai*tk_cxit_vr200+(1-a_g3_29)*tk_cxit_vr200)</f>
        <v>35.7070344</v>
      </c>
      <c r="J17646" s="8" t="n">
        <f aca="false">((a_g3_29-nonnv*a_mai)*tk_cxit_gb300+nonnv*a_mai*nv_hold_mai*tk_cxit_vr200+(1-a_g3_29)*tk_cxit_vr200)</f>
        <v>35.7070344</v>
      </c>
      <c r="K17646" s="8" t="n">
        <f aca="false">((a_g3_29-nonnv*a_mai)*tk_cxit_gb300+nonnv*a_mai*nv_hold_mai*tk_cxit_vr200+(1-a_g3_29)*tk_cxit_vr200)</f>
        <v>35.7070344</v>
      </c>
      <c r="L17646" s="12" t="s">
        <v>988</v>
      </c>
    </row>
    <row r="17647" customFormat="false" ht="17.15" hidden="false" customHeight="false" outlineLevel="0" collapsed="false">
      <c r="A17647" s="0" t="s">
        <v>989</v>
      </c>
      <c r="B17647" s="0" t="s">
        <v>456</v>
      </c>
      <c r="F17647" s="30" t="n">
        <f aca="false">Sens!C17626*IF(Sens!F17619-Sens!C17619=life_it,1,0)+Sens!D17626*IF(Sens!F17619-Sens!D17619=life_it,1,0)+Sens!E17626*IF(Sens!F17619-Sens!E17619=life_it,1,0)</f>
        <v>0</v>
      </c>
      <c r="G17647" s="30" t="n">
        <f aca="false">Sens!C17626*IF(Sens!G17619-Sens!C17619=life_it,1,0)+Sens!D17626*IF(Sens!G17619-Sens!D17619=life_it,1,0)+Sens!E17626*IF(Sens!G17619-Sens!E17619=life_it,1,0)+Sens!F17626*IF(Sens!G17619-Sens!F17619=life_it,1,0)</f>
        <v>0</v>
      </c>
      <c r="H17647" s="30" t="n">
        <f aca="false">Sens!C17626*IF(Sens!H17619-Sens!C17619=life_it,1,0)+Sens!D17626*IF(Sens!H17619-Sens!D17619=life_it,1,0)+Sens!E17626*IF(Sens!H17619-Sens!E17619=life_it,1,0)+Sens!F17626*IF(Sens!H17619-Sens!F17619=life_it,1,0)+Sens!G17626*IF(Sens!H17619-Sens!G17619=life_it,1,0)</f>
        <v>0</v>
      </c>
      <c r="I17647" s="30" t="n">
        <f aca="false">Sens!C17626*IF(Sens!I17619-Sens!C17619=life_it,1,0)+Sens!D17626*IF(Sens!I17619-Sens!D17619=life_it,1,0)+Sens!E17626*IF(Sens!I17619-Sens!E17619=life_it,1,0)+Sens!F17626*IF(Sens!I17619-Sens!F17619=life_it,1,0)+Sens!G17626*IF(Sens!I17619-Sens!G17619=life_it,1,0)+Sens!H17626*IF(Sens!I17619-Sens!H17619=life_it,1,0)</f>
        <v>816.666666666667</v>
      </c>
      <c r="J17647" s="30" t="n">
        <f aca="false">Sens!C17626*IF(Sens!J17619-Sens!C17619=life_it,1,0)+Sens!D17626*IF(Sens!J17619-Sens!D17619=life_it,1,0)+Sens!E17626*IF(Sens!J17619-Sens!E17619=life_it,1,0)+Sens!F17626*IF(Sens!J17619-Sens!F17619=life_it,1,0)+Sens!G17626*IF(Sens!J17619-Sens!G17619=life_it,1,0)+Sens!H17626*IF(Sens!J17619-Sens!H17619=life_it,1,0)+Sens!I17626*IF(Sens!J17619-Sens!I17619=life_it,1,0)</f>
        <v>1233.33333333333</v>
      </c>
      <c r="K17647" s="30" t="n">
        <f aca="false">Sens!C17626*IF(Sens!K17619-Sens!C17619=life_it,1,0)+Sens!D17626*IF(Sens!K17619-Sens!D17619=life_it,1,0)+Sens!E17626*IF(Sens!K17619-Sens!E17619=life_it,1,0)+Sens!F17626*IF(Sens!K17619-Sens!F17619=life_it,1,0)+Sens!G17626*IF(Sens!K17619-Sens!G17619=life_it,1,0)+Sens!H17626*IF(Sens!K17619-Sens!H17619=life_it,1,0)+Sens!I17626*IF(Sens!K17619-Sens!I17619=life_it,1,0)+Sens!J17626*IF(Sens!K17619-Sens!J17619=life_it,1,0)</f>
        <v>2450</v>
      </c>
      <c r="L17647" s="1" t="s">
        <v>990</v>
      </c>
    </row>
    <row r="17648" customFormat="false" ht="17.15" hidden="false" customHeight="false" outlineLevel="0" collapsed="false">
      <c r="A17648" s="0" t="s">
        <v>991</v>
      </c>
      <c r="B17648" s="0" t="s">
        <v>98</v>
      </c>
      <c r="C17648" s="6" t="n">
        <f aca="false">Sens!C17626*Sens!C17646/1000</f>
        <v>22.5333845916667</v>
      </c>
      <c r="D17648" s="6" t="n">
        <f aca="false">Sens!D17626*Sens!D17646/1000</f>
        <v>34.0300093833333</v>
      </c>
      <c r="E17648" s="6" t="n">
        <f aca="false">Sens!E17626*Sens!E17646/1000</f>
        <v>67.600153775</v>
      </c>
      <c r="F17648" s="6" t="n">
        <f aca="false">(Sens!F17626+Sens!F17647)*Sens!F17646/1000</f>
        <v>136.51872432512</v>
      </c>
      <c r="G17648" s="6" t="n">
        <f aca="false">(Sens!G17626+Sens!G17647)*Sens!G17646/1000</f>
        <v>157.399275932048</v>
      </c>
      <c r="H17648" s="6" t="n">
        <f aca="false">(Sens!H17626+Sens!H17647)*Sens!H17646/1000</f>
        <v>162.260804347512</v>
      </c>
      <c r="I17648" s="6" t="n">
        <f aca="false">(Sens!I17626+Sens!I17647)*Sens!I17646/1000</f>
        <v>144.136569485434</v>
      </c>
      <c r="J17648" s="6" t="n">
        <f aca="false">(Sens!J17626+Sens!J17647)*Sens!J17646/1000</f>
        <v>114.029037357864</v>
      </c>
      <c r="K17648" s="6" t="n">
        <f aca="false">(Sens!K17626+Sens!K17647)*Sens!K17646/1000</f>
        <v>113.437085350975</v>
      </c>
    </row>
    <row r="17649" customFormat="false" ht="17.15" hidden="false" customHeight="false" outlineLevel="0" collapsed="false">
      <c r="A17649" s="0" t="s">
        <v>992</v>
      </c>
      <c r="B17649" s="0" t="s">
        <v>98</v>
      </c>
      <c r="C17649" s="6" t="n">
        <f aca="false">Sens!C17626*self_build*tk_cxfac/1000</f>
        <v>6.2083</v>
      </c>
      <c r="D17649" s="6" t="n">
        <f aca="false">Sens!D17626*self_build*tk_cxfac/1000</f>
        <v>9.3758</v>
      </c>
      <c r="E17649" s="6" t="n">
        <f aca="false">Sens!E17626*self_build*tk_cxfac/1000</f>
        <v>18.6249</v>
      </c>
      <c r="F17649" s="6" t="n">
        <f aca="false">Sens!F17626*self_build*tk_cxfac/1000</f>
        <v>31.935179717</v>
      </c>
      <c r="G17649" s="6" t="n">
        <f aca="false">Sens!G17626*self_build*tk_cxfac/1000</f>
        <v>34.545199717</v>
      </c>
      <c r="H17649" s="6" t="n">
        <f aca="false">Sens!H17626*self_build*tk_cxfac/1000</f>
        <v>34.545199717</v>
      </c>
      <c r="I17649" s="6" t="n">
        <f aca="false">Sens!I17626*self_build*tk_cxfac/1000</f>
        <v>24.4782641361767</v>
      </c>
      <c r="J17649" s="6" t="n">
        <f aca="false">Sens!J17626*self_build*tk_cxfac/1000</f>
        <v>14.9008938380769</v>
      </c>
      <c r="K17649" s="6" t="n">
        <f aca="false">Sens!K17626*self_build*tk_cxfac/1000</f>
        <v>5.52576771375761</v>
      </c>
    </row>
    <row r="17650" customFormat="false" ht="17.15" hidden="false" customHeight="false" outlineLevel="0" collapsed="false">
      <c r="A17650" s="0" t="s">
        <v>993</v>
      </c>
      <c r="B17650" s="0" t="s">
        <v>98</v>
      </c>
      <c r="F17650" s="15" t="n">
        <f aca="false">capex_floor27-Sens!F17648-Sens!F17649-Sens!F17746</f>
        <v>0.0475774452575593</v>
      </c>
      <c r="L17650" s="12" t="s">
        <v>994</v>
      </c>
    </row>
    <row r="17651" customFormat="false" ht="17.15" hidden="false" customHeight="false" outlineLevel="0" collapsed="false">
      <c r="A17651" s="0" t="s">
        <v>995</v>
      </c>
      <c r="B17651" s="0" t="s">
        <v>98</v>
      </c>
      <c r="F17651" s="6" t="n">
        <f aca="false">MAX(0,Sens!F17650)</f>
        <v>0.0475774452575593</v>
      </c>
    </row>
    <row r="17652" customFormat="false" ht="17.15" hidden="false" customHeight="false" outlineLevel="0" collapsed="false">
      <c r="A17652" s="0" t="s">
        <v>996</v>
      </c>
      <c r="B17652" s="0" t="s">
        <v>98</v>
      </c>
      <c r="C17652" s="6" t="n">
        <f aca="false">Sens!C17648</f>
        <v>22.5333845916667</v>
      </c>
      <c r="D17652" s="6" t="n">
        <f aca="false">Sens!D17648</f>
        <v>34.0300093833333</v>
      </c>
      <c r="E17652" s="6" t="n">
        <f aca="false">Sens!E17648</f>
        <v>67.600153775</v>
      </c>
      <c r="F17652" s="6" t="n">
        <f aca="false">Sens!F17648+Sens!F17651</f>
        <v>136.566301770377</v>
      </c>
      <c r="G17652" s="6" t="n">
        <f aca="false">Sens!G17648</f>
        <v>157.399275932048</v>
      </c>
      <c r="H17652" s="6" t="n">
        <f aca="false">Sens!H17648</f>
        <v>162.260804347512</v>
      </c>
      <c r="I17652" s="6" t="n">
        <f aca="false">Sens!I17648</f>
        <v>144.136569485434</v>
      </c>
      <c r="J17652" s="6" t="n">
        <f aca="false">Sens!J17648</f>
        <v>114.029037357864</v>
      </c>
      <c r="K17652" s="6" t="n">
        <f aca="false">Sens!K17648</f>
        <v>113.437085350975</v>
      </c>
    </row>
    <row r="17653" customFormat="false" ht="17.15" hidden="false" customHeight="false" outlineLevel="0" collapsed="false">
      <c r="A17653" s="0" t="s">
        <v>997</v>
      </c>
      <c r="B17653" s="0" t="s">
        <v>98</v>
      </c>
      <c r="C17653" s="6" t="n">
        <f aca="false">Sens!C17652+Sens!C17649</f>
        <v>28.7416845916667</v>
      </c>
      <c r="D17653" s="6" t="n">
        <f aca="false">Sens!D17652+Sens!D17649</f>
        <v>43.4058093833333</v>
      </c>
      <c r="E17653" s="6" t="n">
        <f aca="false">Sens!E17652+Sens!E17649</f>
        <v>86.225053775</v>
      </c>
      <c r="F17653" s="6" t="n">
        <f aca="false">Sens!F17652+Sens!F17649</f>
        <v>168.501481487377</v>
      </c>
      <c r="G17653" s="6" t="n">
        <f aca="false">Sens!G17652+Sens!G17649</f>
        <v>191.944475649048</v>
      </c>
      <c r="H17653" s="6" t="n">
        <f aca="false">Sens!H17652+Sens!H17649</f>
        <v>196.806004064512</v>
      </c>
      <c r="I17653" s="6" t="n">
        <f aca="false">Sens!I17652+Sens!I17649</f>
        <v>168.61483362161</v>
      </c>
      <c r="J17653" s="6" t="n">
        <f aca="false">Sens!J17652+Sens!J17649</f>
        <v>128.92993119594</v>
      </c>
      <c r="K17653" s="6" t="n">
        <f aca="false">Sens!K17652+Sens!K17649</f>
        <v>118.962853064733</v>
      </c>
      <c r="L17653" s="12" t="s">
        <v>998</v>
      </c>
    </row>
    <row r="17654" customFormat="false" ht="17.15" hidden="false" customHeight="false" outlineLevel="0" collapsed="false">
      <c r="A17654" s="0" t="s">
        <v>999</v>
      </c>
      <c r="B17654" s="0" t="s">
        <v>98</v>
      </c>
      <c r="E17654" s="6" t="n">
        <f aca="false">(Sens!C17652*IF(2&lt;life_it,1,IF(2=life_it,0.5,0))+Sens!D17652*IF(1&lt;life_it,1,IF(1=life_it,0.5,0))+Sens!E17652*0.5)/life_it</f>
        <v>15.0605784770833</v>
      </c>
      <c r="F17654" s="6" t="n">
        <f aca="false">(Sens!C17652*IF(3&lt;life_it,1,IF(3=life_it,0.5,0))+Sens!D17652*IF(2&lt;life_it,1,IF(2=life_it,0.5,0))+Sens!E17652*IF(1&lt;life_it,1,IF(1=life_it,0.5,0))+Sens!F17652*0.5)/life_it</f>
        <v>32.0744497725314</v>
      </c>
      <c r="G17654" s="6" t="n">
        <f aca="false">(Sens!C17652*IF(4&lt;life_it,1,IF(4=life_it,0.5,0))+Sens!D17652*IF(3&lt;life_it,1,IF(3=life_it,0.5,0))+Sens!E17652*IF(2&lt;life_it,1,IF(2=life_it,0.5,0))+Sens!F17652*IF(1&lt;life_it,1,IF(1=life_it,0.5,0))+Sens!G17652*0.5)/life_it</f>
        <v>56.5715812477335</v>
      </c>
      <c r="H17654" s="6" t="n">
        <f aca="false">(Sens!C17652*IF(5&lt;life_it,1,IF(5=life_it,0.5,0))+Sens!D17652*IF(4&lt;life_it,1,IF(4=life_it,0.5,0))+Sens!E17652*IF(3&lt;life_it,1,IF(3=life_it,0.5,0))+Sens!F17652*IF(2&lt;life_it,1,IF(2=life_it,0.5,0))+Sens!G17652*IF(1&lt;life_it,1,IF(1=life_it,0.5,0))+Sens!H17652*0.5)/life_it</f>
        <v>83.2099212710302</v>
      </c>
      <c r="I17654" s="6" t="n">
        <f aca="false">(Sens!C17652*IF(6&lt;life_it,1,IF(6=life_it,0.5,0))+Sens!D17652*IF(5&lt;life_it,1,IF(5=life_it,0.5,0))+Sens!E17652*IF(4&lt;life_it,1,IF(4=life_it,0.5,0))+Sens!F17652*IF(3&lt;life_it,1,IF(3=life_it,0.5,0))+Sens!G17652*IF(2&lt;life_it,1,IF(2=life_it,0.5,0))+Sens!H17652*IF(1&lt;life_it,1,IF(1=life_it,0.5,0))+Sens!I17652*0.5)/life_it</f>
        <v>106.865253707804</v>
      </c>
      <c r="J17654" s="6" t="n">
        <f aca="false">(Sens!C17652*IF(7&lt;life_it,1,IF(7=life_it,0.5,0))+Sens!D17652*IF(6&lt;life_it,1,IF(6=life_it,0.5,0))+Sens!E17652*IF(5&lt;life_it,1,IF(5=life_it,0.5,0))+Sens!F17652*IF(4&lt;life_it,1,IF(4=life_it,0.5,0))+Sens!G17652*IF(3&lt;life_it,1,IF(3=life_it,0.5,0))+Sens!H17652*IF(2&lt;life_it,1,IF(2=life_it,0.5,0))+Sens!I17652*IF(1&lt;life_it,1,IF(1=life_it,0.5,0))+Sens!J17652*0.5)/life_it</f>
        <v>123.665438113495</v>
      </c>
      <c r="K17654" s="6" t="n">
        <f aca="false">(Sens!C17652*IF(8&lt;life_it,1,IF(8=life_it,0.5,0))+Sens!D17652*IF(7&lt;life_it,1,IF(7=life_it,0.5,0))+Sens!E17652*IF(6&lt;life_it,1,IF(6=life_it,0.5,0))+Sens!F17652*IF(5&lt;life_it,1,IF(5=life_it,0.5,0))+Sens!G17652*IF(4&lt;life_it,1,IF(4=life_it,0.5,0))+Sens!H17652*IF(3&lt;life_it,1,IF(3=life_it,0.5,0))+Sens!I17652*IF(2&lt;life_it,1,IF(2=life_it,0.5,0))+Sens!J17652*IF(1&lt;life_it,1,IF(1=life_it,0.5,0))+Sens!K17652*0.5)/life_it</f>
        <v>134.151768076037</v>
      </c>
    </row>
    <row r="17655" customFormat="false" ht="17.15" hidden="false" customHeight="false" outlineLevel="0" collapsed="false">
      <c r="A17655" s="0" t="s">
        <v>1000</v>
      </c>
      <c r="B17655" s="0" t="s">
        <v>98</v>
      </c>
      <c r="E17655" s="6" t="n">
        <f aca="false">(Sens!C17649*IF(2&lt;life_fac,1,IF(2=life_fac,0.5,0))+Sens!D17649*IF(1&lt;life_fac,1,IF(1=life_fac,0.5,0))+Sens!E17649*0.5)/life_fac</f>
        <v>1.2448275</v>
      </c>
      <c r="F17655" s="6" t="n">
        <f aca="false">(Sens!C17649*IF(3&lt;life_fac,1,IF(3=life_fac,0.5,0))+Sens!D17649*IF(2&lt;life_fac,1,IF(2=life_fac,0.5,0))+Sens!E17649*IF(1&lt;life_fac,1,IF(1=life_fac,0.5,0))+Sens!F17649*0.5)/life_fac</f>
        <v>2.508829492925</v>
      </c>
      <c r="G17655" s="6" t="n">
        <f aca="false">(Sens!C17649*IF(4&lt;life_fac,1,IF(4=life_fac,0.5,0))+Sens!D17649*IF(3&lt;life_fac,1,IF(3=life_fac,0.5,0))+Sens!E17649*IF(2&lt;life_fac,1,IF(2=life_fac,0.5,0))+Sens!F17649*IF(1&lt;life_fac,1,IF(1=life_fac,0.5,0))+Sens!G17649*0.5)/life_fac</f>
        <v>4.170838978775</v>
      </c>
      <c r="H17655" s="6" t="n">
        <f aca="false">(Sens!C17649*IF(5&lt;life_fac,1,IF(5=life_fac,0.5,0))+Sens!D17649*IF(4&lt;life_fac,1,IF(4=life_fac,0.5,0))+Sens!E17649*IF(3&lt;life_fac,1,IF(3=life_fac,0.5,0))+Sens!F17649*IF(2&lt;life_fac,1,IF(2=life_fac,0.5,0))+Sens!G17649*IF(1&lt;life_fac,1,IF(1=life_fac,0.5,0))+Sens!H17649*0.5)/life_fac</f>
        <v>5.898098964625</v>
      </c>
      <c r="I17655" s="6" t="n">
        <f aca="false">(Sens!C17649*IF(6&lt;life_fac,1,IF(6=life_fac,0.5,0))+Sens!D17649*IF(5&lt;life_fac,1,IF(5=life_fac,0.5,0))+Sens!E17649*IF(4&lt;life_fac,1,IF(4=life_fac,0.5,0))+Sens!F17649*IF(3&lt;life_fac,1,IF(3=life_fac,0.5,0))+Sens!G17649*IF(2&lt;life_fac,1,IF(2=life_fac,0.5,0))+Sens!H17649*IF(1&lt;life_fac,1,IF(1=life_fac,0.5,0))+Sens!I17649*0.5)/life_fac</f>
        <v>7.37368556095442</v>
      </c>
      <c r="J17655" s="6" t="n">
        <f aca="false">(Sens!C17649*IF(7&lt;life_fac,1,IF(7=life_fac,0.5,0))+Sens!D17649*IF(6&lt;life_fac,1,IF(6=life_fac,0.5,0))+Sens!E17649*IF(5&lt;life_fac,1,IF(5=life_fac,0.5,0))+Sens!F17649*IF(4&lt;life_fac,1,IF(4=life_fac,0.5,0))+Sens!G17649*IF(3&lt;life_fac,1,IF(3=life_fac,0.5,0))+Sens!H17649*IF(2&lt;life_fac,1,IF(2=life_fac,0.5,0))+Sens!I17649*IF(1&lt;life_fac,1,IF(1=life_fac,0.5,0))+Sens!J17649*0.5)/life_fac</f>
        <v>8.35816451031075</v>
      </c>
      <c r="K17655" s="6" t="n">
        <f aca="false">(Sens!C17649*IF(8&lt;life_fac,1,IF(8=life_fac,0.5,0))+Sens!D17649*IF(7&lt;life_fac,1,IF(7=life_fac,0.5,0))+Sens!E17649*IF(6&lt;life_fac,1,IF(6=life_fac,0.5,0))+Sens!F17649*IF(5&lt;life_fac,1,IF(5=life_fac,0.5,0))+Sens!G17649*IF(4&lt;life_fac,1,IF(4=life_fac,0.5,0))+Sens!H17649*IF(3&lt;life_fac,1,IF(3=life_fac,0.5,0))+Sens!I17649*IF(2&lt;life_fac,1,IF(2=life_fac,0.5,0))+Sens!J17649*IF(1&lt;life_fac,1,IF(1=life_fac,0.5,0))+Sens!K17649*0.5)/life_fac</f>
        <v>8.86883104910662</v>
      </c>
    </row>
    <row r="17656" customFormat="false" ht="17.15" hidden="false" customHeight="false" outlineLevel="0" collapsed="false">
      <c r="A17656" s="0" t="s">
        <v>1001</v>
      </c>
      <c r="B17656" s="0" t="s">
        <v>98</v>
      </c>
      <c r="E17656" s="6" t="n">
        <f aca="false">Sens!E17654+Sens!E17655</f>
        <v>16.3054059770833</v>
      </c>
      <c r="F17656" s="6" t="n">
        <f aca="false">Sens!F17654+Sens!F17655</f>
        <v>34.5832792654564</v>
      </c>
      <c r="G17656" s="6" t="n">
        <f aca="false">Sens!G17654+Sens!G17655</f>
        <v>60.7424202265085</v>
      </c>
      <c r="H17656" s="6" t="n">
        <f aca="false">Sens!H17654+Sens!H17655</f>
        <v>89.1080202356552</v>
      </c>
      <c r="I17656" s="6" t="n">
        <f aca="false">Sens!I17654+Sens!I17655</f>
        <v>114.238939268758</v>
      </c>
      <c r="J17656" s="6" t="n">
        <f aca="false">Sens!J17654+Sens!J17655</f>
        <v>132.023602623806</v>
      </c>
      <c r="K17656" s="6" t="n">
        <f aca="false">Sens!K17654+Sens!K17655</f>
        <v>143.020599125144</v>
      </c>
    </row>
    <row r="17657" customFormat="false" ht="17.15" hidden="false" customHeight="false" outlineLevel="0" collapsed="false">
      <c r="A17657" s="0" t="s">
        <v>1002</v>
      </c>
      <c r="B17657" s="0" t="s">
        <v>98</v>
      </c>
      <c r="E17657" s="6" t="n">
        <f aca="false">Sens!E17644-Sens!E17643*Sens!E17656</f>
        <v>8.92707889977379</v>
      </c>
      <c r="F17657" s="6" t="n">
        <f aca="false">Sens!F17644-Sens!F17643*Sens!F17656</f>
        <v>22.4662418536649</v>
      </c>
      <c r="G17657" s="6" t="n">
        <f aca="false">Sens!G17644-Sens!G17643*Sens!G17656</f>
        <v>43.2749951230478</v>
      </c>
      <c r="H17657" s="6" t="n">
        <f aca="false">Sens!H17644-Sens!H17643*Sens!H17656</f>
        <v>69.3429521902084</v>
      </c>
      <c r="I17657" s="6" t="n">
        <f aca="false">Sens!I17644-Sens!I17643*Sens!I17656</f>
        <v>86.8476089695579</v>
      </c>
      <c r="J17657" s="6" t="n">
        <f aca="false">Sens!J17644-Sens!J17643*Sens!J17656</f>
        <v>98.9835069788945</v>
      </c>
      <c r="K17657" s="6" t="n">
        <f aca="false">Sens!K17644-Sens!K17643*Sens!K17656</f>
        <v>106.914227266873</v>
      </c>
    </row>
    <row r="17658" customFormat="false" ht="17.15" hidden="false" customHeight="false" outlineLevel="0" collapsed="false">
      <c r="A17658" s="3" t="s">
        <v>1915</v>
      </c>
    </row>
    <row r="17659" customFormat="false" ht="15" hidden="false" customHeight="false" outlineLevel="0" collapsed="false">
      <c r="A17659" s="4" t="s">
        <v>43</v>
      </c>
      <c r="B17659" s="4" t="s">
        <v>65</v>
      </c>
      <c r="C17659" s="23" t="s">
        <v>938</v>
      </c>
      <c r="D17659" s="23" t="s">
        <v>939</v>
      </c>
      <c r="E17659" s="23" t="s">
        <v>940</v>
      </c>
      <c r="F17659" s="23" t="s">
        <v>941</v>
      </c>
      <c r="G17659" s="23" t="s">
        <v>942</v>
      </c>
      <c r="H17659" s="23" t="s">
        <v>943</v>
      </c>
      <c r="I17659" s="23" t="s">
        <v>944</v>
      </c>
      <c r="J17659" s="23" t="s">
        <v>945</v>
      </c>
      <c r="K17659" s="23" t="s">
        <v>946</v>
      </c>
      <c r="L17659" s="4" t="s">
        <v>47</v>
      </c>
    </row>
    <row r="17660" customFormat="false" ht="17.15" hidden="false" customHeight="false" outlineLevel="0" collapsed="false">
      <c r="A17660" s="0" t="s">
        <v>1021</v>
      </c>
      <c r="B17660" s="0" t="s">
        <v>98</v>
      </c>
      <c r="D17660" s="6" t="n">
        <f aca="false">Sens!D17638</f>
        <v>12.9359794422418</v>
      </c>
      <c r="E17660" s="6" t="n">
        <f aca="false">Sens!E17638</f>
        <v>27.8095064661409</v>
      </c>
      <c r="F17660" s="6" t="n">
        <f aca="false">Sens!F17638</f>
        <v>59.1034165651511</v>
      </c>
      <c r="G17660" s="6" t="n">
        <f aca="false">Sens!G17638</f>
        <v>103.451498789198</v>
      </c>
      <c r="H17660" s="6" t="n">
        <f aca="false">Sens!H17638</f>
        <v>153.816719989035</v>
      </c>
      <c r="I17660" s="6" t="n">
        <f aca="false">Sens!I17638</f>
        <v>192.699478690852</v>
      </c>
      <c r="J17660" s="6" t="n">
        <f aca="false">Sens!J17638</f>
        <v>219.794102584244</v>
      </c>
      <c r="K17660" s="6" t="n">
        <f aca="false">Sens!K17638</f>
        <v>236.757046905022</v>
      </c>
    </row>
    <row r="17661" customFormat="false" ht="17.15" hidden="false" customHeight="false" outlineLevel="0" collapsed="false">
      <c r="A17661" s="0" t="s">
        <v>1022</v>
      </c>
      <c r="B17661" s="0" t="s">
        <v>98</v>
      </c>
      <c r="D17661" s="6" t="n">
        <f aca="false">Q!L6-Sens!D17660</f>
        <v>59.6740205577583</v>
      </c>
      <c r="E17661" s="6" t="n">
        <f aca="false">Q!M6-Sens!E17660</f>
        <v>74.1284935338591</v>
      </c>
      <c r="F17661" s="6" t="n">
        <f aca="false">Q!$I$6+(Sens!F17660+Sens!E17661*(1+Sens!F17662))*(1-Q!$E$6/Q!M6)-Sens!F17660</f>
        <v>90.4866018070994</v>
      </c>
      <c r="G17661" s="6" t="n">
        <f aca="false">Sens!F17661*(1+Sens!G17662)</f>
        <v>107.511588557154</v>
      </c>
      <c r="H17661" s="6" t="n">
        <f aca="false">Sens!G17661*(1+Sens!H17662)</f>
        <v>124.832989325489</v>
      </c>
      <c r="I17661" s="6" t="n">
        <f aca="false">Sens!H17661*(1+Sens!I17662)</f>
        <v>141.56992589148</v>
      </c>
      <c r="J17661" s="6" t="n">
        <f aca="false">Sens!I17661*(1+Sens!J17662)</f>
        <v>156.723190479428</v>
      </c>
      <c r="K17661" s="6" t="n">
        <f aca="false">Sens!J17661*(1+Sens!K17662)</f>
        <v>169.261045717783</v>
      </c>
      <c r="L17661" s="12" t="s">
        <v>1023</v>
      </c>
    </row>
    <row r="17662" customFormat="false" ht="15" hidden="false" customHeight="false" outlineLevel="0" collapsed="false">
      <c r="A17662" s="1" t="s">
        <v>1024</v>
      </c>
      <c r="B17662" s="0" t="s">
        <v>168</v>
      </c>
      <c r="E17662" s="7" t="n">
        <f aca="false">Sens!E17661/Sens!D17661-1</f>
        <v>0.242223883039864</v>
      </c>
      <c r="F17662" s="7" t="n">
        <f aca="false">Sens!$E$17662+(glt_azo-Sens!$E$17662)*MIN(1,(Sens!F17619-base_fy)/n_conv)</f>
        <v>0.215186569199887</v>
      </c>
      <c r="G17662" s="7" t="n">
        <f aca="false">Sens!$E$17662+(glt_azo-Sens!$E$17662)*MIN(1,(Sens!G17619-base_fy)/n_conv)</f>
        <v>0.18814925535991</v>
      </c>
      <c r="H17662" s="7" t="n">
        <f aca="false">Sens!$E$17662+(glt_azo-Sens!$E$17662)*MIN(1,(Sens!H17619-base_fy)/n_conv)</f>
        <v>0.161111941519932</v>
      </c>
      <c r="I17662" s="7" t="n">
        <f aca="false">Sens!$E$17662+(glt_azo-Sens!$E$17662)*MIN(1,(Sens!I17619-base_fy)/n_conv)</f>
        <v>0.134074627679955</v>
      </c>
      <c r="J17662" s="7" t="n">
        <f aca="false">Sens!$E$17662+(glt_azo-Sens!$E$17662)*MIN(1,(Sens!J17619-base_fy)/n_conv)</f>
        <v>0.107037313839977</v>
      </c>
      <c r="K17662" s="7" t="n">
        <f aca="false">Sens!$E$17662+(glt_azo-Sens!$E$17662)*MIN(1,(Sens!K17619-base_fy)/n_conv)</f>
        <v>0.08</v>
      </c>
    </row>
    <row r="17663" customFormat="false" ht="15" hidden="false" customHeight="false" outlineLevel="0" collapsed="false">
      <c r="A17663" s="0" t="s">
        <v>1025</v>
      </c>
      <c r="B17663" s="0" t="s">
        <v>98</v>
      </c>
      <c r="D17663" s="6" t="n">
        <f aca="false">Sens!D17660+Sens!D17661</f>
        <v>72.61</v>
      </c>
      <c r="E17663" s="6" t="n">
        <f aca="false">Sens!E17660+Sens!E17661</f>
        <v>101.938</v>
      </c>
      <c r="F17663" s="6" t="n">
        <f aca="false">Sens!F17660+Sens!F17661</f>
        <v>149.59001837225</v>
      </c>
      <c r="G17663" s="6" t="n">
        <f aca="false">Sens!G17660+Sens!G17661</f>
        <v>210.963087346352</v>
      </c>
      <c r="H17663" s="6" t="n">
        <f aca="false">Sens!H17660+Sens!H17661</f>
        <v>278.649709314524</v>
      </c>
      <c r="I17663" s="6" t="n">
        <f aca="false">Sens!I17660+Sens!I17661</f>
        <v>334.269404582332</v>
      </c>
      <c r="J17663" s="6" t="n">
        <f aca="false">Sens!J17660+Sens!J17661</f>
        <v>376.517293063672</v>
      </c>
      <c r="K17663" s="6" t="n">
        <f aca="false">Sens!K17660+Sens!K17661</f>
        <v>406.018092622804</v>
      </c>
    </row>
    <row r="17664" customFormat="false" ht="17.15" hidden="false" customHeight="false" outlineLevel="0" collapsed="false">
      <c r="A17664" s="0" t="s">
        <v>1026</v>
      </c>
      <c r="B17664" s="1" t="s">
        <v>610</v>
      </c>
      <c r="C17664" s="30" t="n">
        <f aca="false">cop_s24</f>
        <v>1</v>
      </c>
      <c r="D17664" s="30" t="n">
        <f aca="false">cop_s25</f>
        <v>5</v>
      </c>
      <c r="E17664" s="30" t="n">
        <f aca="false">cop_s26</f>
        <v>30</v>
      </c>
      <c r="F17664" s="30" t="n">
        <f aca="false">Sens!E17664+cop_add_A</f>
        <v>60</v>
      </c>
      <c r="G17664" s="30" t="n">
        <f aca="false">Sens!F17664+cop_add_A</f>
        <v>90</v>
      </c>
      <c r="H17664" s="30" t="n">
        <f aca="false">Sens!G17664+cop_add_A</f>
        <v>120</v>
      </c>
      <c r="I17664" s="30" t="n">
        <f aca="false">Sens!H17664+cop_add_A*cop_tail</f>
        <v>135</v>
      </c>
      <c r="J17664" s="30" t="n">
        <f aca="false">Sens!I17664+cop_add_A*cop_tail</f>
        <v>150</v>
      </c>
      <c r="K17664" s="30" t="n">
        <f aca="false">Sens!J17664+cop_add_A*cop_tail</f>
        <v>165</v>
      </c>
      <c r="L17664" s="12" t="s">
        <v>1027</v>
      </c>
    </row>
    <row r="17665" customFormat="false" ht="17.15" hidden="false" customHeight="false" outlineLevel="0" collapsed="false">
      <c r="A17665" s="0" t="s">
        <v>1028</v>
      </c>
      <c r="B17665" s="0" t="s">
        <v>98</v>
      </c>
      <c r="D17665" s="6" t="n">
        <f aca="false">(Sens!C17664+Sens!D17664)/2*cop_px*12/1000</f>
        <v>0.9</v>
      </c>
      <c r="E17665" s="6" t="n">
        <f aca="false">(Sens!D17664+Sens!E17664)/2*cop_px*12/1000</f>
        <v>5.25</v>
      </c>
      <c r="F17665" s="6" t="n">
        <f aca="false">(Sens!E17664+Sens!F17664)/2*cop_px*12/1000</f>
        <v>13.5</v>
      </c>
      <c r="G17665" s="6" t="n">
        <f aca="false">(Sens!F17664+Sens!G17664)/2*cop_px*12/1000</f>
        <v>22.5</v>
      </c>
      <c r="H17665" s="6" t="n">
        <f aca="false">(Sens!G17664+Sens!H17664)/2*cop_px*12/1000</f>
        <v>31.5</v>
      </c>
      <c r="I17665" s="6" t="n">
        <f aca="false">(Sens!H17664+Sens!I17664)/2*cop_px*12/1000</f>
        <v>38.25</v>
      </c>
      <c r="J17665" s="6" t="n">
        <f aca="false">(Sens!I17664+Sens!J17664)/2*cop_px*12/1000</f>
        <v>42.75</v>
      </c>
      <c r="K17665" s="6" t="n">
        <f aca="false">(Sens!J17664+Sens!K17664)/2*cop_px*12/1000</f>
        <v>47.25</v>
      </c>
      <c r="L17665" s="1" t="s">
        <v>1029</v>
      </c>
    </row>
    <row r="17666" customFormat="false" ht="17.15" hidden="false" customHeight="false" outlineLevel="0" collapsed="false">
      <c r="A17666" s="0" t="s">
        <v>1030</v>
      </c>
      <c r="B17666" s="0" t="s">
        <v>98</v>
      </c>
      <c r="D17666" s="6" t="n">
        <f aca="false">Q!L7-Sens!D17665</f>
        <v>83.705</v>
      </c>
      <c r="E17666" s="6" t="n">
        <f aca="false">Q!M7-Sens!E17665</f>
        <v>95.049</v>
      </c>
      <c r="F17666" s="6" t="n">
        <f aca="false">Q!$I$7+(Sens!E17666*(1+Sens!F17667)+Sens!F17665)*(1-Q!$E$7/Q!M7)-Sens!F17665</f>
        <v>106.229653205718</v>
      </c>
      <c r="G17666" s="6" t="n">
        <f aca="false">Sens!F17666*(1+Sens!G17667)</f>
        <v>118.306092647576</v>
      </c>
      <c r="H17666" s="6" t="n">
        <f aca="false">Sens!G17666*(1+Sens!H17667)</f>
        <v>130.463437602768</v>
      </c>
      <c r="I17666" s="6" t="n">
        <f aca="false">Sens!H17666*(1+Sens!I17667)</f>
        <v>142.445354741933</v>
      </c>
      <c r="J17666" s="6" t="n">
        <f aca="false">Sens!I17666*(1+Sens!J17667)</f>
        <v>153.972117481571</v>
      </c>
      <c r="K17666" s="6" t="n">
        <f aca="false">Sens!J17666*(1+Sens!K17667)</f>
        <v>164.75016570528</v>
      </c>
      <c r="L17666" s="12" t="s">
        <v>1031</v>
      </c>
    </row>
    <row r="17667" customFormat="false" ht="15" hidden="false" customHeight="false" outlineLevel="0" collapsed="false">
      <c r="A17667" s="1" t="s">
        <v>1024</v>
      </c>
      <c r="B17667" s="0" t="s">
        <v>168</v>
      </c>
      <c r="E17667" s="7" t="n">
        <f aca="false">Sens!E17666/Sens!D17666-1</f>
        <v>0.135523564900544</v>
      </c>
      <c r="F17667" s="7" t="n">
        <f aca="false">Sens!$E$17667+(glt_m365b-Sens!$E$17667)*MIN(1,(Sens!F17619-base_fy)/n_conv)</f>
        <v>0.124602970750453</v>
      </c>
      <c r="G17667" s="7" t="n">
        <f aca="false">Sens!$E$17667+(glt_m365b-Sens!$E$17667)*MIN(1,(Sens!G17619-base_fy)/n_conv)</f>
        <v>0.113682376600363</v>
      </c>
      <c r="H17667" s="7" t="n">
        <f aca="false">Sens!$E$17667+(glt_m365b-Sens!$E$17667)*MIN(1,(Sens!H17619-base_fy)/n_conv)</f>
        <v>0.102761782450272</v>
      </c>
      <c r="I17667" s="7" t="n">
        <f aca="false">Sens!$E$17667+(glt_m365b-Sens!$E$17667)*MIN(1,(Sens!I17619-base_fy)/n_conv)</f>
        <v>0.0918411883001813</v>
      </c>
      <c r="J17667" s="7" t="n">
        <f aca="false">Sens!$E$17667+(glt_m365b-Sens!$E$17667)*MIN(1,(Sens!J17619-base_fy)/n_conv)</f>
        <v>0.0809205941500906</v>
      </c>
      <c r="K17667" s="7" t="n">
        <f aca="false">Sens!$E$17667+(glt_m365b-Sens!$E$17667)*MIN(1,(Sens!K17619-base_fy)/n_conv)</f>
        <v>0.07</v>
      </c>
    </row>
    <row r="17668" customFormat="false" ht="15" hidden="false" customHeight="false" outlineLevel="0" collapsed="false">
      <c r="A17668" s="0" t="s">
        <v>1032</v>
      </c>
      <c r="B17668" s="0" t="s">
        <v>98</v>
      </c>
      <c r="D17668" s="6" t="n">
        <f aca="false">Sens!D17666+Sens!D17665</f>
        <v>84.605</v>
      </c>
      <c r="E17668" s="6" t="n">
        <f aca="false">Sens!E17666+Sens!E17665</f>
        <v>100.299</v>
      </c>
      <c r="F17668" s="6" t="n">
        <f aca="false">Sens!F17666+Sens!F17665</f>
        <v>119.729653205718</v>
      </c>
      <c r="G17668" s="6" t="n">
        <f aca="false">Sens!G17666+Sens!G17665</f>
        <v>140.806092647576</v>
      </c>
      <c r="H17668" s="6" t="n">
        <f aca="false">Sens!H17666+Sens!H17665</f>
        <v>161.963437602768</v>
      </c>
      <c r="I17668" s="6" t="n">
        <f aca="false">Sens!I17666+Sens!I17665</f>
        <v>180.695354741933</v>
      </c>
      <c r="J17668" s="6" t="n">
        <f aca="false">Sens!J17666+Sens!J17665</f>
        <v>196.722117481571</v>
      </c>
      <c r="K17668" s="6" t="n">
        <f aca="false">Sens!K17666+Sens!K17665</f>
        <v>212.00016570528</v>
      </c>
    </row>
    <row r="17669" customFormat="false" ht="17.15" hidden="false" customHeight="false" outlineLevel="0" collapsed="false">
      <c r="A17669" s="0" t="s">
        <v>1033</v>
      </c>
      <c r="B17669" s="0" t="s">
        <v>98</v>
      </c>
      <c r="D17669" s="6" t="n">
        <f aca="false">Q!L8</f>
        <v>35.391</v>
      </c>
      <c r="E17669" s="6" t="n">
        <f aca="false">Q!M8</f>
        <v>37.285</v>
      </c>
      <c r="F17669" s="6" t="n">
        <f aca="false">Q!$I$8+(Q!M8-Q!$E$8)*(1+Sens!F17670)</f>
        <v>38.3851437782675</v>
      </c>
      <c r="G17669" s="6" t="n">
        <f aca="false">Sens!F17669*(1+Sens!G17670)</f>
        <v>40.0105353288615</v>
      </c>
      <c r="H17669" s="6" t="n">
        <f aca="false">Sens!G17669*(1+Sens!H17670)</f>
        <v>41.4812512033683</v>
      </c>
      <c r="I17669" s="6" t="n">
        <f aca="false">Sens!H17669*(1+Sens!I17670)</f>
        <v>42.7743107216329</v>
      </c>
      <c r="J17669" s="6" t="n">
        <f aca="false">Sens!I17669*(1+Sens!J17670)</f>
        <v>43.8687373064601</v>
      </c>
      <c r="K17669" s="6" t="n">
        <f aca="false">Sens!J17669*(1+Sens!K17670)</f>
        <v>44.7461120525893</v>
      </c>
      <c r="L17669" s="12" t="s">
        <v>1034</v>
      </c>
    </row>
    <row r="17670" customFormat="false" ht="15" hidden="false" customHeight="false" outlineLevel="0" collapsed="false">
      <c r="A17670" s="1" t="s">
        <v>1024</v>
      </c>
      <c r="B17670" s="0" t="s">
        <v>168</v>
      </c>
      <c r="E17670" s="7" t="n">
        <f aca="false">Sens!E17669/Sens!D17669-1</f>
        <v>0.0535164307309768</v>
      </c>
      <c r="F17670" s="7" t="n">
        <f aca="false">Sens!$E$17670+(glt_lic-Sens!$E$17670)*MIN(1,(Sens!F17619-base_fy)/n_conv)</f>
        <v>0.0479303589424807</v>
      </c>
      <c r="G17670" s="7" t="n">
        <f aca="false">Sens!$E$17670+(glt_lic-Sens!$E$17670)*MIN(1,(Sens!G17619-base_fy)/n_conv)</f>
        <v>0.0423442871539845</v>
      </c>
      <c r="H17670" s="7" t="n">
        <f aca="false">Sens!$E$17670+(glt_lic-Sens!$E$17670)*MIN(1,(Sens!H17619-base_fy)/n_conv)</f>
        <v>0.0367582153654884</v>
      </c>
      <c r="I17670" s="7" t="n">
        <f aca="false">Sens!$E$17670+(glt_lic-Sens!$E$17670)*MIN(1,(Sens!I17619-base_fy)/n_conv)</f>
        <v>0.0311721435769923</v>
      </c>
      <c r="J17670" s="7" t="n">
        <f aca="false">Sens!$E$17670+(glt_lic-Sens!$E$17670)*MIN(1,(Sens!J17619-base_fy)/n_conv)</f>
        <v>0.0255860717884961</v>
      </c>
      <c r="K17670" s="7" t="n">
        <f aca="false">Sens!$E$17670+(glt_lic-Sens!$E$17670)*MIN(1,(Sens!K17619-base_fy)/n_conv)</f>
        <v>0.02</v>
      </c>
    </row>
    <row r="17671" customFormat="false" ht="17.15" hidden="false" customHeight="false" outlineLevel="0" collapsed="false">
      <c r="A17671" s="0" t="s">
        <v>1035</v>
      </c>
      <c r="B17671" s="0" t="s">
        <v>98</v>
      </c>
      <c r="D17671" s="6" t="n">
        <f aca="false">Q!L9</f>
        <v>18.417</v>
      </c>
      <c r="E17671" s="6" t="n">
        <f aca="false">Q!M9</f>
        <v>20.345</v>
      </c>
      <c r="F17671" s="6" t="n">
        <f aca="false">Q!$I$9+(Q!M9-Q!$E$9)*(1+Sens!F17672)</f>
        <v>22.3161797133988</v>
      </c>
      <c r="G17671" s="6" t="n">
        <f aca="false">Sens!F17671*(1+Sens!G17672)</f>
        <v>24.3943499673233</v>
      </c>
      <c r="H17671" s="6" t="n">
        <f aca="false">Sens!G17671*(1+Sens!H17672)</f>
        <v>26.5250243109019</v>
      </c>
      <c r="I17671" s="6" t="n">
        <f aca="false">Sens!H17671*(1+Sens!I17672)</f>
        <v>28.6884573538181</v>
      </c>
      <c r="J17671" s="6" t="n">
        <f aca="false">Sens!I17671*(1+Sens!J17672)</f>
        <v>30.8624968052127</v>
      </c>
      <c r="K17671" s="6" t="n">
        <f aca="false">Sens!J17671*(1+Sens!K17672)</f>
        <v>33.0228715815776</v>
      </c>
      <c r="L17671" s="12" t="s">
        <v>1034</v>
      </c>
    </row>
    <row r="17672" customFormat="false" ht="15" hidden="false" customHeight="false" outlineLevel="0" collapsed="false">
      <c r="A17672" s="1" t="s">
        <v>1024</v>
      </c>
      <c r="B17672" s="0" t="s">
        <v>168</v>
      </c>
      <c r="E17672" s="7" t="n">
        <f aca="false">Sens!E17671/Sens!D17671-1</f>
        <v>0.104685888038225</v>
      </c>
      <c r="F17672" s="7" t="n">
        <f aca="false">Sens!$E$17672+(glt_ind-Sens!$E$17672)*MIN(1,(Sens!F17619-base_fy)/n_conv)</f>
        <v>0.0989049066985211</v>
      </c>
      <c r="G17672" s="7" t="n">
        <f aca="false">Sens!$E$17672+(glt_ind-Sens!$E$17672)*MIN(1,(Sens!G17619-base_fy)/n_conv)</f>
        <v>0.0931239253588169</v>
      </c>
      <c r="H17672" s="7" t="n">
        <f aca="false">Sens!$E$17672+(glt_ind-Sens!$E$17672)*MIN(1,(Sens!H17619-base_fy)/n_conv)</f>
        <v>0.0873429440191127</v>
      </c>
      <c r="I17672" s="7" t="n">
        <f aca="false">Sens!$E$17672+(glt_ind-Sens!$E$17672)*MIN(1,(Sens!I17619-base_fy)/n_conv)</f>
        <v>0.0815619626794085</v>
      </c>
      <c r="J17672" s="7" t="n">
        <f aca="false">Sens!$E$17672+(glt_ind-Sens!$E$17672)*MIN(1,(Sens!J17619-base_fy)/n_conv)</f>
        <v>0.0757809813397042</v>
      </c>
      <c r="K17672" s="7" t="n">
        <f aca="false">Sens!$E$17672+(glt_ind-Sens!$E$17672)*MIN(1,(Sens!K17619-base_fy)/n_conv)</f>
        <v>0.07</v>
      </c>
    </row>
    <row r="17673" customFormat="false" ht="17.15" hidden="false" customHeight="false" outlineLevel="0" collapsed="false">
      <c r="A17673" s="0" t="s">
        <v>1036</v>
      </c>
      <c r="B17673" s="0" t="s">
        <v>98</v>
      </c>
      <c r="D17673" s="6" t="n">
        <f aca="false">Q!L10</f>
        <v>7.76</v>
      </c>
      <c r="E17673" s="6" t="n">
        <f aca="false">Q!M10</f>
        <v>8.26</v>
      </c>
      <c r="F17673" s="6" t="n">
        <f aca="false">Q!$I$10+(Q!M10-Q!$E$10)*(1+Sens!F17674)</f>
        <v>8.75372082474227</v>
      </c>
      <c r="G17673" s="6" t="n">
        <f aca="false">Sens!F17673*(1+Sens!G17674)</f>
        <v>9.33399324642364</v>
      </c>
      <c r="H17673" s="6" t="n">
        <f aca="false">Sens!G17673*(1+Sens!H17674)</f>
        <v>9.96139155535851</v>
      </c>
      <c r="I17673" s="6" t="n">
        <f aca="false">Sens!H17673*(1+Sens!I17674)</f>
        <v>10.6402039077391</v>
      </c>
      <c r="J17673" s="6" t="n">
        <f aca="false">Sens!I17673*(1+Sens!J17674)</f>
        <v>11.3751458271397</v>
      </c>
      <c r="K17673" s="6" t="n">
        <f aca="false">Sens!J17673*(1+Sens!K17674)</f>
        <v>12.1714060350394</v>
      </c>
      <c r="L17673" s="12" t="s">
        <v>1034</v>
      </c>
    </row>
    <row r="17674" customFormat="false" ht="15" hidden="false" customHeight="false" outlineLevel="0" collapsed="false">
      <c r="A17674" s="1" t="s">
        <v>1024</v>
      </c>
      <c r="B17674" s="0" t="s">
        <v>168</v>
      </c>
      <c r="E17674" s="7" t="n">
        <f aca="false">Sens!E17673/Sens!D17673-1</f>
        <v>0.0644329896907216</v>
      </c>
      <c r="F17674" s="7" t="n">
        <f aca="false">Sens!$E$17674+(glt_fro-Sens!$E$17674)*MIN(1,(Sens!F17619-base_fy)/n_conv)</f>
        <v>0.065360824742268</v>
      </c>
      <c r="G17674" s="7" t="n">
        <f aca="false">Sens!$E$17674+(glt_fro-Sens!$E$17674)*MIN(1,(Sens!G17619-base_fy)/n_conv)</f>
        <v>0.0662886597938144</v>
      </c>
      <c r="H17674" s="7" t="n">
        <f aca="false">Sens!$E$17674+(glt_fro-Sens!$E$17674)*MIN(1,(Sens!H17619-base_fy)/n_conv)</f>
        <v>0.0672164948453608</v>
      </c>
      <c r="I17674" s="7" t="n">
        <f aca="false">Sens!$E$17674+(glt_fro-Sens!$E$17674)*MIN(1,(Sens!I17619-base_fy)/n_conv)</f>
        <v>0.0681443298969072</v>
      </c>
      <c r="J17674" s="7" t="n">
        <f aca="false">Sens!$E$17674+(glt_fro-Sens!$E$17674)*MIN(1,(Sens!J17619-base_fy)/n_conv)</f>
        <v>0.0690721649484536</v>
      </c>
      <c r="K17674" s="7" t="n">
        <f aca="false">Sens!$E$17674+(glt_fro-Sens!$E$17674)*MIN(1,(Sens!K17619-base_fy)/n_conv)</f>
        <v>0.07</v>
      </c>
    </row>
    <row r="17675" customFormat="false" ht="15" hidden="false" customHeight="false" outlineLevel="0" collapsed="false">
      <c r="A17675" s="0" t="s">
        <v>852</v>
      </c>
      <c r="B17675" s="0" t="s">
        <v>98</v>
      </c>
      <c r="D17675" s="6" t="n">
        <f aca="false">Sens!D17663+Sens!D17668+Sens!D17669+Sens!D17671+Sens!D17673</f>
        <v>218.783</v>
      </c>
      <c r="E17675" s="6" t="n">
        <f aca="false">Sens!E17663+Sens!E17668+Sens!E17669+Sens!E17671+Sens!E17673</f>
        <v>268.127</v>
      </c>
      <c r="F17675" s="6" t="n">
        <f aca="false">Sens!F17663+Sens!F17668+Sens!F17669+Sens!F17671+Sens!F17673</f>
        <v>338.774715894377</v>
      </c>
      <c r="G17675" s="6" t="n">
        <f aca="false">Sens!G17663+Sens!G17668+Sens!G17669+Sens!G17671+Sens!G17673</f>
        <v>425.508058536537</v>
      </c>
      <c r="H17675" s="6" t="n">
        <f aca="false">Sens!H17663+Sens!H17668+Sens!H17669+Sens!H17671+Sens!H17673</f>
        <v>518.580813986921</v>
      </c>
      <c r="I17675" s="6" t="n">
        <f aca="false">Sens!I17663+Sens!I17668+Sens!I17669+Sens!I17671+Sens!I17673</f>
        <v>597.067731307455</v>
      </c>
      <c r="J17675" s="6" t="n">
        <f aca="false">Sens!J17663+Sens!J17668+Sens!J17669+Sens!J17671+Sens!J17673</f>
        <v>659.345790484055</v>
      </c>
      <c r="K17675" s="6" t="n">
        <f aca="false">Sens!K17663+Sens!K17668+Sens!K17669+Sens!K17671+Sens!K17673</f>
        <v>707.958647997291</v>
      </c>
    </row>
    <row r="17676" customFormat="false" ht="17.15" hidden="false" customHeight="false" outlineLevel="0" collapsed="false">
      <c r="A17676" s="0" t="s">
        <v>1037</v>
      </c>
      <c r="B17676" s="0" t="s">
        <v>98</v>
      </c>
      <c r="D17676" s="6" t="n">
        <f aca="false">Q!L13</f>
        <v>22.171</v>
      </c>
      <c r="E17676" s="6" t="n">
        <f aca="false">Q!M13</f>
        <v>24.835</v>
      </c>
      <c r="F17676" s="6" t="n">
        <f aca="false">Q!$I$13+(Q!M13-Q!$E$13)*(1+Sens!F17677)</f>
        <v>27.5591895660247</v>
      </c>
      <c r="G17676" s="6" t="n">
        <f aca="false">Sens!F17676*(1+Sens!G17677)</f>
        <v>30.4098563144583</v>
      </c>
      <c r="H17676" s="6" t="n">
        <f aca="false">Sens!G17676*(1+Sens!H17677)</f>
        <v>33.3011792571777</v>
      </c>
      <c r="I17676" s="6" t="n">
        <f aca="false">Sens!H17676*(1+Sens!I17677)</f>
        <v>36.189023797112</v>
      </c>
      <c r="J17676" s="6" t="n">
        <f aca="false">Sens!I17676*(1+Sens!J17677)</f>
        <v>39.0247773769199</v>
      </c>
      <c r="K17676" s="6" t="n">
        <f aca="false">Sens!J17676*(1+Sens!K17677)</f>
        <v>41.7565117933043</v>
      </c>
      <c r="L17676" s="12" t="s">
        <v>1034</v>
      </c>
    </row>
    <row r="17677" customFormat="false" ht="15" hidden="false" customHeight="false" outlineLevel="0" collapsed="false">
      <c r="A17677" s="1" t="s">
        <v>1024</v>
      </c>
      <c r="B17677" s="0" t="s">
        <v>168</v>
      </c>
      <c r="E17677" s="7" t="n">
        <f aca="false">Sens!E17676/Sens!D17676-1</f>
        <v>0.120156961796942</v>
      </c>
      <c r="F17677" s="7" t="n">
        <f aca="false">Sens!$E$17677+(glt_srch-Sens!$E$17677)*MIN(1,(Sens!F17619-base_fy)/n_conv)</f>
        <v>0.111797468164118</v>
      </c>
      <c r="G17677" s="7" t="n">
        <f aca="false">Sens!$E$17677+(glt_srch-Sens!$E$17677)*MIN(1,(Sens!G17619-base_fy)/n_conv)</f>
        <v>0.103437974531295</v>
      </c>
      <c r="H17677" s="7" t="n">
        <f aca="false">Sens!$E$17677+(glt_srch-Sens!$E$17677)*MIN(1,(Sens!H17619-base_fy)/n_conv)</f>
        <v>0.095078480898471</v>
      </c>
      <c r="I17677" s="7" t="n">
        <f aca="false">Sens!$E$17677+(glt_srch-Sens!$E$17677)*MIN(1,(Sens!I17619-base_fy)/n_conv)</f>
        <v>0.0867189872656474</v>
      </c>
      <c r="J17677" s="7" t="n">
        <f aca="false">Sens!$E$17677+(glt_srch-Sens!$E$17677)*MIN(1,(Sens!J17619-base_fy)/n_conv)</f>
        <v>0.0783594936328237</v>
      </c>
      <c r="K17677" s="7" t="n">
        <f aca="false">Sens!$E$17677+(glt_srch-Sens!$E$17677)*MIN(1,(Sens!K17619-base_fy)/n_conv)</f>
        <v>0.07</v>
      </c>
    </row>
    <row r="17678" customFormat="false" ht="17.15" hidden="false" customHeight="false" outlineLevel="0" collapsed="false">
      <c r="A17678" s="0" t="s">
        <v>1038</v>
      </c>
      <c r="B17678" s="0" t="s">
        <v>98</v>
      </c>
      <c r="D17678" s="6" t="n">
        <f aca="false">Q!L14</f>
        <v>23.455</v>
      </c>
      <c r="E17678" s="6" t="n">
        <f aca="false">Q!M14</f>
        <v>21.79</v>
      </c>
      <c r="F17678" s="6" t="n">
        <f aca="false">Q!$I$14+(Q!M14-Q!$E$14)*(1+Sens!F17679)</f>
        <v>20.7520981041711</v>
      </c>
      <c r="G17678" s="6" t="n">
        <f aca="false">Sens!F17678*(1+Sens!G17679)</f>
        <v>19.9083593495882</v>
      </c>
      <c r="H17678" s="6" t="n">
        <f aca="false">Sens!G17678*(1+Sens!H17679)</f>
        <v>19.4008256265831</v>
      </c>
      <c r="I17678" s="6" t="n">
        <f aca="false">Sens!H17678*(1+Sens!I17679)</f>
        <v>19.200434522122</v>
      </c>
      <c r="J17678" s="6" t="n">
        <f aca="false">Sens!I17678*(1+Sens!J17679)</f>
        <v>19.2932782348507</v>
      </c>
      <c r="K17678" s="6" t="n">
        <f aca="false">Sens!J17678*(1+Sens!K17679)</f>
        <v>19.6791437995477</v>
      </c>
      <c r="L17678" s="12" t="s">
        <v>1034</v>
      </c>
    </row>
    <row r="17679" customFormat="false" ht="15" hidden="false" customHeight="false" outlineLevel="0" collapsed="false">
      <c r="A17679" s="1" t="s">
        <v>1024</v>
      </c>
      <c r="B17679" s="0" t="s">
        <v>168</v>
      </c>
      <c r="E17679" s="7" t="n">
        <f aca="false">Sens!E17678/Sens!D17678-1</f>
        <v>-0.0709869963760392</v>
      </c>
      <c r="F17679" s="7" t="n">
        <f aca="false">Sens!$E$17679+(glt_xbox-Sens!$E$17679)*MIN(1,(Sens!F17619-base_fy)/n_conv)</f>
        <v>-0.0558224969800327</v>
      </c>
      <c r="G17679" s="7" t="n">
        <f aca="false">Sens!$E$17679+(glt_xbox-Sens!$E$17679)*MIN(1,(Sens!G17619-base_fy)/n_conv)</f>
        <v>-0.0406579975840262</v>
      </c>
      <c r="H17679" s="7" t="n">
        <f aca="false">Sens!$E$17679+(glt_xbox-Sens!$E$17679)*MIN(1,(Sens!H17619-base_fy)/n_conv)</f>
        <v>-0.0254934981880196</v>
      </c>
      <c r="I17679" s="7" t="n">
        <f aca="false">Sens!$E$17679+(glt_xbox-Sens!$E$17679)*MIN(1,(Sens!I17619-base_fy)/n_conv)</f>
        <v>-0.0103289987920131</v>
      </c>
      <c r="J17679" s="7" t="n">
        <f aca="false">Sens!$E$17679+(glt_xbox-Sens!$E$17679)*MIN(1,(Sens!J17619-base_fy)/n_conv)</f>
        <v>0.00483550060399347</v>
      </c>
      <c r="K17679" s="7" t="n">
        <f aca="false">Sens!$E$17679+(glt_xbox-Sens!$E$17679)*MIN(1,(Sens!K17619-base_fy)/n_conv)</f>
        <v>0.02</v>
      </c>
    </row>
    <row r="17680" customFormat="false" ht="17.15" hidden="false" customHeight="false" outlineLevel="0" collapsed="false">
      <c r="A17680" s="0" t="s">
        <v>1039</v>
      </c>
      <c r="B17680" s="0" t="s">
        <v>98</v>
      </c>
      <c r="D17680" s="6" t="n">
        <f aca="false">Q!L15</f>
        <v>17.315</v>
      </c>
      <c r="E17680" s="6" t="n">
        <f aca="false">Q!M15</f>
        <v>17.087</v>
      </c>
      <c r="F17680" s="6" t="n">
        <f aca="false">Q!$I$15+(Q!M15-Q!$E$15)*(1+Sens!F17681)</f>
        <v>15.9912273250553</v>
      </c>
      <c r="G17680" s="6" t="n">
        <f aca="false">Sens!F17680*(1+Sens!G17681)</f>
        <v>15.9574562664827</v>
      </c>
      <c r="H17680" s="6" t="n">
        <f aca="false">Sens!G17680*(1+Sens!H17681)</f>
        <v>16.0119687434196</v>
      </c>
      <c r="I17680" s="6" t="n">
        <f aca="false">Sens!H17680*(1+Sens!I17681)</f>
        <v>16.1551810001948</v>
      </c>
      <c r="J17680" s="6" t="n">
        <f aca="false">Sens!I17680*(1+Sens!J17681)</f>
        <v>16.3889793892005</v>
      </c>
      <c r="K17680" s="6" t="n">
        <f aca="false">Sens!J17680*(1+Sens!K17681)</f>
        <v>16.7167589769845</v>
      </c>
      <c r="L17680" s="12" t="s">
        <v>1034</v>
      </c>
    </row>
    <row r="17681" customFormat="false" ht="15" hidden="false" customHeight="false" outlineLevel="0" collapsed="false">
      <c r="A17681" s="1" t="s">
        <v>1024</v>
      </c>
      <c r="B17681" s="0" t="s">
        <v>168</v>
      </c>
      <c r="E17681" s="7" t="n">
        <f aca="false">Sens!E17680/Sens!D17680-1</f>
        <v>-0.0131677736066995</v>
      </c>
      <c r="F17681" s="7" t="n">
        <f aca="false">Sens!$E$17681+(glt_win-Sens!$E$17681)*MIN(1,(Sens!F17619-base_fy)/n_conv)</f>
        <v>-0.00763981133891627</v>
      </c>
      <c r="G17681" s="7" t="n">
        <f aca="false">Sens!$E$17681+(glt_win-Sens!$E$17681)*MIN(1,(Sens!G17619-base_fy)/n_conv)</f>
        <v>-0.00211184907113301</v>
      </c>
      <c r="H17681" s="7" t="n">
        <f aca="false">Sens!$E$17681+(glt_win-Sens!$E$17681)*MIN(1,(Sens!H17619-base_fy)/n_conv)</f>
        <v>0.00341611319665024</v>
      </c>
      <c r="I17681" s="7" t="n">
        <f aca="false">Sens!$E$17681+(glt_win-Sens!$E$17681)*MIN(1,(Sens!I17619-base_fy)/n_conv)</f>
        <v>0.00894407546443349</v>
      </c>
      <c r="J17681" s="7" t="n">
        <f aca="false">Sens!$E$17681+(glt_win-Sens!$E$17681)*MIN(1,(Sens!J17619-base_fy)/n_conv)</f>
        <v>0.0144720377322168</v>
      </c>
      <c r="K17681" s="7" t="n">
        <f aca="false">Sens!$E$17681+(glt_win-Sens!$E$17681)*MIN(1,(Sens!K17619-base_fy)/n_conv)</f>
        <v>0.02</v>
      </c>
    </row>
    <row r="17682" customFormat="false" ht="15" hidden="false" customHeight="false" outlineLevel="0" collapsed="false">
      <c r="A17682" s="0" t="s">
        <v>866</v>
      </c>
      <c r="B17682" s="0" t="s">
        <v>98</v>
      </c>
      <c r="D17682" s="6" t="n">
        <f aca="false">Sens!D17676+Sens!D17678+Sens!D17680</f>
        <v>62.941</v>
      </c>
      <c r="E17682" s="6" t="n">
        <f aca="false">Sens!E17676+Sens!E17678+Sens!E17680</f>
        <v>63.712</v>
      </c>
      <c r="F17682" s="6" t="n">
        <f aca="false">Sens!F17676+Sens!F17678+Sens!F17680</f>
        <v>64.3025149952511</v>
      </c>
      <c r="G17682" s="6" t="n">
        <f aca="false">Sens!G17676+Sens!G17678+Sens!G17680</f>
        <v>66.2756719305292</v>
      </c>
      <c r="H17682" s="6" t="n">
        <f aca="false">Sens!H17676+Sens!H17678+Sens!H17680</f>
        <v>68.7139736271804</v>
      </c>
      <c r="I17682" s="6" t="n">
        <f aca="false">Sens!I17676+Sens!I17678+Sens!I17680</f>
        <v>71.5446393194289</v>
      </c>
      <c r="J17682" s="6" t="n">
        <f aca="false">Sens!J17676+Sens!J17678+Sens!J17680</f>
        <v>74.707035000971</v>
      </c>
      <c r="K17682" s="6" t="n">
        <f aca="false">Sens!K17676+Sens!K17678+Sens!K17680</f>
        <v>78.1524145698365</v>
      </c>
    </row>
    <row r="17683" customFormat="false" ht="15" hidden="false" customHeight="false" outlineLevel="0" collapsed="false">
      <c r="A17683" s="1" t="s">
        <v>1040</v>
      </c>
      <c r="B17683" s="0" t="s">
        <v>98</v>
      </c>
      <c r="D17683" s="6" t="n">
        <f aca="false">Sens!D17675+Sens!D17682</f>
        <v>281.724</v>
      </c>
      <c r="E17683" s="6" t="n">
        <f aca="false">Sens!E17675+Sens!E17682</f>
        <v>331.839</v>
      </c>
      <c r="F17683" s="6" t="n">
        <f aca="false">Sens!F17675+Sens!F17682</f>
        <v>403.077230889628</v>
      </c>
      <c r="G17683" s="6" t="n">
        <f aca="false">Sens!G17675+Sens!G17682</f>
        <v>491.783730467066</v>
      </c>
      <c r="H17683" s="6" t="n">
        <f aca="false">Sens!H17675+Sens!H17682</f>
        <v>587.294787614101</v>
      </c>
      <c r="I17683" s="6" t="n">
        <f aca="false">Sens!I17675+Sens!I17682</f>
        <v>668.612370626884</v>
      </c>
      <c r="J17683" s="6" t="n">
        <f aca="false">Sens!J17675+Sens!J17682</f>
        <v>734.052825485026</v>
      </c>
      <c r="K17683" s="6" t="n">
        <f aca="false">Sens!K17675+Sens!K17682</f>
        <v>786.111062567128</v>
      </c>
    </row>
    <row r="17684" customFormat="false" ht="15" hidden="false" customHeight="false" outlineLevel="0" collapsed="false">
      <c r="A17684" s="26" t="s">
        <v>1041</v>
      </c>
      <c r="B17684" s="31" t="s">
        <v>98</v>
      </c>
      <c r="C17684" s="31"/>
      <c r="D17684" s="27" t="n">
        <f aca="false">(Sens!D17663+Sens!D17668+Sens!D17669+Sens!D17671+Sens!D17673-Sens!D17675)+(Sens!D17676+Sens!D17678+Sens!D17680-Sens!D17682)+(Sens!D17675-Q!L5)+(Sens!D17682-Q!L12)+(Sens!D17663-Q!L6)+(Sens!D17668-Q!L7)</f>
        <v>0</v>
      </c>
      <c r="E17684" s="27" t="n">
        <f aca="false">(Sens!E17663+Sens!E17668+Sens!E17669+Sens!E17671+Sens!E17673-Sens!E17675)+(Sens!E17676+Sens!E17678+Sens!E17680-Sens!E17682)+(Sens!E17675-Q!M5)+(Sens!E17682-Q!M12)+(Sens!E17663-Q!M6)+(Sens!E17668-Q!M7)</f>
        <v>0</v>
      </c>
      <c r="F17684" s="27" t="n">
        <f aca="false">(Sens!F17663+Sens!F17668+Sens!F17669+Sens!F17671+Sens!F17673-Sens!F17675)+(Sens!F17676+Sens!F17678+Sens!F17680-Sens!F17682)</f>
        <v>0</v>
      </c>
      <c r="G17684" s="27" t="n">
        <f aca="false">(Sens!G17663+Sens!G17668+Sens!G17669+Sens!G17671+Sens!G17673-Sens!G17675)+(Sens!G17676+Sens!G17678+Sens!G17680-Sens!G17682)</f>
        <v>0</v>
      </c>
      <c r="H17684" s="27" t="n">
        <f aca="false">(Sens!H17663+Sens!H17668+Sens!H17669+Sens!H17671+Sens!H17673-Sens!H17675)+(Sens!H17676+Sens!H17678+Sens!H17680-Sens!H17682)</f>
        <v>0</v>
      </c>
      <c r="I17684" s="27" t="n">
        <f aca="false">(Sens!I17663+Sens!I17668+Sens!I17669+Sens!I17671+Sens!I17673-Sens!I17675)+(Sens!I17676+Sens!I17678+Sens!I17680-Sens!I17682)</f>
        <v>0</v>
      </c>
      <c r="J17684" s="27" t="n">
        <f aca="false">(Sens!J17663+Sens!J17668+Sens!J17669+Sens!J17671+Sens!J17673-Sens!J17675)+(Sens!J17676+Sens!J17678+Sens!J17680-Sens!J17682)</f>
        <v>0</v>
      </c>
      <c r="K17684" s="27" t="n">
        <f aca="false">(Sens!K17663+Sens!K17668+Sens!K17669+Sens!K17671+Sens!K17673-Sens!K17675)+(Sens!K17676+Sens!K17678+Sens!K17680-Sens!K17682)</f>
        <v>0</v>
      </c>
    </row>
    <row r="17685" customFormat="false" ht="17.15" hidden="false" customHeight="false" outlineLevel="0" collapsed="false">
      <c r="A17685" s="3" t="s">
        <v>1916</v>
      </c>
    </row>
    <row r="17686" customFormat="false" ht="15" hidden="false" customHeight="false" outlineLevel="0" collapsed="false">
      <c r="A17686" s="4" t="s">
        <v>43</v>
      </c>
      <c r="B17686" s="4" t="s">
        <v>65</v>
      </c>
      <c r="C17686" s="23" t="s">
        <v>938</v>
      </c>
      <c r="D17686" s="23" t="s">
        <v>939</v>
      </c>
      <c r="E17686" s="23" t="s">
        <v>940</v>
      </c>
      <c r="F17686" s="23" t="s">
        <v>941</v>
      </c>
      <c r="G17686" s="23" t="s">
        <v>942</v>
      </c>
      <c r="H17686" s="23" t="s">
        <v>943</v>
      </c>
      <c r="I17686" s="23" t="s">
        <v>944</v>
      </c>
      <c r="J17686" s="23" t="s">
        <v>945</v>
      </c>
      <c r="K17686" s="23" t="s">
        <v>946</v>
      </c>
      <c r="L17686" s="4" t="s">
        <v>47</v>
      </c>
    </row>
    <row r="17687" customFormat="false" ht="15" hidden="false" customHeight="false" outlineLevel="0" collapsed="false">
      <c r="A17687" s="0" t="s">
        <v>1025</v>
      </c>
      <c r="B17687" s="0" t="s">
        <v>98</v>
      </c>
      <c r="D17687" s="6" t="n">
        <f aca="false">Sens!D17663</f>
        <v>72.61</v>
      </c>
      <c r="E17687" s="6" t="n">
        <f aca="false">Sens!E17663</f>
        <v>101.938</v>
      </c>
      <c r="F17687" s="6" t="n">
        <f aca="false">Sens!F17663</f>
        <v>149.59001837225</v>
      </c>
      <c r="G17687" s="6" t="n">
        <f aca="false">Sens!G17663</f>
        <v>210.963087346352</v>
      </c>
      <c r="H17687" s="6" t="n">
        <f aca="false">Sens!H17663</f>
        <v>278.649709314524</v>
      </c>
      <c r="I17687" s="6" t="n">
        <f aca="false">Sens!I17663</f>
        <v>334.269404582332</v>
      </c>
      <c r="J17687" s="6" t="n">
        <f aca="false">Sens!J17663</f>
        <v>376.517293063672</v>
      </c>
      <c r="K17687" s="6" t="n">
        <f aca="false">Sens!K17663</f>
        <v>406.018092622804</v>
      </c>
    </row>
    <row r="17688" customFormat="false" ht="17.15" hidden="false" customHeight="false" outlineLevel="0" collapsed="false">
      <c r="A17688" s="0" t="s">
        <v>1021</v>
      </c>
      <c r="B17688" s="0" t="s">
        <v>98</v>
      </c>
      <c r="D17688" s="6" t="n">
        <f aca="false">Sens!D17660</f>
        <v>12.9359794422418</v>
      </c>
      <c r="E17688" s="6" t="n">
        <f aca="false">Sens!E17660</f>
        <v>27.8095064661409</v>
      </c>
      <c r="F17688" s="6" t="n">
        <f aca="false">Sens!F17660</f>
        <v>59.1034165651511</v>
      </c>
      <c r="G17688" s="6" t="n">
        <f aca="false">Sens!G17660</f>
        <v>103.451498789198</v>
      </c>
      <c r="H17688" s="6" t="n">
        <f aca="false">Sens!H17660</f>
        <v>153.816719989035</v>
      </c>
      <c r="I17688" s="6" t="n">
        <f aca="false">Sens!I17660</f>
        <v>192.699478690852</v>
      </c>
      <c r="J17688" s="6" t="n">
        <f aca="false">Sens!J17660</f>
        <v>219.794102584244</v>
      </c>
      <c r="K17688" s="6" t="n">
        <f aca="false">Sens!K17660</f>
        <v>236.757046905022</v>
      </c>
    </row>
    <row r="17689" customFormat="false" ht="17.15" hidden="false" customHeight="false" outlineLevel="0" collapsed="false">
      <c r="A17689" s="0" t="s">
        <v>1052</v>
      </c>
      <c r="B17689" s="0" t="s">
        <v>98</v>
      </c>
      <c r="D17689" s="6" t="n">
        <f aca="false">Sens!D17661</f>
        <v>59.6740205577583</v>
      </c>
      <c r="E17689" s="6" t="n">
        <f aca="false">Sens!E17661</f>
        <v>74.1284935338591</v>
      </c>
      <c r="F17689" s="6" t="n">
        <f aca="false">Sens!F17661</f>
        <v>90.4866018070994</v>
      </c>
      <c r="G17689" s="6" t="n">
        <f aca="false">Sens!G17661</f>
        <v>107.511588557154</v>
      </c>
      <c r="H17689" s="6" t="n">
        <f aca="false">Sens!H17661</f>
        <v>124.832989325489</v>
      </c>
      <c r="I17689" s="6" t="n">
        <f aca="false">Sens!I17661</f>
        <v>141.56992589148</v>
      </c>
      <c r="J17689" s="6" t="n">
        <f aca="false">Sens!J17661</f>
        <v>156.723190479428</v>
      </c>
      <c r="K17689" s="6" t="n">
        <f aca="false">Sens!K17661</f>
        <v>169.261045717783</v>
      </c>
    </row>
    <row r="17690" customFormat="false" ht="15" hidden="false" customHeight="false" outlineLevel="0" collapsed="false">
      <c r="A17690" s="0" t="s">
        <v>1032</v>
      </c>
      <c r="B17690" s="0" t="s">
        <v>98</v>
      </c>
      <c r="D17690" s="6" t="n">
        <f aca="false">Sens!D17668</f>
        <v>84.605</v>
      </c>
      <c r="E17690" s="6" t="n">
        <f aca="false">Sens!E17668</f>
        <v>100.299</v>
      </c>
      <c r="F17690" s="6" t="n">
        <f aca="false">Sens!F17668</f>
        <v>119.729653205718</v>
      </c>
      <c r="G17690" s="6" t="n">
        <f aca="false">Sens!G17668</f>
        <v>140.806092647576</v>
      </c>
      <c r="H17690" s="6" t="n">
        <f aca="false">Sens!H17668</f>
        <v>161.963437602768</v>
      </c>
      <c r="I17690" s="6" t="n">
        <f aca="false">Sens!I17668</f>
        <v>180.695354741933</v>
      </c>
      <c r="J17690" s="6" t="n">
        <f aca="false">Sens!J17668</f>
        <v>196.722117481571</v>
      </c>
      <c r="K17690" s="6" t="n">
        <f aca="false">Sens!K17668</f>
        <v>212.00016570528</v>
      </c>
    </row>
    <row r="17691" customFormat="false" ht="17.15" hidden="false" customHeight="false" outlineLevel="0" collapsed="false">
      <c r="A17691" s="0" t="s">
        <v>1053</v>
      </c>
      <c r="B17691" s="0" t="s">
        <v>98</v>
      </c>
      <c r="D17691" s="6" t="n">
        <f aca="false">Sens!D17666</f>
        <v>83.705</v>
      </c>
      <c r="E17691" s="6" t="n">
        <f aca="false">Sens!E17666</f>
        <v>95.049</v>
      </c>
      <c r="F17691" s="6" t="n">
        <f aca="false">Sens!F17666</f>
        <v>106.229653205718</v>
      </c>
      <c r="G17691" s="6" t="n">
        <f aca="false">Sens!G17666</f>
        <v>118.306092647576</v>
      </c>
      <c r="H17691" s="6" t="n">
        <f aca="false">Sens!H17666</f>
        <v>130.463437602768</v>
      </c>
      <c r="I17691" s="6" t="n">
        <f aca="false">Sens!I17666</f>
        <v>142.445354741933</v>
      </c>
      <c r="J17691" s="6" t="n">
        <f aca="false">Sens!J17666</f>
        <v>153.972117481571</v>
      </c>
      <c r="K17691" s="6" t="n">
        <f aca="false">Sens!K17666</f>
        <v>164.75016570528</v>
      </c>
    </row>
    <row r="17692" customFormat="false" ht="17.15" hidden="false" customHeight="false" outlineLevel="0" collapsed="false">
      <c r="A17692" s="0" t="s">
        <v>1054</v>
      </c>
      <c r="B17692" s="0" t="s">
        <v>98</v>
      </c>
      <c r="D17692" s="6" t="n">
        <f aca="false">Sens!D17665</f>
        <v>0.9</v>
      </c>
      <c r="E17692" s="6" t="n">
        <f aca="false">Sens!E17665</f>
        <v>5.25</v>
      </c>
      <c r="F17692" s="6" t="n">
        <f aca="false">Sens!F17665</f>
        <v>13.5</v>
      </c>
      <c r="G17692" s="6" t="n">
        <f aca="false">Sens!G17665</f>
        <v>22.5</v>
      </c>
      <c r="H17692" s="6" t="n">
        <f aca="false">Sens!H17665</f>
        <v>31.5</v>
      </c>
      <c r="I17692" s="6" t="n">
        <f aca="false">Sens!I17665</f>
        <v>38.25</v>
      </c>
      <c r="J17692" s="6" t="n">
        <f aca="false">Sens!J17665</f>
        <v>42.75</v>
      </c>
      <c r="K17692" s="6" t="n">
        <f aca="false">Sens!K17665</f>
        <v>47.25</v>
      </c>
    </row>
    <row r="17693" customFormat="false" ht="15" hidden="false" customHeight="false" outlineLevel="0" collapsed="false">
      <c r="A17693" s="0" t="s">
        <v>1033</v>
      </c>
      <c r="B17693" s="0" t="s">
        <v>98</v>
      </c>
      <c r="D17693" s="6" t="n">
        <f aca="false">Sens!D17669</f>
        <v>35.391</v>
      </c>
      <c r="E17693" s="6" t="n">
        <f aca="false">Sens!E17669</f>
        <v>37.285</v>
      </c>
      <c r="F17693" s="6" t="n">
        <f aca="false">Sens!F17669</f>
        <v>38.3851437782675</v>
      </c>
      <c r="G17693" s="6" t="n">
        <f aca="false">Sens!G17669</f>
        <v>40.0105353288615</v>
      </c>
      <c r="H17693" s="6" t="n">
        <f aca="false">Sens!H17669</f>
        <v>41.4812512033683</v>
      </c>
      <c r="I17693" s="6" t="n">
        <f aca="false">Sens!I17669</f>
        <v>42.7743107216329</v>
      </c>
      <c r="J17693" s="6" t="n">
        <f aca="false">Sens!J17669</f>
        <v>43.8687373064601</v>
      </c>
      <c r="K17693" s="6" t="n">
        <f aca="false">Sens!K17669</f>
        <v>44.7461120525893</v>
      </c>
    </row>
    <row r="17694" customFormat="false" ht="15" hidden="false" customHeight="false" outlineLevel="0" collapsed="false">
      <c r="A17694" s="0" t="s">
        <v>1035</v>
      </c>
      <c r="B17694" s="0" t="s">
        <v>98</v>
      </c>
      <c r="D17694" s="6" t="n">
        <f aca="false">Sens!D17671</f>
        <v>18.417</v>
      </c>
      <c r="E17694" s="6" t="n">
        <f aca="false">Sens!E17671</f>
        <v>20.345</v>
      </c>
      <c r="F17694" s="6" t="n">
        <f aca="false">Sens!F17671</f>
        <v>22.3161797133988</v>
      </c>
      <c r="G17694" s="6" t="n">
        <f aca="false">Sens!G17671</f>
        <v>24.3943499673233</v>
      </c>
      <c r="H17694" s="6" t="n">
        <f aca="false">Sens!H17671</f>
        <v>26.5250243109019</v>
      </c>
      <c r="I17694" s="6" t="n">
        <f aca="false">Sens!I17671</f>
        <v>28.6884573538181</v>
      </c>
      <c r="J17694" s="6" t="n">
        <f aca="false">Sens!J17671</f>
        <v>30.8624968052127</v>
      </c>
      <c r="K17694" s="6" t="n">
        <f aca="false">Sens!K17671</f>
        <v>33.0228715815776</v>
      </c>
    </row>
    <row r="17695" customFormat="false" ht="15" hidden="false" customHeight="false" outlineLevel="0" collapsed="false">
      <c r="A17695" s="0" t="s">
        <v>1036</v>
      </c>
      <c r="B17695" s="0" t="s">
        <v>98</v>
      </c>
      <c r="D17695" s="6" t="n">
        <f aca="false">Sens!D17673</f>
        <v>7.76</v>
      </c>
      <c r="E17695" s="6" t="n">
        <f aca="false">Sens!E17673</f>
        <v>8.26</v>
      </c>
      <c r="F17695" s="6" t="n">
        <f aca="false">Sens!F17673</f>
        <v>8.75372082474227</v>
      </c>
      <c r="G17695" s="6" t="n">
        <f aca="false">Sens!G17673</f>
        <v>9.33399324642364</v>
      </c>
      <c r="H17695" s="6" t="n">
        <f aca="false">Sens!H17673</f>
        <v>9.96139155535851</v>
      </c>
      <c r="I17695" s="6" t="n">
        <f aca="false">Sens!I17673</f>
        <v>10.6402039077391</v>
      </c>
      <c r="J17695" s="6" t="n">
        <f aca="false">Sens!J17673</f>
        <v>11.3751458271397</v>
      </c>
      <c r="K17695" s="6" t="n">
        <f aca="false">Sens!K17673</f>
        <v>12.1714060350394</v>
      </c>
    </row>
    <row r="17696" customFormat="false" ht="15" hidden="false" customHeight="false" outlineLevel="0" collapsed="false">
      <c r="A17696" s="0" t="s">
        <v>852</v>
      </c>
      <c r="B17696" s="0" t="s">
        <v>98</v>
      </c>
      <c r="D17696" s="6" t="n">
        <f aca="false">Sens!D17675</f>
        <v>218.783</v>
      </c>
      <c r="E17696" s="6" t="n">
        <f aca="false">Sens!E17675</f>
        <v>268.127</v>
      </c>
      <c r="F17696" s="6" t="n">
        <f aca="false">Sens!F17675</f>
        <v>338.774715894377</v>
      </c>
      <c r="G17696" s="6" t="n">
        <f aca="false">Sens!G17675</f>
        <v>425.508058536537</v>
      </c>
      <c r="H17696" s="6" t="n">
        <f aca="false">Sens!H17675</f>
        <v>518.580813986921</v>
      </c>
      <c r="I17696" s="6" t="n">
        <f aca="false">Sens!I17675</f>
        <v>597.067731307455</v>
      </c>
      <c r="J17696" s="6" t="n">
        <f aca="false">Sens!J17675</f>
        <v>659.345790484055</v>
      </c>
      <c r="K17696" s="6" t="n">
        <f aca="false">Sens!K17675</f>
        <v>707.958647997291</v>
      </c>
    </row>
    <row r="17697" customFormat="false" ht="15" hidden="false" customHeight="false" outlineLevel="0" collapsed="false">
      <c r="A17697" s="0" t="s">
        <v>1037</v>
      </c>
      <c r="B17697" s="0" t="s">
        <v>98</v>
      </c>
      <c r="D17697" s="6" t="n">
        <f aca="false">Sens!D17676</f>
        <v>22.171</v>
      </c>
      <c r="E17697" s="6" t="n">
        <f aca="false">Sens!E17676</f>
        <v>24.835</v>
      </c>
      <c r="F17697" s="6" t="n">
        <f aca="false">Sens!F17676</f>
        <v>27.5591895660247</v>
      </c>
      <c r="G17697" s="6" t="n">
        <f aca="false">Sens!G17676</f>
        <v>30.4098563144583</v>
      </c>
      <c r="H17697" s="6" t="n">
        <f aca="false">Sens!H17676</f>
        <v>33.3011792571777</v>
      </c>
      <c r="I17697" s="6" t="n">
        <f aca="false">Sens!I17676</f>
        <v>36.189023797112</v>
      </c>
      <c r="J17697" s="6" t="n">
        <f aca="false">Sens!J17676</f>
        <v>39.0247773769199</v>
      </c>
      <c r="K17697" s="6" t="n">
        <f aca="false">Sens!K17676</f>
        <v>41.7565117933043</v>
      </c>
    </row>
    <row r="17698" customFormat="false" ht="15" hidden="false" customHeight="false" outlineLevel="0" collapsed="false">
      <c r="A17698" s="0" t="s">
        <v>1038</v>
      </c>
      <c r="B17698" s="0" t="s">
        <v>98</v>
      </c>
      <c r="D17698" s="6" t="n">
        <f aca="false">Sens!D17678</f>
        <v>23.455</v>
      </c>
      <c r="E17698" s="6" t="n">
        <f aca="false">Sens!E17678</f>
        <v>21.79</v>
      </c>
      <c r="F17698" s="6" t="n">
        <f aca="false">Sens!F17678</f>
        <v>20.7520981041711</v>
      </c>
      <c r="G17698" s="6" t="n">
        <f aca="false">Sens!G17678</f>
        <v>19.9083593495882</v>
      </c>
      <c r="H17698" s="6" t="n">
        <f aca="false">Sens!H17678</f>
        <v>19.4008256265831</v>
      </c>
      <c r="I17698" s="6" t="n">
        <f aca="false">Sens!I17678</f>
        <v>19.200434522122</v>
      </c>
      <c r="J17698" s="6" t="n">
        <f aca="false">Sens!J17678</f>
        <v>19.2932782348507</v>
      </c>
      <c r="K17698" s="6" t="n">
        <f aca="false">Sens!K17678</f>
        <v>19.6791437995477</v>
      </c>
    </row>
    <row r="17699" customFormat="false" ht="15" hidden="false" customHeight="false" outlineLevel="0" collapsed="false">
      <c r="A17699" s="0" t="s">
        <v>1039</v>
      </c>
      <c r="B17699" s="0" t="s">
        <v>98</v>
      </c>
      <c r="D17699" s="6" t="n">
        <f aca="false">Sens!D17680</f>
        <v>17.315</v>
      </c>
      <c r="E17699" s="6" t="n">
        <f aca="false">Sens!E17680</f>
        <v>17.087</v>
      </c>
      <c r="F17699" s="6" t="n">
        <f aca="false">Sens!F17680</f>
        <v>15.9912273250553</v>
      </c>
      <c r="G17699" s="6" t="n">
        <f aca="false">Sens!G17680</f>
        <v>15.9574562664827</v>
      </c>
      <c r="H17699" s="6" t="n">
        <f aca="false">Sens!H17680</f>
        <v>16.0119687434196</v>
      </c>
      <c r="I17699" s="6" t="n">
        <f aca="false">Sens!I17680</f>
        <v>16.1551810001948</v>
      </c>
      <c r="J17699" s="6" t="n">
        <f aca="false">Sens!J17680</f>
        <v>16.3889793892005</v>
      </c>
      <c r="K17699" s="6" t="n">
        <f aca="false">Sens!K17680</f>
        <v>16.7167589769845</v>
      </c>
    </row>
    <row r="17700" customFormat="false" ht="15" hidden="false" customHeight="false" outlineLevel="0" collapsed="false">
      <c r="A17700" s="0" t="s">
        <v>866</v>
      </c>
      <c r="B17700" s="0" t="s">
        <v>98</v>
      </c>
      <c r="D17700" s="6" t="n">
        <f aca="false">Sens!D17682</f>
        <v>62.941</v>
      </c>
      <c r="E17700" s="6" t="n">
        <f aca="false">Sens!E17682</f>
        <v>63.712</v>
      </c>
      <c r="F17700" s="6" t="n">
        <f aca="false">Sens!F17682</f>
        <v>64.3025149952511</v>
      </c>
      <c r="G17700" s="6" t="n">
        <f aca="false">Sens!G17682</f>
        <v>66.2756719305292</v>
      </c>
      <c r="H17700" s="6" t="n">
        <f aca="false">Sens!H17682</f>
        <v>68.7139736271804</v>
      </c>
      <c r="I17700" s="6" t="n">
        <f aca="false">Sens!I17682</f>
        <v>71.5446393194289</v>
      </c>
      <c r="J17700" s="6" t="n">
        <f aca="false">Sens!J17682</f>
        <v>74.707035000971</v>
      </c>
      <c r="K17700" s="6" t="n">
        <f aca="false">Sens!K17682</f>
        <v>78.1524145698365</v>
      </c>
    </row>
    <row r="17701" customFormat="false" ht="15" hidden="false" customHeight="false" outlineLevel="0" collapsed="false">
      <c r="A17701" s="1" t="s">
        <v>1055</v>
      </c>
      <c r="B17701" s="0" t="s">
        <v>98</v>
      </c>
      <c r="D17701" s="6" t="n">
        <f aca="false">Sens!D17683</f>
        <v>281.724</v>
      </c>
      <c r="E17701" s="6" t="n">
        <f aca="false">Sens!E17683</f>
        <v>331.839</v>
      </c>
      <c r="F17701" s="6" t="n">
        <f aca="false">Sens!F17683</f>
        <v>403.077230889628</v>
      </c>
      <c r="G17701" s="6" t="n">
        <f aca="false">Sens!G17683</f>
        <v>491.783730467066</v>
      </c>
      <c r="H17701" s="6" t="n">
        <f aca="false">Sens!H17683</f>
        <v>587.294787614101</v>
      </c>
      <c r="I17701" s="6" t="n">
        <f aca="false">Sens!I17683</f>
        <v>668.612370626884</v>
      </c>
      <c r="J17701" s="6" t="n">
        <f aca="false">Sens!J17683</f>
        <v>734.052825485026</v>
      </c>
      <c r="K17701" s="6" t="n">
        <f aca="false">Sens!K17683</f>
        <v>786.111062567128</v>
      </c>
    </row>
    <row r="17702" customFormat="false" ht="15" hidden="false" customHeight="false" outlineLevel="0" collapsed="false">
      <c r="A17702" s="1" t="s">
        <v>1056</v>
      </c>
      <c r="B17702" s="0" t="s">
        <v>168</v>
      </c>
      <c r="E17702" s="7" t="n">
        <f aca="false">Sens!E17701/Sens!D17701-1</f>
        <v>0.177886867998467</v>
      </c>
      <c r="F17702" s="7" t="n">
        <f aca="false">Sens!F17701/Sens!E17701-1</f>
        <v>0.21467709006364</v>
      </c>
      <c r="G17702" s="7" t="n">
        <f aca="false">Sens!G17701/Sens!F17701-1</f>
        <v>0.220073208753704</v>
      </c>
      <c r="H17702" s="7" t="n">
        <f aca="false">Sens!H17701/Sens!G17701-1</f>
        <v>0.194213535808362</v>
      </c>
      <c r="I17702" s="7" t="n">
        <f aca="false">Sens!I17701/Sens!H17701-1</f>
        <v>0.13846127145643</v>
      </c>
      <c r="J17702" s="7" t="n">
        <f aca="false">Sens!J17701/Sens!I17701-1</f>
        <v>0.0978750285412546</v>
      </c>
      <c r="K17702" s="7" t="n">
        <f aca="false">Sens!K17701/Sens!J17701-1</f>
        <v>0.0709189247350204</v>
      </c>
    </row>
    <row r="17703" customFormat="false" ht="17.15" hidden="false" customHeight="false" outlineLevel="0" collapsed="false">
      <c r="A17703" s="26" t="s">
        <v>1057</v>
      </c>
      <c r="B17703" s="31" t="s">
        <v>98</v>
      </c>
      <c r="C17703" s="31"/>
      <c r="D17703" s="27" t="n">
        <f aca="false">(Sens!D17696+Sens!D17700-Sens!D17701)+(Sens!D17688+Sens!D17689-Sens!D17687)+(Sens!D17691+Sens!D17692-Sens!D17690)+(Sens!D17701-Q!L18)</f>
        <v>0</v>
      </c>
      <c r="E17703" s="27" t="n">
        <f aca="false">(Sens!E17696+Sens!E17700-Sens!E17701)+(Sens!E17688+Sens!E17689-Sens!E17687)+(Sens!E17691+Sens!E17692-Sens!E17690)+(Sens!E17701-Q!M18)</f>
        <v>0</v>
      </c>
      <c r="F17703" s="27" t="n">
        <f aca="false">(Sens!F17696+Sens!F17700-Sens!F17701)+(Sens!F17688+Sens!F17689-Sens!F17687)+(Sens!F17691+Sens!F17692-Sens!F17690)</f>
        <v>0</v>
      </c>
      <c r="G17703" s="27" t="n">
        <f aca="false">(Sens!G17696+Sens!G17700-Sens!G17701)+(Sens!G17688+Sens!G17689-Sens!G17687)+(Sens!G17691+Sens!G17692-Sens!G17690)</f>
        <v>0</v>
      </c>
      <c r="H17703" s="27" t="n">
        <f aca="false">(Sens!H17696+Sens!H17700-Sens!H17701)+(Sens!H17688+Sens!H17689-Sens!H17687)+(Sens!H17691+Sens!H17692-Sens!H17690)</f>
        <v>0</v>
      </c>
      <c r="I17703" s="27" t="n">
        <f aca="false">(Sens!I17696+Sens!I17700-Sens!I17701)+(Sens!I17688+Sens!I17689-Sens!I17687)+(Sens!I17691+Sens!I17692-Sens!I17690)</f>
        <v>0</v>
      </c>
      <c r="J17703" s="27" t="n">
        <f aca="false">(Sens!J17696+Sens!J17700-Sens!J17701)+(Sens!J17688+Sens!J17689-Sens!J17687)+(Sens!J17691+Sens!J17692-Sens!J17690)</f>
        <v>0</v>
      </c>
      <c r="K17703" s="27" t="n">
        <f aca="false">(Sens!K17696+Sens!K17700-Sens!K17701)+(Sens!K17688+Sens!K17689-Sens!K17687)+(Sens!K17691+Sens!K17692-Sens!K17690)</f>
        <v>0</v>
      </c>
    </row>
    <row r="17704" customFormat="false" ht="17.15" hidden="false" customHeight="false" outlineLevel="0" collapsed="false">
      <c r="A17704" s="0" t="s">
        <v>1058</v>
      </c>
      <c r="B17704" s="0" t="s">
        <v>168</v>
      </c>
      <c r="E17704" s="7" t="n">
        <f aca="false">(Q!M21+Sens!E17640+Sens!E17641+Sens!E17642+Sens!E17656-Sens!E17638)/(Q!M5-Sens!E17638)</f>
        <v>0.570957350878296</v>
      </c>
      <c r="F17704" s="7" t="n">
        <f aca="false">Sens!$E$17704+dm_seg</f>
        <v>0.570957350878296</v>
      </c>
      <c r="G17704" s="7" t="n">
        <f aca="false">Sens!$E$17704+dm_seg</f>
        <v>0.570957350878296</v>
      </c>
      <c r="H17704" s="7" t="n">
        <f aca="false">Sens!$E$17704+dm_seg</f>
        <v>0.570957350878296</v>
      </c>
      <c r="I17704" s="7" t="n">
        <f aca="false">Sens!$E$17704+dm_seg</f>
        <v>0.570957350878296</v>
      </c>
      <c r="J17704" s="7" t="n">
        <f aca="false">Sens!$E$17704+dm_seg</f>
        <v>0.570957350878296</v>
      </c>
      <c r="K17704" s="7" t="n">
        <f aca="false">Sens!$E$17704+dm_seg</f>
        <v>0.570957350878296</v>
      </c>
      <c r="L17704" s="12" t="s">
        <v>1059</v>
      </c>
    </row>
    <row r="17705" customFormat="false" ht="17.15" hidden="false" customHeight="false" outlineLevel="0" collapsed="false">
      <c r="A17705" s="0" t="s">
        <v>880</v>
      </c>
      <c r="B17705" s="0" t="s">
        <v>98</v>
      </c>
      <c r="D17705" s="6" t="n">
        <f aca="false">Q!L21</f>
        <v>110.814</v>
      </c>
      <c r="E17705" s="6" t="n">
        <f aca="false">Q!M21</f>
        <v>136.365</v>
      </c>
      <c r="F17705" s="6" t="n">
        <f aca="false">Q!$I$21+(Sens!F17704*(Sens!F17675-Sens!F17638)+Sens!F17638-(Sens!F17640+Sens!F17641+Sens!F17642)-Sens!F17656-Sens!F17739)*(Sens!F17675-Q!$I$5)/Sens!F17675</f>
        <v>165.519553496075</v>
      </c>
      <c r="G17705" s="6" t="n">
        <f aca="false">(Sens!G17704*(Sens!G17675-Sens!G17638)+Sens!G17638-(Sens!G17640+Sens!G17641+Sens!G17642)-Sens!G17656-Sens!G17739)</f>
        <v>191.518446198599</v>
      </c>
      <c r="H17705" s="6" t="n">
        <f aca="false">(Sens!H17704*(Sens!H17675-Sens!H17638)+Sens!H17638-(Sens!H17640+Sens!H17641+Sens!H17642)-Sens!H17656-Sens!H17739)</f>
        <v>225.772407795545</v>
      </c>
      <c r="I17705" s="6" t="n">
        <f aca="false">(Sens!I17704*(Sens!I17675-Sens!I17638)+Sens!I17638-(Sens!I17640+Sens!I17641+Sens!I17642)-Sens!I17656-Sens!I17739)</f>
        <v>251.637282115289</v>
      </c>
      <c r="J17705" s="6" t="n">
        <f aca="false">(Sens!J17704*(Sens!J17675-Sens!J17638)+Sens!J17638-(Sens!J17640+Sens!J17641+Sens!J17642)-Sens!J17656-Sens!J17739)</f>
        <v>273.888937206022</v>
      </c>
      <c r="K17705" s="6" t="n">
        <f aca="false">(Sens!K17704*(Sens!K17675-Sens!K17638)+Sens!K17638-(Sens!K17640+Sens!K17641+Sens!K17642)-Sens!K17656-Sens!K17739)</f>
        <v>293.868925397361</v>
      </c>
      <c r="L17705" s="1" t="s">
        <v>1060</v>
      </c>
    </row>
    <row r="17706" customFormat="false" ht="17.15" hidden="false" customHeight="false" outlineLevel="0" collapsed="false">
      <c r="A17706" s="0" t="s">
        <v>1061</v>
      </c>
      <c r="B17706" s="0" t="s">
        <v>168</v>
      </c>
      <c r="E17706" s="7" t="n">
        <f aca="false">Q!M22/Q!M12</f>
        <v>0.296207935710698</v>
      </c>
      <c r="F17706" s="7" t="n">
        <f aca="false">Sens!$E$17706+dm_seg</f>
        <v>0.296207935710698</v>
      </c>
      <c r="G17706" s="7" t="n">
        <f aca="false">Sens!$E$17706+dm_seg</f>
        <v>0.296207935710698</v>
      </c>
      <c r="H17706" s="7" t="n">
        <f aca="false">Sens!$E$17706+dm_seg</f>
        <v>0.296207935710698</v>
      </c>
      <c r="I17706" s="7" t="n">
        <f aca="false">Sens!$E$17706+dm_seg</f>
        <v>0.296207935710698</v>
      </c>
      <c r="J17706" s="7" t="n">
        <f aca="false">Sens!$E$17706+dm_seg</f>
        <v>0.296207935710698</v>
      </c>
      <c r="K17706" s="7" t="n">
        <f aca="false">Sens!$E$17706+dm_seg</f>
        <v>0.296207935710698</v>
      </c>
      <c r="L17706" s="12" t="s">
        <v>1062</v>
      </c>
    </row>
    <row r="17707" customFormat="false" ht="17.15" hidden="false" customHeight="false" outlineLevel="0" collapsed="false">
      <c r="A17707" s="0" t="s">
        <v>882</v>
      </c>
      <c r="B17707" s="0" t="s">
        <v>98</v>
      </c>
      <c r="D17707" s="6" t="n">
        <f aca="false">Q!L22</f>
        <v>17.714</v>
      </c>
      <c r="E17707" s="6" t="n">
        <f aca="false">Q!M22</f>
        <v>18.872</v>
      </c>
      <c r="F17707" s="6" t="n">
        <f aca="false">Q!$I$22+(Sens!F17682-Q!$I$12)*Sens!F17706</f>
        <v>19.8174315512051</v>
      </c>
      <c r="G17707" s="6" t="n">
        <f aca="false">Sens!G17682*Sens!G17706</f>
        <v>19.6313799703815</v>
      </c>
      <c r="H17707" s="6" t="n">
        <f aca="false">Sens!H17682*Sens!H17706</f>
        <v>20.3536242825865</v>
      </c>
      <c r="I17707" s="6" t="n">
        <f aca="false">Sens!I17682*Sens!I17706</f>
        <v>21.1920899239745</v>
      </c>
      <c r="J17707" s="6" t="n">
        <f aca="false">Sens!J17682*Sens!J17706</f>
        <v>22.1288166207045</v>
      </c>
      <c r="K17707" s="6" t="n">
        <f aca="false">Sens!K17682*Sens!K17706</f>
        <v>23.1493653905379</v>
      </c>
      <c r="L17707" s="12" t="s">
        <v>1063</v>
      </c>
    </row>
    <row r="17708" customFormat="false" ht="15" hidden="false" customHeight="false" outlineLevel="0" collapsed="false">
      <c r="A17708" s="1" t="s">
        <v>1064</v>
      </c>
      <c r="B17708" s="0" t="s">
        <v>98</v>
      </c>
      <c r="D17708" s="6" t="n">
        <f aca="false">Sens!D17705+Sens!D17707</f>
        <v>128.528</v>
      </c>
      <c r="E17708" s="6" t="n">
        <f aca="false">Sens!E17705+Sens!E17707</f>
        <v>155.237</v>
      </c>
      <c r="F17708" s="6" t="n">
        <f aca="false">Sens!F17705+Sens!F17707</f>
        <v>185.33698504728</v>
      </c>
      <c r="G17708" s="6" t="n">
        <f aca="false">Sens!G17705+Sens!G17707</f>
        <v>211.14982616898</v>
      </c>
      <c r="H17708" s="6" t="n">
        <f aca="false">Sens!H17705+Sens!H17707</f>
        <v>246.126032078132</v>
      </c>
      <c r="I17708" s="6" t="n">
        <f aca="false">Sens!I17705+Sens!I17707</f>
        <v>272.829372039264</v>
      </c>
      <c r="J17708" s="6" t="n">
        <f aca="false">Sens!J17705+Sens!J17707</f>
        <v>296.017753826726</v>
      </c>
      <c r="K17708" s="6" t="n">
        <f aca="false">Sens!K17705+Sens!K17707</f>
        <v>317.018290787899</v>
      </c>
    </row>
    <row r="17709" customFormat="false" ht="15" hidden="false" customHeight="false" outlineLevel="0" collapsed="false">
      <c r="A17709" s="26" t="s">
        <v>1065</v>
      </c>
      <c r="B17709" s="31" t="s">
        <v>98</v>
      </c>
      <c r="C17709" s="31"/>
      <c r="D17709" s="27" t="n">
        <f aca="false">Sens!D17708-Q!L23</f>
        <v>0</v>
      </c>
      <c r="E17709" s="27" t="n">
        <f aca="false">Sens!E17708-Q!M23</f>
        <v>0</v>
      </c>
      <c r="F17709" s="31"/>
      <c r="G17709" s="31"/>
      <c r="H17709" s="31"/>
      <c r="I17709" s="31"/>
      <c r="J17709" s="31"/>
      <c r="K17709" s="31"/>
    </row>
    <row r="17710" customFormat="false" ht="15" hidden="false" customHeight="false" outlineLevel="0" collapsed="false">
      <c r="A17710" s="1" t="s">
        <v>1066</v>
      </c>
      <c r="B17710" s="0" t="s">
        <v>168</v>
      </c>
      <c r="D17710" s="7" t="n">
        <f aca="false">Sens!D17708/Sens!D17701</f>
        <v>0.456219562408598</v>
      </c>
      <c r="E17710" s="7" t="n">
        <f aca="false">Sens!E17708/Sens!E17701</f>
        <v>0.467808184089272</v>
      </c>
      <c r="F17710" s="7" t="n">
        <f aca="false">Sens!F17708/Sens!F17701</f>
        <v>0.459805146121067</v>
      </c>
      <c r="G17710" s="7" t="n">
        <f aca="false">Sens!G17708/Sens!G17701</f>
        <v>0.429355045902887</v>
      </c>
      <c r="H17710" s="7" t="n">
        <f aca="false">Sens!H17708/Sens!H17701</f>
        <v>0.419084312118663</v>
      </c>
      <c r="I17710" s="7" t="n">
        <f aca="false">Sens!I17708/Sens!I17701</f>
        <v>0.408053132166044</v>
      </c>
      <c r="J17710" s="7" t="n">
        <f aca="false">Sens!J17708/Sens!J17701</f>
        <v>0.403264919838885</v>
      </c>
      <c r="K17710" s="7" t="n">
        <f aca="false">Sens!K17708/Sens!K17701</f>
        <v>0.403274175728608</v>
      </c>
    </row>
    <row r="17711" customFormat="false" ht="17.15" hidden="false" customHeight="false" outlineLevel="0" collapsed="false">
      <c r="A17711" s="1" t="s">
        <v>1067</v>
      </c>
      <c r="B17711" s="0" t="s">
        <v>98</v>
      </c>
      <c r="F17711" s="6" t="n">
        <f aca="false">Sens!F17726</f>
        <v>8.88340674531245</v>
      </c>
      <c r="G17711" s="6" t="n">
        <f aca="false">Sens!G17726</f>
        <v>22.7060305170273</v>
      </c>
      <c r="H17711" s="6" t="n">
        <f aca="false">Sens!H17726</f>
        <v>38.0018452382075</v>
      </c>
      <c r="I17711" s="6" t="n">
        <f aca="false">Sens!I17726</f>
        <v>52.1381094705177</v>
      </c>
      <c r="J17711" s="6" t="n">
        <f aca="false">Sens!J17726</f>
        <v>62.0595818934393</v>
      </c>
      <c r="K17711" s="6" t="n">
        <f aca="false">Sens!K17726</f>
        <v>67.0801312706266</v>
      </c>
      <c r="L17711" s="1" t="s">
        <v>1068</v>
      </c>
    </row>
    <row r="17712" customFormat="false" ht="17.15" hidden="false" customHeight="false" outlineLevel="0" collapsed="false">
      <c r="A17712" s="1" t="s">
        <v>1069</v>
      </c>
      <c r="B17712" s="0" t="s">
        <v>98</v>
      </c>
      <c r="D17712" s="6" t="n">
        <f aca="false">Sens!D17708</f>
        <v>128.528</v>
      </c>
      <c r="E17712" s="6" t="n">
        <f aca="false">Sens!E17708</f>
        <v>155.237</v>
      </c>
      <c r="F17712" s="6" t="n">
        <f aca="false">Sens!F17708+Sens!F17711</f>
        <v>194.220391792593</v>
      </c>
      <c r="G17712" s="6" t="n">
        <f aca="false">Sens!G17708+Sens!G17711</f>
        <v>233.855856686007</v>
      </c>
      <c r="H17712" s="6" t="n">
        <f aca="false">Sens!H17708+Sens!H17711</f>
        <v>284.127877316339</v>
      </c>
      <c r="I17712" s="6" t="n">
        <f aca="false">Sens!I17708+Sens!I17711</f>
        <v>324.967481509781</v>
      </c>
      <c r="J17712" s="6" t="n">
        <f aca="false">Sens!J17708+Sens!J17711</f>
        <v>358.077335720165</v>
      </c>
      <c r="K17712" s="6" t="n">
        <f aca="false">Sens!K17708+Sens!K17711</f>
        <v>384.098422058525</v>
      </c>
    </row>
    <row r="17713" customFormat="false" ht="17.15" hidden="false" customHeight="false" outlineLevel="0" collapsed="false">
      <c r="A17713" s="1" t="s">
        <v>1070</v>
      </c>
      <c r="B17713" s="0" t="s">
        <v>98</v>
      </c>
      <c r="E17713" s="6" t="n">
        <f aca="false">Sens!E17656</f>
        <v>16.3054059770833</v>
      </c>
      <c r="F17713" s="6" t="n">
        <f aca="false">Sens!F17656</f>
        <v>34.5832792654564</v>
      </c>
      <c r="G17713" s="6" t="n">
        <f aca="false">Sens!G17656</f>
        <v>60.7424202265085</v>
      </c>
      <c r="H17713" s="6" t="n">
        <f aca="false">Sens!H17656</f>
        <v>89.1080202356552</v>
      </c>
      <c r="I17713" s="6" t="n">
        <f aca="false">Sens!I17656</f>
        <v>114.238939268758</v>
      </c>
      <c r="J17713" s="6" t="n">
        <f aca="false">Sens!J17656</f>
        <v>132.023602623806</v>
      </c>
      <c r="K17713" s="6" t="n">
        <f aca="false">Sens!K17656</f>
        <v>143.020599125144</v>
      </c>
    </row>
    <row r="17714" customFormat="false" ht="17.15" hidden="false" customHeight="false" outlineLevel="0" collapsed="false">
      <c r="A17714" s="1" t="s">
        <v>1071</v>
      </c>
      <c r="B17714" s="0" t="s">
        <v>98</v>
      </c>
      <c r="E17714" s="6" t="n">
        <f aca="false">Sens!E17738</f>
        <v>22.2285940229167</v>
      </c>
      <c r="F17714" s="6" t="n">
        <f aca="false">Sens!F17738</f>
        <v>23.5755864718873</v>
      </c>
      <c r="G17714" s="6" t="n">
        <f aca="false">Sens!G17738</f>
        <v>25.3758596064077</v>
      </c>
      <c r="H17714" s="6" t="n">
        <f aca="false">Sens!H17738</f>
        <v>27.5926102072099</v>
      </c>
      <c r="I17714" s="6" t="n">
        <f aca="false">Sens!I17738</f>
        <v>30.1494722164327</v>
      </c>
      <c r="J17714" s="6" t="n">
        <f aca="false">Sens!J17738</f>
        <v>32.9543806588559</v>
      </c>
      <c r="K17714" s="6" t="n">
        <f aca="false">Sens!K17738</f>
        <v>35.9228685792431</v>
      </c>
    </row>
    <row r="17715" customFormat="false" ht="17.15" hidden="false" customHeight="false" outlineLevel="0" collapsed="false">
      <c r="A17715" s="1" t="s">
        <v>1072</v>
      </c>
      <c r="B17715" s="0" t="s">
        <v>98</v>
      </c>
      <c r="D17715" s="6" t="n">
        <f aca="false">Q!L27</f>
        <v>-4.901</v>
      </c>
      <c r="E17715" s="6" t="n">
        <f aca="false">Q!M27</f>
        <v>10.697</v>
      </c>
      <c r="F17715" s="6" t="n">
        <f aca="false">Q!$I$27+oie_f*(q_per_yr-1)/q_per_yr</f>
        <v>-0.862</v>
      </c>
      <c r="G17715" s="6" t="n">
        <f aca="false">oie_f</f>
        <v>-1.2</v>
      </c>
      <c r="H17715" s="6" t="n">
        <f aca="false">oie_f</f>
        <v>-1.2</v>
      </c>
      <c r="I17715" s="6" t="n">
        <f aca="false">oie_f</f>
        <v>-1.2</v>
      </c>
      <c r="J17715" s="6" t="n">
        <f aca="false">oie_f</f>
        <v>-1.2</v>
      </c>
      <c r="K17715" s="6" t="n">
        <f aca="false">oie_f</f>
        <v>-1.2</v>
      </c>
      <c r="L17715" s="12" t="s">
        <v>1073</v>
      </c>
    </row>
    <row r="17716" customFormat="false" ht="15" hidden="false" customHeight="false" outlineLevel="0" collapsed="false">
      <c r="A17716" s="1" t="s">
        <v>1074</v>
      </c>
      <c r="B17716" s="0" t="s">
        <v>98</v>
      </c>
      <c r="D17716" s="6" t="n">
        <f aca="false">Sens!D17708+Sens!D17715</f>
        <v>123.627</v>
      </c>
      <c r="E17716" s="6" t="n">
        <f aca="false">Sens!E17708+Sens!E17715</f>
        <v>165.934</v>
      </c>
      <c r="F17716" s="6" t="n">
        <f aca="false">Sens!F17708+Sens!F17715</f>
        <v>184.47498504728</v>
      </c>
      <c r="G17716" s="6" t="n">
        <f aca="false">Sens!G17708+Sens!G17715</f>
        <v>209.94982616898</v>
      </c>
      <c r="H17716" s="6" t="n">
        <f aca="false">Sens!H17708+Sens!H17715</f>
        <v>244.926032078132</v>
      </c>
      <c r="I17716" s="6" t="n">
        <f aca="false">Sens!I17708+Sens!I17715</f>
        <v>271.629372039264</v>
      </c>
      <c r="J17716" s="6" t="n">
        <f aca="false">Sens!J17708+Sens!J17715</f>
        <v>294.817753826726</v>
      </c>
      <c r="K17716" s="6" t="n">
        <f aca="false">Sens!K17708+Sens!K17715</f>
        <v>315.818290787899</v>
      </c>
    </row>
    <row r="17717" customFormat="false" ht="15" hidden="false" customHeight="false" outlineLevel="0" collapsed="false">
      <c r="A17717" s="1" t="s">
        <v>1075</v>
      </c>
      <c r="B17717" s="0" t="s">
        <v>98</v>
      </c>
      <c r="D17717" s="6" t="n">
        <f aca="false">Q!L29</f>
        <v>21.795</v>
      </c>
      <c r="E17717" s="6" t="n">
        <f aca="false">Q!M29</f>
        <v>32.185</v>
      </c>
      <c r="F17717" s="6" t="n">
        <f aca="false">Q!$I$29+(Sens!F17716-Q!$I$28)*tax_f</f>
        <v>37.0283970094561</v>
      </c>
      <c r="G17717" s="6" t="n">
        <f aca="false">Sens!G17716*tax_f</f>
        <v>41.989965233796</v>
      </c>
      <c r="H17717" s="6" t="n">
        <f aca="false">Sens!H17716*tax_f</f>
        <v>48.9852064156264</v>
      </c>
      <c r="I17717" s="6" t="n">
        <f aca="false">Sens!I17716*tax_f</f>
        <v>54.3258744078528</v>
      </c>
      <c r="J17717" s="6" t="n">
        <f aca="false">Sens!J17716*tax_f</f>
        <v>58.9635507653452</v>
      </c>
      <c r="K17717" s="6" t="n">
        <f aca="false">Sens!K17716*tax_f</f>
        <v>63.1636581575797</v>
      </c>
    </row>
    <row r="17718" customFormat="false" ht="15" hidden="false" customHeight="false" outlineLevel="0" collapsed="false">
      <c r="A17718" s="1" t="s">
        <v>1076</v>
      </c>
      <c r="B17718" s="0" t="s">
        <v>98</v>
      </c>
      <c r="D17718" s="6" t="n">
        <f aca="false">Sens!D17716-Sens!D17717</f>
        <v>101.832</v>
      </c>
      <c r="E17718" s="6" t="n">
        <f aca="false">Sens!E17716-Sens!E17717</f>
        <v>133.749</v>
      </c>
      <c r="F17718" s="6" t="n">
        <f aca="false">Sens!F17716-Sens!F17717</f>
        <v>147.446588037824</v>
      </c>
      <c r="G17718" s="6" t="n">
        <f aca="false">Sens!G17716-Sens!G17717</f>
        <v>167.959860935184</v>
      </c>
      <c r="H17718" s="6" t="n">
        <f aca="false">Sens!H17716-Sens!H17717</f>
        <v>195.940825662505</v>
      </c>
      <c r="I17718" s="6" t="n">
        <f aca="false">Sens!I17716-Sens!I17717</f>
        <v>217.303497631411</v>
      </c>
      <c r="J17718" s="6" t="n">
        <f aca="false">Sens!J17716-Sens!J17717</f>
        <v>235.854203061381</v>
      </c>
      <c r="K17718" s="6" t="n">
        <f aca="false">Sens!K17716-Sens!K17717</f>
        <v>252.654632630319</v>
      </c>
    </row>
    <row r="17719" customFormat="false" ht="17.15" hidden="false" customHeight="false" outlineLevel="0" collapsed="false">
      <c r="A17719" s="1" t="s">
        <v>1077</v>
      </c>
      <c r="B17719" s="1" t="s">
        <v>81</v>
      </c>
      <c r="D17719" s="15" t="n">
        <f aca="false">Q!L31</f>
        <v>7.465</v>
      </c>
      <c r="E17719" s="15" t="n">
        <f aca="false">Q!M31</f>
        <v>7.453</v>
      </c>
      <c r="F17719" s="15" t="n">
        <f aca="false">Sens!F17763</f>
        <v>7.47063296166184</v>
      </c>
      <c r="G17719" s="15" t="n">
        <f aca="false">Sens!G17763</f>
        <v>7.50990353961535</v>
      </c>
      <c r="H17719" s="15" t="n">
        <f aca="false">Sens!H17763</f>
        <v>7.53474109493584</v>
      </c>
      <c r="I17719" s="15" t="n">
        <f aca="false">Sens!I17763</f>
        <v>7.54642245899131</v>
      </c>
      <c r="J17719" s="15" t="n">
        <f aca="false">Sens!J17763</f>
        <v>7.56057187015378</v>
      </c>
      <c r="K17719" s="15" t="n">
        <f aca="false">Sens!K17763</f>
        <v>7.57700651011903</v>
      </c>
    </row>
    <row r="17720" customFormat="false" ht="17.15" hidden="false" customHeight="false" outlineLevel="0" collapsed="false">
      <c r="A17720" s="0" t="s">
        <v>1078</v>
      </c>
      <c r="B17720" s="0" t="s">
        <v>75</v>
      </c>
      <c r="D17720" s="8" t="n">
        <f aca="false">Sens!D17718/Sens!D17719</f>
        <v>13.641259209645</v>
      </c>
      <c r="E17720" s="8" t="n">
        <f aca="false">Sens!E17718/Sens!E17719</f>
        <v>17.9456594659869</v>
      </c>
      <c r="F17720" s="8" t="n">
        <f aca="false">Sens!F17718/Sens!F17719</f>
        <v>19.7368266911918</v>
      </c>
      <c r="G17720" s="8" t="n">
        <f aca="false">Sens!G17718/Sens!G17719</f>
        <v>22.3651156168894</v>
      </c>
      <c r="H17720" s="8" t="n">
        <f aca="false">Sens!H17718/Sens!H17719</f>
        <v>26.0049845367877</v>
      </c>
      <c r="I17720" s="8" t="n">
        <f aca="false">Sens!I17718/Sens!I17719</f>
        <v>28.7955648934683</v>
      </c>
      <c r="J17720" s="8" t="n">
        <f aca="false">Sens!J17718/Sens!J17719</f>
        <v>31.195286165117</v>
      </c>
      <c r="K17720" s="8" t="n">
        <f aca="false">Sens!K17718/Sens!K17719</f>
        <v>33.3449142867834</v>
      </c>
      <c r="L17720" s="1" t="s">
        <v>1079</v>
      </c>
    </row>
    <row r="17721" customFormat="false" ht="17.15" hidden="false" customHeight="false" outlineLevel="0" collapsed="false">
      <c r="A17721" s="1" t="s">
        <v>1080</v>
      </c>
      <c r="B17721" s="0" t="s">
        <v>98</v>
      </c>
      <c r="D17721" s="6" t="n">
        <f aca="false">Sens!D17718</f>
        <v>101.832</v>
      </c>
      <c r="E17721" s="6" t="n">
        <f aca="false">Sens!E17718</f>
        <v>133.749</v>
      </c>
      <c r="F17721" s="6" t="n">
        <f aca="false">Sens!F17718+Sens!F17711*(1-tax_f)</f>
        <v>154.553313434074</v>
      </c>
      <c r="G17721" s="6" t="n">
        <f aca="false">Sens!G17718+Sens!G17711*(1-tax_f)</f>
        <v>186.124685348806</v>
      </c>
      <c r="H17721" s="6" t="n">
        <f aca="false">Sens!H17718+Sens!H17711*(1-tax_f)</f>
        <v>226.342301853071</v>
      </c>
      <c r="I17721" s="6" t="n">
        <f aca="false">Sens!I17718+Sens!I17711*(1-tax_f)</f>
        <v>259.013985207825</v>
      </c>
      <c r="J17721" s="6" t="n">
        <f aca="false">Sens!J17718+Sens!J17711*(1-tax_f)</f>
        <v>285.501868576132</v>
      </c>
      <c r="K17721" s="6" t="n">
        <f aca="false">Sens!K17718+Sens!K17711*(1-tax_f)</f>
        <v>306.31873764682</v>
      </c>
    </row>
    <row r="17722" customFormat="false" ht="17.15" hidden="false" customHeight="false" outlineLevel="0" collapsed="false">
      <c r="A17722" s="0" t="s">
        <v>1081</v>
      </c>
      <c r="B17722" s="0" t="s">
        <v>75</v>
      </c>
      <c r="D17722" s="8" t="n">
        <f aca="false">Sens!D17721/Sens!D17719</f>
        <v>13.641259209645</v>
      </c>
      <c r="E17722" s="8" t="n">
        <f aca="false">Sens!E17721/Sens!E17719</f>
        <v>17.9456594659869</v>
      </c>
      <c r="F17722" s="8" t="n">
        <f aca="false">Sens!F17721/Sens!F17719</f>
        <v>20.6881149465137</v>
      </c>
      <c r="G17722" s="8" t="n">
        <f aca="false">Sens!G17721/Sens!G17719</f>
        <v>24.7838982707279</v>
      </c>
      <c r="H17722" s="8" t="n">
        <f aca="false">Sens!H17721/Sens!H17719</f>
        <v>30.0398247267179</v>
      </c>
      <c r="I17722" s="8" t="n">
        <f aca="false">Sens!I17721/Sens!I17719</f>
        <v>34.3227518225167</v>
      </c>
      <c r="J17722" s="8" t="n">
        <f aca="false">Sens!J17721/Sens!J17719</f>
        <v>37.7619409588822</v>
      </c>
      <c r="K17722" s="8" t="n">
        <f aca="false">Sens!K17721/Sens!K17719</f>
        <v>40.4274085336648</v>
      </c>
      <c r="L17722" s="1" t="s">
        <v>1082</v>
      </c>
    </row>
    <row r="17723" customFormat="false" ht="17.15" hidden="false" customHeight="false" outlineLevel="0" collapsed="false">
      <c r="A17723" s="0" t="s">
        <v>1083</v>
      </c>
      <c r="B17723" s="0" t="s">
        <v>168</v>
      </c>
      <c r="E17723" s="7" t="n">
        <f aca="false">Sens!E17722/Sens!D17722-1</f>
        <v>0.315542736208578</v>
      </c>
      <c r="F17723" s="7" t="n">
        <f aca="false">Sens!F17722/Sens!E17722-1</f>
        <v>0.152819988907333</v>
      </c>
      <c r="G17723" s="7" t="n">
        <f aca="false">Sens!G17722/Sens!F17722-1</f>
        <v>0.197977598964585</v>
      </c>
      <c r="H17723" s="7" t="n">
        <f aca="false">Sens!H17722/Sens!G17722-1</f>
        <v>0.212070207784779</v>
      </c>
      <c r="I17723" s="7" t="n">
        <f aca="false">Sens!I17722/Sens!H17722-1</f>
        <v>0.142574969553317</v>
      </c>
      <c r="J17723" s="7" t="n">
        <f aca="false">Sens!J17722/Sens!I17722-1</f>
        <v>0.100201439387771</v>
      </c>
      <c r="K17723" s="7" t="n">
        <f aca="false">Sens!K17722/Sens!J17722-1</f>
        <v>0.0705860850130828</v>
      </c>
    </row>
    <row r="17724" customFormat="false" ht="17.15" hidden="false" customHeight="false" outlineLevel="0" collapsed="false">
      <c r="A17724" s="0" t="s">
        <v>1003</v>
      </c>
      <c r="B17724" s="0" t="s">
        <v>98</v>
      </c>
      <c r="E17724" s="6" t="n">
        <f aca="false">Sens!E17665</f>
        <v>5.25</v>
      </c>
      <c r="F17724" s="6" t="n">
        <f aca="false">Sens!F17665</f>
        <v>13.5</v>
      </c>
      <c r="G17724" s="6" t="n">
        <f aca="false">Sens!G17665</f>
        <v>22.5</v>
      </c>
      <c r="H17724" s="6" t="n">
        <f aca="false">Sens!H17665</f>
        <v>31.5</v>
      </c>
      <c r="I17724" s="6" t="n">
        <f aca="false">Sens!I17665</f>
        <v>38.25</v>
      </c>
      <c r="J17724" s="6" t="n">
        <f aca="false">Sens!J17665</f>
        <v>42.75</v>
      </c>
      <c r="K17724" s="6" t="n">
        <f aca="false">Sens!K17665</f>
        <v>47.25</v>
      </c>
    </row>
    <row r="17725" customFormat="false" ht="17.15" hidden="false" customHeight="false" outlineLevel="0" collapsed="false">
      <c r="A17725" s="1" t="s">
        <v>1004</v>
      </c>
      <c r="B17725" s="0" t="s">
        <v>98</v>
      </c>
      <c r="F17725" s="6" t="n">
        <f aca="false">MAX(0,((Sens!E17625+Sens!F17625)/2-(shadow_base*(Sens!$D$17625+Sens!$E$17625)/2+(1-shadow_base)*Sens!$E$17625))*Sens!F17634/1000-(Sens!F17724-Sens!$E$17724)*Sens!F17704)</f>
        <v>8.88340674531245</v>
      </c>
      <c r="G17725" s="6" t="n">
        <f aca="false">MAX(0,((Sens!F17625+Sens!G17625)/2-(shadow_base*(Sens!$D$17625+Sens!$E$17625)/2+(1-shadow_base)*Sens!$E$17625))*Sens!G17634/1000-(Sens!G17724-Sens!$E$17724)*Sens!G17704)</f>
        <v>22.7060305170273</v>
      </c>
      <c r="H17725" s="6" t="n">
        <f aca="false">MAX(0,((Sens!G17625+Sens!H17625)/2-(shadow_base*(Sens!$D$17625+Sens!$E$17625)/2+(1-shadow_base)*Sens!$E$17625))*Sens!H17634/1000-(Sens!H17724-Sens!$E$17724)*Sens!H17704)</f>
        <v>38.0018452382075</v>
      </c>
      <c r="I17725" s="6" t="n">
        <f aca="false">MAX(0,((Sens!H17625+Sens!I17625)/2-(shadow_base*(Sens!$D$17625+Sens!$E$17625)/2+(1-shadow_base)*Sens!$E$17625))*Sens!I17634/1000-(Sens!I17724-Sens!$E$17724)*Sens!I17704)</f>
        <v>52.1381094705177</v>
      </c>
      <c r="J17725" s="6" t="n">
        <f aca="false">MAX(0,((Sens!I17625+Sens!J17625)/2-(shadow_base*(Sens!$D$17625+Sens!$E$17625)/2+(1-shadow_base)*Sens!$E$17625))*Sens!J17634/1000-(Sens!J17724-Sens!$E$17724)*Sens!J17704)</f>
        <v>62.0595818934393</v>
      </c>
      <c r="K17725" s="6" t="n">
        <f aca="false">MAX(0,((Sens!J17625+Sens!K17625)/2-(shadow_base*(Sens!$D$17625+Sens!$E$17625)/2+(1-shadow_base)*Sens!$E$17625))*Sens!K17634/1000-(Sens!K17724-Sens!$E$17724)*Sens!K17704)</f>
        <v>67.0801312706266</v>
      </c>
      <c r="L17725" s="1" t="s">
        <v>1005</v>
      </c>
    </row>
    <row r="17726" customFormat="false" ht="17.15" hidden="false" customHeight="false" outlineLevel="0" collapsed="false">
      <c r="A17726" s="1" t="s">
        <v>1006</v>
      </c>
      <c r="B17726" s="0" t="s">
        <v>98</v>
      </c>
      <c r="F17726" s="6" t="n">
        <f aca="false">IF(internal_ai_reading=2,1,0)*Sens!F17725</f>
        <v>8.88340674531245</v>
      </c>
      <c r="G17726" s="6" t="n">
        <f aca="false">IF(internal_ai_reading=2,1,0)*Sens!G17725</f>
        <v>22.7060305170273</v>
      </c>
      <c r="H17726" s="6" t="n">
        <f aca="false">IF(internal_ai_reading=2,1,0)*Sens!H17725</f>
        <v>38.0018452382075</v>
      </c>
      <c r="I17726" s="6" t="n">
        <f aca="false">IF(internal_ai_reading=2,1,0)*Sens!I17725</f>
        <v>52.1381094705177</v>
      </c>
      <c r="J17726" s="6" t="n">
        <f aca="false">IF(internal_ai_reading=2,1,0)*Sens!J17725</f>
        <v>62.0595818934393</v>
      </c>
      <c r="K17726" s="6" t="n">
        <f aca="false">IF(internal_ai_reading=2,1,0)*Sens!K17725</f>
        <v>67.0801312706266</v>
      </c>
    </row>
    <row r="17727" customFormat="false" ht="17.15" hidden="false" customHeight="false" outlineLevel="0" collapsed="false">
      <c r="A17727" s="0" t="s">
        <v>1007</v>
      </c>
      <c r="B17727" s="0" t="s">
        <v>98</v>
      </c>
      <c r="F17727" s="6" t="n">
        <f aca="false">Sens!F17644+Sens!F17724*Sens!F17704+Sens!F17726-Sens!F17645-Sens!F17656</f>
        <v>18.5029030281769</v>
      </c>
      <c r="G17727" s="6" t="n">
        <f aca="false">Sens!G17644+Sens!G17724*Sens!G17704+Sens!G17726-Sens!G17645-Sens!G17656</f>
        <v>43.1904569240696</v>
      </c>
      <c r="H17727" s="6" t="n">
        <f aca="false">Sens!H17644+Sens!H17724*Sens!H17704+Sens!H17726-Sens!H17645-Sens!H17656</f>
        <v>73.4946687818644</v>
      </c>
      <c r="I17727" s="6" t="n">
        <f aca="false">Sens!I17644+Sens!I17724*Sens!I17704+Sens!I17726-Sens!I17645-Sens!I17656</f>
        <v>94.7374839636408</v>
      </c>
      <c r="J17727" s="6" t="n">
        <f aca="false">Sens!J17644+Sens!J17724*Sens!J17704+Sens!J17726-Sens!J17645-Sens!J17656</f>
        <v>109.391678552148</v>
      </c>
      <c r="K17727" s="6" t="n">
        <f aca="false">Sens!K17644+Sens!K17724*Sens!K17704+Sens!K17726-Sens!K17645-Sens!K17656</f>
        <v>118.890773607733</v>
      </c>
    </row>
    <row r="17728" customFormat="false" ht="17.15" hidden="false" customHeight="false" outlineLevel="0" collapsed="false">
      <c r="A17728" s="0" t="s">
        <v>1008</v>
      </c>
      <c r="B17728" s="0" t="s">
        <v>98</v>
      </c>
      <c r="E17728" s="6" t="n">
        <f aca="false">Sens!E17624*(cxit_open+self_build*tk_cxfac)/1000*ai_net_open</f>
        <v>126.6980382</v>
      </c>
      <c r="F17728" s="6" t="n">
        <f aca="false">Sens!E17728+Sens!F17653-Sens!F17656</f>
        <v>260.616240421921</v>
      </c>
      <c r="G17728" s="6" t="n">
        <f aca="false">Sens!F17728+Sens!G17653-Sens!G17656</f>
        <v>391.81829584446</v>
      </c>
      <c r="H17728" s="6" t="n">
        <f aca="false">Sens!G17728+Sens!H17653-Sens!H17656</f>
        <v>499.516279673317</v>
      </c>
      <c r="I17728" s="6" t="n">
        <f aca="false">Sens!H17728+Sens!I17653-Sens!I17656</f>
        <v>553.89217402617</v>
      </c>
      <c r="J17728" s="6" t="n">
        <f aca="false">Sens!I17728+Sens!J17653-Sens!J17656</f>
        <v>550.798502598305</v>
      </c>
      <c r="K17728" s="6" t="n">
        <f aca="false">Sens!J17728+Sens!K17653-Sens!K17656</f>
        <v>526.740756537894</v>
      </c>
      <c r="L17728" s="1" t="s">
        <v>1009</v>
      </c>
    </row>
    <row r="17729" customFormat="false" ht="17.15" hidden="false" customHeight="false" outlineLevel="0" collapsed="false">
      <c r="A17729" s="0" t="s">
        <v>1010</v>
      </c>
      <c r="B17729" s="0" t="s">
        <v>168</v>
      </c>
      <c r="F17729" s="7" t="n">
        <f aca="false">Sens!F17727*(1-tax_f)/((Sens!E17728+Sens!F17728)/2)</f>
        <v>0.0764357176565179</v>
      </c>
      <c r="G17729" s="7" t="n">
        <f aca="false">Sens!G17727*(1-tax_f)/((Sens!F17728+Sens!G17728)/2)</f>
        <v>0.105918260357537</v>
      </c>
      <c r="H17729" s="7" t="n">
        <f aca="false">Sens!H17727*(1-tax_f)/((Sens!G17728+Sens!H17728)/2)</f>
        <v>0.131927419042029</v>
      </c>
      <c r="I17729" s="7" t="n">
        <f aca="false">Sens!I17727*(1-tax_f)/((Sens!H17728+Sens!I17728)/2)</f>
        <v>0.143894776816617</v>
      </c>
      <c r="J17729" s="7" t="n">
        <f aca="false">Sens!J17727*(1-tax_f)/((Sens!I17728+Sens!J17728)/2)</f>
        <v>0.158439542748975</v>
      </c>
      <c r="K17729" s="7" t="n">
        <f aca="false">Sens!K17727*(1-tax_f)/((Sens!J17728+Sens!K17728)/2)</f>
        <v>0.176536711919773</v>
      </c>
    </row>
    <row r="17730" customFormat="false" ht="17.15" hidden="false" customHeight="false" outlineLevel="0" collapsed="false">
      <c r="A17730" s="1" t="s">
        <v>1011</v>
      </c>
      <c r="B17730" s="0" t="s">
        <v>168</v>
      </c>
      <c r="F17730" s="7" t="n">
        <f aca="false">(Sens!F17727-Sens!F17726)*(1-tax_f)/((Sens!E17728+Sens!F17728)/2)</f>
        <v>0.0397382562485059</v>
      </c>
      <c r="G17730" s="7" t="n">
        <f aca="false">(Sens!G17727-Sens!G17726)*(1-tax_f)/((Sens!F17728+Sens!G17728)/2)</f>
        <v>0.0502350510732099</v>
      </c>
      <c r="H17730" s="7" t="n">
        <f aca="false">(Sens!H17727-Sens!H17726)*(1-tax_f)/((Sens!G17728+Sens!H17728)/2)</f>
        <v>0.0637117859327542</v>
      </c>
      <c r="I17730" s="7" t="n">
        <f aca="false">(Sens!I17727-Sens!I17726)*(1-tax_f)/((Sens!H17728+Sens!I17728)/2)</f>
        <v>0.0647032961902176</v>
      </c>
      <c r="J17730" s="7" t="n">
        <f aca="false">(Sens!J17727-Sens!J17726)*(1-tax_f)/((Sens!I17728+Sens!J17728)/2)</f>
        <v>0.0685543530478063</v>
      </c>
      <c r="K17730" s="7" t="n">
        <f aca="false">(Sens!K17727-Sens!K17726)*(1-tax_f)/((Sens!J17728+Sens!K17728)/2)</f>
        <v>0.07693179346971</v>
      </c>
    </row>
    <row r="17731" customFormat="false" ht="17.15" hidden="false" customHeight="false" outlineLevel="0" collapsed="false">
      <c r="A17731" s="1" t="s">
        <v>1012</v>
      </c>
      <c r="B17731" s="0" t="s">
        <v>168</v>
      </c>
      <c r="F17731" s="7" t="n">
        <f aca="false">(Sens!F17727-Sens!F17726+Sens!F17725)*(1-tax_f)/((Sens!E17728+Sens!F17728)/2)</f>
        <v>0.0764357176565179</v>
      </c>
      <c r="G17731" s="7" t="n">
        <f aca="false">(Sens!G17727-Sens!G17726+Sens!G17725)*(1-tax_f)/((Sens!F17728+Sens!G17728)/2)</f>
        <v>0.105918260357537</v>
      </c>
      <c r="H17731" s="7" t="n">
        <f aca="false">(Sens!H17727-Sens!H17726+Sens!H17725)*(1-tax_f)/((Sens!G17728+Sens!H17728)/2)</f>
        <v>0.131927419042029</v>
      </c>
      <c r="I17731" s="7" t="n">
        <f aca="false">(Sens!I17727-Sens!I17726+Sens!I17725)*(1-tax_f)/((Sens!H17728+Sens!I17728)/2)</f>
        <v>0.143894776816617</v>
      </c>
      <c r="J17731" s="7" t="n">
        <f aca="false">(Sens!J17727-Sens!J17726+Sens!J17725)*(1-tax_f)/((Sens!I17728+Sens!J17728)/2)</f>
        <v>0.158439542748975</v>
      </c>
      <c r="K17731" s="7" t="n">
        <f aca="false">(Sens!K17727-Sens!K17726+Sens!K17725)*(1-tax_f)/((Sens!J17728+Sens!K17728)/2)</f>
        <v>0.176536711919773</v>
      </c>
    </row>
    <row r="17732" customFormat="false" ht="17.15" hidden="false" customHeight="false" outlineLevel="0" collapsed="false">
      <c r="A17732" s="1" t="s">
        <v>1013</v>
      </c>
      <c r="B17732" s="0" t="s">
        <v>168</v>
      </c>
      <c r="F17732" s="7" t="n">
        <f aca="false">Sens!F17657*(1-tax_f)/(Sens!F17643*(Sens!E17728+Sens!F17728)/2)</f>
        <v>0.154680530987915</v>
      </c>
      <c r="G17732" s="7" t="n">
        <f aca="false">Sens!G17657*(1-tax_f)/(Sens!G17643*(Sens!F17728+Sens!G17728)/2)</f>
        <v>0.176875963150543</v>
      </c>
      <c r="H17732" s="7" t="n">
        <f aca="false">Sens!H17657*(1-tax_f)/(Sens!H17643*(Sens!G17728+Sens!H17728)/2)</f>
        <v>0.207458057000057</v>
      </c>
      <c r="I17732" s="7" t="n">
        <f aca="false">Sens!I17657*(1-tax_f)/(Sens!I17643*(Sens!H17728+Sens!I17728)/2)</f>
        <v>0.219851685360491</v>
      </c>
      <c r="J17732" s="7" t="n">
        <f aca="false">Sens!J17657*(1-tax_f)/(Sens!J17643*(Sens!I17728+Sens!J17728)/2)</f>
        <v>0.238941111929121</v>
      </c>
      <c r="K17732" s="7" t="n">
        <f aca="false">Sens!K17657*(1-tax_f)/(Sens!K17643*(Sens!J17728+Sens!K17728)/2)</f>
        <v>0.264588601879384</v>
      </c>
    </row>
    <row r="17733" customFormat="false" ht="17.15" hidden="false" customHeight="false" outlineLevel="0" collapsed="false">
      <c r="A17733" s="0" t="s">
        <v>1014</v>
      </c>
      <c r="B17733" s="0" t="s">
        <v>253</v>
      </c>
      <c r="F17733" s="7" t="n">
        <f aca="false">Sens!F17729-wacc</f>
        <v>-0.0265008732890794</v>
      </c>
      <c r="G17733" s="7" t="n">
        <f aca="false">Sens!G17729-wacc</f>
        <v>0.00298166941193961</v>
      </c>
      <c r="H17733" s="7" t="n">
        <f aca="false">Sens!H17729-wacc</f>
        <v>0.0289908280964319</v>
      </c>
      <c r="I17733" s="7" t="n">
        <f aca="false">Sens!I17729-wacc</f>
        <v>0.0409581858710197</v>
      </c>
      <c r="J17733" s="7" t="n">
        <f aca="false">Sens!J17729-wacc</f>
        <v>0.0555029518033774</v>
      </c>
      <c r="K17733" s="7" t="n">
        <f aca="false">Sens!K17729-wacc</f>
        <v>0.073600120974176</v>
      </c>
    </row>
    <row r="17734" customFormat="false" ht="17.15" hidden="false" customHeight="false" outlineLevel="0" collapsed="false">
      <c r="A17734" s="0" t="s">
        <v>1015</v>
      </c>
      <c r="B17734" s="0" t="s">
        <v>98</v>
      </c>
      <c r="F17734" s="6" t="n">
        <f aca="false">Sens!F17727*(1-tax_f)-wacc*(Sens!E17728+Sens!F17728)/2</f>
        <v>-5.13208331040535</v>
      </c>
      <c r="G17734" s="6" t="n">
        <f aca="false">Sens!G17727*(1-tax_f)-wacc*(Sens!F17728+Sens!G17728)/2</f>
        <v>0.972672050039236</v>
      </c>
      <c r="H17734" s="6" t="n">
        <f aca="false">Sens!H17727*(1-tax_f)-wacc*(Sens!G17728+Sens!H17728)/2</f>
        <v>12.920263727621</v>
      </c>
      <c r="I17734" s="6" t="n">
        <f aca="false">Sens!I17727*(1-tax_f)-wacc*(Sens!H17728+Sens!I17728)/2</f>
        <v>21.5728496223635</v>
      </c>
      <c r="J17734" s="6" t="n">
        <f aca="false">Sens!J17727*(1-tax_f)-wacc*(Sens!I17728+Sens!J17728)/2</f>
        <v>30.6567966911643</v>
      </c>
      <c r="K17734" s="6" t="n">
        <f aca="false">Sens!K17727*(1-tax_f)-wacc*(Sens!J17728+Sens!K17728)/2</f>
        <v>39.6535099134241</v>
      </c>
    </row>
    <row r="17735" customFormat="false" ht="17.15" hidden="false" customHeight="false" outlineLevel="0" collapsed="false">
      <c r="A17735" s="3" t="s">
        <v>1917</v>
      </c>
    </row>
    <row r="17736" customFormat="false" ht="15" hidden="false" customHeight="false" outlineLevel="0" collapsed="false">
      <c r="A17736" s="4" t="s">
        <v>43</v>
      </c>
      <c r="B17736" s="4" t="s">
        <v>65</v>
      </c>
      <c r="C17736" s="23" t="s">
        <v>938</v>
      </c>
      <c r="D17736" s="23" t="s">
        <v>939</v>
      </c>
      <c r="E17736" s="23" t="s">
        <v>940</v>
      </c>
      <c r="F17736" s="23" t="s">
        <v>941</v>
      </c>
      <c r="G17736" s="23" t="s">
        <v>942</v>
      </c>
      <c r="H17736" s="23" t="s">
        <v>943</v>
      </c>
      <c r="I17736" s="23" t="s">
        <v>944</v>
      </c>
      <c r="J17736" s="23" t="s">
        <v>945</v>
      </c>
      <c r="K17736" s="23" t="s">
        <v>946</v>
      </c>
      <c r="L17736" s="4" t="s">
        <v>47</v>
      </c>
    </row>
    <row r="17737" customFormat="false" ht="15" hidden="false" customHeight="false" outlineLevel="0" collapsed="false">
      <c r="A17737" s="1" t="s">
        <v>1076</v>
      </c>
      <c r="B17737" s="0" t="s">
        <v>98</v>
      </c>
      <c r="F17737" s="6" t="n">
        <f aca="false">Sens!F17718</f>
        <v>147.446588037824</v>
      </c>
      <c r="G17737" s="6" t="n">
        <f aca="false">Sens!G17718</f>
        <v>167.959860935184</v>
      </c>
      <c r="H17737" s="6" t="n">
        <f aca="false">Sens!H17718</f>
        <v>195.940825662505</v>
      </c>
      <c r="I17737" s="6" t="n">
        <f aca="false">Sens!I17718</f>
        <v>217.303497631411</v>
      </c>
      <c r="J17737" s="6" t="n">
        <f aca="false">Sens!J17718</f>
        <v>235.854203061381</v>
      </c>
      <c r="K17737" s="6" t="n">
        <f aca="false">Sens!K17718</f>
        <v>252.654632630319</v>
      </c>
    </row>
    <row r="17738" customFormat="false" ht="17.15" hidden="false" customHeight="false" outlineLevel="0" collapsed="false">
      <c r="A17738" s="1" t="s">
        <v>1098</v>
      </c>
      <c r="B17738" s="0" t="s">
        <v>98</v>
      </c>
      <c r="E17738" s="6" t="n">
        <f aca="false">Q!M38-Sens!E17656</f>
        <v>22.2285940229167</v>
      </c>
      <c r="F17738" s="6" t="n">
        <f aca="false">Sens!E17738*(1-1/life_nonai)+(Sens!F17746+Sens!F17747)/life_nonai</f>
        <v>23.5755864718873</v>
      </c>
      <c r="G17738" s="6" t="n">
        <f aca="false">Sens!F17738*(1-1/life_nonai)+(Sens!G17746)/life_nonai</f>
        <v>25.3758596064077</v>
      </c>
      <c r="H17738" s="6" t="n">
        <f aca="false">Sens!G17738*(1-1/life_nonai)+(Sens!H17746)/life_nonai</f>
        <v>27.5926102072099</v>
      </c>
      <c r="I17738" s="6" t="n">
        <f aca="false">Sens!H17738*(1-1/life_nonai)+(Sens!I17746)/life_nonai</f>
        <v>30.1494722164327</v>
      </c>
      <c r="J17738" s="6" t="n">
        <f aca="false">Sens!I17738*(1-1/life_nonai)+(Sens!J17746)/life_nonai</f>
        <v>32.9543806588559</v>
      </c>
      <c r="K17738" s="6" t="n">
        <f aca="false">Sens!J17738*(1-1/life_nonai)+(Sens!K17746)/life_nonai</f>
        <v>35.9228685792431</v>
      </c>
      <c r="L17738" s="12" t="s">
        <v>1099</v>
      </c>
    </row>
    <row r="17739" customFormat="false" ht="17.15" hidden="false" customHeight="false" outlineLevel="0" collapsed="false">
      <c r="A17739" s="1" t="s">
        <v>1100</v>
      </c>
      <c r="B17739" s="0" t="s">
        <v>98</v>
      </c>
      <c r="F17739" s="6" t="n">
        <f aca="false">Sens!$F$17747/life_nonai*(1-1/life_nonai)^(Sens!F17619-2027)</f>
        <v>0</v>
      </c>
      <c r="G17739" s="6" t="n">
        <f aca="false">Sens!$F$17747/life_nonai*(1-1/life_nonai)^(Sens!G17619-2027)</f>
        <v>0</v>
      </c>
      <c r="H17739" s="6" t="n">
        <f aca="false">Sens!$F$17747/life_nonai*(1-1/life_nonai)^(Sens!H17619-2027)</f>
        <v>0</v>
      </c>
      <c r="I17739" s="6" t="n">
        <f aca="false">Sens!$F$17747/life_nonai*(1-1/life_nonai)^(Sens!I17619-2027)</f>
        <v>0</v>
      </c>
      <c r="J17739" s="6" t="n">
        <f aca="false">Sens!$F$17747/life_nonai*(1-1/life_nonai)^(Sens!J17619-2027)</f>
        <v>0</v>
      </c>
      <c r="K17739" s="6" t="n">
        <f aca="false">Sens!$F$17747/life_nonai*(1-1/life_nonai)^(Sens!K17619-2027)</f>
        <v>0</v>
      </c>
      <c r="L17739" s="1" t="s">
        <v>1101</v>
      </c>
    </row>
    <row r="17740" customFormat="false" ht="17.15" hidden="false" customHeight="false" outlineLevel="0" collapsed="false">
      <c r="A17740" s="1" t="s">
        <v>1102</v>
      </c>
      <c r="B17740" s="0" t="s">
        <v>98</v>
      </c>
      <c r="E17740" s="6" t="n">
        <f aca="false">Sens!E17656+Sens!E17738</f>
        <v>38.534</v>
      </c>
      <c r="F17740" s="6" t="n">
        <f aca="false">Sens!F17656+Sens!F17738</f>
        <v>58.1588657373437</v>
      </c>
      <c r="G17740" s="6" t="n">
        <f aca="false">Sens!G17656+Sens!G17738</f>
        <v>86.1182798329163</v>
      </c>
      <c r="H17740" s="6" t="n">
        <f aca="false">Sens!H17656+Sens!H17738</f>
        <v>116.700630442865</v>
      </c>
      <c r="I17740" s="6" t="n">
        <f aca="false">Sens!I17656+Sens!I17738</f>
        <v>144.388411485191</v>
      </c>
      <c r="J17740" s="6" t="n">
        <f aca="false">Sens!J17656+Sens!J17738</f>
        <v>164.977983282662</v>
      </c>
      <c r="K17740" s="6" t="n">
        <f aca="false">Sens!K17656+Sens!K17738</f>
        <v>178.943467704387</v>
      </c>
    </row>
    <row r="17741" customFormat="false" ht="17.15" hidden="false" customHeight="false" outlineLevel="0" collapsed="false">
      <c r="A17741" s="1" t="s">
        <v>1103</v>
      </c>
      <c r="B17741" s="0" t="s">
        <v>98</v>
      </c>
      <c r="F17741" s="6" t="n">
        <f aca="false">Sens!F17683*sbc_r</f>
        <v>15.0680693022395</v>
      </c>
      <c r="G17741" s="6" t="n">
        <f aca="false">Sens!G17683*sbc_r</f>
        <v>18.3841476633065</v>
      </c>
      <c r="H17741" s="6" t="n">
        <f aca="false">Sens!H17683*sbc_r</f>
        <v>21.9545979838202</v>
      </c>
      <c r="I17741" s="6" t="n">
        <f aca="false">Sens!I17683*sbc_r</f>
        <v>24.9944595349748</v>
      </c>
      <c r="J17741" s="6" t="n">
        <f aca="false">Sens!J17683*sbc_r</f>
        <v>27.4407929753337</v>
      </c>
      <c r="K17741" s="6" t="n">
        <f aca="false">Sens!K17683*sbc_r</f>
        <v>29.3868645070206</v>
      </c>
    </row>
    <row r="17742" customFormat="false" ht="17.15" hidden="false" customHeight="false" outlineLevel="0" collapsed="false">
      <c r="A17742" s="1" t="s">
        <v>1104</v>
      </c>
      <c r="B17742" s="0" t="s">
        <v>98</v>
      </c>
      <c r="F17742" s="6" t="n">
        <f aca="false">wc27-wc26q1</f>
        <v>-4.677</v>
      </c>
      <c r="G17742" s="6" t="n">
        <f aca="false">wc_f</f>
        <v>0</v>
      </c>
      <c r="H17742" s="6" t="n">
        <f aca="false">wc_f</f>
        <v>0</v>
      </c>
      <c r="I17742" s="6" t="n">
        <f aca="false">wc_f</f>
        <v>0</v>
      </c>
      <c r="J17742" s="6" t="n">
        <f aca="false">wc_f</f>
        <v>0</v>
      </c>
      <c r="K17742" s="6" t="n">
        <f aca="false">wc_f</f>
        <v>0</v>
      </c>
      <c r="L17742" s="12" t="s">
        <v>1105</v>
      </c>
    </row>
    <row r="17743" customFormat="false" ht="17.15" hidden="false" customHeight="false" outlineLevel="0" collapsed="false">
      <c r="A17743" s="0" t="s">
        <v>1106</v>
      </c>
      <c r="B17743" s="0" t="s">
        <v>98</v>
      </c>
      <c r="F17743" s="6" t="n">
        <f aca="false">Q!$I$35-Q!$I$26-Q!$I$38-Q!$I$39</f>
        <v>6.493</v>
      </c>
      <c r="L17743" s="1" t="s">
        <v>1107</v>
      </c>
    </row>
    <row r="17744" customFormat="false" ht="15" hidden="false" customHeight="false" outlineLevel="0" collapsed="false">
      <c r="A17744" s="1" t="s">
        <v>904</v>
      </c>
      <c r="B17744" s="0" t="s">
        <v>98</v>
      </c>
      <c r="E17744" s="6" t="n">
        <f aca="false">Q!M35</f>
        <v>182.935</v>
      </c>
      <c r="F17744" s="6" t="n">
        <f aca="false">Sens!F17737+Sens!F17740+Sens!F17741+Sens!F17742+Sens!F17743</f>
        <v>222.489523077408</v>
      </c>
      <c r="G17744" s="6" t="n">
        <f aca="false">Sens!G17737+Sens!G17740+Sens!G17741+Sens!G17742</f>
        <v>272.462288431407</v>
      </c>
      <c r="H17744" s="6" t="n">
        <f aca="false">Sens!H17737+Sens!H17740+Sens!H17741+Sens!H17742</f>
        <v>334.596054089191</v>
      </c>
      <c r="I17744" s="6" t="n">
        <f aca="false">Sens!I17737+Sens!I17740+Sens!I17741+Sens!I17742</f>
        <v>386.686368651576</v>
      </c>
      <c r="J17744" s="6" t="n">
        <f aca="false">Sens!J17737+Sens!J17740+Sens!J17741+Sens!J17742</f>
        <v>428.272979319376</v>
      </c>
      <c r="K17744" s="6" t="n">
        <f aca="false">Sens!K17737+Sens!K17740+Sens!K17741+Sens!K17742</f>
        <v>460.984964841726</v>
      </c>
    </row>
    <row r="17745" customFormat="false" ht="17.15" hidden="false" customHeight="false" outlineLevel="0" collapsed="false">
      <c r="A17745" s="0" t="s">
        <v>1108</v>
      </c>
      <c r="B17745" s="0" t="s">
        <v>98</v>
      </c>
      <c r="F17745" s="6" t="n">
        <f aca="false">Sens!F17653</f>
        <v>168.501481487377</v>
      </c>
      <c r="G17745" s="6" t="n">
        <f aca="false">Sens!G17653</f>
        <v>191.944475649048</v>
      </c>
      <c r="H17745" s="6" t="n">
        <f aca="false">Sens!H17653</f>
        <v>196.806004064512</v>
      </c>
      <c r="I17745" s="6" t="n">
        <f aca="false">Sens!I17653</f>
        <v>168.61483362161</v>
      </c>
      <c r="J17745" s="6" t="n">
        <f aca="false">Sens!J17653</f>
        <v>128.92993119594</v>
      </c>
      <c r="K17745" s="6" t="n">
        <f aca="false">Sens!K17653</f>
        <v>118.962853064733</v>
      </c>
    </row>
    <row r="17746" customFormat="false" ht="17.15" hidden="false" customHeight="false" outlineLevel="0" collapsed="false">
      <c r="A17746" s="1" t="s">
        <v>1109</v>
      </c>
      <c r="B17746" s="0" t="s">
        <v>98</v>
      </c>
      <c r="E17746" s="6" t="n">
        <f aca="false">Sens!E17661*cx_azo+Sens!E17668*cx_m365+Sens!E17669*cx_lic+(Sens!E17671+Sens!E17673)*cx_ind+Sens!E17676*cx_srch+(Sens!E17678+Sens!E17680)*cx_dev</f>
        <v>30.1846587067718</v>
      </c>
      <c r="F17746" s="6" t="n">
        <f aca="false">Sens!F17661*cx_azo+Sens!F17668*cx_m365+Sens!F17669*cx_lic+(Sens!F17671+Sens!F17673)*cx_ind+Sens!F17676*cx_srch+(Sens!F17678+Sens!F17680)*cx_dev</f>
        <v>35.6985185126228</v>
      </c>
      <c r="G17746" s="6" t="n">
        <f aca="false">Sens!G17661*cx_azo+Sens!G17668*cx_m365+Sens!G17669*cx_lic+(Sens!G17671+Sens!G17673)*cx_ind+Sens!G17676*cx_srch+(Sens!G17678+Sens!G17680)*cx_dev</f>
        <v>41.5783178170917</v>
      </c>
      <c r="H17746" s="6" t="n">
        <f aca="false">Sens!H17661*cx_azo+Sens!H17668*cx_m365+Sens!H17669*cx_lic+(Sens!H17671+Sens!H17673)*cx_ind+Sens!H17676*cx_srch+(Sens!H17678+Sens!H17680)*cx_dev</f>
        <v>47.5433656144293</v>
      </c>
      <c r="I17746" s="6" t="n">
        <f aca="false">Sens!I17661*cx_azo+Sens!I17668*cx_m365+Sens!I17669*cx_lic+(Sens!I17671+Sens!I17673)*cx_ind+Sens!I17676*cx_srch+(Sens!I17678+Sens!I17680)*cx_dev</f>
        <v>53.1612302994382</v>
      </c>
      <c r="J17746" s="6" t="n">
        <f aca="false">Sens!J17661*cx_azo+Sens!J17668*cx_m365+Sens!J17669*cx_lic+(Sens!J17671+Sens!J17673)*cx_ind+Sens!J17676*cx_srch+(Sens!J17678+Sens!J17680)*cx_dev</f>
        <v>58.1985566406647</v>
      </c>
      <c r="K17746" s="6" t="n">
        <f aca="false">Sens!K17661*cx_azo+Sens!K17668*cx_m365+Sens!K17669*cx_lic+(Sens!K17671+Sens!K17673)*cx_ind+Sens!K17676*cx_srch+(Sens!K17678+Sens!K17680)*cx_dev</f>
        <v>62.6392598627275</v>
      </c>
    </row>
    <row r="17747" customFormat="false" ht="17.15" hidden="false" customHeight="false" outlineLevel="0" collapsed="false">
      <c r="A17747" s="0" t="s">
        <v>1110</v>
      </c>
      <c r="B17747" s="0" t="s">
        <v>98</v>
      </c>
      <c r="F17747" s="6" t="n">
        <f aca="false">0</f>
        <v>0</v>
      </c>
      <c r="L17747" s="1" t="s">
        <v>1111</v>
      </c>
    </row>
    <row r="17748" customFormat="false" ht="17.15" hidden="false" customHeight="false" outlineLevel="0" collapsed="false">
      <c r="A17748" s="1" t="s">
        <v>1112</v>
      </c>
      <c r="B17748" s="0" t="s">
        <v>98</v>
      </c>
      <c r="E17748" s="6" t="n">
        <f aca="false">Q!M43</f>
        <v>145.3</v>
      </c>
      <c r="F17748" s="6" t="n">
        <f aca="false">Sens!F17745+Sens!F17746+Sens!F17747</f>
        <v>204.2</v>
      </c>
      <c r="G17748" s="6" t="n">
        <f aca="false">Sens!G17745+Sens!G17746</f>
        <v>233.52279346614</v>
      </c>
      <c r="H17748" s="6" t="n">
        <f aca="false">Sens!H17745+Sens!H17746</f>
        <v>244.349369678942</v>
      </c>
      <c r="I17748" s="6" t="n">
        <f aca="false">Sens!I17745+Sens!I17746</f>
        <v>221.776063921049</v>
      </c>
      <c r="J17748" s="6" t="n">
        <f aca="false">Sens!J17745+Sens!J17746</f>
        <v>187.128487836605</v>
      </c>
      <c r="K17748" s="6" t="n">
        <f aca="false">Sens!K17745+Sens!K17746</f>
        <v>181.60211292746</v>
      </c>
      <c r="L17748" s="1" t="s">
        <v>1113</v>
      </c>
    </row>
    <row r="17749" customFormat="false" ht="15" hidden="false" customHeight="false" outlineLevel="0" collapsed="false">
      <c r="A17749" s="1" t="s">
        <v>1114</v>
      </c>
      <c r="B17749" s="0" t="s">
        <v>98</v>
      </c>
      <c r="E17749" s="6" t="n">
        <f aca="false">fl_liab</f>
        <v>66.594</v>
      </c>
      <c r="F17749" s="6" t="n">
        <f aca="false">Sens!E17749-Sens!F17750</f>
        <v>62.46973</v>
      </c>
      <c r="G17749" s="6" t="n">
        <f aca="false">Sens!F17749-Sens!G17750</f>
        <v>57.98686785</v>
      </c>
      <c r="H17749" s="6" t="n">
        <f aca="false">Sens!G17749-Sens!H17750</f>
        <v>53.92827690325</v>
      </c>
      <c r="I17749" s="6" t="n">
        <f aca="false">Sens!H17749-Sens!I17750</f>
        <v>49.7850493638962</v>
      </c>
      <c r="J17749" s="6" t="n">
        <f aca="false">Sens!I17749-Sens!J17750</f>
        <v>45.4823765852716</v>
      </c>
      <c r="K17749" s="6" t="n">
        <f aca="false">Sens!J17749-Sens!K17750</f>
        <v>40.9860835316088</v>
      </c>
    </row>
    <row r="17750" customFormat="false" ht="15" hidden="false" customHeight="false" outlineLevel="0" collapsed="false">
      <c r="A17750" s="1" t="s">
        <v>1115</v>
      </c>
      <c r="B17750" s="0" t="s">
        <v>98</v>
      </c>
      <c r="F17750" s="6" t="n">
        <f aca="false">fl_pay_27-Sens!E17749*fl_rate</f>
        <v>4.12427</v>
      </c>
      <c r="G17750" s="6" t="n">
        <f aca="false">fl_pay_28-Sens!F17749*fl_rate</f>
        <v>4.48286215</v>
      </c>
      <c r="H17750" s="6" t="n">
        <f aca="false">fl_pay_29-Sens!G17749*fl_rate</f>
        <v>4.05859094675</v>
      </c>
      <c r="I17750" s="6" t="n">
        <f aca="false">fl_pay_30-Sens!H17749*fl_rate</f>
        <v>4.14322753935375</v>
      </c>
      <c r="J17750" s="6" t="n">
        <f aca="false">fl_pay_31-Sens!I17749*fl_rate</f>
        <v>4.30267277862467</v>
      </c>
      <c r="K17750" s="6" t="n">
        <f aca="false">fl_pay_32-Sens!J17749*fl_rate</f>
        <v>4.49629305366278</v>
      </c>
    </row>
    <row r="17751" customFormat="false" ht="17.15" hidden="false" customHeight="false" outlineLevel="0" collapsed="false">
      <c r="A17751" s="1" t="s">
        <v>1116</v>
      </c>
      <c r="B17751" s="0" t="s">
        <v>98</v>
      </c>
      <c r="E17751" s="6" t="n">
        <f aca="false">Q!M35-Q!M36-Q!M44</f>
        <v>63.886</v>
      </c>
      <c r="F17751" s="6" t="n">
        <f aca="false">Sens!F17744-Sens!F17748-Sens!F17750</f>
        <v>14.1652530774076</v>
      </c>
      <c r="G17751" s="6" t="n">
        <f aca="false">Sens!G17744-Sens!G17748-Sens!G17750</f>
        <v>34.456632815267</v>
      </c>
      <c r="H17751" s="6" t="n">
        <f aca="false">Sens!H17744-Sens!H17748-Sens!H17750</f>
        <v>86.1880934634991</v>
      </c>
      <c r="I17751" s="6" t="n">
        <f aca="false">Sens!I17744-Sens!I17748-Sens!I17750</f>
        <v>160.767077191174</v>
      </c>
      <c r="J17751" s="6" t="n">
        <f aca="false">Sens!J17744-Sens!J17748-Sens!J17750</f>
        <v>236.841818704146</v>
      </c>
      <c r="K17751" s="6" t="n">
        <f aca="false">Sens!K17744-Sens!K17748-Sens!K17750</f>
        <v>274.886558860603</v>
      </c>
      <c r="L17751" s="12" t="s">
        <v>1117</v>
      </c>
    </row>
    <row r="17752" customFormat="false" ht="15" hidden="false" customHeight="false" outlineLevel="0" collapsed="false">
      <c r="A17752" s="1" t="s">
        <v>1118</v>
      </c>
      <c r="B17752" s="0" t="s">
        <v>75</v>
      </c>
      <c r="F17752" s="8" t="n">
        <f aca="false">dps_27</f>
        <v>3.85</v>
      </c>
      <c r="G17752" s="8" t="n">
        <f aca="false">Sens!F17752*(1+dps_g)</f>
        <v>4.158</v>
      </c>
      <c r="H17752" s="8" t="n">
        <f aca="false">Sens!G17752*(1+dps_g)</f>
        <v>4.49064</v>
      </c>
      <c r="I17752" s="8" t="n">
        <f aca="false">Sens!H17752*(1+dps_g)</f>
        <v>4.8498912</v>
      </c>
      <c r="J17752" s="8" t="n">
        <f aca="false">Sens!I17752*(1+dps_g)</f>
        <v>5.237882496</v>
      </c>
      <c r="K17752" s="8" t="n">
        <f aca="false">Sens!J17752*(1+dps_g)</f>
        <v>5.65691309568</v>
      </c>
    </row>
    <row r="17753" customFormat="false" ht="17.15" hidden="false" customHeight="false" outlineLevel="0" collapsed="false">
      <c r="A17753" s="1" t="s">
        <v>1119</v>
      </c>
      <c r="B17753" s="0" t="s">
        <v>98</v>
      </c>
      <c r="E17753" s="6" t="n">
        <f aca="false">Q!M41</f>
        <v>26.445</v>
      </c>
      <c r="F17753" s="6" t="n">
        <f aca="false">Sens!F17752*Sens!E17762</f>
        <v>28.59395</v>
      </c>
      <c r="G17753" s="6" t="n">
        <f aca="false">Sens!G17752*Sens!F17762</f>
        <v>31.0447337091798</v>
      </c>
      <c r="H17753" s="6" t="n">
        <f aca="false">Sens!H17752*Sens!G17762</f>
        <v>33.7046833363624</v>
      </c>
      <c r="I17753" s="6" t="n">
        <f aca="false">Sens!I17752*Sens!H17762</f>
        <v>36.451496280344</v>
      </c>
      <c r="J17753" s="6" t="n">
        <f aca="false">Sens!J17752*Sens!I17762</f>
        <v>39.4355138681642</v>
      </c>
      <c r="K17753" s="6" t="n">
        <f aca="false">Sens!K17752*Sens!J17762</f>
        <v>42.6771092399956</v>
      </c>
      <c r="L17753" s="1" t="s">
        <v>1120</v>
      </c>
    </row>
    <row r="17754" customFormat="false" ht="15" hidden="false" customHeight="false" outlineLevel="0" collapsed="false">
      <c r="A17754" s="1" t="s">
        <v>1121</v>
      </c>
      <c r="B17754" s="0" t="s">
        <v>98</v>
      </c>
      <c r="E17754" s="6" t="n">
        <f aca="false">Sens!E17751-Sens!E17753</f>
        <v>37.441</v>
      </c>
      <c r="F17754" s="6" t="n">
        <f aca="false">Sens!F17751-Sens!F17753</f>
        <v>-14.4286969225924</v>
      </c>
      <c r="G17754" s="6" t="n">
        <f aca="false">Sens!G17751-Sens!G17753</f>
        <v>3.41189910608716</v>
      </c>
      <c r="H17754" s="6" t="n">
        <f aca="false">Sens!H17751-Sens!H17753</f>
        <v>52.4834101271367</v>
      </c>
      <c r="I17754" s="6" t="n">
        <f aca="false">Sens!I17751-Sens!I17753</f>
        <v>124.31558091083</v>
      </c>
      <c r="J17754" s="6" t="n">
        <f aca="false">Sens!J17751-Sens!J17753</f>
        <v>197.406304835982</v>
      </c>
      <c r="K17754" s="6" t="n">
        <f aca="false">Sens!K17751-Sens!K17753</f>
        <v>232.209449620608</v>
      </c>
    </row>
    <row r="17755" customFormat="false" ht="15" hidden="false" customHeight="false" outlineLevel="0" collapsed="false">
      <c r="A17755" s="1" t="s">
        <v>1122</v>
      </c>
      <c r="B17755" s="0" t="s">
        <v>98</v>
      </c>
      <c r="F17755" s="6" t="n">
        <f aca="false">debt_mat_27</f>
        <v>9.25</v>
      </c>
      <c r="G17755" s="6" t="n">
        <f aca="false">debt_mat_28</f>
        <v>0</v>
      </c>
      <c r="H17755" s="6" t="n">
        <f aca="false">debt_mat_29</f>
        <v>2.001</v>
      </c>
      <c r="I17755" s="6" t="n">
        <f aca="false">debt_mat_30</f>
        <v>0</v>
      </c>
      <c r="J17755" s="6" t="n">
        <f aca="false">debt_mat_31</f>
        <v>0.5</v>
      </c>
      <c r="K17755" s="6" t="n">
        <f aca="false">debt_mat_32</f>
        <v>0</v>
      </c>
    </row>
    <row r="17756" customFormat="false" ht="15" hidden="false" customHeight="false" outlineLevel="0" collapsed="false">
      <c r="A17756" s="1" t="s">
        <v>1123</v>
      </c>
      <c r="B17756" s="0" t="s">
        <v>98</v>
      </c>
      <c r="E17756" s="6" t="n">
        <f aca="false">Q!M40</f>
        <v>22.271</v>
      </c>
      <c r="F17756" s="6" t="n">
        <f aca="false">MAX(0,MIN(bb_target,Sens!E17758+Sens!F17754-Sens!F17755-min_cash))</f>
        <v>3.16430307740755</v>
      </c>
      <c r="G17756" s="6" t="n">
        <f aca="false">MAX(0,MIN(bb_target,Sens!F17758+Sens!G17754-Sens!G17755-min_cash))</f>
        <v>3.41189910608716</v>
      </c>
      <c r="H17756" s="6" t="n">
        <f aca="false">MAX(0,MIN(bb_target,Sens!G17758+Sens!H17754-Sens!H17755-min_cash))</f>
        <v>22.271</v>
      </c>
      <c r="I17756" s="6" t="n">
        <f aca="false">MAX(0,MIN(bb_target,Sens!H17758+Sens!I17754-Sens!I17755-min_cash))</f>
        <v>22.271</v>
      </c>
      <c r="J17756" s="6" t="n">
        <f aca="false">MAX(0,MIN(bb_target,Sens!I17758+Sens!J17754-Sens!J17755-min_cash))</f>
        <v>22.271</v>
      </c>
      <c r="K17756" s="6" t="n">
        <f aca="false">MAX(0,MIN(bb_target,Sens!J17758+Sens!K17754-Sens!K17755-min_cash))</f>
        <v>22.271</v>
      </c>
    </row>
    <row r="17757" customFormat="false" ht="15" hidden="false" customHeight="false" outlineLevel="0" collapsed="false">
      <c r="A17757" s="1" t="s">
        <v>1124</v>
      </c>
      <c r="B17757" s="0" t="s">
        <v>98</v>
      </c>
      <c r="F17757" s="6" t="n">
        <f aca="false">MAX(0,min_cash-(Sens!E17758+Sens!F17754-Sens!F17755-Sens!F17756))</f>
        <v>0</v>
      </c>
      <c r="G17757" s="6" t="n">
        <f aca="false">MAX(0,min_cash-(Sens!F17758+Sens!G17754-Sens!G17755-Sens!G17756))</f>
        <v>0</v>
      </c>
      <c r="H17757" s="6" t="n">
        <f aca="false">MAX(0,min_cash-(Sens!G17758+Sens!H17754-Sens!H17755-Sens!H17756))</f>
        <v>0</v>
      </c>
      <c r="I17757" s="6" t="n">
        <f aca="false">MAX(0,min_cash-(Sens!H17758+Sens!I17754-Sens!I17755-Sens!I17756))</f>
        <v>0</v>
      </c>
      <c r="J17757" s="6" t="n">
        <f aca="false">MAX(0,min_cash-(Sens!I17758+Sens!J17754-Sens!J17755-Sens!J17756))</f>
        <v>0</v>
      </c>
      <c r="K17757" s="6" t="n">
        <f aca="false">MAX(0,min_cash-(Sens!J17758+Sens!K17754-Sens!K17755-Sens!K17756))</f>
        <v>0</v>
      </c>
    </row>
    <row r="17758" customFormat="false" ht="15" hidden="false" customHeight="false" outlineLevel="0" collapsed="false">
      <c r="A17758" s="1" t="s">
        <v>1125</v>
      </c>
      <c r="B17758" s="0" t="s">
        <v>98</v>
      </c>
      <c r="E17758" s="6" t="n">
        <f aca="false">cash_open</f>
        <v>76.843</v>
      </c>
      <c r="F17758" s="6" t="n">
        <f aca="false">Sens!E17758+Sens!F17754-Sens!F17755-Sens!F17756+Sens!F17757</f>
        <v>50</v>
      </c>
      <c r="G17758" s="6" t="n">
        <f aca="false">Sens!F17758+Sens!G17754-Sens!G17755-Sens!G17756+Sens!G17757</f>
        <v>50</v>
      </c>
      <c r="H17758" s="6" t="n">
        <f aca="false">Sens!G17758+Sens!H17754-Sens!H17755-Sens!H17756+Sens!H17757</f>
        <v>78.2114101271367</v>
      </c>
      <c r="I17758" s="6" t="n">
        <f aca="false">Sens!H17758+Sens!I17754-Sens!I17755-Sens!I17756+Sens!I17757</f>
        <v>180.255991037967</v>
      </c>
      <c r="J17758" s="6" t="n">
        <f aca="false">Sens!I17758+Sens!J17754-Sens!J17755-Sens!J17756+Sens!J17757</f>
        <v>354.891295873949</v>
      </c>
      <c r="K17758" s="6" t="n">
        <f aca="false">Sens!J17758+Sens!K17754-Sens!K17755-Sens!K17756+Sens!K17757</f>
        <v>564.829745494557</v>
      </c>
    </row>
    <row r="17759" customFormat="false" ht="15" hidden="false" customHeight="false" outlineLevel="0" collapsed="false">
      <c r="A17759" s="1" t="s">
        <v>1126</v>
      </c>
      <c r="B17759" s="0" t="s">
        <v>98</v>
      </c>
      <c r="E17759" s="6" t="n">
        <f aca="false">debt_face</f>
        <v>46.136</v>
      </c>
      <c r="F17759" s="6" t="n">
        <f aca="false">Sens!E17759-Sens!F17755+Sens!F17757</f>
        <v>36.886</v>
      </c>
      <c r="G17759" s="6" t="n">
        <f aca="false">Sens!F17759-Sens!G17755+Sens!G17757</f>
        <v>36.886</v>
      </c>
      <c r="H17759" s="6" t="n">
        <f aca="false">Sens!G17759-Sens!H17755+Sens!H17757</f>
        <v>34.885</v>
      </c>
      <c r="I17759" s="6" t="n">
        <f aca="false">Sens!H17759-Sens!I17755+Sens!I17757</f>
        <v>34.885</v>
      </c>
      <c r="J17759" s="6" t="n">
        <f aca="false">Sens!I17759-Sens!J17755+Sens!J17757</f>
        <v>34.385</v>
      </c>
      <c r="K17759" s="6" t="n">
        <f aca="false">Sens!J17759-Sens!K17755+Sens!K17757</f>
        <v>34.385</v>
      </c>
    </row>
    <row r="17760" customFormat="false" ht="15" hidden="false" customHeight="false" outlineLevel="0" collapsed="false">
      <c r="A17760" s="1" t="s">
        <v>1127</v>
      </c>
      <c r="B17760" s="0" t="s">
        <v>98</v>
      </c>
      <c r="E17760" s="6" t="n">
        <f aca="false">Sens!E17758-Sens!E17759</f>
        <v>30.707</v>
      </c>
      <c r="F17760" s="6" t="n">
        <f aca="false">Sens!F17758-Sens!F17759</f>
        <v>13.114</v>
      </c>
      <c r="G17760" s="6" t="n">
        <f aca="false">Sens!G17758-Sens!G17759</f>
        <v>13.114</v>
      </c>
      <c r="H17760" s="6" t="n">
        <f aca="false">Sens!H17758-Sens!H17759</f>
        <v>43.3264101271367</v>
      </c>
      <c r="I17760" s="6" t="n">
        <f aca="false">Sens!I17758-Sens!I17759</f>
        <v>145.370991037967</v>
      </c>
      <c r="J17760" s="6" t="n">
        <f aca="false">Sens!J17758-Sens!J17759</f>
        <v>320.506295873949</v>
      </c>
      <c r="K17760" s="6" t="n">
        <f aca="false">Sens!K17758-Sens!K17759</f>
        <v>530.444745494557</v>
      </c>
    </row>
    <row r="17761" customFormat="false" ht="15" hidden="false" customHeight="false" outlineLevel="0" collapsed="false">
      <c r="A17761" s="1" t="s">
        <v>1128</v>
      </c>
      <c r="B17761" s="0" t="s">
        <v>75</v>
      </c>
      <c r="F17761" s="30" t="n">
        <f aca="false">px*(1+bb_g)^(Sens!F17619-base_fy-mid_yr)</f>
        <v>551.84177959629</v>
      </c>
      <c r="G17761" s="30" t="n">
        <f aca="false">px*(1+bb_g)^(Sens!G17619-base_fy-mid_yr)</f>
        <v>595.989121963993</v>
      </c>
      <c r="H17761" s="30" t="n">
        <f aca="false">px*(1+bb_g)^(Sens!H17619-base_fy-mid_yr)</f>
        <v>643.668251721112</v>
      </c>
      <c r="I17761" s="30" t="n">
        <f aca="false">px*(1+bb_g)^(Sens!I17619-base_fy-mid_yr)</f>
        <v>695.161711858801</v>
      </c>
      <c r="J17761" s="30" t="n">
        <f aca="false">px*(1+bb_g)^(Sens!J17619-base_fy-mid_yr)</f>
        <v>750.774648807506</v>
      </c>
      <c r="K17761" s="30" t="n">
        <f aca="false">px*(1+bb_g)^(Sens!K17619-base_fy-mid_yr)</f>
        <v>810.836620712106</v>
      </c>
    </row>
    <row r="17762" customFormat="false" ht="15" hidden="false" customHeight="false" outlineLevel="0" collapsed="false">
      <c r="A17762" s="1" t="s">
        <v>1129</v>
      </c>
      <c r="B17762" s="1" t="s">
        <v>81</v>
      </c>
      <c r="E17762" s="15" t="n">
        <f aca="false">sh_out26</f>
        <v>7.427</v>
      </c>
      <c r="F17762" s="15" t="n">
        <f aca="false">Sens!E17762+sh_iss-Sens!F17756/Sens!F17761</f>
        <v>7.46626592332367</v>
      </c>
      <c r="G17762" s="15" t="n">
        <f aca="false">Sens!F17762+sh_iss-Sens!G17756/Sens!G17761</f>
        <v>7.50554115590704</v>
      </c>
      <c r="H17762" s="15" t="n">
        <f aca="false">Sens!G17762+sh_iss-Sens!H17756/Sens!H17761</f>
        <v>7.51594103396464</v>
      </c>
      <c r="I17762" s="15" t="n">
        <f aca="false">Sens!H17762+sh_iss-Sens!I17756/Sens!I17761</f>
        <v>7.52890388401798</v>
      </c>
      <c r="J17762" s="15" t="n">
        <f aca="false">Sens!I17762+sh_iss-Sens!J17756/Sens!J17761</f>
        <v>7.54423985628958</v>
      </c>
      <c r="K17762" s="15" t="n">
        <f aca="false">Sens!J17762+sh_iss-Sens!K17756/Sens!K17761</f>
        <v>7.56177316394848</v>
      </c>
    </row>
    <row r="17763" customFormat="false" ht="15" hidden="false" customHeight="false" outlineLevel="0" collapsed="false">
      <c r="A17763" s="1" t="s">
        <v>1130</v>
      </c>
      <c r="B17763" s="1" t="s">
        <v>81</v>
      </c>
      <c r="E17763" s="15" t="n">
        <f aca="false">sh_dil26</f>
        <v>7.453</v>
      </c>
      <c r="F17763" s="15" t="n">
        <f aca="false">(Sens!E17762+Sens!F17762)/2+dil_gap</f>
        <v>7.47063296166184</v>
      </c>
      <c r="G17763" s="15" t="n">
        <f aca="false">(Sens!F17762+Sens!G17762)/2+dil_gap</f>
        <v>7.50990353961535</v>
      </c>
      <c r="H17763" s="15" t="n">
        <f aca="false">(Sens!G17762+Sens!H17762)/2+dil_gap</f>
        <v>7.53474109493584</v>
      </c>
      <c r="I17763" s="15" t="n">
        <f aca="false">(Sens!H17762+Sens!I17762)/2+dil_gap</f>
        <v>7.54642245899131</v>
      </c>
      <c r="J17763" s="15" t="n">
        <f aca="false">(Sens!I17762+Sens!J17762)/2+dil_gap</f>
        <v>7.56057187015378</v>
      </c>
      <c r="K17763" s="15" t="n">
        <f aca="false">(Sens!J17762+Sens!K17762)/2+dil_gap</f>
        <v>7.57700651011903</v>
      </c>
    </row>
    <row r="17764" customFormat="false" ht="17.15" hidden="false" customHeight="false" outlineLevel="0" collapsed="false">
      <c r="A17764" s="1" t="s">
        <v>1131</v>
      </c>
      <c r="B17764" s="0" t="s">
        <v>98</v>
      </c>
      <c r="C17764" s="6" t="n">
        <f aca="false">SUM(Sens!F17754:J17754)</f>
        <v>363.188498057444</v>
      </c>
    </row>
    <row r="17765" customFormat="false" ht="15" hidden="false" customHeight="false" outlineLevel="0" collapsed="false">
      <c r="A17765" s="26" t="s">
        <v>1096</v>
      </c>
      <c r="B17765" s="31" t="s">
        <v>98</v>
      </c>
      <c r="C17765" s="27" t="n">
        <f aca="false">Sens!$C$17764-(Sens!F17754+Sens!G17754+Sens!H17754+Sens!I17754+Sens!J17754)</f>
        <v>0</v>
      </c>
      <c r="D17765" s="31"/>
      <c r="E17765" s="31"/>
      <c r="F17765" s="31"/>
      <c r="G17765" s="31"/>
      <c r="H17765" s="31"/>
      <c r="I17765" s="31"/>
      <c r="J17765" s="31"/>
      <c r="K17765" s="31"/>
    </row>
    <row r="17766" customFormat="false" ht="17.15" hidden="false" customHeight="false" outlineLevel="0" collapsed="false">
      <c r="A17766" s="1" t="s">
        <v>1090</v>
      </c>
      <c r="B17766" s="1" t="s">
        <v>1132</v>
      </c>
      <c r="C17766" s="33" t="str">
        <f aca="false">IF(SUM(Sens!F17757:J17757)&gt;0.05,"需要舉債 "&amp;TEXT(SUM(Sens!F17757:J17757),"0.0")&amp;" 十億美元","不需舉債")&amp;"；"&amp;IF(SUM(Sens!F17756:J17756)&lt;COUNT(Sens!F17756:J17756)*bb_target-0.05,"回購較每年 "&amp;TEXT(bb_target,"0.0")&amp;" 的目標少 "&amp;TEXT(COUNT(Sens!F17756:J17756)*bb_target-SUM(Sens!F17756:J17756),"0.0")&amp;" 十億美元（"&amp;TEXT(COUNTIF(Sens!F17756:J17756,"&lt;"&amp;(bb_target-0.05)),"0")&amp;" 年減少）","回購不減")</f>
        <v>不需舉債；回購較每年 22.3 的目標少 38.0 十億美元（2 年減少）</v>
      </c>
    </row>
    <row r="17767" customFormat="false" ht="17.15" hidden="false" customHeight="false" outlineLevel="0" collapsed="false">
      <c r="A17767" s="3" t="s">
        <v>1918</v>
      </c>
    </row>
    <row r="17768" customFormat="false" ht="15" hidden="false" customHeight="false" outlineLevel="0" collapsed="false">
      <c r="A17768" s="4" t="s">
        <v>43</v>
      </c>
      <c r="B17768" s="4" t="s">
        <v>65</v>
      </c>
      <c r="C17768" s="23" t="s">
        <v>938</v>
      </c>
      <c r="D17768" s="23" t="s">
        <v>939</v>
      </c>
      <c r="E17768" s="23" t="s">
        <v>940</v>
      </c>
      <c r="F17768" s="23" t="s">
        <v>941</v>
      </c>
      <c r="G17768" s="23" t="s">
        <v>942</v>
      </c>
      <c r="H17768" s="23" t="s">
        <v>943</v>
      </c>
      <c r="I17768" s="23" t="s">
        <v>944</v>
      </c>
      <c r="J17768" s="23" t="s">
        <v>945</v>
      </c>
      <c r="K17768" s="23" t="s">
        <v>946</v>
      </c>
      <c r="L17768" s="4" t="s">
        <v>47</v>
      </c>
    </row>
    <row r="17769" customFormat="false" ht="17.15" hidden="false" customHeight="false" outlineLevel="0" collapsed="false">
      <c r="A17769" s="1" t="s">
        <v>1212</v>
      </c>
      <c r="B17769" s="1" t="s">
        <v>279</v>
      </c>
      <c r="F17769" s="8" t="n">
        <f aca="false">(1-v_off)*mid_yr</f>
        <v>0.373972602739726</v>
      </c>
      <c r="G17769" s="8" t="n">
        <f aca="false">Sens!G17619-base_fy-mid_yr-v_off</f>
        <v>1.24794520547945</v>
      </c>
      <c r="H17769" s="8" t="n">
        <f aca="false">Sens!H17619-base_fy-mid_yr-v_off</f>
        <v>2.24794520547945</v>
      </c>
      <c r="I17769" s="8" t="n">
        <f aca="false">Sens!I17619-base_fy-mid_yr-v_off</f>
        <v>3.24794520547945</v>
      </c>
      <c r="J17769" s="8" t="n">
        <f aca="false">Sens!J17619-base_fy-mid_yr-v_off</f>
        <v>4.24794520547945</v>
      </c>
      <c r="K17769" s="8" t="n">
        <f aca="false">Sens!K17619-base_fy-mid_yr-v_off</f>
        <v>5.24794520547945</v>
      </c>
      <c r="L17769" s="12" t="s">
        <v>1213</v>
      </c>
    </row>
    <row r="17770" customFormat="false" ht="15" hidden="false" customHeight="false" outlineLevel="0" collapsed="false">
      <c r="A17770" s="1" t="s">
        <v>1214</v>
      </c>
      <c r="B17770" s="1" t="s">
        <v>279</v>
      </c>
      <c r="F17770" s="8" t="n">
        <f aca="false">Sens!F17619-base_fy-v_off</f>
        <v>0.747945205479452</v>
      </c>
      <c r="G17770" s="8" t="n">
        <f aca="false">Sens!G17619-base_fy-v_off</f>
        <v>1.74794520547945</v>
      </c>
      <c r="H17770" s="8" t="n">
        <f aca="false">Sens!H17619-base_fy-v_off</f>
        <v>2.74794520547945</v>
      </c>
      <c r="I17770" s="8" t="n">
        <f aca="false">Sens!I17619-base_fy-v_off</f>
        <v>3.74794520547945</v>
      </c>
      <c r="J17770" s="8" t="n">
        <f aca="false">Sens!J17619-base_fy-v_off</f>
        <v>4.74794520547945</v>
      </c>
      <c r="K17770" s="8" t="n">
        <f aca="false">Sens!K17619-base_fy-v_off</f>
        <v>5.74794520547945</v>
      </c>
    </row>
    <row r="17771" customFormat="false" ht="15" hidden="false" customHeight="false" outlineLevel="0" collapsed="false">
      <c r="A17771" s="1" t="s">
        <v>1215</v>
      </c>
      <c r="B17771" s="0" t="s">
        <v>229</v>
      </c>
      <c r="F17771" s="15" t="n">
        <f aca="false">1/(1+wacc)^Sens!F17769</f>
        <v>0.964022703286649</v>
      </c>
      <c r="G17771" s="15" t="n">
        <f aca="false">1/(1+wacc)^Sens!G17769</f>
        <v>0.884910302296739</v>
      </c>
      <c r="H17771" s="15" t="n">
        <f aca="false">1/(1+wacc)^Sens!H17769</f>
        <v>0.802322009770358</v>
      </c>
      <c r="I17771" s="15" t="n">
        <f aca="false">1/(1+wacc)^Sens!I17769</f>
        <v>0.727441646561469</v>
      </c>
      <c r="J17771" s="15" t="n">
        <f aca="false">1/(1+wacc)^Sens!J17769</f>
        <v>0.659549834988973</v>
      </c>
      <c r="K17771" s="15" t="n">
        <f aca="false">1/(1+wacc)^Sens!K17769</f>
        <v>0.597994336576966</v>
      </c>
    </row>
    <row r="17772" customFormat="false" ht="17.15" hidden="false" customHeight="false" outlineLevel="0" collapsed="false">
      <c r="A17772" s="1" t="s">
        <v>1216</v>
      </c>
      <c r="B17772" s="0" t="s">
        <v>98</v>
      </c>
      <c r="F17772" s="6" t="n">
        <f aca="false">Q!$I$35-Q!$I$39-Q!$I$43</f>
        <v>9.666</v>
      </c>
      <c r="L17772" s="12" t="s">
        <v>1217</v>
      </c>
    </row>
    <row r="17773" customFormat="false" ht="17.15" hidden="false" customHeight="false" outlineLevel="0" collapsed="false">
      <c r="A17773" s="1" t="s">
        <v>1218</v>
      </c>
      <c r="B17773" s="0" t="s">
        <v>98</v>
      </c>
      <c r="F17773" s="6" t="n">
        <f aca="false">Sens!F17744-Sens!F17741-Sens!F17748+Sens!F17726*(1-tax_f)*(1-v_off)-Sens!F17772</f>
        <v>-1.12910503804768</v>
      </c>
      <c r="G17773" s="6" t="n">
        <f aca="false">Sens!G17744-Sens!G17741-Sens!G17748+Sens!G17726*(1-tax_f)</f>
        <v>38.7201717155824</v>
      </c>
      <c r="H17773" s="6" t="n">
        <f aca="false">Sens!H17744-Sens!H17741-Sens!H17748+Sens!H17726*(1-tax_f)</f>
        <v>98.6935626169949</v>
      </c>
      <c r="I17773" s="6" t="n">
        <f aca="false">Sens!I17744-Sens!I17741-Sens!I17748+Sens!I17726*(1-tax_f)</f>
        <v>181.626332771967</v>
      </c>
      <c r="J17773" s="6" t="n">
        <f aca="false">Sens!J17744-Sens!J17741-Sens!J17748+Sens!J17726*(1-tax_f)</f>
        <v>263.351364022189</v>
      </c>
      <c r="K17773" s="6" t="n">
        <f aca="false">Sens!K17744-Sens!K17741-Sens!K17748+Sens!K17726*(1-tax_f)</f>
        <v>303.660092423747</v>
      </c>
      <c r="L17773" s="1" t="s">
        <v>1219</v>
      </c>
    </row>
    <row r="17774" customFormat="false" ht="15" hidden="false" customHeight="false" outlineLevel="0" collapsed="false">
      <c r="A17774" s="1" t="s">
        <v>1220</v>
      </c>
      <c r="B17774" s="0" t="s">
        <v>98</v>
      </c>
      <c r="F17774" s="6" t="n">
        <f aca="false">Sens!F17773*Sens!F17771</f>
        <v>-1.0884828910733</v>
      </c>
      <c r="G17774" s="6" t="n">
        <f aca="false">Sens!G17773*Sens!G17771</f>
        <v>34.2638788578177</v>
      </c>
      <c r="H17774" s="6" t="n">
        <f aca="false">Sens!H17773*Sens!H17771</f>
        <v>79.184017510264</v>
      </c>
      <c r="I17774" s="6" t="n">
        <f aca="false">Sens!I17773*Sens!I17771</f>
        <v>132.122558570561</v>
      </c>
      <c r="J17774" s="6" t="n">
        <f aca="false">Sens!J17773*Sens!J17771</f>
        <v>173.693348684955</v>
      </c>
      <c r="K17774" s="6" t="n">
        <f aca="false">Sens!K17773*Sens!K17771</f>
        <v>181.587015513838</v>
      </c>
    </row>
    <row r="17775" customFormat="false" ht="17.15" hidden="false" customHeight="false" outlineLevel="0" collapsed="false">
      <c r="A17775" s="1" t="s">
        <v>1221</v>
      </c>
      <c r="B17775" s="0" t="s">
        <v>98</v>
      </c>
      <c r="C17775" s="6" t="n">
        <f aca="false">SUM(Sens!F17774:K17774)</f>
        <v>599.762336246364</v>
      </c>
    </row>
    <row r="17776" customFormat="false" ht="17.15" hidden="false" customHeight="false" outlineLevel="0" collapsed="false">
      <c r="A17776" s="1" t="s">
        <v>1222</v>
      </c>
      <c r="B17776" s="0" t="s">
        <v>98</v>
      </c>
      <c r="C17776" s="6" t="n">
        <f aca="false">Sens!K17712*(1+g_tv)*(1-tax_f)</f>
        <v>316.497099776225</v>
      </c>
    </row>
    <row r="17777" customFormat="false" ht="17.15" hidden="false" customHeight="false" outlineLevel="0" collapsed="false">
      <c r="A17777" s="1" t="s">
        <v>1223</v>
      </c>
      <c r="B17777" s="0" t="s">
        <v>98</v>
      </c>
      <c r="C17777" s="6" t="n">
        <f aca="false">Sens!$C$17776*(1-g_tv/(wacc+ronic_prem))</f>
        <v>224.25669326903</v>
      </c>
    </row>
    <row r="17778" customFormat="false" ht="17.15" hidden="false" customHeight="false" outlineLevel="0" collapsed="false">
      <c r="A17778" s="1" t="s">
        <v>1224</v>
      </c>
      <c r="B17778" s="0" t="s">
        <v>98</v>
      </c>
      <c r="C17778" s="6" t="n">
        <f aca="false">Sens!$C$17777/(wacc-g_tv)</f>
        <v>3074.6802169065</v>
      </c>
    </row>
    <row r="17779" customFormat="false" ht="15" hidden="false" customHeight="false" outlineLevel="0" collapsed="false">
      <c r="A17779" s="1" t="s">
        <v>1225</v>
      </c>
      <c r="B17779" s="0" t="s">
        <v>98</v>
      </c>
      <c r="C17779" s="6" t="n">
        <f aca="false">Sens!$C$17778/(1+wacc)^Sens!K17770</f>
        <v>1750.74039314876</v>
      </c>
    </row>
    <row r="17780" customFormat="false" ht="17.15" hidden="false" customHeight="false" outlineLevel="0" collapsed="false">
      <c r="A17780" s="0" t="s">
        <v>1226</v>
      </c>
      <c r="B17780" s="0" t="s">
        <v>98</v>
      </c>
      <c r="C17780" s="6" t="n">
        <f aca="false">Sens!$C$17775+Sens!$C$17779</f>
        <v>2350.50272939512</v>
      </c>
    </row>
    <row r="17781" customFormat="false" ht="15" hidden="false" customHeight="false" outlineLevel="0" collapsed="false">
      <c r="A17781" s="1" t="s">
        <v>1141</v>
      </c>
      <c r="B17781" s="0" t="s">
        <v>168</v>
      </c>
      <c r="C17781" s="7" t="n">
        <f aca="false">Sens!$C$17779/Sens!$C$17780</f>
        <v>0.744836571025507</v>
      </c>
    </row>
    <row r="17782" customFormat="false" ht="17.15" hidden="false" customHeight="false" outlineLevel="0" collapsed="false">
      <c r="A17782" s="1" t="s">
        <v>1227</v>
      </c>
      <c r="B17782" s="0" t="s">
        <v>98</v>
      </c>
      <c r="C17782" s="6" t="n">
        <f aca="false">Sens!$C$17780+cash_val-debt_val-fl_val+oai_v</f>
        <v>2466.35372939512</v>
      </c>
    </row>
    <row r="17783" customFormat="false" ht="17.15" hidden="false" customHeight="false" outlineLevel="0" collapsed="false">
      <c r="A17783" s="0" t="s">
        <v>1149</v>
      </c>
      <c r="B17783" s="0" t="s">
        <v>75</v>
      </c>
      <c r="C17783" s="5" t="n">
        <f aca="false">Sens!$C$17782/shd_val</f>
        <v>331.232034568241</v>
      </c>
    </row>
    <row r="17784" customFormat="false" ht="15" hidden="false" customHeight="false" outlineLevel="0" collapsed="false">
      <c r="A17784" s="1" t="s">
        <v>1228</v>
      </c>
      <c r="B17784" s="0" t="s">
        <v>75</v>
      </c>
      <c r="C17784" s="8" t="n">
        <f aca="false">div_rem27+Sens!G17752*roll_div_q/q_per_yr</f>
        <v>3.9795</v>
      </c>
    </row>
    <row r="17785" customFormat="false" ht="17.15" hidden="false" customHeight="false" outlineLevel="0" collapsed="false">
      <c r="A17785" s="0" t="s">
        <v>1229</v>
      </c>
      <c r="B17785" s="0" t="s">
        <v>75</v>
      </c>
      <c r="C17785" s="5" t="n">
        <f aca="false">Sens!$C$17783*(1+wacc)^t_roll-Sens!$C$17784</f>
        <v>364.203392728825</v>
      </c>
    </row>
    <row r="17786" customFormat="false" ht="17.15" hidden="false" customHeight="false" outlineLevel="0" collapsed="false">
      <c r="A17786" s="1" t="s">
        <v>1230</v>
      </c>
      <c r="B17786" s="0" t="s">
        <v>168</v>
      </c>
      <c r="F17786" s="7" t="n">
        <f aca="false">Sens!F17738/(Sens!F17683-Sens!F17638)</f>
        <v>0.0685388988641094</v>
      </c>
      <c r="G17786" s="7" t="n">
        <f aca="false">Sens!G17738/(Sens!G17683-Sens!G17638)</f>
        <v>0.0653457465963261</v>
      </c>
      <c r="H17786" s="7" t="n">
        <f aca="false">Sens!H17738/(Sens!H17683-Sens!H17638)</f>
        <v>0.0636539937496352</v>
      </c>
      <c r="I17786" s="7" t="n">
        <f aca="false">Sens!I17738/(Sens!I17683-Sens!I17638)</f>
        <v>0.0633508205541219</v>
      </c>
      <c r="J17786" s="7" t="n">
        <f aca="false">Sens!J17738/(Sens!J17683-Sens!J17638)</f>
        <v>0.0640813255883536</v>
      </c>
      <c r="K17786" s="7" t="n">
        <f aca="false">Sens!K17738/(Sens!K17683-Sens!K17638)</f>
        <v>0.0653911094760038</v>
      </c>
    </row>
    <row r="17787" customFormat="false" ht="17.15" hidden="false" customHeight="false" outlineLevel="0" collapsed="false">
      <c r="A17787" s="0" t="s">
        <v>1231</v>
      </c>
      <c r="B17787" s="0" t="s">
        <v>98</v>
      </c>
      <c r="F17787" s="6" t="n">
        <f aca="false">Sens!F17668*(al_m365+Sens!F17786+sbc_r)</f>
        <v>84.5197345892455</v>
      </c>
      <c r="G17787" s="6" t="n">
        <f aca="false">Sens!G17668*(al_m365+Sens!G17786+sbc_r)</f>
        <v>98.9484307244519</v>
      </c>
      <c r="H17787" s="6" t="n">
        <f aca="false">Sens!H17668*(al_m365+Sens!H17786+sbc_r)</f>
        <v>113.542294363182</v>
      </c>
      <c r="I17787" s="6" t="n">
        <f aca="false">Sens!I17668*(al_m365+Sens!I17786+sbc_r)</f>
        <v>126.619271500968</v>
      </c>
      <c r="J17787" s="6" t="n">
        <f aca="false">Sens!J17668*(al_m365+Sens!J17786+sbc_r)</f>
        <v>137.993466050855</v>
      </c>
      <c r="K17787" s="6" t="n">
        <f aca="false">Sens!K17668*(al_m365+Sens!K17786+sbc_r)</f>
        <v>148.988139922556</v>
      </c>
      <c r="L17787" s="12" t="s">
        <v>1232</v>
      </c>
    </row>
    <row r="17788" customFormat="false" ht="17.15" hidden="false" customHeight="false" outlineLevel="0" collapsed="false">
      <c r="A17788" s="0" t="s">
        <v>1233</v>
      </c>
      <c r="B17788" s="0" t="s">
        <v>98</v>
      </c>
      <c r="F17788" s="6" t="n">
        <f aca="false">Sens!F17669*(al_lic+Sens!F17786+sbc_r)</f>
        <v>32.8546692645468</v>
      </c>
      <c r="G17788" s="6" t="n">
        <f aca="false">Sens!G17669*(al_lic+Sens!G17786+sbc_r)</f>
        <v>34.1181170826133</v>
      </c>
      <c r="H17788" s="6" t="n">
        <f aca="false">Sens!H17669*(al_lic+Sens!H17786+sbc_r)</f>
        <v>35.3020621533934</v>
      </c>
      <c r="I17788" s="6" t="n">
        <f aca="false">Sens!I17669*(al_lic+Sens!I17786+sbc_r)</f>
        <v>36.3895350789355</v>
      </c>
      <c r="J17788" s="6" t="n">
        <f aca="false">Sens!J17669*(al_lic+Sens!J17786+sbc_r)</f>
        <v>37.3526466692629</v>
      </c>
      <c r="K17788" s="6" t="n">
        <f aca="false">Sens!K17669*(al_lic+Sens!K17786+sbc_r)</f>
        <v>38.1583073392497</v>
      </c>
    </row>
    <row r="17789" customFormat="false" ht="17.15" hidden="false" customHeight="false" outlineLevel="0" collapsed="false">
      <c r="A17789" s="0" t="s">
        <v>1234</v>
      </c>
      <c r="B17789" s="0" t="s">
        <v>98</v>
      </c>
      <c r="F17789" s="6" t="n">
        <f aca="false">Sens!F17671*(al_ind+Sens!F17786+sbc_r)</f>
        <v>9.05861680873944</v>
      </c>
      <c r="G17789" s="6" t="n">
        <f aca="false">Sens!G17671*(al_ind+Sens!G17786+sbc_r)</f>
        <v>9.82429589037136</v>
      </c>
      <c r="H17789" s="6" t="n">
        <f aca="false">Sens!H17671*(al_ind+Sens!H17786+sbc_r)</f>
        <v>10.6375050309648</v>
      </c>
      <c r="I17789" s="6" t="n">
        <f aca="false">Sens!I17671*(al_ind+Sens!I17786+sbc_r)</f>
        <v>11.496423248012</v>
      </c>
      <c r="J17789" s="6" t="n">
        <f aca="false">Sens!J17671*(al_ind+Sens!J17786+sbc_r)</f>
        <v>12.3901786929281</v>
      </c>
      <c r="K17789" s="6" t="n">
        <f aca="false">Sens!K17671*(al_ind+Sens!K17786+sbc_r)</f>
        <v>13.3007440265546</v>
      </c>
    </row>
    <row r="17790" customFormat="false" ht="17.15" hidden="false" customHeight="false" outlineLevel="0" collapsed="false">
      <c r="A17790" s="0" t="s">
        <v>1235</v>
      </c>
      <c r="B17790" s="0" t="s">
        <v>98</v>
      </c>
      <c r="F17790" s="6" t="n">
        <f aca="false">Sens!F17673*(al_fro+Sens!F17786+sbc_r)</f>
        <v>3.55332335643508</v>
      </c>
      <c r="G17790" s="6" t="n">
        <f aca="false">Sens!G17673*(al_fro+Sens!G17786+sbc_r)</f>
        <v>3.75906353784493</v>
      </c>
      <c r="H17790" s="6" t="n">
        <f aca="false">Sens!H17673*(al_fro+Sens!H17786+sbc_r)</f>
        <v>3.99488240023908</v>
      </c>
      <c r="I17790" s="6" t="n">
        <f aca="false">Sens!I17673*(al_fro+Sens!I17786+sbc_r)</f>
        <v>4.2638851598007</v>
      </c>
      <c r="J17790" s="6" t="n">
        <f aca="false">Sens!J17673*(al_fro+Sens!J17786+sbc_r)</f>
        <v>4.56671054017157</v>
      </c>
      <c r="K17790" s="6" t="n">
        <f aca="false">Sens!K17673*(al_fro+Sens!K17786+sbc_r)</f>
        <v>4.90232218949832</v>
      </c>
    </row>
    <row r="17791" customFormat="false" ht="17.15" hidden="false" customHeight="false" outlineLevel="0" collapsed="false">
      <c r="A17791" s="0" t="s">
        <v>1236</v>
      </c>
      <c r="B17791" s="0" t="s">
        <v>98</v>
      </c>
      <c r="F17791" s="6" t="n">
        <f aca="false">Sens!F17676*(al_srch+Sens!F17786+sbc_r)</f>
        <v>11.1868671539751</v>
      </c>
      <c r="G17791" s="6" t="n">
        <f aca="false">Sens!G17676*(al_srch+Sens!G17786+sbc_r)</f>
        <v>12.2469107320795</v>
      </c>
      <c r="H17791" s="6" t="n">
        <f aca="false">Sens!H17676*(al_srch+Sens!H17786+sbc_r)</f>
        <v>13.3549910353783</v>
      </c>
      <c r="I17791" s="6" t="n">
        <f aca="false">Sens!I17676*(al_srch+Sens!I17786+sbc_r)</f>
        <v>14.5021507909211</v>
      </c>
      <c r="J17791" s="6" t="n">
        <f aca="false">Sens!J17676*(al_srch+Sens!J17786+sbc_r)</f>
        <v>15.6670397798181</v>
      </c>
      <c r="K17791" s="6" t="n">
        <f aca="false">Sens!K17676*(al_srch+Sens!K17786+sbc_r)</f>
        <v>16.8184245707567</v>
      </c>
    </row>
    <row r="17792" customFormat="false" ht="17.15" hidden="false" customHeight="false" outlineLevel="0" collapsed="false">
      <c r="A17792" s="0" t="s">
        <v>1237</v>
      </c>
      <c r="B17792" s="0" t="s">
        <v>98</v>
      </c>
      <c r="F17792" s="6" t="n">
        <f aca="false">Sens!F17644-Sens!F17645+Sens!F17726</f>
        <v>45.3782580567763</v>
      </c>
      <c r="G17792" s="6" t="n">
        <f aca="false">Sens!G17644-Sens!G17645+Sens!G17726</f>
        <v>91.0863367558165</v>
      </c>
      <c r="H17792" s="6" t="n">
        <f aca="false">Sens!H17644-Sens!H17645+Sens!H17726</f>
        <v>144.617532464853</v>
      </c>
      <c r="I17792" s="6" t="n">
        <f aca="false">Sens!I17644-Sens!I17645+Sens!I17726</f>
        <v>187.137304561304</v>
      </c>
      <c r="J17792" s="6" t="n">
        <f aca="false">Sens!J17644-Sens!J17645+Sens!J17726</f>
        <v>217.006854425907</v>
      </c>
      <c r="K17792" s="6" t="n">
        <f aca="false">Sens!K17644-Sens!K17645+Sens!K17726</f>
        <v>234.933637903877</v>
      </c>
    </row>
    <row r="17793" customFormat="false" ht="17.15" hidden="false" customHeight="false" outlineLevel="0" collapsed="false">
      <c r="A17793" s="0" t="s">
        <v>1238</v>
      </c>
      <c r="B17793" s="0" t="s">
        <v>98</v>
      </c>
      <c r="F17793" s="6" t="n">
        <f aca="false">Sens!F17705+Sens!F17726+Sens!F17656+Sens!F17786*(Sens!F17675-Sens!F17638)+sbc_r*Sens!F17675</f>
        <v>240.818877403584</v>
      </c>
      <c r="G17793" s="6" t="n">
        <f aca="false">Sens!G17705+Sens!G17726+Sens!G17656+Sens!G17786*(Sens!G17675-Sens!G17638)+sbc_r*Sens!G17675</f>
        <v>311.918514933867</v>
      </c>
      <c r="H17793" s="6" t="n">
        <f aca="false">Sens!H17705+Sens!H17726+Sens!H17656+Sens!H17786*(Sens!H17675-Sens!H17638)+sbc_r*Sens!H17675</f>
        <v>395.486856574959</v>
      </c>
      <c r="I17793" s="6" t="n">
        <f aca="false">Sens!I17705+Sens!I17726+Sens!I17656+Sens!I17786*(Sens!I17675-Sens!I17638)+sbc_r*Sens!I17675</f>
        <v>465.951327357079</v>
      </c>
      <c r="J17793" s="6" t="n">
        <f aca="false">Sens!J17705+Sens!J17726+Sens!J17656+Sens!J17786*(Sens!J17675-Sens!J17638)+sbc_r*Sens!J17675</f>
        <v>520.787227353106</v>
      </c>
      <c r="K17793" s="6" t="n">
        <f aca="false">Sens!K17705+Sens!K17726+Sens!K17656+Sens!K17786*(Sens!K17675-Sens!K17638)+sbc_r*Sens!K17675</f>
        <v>561.247376413236</v>
      </c>
    </row>
    <row r="17794" customFormat="false" ht="17.15" hidden="false" customHeight="false" outlineLevel="0" collapsed="false">
      <c r="A17794" s="0" t="s">
        <v>1239</v>
      </c>
      <c r="B17794" s="0" t="s">
        <v>98</v>
      </c>
      <c r="F17794" s="6" t="n">
        <f aca="false">Sens!F17793-Sens!F17787-Sens!F17788-Sens!F17789-Sens!F17790-Sens!F17792</f>
        <v>65.4542753278409</v>
      </c>
      <c r="G17794" s="6" t="n">
        <f aca="false">Sens!G17793-Sens!G17787-Sens!G17788-Sens!G17789-Sens!G17790-Sens!G17792</f>
        <v>74.1822709427694</v>
      </c>
      <c r="H17794" s="6" t="n">
        <f aca="false">Sens!H17793-Sens!H17787-Sens!H17788-Sens!H17789-Sens!H17790-Sens!H17792</f>
        <v>87.3925801623256</v>
      </c>
      <c r="I17794" s="6" t="n">
        <f aca="false">Sens!I17793-Sens!I17787-Sens!I17788-Sens!I17789-Sens!I17790-Sens!I17792</f>
        <v>100.04490780806</v>
      </c>
      <c r="J17794" s="6" t="n">
        <f aca="false">Sens!J17793-Sens!J17787-Sens!J17788-Sens!J17789-Sens!J17790-Sens!J17792</f>
        <v>111.477370973981</v>
      </c>
      <c r="K17794" s="6" t="n">
        <f aca="false">Sens!K17793-Sens!K17787-Sens!K17788-Sens!K17789-Sens!K17790-Sens!K17792</f>
        <v>120.9642250315</v>
      </c>
    </row>
    <row r="17795" customFormat="false" ht="17.15" hidden="false" customHeight="false" outlineLevel="0" collapsed="false">
      <c r="A17795" s="0" t="s">
        <v>1240</v>
      </c>
      <c r="B17795" s="0" t="s">
        <v>98</v>
      </c>
      <c r="F17795" s="6" t="n">
        <f aca="false">Sens!F17707+Sens!F17786*Sens!F17682+sbc_r*Sens!F17682</f>
        <v>26.628449428592</v>
      </c>
      <c r="G17795" s="6" t="n">
        <f aca="false">Sens!G17707+Sens!G17786*Sens!G17682+sbc_r*Sens!G17682</f>
        <v>26.4397692483628</v>
      </c>
      <c r="H17795" s="6" t="n">
        <f aca="false">Sens!H17707+Sens!H17786*Sens!H17682+sbc_r*Sens!H17682</f>
        <v>27.2962491680661</v>
      </c>
      <c r="I17795" s="6" t="n">
        <f aca="false">Sens!I17707+Sens!I17786*Sens!I17682+sbc_r*Sens!I17682</f>
        <v>28.3990251728675</v>
      </c>
      <c r="J17795" s="6" t="n">
        <f aca="false">Sens!J17707+Sens!J17786*Sens!J17682+sbc_r*Sens!J17682</f>
        <v>29.7088846250547</v>
      </c>
      <c r="K17795" s="6" t="n">
        <f aca="false">Sens!K17707+Sens!K17786*Sens!K17682+sbc_r*Sens!K17682</f>
        <v>31.1813778566968</v>
      </c>
    </row>
    <row r="17796" customFormat="false" ht="17.15" hidden="false" customHeight="false" outlineLevel="0" collapsed="false">
      <c r="A17796" s="0" t="s">
        <v>1241</v>
      </c>
      <c r="B17796" s="0" t="s">
        <v>98</v>
      </c>
      <c r="F17796" s="6" t="n">
        <f aca="false">(Sens!F17795-Sens!F17791)*Sens!F17678/(Sens!F17678+Sens!F17680)</f>
        <v>8.72118205151864</v>
      </c>
      <c r="G17796" s="6" t="n">
        <f aca="false">(Sens!G17795-Sens!G17791)*Sens!G17678/(Sens!G17678+Sens!G17680)</f>
        <v>7.87815703300003</v>
      </c>
      <c r="H17796" s="6" t="n">
        <f aca="false">(Sens!H17795-Sens!H17791)*Sens!H17678/(Sens!H17678+Sens!H17680)</f>
        <v>7.63768922670981</v>
      </c>
      <c r="I17796" s="6" t="n">
        <f aca="false">(Sens!I17795-Sens!I17791)*Sens!I17678/(Sens!I17678+Sens!I17680)</f>
        <v>7.54692069960696</v>
      </c>
      <c r="J17796" s="6" t="n">
        <f aca="false">(Sens!J17795-Sens!J17791)*Sens!J17678/(Sens!J17678+Sens!J17680)</f>
        <v>7.59237888992619</v>
      </c>
      <c r="K17796" s="6" t="n">
        <f aca="false">(Sens!K17795-Sens!K17791)*Sens!K17678/(Sens!K17678+Sens!K17680)</f>
        <v>7.76600115775812</v>
      </c>
    </row>
    <row r="17797" customFormat="false" ht="17.15" hidden="false" customHeight="false" outlineLevel="0" collapsed="false">
      <c r="A17797" s="0" t="s">
        <v>1242</v>
      </c>
      <c r="B17797" s="0" t="s">
        <v>98</v>
      </c>
      <c r="F17797" s="6" t="n">
        <f aca="false">Sens!F17795-Sens!F17791-Sens!F17796</f>
        <v>6.72040022309819</v>
      </c>
      <c r="G17797" s="6" t="n">
        <f aca="false">Sens!G17795-Sens!G17791-Sens!G17796</f>
        <v>6.31470148328324</v>
      </c>
      <c r="H17797" s="6" t="n">
        <f aca="false">Sens!H17795-Sens!H17791-Sens!H17796</f>
        <v>6.30356890597798</v>
      </c>
      <c r="I17797" s="6" t="n">
        <f aca="false">Sens!I17795-Sens!I17791-Sens!I17796</f>
        <v>6.34995368233951</v>
      </c>
      <c r="J17797" s="6" t="n">
        <f aca="false">Sens!J17795-Sens!J17791-Sens!J17796</f>
        <v>6.44946595531041</v>
      </c>
      <c r="K17797" s="6" t="n">
        <f aca="false">Sens!K17795-Sens!K17791-Sens!K17796</f>
        <v>6.59695212818195</v>
      </c>
    </row>
    <row r="17798" customFormat="false" ht="17.15" hidden="false" customHeight="false" outlineLevel="0" collapsed="false">
      <c r="A17798" s="0" t="s">
        <v>1243</v>
      </c>
      <c r="B17798" s="0" t="s">
        <v>98</v>
      </c>
      <c r="F17798" s="6" t="n">
        <f aca="false">Sens!F17792-tax_f*(Sens!F17792-Sens!F17656)-Sens!F17653</f>
        <v>-125.282219188865</v>
      </c>
      <c r="G17798" s="6" t="n">
        <f aca="false">Sens!G17792-tax_f*(Sens!G17792-Sens!G17656)-Sens!G17653</f>
        <v>-106.926922199093</v>
      </c>
      <c r="H17798" s="6" t="n">
        <f aca="false">Sens!H17792-tax_f*(Sens!H17792-Sens!H17656)-Sens!H17653</f>
        <v>-63.2903740454986</v>
      </c>
      <c r="I17798" s="6" t="n">
        <f aca="false">Sens!I17792-tax_f*(Sens!I17792-Sens!I17656)-Sens!I17653</f>
        <v>3.94279788118436</v>
      </c>
      <c r="J17798" s="6" t="n">
        <f aca="false">Sens!J17792-tax_f*(Sens!J17792-Sens!J17656)-Sens!J17653</f>
        <v>71.0802728695462</v>
      </c>
      <c r="K17798" s="6" t="n">
        <f aca="false">Sens!K17792-tax_f*(Sens!K17792-Sens!K17656)-Sens!K17653</f>
        <v>97.5881770833978</v>
      </c>
    </row>
    <row r="17799" customFormat="false" ht="17.15" hidden="false" customHeight="false" outlineLevel="0" collapsed="false">
      <c r="A17799" s="0" t="s">
        <v>1244</v>
      </c>
      <c r="B17799" s="0" t="s">
        <v>98</v>
      </c>
      <c r="G17799" s="6" t="n">
        <f aca="false">Sens!G17798/(1+wacc)^(Sens!G17769-Sens!F17770)</f>
        <v>-101.815006579562</v>
      </c>
      <c r="H17799" s="6" t="n">
        <f aca="false">Sens!H17798/(1+wacc)^(Sens!H17769-Sens!F17770)</f>
        <v>-54.6401451961096</v>
      </c>
      <c r="I17799" s="6" t="n">
        <f aca="false">Sens!I17798/(1+wacc)^(Sens!I17769-Sens!F17770)</f>
        <v>3.08622902814122</v>
      </c>
      <c r="J17799" s="6" t="n">
        <f aca="false">Sens!J17798/(1+wacc)^(Sens!J17769-Sens!F17770)</f>
        <v>50.4454706790209</v>
      </c>
      <c r="K17799" s="6" t="n">
        <f aca="false">Sens!K17798/(1+wacc)^(Sens!K17769-Sens!F17770)</f>
        <v>62.7942319295819</v>
      </c>
      <c r="L17799" s="1" t="s">
        <v>1245</v>
      </c>
    </row>
    <row r="17800" customFormat="false" ht="17.15" hidden="false" customHeight="false" outlineLevel="0" collapsed="false">
      <c r="A17800" s="0" t="s">
        <v>1246</v>
      </c>
      <c r="B17800" s="0" t="s">
        <v>98</v>
      </c>
      <c r="C17800" s="6" t="n">
        <f aca="false">(Sens!K17792-Sens!K17656)*(1-tax_f)*(1+g_tv)*(1-g_tv/(wacc+ronic_prem))/(wacc-g_tv)/(1+wacc)^(Sens!K17770-Sens!F17770)</f>
        <v>450.797843513628</v>
      </c>
    </row>
    <row r="17801" customFormat="false" ht="17.15" hidden="false" customHeight="false" outlineLevel="0" collapsed="false">
      <c r="A17801" s="1" t="s">
        <v>1247</v>
      </c>
      <c r="B17801" s="0" t="s">
        <v>98</v>
      </c>
      <c r="C17801" s="6" t="n">
        <f aca="false">(SUM(Sens!G17799:K17799)+Sens!$C$17800)*(1+wacc)^(t_roll-Sens!F17770)</f>
        <v>424.226036586398</v>
      </c>
      <c r="L17801" s="12" t="s">
        <v>1248</v>
      </c>
    </row>
    <row r="17802" customFormat="false" ht="17.15" hidden="false" customHeight="false" outlineLevel="0" collapsed="false">
      <c r="A17802" s="1" t="s">
        <v>1249</v>
      </c>
      <c r="B17802" s="0" t="s">
        <v>98</v>
      </c>
      <c r="C17802" s="6" t="n">
        <f aca="false">(w_ntm28*Sens!G17644+(1-w_ntm28)*Sens!H17644)*m_ai</f>
        <v>563.316843258668</v>
      </c>
    </row>
    <row r="17803" customFormat="false" ht="17.15" hidden="false" customHeight="false" outlineLevel="0" collapsed="false">
      <c r="A17803" s="1" t="s">
        <v>1250</v>
      </c>
      <c r="B17803" s="0" t="s">
        <v>98</v>
      </c>
      <c r="C17803" s="6" t="n">
        <f aca="false">(w_ntm28*Sens!G17794+(1-w_ntm28)*Sens!H17794)*m_cloud</f>
        <v>1085.22083870226</v>
      </c>
    </row>
    <row r="17804" customFormat="false" ht="17.15" hidden="false" customHeight="false" outlineLevel="0" collapsed="false">
      <c r="A17804" s="1" t="s">
        <v>1251</v>
      </c>
      <c r="B17804" s="0" t="s">
        <v>98</v>
      </c>
      <c r="C17804" s="6" t="n">
        <f aca="false">(w_ntm28*Sens!G17787+(1-w_ntm28)*Sens!H17787)*m_sw</f>
        <v>1120.46126353859</v>
      </c>
    </row>
    <row r="17805" customFormat="false" ht="17.15" hidden="false" customHeight="false" outlineLevel="0" collapsed="false">
      <c r="A17805" s="1" t="s">
        <v>1252</v>
      </c>
      <c r="B17805" s="0" t="s">
        <v>98</v>
      </c>
      <c r="C17805" s="6" t="n">
        <f aca="false">(w_ntm28*Sens!G17788+(1-w_ntm28)*Sens!H17788)*m_sw</f>
        <v>372.679480414775</v>
      </c>
    </row>
    <row r="17806" customFormat="false" ht="17.15" hidden="false" customHeight="false" outlineLevel="0" collapsed="false">
      <c r="A17806" s="1" t="s">
        <v>1253</v>
      </c>
      <c r="B17806" s="0" t="s">
        <v>98</v>
      </c>
      <c r="C17806" s="6" t="n">
        <f aca="false">(w_ntm28*Sens!G17789+(1-w_ntm28)*Sens!H17789)*m_sw</f>
        <v>108.989845057679</v>
      </c>
    </row>
    <row r="17807" customFormat="false" ht="17.15" hidden="false" customHeight="false" outlineLevel="0" collapsed="false">
      <c r="A17807" s="1" t="s">
        <v>1254</v>
      </c>
      <c r="B17807" s="0" t="s">
        <v>98</v>
      </c>
      <c r="C17807" s="6" t="n">
        <f aca="false">(w_ntm28*Sens!G17790+(1-w_ntm28)*Sens!H17790)*m_sw</f>
        <v>41.4352046899932</v>
      </c>
    </row>
    <row r="17808" customFormat="false" ht="17.15" hidden="false" customHeight="false" outlineLevel="0" collapsed="false">
      <c r="A17808" s="1" t="s">
        <v>1255</v>
      </c>
      <c r="B17808" s="0" t="s">
        <v>98</v>
      </c>
      <c r="C17808" s="6" t="n">
        <f aca="false">(w_ntm28*Sens!G17791+(1-w_ntm28)*Sens!H17791)*m_ads</f>
        <v>114.888133173536</v>
      </c>
    </row>
    <row r="17809" customFormat="false" ht="17.15" hidden="false" customHeight="false" outlineLevel="0" collapsed="false">
      <c r="A17809" s="1" t="s">
        <v>1256</v>
      </c>
      <c r="B17809" s="0" t="s">
        <v>98</v>
      </c>
      <c r="C17809" s="6" t="n">
        <f aca="false">(w_ntm28*Sens!G17796+(1-w_ntm28)*Sens!H17796)*m_game</f>
        <v>98.5026219371645</v>
      </c>
    </row>
    <row r="17810" customFormat="false" ht="17.15" hidden="false" customHeight="false" outlineLevel="0" collapsed="false">
      <c r="A17810" s="1" t="s">
        <v>1257</v>
      </c>
      <c r="B17810" s="0" t="s">
        <v>98</v>
      </c>
      <c r="C17810" s="6" t="n">
        <f aca="false">(w_ntm28*Sens!G17797+(1-w_ntm28)*Sens!H17797)*m_pc</f>
        <v>91.3207698953472</v>
      </c>
    </row>
    <row r="17811" customFormat="false" ht="17.15" hidden="false" customHeight="false" outlineLevel="0" collapsed="false">
      <c r="A17811" s="1" t="s">
        <v>1258</v>
      </c>
      <c r="B17811" s="0" t="s">
        <v>98</v>
      </c>
      <c r="C17811" s="6" t="n">
        <f aca="false">Sens!$C$17801+Sens!$C$17803+Sens!$C$17804+Sens!$C$17805+Sens!$C$17806+Sens!$C$17807+Sens!$C$17808+Sens!$C$17809+Sens!$C$17810</f>
        <v>3457.72419399574</v>
      </c>
    </row>
    <row r="17812" customFormat="false" ht="17.15" hidden="false" customHeight="false" outlineLevel="0" collapsed="false">
      <c r="A17812" s="1" t="s">
        <v>1259</v>
      </c>
      <c r="B17812" s="0" t="s">
        <v>98</v>
      </c>
      <c r="C17812" s="6" t="n">
        <f aca="false">(Sens!G17773-Sens!G17798)*t_stub</f>
        <v>48.28300921555</v>
      </c>
      <c r="L17812" s="1" t="s">
        <v>1260</v>
      </c>
    </row>
    <row r="17813" customFormat="false" ht="17.15" hidden="false" customHeight="false" outlineLevel="0" collapsed="false">
      <c r="A17813" s="1" t="s">
        <v>1169</v>
      </c>
      <c r="B17813" s="0" t="s">
        <v>98</v>
      </c>
      <c r="C17813" s="6" t="n">
        <f aca="false">Sens!F17760+oai_v-Sens!F17749+Sens!$C$17812</f>
        <v>162.51127921555</v>
      </c>
      <c r="L17813" s="1" t="s">
        <v>1261</v>
      </c>
    </row>
    <row r="17814" customFormat="false" ht="17.15" hidden="false" customHeight="false" outlineLevel="0" collapsed="false">
      <c r="A17814" s="1" t="s">
        <v>1262</v>
      </c>
      <c r="B17814" s="0" t="s">
        <v>75</v>
      </c>
      <c r="C17814" s="5" t="n">
        <f aca="false">(Sens!$C$17811+Sens!$C$17813)/(Sens!F17762+dil_gap)-Sens!G17752*roll_div_q/q_per_yr</f>
        <v>482.285859909902</v>
      </c>
      <c r="L17814" s="1" t="s">
        <v>1263</v>
      </c>
    </row>
    <row r="17815" customFormat="false" ht="17.15" hidden="false" customHeight="false" outlineLevel="0" collapsed="false">
      <c r="A17815" s="1" t="s">
        <v>1264</v>
      </c>
      <c r="B17815" s="0" t="s">
        <v>75</v>
      </c>
      <c r="C17815" s="5" t="n">
        <f aca="false">w_dcf*Sens!$C$17785+(1-w_dcf)*Sens!$C$17814</f>
        <v>423.244626319364</v>
      </c>
    </row>
    <row r="17816" customFormat="false" ht="17.15" hidden="false" customHeight="false" outlineLevel="0" collapsed="false">
      <c r="A17816" s="3" t="s">
        <v>1919</v>
      </c>
    </row>
    <row r="17817" customFormat="false" ht="15" hidden="false" customHeight="false" outlineLevel="0" collapsed="false">
      <c r="A17817" s="4" t="s">
        <v>43</v>
      </c>
      <c r="B17817" s="4" t="s">
        <v>65</v>
      </c>
      <c r="C17817" s="23" t="s">
        <v>938</v>
      </c>
      <c r="D17817" s="23" t="s">
        <v>939</v>
      </c>
      <c r="E17817" s="23" t="s">
        <v>940</v>
      </c>
      <c r="F17817" s="23" t="s">
        <v>941</v>
      </c>
      <c r="G17817" s="23" t="s">
        <v>942</v>
      </c>
      <c r="H17817" s="23" t="s">
        <v>943</v>
      </c>
      <c r="I17817" s="23" t="s">
        <v>944</v>
      </c>
      <c r="J17817" s="23" t="s">
        <v>945</v>
      </c>
      <c r="K17817" s="23" t="s">
        <v>946</v>
      </c>
      <c r="L17817" s="4" t="s">
        <v>47</v>
      </c>
    </row>
    <row r="17818" customFormat="false" ht="17.15" hidden="false" customHeight="false" outlineLevel="0" collapsed="false">
      <c r="A17818" s="1" t="s">
        <v>947</v>
      </c>
      <c r="B17818" s="1" t="s">
        <v>279</v>
      </c>
      <c r="C17818" s="21" t="n">
        <v>2024</v>
      </c>
      <c r="D17818" s="21" t="n">
        <v>2025</v>
      </c>
      <c r="E17818" s="21" t="n">
        <v>2026</v>
      </c>
      <c r="F17818" s="21" t="n">
        <v>2027</v>
      </c>
      <c r="G17818" s="21" t="n">
        <v>2028</v>
      </c>
      <c r="H17818" s="21" t="n">
        <v>2029</v>
      </c>
      <c r="I17818" s="21" t="n">
        <v>2030</v>
      </c>
      <c r="J17818" s="21" t="n">
        <v>2031</v>
      </c>
      <c r="K17818" s="21" t="n">
        <v>2032</v>
      </c>
    </row>
    <row r="17819" customFormat="false" ht="17.15" hidden="false" customHeight="false" outlineLevel="0" collapsed="false">
      <c r="A17819" s="1" t="s">
        <v>948</v>
      </c>
      <c r="B17819" s="0" t="s">
        <v>456</v>
      </c>
      <c r="F17819" s="30" t="n">
        <f aca="false">pace</f>
        <v>2726.5351</v>
      </c>
      <c r="G17819" s="30" t="n">
        <f aca="false">pace</f>
        <v>2726.5351</v>
      </c>
      <c r="H17819" s="30" t="n">
        <f aca="false">pace</f>
        <v>2726.5351</v>
      </c>
      <c r="I17819" s="30" t="n">
        <f aca="false">pace+(g_tv*Sens!H17820-pace)*MIN(1,(Sens!I17818-pace_y0)/(pace_y1-pace_y0))</f>
        <v>1931.98611966667</v>
      </c>
      <c r="J17819" s="30" t="n">
        <f aca="false">pace+(g_tv*Sens!I17820-pace)*MIN(1,(Sens!J17818-pace_y0)/(pace_y1-pace_y0))</f>
        <v>1176.07686172667</v>
      </c>
      <c r="K17819" s="30" t="n">
        <f aca="false">pace+(g_tv*Sens!J17820-pace)*MIN(1,(Sens!K17818-pace_y0)/(pace_y1-pace_y0))</f>
        <v>436.1300484418</v>
      </c>
      <c r="L17819" s="12" t="s">
        <v>949</v>
      </c>
    </row>
    <row r="17820" customFormat="false" ht="17.15" hidden="false" customHeight="false" outlineLevel="0" collapsed="false">
      <c r="A17820" s="1" t="s">
        <v>950</v>
      </c>
      <c r="B17820" s="0" t="s">
        <v>456</v>
      </c>
      <c r="C17820" s="30" t="n">
        <f aca="false">mw_ext_24</f>
        <v>640</v>
      </c>
      <c r="D17820" s="30" t="n">
        <f aca="false">mw_ext_25</f>
        <v>1630</v>
      </c>
      <c r="E17820" s="30" t="n">
        <f aca="false">mw_ext_26</f>
        <v>3250</v>
      </c>
      <c r="F17820" s="30" t="n">
        <f aca="false">Sens!E17820+Sens!F17819</f>
        <v>5976.5351</v>
      </c>
      <c r="G17820" s="30" t="n">
        <f aca="false">Sens!F17820+Sens!G17819</f>
        <v>8703.0702</v>
      </c>
      <c r="H17820" s="30" t="n">
        <f aca="false">Sens!G17820+Sens!H17819</f>
        <v>11429.6053</v>
      </c>
      <c r="I17820" s="30" t="n">
        <f aca="false">Sens!H17820+Sens!I17819</f>
        <v>13361.5914196667</v>
      </c>
      <c r="J17820" s="30" t="n">
        <f aca="false">Sens!I17820+Sens!J17819</f>
        <v>14537.6682813933</v>
      </c>
      <c r="K17820" s="30" t="n">
        <f aca="false">Sens!J17820+Sens!K17819</f>
        <v>14973.7983298351</v>
      </c>
      <c r="L17820" s="1" t="s">
        <v>951</v>
      </c>
    </row>
    <row r="17821" customFormat="false" ht="17.15" hidden="false" customHeight="false" outlineLevel="0" collapsed="false">
      <c r="A17821" s="1" t="s">
        <v>952</v>
      </c>
      <c r="B17821" s="0" t="s">
        <v>456</v>
      </c>
      <c r="C17821" s="30" t="n">
        <f aca="false">rent_ext_24</f>
        <v>150</v>
      </c>
      <c r="D17821" s="30" t="n">
        <f aca="false">rent_ext_25</f>
        <v>400</v>
      </c>
      <c r="E17821" s="30" t="n">
        <f aca="false">rent_ext_26</f>
        <v>550</v>
      </c>
      <c r="F17821" s="30" t="n">
        <f aca="false">rent_ext_f</f>
        <v>756</v>
      </c>
      <c r="G17821" s="30" t="n">
        <f aca="false">rent_ext_f</f>
        <v>756</v>
      </c>
      <c r="H17821" s="30" t="n">
        <f aca="false">rent_ext_f</f>
        <v>756</v>
      </c>
      <c r="I17821" s="30" t="n">
        <f aca="false">rent_ext_f</f>
        <v>756</v>
      </c>
      <c r="J17821" s="30" t="n">
        <f aca="false">rent_ext_f</f>
        <v>756</v>
      </c>
      <c r="K17821" s="30" t="n">
        <f aca="false">rent_ext_f</f>
        <v>756</v>
      </c>
      <c r="L17821" s="1" t="s">
        <v>953</v>
      </c>
    </row>
    <row r="17822" customFormat="false" ht="17.15" hidden="false" customHeight="false" outlineLevel="0" collapsed="false">
      <c r="A17822" s="1" t="s">
        <v>954</v>
      </c>
      <c r="B17822" s="0" t="s">
        <v>456</v>
      </c>
      <c r="C17822" s="30" t="n">
        <f aca="false">Sens!C17820-Sens!C17821</f>
        <v>490</v>
      </c>
      <c r="D17822" s="30" t="n">
        <f aca="false">Sens!D17820-Sens!D17821</f>
        <v>1230</v>
      </c>
      <c r="E17822" s="30" t="n">
        <f aca="false">Sens!E17820-Sens!E17821</f>
        <v>2700</v>
      </c>
      <c r="F17822" s="30" t="n">
        <f aca="false">Sens!F17820-Sens!F17821</f>
        <v>5220.5351</v>
      </c>
      <c r="G17822" s="30" t="n">
        <f aca="false">Sens!G17820-Sens!G17821</f>
        <v>7947.0702</v>
      </c>
      <c r="H17822" s="30" t="n">
        <f aca="false">Sens!H17820-Sens!H17821</f>
        <v>10673.6053</v>
      </c>
      <c r="I17822" s="30" t="n">
        <f aca="false">Sens!I17820-Sens!I17821</f>
        <v>12605.5914196667</v>
      </c>
      <c r="J17822" s="30" t="n">
        <f aca="false">Sens!J17820-Sens!J17821</f>
        <v>13781.6682813933</v>
      </c>
      <c r="K17822" s="30" t="n">
        <f aca="false">Sens!K17820-Sens!K17821</f>
        <v>14217.7983298351</v>
      </c>
    </row>
    <row r="17823" customFormat="false" ht="17.15" hidden="false" customHeight="false" outlineLevel="0" collapsed="false">
      <c r="A17823" s="1" t="s">
        <v>955</v>
      </c>
      <c r="B17823" s="0" t="s">
        <v>456</v>
      </c>
      <c r="C17823" s="30" t="n">
        <f aca="false">Sens!C17822/ext_sh</f>
        <v>816.666666666667</v>
      </c>
      <c r="D17823" s="30" t="n">
        <f aca="false">Sens!D17822/ext_sh</f>
        <v>2050</v>
      </c>
      <c r="E17823" s="30" t="n">
        <f aca="false">Sens!E17822/ext_sh</f>
        <v>4500</v>
      </c>
      <c r="F17823" s="30" t="n">
        <f aca="false">Sens!F17822/ext_sh</f>
        <v>8700.89183333333</v>
      </c>
      <c r="G17823" s="30" t="n">
        <f aca="false">Sens!G17822/ext_sh</f>
        <v>13245.117</v>
      </c>
      <c r="H17823" s="30" t="n">
        <f aca="false">Sens!H17822/ext_sh</f>
        <v>17789.3421666667</v>
      </c>
      <c r="I17823" s="30" t="n">
        <f aca="false">Sens!I17822/ext_sh</f>
        <v>21009.3190327778</v>
      </c>
      <c r="J17823" s="30" t="n">
        <f aca="false">Sens!J17822/ext_sh</f>
        <v>22969.4471356556</v>
      </c>
      <c r="K17823" s="30" t="n">
        <f aca="false">Sens!K17822/ext_sh</f>
        <v>23696.3305497252</v>
      </c>
      <c r="L17823" s="1" t="s">
        <v>956</v>
      </c>
    </row>
    <row r="17824" customFormat="false" ht="17.15" hidden="false" customHeight="false" outlineLevel="0" collapsed="false">
      <c r="A17824" s="1" t="s">
        <v>957</v>
      </c>
      <c r="B17824" s="0" t="s">
        <v>456</v>
      </c>
      <c r="C17824" s="30" t="n">
        <f aca="false">Sens!C17823-Sens!C17822</f>
        <v>326.666666666667</v>
      </c>
      <c r="D17824" s="30" t="n">
        <f aca="false">Sens!D17823-Sens!D17822</f>
        <v>820</v>
      </c>
      <c r="E17824" s="30" t="n">
        <f aca="false">Sens!E17823-Sens!E17822</f>
        <v>1800</v>
      </c>
      <c r="F17824" s="30" t="n">
        <f aca="false">Sens!F17823-Sens!F17822</f>
        <v>3480.35673333333</v>
      </c>
      <c r="G17824" s="30" t="n">
        <f aca="false">Sens!G17823-Sens!G17822</f>
        <v>5298.0468</v>
      </c>
      <c r="H17824" s="30" t="n">
        <f aca="false">Sens!H17823-Sens!H17822</f>
        <v>7115.73686666667</v>
      </c>
      <c r="I17824" s="30" t="n">
        <f aca="false">Sens!I17823-Sens!I17822</f>
        <v>8403.72761311111</v>
      </c>
      <c r="J17824" s="30" t="n">
        <f aca="false">Sens!J17823-Sens!J17822</f>
        <v>9187.77885426222</v>
      </c>
      <c r="K17824" s="30" t="n">
        <f aca="false">Sens!K17823-Sens!K17822</f>
        <v>9478.53221989009</v>
      </c>
    </row>
    <row r="17825" customFormat="false" ht="17.15" hidden="false" customHeight="false" outlineLevel="0" collapsed="false">
      <c r="A17825" s="1" t="s">
        <v>958</v>
      </c>
      <c r="B17825" s="0" t="s">
        <v>456</v>
      </c>
      <c r="C17825" s="30" t="n">
        <f aca="false">Sens!C17823</f>
        <v>816.666666666667</v>
      </c>
      <c r="D17825" s="30" t="n">
        <f aca="false">Sens!D17823-Sens!C17823</f>
        <v>1233.33333333333</v>
      </c>
      <c r="E17825" s="30" t="n">
        <f aca="false">Sens!E17823-Sens!D17823</f>
        <v>2450</v>
      </c>
      <c r="F17825" s="30" t="n">
        <f aca="false">Sens!F17823-Sens!E17823</f>
        <v>4200.89183333333</v>
      </c>
      <c r="G17825" s="30" t="n">
        <f aca="false">Sens!G17823-Sens!F17823</f>
        <v>4544.22516666667</v>
      </c>
      <c r="H17825" s="30" t="n">
        <f aca="false">Sens!H17823-Sens!G17823</f>
        <v>4544.22516666667</v>
      </c>
      <c r="I17825" s="30" t="n">
        <f aca="false">Sens!I17823-Sens!H17823</f>
        <v>3219.97686611111</v>
      </c>
      <c r="J17825" s="30" t="n">
        <f aca="false">Sens!J17823-Sens!I17823</f>
        <v>1960.12810287778</v>
      </c>
      <c r="K17825" s="30" t="n">
        <f aca="false">Sens!K17823-Sens!J17823</f>
        <v>726.883414069667</v>
      </c>
    </row>
    <row r="17826" customFormat="false" ht="17.15" hidden="false" customHeight="false" outlineLevel="0" collapsed="false">
      <c r="A17826" s="1" t="s">
        <v>959</v>
      </c>
      <c r="B17826" s="0" t="s">
        <v>456</v>
      </c>
      <c r="D17826" s="30" t="n">
        <f aca="false">Sens!D17820-Sens!C17820</f>
        <v>990</v>
      </c>
      <c r="E17826" s="30" t="n">
        <f aca="false">Sens!E17820-Sens!D17820</f>
        <v>1620</v>
      </c>
      <c r="F17826" s="30" t="n">
        <f aca="false">Sens!F17820-Sens!E17820</f>
        <v>2726.5351</v>
      </c>
      <c r="G17826" s="30" t="n">
        <f aca="false">Sens!G17820-Sens!F17820</f>
        <v>2726.5351</v>
      </c>
      <c r="H17826" s="30" t="n">
        <f aca="false">Sens!H17820-Sens!G17820</f>
        <v>2726.5351</v>
      </c>
      <c r="I17826" s="30" t="n">
        <f aca="false">Sens!I17820-Sens!H17820</f>
        <v>1931.98611966667</v>
      </c>
      <c r="J17826" s="30" t="n">
        <f aca="false">Sens!J17820-Sens!I17820</f>
        <v>1176.07686172667</v>
      </c>
      <c r="K17826" s="30" t="n">
        <f aca="false">Sens!K17820-Sens!J17820</f>
        <v>436.130048441799</v>
      </c>
    </row>
    <row r="17827" customFormat="false" ht="17.15" hidden="false" customHeight="false" outlineLevel="0" collapsed="false">
      <c r="A17827" s="1" t="s">
        <v>960</v>
      </c>
      <c r="B17827" s="0" t="s">
        <v>456</v>
      </c>
      <c r="F17827" s="30" t="n">
        <f aca="false">Sens!F17846*ext_sh</f>
        <v>0</v>
      </c>
      <c r="G17827" s="30" t="n">
        <f aca="false">Sens!G17846*ext_sh</f>
        <v>0</v>
      </c>
      <c r="H17827" s="30" t="n">
        <f aca="false">Sens!H17846*ext_sh</f>
        <v>0</v>
      </c>
      <c r="I17827" s="30" t="n">
        <f aca="false">Sens!I17846*ext_sh</f>
        <v>490</v>
      </c>
      <c r="J17827" s="30" t="n">
        <f aca="false">Sens!J17846*ext_sh</f>
        <v>740</v>
      </c>
      <c r="K17827" s="30" t="n">
        <f aca="false">Sens!K17846*ext_sh</f>
        <v>1470</v>
      </c>
      <c r="L17827" s="1" t="s">
        <v>961</v>
      </c>
    </row>
    <row r="17828" customFormat="false" ht="17.15" hidden="false" customHeight="false" outlineLevel="0" collapsed="false">
      <c r="A17828" s="1" t="s">
        <v>962</v>
      </c>
      <c r="B17828" s="0" t="s">
        <v>456</v>
      </c>
      <c r="C17828" s="30" t="n">
        <f aca="false">mix_h*Sens!C17820</f>
        <v>128</v>
      </c>
      <c r="D17828" s="30" t="n">
        <f aca="false">mix_h*Sens!D17820</f>
        <v>326</v>
      </c>
      <c r="E17828" s="30" t="n">
        <f aca="false">mix_h*Sens!E17820</f>
        <v>650</v>
      </c>
      <c r="F17828" s="30" t="n">
        <f aca="false">Sens!E17828-Sens!F17827*mix_h</f>
        <v>650</v>
      </c>
      <c r="G17828" s="30" t="n">
        <f aca="false">Sens!F17828-Sens!G17827*mix_h</f>
        <v>650</v>
      </c>
      <c r="H17828" s="30" t="n">
        <f aca="false">Sens!G17828-Sens!H17827*mix_h</f>
        <v>650</v>
      </c>
      <c r="I17828" s="30" t="n">
        <f aca="false">Sens!H17828-Sens!I17827*mix_h</f>
        <v>552</v>
      </c>
      <c r="J17828" s="30" t="n">
        <f aca="false">Sens!I17828-Sens!J17827*mix_h</f>
        <v>404</v>
      </c>
      <c r="K17828" s="30" t="n">
        <f aca="false">Sens!J17828-Sens!K17827*mix_h</f>
        <v>110</v>
      </c>
    </row>
    <row r="17829" customFormat="false" ht="17.15" hidden="false" customHeight="false" outlineLevel="0" collapsed="false">
      <c r="A17829" s="1" t="s">
        <v>963</v>
      </c>
      <c r="B17829" s="0" t="s">
        <v>456</v>
      </c>
      <c r="C17829" s="30" t="n">
        <f aca="false">mix_g2*Sens!C17820</f>
        <v>288</v>
      </c>
      <c r="D17829" s="30" t="n">
        <f aca="false">mix_g2*Sens!D17820</f>
        <v>733.5</v>
      </c>
      <c r="E17829" s="30" t="n">
        <f aca="false">mix_g2*Sens!E17820</f>
        <v>1462.5</v>
      </c>
      <c r="F17829" s="30" t="n">
        <f aca="false">Sens!E17829-Sens!F17827*mix_g2</f>
        <v>1462.5</v>
      </c>
      <c r="G17829" s="30" t="n">
        <f aca="false">Sens!F17829-Sens!G17827*mix_g2</f>
        <v>1462.5</v>
      </c>
      <c r="H17829" s="30" t="n">
        <f aca="false">Sens!G17829-Sens!H17827*mix_g2</f>
        <v>1462.5</v>
      </c>
      <c r="I17829" s="30" t="n">
        <f aca="false">Sens!H17829-Sens!I17827*mix_g2</f>
        <v>1242</v>
      </c>
      <c r="J17829" s="30" t="n">
        <f aca="false">Sens!I17829-Sens!J17827*mix_g2</f>
        <v>909</v>
      </c>
      <c r="K17829" s="30" t="n">
        <f aca="false">Sens!J17829-Sens!K17827*mix_g2</f>
        <v>247.5</v>
      </c>
    </row>
    <row r="17830" customFormat="false" ht="17.15" hidden="false" customHeight="false" outlineLevel="0" collapsed="false">
      <c r="A17830" s="1" t="s">
        <v>964</v>
      </c>
      <c r="B17830" s="0" t="s">
        <v>456</v>
      </c>
      <c r="C17830" s="30" t="n">
        <f aca="false">mix_g3*Sens!C17820</f>
        <v>224</v>
      </c>
      <c r="D17830" s="30" t="n">
        <f aca="false">mix_g3*Sens!D17820</f>
        <v>570.5</v>
      </c>
      <c r="E17830" s="30" t="n">
        <f aca="false">mix_g3*Sens!E17820</f>
        <v>1137.5</v>
      </c>
      <c r="F17830" s="30" t="n">
        <f aca="false">Sens!E17830+(Sens!F17826+Sens!F17827)*(a_g3_27-nonnv*a_mai)-Sens!F17827*mix_g3</f>
        <v>2773.42106</v>
      </c>
      <c r="G17830" s="30" t="n">
        <f aca="false">Sens!F17830+(Sens!G17826+Sens!G17827)*(a_g3_28-nonnv*a_mai)-Sens!G17827*mix_g3</f>
        <v>3318.72808</v>
      </c>
      <c r="H17830" s="30" t="n">
        <f aca="false">Sens!G17830+(Sens!H17826+Sens!H17827)*(a_g3_29-nonnv*a_mai)-Sens!H17827*mix_g3</f>
        <v>3318.72808</v>
      </c>
      <c r="I17830" s="30" t="n">
        <f aca="false">Sens!H17830+(Sens!I17826+Sens!I17827)*(a_g3_29-nonnv*a_mai)-Sens!I17827*mix_g3</f>
        <v>3147.22808</v>
      </c>
      <c r="J17830" s="30" t="n">
        <f aca="false">Sens!I17830+(Sens!J17826+Sens!J17827)*(a_g3_29-nonnv*a_mai)-Sens!J17827*mix_g3</f>
        <v>2888.22808</v>
      </c>
      <c r="K17830" s="30" t="n">
        <f aca="false">Sens!J17830+(Sens!K17826+Sens!K17827)*(a_g3_29-nonnv*a_mai)-Sens!K17827*mix_g3</f>
        <v>2373.72808</v>
      </c>
    </row>
    <row r="17831" customFormat="false" ht="17.15" hidden="false" customHeight="false" outlineLevel="0" collapsed="false">
      <c r="A17831" s="1" t="s">
        <v>965</v>
      </c>
      <c r="B17831" s="0" t="s">
        <v>456</v>
      </c>
      <c r="C17831" s="30" t="n">
        <v>0</v>
      </c>
      <c r="D17831" s="30" t="n">
        <v>0</v>
      </c>
      <c r="E17831" s="30" t="n">
        <v>0</v>
      </c>
      <c r="F17831" s="30" t="n">
        <f aca="false">Sens!E17831+(Sens!F17826+Sens!F17827)*nonnv*a_mai</f>
        <v>272.65351</v>
      </c>
      <c r="G17831" s="30" t="n">
        <f aca="false">Sens!F17831+(Sens!G17826+Sens!G17827)*nonnv*a_mai</f>
        <v>545.30702</v>
      </c>
      <c r="H17831" s="30" t="n">
        <f aca="false">Sens!G17831+(Sens!H17826+Sens!H17827)*nonnv*a_mai</f>
        <v>817.96053</v>
      </c>
      <c r="I17831" s="30" t="n">
        <f aca="false">Sens!H17831+(Sens!I17826+Sens!I17827)*nonnv*a_mai</f>
        <v>1060.15914196667</v>
      </c>
      <c r="J17831" s="30" t="n">
        <f aca="false">Sens!I17831+(Sens!J17826+Sens!J17827)*nonnv*a_mai</f>
        <v>1251.76682813933</v>
      </c>
      <c r="K17831" s="30" t="n">
        <f aca="false">Sens!J17831+(Sens!K17826+Sens!K17827)*nonnv*a_mai</f>
        <v>1442.37983298351</v>
      </c>
      <c r="L17831" s="12" t="s">
        <v>966</v>
      </c>
    </row>
    <row r="17832" customFormat="false" ht="17.15" hidden="false" customHeight="false" outlineLevel="0" collapsed="false">
      <c r="A17832" s="1" t="s">
        <v>967</v>
      </c>
      <c r="B17832" s="0" t="s">
        <v>456</v>
      </c>
      <c r="C17832" s="30" t="n">
        <v>0</v>
      </c>
      <c r="D17832" s="30" t="n">
        <v>0</v>
      </c>
      <c r="E17832" s="30" t="n">
        <v>0</v>
      </c>
      <c r="F17832" s="30" t="n">
        <f aca="false">Sens!E17832+(Sens!F17826+Sens!F17827)*(1-a_g3_27)</f>
        <v>817.96053</v>
      </c>
      <c r="G17832" s="30" t="n">
        <f aca="false">Sens!F17832+(Sens!G17826+Sens!G17827)*(1-a_g3_28)</f>
        <v>2726.5351</v>
      </c>
      <c r="H17832" s="30" t="n">
        <f aca="false">Sens!G17832+(Sens!H17826+Sens!H17827)*(1-a_g3_29)</f>
        <v>5180.41669</v>
      </c>
      <c r="I17832" s="30" t="n">
        <f aca="false">Sens!H17832+(Sens!I17826+Sens!I17827)*(1-a_g3_29)</f>
        <v>7360.2041977</v>
      </c>
      <c r="J17832" s="30" t="n">
        <f aca="false">Sens!I17832+(Sens!J17826+Sens!J17827)*(1-a_g3_29)</f>
        <v>9084.673373254</v>
      </c>
      <c r="K17832" s="30" t="n">
        <f aca="false">Sens!J17832+(Sens!K17826+Sens!K17827)*(1-a_g3_29)</f>
        <v>10800.1904168516</v>
      </c>
    </row>
    <row r="17833" customFormat="false" ht="17.15" hidden="false" customHeight="false" outlineLevel="0" collapsed="false">
      <c r="A17833" s="1" t="s">
        <v>968</v>
      </c>
      <c r="B17833" s="0" t="s">
        <v>403</v>
      </c>
      <c r="C17833" s="15" t="n">
        <f aca="false">(Sens!C17828*tk_hold_h100+Sens!C17829*tk_hold_gb200+Sens!C17830*tk_hold_gb300+Sens!C17832*tk_hold_vr200+Sens!C17831*nv_hold_mai*tk_hold_vr200)/Sens!C17820</f>
        <v>9.7235358126469</v>
      </c>
      <c r="D17833" s="15" t="n">
        <f aca="false">(Sens!D17828*tk_hold_h100+Sens!D17829*tk_hold_gb200+Sens!D17830*tk_hold_gb300+Sens!D17832*tk_hold_vr200+Sens!D17831*nv_hold_mai*tk_hold_vr200)/Sens!D17820</f>
        <v>9.7235358126469</v>
      </c>
      <c r="E17833" s="15" t="n">
        <f aca="false">(Sens!E17828*tk_hold_h100+Sens!E17829*tk_hold_gb200+Sens!E17830*tk_hold_gb300+Sens!E17832*tk_hold_vr200+Sens!E17831*nv_hold_mai*tk_hold_vr200)/Sens!E17820</f>
        <v>9.7235358126469</v>
      </c>
      <c r="F17833" s="15" t="n">
        <f aca="false">(Sens!F17828*tk_hold_h100+Sens!F17829*tk_hold_gb200+Sens!F17830*tk_hold_gb300+Sens!F17832*tk_hold_vr200+Sens!F17831*nv_hold_mai*tk_hold_vr200)/Sens!F17820</f>
        <v>10.2195353876665</v>
      </c>
      <c r="G17833" s="15" t="n">
        <f aca="false">(Sens!G17828*tk_hold_h100+Sens!G17829*tk_hold_gb200+Sens!G17830*tk_hold_gb300+Sens!G17832*tk_hold_vr200+Sens!G17831*nv_hold_mai*tk_hold_vr200)/Sens!G17820</f>
        <v>10.5725598017306</v>
      </c>
      <c r="H17833" s="15" t="n">
        <f aca="false">(Sens!H17828*tk_hold_h100+Sens!H17829*tk_hold_gb200+Sens!H17830*tk_hold_gb300+Sens!H17832*tk_hold_vr200+Sens!H17831*nv_hold_mai*tk_hold_vr200)/Sens!H17820</f>
        <v>10.8210427149036</v>
      </c>
      <c r="I17833" s="15" t="n">
        <f aca="false">(Sens!I17828*tk_hold_h100+Sens!I17829*tk_hold_gb200+Sens!I17830*tk_hold_gb300+Sens!I17832*tk_hold_vr200+Sens!I17831*nv_hold_mai*tk_hold_vr200)/Sens!I17820</f>
        <v>11.0050618241982</v>
      </c>
      <c r="J17833" s="15" t="n">
        <f aca="false">(Sens!J17828*tk_hold_h100+Sens!J17829*tk_hold_gb200+Sens!J17830*tk_hold_gb300+Sens!J17832*tk_hold_vr200+Sens!J17831*nv_hold_mai*tk_hold_vr200)/Sens!J17820</f>
        <v>11.1505789658881</v>
      </c>
      <c r="K17833" s="15" t="n">
        <f aca="false">(Sens!K17828*tk_hold_h100+Sens!K17829*tk_hold_gb200+Sens!K17830*tk_hold_gb300+Sens!K17832*tk_hold_vr200+Sens!K17831*nv_hold_mai*tk_hold_vr200)/Sens!K17820</f>
        <v>11.3496914757183</v>
      </c>
      <c r="L17833" s="1" t="s">
        <v>969</v>
      </c>
    </row>
    <row r="17834" customFormat="false" ht="17.15" hidden="false" customHeight="false" outlineLevel="0" collapsed="false">
      <c r="A17834" s="1" t="s">
        <v>970</v>
      </c>
      <c r="B17834" s="0" t="s">
        <v>403</v>
      </c>
      <c r="C17834" s="15" t="n">
        <f aca="false">(Sens!C17828*tk_hold_h100+Sens!C17829*tk_hold_gb200+Sens!C17830*tk_hold_gb300+Sens!C17832*tk_hold_vr200+Sens!C17831*nv_out_mai*tk_hold_vr200)/Sens!C17820</f>
        <v>9.7235358126469</v>
      </c>
      <c r="D17834" s="15" t="n">
        <f aca="false">(Sens!D17828*tk_hold_h100+Sens!D17829*tk_hold_gb200+Sens!D17830*tk_hold_gb300+Sens!D17832*tk_hold_vr200+Sens!D17831*nv_out_mai*tk_hold_vr200)/Sens!D17820</f>
        <v>9.7235358126469</v>
      </c>
      <c r="E17834" s="15" t="n">
        <f aca="false">(Sens!E17828*tk_hold_h100+Sens!E17829*tk_hold_gb200+Sens!E17830*tk_hold_gb300+Sens!E17832*tk_hold_vr200+Sens!E17831*nv_out_mai*tk_hold_vr200)/Sens!E17820</f>
        <v>9.7235358126469</v>
      </c>
      <c r="F17834" s="15" t="n">
        <f aca="false">(Sens!F17828*tk_hold_h100+Sens!F17829*tk_hold_gb200+Sens!F17830*tk_hold_gb300+Sens!F17832*tk_hold_vr200+Sens!F17831*nv_out_mai*tk_hold_vr200)/Sens!F17820</f>
        <v>10.247422093969</v>
      </c>
      <c r="G17834" s="15" t="n">
        <f aca="false">(Sens!G17828*tk_hold_h100+Sens!G17829*tk_hold_gb200+Sens!G17830*tk_hold_gb300+Sens!G17832*tk_hold_vr200+Sens!G17831*nv_out_mai*tk_hold_vr200)/Sens!G17820</f>
        <v>10.6108602808053</v>
      </c>
      <c r="H17834" s="15" t="n">
        <f aca="false">(Sens!H17828*tk_hold_h100+Sens!H17829*tk_hold_gb200+Sens!H17830*tk_hold_gb300+Sens!H17832*tk_hold_vr200+Sens!H17831*nv_out_mai*tk_hold_vr200)/Sens!H17820</f>
        <v>10.8647885507393</v>
      </c>
      <c r="I17834" s="15" t="n">
        <f aca="false">(Sens!I17828*tk_hold_h100+Sens!I17829*tk_hold_gb200+Sens!I17830*tk_hold_gb300+Sens!I17832*tk_hold_vr200+Sens!I17831*nv_out_mai*tk_hold_vr200)/Sens!I17820</f>
        <v>11.0535625770025</v>
      </c>
      <c r="J17834" s="15" t="n">
        <f aca="false">(Sens!J17828*tk_hold_h100+Sens!J17829*tk_hold_gb200+Sens!J17830*tk_hold_gb300+Sens!J17832*tk_hold_vr200+Sens!J17831*nv_out_mai*tk_hold_vr200)/Sens!J17820</f>
        <v>11.2032127128058</v>
      </c>
      <c r="K17834" s="15" t="n">
        <f aca="false">(Sens!K17828*tk_hold_h100+Sens!K17829*tk_hold_gb200+Sens!K17830*tk_hold_gb300+Sens!K17832*tk_hold_vr200+Sens!K17831*nv_out_mai*tk_hold_vr200)/Sens!K17820</f>
        <v>11.4085735724225</v>
      </c>
      <c r="L17834" s="12" t="s">
        <v>971</v>
      </c>
    </row>
    <row r="17835" customFormat="false" ht="17.15" hidden="false" customHeight="false" outlineLevel="0" collapsed="false">
      <c r="A17835" s="0" t="s">
        <v>972</v>
      </c>
      <c r="B17835" s="0" t="s">
        <v>229</v>
      </c>
      <c r="C17835" s="15" t="n">
        <f aca="false">k_B</f>
        <v>1.17213932619116</v>
      </c>
      <c r="D17835" s="15" t="n">
        <f aca="false">k_B</f>
        <v>1.17213932619116</v>
      </c>
      <c r="E17835" s="15" t="n">
        <f aca="false">k_B</f>
        <v>1.17213932619116</v>
      </c>
      <c r="F17835" s="15" t="n">
        <f aca="false">(k_B+((ls_B*k_long+(1-ls_B)*k_spot)-k_B)*MIN(1,(Sens!F17818-base_fy)/k_ramp))</f>
        <v>1.17213932619116</v>
      </c>
      <c r="G17835" s="15" t="n">
        <f aca="false">(k_B+((ls_B*k_long+(1-ls_B)*k_spot)-k_B)*MIN(1,(Sens!G17818-base_fy)/k_ramp))</f>
        <v>1.17213932619116</v>
      </c>
      <c r="H17835" s="15" t="n">
        <f aca="false">(k_B+((ls_B*k_long+(1-ls_B)*k_spot)-k_B)*MIN(1,(Sens!H17818-base_fy)/k_ramp))</f>
        <v>1.17213932619116</v>
      </c>
      <c r="I17835" s="15" t="n">
        <f aca="false">(k_B+((ls_B*k_long+(1-ls_B)*k_spot)-k_B)*MIN(1,(Sens!I17818-base_fy)/k_ramp))</f>
        <v>1.17213932619116</v>
      </c>
      <c r="J17835" s="15" t="n">
        <f aca="false">(k_B+((ls_B*k_long+(1-ls_B)*k_spot)-k_B)*MIN(1,(Sens!J17818-base_fy)/k_ramp))</f>
        <v>1.17213932619116</v>
      </c>
      <c r="K17835" s="15" t="n">
        <f aca="false">(k_B+((ls_B*k_long+(1-ls_B)*k_spot)-k_B)*MIN(1,(Sens!K17818-base_fy)/k_ramp))</f>
        <v>1.17213932619116</v>
      </c>
      <c r="L17835" s="1" t="s">
        <v>973</v>
      </c>
    </row>
    <row r="17836" customFormat="false" ht="17.15" hidden="false" customHeight="false" outlineLevel="0" collapsed="false">
      <c r="A17836" s="1" t="s">
        <v>974</v>
      </c>
      <c r="B17836" s="0" t="s">
        <v>403</v>
      </c>
      <c r="C17836" s="15" t="n">
        <f aca="false">Sens!C17834*Sens!C17835*chip_f</f>
        <v>11.3973387156315</v>
      </c>
      <c r="D17836" s="15" t="n">
        <f aca="false">Sens!D17834*Sens!D17835*chip_f</f>
        <v>11.3973387156315</v>
      </c>
      <c r="E17836" s="15" t="n">
        <f aca="false">Sens!E17834*Sens!E17835*chip_f</f>
        <v>11.3973387156315</v>
      </c>
      <c r="F17836" s="15" t="n">
        <f aca="false">Sens!F17834*Sens!F17835*chip_f</f>
        <v>12.0114064284211</v>
      </c>
      <c r="G17836" s="15" t="n">
        <f aca="false">Sens!G17834*Sens!G17835*chip_f</f>
        <v>12.4374066198516</v>
      </c>
      <c r="H17836" s="15" t="n">
        <f aca="false">Sens!H17834*Sens!H17835*chip_f</f>
        <v>12.735045931073</v>
      </c>
      <c r="I17836" s="15" t="n">
        <f aca="false">Sens!I17834*Sens!I17835*chip_f</f>
        <v>12.9563153910195</v>
      </c>
      <c r="J17836" s="15" t="n">
        <f aca="false">Sens!J17834*Sens!J17835*chip_f</f>
        <v>13.1317262003643</v>
      </c>
      <c r="K17836" s="15" t="n">
        <f aca="false">Sens!K17834*Sens!K17835*chip_f</f>
        <v>13.3724377399815</v>
      </c>
      <c r="L17836" s="1" t="s">
        <v>975</v>
      </c>
    </row>
    <row r="17837" customFormat="false" ht="17.15" hidden="false" customHeight="false" outlineLevel="0" collapsed="false">
      <c r="A17837" s="0" t="s">
        <v>976</v>
      </c>
      <c r="B17837" s="0" t="s">
        <v>98</v>
      </c>
      <c r="D17837" s="6" t="n">
        <f aca="false">(Sens!C17820+Sens!D17820)/2*Sens!D17836/1000</f>
        <v>12.9359794422418</v>
      </c>
      <c r="E17837" s="6" t="n">
        <f aca="false">(Sens!D17820+Sens!E17820)/2*Sens!E17836/1000</f>
        <v>27.8095064661409</v>
      </c>
      <c r="F17837" s="6" t="n">
        <f aca="false">(Sens!E17820+Sens!F17820)/2*Sens!F17836/1000</f>
        <v>55.4118315060966</v>
      </c>
      <c r="G17837" s="6" t="n">
        <f aca="false">(Sens!F17820+Sens!G17820)/2*Sens!G17836/1000</f>
        <v>91.2881100675143</v>
      </c>
      <c r="H17837" s="6" t="n">
        <f aca="false">(Sens!G17820+Sens!H17820)/2*Sens!H17836/1000</f>
        <v>128.195273603944</v>
      </c>
      <c r="I17837" s="6" t="n">
        <f aca="false">(Sens!H17820+Sens!I17820)/2*Sens!I17836/1000</f>
        <v>160.601281810405</v>
      </c>
      <c r="J17837" s="6" t="n">
        <f aca="false">(Sens!I17820+Sens!J17820)/2*Sens!J17836/1000</f>
        <v>183.182719793589</v>
      </c>
      <c r="K17837" s="6" t="n">
        <f aca="false">(Sens!J17820+Sens!K17820)/2*Sens!K17836/1000</f>
        <v>197.320124937098</v>
      </c>
      <c r="L17837" s="12" t="s">
        <v>977</v>
      </c>
    </row>
    <row r="17838" customFormat="false" ht="17.15" hidden="false" customHeight="false" outlineLevel="0" collapsed="false">
      <c r="A17838" s="1" t="s">
        <v>978</v>
      </c>
      <c r="B17838" s="0" t="s">
        <v>403</v>
      </c>
      <c r="C17838" s="15" t="n">
        <f aca="false">(Sens!C17828*tk_opex_h100+Sens!C17829*tk_opex_gb200+Sens!C17830*tk_opex_gb300+(Sens!C17832+Sens!C17831)*tk_opex_vr200)/Sens!C17820</f>
        <v>1.88636041306092</v>
      </c>
      <c r="D17838" s="15" t="n">
        <f aca="false">(Sens!D17828*tk_opex_h100+Sens!D17829*tk_opex_gb200+Sens!D17830*tk_opex_gb300+(Sens!D17832+Sens!D17831)*tk_opex_vr200)/Sens!D17820</f>
        <v>1.88636041306092</v>
      </c>
      <c r="E17838" s="15" t="n">
        <f aca="false">(Sens!E17828*tk_opex_h100+Sens!E17829*tk_opex_gb200+Sens!E17830*tk_opex_gb300+(Sens!E17832+Sens!E17831)*tk_opex_vr200)/Sens!E17820</f>
        <v>1.88636041306092</v>
      </c>
      <c r="F17838" s="15" t="n">
        <f aca="false">(Sens!F17828*tk_opex_h100+Sens!F17829*tk_opex_gb200+Sens!F17830*tk_opex_gb300+(Sens!F17832+Sens!F17831)*tk_opex_vr200)/Sens!F17820</f>
        <v>1.95051159746876</v>
      </c>
      <c r="G17838" s="15" t="n">
        <f aca="false">(Sens!G17828*tk_opex_h100+Sens!G17829*tk_opex_gb200+Sens!G17830*tk_opex_gb300+(Sens!G17832+Sens!G17831)*tk_opex_vr200)/Sens!G17820</f>
        <v>1.98836003669956</v>
      </c>
      <c r="H17838" s="15" t="n">
        <f aca="false">(Sens!H17828*tk_opex_h100+Sens!H17829*tk_opex_gb200+Sens!H17830*tk_opex_gb300+(Sens!H17832+Sens!H17831)*tk_opex_vr200)/Sens!H17820</f>
        <v>2.01344013834343</v>
      </c>
      <c r="I17838" s="15" t="n">
        <f aca="false">(Sens!I17828*tk_opex_h100+Sens!I17829*tk_opex_gb200+Sens!I17830*tk_opex_gb300+(Sens!I17832+Sens!I17831)*tk_opex_vr200)/Sens!I17820</f>
        <v>2.03261166882178</v>
      </c>
      <c r="J17838" s="15" t="n">
        <f aca="false">(Sens!J17828*tk_opex_h100+Sens!J17829*tk_opex_gb200+Sens!J17830*tk_opex_gb300+(Sens!J17832+Sens!J17831)*tk_opex_vr200)/Sens!J17820</f>
        <v>2.04808073288745</v>
      </c>
      <c r="K17838" s="15" t="n">
        <f aca="false">(Sens!K17828*tk_opex_h100+Sens!K17829*tk_opex_gb200+Sens!K17830*tk_opex_gb300+(Sens!K17832+Sens!K17831)*tk_opex_vr200)/Sens!K17820</f>
        <v>2.06973825807449</v>
      </c>
      <c r="L17838" s="12" t="s">
        <v>979</v>
      </c>
    </row>
    <row r="17839" customFormat="false" ht="17.15" hidden="false" customHeight="false" outlineLevel="0" collapsed="false">
      <c r="A17839" s="0" t="s">
        <v>980</v>
      </c>
      <c r="B17839" s="0" t="s">
        <v>98</v>
      </c>
      <c r="D17839" s="6" t="n">
        <f aca="false">(Sens!C17823+Sens!D17823)/2*Sens!D17838/1000</f>
        <v>2.70378325872065</v>
      </c>
      <c r="E17839" s="6" t="n">
        <f aca="false">(Sens!D17823+Sens!E17823)/2*Sens!E17838/1000</f>
        <v>6.17783035277451</v>
      </c>
      <c r="F17839" s="6" t="n">
        <f aca="false">(Sens!E17823+Sens!F17823)/2*Sens!F17838/1000</f>
        <v>12.8742463089237</v>
      </c>
      <c r="G17839" s="6" t="n">
        <f aca="false">(Sens!F17823+Sens!G17823)/2*Sens!G17838/1000</f>
        <v>21.8182834646277</v>
      </c>
      <c r="H17839" s="6" t="n">
        <f aca="false">(Sens!G17823+Sens!H17823)/2*Sens!H17838/1000</f>
        <v>31.2430128789734</v>
      </c>
      <c r="I17839" s="6" t="n">
        <f aca="false">(Sens!H17823+Sens!I17823)/2*Sens!I17838/1000</f>
        <v>39.4313057443268</v>
      </c>
      <c r="J17839" s="6" t="n">
        <f aca="false">(Sens!I17823+Sens!J17823)/2*Sens!J17838/1000</f>
        <v>45.0360318228653</v>
      </c>
      <c r="K17839" s="6" t="n">
        <f aca="false">(Sens!J17823+Sens!K17823)/2*Sens!K17838/1000</f>
        <v>48.2929727091156</v>
      </c>
    </row>
    <row r="17840" customFormat="false" ht="17.15" hidden="false" customHeight="false" outlineLevel="0" collapsed="false">
      <c r="A17840" s="0" t="s">
        <v>981</v>
      </c>
      <c r="B17840" s="0" t="s">
        <v>98</v>
      </c>
      <c r="D17840" s="6" t="n">
        <f aca="false">(Sens!C17821+Sens!D17821)/2*rent_mw/1000</f>
        <v>2.44475</v>
      </c>
      <c r="E17840" s="6" t="n">
        <f aca="false">(Sens!D17821+Sens!E17821)/2*rent_mw/1000</f>
        <v>4.22275</v>
      </c>
      <c r="F17840" s="6" t="n">
        <f aca="false">(Sens!E17821+Sens!F17821)/2*rent_mw/1000</f>
        <v>5.80517</v>
      </c>
      <c r="G17840" s="6" t="n">
        <f aca="false">(Sens!F17821+Sens!G17821)/2*rent_mw/1000</f>
        <v>6.72084</v>
      </c>
      <c r="H17840" s="6" t="n">
        <f aca="false">(Sens!G17821+Sens!H17821)/2*rent_mw/1000</f>
        <v>6.72084</v>
      </c>
      <c r="I17840" s="6" t="n">
        <f aca="false">(Sens!H17821+Sens!I17821)/2*rent_mw/1000</f>
        <v>6.72084</v>
      </c>
      <c r="J17840" s="6" t="n">
        <f aca="false">(Sens!I17821+Sens!J17821)/2*rent_mw/1000</f>
        <v>6.72084</v>
      </c>
      <c r="K17840" s="6" t="n">
        <f aca="false">(Sens!J17821+Sens!K17821)/2*rent_mw/1000</f>
        <v>6.72084</v>
      </c>
    </row>
    <row r="17841" customFormat="false" ht="17.15" hidden="false" customHeight="false" outlineLevel="0" collapsed="false">
      <c r="A17841" s="0" t="s">
        <v>982</v>
      </c>
      <c r="B17841" s="0" t="s">
        <v>98</v>
      </c>
      <c r="D17841" s="6" t="n">
        <f aca="false">(Sens!C17823+Sens!D17823)/2*(1-self_build)*fac_rent/1000</f>
        <v>0.853242375631075</v>
      </c>
      <c r="E17841" s="6" t="n">
        <f aca="false">(Sens!D17823+Sens!E17823)/2*(1-self_build)*fac_rent/1000</f>
        <v>1.94955961408728</v>
      </c>
      <c r="F17841" s="6" t="n">
        <f aca="false">(Sens!E17823+Sens!F17823)/2*(1-self_build)*fac_rent/1000</f>
        <v>3.92914894476356</v>
      </c>
      <c r="G17841" s="6" t="n">
        <f aca="false">(Sens!F17823+Sens!G17823)/2*(1-self_build)*fac_rent/1000</f>
        <v>6.53206908578159</v>
      </c>
      <c r="H17841" s="6" t="n">
        <f aca="false">(Sens!G17823+Sens!H17823)/2*(1-self_build)*fac_rent/1000</f>
        <v>9.23717988341591</v>
      </c>
      <c r="I17841" s="6" t="n">
        <f aca="false">(Sens!H17823+Sens!I17823)/2*(1-self_build)*fac_rent/1000</f>
        <v>11.5481378557393</v>
      </c>
      <c r="J17841" s="6" t="n">
        <f aca="false">(Sens!I17823+Sens!J17823)/2*(1-self_build)*fac_rent/1000</f>
        <v>13.0899582289108</v>
      </c>
      <c r="K17841" s="6" t="n">
        <f aca="false">(Sens!J17823+Sens!K17823)/2*(1-self_build)*fac_rent/1000</f>
        <v>13.8897275626556</v>
      </c>
      <c r="L17841" s="12" t="s">
        <v>983</v>
      </c>
    </row>
    <row r="17842" customFormat="false" ht="17.15" hidden="false" customHeight="false" outlineLevel="0" collapsed="false">
      <c r="A17842" s="1" t="s">
        <v>984</v>
      </c>
      <c r="B17842" s="0" t="s">
        <v>168</v>
      </c>
      <c r="D17842" s="7" t="n">
        <f aca="false">(Sens!C17822+Sens!D17822)/(Sens!C17823+Sens!D17823)</f>
        <v>0.6</v>
      </c>
      <c r="E17842" s="7" t="n">
        <f aca="false">(Sens!D17822+Sens!E17822)/(Sens!D17823+Sens!E17823)</f>
        <v>0.6</v>
      </c>
      <c r="F17842" s="7" t="n">
        <f aca="false">(Sens!E17822+Sens!F17822)/(Sens!E17823+Sens!F17823)</f>
        <v>0.6</v>
      </c>
      <c r="G17842" s="7" t="n">
        <f aca="false">(Sens!F17822+Sens!G17822)/(Sens!F17823+Sens!G17823)</f>
        <v>0.6</v>
      </c>
      <c r="H17842" s="7" t="n">
        <f aca="false">(Sens!G17822+Sens!H17822)/(Sens!G17823+Sens!H17823)</f>
        <v>0.6</v>
      </c>
      <c r="I17842" s="7" t="n">
        <f aca="false">(Sens!H17822+Sens!I17822)/(Sens!H17823+Sens!I17823)</f>
        <v>0.6</v>
      </c>
      <c r="J17842" s="7" t="n">
        <f aca="false">(Sens!I17822+Sens!J17822)/(Sens!I17823+Sens!J17823)</f>
        <v>0.6</v>
      </c>
      <c r="K17842" s="7" t="n">
        <f aca="false">(Sens!J17822+Sens!K17822)/(Sens!J17823+Sens!K17823)</f>
        <v>0.6</v>
      </c>
    </row>
    <row r="17843" customFormat="false" ht="17.15" hidden="false" customHeight="false" outlineLevel="0" collapsed="false">
      <c r="A17843" s="0" t="s">
        <v>985</v>
      </c>
      <c r="B17843" s="0" t="s">
        <v>98</v>
      </c>
      <c r="D17843" s="6" t="n">
        <f aca="false">Sens!D17837-Sens!D17842*(Sens!D17839+Sens!D17841)-Sens!D17840</f>
        <v>8.35701406163072</v>
      </c>
      <c r="E17843" s="6" t="n">
        <f aca="false">Sens!E17837-Sens!E17842*(Sens!E17839+Sens!E17841)-Sens!E17840</f>
        <v>18.7103224860238</v>
      </c>
      <c r="F17843" s="6" t="n">
        <f aca="false">Sens!F17837-Sens!F17842*(Sens!F17839+Sens!F17841)-Sens!F17840</f>
        <v>39.5246243538843</v>
      </c>
      <c r="G17843" s="6" t="n">
        <f aca="false">Sens!G17837-Sens!G17842*(Sens!G17839+Sens!G17841)-Sens!G17840</f>
        <v>67.5570585372687</v>
      </c>
      <c r="H17843" s="6" t="n">
        <f aca="false">Sens!H17837-Sens!H17842*(Sens!H17839+Sens!H17841)-Sens!H17840</f>
        <v>97.1863179465102</v>
      </c>
      <c r="I17843" s="6" t="n">
        <f aca="false">Sens!I17837-Sens!I17842*(Sens!I17839+Sens!I17841)-Sens!I17840</f>
        <v>123.292775650365</v>
      </c>
      <c r="J17843" s="6" t="n">
        <f aca="false">Sens!J17837-Sens!J17842*(Sens!J17839+Sens!J17841)-Sens!J17840</f>
        <v>141.586285762524</v>
      </c>
      <c r="K17843" s="6" t="n">
        <f aca="false">Sens!K17837-Sens!K17842*(Sens!K17839+Sens!K17841)-Sens!K17840</f>
        <v>153.289664774035</v>
      </c>
    </row>
    <row r="17844" customFormat="false" ht="17.15" hidden="false" customHeight="false" outlineLevel="0" collapsed="false">
      <c r="A17844" s="1" t="s">
        <v>986</v>
      </c>
      <c r="B17844" s="0" t="s">
        <v>98</v>
      </c>
      <c r="D17844" s="6" t="n">
        <f aca="false">(1-Sens!D17842)*(Sens!D17839+Sens!D17841)</f>
        <v>1.42281025374069</v>
      </c>
      <c r="E17844" s="6" t="n">
        <f aca="false">(1-Sens!E17842)*(Sens!E17839+Sens!E17841)</f>
        <v>3.25095598674472</v>
      </c>
      <c r="F17844" s="6" t="n">
        <f aca="false">(1-Sens!F17842)*(Sens!F17839+Sens!F17841)</f>
        <v>6.72135810147489</v>
      </c>
      <c r="G17844" s="6" t="n">
        <f aca="false">(1-Sens!G17842)*(Sens!G17839+Sens!G17841)</f>
        <v>11.3401410201637</v>
      </c>
      <c r="H17844" s="6" t="n">
        <f aca="false">(1-Sens!H17842)*(Sens!H17839+Sens!H17841)</f>
        <v>16.1920771049557</v>
      </c>
      <c r="I17844" s="6" t="n">
        <f aca="false">(1-Sens!I17842)*(Sens!I17839+Sens!I17841)</f>
        <v>20.3917774400264</v>
      </c>
      <c r="J17844" s="6" t="n">
        <f aca="false">(1-Sens!J17842)*(Sens!J17839+Sens!J17841)</f>
        <v>23.2503960207104</v>
      </c>
      <c r="K17844" s="6" t="n">
        <f aca="false">(1-Sens!K17842)*(Sens!K17839+Sens!K17841)</f>
        <v>24.8730801087085</v>
      </c>
    </row>
    <row r="17845" customFormat="false" ht="17.15" hidden="false" customHeight="false" outlineLevel="0" collapsed="false">
      <c r="A17845" s="1" t="s">
        <v>987</v>
      </c>
      <c r="B17845" s="0" t="s">
        <v>414</v>
      </c>
      <c r="C17845" s="8" t="n">
        <f aca="false">cxit_open</f>
        <v>27.5918995</v>
      </c>
      <c r="D17845" s="8" t="n">
        <f aca="false">cxit_open</f>
        <v>27.5918995</v>
      </c>
      <c r="E17845" s="8" t="n">
        <f aca="false">cxit_open</f>
        <v>27.5918995</v>
      </c>
      <c r="F17845" s="8" t="n">
        <f aca="false">((a_g3_27-nonnv*a_mai)*tk_cxit_gb300+nonnv*a_mai*nv_hold_mai*tk_cxit_vr200+(1-a_g3_27)*tk_cxit_vr200)</f>
        <v>32.4975576</v>
      </c>
      <c r="G17845" s="8" t="n">
        <f aca="false">((a_g3_28-nonnv*a_mai)*tk_cxit_gb300+nonnv*a_mai*nv_hold_mai*tk_cxit_vr200+(1-a_g3_28)*tk_cxit_vr200)</f>
        <v>34.6372088</v>
      </c>
      <c r="H17845" s="8" t="n">
        <f aca="false">((a_g3_29-nonnv*a_mai)*tk_cxit_gb300+nonnv*a_mai*nv_hold_mai*tk_cxit_vr200+(1-a_g3_29)*tk_cxit_vr200)</f>
        <v>35.7070344</v>
      </c>
      <c r="I17845" s="8" t="n">
        <f aca="false">((a_g3_29-nonnv*a_mai)*tk_cxit_gb300+nonnv*a_mai*nv_hold_mai*tk_cxit_vr200+(1-a_g3_29)*tk_cxit_vr200)</f>
        <v>35.7070344</v>
      </c>
      <c r="J17845" s="8" t="n">
        <f aca="false">((a_g3_29-nonnv*a_mai)*tk_cxit_gb300+nonnv*a_mai*nv_hold_mai*tk_cxit_vr200+(1-a_g3_29)*tk_cxit_vr200)</f>
        <v>35.7070344</v>
      </c>
      <c r="K17845" s="8" t="n">
        <f aca="false">((a_g3_29-nonnv*a_mai)*tk_cxit_gb300+nonnv*a_mai*nv_hold_mai*tk_cxit_vr200+(1-a_g3_29)*tk_cxit_vr200)</f>
        <v>35.7070344</v>
      </c>
      <c r="L17845" s="12" t="s">
        <v>988</v>
      </c>
    </row>
    <row r="17846" customFormat="false" ht="17.15" hidden="false" customHeight="false" outlineLevel="0" collapsed="false">
      <c r="A17846" s="0" t="s">
        <v>989</v>
      </c>
      <c r="B17846" s="0" t="s">
        <v>456</v>
      </c>
      <c r="F17846" s="30" t="n">
        <f aca="false">Sens!C17825*IF(Sens!F17818-Sens!C17818=life_it,1,0)+Sens!D17825*IF(Sens!F17818-Sens!D17818=life_it,1,0)+Sens!E17825*IF(Sens!F17818-Sens!E17818=life_it,1,0)</f>
        <v>0</v>
      </c>
      <c r="G17846" s="30" t="n">
        <f aca="false">Sens!C17825*IF(Sens!G17818-Sens!C17818=life_it,1,0)+Sens!D17825*IF(Sens!G17818-Sens!D17818=life_it,1,0)+Sens!E17825*IF(Sens!G17818-Sens!E17818=life_it,1,0)+Sens!F17825*IF(Sens!G17818-Sens!F17818=life_it,1,0)</f>
        <v>0</v>
      </c>
      <c r="H17846" s="30" t="n">
        <f aca="false">Sens!C17825*IF(Sens!H17818-Sens!C17818=life_it,1,0)+Sens!D17825*IF(Sens!H17818-Sens!D17818=life_it,1,0)+Sens!E17825*IF(Sens!H17818-Sens!E17818=life_it,1,0)+Sens!F17825*IF(Sens!H17818-Sens!F17818=life_it,1,0)+Sens!G17825*IF(Sens!H17818-Sens!G17818=life_it,1,0)</f>
        <v>0</v>
      </c>
      <c r="I17846" s="30" t="n">
        <f aca="false">Sens!C17825*IF(Sens!I17818-Sens!C17818=life_it,1,0)+Sens!D17825*IF(Sens!I17818-Sens!D17818=life_it,1,0)+Sens!E17825*IF(Sens!I17818-Sens!E17818=life_it,1,0)+Sens!F17825*IF(Sens!I17818-Sens!F17818=life_it,1,0)+Sens!G17825*IF(Sens!I17818-Sens!G17818=life_it,1,0)+Sens!H17825*IF(Sens!I17818-Sens!H17818=life_it,1,0)</f>
        <v>816.666666666667</v>
      </c>
      <c r="J17846" s="30" t="n">
        <f aca="false">Sens!C17825*IF(Sens!J17818-Sens!C17818=life_it,1,0)+Sens!D17825*IF(Sens!J17818-Sens!D17818=life_it,1,0)+Sens!E17825*IF(Sens!J17818-Sens!E17818=life_it,1,0)+Sens!F17825*IF(Sens!J17818-Sens!F17818=life_it,1,0)+Sens!G17825*IF(Sens!J17818-Sens!G17818=life_it,1,0)+Sens!H17825*IF(Sens!J17818-Sens!H17818=life_it,1,0)+Sens!I17825*IF(Sens!J17818-Sens!I17818=life_it,1,0)</f>
        <v>1233.33333333333</v>
      </c>
      <c r="K17846" s="30" t="n">
        <f aca="false">Sens!C17825*IF(Sens!K17818-Sens!C17818=life_it,1,0)+Sens!D17825*IF(Sens!K17818-Sens!D17818=life_it,1,0)+Sens!E17825*IF(Sens!K17818-Sens!E17818=life_it,1,0)+Sens!F17825*IF(Sens!K17818-Sens!F17818=life_it,1,0)+Sens!G17825*IF(Sens!K17818-Sens!G17818=life_it,1,0)+Sens!H17825*IF(Sens!K17818-Sens!H17818=life_it,1,0)+Sens!I17825*IF(Sens!K17818-Sens!I17818=life_it,1,0)+Sens!J17825*IF(Sens!K17818-Sens!J17818=life_it,1,0)</f>
        <v>2450</v>
      </c>
      <c r="L17846" s="1" t="s">
        <v>990</v>
      </c>
    </row>
    <row r="17847" customFormat="false" ht="17.15" hidden="false" customHeight="false" outlineLevel="0" collapsed="false">
      <c r="A17847" s="0" t="s">
        <v>991</v>
      </c>
      <c r="B17847" s="0" t="s">
        <v>98</v>
      </c>
      <c r="C17847" s="6" t="n">
        <f aca="false">Sens!C17825*Sens!C17845/1000</f>
        <v>22.5333845916667</v>
      </c>
      <c r="D17847" s="6" t="n">
        <f aca="false">Sens!D17825*Sens!D17845/1000</f>
        <v>34.0300093833333</v>
      </c>
      <c r="E17847" s="6" t="n">
        <f aca="false">Sens!E17825*Sens!E17845/1000</f>
        <v>67.600153775</v>
      </c>
      <c r="F17847" s="6" t="n">
        <f aca="false">(Sens!F17825+Sens!F17846)*Sens!F17845/1000</f>
        <v>136.51872432512</v>
      </c>
      <c r="G17847" s="6" t="n">
        <f aca="false">(Sens!G17825+Sens!G17846)*Sens!G17845/1000</f>
        <v>157.399275932048</v>
      </c>
      <c r="H17847" s="6" t="n">
        <f aca="false">(Sens!H17825+Sens!H17846)*Sens!H17845/1000</f>
        <v>162.260804347512</v>
      </c>
      <c r="I17847" s="6" t="n">
        <f aca="false">(Sens!I17825+Sens!I17846)*Sens!I17845/1000</f>
        <v>144.136569485434</v>
      </c>
      <c r="J17847" s="6" t="n">
        <f aca="false">(Sens!J17825+Sens!J17846)*Sens!J17845/1000</f>
        <v>114.029037357864</v>
      </c>
      <c r="K17847" s="6" t="n">
        <f aca="false">(Sens!K17825+Sens!K17846)*Sens!K17845/1000</f>
        <v>113.437085350975</v>
      </c>
    </row>
    <row r="17848" customFormat="false" ht="17.15" hidden="false" customHeight="false" outlineLevel="0" collapsed="false">
      <c r="A17848" s="0" t="s">
        <v>992</v>
      </c>
      <c r="B17848" s="0" t="s">
        <v>98</v>
      </c>
      <c r="C17848" s="6" t="n">
        <f aca="false">Sens!C17825*self_build*tk_cxfac/1000</f>
        <v>6.2083</v>
      </c>
      <c r="D17848" s="6" t="n">
        <f aca="false">Sens!D17825*self_build*tk_cxfac/1000</f>
        <v>9.3758</v>
      </c>
      <c r="E17848" s="6" t="n">
        <f aca="false">Sens!E17825*self_build*tk_cxfac/1000</f>
        <v>18.6249</v>
      </c>
      <c r="F17848" s="6" t="n">
        <f aca="false">Sens!F17825*self_build*tk_cxfac/1000</f>
        <v>31.935179717</v>
      </c>
      <c r="G17848" s="6" t="n">
        <f aca="false">Sens!G17825*self_build*tk_cxfac/1000</f>
        <v>34.545199717</v>
      </c>
      <c r="H17848" s="6" t="n">
        <f aca="false">Sens!H17825*self_build*tk_cxfac/1000</f>
        <v>34.545199717</v>
      </c>
      <c r="I17848" s="6" t="n">
        <f aca="false">Sens!I17825*self_build*tk_cxfac/1000</f>
        <v>24.4782641361767</v>
      </c>
      <c r="J17848" s="6" t="n">
        <f aca="false">Sens!J17825*self_build*tk_cxfac/1000</f>
        <v>14.9008938380769</v>
      </c>
      <c r="K17848" s="6" t="n">
        <f aca="false">Sens!K17825*self_build*tk_cxfac/1000</f>
        <v>5.52576771375761</v>
      </c>
    </row>
    <row r="17849" customFormat="false" ht="17.15" hidden="false" customHeight="false" outlineLevel="0" collapsed="false">
      <c r="A17849" s="0" t="s">
        <v>993</v>
      </c>
      <c r="B17849" s="0" t="s">
        <v>98</v>
      </c>
      <c r="F17849" s="15" t="n">
        <f aca="false">capex_floor27-Sens!F17847-Sens!F17848-Sens!F17945</f>
        <v>1.94586576753863E-005</v>
      </c>
      <c r="L17849" s="12" t="s">
        <v>994</v>
      </c>
    </row>
    <row r="17850" customFormat="false" ht="17.15" hidden="false" customHeight="false" outlineLevel="0" collapsed="false">
      <c r="A17850" s="0" t="s">
        <v>995</v>
      </c>
      <c r="B17850" s="0" t="s">
        <v>98</v>
      </c>
      <c r="F17850" s="6" t="n">
        <f aca="false">MAX(0,Sens!F17849)</f>
        <v>1.94586576753863E-005</v>
      </c>
    </row>
    <row r="17851" customFormat="false" ht="17.15" hidden="false" customHeight="false" outlineLevel="0" collapsed="false">
      <c r="A17851" s="0" t="s">
        <v>996</v>
      </c>
      <c r="B17851" s="0" t="s">
        <v>98</v>
      </c>
      <c r="C17851" s="6" t="n">
        <f aca="false">Sens!C17847</f>
        <v>22.5333845916667</v>
      </c>
      <c r="D17851" s="6" t="n">
        <f aca="false">Sens!D17847</f>
        <v>34.0300093833333</v>
      </c>
      <c r="E17851" s="6" t="n">
        <f aca="false">Sens!E17847</f>
        <v>67.600153775</v>
      </c>
      <c r="F17851" s="6" t="n">
        <f aca="false">Sens!F17847+Sens!F17850</f>
        <v>136.518743783777</v>
      </c>
      <c r="G17851" s="6" t="n">
        <f aca="false">Sens!G17847</f>
        <v>157.399275932048</v>
      </c>
      <c r="H17851" s="6" t="n">
        <f aca="false">Sens!H17847</f>
        <v>162.260804347512</v>
      </c>
      <c r="I17851" s="6" t="n">
        <f aca="false">Sens!I17847</f>
        <v>144.136569485434</v>
      </c>
      <c r="J17851" s="6" t="n">
        <f aca="false">Sens!J17847</f>
        <v>114.029037357864</v>
      </c>
      <c r="K17851" s="6" t="n">
        <f aca="false">Sens!K17847</f>
        <v>113.437085350975</v>
      </c>
    </row>
    <row r="17852" customFormat="false" ht="17.15" hidden="false" customHeight="false" outlineLevel="0" collapsed="false">
      <c r="A17852" s="0" t="s">
        <v>997</v>
      </c>
      <c r="B17852" s="0" t="s">
        <v>98</v>
      </c>
      <c r="C17852" s="6" t="n">
        <f aca="false">Sens!C17851+Sens!C17848</f>
        <v>28.7416845916667</v>
      </c>
      <c r="D17852" s="6" t="n">
        <f aca="false">Sens!D17851+Sens!D17848</f>
        <v>43.4058093833333</v>
      </c>
      <c r="E17852" s="6" t="n">
        <f aca="false">Sens!E17851+Sens!E17848</f>
        <v>86.225053775</v>
      </c>
      <c r="F17852" s="6" t="n">
        <f aca="false">Sens!F17851+Sens!F17848</f>
        <v>168.453923500777</v>
      </c>
      <c r="G17852" s="6" t="n">
        <f aca="false">Sens!G17851+Sens!G17848</f>
        <v>191.944475649048</v>
      </c>
      <c r="H17852" s="6" t="n">
        <f aca="false">Sens!H17851+Sens!H17848</f>
        <v>196.806004064512</v>
      </c>
      <c r="I17852" s="6" t="n">
        <f aca="false">Sens!I17851+Sens!I17848</f>
        <v>168.61483362161</v>
      </c>
      <c r="J17852" s="6" t="n">
        <f aca="false">Sens!J17851+Sens!J17848</f>
        <v>128.92993119594</v>
      </c>
      <c r="K17852" s="6" t="n">
        <f aca="false">Sens!K17851+Sens!K17848</f>
        <v>118.962853064733</v>
      </c>
      <c r="L17852" s="12" t="s">
        <v>998</v>
      </c>
    </row>
    <row r="17853" customFormat="false" ht="17.15" hidden="false" customHeight="false" outlineLevel="0" collapsed="false">
      <c r="A17853" s="0" t="s">
        <v>999</v>
      </c>
      <c r="B17853" s="0" t="s">
        <v>98</v>
      </c>
      <c r="E17853" s="6" t="n">
        <f aca="false">(Sens!C17851*IF(2&lt;life_it,1,IF(2=life_it,0.5,0))+Sens!D17851*IF(1&lt;life_it,1,IF(1=life_it,0.5,0))+Sens!E17851*0.5)/life_it</f>
        <v>15.0605784770833</v>
      </c>
      <c r="F17853" s="6" t="n">
        <f aca="false">(Sens!C17851*IF(3&lt;life_it,1,IF(3=life_it,0.5,0))+Sens!D17851*IF(2&lt;life_it,1,IF(2=life_it,0.5,0))+Sens!E17851*IF(1&lt;life_it,1,IF(1=life_it,0.5,0))+Sens!F17851*0.5)/life_it</f>
        <v>32.0704866069814</v>
      </c>
      <c r="G17853" s="6" t="n">
        <f aca="false">(Sens!C17851*IF(4&lt;life_it,1,IF(4=life_it,0.5,0))+Sens!D17851*IF(3&lt;life_it,1,IF(3=life_it,0.5,0))+Sens!E17851*IF(2&lt;life_it,1,IF(2=life_it,0.5,0))+Sens!F17851*IF(1&lt;life_it,1,IF(1=life_it,0.5,0))+Sens!G17851*0.5)/life_it</f>
        <v>56.5636549166336</v>
      </c>
      <c r="H17853" s="6" t="n">
        <f aca="false">(Sens!C17851*IF(5&lt;life_it,1,IF(5=life_it,0.5,0))+Sens!D17851*IF(4&lt;life_it,1,IF(4=life_it,0.5,0))+Sens!E17851*IF(3&lt;life_it,1,IF(3=life_it,0.5,0))+Sens!F17851*IF(2&lt;life_it,1,IF(2=life_it,0.5,0))+Sens!G17851*IF(1&lt;life_it,1,IF(1=life_it,0.5,0))+Sens!H17851*0.5)/life_it</f>
        <v>83.2019949399303</v>
      </c>
      <c r="I17853" s="6" t="n">
        <f aca="false">(Sens!C17851*IF(6&lt;life_it,1,IF(6=life_it,0.5,0))+Sens!D17851*IF(5&lt;life_it,1,IF(5=life_it,0.5,0))+Sens!E17851*IF(4&lt;life_it,1,IF(4=life_it,0.5,0))+Sens!F17851*IF(3&lt;life_it,1,IF(3=life_it,0.5,0))+Sens!G17851*IF(2&lt;life_it,1,IF(2=life_it,0.5,0))+Sens!H17851*IF(1&lt;life_it,1,IF(1=life_it,0.5,0))+Sens!I17851*0.5)/life_it</f>
        <v>106.857327376704</v>
      </c>
      <c r="J17853" s="6" t="n">
        <f aca="false">(Sens!C17851*IF(7&lt;life_it,1,IF(7=life_it,0.5,0))+Sens!D17851*IF(6&lt;life_it,1,IF(6=life_it,0.5,0))+Sens!E17851*IF(5&lt;life_it,1,IF(5=life_it,0.5,0))+Sens!F17851*IF(4&lt;life_it,1,IF(4=life_it,0.5,0))+Sens!G17851*IF(3&lt;life_it,1,IF(3=life_it,0.5,0))+Sens!H17851*IF(2&lt;life_it,1,IF(2=life_it,0.5,0))+Sens!I17851*IF(1&lt;life_it,1,IF(1=life_it,0.5,0))+Sens!J17851*0.5)/life_it</f>
        <v>123.657511782395</v>
      </c>
      <c r="K17853" s="6" t="n">
        <f aca="false">(Sens!C17851*IF(8&lt;life_it,1,IF(8=life_it,0.5,0))+Sens!D17851*IF(7&lt;life_it,1,IF(7=life_it,0.5,0))+Sens!E17851*IF(6&lt;life_it,1,IF(6=life_it,0.5,0))+Sens!F17851*IF(5&lt;life_it,1,IF(5=life_it,0.5,0))+Sens!G17851*IF(4&lt;life_it,1,IF(4=life_it,0.5,0))+Sens!H17851*IF(3&lt;life_it,1,IF(3=life_it,0.5,0))+Sens!I17851*IF(2&lt;life_it,1,IF(2=life_it,0.5,0))+Sens!J17851*IF(1&lt;life_it,1,IF(1=life_it,0.5,0))+Sens!K17851*0.5)/life_it</f>
        <v>134.143841744937</v>
      </c>
    </row>
    <row r="17854" customFormat="false" ht="17.15" hidden="false" customHeight="false" outlineLevel="0" collapsed="false">
      <c r="A17854" s="0" t="s">
        <v>1000</v>
      </c>
      <c r="B17854" s="0" t="s">
        <v>98</v>
      </c>
      <c r="E17854" s="6" t="n">
        <f aca="false">(Sens!C17848*IF(2&lt;life_fac,1,IF(2=life_fac,0.5,0))+Sens!D17848*IF(1&lt;life_fac,1,IF(1=life_fac,0.5,0))+Sens!E17848*0.5)/life_fac</f>
        <v>1.2448275</v>
      </c>
      <c r="F17854" s="6" t="n">
        <f aca="false">(Sens!C17848*IF(3&lt;life_fac,1,IF(3=life_fac,0.5,0))+Sens!D17848*IF(2&lt;life_fac,1,IF(2=life_fac,0.5,0))+Sens!E17848*IF(1&lt;life_fac,1,IF(1=life_fac,0.5,0))+Sens!F17848*0.5)/life_fac</f>
        <v>2.508829492925</v>
      </c>
      <c r="G17854" s="6" t="n">
        <f aca="false">(Sens!C17848*IF(4&lt;life_fac,1,IF(4=life_fac,0.5,0))+Sens!D17848*IF(3&lt;life_fac,1,IF(3=life_fac,0.5,0))+Sens!E17848*IF(2&lt;life_fac,1,IF(2=life_fac,0.5,0))+Sens!F17848*IF(1&lt;life_fac,1,IF(1=life_fac,0.5,0))+Sens!G17848*0.5)/life_fac</f>
        <v>4.170838978775</v>
      </c>
      <c r="H17854" s="6" t="n">
        <f aca="false">(Sens!C17848*IF(5&lt;life_fac,1,IF(5=life_fac,0.5,0))+Sens!D17848*IF(4&lt;life_fac,1,IF(4=life_fac,0.5,0))+Sens!E17848*IF(3&lt;life_fac,1,IF(3=life_fac,0.5,0))+Sens!F17848*IF(2&lt;life_fac,1,IF(2=life_fac,0.5,0))+Sens!G17848*IF(1&lt;life_fac,1,IF(1=life_fac,0.5,0))+Sens!H17848*0.5)/life_fac</f>
        <v>5.898098964625</v>
      </c>
      <c r="I17854" s="6" t="n">
        <f aca="false">(Sens!C17848*IF(6&lt;life_fac,1,IF(6=life_fac,0.5,0))+Sens!D17848*IF(5&lt;life_fac,1,IF(5=life_fac,0.5,0))+Sens!E17848*IF(4&lt;life_fac,1,IF(4=life_fac,0.5,0))+Sens!F17848*IF(3&lt;life_fac,1,IF(3=life_fac,0.5,0))+Sens!G17848*IF(2&lt;life_fac,1,IF(2=life_fac,0.5,0))+Sens!H17848*IF(1&lt;life_fac,1,IF(1=life_fac,0.5,0))+Sens!I17848*0.5)/life_fac</f>
        <v>7.37368556095442</v>
      </c>
      <c r="J17854" s="6" t="n">
        <f aca="false">(Sens!C17848*IF(7&lt;life_fac,1,IF(7=life_fac,0.5,0))+Sens!D17848*IF(6&lt;life_fac,1,IF(6=life_fac,0.5,0))+Sens!E17848*IF(5&lt;life_fac,1,IF(5=life_fac,0.5,0))+Sens!F17848*IF(4&lt;life_fac,1,IF(4=life_fac,0.5,0))+Sens!G17848*IF(3&lt;life_fac,1,IF(3=life_fac,0.5,0))+Sens!H17848*IF(2&lt;life_fac,1,IF(2=life_fac,0.5,0))+Sens!I17848*IF(1&lt;life_fac,1,IF(1=life_fac,0.5,0))+Sens!J17848*0.5)/life_fac</f>
        <v>8.35816451031075</v>
      </c>
      <c r="K17854" s="6" t="n">
        <f aca="false">(Sens!C17848*IF(8&lt;life_fac,1,IF(8=life_fac,0.5,0))+Sens!D17848*IF(7&lt;life_fac,1,IF(7=life_fac,0.5,0))+Sens!E17848*IF(6&lt;life_fac,1,IF(6=life_fac,0.5,0))+Sens!F17848*IF(5&lt;life_fac,1,IF(5=life_fac,0.5,0))+Sens!G17848*IF(4&lt;life_fac,1,IF(4=life_fac,0.5,0))+Sens!H17848*IF(3&lt;life_fac,1,IF(3=life_fac,0.5,0))+Sens!I17848*IF(2&lt;life_fac,1,IF(2=life_fac,0.5,0))+Sens!J17848*IF(1&lt;life_fac,1,IF(1=life_fac,0.5,0))+Sens!K17848*0.5)/life_fac</f>
        <v>8.86883104910662</v>
      </c>
    </row>
    <row r="17855" customFormat="false" ht="17.15" hidden="false" customHeight="false" outlineLevel="0" collapsed="false">
      <c r="A17855" s="0" t="s">
        <v>1001</v>
      </c>
      <c r="B17855" s="0" t="s">
        <v>98</v>
      </c>
      <c r="E17855" s="6" t="n">
        <f aca="false">Sens!E17853+Sens!E17854</f>
        <v>16.3054059770833</v>
      </c>
      <c r="F17855" s="6" t="n">
        <f aca="false">Sens!F17853+Sens!F17854</f>
        <v>34.5793160999064</v>
      </c>
      <c r="G17855" s="6" t="n">
        <f aca="false">Sens!G17853+Sens!G17854</f>
        <v>60.7344938954086</v>
      </c>
      <c r="H17855" s="6" t="n">
        <f aca="false">Sens!H17853+Sens!H17854</f>
        <v>89.1000939045553</v>
      </c>
      <c r="I17855" s="6" t="n">
        <f aca="false">Sens!I17853+Sens!I17854</f>
        <v>114.231012937658</v>
      </c>
      <c r="J17855" s="6" t="n">
        <f aca="false">Sens!J17853+Sens!J17854</f>
        <v>132.015676292706</v>
      </c>
      <c r="K17855" s="6" t="n">
        <f aca="false">Sens!K17853+Sens!K17854</f>
        <v>143.012672794044</v>
      </c>
    </row>
    <row r="17856" customFormat="false" ht="17.15" hidden="false" customHeight="false" outlineLevel="0" collapsed="false">
      <c r="A17856" s="0" t="s">
        <v>1002</v>
      </c>
      <c r="B17856" s="0" t="s">
        <v>98</v>
      </c>
      <c r="E17856" s="6" t="n">
        <f aca="false">Sens!E17843-Sens!E17842*Sens!E17855</f>
        <v>8.92707889977379</v>
      </c>
      <c r="F17856" s="6" t="n">
        <f aca="false">Sens!F17843-Sens!F17842*Sens!F17855</f>
        <v>18.7770346939404</v>
      </c>
      <c r="G17856" s="6" t="n">
        <f aca="false">Sens!G17843-Sens!G17842*Sens!G17855</f>
        <v>31.1163622000236</v>
      </c>
      <c r="H17856" s="6" t="n">
        <f aca="false">Sens!H17843-Sens!H17842*Sens!H17855</f>
        <v>43.726261603777</v>
      </c>
      <c r="I17856" s="6" t="n">
        <f aca="false">Sens!I17843-Sens!I17842*Sens!I17855</f>
        <v>54.7541678877703</v>
      </c>
      <c r="J17856" s="6" t="n">
        <f aca="false">Sens!J17843-Sens!J17842*Sens!J17855</f>
        <v>62.3768799869001</v>
      </c>
      <c r="K17856" s="6" t="n">
        <f aca="false">Sens!K17843-Sens!K17842*Sens!K17855</f>
        <v>67.482061097609</v>
      </c>
    </row>
    <row r="17857" customFormat="false" ht="17.15" hidden="false" customHeight="false" outlineLevel="0" collapsed="false">
      <c r="A17857" s="3" t="s">
        <v>1920</v>
      </c>
    </row>
    <row r="17858" customFormat="false" ht="15" hidden="false" customHeight="false" outlineLevel="0" collapsed="false">
      <c r="A17858" s="4" t="s">
        <v>43</v>
      </c>
      <c r="B17858" s="4" t="s">
        <v>65</v>
      </c>
      <c r="C17858" s="23" t="s">
        <v>938</v>
      </c>
      <c r="D17858" s="23" t="s">
        <v>939</v>
      </c>
      <c r="E17858" s="23" t="s">
        <v>940</v>
      </c>
      <c r="F17858" s="23" t="s">
        <v>941</v>
      </c>
      <c r="G17858" s="23" t="s">
        <v>942</v>
      </c>
      <c r="H17858" s="23" t="s">
        <v>943</v>
      </c>
      <c r="I17858" s="23" t="s">
        <v>944</v>
      </c>
      <c r="J17858" s="23" t="s">
        <v>945</v>
      </c>
      <c r="K17858" s="23" t="s">
        <v>946</v>
      </c>
      <c r="L17858" s="4" t="s">
        <v>47</v>
      </c>
    </row>
    <row r="17859" customFormat="false" ht="17.15" hidden="false" customHeight="false" outlineLevel="0" collapsed="false">
      <c r="A17859" s="0" t="s">
        <v>1021</v>
      </c>
      <c r="B17859" s="0" t="s">
        <v>98</v>
      </c>
      <c r="D17859" s="6" t="n">
        <f aca="false">Sens!D17837</f>
        <v>12.9359794422418</v>
      </c>
      <c r="E17859" s="6" t="n">
        <f aca="false">Sens!E17837</f>
        <v>27.8095064661409</v>
      </c>
      <c r="F17859" s="6" t="n">
        <f aca="false">Sens!F17837</f>
        <v>55.4118315060966</v>
      </c>
      <c r="G17859" s="6" t="n">
        <f aca="false">Sens!G17837</f>
        <v>91.2881100675143</v>
      </c>
      <c r="H17859" s="6" t="n">
        <f aca="false">Sens!H17837</f>
        <v>128.195273603944</v>
      </c>
      <c r="I17859" s="6" t="n">
        <f aca="false">Sens!I17837</f>
        <v>160.601281810405</v>
      </c>
      <c r="J17859" s="6" t="n">
        <f aca="false">Sens!J17837</f>
        <v>183.182719793589</v>
      </c>
      <c r="K17859" s="6" t="n">
        <f aca="false">Sens!K17837</f>
        <v>197.320124937098</v>
      </c>
    </row>
    <row r="17860" customFormat="false" ht="17.15" hidden="false" customHeight="false" outlineLevel="0" collapsed="false">
      <c r="A17860" s="0" t="s">
        <v>1022</v>
      </c>
      <c r="B17860" s="0" t="s">
        <v>98</v>
      </c>
      <c r="D17860" s="6" t="n">
        <f aca="false">Q!L6-Sens!D17859</f>
        <v>59.6740205577583</v>
      </c>
      <c r="E17860" s="6" t="n">
        <f aca="false">Q!M6-Sens!E17859</f>
        <v>74.1284935338591</v>
      </c>
      <c r="F17860" s="6" t="n">
        <f aca="false">Q!$I$6+(Sens!F17859+Sens!E17860*(1+Sens!F17861))*(1-Q!$E$6/Q!M6)-Sens!F17859</f>
        <v>91.2972164940844</v>
      </c>
      <c r="G17860" s="6" t="n">
        <f aca="false">Sens!F17860*(1+Sens!G17861)</f>
        <v>108.474719793879</v>
      </c>
      <c r="H17860" s="6" t="n">
        <f aca="false">Sens!G17860*(1+Sens!H17861)</f>
        <v>125.951292505701</v>
      </c>
      <c r="I17860" s="6" t="n">
        <f aca="false">Sens!H17860*(1+Sens!I17861)</f>
        <v>142.838165154212</v>
      </c>
      <c r="J17860" s="6" t="n">
        <f aca="false">Sens!I17860*(1+Sens!J17861)</f>
        <v>158.12717866615</v>
      </c>
      <c r="K17860" s="6" t="n">
        <f aca="false">Sens!J17860*(1+Sens!K17861)</f>
        <v>170.777352959442</v>
      </c>
      <c r="L17860" s="12" t="s">
        <v>1023</v>
      </c>
    </row>
    <row r="17861" customFormat="false" ht="15" hidden="false" customHeight="false" outlineLevel="0" collapsed="false">
      <c r="A17861" s="1" t="s">
        <v>1024</v>
      </c>
      <c r="B17861" s="0" t="s">
        <v>168</v>
      </c>
      <c r="E17861" s="7" t="n">
        <f aca="false">Sens!E17860/Sens!D17860-1</f>
        <v>0.242223883039864</v>
      </c>
      <c r="F17861" s="7" t="n">
        <f aca="false">Sens!$E$17861+(glt_azo-Sens!$E$17861)*MIN(1,(Sens!F17818-base_fy)/n_conv)</f>
        <v>0.215186569199887</v>
      </c>
      <c r="G17861" s="7" t="n">
        <f aca="false">Sens!$E$17861+(glt_azo-Sens!$E$17861)*MIN(1,(Sens!G17818-base_fy)/n_conv)</f>
        <v>0.18814925535991</v>
      </c>
      <c r="H17861" s="7" t="n">
        <f aca="false">Sens!$E$17861+(glt_azo-Sens!$E$17861)*MIN(1,(Sens!H17818-base_fy)/n_conv)</f>
        <v>0.161111941519932</v>
      </c>
      <c r="I17861" s="7" t="n">
        <f aca="false">Sens!$E$17861+(glt_azo-Sens!$E$17861)*MIN(1,(Sens!I17818-base_fy)/n_conv)</f>
        <v>0.134074627679955</v>
      </c>
      <c r="J17861" s="7" t="n">
        <f aca="false">Sens!$E$17861+(glt_azo-Sens!$E$17861)*MIN(1,(Sens!J17818-base_fy)/n_conv)</f>
        <v>0.107037313839977</v>
      </c>
      <c r="K17861" s="7" t="n">
        <f aca="false">Sens!$E$17861+(glt_azo-Sens!$E$17861)*MIN(1,(Sens!K17818-base_fy)/n_conv)</f>
        <v>0.08</v>
      </c>
    </row>
    <row r="17862" customFormat="false" ht="15" hidden="false" customHeight="false" outlineLevel="0" collapsed="false">
      <c r="A17862" s="0" t="s">
        <v>1025</v>
      </c>
      <c r="B17862" s="0" t="s">
        <v>98</v>
      </c>
      <c r="D17862" s="6" t="n">
        <f aca="false">Sens!D17859+Sens!D17860</f>
        <v>72.61</v>
      </c>
      <c r="E17862" s="6" t="n">
        <f aca="false">Sens!E17859+Sens!E17860</f>
        <v>101.938</v>
      </c>
      <c r="F17862" s="6" t="n">
        <f aca="false">Sens!F17859+Sens!F17860</f>
        <v>146.709048000181</v>
      </c>
      <c r="G17862" s="6" t="n">
        <f aca="false">Sens!G17859+Sens!G17860</f>
        <v>199.762829861393</v>
      </c>
      <c r="H17862" s="6" t="n">
        <f aca="false">Sens!H17859+Sens!H17860</f>
        <v>254.146566109645</v>
      </c>
      <c r="I17862" s="6" t="n">
        <f aca="false">Sens!I17859+Sens!I17860</f>
        <v>303.439446964617</v>
      </c>
      <c r="J17862" s="6" t="n">
        <f aca="false">Sens!J17859+Sens!J17860</f>
        <v>341.309898459739</v>
      </c>
      <c r="K17862" s="6" t="n">
        <f aca="false">Sens!K17859+Sens!K17860</f>
        <v>368.09747789654</v>
      </c>
    </row>
    <row r="17863" customFormat="false" ht="17.15" hidden="false" customHeight="false" outlineLevel="0" collapsed="false">
      <c r="A17863" s="0" t="s">
        <v>1026</v>
      </c>
      <c r="B17863" s="1" t="s">
        <v>610</v>
      </c>
      <c r="C17863" s="30" t="n">
        <f aca="false">cop_s24</f>
        <v>1</v>
      </c>
      <c r="D17863" s="30" t="n">
        <f aca="false">cop_s25</f>
        <v>5</v>
      </c>
      <c r="E17863" s="30" t="n">
        <f aca="false">cop_s26</f>
        <v>30</v>
      </c>
      <c r="F17863" s="30" t="n">
        <f aca="false">Sens!E17863+cop_add_B</f>
        <v>50</v>
      </c>
      <c r="G17863" s="30" t="n">
        <f aca="false">Sens!F17863+cop_add_B</f>
        <v>70</v>
      </c>
      <c r="H17863" s="30" t="n">
        <f aca="false">Sens!G17863+cop_add_B</f>
        <v>90</v>
      </c>
      <c r="I17863" s="30" t="n">
        <f aca="false">Sens!H17863+cop_add_B*cop_tail</f>
        <v>100</v>
      </c>
      <c r="J17863" s="30" t="n">
        <f aca="false">Sens!I17863+cop_add_B*cop_tail</f>
        <v>110</v>
      </c>
      <c r="K17863" s="30" t="n">
        <f aca="false">Sens!J17863+cop_add_B*cop_tail</f>
        <v>120</v>
      </c>
      <c r="L17863" s="12" t="s">
        <v>1027</v>
      </c>
    </row>
    <row r="17864" customFormat="false" ht="17.15" hidden="false" customHeight="false" outlineLevel="0" collapsed="false">
      <c r="A17864" s="0" t="s">
        <v>1028</v>
      </c>
      <c r="B17864" s="0" t="s">
        <v>98</v>
      </c>
      <c r="D17864" s="6" t="n">
        <f aca="false">(Sens!C17863+Sens!D17863)/2*cop_px*12/1000</f>
        <v>0.9</v>
      </c>
      <c r="E17864" s="6" t="n">
        <f aca="false">(Sens!D17863+Sens!E17863)/2*cop_px*12/1000</f>
        <v>5.25</v>
      </c>
      <c r="F17864" s="6" t="n">
        <f aca="false">(Sens!E17863+Sens!F17863)/2*cop_px*12/1000</f>
        <v>12</v>
      </c>
      <c r="G17864" s="6" t="n">
        <f aca="false">(Sens!F17863+Sens!G17863)/2*cop_px*12/1000</f>
        <v>18</v>
      </c>
      <c r="H17864" s="6" t="n">
        <f aca="false">(Sens!G17863+Sens!H17863)/2*cop_px*12/1000</f>
        <v>24</v>
      </c>
      <c r="I17864" s="6" t="n">
        <f aca="false">(Sens!H17863+Sens!I17863)/2*cop_px*12/1000</f>
        <v>28.5</v>
      </c>
      <c r="J17864" s="6" t="n">
        <f aca="false">(Sens!I17863+Sens!J17863)/2*cop_px*12/1000</f>
        <v>31.5</v>
      </c>
      <c r="K17864" s="6" t="n">
        <f aca="false">(Sens!J17863+Sens!K17863)/2*cop_px*12/1000</f>
        <v>34.5</v>
      </c>
      <c r="L17864" s="1" t="s">
        <v>1029</v>
      </c>
    </row>
    <row r="17865" customFormat="false" ht="17.15" hidden="false" customHeight="false" outlineLevel="0" collapsed="false">
      <c r="A17865" s="0" t="s">
        <v>1030</v>
      </c>
      <c r="B17865" s="0" t="s">
        <v>98</v>
      </c>
      <c r="D17865" s="6" t="n">
        <f aca="false">Q!L7-Sens!D17864</f>
        <v>83.705</v>
      </c>
      <c r="E17865" s="6" t="n">
        <f aca="false">Q!M7-Sens!E17864</f>
        <v>95.049</v>
      </c>
      <c r="F17865" s="6" t="n">
        <f aca="false">Q!$I$7+(Sens!E17865*(1+Sens!F17866)+Sens!F17864)*(1-Q!$E$7/Q!M7)-Sens!F17864</f>
        <v>106.584003697747</v>
      </c>
      <c r="G17865" s="6" t="n">
        <f aca="false">Sens!F17865*(1+Sens!G17866)</f>
        <v>118.700726545688</v>
      </c>
      <c r="H17865" s="6" t="n">
        <f aca="false">Sens!G17865*(1+Sens!H17866)</f>
        <v>130.898624783666</v>
      </c>
      <c r="I17865" s="6" t="n">
        <f aca="false">Sens!H17865*(1+Sens!I17866)</f>
        <v>142.920510030657</v>
      </c>
      <c r="J17865" s="6" t="n">
        <f aca="false">Sens!I17865*(1+Sens!J17866)</f>
        <v>154.485722618572</v>
      </c>
      <c r="K17865" s="6" t="n">
        <f aca="false">Sens!J17865*(1+Sens!K17866)</f>
        <v>165.299723201872</v>
      </c>
      <c r="L17865" s="12" t="s">
        <v>1031</v>
      </c>
    </row>
    <row r="17866" customFormat="false" ht="15" hidden="false" customHeight="false" outlineLevel="0" collapsed="false">
      <c r="A17866" s="1" t="s">
        <v>1024</v>
      </c>
      <c r="B17866" s="0" t="s">
        <v>168</v>
      </c>
      <c r="E17866" s="7" t="n">
        <f aca="false">Sens!E17865/Sens!D17865-1</f>
        <v>0.135523564900544</v>
      </c>
      <c r="F17866" s="7" t="n">
        <f aca="false">Sens!$E$17866+(glt_m365b-Sens!$E$17866)*MIN(1,(Sens!F17818-base_fy)/n_conv)</f>
        <v>0.124602970750453</v>
      </c>
      <c r="G17866" s="7" t="n">
        <f aca="false">Sens!$E$17866+(glt_m365b-Sens!$E$17866)*MIN(1,(Sens!G17818-base_fy)/n_conv)</f>
        <v>0.113682376600363</v>
      </c>
      <c r="H17866" s="7" t="n">
        <f aca="false">Sens!$E$17866+(glt_m365b-Sens!$E$17866)*MIN(1,(Sens!H17818-base_fy)/n_conv)</f>
        <v>0.102761782450272</v>
      </c>
      <c r="I17866" s="7" t="n">
        <f aca="false">Sens!$E$17866+(glt_m365b-Sens!$E$17866)*MIN(1,(Sens!I17818-base_fy)/n_conv)</f>
        <v>0.0918411883001813</v>
      </c>
      <c r="J17866" s="7" t="n">
        <f aca="false">Sens!$E$17866+(glt_m365b-Sens!$E$17866)*MIN(1,(Sens!J17818-base_fy)/n_conv)</f>
        <v>0.0809205941500906</v>
      </c>
      <c r="K17866" s="7" t="n">
        <f aca="false">Sens!$E$17866+(glt_m365b-Sens!$E$17866)*MIN(1,(Sens!K17818-base_fy)/n_conv)</f>
        <v>0.07</v>
      </c>
    </row>
    <row r="17867" customFormat="false" ht="15" hidden="false" customHeight="false" outlineLevel="0" collapsed="false">
      <c r="A17867" s="0" t="s">
        <v>1032</v>
      </c>
      <c r="B17867" s="0" t="s">
        <v>98</v>
      </c>
      <c r="D17867" s="6" t="n">
        <f aca="false">Sens!D17865+Sens!D17864</f>
        <v>84.605</v>
      </c>
      <c r="E17867" s="6" t="n">
        <f aca="false">Sens!E17865+Sens!E17864</f>
        <v>100.299</v>
      </c>
      <c r="F17867" s="6" t="n">
        <f aca="false">Sens!F17865+Sens!F17864</f>
        <v>118.584003697747</v>
      </c>
      <c r="G17867" s="6" t="n">
        <f aca="false">Sens!G17865+Sens!G17864</f>
        <v>136.700726545688</v>
      </c>
      <c r="H17867" s="6" t="n">
        <f aca="false">Sens!H17865+Sens!H17864</f>
        <v>154.898624783666</v>
      </c>
      <c r="I17867" s="6" t="n">
        <f aca="false">Sens!I17865+Sens!I17864</f>
        <v>171.420510030657</v>
      </c>
      <c r="J17867" s="6" t="n">
        <f aca="false">Sens!J17865+Sens!J17864</f>
        <v>185.985722618572</v>
      </c>
      <c r="K17867" s="6" t="n">
        <f aca="false">Sens!K17865+Sens!K17864</f>
        <v>199.799723201872</v>
      </c>
    </row>
    <row r="17868" customFormat="false" ht="17.15" hidden="false" customHeight="false" outlineLevel="0" collapsed="false">
      <c r="A17868" s="0" t="s">
        <v>1033</v>
      </c>
      <c r="B17868" s="0" t="s">
        <v>98</v>
      </c>
      <c r="D17868" s="6" t="n">
        <f aca="false">Q!L8</f>
        <v>35.391</v>
      </c>
      <c r="E17868" s="6" t="n">
        <f aca="false">Q!M8</f>
        <v>37.285</v>
      </c>
      <c r="F17868" s="6" t="n">
        <f aca="false">Q!$I$8+(Q!M8-Q!$E$8)*(1+Sens!F17869)</f>
        <v>38.3851437782675</v>
      </c>
      <c r="G17868" s="6" t="n">
        <f aca="false">Sens!F17868*(1+Sens!G17869)</f>
        <v>40.0105353288615</v>
      </c>
      <c r="H17868" s="6" t="n">
        <f aca="false">Sens!G17868*(1+Sens!H17869)</f>
        <v>41.4812512033683</v>
      </c>
      <c r="I17868" s="6" t="n">
        <f aca="false">Sens!H17868*(1+Sens!I17869)</f>
        <v>42.7743107216329</v>
      </c>
      <c r="J17868" s="6" t="n">
        <f aca="false">Sens!I17868*(1+Sens!J17869)</f>
        <v>43.8687373064601</v>
      </c>
      <c r="K17868" s="6" t="n">
        <f aca="false">Sens!J17868*(1+Sens!K17869)</f>
        <v>44.7461120525893</v>
      </c>
      <c r="L17868" s="12" t="s">
        <v>1034</v>
      </c>
    </row>
    <row r="17869" customFormat="false" ht="15" hidden="false" customHeight="false" outlineLevel="0" collapsed="false">
      <c r="A17869" s="1" t="s">
        <v>1024</v>
      </c>
      <c r="B17869" s="0" t="s">
        <v>168</v>
      </c>
      <c r="E17869" s="7" t="n">
        <f aca="false">Sens!E17868/Sens!D17868-1</f>
        <v>0.0535164307309768</v>
      </c>
      <c r="F17869" s="7" t="n">
        <f aca="false">Sens!$E$17869+(glt_lic-Sens!$E$17869)*MIN(1,(Sens!F17818-base_fy)/n_conv)</f>
        <v>0.0479303589424807</v>
      </c>
      <c r="G17869" s="7" t="n">
        <f aca="false">Sens!$E$17869+(glt_lic-Sens!$E$17869)*MIN(1,(Sens!G17818-base_fy)/n_conv)</f>
        <v>0.0423442871539845</v>
      </c>
      <c r="H17869" s="7" t="n">
        <f aca="false">Sens!$E$17869+(glt_lic-Sens!$E$17869)*MIN(1,(Sens!H17818-base_fy)/n_conv)</f>
        <v>0.0367582153654884</v>
      </c>
      <c r="I17869" s="7" t="n">
        <f aca="false">Sens!$E$17869+(glt_lic-Sens!$E$17869)*MIN(1,(Sens!I17818-base_fy)/n_conv)</f>
        <v>0.0311721435769923</v>
      </c>
      <c r="J17869" s="7" t="n">
        <f aca="false">Sens!$E$17869+(glt_lic-Sens!$E$17869)*MIN(1,(Sens!J17818-base_fy)/n_conv)</f>
        <v>0.0255860717884961</v>
      </c>
      <c r="K17869" s="7" t="n">
        <f aca="false">Sens!$E$17869+(glt_lic-Sens!$E$17869)*MIN(1,(Sens!K17818-base_fy)/n_conv)</f>
        <v>0.02</v>
      </c>
    </row>
    <row r="17870" customFormat="false" ht="17.15" hidden="false" customHeight="false" outlineLevel="0" collapsed="false">
      <c r="A17870" s="0" t="s">
        <v>1035</v>
      </c>
      <c r="B17870" s="0" t="s">
        <v>98</v>
      </c>
      <c r="D17870" s="6" t="n">
        <f aca="false">Q!L9</f>
        <v>18.417</v>
      </c>
      <c r="E17870" s="6" t="n">
        <f aca="false">Q!M9</f>
        <v>20.345</v>
      </c>
      <c r="F17870" s="6" t="n">
        <f aca="false">Q!$I$9+(Q!M9-Q!$E$9)*(1+Sens!F17871)</f>
        <v>22.3161797133988</v>
      </c>
      <c r="G17870" s="6" t="n">
        <f aca="false">Sens!F17870*(1+Sens!G17871)</f>
        <v>24.3943499673233</v>
      </c>
      <c r="H17870" s="6" t="n">
        <f aca="false">Sens!G17870*(1+Sens!H17871)</f>
        <v>26.5250243109019</v>
      </c>
      <c r="I17870" s="6" t="n">
        <f aca="false">Sens!H17870*(1+Sens!I17871)</f>
        <v>28.6884573538181</v>
      </c>
      <c r="J17870" s="6" t="n">
        <f aca="false">Sens!I17870*(1+Sens!J17871)</f>
        <v>30.8624968052127</v>
      </c>
      <c r="K17870" s="6" t="n">
        <f aca="false">Sens!J17870*(1+Sens!K17871)</f>
        <v>33.0228715815776</v>
      </c>
      <c r="L17870" s="12" t="s">
        <v>1034</v>
      </c>
    </row>
    <row r="17871" customFormat="false" ht="15" hidden="false" customHeight="false" outlineLevel="0" collapsed="false">
      <c r="A17871" s="1" t="s">
        <v>1024</v>
      </c>
      <c r="B17871" s="0" t="s">
        <v>168</v>
      </c>
      <c r="E17871" s="7" t="n">
        <f aca="false">Sens!E17870/Sens!D17870-1</f>
        <v>0.104685888038225</v>
      </c>
      <c r="F17871" s="7" t="n">
        <f aca="false">Sens!$E$17871+(glt_ind-Sens!$E$17871)*MIN(1,(Sens!F17818-base_fy)/n_conv)</f>
        <v>0.0989049066985211</v>
      </c>
      <c r="G17871" s="7" t="n">
        <f aca="false">Sens!$E$17871+(glt_ind-Sens!$E$17871)*MIN(1,(Sens!G17818-base_fy)/n_conv)</f>
        <v>0.0931239253588169</v>
      </c>
      <c r="H17871" s="7" t="n">
        <f aca="false">Sens!$E$17871+(glt_ind-Sens!$E$17871)*MIN(1,(Sens!H17818-base_fy)/n_conv)</f>
        <v>0.0873429440191127</v>
      </c>
      <c r="I17871" s="7" t="n">
        <f aca="false">Sens!$E$17871+(glt_ind-Sens!$E$17871)*MIN(1,(Sens!I17818-base_fy)/n_conv)</f>
        <v>0.0815619626794085</v>
      </c>
      <c r="J17871" s="7" t="n">
        <f aca="false">Sens!$E$17871+(glt_ind-Sens!$E$17871)*MIN(1,(Sens!J17818-base_fy)/n_conv)</f>
        <v>0.0757809813397042</v>
      </c>
      <c r="K17871" s="7" t="n">
        <f aca="false">Sens!$E$17871+(glt_ind-Sens!$E$17871)*MIN(1,(Sens!K17818-base_fy)/n_conv)</f>
        <v>0.07</v>
      </c>
    </row>
    <row r="17872" customFormat="false" ht="17.15" hidden="false" customHeight="false" outlineLevel="0" collapsed="false">
      <c r="A17872" s="0" t="s">
        <v>1036</v>
      </c>
      <c r="B17872" s="0" t="s">
        <v>98</v>
      </c>
      <c r="D17872" s="6" t="n">
        <f aca="false">Q!L10</f>
        <v>7.76</v>
      </c>
      <c r="E17872" s="6" t="n">
        <f aca="false">Q!M10</f>
        <v>8.26</v>
      </c>
      <c r="F17872" s="6" t="n">
        <f aca="false">Q!$I$10+(Q!M10-Q!$E$10)*(1+Sens!F17873)</f>
        <v>8.75372082474227</v>
      </c>
      <c r="G17872" s="6" t="n">
        <f aca="false">Sens!F17872*(1+Sens!G17873)</f>
        <v>9.33399324642364</v>
      </c>
      <c r="H17872" s="6" t="n">
        <f aca="false">Sens!G17872*(1+Sens!H17873)</f>
        <v>9.96139155535851</v>
      </c>
      <c r="I17872" s="6" t="n">
        <f aca="false">Sens!H17872*(1+Sens!I17873)</f>
        <v>10.6402039077391</v>
      </c>
      <c r="J17872" s="6" t="n">
        <f aca="false">Sens!I17872*(1+Sens!J17873)</f>
        <v>11.3751458271397</v>
      </c>
      <c r="K17872" s="6" t="n">
        <f aca="false">Sens!J17872*(1+Sens!K17873)</f>
        <v>12.1714060350394</v>
      </c>
      <c r="L17872" s="12" t="s">
        <v>1034</v>
      </c>
    </row>
    <row r="17873" customFormat="false" ht="15" hidden="false" customHeight="false" outlineLevel="0" collapsed="false">
      <c r="A17873" s="1" t="s">
        <v>1024</v>
      </c>
      <c r="B17873" s="0" t="s">
        <v>168</v>
      </c>
      <c r="E17873" s="7" t="n">
        <f aca="false">Sens!E17872/Sens!D17872-1</f>
        <v>0.0644329896907216</v>
      </c>
      <c r="F17873" s="7" t="n">
        <f aca="false">Sens!$E$17873+(glt_fro-Sens!$E$17873)*MIN(1,(Sens!F17818-base_fy)/n_conv)</f>
        <v>0.065360824742268</v>
      </c>
      <c r="G17873" s="7" t="n">
        <f aca="false">Sens!$E$17873+(glt_fro-Sens!$E$17873)*MIN(1,(Sens!G17818-base_fy)/n_conv)</f>
        <v>0.0662886597938144</v>
      </c>
      <c r="H17873" s="7" t="n">
        <f aca="false">Sens!$E$17873+(glt_fro-Sens!$E$17873)*MIN(1,(Sens!H17818-base_fy)/n_conv)</f>
        <v>0.0672164948453608</v>
      </c>
      <c r="I17873" s="7" t="n">
        <f aca="false">Sens!$E$17873+(glt_fro-Sens!$E$17873)*MIN(1,(Sens!I17818-base_fy)/n_conv)</f>
        <v>0.0681443298969072</v>
      </c>
      <c r="J17873" s="7" t="n">
        <f aca="false">Sens!$E$17873+(glt_fro-Sens!$E$17873)*MIN(1,(Sens!J17818-base_fy)/n_conv)</f>
        <v>0.0690721649484536</v>
      </c>
      <c r="K17873" s="7" t="n">
        <f aca="false">Sens!$E$17873+(glt_fro-Sens!$E$17873)*MIN(1,(Sens!K17818-base_fy)/n_conv)</f>
        <v>0.07</v>
      </c>
    </row>
    <row r="17874" customFormat="false" ht="15" hidden="false" customHeight="false" outlineLevel="0" collapsed="false">
      <c r="A17874" s="0" t="s">
        <v>852</v>
      </c>
      <c r="B17874" s="0" t="s">
        <v>98</v>
      </c>
      <c r="D17874" s="6" t="n">
        <f aca="false">Sens!D17862+Sens!D17867+Sens!D17868+Sens!D17870+Sens!D17872</f>
        <v>218.783</v>
      </c>
      <c r="E17874" s="6" t="n">
        <f aca="false">Sens!E17862+Sens!E17867+Sens!E17868+Sens!E17870+Sens!E17872</f>
        <v>268.127</v>
      </c>
      <c r="F17874" s="6" t="n">
        <f aca="false">Sens!F17862+Sens!F17867+Sens!F17868+Sens!F17870+Sens!F17872</f>
        <v>334.748096014336</v>
      </c>
      <c r="G17874" s="6" t="n">
        <f aca="false">Sens!G17862+Sens!G17867+Sens!G17868+Sens!G17870+Sens!G17872</f>
        <v>410.20243494969</v>
      </c>
      <c r="H17874" s="6" t="n">
        <f aca="false">Sens!H17862+Sens!H17867+Sens!H17868+Sens!H17870+Sens!H17872</f>
        <v>487.012857962939</v>
      </c>
      <c r="I17874" s="6" t="n">
        <f aca="false">Sens!I17862+Sens!I17867+Sens!I17868+Sens!I17870+Sens!I17872</f>
        <v>556.962928978464</v>
      </c>
      <c r="J17874" s="6" t="n">
        <f aca="false">Sens!J17862+Sens!J17867+Sens!J17868+Sens!J17870+Sens!J17872</f>
        <v>613.402001017124</v>
      </c>
      <c r="K17874" s="6" t="n">
        <f aca="false">Sens!K17862+Sens!K17867+Sens!K17868+Sens!K17870+Sens!K17872</f>
        <v>657.837590767618</v>
      </c>
    </row>
    <row r="17875" customFormat="false" ht="17.15" hidden="false" customHeight="false" outlineLevel="0" collapsed="false">
      <c r="A17875" s="0" t="s">
        <v>1037</v>
      </c>
      <c r="B17875" s="0" t="s">
        <v>98</v>
      </c>
      <c r="D17875" s="6" t="n">
        <f aca="false">Q!L13</f>
        <v>22.171</v>
      </c>
      <c r="E17875" s="6" t="n">
        <f aca="false">Q!M13</f>
        <v>24.835</v>
      </c>
      <c r="F17875" s="6" t="n">
        <f aca="false">Q!$I$13+(Q!M13-Q!$E$13)*(1+Sens!F17876)</f>
        <v>27.5591895660247</v>
      </c>
      <c r="G17875" s="6" t="n">
        <f aca="false">Sens!F17875*(1+Sens!G17876)</f>
        <v>30.4098563144583</v>
      </c>
      <c r="H17875" s="6" t="n">
        <f aca="false">Sens!G17875*(1+Sens!H17876)</f>
        <v>33.3011792571777</v>
      </c>
      <c r="I17875" s="6" t="n">
        <f aca="false">Sens!H17875*(1+Sens!I17876)</f>
        <v>36.189023797112</v>
      </c>
      <c r="J17875" s="6" t="n">
        <f aca="false">Sens!I17875*(1+Sens!J17876)</f>
        <v>39.0247773769199</v>
      </c>
      <c r="K17875" s="6" t="n">
        <f aca="false">Sens!J17875*(1+Sens!K17876)</f>
        <v>41.7565117933043</v>
      </c>
      <c r="L17875" s="12" t="s">
        <v>1034</v>
      </c>
    </row>
    <row r="17876" customFormat="false" ht="15" hidden="false" customHeight="false" outlineLevel="0" collapsed="false">
      <c r="A17876" s="1" t="s">
        <v>1024</v>
      </c>
      <c r="B17876" s="0" t="s">
        <v>168</v>
      </c>
      <c r="E17876" s="7" t="n">
        <f aca="false">Sens!E17875/Sens!D17875-1</f>
        <v>0.120156961796942</v>
      </c>
      <c r="F17876" s="7" t="n">
        <f aca="false">Sens!$E$17876+(glt_srch-Sens!$E$17876)*MIN(1,(Sens!F17818-base_fy)/n_conv)</f>
        <v>0.111797468164118</v>
      </c>
      <c r="G17876" s="7" t="n">
        <f aca="false">Sens!$E$17876+(glt_srch-Sens!$E$17876)*MIN(1,(Sens!G17818-base_fy)/n_conv)</f>
        <v>0.103437974531295</v>
      </c>
      <c r="H17876" s="7" t="n">
        <f aca="false">Sens!$E$17876+(glt_srch-Sens!$E$17876)*MIN(1,(Sens!H17818-base_fy)/n_conv)</f>
        <v>0.095078480898471</v>
      </c>
      <c r="I17876" s="7" t="n">
        <f aca="false">Sens!$E$17876+(glt_srch-Sens!$E$17876)*MIN(1,(Sens!I17818-base_fy)/n_conv)</f>
        <v>0.0867189872656474</v>
      </c>
      <c r="J17876" s="7" t="n">
        <f aca="false">Sens!$E$17876+(glt_srch-Sens!$E$17876)*MIN(1,(Sens!J17818-base_fy)/n_conv)</f>
        <v>0.0783594936328237</v>
      </c>
      <c r="K17876" s="7" t="n">
        <f aca="false">Sens!$E$17876+(glt_srch-Sens!$E$17876)*MIN(1,(Sens!K17818-base_fy)/n_conv)</f>
        <v>0.07</v>
      </c>
    </row>
    <row r="17877" customFormat="false" ht="17.15" hidden="false" customHeight="false" outlineLevel="0" collapsed="false">
      <c r="A17877" s="0" t="s">
        <v>1038</v>
      </c>
      <c r="B17877" s="0" t="s">
        <v>98</v>
      </c>
      <c r="D17877" s="6" t="n">
        <f aca="false">Q!L14</f>
        <v>23.455</v>
      </c>
      <c r="E17877" s="6" t="n">
        <f aca="false">Q!M14</f>
        <v>21.79</v>
      </c>
      <c r="F17877" s="6" t="n">
        <f aca="false">Q!$I$14+(Q!M14-Q!$E$14)*(1+Sens!F17878)</f>
        <v>20.7520981041711</v>
      </c>
      <c r="G17877" s="6" t="n">
        <f aca="false">Sens!F17877*(1+Sens!G17878)</f>
        <v>19.9083593495882</v>
      </c>
      <c r="H17877" s="6" t="n">
        <f aca="false">Sens!G17877*(1+Sens!H17878)</f>
        <v>19.4008256265831</v>
      </c>
      <c r="I17877" s="6" t="n">
        <f aca="false">Sens!H17877*(1+Sens!I17878)</f>
        <v>19.200434522122</v>
      </c>
      <c r="J17877" s="6" t="n">
        <f aca="false">Sens!I17877*(1+Sens!J17878)</f>
        <v>19.2932782348507</v>
      </c>
      <c r="K17877" s="6" t="n">
        <f aca="false">Sens!J17877*(1+Sens!K17878)</f>
        <v>19.6791437995477</v>
      </c>
      <c r="L17877" s="12" t="s">
        <v>1034</v>
      </c>
    </row>
    <row r="17878" customFormat="false" ht="15" hidden="false" customHeight="false" outlineLevel="0" collapsed="false">
      <c r="A17878" s="1" t="s">
        <v>1024</v>
      </c>
      <c r="B17878" s="0" t="s">
        <v>168</v>
      </c>
      <c r="E17878" s="7" t="n">
        <f aca="false">Sens!E17877/Sens!D17877-1</f>
        <v>-0.0709869963760392</v>
      </c>
      <c r="F17878" s="7" t="n">
        <f aca="false">Sens!$E$17878+(glt_xbox-Sens!$E$17878)*MIN(1,(Sens!F17818-base_fy)/n_conv)</f>
        <v>-0.0558224969800327</v>
      </c>
      <c r="G17878" s="7" t="n">
        <f aca="false">Sens!$E$17878+(glt_xbox-Sens!$E$17878)*MIN(1,(Sens!G17818-base_fy)/n_conv)</f>
        <v>-0.0406579975840262</v>
      </c>
      <c r="H17878" s="7" t="n">
        <f aca="false">Sens!$E$17878+(glt_xbox-Sens!$E$17878)*MIN(1,(Sens!H17818-base_fy)/n_conv)</f>
        <v>-0.0254934981880196</v>
      </c>
      <c r="I17878" s="7" t="n">
        <f aca="false">Sens!$E$17878+(glt_xbox-Sens!$E$17878)*MIN(1,(Sens!I17818-base_fy)/n_conv)</f>
        <v>-0.0103289987920131</v>
      </c>
      <c r="J17878" s="7" t="n">
        <f aca="false">Sens!$E$17878+(glt_xbox-Sens!$E$17878)*MIN(1,(Sens!J17818-base_fy)/n_conv)</f>
        <v>0.00483550060399347</v>
      </c>
      <c r="K17878" s="7" t="n">
        <f aca="false">Sens!$E$17878+(glt_xbox-Sens!$E$17878)*MIN(1,(Sens!K17818-base_fy)/n_conv)</f>
        <v>0.02</v>
      </c>
    </row>
    <row r="17879" customFormat="false" ht="17.15" hidden="false" customHeight="false" outlineLevel="0" collapsed="false">
      <c r="A17879" s="0" t="s">
        <v>1039</v>
      </c>
      <c r="B17879" s="0" t="s">
        <v>98</v>
      </c>
      <c r="D17879" s="6" t="n">
        <f aca="false">Q!L15</f>
        <v>17.315</v>
      </c>
      <c r="E17879" s="6" t="n">
        <f aca="false">Q!M15</f>
        <v>17.087</v>
      </c>
      <c r="F17879" s="6" t="n">
        <f aca="false">Q!$I$15+(Q!M15-Q!$E$15)*(1+Sens!F17880)</f>
        <v>15.9912273250553</v>
      </c>
      <c r="G17879" s="6" t="n">
        <f aca="false">Sens!F17879*(1+Sens!G17880)</f>
        <v>15.9574562664827</v>
      </c>
      <c r="H17879" s="6" t="n">
        <f aca="false">Sens!G17879*(1+Sens!H17880)</f>
        <v>16.0119687434196</v>
      </c>
      <c r="I17879" s="6" t="n">
        <f aca="false">Sens!H17879*(1+Sens!I17880)</f>
        <v>16.1551810001948</v>
      </c>
      <c r="J17879" s="6" t="n">
        <f aca="false">Sens!I17879*(1+Sens!J17880)</f>
        <v>16.3889793892005</v>
      </c>
      <c r="K17879" s="6" t="n">
        <f aca="false">Sens!J17879*(1+Sens!K17880)</f>
        <v>16.7167589769845</v>
      </c>
      <c r="L17879" s="12" t="s">
        <v>1034</v>
      </c>
    </row>
    <row r="17880" customFormat="false" ht="15" hidden="false" customHeight="false" outlineLevel="0" collapsed="false">
      <c r="A17880" s="1" t="s">
        <v>1024</v>
      </c>
      <c r="B17880" s="0" t="s">
        <v>168</v>
      </c>
      <c r="E17880" s="7" t="n">
        <f aca="false">Sens!E17879/Sens!D17879-1</f>
        <v>-0.0131677736066995</v>
      </c>
      <c r="F17880" s="7" t="n">
        <f aca="false">Sens!$E$17880+(glt_win-Sens!$E$17880)*MIN(1,(Sens!F17818-base_fy)/n_conv)</f>
        <v>-0.00763981133891627</v>
      </c>
      <c r="G17880" s="7" t="n">
        <f aca="false">Sens!$E$17880+(glt_win-Sens!$E$17880)*MIN(1,(Sens!G17818-base_fy)/n_conv)</f>
        <v>-0.00211184907113301</v>
      </c>
      <c r="H17880" s="7" t="n">
        <f aca="false">Sens!$E$17880+(glt_win-Sens!$E$17880)*MIN(1,(Sens!H17818-base_fy)/n_conv)</f>
        <v>0.00341611319665024</v>
      </c>
      <c r="I17880" s="7" t="n">
        <f aca="false">Sens!$E$17880+(glt_win-Sens!$E$17880)*MIN(1,(Sens!I17818-base_fy)/n_conv)</f>
        <v>0.00894407546443349</v>
      </c>
      <c r="J17880" s="7" t="n">
        <f aca="false">Sens!$E$17880+(glt_win-Sens!$E$17880)*MIN(1,(Sens!J17818-base_fy)/n_conv)</f>
        <v>0.0144720377322168</v>
      </c>
      <c r="K17880" s="7" t="n">
        <f aca="false">Sens!$E$17880+(glt_win-Sens!$E$17880)*MIN(1,(Sens!K17818-base_fy)/n_conv)</f>
        <v>0.02</v>
      </c>
    </row>
    <row r="17881" customFormat="false" ht="15" hidden="false" customHeight="false" outlineLevel="0" collapsed="false">
      <c r="A17881" s="0" t="s">
        <v>866</v>
      </c>
      <c r="B17881" s="0" t="s">
        <v>98</v>
      </c>
      <c r="D17881" s="6" t="n">
        <f aca="false">Sens!D17875+Sens!D17877+Sens!D17879</f>
        <v>62.941</v>
      </c>
      <c r="E17881" s="6" t="n">
        <f aca="false">Sens!E17875+Sens!E17877+Sens!E17879</f>
        <v>63.712</v>
      </c>
      <c r="F17881" s="6" t="n">
        <f aca="false">Sens!F17875+Sens!F17877+Sens!F17879</f>
        <v>64.3025149952511</v>
      </c>
      <c r="G17881" s="6" t="n">
        <f aca="false">Sens!G17875+Sens!G17877+Sens!G17879</f>
        <v>66.2756719305292</v>
      </c>
      <c r="H17881" s="6" t="n">
        <f aca="false">Sens!H17875+Sens!H17877+Sens!H17879</f>
        <v>68.7139736271804</v>
      </c>
      <c r="I17881" s="6" t="n">
        <f aca="false">Sens!I17875+Sens!I17877+Sens!I17879</f>
        <v>71.5446393194289</v>
      </c>
      <c r="J17881" s="6" t="n">
        <f aca="false">Sens!J17875+Sens!J17877+Sens!J17879</f>
        <v>74.707035000971</v>
      </c>
      <c r="K17881" s="6" t="n">
        <f aca="false">Sens!K17875+Sens!K17877+Sens!K17879</f>
        <v>78.1524145698365</v>
      </c>
    </row>
    <row r="17882" customFormat="false" ht="15" hidden="false" customHeight="false" outlineLevel="0" collapsed="false">
      <c r="A17882" s="1" t="s">
        <v>1040</v>
      </c>
      <c r="B17882" s="0" t="s">
        <v>98</v>
      </c>
      <c r="D17882" s="6" t="n">
        <f aca="false">Sens!D17874+Sens!D17881</f>
        <v>281.724</v>
      </c>
      <c r="E17882" s="6" t="n">
        <f aca="false">Sens!E17874+Sens!E17881</f>
        <v>331.839</v>
      </c>
      <c r="F17882" s="6" t="n">
        <f aca="false">Sens!F17874+Sens!F17881</f>
        <v>399.050611009588</v>
      </c>
      <c r="G17882" s="6" t="n">
        <f aca="false">Sens!G17874+Sens!G17881</f>
        <v>476.478106880219</v>
      </c>
      <c r="H17882" s="6" t="n">
        <f aca="false">Sens!H17874+Sens!H17881</f>
        <v>555.72683159012</v>
      </c>
      <c r="I17882" s="6" t="n">
        <f aca="false">Sens!I17874+Sens!I17881</f>
        <v>628.507568297893</v>
      </c>
      <c r="J17882" s="6" t="n">
        <f aca="false">Sens!J17874+Sens!J17881</f>
        <v>688.109036018095</v>
      </c>
      <c r="K17882" s="6" t="n">
        <f aca="false">Sens!K17874+Sens!K17881</f>
        <v>735.990005337455</v>
      </c>
    </row>
    <row r="17883" customFormat="false" ht="15" hidden="false" customHeight="false" outlineLevel="0" collapsed="false">
      <c r="A17883" s="26" t="s">
        <v>1041</v>
      </c>
      <c r="B17883" s="31" t="s">
        <v>98</v>
      </c>
      <c r="C17883" s="31"/>
      <c r="D17883" s="27" t="n">
        <f aca="false">(Sens!D17862+Sens!D17867+Sens!D17868+Sens!D17870+Sens!D17872-Sens!D17874)+(Sens!D17875+Sens!D17877+Sens!D17879-Sens!D17881)+(Sens!D17874-Q!L5)+(Sens!D17881-Q!L12)+(Sens!D17862-Q!L6)+(Sens!D17867-Q!L7)</f>
        <v>0</v>
      </c>
      <c r="E17883" s="27" t="n">
        <f aca="false">(Sens!E17862+Sens!E17867+Sens!E17868+Sens!E17870+Sens!E17872-Sens!E17874)+(Sens!E17875+Sens!E17877+Sens!E17879-Sens!E17881)+(Sens!E17874-Q!M5)+(Sens!E17881-Q!M12)+(Sens!E17862-Q!M6)+(Sens!E17867-Q!M7)</f>
        <v>0</v>
      </c>
      <c r="F17883" s="27" t="n">
        <f aca="false">(Sens!F17862+Sens!F17867+Sens!F17868+Sens!F17870+Sens!F17872-Sens!F17874)+(Sens!F17875+Sens!F17877+Sens!F17879-Sens!F17881)</f>
        <v>0</v>
      </c>
      <c r="G17883" s="27" t="n">
        <f aca="false">(Sens!G17862+Sens!G17867+Sens!G17868+Sens!G17870+Sens!G17872-Sens!G17874)+(Sens!G17875+Sens!G17877+Sens!G17879-Sens!G17881)</f>
        <v>0</v>
      </c>
      <c r="H17883" s="27" t="n">
        <f aca="false">(Sens!H17862+Sens!H17867+Sens!H17868+Sens!H17870+Sens!H17872-Sens!H17874)+(Sens!H17875+Sens!H17877+Sens!H17879-Sens!H17881)</f>
        <v>0</v>
      </c>
      <c r="I17883" s="27" t="n">
        <f aca="false">(Sens!I17862+Sens!I17867+Sens!I17868+Sens!I17870+Sens!I17872-Sens!I17874)+(Sens!I17875+Sens!I17877+Sens!I17879-Sens!I17881)</f>
        <v>0</v>
      </c>
      <c r="J17883" s="27" t="n">
        <f aca="false">(Sens!J17862+Sens!J17867+Sens!J17868+Sens!J17870+Sens!J17872-Sens!J17874)+(Sens!J17875+Sens!J17877+Sens!J17879-Sens!J17881)</f>
        <v>0</v>
      </c>
      <c r="K17883" s="27" t="n">
        <f aca="false">(Sens!K17862+Sens!K17867+Sens!K17868+Sens!K17870+Sens!K17872-Sens!K17874)+(Sens!K17875+Sens!K17877+Sens!K17879-Sens!K17881)</f>
        <v>0</v>
      </c>
    </row>
    <row r="17884" customFormat="false" ht="17.15" hidden="false" customHeight="false" outlineLevel="0" collapsed="false">
      <c r="A17884" s="3" t="s">
        <v>1921</v>
      </c>
    </row>
    <row r="17885" customFormat="false" ht="15" hidden="false" customHeight="false" outlineLevel="0" collapsed="false">
      <c r="A17885" s="4" t="s">
        <v>43</v>
      </c>
      <c r="B17885" s="4" t="s">
        <v>65</v>
      </c>
      <c r="C17885" s="23" t="s">
        <v>938</v>
      </c>
      <c r="D17885" s="23" t="s">
        <v>939</v>
      </c>
      <c r="E17885" s="23" t="s">
        <v>940</v>
      </c>
      <c r="F17885" s="23" t="s">
        <v>941</v>
      </c>
      <c r="G17885" s="23" t="s">
        <v>942</v>
      </c>
      <c r="H17885" s="23" t="s">
        <v>943</v>
      </c>
      <c r="I17885" s="23" t="s">
        <v>944</v>
      </c>
      <c r="J17885" s="23" t="s">
        <v>945</v>
      </c>
      <c r="K17885" s="23" t="s">
        <v>946</v>
      </c>
      <c r="L17885" s="4" t="s">
        <v>47</v>
      </c>
    </row>
    <row r="17886" customFormat="false" ht="15" hidden="false" customHeight="false" outlineLevel="0" collapsed="false">
      <c r="A17886" s="0" t="s">
        <v>1025</v>
      </c>
      <c r="B17886" s="0" t="s">
        <v>98</v>
      </c>
      <c r="D17886" s="6" t="n">
        <f aca="false">Sens!D17862</f>
        <v>72.61</v>
      </c>
      <c r="E17886" s="6" t="n">
        <f aca="false">Sens!E17862</f>
        <v>101.938</v>
      </c>
      <c r="F17886" s="6" t="n">
        <f aca="false">Sens!F17862</f>
        <v>146.709048000181</v>
      </c>
      <c r="G17886" s="6" t="n">
        <f aca="false">Sens!G17862</f>
        <v>199.762829861393</v>
      </c>
      <c r="H17886" s="6" t="n">
        <f aca="false">Sens!H17862</f>
        <v>254.146566109645</v>
      </c>
      <c r="I17886" s="6" t="n">
        <f aca="false">Sens!I17862</f>
        <v>303.439446964617</v>
      </c>
      <c r="J17886" s="6" t="n">
        <f aca="false">Sens!J17862</f>
        <v>341.309898459739</v>
      </c>
      <c r="K17886" s="6" t="n">
        <f aca="false">Sens!K17862</f>
        <v>368.09747789654</v>
      </c>
    </row>
    <row r="17887" customFormat="false" ht="17.15" hidden="false" customHeight="false" outlineLevel="0" collapsed="false">
      <c r="A17887" s="0" t="s">
        <v>1021</v>
      </c>
      <c r="B17887" s="0" t="s">
        <v>98</v>
      </c>
      <c r="D17887" s="6" t="n">
        <f aca="false">Sens!D17859</f>
        <v>12.9359794422418</v>
      </c>
      <c r="E17887" s="6" t="n">
        <f aca="false">Sens!E17859</f>
        <v>27.8095064661409</v>
      </c>
      <c r="F17887" s="6" t="n">
        <f aca="false">Sens!F17859</f>
        <v>55.4118315060966</v>
      </c>
      <c r="G17887" s="6" t="n">
        <f aca="false">Sens!G17859</f>
        <v>91.2881100675143</v>
      </c>
      <c r="H17887" s="6" t="n">
        <f aca="false">Sens!H17859</f>
        <v>128.195273603944</v>
      </c>
      <c r="I17887" s="6" t="n">
        <f aca="false">Sens!I17859</f>
        <v>160.601281810405</v>
      </c>
      <c r="J17887" s="6" t="n">
        <f aca="false">Sens!J17859</f>
        <v>183.182719793589</v>
      </c>
      <c r="K17887" s="6" t="n">
        <f aca="false">Sens!K17859</f>
        <v>197.320124937098</v>
      </c>
    </row>
    <row r="17888" customFormat="false" ht="17.15" hidden="false" customHeight="false" outlineLevel="0" collapsed="false">
      <c r="A17888" s="0" t="s">
        <v>1052</v>
      </c>
      <c r="B17888" s="0" t="s">
        <v>98</v>
      </c>
      <c r="D17888" s="6" t="n">
        <f aca="false">Sens!D17860</f>
        <v>59.6740205577583</v>
      </c>
      <c r="E17888" s="6" t="n">
        <f aca="false">Sens!E17860</f>
        <v>74.1284935338591</v>
      </c>
      <c r="F17888" s="6" t="n">
        <f aca="false">Sens!F17860</f>
        <v>91.2972164940844</v>
      </c>
      <c r="G17888" s="6" t="n">
        <f aca="false">Sens!G17860</f>
        <v>108.474719793879</v>
      </c>
      <c r="H17888" s="6" t="n">
        <f aca="false">Sens!H17860</f>
        <v>125.951292505701</v>
      </c>
      <c r="I17888" s="6" t="n">
        <f aca="false">Sens!I17860</f>
        <v>142.838165154212</v>
      </c>
      <c r="J17888" s="6" t="n">
        <f aca="false">Sens!J17860</f>
        <v>158.12717866615</v>
      </c>
      <c r="K17888" s="6" t="n">
        <f aca="false">Sens!K17860</f>
        <v>170.777352959442</v>
      </c>
    </row>
    <row r="17889" customFormat="false" ht="15" hidden="false" customHeight="false" outlineLevel="0" collapsed="false">
      <c r="A17889" s="0" t="s">
        <v>1032</v>
      </c>
      <c r="B17889" s="0" t="s">
        <v>98</v>
      </c>
      <c r="D17889" s="6" t="n">
        <f aca="false">Sens!D17867</f>
        <v>84.605</v>
      </c>
      <c r="E17889" s="6" t="n">
        <f aca="false">Sens!E17867</f>
        <v>100.299</v>
      </c>
      <c r="F17889" s="6" t="n">
        <f aca="false">Sens!F17867</f>
        <v>118.584003697747</v>
      </c>
      <c r="G17889" s="6" t="n">
        <f aca="false">Sens!G17867</f>
        <v>136.700726545688</v>
      </c>
      <c r="H17889" s="6" t="n">
        <f aca="false">Sens!H17867</f>
        <v>154.898624783666</v>
      </c>
      <c r="I17889" s="6" t="n">
        <f aca="false">Sens!I17867</f>
        <v>171.420510030657</v>
      </c>
      <c r="J17889" s="6" t="n">
        <f aca="false">Sens!J17867</f>
        <v>185.985722618572</v>
      </c>
      <c r="K17889" s="6" t="n">
        <f aca="false">Sens!K17867</f>
        <v>199.799723201872</v>
      </c>
    </row>
    <row r="17890" customFormat="false" ht="17.15" hidden="false" customHeight="false" outlineLevel="0" collapsed="false">
      <c r="A17890" s="0" t="s">
        <v>1053</v>
      </c>
      <c r="B17890" s="0" t="s">
        <v>98</v>
      </c>
      <c r="D17890" s="6" t="n">
        <f aca="false">Sens!D17865</f>
        <v>83.705</v>
      </c>
      <c r="E17890" s="6" t="n">
        <f aca="false">Sens!E17865</f>
        <v>95.049</v>
      </c>
      <c r="F17890" s="6" t="n">
        <f aca="false">Sens!F17865</f>
        <v>106.584003697747</v>
      </c>
      <c r="G17890" s="6" t="n">
        <f aca="false">Sens!G17865</f>
        <v>118.700726545688</v>
      </c>
      <c r="H17890" s="6" t="n">
        <f aca="false">Sens!H17865</f>
        <v>130.898624783666</v>
      </c>
      <c r="I17890" s="6" t="n">
        <f aca="false">Sens!I17865</f>
        <v>142.920510030657</v>
      </c>
      <c r="J17890" s="6" t="n">
        <f aca="false">Sens!J17865</f>
        <v>154.485722618572</v>
      </c>
      <c r="K17890" s="6" t="n">
        <f aca="false">Sens!K17865</f>
        <v>165.299723201872</v>
      </c>
    </row>
    <row r="17891" customFormat="false" ht="17.15" hidden="false" customHeight="false" outlineLevel="0" collapsed="false">
      <c r="A17891" s="0" t="s">
        <v>1054</v>
      </c>
      <c r="B17891" s="0" t="s">
        <v>98</v>
      </c>
      <c r="D17891" s="6" t="n">
        <f aca="false">Sens!D17864</f>
        <v>0.9</v>
      </c>
      <c r="E17891" s="6" t="n">
        <f aca="false">Sens!E17864</f>
        <v>5.25</v>
      </c>
      <c r="F17891" s="6" t="n">
        <f aca="false">Sens!F17864</f>
        <v>12</v>
      </c>
      <c r="G17891" s="6" t="n">
        <f aca="false">Sens!G17864</f>
        <v>18</v>
      </c>
      <c r="H17891" s="6" t="n">
        <f aca="false">Sens!H17864</f>
        <v>24</v>
      </c>
      <c r="I17891" s="6" t="n">
        <f aca="false">Sens!I17864</f>
        <v>28.5</v>
      </c>
      <c r="J17891" s="6" t="n">
        <f aca="false">Sens!J17864</f>
        <v>31.5</v>
      </c>
      <c r="K17891" s="6" t="n">
        <f aca="false">Sens!K17864</f>
        <v>34.5</v>
      </c>
    </row>
    <row r="17892" customFormat="false" ht="15" hidden="false" customHeight="false" outlineLevel="0" collapsed="false">
      <c r="A17892" s="0" t="s">
        <v>1033</v>
      </c>
      <c r="B17892" s="0" t="s">
        <v>98</v>
      </c>
      <c r="D17892" s="6" t="n">
        <f aca="false">Sens!D17868</f>
        <v>35.391</v>
      </c>
      <c r="E17892" s="6" t="n">
        <f aca="false">Sens!E17868</f>
        <v>37.285</v>
      </c>
      <c r="F17892" s="6" t="n">
        <f aca="false">Sens!F17868</f>
        <v>38.3851437782675</v>
      </c>
      <c r="G17892" s="6" t="n">
        <f aca="false">Sens!G17868</f>
        <v>40.0105353288615</v>
      </c>
      <c r="H17892" s="6" t="n">
        <f aca="false">Sens!H17868</f>
        <v>41.4812512033683</v>
      </c>
      <c r="I17892" s="6" t="n">
        <f aca="false">Sens!I17868</f>
        <v>42.7743107216329</v>
      </c>
      <c r="J17892" s="6" t="n">
        <f aca="false">Sens!J17868</f>
        <v>43.8687373064601</v>
      </c>
      <c r="K17892" s="6" t="n">
        <f aca="false">Sens!K17868</f>
        <v>44.7461120525893</v>
      </c>
    </row>
    <row r="17893" customFormat="false" ht="15" hidden="false" customHeight="false" outlineLevel="0" collapsed="false">
      <c r="A17893" s="0" t="s">
        <v>1035</v>
      </c>
      <c r="B17893" s="0" t="s">
        <v>98</v>
      </c>
      <c r="D17893" s="6" t="n">
        <f aca="false">Sens!D17870</f>
        <v>18.417</v>
      </c>
      <c r="E17893" s="6" t="n">
        <f aca="false">Sens!E17870</f>
        <v>20.345</v>
      </c>
      <c r="F17893" s="6" t="n">
        <f aca="false">Sens!F17870</f>
        <v>22.3161797133988</v>
      </c>
      <c r="G17893" s="6" t="n">
        <f aca="false">Sens!G17870</f>
        <v>24.3943499673233</v>
      </c>
      <c r="H17893" s="6" t="n">
        <f aca="false">Sens!H17870</f>
        <v>26.5250243109019</v>
      </c>
      <c r="I17893" s="6" t="n">
        <f aca="false">Sens!I17870</f>
        <v>28.6884573538181</v>
      </c>
      <c r="J17893" s="6" t="n">
        <f aca="false">Sens!J17870</f>
        <v>30.8624968052127</v>
      </c>
      <c r="K17893" s="6" t="n">
        <f aca="false">Sens!K17870</f>
        <v>33.0228715815776</v>
      </c>
    </row>
    <row r="17894" customFormat="false" ht="15" hidden="false" customHeight="false" outlineLevel="0" collapsed="false">
      <c r="A17894" s="0" t="s">
        <v>1036</v>
      </c>
      <c r="B17894" s="0" t="s">
        <v>98</v>
      </c>
      <c r="D17894" s="6" t="n">
        <f aca="false">Sens!D17872</f>
        <v>7.76</v>
      </c>
      <c r="E17894" s="6" t="n">
        <f aca="false">Sens!E17872</f>
        <v>8.26</v>
      </c>
      <c r="F17894" s="6" t="n">
        <f aca="false">Sens!F17872</f>
        <v>8.75372082474227</v>
      </c>
      <c r="G17894" s="6" t="n">
        <f aca="false">Sens!G17872</f>
        <v>9.33399324642364</v>
      </c>
      <c r="H17894" s="6" t="n">
        <f aca="false">Sens!H17872</f>
        <v>9.96139155535851</v>
      </c>
      <c r="I17894" s="6" t="n">
        <f aca="false">Sens!I17872</f>
        <v>10.6402039077391</v>
      </c>
      <c r="J17894" s="6" t="n">
        <f aca="false">Sens!J17872</f>
        <v>11.3751458271397</v>
      </c>
      <c r="K17894" s="6" t="n">
        <f aca="false">Sens!K17872</f>
        <v>12.1714060350394</v>
      </c>
    </row>
    <row r="17895" customFormat="false" ht="15" hidden="false" customHeight="false" outlineLevel="0" collapsed="false">
      <c r="A17895" s="0" t="s">
        <v>852</v>
      </c>
      <c r="B17895" s="0" t="s">
        <v>98</v>
      </c>
      <c r="D17895" s="6" t="n">
        <f aca="false">Sens!D17874</f>
        <v>218.783</v>
      </c>
      <c r="E17895" s="6" t="n">
        <f aca="false">Sens!E17874</f>
        <v>268.127</v>
      </c>
      <c r="F17895" s="6" t="n">
        <f aca="false">Sens!F17874</f>
        <v>334.748096014336</v>
      </c>
      <c r="G17895" s="6" t="n">
        <f aca="false">Sens!G17874</f>
        <v>410.20243494969</v>
      </c>
      <c r="H17895" s="6" t="n">
        <f aca="false">Sens!H17874</f>
        <v>487.012857962939</v>
      </c>
      <c r="I17895" s="6" t="n">
        <f aca="false">Sens!I17874</f>
        <v>556.962928978464</v>
      </c>
      <c r="J17895" s="6" t="n">
        <f aca="false">Sens!J17874</f>
        <v>613.402001017124</v>
      </c>
      <c r="K17895" s="6" t="n">
        <f aca="false">Sens!K17874</f>
        <v>657.837590767618</v>
      </c>
    </row>
    <row r="17896" customFormat="false" ht="15" hidden="false" customHeight="false" outlineLevel="0" collapsed="false">
      <c r="A17896" s="0" t="s">
        <v>1037</v>
      </c>
      <c r="B17896" s="0" t="s">
        <v>98</v>
      </c>
      <c r="D17896" s="6" t="n">
        <f aca="false">Sens!D17875</f>
        <v>22.171</v>
      </c>
      <c r="E17896" s="6" t="n">
        <f aca="false">Sens!E17875</f>
        <v>24.835</v>
      </c>
      <c r="F17896" s="6" t="n">
        <f aca="false">Sens!F17875</f>
        <v>27.5591895660247</v>
      </c>
      <c r="G17896" s="6" t="n">
        <f aca="false">Sens!G17875</f>
        <v>30.4098563144583</v>
      </c>
      <c r="H17896" s="6" t="n">
        <f aca="false">Sens!H17875</f>
        <v>33.3011792571777</v>
      </c>
      <c r="I17896" s="6" t="n">
        <f aca="false">Sens!I17875</f>
        <v>36.189023797112</v>
      </c>
      <c r="J17896" s="6" t="n">
        <f aca="false">Sens!J17875</f>
        <v>39.0247773769199</v>
      </c>
      <c r="K17896" s="6" t="n">
        <f aca="false">Sens!K17875</f>
        <v>41.7565117933043</v>
      </c>
    </row>
    <row r="17897" customFormat="false" ht="15" hidden="false" customHeight="false" outlineLevel="0" collapsed="false">
      <c r="A17897" s="0" t="s">
        <v>1038</v>
      </c>
      <c r="B17897" s="0" t="s">
        <v>98</v>
      </c>
      <c r="D17897" s="6" t="n">
        <f aca="false">Sens!D17877</f>
        <v>23.455</v>
      </c>
      <c r="E17897" s="6" t="n">
        <f aca="false">Sens!E17877</f>
        <v>21.79</v>
      </c>
      <c r="F17897" s="6" t="n">
        <f aca="false">Sens!F17877</f>
        <v>20.7520981041711</v>
      </c>
      <c r="G17897" s="6" t="n">
        <f aca="false">Sens!G17877</f>
        <v>19.9083593495882</v>
      </c>
      <c r="H17897" s="6" t="n">
        <f aca="false">Sens!H17877</f>
        <v>19.4008256265831</v>
      </c>
      <c r="I17897" s="6" t="n">
        <f aca="false">Sens!I17877</f>
        <v>19.200434522122</v>
      </c>
      <c r="J17897" s="6" t="n">
        <f aca="false">Sens!J17877</f>
        <v>19.2932782348507</v>
      </c>
      <c r="K17897" s="6" t="n">
        <f aca="false">Sens!K17877</f>
        <v>19.6791437995477</v>
      </c>
    </row>
    <row r="17898" customFormat="false" ht="15" hidden="false" customHeight="false" outlineLevel="0" collapsed="false">
      <c r="A17898" s="0" t="s">
        <v>1039</v>
      </c>
      <c r="B17898" s="0" t="s">
        <v>98</v>
      </c>
      <c r="D17898" s="6" t="n">
        <f aca="false">Sens!D17879</f>
        <v>17.315</v>
      </c>
      <c r="E17898" s="6" t="n">
        <f aca="false">Sens!E17879</f>
        <v>17.087</v>
      </c>
      <c r="F17898" s="6" t="n">
        <f aca="false">Sens!F17879</f>
        <v>15.9912273250553</v>
      </c>
      <c r="G17898" s="6" t="n">
        <f aca="false">Sens!G17879</f>
        <v>15.9574562664827</v>
      </c>
      <c r="H17898" s="6" t="n">
        <f aca="false">Sens!H17879</f>
        <v>16.0119687434196</v>
      </c>
      <c r="I17898" s="6" t="n">
        <f aca="false">Sens!I17879</f>
        <v>16.1551810001948</v>
      </c>
      <c r="J17898" s="6" t="n">
        <f aca="false">Sens!J17879</f>
        <v>16.3889793892005</v>
      </c>
      <c r="K17898" s="6" t="n">
        <f aca="false">Sens!K17879</f>
        <v>16.7167589769845</v>
      </c>
    </row>
    <row r="17899" customFormat="false" ht="15" hidden="false" customHeight="false" outlineLevel="0" collapsed="false">
      <c r="A17899" s="0" t="s">
        <v>866</v>
      </c>
      <c r="B17899" s="0" t="s">
        <v>98</v>
      </c>
      <c r="D17899" s="6" t="n">
        <f aca="false">Sens!D17881</f>
        <v>62.941</v>
      </c>
      <c r="E17899" s="6" t="n">
        <f aca="false">Sens!E17881</f>
        <v>63.712</v>
      </c>
      <c r="F17899" s="6" t="n">
        <f aca="false">Sens!F17881</f>
        <v>64.3025149952511</v>
      </c>
      <c r="G17899" s="6" t="n">
        <f aca="false">Sens!G17881</f>
        <v>66.2756719305292</v>
      </c>
      <c r="H17899" s="6" t="n">
        <f aca="false">Sens!H17881</f>
        <v>68.7139736271804</v>
      </c>
      <c r="I17899" s="6" t="n">
        <f aca="false">Sens!I17881</f>
        <v>71.5446393194289</v>
      </c>
      <c r="J17899" s="6" t="n">
        <f aca="false">Sens!J17881</f>
        <v>74.707035000971</v>
      </c>
      <c r="K17899" s="6" t="n">
        <f aca="false">Sens!K17881</f>
        <v>78.1524145698365</v>
      </c>
    </row>
    <row r="17900" customFormat="false" ht="15" hidden="false" customHeight="false" outlineLevel="0" collapsed="false">
      <c r="A17900" s="1" t="s">
        <v>1055</v>
      </c>
      <c r="B17900" s="0" t="s">
        <v>98</v>
      </c>
      <c r="D17900" s="6" t="n">
        <f aca="false">Sens!D17882</f>
        <v>281.724</v>
      </c>
      <c r="E17900" s="6" t="n">
        <f aca="false">Sens!E17882</f>
        <v>331.839</v>
      </c>
      <c r="F17900" s="6" t="n">
        <f aca="false">Sens!F17882</f>
        <v>399.050611009588</v>
      </c>
      <c r="G17900" s="6" t="n">
        <f aca="false">Sens!G17882</f>
        <v>476.478106880219</v>
      </c>
      <c r="H17900" s="6" t="n">
        <f aca="false">Sens!H17882</f>
        <v>555.72683159012</v>
      </c>
      <c r="I17900" s="6" t="n">
        <f aca="false">Sens!I17882</f>
        <v>628.507568297893</v>
      </c>
      <c r="J17900" s="6" t="n">
        <f aca="false">Sens!J17882</f>
        <v>688.109036018095</v>
      </c>
      <c r="K17900" s="6" t="n">
        <f aca="false">Sens!K17882</f>
        <v>735.990005337455</v>
      </c>
    </row>
    <row r="17901" customFormat="false" ht="15" hidden="false" customHeight="false" outlineLevel="0" collapsed="false">
      <c r="A17901" s="1" t="s">
        <v>1056</v>
      </c>
      <c r="B17901" s="0" t="s">
        <v>168</v>
      </c>
      <c r="E17901" s="7" t="n">
        <f aca="false">Sens!E17900/Sens!D17900-1</f>
        <v>0.177886867998467</v>
      </c>
      <c r="F17901" s="7" t="n">
        <f aca="false">Sens!F17900/Sens!E17900-1</f>
        <v>0.202542832547071</v>
      </c>
      <c r="G17901" s="7" t="n">
        <f aca="false">Sens!G17900/Sens!F17900-1</f>
        <v>0.194029262791359</v>
      </c>
      <c r="H17901" s="7" t="n">
        <f aca="false">Sens!H17900/Sens!G17900-1</f>
        <v>0.166321859421387</v>
      </c>
      <c r="I17901" s="7" t="n">
        <f aca="false">Sens!I17900/Sens!H17900-1</f>
        <v>0.13096494999085</v>
      </c>
      <c r="J17901" s="7" t="n">
        <f aca="false">Sens!J17900/Sens!I17900-1</f>
        <v>0.0948301511811749</v>
      </c>
      <c r="K17901" s="7" t="n">
        <f aca="false">Sens!K17900/Sens!J17900-1</f>
        <v>0.0695834043924704</v>
      </c>
    </row>
    <row r="17902" customFormat="false" ht="17.15" hidden="false" customHeight="false" outlineLevel="0" collapsed="false">
      <c r="A17902" s="26" t="s">
        <v>1057</v>
      </c>
      <c r="B17902" s="31" t="s">
        <v>98</v>
      </c>
      <c r="C17902" s="31"/>
      <c r="D17902" s="27" t="n">
        <f aca="false">(Sens!D17895+Sens!D17899-Sens!D17900)+(Sens!D17887+Sens!D17888-Sens!D17886)+(Sens!D17890+Sens!D17891-Sens!D17889)+(Sens!D17900-Q!L18)</f>
        <v>0</v>
      </c>
      <c r="E17902" s="27" t="n">
        <f aca="false">(Sens!E17895+Sens!E17899-Sens!E17900)+(Sens!E17887+Sens!E17888-Sens!E17886)+(Sens!E17890+Sens!E17891-Sens!E17889)+(Sens!E17900-Q!M18)</f>
        <v>0</v>
      </c>
      <c r="F17902" s="27" t="n">
        <f aca="false">(Sens!F17895+Sens!F17899-Sens!F17900)+(Sens!F17887+Sens!F17888-Sens!F17886)+(Sens!F17890+Sens!F17891-Sens!F17889)</f>
        <v>0</v>
      </c>
      <c r="G17902" s="27" t="n">
        <f aca="false">(Sens!G17895+Sens!G17899-Sens!G17900)+(Sens!G17887+Sens!G17888-Sens!G17886)+(Sens!G17890+Sens!G17891-Sens!G17889)</f>
        <v>0</v>
      </c>
      <c r="H17902" s="27" t="n">
        <f aca="false">(Sens!H17895+Sens!H17899-Sens!H17900)+(Sens!H17887+Sens!H17888-Sens!H17886)+(Sens!H17890+Sens!H17891-Sens!H17889)</f>
        <v>0</v>
      </c>
      <c r="I17902" s="27" t="n">
        <f aca="false">(Sens!I17895+Sens!I17899-Sens!I17900)+(Sens!I17887+Sens!I17888-Sens!I17886)+(Sens!I17890+Sens!I17891-Sens!I17889)</f>
        <v>0</v>
      </c>
      <c r="J17902" s="27" t="n">
        <f aca="false">(Sens!J17895+Sens!J17899-Sens!J17900)+(Sens!J17887+Sens!J17888-Sens!J17886)+(Sens!J17890+Sens!J17891-Sens!J17889)</f>
        <v>0</v>
      </c>
      <c r="K17902" s="27" t="n">
        <f aca="false">(Sens!K17895+Sens!K17899-Sens!K17900)+(Sens!K17887+Sens!K17888-Sens!K17886)+(Sens!K17890+Sens!K17891-Sens!K17889)</f>
        <v>0</v>
      </c>
    </row>
    <row r="17903" customFormat="false" ht="17.15" hidden="false" customHeight="false" outlineLevel="0" collapsed="false">
      <c r="A17903" s="0" t="s">
        <v>1058</v>
      </c>
      <c r="B17903" s="0" t="s">
        <v>168</v>
      </c>
      <c r="E17903" s="7" t="n">
        <f aca="false">(Q!M21+Sens!E17839+Sens!E17840+Sens!E17841+Sens!E17855-Sens!E17837)/(Q!M5-Sens!E17837)</f>
        <v>0.570957350878296</v>
      </c>
      <c r="F17903" s="7" t="n">
        <f aca="false">Sens!$E$17903+dm_seg</f>
        <v>0.570957350878296</v>
      </c>
      <c r="G17903" s="7" t="n">
        <f aca="false">Sens!$E$17903+dm_seg</f>
        <v>0.570957350878296</v>
      </c>
      <c r="H17903" s="7" t="n">
        <f aca="false">Sens!$E$17903+dm_seg</f>
        <v>0.570957350878296</v>
      </c>
      <c r="I17903" s="7" t="n">
        <f aca="false">Sens!$E$17903+dm_seg</f>
        <v>0.570957350878296</v>
      </c>
      <c r="J17903" s="7" t="n">
        <f aca="false">Sens!$E$17903+dm_seg</f>
        <v>0.570957350878296</v>
      </c>
      <c r="K17903" s="7" t="n">
        <f aca="false">Sens!$E$17903+dm_seg</f>
        <v>0.570957350878296</v>
      </c>
      <c r="L17903" s="12" t="s">
        <v>1059</v>
      </c>
    </row>
    <row r="17904" customFormat="false" ht="17.15" hidden="false" customHeight="false" outlineLevel="0" collapsed="false">
      <c r="A17904" s="0" t="s">
        <v>880</v>
      </c>
      <c r="B17904" s="0" t="s">
        <v>98</v>
      </c>
      <c r="D17904" s="6" t="n">
        <f aca="false">Q!L21</f>
        <v>110.814</v>
      </c>
      <c r="E17904" s="6" t="n">
        <f aca="false">Q!M21</f>
        <v>136.365</v>
      </c>
      <c r="F17904" s="6" t="n">
        <f aca="false">Q!$I$21+(Sens!F17903*(Sens!F17874-Sens!F17837)+Sens!F17837-(Sens!F17839+Sens!F17840+Sens!F17841)-Sens!F17855-Sens!F17938)*(Sens!F17874-Q!$I$5)/Sens!F17874</f>
        <v>162.089887407448</v>
      </c>
      <c r="G17904" s="6" t="n">
        <f aca="false">(Sens!G17903*(Sens!G17874-Sens!G17837)+Sens!G17837-(Sens!G17839+Sens!G17840+Sens!G17841)-Sens!G17855-Sens!G17938)</f>
        <v>177.568901713564</v>
      </c>
      <c r="H17904" s="6" t="n">
        <f aca="false">(Sens!H17903*(Sens!H17874-Sens!H17837)+Sens!H17837-(Sens!H17839+Sens!H17840+Sens!H17841)-Sens!H17855-Sens!H17938)</f>
        <v>196.763684351161</v>
      </c>
      <c r="I17904" s="6" t="n">
        <f aca="false">(Sens!I17903*(Sens!I17874-Sens!I17837)+Sens!I17837-(Sens!I17839+Sens!I17840+Sens!I17841)-Sens!I17855-Sens!I17938)</f>
        <v>214.975581329514</v>
      </c>
      <c r="J17904" s="6" t="n">
        <f aca="false">(Sens!J17903*(Sens!J17874-Sens!J17837)+Sens!J17837-(Sens!J17839+Sens!J17840+Sens!J17841)-Sens!J17855-Sens!J17938)</f>
        <v>231.957074553261</v>
      </c>
      <c r="K17904" s="6" t="n">
        <f aca="false">(Sens!K17903*(Sens!K17874-Sens!K17837)+Sens!K17837-(Sens!K17839+Sens!K17840+Sens!K17841)-Sens!K17855-Sens!K17938)</f>
        <v>248.339744195063</v>
      </c>
      <c r="L17904" s="1" t="s">
        <v>1060</v>
      </c>
    </row>
    <row r="17905" customFormat="false" ht="17.15" hidden="false" customHeight="false" outlineLevel="0" collapsed="false">
      <c r="A17905" s="0" t="s">
        <v>1061</v>
      </c>
      <c r="B17905" s="0" t="s">
        <v>168</v>
      </c>
      <c r="E17905" s="7" t="n">
        <f aca="false">Q!M22/Q!M12</f>
        <v>0.296207935710698</v>
      </c>
      <c r="F17905" s="7" t="n">
        <f aca="false">Sens!$E$17905+dm_seg</f>
        <v>0.296207935710698</v>
      </c>
      <c r="G17905" s="7" t="n">
        <f aca="false">Sens!$E$17905+dm_seg</f>
        <v>0.296207935710698</v>
      </c>
      <c r="H17905" s="7" t="n">
        <f aca="false">Sens!$E$17905+dm_seg</f>
        <v>0.296207935710698</v>
      </c>
      <c r="I17905" s="7" t="n">
        <f aca="false">Sens!$E$17905+dm_seg</f>
        <v>0.296207935710698</v>
      </c>
      <c r="J17905" s="7" t="n">
        <f aca="false">Sens!$E$17905+dm_seg</f>
        <v>0.296207935710698</v>
      </c>
      <c r="K17905" s="7" t="n">
        <f aca="false">Sens!$E$17905+dm_seg</f>
        <v>0.296207935710698</v>
      </c>
      <c r="L17905" s="12" t="s">
        <v>1062</v>
      </c>
    </row>
    <row r="17906" customFormat="false" ht="17.15" hidden="false" customHeight="false" outlineLevel="0" collapsed="false">
      <c r="A17906" s="0" t="s">
        <v>882</v>
      </c>
      <c r="B17906" s="0" t="s">
        <v>98</v>
      </c>
      <c r="D17906" s="6" t="n">
        <f aca="false">Q!L22</f>
        <v>17.714</v>
      </c>
      <c r="E17906" s="6" t="n">
        <f aca="false">Q!M22</f>
        <v>18.872</v>
      </c>
      <c r="F17906" s="6" t="n">
        <f aca="false">Q!$I$22+(Sens!F17881-Q!$I$12)*Sens!F17905</f>
        <v>19.8174315512051</v>
      </c>
      <c r="G17906" s="6" t="n">
        <f aca="false">Sens!G17881*Sens!G17905</f>
        <v>19.6313799703815</v>
      </c>
      <c r="H17906" s="6" t="n">
        <f aca="false">Sens!H17881*Sens!H17905</f>
        <v>20.3536242825865</v>
      </c>
      <c r="I17906" s="6" t="n">
        <f aca="false">Sens!I17881*Sens!I17905</f>
        <v>21.1920899239745</v>
      </c>
      <c r="J17906" s="6" t="n">
        <f aca="false">Sens!J17881*Sens!J17905</f>
        <v>22.1288166207045</v>
      </c>
      <c r="K17906" s="6" t="n">
        <f aca="false">Sens!K17881*Sens!K17905</f>
        <v>23.1493653905379</v>
      </c>
      <c r="L17906" s="12" t="s">
        <v>1063</v>
      </c>
    </row>
    <row r="17907" customFormat="false" ht="15" hidden="false" customHeight="false" outlineLevel="0" collapsed="false">
      <c r="A17907" s="1" t="s">
        <v>1064</v>
      </c>
      <c r="B17907" s="0" t="s">
        <v>98</v>
      </c>
      <c r="D17907" s="6" t="n">
        <f aca="false">Sens!D17904+Sens!D17906</f>
        <v>128.528</v>
      </c>
      <c r="E17907" s="6" t="n">
        <f aca="false">Sens!E17904+Sens!E17906</f>
        <v>155.237</v>
      </c>
      <c r="F17907" s="6" t="n">
        <f aca="false">Sens!F17904+Sens!F17906</f>
        <v>181.907318958653</v>
      </c>
      <c r="G17907" s="6" t="n">
        <f aca="false">Sens!G17904+Sens!G17906</f>
        <v>197.200281683945</v>
      </c>
      <c r="H17907" s="6" t="n">
        <f aca="false">Sens!H17904+Sens!H17906</f>
        <v>217.117308633747</v>
      </c>
      <c r="I17907" s="6" t="n">
        <f aca="false">Sens!I17904+Sens!I17906</f>
        <v>236.167671253488</v>
      </c>
      <c r="J17907" s="6" t="n">
        <f aca="false">Sens!J17904+Sens!J17906</f>
        <v>254.085891173966</v>
      </c>
      <c r="K17907" s="6" t="n">
        <f aca="false">Sens!K17904+Sens!K17906</f>
        <v>271.489109585601</v>
      </c>
    </row>
    <row r="17908" customFormat="false" ht="15" hidden="false" customHeight="false" outlineLevel="0" collapsed="false">
      <c r="A17908" s="26" t="s">
        <v>1065</v>
      </c>
      <c r="B17908" s="31" t="s">
        <v>98</v>
      </c>
      <c r="C17908" s="31"/>
      <c r="D17908" s="27" t="n">
        <f aca="false">Sens!D17907-Q!L23</f>
        <v>0</v>
      </c>
      <c r="E17908" s="27" t="n">
        <f aca="false">Sens!E17907-Q!M23</f>
        <v>0</v>
      </c>
      <c r="F17908" s="31"/>
      <c r="G17908" s="31"/>
      <c r="H17908" s="31"/>
      <c r="I17908" s="31"/>
      <c r="J17908" s="31"/>
      <c r="K17908" s="31"/>
    </row>
    <row r="17909" customFormat="false" ht="15" hidden="false" customHeight="false" outlineLevel="0" collapsed="false">
      <c r="A17909" s="1" t="s">
        <v>1066</v>
      </c>
      <c r="B17909" s="0" t="s">
        <v>168</v>
      </c>
      <c r="D17909" s="7" t="n">
        <f aca="false">Sens!D17907/Sens!D17900</f>
        <v>0.456219562408598</v>
      </c>
      <c r="E17909" s="7" t="n">
        <f aca="false">Sens!E17907/Sens!E17900</f>
        <v>0.467808184089272</v>
      </c>
      <c r="F17909" s="7" t="n">
        <f aca="false">Sens!F17907/Sens!F17900</f>
        <v>0.4558502454073</v>
      </c>
      <c r="G17909" s="7" t="n">
        <f aca="false">Sens!G17907/Sens!G17900</f>
        <v>0.413870603573228</v>
      </c>
      <c r="H17909" s="7" t="n">
        <f aca="false">Sens!H17907/Sens!H17900</f>
        <v>0.390690706821735</v>
      </c>
      <c r="I17909" s="7" t="n">
        <f aca="false">Sens!I17907/Sens!I17900</f>
        <v>0.375759470793758</v>
      </c>
      <c r="J17909" s="7" t="n">
        <f aca="false">Sens!J17907/Sens!J17900</f>
        <v>0.369252368264619</v>
      </c>
      <c r="K17909" s="7" t="n">
        <f aca="false">Sens!K17907/Sens!K17900</f>
        <v>0.368876082034731</v>
      </c>
    </row>
    <row r="17910" customFormat="false" ht="17.15" hidden="false" customHeight="false" outlineLevel="0" collapsed="false">
      <c r="A17910" s="1" t="s">
        <v>1067</v>
      </c>
      <c r="B17910" s="0" t="s">
        <v>98</v>
      </c>
      <c r="F17910" s="6" t="n">
        <f aca="false">Sens!F17925</f>
        <v>9.7398427716299</v>
      </c>
      <c r="G17910" s="6" t="n">
        <f aca="false">Sens!G17925</f>
        <v>25.2753385959797</v>
      </c>
      <c r="H17910" s="6" t="n">
        <f aca="false">Sens!H17925</f>
        <v>42.2840253697948</v>
      </c>
      <c r="I17910" s="6" t="n">
        <f aca="false">Sens!I17925</f>
        <v>57.704943641581</v>
      </c>
      <c r="J17910" s="6" t="n">
        <f aca="false">Sens!J17925</f>
        <v>68.4828520908201</v>
      </c>
      <c r="K17910" s="6" t="n">
        <f aca="false">Sens!K17925</f>
        <v>74.3598374943249</v>
      </c>
      <c r="L17910" s="1" t="s">
        <v>1068</v>
      </c>
    </row>
    <row r="17911" customFormat="false" ht="17.15" hidden="false" customHeight="false" outlineLevel="0" collapsed="false">
      <c r="A17911" s="1" t="s">
        <v>1069</v>
      </c>
      <c r="B17911" s="0" t="s">
        <v>98</v>
      </c>
      <c r="D17911" s="6" t="n">
        <f aca="false">Sens!D17907</f>
        <v>128.528</v>
      </c>
      <c r="E17911" s="6" t="n">
        <f aca="false">Sens!E17907</f>
        <v>155.237</v>
      </c>
      <c r="F17911" s="6" t="n">
        <f aca="false">Sens!F17907+Sens!F17910</f>
        <v>191.647161730283</v>
      </c>
      <c r="G17911" s="6" t="n">
        <f aca="false">Sens!G17907+Sens!G17910</f>
        <v>222.475620279925</v>
      </c>
      <c r="H17911" s="6" t="n">
        <f aca="false">Sens!H17907+Sens!H17910</f>
        <v>259.401334003542</v>
      </c>
      <c r="I17911" s="6" t="n">
        <f aca="false">Sens!I17907+Sens!I17910</f>
        <v>293.872614895069</v>
      </c>
      <c r="J17911" s="6" t="n">
        <f aca="false">Sens!J17907+Sens!J17910</f>
        <v>322.568743264786</v>
      </c>
      <c r="K17911" s="6" t="n">
        <f aca="false">Sens!K17907+Sens!K17910</f>
        <v>345.848947079926</v>
      </c>
    </row>
    <row r="17912" customFormat="false" ht="17.15" hidden="false" customHeight="false" outlineLevel="0" collapsed="false">
      <c r="A17912" s="1" t="s">
        <v>1070</v>
      </c>
      <c r="B17912" s="0" t="s">
        <v>98</v>
      </c>
      <c r="E17912" s="6" t="n">
        <f aca="false">Sens!E17855</f>
        <v>16.3054059770833</v>
      </c>
      <c r="F17912" s="6" t="n">
        <f aca="false">Sens!F17855</f>
        <v>34.5793160999064</v>
      </c>
      <c r="G17912" s="6" t="n">
        <f aca="false">Sens!G17855</f>
        <v>60.7344938954086</v>
      </c>
      <c r="H17912" s="6" t="n">
        <f aca="false">Sens!H17855</f>
        <v>89.1000939045553</v>
      </c>
      <c r="I17912" s="6" t="n">
        <f aca="false">Sens!I17855</f>
        <v>114.231012937658</v>
      </c>
      <c r="J17912" s="6" t="n">
        <f aca="false">Sens!J17855</f>
        <v>132.015676292706</v>
      </c>
      <c r="K17912" s="6" t="n">
        <f aca="false">Sens!K17855</f>
        <v>143.012672794044</v>
      </c>
    </row>
    <row r="17913" customFormat="false" ht="17.15" hidden="false" customHeight="false" outlineLevel="0" collapsed="false">
      <c r="A17913" s="1" t="s">
        <v>1071</v>
      </c>
      <c r="B17913" s="0" t="s">
        <v>98</v>
      </c>
      <c r="E17913" s="6" t="n">
        <f aca="false">Sens!E17937</f>
        <v>22.2285940229167</v>
      </c>
      <c r="F17913" s="6" t="n">
        <f aca="false">Sens!F17937</f>
        <v>23.5803422705473</v>
      </c>
      <c r="G17913" s="6" t="n">
        <f aca="false">Sens!G17937</f>
        <v>25.3583487889173</v>
      </c>
      <c r="H17913" s="6" t="n">
        <f aca="false">Sens!H17937</f>
        <v>27.5285684068818</v>
      </c>
      <c r="I17913" s="6" t="n">
        <f aca="false">Sens!I17937</f>
        <v>30.0244509342793</v>
      </c>
      <c r="J17913" s="6" t="n">
        <f aca="false">Sens!J17937</f>
        <v>32.7625773200223</v>
      </c>
      <c r="K17913" s="6" t="n">
        <f aca="false">Sens!K17937</f>
        <v>35.6585672940919</v>
      </c>
    </row>
    <row r="17914" customFormat="false" ht="17.15" hidden="false" customHeight="false" outlineLevel="0" collapsed="false">
      <c r="A17914" s="1" t="s">
        <v>1072</v>
      </c>
      <c r="B17914" s="0" t="s">
        <v>98</v>
      </c>
      <c r="D17914" s="6" t="n">
        <f aca="false">Q!L27</f>
        <v>-4.901</v>
      </c>
      <c r="E17914" s="6" t="n">
        <f aca="false">Q!M27</f>
        <v>10.697</v>
      </c>
      <c r="F17914" s="6" t="n">
        <f aca="false">Q!$I$27+oie_f*(q_per_yr-1)/q_per_yr</f>
        <v>-0.862</v>
      </c>
      <c r="G17914" s="6" t="n">
        <f aca="false">oie_f</f>
        <v>-1.2</v>
      </c>
      <c r="H17914" s="6" t="n">
        <f aca="false">oie_f</f>
        <v>-1.2</v>
      </c>
      <c r="I17914" s="6" t="n">
        <f aca="false">oie_f</f>
        <v>-1.2</v>
      </c>
      <c r="J17914" s="6" t="n">
        <f aca="false">oie_f</f>
        <v>-1.2</v>
      </c>
      <c r="K17914" s="6" t="n">
        <f aca="false">oie_f</f>
        <v>-1.2</v>
      </c>
      <c r="L17914" s="12" t="s">
        <v>1073</v>
      </c>
    </row>
    <row r="17915" customFormat="false" ht="15" hidden="false" customHeight="false" outlineLevel="0" collapsed="false">
      <c r="A17915" s="1" t="s">
        <v>1074</v>
      </c>
      <c r="B17915" s="0" t="s">
        <v>98</v>
      </c>
      <c r="D17915" s="6" t="n">
        <f aca="false">Sens!D17907+Sens!D17914</f>
        <v>123.627</v>
      </c>
      <c r="E17915" s="6" t="n">
        <f aca="false">Sens!E17907+Sens!E17914</f>
        <v>165.934</v>
      </c>
      <c r="F17915" s="6" t="n">
        <f aca="false">Sens!F17907+Sens!F17914</f>
        <v>181.045318958653</v>
      </c>
      <c r="G17915" s="6" t="n">
        <f aca="false">Sens!G17907+Sens!G17914</f>
        <v>196.000281683945</v>
      </c>
      <c r="H17915" s="6" t="n">
        <f aca="false">Sens!H17907+Sens!H17914</f>
        <v>215.917308633747</v>
      </c>
      <c r="I17915" s="6" t="n">
        <f aca="false">Sens!I17907+Sens!I17914</f>
        <v>234.967671253488</v>
      </c>
      <c r="J17915" s="6" t="n">
        <f aca="false">Sens!J17907+Sens!J17914</f>
        <v>252.885891173966</v>
      </c>
      <c r="K17915" s="6" t="n">
        <f aca="false">Sens!K17907+Sens!K17914</f>
        <v>270.289109585601</v>
      </c>
    </row>
    <row r="17916" customFormat="false" ht="15" hidden="false" customHeight="false" outlineLevel="0" collapsed="false">
      <c r="A17916" s="1" t="s">
        <v>1075</v>
      </c>
      <c r="B17916" s="0" t="s">
        <v>98</v>
      </c>
      <c r="D17916" s="6" t="n">
        <f aca="false">Q!L29</f>
        <v>21.795</v>
      </c>
      <c r="E17916" s="6" t="n">
        <f aca="false">Q!M29</f>
        <v>32.185</v>
      </c>
      <c r="F17916" s="6" t="n">
        <f aca="false">Q!$I$29+(Sens!F17915-Q!$I$28)*tax_f</f>
        <v>36.3424637917307</v>
      </c>
      <c r="G17916" s="6" t="n">
        <f aca="false">Sens!G17915*tax_f</f>
        <v>39.200056336789</v>
      </c>
      <c r="H17916" s="6" t="n">
        <f aca="false">Sens!H17915*tax_f</f>
        <v>43.1834617267494</v>
      </c>
      <c r="I17916" s="6" t="n">
        <f aca="false">Sens!I17915*tax_f</f>
        <v>46.9935342506976</v>
      </c>
      <c r="J17916" s="6" t="n">
        <f aca="false">Sens!J17915*tax_f</f>
        <v>50.5771782347931</v>
      </c>
      <c r="K17916" s="6" t="n">
        <f aca="false">Sens!K17915*tax_f</f>
        <v>54.0578219171202</v>
      </c>
    </row>
    <row r="17917" customFormat="false" ht="15" hidden="false" customHeight="false" outlineLevel="0" collapsed="false">
      <c r="A17917" s="1" t="s">
        <v>1076</v>
      </c>
      <c r="B17917" s="0" t="s">
        <v>98</v>
      </c>
      <c r="D17917" s="6" t="n">
        <f aca="false">Sens!D17915-Sens!D17916</f>
        <v>101.832</v>
      </c>
      <c r="E17917" s="6" t="n">
        <f aca="false">Sens!E17915-Sens!E17916</f>
        <v>133.749</v>
      </c>
      <c r="F17917" s="6" t="n">
        <f aca="false">Sens!F17915-Sens!F17916</f>
        <v>144.702855166923</v>
      </c>
      <c r="G17917" s="6" t="n">
        <f aca="false">Sens!G17915-Sens!G17916</f>
        <v>156.800225347156</v>
      </c>
      <c r="H17917" s="6" t="n">
        <f aca="false">Sens!H17915-Sens!H17916</f>
        <v>172.733846906998</v>
      </c>
      <c r="I17917" s="6" t="n">
        <f aca="false">Sens!I17915-Sens!I17916</f>
        <v>187.974137002791</v>
      </c>
      <c r="J17917" s="6" t="n">
        <f aca="false">Sens!J17915-Sens!J17916</f>
        <v>202.308712939173</v>
      </c>
      <c r="K17917" s="6" t="n">
        <f aca="false">Sens!K17915-Sens!K17916</f>
        <v>216.231287668481</v>
      </c>
    </row>
    <row r="17918" customFormat="false" ht="17.15" hidden="false" customHeight="false" outlineLevel="0" collapsed="false">
      <c r="A17918" s="1" t="s">
        <v>1077</v>
      </c>
      <c r="B17918" s="1" t="s">
        <v>81</v>
      </c>
      <c r="D17918" s="15" t="n">
        <f aca="false">Q!L31</f>
        <v>7.465</v>
      </c>
      <c r="E17918" s="15" t="n">
        <f aca="false">Q!M31</f>
        <v>7.453</v>
      </c>
      <c r="F17918" s="15" t="n">
        <f aca="false">Sens!F17962</f>
        <v>7.47325460595307</v>
      </c>
      <c r="G17918" s="15" t="n">
        <f aca="false">Sens!G17962</f>
        <v>7.51800921190614</v>
      </c>
      <c r="H17918" s="15" t="n">
        <f aca="false">Sens!H17962</f>
        <v>7.54570915093494</v>
      </c>
      <c r="I17918" s="15" t="n">
        <f aca="false">Sens!I17962</f>
        <v>7.55739051499041</v>
      </c>
      <c r="J17918" s="15" t="n">
        <f aca="false">Sens!J17962</f>
        <v>7.57153992615288</v>
      </c>
      <c r="K17918" s="15" t="n">
        <f aca="false">Sens!K17962</f>
        <v>7.58797456611813</v>
      </c>
    </row>
    <row r="17919" customFormat="false" ht="17.15" hidden="false" customHeight="false" outlineLevel="0" collapsed="false">
      <c r="A17919" s="0" t="s">
        <v>1078</v>
      </c>
      <c r="B17919" s="0" t="s">
        <v>75</v>
      </c>
      <c r="D17919" s="8" t="n">
        <f aca="false">Sens!D17917/Sens!D17918</f>
        <v>13.641259209645</v>
      </c>
      <c r="E17919" s="8" t="n">
        <f aca="false">Sens!E17917/Sens!E17918</f>
        <v>17.9456594659869</v>
      </c>
      <c r="F17919" s="8" t="n">
        <f aca="false">Sens!F17917/Sens!F17918</f>
        <v>19.3627626511821</v>
      </c>
      <c r="G17919" s="8" t="n">
        <f aca="false">Sens!G17917/Sens!G17918</f>
        <v>20.8566152192038</v>
      </c>
      <c r="H17919" s="8" t="n">
        <f aca="false">Sens!H17917/Sens!H17918</f>
        <v>22.8916651108393</v>
      </c>
      <c r="I17919" s="8" t="n">
        <f aca="false">Sens!I17917/Sens!I17918</f>
        <v>24.8728892108904</v>
      </c>
      <c r="J17919" s="8" t="n">
        <f aca="false">Sens!J17917/Sens!J17918</f>
        <v>26.7196257184589</v>
      </c>
      <c r="K17919" s="8" t="n">
        <f aca="false">Sens!K17917/Sens!K17918</f>
        <v>28.4965751775181</v>
      </c>
      <c r="L17919" s="1" t="s">
        <v>1079</v>
      </c>
    </row>
    <row r="17920" customFormat="false" ht="17.15" hidden="false" customHeight="false" outlineLevel="0" collapsed="false">
      <c r="A17920" s="1" t="s">
        <v>1080</v>
      </c>
      <c r="B17920" s="0" t="s">
        <v>98</v>
      </c>
      <c r="D17920" s="6" t="n">
        <f aca="false">Sens!D17917</f>
        <v>101.832</v>
      </c>
      <c r="E17920" s="6" t="n">
        <f aca="false">Sens!E17917</f>
        <v>133.749</v>
      </c>
      <c r="F17920" s="6" t="n">
        <f aca="false">Sens!F17917+Sens!F17910*(1-tax_f)</f>
        <v>152.494729384227</v>
      </c>
      <c r="G17920" s="6" t="n">
        <f aca="false">Sens!G17917+Sens!G17910*(1-tax_f)</f>
        <v>177.02049622394</v>
      </c>
      <c r="H17920" s="6" t="n">
        <f aca="false">Sens!H17917+Sens!H17910*(1-tax_f)</f>
        <v>206.561067202834</v>
      </c>
      <c r="I17920" s="6" t="n">
        <f aca="false">Sens!I17917+Sens!I17910*(1-tax_f)</f>
        <v>234.138091916055</v>
      </c>
      <c r="J17920" s="6" t="n">
        <f aca="false">Sens!J17917+Sens!J17910*(1-tax_f)</f>
        <v>257.094994611829</v>
      </c>
      <c r="K17920" s="6" t="n">
        <f aca="false">Sens!K17917+Sens!K17910*(1-tax_f)</f>
        <v>275.719157663941</v>
      </c>
    </row>
    <row r="17921" customFormat="false" ht="17.15" hidden="false" customHeight="false" outlineLevel="0" collapsed="false">
      <c r="A17921" s="0" t="s">
        <v>1081</v>
      </c>
      <c r="B17921" s="0" t="s">
        <v>75</v>
      </c>
      <c r="D17921" s="8" t="n">
        <f aca="false">Sens!D17920/Sens!D17918</f>
        <v>13.641259209645</v>
      </c>
      <c r="E17921" s="8" t="n">
        <f aca="false">Sens!E17920/Sens!E17918</f>
        <v>17.9456594659869</v>
      </c>
      <c r="F17921" s="8" t="n">
        <f aca="false">Sens!F17920/Sens!F17918</f>
        <v>20.4053973034388</v>
      </c>
      <c r="G17921" s="8" t="n">
        <f aca="false">Sens!G17920/Sens!G17918</f>
        <v>23.5461930458393</v>
      </c>
      <c r="H17921" s="8" t="n">
        <f aca="false">Sens!H17920/Sens!H17918</f>
        <v>27.3746394236836</v>
      </c>
      <c r="I17921" s="8" t="n">
        <f aca="false">Sens!I17920/Sens!I17918</f>
        <v>30.981340907504</v>
      </c>
      <c r="J17921" s="8" t="n">
        <f aca="false">Sens!J17920/Sens!J17918</f>
        <v>33.9554432941437</v>
      </c>
      <c r="K17921" s="8" t="n">
        <f aca="false">Sens!K17920/Sens!K17918</f>
        <v>36.336331291236</v>
      </c>
      <c r="L17921" s="1" t="s">
        <v>1082</v>
      </c>
    </row>
    <row r="17922" customFormat="false" ht="17.15" hidden="false" customHeight="false" outlineLevel="0" collapsed="false">
      <c r="A17922" s="0" t="s">
        <v>1083</v>
      </c>
      <c r="B17922" s="0" t="s">
        <v>168</v>
      </c>
      <c r="E17922" s="7" t="n">
        <f aca="false">Sens!E17921/Sens!D17921-1</f>
        <v>0.315542736208578</v>
      </c>
      <c r="F17922" s="7" t="n">
        <f aca="false">Sens!F17921/Sens!E17921-1</f>
        <v>0.137065892848019</v>
      </c>
      <c r="G17922" s="7" t="n">
        <f aca="false">Sens!G17921/Sens!F17921-1</f>
        <v>0.153919852463306</v>
      </c>
      <c r="H17922" s="7" t="n">
        <f aca="false">Sens!H17921/Sens!G17921-1</f>
        <v>0.162593009001123</v>
      </c>
      <c r="I17922" s="7" t="n">
        <f aca="false">Sens!I17921/Sens!H17921-1</f>
        <v>0.131753387798053</v>
      </c>
      <c r="J17922" s="7" t="n">
        <f aca="false">Sens!J17921/Sens!I17921-1</f>
        <v>0.0959965675959249</v>
      </c>
      <c r="K17922" s="7" t="n">
        <f aca="false">Sens!K17921/Sens!J17921-1</f>
        <v>0.0701180066025802</v>
      </c>
    </row>
    <row r="17923" customFormat="false" ht="17.15" hidden="false" customHeight="false" outlineLevel="0" collapsed="false">
      <c r="A17923" s="0" t="s">
        <v>1003</v>
      </c>
      <c r="B17923" s="0" t="s">
        <v>98</v>
      </c>
      <c r="E17923" s="6" t="n">
        <f aca="false">Sens!E17864</f>
        <v>5.25</v>
      </c>
      <c r="F17923" s="6" t="n">
        <f aca="false">Sens!F17864</f>
        <v>12</v>
      </c>
      <c r="G17923" s="6" t="n">
        <f aca="false">Sens!G17864</f>
        <v>18</v>
      </c>
      <c r="H17923" s="6" t="n">
        <f aca="false">Sens!H17864</f>
        <v>24</v>
      </c>
      <c r="I17923" s="6" t="n">
        <f aca="false">Sens!I17864</f>
        <v>28.5</v>
      </c>
      <c r="J17923" s="6" t="n">
        <f aca="false">Sens!J17864</f>
        <v>31.5</v>
      </c>
      <c r="K17923" s="6" t="n">
        <f aca="false">Sens!K17864</f>
        <v>34.5</v>
      </c>
    </row>
    <row r="17924" customFormat="false" ht="17.15" hidden="false" customHeight="false" outlineLevel="0" collapsed="false">
      <c r="A17924" s="1" t="s">
        <v>1004</v>
      </c>
      <c r="B17924" s="0" t="s">
        <v>98</v>
      </c>
      <c r="F17924" s="6" t="n">
        <f aca="false">MAX(0,((Sens!E17824+Sens!F17824)/2-(shadow_base*(Sens!$D$17824+Sens!$E$17824)/2+(1-shadow_base)*Sens!$E$17824))*Sens!F17833/1000-(Sens!F17923-Sens!$E$17923)*Sens!F17903)</f>
        <v>9.7398427716299</v>
      </c>
      <c r="G17924" s="6" t="n">
        <f aca="false">MAX(0,((Sens!F17824+Sens!G17824)/2-(shadow_base*(Sens!$D$17824+Sens!$E$17824)/2+(1-shadow_base)*Sens!$E$17824))*Sens!G17833/1000-(Sens!G17923-Sens!$E$17923)*Sens!G17903)</f>
        <v>25.2753385959797</v>
      </c>
      <c r="H17924" s="6" t="n">
        <f aca="false">MAX(0,((Sens!G17824+Sens!H17824)/2-(shadow_base*(Sens!$D$17824+Sens!$E$17824)/2+(1-shadow_base)*Sens!$E$17824))*Sens!H17833/1000-(Sens!H17923-Sens!$E$17923)*Sens!H17903)</f>
        <v>42.2840253697948</v>
      </c>
      <c r="I17924" s="6" t="n">
        <f aca="false">MAX(0,((Sens!H17824+Sens!I17824)/2-(shadow_base*(Sens!$D$17824+Sens!$E$17824)/2+(1-shadow_base)*Sens!$E$17824))*Sens!I17833/1000-(Sens!I17923-Sens!$E$17923)*Sens!I17903)</f>
        <v>57.704943641581</v>
      </c>
      <c r="J17924" s="6" t="n">
        <f aca="false">MAX(0,((Sens!I17824+Sens!J17824)/2-(shadow_base*(Sens!$D$17824+Sens!$E$17824)/2+(1-shadow_base)*Sens!$E$17824))*Sens!J17833/1000-(Sens!J17923-Sens!$E$17923)*Sens!J17903)</f>
        <v>68.4828520908201</v>
      </c>
      <c r="K17924" s="6" t="n">
        <f aca="false">MAX(0,((Sens!J17824+Sens!K17824)/2-(shadow_base*(Sens!$D$17824+Sens!$E$17824)/2+(1-shadow_base)*Sens!$E$17824))*Sens!K17833/1000-(Sens!K17923-Sens!$E$17923)*Sens!K17903)</f>
        <v>74.3598374943249</v>
      </c>
      <c r="L17924" s="1" t="s">
        <v>1005</v>
      </c>
    </row>
    <row r="17925" customFormat="false" ht="17.15" hidden="false" customHeight="false" outlineLevel="0" collapsed="false">
      <c r="A17925" s="1" t="s">
        <v>1006</v>
      </c>
      <c r="B17925" s="0" t="s">
        <v>98</v>
      </c>
      <c r="F17925" s="6" t="n">
        <f aca="false">IF(internal_ai_reading=2,1,0)*Sens!F17924</f>
        <v>9.7398427716299</v>
      </c>
      <c r="G17925" s="6" t="n">
        <f aca="false">IF(internal_ai_reading=2,1,0)*Sens!G17924</f>
        <v>25.2753385959797</v>
      </c>
      <c r="H17925" s="6" t="n">
        <f aca="false">IF(internal_ai_reading=2,1,0)*Sens!H17924</f>
        <v>42.2840253697948</v>
      </c>
      <c r="I17925" s="6" t="n">
        <f aca="false">IF(internal_ai_reading=2,1,0)*Sens!I17924</f>
        <v>57.704943641581</v>
      </c>
      <c r="J17925" s="6" t="n">
        <f aca="false">IF(internal_ai_reading=2,1,0)*Sens!J17924</f>
        <v>68.4828520908201</v>
      </c>
      <c r="K17925" s="6" t="n">
        <f aca="false">IF(internal_ai_reading=2,1,0)*Sens!K17924</f>
        <v>74.3598374943249</v>
      </c>
    </row>
    <row r="17926" customFormat="false" ht="17.15" hidden="false" customHeight="false" outlineLevel="0" collapsed="false">
      <c r="A17926" s="0" t="s">
        <v>1007</v>
      </c>
      <c r="B17926" s="0" t="s">
        <v>98</v>
      </c>
      <c r="F17926" s="6" t="n">
        <f aca="false">Sens!F17843+Sens!F17923*Sens!F17903+Sens!F17925-Sens!F17844-Sens!F17855</f>
        <v>14.8152811346724</v>
      </c>
      <c r="G17926" s="6" t="n">
        <f aca="false">Sens!G17843+Sens!G17923*Sens!G17903+Sens!G17925-Sens!G17844-Sens!G17855</f>
        <v>31.0349945334854</v>
      </c>
      <c r="H17926" s="6" t="n">
        <f aca="false">Sens!H17843+Sens!H17923*Sens!H17903+Sens!H17925-Sens!H17844-Sens!H17855</f>
        <v>47.881148727873</v>
      </c>
      <c r="I17926" s="6" t="n">
        <f aca="false">Sens!I17843+Sens!I17923*Sens!I17903+Sens!I17925-Sens!I17844-Sens!I17855</f>
        <v>62.6472134142932</v>
      </c>
      <c r="J17926" s="6" t="n">
        <f aca="false">Sens!J17843+Sens!J17923*Sens!J17903+Sens!J17925-Sens!J17844-Sens!J17855</f>
        <v>72.7882220925938</v>
      </c>
      <c r="K17926" s="6" t="n">
        <f aca="false">Sens!K17843+Sens!K17923*Sens!K17903+Sens!K17925-Sens!K17844-Sens!K17855</f>
        <v>79.4617779709091</v>
      </c>
    </row>
    <row r="17927" customFormat="false" ht="17.15" hidden="false" customHeight="false" outlineLevel="0" collapsed="false">
      <c r="A17927" s="0" t="s">
        <v>1008</v>
      </c>
      <c r="B17927" s="0" t="s">
        <v>98</v>
      </c>
      <c r="E17927" s="6" t="n">
        <f aca="false">Sens!E17823*(cxit_open+self_build*tk_cxfac)/1000*ai_net_open</f>
        <v>126.6980382</v>
      </c>
      <c r="F17927" s="6" t="n">
        <f aca="false">Sens!E17927+Sens!F17852-Sens!F17855</f>
        <v>260.572645600871</v>
      </c>
      <c r="G17927" s="6" t="n">
        <f aca="false">Sens!F17927+Sens!G17852-Sens!G17855</f>
        <v>391.78262735451</v>
      </c>
      <c r="H17927" s="6" t="n">
        <f aca="false">Sens!G17927+Sens!H17852-Sens!H17855</f>
        <v>499.488537514467</v>
      </c>
      <c r="I17927" s="6" t="n">
        <f aca="false">Sens!H17927+Sens!I17852-Sens!I17855</f>
        <v>553.87235819842</v>
      </c>
      <c r="J17927" s="6" t="n">
        <f aca="false">Sens!I17927+Sens!J17852-Sens!J17855</f>
        <v>550.786613101655</v>
      </c>
      <c r="K17927" s="6" t="n">
        <f aca="false">Sens!J17927+Sens!K17852-Sens!K17855</f>
        <v>526.736793372344</v>
      </c>
      <c r="L17927" s="1" t="s">
        <v>1009</v>
      </c>
    </row>
    <row r="17928" customFormat="false" ht="17.15" hidden="false" customHeight="false" outlineLevel="0" collapsed="false">
      <c r="A17928" s="0" t="s">
        <v>1010</v>
      </c>
      <c r="B17928" s="0" t="s">
        <v>168</v>
      </c>
      <c r="F17928" s="7" t="n">
        <f aca="false">Sens!F17926*(1-tax_f)/((Sens!E17927+Sens!F17927)/2)</f>
        <v>0.0612089962060343</v>
      </c>
      <c r="G17928" s="7" t="n">
        <f aca="false">Sens!G17926*(1-tax_f)/((Sens!F17927+Sens!G17927)/2)</f>
        <v>0.0761180192943317</v>
      </c>
      <c r="H17928" s="7" t="n">
        <f aca="false">Sens!H17926*(1-tax_f)/((Sens!G17927+Sens!H17927)/2)</f>
        <v>0.0859557012324739</v>
      </c>
      <c r="I17928" s="7" t="n">
        <f aca="false">Sens!I17926*(1-tax_f)/((Sens!H17927+Sens!I17927)/2)</f>
        <v>0.0951578341960685</v>
      </c>
      <c r="J17928" s="7" t="n">
        <f aca="false">Sens!J17926*(1-tax_f)/((Sens!I17927+Sens!J17927)/2)</f>
        <v>0.105427248023059</v>
      </c>
      <c r="K17928" s="7" t="n">
        <f aca="false">Sens!K17926*(1-tax_f)/((Sens!J17927+Sens!K17927)/2)</f>
        <v>0.117991724346382</v>
      </c>
    </row>
    <row r="17929" customFormat="false" ht="17.15" hidden="false" customHeight="false" outlineLevel="0" collapsed="false">
      <c r="A17929" s="1" t="s">
        <v>1011</v>
      </c>
      <c r="B17929" s="0" t="s">
        <v>168</v>
      </c>
      <c r="F17929" s="7" t="n">
        <f aca="false">(Sens!F17926-Sens!F17925)*(1-tax_f)/((Sens!E17927+Sens!F17927)/2)</f>
        <v>0.020969057872306</v>
      </c>
      <c r="G17929" s="7" t="n">
        <f aca="false">(Sens!G17926-Sens!G17925)*(1-tax_f)/((Sens!F17927+Sens!G17927)/2)</f>
        <v>0.0141264275496084</v>
      </c>
      <c r="H17929" s="7" t="n">
        <f aca="false">(Sens!H17926-Sens!H17925)*(1-tax_f)/((Sens!G17927+Sens!H17927)/2)</f>
        <v>0.0100478930834049</v>
      </c>
      <c r="I17929" s="7" t="n">
        <f aca="false">(Sens!I17926-Sens!I17925)*(1-tax_f)/((Sens!H17927+Sens!I17927)/2)</f>
        <v>0.00750704878880828</v>
      </c>
      <c r="J17929" s="7" t="n">
        <f aca="false">(Sens!J17926-Sens!J17925)*(1-tax_f)/((Sens!I17927+Sens!J17927)/2)</f>
        <v>0.00623594446956849</v>
      </c>
      <c r="K17929" s="7" t="n">
        <f aca="false">(Sens!K17926-Sens!K17925)*(1-tax_f)/((Sens!J17927+Sens!K17927)/2)</f>
        <v>0.00757580272826471</v>
      </c>
    </row>
    <row r="17930" customFormat="false" ht="17.15" hidden="false" customHeight="false" outlineLevel="0" collapsed="false">
      <c r="A17930" s="1" t="s">
        <v>1012</v>
      </c>
      <c r="B17930" s="0" t="s">
        <v>168</v>
      </c>
      <c r="F17930" s="7" t="n">
        <f aca="false">(Sens!F17926-Sens!F17925+Sens!F17924)*(1-tax_f)/((Sens!E17927+Sens!F17927)/2)</f>
        <v>0.0612089962060343</v>
      </c>
      <c r="G17930" s="7" t="n">
        <f aca="false">(Sens!G17926-Sens!G17925+Sens!G17924)*(1-tax_f)/((Sens!F17927+Sens!G17927)/2)</f>
        <v>0.0761180192943317</v>
      </c>
      <c r="H17930" s="7" t="n">
        <f aca="false">(Sens!H17926-Sens!H17925+Sens!H17924)*(1-tax_f)/((Sens!G17927+Sens!H17927)/2)</f>
        <v>0.0859557012324739</v>
      </c>
      <c r="I17930" s="7" t="n">
        <f aca="false">(Sens!I17926-Sens!I17925+Sens!I17924)*(1-tax_f)/((Sens!H17927+Sens!I17927)/2)</f>
        <v>0.0951578341960685</v>
      </c>
      <c r="J17930" s="7" t="n">
        <f aca="false">(Sens!J17926-Sens!J17925+Sens!J17924)*(1-tax_f)/((Sens!I17927+Sens!J17927)/2)</f>
        <v>0.105427248023059</v>
      </c>
      <c r="K17930" s="7" t="n">
        <f aca="false">(Sens!K17926-Sens!K17925+Sens!K17924)*(1-tax_f)/((Sens!J17927+Sens!K17927)/2)</f>
        <v>0.117991724346382</v>
      </c>
    </row>
    <row r="17931" customFormat="false" ht="17.15" hidden="false" customHeight="false" outlineLevel="0" collapsed="false">
      <c r="A17931" s="1" t="s">
        <v>1013</v>
      </c>
      <c r="B17931" s="0" t="s">
        <v>168</v>
      </c>
      <c r="F17931" s="7" t="n">
        <f aca="false">Sens!F17856*(1-tax_f)/(Sens!F17842*(Sens!E17927+Sens!F17927)/2)</f>
        <v>0.129294817840952</v>
      </c>
      <c r="G17931" s="7" t="n">
        <f aca="false">Sens!G17856*(1-tax_f)/(Sens!G17842*(Sens!F17927+Sens!G17927)/2)</f>
        <v>0.12719597634402</v>
      </c>
      <c r="H17931" s="7" t="n">
        <f aca="false">Sens!H17856*(1-tax_f)/(Sens!H17842*(Sens!G17927+Sens!H17927)/2)</f>
        <v>0.130828157437226</v>
      </c>
      <c r="I17931" s="7" t="n">
        <f aca="false">Sens!I17856*(1-tax_f)/(Sens!I17842*(Sens!H17927+Sens!I17927)/2)</f>
        <v>0.138614519450687</v>
      </c>
      <c r="J17931" s="7" t="n">
        <f aca="false">Sens!J17856*(1-tax_f)/(Sens!J17842*(Sens!I17927+Sens!J17927)/2)</f>
        <v>0.150578912545262</v>
      </c>
      <c r="K17931" s="7" t="n">
        <f aca="false">Sens!K17856*(1-tax_f)/(Sens!K17842*(Sens!J17927+Sens!K17927)/2)</f>
        <v>0.167005340065715</v>
      </c>
    </row>
    <row r="17932" customFormat="false" ht="17.15" hidden="false" customHeight="false" outlineLevel="0" collapsed="false">
      <c r="A17932" s="0" t="s">
        <v>1014</v>
      </c>
      <c r="B17932" s="0" t="s">
        <v>253</v>
      </c>
      <c r="F17932" s="7" t="n">
        <f aca="false">Sens!F17928-wacc</f>
        <v>-0.041727594739563</v>
      </c>
      <c r="G17932" s="7" t="n">
        <f aca="false">Sens!G17928-wacc</f>
        <v>-0.0268185716512656</v>
      </c>
      <c r="H17932" s="7" t="n">
        <f aca="false">Sens!H17928-wacc</f>
        <v>-0.0169808897131234</v>
      </c>
      <c r="I17932" s="7" t="n">
        <f aca="false">Sens!I17928-wacc</f>
        <v>-0.0077787567495288</v>
      </c>
      <c r="J17932" s="7" t="n">
        <f aca="false">Sens!J17928-wacc</f>
        <v>0.00249065707746164</v>
      </c>
      <c r="K17932" s="7" t="n">
        <f aca="false">Sens!K17928-wacc</f>
        <v>0.0150551334007848</v>
      </c>
    </row>
    <row r="17933" customFormat="false" ht="17.15" hidden="false" customHeight="false" outlineLevel="0" collapsed="false">
      <c r="A17933" s="0" t="s">
        <v>1015</v>
      </c>
      <c r="B17933" s="0" t="s">
        <v>98</v>
      </c>
      <c r="F17933" s="6" t="n">
        <f aca="false">Sens!F17926*(1-tax_f)-wacc*(Sens!E17927+Sens!F17927)/2</f>
        <v>-8.07993707407809</v>
      </c>
      <c r="G17933" s="6" t="n">
        <f aca="false">Sens!G17926*(1-tax_f)-wacc*(Sens!F17927+Sens!G17927)/2</f>
        <v>-8.74761831491742</v>
      </c>
      <c r="H17933" s="6" t="n">
        <f aca="false">Sens!H17926*(1-tax_f)-wacc*(Sens!G17927+Sens!H17927)/2</f>
        <v>-7.56728867756355</v>
      </c>
      <c r="I17933" s="6" t="n">
        <f aca="false">Sens!I17926*(1-tax_f)-wacc*(Sens!H17927+Sens!I17927)/2</f>
        <v>-4.09691908860817</v>
      </c>
      <c r="J17933" s="6" t="n">
        <f aca="false">Sens!J17926*(1-tax_f)-wacc*(Sens!I17927+Sens!J17927)/2</f>
        <v>1.37566334252502</v>
      </c>
      <c r="K17933" s="6" t="n">
        <f aca="false">Sens!K17926*(1-tax_f)-wacc*(Sens!J17927+Sens!K17927)/2</f>
        <v>8.11112931346708</v>
      </c>
    </row>
    <row r="17934" customFormat="false" ht="17.15" hidden="false" customHeight="false" outlineLevel="0" collapsed="false">
      <c r="A17934" s="3" t="s">
        <v>1922</v>
      </c>
    </row>
    <row r="17935" customFormat="false" ht="15" hidden="false" customHeight="false" outlineLevel="0" collapsed="false">
      <c r="A17935" s="4" t="s">
        <v>43</v>
      </c>
      <c r="B17935" s="4" t="s">
        <v>65</v>
      </c>
      <c r="C17935" s="23" t="s">
        <v>938</v>
      </c>
      <c r="D17935" s="23" t="s">
        <v>939</v>
      </c>
      <c r="E17935" s="23" t="s">
        <v>940</v>
      </c>
      <c r="F17935" s="23" t="s">
        <v>941</v>
      </c>
      <c r="G17935" s="23" t="s">
        <v>942</v>
      </c>
      <c r="H17935" s="23" t="s">
        <v>943</v>
      </c>
      <c r="I17935" s="23" t="s">
        <v>944</v>
      </c>
      <c r="J17935" s="23" t="s">
        <v>945</v>
      </c>
      <c r="K17935" s="23" t="s">
        <v>946</v>
      </c>
      <c r="L17935" s="4" t="s">
        <v>47</v>
      </c>
    </row>
    <row r="17936" customFormat="false" ht="15" hidden="false" customHeight="false" outlineLevel="0" collapsed="false">
      <c r="A17936" s="1" t="s">
        <v>1076</v>
      </c>
      <c r="B17936" s="0" t="s">
        <v>98</v>
      </c>
      <c r="F17936" s="6" t="n">
        <f aca="false">Sens!F17917</f>
        <v>144.702855166923</v>
      </c>
      <c r="G17936" s="6" t="n">
        <f aca="false">Sens!G17917</f>
        <v>156.800225347156</v>
      </c>
      <c r="H17936" s="6" t="n">
        <f aca="false">Sens!H17917</f>
        <v>172.733846906998</v>
      </c>
      <c r="I17936" s="6" t="n">
        <f aca="false">Sens!I17917</f>
        <v>187.974137002791</v>
      </c>
      <c r="J17936" s="6" t="n">
        <f aca="false">Sens!J17917</f>
        <v>202.308712939173</v>
      </c>
      <c r="K17936" s="6" t="n">
        <f aca="false">Sens!K17917</f>
        <v>216.231287668481</v>
      </c>
    </row>
    <row r="17937" customFormat="false" ht="17.15" hidden="false" customHeight="false" outlineLevel="0" collapsed="false">
      <c r="A17937" s="1" t="s">
        <v>1098</v>
      </c>
      <c r="B17937" s="0" t="s">
        <v>98</v>
      </c>
      <c r="E17937" s="6" t="n">
        <f aca="false">Q!M38-Sens!E17855</f>
        <v>22.2285940229167</v>
      </c>
      <c r="F17937" s="6" t="n">
        <f aca="false">Sens!E17937*(1-1/life_nonai)+(Sens!F17945+Sens!F17946)/life_nonai</f>
        <v>23.5803422705473</v>
      </c>
      <c r="G17937" s="6" t="n">
        <f aca="false">Sens!F17937*(1-1/life_nonai)+(Sens!G17945)/life_nonai</f>
        <v>25.3583487889173</v>
      </c>
      <c r="H17937" s="6" t="n">
        <f aca="false">Sens!G17937*(1-1/life_nonai)+(Sens!H17945)/life_nonai</f>
        <v>27.5285684068818</v>
      </c>
      <c r="I17937" s="6" t="n">
        <f aca="false">Sens!H17937*(1-1/life_nonai)+(Sens!I17945)/life_nonai</f>
        <v>30.0244509342793</v>
      </c>
      <c r="J17937" s="6" t="n">
        <f aca="false">Sens!I17937*(1-1/life_nonai)+(Sens!J17945)/life_nonai</f>
        <v>32.7625773200223</v>
      </c>
      <c r="K17937" s="6" t="n">
        <f aca="false">Sens!J17937*(1-1/life_nonai)+(Sens!K17945)/life_nonai</f>
        <v>35.6585672940919</v>
      </c>
      <c r="L17937" s="12" t="s">
        <v>1099</v>
      </c>
    </row>
    <row r="17938" customFormat="false" ht="17.15" hidden="false" customHeight="false" outlineLevel="0" collapsed="false">
      <c r="A17938" s="1" t="s">
        <v>1100</v>
      </c>
      <c r="B17938" s="0" t="s">
        <v>98</v>
      </c>
      <c r="F17938" s="6" t="n">
        <f aca="false">Sens!$F$17946/life_nonai*(1-1/life_nonai)^(Sens!F17818-2027)</f>
        <v>0</v>
      </c>
      <c r="G17938" s="6" t="n">
        <f aca="false">Sens!$F$17946/life_nonai*(1-1/life_nonai)^(Sens!G17818-2027)</f>
        <v>0</v>
      </c>
      <c r="H17938" s="6" t="n">
        <f aca="false">Sens!$F$17946/life_nonai*(1-1/life_nonai)^(Sens!H17818-2027)</f>
        <v>0</v>
      </c>
      <c r="I17938" s="6" t="n">
        <f aca="false">Sens!$F$17946/life_nonai*(1-1/life_nonai)^(Sens!I17818-2027)</f>
        <v>0</v>
      </c>
      <c r="J17938" s="6" t="n">
        <f aca="false">Sens!$F$17946/life_nonai*(1-1/life_nonai)^(Sens!J17818-2027)</f>
        <v>0</v>
      </c>
      <c r="K17938" s="6" t="n">
        <f aca="false">Sens!$F$17946/life_nonai*(1-1/life_nonai)^(Sens!K17818-2027)</f>
        <v>0</v>
      </c>
      <c r="L17938" s="1" t="s">
        <v>1101</v>
      </c>
    </row>
    <row r="17939" customFormat="false" ht="17.15" hidden="false" customHeight="false" outlineLevel="0" collapsed="false">
      <c r="A17939" s="1" t="s">
        <v>1102</v>
      </c>
      <c r="B17939" s="0" t="s">
        <v>98</v>
      </c>
      <c r="E17939" s="6" t="n">
        <f aca="false">Sens!E17855+Sens!E17937</f>
        <v>38.534</v>
      </c>
      <c r="F17939" s="6" t="n">
        <f aca="false">Sens!F17855+Sens!F17937</f>
        <v>58.1596583704537</v>
      </c>
      <c r="G17939" s="6" t="n">
        <f aca="false">Sens!G17855+Sens!G17937</f>
        <v>86.0928426843259</v>
      </c>
      <c r="H17939" s="6" t="n">
        <f aca="false">Sens!H17855+Sens!H17937</f>
        <v>116.628662311437</v>
      </c>
      <c r="I17939" s="6" t="n">
        <f aca="false">Sens!I17855+Sens!I17937</f>
        <v>144.255463871937</v>
      </c>
      <c r="J17939" s="6" t="n">
        <f aca="false">Sens!J17855+Sens!J17937</f>
        <v>164.778253612728</v>
      </c>
      <c r="K17939" s="6" t="n">
        <f aca="false">Sens!K17855+Sens!K17937</f>
        <v>178.671240088136</v>
      </c>
    </row>
    <row r="17940" customFormat="false" ht="17.15" hidden="false" customHeight="false" outlineLevel="0" collapsed="false">
      <c r="A17940" s="1" t="s">
        <v>1103</v>
      </c>
      <c r="B17940" s="0" t="s">
        <v>98</v>
      </c>
      <c r="F17940" s="6" t="n">
        <f aca="false">Sens!F17882*sbc_r</f>
        <v>14.9175438377464</v>
      </c>
      <c r="G17940" s="6" t="n">
        <f aca="false">Sens!G17882*sbc_r</f>
        <v>17.8119838712421</v>
      </c>
      <c r="H17940" s="6" t="n">
        <f aca="false">Sens!H17882*sbc_r</f>
        <v>20.7745061486909</v>
      </c>
      <c r="I17940" s="6" t="n">
        <f aca="false">Sens!I17882*sbc_r</f>
        <v>23.4952383075388</v>
      </c>
      <c r="J17940" s="6" t="n">
        <f aca="false">Sens!J17882*sbc_r</f>
        <v>25.7232953082804</v>
      </c>
      <c r="K17940" s="6" t="n">
        <f aca="false">Sens!K17882*sbc_r</f>
        <v>27.5132097680234</v>
      </c>
    </row>
    <row r="17941" customFormat="false" ht="17.15" hidden="false" customHeight="false" outlineLevel="0" collapsed="false">
      <c r="A17941" s="1" t="s">
        <v>1104</v>
      </c>
      <c r="B17941" s="0" t="s">
        <v>98</v>
      </c>
      <c r="F17941" s="6" t="n">
        <f aca="false">wc27-wc26q1</f>
        <v>-4.677</v>
      </c>
      <c r="G17941" s="6" t="n">
        <f aca="false">wc_f</f>
        <v>0</v>
      </c>
      <c r="H17941" s="6" t="n">
        <f aca="false">wc_f</f>
        <v>0</v>
      </c>
      <c r="I17941" s="6" t="n">
        <f aca="false">wc_f</f>
        <v>0</v>
      </c>
      <c r="J17941" s="6" t="n">
        <f aca="false">wc_f</f>
        <v>0</v>
      </c>
      <c r="K17941" s="6" t="n">
        <f aca="false">wc_f</f>
        <v>0</v>
      </c>
      <c r="L17941" s="12" t="s">
        <v>1105</v>
      </c>
    </row>
    <row r="17942" customFormat="false" ht="17.15" hidden="false" customHeight="false" outlineLevel="0" collapsed="false">
      <c r="A17942" s="0" t="s">
        <v>1106</v>
      </c>
      <c r="B17942" s="0" t="s">
        <v>98</v>
      </c>
      <c r="F17942" s="6" t="n">
        <f aca="false">Q!$I$35-Q!$I$26-Q!$I$38-Q!$I$39</f>
        <v>6.493</v>
      </c>
      <c r="L17942" s="1" t="s">
        <v>1107</v>
      </c>
    </row>
    <row r="17943" customFormat="false" ht="15" hidden="false" customHeight="false" outlineLevel="0" collapsed="false">
      <c r="A17943" s="1" t="s">
        <v>904</v>
      </c>
      <c r="B17943" s="0" t="s">
        <v>98</v>
      </c>
      <c r="E17943" s="6" t="n">
        <f aca="false">Q!M35</f>
        <v>182.935</v>
      </c>
      <c r="F17943" s="6" t="n">
        <f aca="false">Sens!F17936+Sens!F17939+Sens!F17940+Sens!F17941+Sens!F17942</f>
        <v>219.596057375123</v>
      </c>
      <c r="G17943" s="6" t="n">
        <f aca="false">Sens!G17936+Sens!G17939+Sens!G17940+Sens!G17941</f>
        <v>260.705051902724</v>
      </c>
      <c r="H17943" s="6" t="n">
        <f aca="false">Sens!H17936+Sens!H17939+Sens!H17940+Sens!H17941</f>
        <v>310.137015367126</v>
      </c>
      <c r="I17943" s="6" t="n">
        <f aca="false">Sens!I17936+Sens!I17939+Sens!I17940+Sens!I17941</f>
        <v>355.724839182267</v>
      </c>
      <c r="J17943" s="6" t="n">
        <f aca="false">Sens!J17936+Sens!J17939+Sens!J17940+Sens!J17941</f>
        <v>392.810261860181</v>
      </c>
      <c r="K17943" s="6" t="n">
        <f aca="false">Sens!K17936+Sens!K17939+Sens!K17940+Sens!K17941</f>
        <v>422.41573752464</v>
      </c>
    </row>
    <row r="17944" customFormat="false" ht="17.15" hidden="false" customHeight="false" outlineLevel="0" collapsed="false">
      <c r="A17944" s="0" t="s">
        <v>1108</v>
      </c>
      <c r="B17944" s="0" t="s">
        <v>98</v>
      </c>
      <c r="F17944" s="6" t="n">
        <f aca="false">Sens!F17852</f>
        <v>168.453923500777</v>
      </c>
      <c r="G17944" s="6" t="n">
        <f aca="false">Sens!G17852</f>
        <v>191.944475649048</v>
      </c>
      <c r="H17944" s="6" t="n">
        <f aca="false">Sens!H17852</f>
        <v>196.806004064512</v>
      </c>
      <c r="I17944" s="6" t="n">
        <f aca="false">Sens!I17852</f>
        <v>168.61483362161</v>
      </c>
      <c r="J17944" s="6" t="n">
        <f aca="false">Sens!J17852</f>
        <v>128.92993119594</v>
      </c>
      <c r="K17944" s="6" t="n">
        <f aca="false">Sens!K17852</f>
        <v>118.962853064733</v>
      </c>
    </row>
    <row r="17945" customFormat="false" ht="17.15" hidden="false" customHeight="false" outlineLevel="0" collapsed="false">
      <c r="A17945" s="1" t="s">
        <v>1109</v>
      </c>
      <c r="B17945" s="0" t="s">
        <v>98</v>
      </c>
      <c r="E17945" s="6" t="n">
        <f aca="false">Sens!E17860*cx_azo+Sens!E17867*cx_m365+Sens!E17868*cx_lic+(Sens!E17870+Sens!E17872)*cx_ind+Sens!E17875*cx_srch+(Sens!E17877+Sens!E17879)*cx_dev</f>
        <v>30.1846587067718</v>
      </c>
      <c r="F17945" s="6" t="n">
        <f aca="false">Sens!F17860*cx_azo+Sens!F17867*cx_m365+Sens!F17868*cx_lic+(Sens!F17870+Sens!F17872)*cx_ind+Sens!F17875*cx_srch+(Sens!F17877+Sens!F17879)*cx_dev</f>
        <v>35.7460764992227</v>
      </c>
      <c r="G17945" s="6" t="n">
        <f aca="false">Sens!G17860*cx_azo+Sens!G17867*cx_m365+Sens!G17868*cx_lic+(Sens!G17870+Sens!G17872)*cx_ind+Sens!G17875*cx_srch+(Sens!G17877+Sens!G17879)*cx_dev</f>
        <v>41.360407454248</v>
      </c>
      <c r="H17945" s="6" t="n">
        <f aca="false">Sens!H17860*cx_azo+Sens!H17867*cx_m365+Sens!H17868*cx_lic+(Sens!H17870+Sens!H17872)*cx_ind+Sens!H17875*cx_srch+(Sens!H17877+Sens!H17879)*cx_dev</f>
        <v>47.0605449685615</v>
      </c>
      <c r="I17945" s="6" t="n">
        <f aca="false">Sens!I17860*cx_azo+Sens!I17867*cx_m365+Sens!I17868*cx_lic+(Sens!I17870+Sens!I17872)*cx_ind+Sens!I17875*cx_srch+(Sens!I17877+Sens!I17879)*cx_dev</f>
        <v>52.4873936808571</v>
      </c>
      <c r="J17945" s="6" t="n">
        <f aca="false">Sens!J17860*cx_azo+Sens!J17867*cx_m365+Sens!J17868*cx_lic+(Sens!J17870+Sens!J17872)*cx_ind+Sens!J17875*cx_srch+(Sens!J17877+Sens!J17879)*cx_dev</f>
        <v>57.4057147917091</v>
      </c>
      <c r="K17945" s="6" t="n">
        <f aca="false">Sens!K17860*cx_azo+Sens!K17867*cx_m365+Sens!K17868*cx_lic+(Sens!K17870+Sens!K17872)*cx_ind+Sens!K17875*cx_srch+(Sens!K17877+Sens!K17879)*cx_dev</f>
        <v>61.7224770607185</v>
      </c>
    </row>
    <row r="17946" customFormat="false" ht="17.15" hidden="false" customHeight="false" outlineLevel="0" collapsed="false">
      <c r="A17946" s="0" t="s">
        <v>1110</v>
      </c>
      <c r="B17946" s="0" t="s">
        <v>98</v>
      </c>
      <c r="F17946" s="6" t="n">
        <f aca="false">0</f>
        <v>0</v>
      </c>
      <c r="L17946" s="1" t="s">
        <v>1111</v>
      </c>
    </row>
    <row r="17947" customFormat="false" ht="17.15" hidden="false" customHeight="false" outlineLevel="0" collapsed="false">
      <c r="A17947" s="1" t="s">
        <v>1112</v>
      </c>
      <c r="B17947" s="0" t="s">
        <v>98</v>
      </c>
      <c r="E17947" s="6" t="n">
        <f aca="false">Q!M43</f>
        <v>145.3</v>
      </c>
      <c r="F17947" s="6" t="n">
        <f aca="false">Sens!F17944+Sens!F17945+Sens!F17946</f>
        <v>204.2</v>
      </c>
      <c r="G17947" s="6" t="n">
        <f aca="false">Sens!G17944+Sens!G17945</f>
        <v>233.304883103296</v>
      </c>
      <c r="H17947" s="6" t="n">
        <f aca="false">Sens!H17944+Sens!H17945</f>
        <v>243.866549033074</v>
      </c>
      <c r="I17947" s="6" t="n">
        <f aca="false">Sens!I17944+Sens!I17945</f>
        <v>221.102227302467</v>
      </c>
      <c r="J17947" s="6" t="n">
        <f aca="false">Sens!J17944+Sens!J17945</f>
        <v>186.33564598765</v>
      </c>
      <c r="K17947" s="6" t="n">
        <f aca="false">Sens!K17944+Sens!K17945</f>
        <v>180.685330125451</v>
      </c>
      <c r="L17947" s="1" t="s">
        <v>1113</v>
      </c>
    </row>
    <row r="17948" customFormat="false" ht="15" hidden="false" customHeight="false" outlineLevel="0" collapsed="false">
      <c r="A17948" s="1" t="s">
        <v>1114</v>
      </c>
      <c r="B17948" s="0" t="s">
        <v>98</v>
      </c>
      <c r="E17948" s="6" t="n">
        <f aca="false">fl_liab</f>
        <v>66.594</v>
      </c>
      <c r="F17948" s="6" t="n">
        <f aca="false">Sens!E17948-Sens!F17949</f>
        <v>62.46973</v>
      </c>
      <c r="G17948" s="6" t="n">
        <f aca="false">Sens!F17948-Sens!G17949</f>
        <v>57.98686785</v>
      </c>
      <c r="H17948" s="6" t="n">
        <f aca="false">Sens!G17948-Sens!H17949</f>
        <v>53.92827690325</v>
      </c>
      <c r="I17948" s="6" t="n">
        <f aca="false">Sens!H17948-Sens!I17949</f>
        <v>49.7850493638962</v>
      </c>
      <c r="J17948" s="6" t="n">
        <f aca="false">Sens!I17948-Sens!J17949</f>
        <v>45.4823765852716</v>
      </c>
      <c r="K17948" s="6" t="n">
        <f aca="false">Sens!J17948-Sens!K17949</f>
        <v>40.9860835316088</v>
      </c>
    </row>
    <row r="17949" customFormat="false" ht="15" hidden="false" customHeight="false" outlineLevel="0" collapsed="false">
      <c r="A17949" s="1" t="s">
        <v>1115</v>
      </c>
      <c r="B17949" s="0" t="s">
        <v>98</v>
      </c>
      <c r="F17949" s="6" t="n">
        <f aca="false">fl_pay_27-Sens!E17948*fl_rate</f>
        <v>4.12427</v>
      </c>
      <c r="G17949" s="6" t="n">
        <f aca="false">fl_pay_28-Sens!F17948*fl_rate</f>
        <v>4.48286215</v>
      </c>
      <c r="H17949" s="6" t="n">
        <f aca="false">fl_pay_29-Sens!G17948*fl_rate</f>
        <v>4.05859094675</v>
      </c>
      <c r="I17949" s="6" t="n">
        <f aca="false">fl_pay_30-Sens!H17948*fl_rate</f>
        <v>4.14322753935375</v>
      </c>
      <c r="J17949" s="6" t="n">
        <f aca="false">fl_pay_31-Sens!I17948*fl_rate</f>
        <v>4.30267277862467</v>
      </c>
      <c r="K17949" s="6" t="n">
        <f aca="false">fl_pay_32-Sens!J17948*fl_rate</f>
        <v>4.49629305366278</v>
      </c>
    </row>
    <row r="17950" customFormat="false" ht="17.15" hidden="false" customHeight="false" outlineLevel="0" collapsed="false">
      <c r="A17950" s="1" t="s">
        <v>1116</v>
      </c>
      <c r="B17950" s="0" t="s">
        <v>98</v>
      </c>
      <c r="E17950" s="6" t="n">
        <f aca="false">Q!M35-Q!M36-Q!M44</f>
        <v>63.886</v>
      </c>
      <c r="F17950" s="6" t="n">
        <f aca="false">Sens!F17943-Sens!F17947-Sens!F17949</f>
        <v>11.2717873751228</v>
      </c>
      <c r="G17950" s="6" t="n">
        <f aca="false">Sens!G17943-Sens!G17947-Sens!G17949</f>
        <v>22.9173066494281</v>
      </c>
      <c r="H17950" s="6" t="n">
        <f aca="false">Sens!H17943-Sens!H17947-Sens!H17949</f>
        <v>62.2118753873018</v>
      </c>
      <c r="I17950" s="6" t="n">
        <f aca="false">Sens!I17943-Sens!I17947-Sens!I17949</f>
        <v>130.479384340445</v>
      </c>
      <c r="J17950" s="6" t="n">
        <f aca="false">Sens!J17943-Sens!J17947-Sens!J17949</f>
        <v>202.171943093907</v>
      </c>
      <c r="K17950" s="6" t="n">
        <f aca="false">Sens!K17943-Sens!K17947-Sens!K17949</f>
        <v>237.234114345526</v>
      </c>
      <c r="L17950" s="12" t="s">
        <v>1117</v>
      </c>
    </row>
    <row r="17951" customFormat="false" ht="15" hidden="false" customHeight="false" outlineLevel="0" collapsed="false">
      <c r="A17951" s="1" t="s">
        <v>1118</v>
      </c>
      <c r="B17951" s="0" t="s">
        <v>75</v>
      </c>
      <c r="F17951" s="8" t="n">
        <f aca="false">dps_27</f>
        <v>3.85</v>
      </c>
      <c r="G17951" s="8" t="n">
        <f aca="false">Sens!F17951*(1+dps_g)</f>
        <v>4.158</v>
      </c>
      <c r="H17951" s="8" t="n">
        <f aca="false">Sens!G17951*(1+dps_g)</f>
        <v>4.49064</v>
      </c>
      <c r="I17951" s="8" t="n">
        <f aca="false">Sens!H17951*(1+dps_g)</f>
        <v>4.8498912</v>
      </c>
      <c r="J17951" s="8" t="n">
        <f aca="false">Sens!I17951*(1+dps_g)</f>
        <v>5.237882496</v>
      </c>
      <c r="K17951" s="8" t="n">
        <f aca="false">Sens!J17951*(1+dps_g)</f>
        <v>5.65691309568</v>
      </c>
    </row>
    <row r="17952" customFormat="false" ht="17.15" hidden="false" customHeight="false" outlineLevel="0" collapsed="false">
      <c r="A17952" s="1" t="s">
        <v>1119</v>
      </c>
      <c r="B17952" s="0" t="s">
        <v>98</v>
      </c>
      <c r="E17952" s="6" t="n">
        <f aca="false">Q!M41</f>
        <v>26.445</v>
      </c>
      <c r="F17952" s="6" t="n">
        <f aca="false">Sens!F17951*Sens!E17961</f>
        <v>28.59395</v>
      </c>
      <c r="G17952" s="6" t="n">
        <f aca="false">Sens!G17951*Sens!F17961</f>
        <v>31.0665353031057</v>
      </c>
      <c r="H17952" s="6" t="n">
        <f aca="false">Sens!H17951*Sens!G17961</f>
        <v>33.7539369273542</v>
      </c>
      <c r="I17952" s="6" t="n">
        <f aca="false">Sens!I17951*Sens!H17961</f>
        <v>36.5046901586152</v>
      </c>
      <c r="J17952" s="6" t="n">
        <f aca="false">Sens!J17951*Sens!I17961</f>
        <v>39.492963256697</v>
      </c>
      <c r="K17952" s="6" t="n">
        <f aca="false">Sens!K17951*Sens!J17961</f>
        <v>42.739154579611</v>
      </c>
      <c r="L17952" s="1" t="s">
        <v>1120</v>
      </c>
    </row>
    <row r="17953" customFormat="false" ht="15" hidden="false" customHeight="false" outlineLevel="0" collapsed="false">
      <c r="A17953" s="1" t="s">
        <v>1121</v>
      </c>
      <c r="B17953" s="0" t="s">
        <v>98</v>
      </c>
      <c r="E17953" s="6" t="n">
        <f aca="false">Sens!E17950-Sens!E17952</f>
        <v>37.441</v>
      </c>
      <c r="F17953" s="6" t="n">
        <f aca="false">Sens!F17950-Sens!F17952</f>
        <v>-17.3221626248772</v>
      </c>
      <c r="G17953" s="6" t="n">
        <f aca="false">Sens!G17950-Sens!G17952</f>
        <v>-8.1492286536776</v>
      </c>
      <c r="H17953" s="6" t="n">
        <f aca="false">Sens!H17950-Sens!H17952</f>
        <v>28.4579384599477</v>
      </c>
      <c r="I17953" s="6" t="n">
        <f aca="false">Sens!I17950-Sens!I17952</f>
        <v>93.9746941818302</v>
      </c>
      <c r="J17953" s="6" t="n">
        <f aca="false">Sens!J17950-Sens!J17952</f>
        <v>162.67897983721</v>
      </c>
      <c r="K17953" s="6" t="n">
        <f aca="false">Sens!K17950-Sens!K17952</f>
        <v>194.494959765915</v>
      </c>
    </row>
    <row r="17954" customFormat="false" ht="15" hidden="false" customHeight="false" outlineLevel="0" collapsed="false">
      <c r="A17954" s="1" t="s">
        <v>1122</v>
      </c>
      <c r="B17954" s="0" t="s">
        <v>98</v>
      </c>
      <c r="F17954" s="6" t="n">
        <f aca="false">debt_mat_27</f>
        <v>9.25</v>
      </c>
      <c r="G17954" s="6" t="n">
        <f aca="false">debt_mat_28</f>
        <v>0</v>
      </c>
      <c r="H17954" s="6" t="n">
        <f aca="false">debt_mat_29</f>
        <v>2.001</v>
      </c>
      <c r="I17954" s="6" t="n">
        <f aca="false">debt_mat_30</f>
        <v>0</v>
      </c>
      <c r="J17954" s="6" t="n">
        <f aca="false">debt_mat_31</f>
        <v>0.5</v>
      </c>
      <c r="K17954" s="6" t="n">
        <f aca="false">debt_mat_32</f>
        <v>0</v>
      </c>
    </row>
    <row r="17955" customFormat="false" ht="15" hidden="false" customHeight="false" outlineLevel="0" collapsed="false">
      <c r="A17955" s="1" t="s">
        <v>1123</v>
      </c>
      <c r="B17955" s="0" t="s">
        <v>98</v>
      </c>
      <c r="E17955" s="6" t="n">
        <f aca="false">Q!M40</f>
        <v>22.271</v>
      </c>
      <c r="F17955" s="6" t="n">
        <f aca="false">MAX(0,MIN(bb_target,Sens!E17957+Sens!F17953-Sens!F17954-min_cash))</f>
        <v>0.27083737512281</v>
      </c>
      <c r="G17955" s="6" t="n">
        <f aca="false">MAX(0,MIN(bb_target,Sens!F17957+Sens!G17953-Sens!G17954-min_cash))</f>
        <v>0</v>
      </c>
      <c r="H17955" s="6" t="n">
        <f aca="false">MAX(0,MIN(bb_target,Sens!G17957+Sens!H17953-Sens!H17954-min_cash))</f>
        <v>22.271</v>
      </c>
      <c r="I17955" s="6" t="n">
        <f aca="false">MAX(0,MIN(bb_target,Sens!H17957+Sens!I17953-Sens!I17954-min_cash))</f>
        <v>22.271</v>
      </c>
      <c r="J17955" s="6" t="n">
        <f aca="false">MAX(0,MIN(bb_target,Sens!I17957+Sens!J17953-Sens!J17954-min_cash))</f>
        <v>22.271</v>
      </c>
      <c r="K17955" s="6" t="n">
        <f aca="false">MAX(0,MIN(bb_target,Sens!J17957+Sens!K17953-Sens!K17954-min_cash))</f>
        <v>22.271</v>
      </c>
    </row>
    <row r="17956" customFormat="false" ht="15" hidden="false" customHeight="false" outlineLevel="0" collapsed="false">
      <c r="A17956" s="1" t="s">
        <v>1124</v>
      </c>
      <c r="B17956" s="0" t="s">
        <v>98</v>
      </c>
      <c r="F17956" s="6" t="n">
        <f aca="false">MAX(0,min_cash-(Sens!E17957+Sens!F17953-Sens!F17954-Sens!F17955))</f>
        <v>0</v>
      </c>
      <c r="G17956" s="6" t="n">
        <f aca="false">MAX(0,min_cash-(Sens!F17957+Sens!G17953-Sens!G17954-Sens!G17955))</f>
        <v>8.1492286536776</v>
      </c>
      <c r="H17956" s="6" t="n">
        <f aca="false">MAX(0,min_cash-(Sens!G17957+Sens!H17953-Sens!H17954-Sens!H17955))</f>
        <v>0</v>
      </c>
      <c r="I17956" s="6" t="n">
        <f aca="false">MAX(0,min_cash-(Sens!H17957+Sens!I17953-Sens!I17954-Sens!I17955))</f>
        <v>0</v>
      </c>
      <c r="J17956" s="6" t="n">
        <f aca="false">MAX(0,min_cash-(Sens!I17957+Sens!J17953-Sens!J17954-Sens!J17955))</f>
        <v>0</v>
      </c>
      <c r="K17956" s="6" t="n">
        <f aca="false">MAX(0,min_cash-(Sens!J17957+Sens!K17953-Sens!K17954-Sens!K17955))</f>
        <v>0</v>
      </c>
    </row>
    <row r="17957" customFormat="false" ht="15" hidden="false" customHeight="false" outlineLevel="0" collapsed="false">
      <c r="A17957" s="1" t="s">
        <v>1125</v>
      </c>
      <c r="B17957" s="0" t="s">
        <v>98</v>
      </c>
      <c r="E17957" s="6" t="n">
        <f aca="false">cash_open</f>
        <v>76.843</v>
      </c>
      <c r="F17957" s="6" t="n">
        <f aca="false">Sens!E17957+Sens!F17953-Sens!F17954-Sens!F17955+Sens!F17956</f>
        <v>50</v>
      </c>
      <c r="G17957" s="6" t="n">
        <f aca="false">Sens!F17957+Sens!G17953-Sens!G17954-Sens!G17955+Sens!G17956</f>
        <v>50</v>
      </c>
      <c r="H17957" s="6" t="n">
        <f aca="false">Sens!G17957+Sens!H17953-Sens!H17954-Sens!H17955+Sens!H17956</f>
        <v>54.1859384599477</v>
      </c>
      <c r="I17957" s="6" t="n">
        <f aca="false">Sens!H17957+Sens!I17953-Sens!I17954-Sens!I17955+Sens!I17956</f>
        <v>125.889632641778</v>
      </c>
      <c r="J17957" s="6" t="n">
        <f aca="false">Sens!I17957+Sens!J17953-Sens!J17954-Sens!J17955+Sens!J17956</f>
        <v>265.797612478988</v>
      </c>
      <c r="K17957" s="6" t="n">
        <f aca="false">Sens!J17957+Sens!K17953-Sens!K17954-Sens!K17955+Sens!K17956</f>
        <v>438.021572244903</v>
      </c>
    </row>
    <row r="17958" customFormat="false" ht="15" hidden="false" customHeight="false" outlineLevel="0" collapsed="false">
      <c r="A17958" s="1" t="s">
        <v>1126</v>
      </c>
      <c r="B17958" s="0" t="s">
        <v>98</v>
      </c>
      <c r="E17958" s="6" t="n">
        <f aca="false">debt_face</f>
        <v>46.136</v>
      </c>
      <c r="F17958" s="6" t="n">
        <f aca="false">Sens!E17958-Sens!F17954+Sens!F17956</f>
        <v>36.886</v>
      </c>
      <c r="G17958" s="6" t="n">
        <f aca="false">Sens!F17958-Sens!G17954+Sens!G17956</f>
        <v>45.0352286536776</v>
      </c>
      <c r="H17958" s="6" t="n">
        <f aca="false">Sens!G17958-Sens!H17954+Sens!H17956</f>
        <v>43.0342286536776</v>
      </c>
      <c r="I17958" s="6" t="n">
        <f aca="false">Sens!H17958-Sens!I17954+Sens!I17956</f>
        <v>43.0342286536776</v>
      </c>
      <c r="J17958" s="6" t="n">
        <f aca="false">Sens!I17958-Sens!J17954+Sens!J17956</f>
        <v>42.5342286536776</v>
      </c>
      <c r="K17958" s="6" t="n">
        <f aca="false">Sens!J17958-Sens!K17954+Sens!K17956</f>
        <v>42.5342286536776</v>
      </c>
    </row>
    <row r="17959" customFormat="false" ht="15" hidden="false" customHeight="false" outlineLevel="0" collapsed="false">
      <c r="A17959" s="1" t="s">
        <v>1127</v>
      </c>
      <c r="B17959" s="0" t="s">
        <v>98</v>
      </c>
      <c r="E17959" s="6" t="n">
        <f aca="false">Sens!E17957-Sens!E17958</f>
        <v>30.707</v>
      </c>
      <c r="F17959" s="6" t="n">
        <f aca="false">Sens!F17957-Sens!F17958</f>
        <v>13.114</v>
      </c>
      <c r="G17959" s="6" t="n">
        <f aca="false">Sens!G17957-Sens!G17958</f>
        <v>4.9647713463224</v>
      </c>
      <c r="H17959" s="6" t="n">
        <f aca="false">Sens!H17957-Sens!H17958</f>
        <v>11.15170980627</v>
      </c>
      <c r="I17959" s="6" t="n">
        <f aca="false">Sens!I17957-Sens!I17958</f>
        <v>82.8554039881003</v>
      </c>
      <c r="J17959" s="6" t="n">
        <f aca="false">Sens!J17957-Sens!J17958</f>
        <v>223.26338382531</v>
      </c>
      <c r="K17959" s="6" t="n">
        <f aca="false">Sens!K17957-Sens!K17958</f>
        <v>395.487343591225</v>
      </c>
    </row>
    <row r="17960" customFormat="false" ht="15" hidden="false" customHeight="false" outlineLevel="0" collapsed="false">
      <c r="A17960" s="1" t="s">
        <v>1128</v>
      </c>
      <c r="B17960" s="0" t="s">
        <v>75</v>
      </c>
      <c r="F17960" s="30" t="n">
        <f aca="false">px*(1+bb_g)^(Sens!F17818-base_fy-mid_yr)</f>
        <v>551.84177959629</v>
      </c>
      <c r="G17960" s="30" t="n">
        <f aca="false">px*(1+bb_g)^(Sens!G17818-base_fy-mid_yr)</f>
        <v>595.989121963993</v>
      </c>
      <c r="H17960" s="30" t="n">
        <f aca="false">px*(1+bb_g)^(Sens!H17818-base_fy-mid_yr)</f>
        <v>643.668251721112</v>
      </c>
      <c r="I17960" s="30" t="n">
        <f aca="false">px*(1+bb_g)^(Sens!I17818-base_fy-mid_yr)</f>
        <v>695.161711858801</v>
      </c>
      <c r="J17960" s="30" t="n">
        <f aca="false">px*(1+bb_g)^(Sens!J17818-base_fy-mid_yr)</f>
        <v>750.774648807506</v>
      </c>
      <c r="K17960" s="30" t="n">
        <f aca="false">px*(1+bb_g)^(Sens!K17818-base_fy-mid_yr)</f>
        <v>810.836620712106</v>
      </c>
    </row>
    <row r="17961" customFormat="false" ht="15" hidden="false" customHeight="false" outlineLevel="0" collapsed="false">
      <c r="A17961" s="1" t="s">
        <v>1129</v>
      </c>
      <c r="B17961" s="1" t="s">
        <v>81</v>
      </c>
      <c r="E17961" s="15" t="n">
        <f aca="false">sh_out26</f>
        <v>7.427</v>
      </c>
      <c r="F17961" s="15" t="n">
        <f aca="false">Sens!E17961+sh_iss-Sens!F17955/Sens!F17960</f>
        <v>7.47150921190614</v>
      </c>
      <c r="G17961" s="15" t="n">
        <f aca="false">Sens!F17961+sh_iss-Sens!G17955/Sens!G17960</f>
        <v>7.51650921190614</v>
      </c>
      <c r="H17961" s="15" t="n">
        <f aca="false">Sens!G17961+sh_iss-Sens!H17955/Sens!H17960</f>
        <v>7.52690908996374</v>
      </c>
      <c r="I17961" s="15" t="n">
        <f aca="false">Sens!H17961+sh_iss-Sens!I17955/Sens!I17960</f>
        <v>7.53987194001708</v>
      </c>
      <c r="J17961" s="15" t="n">
        <f aca="false">Sens!I17961+sh_iss-Sens!J17955/Sens!J17960</f>
        <v>7.55520791228868</v>
      </c>
      <c r="K17961" s="15" t="n">
        <f aca="false">Sens!J17961+sh_iss-Sens!K17955/Sens!K17960</f>
        <v>7.57274121994758</v>
      </c>
    </row>
    <row r="17962" customFormat="false" ht="15" hidden="false" customHeight="false" outlineLevel="0" collapsed="false">
      <c r="A17962" s="1" t="s">
        <v>1130</v>
      </c>
      <c r="B17962" s="1" t="s">
        <v>81</v>
      </c>
      <c r="E17962" s="15" t="n">
        <f aca="false">sh_dil26</f>
        <v>7.453</v>
      </c>
      <c r="F17962" s="15" t="n">
        <f aca="false">(Sens!E17961+Sens!F17961)/2+dil_gap</f>
        <v>7.47325460595307</v>
      </c>
      <c r="G17962" s="15" t="n">
        <f aca="false">(Sens!F17961+Sens!G17961)/2+dil_gap</f>
        <v>7.51800921190614</v>
      </c>
      <c r="H17962" s="15" t="n">
        <f aca="false">(Sens!G17961+Sens!H17961)/2+dil_gap</f>
        <v>7.54570915093494</v>
      </c>
      <c r="I17962" s="15" t="n">
        <f aca="false">(Sens!H17961+Sens!I17961)/2+dil_gap</f>
        <v>7.55739051499041</v>
      </c>
      <c r="J17962" s="15" t="n">
        <f aca="false">(Sens!I17961+Sens!J17961)/2+dil_gap</f>
        <v>7.57153992615288</v>
      </c>
      <c r="K17962" s="15" t="n">
        <f aca="false">(Sens!J17961+Sens!K17961)/2+dil_gap</f>
        <v>7.58797456611813</v>
      </c>
    </row>
    <row r="17963" customFormat="false" ht="17.15" hidden="false" customHeight="false" outlineLevel="0" collapsed="false">
      <c r="A17963" s="1" t="s">
        <v>1131</v>
      </c>
      <c r="B17963" s="0" t="s">
        <v>98</v>
      </c>
      <c r="C17963" s="6" t="n">
        <f aca="false">SUM(Sens!F17953:J17953)</f>
        <v>259.640221200433</v>
      </c>
    </row>
    <row r="17964" customFormat="false" ht="15" hidden="false" customHeight="false" outlineLevel="0" collapsed="false">
      <c r="A17964" s="26" t="s">
        <v>1096</v>
      </c>
      <c r="B17964" s="31" t="s">
        <v>98</v>
      </c>
      <c r="C17964" s="27" t="n">
        <f aca="false">Sens!$C$17963-(Sens!F17953+Sens!G17953+Sens!H17953+Sens!I17953+Sens!J17953)</f>
        <v>0</v>
      </c>
      <c r="D17964" s="31"/>
      <c r="E17964" s="31"/>
      <c r="F17964" s="31"/>
      <c r="G17964" s="31"/>
      <c r="H17964" s="31"/>
      <c r="I17964" s="31"/>
      <c r="J17964" s="31"/>
      <c r="K17964" s="31"/>
    </row>
    <row r="17965" customFormat="false" ht="17.15" hidden="false" customHeight="false" outlineLevel="0" collapsed="false">
      <c r="A17965" s="1" t="s">
        <v>1090</v>
      </c>
      <c r="B17965" s="1" t="s">
        <v>1132</v>
      </c>
      <c r="C17965" s="33" t="str">
        <f aca="false">IF(SUM(Sens!F17956:J17956)&gt;0.05,"需要舉債 "&amp;TEXT(SUM(Sens!F17956:J17956),"0.0")&amp;" 十億美元","不需舉債")&amp;"；"&amp;IF(SUM(Sens!F17955:J17955)&lt;COUNT(Sens!F17955:J17955)*bb_target-0.05,"回購較每年 "&amp;TEXT(bb_target,"0.0")&amp;" 的目標少 "&amp;TEXT(COUNT(Sens!F17955:J17955)*bb_target-SUM(Sens!F17955:J17955),"0.0")&amp;" 十億美元（"&amp;TEXT(COUNTIF(Sens!F17955:J17955,"&lt;"&amp;(bb_target-0.05)),"0")&amp;" 年減少）","回購不減")</f>
        <v>需要舉債 8.1 十億美元；回購較每年 22.3 的目標少 44.3 十億美元（2 年減少）</v>
      </c>
    </row>
    <row r="17966" customFormat="false" ht="17.15" hidden="false" customHeight="false" outlineLevel="0" collapsed="false">
      <c r="A17966" s="3" t="s">
        <v>1923</v>
      </c>
    </row>
    <row r="17967" customFormat="false" ht="15" hidden="false" customHeight="false" outlineLevel="0" collapsed="false">
      <c r="A17967" s="4" t="s">
        <v>43</v>
      </c>
      <c r="B17967" s="4" t="s">
        <v>65</v>
      </c>
      <c r="C17967" s="23" t="s">
        <v>938</v>
      </c>
      <c r="D17967" s="23" t="s">
        <v>939</v>
      </c>
      <c r="E17967" s="23" t="s">
        <v>940</v>
      </c>
      <c r="F17967" s="23" t="s">
        <v>941</v>
      </c>
      <c r="G17967" s="23" t="s">
        <v>942</v>
      </c>
      <c r="H17967" s="23" t="s">
        <v>943</v>
      </c>
      <c r="I17967" s="23" t="s">
        <v>944</v>
      </c>
      <c r="J17967" s="23" t="s">
        <v>945</v>
      </c>
      <c r="K17967" s="23" t="s">
        <v>946</v>
      </c>
      <c r="L17967" s="4" t="s">
        <v>47</v>
      </c>
    </row>
    <row r="17968" customFormat="false" ht="17.15" hidden="false" customHeight="false" outlineLevel="0" collapsed="false">
      <c r="A17968" s="1" t="s">
        <v>1212</v>
      </c>
      <c r="B17968" s="1" t="s">
        <v>279</v>
      </c>
      <c r="F17968" s="8" t="n">
        <f aca="false">(1-v_off)*mid_yr</f>
        <v>0.373972602739726</v>
      </c>
      <c r="G17968" s="8" t="n">
        <f aca="false">Sens!G17818-base_fy-mid_yr-v_off</f>
        <v>1.24794520547945</v>
      </c>
      <c r="H17968" s="8" t="n">
        <f aca="false">Sens!H17818-base_fy-mid_yr-v_off</f>
        <v>2.24794520547945</v>
      </c>
      <c r="I17968" s="8" t="n">
        <f aca="false">Sens!I17818-base_fy-mid_yr-v_off</f>
        <v>3.24794520547945</v>
      </c>
      <c r="J17968" s="8" t="n">
        <f aca="false">Sens!J17818-base_fy-mid_yr-v_off</f>
        <v>4.24794520547945</v>
      </c>
      <c r="K17968" s="8" t="n">
        <f aca="false">Sens!K17818-base_fy-mid_yr-v_off</f>
        <v>5.24794520547945</v>
      </c>
      <c r="L17968" s="12" t="s">
        <v>1213</v>
      </c>
    </row>
    <row r="17969" customFormat="false" ht="15" hidden="false" customHeight="false" outlineLevel="0" collapsed="false">
      <c r="A17969" s="1" t="s">
        <v>1214</v>
      </c>
      <c r="B17969" s="1" t="s">
        <v>279</v>
      </c>
      <c r="F17969" s="8" t="n">
        <f aca="false">Sens!F17818-base_fy-v_off</f>
        <v>0.747945205479452</v>
      </c>
      <c r="G17969" s="8" t="n">
        <f aca="false">Sens!G17818-base_fy-v_off</f>
        <v>1.74794520547945</v>
      </c>
      <c r="H17969" s="8" t="n">
        <f aca="false">Sens!H17818-base_fy-v_off</f>
        <v>2.74794520547945</v>
      </c>
      <c r="I17969" s="8" t="n">
        <f aca="false">Sens!I17818-base_fy-v_off</f>
        <v>3.74794520547945</v>
      </c>
      <c r="J17969" s="8" t="n">
        <f aca="false">Sens!J17818-base_fy-v_off</f>
        <v>4.74794520547945</v>
      </c>
      <c r="K17969" s="8" t="n">
        <f aca="false">Sens!K17818-base_fy-v_off</f>
        <v>5.74794520547945</v>
      </c>
    </row>
    <row r="17970" customFormat="false" ht="15" hidden="false" customHeight="false" outlineLevel="0" collapsed="false">
      <c r="A17970" s="1" t="s">
        <v>1215</v>
      </c>
      <c r="B17970" s="0" t="s">
        <v>229</v>
      </c>
      <c r="F17970" s="15" t="n">
        <f aca="false">1/(1+wacc)^Sens!F17968</f>
        <v>0.964022703286649</v>
      </c>
      <c r="G17970" s="15" t="n">
        <f aca="false">1/(1+wacc)^Sens!G17968</f>
        <v>0.884910302296739</v>
      </c>
      <c r="H17970" s="15" t="n">
        <f aca="false">1/(1+wacc)^Sens!H17968</f>
        <v>0.802322009770358</v>
      </c>
      <c r="I17970" s="15" t="n">
        <f aca="false">1/(1+wacc)^Sens!I17968</f>
        <v>0.727441646561469</v>
      </c>
      <c r="J17970" s="15" t="n">
        <f aca="false">1/(1+wacc)^Sens!J17968</f>
        <v>0.659549834988973</v>
      </c>
      <c r="K17970" s="15" t="n">
        <f aca="false">1/(1+wacc)^Sens!K17968</f>
        <v>0.597994336576966</v>
      </c>
    </row>
    <row r="17971" customFormat="false" ht="17.15" hidden="false" customHeight="false" outlineLevel="0" collapsed="false">
      <c r="A17971" s="1" t="s">
        <v>1216</v>
      </c>
      <c r="B17971" s="0" t="s">
        <v>98</v>
      </c>
      <c r="F17971" s="6" t="n">
        <f aca="false">Q!$I$35-Q!$I$39-Q!$I$43</f>
        <v>9.666</v>
      </c>
      <c r="L17971" s="12" t="s">
        <v>1217</v>
      </c>
    </row>
    <row r="17972" customFormat="false" ht="17.15" hidden="false" customHeight="false" outlineLevel="0" collapsed="false">
      <c r="A17972" s="1" t="s">
        <v>1218</v>
      </c>
      <c r="B17972" s="0" t="s">
        <v>98</v>
      </c>
      <c r="F17972" s="6" t="n">
        <f aca="false">Sens!F17943-Sens!F17940-Sens!F17947+Sens!F17925*(1-tax_f)*(1-v_off)-Sens!F17971</f>
        <v>-3.35959150009219</v>
      </c>
      <c r="G17972" s="6" t="n">
        <f aca="false">Sens!G17943-Sens!G17940-Sens!G17947+Sens!G17925*(1-tax_f)</f>
        <v>29.8084558049697</v>
      </c>
      <c r="H17972" s="6" t="n">
        <f aca="false">Sens!H17943-Sens!H17940-Sens!H17947+Sens!H17925*(1-tax_f)</f>
        <v>79.3231804811968</v>
      </c>
      <c r="I17972" s="6" t="n">
        <f aca="false">Sens!I17943-Sens!I17940-Sens!I17947+Sens!I17925*(1-tax_f)</f>
        <v>157.291328485525</v>
      </c>
      <c r="J17972" s="6" t="n">
        <f aca="false">Sens!J17943-Sens!J17940-Sens!J17947+Sens!J17925*(1-tax_f)</f>
        <v>235.537602236907</v>
      </c>
      <c r="K17972" s="6" t="n">
        <f aca="false">Sens!K17943-Sens!K17940-Sens!K17947+Sens!K17925*(1-tax_f)</f>
        <v>273.705067626625</v>
      </c>
      <c r="L17972" s="1" t="s">
        <v>1219</v>
      </c>
    </row>
    <row r="17973" customFormat="false" ht="15" hidden="false" customHeight="false" outlineLevel="0" collapsed="false">
      <c r="A17973" s="1" t="s">
        <v>1220</v>
      </c>
      <c r="B17973" s="0" t="s">
        <v>98</v>
      </c>
      <c r="F17973" s="6" t="n">
        <f aca="false">Sens!F17972*Sens!F17970</f>
        <v>-3.23872247985772</v>
      </c>
      <c r="G17973" s="6" t="n">
        <f aca="false">Sens!G17972*Sens!G17970</f>
        <v>26.3778096373748</v>
      </c>
      <c r="H17973" s="6" t="n">
        <f aca="false">Sens!H17972*Sens!H17970</f>
        <v>63.6427335850506</v>
      </c>
      <c r="I17973" s="6" t="n">
        <f aca="false">Sens!I17972*Sens!I17970</f>
        <v>114.420262983351</v>
      </c>
      <c r="J17973" s="6" t="n">
        <f aca="false">Sens!J17972*Sens!J17970</f>
        <v>155.34878668905</v>
      </c>
      <c r="K17973" s="6" t="n">
        <f aca="false">Sens!K17972*Sens!K17970</f>
        <v>163.674080333137</v>
      </c>
    </row>
    <row r="17974" customFormat="false" ht="17.15" hidden="false" customHeight="false" outlineLevel="0" collapsed="false">
      <c r="A17974" s="1" t="s">
        <v>1221</v>
      </c>
      <c r="B17974" s="0" t="s">
        <v>98</v>
      </c>
      <c r="C17974" s="6" t="n">
        <f aca="false">SUM(Sens!F17973:K17973)</f>
        <v>520.224950748107</v>
      </c>
    </row>
    <row r="17975" customFormat="false" ht="17.15" hidden="false" customHeight="false" outlineLevel="0" collapsed="false">
      <c r="A17975" s="1" t="s">
        <v>1222</v>
      </c>
      <c r="B17975" s="0" t="s">
        <v>98</v>
      </c>
      <c r="C17975" s="6" t="n">
        <f aca="false">Sens!K17911*(1+g_tv)*(1-tax_f)</f>
        <v>284.979532393859</v>
      </c>
    </row>
    <row r="17976" customFormat="false" ht="17.15" hidden="false" customHeight="false" outlineLevel="0" collapsed="false">
      <c r="A17976" s="1" t="s">
        <v>1223</v>
      </c>
      <c r="B17976" s="0" t="s">
        <v>98</v>
      </c>
      <c r="C17976" s="6" t="n">
        <f aca="false">Sens!$C$17975*(1-g_tv/(wacc+ronic_prem))</f>
        <v>201.924654694109</v>
      </c>
    </row>
    <row r="17977" customFormat="false" ht="17.15" hidden="false" customHeight="false" outlineLevel="0" collapsed="false">
      <c r="A17977" s="1" t="s">
        <v>1224</v>
      </c>
      <c r="B17977" s="0" t="s">
        <v>98</v>
      </c>
      <c r="C17977" s="6" t="n">
        <f aca="false">Sens!$C$17976/(wacc-g_tv)</f>
        <v>2768.495923325</v>
      </c>
    </row>
    <row r="17978" customFormat="false" ht="15" hidden="false" customHeight="false" outlineLevel="0" collapsed="false">
      <c r="A17978" s="1" t="s">
        <v>1225</v>
      </c>
      <c r="B17978" s="0" t="s">
        <v>98</v>
      </c>
      <c r="C17978" s="6" t="n">
        <f aca="false">Sens!$C$17977/(1+wacc)^Sens!K17969</f>
        <v>1576.39731591642</v>
      </c>
    </row>
    <row r="17979" customFormat="false" ht="17.15" hidden="false" customHeight="false" outlineLevel="0" collapsed="false">
      <c r="A17979" s="0" t="s">
        <v>1226</v>
      </c>
      <c r="B17979" s="0" t="s">
        <v>98</v>
      </c>
      <c r="C17979" s="6" t="n">
        <f aca="false">Sens!$C$17974+Sens!$C$17978</f>
        <v>2096.62226666453</v>
      </c>
    </row>
    <row r="17980" customFormat="false" ht="15" hidden="false" customHeight="false" outlineLevel="0" collapsed="false">
      <c r="A17980" s="1" t="s">
        <v>1141</v>
      </c>
      <c r="B17980" s="0" t="s">
        <v>168</v>
      </c>
      <c r="C17980" s="7" t="n">
        <f aca="false">Sens!$C$17978/Sens!$C$17979</f>
        <v>0.751874737276486</v>
      </c>
    </row>
    <row r="17981" customFormat="false" ht="17.15" hidden="false" customHeight="false" outlineLevel="0" collapsed="false">
      <c r="A17981" s="1" t="s">
        <v>1227</v>
      </c>
      <c r="B17981" s="0" t="s">
        <v>98</v>
      </c>
      <c r="C17981" s="6" t="n">
        <f aca="false">Sens!$C$17979+cash_val-debt_val-fl_val+oai_v</f>
        <v>2212.47326666453</v>
      </c>
    </row>
    <row r="17982" customFormat="false" ht="17.15" hidden="false" customHeight="false" outlineLevel="0" collapsed="false">
      <c r="A17982" s="0" t="s">
        <v>1149</v>
      </c>
      <c r="B17982" s="0" t="s">
        <v>75</v>
      </c>
      <c r="C17982" s="5" t="n">
        <f aca="false">Sens!$C$17981/shd_val</f>
        <v>297.135813411836</v>
      </c>
    </row>
    <row r="17983" customFormat="false" ht="15" hidden="false" customHeight="false" outlineLevel="0" collapsed="false">
      <c r="A17983" s="1" t="s">
        <v>1228</v>
      </c>
      <c r="B17983" s="0" t="s">
        <v>75</v>
      </c>
      <c r="C17983" s="8" t="n">
        <f aca="false">div_rem27+Sens!G17951*roll_div_q/q_per_yr</f>
        <v>3.9795</v>
      </c>
    </row>
    <row r="17984" customFormat="false" ht="17.15" hidden="false" customHeight="false" outlineLevel="0" collapsed="false">
      <c r="A17984" s="0" t="s">
        <v>1229</v>
      </c>
      <c r="B17984" s="0" t="s">
        <v>75</v>
      </c>
      <c r="C17984" s="5" t="n">
        <f aca="false">Sens!$C$17982*(1+wacc)^t_roll-Sens!$C$17983</f>
        <v>326.303539978018</v>
      </c>
    </row>
    <row r="17985" customFormat="false" ht="17.15" hidden="false" customHeight="false" outlineLevel="0" collapsed="false">
      <c r="A17985" s="1" t="s">
        <v>1230</v>
      </c>
      <c r="B17985" s="0" t="s">
        <v>168</v>
      </c>
      <c r="F17985" s="7" t="n">
        <f aca="false">Sens!F17937/(Sens!F17882-Sens!F17837)</f>
        <v>0.0686195612282686</v>
      </c>
      <c r="G17985" s="7" t="n">
        <f aca="false">Sens!G17937/(Sens!G17882-Sens!G17837)</f>
        <v>0.0658333523683057</v>
      </c>
      <c r="H17985" s="7" t="n">
        <f aca="false">Sens!H17937/(Sens!H17882-Sens!H17837)</f>
        <v>0.0643895588352612</v>
      </c>
      <c r="I17985" s="7" t="n">
        <f aca="false">Sens!I17937/(Sens!I17882-Sens!I17837)</f>
        <v>0.0641676587841317</v>
      </c>
      <c r="J17985" s="7" t="n">
        <f aca="false">Sens!J17937/(Sens!J17882-Sens!J17837)</f>
        <v>0.0648858581287632</v>
      </c>
      <c r="K17985" s="7" t="n">
        <f aca="false">Sens!K17937/(Sens!K17882-Sens!K17837)</f>
        <v>0.0661974403833185</v>
      </c>
    </row>
    <row r="17986" customFormat="false" ht="17.15" hidden="false" customHeight="false" outlineLevel="0" collapsed="false">
      <c r="A17986" s="0" t="s">
        <v>1231</v>
      </c>
      <c r="B17986" s="0" t="s">
        <v>98</v>
      </c>
      <c r="F17986" s="6" t="n">
        <f aca="false">Sens!F17867*(al_m365+Sens!F17985+sbc_r)</f>
        <v>83.7205612533813</v>
      </c>
      <c r="G17986" s="6" t="n">
        <f aca="false">Sens!G17867*(al_m365+Sens!G17985+sbc_r)</f>
        <v>96.1301297117237</v>
      </c>
      <c r="H17986" s="6" t="n">
        <f aca="false">Sens!H17867*(al_m365+Sens!H17985+sbc_r)</f>
        <v>108.703540167166</v>
      </c>
      <c r="I17986" s="6" t="n">
        <f aca="false">Sens!I17867*(al_m365+Sens!I17985+sbc_r)</f>
        <v>120.260100795936</v>
      </c>
      <c r="J17986" s="6" t="n">
        <f aca="false">Sens!J17867*(al_m365+Sens!J17985+sbc_r)</f>
        <v>130.611904078363</v>
      </c>
      <c r="K17986" s="6" t="n">
        <f aca="false">Sens!K17867*(al_m365+Sens!K17985+sbc_r)</f>
        <v>140.575094548453</v>
      </c>
      <c r="L17986" s="12" t="s">
        <v>1232</v>
      </c>
    </row>
    <row r="17987" customFormat="false" ht="17.15" hidden="false" customHeight="false" outlineLevel="0" collapsed="false">
      <c r="A17987" s="0" t="s">
        <v>1233</v>
      </c>
      <c r="B17987" s="0" t="s">
        <v>98</v>
      </c>
      <c r="F17987" s="6" t="n">
        <f aca="false">Sens!F17868*(al_lic+Sens!F17985+sbc_r)</f>
        <v>32.8577655009925</v>
      </c>
      <c r="G17987" s="6" t="n">
        <f aca="false">Sens!G17868*(al_lic+Sens!G17985+sbc_r)</f>
        <v>34.1376264505797</v>
      </c>
      <c r="H17987" s="6" t="n">
        <f aca="false">Sens!H17868*(al_lic+Sens!H17985+sbc_r)</f>
        <v>35.3325743134867</v>
      </c>
      <c r="I17987" s="6" t="n">
        <f aca="false">Sens!I17868*(al_lic+Sens!I17985+sbc_r)</f>
        <v>36.4244747711953</v>
      </c>
      <c r="J17987" s="6" t="n">
        <f aca="false">Sens!J17868*(al_lic+Sens!J17985+sbc_r)</f>
        <v>37.3879404959327</v>
      </c>
      <c r="K17987" s="6" t="n">
        <f aca="false">Sens!K17868*(al_lic+Sens!K17985+sbc_r)</f>
        <v>38.1943875123798</v>
      </c>
    </row>
    <row r="17988" customFormat="false" ht="17.15" hidden="false" customHeight="false" outlineLevel="0" collapsed="false">
      <c r="A17988" s="0" t="s">
        <v>1234</v>
      </c>
      <c r="B17988" s="0" t="s">
        <v>98</v>
      </c>
      <c r="F17988" s="6" t="n">
        <f aca="false">Sens!F17870*(al_ind+Sens!F17985+sbc_r)</f>
        <v>9.06041688455413</v>
      </c>
      <c r="G17988" s="6" t="n">
        <f aca="false">Sens!G17870*(al_ind+Sens!G17985+sbc_r)</f>
        <v>9.83619071621912</v>
      </c>
      <c r="H17988" s="6" t="n">
        <f aca="false">Sens!H17870*(al_ind+Sens!H17985+sbc_r)</f>
        <v>10.6570159127432</v>
      </c>
      <c r="I17988" s="6" t="n">
        <f aca="false">Sens!I17870*(al_ind+Sens!I17985+sbc_r)</f>
        <v>11.5198570767386</v>
      </c>
      <c r="J17988" s="6" t="n">
        <f aca="false">Sens!J17870*(al_ind+Sens!J17985+sbc_r)</f>
        <v>12.4150085758862</v>
      </c>
      <c r="K17988" s="6" t="n">
        <f aca="false">Sens!K17870*(al_ind+Sens!K17985+sbc_r)</f>
        <v>13.3273713885591</v>
      </c>
    </row>
    <row r="17989" customFormat="false" ht="17.15" hidden="false" customHeight="false" outlineLevel="0" collapsed="false">
      <c r="A17989" s="0" t="s">
        <v>1235</v>
      </c>
      <c r="B17989" s="0" t="s">
        <v>98</v>
      </c>
      <c r="F17989" s="6" t="n">
        <f aca="false">Sens!F17872*(al_fro+Sens!F17985+sbc_r)</f>
        <v>3.55402945225199</v>
      </c>
      <c r="G17989" s="6" t="n">
        <f aca="false">Sens!G17872*(al_fro+Sens!G17985+sbc_r)</f>
        <v>3.7636148468275</v>
      </c>
      <c r="H17989" s="6" t="n">
        <f aca="false">Sens!H17872*(al_fro+Sens!H17985+sbc_r)</f>
        <v>4.00220965207146</v>
      </c>
      <c r="I17989" s="6" t="n">
        <f aca="false">Sens!I17872*(al_fro+Sens!I17985+sbc_r)</f>
        <v>4.27257648512764</v>
      </c>
      <c r="J17989" s="6" t="n">
        <f aca="false">Sens!J17872*(al_fro+Sens!J17985+sbc_r)</f>
        <v>4.5758622151414</v>
      </c>
      <c r="K17989" s="6" t="n">
        <f aca="false">Sens!K17872*(al_fro+Sens!K17985+sbc_r)</f>
        <v>4.91213637036985</v>
      </c>
    </row>
    <row r="17990" customFormat="false" ht="17.15" hidden="false" customHeight="false" outlineLevel="0" collapsed="false">
      <c r="A17990" s="0" t="s">
        <v>1236</v>
      </c>
      <c r="B17990" s="0" t="s">
        <v>98</v>
      </c>
      <c r="F17990" s="6" t="n">
        <f aca="false">Sens!F17875*(al_srch+Sens!F17985+sbc_r)</f>
        <v>11.1890901433598</v>
      </c>
      <c r="G17990" s="6" t="n">
        <f aca="false">Sens!G17875*(al_srch+Sens!G17985+sbc_r)</f>
        <v>12.2617387535435</v>
      </c>
      <c r="H17990" s="6" t="n">
        <f aca="false">Sens!H17875*(al_srch+Sens!H17985+sbc_r)</f>
        <v>13.3794862201501</v>
      </c>
      <c r="I17990" s="6" t="n">
        <f aca="false">Sens!I17875*(al_srch+Sens!I17985+sbc_r)</f>
        <v>14.5317113690653</v>
      </c>
      <c r="J17990" s="6" t="n">
        <f aca="false">Sens!J17875*(al_srch+Sens!J17985+sbc_r)</f>
        <v>15.6984364831001</v>
      </c>
      <c r="K17990" s="6" t="n">
        <f aca="false">Sens!K17875*(al_srch+Sens!K17985+sbc_r)</f>
        <v>16.8520941367973</v>
      </c>
    </row>
    <row r="17991" customFormat="false" ht="17.15" hidden="false" customHeight="false" outlineLevel="0" collapsed="false">
      <c r="A17991" s="0" t="s">
        <v>1237</v>
      </c>
      <c r="B17991" s="0" t="s">
        <v>98</v>
      </c>
      <c r="F17991" s="6" t="n">
        <f aca="false">Sens!F17843-Sens!F17844+Sens!F17925</f>
        <v>42.5431090240393</v>
      </c>
      <c r="G17991" s="6" t="n">
        <f aca="false">Sens!G17843-Sens!G17844+Sens!G17925</f>
        <v>81.4922561130847</v>
      </c>
      <c r="H17991" s="6" t="n">
        <f aca="false">Sens!H17843-Sens!H17844+Sens!H17925</f>
        <v>123.278266211349</v>
      </c>
      <c r="I17991" s="6" t="n">
        <f aca="false">Sens!I17843-Sens!I17844+Sens!I17925</f>
        <v>160.60594185192</v>
      </c>
      <c r="J17991" s="6" t="n">
        <f aca="false">Sens!J17843-Sens!J17844+Sens!J17925</f>
        <v>186.818741832633</v>
      </c>
      <c r="K17991" s="6" t="n">
        <f aca="false">Sens!K17843-Sens!K17844+Sens!K17925</f>
        <v>202.776422159652</v>
      </c>
    </row>
    <row r="17992" customFormat="false" ht="17.15" hidden="false" customHeight="false" outlineLevel="0" collapsed="false">
      <c r="A17992" s="0" t="s">
        <v>1238</v>
      </c>
      <c r="B17992" s="0" t="s">
        <v>98</v>
      </c>
      <c r="F17992" s="6" t="n">
        <f aca="false">Sens!F17904+Sens!F17925+Sens!F17855+Sens!F17985*(Sens!F17874-Sens!F17837)+sbc_r*Sens!F17874</f>
        <v>238.090727717011</v>
      </c>
      <c r="G17992" s="6" t="n">
        <f aca="false">Sens!G17904+Sens!G17925+Sens!G17855+Sens!G17985*(Sens!G17874-Sens!G17837)+sbc_r*Sens!G17874</f>
        <v>299.908361186955</v>
      </c>
      <c r="H17992" s="6" t="n">
        <f aca="false">Sens!H17904+Sens!H17925+Sens!H17855+Sens!H17985*(Sens!H17874-Sens!H17837)+sbc_r*Sens!H17874</f>
        <v>369.457709695709</v>
      </c>
      <c r="I17992" s="6" t="n">
        <f aca="false">Sens!I17904+Sens!I17925+Sens!I17855+Sens!I17985*(Sens!I17874-Sens!I17837)+sbc_r*Sens!I17874</f>
        <v>433.165851505129</v>
      </c>
      <c r="J17992" s="6" t="n">
        <f aca="false">Sens!J17904+Sens!J17925+Sens!J17855+Sens!J17985*(Sens!J17874-Sens!J17837)+sbc_r*Sens!J17874</f>
        <v>483.301303320084</v>
      </c>
      <c r="K17992" s="6" t="n">
        <f aca="false">Sens!K17904+Sens!K17925+Sens!K17855+Sens!K17985*(Sens!K17874-Sens!K17837)+sbc_r*Sens!K17874</f>
        <v>520.789002372039</v>
      </c>
    </row>
    <row r="17993" customFormat="false" ht="17.15" hidden="false" customHeight="false" outlineLevel="0" collapsed="false">
      <c r="A17993" s="0" t="s">
        <v>1239</v>
      </c>
      <c r="B17993" s="0" t="s">
        <v>98</v>
      </c>
      <c r="F17993" s="6" t="n">
        <f aca="false">Sens!F17992-Sens!F17986-Sens!F17987-Sens!F17988-Sens!F17989-Sens!F17991</f>
        <v>66.3548456017913</v>
      </c>
      <c r="G17993" s="6" t="n">
        <f aca="false">Sens!G17992-Sens!G17986-Sens!G17987-Sens!G17988-Sens!G17989-Sens!G17991</f>
        <v>74.5485433485203</v>
      </c>
      <c r="H17993" s="6" t="n">
        <f aca="false">Sens!H17992-Sens!H17986-Sens!H17987-Sens!H17988-Sens!H17989-Sens!H17991</f>
        <v>87.4841034388928</v>
      </c>
      <c r="I17993" s="6" t="n">
        <f aca="false">Sens!I17992-Sens!I17986-Sens!I17987-Sens!I17988-Sens!I17989-Sens!I17991</f>
        <v>100.082900524212</v>
      </c>
      <c r="J17993" s="6" t="n">
        <f aca="false">Sens!J17992-Sens!J17986-Sens!J17987-Sens!J17988-Sens!J17989-Sens!J17991</f>
        <v>111.491846122128</v>
      </c>
      <c r="K17993" s="6" t="n">
        <f aca="false">Sens!K17992-Sens!K17986-Sens!K17987-Sens!K17988-Sens!K17989-Sens!K17991</f>
        <v>121.003590392626</v>
      </c>
    </row>
    <row r="17994" customFormat="false" ht="17.15" hidden="false" customHeight="false" outlineLevel="0" collapsed="false">
      <c r="A17994" s="0" t="s">
        <v>1240</v>
      </c>
      <c r="B17994" s="0" t="s">
        <v>98</v>
      </c>
      <c r="F17994" s="6" t="n">
        <f aca="false">Sens!F17906+Sens!F17985*Sens!F17881+sbc_r*Sens!F17881</f>
        <v>26.6336362214729</v>
      </c>
      <c r="G17994" s="6" t="n">
        <f aca="false">Sens!G17906+Sens!G17985*Sens!G17881+sbc_r*Sens!G17881</f>
        <v>26.4720856485379</v>
      </c>
      <c r="H17994" s="6" t="n">
        <f aca="false">Sens!H17906+Sens!H17985*Sens!H17881+sbc_r*Sens!H17881</f>
        <v>27.3467927679609</v>
      </c>
      <c r="I17994" s="6" t="n">
        <f aca="false">Sens!I17906+Sens!I17985*Sens!I17881+sbc_r*Sens!I17881</f>
        <v>28.4574655694159</v>
      </c>
      <c r="J17994" s="6" t="n">
        <f aca="false">Sens!J17906+Sens!J17985*Sens!J17881+sbc_r*Sens!J17881</f>
        <v>29.7689888657105</v>
      </c>
      <c r="K17994" s="6" t="n">
        <f aca="false">Sens!K17906+Sens!K17985*Sens!K17881+sbc_r*Sens!K17881</f>
        <v>31.2443945640457</v>
      </c>
    </row>
    <row r="17995" customFormat="false" ht="17.15" hidden="false" customHeight="false" outlineLevel="0" collapsed="false">
      <c r="A17995" s="0" t="s">
        <v>1241</v>
      </c>
      <c r="B17995" s="0" t="s">
        <v>98</v>
      </c>
      <c r="F17995" s="6" t="n">
        <f aca="false">(Sens!F17994-Sens!F17990)*Sens!F17877/(Sens!F17877+Sens!F17879)</f>
        <v>8.72285596481298</v>
      </c>
      <c r="G17995" s="6" t="n">
        <f aca="false">(Sens!G17994-Sens!G17990)*Sens!G17877/(Sens!G17877+Sens!G17879)</f>
        <v>7.88786446392953</v>
      </c>
      <c r="H17995" s="6" t="n">
        <f aca="false">(Sens!H17994-Sens!H17990)*Sens!H17877/(Sens!H17877+Sens!H17879)</f>
        <v>7.65195979667305</v>
      </c>
      <c r="I17995" s="6" t="n">
        <f aca="false">(Sens!I17994-Sens!I17990)*Sens!I17877/(Sens!I17877+Sens!I17879)</f>
        <v>7.56260434855743</v>
      </c>
      <c r="J17995" s="6" t="n">
        <f aca="false">(Sens!J17994-Sens!J17990)*Sens!J17877/(Sens!J17877+Sens!J17879)</f>
        <v>7.6079009600773</v>
      </c>
      <c r="K17995" s="6" t="n">
        <f aca="false">(Sens!K17994-Sens!K17990)*Sens!K17877/(Sens!K17877+Sens!K17879)</f>
        <v>7.78186905963319</v>
      </c>
    </row>
    <row r="17996" customFormat="false" ht="17.15" hidden="false" customHeight="false" outlineLevel="0" collapsed="false">
      <c r="A17996" s="0" t="s">
        <v>1242</v>
      </c>
      <c r="B17996" s="0" t="s">
        <v>98</v>
      </c>
      <c r="F17996" s="6" t="n">
        <f aca="false">Sens!F17994-Sens!F17990-Sens!F17995</f>
        <v>6.72169011330004</v>
      </c>
      <c r="G17996" s="6" t="n">
        <f aca="false">Sens!G17994-Sens!G17990-Sens!G17995</f>
        <v>6.32248243106489</v>
      </c>
      <c r="H17996" s="6" t="n">
        <f aca="false">Sens!H17994-Sens!H17990-Sens!H17995</f>
        <v>6.31534675113777</v>
      </c>
      <c r="I17996" s="6" t="n">
        <f aca="false">Sens!I17994-Sens!I17990-Sens!I17995</f>
        <v>6.3631498517932</v>
      </c>
      <c r="J17996" s="6" t="n">
        <f aca="false">Sens!J17994-Sens!J17990-Sens!J17995</f>
        <v>6.46265142253312</v>
      </c>
      <c r="K17996" s="6" t="n">
        <f aca="false">Sens!K17994-Sens!K17990-Sens!K17995</f>
        <v>6.61043136761522</v>
      </c>
    </row>
    <row r="17997" customFormat="false" ht="17.15" hidden="false" customHeight="false" outlineLevel="0" collapsed="false">
      <c r="A17997" s="0" t="s">
        <v>1243</v>
      </c>
      <c r="B17997" s="0" t="s">
        <v>98</v>
      </c>
      <c r="F17997" s="6" t="n">
        <f aca="false">Sens!F17991-tax_f*(Sens!F17991-Sens!F17855)-Sens!F17852</f>
        <v>-127.503573061565</v>
      </c>
      <c r="G17997" s="6" t="n">
        <f aca="false">Sens!G17991-tax_f*(Sens!G17991-Sens!G17855)-Sens!G17852</f>
        <v>-114.603771979499</v>
      </c>
      <c r="H17997" s="6" t="n">
        <f aca="false">Sens!H17991-tax_f*(Sens!H17991-Sens!H17855)-Sens!H17852</f>
        <v>-80.3633723145219</v>
      </c>
      <c r="I17997" s="6" t="n">
        <f aca="false">Sens!I17991-tax_f*(Sens!I17991-Sens!I17855)-Sens!I17852</f>
        <v>-17.2838775525429</v>
      </c>
      <c r="J17997" s="6" t="n">
        <f aca="false">Sens!J17991-tax_f*(Sens!J17991-Sens!J17855)-Sens!J17852</f>
        <v>46.9281975287073</v>
      </c>
      <c r="K17997" s="6" t="n">
        <f aca="false">Sens!K17991-tax_f*(Sens!K17991-Sens!K17855)-Sens!K17852</f>
        <v>71.8608192217974</v>
      </c>
    </row>
    <row r="17998" customFormat="false" ht="17.15" hidden="false" customHeight="false" outlineLevel="0" collapsed="false">
      <c r="A17998" s="0" t="s">
        <v>1244</v>
      </c>
      <c r="B17998" s="0" t="s">
        <v>98</v>
      </c>
      <c r="G17998" s="6" t="n">
        <f aca="false">Sens!G17997/(1+wacc)^(Sens!G17968-Sens!F17969)</f>
        <v>-109.124844876853</v>
      </c>
      <c r="H17998" s="6" t="n">
        <f aca="false">Sens!H17997/(1+wacc)^(Sens!H17968-Sens!F17969)</f>
        <v>-69.3796868471312</v>
      </c>
      <c r="I17998" s="6" t="n">
        <f aca="false">Sens!I17997/(1+wacc)^(Sens!I17968-Sens!F17969)</f>
        <v>-13.5289726303376</v>
      </c>
      <c r="J17998" s="6" t="n">
        <f aca="false">Sens!J17997/(1+wacc)^(Sens!J17968-Sens!F17969)</f>
        <v>33.3048104190377</v>
      </c>
      <c r="K17998" s="6" t="n">
        <f aca="false">Sens!K17997/(1+wacc)^(Sens!K17968-Sens!F17969)</f>
        <v>46.2396684078545</v>
      </c>
      <c r="L17998" s="1" t="s">
        <v>1245</v>
      </c>
    </row>
    <row r="17999" customFormat="false" ht="17.15" hidden="false" customHeight="false" outlineLevel="0" collapsed="false">
      <c r="A17999" s="0" t="s">
        <v>1246</v>
      </c>
      <c r="B17999" s="0" t="s">
        <v>98</v>
      </c>
      <c r="C17999" s="6" t="n">
        <f aca="false">(Sens!K17991-Sens!K17855)*(1-tax_f)*(1+g_tv)*(1-g_tv/(wacc+ronic_prem))/(wacc-g_tv)/(1+wacc)^(Sens!K17969-Sens!F17969)</f>
        <v>293.118035180647</v>
      </c>
    </row>
    <row r="18000" customFormat="false" ht="17.15" hidden="false" customHeight="false" outlineLevel="0" collapsed="false">
      <c r="A18000" s="1" t="s">
        <v>1247</v>
      </c>
      <c r="B18000" s="0" t="s">
        <v>98</v>
      </c>
      <c r="C18000" s="6" t="n">
        <f aca="false">(SUM(Sens!G17998:K17998)+Sens!$C$17999)*(1+wacc)^(t_roll-Sens!F17969)</f>
        <v>186.592119524542</v>
      </c>
      <c r="L18000" s="12" t="s">
        <v>1248</v>
      </c>
    </row>
    <row r="18001" customFormat="false" ht="17.15" hidden="false" customHeight="false" outlineLevel="0" collapsed="false">
      <c r="A18001" s="1" t="s">
        <v>1249</v>
      </c>
      <c r="B18001" s="0" t="s">
        <v>98</v>
      </c>
      <c r="C18001" s="6" t="n">
        <f aca="false">(w_ntm28*Sens!G17843+(1-w_ntm28)*Sens!H17843)*m_ai</f>
        <v>463.789109510335</v>
      </c>
    </row>
    <row r="18002" customFormat="false" ht="17.15" hidden="false" customHeight="false" outlineLevel="0" collapsed="false">
      <c r="A18002" s="1" t="s">
        <v>1250</v>
      </c>
      <c r="B18002" s="0" t="s">
        <v>98</v>
      </c>
      <c r="C18002" s="6" t="n">
        <f aca="false">(w_ntm28*Sens!G17993+(1-w_ntm28)*Sens!H17993)*m_cloud</f>
        <v>1089.0343837447</v>
      </c>
    </row>
    <row r="18003" customFormat="false" ht="17.15" hidden="false" customHeight="false" outlineLevel="0" collapsed="false">
      <c r="A18003" s="1" t="s">
        <v>1251</v>
      </c>
      <c r="B18003" s="0" t="s">
        <v>98</v>
      </c>
      <c r="C18003" s="6" t="n">
        <f aca="false">(w_ntm28*Sens!G17986+(1-w_ntm28)*Sens!H17986)*m_sw</f>
        <v>1082.8496199284</v>
      </c>
    </row>
    <row r="18004" customFormat="false" ht="17.15" hidden="false" customHeight="false" outlineLevel="0" collapsed="false">
      <c r="A18004" s="1" t="s">
        <v>1252</v>
      </c>
      <c r="B18004" s="0" t="s">
        <v>98</v>
      </c>
      <c r="C18004" s="6" t="n">
        <f aca="false">(w_ntm28*Sens!G17987+(1-w_ntm28)*Sens!H17987)*m_sw</f>
        <v>372.929249037021</v>
      </c>
    </row>
    <row r="18005" customFormat="false" ht="17.15" hidden="false" customHeight="false" outlineLevel="0" collapsed="false">
      <c r="A18005" s="1" t="s">
        <v>1253</v>
      </c>
      <c r="B18005" s="0" t="s">
        <v>98</v>
      </c>
      <c r="C18005" s="6" t="n">
        <f aca="false">(w_ntm28*Sens!G17988+(1-w_ntm28)*Sens!H17988)*m_sw</f>
        <v>109.145351391866</v>
      </c>
    </row>
    <row r="18006" customFormat="false" ht="17.15" hidden="false" customHeight="false" outlineLevel="0" collapsed="false">
      <c r="A18006" s="1" t="s">
        <v>1254</v>
      </c>
      <c r="B18006" s="0" t="s">
        <v>98</v>
      </c>
      <c r="C18006" s="6" t="n">
        <f aca="false">(w_ntm28*Sens!G17989+(1-w_ntm28)*Sens!H17989)*m_sw</f>
        <v>41.4942153254525</v>
      </c>
    </row>
    <row r="18007" customFormat="false" ht="17.15" hidden="false" customHeight="false" outlineLevel="0" collapsed="false">
      <c r="A18007" s="1" t="s">
        <v>1255</v>
      </c>
      <c r="B18007" s="0" t="s">
        <v>98</v>
      </c>
      <c r="C18007" s="6" t="n">
        <f aca="false">(w_ntm28*Sens!G17990+(1-w_ntm28)*Sens!H17990)*m_ads</f>
        <v>115.052170265314</v>
      </c>
    </row>
    <row r="18008" customFormat="false" ht="17.15" hidden="false" customHeight="false" outlineLevel="0" collapsed="false">
      <c r="A18008" s="1" t="s">
        <v>1256</v>
      </c>
      <c r="B18008" s="0" t="s">
        <v>98</v>
      </c>
      <c r="C18008" s="6" t="n">
        <f aca="false">(w_ntm28*Sens!G17995+(1-w_ntm28)*Sens!H17995)*m_game</f>
        <v>98.6441744432822</v>
      </c>
    </row>
    <row r="18009" customFormat="false" ht="17.15" hidden="false" customHeight="false" outlineLevel="0" collapsed="false">
      <c r="A18009" s="1" t="s">
        <v>1257</v>
      </c>
      <c r="B18009" s="0" t="s">
        <v>98</v>
      </c>
      <c r="C18009" s="6" t="n">
        <f aca="false">(w_ntm28*Sens!G17996+(1-w_ntm28)*Sens!H17996)*m_pc</f>
        <v>91.4523744908639</v>
      </c>
    </row>
    <row r="18010" customFormat="false" ht="17.15" hidden="false" customHeight="false" outlineLevel="0" collapsed="false">
      <c r="A18010" s="1" t="s">
        <v>1258</v>
      </c>
      <c r="B18010" s="0" t="s">
        <v>98</v>
      </c>
      <c r="C18010" s="6" t="n">
        <f aca="false">Sens!$C$18000+Sens!$C$18002+Sens!$C$18003+Sens!$C$18004+Sens!$C$18005+Sens!$C$18006+Sens!$C$18007+Sens!$C$18008+Sens!$C$18009</f>
        <v>3187.19365815144</v>
      </c>
    </row>
    <row r="18011" customFormat="false" ht="17.15" hidden="false" customHeight="false" outlineLevel="0" collapsed="false">
      <c r="A18011" s="1" t="s">
        <v>1259</v>
      </c>
      <c r="B18011" s="0" t="s">
        <v>98</v>
      </c>
      <c r="C18011" s="6" t="n">
        <f aca="false">(Sens!G17972-Sens!G17997)*t_stub</f>
        <v>47.8736426353991</v>
      </c>
      <c r="L18011" s="1" t="s">
        <v>1260</v>
      </c>
    </row>
    <row r="18012" customFormat="false" ht="17.15" hidden="false" customHeight="false" outlineLevel="0" collapsed="false">
      <c r="A18012" s="1" t="s">
        <v>1169</v>
      </c>
      <c r="B18012" s="0" t="s">
        <v>98</v>
      </c>
      <c r="C18012" s="6" t="n">
        <f aca="false">Sens!F17959+oai_v-Sens!F17948+Sens!$C$18011</f>
        <v>162.101912635399</v>
      </c>
      <c r="L18012" s="1" t="s">
        <v>1261</v>
      </c>
    </row>
    <row r="18013" customFormat="false" ht="17.15" hidden="false" customHeight="false" outlineLevel="0" collapsed="false">
      <c r="A18013" s="1" t="s">
        <v>1262</v>
      </c>
      <c r="B18013" s="0" t="s">
        <v>75</v>
      </c>
      <c r="C18013" s="5" t="n">
        <f aca="false">(Sens!$C$18010+Sens!$C$18012)/(Sens!F17961+dil_gap)-Sens!G17951*roll_div_q/q_per_yr</f>
        <v>445.800798116998</v>
      </c>
      <c r="L18013" s="1" t="s">
        <v>1263</v>
      </c>
    </row>
    <row r="18014" customFormat="false" ht="17.15" hidden="false" customHeight="false" outlineLevel="0" collapsed="false">
      <c r="A18014" s="1" t="s">
        <v>1264</v>
      </c>
      <c r="B18014" s="0" t="s">
        <v>75</v>
      </c>
      <c r="C18014" s="5" t="n">
        <f aca="false">w_dcf*Sens!$C$17984+(1-w_dcf)*Sens!$C$18013</f>
        <v>386.052169047508</v>
      </c>
    </row>
    <row r="18015" customFormat="false" ht="17.15" hidden="false" customHeight="false" outlineLevel="0" collapsed="false">
      <c r="A18015" s="3" t="s">
        <v>1924</v>
      </c>
    </row>
    <row r="18016" customFormat="false" ht="15" hidden="false" customHeight="false" outlineLevel="0" collapsed="false">
      <c r="A18016" s="4" t="s">
        <v>43</v>
      </c>
      <c r="B18016" s="4" t="s">
        <v>65</v>
      </c>
      <c r="C18016" s="23" t="s">
        <v>938</v>
      </c>
      <c r="D18016" s="23" t="s">
        <v>939</v>
      </c>
      <c r="E18016" s="23" t="s">
        <v>940</v>
      </c>
      <c r="F18016" s="23" t="s">
        <v>941</v>
      </c>
      <c r="G18016" s="23" t="s">
        <v>942</v>
      </c>
      <c r="H18016" s="23" t="s">
        <v>943</v>
      </c>
      <c r="I18016" s="23" t="s">
        <v>944</v>
      </c>
      <c r="J18016" s="23" t="s">
        <v>945</v>
      </c>
      <c r="K18016" s="23" t="s">
        <v>946</v>
      </c>
      <c r="L18016" s="4" t="s">
        <v>47</v>
      </c>
    </row>
    <row r="18017" customFormat="false" ht="17.15" hidden="false" customHeight="false" outlineLevel="0" collapsed="false">
      <c r="A18017" s="1" t="s">
        <v>947</v>
      </c>
      <c r="B18017" s="1" t="s">
        <v>279</v>
      </c>
      <c r="C18017" s="21" t="n">
        <v>2024</v>
      </c>
      <c r="D18017" s="21" t="n">
        <v>2025</v>
      </c>
      <c r="E18017" s="21" t="n">
        <v>2026</v>
      </c>
      <c r="F18017" s="21" t="n">
        <v>2027</v>
      </c>
      <c r="G18017" s="21" t="n">
        <v>2028</v>
      </c>
      <c r="H18017" s="21" t="n">
        <v>2029</v>
      </c>
      <c r="I18017" s="21" t="n">
        <v>2030</v>
      </c>
      <c r="J18017" s="21" t="n">
        <v>2031</v>
      </c>
      <c r="K18017" s="21" t="n">
        <v>2032</v>
      </c>
    </row>
    <row r="18018" customFormat="false" ht="17.15" hidden="false" customHeight="false" outlineLevel="0" collapsed="false">
      <c r="A18018" s="1" t="s">
        <v>948</v>
      </c>
      <c r="B18018" s="0" t="s">
        <v>456</v>
      </c>
      <c r="F18018" s="30" t="n">
        <f aca="false">pace</f>
        <v>2726.5351</v>
      </c>
      <c r="G18018" s="30" t="n">
        <f aca="false">pace</f>
        <v>2726.5351</v>
      </c>
      <c r="H18018" s="30" t="n">
        <f aca="false">pace</f>
        <v>2726.5351</v>
      </c>
      <c r="I18018" s="30" t="n">
        <f aca="false">pace+(g_tv*Sens!H18019-pace)*MIN(1,(Sens!I18017-pace_y0)/(pace_y1-pace_y0))</f>
        <v>1931.98611966667</v>
      </c>
      <c r="J18018" s="30" t="n">
        <f aca="false">pace+(g_tv*Sens!I18019-pace)*MIN(1,(Sens!J18017-pace_y0)/(pace_y1-pace_y0))</f>
        <v>1176.07686172667</v>
      </c>
      <c r="K18018" s="30" t="n">
        <f aca="false">pace+(g_tv*Sens!J18019-pace)*MIN(1,(Sens!K18017-pace_y0)/(pace_y1-pace_y0))</f>
        <v>436.1300484418</v>
      </c>
      <c r="L18018" s="12" t="s">
        <v>949</v>
      </c>
    </row>
    <row r="18019" customFormat="false" ht="17.15" hidden="false" customHeight="false" outlineLevel="0" collapsed="false">
      <c r="A18019" s="1" t="s">
        <v>950</v>
      </c>
      <c r="B18019" s="0" t="s">
        <v>456</v>
      </c>
      <c r="C18019" s="30" t="n">
        <f aca="false">mw_ext_24</f>
        <v>640</v>
      </c>
      <c r="D18019" s="30" t="n">
        <f aca="false">mw_ext_25</f>
        <v>1630</v>
      </c>
      <c r="E18019" s="30" t="n">
        <f aca="false">mw_ext_26</f>
        <v>3250</v>
      </c>
      <c r="F18019" s="30" t="n">
        <f aca="false">Sens!E18019+Sens!F18018</f>
        <v>5976.5351</v>
      </c>
      <c r="G18019" s="30" t="n">
        <f aca="false">Sens!F18019+Sens!G18018</f>
        <v>8703.0702</v>
      </c>
      <c r="H18019" s="30" t="n">
        <f aca="false">Sens!G18019+Sens!H18018</f>
        <v>11429.6053</v>
      </c>
      <c r="I18019" s="30" t="n">
        <f aca="false">Sens!H18019+Sens!I18018</f>
        <v>13361.5914196667</v>
      </c>
      <c r="J18019" s="30" t="n">
        <f aca="false">Sens!I18019+Sens!J18018</f>
        <v>14537.6682813933</v>
      </c>
      <c r="K18019" s="30" t="n">
        <f aca="false">Sens!J18019+Sens!K18018</f>
        <v>14973.7983298351</v>
      </c>
      <c r="L18019" s="1" t="s">
        <v>951</v>
      </c>
    </row>
    <row r="18020" customFormat="false" ht="17.15" hidden="false" customHeight="false" outlineLevel="0" collapsed="false">
      <c r="A18020" s="1" t="s">
        <v>952</v>
      </c>
      <c r="B18020" s="0" t="s">
        <v>456</v>
      </c>
      <c r="C18020" s="30" t="n">
        <f aca="false">rent_ext_24</f>
        <v>150</v>
      </c>
      <c r="D18020" s="30" t="n">
        <f aca="false">rent_ext_25</f>
        <v>400</v>
      </c>
      <c r="E18020" s="30" t="n">
        <f aca="false">rent_ext_26</f>
        <v>550</v>
      </c>
      <c r="F18020" s="30" t="n">
        <f aca="false">rent_ext_f</f>
        <v>756</v>
      </c>
      <c r="G18020" s="30" t="n">
        <f aca="false">rent_ext_f</f>
        <v>756</v>
      </c>
      <c r="H18020" s="30" t="n">
        <f aca="false">rent_ext_f</f>
        <v>756</v>
      </c>
      <c r="I18020" s="30" t="n">
        <f aca="false">rent_ext_f</f>
        <v>756</v>
      </c>
      <c r="J18020" s="30" t="n">
        <f aca="false">rent_ext_f</f>
        <v>756</v>
      </c>
      <c r="K18020" s="30" t="n">
        <f aca="false">rent_ext_f</f>
        <v>756</v>
      </c>
      <c r="L18020" s="1" t="s">
        <v>953</v>
      </c>
    </row>
    <row r="18021" customFormat="false" ht="17.15" hidden="false" customHeight="false" outlineLevel="0" collapsed="false">
      <c r="A18021" s="1" t="s">
        <v>954</v>
      </c>
      <c r="B18021" s="0" t="s">
        <v>456</v>
      </c>
      <c r="C18021" s="30" t="n">
        <f aca="false">Sens!C18019-Sens!C18020</f>
        <v>490</v>
      </c>
      <c r="D18021" s="30" t="n">
        <f aca="false">Sens!D18019-Sens!D18020</f>
        <v>1230</v>
      </c>
      <c r="E18021" s="30" t="n">
        <f aca="false">Sens!E18019-Sens!E18020</f>
        <v>2700</v>
      </c>
      <c r="F18021" s="30" t="n">
        <f aca="false">Sens!F18019-Sens!F18020</f>
        <v>5220.5351</v>
      </c>
      <c r="G18021" s="30" t="n">
        <f aca="false">Sens!G18019-Sens!G18020</f>
        <v>7947.0702</v>
      </c>
      <c r="H18021" s="30" t="n">
        <f aca="false">Sens!H18019-Sens!H18020</f>
        <v>10673.6053</v>
      </c>
      <c r="I18021" s="30" t="n">
        <f aca="false">Sens!I18019-Sens!I18020</f>
        <v>12605.5914196667</v>
      </c>
      <c r="J18021" s="30" t="n">
        <f aca="false">Sens!J18019-Sens!J18020</f>
        <v>13781.6682813933</v>
      </c>
      <c r="K18021" s="30" t="n">
        <f aca="false">Sens!K18019-Sens!K18020</f>
        <v>14217.7983298351</v>
      </c>
    </row>
    <row r="18022" customFormat="false" ht="17.15" hidden="false" customHeight="false" outlineLevel="0" collapsed="false">
      <c r="A18022" s="1" t="s">
        <v>955</v>
      </c>
      <c r="B18022" s="0" t="s">
        <v>456</v>
      </c>
      <c r="C18022" s="30" t="n">
        <f aca="false">Sens!C18021/ext_sh</f>
        <v>816.666666666667</v>
      </c>
      <c r="D18022" s="30" t="n">
        <f aca="false">Sens!D18021/ext_sh</f>
        <v>2050</v>
      </c>
      <c r="E18022" s="30" t="n">
        <f aca="false">Sens!E18021/ext_sh</f>
        <v>4500</v>
      </c>
      <c r="F18022" s="30" t="n">
        <f aca="false">Sens!F18021/ext_sh</f>
        <v>8700.89183333333</v>
      </c>
      <c r="G18022" s="30" t="n">
        <f aca="false">Sens!G18021/ext_sh</f>
        <v>13245.117</v>
      </c>
      <c r="H18022" s="30" t="n">
        <f aca="false">Sens!H18021/ext_sh</f>
        <v>17789.3421666667</v>
      </c>
      <c r="I18022" s="30" t="n">
        <f aca="false">Sens!I18021/ext_sh</f>
        <v>21009.3190327778</v>
      </c>
      <c r="J18022" s="30" t="n">
        <f aca="false">Sens!J18021/ext_sh</f>
        <v>22969.4471356556</v>
      </c>
      <c r="K18022" s="30" t="n">
        <f aca="false">Sens!K18021/ext_sh</f>
        <v>23696.3305497252</v>
      </c>
      <c r="L18022" s="1" t="s">
        <v>956</v>
      </c>
    </row>
    <row r="18023" customFormat="false" ht="17.15" hidden="false" customHeight="false" outlineLevel="0" collapsed="false">
      <c r="A18023" s="1" t="s">
        <v>957</v>
      </c>
      <c r="B18023" s="0" t="s">
        <v>456</v>
      </c>
      <c r="C18023" s="30" t="n">
        <f aca="false">Sens!C18022-Sens!C18021</f>
        <v>326.666666666667</v>
      </c>
      <c r="D18023" s="30" t="n">
        <f aca="false">Sens!D18022-Sens!D18021</f>
        <v>820</v>
      </c>
      <c r="E18023" s="30" t="n">
        <f aca="false">Sens!E18022-Sens!E18021</f>
        <v>1800</v>
      </c>
      <c r="F18023" s="30" t="n">
        <f aca="false">Sens!F18022-Sens!F18021</f>
        <v>3480.35673333333</v>
      </c>
      <c r="G18023" s="30" t="n">
        <f aca="false">Sens!G18022-Sens!G18021</f>
        <v>5298.0468</v>
      </c>
      <c r="H18023" s="30" t="n">
        <f aca="false">Sens!H18022-Sens!H18021</f>
        <v>7115.73686666667</v>
      </c>
      <c r="I18023" s="30" t="n">
        <f aca="false">Sens!I18022-Sens!I18021</f>
        <v>8403.72761311111</v>
      </c>
      <c r="J18023" s="30" t="n">
        <f aca="false">Sens!J18022-Sens!J18021</f>
        <v>9187.77885426222</v>
      </c>
      <c r="K18023" s="30" t="n">
        <f aca="false">Sens!K18022-Sens!K18021</f>
        <v>9478.53221989009</v>
      </c>
    </row>
    <row r="18024" customFormat="false" ht="17.15" hidden="false" customHeight="false" outlineLevel="0" collapsed="false">
      <c r="A18024" s="1" t="s">
        <v>958</v>
      </c>
      <c r="B18024" s="0" t="s">
        <v>456</v>
      </c>
      <c r="C18024" s="30" t="n">
        <f aca="false">Sens!C18022</f>
        <v>816.666666666667</v>
      </c>
      <c r="D18024" s="30" t="n">
        <f aca="false">Sens!D18022-Sens!C18022</f>
        <v>1233.33333333333</v>
      </c>
      <c r="E18024" s="30" t="n">
        <f aca="false">Sens!E18022-Sens!D18022</f>
        <v>2450</v>
      </c>
      <c r="F18024" s="30" t="n">
        <f aca="false">Sens!F18022-Sens!E18022</f>
        <v>4200.89183333333</v>
      </c>
      <c r="G18024" s="30" t="n">
        <f aca="false">Sens!G18022-Sens!F18022</f>
        <v>4544.22516666667</v>
      </c>
      <c r="H18024" s="30" t="n">
        <f aca="false">Sens!H18022-Sens!G18022</f>
        <v>4544.22516666667</v>
      </c>
      <c r="I18024" s="30" t="n">
        <f aca="false">Sens!I18022-Sens!H18022</f>
        <v>3219.97686611111</v>
      </c>
      <c r="J18024" s="30" t="n">
        <f aca="false">Sens!J18022-Sens!I18022</f>
        <v>1960.12810287778</v>
      </c>
      <c r="K18024" s="30" t="n">
        <f aca="false">Sens!K18022-Sens!J18022</f>
        <v>726.883414069667</v>
      </c>
    </row>
    <row r="18025" customFormat="false" ht="17.15" hidden="false" customHeight="false" outlineLevel="0" collapsed="false">
      <c r="A18025" s="1" t="s">
        <v>959</v>
      </c>
      <c r="B18025" s="0" t="s">
        <v>456</v>
      </c>
      <c r="D18025" s="30" t="n">
        <f aca="false">Sens!D18019-Sens!C18019</f>
        <v>990</v>
      </c>
      <c r="E18025" s="30" t="n">
        <f aca="false">Sens!E18019-Sens!D18019</f>
        <v>1620</v>
      </c>
      <c r="F18025" s="30" t="n">
        <f aca="false">Sens!F18019-Sens!E18019</f>
        <v>2726.5351</v>
      </c>
      <c r="G18025" s="30" t="n">
        <f aca="false">Sens!G18019-Sens!F18019</f>
        <v>2726.5351</v>
      </c>
      <c r="H18025" s="30" t="n">
        <f aca="false">Sens!H18019-Sens!G18019</f>
        <v>2726.5351</v>
      </c>
      <c r="I18025" s="30" t="n">
        <f aca="false">Sens!I18019-Sens!H18019</f>
        <v>1931.98611966667</v>
      </c>
      <c r="J18025" s="30" t="n">
        <f aca="false">Sens!J18019-Sens!I18019</f>
        <v>1176.07686172667</v>
      </c>
      <c r="K18025" s="30" t="n">
        <f aca="false">Sens!K18019-Sens!J18019</f>
        <v>436.130048441799</v>
      </c>
    </row>
    <row r="18026" customFormat="false" ht="17.15" hidden="false" customHeight="false" outlineLevel="0" collapsed="false">
      <c r="A18026" s="1" t="s">
        <v>960</v>
      </c>
      <c r="B18026" s="0" t="s">
        <v>456</v>
      </c>
      <c r="F18026" s="30" t="n">
        <f aca="false">Sens!F18045*ext_sh</f>
        <v>0</v>
      </c>
      <c r="G18026" s="30" t="n">
        <f aca="false">Sens!G18045*ext_sh</f>
        <v>0</v>
      </c>
      <c r="H18026" s="30" t="n">
        <f aca="false">Sens!H18045*ext_sh</f>
        <v>0</v>
      </c>
      <c r="I18026" s="30" t="n">
        <f aca="false">Sens!I18045*ext_sh</f>
        <v>490</v>
      </c>
      <c r="J18026" s="30" t="n">
        <f aca="false">Sens!J18045*ext_sh</f>
        <v>740</v>
      </c>
      <c r="K18026" s="30" t="n">
        <f aca="false">Sens!K18045*ext_sh</f>
        <v>1470</v>
      </c>
      <c r="L18026" s="1" t="s">
        <v>961</v>
      </c>
    </row>
    <row r="18027" customFormat="false" ht="17.15" hidden="false" customHeight="false" outlineLevel="0" collapsed="false">
      <c r="A18027" s="1" t="s">
        <v>962</v>
      </c>
      <c r="B18027" s="0" t="s">
        <v>456</v>
      </c>
      <c r="C18027" s="30" t="n">
        <f aca="false">mix_h*Sens!C18019</f>
        <v>128</v>
      </c>
      <c r="D18027" s="30" t="n">
        <f aca="false">mix_h*Sens!D18019</f>
        <v>326</v>
      </c>
      <c r="E18027" s="30" t="n">
        <f aca="false">mix_h*Sens!E18019</f>
        <v>650</v>
      </c>
      <c r="F18027" s="30" t="n">
        <f aca="false">Sens!E18027-Sens!F18026*mix_h</f>
        <v>650</v>
      </c>
      <c r="G18027" s="30" t="n">
        <f aca="false">Sens!F18027-Sens!G18026*mix_h</f>
        <v>650</v>
      </c>
      <c r="H18027" s="30" t="n">
        <f aca="false">Sens!G18027-Sens!H18026*mix_h</f>
        <v>650</v>
      </c>
      <c r="I18027" s="30" t="n">
        <f aca="false">Sens!H18027-Sens!I18026*mix_h</f>
        <v>552</v>
      </c>
      <c r="J18027" s="30" t="n">
        <f aca="false">Sens!I18027-Sens!J18026*mix_h</f>
        <v>404</v>
      </c>
      <c r="K18027" s="30" t="n">
        <f aca="false">Sens!J18027-Sens!K18026*mix_h</f>
        <v>110</v>
      </c>
    </row>
    <row r="18028" customFormat="false" ht="17.15" hidden="false" customHeight="false" outlineLevel="0" collapsed="false">
      <c r="A18028" s="1" t="s">
        <v>963</v>
      </c>
      <c r="B18028" s="0" t="s">
        <v>456</v>
      </c>
      <c r="C18028" s="30" t="n">
        <f aca="false">mix_g2*Sens!C18019</f>
        <v>288</v>
      </c>
      <c r="D18028" s="30" t="n">
        <f aca="false">mix_g2*Sens!D18019</f>
        <v>733.5</v>
      </c>
      <c r="E18028" s="30" t="n">
        <f aca="false">mix_g2*Sens!E18019</f>
        <v>1462.5</v>
      </c>
      <c r="F18028" s="30" t="n">
        <f aca="false">Sens!E18028-Sens!F18026*mix_g2</f>
        <v>1462.5</v>
      </c>
      <c r="G18028" s="30" t="n">
        <f aca="false">Sens!F18028-Sens!G18026*mix_g2</f>
        <v>1462.5</v>
      </c>
      <c r="H18028" s="30" t="n">
        <f aca="false">Sens!G18028-Sens!H18026*mix_g2</f>
        <v>1462.5</v>
      </c>
      <c r="I18028" s="30" t="n">
        <f aca="false">Sens!H18028-Sens!I18026*mix_g2</f>
        <v>1242</v>
      </c>
      <c r="J18028" s="30" t="n">
        <f aca="false">Sens!I18028-Sens!J18026*mix_g2</f>
        <v>909</v>
      </c>
      <c r="K18028" s="30" t="n">
        <f aca="false">Sens!J18028-Sens!K18026*mix_g2</f>
        <v>247.5</v>
      </c>
    </row>
    <row r="18029" customFormat="false" ht="17.15" hidden="false" customHeight="false" outlineLevel="0" collapsed="false">
      <c r="A18029" s="1" t="s">
        <v>964</v>
      </c>
      <c r="B18029" s="0" t="s">
        <v>456</v>
      </c>
      <c r="C18029" s="30" t="n">
        <f aca="false">mix_g3*Sens!C18019</f>
        <v>224</v>
      </c>
      <c r="D18029" s="30" t="n">
        <f aca="false">mix_g3*Sens!D18019</f>
        <v>570.5</v>
      </c>
      <c r="E18029" s="30" t="n">
        <f aca="false">mix_g3*Sens!E18019</f>
        <v>1137.5</v>
      </c>
      <c r="F18029" s="30" t="n">
        <f aca="false">Sens!E18029+(Sens!F18025+Sens!F18026)*(a_g3_27-nonnv*a_mai)-Sens!F18026*mix_g3</f>
        <v>2773.42106</v>
      </c>
      <c r="G18029" s="30" t="n">
        <f aca="false">Sens!F18029+(Sens!G18025+Sens!G18026)*(a_g3_28-nonnv*a_mai)-Sens!G18026*mix_g3</f>
        <v>3318.72808</v>
      </c>
      <c r="H18029" s="30" t="n">
        <f aca="false">Sens!G18029+(Sens!H18025+Sens!H18026)*(a_g3_29-nonnv*a_mai)-Sens!H18026*mix_g3</f>
        <v>3318.72808</v>
      </c>
      <c r="I18029" s="30" t="n">
        <f aca="false">Sens!H18029+(Sens!I18025+Sens!I18026)*(a_g3_29-nonnv*a_mai)-Sens!I18026*mix_g3</f>
        <v>3147.22808</v>
      </c>
      <c r="J18029" s="30" t="n">
        <f aca="false">Sens!I18029+(Sens!J18025+Sens!J18026)*(a_g3_29-nonnv*a_mai)-Sens!J18026*mix_g3</f>
        <v>2888.22808</v>
      </c>
      <c r="K18029" s="30" t="n">
        <f aca="false">Sens!J18029+(Sens!K18025+Sens!K18026)*(a_g3_29-nonnv*a_mai)-Sens!K18026*mix_g3</f>
        <v>2373.72808</v>
      </c>
    </row>
    <row r="18030" customFormat="false" ht="17.15" hidden="false" customHeight="false" outlineLevel="0" collapsed="false">
      <c r="A18030" s="1" t="s">
        <v>965</v>
      </c>
      <c r="B18030" s="0" t="s">
        <v>456</v>
      </c>
      <c r="C18030" s="30" t="n">
        <v>0</v>
      </c>
      <c r="D18030" s="30" t="n">
        <v>0</v>
      </c>
      <c r="E18030" s="30" t="n">
        <v>0</v>
      </c>
      <c r="F18030" s="30" t="n">
        <f aca="false">Sens!E18030+(Sens!F18025+Sens!F18026)*nonnv*a_mai</f>
        <v>272.65351</v>
      </c>
      <c r="G18030" s="30" t="n">
        <f aca="false">Sens!F18030+(Sens!G18025+Sens!G18026)*nonnv*a_mai</f>
        <v>545.30702</v>
      </c>
      <c r="H18030" s="30" t="n">
        <f aca="false">Sens!G18030+(Sens!H18025+Sens!H18026)*nonnv*a_mai</f>
        <v>817.96053</v>
      </c>
      <c r="I18030" s="30" t="n">
        <f aca="false">Sens!H18030+(Sens!I18025+Sens!I18026)*nonnv*a_mai</f>
        <v>1060.15914196667</v>
      </c>
      <c r="J18030" s="30" t="n">
        <f aca="false">Sens!I18030+(Sens!J18025+Sens!J18026)*nonnv*a_mai</f>
        <v>1251.76682813933</v>
      </c>
      <c r="K18030" s="30" t="n">
        <f aca="false">Sens!J18030+(Sens!K18025+Sens!K18026)*nonnv*a_mai</f>
        <v>1442.37983298351</v>
      </c>
      <c r="L18030" s="12" t="s">
        <v>966</v>
      </c>
    </row>
    <row r="18031" customFormat="false" ht="17.15" hidden="false" customHeight="false" outlineLevel="0" collapsed="false">
      <c r="A18031" s="1" t="s">
        <v>967</v>
      </c>
      <c r="B18031" s="0" t="s">
        <v>456</v>
      </c>
      <c r="C18031" s="30" t="n">
        <v>0</v>
      </c>
      <c r="D18031" s="30" t="n">
        <v>0</v>
      </c>
      <c r="E18031" s="30" t="n">
        <v>0</v>
      </c>
      <c r="F18031" s="30" t="n">
        <f aca="false">Sens!E18031+(Sens!F18025+Sens!F18026)*(1-a_g3_27)</f>
        <v>817.96053</v>
      </c>
      <c r="G18031" s="30" t="n">
        <f aca="false">Sens!F18031+(Sens!G18025+Sens!G18026)*(1-a_g3_28)</f>
        <v>2726.5351</v>
      </c>
      <c r="H18031" s="30" t="n">
        <f aca="false">Sens!G18031+(Sens!H18025+Sens!H18026)*(1-a_g3_29)</f>
        <v>5180.41669</v>
      </c>
      <c r="I18031" s="30" t="n">
        <f aca="false">Sens!H18031+(Sens!I18025+Sens!I18026)*(1-a_g3_29)</f>
        <v>7360.2041977</v>
      </c>
      <c r="J18031" s="30" t="n">
        <f aca="false">Sens!I18031+(Sens!J18025+Sens!J18026)*(1-a_g3_29)</f>
        <v>9084.673373254</v>
      </c>
      <c r="K18031" s="30" t="n">
        <f aca="false">Sens!J18031+(Sens!K18025+Sens!K18026)*(1-a_g3_29)</f>
        <v>10800.1904168516</v>
      </c>
    </row>
    <row r="18032" customFormat="false" ht="17.15" hidden="false" customHeight="false" outlineLevel="0" collapsed="false">
      <c r="A18032" s="1" t="s">
        <v>968</v>
      </c>
      <c r="B18032" s="0" t="s">
        <v>403</v>
      </c>
      <c r="C18032" s="15" t="n">
        <f aca="false">(Sens!C18027*tk_hold_h100+Sens!C18028*tk_hold_gb200+Sens!C18029*tk_hold_gb300+Sens!C18031*tk_hold_vr200+Sens!C18030*nv_hold_mai*tk_hold_vr200)/Sens!C18019</f>
        <v>9.7235358126469</v>
      </c>
      <c r="D18032" s="15" t="n">
        <f aca="false">(Sens!D18027*tk_hold_h100+Sens!D18028*tk_hold_gb200+Sens!D18029*tk_hold_gb300+Sens!D18031*tk_hold_vr200+Sens!D18030*nv_hold_mai*tk_hold_vr200)/Sens!D18019</f>
        <v>9.7235358126469</v>
      </c>
      <c r="E18032" s="15" t="n">
        <f aca="false">(Sens!E18027*tk_hold_h100+Sens!E18028*tk_hold_gb200+Sens!E18029*tk_hold_gb300+Sens!E18031*tk_hold_vr200+Sens!E18030*nv_hold_mai*tk_hold_vr200)/Sens!E18019</f>
        <v>9.7235358126469</v>
      </c>
      <c r="F18032" s="15" t="n">
        <f aca="false">(Sens!F18027*tk_hold_h100+Sens!F18028*tk_hold_gb200+Sens!F18029*tk_hold_gb300+Sens!F18031*tk_hold_vr200+Sens!F18030*nv_hold_mai*tk_hold_vr200)/Sens!F18019</f>
        <v>10.2195353876665</v>
      </c>
      <c r="G18032" s="15" t="n">
        <f aca="false">(Sens!G18027*tk_hold_h100+Sens!G18028*tk_hold_gb200+Sens!G18029*tk_hold_gb300+Sens!G18031*tk_hold_vr200+Sens!G18030*nv_hold_mai*tk_hold_vr200)/Sens!G18019</f>
        <v>10.5725598017306</v>
      </c>
      <c r="H18032" s="15" t="n">
        <f aca="false">(Sens!H18027*tk_hold_h100+Sens!H18028*tk_hold_gb200+Sens!H18029*tk_hold_gb300+Sens!H18031*tk_hold_vr200+Sens!H18030*nv_hold_mai*tk_hold_vr200)/Sens!H18019</f>
        <v>10.8210427149036</v>
      </c>
      <c r="I18032" s="15" t="n">
        <f aca="false">(Sens!I18027*tk_hold_h100+Sens!I18028*tk_hold_gb200+Sens!I18029*tk_hold_gb300+Sens!I18031*tk_hold_vr200+Sens!I18030*nv_hold_mai*tk_hold_vr200)/Sens!I18019</f>
        <v>11.0050618241982</v>
      </c>
      <c r="J18032" s="15" t="n">
        <f aca="false">(Sens!J18027*tk_hold_h100+Sens!J18028*tk_hold_gb200+Sens!J18029*tk_hold_gb300+Sens!J18031*tk_hold_vr200+Sens!J18030*nv_hold_mai*tk_hold_vr200)/Sens!J18019</f>
        <v>11.1505789658881</v>
      </c>
      <c r="K18032" s="15" t="n">
        <f aca="false">(Sens!K18027*tk_hold_h100+Sens!K18028*tk_hold_gb200+Sens!K18029*tk_hold_gb300+Sens!K18031*tk_hold_vr200+Sens!K18030*nv_hold_mai*tk_hold_vr200)/Sens!K18019</f>
        <v>11.3496914757183</v>
      </c>
      <c r="L18032" s="1" t="s">
        <v>969</v>
      </c>
    </row>
    <row r="18033" customFormat="false" ht="17.15" hidden="false" customHeight="false" outlineLevel="0" collapsed="false">
      <c r="A18033" s="1" t="s">
        <v>970</v>
      </c>
      <c r="B18033" s="0" t="s">
        <v>403</v>
      </c>
      <c r="C18033" s="15" t="n">
        <f aca="false">(Sens!C18027*tk_hold_h100+Sens!C18028*tk_hold_gb200+Sens!C18029*tk_hold_gb300+Sens!C18031*tk_hold_vr200+Sens!C18030*nv_out_mai*tk_hold_vr200)/Sens!C18019</f>
        <v>9.7235358126469</v>
      </c>
      <c r="D18033" s="15" t="n">
        <f aca="false">(Sens!D18027*tk_hold_h100+Sens!D18028*tk_hold_gb200+Sens!D18029*tk_hold_gb300+Sens!D18031*tk_hold_vr200+Sens!D18030*nv_out_mai*tk_hold_vr200)/Sens!D18019</f>
        <v>9.7235358126469</v>
      </c>
      <c r="E18033" s="15" t="n">
        <f aca="false">(Sens!E18027*tk_hold_h100+Sens!E18028*tk_hold_gb200+Sens!E18029*tk_hold_gb300+Sens!E18031*tk_hold_vr200+Sens!E18030*nv_out_mai*tk_hold_vr200)/Sens!E18019</f>
        <v>9.7235358126469</v>
      </c>
      <c r="F18033" s="15" t="n">
        <f aca="false">(Sens!F18027*tk_hold_h100+Sens!F18028*tk_hold_gb200+Sens!F18029*tk_hold_gb300+Sens!F18031*tk_hold_vr200+Sens!F18030*nv_out_mai*tk_hold_vr200)/Sens!F18019</f>
        <v>10.247422093969</v>
      </c>
      <c r="G18033" s="15" t="n">
        <f aca="false">(Sens!G18027*tk_hold_h100+Sens!G18028*tk_hold_gb200+Sens!G18029*tk_hold_gb300+Sens!G18031*tk_hold_vr200+Sens!G18030*nv_out_mai*tk_hold_vr200)/Sens!G18019</f>
        <v>10.6108602808053</v>
      </c>
      <c r="H18033" s="15" t="n">
        <f aca="false">(Sens!H18027*tk_hold_h100+Sens!H18028*tk_hold_gb200+Sens!H18029*tk_hold_gb300+Sens!H18031*tk_hold_vr200+Sens!H18030*nv_out_mai*tk_hold_vr200)/Sens!H18019</f>
        <v>10.8647885507393</v>
      </c>
      <c r="I18033" s="15" t="n">
        <f aca="false">(Sens!I18027*tk_hold_h100+Sens!I18028*tk_hold_gb200+Sens!I18029*tk_hold_gb300+Sens!I18031*tk_hold_vr200+Sens!I18030*nv_out_mai*tk_hold_vr200)/Sens!I18019</f>
        <v>11.0535625770025</v>
      </c>
      <c r="J18033" s="15" t="n">
        <f aca="false">(Sens!J18027*tk_hold_h100+Sens!J18028*tk_hold_gb200+Sens!J18029*tk_hold_gb300+Sens!J18031*tk_hold_vr200+Sens!J18030*nv_out_mai*tk_hold_vr200)/Sens!J18019</f>
        <v>11.2032127128058</v>
      </c>
      <c r="K18033" s="15" t="n">
        <f aca="false">(Sens!K18027*tk_hold_h100+Sens!K18028*tk_hold_gb200+Sens!K18029*tk_hold_gb300+Sens!K18031*tk_hold_vr200+Sens!K18030*nv_out_mai*tk_hold_vr200)/Sens!K18019</f>
        <v>11.4085735724225</v>
      </c>
      <c r="L18033" s="12" t="s">
        <v>971</v>
      </c>
    </row>
    <row r="18034" customFormat="false" ht="17.15" hidden="false" customHeight="false" outlineLevel="0" collapsed="false">
      <c r="A18034" s="0" t="s">
        <v>972</v>
      </c>
      <c r="B18034" s="0" t="s">
        <v>229</v>
      </c>
      <c r="C18034" s="15" t="n">
        <f aca="false">k_B</f>
        <v>1.17213932619116</v>
      </c>
      <c r="D18034" s="15" t="n">
        <f aca="false">k_B</f>
        <v>1.17213932619116</v>
      </c>
      <c r="E18034" s="15" t="n">
        <f aca="false">k_B</f>
        <v>1.17213932619116</v>
      </c>
      <c r="F18034" s="15" t="n">
        <f aca="false">(k_B+((ls_C*k_long+(1-ls_C)*k_spot)-k_B)*MIN(1,(Sens!F18017-base_fy)/k_ramp))</f>
        <v>1.07843258004497</v>
      </c>
      <c r="G18034" s="15" t="n">
        <f aca="false">(k_B+((ls_C*k_long+(1-ls_C)*k_spot)-k_B)*MIN(1,(Sens!G18017-base_fy)/k_ramp))</f>
        <v>0.984725833898784</v>
      </c>
      <c r="H18034" s="15" t="n">
        <f aca="false">(k_B+((ls_C*k_long+(1-ls_C)*k_spot)-k_B)*MIN(1,(Sens!H18017-base_fy)/k_ramp))</f>
        <v>0.891019087752599</v>
      </c>
      <c r="I18034" s="15" t="n">
        <f aca="false">(k_B+((ls_C*k_long+(1-ls_C)*k_spot)-k_B)*MIN(1,(Sens!I18017-base_fy)/k_ramp))</f>
        <v>0.891019087752599</v>
      </c>
      <c r="J18034" s="15" t="n">
        <f aca="false">(k_B+((ls_C*k_long+(1-ls_C)*k_spot)-k_B)*MIN(1,(Sens!J18017-base_fy)/k_ramp))</f>
        <v>0.891019087752599</v>
      </c>
      <c r="K18034" s="15" t="n">
        <f aca="false">(k_B+((ls_C*k_long+(1-ls_C)*k_spot)-k_B)*MIN(1,(Sens!K18017-base_fy)/k_ramp))</f>
        <v>0.891019087752599</v>
      </c>
      <c r="L18034" s="1" t="s">
        <v>973</v>
      </c>
    </row>
    <row r="18035" customFormat="false" ht="17.15" hidden="false" customHeight="false" outlineLevel="0" collapsed="false">
      <c r="A18035" s="1" t="s">
        <v>974</v>
      </c>
      <c r="B18035" s="0" t="s">
        <v>403</v>
      </c>
      <c r="C18035" s="15" t="n">
        <f aca="false">Sens!C18033*Sens!C18034*chip_f</f>
        <v>11.3973387156315</v>
      </c>
      <c r="D18035" s="15" t="n">
        <f aca="false">Sens!D18033*Sens!D18034*chip_f</f>
        <v>11.3973387156315</v>
      </c>
      <c r="E18035" s="15" t="n">
        <f aca="false">Sens!E18033*Sens!E18034*chip_f</f>
        <v>11.3973387156315</v>
      </c>
      <c r="F18035" s="15" t="n">
        <f aca="false">Sens!F18033*Sens!F18034*chip_f</f>
        <v>11.0511538476088</v>
      </c>
      <c r="G18035" s="15" t="n">
        <f aca="false">Sens!G18033*Sens!G18034*chip_f</f>
        <v>10.4487882383995</v>
      </c>
      <c r="H18035" s="15" t="n">
        <f aca="false">Sens!H18033*Sens!H18034*chip_f</f>
        <v>9.68073398310464</v>
      </c>
      <c r="I18035" s="15" t="n">
        <f aca="false">Sens!I18033*Sens!I18034*chip_f</f>
        <v>9.84893524377706</v>
      </c>
      <c r="J18035" s="15" t="n">
        <f aca="false">Sens!J18033*Sens!J18034*chip_f</f>
        <v>9.98227637126252</v>
      </c>
      <c r="K18035" s="15" t="n">
        <f aca="false">Sens!K18033*Sens!K18034*chip_f</f>
        <v>10.1652568170583</v>
      </c>
      <c r="L18035" s="1" t="s">
        <v>975</v>
      </c>
    </row>
    <row r="18036" customFormat="false" ht="17.15" hidden="false" customHeight="false" outlineLevel="0" collapsed="false">
      <c r="A18036" s="0" t="s">
        <v>976</v>
      </c>
      <c r="B18036" s="0" t="s">
        <v>98</v>
      </c>
      <c r="D18036" s="6" t="n">
        <f aca="false">(Sens!C18019+Sens!D18019)/2*Sens!D18035/1000</f>
        <v>12.9359794422418</v>
      </c>
      <c r="E18036" s="6" t="n">
        <f aca="false">(Sens!D18019+Sens!E18019)/2*Sens!E18035/1000</f>
        <v>27.8095064661409</v>
      </c>
      <c r="F18036" s="6" t="n">
        <f aca="false">(Sens!E18019+Sens!F18019)/2*Sens!F18035/1000</f>
        <v>50.9819294352312</v>
      </c>
      <c r="G18036" s="6" t="n">
        <f aca="false">(Sens!F18019+Sens!G18019)/2*Sens!G18035/1000</f>
        <v>76.6920436014933</v>
      </c>
      <c r="H18036" s="6" t="n">
        <f aca="false">(Sens!G18019+Sens!H18019)/2*Sens!H18035/1000</f>
        <v>97.4495379418341</v>
      </c>
      <c r="I18036" s="6" t="n">
        <f aca="false">(Sens!H18019+Sens!I18019)/2*Sens!I18035/1000</f>
        <v>122.083445553868</v>
      </c>
      <c r="J18036" s="6" t="n">
        <f aca="false">(Sens!I18019+Sens!J18019)/2*Sens!J18035/1000</f>
        <v>139.249060444804</v>
      </c>
      <c r="K18036" s="6" t="n">
        <f aca="false">(Sens!J18019+Sens!K18019)/2*Sens!K18035/1000</f>
        <v>149.995818575589</v>
      </c>
      <c r="L18036" s="12" t="s">
        <v>977</v>
      </c>
    </row>
    <row r="18037" customFormat="false" ht="17.15" hidden="false" customHeight="false" outlineLevel="0" collapsed="false">
      <c r="A18037" s="1" t="s">
        <v>978</v>
      </c>
      <c r="B18037" s="0" t="s">
        <v>403</v>
      </c>
      <c r="C18037" s="15" t="n">
        <f aca="false">(Sens!C18027*tk_opex_h100+Sens!C18028*tk_opex_gb200+Sens!C18029*tk_opex_gb300+(Sens!C18031+Sens!C18030)*tk_opex_vr200)/Sens!C18019</f>
        <v>1.88636041306092</v>
      </c>
      <c r="D18037" s="15" t="n">
        <f aca="false">(Sens!D18027*tk_opex_h100+Sens!D18028*tk_opex_gb200+Sens!D18029*tk_opex_gb300+(Sens!D18031+Sens!D18030)*tk_opex_vr200)/Sens!D18019</f>
        <v>1.88636041306092</v>
      </c>
      <c r="E18037" s="15" t="n">
        <f aca="false">(Sens!E18027*tk_opex_h100+Sens!E18028*tk_opex_gb200+Sens!E18029*tk_opex_gb300+(Sens!E18031+Sens!E18030)*tk_opex_vr200)/Sens!E18019</f>
        <v>1.88636041306092</v>
      </c>
      <c r="F18037" s="15" t="n">
        <f aca="false">(Sens!F18027*tk_opex_h100+Sens!F18028*tk_opex_gb200+Sens!F18029*tk_opex_gb300+(Sens!F18031+Sens!F18030)*tk_opex_vr200)/Sens!F18019</f>
        <v>1.95051159746876</v>
      </c>
      <c r="G18037" s="15" t="n">
        <f aca="false">(Sens!G18027*tk_opex_h100+Sens!G18028*tk_opex_gb200+Sens!G18029*tk_opex_gb300+(Sens!G18031+Sens!G18030)*tk_opex_vr200)/Sens!G18019</f>
        <v>1.98836003669956</v>
      </c>
      <c r="H18037" s="15" t="n">
        <f aca="false">(Sens!H18027*tk_opex_h100+Sens!H18028*tk_opex_gb200+Sens!H18029*tk_opex_gb300+(Sens!H18031+Sens!H18030)*tk_opex_vr200)/Sens!H18019</f>
        <v>2.01344013834343</v>
      </c>
      <c r="I18037" s="15" t="n">
        <f aca="false">(Sens!I18027*tk_opex_h100+Sens!I18028*tk_opex_gb200+Sens!I18029*tk_opex_gb300+(Sens!I18031+Sens!I18030)*tk_opex_vr200)/Sens!I18019</f>
        <v>2.03261166882178</v>
      </c>
      <c r="J18037" s="15" t="n">
        <f aca="false">(Sens!J18027*tk_opex_h100+Sens!J18028*tk_opex_gb200+Sens!J18029*tk_opex_gb300+(Sens!J18031+Sens!J18030)*tk_opex_vr200)/Sens!J18019</f>
        <v>2.04808073288745</v>
      </c>
      <c r="K18037" s="15" t="n">
        <f aca="false">(Sens!K18027*tk_opex_h100+Sens!K18028*tk_opex_gb200+Sens!K18029*tk_opex_gb300+(Sens!K18031+Sens!K18030)*tk_opex_vr200)/Sens!K18019</f>
        <v>2.06973825807449</v>
      </c>
      <c r="L18037" s="12" t="s">
        <v>979</v>
      </c>
    </row>
    <row r="18038" customFormat="false" ht="17.15" hidden="false" customHeight="false" outlineLevel="0" collapsed="false">
      <c r="A18038" s="0" t="s">
        <v>980</v>
      </c>
      <c r="B18038" s="0" t="s">
        <v>98</v>
      </c>
      <c r="D18038" s="6" t="n">
        <f aca="false">(Sens!C18022+Sens!D18022)/2*Sens!D18037/1000</f>
        <v>2.70378325872065</v>
      </c>
      <c r="E18038" s="6" t="n">
        <f aca="false">(Sens!D18022+Sens!E18022)/2*Sens!E18037/1000</f>
        <v>6.17783035277451</v>
      </c>
      <c r="F18038" s="6" t="n">
        <f aca="false">(Sens!E18022+Sens!F18022)/2*Sens!F18037/1000</f>
        <v>12.8742463089237</v>
      </c>
      <c r="G18038" s="6" t="n">
        <f aca="false">(Sens!F18022+Sens!G18022)/2*Sens!G18037/1000</f>
        <v>21.8182834646277</v>
      </c>
      <c r="H18038" s="6" t="n">
        <f aca="false">(Sens!G18022+Sens!H18022)/2*Sens!H18037/1000</f>
        <v>31.2430128789734</v>
      </c>
      <c r="I18038" s="6" t="n">
        <f aca="false">(Sens!H18022+Sens!I18022)/2*Sens!I18037/1000</f>
        <v>39.4313057443268</v>
      </c>
      <c r="J18038" s="6" t="n">
        <f aca="false">(Sens!I18022+Sens!J18022)/2*Sens!J18037/1000</f>
        <v>45.0360318228653</v>
      </c>
      <c r="K18038" s="6" t="n">
        <f aca="false">(Sens!J18022+Sens!K18022)/2*Sens!K18037/1000</f>
        <v>48.2929727091156</v>
      </c>
    </row>
    <row r="18039" customFormat="false" ht="17.15" hidden="false" customHeight="false" outlineLevel="0" collapsed="false">
      <c r="A18039" s="0" t="s">
        <v>981</v>
      </c>
      <c r="B18039" s="0" t="s">
        <v>98</v>
      </c>
      <c r="D18039" s="6" t="n">
        <f aca="false">(Sens!C18020+Sens!D18020)/2*rent_mw/1000</f>
        <v>2.44475</v>
      </c>
      <c r="E18039" s="6" t="n">
        <f aca="false">(Sens!D18020+Sens!E18020)/2*rent_mw/1000</f>
        <v>4.22275</v>
      </c>
      <c r="F18039" s="6" t="n">
        <f aca="false">(Sens!E18020+Sens!F18020)/2*rent_mw/1000</f>
        <v>5.80517</v>
      </c>
      <c r="G18039" s="6" t="n">
        <f aca="false">(Sens!F18020+Sens!G18020)/2*rent_mw/1000</f>
        <v>6.72084</v>
      </c>
      <c r="H18039" s="6" t="n">
        <f aca="false">(Sens!G18020+Sens!H18020)/2*rent_mw/1000</f>
        <v>6.72084</v>
      </c>
      <c r="I18039" s="6" t="n">
        <f aca="false">(Sens!H18020+Sens!I18020)/2*rent_mw/1000</f>
        <v>6.72084</v>
      </c>
      <c r="J18039" s="6" t="n">
        <f aca="false">(Sens!I18020+Sens!J18020)/2*rent_mw/1000</f>
        <v>6.72084</v>
      </c>
      <c r="K18039" s="6" t="n">
        <f aca="false">(Sens!J18020+Sens!K18020)/2*rent_mw/1000</f>
        <v>6.72084</v>
      </c>
    </row>
    <row r="18040" customFormat="false" ht="17.15" hidden="false" customHeight="false" outlineLevel="0" collapsed="false">
      <c r="A18040" s="0" t="s">
        <v>982</v>
      </c>
      <c r="B18040" s="0" t="s">
        <v>98</v>
      </c>
      <c r="D18040" s="6" t="n">
        <f aca="false">(Sens!C18022+Sens!D18022)/2*(1-self_build)*fac_rent/1000</f>
        <v>0.853242375631075</v>
      </c>
      <c r="E18040" s="6" t="n">
        <f aca="false">(Sens!D18022+Sens!E18022)/2*(1-self_build)*fac_rent/1000</f>
        <v>1.94955961408728</v>
      </c>
      <c r="F18040" s="6" t="n">
        <f aca="false">(Sens!E18022+Sens!F18022)/2*(1-self_build)*fac_rent/1000</f>
        <v>3.92914894476356</v>
      </c>
      <c r="G18040" s="6" t="n">
        <f aca="false">(Sens!F18022+Sens!G18022)/2*(1-self_build)*fac_rent/1000</f>
        <v>6.53206908578159</v>
      </c>
      <c r="H18040" s="6" t="n">
        <f aca="false">(Sens!G18022+Sens!H18022)/2*(1-self_build)*fac_rent/1000</f>
        <v>9.23717988341591</v>
      </c>
      <c r="I18040" s="6" t="n">
        <f aca="false">(Sens!H18022+Sens!I18022)/2*(1-self_build)*fac_rent/1000</f>
        <v>11.5481378557393</v>
      </c>
      <c r="J18040" s="6" t="n">
        <f aca="false">(Sens!I18022+Sens!J18022)/2*(1-self_build)*fac_rent/1000</f>
        <v>13.0899582289108</v>
      </c>
      <c r="K18040" s="6" t="n">
        <f aca="false">(Sens!J18022+Sens!K18022)/2*(1-self_build)*fac_rent/1000</f>
        <v>13.8897275626556</v>
      </c>
      <c r="L18040" s="12" t="s">
        <v>983</v>
      </c>
    </row>
    <row r="18041" customFormat="false" ht="17.15" hidden="false" customHeight="false" outlineLevel="0" collapsed="false">
      <c r="A18041" s="1" t="s">
        <v>984</v>
      </c>
      <c r="B18041" s="0" t="s">
        <v>168</v>
      </c>
      <c r="D18041" s="7" t="n">
        <f aca="false">(Sens!C18021+Sens!D18021)/(Sens!C18022+Sens!D18022)</f>
        <v>0.6</v>
      </c>
      <c r="E18041" s="7" t="n">
        <f aca="false">(Sens!D18021+Sens!E18021)/(Sens!D18022+Sens!E18022)</f>
        <v>0.6</v>
      </c>
      <c r="F18041" s="7" t="n">
        <f aca="false">(Sens!E18021+Sens!F18021)/(Sens!E18022+Sens!F18022)</f>
        <v>0.6</v>
      </c>
      <c r="G18041" s="7" t="n">
        <f aca="false">(Sens!F18021+Sens!G18021)/(Sens!F18022+Sens!G18022)</f>
        <v>0.6</v>
      </c>
      <c r="H18041" s="7" t="n">
        <f aca="false">(Sens!G18021+Sens!H18021)/(Sens!G18022+Sens!H18022)</f>
        <v>0.6</v>
      </c>
      <c r="I18041" s="7" t="n">
        <f aca="false">(Sens!H18021+Sens!I18021)/(Sens!H18022+Sens!I18022)</f>
        <v>0.6</v>
      </c>
      <c r="J18041" s="7" t="n">
        <f aca="false">(Sens!I18021+Sens!J18021)/(Sens!I18022+Sens!J18022)</f>
        <v>0.6</v>
      </c>
      <c r="K18041" s="7" t="n">
        <f aca="false">(Sens!J18021+Sens!K18021)/(Sens!J18022+Sens!K18022)</f>
        <v>0.6</v>
      </c>
    </row>
    <row r="18042" customFormat="false" ht="17.15" hidden="false" customHeight="false" outlineLevel="0" collapsed="false">
      <c r="A18042" s="0" t="s">
        <v>985</v>
      </c>
      <c r="B18042" s="0" t="s">
        <v>98</v>
      </c>
      <c r="D18042" s="6" t="n">
        <f aca="false">Sens!D18036-Sens!D18041*(Sens!D18038+Sens!D18040)-Sens!D18039</f>
        <v>8.35701406163072</v>
      </c>
      <c r="E18042" s="6" t="n">
        <f aca="false">Sens!E18036-Sens!E18041*(Sens!E18038+Sens!E18040)-Sens!E18039</f>
        <v>18.7103224860238</v>
      </c>
      <c r="F18042" s="6" t="n">
        <f aca="false">Sens!F18036-Sens!F18041*(Sens!F18038+Sens!F18040)-Sens!F18039</f>
        <v>35.0947222830189</v>
      </c>
      <c r="G18042" s="6" t="n">
        <f aca="false">Sens!G18036-Sens!G18041*(Sens!G18038+Sens!G18040)-Sens!G18039</f>
        <v>52.9609920712477</v>
      </c>
      <c r="H18042" s="6" t="n">
        <f aca="false">Sens!H18036-Sens!H18041*(Sens!H18038+Sens!H18040)-Sens!H18039</f>
        <v>66.4405822844005</v>
      </c>
      <c r="I18042" s="6" t="n">
        <f aca="false">Sens!I18036-Sens!I18041*(Sens!I18038+Sens!I18040)-Sens!I18039</f>
        <v>84.7749393938279</v>
      </c>
      <c r="J18042" s="6" t="n">
        <f aca="false">Sens!J18036-Sens!J18041*(Sens!J18038+Sens!J18040)-Sens!J18039</f>
        <v>97.6526264137382</v>
      </c>
      <c r="K18042" s="6" t="n">
        <f aca="false">Sens!K18036-Sens!K18041*(Sens!K18038+Sens!K18040)-Sens!K18039</f>
        <v>105.965358412527</v>
      </c>
    </row>
    <row r="18043" customFormat="false" ht="17.15" hidden="false" customHeight="false" outlineLevel="0" collapsed="false">
      <c r="A18043" s="1" t="s">
        <v>986</v>
      </c>
      <c r="B18043" s="0" t="s">
        <v>98</v>
      </c>
      <c r="D18043" s="6" t="n">
        <f aca="false">(1-Sens!D18041)*(Sens!D18038+Sens!D18040)</f>
        <v>1.42281025374069</v>
      </c>
      <c r="E18043" s="6" t="n">
        <f aca="false">(1-Sens!E18041)*(Sens!E18038+Sens!E18040)</f>
        <v>3.25095598674472</v>
      </c>
      <c r="F18043" s="6" t="n">
        <f aca="false">(1-Sens!F18041)*(Sens!F18038+Sens!F18040)</f>
        <v>6.72135810147489</v>
      </c>
      <c r="G18043" s="6" t="n">
        <f aca="false">(1-Sens!G18041)*(Sens!G18038+Sens!G18040)</f>
        <v>11.3401410201637</v>
      </c>
      <c r="H18043" s="6" t="n">
        <f aca="false">(1-Sens!H18041)*(Sens!H18038+Sens!H18040)</f>
        <v>16.1920771049557</v>
      </c>
      <c r="I18043" s="6" t="n">
        <f aca="false">(1-Sens!I18041)*(Sens!I18038+Sens!I18040)</f>
        <v>20.3917774400264</v>
      </c>
      <c r="J18043" s="6" t="n">
        <f aca="false">(1-Sens!J18041)*(Sens!J18038+Sens!J18040)</f>
        <v>23.2503960207104</v>
      </c>
      <c r="K18043" s="6" t="n">
        <f aca="false">(1-Sens!K18041)*(Sens!K18038+Sens!K18040)</f>
        <v>24.8730801087085</v>
      </c>
    </row>
    <row r="18044" customFormat="false" ht="17.15" hidden="false" customHeight="false" outlineLevel="0" collapsed="false">
      <c r="A18044" s="1" t="s">
        <v>987</v>
      </c>
      <c r="B18044" s="0" t="s">
        <v>414</v>
      </c>
      <c r="C18044" s="8" t="n">
        <f aca="false">cxit_open</f>
        <v>27.5918995</v>
      </c>
      <c r="D18044" s="8" t="n">
        <f aca="false">cxit_open</f>
        <v>27.5918995</v>
      </c>
      <c r="E18044" s="8" t="n">
        <f aca="false">cxit_open</f>
        <v>27.5918995</v>
      </c>
      <c r="F18044" s="8" t="n">
        <f aca="false">((a_g3_27-nonnv*a_mai)*tk_cxit_gb300+nonnv*a_mai*nv_hold_mai*tk_cxit_vr200+(1-a_g3_27)*tk_cxit_vr200)</f>
        <v>32.4975576</v>
      </c>
      <c r="G18044" s="8" t="n">
        <f aca="false">((a_g3_28-nonnv*a_mai)*tk_cxit_gb300+nonnv*a_mai*nv_hold_mai*tk_cxit_vr200+(1-a_g3_28)*tk_cxit_vr200)</f>
        <v>34.6372088</v>
      </c>
      <c r="H18044" s="8" t="n">
        <f aca="false">((a_g3_29-nonnv*a_mai)*tk_cxit_gb300+nonnv*a_mai*nv_hold_mai*tk_cxit_vr200+(1-a_g3_29)*tk_cxit_vr200)</f>
        <v>35.7070344</v>
      </c>
      <c r="I18044" s="8" t="n">
        <f aca="false">((a_g3_29-nonnv*a_mai)*tk_cxit_gb300+nonnv*a_mai*nv_hold_mai*tk_cxit_vr200+(1-a_g3_29)*tk_cxit_vr200)</f>
        <v>35.7070344</v>
      </c>
      <c r="J18044" s="8" t="n">
        <f aca="false">((a_g3_29-nonnv*a_mai)*tk_cxit_gb300+nonnv*a_mai*nv_hold_mai*tk_cxit_vr200+(1-a_g3_29)*tk_cxit_vr200)</f>
        <v>35.7070344</v>
      </c>
      <c r="K18044" s="8" t="n">
        <f aca="false">((a_g3_29-nonnv*a_mai)*tk_cxit_gb300+nonnv*a_mai*nv_hold_mai*tk_cxit_vr200+(1-a_g3_29)*tk_cxit_vr200)</f>
        <v>35.7070344</v>
      </c>
      <c r="L18044" s="12" t="s">
        <v>988</v>
      </c>
    </row>
    <row r="18045" customFormat="false" ht="17.15" hidden="false" customHeight="false" outlineLevel="0" collapsed="false">
      <c r="A18045" s="0" t="s">
        <v>989</v>
      </c>
      <c r="B18045" s="0" t="s">
        <v>456</v>
      </c>
      <c r="F18045" s="30" t="n">
        <f aca="false">Sens!C18024*IF(Sens!F18017-Sens!C18017=life_it,1,0)+Sens!D18024*IF(Sens!F18017-Sens!D18017=life_it,1,0)+Sens!E18024*IF(Sens!F18017-Sens!E18017=life_it,1,0)</f>
        <v>0</v>
      </c>
      <c r="G18045" s="30" t="n">
        <f aca="false">Sens!C18024*IF(Sens!G18017-Sens!C18017=life_it,1,0)+Sens!D18024*IF(Sens!G18017-Sens!D18017=life_it,1,0)+Sens!E18024*IF(Sens!G18017-Sens!E18017=life_it,1,0)+Sens!F18024*IF(Sens!G18017-Sens!F18017=life_it,1,0)</f>
        <v>0</v>
      </c>
      <c r="H18045" s="30" t="n">
        <f aca="false">Sens!C18024*IF(Sens!H18017-Sens!C18017=life_it,1,0)+Sens!D18024*IF(Sens!H18017-Sens!D18017=life_it,1,0)+Sens!E18024*IF(Sens!H18017-Sens!E18017=life_it,1,0)+Sens!F18024*IF(Sens!H18017-Sens!F18017=life_it,1,0)+Sens!G18024*IF(Sens!H18017-Sens!G18017=life_it,1,0)</f>
        <v>0</v>
      </c>
      <c r="I18045" s="30" t="n">
        <f aca="false">Sens!C18024*IF(Sens!I18017-Sens!C18017=life_it,1,0)+Sens!D18024*IF(Sens!I18017-Sens!D18017=life_it,1,0)+Sens!E18024*IF(Sens!I18017-Sens!E18017=life_it,1,0)+Sens!F18024*IF(Sens!I18017-Sens!F18017=life_it,1,0)+Sens!G18024*IF(Sens!I18017-Sens!G18017=life_it,1,0)+Sens!H18024*IF(Sens!I18017-Sens!H18017=life_it,1,0)</f>
        <v>816.666666666667</v>
      </c>
      <c r="J18045" s="30" t="n">
        <f aca="false">Sens!C18024*IF(Sens!J18017-Sens!C18017=life_it,1,0)+Sens!D18024*IF(Sens!J18017-Sens!D18017=life_it,1,0)+Sens!E18024*IF(Sens!J18017-Sens!E18017=life_it,1,0)+Sens!F18024*IF(Sens!J18017-Sens!F18017=life_it,1,0)+Sens!G18024*IF(Sens!J18017-Sens!G18017=life_it,1,0)+Sens!H18024*IF(Sens!J18017-Sens!H18017=life_it,1,0)+Sens!I18024*IF(Sens!J18017-Sens!I18017=life_it,1,0)</f>
        <v>1233.33333333333</v>
      </c>
      <c r="K18045" s="30" t="n">
        <f aca="false">Sens!C18024*IF(Sens!K18017-Sens!C18017=life_it,1,0)+Sens!D18024*IF(Sens!K18017-Sens!D18017=life_it,1,0)+Sens!E18024*IF(Sens!K18017-Sens!E18017=life_it,1,0)+Sens!F18024*IF(Sens!K18017-Sens!F18017=life_it,1,0)+Sens!G18024*IF(Sens!K18017-Sens!G18017=life_it,1,0)+Sens!H18024*IF(Sens!K18017-Sens!H18017=life_it,1,0)+Sens!I18024*IF(Sens!K18017-Sens!I18017=life_it,1,0)+Sens!J18024*IF(Sens!K18017-Sens!J18017=life_it,1,0)</f>
        <v>2450</v>
      </c>
      <c r="L18045" s="1" t="s">
        <v>990</v>
      </c>
    </row>
    <row r="18046" customFormat="false" ht="17.15" hidden="false" customHeight="false" outlineLevel="0" collapsed="false">
      <c r="A18046" s="0" t="s">
        <v>991</v>
      </c>
      <c r="B18046" s="0" t="s">
        <v>98</v>
      </c>
      <c r="C18046" s="6" t="n">
        <f aca="false">Sens!C18024*Sens!C18044/1000</f>
        <v>22.5333845916667</v>
      </c>
      <c r="D18046" s="6" t="n">
        <f aca="false">Sens!D18024*Sens!D18044/1000</f>
        <v>34.0300093833333</v>
      </c>
      <c r="E18046" s="6" t="n">
        <f aca="false">Sens!E18024*Sens!E18044/1000</f>
        <v>67.600153775</v>
      </c>
      <c r="F18046" s="6" t="n">
        <f aca="false">(Sens!F18024+Sens!F18045)*Sens!F18044/1000</f>
        <v>136.51872432512</v>
      </c>
      <c r="G18046" s="6" t="n">
        <f aca="false">(Sens!G18024+Sens!G18045)*Sens!G18044/1000</f>
        <v>157.399275932048</v>
      </c>
      <c r="H18046" s="6" t="n">
        <f aca="false">(Sens!H18024+Sens!H18045)*Sens!H18044/1000</f>
        <v>162.260804347512</v>
      </c>
      <c r="I18046" s="6" t="n">
        <f aca="false">(Sens!I18024+Sens!I18045)*Sens!I18044/1000</f>
        <v>144.136569485434</v>
      </c>
      <c r="J18046" s="6" t="n">
        <f aca="false">(Sens!J18024+Sens!J18045)*Sens!J18044/1000</f>
        <v>114.029037357864</v>
      </c>
      <c r="K18046" s="6" t="n">
        <f aca="false">(Sens!K18024+Sens!K18045)*Sens!K18044/1000</f>
        <v>113.437085350975</v>
      </c>
    </row>
    <row r="18047" customFormat="false" ht="17.15" hidden="false" customHeight="false" outlineLevel="0" collapsed="false">
      <c r="A18047" s="0" t="s">
        <v>992</v>
      </c>
      <c r="B18047" s="0" t="s">
        <v>98</v>
      </c>
      <c r="C18047" s="6" t="n">
        <f aca="false">Sens!C18024*self_build*tk_cxfac/1000</f>
        <v>6.2083</v>
      </c>
      <c r="D18047" s="6" t="n">
        <f aca="false">Sens!D18024*self_build*tk_cxfac/1000</f>
        <v>9.3758</v>
      </c>
      <c r="E18047" s="6" t="n">
        <f aca="false">Sens!E18024*self_build*tk_cxfac/1000</f>
        <v>18.6249</v>
      </c>
      <c r="F18047" s="6" t="n">
        <f aca="false">Sens!F18024*self_build*tk_cxfac/1000</f>
        <v>31.935179717</v>
      </c>
      <c r="G18047" s="6" t="n">
        <f aca="false">Sens!G18024*self_build*tk_cxfac/1000</f>
        <v>34.545199717</v>
      </c>
      <c r="H18047" s="6" t="n">
        <f aca="false">Sens!H18024*self_build*tk_cxfac/1000</f>
        <v>34.545199717</v>
      </c>
      <c r="I18047" s="6" t="n">
        <f aca="false">Sens!I18024*self_build*tk_cxfac/1000</f>
        <v>24.4782641361767</v>
      </c>
      <c r="J18047" s="6" t="n">
        <f aca="false">Sens!J18024*self_build*tk_cxfac/1000</f>
        <v>14.9008938380769</v>
      </c>
      <c r="K18047" s="6" t="n">
        <f aca="false">Sens!K18024*self_build*tk_cxfac/1000</f>
        <v>5.52576771375761</v>
      </c>
    </row>
    <row r="18048" customFormat="false" ht="17.15" hidden="false" customHeight="false" outlineLevel="0" collapsed="false">
      <c r="A18048" s="0" t="s">
        <v>993</v>
      </c>
      <c r="B18048" s="0" t="s">
        <v>98</v>
      </c>
      <c r="F18048" s="15" t="n">
        <f aca="false">capex_floor27-Sens!F18046-Sens!F18047-Sens!F18144</f>
        <v>-0.0799631154216058</v>
      </c>
      <c r="L18048" s="12" t="s">
        <v>994</v>
      </c>
    </row>
    <row r="18049" customFormat="false" ht="17.15" hidden="false" customHeight="false" outlineLevel="0" collapsed="false">
      <c r="A18049" s="0" t="s">
        <v>995</v>
      </c>
      <c r="B18049" s="0" t="s">
        <v>98</v>
      </c>
      <c r="F18049" s="6" t="n">
        <f aca="false">MAX(0,Sens!F18048)</f>
        <v>0</v>
      </c>
    </row>
    <row r="18050" customFormat="false" ht="17.15" hidden="false" customHeight="false" outlineLevel="0" collapsed="false">
      <c r="A18050" s="0" t="s">
        <v>996</v>
      </c>
      <c r="B18050" s="0" t="s">
        <v>98</v>
      </c>
      <c r="C18050" s="6" t="n">
        <f aca="false">Sens!C18046</f>
        <v>22.5333845916667</v>
      </c>
      <c r="D18050" s="6" t="n">
        <f aca="false">Sens!D18046</f>
        <v>34.0300093833333</v>
      </c>
      <c r="E18050" s="6" t="n">
        <f aca="false">Sens!E18046</f>
        <v>67.600153775</v>
      </c>
      <c r="F18050" s="6" t="n">
        <f aca="false">Sens!F18046+Sens!F18049</f>
        <v>136.51872432512</v>
      </c>
      <c r="G18050" s="6" t="n">
        <f aca="false">Sens!G18046</f>
        <v>157.399275932048</v>
      </c>
      <c r="H18050" s="6" t="n">
        <f aca="false">Sens!H18046</f>
        <v>162.260804347512</v>
      </c>
      <c r="I18050" s="6" t="n">
        <f aca="false">Sens!I18046</f>
        <v>144.136569485434</v>
      </c>
      <c r="J18050" s="6" t="n">
        <f aca="false">Sens!J18046</f>
        <v>114.029037357864</v>
      </c>
      <c r="K18050" s="6" t="n">
        <f aca="false">Sens!K18046</f>
        <v>113.437085350975</v>
      </c>
    </row>
    <row r="18051" customFormat="false" ht="17.15" hidden="false" customHeight="false" outlineLevel="0" collapsed="false">
      <c r="A18051" s="0" t="s">
        <v>997</v>
      </c>
      <c r="B18051" s="0" t="s">
        <v>98</v>
      </c>
      <c r="C18051" s="6" t="n">
        <f aca="false">Sens!C18050+Sens!C18047</f>
        <v>28.7416845916667</v>
      </c>
      <c r="D18051" s="6" t="n">
        <f aca="false">Sens!D18050+Sens!D18047</f>
        <v>43.4058093833333</v>
      </c>
      <c r="E18051" s="6" t="n">
        <f aca="false">Sens!E18050+Sens!E18047</f>
        <v>86.225053775</v>
      </c>
      <c r="F18051" s="6" t="n">
        <f aca="false">Sens!F18050+Sens!F18047</f>
        <v>168.45390404212</v>
      </c>
      <c r="G18051" s="6" t="n">
        <f aca="false">Sens!G18050+Sens!G18047</f>
        <v>191.944475649048</v>
      </c>
      <c r="H18051" s="6" t="n">
        <f aca="false">Sens!H18050+Sens!H18047</f>
        <v>196.806004064512</v>
      </c>
      <c r="I18051" s="6" t="n">
        <f aca="false">Sens!I18050+Sens!I18047</f>
        <v>168.61483362161</v>
      </c>
      <c r="J18051" s="6" t="n">
        <f aca="false">Sens!J18050+Sens!J18047</f>
        <v>128.92993119594</v>
      </c>
      <c r="K18051" s="6" t="n">
        <f aca="false">Sens!K18050+Sens!K18047</f>
        <v>118.962853064733</v>
      </c>
      <c r="L18051" s="12" t="s">
        <v>998</v>
      </c>
    </row>
    <row r="18052" customFormat="false" ht="17.15" hidden="false" customHeight="false" outlineLevel="0" collapsed="false">
      <c r="A18052" s="0" t="s">
        <v>999</v>
      </c>
      <c r="B18052" s="0" t="s">
        <v>98</v>
      </c>
      <c r="E18052" s="6" t="n">
        <f aca="false">(Sens!C18050*IF(2&lt;life_it,1,IF(2=life_it,0.5,0))+Sens!D18050*IF(1&lt;life_it,1,IF(1=life_it,0.5,0))+Sens!E18050*0.5)/life_it</f>
        <v>15.0605784770833</v>
      </c>
      <c r="F18052" s="6" t="n">
        <f aca="false">(Sens!C18050*IF(3&lt;life_it,1,IF(3=life_it,0.5,0))+Sens!D18050*IF(2&lt;life_it,1,IF(2=life_it,0.5,0))+Sens!E18050*IF(1&lt;life_it,1,IF(1=life_it,0.5,0))+Sens!F18050*0.5)/life_it</f>
        <v>32.0704849854266</v>
      </c>
      <c r="G18052" s="6" t="n">
        <f aca="false">(Sens!C18050*IF(4&lt;life_it,1,IF(4=life_it,0.5,0))+Sens!D18050*IF(3&lt;life_it,1,IF(3=life_it,0.5,0))+Sens!E18050*IF(2&lt;life_it,1,IF(2=life_it,0.5,0))+Sens!F18050*IF(1&lt;life_it,1,IF(1=life_it,0.5,0))+Sens!G18050*0.5)/life_it</f>
        <v>56.5636516735239</v>
      </c>
      <c r="H18052" s="6" t="n">
        <f aca="false">(Sens!C18050*IF(5&lt;life_it,1,IF(5=life_it,0.5,0))+Sens!D18050*IF(4&lt;life_it,1,IF(4=life_it,0.5,0))+Sens!E18050*IF(3&lt;life_it,1,IF(3=life_it,0.5,0))+Sens!F18050*IF(2&lt;life_it,1,IF(2=life_it,0.5,0))+Sens!G18050*IF(1&lt;life_it,1,IF(1=life_it,0.5,0))+Sens!H18050*0.5)/life_it</f>
        <v>83.2019916968207</v>
      </c>
      <c r="I18052" s="6" t="n">
        <f aca="false">(Sens!C18050*IF(6&lt;life_it,1,IF(6=life_it,0.5,0))+Sens!D18050*IF(5&lt;life_it,1,IF(5=life_it,0.5,0))+Sens!E18050*IF(4&lt;life_it,1,IF(4=life_it,0.5,0))+Sens!F18050*IF(3&lt;life_it,1,IF(3=life_it,0.5,0))+Sens!G18050*IF(2&lt;life_it,1,IF(2=life_it,0.5,0))+Sens!H18050*IF(1&lt;life_it,1,IF(1=life_it,0.5,0))+Sens!I18050*0.5)/life_it</f>
        <v>106.857324133594</v>
      </c>
      <c r="J18052" s="6" t="n">
        <f aca="false">(Sens!C18050*IF(7&lt;life_it,1,IF(7=life_it,0.5,0))+Sens!D18050*IF(6&lt;life_it,1,IF(6=life_it,0.5,0))+Sens!E18050*IF(5&lt;life_it,1,IF(5=life_it,0.5,0))+Sens!F18050*IF(4&lt;life_it,1,IF(4=life_it,0.5,0))+Sens!G18050*IF(3&lt;life_it,1,IF(3=life_it,0.5,0))+Sens!H18050*IF(2&lt;life_it,1,IF(2=life_it,0.5,0))+Sens!I18050*IF(1&lt;life_it,1,IF(1=life_it,0.5,0))+Sens!J18050*0.5)/life_it</f>
        <v>123.657508539285</v>
      </c>
      <c r="K18052" s="6" t="n">
        <f aca="false">(Sens!C18050*IF(8&lt;life_it,1,IF(8=life_it,0.5,0))+Sens!D18050*IF(7&lt;life_it,1,IF(7=life_it,0.5,0))+Sens!E18050*IF(6&lt;life_it,1,IF(6=life_it,0.5,0))+Sens!F18050*IF(5&lt;life_it,1,IF(5=life_it,0.5,0))+Sens!G18050*IF(4&lt;life_it,1,IF(4=life_it,0.5,0))+Sens!H18050*IF(3&lt;life_it,1,IF(3=life_it,0.5,0))+Sens!I18050*IF(2&lt;life_it,1,IF(2=life_it,0.5,0))+Sens!J18050*IF(1&lt;life_it,1,IF(1=life_it,0.5,0))+Sens!K18050*0.5)/life_it</f>
        <v>134.143838501827</v>
      </c>
    </row>
    <row r="18053" customFormat="false" ht="17.15" hidden="false" customHeight="false" outlineLevel="0" collapsed="false">
      <c r="A18053" s="0" t="s">
        <v>1000</v>
      </c>
      <c r="B18053" s="0" t="s">
        <v>98</v>
      </c>
      <c r="E18053" s="6" t="n">
        <f aca="false">(Sens!C18047*IF(2&lt;life_fac,1,IF(2=life_fac,0.5,0))+Sens!D18047*IF(1&lt;life_fac,1,IF(1=life_fac,0.5,0))+Sens!E18047*0.5)/life_fac</f>
        <v>1.2448275</v>
      </c>
      <c r="F18053" s="6" t="n">
        <f aca="false">(Sens!C18047*IF(3&lt;life_fac,1,IF(3=life_fac,0.5,0))+Sens!D18047*IF(2&lt;life_fac,1,IF(2=life_fac,0.5,0))+Sens!E18047*IF(1&lt;life_fac,1,IF(1=life_fac,0.5,0))+Sens!F18047*0.5)/life_fac</f>
        <v>2.508829492925</v>
      </c>
      <c r="G18053" s="6" t="n">
        <f aca="false">(Sens!C18047*IF(4&lt;life_fac,1,IF(4=life_fac,0.5,0))+Sens!D18047*IF(3&lt;life_fac,1,IF(3=life_fac,0.5,0))+Sens!E18047*IF(2&lt;life_fac,1,IF(2=life_fac,0.5,0))+Sens!F18047*IF(1&lt;life_fac,1,IF(1=life_fac,0.5,0))+Sens!G18047*0.5)/life_fac</f>
        <v>4.170838978775</v>
      </c>
      <c r="H18053" s="6" t="n">
        <f aca="false">(Sens!C18047*IF(5&lt;life_fac,1,IF(5=life_fac,0.5,0))+Sens!D18047*IF(4&lt;life_fac,1,IF(4=life_fac,0.5,0))+Sens!E18047*IF(3&lt;life_fac,1,IF(3=life_fac,0.5,0))+Sens!F18047*IF(2&lt;life_fac,1,IF(2=life_fac,0.5,0))+Sens!G18047*IF(1&lt;life_fac,1,IF(1=life_fac,0.5,0))+Sens!H18047*0.5)/life_fac</f>
        <v>5.898098964625</v>
      </c>
      <c r="I18053" s="6" t="n">
        <f aca="false">(Sens!C18047*IF(6&lt;life_fac,1,IF(6=life_fac,0.5,0))+Sens!D18047*IF(5&lt;life_fac,1,IF(5=life_fac,0.5,0))+Sens!E18047*IF(4&lt;life_fac,1,IF(4=life_fac,0.5,0))+Sens!F18047*IF(3&lt;life_fac,1,IF(3=life_fac,0.5,0))+Sens!G18047*IF(2&lt;life_fac,1,IF(2=life_fac,0.5,0))+Sens!H18047*IF(1&lt;life_fac,1,IF(1=life_fac,0.5,0))+Sens!I18047*0.5)/life_fac</f>
        <v>7.37368556095442</v>
      </c>
      <c r="J18053" s="6" t="n">
        <f aca="false">(Sens!C18047*IF(7&lt;life_fac,1,IF(7=life_fac,0.5,0))+Sens!D18047*IF(6&lt;life_fac,1,IF(6=life_fac,0.5,0))+Sens!E18047*IF(5&lt;life_fac,1,IF(5=life_fac,0.5,0))+Sens!F18047*IF(4&lt;life_fac,1,IF(4=life_fac,0.5,0))+Sens!G18047*IF(3&lt;life_fac,1,IF(3=life_fac,0.5,0))+Sens!H18047*IF(2&lt;life_fac,1,IF(2=life_fac,0.5,0))+Sens!I18047*IF(1&lt;life_fac,1,IF(1=life_fac,0.5,0))+Sens!J18047*0.5)/life_fac</f>
        <v>8.35816451031075</v>
      </c>
      <c r="K18053" s="6" t="n">
        <f aca="false">(Sens!C18047*IF(8&lt;life_fac,1,IF(8=life_fac,0.5,0))+Sens!D18047*IF(7&lt;life_fac,1,IF(7=life_fac,0.5,0))+Sens!E18047*IF(6&lt;life_fac,1,IF(6=life_fac,0.5,0))+Sens!F18047*IF(5&lt;life_fac,1,IF(5=life_fac,0.5,0))+Sens!G18047*IF(4&lt;life_fac,1,IF(4=life_fac,0.5,0))+Sens!H18047*IF(3&lt;life_fac,1,IF(3=life_fac,0.5,0))+Sens!I18047*IF(2&lt;life_fac,1,IF(2=life_fac,0.5,0))+Sens!J18047*IF(1&lt;life_fac,1,IF(1=life_fac,0.5,0))+Sens!K18047*0.5)/life_fac</f>
        <v>8.86883104910662</v>
      </c>
    </row>
    <row r="18054" customFormat="false" ht="17.15" hidden="false" customHeight="false" outlineLevel="0" collapsed="false">
      <c r="A18054" s="0" t="s">
        <v>1001</v>
      </c>
      <c r="B18054" s="0" t="s">
        <v>98</v>
      </c>
      <c r="E18054" s="6" t="n">
        <f aca="false">Sens!E18052+Sens!E18053</f>
        <v>16.3054059770833</v>
      </c>
      <c r="F18054" s="6" t="n">
        <f aca="false">Sens!F18052+Sens!F18053</f>
        <v>34.5793144783516</v>
      </c>
      <c r="G18054" s="6" t="n">
        <f aca="false">Sens!G18052+Sens!G18053</f>
        <v>60.7344906522989</v>
      </c>
      <c r="H18054" s="6" t="n">
        <f aca="false">Sens!H18052+Sens!H18053</f>
        <v>89.1000906614457</v>
      </c>
      <c r="I18054" s="6" t="n">
        <f aca="false">Sens!I18052+Sens!I18053</f>
        <v>114.231009694548</v>
      </c>
      <c r="J18054" s="6" t="n">
        <f aca="false">Sens!J18052+Sens!J18053</f>
        <v>132.015673049596</v>
      </c>
      <c r="K18054" s="6" t="n">
        <f aca="false">Sens!K18052+Sens!K18053</f>
        <v>143.012669550934</v>
      </c>
    </row>
    <row r="18055" customFormat="false" ht="17.15" hidden="false" customHeight="false" outlineLevel="0" collapsed="false">
      <c r="A18055" s="0" t="s">
        <v>1002</v>
      </c>
      <c r="B18055" s="0" t="s">
        <v>98</v>
      </c>
      <c r="E18055" s="6" t="n">
        <f aca="false">Sens!E18042-Sens!E18041*Sens!E18054</f>
        <v>8.92707889977379</v>
      </c>
      <c r="F18055" s="6" t="n">
        <f aca="false">Sens!F18042-Sens!F18041*Sens!F18054</f>
        <v>14.3471335960079</v>
      </c>
      <c r="G18055" s="6" t="n">
        <f aca="false">Sens!G18042-Sens!G18041*Sens!G18054</f>
        <v>16.5202976798683</v>
      </c>
      <c r="H18055" s="6" t="n">
        <f aca="false">Sens!H18042-Sens!H18041*Sens!H18054</f>
        <v>12.9805278875331</v>
      </c>
      <c r="I18055" s="6" t="n">
        <f aca="false">Sens!I18042-Sens!I18041*Sens!I18054</f>
        <v>16.2363335770989</v>
      </c>
      <c r="J18055" s="6" t="n">
        <f aca="false">Sens!J18042-Sens!J18041*Sens!J18054</f>
        <v>18.4432225839805</v>
      </c>
      <c r="K18055" s="6" t="n">
        <f aca="false">Sens!K18042-Sens!K18041*Sens!K18054</f>
        <v>20.1577566819661</v>
      </c>
    </row>
    <row r="18056" customFormat="false" ht="17.15" hidden="false" customHeight="false" outlineLevel="0" collapsed="false">
      <c r="A18056" s="3" t="s">
        <v>1925</v>
      </c>
    </row>
    <row r="18057" customFormat="false" ht="15" hidden="false" customHeight="false" outlineLevel="0" collapsed="false">
      <c r="A18057" s="4" t="s">
        <v>43</v>
      </c>
      <c r="B18057" s="4" t="s">
        <v>65</v>
      </c>
      <c r="C18057" s="23" t="s">
        <v>938</v>
      </c>
      <c r="D18057" s="23" t="s">
        <v>939</v>
      </c>
      <c r="E18057" s="23" t="s">
        <v>940</v>
      </c>
      <c r="F18057" s="23" t="s">
        <v>941</v>
      </c>
      <c r="G18057" s="23" t="s">
        <v>942</v>
      </c>
      <c r="H18057" s="23" t="s">
        <v>943</v>
      </c>
      <c r="I18057" s="23" t="s">
        <v>944</v>
      </c>
      <c r="J18057" s="23" t="s">
        <v>945</v>
      </c>
      <c r="K18057" s="23" t="s">
        <v>946</v>
      </c>
      <c r="L18057" s="4" t="s">
        <v>47</v>
      </c>
    </row>
    <row r="18058" customFormat="false" ht="17.15" hidden="false" customHeight="false" outlineLevel="0" collapsed="false">
      <c r="A18058" s="0" t="s">
        <v>1021</v>
      </c>
      <c r="B18058" s="0" t="s">
        <v>98</v>
      </c>
      <c r="D18058" s="6" t="n">
        <f aca="false">Sens!D18036</f>
        <v>12.9359794422418</v>
      </c>
      <c r="E18058" s="6" t="n">
        <f aca="false">Sens!E18036</f>
        <v>27.8095064661409</v>
      </c>
      <c r="F18058" s="6" t="n">
        <f aca="false">Sens!F18036</f>
        <v>50.9819294352312</v>
      </c>
      <c r="G18058" s="6" t="n">
        <f aca="false">Sens!G18036</f>
        <v>76.6920436014933</v>
      </c>
      <c r="H18058" s="6" t="n">
        <f aca="false">Sens!H18036</f>
        <v>97.4495379418341</v>
      </c>
      <c r="I18058" s="6" t="n">
        <f aca="false">Sens!I18036</f>
        <v>122.083445553868</v>
      </c>
      <c r="J18058" s="6" t="n">
        <f aca="false">Sens!J18036</f>
        <v>139.249060444804</v>
      </c>
      <c r="K18058" s="6" t="n">
        <f aca="false">Sens!K18036</f>
        <v>149.995818575589</v>
      </c>
    </row>
    <row r="18059" customFormat="false" ht="17.15" hidden="false" customHeight="false" outlineLevel="0" collapsed="false">
      <c r="A18059" s="0" t="s">
        <v>1022</v>
      </c>
      <c r="B18059" s="0" t="s">
        <v>98</v>
      </c>
      <c r="D18059" s="6" t="n">
        <f aca="false">Q!L6-Sens!D18058</f>
        <v>59.6740205577583</v>
      </c>
      <c r="E18059" s="6" t="n">
        <f aca="false">Q!M6-Sens!E18058</f>
        <v>74.1284935338591</v>
      </c>
      <c r="F18059" s="6" t="n">
        <f aca="false">Q!$I$6+(Sens!F18058+Sens!E18059*(1+Sens!F18060))*(1-Q!$E$6/Q!M6)-Sens!F18058</f>
        <v>92.2699541184664</v>
      </c>
      <c r="G18059" s="6" t="n">
        <f aca="false">Sens!F18059*(1+Sens!G18060)</f>
        <v>109.630477277949</v>
      </c>
      <c r="H18059" s="6" t="n">
        <f aca="false">Sens!G18059*(1+Sens!H18060)</f>
        <v>127.293256321956</v>
      </c>
      <c r="I18059" s="6" t="n">
        <f aca="false">Sens!H18059*(1+Sens!I18060)</f>
        <v>144.360052269491</v>
      </c>
      <c r="J18059" s="6" t="n">
        <f aca="false">Sens!I18059*(1+Sens!J18060)</f>
        <v>159.811964490216</v>
      </c>
      <c r="K18059" s="6" t="n">
        <f aca="false">Sens!J18059*(1+Sens!K18060)</f>
        <v>172.596921649434</v>
      </c>
      <c r="L18059" s="12" t="s">
        <v>1023</v>
      </c>
    </row>
    <row r="18060" customFormat="false" ht="15" hidden="false" customHeight="false" outlineLevel="0" collapsed="false">
      <c r="A18060" s="1" t="s">
        <v>1024</v>
      </c>
      <c r="B18060" s="0" t="s">
        <v>168</v>
      </c>
      <c r="E18060" s="7" t="n">
        <f aca="false">Sens!E18059/Sens!D18059-1</f>
        <v>0.242223883039864</v>
      </c>
      <c r="F18060" s="7" t="n">
        <f aca="false">Sens!$E$18060+(glt_azo-Sens!$E$18060)*MIN(1,(Sens!F18017-base_fy)/n_conv)</f>
        <v>0.215186569199887</v>
      </c>
      <c r="G18060" s="7" t="n">
        <f aca="false">Sens!$E$18060+(glt_azo-Sens!$E$18060)*MIN(1,(Sens!G18017-base_fy)/n_conv)</f>
        <v>0.18814925535991</v>
      </c>
      <c r="H18060" s="7" t="n">
        <f aca="false">Sens!$E$18060+(glt_azo-Sens!$E$18060)*MIN(1,(Sens!H18017-base_fy)/n_conv)</f>
        <v>0.161111941519932</v>
      </c>
      <c r="I18060" s="7" t="n">
        <f aca="false">Sens!$E$18060+(glt_azo-Sens!$E$18060)*MIN(1,(Sens!I18017-base_fy)/n_conv)</f>
        <v>0.134074627679955</v>
      </c>
      <c r="J18060" s="7" t="n">
        <f aca="false">Sens!$E$18060+(glt_azo-Sens!$E$18060)*MIN(1,(Sens!J18017-base_fy)/n_conv)</f>
        <v>0.107037313839977</v>
      </c>
      <c r="K18060" s="7" t="n">
        <f aca="false">Sens!$E$18060+(glt_azo-Sens!$E$18060)*MIN(1,(Sens!K18017-base_fy)/n_conv)</f>
        <v>0.08</v>
      </c>
    </row>
    <row r="18061" customFormat="false" ht="15" hidden="false" customHeight="false" outlineLevel="0" collapsed="false">
      <c r="A18061" s="0" t="s">
        <v>1025</v>
      </c>
      <c r="B18061" s="0" t="s">
        <v>98</v>
      </c>
      <c r="D18061" s="6" t="n">
        <f aca="false">Sens!D18058+Sens!D18059</f>
        <v>72.61</v>
      </c>
      <c r="E18061" s="6" t="n">
        <f aca="false">Sens!E18058+Sens!E18059</f>
        <v>101.938</v>
      </c>
      <c r="F18061" s="6" t="n">
        <f aca="false">Sens!F18058+Sens!F18059</f>
        <v>143.251883553698</v>
      </c>
      <c r="G18061" s="6" t="n">
        <f aca="false">Sens!G18058+Sens!G18059</f>
        <v>186.322520879442</v>
      </c>
      <c r="H18061" s="6" t="n">
        <f aca="false">Sens!H18058+Sens!H18059</f>
        <v>224.74279426379</v>
      </c>
      <c r="I18061" s="6" t="n">
        <f aca="false">Sens!I18058+Sens!I18059</f>
        <v>266.443497823359</v>
      </c>
      <c r="J18061" s="6" t="n">
        <f aca="false">Sens!J18058+Sens!J18059</f>
        <v>299.06102493502</v>
      </c>
      <c r="K18061" s="6" t="n">
        <f aca="false">Sens!K18058+Sens!K18059</f>
        <v>322.592740225023</v>
      </c>
    </row>
    <row r="18062" customFormat="false" ht="17.15" hidden="false" customHeight="false" outlineLevel="0" collapsed="false">
      <c r="A18062" s="0" t="s">
        <v>1026</v>
      </c>
      <c r="B18062" s="1" t="s">
        <v>610</v>
      </c>
      <c r="C18062" s="30" t="n">
        <f aca="false">cop_s24</f>
        <v>1</v>
      </c>
      <c r="D18062" s="30" t="n">
        <f aca="false">cop_s25</f>
        <v>5</v>
      </c>
      <c r="E18062" s="30" t="n">
        <f aca="false">cop_s26</f>
        <v>30</v>
      </c>
      <c r="F18062" s="30" t="n">
        <f aca="false">Sens!E18062+cop_add_C</f>
        <v>40</v>
      </c>
      <c r="G18062" s="30" t="n">
        <f aca="false">Sens!F18062+cop_add_C</f>
        <v>50</v>
      </c>
      <c r="H18062" s="30" t="n">
        <f aca="false">Sens!G18062+cop_add_C</f>
        <v>60</v>
      </c>
      <c r="I18062" s="30" t="n">
        <f aca="false">Sens!H18062+cop_add_C*cop_tail</f>
        <v>65</v>
      </c>
      <c r="J18062" s="30" t="n">
        <f aca="false">Sens!I18062+cop_add_C*cop_tail</f>
        <v>70</v>
      </c>
      <c r="K18062" s="30" t="n">
        <f aca="false">Sens!J18062+cop_add_C*cop_tail</f>
        <v>75</v>
      </c>
      <c r="L18062" s="12" t="s">
        <v>1027</v>
      </c>
    </row>
    <row r="18063" customFormat="false" ht="17.15" hidden="false" customHeight="false" outlineLevel="0" collapsed="false">
      <c r="A18063" s="0" t="s">
        <v>1028</v>
      </c>
      <c r="B18063" s="0" t="s">
        <v>98</v>
      </c>
      <c r="D18063" s="6" t="n">
        <f aca="false">(Sens!C18062+Sens!D18062)/2*cop_px*12/1000</f>
        <v>0.9</v>
      </c>
      <c r="E18063" s="6" t="n">
        <f aca="false">(Sens!D18062+Sens!E18062)/2*cop_px*12/1000</f>
        <v>5.25</v>
      </c>
      <c r="F18063" s="6" t="n">
        <f aca="false">(Sens!E18062+Sens!F18062)/2*cop_px*12/1000</f>
        <v>10.5</v>
      </c>
      <c r="G18063" s="6" t="n">
        <f aca="false">(Sens!F18062+Sens!G18062)/2*cop_px*12/1000</f>
        <v>13.5</v>
      </c>
      <c r="H18063" s="6" t="n">
        <f aca="false">(Sens!G18062+Sens!H18062)/2*cop_px*12/1000</f>
        <v>16.5</v>
      </c>
      <c r="I18063" s="6" t="n">
        <f aca="false">(Sens!H18062+Sens!I18062)/2*cop_px*12/1000</f>
        <v>18.75</v>
      </c>
      <c r="J18063" s="6" t="n">
        <f aca="false">(Sens!I18062+Sens!J18062)/2*cop_px*12/1000</f>
        <v>20.25</v>
      </c>
      <c r="K18063" s="6" t="n">
        <f aca="false">(Sens!J18062+Sens!K18062)/2*cop_px*12/1000</f>
        <v>21.75</v>
      </c>
      <c r="L18063" s="1" t="s">
        <v>1029</v>
      </c>
    </row>
    <row r="18064" customFormat="false" ht="17.15" hidden="false" customHeight="false" outlineLevel="0" collapsed="false">
      <c r="A18064" s="0" t="s">
        <v>1030</v>
      </c>
      <c r="B18064" s="0" t="s">
        <v>98</v>
      </c>
      <c r="D18064" s="6" t="n">
        <f aca="false">Q!L7-Sens!D18063</f>
        <v>83.705</v>
      </c>
      <c r="E18064" s="6" t="n">
        <f aca="false">Q!M7-Sens!E18063</f>
        <v>95.049</v>
      </c>
      <c r="F18064" s="6" t="n">
        <f aca="false">Q!$I$7+(Sens!E18064*(1+Sens!F18065)+Sens!F18063)*(1-Q!$E$7/Q!M7)-Sens!F18063</f>
        <v>106.938354189776</v>
      </c>
      <c r="G18064" s="6" t="n">
        <f aca="false">Sens!F18064*(1+Sens!G18065)</f>
        <v>119.095360443801</v>
      </c>
      <c r="H18064" s="6" t="n">
        <f aca="false">Sens!G18064*(1+Sens!H18065)</f>
        <v>131.333811964563</v>
      </c>
      <c r="I18064" s="6" t="n">
        <f aca="false">Sens!H18064*(1+Sens!I18065)</f>
        <v>143.395665319381</v>
      </c>
      <c r="J18064" s="6" t="n">
        <f aca="false">Sens!I18064*(1+Sens!J18065)</f>
        <v>154.999327755573</v>
      </c>
      <c r="K18064" s="6" t="n">
        <f aca="false">Sens!J18064*(1+Sens!K18065)</f>
        <v>165.849280698463</v>
      </c>
      <c r="L18064" s="12" t="s">
        <v>1031</v>
      </c>
    </row>
    <row r="18065" customFormat="false" ht="15" hidden="false" customHeight="false" outlineLevel="0" collapsed="false">
      <c r="A18065" s="1" t="s">
        <v>1024</v>
      </c>
      <c r="B18065" s="0" t="s">
        <v>168</v>
      </c>
      <c r="E18065" s="7" t="n">
        <f aca="false">Sens!E18064/Sens!D18064-1</f>
        <v>0.135523564900544</v>
      </c>
      <c r="F18065" s="7" t="n">
        <f aca="false">Sens!$E$18065+(glt_m365b-Sens!$E$18065)*MIN(1,(Sens!F18017-base_fy)/n_conv)</f>
        <v>0.124602970750453</v>
      </c>
      <c r="G18065" s="7" t="n">
        <f aca="false">Sens!$E$18065+(glt_m365b-Sens!$E$18065)*MIN(1,(Sens!G18017-base_fy)/n_conv)</f>
        <v>0.113682376600363</v>
      </c>
      <c r="H18065" s="7" t="n">
        <f aca="false">Sens!$E$18065+(glt_m365b-Sens!$E$18065)*MIN(1,(Sens!H18017-base_fy)/n_conv)</f>
        <v>0.102761782450272</v>
      </c>
      <c r="I18065" s="7" t="n">
        <f aca="false">Sens!$E$18065+(glt_m365b-Sens!$E$18065)*MIN(1,(Sens!I18017-base_fy)/n_conv)</f>
        <v>0.0918411883001813</v>
      </c>
      <c r="J18065" s="7" t="n">
        <f aca="false">Sens!$E$18065+(glt_m365b-Sens!$E$18065)*MIN(1,(Sens!J18017-base_fy)/n_conv)</f>
        <v>0.0809205941500906</v>
      </c>
      <c r="K18065" s="7" t="n">
        <f aca="false">Sens!$E$18065+(glt_m365b-Sens!$E$18065)*MIN(1,(Sens!K18017-base_fy)/n_conv)</f>
        <v>0.07</v>
      </c>
    </row>
    <row r="18066" customFormat="false" ht="15" hidden="false" customHeight="false" outlineLevel="0" collapsed="false">
      <c r="A18066" s="0" t="s">
        <v>1032</v>
      </c>
      <c r="B18066" s="0" t="s">
        <v>98</v>
      </c>
      <c r="D18066" s="6" t="n">
        <f aca="false">Sens!D18064+Sens!D18063</f>
        <v>84.605</v>
      </c>
      <c r="E18066" s="6" t="n">
        <f aca="false">Sens!E18064+Sens!E18063</f>
        <v>100.299</v>
      </c>
      <c r="F18066" s="6" t="n">
        <f aca="false">Sens!F18064+Sens!F18063</f>
        <v>117.438354189776</v>
      </c>
      <c r="G18066" s="6" t="n">
        <f aca="false">Sens!G18064+Sens!G18063</f>
        <v>132.595360443801</v>
      </c>
      <c r="H18066" s="6" t="n">
        <f aca="false">Sens!H18064+Sens!H18063</f>
        <v>147.833811964563</v>
      </c>
      <c r="I18066" s="6" t="n">
        <f aca="false">Sens!I18064+Sens!I18063</f>
        <v>162.145665319381</v>
      </c>
      <c r="J18066" s="6" t="n">
        <f aca="false">Sens!J18064+Sens!J18063</f>
        <v>175.249327755573</v>
      </c>
      <c r="K18066" s="6" t="n">
        <f aca="false">Sens!K18064+Sens!K18063</f>
        <v>187.599280698463</v>
      </c>
    </row>
    <row r="18067" customFormat="false" ht="17.15" hidden="false" customHeight="false" outlineLevel="0" collapsed="false">
      <c r="A18067" s="0" t="s">
        <v>1033</v>
      </c>
      <c r="B18067" s="0" t="s">
        <v>98</v>
      </c>
      <c r="D18067" s="6" t="n">
        <f aca="false">Q!L8</f>
        <v>35.391</v>
      </c>
      <c r="E18067" s="6" t="n">
        <f aca="false">Q!M8</f>
        <v>37.285</v>
      </c>
      <c r="F18067" s="6" t="n">
        <f aca="false">Q!$I$8+(Q!M8-Q!$E$8)*(1+Sens!F18068)</f>
        <v>38.3851437782675</v>
      </c>
      <c r="G18067" s="6" t="n">
        <f aca="false">Sens!F18067*(1+Sens!G18068)</f>
        <v>40.0105353288615</v>
      </c>
      <c r="H18067" s="6" t="n">
        <f aca="false">Sens!G18067*(1+Sens!H18068)</f>
        <v>41.4812512033683</v>
      </c>
      <c r="I18067" s="6" t="n">
        <f aca="false">Sens!H18067*(1+Sens!I18068)</f>
        <v>42.7743107216329</v>
      </c>
      <c r="J18067" s="6" t="n">
        <f aca="false">Sens!I18067*(1+Sens!J18068)</f>
        <v>43.8687373064601</v>
      </c>
      <c r="K18067" s="6" t="n">
        <f aca="false">Sens!J18067*(1+Sens!K18068)</f>
        <v>44.7461120525893</v>
      </c>
      <c r="L18067" s="12" t="s">
        <v>1034</v>
      </c>
    </row>
    <row r="18068" customFormat="false" ht="15" hidden="false" customHeight="false" outlineLevel="0" collapsed="false">
      <c r="A18068" s="1" t="s">
        <v>1024</v>
      </c>
      <c r="B18068" s="0" t="s">
        <v>168</v>
      </c>
      <c r="E18068" s="7" t="n">
        <f aca="false">Sens!E18067/Sens!D18067-1</f>
        <v>0.0535164307309768</v>
      </c>
      <c r="F18068" s="7" t="n">
        <f aca="false">Sens!$E$18068+(glt_lic-Sens!$E$18068)*MIN(1,(Sens!F18017-base_fy)/n_conv)</f>
        <v>0.0479303589424807</v>
      </c>
      <c r="G18068" s="7" t="n">
        <f aca="false">Sens!$E$18068+(glt_lic-Sens!$E$18068)*MIN(1,(Sens!G18017-base_fy)/n_conv)</f>
        <v>0.0423442871539845</v>
      </c>
      <c r="H18068" s="7" t="n">
        <f aca="false">Sens!$E$18068+(glt_lic-Sens!$E$18068)*MIN(1,(Sens!H18017-base_fy)/n_conv)</f>
        <v>0.0367582153654884</v>
      </c>
      <c r="I18068" s="7" t="n">
        <f aca="false">Sens!$E$18068+(glt_lic-Sens!$E$18068)*MIN(1,(Sens!I18017-base_fy)/n_conv)</f>
        <v>0.0311721435769923</v>
      </c>
      <c r="J18068" s="7" t="n">
        <f aca="false">Sens!$E$18068+(glt_lic-Sens!$E$18068)*MIN(1,(Sens!J18017-base_fy)/n_conv)</f>
        <v>0.0255860717884961</v>
      </c>
      <c r="K18068" s="7" t="n">
        <f aca="false">Sens!$E$18068+(glt_lic-Sens!$E$18068)*MIN(1,(Sens!K18017-base_fy)/n_conv)</f>
        <v>0.02</v>
      </c>
    </row>
    <row r="18069" customFormat="false" ht="17.15" hidden="false" customHeight="false" outlineLevel="0" collapsed="false">
      <c r="A18069" s="0" t="s">
        <v>1035</v>
      </c>
      <c r="B18069" s="0" t="s">
        <v>98</v>
      </c>
      <c r="D18069" s="6" t="n">
        <f aca="false">Q!L9</f>
        <v>18.417</v>
      </c>
      <c r="E18069" s="6" t="n">
        <f aca="false">Q!M9</f>
        <v>20.345</v>
      </c>
      <c r="F18069" s="6" t="n">
        <f aca="false">Q!$I$9+(Q!M9-Q!$E$9)*(1+Sens!F18070)</f>
        <v>22.3161797133988</v>
      </c>
      <c r="G18069" s="6" t="n">
        <f aca="false">Sens!F18069*(1+Sens!G18070)</f>
        <v>24.3943499673233</v>
      </c>
      <c r="H18069" s="6" t="n">
        <f aca="false">Sens!G18069*(1+Sens!H18070)</f>
        <v>26.5250243109019</v>
      </c>
      <c r="I18069" s="6" t="n">
        <f aca="false">Sens!H18069*(1+Sens!I18070)</f>
        <v>28.6884573538181</v>
      </c>
      <c r="J18069" s="6" t="n">
        <f aca="false">Sens!I18069*(1+Sens!J18070)</f>
        <v>30.8624968052127</v>
      </c>
      <c r="K18069" s="6" t="n">
        <f aca="false">Sens!J18069*(1+Sens!K18070)</f>
        <v>33.0228715815776</v>
      </c>
      <c r="L18069" s="12" t="s">
        <v>1034</v>
      </c>
    </row>
    <row r="18070" customFormat="false" ht="15" hidden="false" customHeight="false" outlineLevel="0" collapsed="false">
      <c r="A18070" s="1" t="s">
        <v>1024</v>
      </c>
      <c r="B18070" s="0" t="s">
        <v>168</v>
      </c>
      <c r="E18070" s="7" t="n">
        <f aca="false">Sens!E18069/Sens!D18069-1</f>
        <v>0.104685888038225</v>
      </c>
      <c r="F18070" s="7" t="n">
        <f aca="false">Sens!$E$18070+(glt_ind-Sens!$E$18070)*MIN(1,(Sens!F18017-base_fy)/n_conv)</f>
        <v>0.0989049066985211</v>
      </c>
      <c r="G18070" s="7" t="n">
        <f aca="false">Sens!$E$18070+(glt_ind-Sens!$E$18070)*MIN(1,(Sens!G18017-base_fy)/n_conv)</f>
        <v>0.0931239253588169</v>
      </c>
      <c r="H18070" s="7" t="n">
        <f aca="false">Sens!$E$18070+(glt_ind-Sens!$E$18070)*MIN(1,(Sens!H18017-base_fy)/n_conv)</f>
        <v>0.0873429440191127</v>
      </c>
      <c r="I18070" s="7" t="n">
        <f aca="false">Sens!$E$18070+(glt_ind-Sens!$E$18070)*MIN(1,(Sens!I18017-base_fy)/n_conv)</f>
        <v>0.0815619626794085</v>
      </c>
      <c r="J18070" s="7" t="n">
        <f aca="false">Sens!$E$18070+(glt_ind-Sens!$E$18070)*MIN(1,(Sens!J18017-base_fy)/n_conv)</f>
        <v>0.0757809813397042</v>
      </c>
      <c r="K18070" s="7" t="n">
        <f aca="false">Sens!$E$18070+(glt_ind-Sens!$E$18070)*MIN(1,(Sens!K18017-base_fy)/n_conv)</f>
        <v>0.07</v>
      </c>
    </row>
    <row r="18071" customFormat="false" ht="17.15" hidden="false" customHeight="false" outlineLevel="0" collapsed="false">
      <c r="A18071" s="0" t="s">
        <v>1036</v>
      </c>
      <c r="B18071" s="0" t="s">
        <v>98</v>
      </c>
      <c r="D18071" s="6" t="n">
        <f aca="false">Q!L10</f>
        <v>7.76</v>
      </c>
      <c r="E18071" s="6" t="n">
        <f aca="false">Q!M10</f>
        <v>8.26</v>
      </c>
      <c r="F18071" s="6" t="n">
        <f aca="false">Q!$I$10+(Q!M10-Q!$E$10)*(1+Sens!F18072)</f>
        <v>8.75372082474227</v>
      </c>
      <c r="G18071" s="6" t="n">
        <f aca="false">Sens!F18071*(1+Sens!G18072)</f>
        <v>9.33399324642364</v>
      </c>
      <c r="H18071" s="6" t="n">
        <f aca="false">Sens!G18071*(1+Sens!H18072)</f>
        <v>9.96139155535851</v>
      </c>
      <c r="I18071" s="6" t="n">
        <f aca="false">Sens!H18071*(1+Sens!I18072)</f>
        <v>10.6402039077391</v>
      </c>
      <c r="J18071" s="6" t="n">
        <f aca="false">Sens!I18071*(1+Sens!J18072)</f>
        <v>11.3751458271397</v>
      </c>
      <c r="K18071" s="6" t="n">
        <f aca="false">Sens!J18071*(1+Sens!K18072)</f>
        <v>12.1714060350394</v>
      </c>
      <c r="L18071" s="12" t="s">
        <v>1034</v>
      </c>
    </row>
    <row r="18072" customFormat="false" ht="15" hidden="false" customHeight="false" outlineLevel="0" collapsed="false">
      <c r="A18072" s="1" t="s">
        <v>1024</v>
      </c>
      <c r="B18072" s="0" t="s">
        <v>168</v>
      </c>
      <c r="E18072" s="7" t="n">
        <f aca="false">Sens!E18071/Sens!D18071-1</f>
        <v>0.0644329896907216</v>
      </c>
      <c r="F18072" s="7" t="n">
        <f aca="false">Sens!$E$18072+(glt_fro-Sens!$E$18072)*MIN(1,(Sens!F18017-base_fy)/n_conv)</f>
        <v>0.065360824742268</v>
      </c>
      <c r="G18072" s="7" t="n">
        <f aca="false">Sens!$E$18072+(glt_fro-Sens!$E$18072)*MIN(1,(Sens!G18017-base_fy)/n_conv)</f>
        <v>0.0662886597938144</v>
      </c>
      <c r="H18072" s="7" t="n">
        <f aca="false">Sens!$E$18072+(glt_fro-Sens!$E$18072)*MIN(1,(Sens!H18017-base_fy)/n_conv)</f>
        <v>0.0672164948453608</v>
      </c>
      <c r="I18072" s="7" t="n">
        <f aca="false">Sens!$E$18072+(glt_fro-Sens!$E$18072)*MIN(1,(Sens!I18017-base_fy)/n_conv)</f>
        <v>0.0681443298969072</v>
      </c>
      <c r="J18072" s="7" t="n">
        <f aca="false">Sens!$E$18072+(glt_fro-Sens!$E$18072)*MIN(1,(Sens!J18017-base_fy)/n_conv)</f>
        <v>0.0690721649484536</v>
      </c>
      <c r="K18072" s="7" t="n">
        <f aca="false">Sens!$E$18072+(glt_fro-Sens!$E$18072)*MIN(1,(Sens!K18017-base_fy)/n_conv)</f>
        <v>0.07</v>
      </c>
    </row>
    <row r="18073" customFormat="false" ht="15" hidden="false" customHeight="false" outlineLevel="0" collapsed="false">
      <c r="A18073" s="0" t="s">
        <v>852</v>
      </c>
      <c r="B18073" s="0" t="s">
        <v>98</v>
      </c>
      <c r="D18073" s="6" t="n">
        <f aca="false">Sens!D18061+Sens!D18066+Sens!D18067+Sens!D18069+Sens!D18071</f>
        <v>218.783</v>
      </c>
      <c r="E18073" s="6" t="n">
        <f aca="false">Sens!E18061+Sens!E18066+Sens!E18067+Sens!E18069+Sens!E18071</f>
        <v>268.127</v>
      </c>
      <c r="F18073" s="6" t="n">
        <f aca="false">Sens!F18061+Sens!F18066+Sens!F18067+Sens!F18069+Sens!F18071</f>
        <v>330.145282059882</v>
      </c>
      <c r="G18073" s="6" t="n">
        <f aca="false">Sens!G18061+Sens!G18066+Sens!G18067+Sens!G18069+Sens!G18071</f>
        <v>392.656759865851</v>
      </c>
      <c r="H18073" s="6" t="n">
        <f aca="false">Sens!H18061+Sens!H18066+Sens!H18067+Sens!H18069+Sens!H18071</f>
        <v>450.544273297982</v>
      </c>
      <c r="I18073" s="6" t="n">
        <f aca="false">Sens!I18061+Sens!I18066+Sens!I18067+Sens!I18069+Sens!I18071</f>
        <v>510.69213512593</v>
      </c>
      <c r="J18073" s="6" t="n">
        <f aca="false">Sens!J18061+Sens!J18066+Sens!J18067+Sens!J18069+Sens!J18071</f>
        <v>560.416732629406</v>
      </c>
      <c r="K18073" s="6" t="n">
        <f aca="false">Sens!K18061+Sens!K18066+Sens!K18067+Sens!K18069+Sens!K18071</f>
        <v>600.132410592692</v>
      </c>
    </row>
    <row r="18074" customFormat="false" ht="17.15" hidden="false" customHeight="false" outlineLevel="0" collapsed="false">
      <c r="A18074" s="0" t="s">
        <v>1037</v>
      </c>
      <c r="B18074" s="0" t="s">
        <v>98</v>
      </c>
      <c r="D18074" s="6" t="n">
        <f aca="false">Q!L13</f>
        <v>22.171</v>
      </c>
      <c r="E18074" s="6" t="n">
        <f aca="false">Q!M13</f>
        <v>24.835</v>
      </c>
      <c r="F18074" s="6" t="n">
        <f aca="false">Q!$I$13+(Q!M13-Q!$E$13)*(1+Sens!F18075)</f>
        <v>27.5591895660247</v>
      </c>
      <c r="G18074" s="6" t="n">
        <f aca="false">Sens!F18074*(1+Sens!G18075)</f>
        <v>30.4098563144583</v>
      </c>
      <c r="H18074" s="6" t="n">
        <f aca="false">Sens!G18074*(1+Sens!H18075)</f>
        <v>33.3011792571777</v>
      </c>
      <c r="I18074" s="6" t="n">
        <f aca="false">Sens!H18074*(1+Sens!I18075)</f>
        <v>36.189023797112</v>
      </c>
      <c r="J18074" s="6" t="n">
        <f aca="false">Sens!I18074*(1+Sens!J18075)</f>
        <v>39.0247773769199</v>
      </c>
      <c r="K18074" s="6" t="n">
        <f aca="false">Sens!J18074*(1+Sens!K18075)</f>
        <v>41.7565117933043</v>
      </c>
      <c r="L18074" s="12" t="s">
        <v>1034</v>
      </c>
    </row>
    <row r="18075" customFormat="false" ht="15" hidden="false" customHeight="false" outlineLevel="0" collapsed="false">
      <c r="A18075" s="1" t="s">
        <v>1024</v>
      </c>
      <c r="B18075" s="0" t="s">
        <v>168</v>
      </c>
      <c r="E18075" s="7" t="n">
        <f aca="false">Sens!E18074/Sens!D18074-1</f>
        <v>0.120156961796942</v>
      </c>
      <c r="F18075" s="7" t="n">
        <f aca="false">Sens!$E$18075+(glt_srch-Sens!$E$18075)*MIN(1,(Sens!F18017-base_fy)/n_conv)</f>
        <v>0.111797468164118</v>
      </c>
      <c r="G18075" s="7" t="n">
        <f aca="false">Sens!$E$18075+(glt_srch-Sens!$E$18075)*MIN(1,(Sens!G18017-base_fy)/n_conv)</f>
        <v>0.103437974531295</v>
      </c>
      <c r="H18075" s="7" t="n">
        <f aca="false">Sens!$E$18075+(glt_srch-Sens!$E$18075)*MIN(1,(Sens!H18017-base_fy)/n_conv)</f>
        <v>0.095078480898471</v>
      </c>
      <c r="I18075" s="7" t="n">
        <f aca="false">Sens!$E$18075+(glt_srch-Sens!$E$18075)*MIN(1,(Sens!I18017-base_fy)/n_conv)</f>
        <v>0.0867189872656474</v>
      </c>
      <c r="J18075" s="7" t="n">
        <f aca="false">Sens!$E$18075+(glt_srch-Sens!$E$18075)*MIN(1,(Sens!J18017-base_fy)/n_conv)</f>
        <v>0.0783594936328237</v>
      </c>
      <c r="K18075" s="7" t="n">
        <f aca="false">Sens!$E$18075+(glt_srch-Sens!$E$18075)*MIN(1,(Sens!K18017-base_fy)/n_conv)</f>
        <v>0.07</v>
      </c>
    </row>
    <row r="18076" customFormat="false" ht="17.15" hidden="false" customHeight="false" outlineLevel="0" collapsed="false">
      <c r="A18076" s="0" t="s">
        <v>1038</v>
      </c>
      <c r="B18076" s="0" t="s">
        <v>98</v>
      </c>
      <c r="D18076" s="6" t="n">
        <f aca="false">Q!L14</f>
        <v>23.455</v>
      </c>
      <c r="E18076" s="6" t="n">
        <f aca="false">Q!M14</f>
        <v>21.79</v>
      </c>
      <c r="F18076" s="6" t="n">
        <f aca="false">Q!$I$14+(Q!M14-Q!$E$14)*(1+Sens!F18077)</f>
        <v>20.7520981041711</v>
      </c>
      <c r="G18076" s="6" t="n">
        <f aca="false">Sens!F18076*(1+Sens!G18077)</f>
        <v>19.9083593495882</v>
      </c>
      <c r="H18076" s="6" t="n">
        <f aca="false">Sens!G18076*(1+Sens!H18077)</f>
        <v>19.4008256265831</v>
      </c>
      <c r="I18076" s="6" t="n">
        <f aca="false">Sens!H18076*(1+Sens!I18077)</f>
        <v>19.200434522122</v>
      </c>
      <c r="J18076" s="6" t="n">
        <f aca="false">Sens!I18076*(1+Sens!J18077)</f>
        <v>19.2932782348507</v>
      </c>
      <c r="K18076" s="6" t="n">
        <f aca="false">Sens!J18076*(1+Sens!K18077)</f>
        <v>19.6791437995477</v>
      </c>
      <c r="L18076" s="12" t="s">
        <v>1034</v>
      </c>
    </row>
    <row r="18077" customFormat="false" ht="15" hidden="false" customHeight="false" outlineLevel="0" collapsed="false">
      <c r="A18077" s="1" t="s">
        <v>1024</v>
      </c>
      <c r="B18077" s="0" t="s">
        <v>168</v>
      </c>
      <c r="E18077" s="7" t="n">
        <f aca="false">Sens!E18076/Sens!D18076-1</f>
        <v>-0.0709869963760392</v>
      </c>
      <c r="F18077" s="7" t="n">
        <f aca="false">Sens!$E$18077+(glt_xbox-Sens!$E$18077)*MIN(1,(Sens!F18017-base_fy)/n_conv)</f>
        <v>-0.0558224969800327</v>
      </c>
      <c r="G18077" s="7" t="n">
        <f aca="false">Sens!$E$18077+(glt_xbox-Sens!$E$18077)*MIN(1,(Sens!G18017-base_fy)/n_conv)</f>
        <v>-0.0406579975840262</v>
      </c>
      <c r="H18077" s="7" t="n">
        <f aca="false">Sens!$E$18077+(glt_xbox-Sens!$E$18077)*MIN(1,(Sens!H18017-base_fy)/n_conv)</f>
        <v>-0.0254934981880196</v>
      </c>
      <c r="I18077" s="7" t="n">
        <f aca="false">Sens!$E$18077+(glt_xbox-Sens!$E$18077)*MIN(1,(Sens!I18017-base_fy)/n_conv)</f>
        <v>-0.0103289987920131</v>
      </c>
      <c r="J18077" s="7" t="n">
        <f aca="false">Sens!$E$18077+(glt_xbox-Sens!$E$18077)*MIN(1,(Sens!J18017-base_fy)/n_conv)</f>
        <v>0.00483550060399347</v>
      </c>
      <c r="K18077" s="7" t="n">
        <f aca="false">Sens!$E$18077+(glt_xbox-Sens!$E$18077)*MIN(1,(Sens!K18017-base_fy)/n_conv)</f>
        <v>0.02</v>
      </c>
    </row>
    <row r="18078" customFormat="false" ht="17.15" hidden="false" customHeight="false" outlineLevel="0" collapsed="false">
      <c r="A18078" s="0" t="s">
        <v>1039</v>
      </c>
      <c r="B18078" s="0" t="s">
        <v>98</v>
      </c>
      <c r="D18078" s="6" t="n">
        <f aca="false">Q!L15</f>
        <v>17.315</v>
      </c>
      <c r="E18078" s="6" t="n">
        <f aca="false">Q!M15</f>
        <v>17.087</v>
      </c>
      <c r="F18078" s="6" t="n">
        <f aca="false">Q!$I$15+(Q!M15-Q!$E$15)*(1+Sens!F18079)</f>
        <v>15.9912273250553</v>
      </c>
      <c r="G18078" s="6" t="n">
        <f aca="false">Sens!F18078*(1+Sens!G18079)</f>
        <v>15.9574562664827</v>
      </c>
      <c r="H18078" s="6" t="n">
        <f aca="false">Sens!G18078*(1+Sens!H18079)</f>
        <v>16.0119687434196</v>
      </c>
      <c r="I18078" s="6" t="n">
        <f aca="false">Sens!H18078*(1+Sens!I18079)</f>
        <v>16.1551810001948</v>
      </c>
      <c r="J18078" s="6" t="n">
        <f aca="false">Sens!I18078*(1+Sens!J18079)</f>
        <v>16.3889793892005</v>
      </c>
      <c r="K18078" s="6" t="n">
        <f aca="false">Sens!J18078*(1+Sens!K18079)</f>
        <v>16.7167589769845</v>
      </c>
      <c r="L18078" s="12" t="s">
        <v>1034</v>
      </c>
    </row>
    <row r="18079" customFormat="false" ht="15" hidden="false" customHeight="false" outlineLevel="0" collapsed="false">
      <c r="A18079" s="1" t="s">
        <v>1024</v>
      </c>
      <c r="B18079" s="0" t="s">
        <v>168</v>
      </c>
      <c r="E18079" s="7" t="n">
        <f aca="false">Sens!E18078/Sens!D18078-1</f>
        <v>-0.0131677736066995</v>
      </c>
      <c r="F18079" s="7" t="n">
        <f aca="false">Sens!$E$18079+(glt_win-Sens!$E$18079)*MIN(1,(Sens!F18017-base_fy)/n_conv)</f>
        <v>-0.00763981133891627</v>
      </c>
      <c r="G18079" s="7" t="n">
        <f aca="false">Sens!$E$18079+(glt_win-Sens!$E$18079)*MIN(1,(Sens!G18017-base_fy)/n_conv)</f>
        <v>-0.00211184907113301</v>
      </c>
      <c r="H18079" s="7" t="n">
        <f aca="false">Sens!$E$18079+(glt_win-Sens!$E$18079)*MIN(1,(Sens!H18017-base_fy)/n_conv)</f>
        <v>0.00341611319665024</v>
      </c>
      <c r="I18079" s="7" t="n">
        <f aca="false">Sens!$E$18079+(glt_win-Sens!$E$18079)*MIN(1,(Sens!I18017-base_fy)/n_conv)</f>
        <v>0.00894407546443349</v>
      </c>
      <c r="J18079" s="7" t="n">
        <f aca="false">Sens!$E$18079+(glt_win-Sens!$E$18079)*MIN(1,(Sens!J18017-base_fy)/n_conv)</f>
        <v>0.0144720377322168</v>
      </c>
      <c r="K18079" s="7" t="n">
        <f aca="false">Sens!$E$18079+(glt_win-Sens!$E$18079)*MIN(1,(Sens!K18017-base_fy)/n_conv)</f>
        <v>0.02</v>
      </c>
    </row>
    <row r="18080" customFormat="false" ht="15" hidden="false" customHeight="false" outlineLevel="0" collapsed="false">
      <c r="A18080" s="0" t="s">
        <v>866</v>
      </c>
      <c r="B18080" s="0" t="s">
        <v>98</v>
      </c>
      <c r="D18080" s="6" t="n">
        <f aca="false">Sens!D18074+Sens!D18076+Sens!D18078</f>
        <v>62.941</v>
      </c>
      <c r="E18080" s="6" t="n">
        <f aca="false">Sens!E18074+Sens!E18076+Sens!E18078</f>
        <v>63.712</v>
      </c>
      <c r="F18080" s="6" t="n">
        <f aca="false">Sens!F18074+Sens!F18076+Sens!F18078</f>
        <v>64.3025149952511</v>
      </c>
      <c r="G18080" s="6" t="n">
        <f aca="false">Sens!G18074+Sens!G18076+Sens!G18078</f>
        <v>66.2756719305292</v>
      </c>
      <c r="H18080" s="6" t="n">
        <f aca="false">Sens!H18074+Sens!H18076+Sens!H18078</f>
        <v>68.7139736271804</v>
      </c>
      <c r="I18080" s="6" t="n">
        <f aca="false">Sens!I18074+Sens!I18076+Sens!I18078</f>
        <v>71.5446393194289</v>
      </c>
      <c r="J18080" s="6" t="n">
        <f aca="false">Sens!J18074+Sens!J18076+Sens!J18078</f>
        <v>74.707035000971</v>
      </c>
      <c r="K18080" s="6" t="n">
        <f aca="false">Sens!K18074+Sens!K18076+Sens!K18078</f>
        <v>78.1524145698365</v>
      </c>
    </row>
    <row r="18081" customFormat="false" ht="15" hidden="false" customHeight="false" outlineLevel="0" collapsed="false">
      <c r="A18081" s="1" t="s">
        <v>1040</v>
      </c>
      <c r="B18081" s="0" t="s">
        <v>98</v>
      </c>
      <c r="D18081" s="6" t="n">
        <f aca="false">Sens!D18073+Sens!D18080</f>
        <v>281.724</v>
      </c>
      <c r="E18081" s="6" t="n">
        <f aca="false">Sens!E18073+Sens!E18080</f>
        <v>331.839</v>
      </c>
      <c r="F18081" s="6" t="n">
        <f aca="false">Sens!F18073+Sens!F18080</f>
        <v>394.447797055133</v>
      </c>
      <c r="G18081" s="6" t="n">
        <f aca="false">Sens!G18073+Sens!G18080</f>
        <v>458.93243179638</v>
      </c>
      <c r="H18081" s="6" t="n">
        <f aca="false">Sens!H18073+Sens!H18080</f>
        <v>519.258246925162</v>
      </c>
      <c r="I18081" s="6" t="n">
        <f aca="false">Sens!I18073+Sens!I18080</f>
        <v>582.236774445359</v>
      </c>
      <c r="J18081" s="6" t="n">
        <f aca="false">Sens!J18073+Sens!J18080</f>
        <v>635.123767630377</v>
      </c>
      <c r="K18081" s="6" t="n">
        <f aca="false">Sens!K18073+Sens!K18080</f>
        <v>678.284825162529</v>
      </c>
    </row>
    <row r="18082" customFormat="false" ht="15" hidden="false" customHeight="false" outlineLevel="0" collapsed="false">
      <c r="A18082" s="26" t="s">
        <v>1041</v>
      </c>
      <c r="B18082" s="31" t="s">
        <v>98</v>
      </c>
      <c r="C18082" s="31"/>
      <c r="D18082" s="27" t="n">
        <f aca="false">(Sens!D18061+Sens!D18066+Sens!D18067+Sens!D18069+Sens!D18071-Sens!D18073)+(Sens!D18074+Sens!D18076+Sens!D18078-Sens!D18080)+(Sens!D18073-Q!L5)+(Sens!D18080-Q!L12)+(Sens!D18061-Q!L6)+(Sens!D18066-Q!L7)</f>
        <v>0</v>
      </c>
      <c r="E18082" s="27" t="n">
        <f aca="false">(Sens!E18061+Sens!E18066+Sens!E18067+Sens!E18069+Sens!E18071-Sens!E18073)+(Sens!E18074+Sens!E18076+Sens!E18078-Sens!E18080)+(Sens!E18073-Q!M5)+(Sens!E18080-Q!M12)+(Sens!E18061-Q!M6)+(Sens!E18066-Q!M7)</f>
        <v>0</v>
      </c>
      <c r="F18082" s="27" t="n">
        <f aca="false">(Sens!F18061+Sens!F18066+Sens!F18067+Sens!F18069+Sens!F18071-Sens!F18073)+(Sens!F18074+Sens!F18076+Sens!F18078-Sens!F18080)</f>
        <v>0</v>
      </c>
      <c r="G18082" s="27" t="n">
        <f aca="false">(Sens!G18061+Sens!G18066+Sens!G18067+Sens!G18069+Sens!G18071-Sens!G18073)+(Sens!G18074+Sens!G18076+Sens!G18078-Sens!G18080)</f>
        <v>0</v>
      </c>
      <c r="H18082" s="27" t="n">
        <f aca="false">(Sens!H18061+Sens!H18066+Sens!H18067+Sens!H18069+Sens!H18071-Sens!H18073)+(Sens!H18074+Sens!H18076+Sens!H18078-Sens!H18080)</f>
        <v>0</v>
      </c>
      <c r="I18082" s="27" t="n">
        <f aca="false">(Sens!I18061+Sens!I18066+Sens!I18067+Sens!I18069+Sens!I18071-Sens!I18073)+(Sens!I18074+Sens!I18076+Sens!I18078-Sens!I18080)</f>
        <v>0</v>
      </c>
      <c r="J18082" s="27" t="n">
        <f aca="false">(Sens!J18061+Sens!J18066+Sens!J18067+Sens!J18069+Sens!J18071-Sens!J18073)+(Sens!J18074+Sens!J18076+Sens!J18078-Sens!J18080)</f>
        <v>0</v>
      </c>
      <c r="K18082" s="27" t="n">
        <f aca="false">(Sens!K18061+Sens!K18066+Sens!K18067+Sens!K18069+Sens!K18071-Sens!K18073)+(Sens!K18074+Sens!K18076+Sens!K18078-Sens!K18080)</f>
        <v>0</v>
      </c>
    </row>
    <row r="18083" customFormat="false" ht="17.15" hidden="false" customHeight="false" outlineLevel="0" collapsed="false">
      <c r="A18083" s="3" t="s">
        <v>1926</v>
      </c>
    </row>
    <row r="18084" customFormat="false" ht="15" hidden="false" customHeight="false" outlineLevel="0" collapsed="false">
      <c r="A18084" s="4" t="s">
        <v>43</v>
      </c>
      <c r="B18084" s="4" t="s">
        <v>65</v>
      </c>
      <c r="C18084" s="23" t="s">
        <v>938</v>
      </c>
      <c r="D18084" s="23" t="s">
        <v>939</v>
      </c>
      <c r="E18084" s="23" t="s">
        <v>940</v>
      </c>
      <c r="F18084" s="23" t="s">
        <v>941</v>
      </c>
      <c r="G18084" s="23" t="s">
        <v>942</v>
      </c>
      <c r="H18084" s="23" t="s">
        <v>943</v>
      </c>
      <c r="I18084" s="23" t="s">
        <v>944</v>
      </c>
      <c r="J18084" s="23" t="s">
        <v>945</v>
      </c>
      <c r="K18084" s="23" t="s">
        <v>946</v>
      </c>
      <c r="L18084" s="4" t="s">
        <v>47</v>
      </c>
    </row>
    <row r="18085" customFormat="false" ht="15" hidden="false" customHeight="false" outlineLevel="0" collapsed="false">
      <c r="A18085" s="0" t="s">
        <v>1025</v>
      </c>
      <c r="B18085" s="0" t="s">
        <v>98</v>
      </c>
      <c r="D18085" s="6" t="n">
        <f aca="false">Sens!D18061</f>
        <v>72.61</v>
      </c>
      <c r="E18085" s="6" t="n">
        <f aca="false">Sens!E18061</f>
        <v>101.938</v>
      </c>
      <c r="F18085" s="6" t="n">
        <f aca="false">Sens!F18061</f>
        <v>143.251883553698</v>
      </c>
      <c r="G18085" s="6" t="n">
        <f aca="false">Sens!G18061</f>
        <v>186.322520879442</v>
      </c>
      <c r="H18085" s="6" t="n">
        <f aca="false">Sens!H18061</f>
        <v>224.74279426379</v>
      </c>
      <c r="I18085" s="6" t="n">
        <f aca="false">Sens!I18061</f>
        <v>266.443497823359</v>
      </c>
      <c r="J18085" s="6" t="n">
        <f aca="false">Sens!J18061</f>
        <v>299.06102493502</v>
      </c>
      <c r="K18085" s="6" t="n">
        <f aca="false">Sens!K18061</f>
        <v>322.592740225023</v>
      </c>
    </row>
    <row r="18086" customFormat="false" ht="17.15" hidden="false" customHeight="false" outlineLevel="0" collapsed="false">
      <c r="A18086" s="0" t="s">
        <v>1021</v>
      </c>
      <c r="B18086" s="0" t="s">
        <v>98</v>
      </c>
      <c r="D18086" s="6" t="n">
        <f aca="false">Sens!D18058</f>
        <v>12.9359794422418</v>
      </c>
      <c r="E18086" s="6" t="n">
        <f aca="false">Sens!E18058</f>
        <v>27.8095064661409</v>
      </c>
      <c r="F18086" s="6" t="n">
        <f aca="false">Sens!F18058</f>
        <v>50.9819294352312</v>
      </c>
      <c r="G18086" s="6" t="n">
        <f aca="false">Sens!G18058</f>
        <v>76.6920436014933</v>
      </c>
      <c r="H18086" s="6" t="n">
        <f aca="false">Sens!H18058</f>
        <v>97.4495379418341</v>
      </c>
      <c r="I18086" s="6" t="n">
        <f aca="false">Sens!I18058</f>
        <v>122.083445553868</v>
      </c>
      <c r="J18086" s="6" t="n">
        <f aca="false">Sens!J18058</f>
        <v>139.249060444804</v>
      </c>
      <c r="K18086" s="6" t="n">
        <f aca="false">Sens!K18058</f>
        <v>149.995818575589</v>
      </c>
    </row>
    <row r="18087" customFormat="false" ht="17.15" hidden="false" customHeight="false" outlineLevel="0" collapsed="false">
      <c r="A18087" s="0" t="s">
        <v>1052</v>
      </c>
      <c r="B18087" s="0" t="s">
        <v>98</v>
      </c>
      <c r="D18087" s="6" t="n">
        <f aca="false">Sens!D18059</f>
        <v>59.6740205577583</v>
      </c>
      <c r="E18087" s="6" t="n">
        <f aca="false">Sens!E18059</f>
        <v>74.1284935338591</v>
      </c>
      <c r="F18087" s="6" t="n">
        <f aca="false">Sens!F18059</f>
        <v>92.2699541184664</v>
      </c>
      <c r="G18087" s="6" t="n">
        <f aca="false">Sens!G18059</f>
        <v>109.630477277949</v>
      </c>
      <c r="H18087" s="6" t="n">
        <f aca="false">Sens!H18059</f>
        <v>127.293256321956</v>
      </c>
      <c r="I18087" s="6" t="n">
        <f aca="false">Sens!I18059</f>
        <v>144.360052269491</v>
      </c>
      <c r="J18087" s="6" t="n">
        <f aca="false">Sens!J18059</f>
        <v>159.811964490216</v>
      </c>
      <c r="K18087" s="6" t="n">
        <f aca="false">Sens!K18059</f>
        <v>172.596921649434</v>
      </c>
    </row>
    <row r="18088" customFormat="false" ht="15" hidden="false" customHeight="false" outlineLevel="0" collapsed="false">
      <c r="A18088" s="0" t="s">
        <v>1032</v>
      </c>
      <c r="B18088" s="0" t="s">
        <v>98</v>
      </c>
      <c r="D18088" s="6" t="n">
        <f aca="false">Sens!D18066</f>
        <v>84.605</v>
      </c>
      <c r="E18088" s="6" t="n">
        <f aca="false">Sens!E18066</f>
        <v>100.299</v>
      </c>
      <c r="F18088" s="6" t="n">
        <f aca="false">Sens!F18066</f>
        <v>117.438354189776</v>
      </c>
      <c r="G18088" s="6" t="n">
        <f aca="false">Sens!G18066</f>
        <v>132.595360443801</v>
      </c>
      <c r="H18088" s="6" t="n">
        <f aca="false">Sens!H18066</f>
        <v>147.833811964563</v>
      </c>
      <c r="I18088" s="6" t="n">
        <f aca="false">Sens!I18066</f>
        <v>162.145665319381</v>
      </c>
      <c r="J18088" s="6" t="n">
        <f aca="false">Sens!J18066</f>
        <v>175.249327755573</v>
      </c>
      <c r="K18088" s="6" t="n">
        <f aca="false">Sens!K18066</f>
        <v>187.599280698463</v>
      </c>
    </row>
    <row r="18089" customFormat="false" ht="17.15" hidden="false" customHeight="false" outlineLevel="0" collapsed="false">
      <c r="A18089" s="0" t="s">
        <v>1053</v>
      </c>
      <c r="B18089" s="0" t="s">
        <v>98</v>
      </c>
      <c r="D18089" s="6" t="n">
        <f aca="false">Sens!D18064</f>
        <v>83.705</v>
      </c>
      <c r="E18089" s="6" t="n">
        <f aca="false">Sens!E18064</f>
        <v>95.049</v>
      </c>
      <c r="F18089" s="6" t="n">
        <f aca="false">Sens!F18064</f>
        <v>106.938354189776</v>
      </c>
      <c r="G18089" s="6" t="n">
        <f aca="false">Sens!G18064</f>
        <v>119.095360443801</v>
      </c>
      <c r="H18089" s="6" t="n">
        <f aca="false">Sens!H18064</f>
        <v>131.333811964563</v>
      </c>
      <c r="I18089" s="6" t="n">
        <f aca="false">Sens!I18064</f>
        <v>143.395665319381</v>
      </c>
      <c r="J18089" s="6" t="n">
        <f aca="false">Sens!J18064</f>
        <v>154.999327755573</v>
      </c>
      <c r="K18089" s="6" t="n">
        <f aca="false">Sens!K18064</f>
        <v>165.849280698463</v>
      </c>
    </row>
    <row r="18090" customFormat="false" ht="17.15" hidden="false" customHeight="false" outlineLevel="0" collapsed="false">
      <c r="A18090" s="0" t="s">
        <v>1054</v>
      </c>
      <c r="B18090" s="0" t="s">
        <v>98</v>
      </c>
      <c r="D18090" s="6" t="n">
        <f aca="false">Sens!D18063</f>
        <v>0.9</v>
      </c>
      <c r="E18090" s="6" t="n">
        <f aca="false">Sens!E18063</f>
        <v>5.25</v>
      </c>
      <c r="F18090" s="6" t="n">
        <f aca="false">Sens!F18063</f>
        <v>10.5</v>
      </c>
      <c r="G18090" s="6" t="n">
        <f aca="false">Sens!G18063</f>
        <v>13.5</v>
      </c>
      <c r="H18090" s="6" t="n">
        <f aca="false">Sens!H18063</f>
        <v>16.5</v>
      </c>
      <c r="I18090" s="6" t="n">
        <f aca="false">Sens!I18063</f>
        <v>18.75</v>
      </c>
      <c r="J18090" s="6" t="n">
        <f aca="false">Sens!J18063</f>
        <v>20.25</v>
      </c>
      <c r="K18090" s="6" t="n">
        <f aca="false">Sens!K18063</f>
        <v>21.75</v>
      </c>
    </row>
    <row r="18091" customFormat="false" ht="15" hidden="false" customHeight="false" outlineLevel="0" collapsed="false">
      <c r="A18091" s="0" t="s">
        <v>1033</v>
      </c>
      <c r="B18091" s="0" t="s">
        <v>98</v>
      </c>
      <c r="D18091" s="6" t="n">
        <f aca="false">Sens!D18067</f>
        <v>35.391</v>
      </c>
      <c r="E18091" s="6" t="n">
        <f aca="false">Sens!E18067</f>
        <v>37.285</v>
      </c>
      <c r="F18091" s="6" t="n">
        <f aca="false">Sens!F18067</f>
        <v>38.3851437782675</v>
      </c>
      <c r="G18091" s="6" t="n">
        <f aca="false">Sens!G18067</f>
        <v>40.0105353288615</v>
      </c>
      <c r="H18091" s="6" t="n">
        <f aca="false">Sens!H18067</f>
        <v>41.4812512033683</v>
      </c>
      <c r="I18091" s="6" t="n">
        <f aca="false">Sens!I18067</f>
        <v>42.7743107216329</v>
      </c>
      <c r="J18091" s="6" t="n">
        <f aca="false">Sens!J18067</f>
        <v>43.8687373064601</v>
      </c>
      <c r="K18091" s="6" t="n">
        <f aca="false">Sens!K18067</f>
        <v>44.7461120525893</v>
      </c>
    </row>
    <row r="18092" customFormat="false" ht="15" hidden="false" customHeight="false" outlineLevel="0" collapsed="false">
      <c r="A18092" s="0" t="s">
        <v>1035</v>
      </c>
      <c r="B18092" s="0" t="s">
        <v>98</v>
      </c>
      <c r="D18092" s="6" t="n">
        <f aca="false">Sens!D18069</f>
        <v>18.417</v>
      </c>
      <c r="E18092" s="6" t="n">
        <f aca="false">Sens!E18069</f>
        <v>20.345</v>
      </c>
      <c r="F18092" s="6" t="n">
        <f aca="false">Sens!F18069</f>
        <v>22.3161797133988</v>
      </c>
      <c r="G18092" s="6" t="n">
        <f aca="false">Sens!G18069</f>
        <v>24.3943499673233</v>
      </c>
      <c r="H18092" s="6" t="n">
        <f aca="false">Sens!H18069</f>
        <v>26.5250243109019</v>
      </c>
      <c r="I18092" s="6" t="n">
        <f aca="false">Sens!I18069</f>
        <v>28.6884573538181</v>
      </c>
      <c r="J18092" s="6" t="n">
        <f aca="false">Sens!J18069</f>
        <v>30.8624968052127</v>
      </c>
      <c r="K18092" s="6" t="n">
        <f aca="false">Sens!K18069</f>
        <v>33.0228715815776</v>
      </c>
    </row>
    <row r="18093" customFormat="false" ht="15" hidden="false" customHeight="false" outlineLevel="0" collapsed="false">
      <c r="A18093" s="0" t="s">
        <v>1036</v>
      </c>
      <c r="B18093" s="0" t="s">
        <v>98</v>
      </c>
      <c r="D18093" s="6" t="n">
        <f aca="false">Sens!D18071</f>
        <v>7.76</v>
      </c>
      <c r="E18093" s="6" t="n">
        <f aca="false">Sens!E18071</f>
        <v>8.26</v>
      </c>
      <c r="F18093" s="6" t="n">
        <f aca="false">Sens!F18071</f>
        <v>8.75372082474227</v>
      </c>
      <c r="G18093" s="6" t="n">
        <f aca="false">Sens!G18071</f>
        <v>9.33399324642364</v>
      </c>
      <c r="H18093" s="6" t="n">
        <f aca="false">Sens!H18071</f>
        <v>9.96139155535851</v>
      </c>
      <c r="I18093" s="6" t="n">
        <f aca="false">Sens!I18071</f>
        <v>10.6402039077391</v>
      </c>
      <c r="J18093" s="6" t="n">
        <f aca="false">Sens!J18071</f>
        <v>11.3751458271397</v>
      </c>
      <c r="K18093" s="6" t="n">
        <f aca="false">Sens!K18071</f>
        <v>12.1714060350394</v>
      </c>
    </row>
    <row r="18094" customFormat="false" ht="15" hidden="false" customHeight="false" outlineLevel="0" collapsed="false">
      <c r="A18094" s="0" t="s">
        <v>852</v>
      </c>
      <c r="B18094" s="0" t="s">
        <v>98</v>
      </c>
      <c r="D18094" s="6" t="n">
        <f aca="false">Sens!D18073</f>
        <v>218.783</v>
      </c>
      <c r="E18094" s="6" t="n">
        <f aca="false">Sens!E18073</f>
        <v>268.127</v>
      </c>
      <c r="F18094" s="6" t="n">
        <f aca="false">Sens!F18073</f>
        <v>330.145282059882</v>
      </c>
      <c r="G18094" s="6" t="n">
        <f aca="false">Sens!G18073</f>
        <v>392.656759865851</v>
      </c>
      <c r="H18094" s="6" t="n">
        <f aca="false">Sens!H18073</f>
        <v>450.544273297982</v>
      </c>
      <c r="I18094" s="6" t="n">
        <f aca="false">Sens!I18073</f>
        <v>510.69213512593</v>
      </c>
      <c r="J18094" s="6" t="n">
        <f aca="false">Sens!J18073</f>
        <v>560.416732629406</v>
      </c>
      <c r="K18094" s="6" t="n">
        <f aca="false">Sens!K18073</f>
        <v>600.132410592692</v>
      </c>
    </row>
    <row r="18095" customFormat="false" ht="15" hidden="false" customHeight="false" outlineLevel="0" collapsed="false">
      <c r="A18095" s="0" t="s">
        <v>1037</v>
      </c>
      <c r="B18095" s="0" t="s">
        <v>98</v>
      </c>
      <c r="D18095" s="6" t="n">
        <f aca="false">Sens!D18074</f>
        <v>22.171</v>
      </c>
      <c r="E18095" s="6" t="n">
        <f aca="false">Sens!E18074</f>
        <v>24.835</v>
      </c>
      <c r="F18095" s="6" t="n">
        <f aca="false">Sens!F18074</f>
        <v>27.5591895660247</v>
      </c>
      <c r="G18095" s="6" t="n">
        <f aca="false">Sens!G18074</f>
        <v>30.4098563144583</v>
      </c>
      <c r="H18095" s="6" t="n">
        <f aca="false">Sens!H18074</f>
        <v>33.3011792571777</v>
      </c>
      <c r="I18095" s="6" t="n">
        <f aca="false">Sens!I18074</f>
        <v>36.189023797112</v>
      </c>
      <c r="J18095" s="6" t="n">
        <f aca="false">Sens!J18074</f>
        <v>39.0247773769199</v>
      </c>
      <c r="K18095" s="6" t="n">
        <f aca="false">Sens!K18074</f>
        <v>41.7565117933043</v>
      </c>
    </row>
    <row r="18096" customFormat="false" ht="15" hidden="false" customHeight="false" outlineLevel="0" collapsed="false">
      <c r="A18096" s="0" t="s">
        <v>1038</v>
      </c>
      <c r="B18096" s="0" t="s">
        <v>98</v>
      </c>
      <c r="D18096" s="6" t="n">
        <f aca="false">Sens!D18076</f>
        <v>23.455</v>
      </c>
      <c r="E18096" s="6" t="n">
        <f aca="false">Sens!E18076</f>
        <v>21.79</v>
      </c>
      <c r="F18096" s="6" t="n">
        <f aca="false">Sens!F18076</f>
        <v>20.7520981041711</v>
      </c>
      <c r="G18096" s="6" t="n">
        <f aca="false">Sens!G18076</f>
        <v>19.9083593495882</v>
      </c>
      <c r="H18096" s="6" t="n">
        <f aca="false">Sens!H18076</f>
        <v>19.4008256265831</v>
      </c>
      <c r="I18096" s="6" t="n">
        <f aca="false">Sens!I18076</f>
        <v>19.200434522122</v>
      </c>
      <c r="J18096" s="6" t="n">
        <f aca="false">Sens!J18076</f>
        <v>19.2932782348507</v>
      </c>
      <c r="K18096" s="6" t="n">
        <f aca="false">Sens!K18076</f>
        <v>19.6791437995477</v>
      </c>
    </row>
    <row r="18097" customFormat="false" ht="15" hidden="false" customHeight="false" outlineLevel="0" collapsed="false">
      <c r="A18097" s="0" t="s">
        <v>1039</v>
      </c>
      <c r="B18097" s="0" t="s">
        <v>98</v>
      </c>
      <c r="D18097" s="6" t="n">
        <f aca="false">Sens!D18078</f>
        <v>17.315</v>
      </c>
      <c r="E18097" s="6" t="n">
        <f aca="false">Sens!E18078</f>
        <v>17.087</v>
      </c>
      <c r="F18097" s="6" t="n">
        <f aca="false">Sens!F18078</f>
        <v>15.9912273250553</v>
      </c>
      <c r="G18097" s="6" t="n">
        <f aca="false">Sens!G18078</f>
        <v>15.9574562664827</v>
      </c>
      <c r="H18097" s="6" t="n">
        <f aca="false">Sens!H18078</f>
        <v>16.0119687434196</v>
      </c>
      <c r="I18097" s="6" t="n">
        <f aca="false">Sens!I18078</f>
        <v>16.1551810001948</v>
      </c>
      <c r="J18097" s="6" t="n">
        <f aca="false">Sens!J18078</f>
        <v>16.3889793892005</v>
      </c>
      <c r="K18097" s="6" t="n">
        <f aca="false">Sens!K18078</f>
        <v>16.7167589769845</v>
      </c>
    </row>
    <row r="18098" customFormat="false" ht="15" hidden="false" customHeight="false" outlineLevel="0" collapsed="false">
      <c r="A18098" s="0" t="s">
        <v>866</v>
      </c>
      <c r="B18098" s="0" t="s">
        <v>98</v>
      </c>
      <c r="D18098" s="6" t="n">
        <f aca="false">Sens!D18080</f>
        <v>62.941</v>
      </c>
      <c r="E18098" s="6" t="n">
        <f aca="false">Sens!E18080</f>
        <v>63.712</v>
      </c>
      <c r="F18098" s="6" t="n">
        <f aca="false">Sens!F18080</f>
        <v>64.3025149952511</v>
      </c>
      <c r="G18098" s="6" t="n">
        <f aca="false">Sens!G18080</f>
        <v>66.2756719305292</v>
      </c>
      <c r="H18098" s="6" t="n">
        <f aca="false">Sens!H18080</f>
        <v>68.7139736271804</v>
      </c>
      <c r="I18098" s="6" t="n">
        <f aca="false">Sens!I18080</f>
        <v>71.5446393194289</v>
      </c>
      <c r="J18098" s="6" t="n">
        <f aca="false">Sens!J18080</f>
        <v>74.707035000971</v>
      </c>
      <c r="K18098" s="6" t="n">
        <f aca="false">Sens!K18080</f>
        <v>78.1524145698365</v>
      </c>
    </row>
    <row r="18099" customFormat="false" ht="15" hidden="false" customHeight="false" outlineLevel="0" collapsed="false">
      <c r="A18099" s="1" t="s">
        <v>1055</v>
      </c>
      <c r="B18099" s="0" t="s">
        <v>98</v>
      </c>
      <c r="D18099" s="6" t="n">
        <f aca="false">Sens!D18081</f>
        <v>281.724</v>
      </c>
      <c r="E18099" s="6" t="n">
        <f aca="false">Sens!E18081</f>
        <v>331.839</v>
      </c>
      <c r="F18099" s="6" t="n">
        <f aca="false">Sens!F18081</f>
        <v>394.447797055133</v>
      </c>
      <c r="G18099" s="6" t="n">
        <f aca="false">Sens!G18081</f>
        <v>458.93243179638</v>
      </c>
      <c r="H18099" s="6" t="n">
        <f aca="false">Sens!H18081</f>
        <v>519.258246925162</v>
      </c>
      <c r="I18099" s="6" t="n">
        <f aca="false">Sens!I18081</f>
        <v>582.236774445359</v>
      </c>
      <c r="J18099" s="6" t="n">
        <f aca="false">Sens!J18081</f>
        <v>635.123767630377</v>
      </c>
      <c r="K18099" s="6" t="n">
        <f aca="false">Sens!K18081</f>
        <v>678.284825162529</v>
      </c>
    </row>
    <row r="18100" customFormat="false" ht="15" hidden="false" customHeight="false" outlineLevel="0" collapsed="false">
      <c r="A18100" s="1" t="s">
        <v>1056</v>
      </c>
      <c r="B18100" s="0" t="s">
        <v>168</v>
      </c>
      <c r="E18100" s="7" t="n">
        <f aca="false">Sens!E18099/Sens!D18099-1</f>
        <v>0.177886867998467</v>
      </c>
      <c r="F18100" s="7" t="n">
        <f aca="false">Sens!F18099/Sens!E18099-1</f>
        <v>0.188672208676897</v>
      </c>
      <c r="G18100" s="7" t="n">
        <f aca="false">Sens!G18099/Sens!F18099-1</f>
        <v>0.16348078306604</v>
      </c>
      <c r="H18100" s="7" t="n">
        <f aca="false">Sens!H18099/Sens!G18099-1</f>
        <v>0.131448141271366</v>
      </c>
      <c r="I18100" s="7" t="n">
        <f aca="false">Sens!I18099/Sens!H18099-1</f>
        <v>0.121285560495438</v>
      </c>
      <c r="J18100" s="7" t="n">
        <f aca="false">Sens!J18099/Sens!I18099-1</f>
        <v>0.0908341683422489</v>
      </c>
      <c r="K18100" s="7" t="n">
        <f aca="false">Sens!K18099/Sens!J18099-1</f>
        <v>0.0679569238814417</v>
      </c>
    </row>
    <row r="18101" customFormat="false" ht="17.15" hidden="false" customHeight="false" outlineLevel="0" collapsed="false">
      <c r="A18101" s="26" t="s">
        <v>1057</v>
      </c>
      <c r="B18101" s="31" t="s">
        <v>98</v>
      </c>
      <c r="C18101" s="31"/>
      <c r="D18101" s="27" t="n">
        <f aca="false">(Sens!D18094+Sens!D18098-Sens!D18099)+(Sens!D18086+Sens!D18087-Sens!D18085)+(Sens!D18089+Sens!D18090-Sens!D18088)+(Sens!D18099-Q!L18)</f>
        <v>0</v>
      </c>
      <c r="E18101" s="27" t="n">
        <f aca="false">(Sens!E18094+Sens!E18098-Sens!E18099)+(Sens!E18086+Sens!E18087-Sens!E18085)+(Sens!E18089+Sens!E18090-Sens!E18088)+(Sens!E18099-Q!M18)</f>
        <v>0</v>
      </c>
      <c r="F18101" s="27" t="n">
        <f aca="false">(Sens!F18094+Sens!F18098-Sens!F18099)+(Sens!F18086+Sens!F18087-Sens!F18085)+(Sens!F18089+Sens!F18090-Sens!F18088)</f>
        <v>0</v>
      </c>
      <c r="G18101" s="27" t="n">
        <f aca="false">(Sens!G18094+Sens!G18098-Sens!G18099)+(Sens!G18086+Sens!G18087-Sens!G18085)+(Sens!G18089+Sens!G18090-Sens!G18088)</f>
        <v>0</v>
      </c>
      <c r="H18101" s="27" t="n">
        <f aca="false">(Sens!H18094+Sens!H18098-Sens!H18099)+(Sens!H18086+Sens!H18087-Sens!H18085)+(Sens!H18089+Sens!H18090-Sens!H18088)</f>
        <v>0</v>
      </c>
      <c r="I18101" s="27" t="n">
        <f aca="false">(Sens!I18094+Sens!I18098-Sens!I18099)+(Sens!I18086+Sens!I18087-Sens!I18085)+(Sens!I18089+Sens!I18090-Sens!I18088)</f>
        <v>0</v>
      </c>
      <c r="J18101" s="27" t="n">
        <f aca="false">(Sens!J18094+Sens!J18098-Sens!J18099)+(Sens!J18086+Sens!J18087-Sens!J18085)+(Sens!J18089+Sens!J18090-Sens!J18088)</f>
        <v>0</v>
      </c>
      <c r="K18101" s="27" t="n">
        <f aca="false">(Sens!K18094+Sens!K18098-Sens!K18099)+(Sens!K18086+Sens!K18087-Sens!K18085)+(Sens!K18089+Sens!K18090-Sens!K18088)</f>
        <v>0</v>
      </c>
    </row>
    <row r="18102" customFormat="false" ht="17.15" hidden="false" customHeight="false" outlineLevel="0" collapsed="false">
      <c r="A18102" s="0" t="s">
        <v>1058</v>
      </c>
      <c r="B18102" s="0" t="s">
        <v>168</v>
      </c>
      <c r="E18102" s="7" t="n">
        <f aca="false">(Q!M21+Sens!E18038+Sens!E18039+Sens!E18040+Sens!E18054-Sens!E18036)/(Q!M5-Sens!E18036)</f>
        <v>0.570957350878296</v>
      </c>
      <c r="F18102" s="7" t="n">
        <f aca="false">Sens!$E$18102+dm_seg</f>
        <v>0.570957350878296</v>
      </c>
      <c r="G18102" s="7" t="n">
        <f aca="false">Sens!$E$18102+dm_seg</f>
        <v>0.570957350878296</v>
      </c>
      <c r="H18102" s="7" t="n">
        <f aca="false">Sens!$E$18102+dm_seg</f>
        <v>0.570957350878296</v>
      </c>
      <c r="I18102" s="7" t="n">
        <f aca="false">Sens!$E$18102+dm_seg</f>
        <v>0.570957350878296</v>
      </c>
      <c r="J18102" s="7" t="n">
        <f aca="false">Sens!$E$18102+dm_seg</f>
        <v>0.570957350878296</v>
      </c>
      <c r="K18102" s="7" t="n">
        <f aca="false">Sens!$E$18102+dm_seg</f>
        <v>0.570957350878296</v>
      </c>
      <c r="L18102" s="12" t="s">
        <v>1059</v>
      </c>
    </row>
    <row r="18103" customFormat="false" ht="17.15" hidden="false" customHeight="false" outlineLevel="0" collapsed="false">
      <c r="A18103" s="0" t="s">
        <v>880</v>
      </c>
      <c r="B18103" s="0" t="s">
        <v>98</v>
      </c>
      <c r="D18103" s="6" t="n">
        <f aca="false">Q!L21</f>
        <v>110.814</v>
      </c>
      <c r="E18103" s="6" t="n">
        <f aca="false">Q!M21</f>
        <v>136.365</v>
      </c>
      <c r="F18103" s="6" t="n">
        <f aca="false">Q!$I$21+(Sens!F18102*(Sens!F18073-Sens!F18036)+Sens!F18036-(Sens!F18038+Sens!F18039+Sens!F18040)-Sens!F18054-Sens!F18137)*(Sens!F18073-Q!$I$5)/Sens!F18073</f>
        <v>158.110234156687</v>
      </c>
      <c r="G18103" s="6" t="n">
        <f aca="false">(Sens!G18102*(Sens!G18073-Sens!G18036)+Sens!G18036-(Sens!G18038+Sens!G18039+Sens!G18040)-Sens!G18054-Sens!G18137)</f>
        <v>161.288737768095</v>
      </c>
      <c r="H18103" s="6" t="n">
        <f aca="false">(Sens!H18102*(Sens!H18073-Sens!H18036)+Sens!H18036-(Sens!H18038+Sens!H18039+Sens!H18040)-Sens!H18054-Sens!H18137)</f>
        <v>162.750449226018</v>
      </c>
      <c r="I18103" s="6" t="n">
        <f aca="false">(Sens!I18102*(Sens!I18073-Sens!I18036)+Sens!I18036-(Sens!I18038+Sens!I18039+Sens!I18040)-Sens!I18054-Sens!I18137)</f>
        <v>172.031140185604</v>
      </c>
      <c r="J18103" s="6" t="n">
        <f aca="false">(Sens!J18102*(Sens!J18073-Sens!J18036)+Sens!J18036-(Sens!J18038+Sens!J18039+Sens!J18040)-Sens!J18054-Sens!J18137)</f>
        <v>182.855335729531</v>
      </c>
      <c r="K18103" s="6" t="n">
        <f aca="false">(Sens!K18102*(Sens!K18073-Sens!K18036)+Sens!K18036-(Sens!K18038+Sens!K18039+Sens!K18040)-Sens!K18054-Sens!K18137)</f>
        <v>195.088404864353</v>
      </c>
      <c r="L18103" s="1" t="s">
        <v>1060</v>
      </c>
    </row>
    <row r="18104" customFormat="false" ht="17.15" hidden="false" customHeight="false" outlineLevel="0" collapsed="false">
      <c r="A18104" s="0" t="s">
        <v>1061</v>
      </c>
      <c r="B18104" s="0" t="s">
        <v>168</v>
      </c>
      <c r="E18104" s="7" t="n">
        <f aca="false">Q!M22/Q!M12</f>
        <v>0.296207935710698</v>
      </c>
      <c r="F18104" s="7" t="n">
        <f aca="false">Sens!$E$18104+dm_seg</f>
        <v>0.296207935710698</v>
      </c>
      <c r="G18104" s="7" t="n">
        <f aca="false">Sens!$E$18104+dm_seg</f>
        <v>0.296207935710698</v>
      </c>
      <c r="H18104" s="7" t="n">
        <f aca="false">Sens!$E$18104+dm_seg</f>
        <v>0.296207935710698</v>
      </c>
      <c r="I18104" s="7" t="n">
        <f aca="false">Sens!$E$18104+dm_seg</f>
        <v>0.296207935710698</v>
      </c>
      <c r="J18104" s="7" t="n">
        <f aca="false">Sens!$E$18104+dm_seg</f>
        <v>0.296207935710698</v>
      </c>
      <c r="K18104" s="7" t="n">
        <f aca="false">Sens!$E$18104+dm_seg</f>
        <v>0.296207935710698</v>
      </c>
      <c r="L18104" s="12" t="s">
        <v>1062</v>
      </c>
    </row>
    <row r="18105" customFormat="false" ht="17.15" hidden="false" customHeight="false" outlineLevel="0" collapsed="false">
      <c r="A18105" s="0" t="s">
        <v>882</v>
      </c>
      <c r="B18105" s="0" t="s">
        <v>98</v>
      </c>
      <c r="D18105" s="6" t="n">
        <f aca="false">Q!L22</f>
        <v>17.714</v>
      </c>
      <c r="E18105" s="6" t="n">
        <f aca="false">Q!M22</f>
        <v>18.872</v>
      </c>
      <c r="F18105" s="6" t="n">
        <f aca="false">Q!$I$22+(Sens!F18080-Q!$I$12)*Sens!F18104</f>
        <v>19.8174315512051</v>
      </c>
      <c r="G18105" s="6" t="n">
        <f aca="false">Sens!G18080*Sens!G18104</f>
        <v>19.6313799703815</v>
      </c>
      <c r="H18105" s="6" t="n">
        <f aca="false">Sens!H18080*Sens!H18104</f>
        <v>20.3536242825865</v>
      </c>
      <c r="I18105" s="6" t="n">
        <f aca="false">Sens!I18080*Sens!I18104</f>
        <v>21.1920899239745</v>
      </c>
      <c r="J18105" s="6" t="n">
        <f aca="false">Sens!J18080*Sens!J18104</f>
        <v>22.1288166207045</v>
      </c>
      <c r="K18105" s="6" t="n">
        <f aca="false">Sens!K18080*Sens!K18104</f>
        <v>23.1493653905379</v>
      </c>
      <c r="L18105" s="12" t="s">
        <v>1063</v>
      </c>
    </row>
    <row r="18106" customFormat="false" ht="15" hidden="false" customHeight="false" outlineLevel="0" collapsed="false">
      <c r="A18106" s="1" t="s">
        <v>1064</v>
      </c>
      <c r="B18106" s="0" t="s">
        <v>98</v>
      </c>
      <c r="D18106" s="6" t="n">
        <f aca="false">Sens!D18103+Sens!D18105</f>
        <v>128.528</v>
      </c>
      <c r="E18106" s="6" t="n">
        <f aca="false">Sens!E18103+Sens!E18105</f>
        <v>155.237</v>
      </c>
      <c r="F18106" s="6" t="n">
        <f aca="false">Sens!F18103+Sens!F18105</f>
        <v>177.927665707892</v>
      </c>
      <c r="G18106" s="6" t="n">
        <f aca="false">Sens!G18103+Sens!G18105</f>
        <v>180.920117738477</v>
      </c>
      <c r="H18106" s="6" t="n">
        <f aca="false">Sens!H18103+Sens!H18105</f>
        <v>183.104073508605</v>
      </c>
      <c r="I18106" s="6" t="n">
        <f aca="false">Sens!I18103+Sens!I18105</f>
        <v>193.223230109579</v>
      </c>
      <c r="J18106" s="6" t="n">
        <f aca="false">Sens!J18103+Sens!J18105</f>
        <v>204.984152350235</v>
      </c>
      <c r="K18106" s="6" t="n">
        <f aca="false">Sens!K18103+Sens!K18105</f>
        <v>218.237770254891</v>
      </c>
    </row>
    <row r="18107" customFormat="false" ht="15" hidden="false" customHeight="false" outlineLevel="0" collapsed="false">
      <c r="A18107" s="26" t="s">
        <v>1065</v>
      </c>
      <c r="B18107" s="31" t="s">
        <v>98</v>
      </c>
      <c r="C18107" s="31"/>
      <c r="D18107" s="27" t="n">
        <f aca="false">Sens!D18106-Q!L23</f>
        <v>0</v>
      </c>
      <c r="E18107" s="27" t="n">
        <f aca="false">Sens!E18106-Q!M23</f>
        <v>0</v>
      </c>
      <c r="F18107" s="31"/>
      <c r="G18107" s="31"/>
      <c r="H18107" s="31"/>
      <c r="I18107" s="31"/>
      <c r="J18107" s="31"/>
      <c r="K18107" s="31"/>
    </row>
    <row r="18108" customFormat="false" ht="15" hidden="false" customHeight="false" outlineLevel="0" collapsed="false">
      <c r="A18108" s="1" t="s">
        <v>1066</v>
      </c>
      <c r="B18108" s="0" t="s">
        <v>168</v>
      </c>
      <c r="D18108" s="7" t="n">
        <f aca="false">Sens!D18106/Sens!D18099</f>
        <v>0.456219562408598</v>
      </c>
      <c r="E18108" s="7" t="n">
        <f aca="false">Sens!E18106/Sens!E18099</f>
        <v>0.467808184089272</v>
      </c>
      <c r="F18108" s="7" t="n">
        <f aca="false">Sens!F18106/Sens!F18099</f>
        <v>0.451080388929191</v>
      </c>
      <c r="G18108" s="7" t="n">
        <f aca="false">Sens!G18106/Sens!G18099</f>
        <v>0.394219508589333</v>
      </c>
      <c r="H18108" s="7" t="n">
        <f aca="false">Sens!H18106/Sens!H18099</f>
        <v>0.352626221331819</v>
      </c>
      <c r="I18108" s="7" t="n">
        <f aca="false">Sens!I18106/Sens!I18099</f>
        <v>0.331863665419698</v>
      </c>
      <c r="J18108" s="7" t="n">
        <f aca="false">Sens!J18106/Sens!J18099</f>
        <v>0.32274678227682</v>
      </c>
      <c r="K18108" s="7" t="n">
        <f aca="false">Sens!K18106/Sens!K18099</f>
        <v>0.3217494512023</v>
      </c>
    </row>
    <row r="18109" customFormat="false" ht="17.15" hidden="false" customHeight="false" outlineLevel="0" collapsed="false">
      <c r="A18109" s="1" t="s">
        <v>1067</v>
      </c>
      <c r="B18109" s="0" t="s">
        <v>98</v>
      </c>
      <c r="F18109" s="6" t="n">
        <f aca="false">Sens!F18124</f>
        <v>10.5962787979473</v>
      </c>
      <c r="G18109" s="6" t="n">
        <f aca="false">Sens!G18124</f>
        <v>27.844646674932</v>
      </c>
      <c r="H18109" s="6" t="n">
        <f aca="false">Sens!H18124</f>
        <v>46.566205501382</v>
      </c>
      <c r="I18109" s="6" t="n">
        <f aca="false">Sens!I18124</f>
        <v>63.2717778126444</v>
      </c>
      <c r="J18109" s="6" t="n">
        <f aca="false">Sens!J18124</f>
        <v>74.9061222882009</v>
      </c>
      <c r="K18109" s="6" t="n">
        <f aca="false">Sens!K18124</f>
        <v>81.6395437180232</v>
      </c>
      <c r="L18109" s="1" t="s">
        <v>1068</v>
      </c>
    </row>
    <row r="18110" customFormat="false" ht="17.15" hidden="false" customHeight="false" outlineLevel="0" collapsed="false">
      <c r="A18110" s="1" t="s">
        <v>1069</v>
      </c>
      <c r="B18110" s="0" t="s">
        <v>98</v>
      </c>
      <c r="D18110" s="6" t="n">
        <f aca="false">Sens!D18106</f>
        <v>128.528</v>
      </c>
      <c r="E18110" s="6" t="n">
        <f aca="false">Sens!E18106</f>
        <v>155.237</v>
      </c>
      <c r="F18110" s="6" t="n">
        <f aca="false">Sens!F18106+Sens!F18109</f>
        <v>188.523944505839</v>
      </c>
      <c r="G18110" s="6" t="n">
        <f aca="false">Sens!G18106+Sens!G18109</f>
        <v>208.764764413409</v>
      </c>
      <c r="H18110" s="6" t="n">
        <f aca="false">Sens!H18106+Sens!H18109</f>
        <v>229.670279009987</v>
      </c>
      <c r="I18110" s="6" t="n">
        <f aca="false">Sens!I18106+Sens!I18109</f>
        <v>256.495007922223</v>
      </c>
      <c r="J18110" s="6" t="n">
        <f aca="false">Sens!J18106+Sens!J18109</f>
        <v>279.890274638436</v>
      </c>
      <c r="K18110" s="6" t="n">
        <f aca="false">Sens!K18106+Sens!K18109</f>
        <v>299.877313972915</v>
      </c>
    </row>
    <row r="18111" customFormat="false" ht="17.15" hidden="false" customHeight="false" outlineLevel="0" collapsed="false">
      <c r="A18111" s="1" t="s">
        <v>1070</v>
      </c>
      <c r="B18111" s="0" t="s">
        <v>98</v>
      </c>
      <c r="E18111" s="6" t="n">
        <f aca="false">Sens!E18054</f>
        <v>16.3054059770833</v>
      </c>
      <c r="F18111" s="6" t="n">
        <f aca="false">Sens!F18054</f>
        <v>34.5793144783516</v>
      </c>
      <c r="G18111" s="6" t="n">
        <f aca="false">Sens!G18054</f>
        <v>60.7344906522989</v>
      </c>
      <c r="H18111" s="6" t="n">
        <f aca="false">Sens!H18054</f>
        <v>89.1000906614457</v>
      </c>
      <c r="I18111" s="6" t="n">
        <f aca="false">Sens!I18054</f>
        <v>114.231009694548</v>
      </c>
      <c r="J18111" s="6" t="n">
        <f aca="false">Sens!J18054</f>
        <v>132.015673049596</v>
      </c>
      <c r="K18111" s="6" t="n">
        <f aca="false">Sens!K18054</f>
        <v>143.012669550934</v>
      </c>
    </row>
    <row r="18112" customFormat="false" ht="17.15" hidden="false" customHeight="false" outlineLevel="0" collapsed="false">
      <c r="A18112" s="1" t="s">
        <v>1071</v>
      </c>
      <c r="B18112" s="0" t="s">
        <v>98</v>
      </c>
      <c r="E18112" s="6" t="n">
        <f aca="false">Sens!E18136</f>
        <v>22.2285940229167</v>
      </c>
      <c r="F18112" s="6" t="n">
        <f aca="false">Sens!F18136</f>
        <v>23.5883405279552</v>
      </c>
      <c r="G18112" s="6" t="n">
        <f aca="false">Sens!G18136</f>
        <v>25.347608709247</v>
      </c>
      <c r="H18112" s="6" t="n">
        <f aca="false">Sens!H18136</f>
        <v>27.4750934833125</v>
      </c>
      <c r="I18112" s="6" t="n">
        <f aca="false">Sens!I18136</f>
        <v>29.9140127982598</v>
      </c>
      <c r="J18112" s="6" t="n">
        <f aca="false">Sens!J18136</f>
        <v>32.5895147654561</v>
      </c>
      <c r="K18112" s="6" t="n">
        <f aca="false">Sens!K18136</f>
        <v>35.4171979437481</v>
      </c>
    </row>
    <row r="18113" customFormat="false" ht="17.15" hidden="false" customHeight="false" outlineLevel="0" collapsed="false">
      <c r="A18113" s="1" t="s">
        <v>1072</v>
      </c>
      <c r="B18113" s="0" t="s">
        <v>98</v>
      </c>
      <c r="D18113" s="6" t="n">
        <f aca="false">Q!L27</f>
        <v>-4.901</v>
      </c>
      <c r="E18113" s="6" t="n">
        <f aca="false">Q!M27</f>
        <v>10.697</v>
      </c>
      <c r="F18113" s="6" t="n">
        <f aca="false">Q!$I$27+oie_f*(q_per_yr-1)/q_per_yr</f>
        <v>-0.862</v>
      </c>
      <c r="G18113" s="6" t="n">
        <f aca="false">oie_f</f>
        <v>-1.2</v>
      </c>
      <c r="H18113" s="6" t="n">
        <f aca="false">oie_f</f>
        <v>-1.2</v>
      </c>
      <c r="I18113" s="6" t="n">
        <f aca="false">oie_f</f>
        <v>-1.2</v>
      </c>
      <c r="J18113" s="6" t="n">
        <f aca="false">oie_f</f>
        <v>-1.2</v>
      </c>
      <c r="K18113" s="6" t="n">
        <f aca="false">oie_f</f>
        <v>-1.2</v>
      </c>
      <c r="L18113" s="12" t="s">
        <v>1073</v>
      </c>
    </row>
    <row r="18114" customFormat="false" ht="15" hidden="false" customHeight="false" outlineLevel="0" collapsed="false">
      <c r="A18114" s="1" t="s">
        <v>1074</v>
      </c>
      <c r="B18114" s="0" t="s">
        <v>98</v>
      </c>
      <c r="D18114" s="6" t="n">
        <f aca="false">Sens!D18106+Sens!D18113</f>
        <v>123.627</v>
      </c>
      <c r="E18114" s="6" t="n">
        <f aca="false">Sens!E18106+Sens!E18113</f>
        <v>165.934</v>
      </c>
      <c r="F18114" s="6" t="n">
        <f aca="false">Sens!F18106+Sens!F18113</f>
        <v>177.065665707892</v>
      </c>
      <c r="G18114" s="6" t="n">
        <f aca="false">Sens!G18106+Sens!G18113</f>
        <v>179.720117738477</v>
      </c>
      <c r="H18114" s="6" t="n">
        <f aca="false">Sens!H18106+Sens!H18113</f>
        <v>181.904073508605</v>
      </c>
      <c r="I18114" s="6" t="n">
        <f aca="false">Sens!I18106+Sens!I18113</f>
        <v>192.023230109579</v>
      </c>
      <c r="J18114" s="6" t="n">
        <f aca="false">Sens!J18106+Sens!J18113</f>
        <v>203.784152350235</v>
      </c>
      <c r="K18114" s="6" t="n">
        <f aca="false">Sens!K18106+Sens!K18113</f>
        <v>217.037770254891</v>
      </c>
    </row>
    <row r="18115" customFormat="false" ht="15" hidden="false" customHeight="false" outlineLevel="0" collapsed="false">
      <c r="A18115" s="1" t="s">
        <v>1075</v>
      </c>
      <c r="B18115" s="0" t="s">
        <v>98</v>
      </c>
      <c r="D18115" s="6" t="n">
        <f aca="false">Q!L29</f>
        <v>21.795</v>
      </c>
      <c r="E18115" s="6" t="n">
        <f aca="false">Q!M29</f>
        <v>32.185</v>
      </c>
      <c r="F18115" s="6" t="n">
        <f aca="false">Q!$I$29+(Sens!F18114-Q!$I$28)*tax_f</f>
        <v>35.5465331415784</v>
      </c>
      <c r="G18115" s="6" t="n">
        <f aca="false">Sens!G18114*tax_f</f>
        <v>35.9440235476954</v>
      </c>
      <c r="H18115" s="6" t="n">
        <f aca="false">Sens!H18114*tax_f</f>
        <v>36.380814701721</v>
      </c>
      <c r="I18115" s="6" t="n">
        <f aca="false">Sens!I18114*tax_f</f>
        <v>38.4046460219157</v>
      </c>
      <c r="J18115" s="6" t="n">
        <f aca="false">Sens!J18114*tax_f</f>
        <v>40.756830470047</v>
      </c>
      <c r="K18115" s="6" t="n">
        <f aca="false">Sens!K18114*tax_f</f>
        <v>43.4075540509783</v>
      </c>
    </row>
    <row r="18116" customFormat="false" ht="15" hidden="false" customHeight="false" outlineLevel="0" collapsed="false">
      <c r="A18116" s="1" t="s">
        <v>1076</v>
      </c>
      <c r="B18116" s="0" t="s">
        <v>98</v>
      </c>
      <c r="D18116" s="6" t="n">
        <f aca="false">Sens!D18114-Sens!D18115</f>
        <v>101.832</v>
      </c>
      <c r="E18116" s="6" t="n">
        <f aca="false">Sens!E18114-Sens!E18115</f>
        <v>133.749</v>
      </c>
      <c r="F18116" s="6" t="n">
        <f aca="false">Sens!F18114-Sens!F18115</f>
        <v>141.519132566314</v>
      </c>
      <c r="G18116" s="6" t="n">
        <f aca="false">Sens!G18114-Sens!G18115</f>
        <v>143.776094190781</v>
      </c>
      <c r="H18116" s="6" t="n">
        <f aca="false">Sens!H18114-Sens!H18115</f>
        <v>145.523258806884</v>
      </c>
      <c r="I18116" s="6" t="n">
        <f aca="false">Sens!I18114-Sens!I18115</f>
        <v>153.618584087663</v>
      </c>
      <c r="J18116" s="6" t="n">
        <f aca="false">Sens!J18114-Sens!J18115</f>
        <v>163.027321880188</v>
      </c>
      <c r="K18116" s="6" t="n">
        <f aca="false">Sens!K18114-Sens!K18115</f>
        <v>173.630216203913</v>
      </c>
    </row>
    <row r="18117" customFormat="false" ht="17.15" hidden="false" customHeight="false" outlineLevel="0" collapsed="false">
      <c r="A18117" s="1" t="s">
        <v>1077</v>
      </c>
      <c r="B18117" s="1" t="s">
        <v>81</v>
      </c>
      <c r="D18117" s="15" t="n">
        <f aca="false">Q!L31</f>
        <v>7.465</v>
      </c>
      <c r="E18117" s="15" t="n">
        <f aca="false">Q!M31</f>
        <v>7.453</v>
      </c>
      <c r="F18117" s="15" t="n">
        <f aca="false">Sens!F18161</f>
        <v>7.4735</v>
      </c>
      <c r="G18117" s="15" t="n">
        <f aca="false">Sens!G18161</f>
        <v>7.5185</v>
      </c>
      <c r="H18117" s="15" t="n">
        <f aca="false">Sens!H18161</f>
        <v>7.5635</v>
      </c>
      <c r="I18117" s="15" t="n">
        <f aca="false">Sens!I18161</f>
        <v>7.59248142502667</v>
      </c>
      <c r="J18117" s="15" t="n">
        <f aca="false">Sens!J18161</f>
        <v>7.60663083618914</v>
      </c>
      <c r="K18117" s="15" t="n">
        <f aca="false">Sens!K18161</f>
        <v>7.62306547615439</v>
      </c>
    </row>
    <row r="18118" customFormat="false" ht="17.15" hidden="false" customHeight="false" outlineLevel="0" collapsed="false">
      <c r="A18118" s="0" t="s">
        <v>1078</v>
      </c>
      <c r="B18118" s="0" t="s">
        <v>75</v>
      </c>
      <c r="D18118" s="8" t="n">
        <f aca="false">Sens!D18116/Sens!D18117</f>
        <v>13.641259209645</v>
      </c>
      <c r="E18118" s="8" t="n">
        <f aca="false">Sens!E18116/Sens!E18117</f>
        <v>17.9456594659869</v>
      </c>
      <c r="F18118" s="8" t="n">
        <f aca="false">Sens!F18116/Sens!F18117</f>
        <v>18.9361253182998</v>
      </c>
      <c r="G18118" s="8" t="n">
        <f aca="false">Sens!G18116/Sens!G18117</f>
        <v>19.1229758849214</v>
      </c>
      <c r="H18118" s="8" t="n">
        <f aca="false">Sens!H18116/Sens!H18117</f>
        <v>19.2402008074151</v>
      </c>
      <c r="I18118" s="8" t="n">
        <f aca="false">Sens!I18116/Sens!I18117</f>
        <v>20.2329878057125</v>
      </c>
      <c r="J18118" s="8" t="n">
        <f aca="false">Sens!J18116/Sens!J18117</f>
        <v>21.4322642167111</v>
      </c>
      <c r="K18118" s="8" t="n">
        <f aca="false">Sens!K18116/Sens!K18117</f>
        <v>22.7769545922232</v>
      </c>
      <c r="L18118" s="1" t="s">
        <v>1079</v>
      </c>
    </row>
    <row r="18119" customFormat="false" ht="17.15" hidden="false" customHeight="false" outlineLevel="0" collapsed="false">
      <c r="A18119" s="1" t="s">
        <v>1080</v>
      </c>
      <c r="B18119" s="0" t="s">
        <v>98</v>
      </c>
      <c r="D18119" s="6" t="n">
        <f aca="false">Sens!D18116</f>
        <v>101.832</v>
      </c>
      <c r="E18119" s="6" t="n">
        <f aca="false">Sens!E18116</f>
        <v>133.749</v>
      </c>
      <c r="F18119" s="6" t="n">
        <f aca="false">Sens!F18116+Sens!F18109*(1-tax_f)</f>
        <v>149.996155604671</v>
      </c>
      <c r="G18119" s="6" t="n">
        <f aca="false">Sens!G18116+Sens!G18109*(1-tax_f)</f>
        <v>166.051811530727</v>
      </c>
      <c r="H18119" s="6" t="n">
        <f aca="false">Sens!H18116+Sens!H18109*(1-tax_f)</f>
        <v>182.776223207989</v>
      </c>
      <c r="I18119" s="6" t="n">
        <f aca="false">Sens!I18116+Sens!I18109*(1-tax_f)</f>
        <v>204.236006337778</v>
      </c>
      <c r="J18119" s="6" t="n">
        <f aca="false">Sens!J18116+Sens!J18109*(1-tax_f)</f>
        <v>222.952219710749</v>
      </c>
      <c r="K18119" s="6" t="n">
        <f aca="false">Sens!K18116+Sens!K18109*(1-tax_f)</f>
        <v>238.941851178332</v>
      </c>
    </row>
    <row r="18120" customFormat="false" ht="17.15" hidden="false" customHeight="false" outlineLevel="0" collapsed="false">
      <c r="A18120" s="0" t="s">
        <v>1081</v>
      </c>
      <c r="B18120" s="0" t="s">
        <v>75</v>
      </c>
      <c r="D18120" s="8" t="n">
        <f aca="false">Sens!D18119/Sens!D18117</f>
        <v>13.641259209645</v>
      </c>
      <c r="E18120" s="8" t="n">
        <f aca="false">Sens!E18119/Sens!E18117</f>
        <v>17.9456594659869</v>
      </c>
      <c r="F18120" s="8" t="n">
        <f aca="false">Sens!F18119/Sens!F18117</f>
        <v>20.0704028373147</v>
      </c>
      <c r="G18120" s="8" t="n">
        <f aca="false">Sens!G18119/Sens!G18117</f>
        <v>22.0857633212379</v>
      </c>
      <c r="H18120" s="8" t="n">
        <f aca="false">Sens!H18119/Sens!H18117</f>
        <v>24.1655613417055</v>
      </c>
      <c r="I18120" s="8" t="n">
        <f aca="false">Sens!I18119/Sens!I18117</f>
        <v>26.8997702996766</v>
      </c>
      <c r="J18120" s="8" t="n">
        <f aca="false">Sens!J18119/Sens!J18117</f>
        <v>29.3102458252655</v>
      </c>
      <c r="K18120" s="8" t="n">
        <f aca="false">Sens!K18119/Sens!K18117</f>
        <v>31.3445885944129</v>
      </c>
      <c r="L18120" s="1" t="s">
        <v>1082</v>
      </c>
    </row>
    <row r="18121" customFormat="false" ht="17.15" hidden="false" customHeight="false" outlineLevel="0" collapsed="false">
      <c r="A18121" s="0" t="s">
        <v>1083</v>
      </c>
      <c r="B18121" s="0" t="s">
        <v>168</v>
      </c>
      <c r="E18121" s="7" t="n">
        <f aca="false">Sens!E18120/Sens!D18120-1</f>
        <v>0.315542736208578</v>
      </c>
      <c r="F18121" s="7" t="n">
        <f aca="false">Sens!F18120/Sens!E18120-1</f>
        <v>0.118398734543858</v>
      </c>
      <c r="G18121" s="7" t="n">
        <f aca="false">Sens!G18120/Sens!F18120-1</f>
        <v>0.100414550732198</v>
      </c>
      <c r="H18121" s="7" t="n">
        <f aca="false">Sens!H18120/Sens!G18120-1</f>
        <v>0.0941691708915331</v>
      </c>
      <c r="I18121" s="7" t="n">
        <f aca="false">Sens!I18120/Sens!H18120-1</f>
        <v>0.113144855991916</v>
      </c>
      <c r="J18121" s="7" t="n">
        <f aca="false">Sens!J18120/Sens!I18120-1</f>
        <v>0.0896095207778762</v>
      </c>
      <c r="K18121" s="7" t="n">
        <f aca="false">Sens!K18120/Sens!J18120-1</f>
        <v>0.0694072230330376</v>
      </c>
    </row>
    <row r="18122" customFormat="false" ht="17.15" hidden="false" customHeight="false" outlineLevel="0" collapsed="false">
      <c r="A18122" s="0" t="s">
        <v>1003</v>
      </c>
      <c r="B18122" s="0" t="s">
        <v>98</v>
      </c>
      <c r="E18122" s="6" t="n">
        <f aca="false">Sens!E18063</f>
        <v>5.25</v>
      </c>
      <c r="F18122" s="6" t="n">
        <f aca="false">Sens!F18063</f>
        <v>10.5</v>
      </c>
      <c r="G18122" s="6" t="n">
        <f aca="false">Sens!G18063</f>
        <v>13.5</v>
      </c>
      <c r="H18122" s="6" t="n">
        <f aca="false">Sens!H18063</f>
        <v>16.5</v>
      </c>
      <c r="I18122" s="6" t="n">
        <f aca="false">Sens!I18063</f>
        <v>18.75</v>
      </c>
      <c r="J18122" s="6" t="n">
        <f aca="false">Sens!J18063</f>
        <v>20.25</v>
      </c>
      <c r="K18122" s="6" t="n">
        <f aca="false">Sens!K18063</f>
        <v>21.75</v>
      </c>
    </row>
    <row r="18123" customFormat="false" ht="17.15" hidden="false" customHeight="false" outlineLevel="0" collapsed="false">
      <c r="A18123" s="1" t="s">
        <v>1004</v>
      </c>
      <c r="B18123" s="0" t="s">
        <v>98</v>
      </c>
      <c r="F18123" s="6" t="n">
        <f aca="false">MAX(0,((Sens!E18023+Sens!F18023)/2-(shadow_base*(Sens!$D$18023+Sens!$E$18023)/2+(1-shadow_base)*Sens!$E$18023))*Sens!F18032/1000-(Sens!F18122-Sens!$E$18122)*Sens!F18102)</f>
        <v>10.5962787979473</v>
      </c>
      <c r="G18123" s="6" t="n">
        <f aca="false">MAX(0,((Sens!F18023+Sens!G18023)/2-(shadow_base*(Sens!$D$18023+Sens!$E$18023)/2+(1-shadow_base)*Sens!$E$18023))*Sens!G18032/1000-(Sens!G18122-Sens!$E$18122)*Sens!G18102)</f>
        <v>27.844646674932</v>
      </c>
      <c r="H18123" s="6" t="n">
        <f aca="false">MAX(0,((Sens!G18023+Sens!H18023)/2-(shadow_base*(Sens!$D$18023+Sens!$E$18023)/2+(1-shadow_base)*Sens!$E$18023))*Sens!H18032/1000-(Sens!H18122-Sens!$E$18122)*Sens!H18102)</f>
        <v>46.566205501382</v>
      </c>
      <c r="I18123" s="6" t="n">
        <f aca="false">MAX(0,((Sens!H18023+Sens!I18023)/2-(shadow_base*(Sens!$D$18023+Sens!$E$18023)/2+(1-shadow_base)*Sens!$E$18023))*Sens!I18032/1000-(Sens!I18122-Sens!$E$18122)*Sens!I18102)</f>
        <v>63.2717778126444</v>
      </c>
      <c r="J18123" s="6" t="n">
        <f aca="false">MAX(0,((Sens!I18023+Sens!J18023)/2-(shadow_base*(Sens!$D$18023+Sens!$E$18023)/2+(1-shadow_base)*Sens!$E$18023))*Sens!J18032/1000-(Sens!J18122-Sens!$E$18122)*Sens!J18102)</f>
        <v>74.9061222882009</v>
      </c>
      <c r="K18123" s="6" t="n">
        <f aca="false">MAX(0,((Sens!J18023+Sens!K18023)/2-(shadow_base*(Sens!$D$18023+Sens!$E$18023)/2+(1-shadow_base)*Sens!$E$18023))*Sens!K18032/1000-(Sens!K18122-Sens!$E$18122)*Sens!K18102)</f>
        <v>81.6395437180232</v>
      </c>
      <c r="L18123" s="1" t="s">
        <v>1005</v>
      </c>
    </row>
    <row r="18124" customFormat="false" ht="17.15" hidden="false" customHeight="false" outlineLevel="0" collapsed="false">
      <c r="A18124" s="1" t="s">
        <v>1006</v>
      </c>
      <c r="B18124" s="0" t="s">
        <v>98</v>
      </c>
      <c r="F18124" s="6" t="n">
        <f aca="false">IF(internal_ai_reading=2,1,0)*Sens!F18123</f>
        <v>10.5962787979473</v>
      </c>
      <c r="G18124" s="6" t="n">
        <f aca="false">IF(internal_ai_reading=2,1,0)*Sens!G18123</f>
        <v>27.844646674932</v>
      </c>
      <c r="H18124" s="6" t="n">
        <f aca="false">IF(internal_ai_reading=2,1,0)*Sens!H18123</f>
        <v>46.566205501382</v>
      </c>
      <c r="I18124" s="6" t="n">
        <f aca="false">IF(internal_ai_reading=2,1,0)*Sens!I18123</f>
        <v>63.2717778126444</v>
      </c>
      <c r="J18124" s="6" t="n">
        <f aca="false">IF(internal_ai_reading=2,1,0)*Sens!J18123</f>
        <v>74.9061222882009</v>
      </c>
      <c r="K18124" s="6" t="n">
        <f aca="false">IF(internal_ai_reading=2,1,0)*Sens!K18123</f>
        <v>81.6395437180232</v>
      </c>
    </row>
    <row r="18125" customFormat="false" ht="17.15" hidden="false" customHeight="false" outlineLevel="0" collapsed="false">
      <c r="A18125" s="0" t="s">
        <v>1007</v>
      </c>
      <c r="B18125" s="0" t="s">
        <v>98</v>
      </c>
      <c r="F18125" s="6" t="n">
        <f aca="false">Sens!F18042+Sens!F18122*Sens!F18102+Sens!F18124-Sens!F18043-Sens!F18054</f>
        <v>10.3853806853618</v>
      </c>
      <c r="G18125" s="6" t="n">
        <f aca="false">Sens!G18042+Sens!G18122*Sens!G18102+Sens!G18124-Sens!G18043-Sens!G18054</f>
        <v>16.4389313105741</v>
      </c>
      <c r="H18125" s="6" t="n">
        <f aca="false">Sens!H18042+Sens!H18122*Sens!H18102+Sens!H18124-Sens!H18043-Sens!H18054</f>
        <v>17.135416308873</v>
      </c>
      <c r="I18125" s="6" t="n">
        <f aca="false">Sens!I18042+Sens!I18122*Sens!I18102+Sens!I18124-Sens!I18043-Sens!I18054</f>
        <v>24.1293804008657</v>
      </c>
      <c r="J18125" s="6" t="n">
        <f aca="false">Sens!J18042+Sens!J18122*Sens!J18102+Sens!J18124-Sens!J18043-Sens!J18054</f>
        <v>28.8545659869181</v>
      </c>
      <c r="K18125" s="6" t="n">
        <f aca="false">Sens!K18042+Sens!K18122*Sens!K18102+Sens!K18124-Sens!K18043-Sens!K18054</f>
        <v>32.13747485251</v>
      </c>
    </row>
    <row r="18126" customFormat="false" ht="17.15" hidden="false" customHeight="false" outlineLevel="0" collapsed="false">
      <c r="A18126" s="0" t="s">
        <v>1008</v>
      </c>
      <c r="B18126" s="0" t="s">
        <v>98</v>
      </c>
      <c r="E18126" s="6" t="n">
        <f aca="false">Sens!E18022*(cxit_open+self_build*tk_cxfac)/1000*ai_net_open</f>
        <v>126.6980382</v>
      </c>
      <c r="F18126" s="6" t="n">
        <f aca="false">Sens!E18126+Sens!F18051-Sens!F18054</f>
        <v>260.572627763768</v>
      </c>
      <c r="G18126" s="6" t="n">
        <f aca="false">Sens!F18126+Sens!G18051-Sens!G18054</f>
        <v>391.782612760517</v>
      </c>
      <c r="H18126" s="6" t="n">
        <f aca="false">Sens!G18126+Sens!H18051-Sens!H18054</f>
        <v>499.488526163584</v>
      </c>
      <c r="I18126" s="6" t="n">
        <f aca="false">Sens!H18126+Sens!I18051-Sens!I18054</f>
        <v>553.872350090646</v>
      </c>
      <c r="J18126" s="6" t="n">
        <f aca="false">Sens!I18126+Sens!J18051-Sens!J18054</f>
        <v>550.78660823699</v>
      </c>
      <c r="K18126" s="6" t="n">
        <f aca="false">Sens!J18126+Sens!K18051-Sens!K18054</f>
        <v>526.736791750789</v>
      </c>
      <c r="L18126" s="1" t="s">
        <v>1009</v>
      </c>
    </row>
    <row r="18127" customFormat="false" ht="17.15" hidden="false" customHeight="false" outlineLevel="0" collapsed="false">
      <c r="A18127" s="0" t="s">
        <v>1010</v>
      </c>
      <c r="B18127" s="0" t="s">
        <v>168</v>
      </c>
      <c r="F18127" s="7" t="n">
        <f aca="false">Sens!F18125*(1-tax_f)/((Sens!E18126+Sens!F18126)/2)</f>
        <v>0.0429069654816909</v>
      </c>
      <c r="G18127" s="7" t="n">
        <f aca="false">Sens!G18125*(1-tax_f)/((Sens!F18126+Sens!G18126)/2)</f>
        <v>0.0403189680453549</v>
      </c>
      <c r="H18127" s="7" t="n">
        <f aca="false">Sens!H18125*(1-tax_f)/((Sens!G18126+Sens!H18126)/2)</f>
        <v>0.0307613080877867</v>
      </c>
      <c r="I18127" s="7" t="n">
        <f aca="false">Sens!I18125*(1-tax_f)/((Sens!H18126+Sens!I18126)/2)</f>
        <v>0.0366512650238846</v>
      </c>
      <c r="J18127" s="7" t="n">
        <f aca="false">Sens!J18125*(1-tax_f)/((Sens!I18126+Sens!J18126)/2)</f>
        <v>0.0417932659044041</v>
      </c>
      <c r="K18127" s="7" t="n">
        <f aca="false">Sens!K18125*(1-tax_f)/((Sens!J18126+Sens!K18126)/2)</f>
        <v>0.0477205040415821</v>
      </c>
    </row>
    <row r="18128" customFormat="false" ht="17.15" hidden="false" customHeight="false" outlineLevel="0" collapsed="false">
      <c r="A18128" s="1" t="s">
        <v>1011</v>
      </c>
      <c r="B18128" s="0" t="s">
        <v>168</v>
      </c>
      <c r="F18128" s="7" t="n">
        <f aca="false">(Sens!F18125-Sens!F18124)*(1-tax_f)/((Sens!E18126+Sens!F18126)/2)</f>
        <v>-0.000871320783610466</v>
      </c>
      <c r="G18128" s="7" t="n">
        <f aca="false">(Sens!G18125-Sens!G18124)*(1-tax_f)/((Sens!F18126+Sens!G18126)/2)</f>
        <v>-0.0279742438618356</v>
      </c>
      <c r="H18128" s="7" t="n">
        <f aca="false">(Sens!H18125-Sens!H18124)*(1-tax_f)/((Sens!G18126+Sens!H18126)/2)</f>
        <v>-0.0528338242443913</v>
      </c>
      <c r="I18128" s="7" t="n">
        <f aca="false">(Sens!I18125-Sens!I18124)*(1-tax_f)/((Sens!H18126+Sens!I18126)/2)</f>
        <v>-0.059455251538819</v>
      </c>
      <c r="J18128" s="7" t="n">
        <f aca="false">(Sens!J18125-Sens!J18124)*(1-tax_f)/((Sens!I18126+Sens!J18126)/2)</f>
        <v>-0.0667015729394002</v>
      </c>
      <c r="K18128" s="7" t="n">
        <f aca="false">(Sens!K18125-Sens!K18124)*(1-tax_f)/((Sens!J18126+Sens!K18126)/2)</f>
        <v>-0.0735049560740113</v>
      </c>
    </row>
    <row r="18129" customFormat="false" ht="17.15" hidden="false" customHeight="false" outlineLevel="0" collapsed="false">
      <c r="A18129" s="1" t="s">
        <v>1012</v>
      </c>
      <c r="B18129" s="0" t="s">
        <v>168</v>
      </c>
      <c r="F18129" s="7" t="n">
        <f aca="false">(Sens!F18125-Sens!F18124+Sens!F18123)*(1-tax_f)/((Sens!E18126+Sens!F18126)/2)</f>
        <v>0.0429069654816909</v>
      </c>
      <c r="G18129" s="7" t="n">
        <f aca="false">(Sens!G18125-Sens!G18124+Sens!G18123)*(1-tax_f)/((Sens!F18126+Sens!G18126)/2)</f>
        <v>0.0403189680453549</v>
      </c>
      <c r="H18129" s="7" t="n">
        <f aca="false">(Sens!H18125-Sens!H18124+Sens!H18123)*(1-tax_f)/((Sens!G18126+Sens!H18126)/2)</f>
        <v>0.0307613080877867</v>
      </c>
      <c r="I18129" s="7" t="n">
        <f aca="false">(Sens!I18125-Sens!I18124+Sens!I18123)*(1-tax_f)/((Sens!H18126+Sens!I18126)/2)</f>
        <v>0.0366512650238846</v>
      </c>
      <c r="J18129" s="7" t="n">
        <f aca="false">(Sens!J18125-Sens!J18124+Sens!J18123)*(1-tax_f)/((Sens!I18126+Sens!J18126)/2)</f>
        <v>0.0417932659044041</v>
      </c>
      <c r="K18129" s="7" t="n">
        <f aca="false">(Sens!K18125-Sens!K18124+Sens!K18123)*(1-tax_f)/((Sens!J18126+Sens!K18126)/2)</f>
        <v>0.0477205040415821</v>
      </c>
    </row>
    <row r="18130" customFormat="false" ht="17.15" hidden="false" customHeight="false" outlineLevel="0" collapsed="false">
      <c r="A18130" s="1" t="s">
        <v>1013</v>
      </c>
      <c r="B18130" s="0" t="s">
        <v>168</v>
      </c>
      <c r="F18130" s="7" t="n">
        <f aca="false">Sens!F18055*(1-tax_f)/(Sens!F18041*(Sens!E18126+Sens!F18126)/2)</f>
        <v>0.098791430090569</v>
      </c>
      <c r="G18130" s="7" t="n">
        <f aca="false">Sens!G18055*(1-tax_f)/(Sens!G18041*(Sens!F18126+Sens!G18126)/2)</f>
        <v>0.0675308856427828</v>
      </c>
      <c r="H18130" s="7" t="n">
        <f aca="false">Sens!H18055*(1-tax_f)/(Sens!H18041*(Sens!G18126+Sens!H18126)/2)</f>
        <v>0.0388374979528754</v>
      </c>
      <c r="I18130" s="7" t="n">
        <f aca="false">Sens!I18055*(1-tax_f)/(Sens!I18041*(Sens!H18126+Sens!I18126)/2)</f>
        <v>0.0411035671771815</v>
      </c>
      <c r="J18130" s="7" t="n">
        <f aca="false">Sens!J18055*(1-tax_f)/(Sens!J18041*(Sens!I18126+Sens!J18126)/2)</f>
        <v>0.0445222722541192</v>
      </c>
      <c r="K18130" s="7" t="n">
        <f aca="false">Sens!K18055*(1-tax_f)/(Sens!K18041*(Sens!J18126+Sens!K18126)/2)</f>
        <v>0.0498866361688162</v>
      </c>
    </row>
    <row r="18131" customFormat="false" ht="17.15" hidden="false" customHeight="false" outlineLevel="0" collapsed="false">
      <c r="A18131" s="0" t="s">
        <v>1014</v>
      </c>
      <c r="B18131" s="0" t="s">
        <v>253</v>
      </c>
      <c r="F18131" s="7" t="n">
        <f aca="false">Sens!F18127-wacc</f>
        <v>-0.0600296254639064</v>
      </c>
      <c r="G18131" s="7" t="n">
        <f aca="false">Sens!G18127-wacc</f>
        <v>-0.0626176229002424</v>
      </c>
      <c r="H18131" s="7" t="n">
        <f aca="false">Sens!H18127-wacc</f>
        <v>-0.0721752828578106</v>
      </c>
      <c r="I18131" s="7" t="n">
        <f aca="false">Sens!I18127-wacc</f>
        <v>-0.0662853259217127</v>
      </c>
      <c r="J18131" s="7" t="n">
        <f aca="false">Sens!J18127-wacc</f>
        <v>-0.0611433250411932</v>
      </c>
      <c r="K18131" s="7" t="n">
        <f aca="false">Sens!K18127-wacc</f>
        <v>-0.0552160869040152</v>
      </c>
    </row>
    <row r="18132" customFormat="false" ht="17.15" hidden="false" customHeight="false" outlineLevel="0" collapsed="false">
      <c r="A18132" s="0" t="s">
        <v>1015</v>
      </c>
      <c r="B18132" s="0" t="s">
        <v>98</v>
      </c>
      <c r="F18132" s="6" t="n">
        <f aca="false">Sens!F18125*(1-tax_f)-wacc*(Sens!E18126+Sens!F18126)/2</f>
        <v>-11.6238565154813</v>
      </c>
      <c r="G18132" s="6" t="n">
        <f aca="false">Sens!G18125*(1-tax_f)-wacc*(Sens!F18126+Sens!G18126)/2</f>
        <v>-20.4244672240733</v>
      </c>
      <c r="H18132" s="6" t="n">
        <f aca="false">Sens!H18125*(1-tax_f)-wacc*(Sens!G18126+Sens!H18126)/2</f>
        <v>-32.163873277425</v>
      </c>
      <c r="I18132" s="6" t="n">
        <f aca="false">Sens!I18125*(1-tax_f)-wacc*(Sens!H18126+Sens!I18126)/2</f>
        <v>-34.9111844978462</v>
      </c>
      <c r="J18132" s="6" t="n">
        <f aca="false">Sens!J18125*(1-tax_f)-wacc*(Sens!I18126+Sens!J18126)/2</f>
        <v>-33.7712608743463</v>
      </c>
      <c r="K18132" s="6" t="n">
        <f aca="false">Sens!K18125*(1-tax_f)-wacc*(Sens!J18126+Sens!K18126)/2</f>
        <v>-29.7483128474176</v>
      </c>
    </row>
    <row r="18133" customFormat="false" ht="17.15" hidden="false" customHeight="false" outlineLevel="0" collapsed="false">
      <c r="A18133" s="3" t="s">
        <v>1927</v>
      </c>
    </row>
    <row r="18134" customFormat="false" ht="15" hidden="false" customHeight="false" outlineLevel="0" collapsed="false">
      <c r="A18134" s="4" t="s">
        <v>43</v>
      </c>
      <c r="B18134" s="4" t="s">
        <v>65</v>
      </c>
      <c r="C18134" s="23" t="s">
        <v>938</v>
      </c>
      <c r="D18134" s="23" t="s">
        <v>939</v>
      </c>
      <c r="E18134" s="23" t="s">
        <v>940</v>
      </c>
      <c r="F18134" s="23" t="s">
        <v>941</v>
      </c>
      <c r="G18134" s="23" t="s">
        <v>942</v>
      </c>
      <c r="H18134" s="23" t="s">
        <v>943</v>
      </c>
      <c r="I18134" s="23" t="s">
        <v>944</v>
      </c>
      <c r="J18134" s="23" t="s">
        <v>945</v>
      </c>
      <c r="K18134" s="23" t="s">
        <v>946</v>
      </c>
      <c r="L18134" s="4" t="s">
        <v>47</v>
      </c>
    </row>
    <row r="18135" customFormat="false" ht="15" hidden="false" customHeight="false" outlineLevel="0" collapsed="false">
      <c r="A18135" s="1" t="s">
        <v>1076</v>
      </c>
      <c r="B18135" s="0" t="s">
        <v>98</v>
      </c>
      <c r="F18135" s="6" t="n">
        <f aca="false">Sens!F18116</f>
        <v>141.519132566314</v>
      </c>
      <c r="G18135" s="6" t="n">
        <f aca="false">Sens!G18116</f>
        <v>143.776094190781</v>
      </c>
      <c r="H18135" s="6" t="n">
        <f aca="false">Sens!H18116</f>
        <v>145.523258806884</v>
      </c>
      <c r="I18135" s="6" t="n">
        <f aca="false">Sens!I18116</f>
        <v>153.618584087663</v>
      </c>
      <c r="J18135" s="6" t="n">
        <f aca="false">Sens!J18116</f>
        <v>163.027321880188</v>
      </c>
      <c r="K18135" s="6" t="n">
        <f aca="false">Sens!K18116</f>
        <v>173.630216203913</v>
      </c>
    </row>
    <row r="18136" customFormat="false" ht="17.15" hidden="false" customHeight="false" outlineLevel="0" collapsed="false">
      <c r="A18136" s="1" t="s">
        <v>1098</v>
      </c>
      <c r="B18136" s="0" t="s">
        <v>98</v>
      </c>
      <c r="E18136" s="6" t="n">
        <f aca="false">Q!M38-Sens!E18054</f>
        <v>22.2285940229167</v>
      </c>
      <c r="F18136" s="6" t="n">
        <f aca="false">Sens!E18136*(1-1/life_nonai)+(Sens!F18144+Sens!F18145)/life_nonai</f>
        <v>23.5883405279552</v>
      </c>
      <c r="G18136" s="6" t="n">
        <f aca="false">Sens!F18136*(1-1/life_nonai)+(Sens!G18144)/life_nonai</f>
        <v>25.347608709247</v>
      </c>
      <c r="H18136" s="6" t="n">
        <f aca="false">Sens!G18136*(1-1/life_nonai)+(Sens!H18144)/life_nonai</f>
        <v>27.4750934833125</v>
      </c>
      <c r="I18136" s="6" t="n">
        <f aca="false">Sens!H18136*(1-1/life_nonai)+(Sens!I18144)/life_nonai</f>
        <v>29.9140127982598</v>
      </c>
      <c r="J18136" s="6" t="n">
        <f aca="false">Sens!I18136*(1-1/life_nonai)+(Sens!J18144)/life_nonai</f>
        <v>32.5895147654561</v>
      </c>
      <c r="K18136" s="6" t="n">
        <f aca="false">Sens!J18136*(1-1/life_nonai)+(Sens!K18144)/life_nonai</f>
        <v>35.4171979437481</v>
      </c>
      <c r="L18136" s="12" t="s">
        <v>1099</v>
      </c>
    </row>
    <row r="18137" customFormat="false" ht="17.15" hidden="false" customHeight="false" outlineLevel="0" collapsed="false">
      <c r="A18137" s="1" t="s">
        <v>1100</v>
      </c>
      <c r="B18137" s="0" t="s">
        <v>98</v>
      </c>
      <c r="F18137" s="6" t="n">
        <f aca="false">Sens!$F$18145/life_nonai*(1-1/life_nonai)^(Sens!F18017-2027)</f>
        <v>0</v>
      </c>
      <c r="G18137" s="6" t="n">
        <f aca="false">Sens!$F$18145/life_nonai*(1-1/life_nonai)^(Sens!G18017-2027)</f>
        <v>0</v>
      </c>
      <c r="H18137" s="6" t="n">
        <f aca="false">Sens!$F$18145/life_nonai*(1-1/life_nonai)^(Sens!H18017-2027)</f>
        <v>0</v>
      </c>
      <c r="I18137" s="6" t="n">
        <f aca="false">Sens!$F$18145/life_nonai*(1-1/life_nonai)^(Sens!I18017-2027)</f>
        <v>0</v>
      </c>
      <c r="J18137" s="6" t="n">
        <f aca="false">Sens!$F$18145/life_nonai*(1-1/life_nonai)^(Sens!J18017-2027)</f>
        <v>0</v>
      </c>
      <c r="K18137" s="6" t="n">
        <f aca="false">Sens!$F$18145/life_nonai*(1-1/life_nonai)^(Sens!K18017-2027)</f>
        <v>0</v>
      </c>
      <c r="L18137" s="1" t="s">
        <v>1101</v>
      </c>
    </row>
    <row r="18138" customFormat="false" ht="17.15" hidden="false" customHeight="false" outlineLevel="0" collapsed="false">
      <c r="A18138" s="1" t="s">
        <v>1102</v>
      </c>
      <c r="B18138" s="0" t="s">
        <v>98</v>
      </c>
      <c r="E18138" s="6" t="n">
        <f aca="false">Sens!E18054+Sens!E18136</f>
        <v>38.534</v>
      </c>
      <c r="F18138" s="6" t="n">
        <f aca="false">Sens!F18054+Sens!F18136</f>
        <v>58.1676550063068</v>
      </c>
      <c r="G18138" s="6" t="n">
        <f aca="false">Sens!G18054+Sens!G18136</f>
        <v>86.0820993615459</v>
      </c>
      <c r="H18138" s="6" t="n">
        <f aca="false">Sens!H18054+Sens!H18136</f>
        <v>116.575184144758</v>
      </c>
      <c r="I18138" s="6" t="n">
        <f aca="false">Sens!I18054+Sens!I18136</f>
        <v>144.145022492808</v>
      </c>
      <c r="J18138" s="6" t="n">
        <f aca="false">Sens!J18054+Sens!J18136</f>
        <v>164.605187815052</v>
      </c>
      <c r="K18138" s="6" t="n">
        <f aca="false">Sens!K18054+Sens!K18136</f>
        <v>178.429867494682</v>
      </c>
    </row>
    <row r="18139" customFormat="false" ht="17.15" hidden="false" customHeight="false" outlineLevel="0" collapsed="false">
      <c r="A18139" s="1" t="s">
        <v>1103</v>
      </c>
      <c r="B18139" s="0" t="s">
        <v>98</v>
      </c>
      <c r="F18139" s="6" t="n">
        <f aca="false">Sens!F18081*sbc_r</f>
        <v>14.7454787486369</v>
      </c>
      <c r="G18139" s="6" t="n">
        <f aca="false">Sens!G18081*sbc_r</f>
        <v>17.1560811611477</v>
      </c>
      <c r="H18139" s="6" t="n">
        <f aca="false">Sens!H18081*sbc_r</f>
        <v>19.4112161412813</v>
      </c>
      <c r="I18139" s="6" t="n">
        <f aca="false">Sens!I18081*sbc_r</f>
        <v>21.7655163708747</v>
      </c>
      <c r="J18139" s="6" t="n">
        <f aca="false">Sens!J18081*sbc_r</f>
        <v>23.7425689489627</v>
      </c>
      <c r="K18139" s="6" t="n">
        <f aca="false">Sens!K18081*sbc_r</f>
        <v>25.3560408997772</v>
      </c>
    </row>
    <row r="18140" customFormat="false" ht="17.15" hidden="false" customHeight="false" outlineLevel="0" collapsed="false">
      <c r="A18140" s="1" t="s">
        <v>1104</v>
      </c>
      <c r="B18140" s="0" t="s">
        <v>98</v>
      </c>
      <c r="F18140" s="6" t="n">
        <f aca="false">wc27-wc26q1</f>
        <v>-4.677</v>
      </c>
      <c r="G18140" s="6" t="n">
        <f aca="false">wc_f</f>
        <v>0</v>
      </c>
      <c r="H18140" s="6" t="n">
        <f aca="false">wc_f</f>
        <v>0</v>
      </c>
      <c r="I18140" s="6" t="n">
        <f aca="false">wc_f</f>
        <v>0</v>
      </c>
      <c r="J18140" s="6" t="n">
        <f aca="false">wc_f</f>
        <v>0</v>
      </c>
      <c r="K18140" s="6" t="n">
        <f aca="false">wc_f</f>
        <v>0</v>
      </c>
      <c r="L18140" s="12" t="s">
        <v>1105</v>
      </c>
    </row>
    <row r="18141" customFormat="false" ht="17.15" hidden="false" customHeight="false" outlineLevel="0" collapsed="false">
      <c r="A18141" s="0" t="s">
        <v>1106</v>
      </c>
      <c r="B18141" s="0" t="s">
        <v>98</v>
      </c>
      <c r="F18141" s="6" t="n">
        <f aca="false">Q!$I$35-Q!$I$26-Q!$I$38-Q!$I$39</f>
        <v>6.493</v>
      </c>
      <c r="L18141" s="1" t="s">
        <v>1107</v>
      </c>
    </row>
    <row r="18142" customFormat="false" ht="15" hidden="false" customHeight="false" outlineLevel="0" collapsed="false">
      <c r="A18142" s="1" t="s">
        <v>904</v>
      </c>
      <c r="B18142" s="0" t="s">
        <v>98</v>
      </c>
      <c r="E18142" s="6" t="n">
        <f aca="false">Q!M35</f>
        <v>182.935</v>
      </c>
      <c r="F18142" s="6" t="n">
        <f aca="false">Sens!F18135+Sens!F18138+Sens!F18139+Sens!F18140+Sens!F18141</f>
        <v>216.248266321257</v>
      </c>
      <c r="G18142" s="6" t="n">
        <f aca="false">Sens!G18135+Sens!G18138+Sens!G18139+Sens!G18140</f>
        <v>247.014274713475</v>
      </c>
      <c r="H18142" s="6" t="n">
        <f aca="false">Sens!H18135+Sens!H18138+Sens!H18139+Sens!H18140</f>
        <v>281.509659092923</v>
      </c>
      <c r="I18142" s="6" t="n">
        <f aca="false">Sens!I18135+Sens!I18138+Sens!I18139+Sens!I18140</f>
        <v>319.529122951346</v>
      </c>
      <c r="J18142" s="6" t="n">
        <f aca="false">Sens!J18135+Sens!J18138+Sens!J18139+Sens!J18140</f>
        <v>351.375078644203</v>
      </c>
      <c r="K18142" s="6" t="n">
        <f aca="false">Sens!K18135+Sens!K18138+Sens!K18139+Sens!K18140</f>
        <v>377.416124598373</v>
      </c>
    </row>
    <row r="18143" customFormat="false" ht="17.15" hidden="false" customHeight="false" outlineLevel="0" collapsed="false">
      <c r="A18143" s="0" t="s">
        <v>1108</v>
      </c>
      <c r="B18143" s="0" t="s">
        <v>98</v>
      </c>
      <c r="F18143" s="6" t="n">
        <f aca="false">Sens!F18051</f>
        <v>168.45390404212</v>
      </c>
      <c r="G18143" s="6" t="n">
        <f aca="false">Sens!G18051</f>
        <v>191.944475649048</v>
      </c>
      <c r="H18143" s="6" t="n">
        <f aca="false">Sens!H18051</f>
        <v>196.806004064512</v>
      </c>
      <c r="I18143" s="6" t="n">
        <f aca="false">Sens!I18051</f>
        <v>168.61483362161</v>
      </c>
      <c r="J18143" s="6" t="n">
        <f aca="false">Sens!J18051</f>
        <v>128.92993119594</v>
      </c>
      <c r="K18143" s="6" t="n">
        <f aca="false">Sens!K18051</f>
        <v>118.962853064733</v>
      </c>
    </row>
    <row r="18144" customFormat="false" ht="17.15" hidden="false" customHeight="false" outlineLevel="0" collapsed="false">
      <c r="A18144" s="1" t="s">
        <v>1109</v>
      </c>
      <c r="B18144" s="0" t="s">
        <v>98</v>
      </c>
      <c r="E18144" s="6" t="n">
        <f aca="false">Sens!E18059*cx_azo+Sens!E18066*cx_m365+Sens!E18067*cx_lic+(Sens!E18069+Sens!E18071)*cx_ind+Sens!E18074*cx_srch+(Sens!E18076+Sens!E18078)*cx_dev</f>
        <v>30.1846587067718</v>
      </c>
      <c r="F18144" s="6" t="n">
        <f aca="false">Sens!F18059*cx_azo+Sens!F18066*cx_m365+Sens!F18067*cx_lic+(Sens!F18069+Sens!F18071)*cx_ind+Sens!F18074*cx_srch+(Sens!F18076+Sens!F18078)*cx_dev</f>
        <v>35.826059073302</v>
      </c>
      <c r="G18144" s="6" t="n">
        <f aca="false">Sens!G18059*cx_azo+Sens!G18066*cx_m365+Sens!G18067*cx_lic+(Sens!G18069+Sens!G18071)*cx_ind+Sens!G18074*cx_srch+(Sens!G18076+Sens!G18078)*cx_dev</f>
        <v>41.1810223408732</v>
      </c>
      <c r="H18144" s="6" t="n">
        <f aca="false">Sens!H18059*cx_azo+Sens!H18066*cx_m365+Sens!H18067*cx_lic+(Sens!H18069+Sens!H18071)*cx_ind+Sens!H18074*cx_srch+(Sens!H18076+Sens!H18078)*cx_dev</f>
        <v>46.6224564499022</v>
      </c>
      <c r="I18144" s="6" t="n">
        <f aca="false">Sens!I18059*cx_azo+Sens!I18066*cx_m365+Sens!I18067*cx_lic+(Sens!I18069+Sens!I18071)*cx_ind+Sens!I18074*cx_srch+(Sens!I18076+Sens!I18078)*cx_dev</f>
        <v>51.8642866327854</v>
      </c>
      <c r="J18144" s="6" t="n">
        <f aca="false">Sens!J18059*cx_azo+Sens!J18066*cx_m365+Sens!J18067*cx_lic+(Sens!J18069+Sens!J18071)*cx_ind+Sens!J18074*cx_srch+(Sens!J18076+Sens!J18078)*cx_dev</f>
        <v>56.6690324702225</v>
      </c>
      <c r="K18144" s="6" t="n">
        <f aca="false">Sens!K18059*cx_azo+Sens!K18066*cx_m365+Sens!K18067*cx_lic+(Sens!K18069+Sens!K18071)*cx_ind+Sens!K18074*cx_srch+(Sens!K18076+Sens!K18078)*cx_dev</f>
        <v>60.866346548376</v>
      </c>
    </row>
    <row r="18145" customFormat="false" ht="17.15" hidden="false" customHeight="false" outlineLevel="0" collapsed="false">
      <c r="A18145" s="0" t="s">
        <v>1110</v>
      </c>
      <c r="B18145" s="0" t="s">
        <v>98</v>
      </c>
      <c r="F18145" s="6" t="n">
        <f aca="false">0</f>
        <v>0</v>
      </c>
      <c r="L18145" s="1" t="s">
        <v>1111</v>
      </c>
    </row>
    <row r="18146" customFormat="false" ht="17.15" hidden="false" customHeight="false" outlineLevel="0" collapsed="false">
      <c r="A18146" s="1" t="s">
        <v>1112</v>
      </c>
      <c r="B18146" s="0" t="s">
        <v>98</v>
      </c>
      <c r="E18146" s="6" t="n">
        <f aca="false">Q!M43</f>
        <v>145.3</v>
      </c>
      <c r="F18146" s="6" t="n">
        <f aca="false">Sens!F18143+Sens!F18144+Sens!F18145</f>
        <v>204.279963115422</v>
      </c>
      <c r="G18146" s="6" t="n">
        <f aca="false">Sens!G18143+Sens!G18144</f>
        <v>233.125497989921</v>
      </c>
      <c r="H18146" s="6" t="n">
        <f aca="false">Sens!H18143+Sens!H18144</f>
        <v>243.428460514415</v>
      </c>
      <c r="I18146" s="6" t="n">
        <f aca="false">Sens!I18143+Sens!I18144</f>
        <v>220.479120254396</v>
      </c>
      <c r="J18146" s="6" t="n">
        <f aca="false">Sens!J18143+Sens!J18144</f>
        <v>185.598963666163</v>
      </c>
      <c r="K18146" s="6" t="n">
        <f aca="false">Sens!K18143+Sens!K18144</f>
        <v>179.829199613109</v>
      </c>
      <c r="L18146" s="1" t="s">
        <v>1113</v>
      </c>
    </row>
    <row r="18147" customFormat="false" ht="15" hidden="false" customHeight="false" outlineLevel="0" collapsed="false">
      <c r="A18147" s="1" t="s">
        <v>1114</v>
      </c>
      <c r="B18147" s="0" t="s">
        <v>98</v>
      </c>
      <c r="E18147" s="6" t="n">
        <f aca="false">fl_liab</f>
        <v>66.594</v>
      </c>
      <c r="F18147" s="6" t="n">
        <f aca="false">Sens!E18147-Sens!F18148</f>
        <v>62.46973</v>
      </c>
      <c r="G18147" s="6" t="n">
        <f aca="false">Sens!F18147-Sens!G18148</f>
        <v>57.98686785</v>
      </c>
      <c r="H18147" s="6" t="n">
        <f aca="false">Sens!G18147-Sens!H18148</f>
        <v>53.92827690325</v>
      </c>
      <c r="I18147" s="6" t="n">
        <f aca="false">Sens!H18147-Sens!I18148</f>
        <v>49.7850493638962</v>
      </c>
      <c r="J18147" s="6" t="n">
        <f aca="false">Sens!I18147-Sens!J18148</f>
        <v>45.4823765852716</v>
      </c>
      <c r="K18147" s="6" t="n">
        <f aca="false">Sens!J18147-Sens!K18148</f>
        <v>40.9860835316088</v>
      </c>
    </row>
    <row r="18148" customFormat="false" ht="15" hidden="false" customHeight="false" outlineLevel="0" collapsed="false">
      <c r="A18148" s="1" t="s">
        <v>1115</v>
      </c>
      <c r="B18148" s="0" t="s">
        <v>98</v>
      </c>
      <c r="F18148" s="6" t="n">
        <f aca="false">fl_pay_27-Sens!E18147*fl_rate</f>
        <v>4.12427</v>
      </c>
      <c r="G18148" s="6" t="n">
        <f aca="false">fl_pay_28-Sens!F18147*fl_rate</f>
        <v>4.48286215</v>
      </c>
      <c r="H18148" s="6" t="n">
        <f aca="false">fl_pay_29-Sens!G18147*fl_rate</f>
        <v>4.05859094675</v>
      </c>
      <c r="I18148" s="6" t="n">
        <f aca="false">fl_pay_30-Sens!H18147*fl_rate</f>
        <v>4.14322753935375</v>
      </c>
      <c r="J18148" s="6" t="n">
        <f aca="false">fl_pay_31-Sens!I18147*fl_rate</f>
        <v>4.30267277862467</v>
      </c>
      <c r="K18148" s="6" t="n">
        <f aca="false">fl_pay_32-Sens!J18147*fl_rate</f>
        <v>4.49629305366278</v>
      </c>
    </row>
    <row r="18149" customFormat="false" ht="17.15" hidden="false" customHeight="false" outlineLevel="0" collapsed="false">
      <c r="A18149" s="1" t="s">
        <v>1116</v>
      </c>
      <c r="B18149" s="0" t="s">
        <v>98</v>
      </c>
      <c r="E18149" s="6" t="n">
        <f aca="false">Q!M35-Q!M36-Q!M44</f>
        <v>63.886</v>
      </c>
      <c r="F18149" s="6" t="n">
        <f aca="false">Sens!F18142-Sens!F18146-Sens!F18148</f>
        <v>7.8440332058357</v>
      </c>
      <c r="G18149" s="6" t="n">
        <f aca="false">Sens!G18142-Sens!G18146-Sens!G18148</f>
        <v>9.40591457355372</v>
      </c>
      <c r="H18149" s="6" t="n">
        <f aca="false">Sens!H18142-Sens!H18146-Sens!H18148</f>
        <v>34.0226076317587</v>
      </c>
      <c r="I18149" s="6" t="n">
        <f aca="false">Sens!I18142-Sens!I18146-Sens!I18148</f>
        <v>94.9067751575962</v>
      </c>
      <c r="J18149" s="6" t="n">
        <f aca="false">Sens!J18142-Sens!J18146-Sens!J18148</f>
        <v>161.473442199415</v>
      </c>
      <c r="K18149" s="6" t="n">
        <f aca="false">Sens!K18142-Sens!K18146-Sens!K18148</f>
        <v>193.090631931601</v>
      </c>
      <c r="L18149" s="12" t="s">
        <v>1117</v>
      </c>
    </row>
    <row r="18150" customFormat="false" ht="15" hidden="false" customHeight="false" outlineLevel="0" collapsed="false">
      <c r="A18150" s="1" t="s">
        <v>1118</v>
      </c>
      <c r="B18150" s="0" t="s">
        <v>75</v>
      </c>
      <c r="F18150" s="8" t="n">
        <f aca="false">dps_27</f>
        <v>3.85</v>
      </c>
      <c r="G18150" s="8" t="n">
        <f aca="false">Sens!F18150*(1+dps_g)</f>
        <v>4.158</v>
      </c>
      <c r="H18150" s="8" t="n">
        <f aca="false">Sens!G18150*(1+dps_g)</f>
        <v>4.49064</v>
      </c>
      <c r="I18150" s="8" t="n">
        <f aca="false">Sens!H18150*(1+dps_g)</f>
        <v>4.8498912</v>
      </c>
      <c r="J18150" s="8" t="n">
        <f aca="false">Sens!I18150*(1+dps_g)</f>
        <v>5.237882496</v>
      </c>
      <c r="K18150" s="8" t="n">
        <f aca="false">Sens!J18150*(1+dps_g)</f>
        <v>5.65691309568</v>
      </c>
    </row>
    <row r="18151" customFormat="false" ht="17.15" hidden="false" customHeight="false" outlineLevel="0" collapsed="false">
      <c r="A18151" s="1" t="s">
        <v>1119</v>
      </c>
      <c r="B18151" s="0" t="s">
        <v>98</v>
      </c>
      <c r="E18151" s="6" t="n">
        <f aca="false">Q!M41</f>
        <v>26.445</v>
      </c>
      <c r="F18151" s="6" t="n">
        <f aca="false">Sens!F18150*Sens!E18160</f>
        <v>28.59395</v>
      </c>
      <c r="G18151" s="6" t="n">
        <f aca="false">Sens!G18150*Sens!F18160</f>
        <v>31.068576</v>
      </c>
      <c r="H18151" s="6" t="n">
        <f aca="false">Sens!H18150*Sens!G18160</f>
        <v>33.75614088</v>
      </c>
      <c r="I18151" s="6" t="n">
        <f aca="false">Sens!I18150*Sens!H18160</f>
        <v>36.6748772544</v>
      </c>
      <c r="J18151" s="6" t="n">
        <f aca="false">Sens!J18150*Sens!I18160</f>
        <v>39.6767653201446</v>
      </c>
      <c r="K18151" s="6" t="n">
        <f aca="false">Sens!K18150*Sens!J18160</f>
        <v>42.9376608081345</v>
      </c>
      <c r="L18151" s="1" t="s">
        <v>1120</v>
      </c>
    </row>
    <row r="18152" customFormat="false" ht="15" hidden="false" customHeight="false" outlineLevel="0" collapsed="false">
      <c r="A18152" s="1" t="s">
        <v>1121</v>
      </c>
      <c r="B18152" s="0" t="s">
        <v>98</v>
      </c>
      <c r="E18152" s="6" t="n">
        <f aca="false">Sens!E18149-Sens!E18151</f>
        <v>37.441</v>
      </c>
      <c r="F18152" s="6" t="n">
        <f aca="false">Sens!F18149-Sens!F18151</f>
        <v>-20.7499167941643</v>
      </c>
      <c r="G18152" s="6" t="n">
        <f aca="false">Sens!G18149-Sens!G18151</f>
        <v>-21.6626614264463</v>
      </c>
      <c r="H18152" s="6" t="n">
        <f aca="false">Sens!H18149-Sens!H18151</f>
        <v>0.266466751758742</v>
      </c>
      <c r="I18152" s="6" t="n">
        <f aca="false">Sens!I18149-Sens!I18151</f>
        <v>58.2318979031962</v>
      </c>
      <c r="J18152" s="6" t="n">
        <f aca="false">Sens!J18149-Sens!J18151</f>
        <v>121.796676879271</v>
      </c>
      <c r="K18152" s="6" t="n">
        <f aca="false">Sens!K18149-Sens!K18151</f>
        <v>150.152971123467</v>
      </c>
    </row>
    <row r="18153" customFormat="false" ht="15" hidden="false" customHeight="false" outlineLevel="0" collapsed="false">
      <c r="A18153" s="1" t="s">
        <v>1122</v>
      </c>
      <c r="B18153" s="0" t="s">
        <v>98</v>
      </c>
      <c r="F18153" s="6" t="n">
        <f aca="false">debt_mat_27</f>
        <v>9.25</v>
      </c>
      <c r="G18153" s="6" t="n">
        <f aca="false">debt_mat_28</f>
        <v>0</v>
      </c>
      <c r="H18153" s="6" t="n">
        <f aca="false">debt_mat_29</f>
        <v>2.001</v>
      </c>
      <c r="I18153" s="6" t="n">
        <f aca="false">debt_mat_30</f>
        <v>0</v>
      </c>
      <c r="J18153" s="6" t="n">
        <f aca="false">debt_mat_31</f>
        <v>0.5</v>
      </c>
      <c r="K18153" s="6" t="n">
        <f aca="false">debt_mat_32</f>
        <v>0</v>
      </c>
    </row>
    <row r="18154" customFormat="false" ht="15" hidden="false" customHeight="false" outlineLevel="0" collapsed="false">
      <c r="A18154" s="1" t="s">
        <v>1123</v>
      </c>
      <c r="B18154" s="0" t="s">
        <v>98</v>
      </c>
      <c r="E18154" s="6" t="n">
        <f aca="false">Q!M40</f>
        <v>22.271</v>
      </c>
      <c r="F18154" s="6" t="n">
        <f aca="false">MAX(0,MIN(bb_target,Sens!E18156+Sens!F18152-Sens!F18153-min_cash))</f>
        <v>0</v>
      </c>
      <c r="G18154" s="6" t="n">
        <f aca="false">MAX(0,MIN(bb_target,Sens!F18156+Sens!G18152-Sens!G18153-min_cash))</f>
        <v>0</v>
      </c>
      <c r="H18154" s="6" t="n">
        <f aca="false">MAX(0,MIN(bb_target,Sens!G18156+Sens!H18152-Sens!H18153-min_cash))</f>
        <v>0</v>
      </c>
      <c r="I18154" s="6" t="n">
        <f aca="false">MAX(0,MIN(bb_target,Sens!H18156+Sens!I18152-Sens!I18153-min_cash))</f>
        <v>22.271</v>
      </c>
      <c r="J18154" s="6" t="n">
        <f aca="false">MAX(0,MIN(bb_target,Sens!I18156+Sens!J18152-Sens!J18153-min_cash))</f>
        <v>22.271</v>
      </c>
      <c r="K18154" s="6" t="n">
        <f aca="false">MAX(0,MIN(bb_target,Sens!J18156+Sens!K18152-Sens!K18153-min_cash))</f>
        <v>22.271</v>
      </c>
    </row>
    <row r="18155" customFormat="false" ht="15" hidden="false" customHeight="false" outlineLevel="0" collapsed="false">
      <c r="A18155" s="1" t="s">
        <v>1124</v>
      </c>
      <c r="B18155" s="0" t="s">
        <v>98</v>
      </c>
      <c r="F18155" s="6" t="n">
        <f aca="false">MAX(0,min_cash-(Sens!E18156+Sens!F18152-Sens!F18153-Sens!F18154))</f>
        <v>3.1569167941643</v>
      </c>
      <c r="G18155" s="6" t="n">
        <f aca="false">MAX(0,min_cash-(Sens!F18156+Sens!G18152-Sens!G18153-Sens!G18154))</f>
        <v>21.6626614264463</v>
      </c>
      <c r="H18155" s="6" t="n">
        <f aca="false">MAX(0,min_cash-(Sens!G18156+Sens!H18152-Sens!H18153-Sens!H18154))</f>
        <v>1.73453324824126</v>
      </c>
      <c r="I18155" s="6" t="n">
        <f aca="false">MAX(0,min_cash-(Sens!H18156+Sens!I18152-Sens!I18153-Sens!I18154))</f>
        <v>0</v>
      </c>
      <c r="J18155" s="6" t="n">
        <f aca="false">MAX(0,min_cash-(Sens!I18156+Sens!J18152-Sens!J18153-Sens!J18154))</f>
        <v>0</v>
      </c>
      <c r="K18155" s="6" t="n">
        <f aca="false">MAX(0,min_cash-(Sens!J18156+Sens!K18152-Sens!K18153-Sens!K18154))</f>
        <v>0</v>
      </c>
    </row>
    <row r="18156" customFormat="false" ht="15" hidden="false" customHeight="false" outlineLevel="0" collapsed="false">
      <c r="A18156" s="1" t="s">
        <v>1125</v>
      </c>
      <c r="B18156" s="0" t="s">
        <v>98</v>
      </c>
      <c r="E18156" s="6" t="n">
        <f aca="false">cash_open</f>
        <v>76.843</v>
      </c>
      <c r="F18156" s="6" t="n">
        <f aca="false">Sens!E18156+Sens!F18152-Sens!F18153-Sens!F18154+Sens!F18155</f>
        <v>50</v>
      </c>
      <c r="G18156" s="6" t="n">
        <f aca="false">Sens!F18156+Sens!G18152-Sens!G18153-Sens!G18154+Sens!G18155</f>
        <v>50</v>
      </c>
      <c r="H18156" s="6" t="n">
        <f aca="false">Sens!G18156+Sens!H18152-Sens!H18153-Sens!H18154+Sens!H18155</f>
        <v>50</v>
      </c>
      <c r="I18156" s="6" t="n">
        <f aca="false">Sens!H18156+Sens!I18152-Sens!I18153-Sens!I18154+Sens!I18155</f>
        <v>85.9608979031962</v>
      </c>
      <c r="J18156" s="6" t="n">
        <f aca="false">Sens!I18156+Sens!J18152-Sens!J18153-Sens!J18154+Sens!J18155</f>
        <v>184.986574782467</v>
      </c>
      <c r="K18156" s="6" t="n">
        <f aca="false">Sens!J18156+Sens!K18152-Sens!K18153-Sens!K18154+Sens!K18155</f>
        <v>312.868545905934</v>
      </c>
    </row>
    <row r="18157" customFormat="false" ht="15" hidden="false" customHeight="false" outlineLevel="0" collapsed="false">
      <c r="A18157" s="1" t="s">
        <v>1126</v>
      </c>
      <c r="B18157" s="0" t="s">
        <v>98</v>
      </c>
      <c r="E18157" s="6" t="n">
        <f aca="false">debt_face</f>
        <v>46.136</v>
      </c>
      <c r="F18157" s="6" t="n">
        <f aca="false">Sens!E18157-Sens!F18153+Sens!F18155</f>
        <v>40.0429167941643</v>
      </c>
      <c r="G18157" s="6" t="n">
        <f aca="false">Sens!F18157-Sens!G18153+Sens!G18155</f>
        <v>61.7055782206106</v>
      </c>
      <c r="H18157" s="6" t="n">
        <f aca="false">Sens!G18157-Sens!H18153+Sens!H18155</f>
        <v>61.4391114688519</v>
      </c>
      <c r="I18157" s="6" t="n">
        <f aca="false">Sens!H18157-Sens!I18153+Sens!I18155</f>
        <v>61.4391114688519</v>
      </c>
      <c r="J18157" s="6" t="n">
        <f aca="false">Sens!I18157-Sens!J18153+Sens!J18155</f>
        <v>60.9391114688519</v>
      </c>
      <c r="K18157" s="6" t="n">
        <f aca="false">Sens!J18157-Sens!K18153+Sens!K18155</f>
        <v>60.9391114688519</v>
      </c>
    </row>
    <row r="18158" customFormat="false" ht="15" hidden="false" customHeight="false" outlineLevel="0" collapsed="false">
      <c r="A18158" s="1" t="s">
        <v>1127</v>
      </c>
      <c r="B18158" s="0" t="s">
        <v>98</v>
      </c>
      <c r="E18158" s="6" t="n">
        <f aca="false">Sens!E18156-Sens!E18157</f>
        <v>30.707</v>
      </c>
      <c r="F18158" s="6" t="n">
        <f aca="false">Sens!F18156-Sens!F18157</f>
        <v>9.95708320583569</v>
      </c>
      <c r="G18158" s="6" t="n">
        <f aca="false">Sens!G18156-Sens!G18157</f>
        <v>-11.7055782206106</v>
      </c>
      <c r="H18158" s="6" t="n">
        <f aca="false">Sens!H18156-Sens!H18157</f>
        <v>-11.4391114688518</v>
      </c>
      <c r="I18158" s="6" t="n">
        <f aca="false">Sens!I18156-Sens!I18157</f>
        <v>24.5217864343444</v>
      </c>
      <c r="J18158" s="6" t="n">
        <f aca="false">Sens!J18156-Sens!J18157</f>
        <v>124.047463313615</v>
      </c>
      <c r="K18158" s="6" t="n">
        <f aca="false">Sens!K18156-Sens!K18157</f>
        <v>251.929434437082</v>
      </c>
    </row>
    <row r="18159" customFormat="false" ht="15" hidden="false" customHeight="false" outlineLevel="0" collapsed="false">
      <c r="A18159" s="1" t="s">
        <v>1128</v>
      </c>
      <c r="B18159" s="0" t="s">
        <v>75</v>
      </c>
      <c r="F18159" s="30" t="n">
        <f aca="false">px*(1+bb_g)^(Sens!F18017-base_fy-mid_yr)</f>
        <v>551.84177959629</v>
      </c>
      <c r="G18159" s="30" t="n">
        <f aca="false">px*(1+bb_g)^(Sens!G18017-base_fy-mid_yr)</f>
        <v>595.989121963993</v>
      </c>
      <c r="H18159" s="30" t="n">
        <f aca="false">px*(1+bb_g)^(Sens!H18017-base_fy-mid_yr)</f>
        <v>643.668251721112</v>
      </c>
      <c r="I18159" s="30" t="n">
        <f aca="false">px*(1+bb_g)^(Sens!I18017-base_fy-mid_yr)</f>
        <v>695.161711858801</v>
      </c>
      <c r="J18159" s="30" t="n">
        <f aca="false">px*(1+bb_g)^(Sens!J18017-base_fy-mid_yr)</f>
        <v>750.774648807506</v>
      </c>
      <c r="K18159" s="30" t="n">
        <f aca="false">px*(1+bb_g)^(Sens!K18017-base_fy-mid_yr)</f>
        <v>810.836620712106</v>
      </c>
    </row>
    <row r="18160" customFormat="false" ht="15" hidden="false" customHeight="false" outlineLevel="0" collapsed="false">
      <c r="A18160" s="1" t="s">
        <v>1129</v>
      </c>
      <c r="B18160" s="1" t="s">
        <v>81</v>
      </c>
      <c r="E18160" s="15" t="n">
        <f aca="false">sh_out26</f>
        <v>7.427</v>
      </c>
      <c r="F18160" s="15" t="n">
        <f aca="false">Sens!E18160+sh_iss-Sens!F18154/Sens!F18159</f>
        <v>7.472</v>
      </c>
      <c r="G18160" s="15" t="n">
        <f aca="false">Sens!F18160+sh_iss-Sens!G18154/Sens!G18159</f>
        <v>7.517</v>
      </c>
      <c r="H18160" s="15" t="n">
        <f aca="false">Sens!G18160+sh_iss-Sens!H18154/Sens!H18159</f>
        <v>7.562</v>
      </c>
      <c r="I18160" s="15" t="n">
        <f aca="false">Sens!H18160+sh_iss-Sens!I18154/Sens!I18159</f>
        <v>7.57496285005334</v>
      </c>
      <c r="J18160" s="15" t="n">
        <f aca="false">Sens!I18160+sh_iss-Sens!J18154/Sens!J18159</f>
        <v>7.59029882232494</v>
      </c>
      <c r="K18160" s="15" t="n">
        <f aca="false">Sens!J18160+sh_iss-Sens!K18154/Sens!K18159</f>
        <v>7.60783212998384</v>
      </c>
    </row>
    <row r="18161" customFormat="false" ht="15" hidden="false" customHeight="false" outlineLevel="0" collapsed="false">
      <c r="A18161" s="1" t="s">
        <v>1130</v>
      </c>
      <c r="B18161" s="1" t="s">
        <v>81</v>
      </c>
      <c r="E18161" s="15" t="n">
        <f aca="false">sh_dil26</f>
        <v>7.453</v>
      </c>
      <c r="F18161" s="15" t="n">
        <f aca="false">(Sens!E18160+Sens!F18160)/2+dil_gap</f>
        <v>7.4735</v>
      </c>
      <c r="G18161" s="15" t="n">
        <f aca="false">(Sens!F18160+Sens!G18160)/2+dil_gap</f>
        <v>7.5185</v>
      </c>
      <c r="H18161" s="15" t="n">
        <f aca="false">(Sens!G18160+Sens!H18160)/2+dil_gap</f>
        <v>7.5635</v>
      </c>
      <c r="I18161" s="15" t="n">
        <f aca="false">(Sens!H18160+Sens!I18160)/2+dil_gap</f>
        <v>7.59248142502667</v>
      </c>
      <c r="J18161" s="15" t="n">
        <f aca="false">(Sens!I18160+Sens!J18160)/2+dil_gap</f>
        <v>7.60663083618914</v>
      </c>
      <c r="K18161" s="15" t="n">
        <f aca="false">(Sens!J18160+Sens!K18160)/2+dil_gap</f>
        <v>7.62306547615439</v>
      </c>
    </row>
    <row r="18162" customFormat="false" ht="17.15" hidden="false" customHeight="false" outlineLevel="0" collapsed="false">
      <c r="A18162" s="1" t="s">
        <v>1131</v>
      </c>
      <c r="B18162" s="0" t="s">
        <v>98</v>
      </c>
      <c r="C18162" s="6" t="n">
        <f aca="false">SUM(Sens!F18152:J18152)</f>
        <v>137.882463313615</v>
      </c>
    </row>
    <row r="18163" customFormat="false" ht="15" hidden="false" customHeight="false" outlineLevel="0" collapsed="false">
      <c r="A18163" s="26" t="s">
        <v>1096</v>
      </c>
      <c r="B18163" s="31" t="s">
        <v>98</v>
      </c>
      <c r="C18163" s="27" t="n">
        <f aca="false">Sens!$C$18162-(Sens!F18152+Sens!G18152+Sens!H18152+Sens!I18152+Sens!J18152)</f>
        <v>0</v>
      </c>
      <c r="D18163" s="31"/>
      <c r="E18163" s="31"/>
      <c r="F18163" s="31"/>
      <c r="G18163" s="31"/>
      <c r="H18163" s="31"/>
      <c r="I18163" s="31"/>
      <c r="J18163" s="31"/>
      <c r="K18163" s="31"/>
    </row>
    <row r="18164" customFormat="false" ht="17.15" hidden="false" customHeight="false" outlineLevel="0" collapsed="false">
      <c r="A18164" s="1" t="s">
        <v>1090</v>
      </c>
      <c r="B18164" s="1" t="s">
        <v>1132</v>
      </c>
      <c r="C18164" s="33" t="str">
        <f aca="false">IF(SUM(Sens!F18155:J18155)&gt;0.05,"需要舉債 "&amp;TEXT(SUM(Sens!F18155:J18155),"0.0")&amp;" 十億美元","不需舉債")&amp;"；"&amp;IF(SUM(Sens!F18154:J18154)&lt;COUNT(Sens!F18154:J18154)*bb_target-0.05,"回購較每年 "&amp;TEXT(bb_target,"0.0")&amp;" 的目標少 "&amp;TEXT(COUNT(Sens!F18154:J18154)*bb_target-SUM(Sens!F18154:J18154),"0.0")&amp;" 十億美元（"&amp;TEXT(COUNTIF(Sens!F18154:J18154,"&lt;"&amp;(bb_target-0.05)),"0")&amp;" 年減少）","回購不減")</f>
        <v>需要舉債 26.6 十億美元；回購較每年 22.3 的目標少 66.8 十億美元（3 年減少）</v>
      </c>
    </row>
    <row r="18165" customFormat="false" ht="17.15" hidden="false" customHeight="false" outlineLevel="0" collapsed="false">
      <c r="A18165" s="3" t="s">
        <v>1928</v>
      </c>
    </row>
    <row r="18166" customFormat="false" ht="15" hidden="false" customHeight="false" outlineLevel="0" collapsed="false">
      <c r="A18166" s="4" t="s">
        <v>43</v>
      </c>
      <c r="B18166" s="4" t="s">
        <v>65</v>
      </c>
      <c r="C18166" s="23" t="s">
        <v>938</v>
      </c>
      <c r="D18166" s="23" t="s">
        <v>939</v>
      </c>
      <c r="E18166" s="23" t="s">
        <v>940</v>
      </c>
      <c r="F18166" s="23" t="s">
        <v>941</v>
      </c>
      <c r="G18166" s="23" t="s">
        <v>942</v>
      </c>
      <c r="H18166" s="23" t="s">
        <v>943</v>
      </c>
      <c r="I18166" s="23" t="s">
        <v>944</v>
      </c>
      <c r="J18166" s="23" t="s">
        <v>945</v>
      </c>
      <c r="K18166" s="23" t="s">
        <v>946</v>
      </c>
      <c r="L18166" s="4" t="s">
        <v>47</v>
      </c>
    </row>
    <row r="18167" customFormat="false" ht="17.15" hidden="false" customHeight="false" outlineLevel="0" collapsed="false">
      <c r="A18167" s="1" t="s">
        <v>1212</v>
      </c>
      <c r="B18167" s="1" t="s">
        <v>279</v>
      </c>
      <c r="F18167" s="8" t="n">
        <f aca="false">(1-v_off)*mid_yr</f>
        <v>0.373972602739726</v>
      </c>
      <c r="G18167" s="8" t="n">
        <f aca="false">Sens!G18017-base_fy-mid_yr-v_off</f>
        <v>1.24794520547945</v>
      </c>
      <c r="H18167" s="8" t="n">
        <f aca="false">Sens!H18017-base_fy-mid_yr-v_off</f>
        <v>2.24794520547945</v>
      </c>
      <c r="I18167" s="8" t="n">
        <f aca="false">Sens!I18017-base_fy-mid_yr-v_off</f>
        <v>3.24794520547945</v>
      </c>
      <c r="J18167" s="8" t="n">
        <f aca="false">Sens!J18017-base_fy-mid_yr-v_off</f>
        <v>4.24794520547945</v>
      </c>
      <c r="K18167" s="8" t="n">
        <f aca="false">Sens!K18017-base_fy-mid_yr-v_off</f>
        <v>5.24794520547945</v>
      </c>
      <c r="L18167" s="12" t="s">
        <v>1213</v>
      </c>
    </row>
    <row r="18168" customFormat="false" ht="15" hidden="false" customHeight="false" outlineLevel="0" collapsed="false">
      <c r="A18168" s="1" t="s">
        <v>1214</v>
      </c>
      <c r="B18168" s="1" t="s">
        <v>279</v>
      </c>
      <c r="F18168" s="8" t="n">
        <f aca="false">Sens!F18017-base_fy-v_off</f>
        <v>0.747945205479452</v>
      </c>
      <c r="G18168" s="8" t="n">
        <f aca="false">Sens!G18017-base_fy-v_off</f>
        <v>1.74794520547945</v>
      </c>
      <c r="H18168" s="8" t="n">
        <f aca="false">Sens!H18017-base_fy-v_off</f>
        <v>2.74794520547945</v>
      </c>
      <c r="I18168" s="8" t="n">
        <f aca="false">Sens!I18017-base_fy-v_off</f>
        <v>3.74794520547945</v>
      </c>
      <c r="J18168" s="8" t="n">
        <f aca="false">Sens!J18017-base_fy-v_off</f>
        <v>4.74794520547945</v>
      </c>
      <c r="K18168" s="8" t="n">
        <f aca="false">Sens!K18017-base_fy-v_off</f>
        <v>5.74794520547945</v>
      </c>
    </row>
    <row r="18169" customFormat="false" ht="15" hidden="false" customHeight="false" outlineLevel="0" collapsed="false">
      <c r="A18169" s="1" t="s">
        <v>1215</v>
      </c>
      <c r="B18169" s="0" t="s">
        <v>229</v>
      </c>
      <c r="F18169" s="15" t="n">
        <f aca="false">1/(1+wacc)^Sens!F18167</f>
        <v>0.964022703286649</v>
      </c>
      <c r="G18169" s="15" t="n">
        <f aca="false">1/(1+wacc)^Sens!G18167</f>
        <v>0.884910302296739</v>
      </c>
      <c r="H18169" s="15" t="n">
        <f aca="false">1/(1+wacc)^Sens!H18167</f>
        <v>0.802322009770358</v>
      </c>
      <c r="I18169" s="15" t="n">
        <f aca="false">1/(1+wacc)^Sens!I18167</f>
        <v>0.727441646561469</v>
      </c>
      <c r="J18169" s="15" t="n">
        <f aca="false">1/(1+wacc)^Sens!J18167</f>
        <v>0.659549834988973</v>
      </c>
      <c r="K18169" s="15" t="n">
        <f aca="false">1/(1+wacc)^Sens!K18167</f>
        <v>0.597994336576966</v>
      </c>
    </row>
    <row r="18170" customFormat="false" ht="17.15" hidden="false" customHeight="false" outlineLevel="0" collapsed="false">
      <c r="A18170" s="1" t="s">
        <v>1216</v>
      </c>
      <c r="B18170" s="0" t="s">
        <v>98</v>
      </c>
      <c r="F18170" s="6" t="n">
        <f aca="false">Q!$I$35-Q!$I$39-Q!$I$43</f>
        <v>9.666</v>
      </c>
      <c r="L18170" s="12" t="s">
        <v>1217</v>
      </c>
    </row>
    <row r="18171" customFormat="false" ht="17.15" hidden="false" customHeight="false" outlineLevel="0" collapsed="false">
      <c r="A18171" s="1" t="s">
        <v>1218</v>
      </c>
      <c r="B18171" s="0" t="s">
        <v>98</v>
      </c>
      <c r="F18171" s="6" t="n">
        <f aca="false">Sens!F18142-Sens!F18139-Sens!F18146+Sens!F18124*(1-tax_f)*(1-v_off)-Sens!F18170</f>
        <v>-6.10282680452259</v>
      </c>
      <c r="G18171" s="6" t="n">
        <f aca="false">Sens!G18142-Sens!G18139-Sens!G18146+Sens!G18124*(1-tax_f)</f>
        <v>19.0084129023516</v>
      </c>
      <c r="H18171" s="6" t="n">
        <f aca="false">Sens!H18142-Sens!H18139-Sens!H18146+Sens!H18124*(1-tax_f)</f>
        <v>55.9229468383331</v>
      </c>
      <c r="I18171" s="6" t="n">
        <f aca="false">Sens!I18142-Sens!I18139-Sens!I18146+Sens!I18124*(1-tax_f)</f>
        <v>127.901908576191</v>
      </c>
      <c r="J18171" s="6" t="n">
        <f aca="false">Sens!J18142-Sens!J18139-Sens!J18146+Sens!J18124*(1-tax_f)</f>
        <v>201.958443859638</v>
      </c>
      <c r="K18171" s="6" t="n">
        <f aca="false">Sens!K18142-Sens!K18139-Sens!K18146+Sens!K18124*(1-tax_f)</f>
        <v>237.542519059905</v>
      </c>
      <c r="L18171" s="1" t="s">
        <v>1219</v>
      </c>
    </row>
    <row r="18172" customFormat="false" ht="15" hidden="false" customHeight="false" outlineLevel="0" collapsed="false">
      <c r="A18172" s="1" t="s">
        <v>1220</v>
      </c>
      <c r="B18172" s="0" t="s">
        <v>98</v>
      </c>
      <c r="F18172" s="6" t="n">
        <f aca="false">Sens!F18171*Sens!F18169</f>
        <v>-5.88326359378609</v>
      </c>
      <c r="G18172" s="6" t="n">
        <f aca="false">Sens!G18171*Sens!G18169</f>
        <v>16.8207404076012</v>
      </c>
      <c r="H18172" s="6" t="n">
        <f aca="false">Sens!H18171*Sens!H18169</f>
        <v>44.8682110996123</v>
      </c>
      <c r="I18172" s="6" t="n">
        <f aca="false">Sens!I18171*Sens!I18169</f>
        <v>93.0411749730187</v>
      </c>
      <c r="J18172" s="6" t="n">
        <f aca="false">Sens!J18171*Sens!J18169</f>
        <v>133.201658322254</v>
      </c>
      <c r="K18172" s="6" t="n">
        <f aca="false">Sens!K18171*Sens!K18169</f>
        <v>142.049081094049</v>
      </c>
    </row>
    <row r="18173" customFormat="false" ht="17.15" hidden="false" customHeight="false" outlineLevel="0" collapsed="false">
      <c r="A18173" s="1" t="s">
        <v>1221</v>
      </c>
      <c r="B18173" s="0" t="s">
        <v>98</v>
      </c>
      <c r="C18173" s="6" t="n">
        <f aca="false">SUM(Sens!F18172:K18172)</f>
        <v>424.097602302749</v>
      </c>
    </row>
    <row r="18174" customFormat="false" ht="17.15" hidden="false" customHeight="false" outlineLevel="0" collapsed="false">
      <c r="A18174" s="1" t="s">
        <v>1222</v>
      </c>
      <c r="B18174" s="0" t="s">
        <v>98</v>
      </c>
      <c r="C18174" s="6" t="n">
        <f aca="false">Sens!K18110*(1+g_tv)*(1-tax_f)</f>
        <v>247.098906713682</v>
      </c>
    </row>
    <row r="18175" customFormat="false" ht="17.15" hidden="false" customHeight="false" outlineLevel="0" collapsed="false">
      <c r="A18175" s="1" t="s">
        <v>1223</v>
      </c>
      <c r="B18175" s="0" t="s">
        <v>98</v>
      </c>
      <c r="C18175" s="6" t="n">
        <f aca="false">Sens!$C$18174*(1-g_tv/(wacc+ronic_prem))</f>
        <v>175.084017418113</v>
      </c>
    </row>
    <row r="18176" customFormat="false" ht="17.15" hidden="false" customHeight="false" outlineLevel="0" collapsed="false">
      <c r="A18176" s="1" t="s">
        <v>1224</v>
      </c>
      <c r="B18176" s="0" t="s">
        <v>98</v>
      </c>
      <c r="C18176" s="6" t="n">
        <f aca="false">Sens!$C$18175/(wacc-g_tv)</f>
        <v>2400.4963098523</v>
      </c>
    </row>
    <row r="18177" customFormat="false" ht="15" hidden="false" customHeight="false" outlineLevel="0" collapsed="false">
      <c r="A18177" s="1" t="s">
        <v>1225</v>
      </c>
      <c r="B18177" s="0" t="s">
        <v>98</v>
      </c>
      <c r="C18177" s="6" t="n">
        <f aca="false">Sens!$C$18176/(1+wacc)^Sens!K18168</f>
        <v>1366.85624415645</v>
      </c>
    </row>
    <row r="18178" customFormat="false" ht="17.15" hidden="false" customHeight="false" outlineLevel="0" collapsed="false">
      <c r="A18178" s="0" t="s">
        <v>1226</v>
      </c>
      <c r="B18178" s="0" t="s">
        <v>98</v>
      </c>
      <c r="C18178" s="6" t="n">
        <f aca="false">Sens!$C$18173+Sens!$C$18177</f>
        <v>1790.9538464592</v>
      </c>
    </row>
    <row r="18179" customFormat="false" ht="15" hidden="false" customHeight="false" outlineLevel="0" collapsed="false">
      <c r="A18179" s="1" t="s">
        <v>1141</v>
      </c>
      <c r="B18179" s="0" t="s">
        <v>168</v>
      </c>
      <c r="C18179" s="7" t="n">
        <f aca="false">Sens!$C$18177/Sens!$C$18178</f>
        <v>0.763200149941769</v>
      </c>
    </row>
    <row r="18180" customFormat="false" ht="17.15" hidden="false" customHeight="false" outlineLevel="0" collapsed="false">
      <c r="A18180" s="1" t="s">
        <v>1227</v>
      </c>
      <c r="B18180" s="0" t="s">
        <v>98</v>
      </c>
      <c r="C18180" s="6" t="n">
        <f aca="false">Sens!$C$18178+cash_val-debt_val-fl_val+oai_v</f>
        <v>1906.8048464592</v>
      </c>
    </row>
    <row r="18181" customFormat="false" ht="17.15" hidden="false" customHeight="false" outlineLevel="0" collapsed="false">
      <c r="A18181" s="0" t="s">
        <v>1149</v>
      </c>
      <c r="B18181" s="0" t="s">
        <v>75</v>
      </c>
      <c r="C18181" s="5" t="n">
        <f aca="false">Sens!$C$18180/shd_val</f>
        <v>256.084454265269</v>
      </c>
    </row>
    <row r="18182" customFormat="false" ht="15" hidden="false" customHeight="false" outlineLevel="0" collapsed="false">
      <c r="A18182" s="1" t="s">
        <v>1228</v>
      </c>
      <c r="B18182" s="0" t="s">
        <v>75</v>
      </c>
      <c r="C18182" s="8" t="n">
        <f aca="false">div_rem27+Sens!G18150*roll_div_q/q_per_yr</f>
        <v>3.9795</v>
      </c>
    </row>
    <row r="18183" customFormat="false" ht="17.15" hidden="false" customHeight="false" outlineLevel="0" collapsed="false">
      <c r="A18183" s="0" t="s">
        <v>1229</v>
      </c>
      <c r="B18183" s="0" t="s">
        <v>75</v>
      </c>
      <c r="C18183" s="5" t="n">
        <f aca="false">Sens!$C$18181*(1+wacc)^t_roll-Sens!$C$18182</f>
        <v>280.67266317972</v>
      </c>
    </row>
    <row r="18184" customFormat="false" ht="17.15" hidden="false" customHeight="false" outlineLevel="0" collapsed="false">
      <c r="A18184" s="1" t="s">
        <v>1230</v>
      </c>
      <c r="B18184" s="0" t="s">
        <v>168</v>
      </c>
      <c r="F18184" s="7" t="n">
        <f aca="false">Sens!F18136/(Sens!F18081-Sens!F18036)</f>
        <v>0.068677393452264</v>
      </c>
      <c r="G18184" s="7" t="n">
        <f aca="false">Sens!G18136/(Sens!G18081-Sens!G18036)</f>
        <v>0.0663132664471956</v>
      </c>
      <c r="H18184" s="7" t="n">
        <f aca="false">Sens!H18136/(Sens!H18081-Sens!H18036)</f>
        <v>0.0651363826734039</v>
      </c>
      <c r="I18184" s="7" t="n">
        <f aca="false">Sens!I18136/(Sens!I18081-Sens!I18036)</f>
        <v>0.0650087936347709</v>
      </c>
      <c r="J18184" s="7" t="n">
        <f aca="false">Sens!J18136/(Sens!J18081-Sens!J18036)</f>
        <v>0.0657212684841778</v>
      </c>
      <c r="K18184" s="7" t="n">
        <f aca="false">Sens!K18136/(Sens!K18081-Sens!K18036)</f>
        <v>0.0670413306015285</v>
      </c>
    </row>
    <row r="18185" customFormat="false" ht="17.15" hidden="false" customHeight="false" outlineLevel="0" collapsed="false">
      <c r="A18185" s="0" t="s">
        <v>1231</v>
      </c>
      <c r="B18185" s="0" t="s">
        <v>98</v>
      </c>
      <c r="F18185" s="6" t="n">
        <f aca="false">Sens!F18066*(al_m365+Sens!F18184+sbc_r)</f>
        <v>82.9185219618347</v>
      </c>
      <c r="G18185" s="6" t="n">
        <f aca="false">Sens!G18066*(al_m365+Sens!G18184+sbc_r)</f>
        <v>93.3068052157631</v>
      </c>
      <c r="H18185" s="6" t="n">
        <f aca="false">Sens!H18066*(al_m365+Sens!H18184+sbc_r)</f>
        <v>103.856057136159</v>
      </c>
      <c r="I18185" s="6" t="n">
        <f aca="false">Sens!I18066*(al_m365+Sens!I18184+sbc_r)</f>
        <v>113.889717587147</v>
      </c>
      <c r="J18185" s="6" t="n">
        <f aca="false">Sens!J18066*(al_m365+Sens!J18184+sbc_r)</f>
        <v>123.218477864124</v>
      </c>
      <c r="K18185" s="6" t="n">
        <f aca="false">Sens!K18066*(al_m365+Sens!K18184+sbc_r)</f>
        <v>132.149420086311</v>
      </c>
      <c r="L18185" s="12" t="s">
        <v>1232</v>
      </c>
    </row>
    <row r="18186" customFormat="false" ht="17.15" hidden="false" customHeight="false" outlineLevel="0" collapsed="false">
      <c r="A18186" s="0" t="s">
        <v>1233</v>
      </c>
      <c r="B18186" s="0" t="s">
        <v>98</v>
      </c>
      <c r="F18186" s="6" t="n">
        <f aca="false">Sens!F18067*(al_lic+Sens!F18184+sbc_r)</f>
        <v>32.8599853992256</v>
      </c>
      <c r="G18186" s="6" t="n">
        <f aca="false">Sens!G18067*(al_lic+Sens!G18184+sbc_r)</f>
        <v>34.1568280697879</v>
      </c>
      <c r="H18186" s="6" t="n">
        <f aca="false">Sens!H18067*(al_lic+Sens!H18184+sbc_r)</f>
        <v>35.3635535007213</v>
      </c>
      <c r="I18186" s="6" t="n">
        <f aca="false">Sens!I18067*(al_lic+Sens!I18184+sbc_r)</f>
        <v>36.4604537346553</v>
      </c>
      <c r="J18186" s="6" t="n">
        <f aca="false">Sens!J18067*(al_lic+Sens!J18184+sbc_r)</f>
        <v>37.4245888933574</v>
      </c>
      <c r="K18186" s="6" t="n">
        <f aca="false">Sens!K18067*(al_lic+Sens!K18184+sbc_r)</f>
        <v>38.2321483186439</v>
      </c>
    </row>
    <row r="18187" customFormat="false" ht="17.15" hidden="false" customHeight="false" outlineLevel="0" collapsed="false">
      <c r="A18187" s="0" t="s">
        <v>1234</v>
      </c>
      <c r="B18187" s="0" t="s">
        <v>98</v>
      </c>
      <c r="F18187" s="6" t="n">
        <f aca="false">Sens!F18069*(al_ind+Sens!F18184+sbc_r)</f>
        <v>9.06170747885803</v>
      </c>
      <c r="G18187" s="6" t="n">
        <f aca="false">Sens!G18069*(al_ind+Sens!G18184+sbc_r)</f>
        <v>9.8478979082138</v>
      </c>
      <c r="H18187" s="6" t="n">
        <f aca="false">Sens!H18069*(al_ind+Sens!H18184+sbc_r)</f>
        <v>10.6768254332059</v>
      </c>
      <c r="I18187" s="6" t="n">
        <f aca="false">Sens!I18069*(al_ind+Sens!I18184+sbc_r)</f>
        <v>11.54398793803</v>
      </c>
      <c r="J18187" s="6" t="n">
        <f aca="false">Sens!J18069*(al_ind+Sens!J18184+sbc_r)</f>
        <v>12.4407914253112</v>
      </c>
      <c r="K18187" s="6" t="n">
        <f aca="false">Sens!K18069*(al_ind+Sens!K18184+sbc_r)</f>
        <v>13.355239066864</v>
      </c>
    </row>
    <row r="18188" customFormat="false" ht="17.15" hidden="false" customHeight="false" outlineLevel="0" collapsed="false">
      <c r="A18188" s="0" t="s">
        <v>1235</v>
      </c>
      <c r="B18188" s="0" t="s">
        <v>98</v>
      </c>
      <c r="F18188" s="6" t="n">
        <f aca="false">Sens!F18071*(al_fro+Sens!F18184+sbc_r)</f>
        <v>3.55453569939552</v>
      </c>
      <c r="G18188" s="6" t="n">
        <f aca="false">Sens!G18071*(al_fro+Sens!G18184+sbc_r)</f>
        <v>3.76809436159872</v>
      </c>
      <c r="H18188" s="6" t="n">
        <f aca="false">Sens!H18071*(al_fro+Sens!H18184+sbc_r)</f>
        <v>4.00964905674607</v>
      </c>
      <c r="I18188" s="6" t="n">
        <f aca="false">Sens!I18071*(al_fro+Sens!I18184+sbc_r)</f>
        <v>4.28152633145235</v>
      </c>
      <c r="J18188" s="6" t="n">
        <f aca="false">Sens!J18071*(al_fro+Sens!J18184+sbc_r)</f>
        <v>4.58536512975975</v>
      </c>
      <c r="K18188" s="6" t="n">
        <f aca="false">Sens!K18071*(al_fro+Sens!K18184+sbc_r)</f>
        <v>4.92240770086468</v>
      </c>
    </row>
    <row r="18189" customFormat="false" ht="17.15" hidden="false" customHeight="false" outlineLevel="0" collapsed="false">
      <c r="A18189" s="0" t="s">
        <v>1236</v>
      </c>
      <c r="B18189" s="0" t="s">
        <v>98</v>
      </c>
      <c r="F18189" s="6" t="n">
        <f aca="false">Sens!F18074*(al_srch+Sens!F18184+sbc_r)</f>
        <v>11.190683952584</v>
      </c>
      <c r="G18189" s="6" t="n">
        <f aca="false">Sens!G18074*(al_srch+Sens!G18184+sbc_r)</f>
        <v>12.2763328717258</v>
      </c>
      <c r="H18189" s="6" t="n">
        <f aca="false">Sens!H18074*(al_srch+Sens!H18184+sbc_r)</f>
        <v>13.4043563346576</v>
      </c>
      <c r="I18189" s="6" t="n">
        <f aca="false">Sens!I18074*(al_srch+Sens!I18184+sbc_r)</f>
        <v>14.5621512181916</v>
      </c>
      <c r="J18189" s="6" t="n">
        <f aca="false">Sens!J18074*(al_srch+Sens!J18184+sbc_r)</f>
        <v>15.7310381862385</v>
      </c>
      <c r="K18189" s="6" t="n">
        <f aca="false">Sens!K18074*(al_srch+Sens!K18184+sbc_r)</f>
        <v>16.8873320486462</v>
      </c>
    </row>
    <row r="18190" customFormat="false" ht="17.15" hidden="false" customHeight="false" outlineLevel="0" collapsed="false">
      <c r="A18190" s="0" t="s">
        <v>1237</v>
      </c>
      <c r="B18190" s="0" t="s">
        <v>98</v>
      </c>
      <c r="F18190" s="6" t="n">
        <f aca="false">Sens!F18042-Sens!F18043+Sens!F18124</f>
        <v>38.9696429794913</v>
      </c>
      <c r="G18190" s="6" t="n">
        <f aca="false">Sens!G18042-Sens!G18043+Sens!G18124</f>
        <v>69.465497726016</v>
      </c>
      <c r="H18190" s="6" t="n">
        <f aca="false">Sens!H18042-Sens!H18043+Sens!H18124</f>
        <v>96.8147106808268</v>
      </c>
      <c r="I18190" s="6" t="n">
        <f aca="false">Sens!I18042-Sens!I18043+Sens!I18124</f>
        <v>127.654939766446</v>
      </c>
      <c r="J18190" s="6" t="n">
        <f aca="false">Sens!J18042-Sens!J18043+Sens!J18124</f>
        <v>149.308352681229</v>
      </c>
      <c r="K18190" s="6" t="n">
        <f aca="false">Sens!K18042-Sens!K18043+Sens!K18124</f>
        <v>162.731822021841</v>
      </c>
    </row>
    <row r="18191" customFormat="false" ht="17.15" hidden="false" customHeight="false" outlineLevel="0" collapsed="false">
      <c r="A18191" s="0" t="s">
        <v>1238</v>
      </c>
      <c r="B18191" s="0" t="s">
        <v>98</v>
      </c>
      <c r="F18191" s="6" t="n">
        <f aca="false">Sens!F18103+Sens!F18124+Sens!F18054+Sens!F18184*(Sens!F18073-Sens!F18036)+sbc_r*Sens!F18073</f>
        <v>234.79972328186</v>
      </c>
      <c r="G18191" s="6" t="n">
        <f aca="false">Sens!G18103+Sens!G18124+Sens!G18054+Sens!G18184*(Sens!G18073-Sens!G18036)+sbc_r*Sens!G18073</f>
        <v>285.499052659517</v>
      </c>
      <c r="H18191" s="6" t="n">
        <f aca="false">Sens!H18103+Sens!H18124+Sens!H18054+Sens!H18184*(Sens!H18073-Sens!H18036)+sbc_r*Sens!H18073</f>
        <v>338.258569294547</v>
      </c>
      <c r="I18191" s="6" t="n">
        <f aca="false">Sens!I18103+Sens!I18124+Sens!I18054+Sens!I18184*(Sens!I18073-Sens!I18036)+sbc_r*Sens!I18073</f>
        <v>393.887902526982</v>
      </c>
      <c r="J18191" s="6" t="n">
        <f aca="false">Sens!J18103+Sens!J18124+Sens!J18054+Sens!J18184*(Sens!J18073-Sens!J18036)+sbc_r*Sens!J18073</f>
        <v>438.406631506078</v>
      </c>
      <c r="K18191" s="6" t="n">
        <f aca="false">Sens!K18103+Sens!K18124+Sens!K18054+Sens!K18184*(Sens!K18073-Sens!K18036)+sbc_r*Sens!K18073</f>
        <v>472.352875745143</v>
      </c>
    </row>
    <row r="18192" customFormat="false" ht="17.15" hidden="false" customHeight="false" outlineLevel="0" collapsed="false">
      <c r="A18192" s="0" t="s">
        <v>1239</v>
      </c>
      <c r="B18192" s="0" t="s">
        <v>98</v>
      </c>
      <c r="F18192" s="6" t="n">
        <f aca="false">Sens!F18191-Sens!F18185-Sens!F18186-Sens!F18187-Sens!F18188-Sens!F18190</f>
        <v>67.4353297630543</v>
      </c>
      <c r="G18192" s="6" t="n">
        <f aca="false">Sens!G18191-Sens!G18185-Sens!G18186-Sens!G18187-Sens!G18188-Sens!G18190</f>
        <v>74.9539293781376</v>
      </c>
      <c r="H18192" s="6" t="n">
        <f aca="false">Sens!H18191-Sens!H18185-Sens!H18186-Sens!H18187-Sens!H18188-Sens!H18190</f>
        <v>87.537773486888</v>
      </c>
      <c r="I18192" s="6" t="n">
        <f aca="false">Sens!I18191-Sens!I18185-Sens!I18186-Sens!I18187-Sens!I18188-Sens!I18190</f>
        <v>100.057277169252</v>
      </c>
      <c r="J18192" s="6" t="n">
        <f aca="false">Sens!J18191-Sens!J18185-Sens!J18186-Sens!J18187-Sens!J18188-Sens!J18190</f>
        <v>111.429055512297</v>
      </c>
      <c r="K18192" s="6" t="n">
        <f aca="false">Sens!K18191-Sens!K18185-Sens!K18186-Sens!K18187-Sens!K18188-Sens!K18190</f>
        <v>120.961838550618</v>
      </c>
    </row>
    <row r="18193" customFormat="false" ht="17.15" hidden="false" customHeight="false" outlineLevel="0" collapsed="false">
      <c r="A18193" s="0" t="s">
        <v>1240</v>
      </c>
      <c r="B18193" s="0" t="s">
        <v>98</v>
      </c>
      <c r="F18193" s="6" t="n">
        <f aca="false">Sens!F18105+Sens!F18184*Sens!F18080+sbc_r*Sens!F18080</f>
        <v>26.6373549789235</v>
      </c>
      <c r="G18193" s="6" t="n">
        <f aca="false">Sens!G18105+Sens!G18184*Sens!G18080+sbc_r*Sens!G18080</f>
        <v>26.5038922765853</v>
      </c>
      <c r="H18193" s="6" t="n">
        <f aca="false">Sens!H18105+Sens!H18184*Sens!H18080+sbc_r*Sens!H18080</f>
        <v>27.3981100014792</v>
      </c>
      <c r="I18193" s="6" t="n">
        <f aca="false">Sens!I18105+Sens!I18184*Sens!I18080+sbc_r*Sens!I18080</f>
        <v>28.5176442589239</v>
      </c>
      <c r="J18193" s="6" t="n">
        <f aca="false">Sens!J18105+Sens!J18184*Sens!J18080+sbc_r*Sens!J18080</f>
        <v>29.8313998963726</v>
      </c>
      <c r="K18193" s="6" t="n">
        <f aca="false">Sens!K18105+Sens!K18184*Sens!K18080+sbc_r*Sens!K18080</f>
        <v>31.3103466222307</v>
      </c>
    </row>
    <row r="18194" customFormat="false" ht="17.15" hidden="false" customHeight="false" outlineLevel="0" collapsed="false">
      <c r="A18194" s="0" t="s">
        <v>1241</v>
      </c>
      <c r="B18194" s="0" t="s">
        <v>98</v>
      </c>
      <c r="F18194" s="6" t="n">
        <f aca="false">(Sens!F18193-Sens!F18189)*Sens!F18076/(Sens!F18076+Sens!F18078)</f>
        <v>8.72405610479892</v>
      </c>
      <c r="G18194" s="6" t="n">
        <f aca="false">(Sens!G18193-Sens!G18189)*Sens!G18076/(Sens!G18076+Sens!G18078)</f>
        <v>7.897418765869</v>
      </c>
      <c r="H18194" s="6" t="n">
        <f aca="false">(Sens!H18193-Sens!H18189)*Sens!H18076/(Sens!H18076+Sens!H18078)</f>
        <v>7.66644879573063</v>
      </c>
      <c r="I18194" s="6" t="n">
        <f aca="false">(Sens!I18193-Sens!I18189)*Sens!I18076/(Sens!I18076+Sens!I18078)</f>
        <v>7.5787545031814</v>
      </c>
      <c r="J18194" s="6" t="n">
        <f aca="false">(Sens!J18193-Sens!J18189)*Sens!J18076/(Sens!J18076+Sens!J18078)</f>
        <v>7.62401876450459</v>
      </c>
      <c r="K18194" s="6" t="n">
        <f aca="false">(Sens!K18193-Sens!K18189)*Sens!K18076/(Sens!K18076+Sens!K18078)</f>
        <v>7.79847609658838</v>
      </c>
    </row>
    <row r="18195" customFormat="false" ht="17.15" hidden="false" customHeight="false" outlineLevel="0" collapsed="false">
      <c r="A18195" s="0" t="s">
        <v>1242</v>
      </c>
      <c r="B18195" s="0" t="s">
        <v>98</v>
      </c>
      <c r="F18195" s="6" t="n">
        <f aca="false">Sens!F18193-Sens!F18189-Sens!F18194</f>
        <v>6.72261492154066</v>
      </c>
      <c r="G18195" s="6" t="n">
        <f aca="false">Sens!G18193-Sens!G18189-Sens!G18194</f>
        <v>6.33014063899044</v>
      </c>
      <c r="H18195" s="6" t="n">
        <f aca="false">Sens!H18193-Sens!H18189-Sens!H18194</f>
        <v>6.32730487109095</v>
      </c>
      <c r="I18195" s="6" t="n">
        <f aca="false">Sens!I18193-Sens!I18189-Sens!I18194</f>
        <v>6.37673853755084</v>
      </c>
      <c r="J18195" s="6" t="n">
        <f aca="false">Sens!J18193-Sens!J18189-Sens!J18194</f>
        <v>6.47634294562954</v>
      </c>
      <c r="K18195" s="6" t="n">
        <f aca="false">Sens!K18193-Sens!K18189-Sens!K18194</f>
        <v>6.62453847699607</v>
      </c>
    </row>
    <row r="18196" customFormat="false" ht="17.15" hidden="false" customHeight="false" outlineLevel="0" collapsed="false">
      <c r="A18196" s="0" t="s">
        <v>1243</v>
      </c>
      <c r="B18196" s="0" t="s">
        <v>98</v>
      </c>
      <c r="F18196" s="6" t="n">
        <f aca="false">Sens!F18190-tax_f*(Sens!F18190-Sens!F18054)-Sens!F18051</f>
        <v>-130.362326762856</v>
      </c>
      <c r="G18196" s="6" t="n">
        <f aca="false">Sens!G18190-tax_f*(Sens!G18190-Sens!G18054)-Sens!G18051</f>
        <v>-124.225179337776</v>
      </c>
      <c r="H18196" s="6" t="n">
        <f aca="false">Sens!H18190-tax_f*(Sens!H18190-Sens!H18054)-Sens!H18051</f>
        <v>-101.534217387562</v>
      </c>
      <c r="I18196" s="6" t="n">
        <f aca="false">Sens!I18190-tax_f*(Sens!I18190-Sens!I18054)-Sens!I18051</f>
        <v>-43.6446798695439</v>
      </c>
      <c r="J18196" s="6" t="n">
        <f aca="false">Sens!J18190-tax_f*(Sens!J18190-Sens!J18054)-Sens!J18051</f>
        <v>16.9198855589618</v>
      </c>
      <c r="K18196" s="6" t="n">
        <f aca="false">Sens!K18190-tax_f*(Sens!K18190-Sens!K18054)-Sens!K18051</f>
        <v>39.8251384629271</v>
      </c>
    </row>
    <row r="18197" customFormat="false" ht="17.15" hidden="false" customHeight="false" outlineLevel="0" collapsed="false">
      <c r="A18197" s="0" t="s">
        <v>1244</v>
      </c>
      <c r="B18197" s="0" t="s">
        <v>98</v>
      </c>
      <c r="G18197" s="6" t="n">
        <f aca="false">Sens!G18196/(1+wacc)^(Sens!G18167-Sens!F18168)</f>
        <v>-118.286276192192</v>
      </c>
      <c r="H18197" s="6" t="n">
        <f aca="false">Sens!H18196/(1+wacc)^(Sens!H18167-Sens!F18168)</f>
        <v>-87.6570009910427</v>
      </c>
      <c r="I18197" s="6" t="n">
        <f aca="false">Sens!I18196/(1+wacc)^(Sens!I18167-Sens!F18168)</f>
        <v>-34.1629172979204</v>
      </c>
      <c r="J18197" s="6" t="n">
        <f aca="false">Sens!J18196/(1+wacc)^(Sens!J18167-Sens!F18168)</f>
        <v>12.0079954170053</v>
      </c>
      <c r="K18197" s="6" t="n">
        <f aca="false">Sens!K18196/(1+wacc)^(Sens!K18167-Sens!F18168)</f>
        <v>25.6259421582556</v>
      </c>
      <c r="L18197" s="1" t="s">
        <v>1245</v>
      </c>
    </row>
    <row r="18198" customFormat="false" ht="17.15" hidden="false" customHeight="false" outlineLevel="0" collapsed="false">
      <c r="A18198" s="0" t="s">
        <v>1246</v>
      </c>
      <c r="B18198" s="0" t="s">
        <v>98</v>
      </c>
      <c r="C18198" s="6" t="n">
        <f aca="false">(Sens!K18190-Sens!K18054)*(1-tax_f)*(1+g_tv)*(1-g_tv/(wacc+ronic_prem))/(wacc-g_tv)/(1+wacc)^(Sens!K18168-Sens!F18168)</f>
        <v>96.7148026864948</v>
      </c>
    </row>
    <row r="18199" customFormat="false" ht="17.15" hidden="false" customHeight="false" outlineLevel="0" collapsed="false">
      <c r="A18199" s="1" t="s">
        <v>1247</v>
      </c>
      <c r="B18199" s="0" t="s">
        <v>98</v>
      </c>
      <c r="C18199" s="6" t="n">
        <f aca="false">(SUM(Sens!G18197:K18197)+Sens!$C$18198)*(1+wacc)^(t_roll-Sens!F18168)</f>
        <v>-109.248827617462</v>
      </c>
      <c r="L18199" s="12" t="s">
        <v>1248</v>
      </c>
    </row>
    <row r="18200" customFormat="false" ht="17.15" hidden="false" customHeight="false" outlineLevel="0" collapsed="false">
      <c r="A18200" s="1" t="s">
        <v>1249</v>
      </c>
      <c r="B18200" s="0" t="s">
        <v>98</v>
      </c>
      <c r="C18200" s="6" t="n">
        <f aca="false">(w_ntm28*Sens!G18042+(1-w_ntm28)*Sens!H18042)*m_ai</f>
        <v>344.355829012336</v>
      </c>
    </row>
    <row r="18201" customFormat="false" ht="17.15" hidden="false" customHeight="false" outlineLevel="0" collapsed="false">
      <c r="A18201" s="1" t="s">
        <v>1250</v>
      </c>
      <c r="B18201" s="0" t="s">
        <v>98</v>
      </c>
      <c r="C18201" s="6" t="n">
        <f aca="false">(w_ntm28*Sens!G18192+(1-w_ntm28)*Sens!H18192)*m_cloud</f>
        <v>1093.03877543039</v>
      </c>
    </row>
    <row r="18202" customFormat="false" ht="17.15" hidden="false" customHeight="false" outlineLevel="0" collapsed="false">
      <c r="A18202" s="1" t="s">
        <v>1251</v>
      </c>
      <c r="B18202" s="0" t="s">
        <v>98</v>
      </c>
      <c r="C18202" s="6" t="n">
        <f aca="false">(w_ntm28*Sens!G18185+(1-w_ntm28)*Sens!H18185)*m_sw</f>
        <v>1045.17056616266</v>
      </c>
    </row>
    <row r="18203" customFormat="false" ht="17.15" hidden="false" customHeight="false" outlineLevel="0" collapsed="false">
      <c r="A18203" s="1" t="s">
        <v>1252</v>
      </c>
      <c r="B18203" s="0" t="s">
        <v>98</v>
      </c>
      <c r="C18203" s="6" t="n">
        <f aca="false">(w_ntm28*Sens!G18186+(1-w_ntm28)*Sens!H18186)*m_sw</f>
        <v>373.178444957791</v>
      </c>
    </row>
    <row r="18204" customFormat="false" ht="17.15" hidden="false" customHeight="false" outlineLevel="0" collapsed="false">
      <c r="A18204" s="1" t="s">
        <v>1253</v>
      </c>
      <c r="B18204" s="0" t="s">
        <v>98</v>
      </c>
      <c r="C18204" s="6" t="n">
        <f aca="false">(w_ntm28*Sens!G18187+(1-w_ntm28)*Sens!H18187)*m_sw</f>
        <v>109.30055788101</v>
      </c>
    </row>
    <row r="18205" customFormat="false" ht="17.15" hidden="false" customHeight="false" outlineLevel="0" collapsed="false">
      <c r="A18205" s="1" t="s">
        <v>1254</v>
      </c>
      <c r="B18205" s="0" t="s">
        <v>98</v>
      </c>
      <c r="C18205" s="6" t="n">
        <f aca="false">(w_ntm28*Sens!G18188+(1-w_ntm28)*Sens!H18188)*m_sw</f>
        <v>41.5531037214606</v>
      </c>
    </row>
    <row r="18206" customFormat="false" ht="17.15" hidden="false" customHeight="false" outlineLevel="0" collapsed="false">
      <c r="A18206" s="1" t="s">
        <v>1255</v>
      </c>
      <c r="B18206" s="0" t="s">
        <v>98</v>
      </c>
      <c r="C18206" s="6" t="n">
        <f aca="false">(w_ntm28*Sens!G18189+(1-w_ntm28)*Sens!H18189)*m_ads</f>
        <v>115.215899994784</v>
      </c>
    </row>
    <row r="18207" customFormat="false" ht="17.15" hidden="false" customHeight="false" outlineLevel="0" collapsed="false">
      <c r="A18207" s="1" t="s">
        <v>1256</v>
      </c>
      <c r="B18207" s="0" t="s">
        <v>98</v>
      </c>
      <c r="C18207" s="6" t="n">
        <f aca="false">(w_ntm28*Sens!G18194+(1-w_ntm28)*Sens!H18194)*m_game</f>
        <v>98.7853357615783</v>
      </c>
    </row>
    <row r="18208" customFormat="false" ht="17.15" hidden="false" customHeight="false" outlineLevel="0" collapsed="false">
      <c r="A18208" s="1" t="s">
        <v>1257</v>
      </c>
      <c r="B18208" s="0" t="s">
        <v>98</v>
      </c>
      <c r="C18208" s="6" t="n">
        <f aca="false">(w_ntm28*Sens!G18195+(1-w_ntm28)*Sens!H18195)*m_pc</f>
        <v>91.5836445602173</v>
      </c>
    </row>
    <row r="18209" customFormat="false" ht="17.15" hidden="false" customHeight="false" outlineLevel="0" collapsed="false">
      <c r="A18209" s="1" t="s">
        <v>1258</v>
      </c>
      <c r="B18209" s="0" t="s">
        <v>98</v>
      </c>
      <c r="C18209" s="6" t="n">
        <f aca="false">Sens!$C$18199+Sens!$C$18201+Sens!$C$18202+Sens!$C$18203+Sens!$C$18204+Sens!$C$18205+Sens!$C$18206+Sens!$C$18207+Sens!$C$18208</f>
        <v>2858.57750085243</v>
      </c>
    </row>
    <row r="18210" customFormat="false" ht="17.15" hidden="false" customHeight="false" outlineLevel="0" collapsed="false">
      <c r="A18210" s="1" t="s">
        <v>1259</v>
      </c>
      <c r="B18210" s="0" t="s">
        <v>98</v>
      </c>
      <c r="C18210" s="6" t="n">
        <f aca="false">(Sens!G18171-Sens!G18196)*t_stub</f>
        <v>47.4829168796038</v>
      </c>
      <c r="L18210" s="1" t="s">
        <v>1260</v>
      </c>
    </row>
    <row r="18211" customFormat="false" ht="17.15" hidden="false" customHeight="false" outlineLevel="0" collapsed="false">
      <c r="A18211" s="1" t="s">
        <v>1169</v>
      </c>
      <c r="B18211" s="0" t="s">
        <v>98</v>
      </c>
      <c r="C18211" s="6" t="n">
        <f aca="false">Sens!F18158+oai_v-Sens!F18147+Sens!$C$18210</f>
        <v>158.55427008544</v>
      </c>
      <c r="L18211" s="1" t="s">
        <v>1261</v>
      </c>
    </row>
    <row r="18212" customFormat="false" ht="17.15" hidden="false" customHeight="false" outlineLevel="0" collapsed="false">
      <c r="A18212" s="1" t="s">
        <v>1262</v>
      </c>
      <c r="B18212" s="0" t="s">
        <v>75</v>
      </c>
      <c r="C18212" s="5" t="n">
        <f aca="false">(Sens!$C$18209+Sens!$C$18211)/(Sens!F18160+dil_gap)-Sens!G18150*roll_div_q/q_per_yr</f>
        <v>401.459402206225</v>
      </c>
      <c r="L18212" s="1" t="s">
        <v>1263</v>
      </c>
    </row>
    <row r="18213" customFormat="false" ht="17.15" hidden="false" customHeight="false" outlineLevel="0" collapsed="false">
      <c r="A18213" s="1" t="s">
        <v>1264</v>
      </c>
      <c r="B18213" s="0" t="s">
        <v>75</v>
      </c>
      <c r="C18213" s="5" t="n">
        <f aca="false">w_dcf*Sens!$C$18183+(1-w_dcf)*Sens!$C$18212</f>
        <v>341.066032692973</v>
      </c>
    </row>
    <row r="18214" customFormat="false" ht="17.15" hidden="false" customHeight="false" outlineLevel="0" collapsed="false">
      <c r="A18214" s="3" t="s">
        <v>1929</v>
      </c>
    </row>
    <row r="18215" customFormat="false" ht="15" hidden="false" customHeight="false" outlineLevel="0" collapsed="false">
      <c r="A18215" s="4" t="s">
        <v>43</v>
      </c>
      <c r="B18215" s="4" t="s">
        <v>65</v>
      </c>
      <c r="C18215" s="23" t="s">
        <v>938</v>
      </c>
      <c r="D18215" s="23" t="s">
        <v>939</v>
      </c>
      <c r="E18215" s="23" t="s">
        <v>940</v>
      </c>
      <c r="F18215" s="23" t="s">
        <v>941</v>
      </c>
      <c r="G18215" s="23" t="s">
        <v>942</v>
      </c>
      <c r="H18215" s="23" t="s">
        <v>943</v>
      </c>
      <c r="I18215" s="23" t="s">
        <v>944</v>
      </c>
      <c r="J18215" s="23" t="s">
        <v>945</v>
      </c>
      <c r="K18215" s="23" t="s">
        <v>946</v>
      </c>
      <c r="L18215" s="4" t="s">
        <v>47</v>
      </c>
    </row>
    <row r="18216" customFormat="false" ht="17.15" hidden="false" customHeight="false" outlineLevel="0" collapsed="false">
      <c r="A18216" s="1" t="s">
        <v>947</v>
      </c>
      <c r="B18216" s="1" t="s">
        <v>279</v>
      </c>
      <c r="C18216" s="21" t="n">
        <v>2024</v>
      </c>
      <c r="D18216" s="21" t="n">
        <v>2025</v>
      </c>
      <c r="E18216" s="21" t="n">
        <v>2026</v>
      </c>
      <c r="F18216" s="21" t="n">
        <v>2027</v>
      </c>
      <c r="G18216" s="21" t="n">
        <v>2028</v>
      </c>
      <c r="H18216" s="21" t="n">
        <v>2029</v>
      </c>
      <c r="I18216" s="21" t="n">
        <v>2030</v>
      </c>
      <c r="J18216" s="21" t="n">
        <v>2031</v>
      </c>
      <c r="K18216" s="21" t="n">
        <v>2032</v>
      </c>
    </row>
    <row r="18217" customFormat="false" ht="17.15" hidden="false" customHeight="false" outlineLevel="0" collapsed="false">
      <c r="A18217" s="1" t="s">
        <v>948</v>
      </c>
      <c r="B18217" s="0" t="s">
        <v>456</v>
      </c>
      <c r="F18217" s="30" t="n">
        <f aca="false">pace</f>
        <v>2726.5351</v>
      </c>
      <c r="G18217" s="30" t="n">
        <f aca="false">pace</f>
        <v>2726.5351</v>
      </c>
      <c r="H18217" s="30" t="n">
        <f aca="false">pace</f>
        <v>2726.5351</v>
      </c>
      <c r="I18217" s="30" t="n">
        <f aca="false">pace+(g_tv*Sens!H18218-pace)*MIN(1,(Sens!I18216-pace_y0)/(pace_y1-pace_y0))</f>
        <v>1931.98611966667</v>
      </c>
      <c r="J18217" s="30" t="n">
        <f aca="false">pace+(g_tv*Sens!I18218-pace)*MIN(1,(Sens!J18216-pace_y0)/(pace_y1-pace_y0))</f>
        <v>1176.07686172667</v>
      </c>
      <c r="K18217" s="30" t="n">
        <f aca="false">pace+(g_tv*Sens!J18218-pace)*MIN(1,(Sens!K18216-pace_y0)/(pace_y1-pace_y0))</f>
        <v>436.1300484418</v>
      </c>
      <c r="L18217" s="12" t="s">
        <v>949</v>
      </c>
    </row>
    <row r="18218" customFormat="false" ht="17.15" hidden="false" customHeight="false" outlineLevel="0" collapsed="false">
      <c r="A18218" s="1" t="s">
        <v>950</v>
      </c>
      <c r="B18218" s="0" t="s">
        <v>456</v>
      </c>
      <c r="C18218" s="30" t="n">
        <f aca="false">mw_ext_24</f>
        <v>640</v>
      </c>
      <c r="D18218" s="30" t="n">
        <f aca="false">mw_ext_25</f>
        <v>1630</v>
      </c>
      <c r="E18218" s="30" t="n">
        <f aca="false">mw_ext_26</f>
        <v>3250</v>
      </c>
      <c r="F18218" s="30" t="n">
        <f aca="false">Sens!E18218+Sens!F18217</f>
        <v>5976.5351</v>
      </c>
      <c r="G18218" s="30" t="n">
        <f aca="false">Sens!F18218+Sens!G18217</f>
        <v>8703.0702</v>
      </c>
      <c r="H18218" s="30" t="n">
        <f aca="false">Sens!G18218+Sens!H18217</f>
        <v>11429.6053</v>
      </c>
      <c r="I18218" s="30" t="n">
        <f aca="false">Sens!H18218+Sens!I18217</f>
        <v>13361.5914196667</v>
      </c>
      <c r="J18218" s="30" t="n">
        <f aca="false">Sens!I18218+Sens!J18217</f>
        <v>14537.6682813933</v>
      </c>
      <c r="K18218" s="30" t="n">
        <f aca="false">Sens!J18218+Sens!K18217</f>
        <v>14973.7983298351</v>
      </c>
      <c r="L18218" s="1" t="s">
        <v>951</v>
      </c>
    </row>
    <row r="18219" customFormat="false" ht="17.15" hidden="false" customHeight="false" outlineLevel="0" collapsed="false">
      <c r="A18219" s="1" t="s">
        <v>952</v>
      </c>
      <c r="B18219" s="0" t="s">
        <v>456</v>
      </c>
      <c r="C18219" s="30" t="n">
        <f aca="false">rent_ext_24</f>
        <v>150</v>
      </c>
      <c r="D18219" s="30" t="n">
        <f aca="false">rent_ext_25</f>
        <v>400</v>
      </c>
      <c r="E18219" s="30" t="n">
        <f aca="false">rent_ext_26</f>
        <v>550</v>
      </c>
      <c r="F18219" s="30" t="n">
        <f aca="false">rent_ext_f</f>
        <v>756</v>
      </c>
      <c r="G18219" s="30" t="n">
        <f aca="false">rent_ext_f</f>
        <v>756</v>
      </c>
      <c r="H18219" s="30" t="n">
        <f aca="false">rent_ext_f</f>
        <v>756</v>
      </c>
      <c r="I18219" s="30" t="n">
        <f aca="false">rent_ext_f</f>
        <v>756</v>
      </c>
      <c r="J18219" s="30" t="n">
        <f aca="false">rent_ext_f</f>
        <v>756</v>
      </c>
      <c r="K18219" s="30" t="n">
        <f aca="false">rent_ext_f</f>
        <v>756</v>
      </c>
      <c r="L18219" s="1" t="s">
        <v>953</v>
      </c>
    </row>
    <row r="18220" customFormat="false" ht="17.15" hidden="false" customHeight="false" outlineLevel="0" collapsed="false">
      <c r="A18220" s="1" t="s">
        <v>954</v>
      </c>
      <c r="B18220" s="0" t="s">
        <v>456</v>
      </c>
      <c r="C18220" s="30" t="n">
        <f aca="false">Sens!C18218-Sens!C18219</f>
        <v>490</v>
      </c>
      <c r="D18220" s="30" t="n">
        <f aca="false">Sens!D18218-Sens!D18219</f>
        <v>1230</v>
      </c>
      <c r="E18220" s="30" t="n">
        <f aca="false">Sens!E18218-Sens!E18219</f>
        <v>2700</v>
      </c>
      <c r="F18220" s="30" t="n">
        <f aca="false">Sens!F18218-Sens!F18219</f>
        <v>5220.5351</v>
      </c>
      <c r="G18220" s="30" t="n">
        <f aca="false">Sens!G18218-Sens!G18219</f>
        <v>7947.0702</v>
      </c>
      <c r="H18220" s="30" t="n">
        <f aca="false">Sens!H18218-Sens!H18219</f>
        <v>10673.6053</v>
      </c>
      <c r="I18220" s="30" t="n">
        <f aca="false">Sens!I18218-Sens!I18219</f>
        <v>12605.5914196667</v>
      </c>
      <c r="J18220" s="30" t="n">
        <f aca="false">Sens!J18218-Sens!J18219</f>
        <v>13781.6682813933</v>
      </c>
      <c r="K18220" s="30" t="n">
        <f aca="false">Sens!K18218-Sens!K18219</f>
        <v>14217.7983298351</v>
      </c>
    </row>
    <row r="18221" customFormat="false" ht="17.15" hidden="false" customHeight="false" outlineLevel="0" collapsed="false">
      <c r="A18221" s="1" t="s">
        <v>955</v>
      </c>
      <c r="B18221" s="0" t="s">
        <v>456</v>
      </c>
      <c r="C18221" s="30" t="n">
        <f aca="false">Sens!C18220/ext_sh</f>
        <v>816.666666666667</v>
      </c>
      <c r="D18221" s="30" t="n">
        <f aca="false">Sens!D18220/ext_sh</f>
        <v>2050</v>
      </c>
      <c r="E18221" s="30" t="n">
        <f aca="false">Sens!E18220/ext_sh</f>
        <v>4500</v>
      </c>
      <c r="F18221" s="30" t="n">
        <f aca="false">Sens!F18220/ext_sh</f>
        <v>8700.89183333333</v>
      </c>
      <c r="G18221" s="30" t="n">
        <f aca="false">Sens!G18220/ext_sh</f>
        <v>13245.117</v>
      </c>
      <c r="H18221" s="30" t="n">
        <f aca="false">Sens!H18220/ext_sh</f>
        <v>17789.3421666667</v>
      </c>
      <c r="I18221" s="30" t="n">
        <f aca="false">Sens!I18220/ext_sh</f>
        <v>21009.3190327778</v>
      </c>
      <c r="J18221" s="30" t="n">
        <f aca="false">Sens!J18220/ext_sh</f>
        <v>22969.4471356556</v>
      </c>
      <c r="K18221" s="30" t="n">
        <f aca="false">Sens!K18220/ext_sh</f>
        <v>23696.3305497252</v>
      </c>
      <c r="L18221" s="1" t="s">
        <v>956</v>
      </c>
    </row>
    <row r="18222" customFormat="false" ht="17.15" hidden="false" customHeight="false" outlineLevel="0" collapsed="false">
      <c r="A18222" s="1" t="s">
        <v>957</v>
      </c>
      <c r="B18222" s="0" t="s">
        <v>456</v>
      </c>
      <c r="C18222" s="30" t="n">
        <f aca="false">Sens!C18221-Sens!C18220</f>
        <v>326.666666666667</v>
      </c>
      <c r="D18222" s="30" t="n">
        <f aca="false">Sens!D18221-Sens!D18220</f>
        <v>820</v>
      </c>
      <c r="E18222" s="30" t="n">
        <f aca="false">Sens!E18221-Sens!E18220</f>
        <v>1800</v>
      </c>
      <c r="F18222" s="30" t="n">
        <f aca="false">Sens!F18221-Sens!F18220</f>
        <v>3480.35673333333</v>
      </c>
      <c r="G18222" s="30" t="n">
        <f aca="false">Sens!G18221-Sens!G18220</f>
        <v>5298.0468</v>
      </c>
      <c r="H18222" s="30" t="n">
        <f aca="false">Sens!H18221-Sens!H18220</f>
        <v>7115.73686666667</v>
      </c>
      <c r="I18222" s="30" t="n">
        <f aca="false">Sens!I18221-Sens!I18220</f>
        <v>8403.72761311111</v>
      </c>
      <c r="J18222" s="30" t="n">
        <f aca="false">Sens!J18221-Sens!J18220</f>
        <v>9187.77885426222</v>
      </c>
      <c r="K18222" s="30" t="n">
        <f aca="false">Sens!K18221-Sens!K18220</f>
        <v>9478.53221989009</v>
      </c>
    </row>
    <row r="18223" customFormat="false" ht="17.15" hidden="false" customHeight="false" outlineLevel="0" collapsed="false">
      <c r="A18223" s="1" t="s">
        <v>958</v>
      </c>
      <c r="B18223" s="0" t="s">
        <v>456</v>
      </c>
      <c r="C18223" s="30" t="n">
        <f aca="false">Sens!C18221</f>
        <v>816.666666666667</v>
      </c>
      <c r="D18223" s="30" t="n">
        <f aca="false">Sens!D18221-Sens!C18221</f>
        <v>1233.33333333333</v>
      </c>
      <c r="E18223" s="30" t="n">
        <f aca="false">Sens!E18221-Sens!D18221</f>
        <v>2450</v>
      </c>
      <c r="F18223" s="30" t="n">
        <f aca="false">Sens!F18221-Sens!E18221</f>
        <v>4200.89183333333</v>
      </c>
      <c r="G18223" s="30" t="n">
        <f aca="false">Sens!G18221-Sens!F18221</f>
        <v>4544.22516666667</v>
      </c>
      <c r="H18223" s="30" t="n">
        <f aca="false">Sens!H18221-Sens!G18221</f>
        <v>4544.22516666667</v>
      </c>
      <c r="I18223" s="30" t="n">
        <f aca="false">Sens!I18221-Sens!H18221</f>
        <v>3219.97686611111</v>
      </c>
      <c r="J18223" s="30" t="n">
        <f aca="false">Sens!J18221-Sens!I18221</f>
        <v>1960.12810287778</v>
      </c>
      <c r="K18223" s="30" t="n">
        <f aca="false">Sens!K18221-Sens!J18221</f>
        <v>726.883414069667</v>
      </c>
    </row>
    <row r="18224" customFormat="false" ht="17.15" hidden="false" customHeight="false" outlineLevel="0" collapsed="false">
      <c r="A18224" s="1" t="s">
        <v>959</v>
      </c>
      <c r="B18224" s="0" t="s">
        <v>456</v>
      </c>
      <c r="D18224" s="30" t="n">
        <f aca="false">Sens!D18218-Sens!C18218</f>
        <v>990</v>
      </c>
      <c r="E18224" s="30" t="n">
        <f aca="false">Sens!E18218-Sens!D18218</f>
        <v>1620</v>
      </c>
      <c r="F18224" s="30" t="n">
        <f aca="false">Sens!F18218-Sens!E18218</f>
        <v>2726.5351</v>
      </c>
      <c r="G18224" s="30" t="n">
        <f aca="false">Sens!G18218-Sens!F18218</f>
        <v>2726.5351</v>
      </c>
      <c r="H18224" s="30" t="n">
        <f aca="false">Sens!H18218-Sens!G18218</f>
        <v>2726.5351</v>
      </c>
      <c r="I18224" s="30" t="n">
        <f aca="false">Sens!I18218-Sens!H18218</f>
        <v>1931.98611966667</v>
      </c>
      <c r="J18224" s="30" t="n">
        <f aca="false">Sens!J18218-Sens!I18218</f>
        <v>1176.07686172667</v>
      </c>
      <c r="K18224" s="30" t="n">
        <f aca="false">Sens!K18218-Sens!J18218</f>
        <v>436.130048441799</v>
      </c>
    </row>
    <row r="18225" customFormat="false" ht="17.15" hidden="false" customHeight="false" outlineLevel="0" collapsed="false">
      <c r="A18225" s="1" t="s">
        <v>960</v>
      </c>
      <c r="B18225" s="0" t="s">
        <v>456</v>
      </c>
      <c r="F18225" s="30" t="n">
        <f aca="false">Sens!F18244*ext_sh</f>
        <v>0</v>
      </c>
      <c r="G18225" s="30" t="n">
        <f aca="false">Sens!G18244*ext_sh</f>
        <v>0</v>
      </c>
      <c r="H18225" s="30" t="n">
        <f aca="false">Sens!H18244*ext_sh</f>
        <v>0</v>
      </c>
      <c r="I18225" s="30" t="n">
        <f aca="false">Sens!I18244*ext_sh</f>
        <v>490</v>
      </c>
      <c r="J18225" s="30" t="n">
        <f aca="false">Sens!J18244*ext_sh</f>
        <v>740</v>
      </c>
      <c r="K18225" s="30" t="n">
        <f aca="false">Sens!K18244*ext_sh</f>
        <v>1470</v>
      </c>
      <c r="L18225" s="1" t="s">
        <v>961</v>
      </c>
    </row>
    <row r="18226" customFormat="false" ht="17.15" hidden="false" customHeight="false" outlineLevel="0" collapsed="false">
      <c r="A18226" s="1" t="s">
        <v>962</v>
      </c>
      <c r="B18226" s="0" t="s">
        <v>456</v>
      </c>
      <c r="C18226" s="30" t="n">
        <f aca="false">mix_h*Sens!C18218</f>
        <v>128</v>
      </c>
      <c r="D18226" s="30" t="n">
        <f aca="false">mix_h*Sens!D18218</f>
        <v>326</v>
      </c>
      <c r="E18226" s="30" t="n">
        <f aca="false">mix_h*Sens!E18218</f>
        <v>650</v>
      </c>
      <c r="F18226" s="30" t="n">
        <f aca="false">Sens!E18226-Sens!F18225*mix_h</f>
        <v>650</v>
      </c>
      <c r="G18226" s="30" t="n">
        <f aca="false">Sens!F18226-Sens!G18225*mix_h</f>
        <v>650</v>
      </c>
      <c r="H18226" s="30" t="n">
        <f aca="false">Sens!G18226-Sens!H18225*mix_h</f>
        <v>650</v>
      </c>
      <c r="I18226" s="30" t="n">
        <f aca="false">Sens!H18226-Sens!I18225*mix_h</f>
        <v>552</v>
      </c>
      <c r="J18226" s="30" t="n">
        <f aca="false">Sens!I18226-Sens!J18225*mix_h</f>
        <v>404</v>
      </c>
      <c r="K18226" s="30" t="n">
        <f aca="false">Sens!J18226-Sens!K18225*mix_h</f>
        <v>110</v>
      </c>
    </row>
    <row r="18227" customFormat="false" ht="17.15" hidden="false" customHeight="false" outlineLevel="0" collapsed="false">
      <c r="A18227" s="1" t="s">
        <v>963</v>
      </c>
      <c r="B18227" s="0" t="s">
        <v>456</v>
      </c>
      <c r="C18227" s="30" t="n">
        <f aca="false">mix_g2*Sens!C18218</f>
        <v>288</v>
      </c>
      <c r="D18227" s="30" t="n">
        <f aca="false">mix_g2*Sens!D18218</f>
        <v>733.5</v>
      </c>
      <c r="E18227" s="30" t="n">
        <f aca="false">mix_g2*Sens!E18218</f>
        <v>1462.5</v>
      </c>
      <c r="F18227" s="30" t="n">
        <f aca="false">Sens!E18227-Sens!F18225*mix_g2</f>
        <v>1462.5</v>
      </c>
      <c r="G18227" s="30" t="n">
        <f aca="false">Sens!F18227-Sens!G18225*mix_g2</f>
        <v>1462.5</v>
      </c>
      <c r="H18227" s="30" t="n">
        <f aca="false">Sens!G18227-Sens!H18225*mix_g2</f>
        <v>1462.5</v>
      </c>
      <c r="I18227" s="30" t="n">
        <f aca="false">Sens!H18227-Sens!I18225*mix_g2</f>
        <v>1242</v>
      </c>
      <c r="J18227" s="30" t="n">
        <f aca="false">Sens!I18227-Sens!J18225*mix_g2</f>
        <v>909</v>
      </c>
      <c r="K18227" s="30" t="n">
        <f aca="false">Sens!J18227-Sens!K18225*mix_g2</f>
        <v>247.5</v>
      </c>
    </row>
    <row r="18228" customFormat="false" ht="17.15" hidden="false" customHeight="false" outlineLevel="0" collapsed="false">
      <c r="A18228" s="1" t="s">
        <v>964</v>
      </c>
      <c r="B18228" s="0" t="s">
        <v>456</v>
      </c>
      <c r="C18228" s="30" t="n">
        <f aca="false">mix_g3*Sens!C18218</f>
        <v>224</v>
      </c>
      <c r="D18228" s="30" t="n">
        <f aca="false">mix_g3*Sens!D18218</f>
        <v>570.5</v>
      </c>
      <c r="E18228" s="30" t="n">
        <f aca="false">mix_g3*Sens!E18218</f>
        <v>1137.5</v>
      </c>
      <c r="F18228" s="30" t="n">
        <f aca="false">Sens!E18228+(Sens!F18224+Sens!F18225)*(a_g3_27-nonnv*a_mai)-Sens!F18225*mix_g3</f>
        <v>2773.42106</v>
      </c>
      <c r="G18228" s="30" t="n">
        <f aca="false">Sens!F18228+(Sens!G18224+Sens!G18225)*(a_g3_28-nonnv*a_mai)-Sens!G18225*mix_g3</f>
        <v>3318.72808</v>
      </c>
      <c r="H18228" s="30" t="n">
        <f aca="false">Sens!G18228+(Sens!H18224+Sens!H18225)*(a_g3_29-nonnv*a_mai)-Sens!H18225*mix_g3</f>
        <v>3318.72808</v>
      </c>
      <c r="I18228" s="30" t="n">
        <f aca="false">Sens!H18228+(Sens!I18224+Sens!I18225)*(a_g3_29-nonnv*a_mai)-Sens!I18225*mix_g3</f>
        <v>3147.22808</v>
      </c>
      <c r="J18228" s="30" t="n">
        <f aca="false">Sens!I18228+(Sens!J18224+Sens!J18225)*(a_g3_29-nonnv*a_mai)-Sens!J18225*mix_g3</f>
        <v>2888.22808</v>
      </c>
      <c r="K18228" s="30" t="n">
        <f aca="false">Sens!J18228+(Sens!K18224+Sens!K18225)*(a_g3_29-nonnv*a_mai)-Sens!K18225*mix_g3</f>
        <v>2373.72808</v>
      </c>
    </row>
    <row r="18229" customFormat="false" ht="17.15" hidden="false" customHeight="false" outlineLevel="0" collapsed="false">
      <c r="A18229" s="1" t="s">
        <v>965</v>
      </c>
      <c r="B18229" s="0" t="s">
        <v>456</v>
      </c>
      <c r="C18229" s="30" t="n">
        <v>0</v>
      </c>
      <c r="D18229" s="30" t="n">
        <v>0</v>
      </c>
      <c r="E18229" s="30" t="n">
        <v>0</v>
      </c>
      <c r="F18229" s="30" t="n">
        <f aca="false">Sens!E18229+(Sens!F18224+Sens!F18225)*nonnv*a_mai</f>
        <v>272.65351</v>
      </c>
      <c r="G18229" s="30" t="n">
        <f aca="false">Sens!F18229+(Sens!G18224+Sens!G18225)*nonnv*a_mai</f>
        <v>545.30702</v>
      </c>
      <c r="H18229" s="30" t="n">
        <f aca="false">Sens!G18229+(Sens!H18224+Sens!H18225)*nonnv*a_mai</f>
        <v>817.96053</v>
      </c>
      <c r="I18229" s="30" t="n">
        <f aca="false">Sens!H18229+(Sens!I18224+Sens!I18225)*nonnv*a_mai</f>
        <v>1060.15914196667</v>
      </c>
      <c r="J18229" s="30" t="n">
        <f aca="false">Sens!I18229+(Sens!J18224+Sens!J18225)*nonnv*a_mai</f>
        <v>1251.76682813933</v>
      </c>
      <c r="K18229" s="30" t="n">
        <f aca="false">Sens!J18229+(Sens!K18224+Sens!K18225)*nonnv*a_mai</f>
        <v>1442.37983298351</v>
      </c>
      <c r="L18229" s="12" t="s">
        <v>966</v>
      </c>
    </row>
    <row r="18230" customFormat="false" ht="17.15" hidden="false" customHeight="false" outlineLevel="0" collapsed="false">
      <c r="A18230" s="1" t="s">
        <v>967</v>
      </c>
      <c r="B18230" s="0" t="s">
        <v>456</v>
      </c>
      <c r="C18230" s="30" t="n">
        <v>0</v>
      </c>
      <c r="D18230" s="30" t="n">
        <v>0</v>
      </c>
      <c r="E18230" s="30" t="n">
        <v>0</v>
      </c>
      <c r="F18230" s="30" t="n">
        <f aca="false">Sens!E18230+(Sens!F18224+Sens!F18225)*(1-a_g3_27)</f>
        <v>817.96053</v>
      </c>
      <c r="G18230" s="30" t="n">
        <f aca="false">Sens!F18230+(Sens!G18224+Sens!G18225)*(1-a_g3_28)</f>
        <v>2726.5351</v>
      </c>
      <c r="H18230" s="30" t="n">
        <f aca="false">Sens!G18230+(Sens!H18224+Sens!H18225)*(1-a_g3_29)</f>
        <v>5180.41669</v>
      </c>
      <c r="I18230" s="30" t="n">
        <f aca="false">Sens!H18230+(Sens!I18224+Sens!I18225)*(1-a_g3_29)</f>
        <v>7360.2041977</v>
      </c>
      <c r="J18230" s="30" t="n">
        <f aca="false">Sens!I18230+(Sens!J18224+Sens!J18225)*(1-a_g3_29)</f>
        <v>9084.673373254</v>
      </c>
      <c r="K18230" s="30" t="n">
        <f aca="false">Sens!J18230+(Sens!K18224+Sens!K18225)*(1-a_g3_29)</f>
        <v>10800.1904168516</v>
      </c>
    </row>
    <row r="18231" customFormat="false" ht="17.15" hidden="false" customHeight="false" outlineLevel="0" collapsed="false">
      <c r="A18231" s="1" t="s">
        <v>968</v>
      </c>
      <c r="B18231" s="0" t="s">
        <v>403</v>
      </c>
      <c r="C18231" s="15" t="n">
        <f aca="false">(Sens!C18226*tk_hold_h100+Sens!C18227*tk_hold_gb200+Sens!C18228*tk_hold_gb300+Sens!C18230*tk_hold_vr200+Sens!C18229*nv_hold_mai*tk_hold_vr200)/Sens!C18218</f>
        <v>9.7235358126469</v>
      </c>
      <c r="D18231" s="15" t="n">
        <f aca="false">(Sens!D18226*tk_hold_h100+Sens!D18227*tk_hold_gb200+Sens!D18228*tk_hold_gb300+Sens!D18230*tk_hold_vr200+Sens!D18229*nv_hold_mai*tk_hold_vr200)/Sens!D18218</f>
        <v>9.7235358126469</v>
      </c>
      <c r="E18231" s="15" t="n">
        <f aca="false">(Sens!E18226*tk_hold_h100+Sens!E18227*tk_hold_gb200+Sens!E18228*tk_hold_gb300+Sens!E18230*tk_hold_vr200+Sens!E18229*nv_hold_mai*tk_hold_vr200)/Sens!E18218</f>
        <v>9.7235358126469</v>
      </c>
      <c r="F18231" s="15" t="n">
        <f aca="false">(Sens!F18226*tk_hold_h100+Sens!F18227*tk_hold_gb200+Sens!F18228*tk_hold_gb300+Sens!F18230*tk_hold_vr200+Sens!F18229*nv_hold_mai*tk_hold_vr200)/Sens!F18218</f>
        <v>10.2195353876665</v>
      </c>
      <c r="G18231" s="15" t="n">
        <f aca="false">(Sens!G18226*tk_hold_h100+Sens!G18227*tk_hold_gb200+Sens!G18228*tk_hold_gb300+Sens!G18230*tk_hold_vr200+Sens!G18229*nv_hold_mai*tk_hold_vr200)/Sens!G18218</f>
        <v>10.5725598017306</v>
      </c>
      <c r="H18231" s="15" t="n">
        <f aca="false">(Sens!H18226*tk_hold_h100+Sens!H18227*tk_hold_gb200+Sens!H18228*tk_hold_gb300+Sens!H18230*tk_hold_vr200+Sens!H18229*nv_hold_mai*tk_hold_vr200)/Sens!H18218</f>
        <v>10.8210427149036</v>
      </c>
      <c r="I18231" s="15" t="n">
        <f aca="false">(Sens!I18226*tk_hold_h100+Sens!I18227*tk_hold_gb200+Sens!I18228*tk_hold_gb300+Sens!I18230*tk_hold_vr200+Sens!I18229*nv_hold_mai*tk_hold_vr200)/Sens!I18218</f>
        <v>11.0050618241982</v>
      </c>
      <c r="J18231" s="15" t="n">
        <f aca="false">(Sens!J18226*tk_hold_h100+Sens!J18227*tk_hold_gb200+Sens!J18228*tk_hold_gb300+Sens!J18230*tk_hold_vr200+Sens!J18229*nv_hold_mai*tk_hold_vr200)/Sens!J18218</f>
        <v>11.1505789658881</v>
      </c>
      <c r="K18231" s="15" t="n">
        <f aca="false">(Sens!K18226*tk_hold_h100+Sens!K18227*tk_hold_gb200+Sens!K18228*tk_hold_gb300+Sens!K18230*tk_hold_vr200+Sens!K18229*nv_hold_mai*tk_hold_vr200)/Sens!K18218</f>
        <v>11.3496914757183</v>
      </c>
      <c r="L18231" s="1" t="s">
        <v>969</v>
      </c>
    </row>
    <row r="18232" customFormat="false" ht="17.15" hidden="false" customHeight="false" outlineLevel="0" collapsed="false">
      <c r="A18232" s="1" t="s">
        <v>970</v>
      </c>
      <c r="B18232" s="0" t="s">
        <v>403</v>
      </c>
      <c r="C18232" s="15" t="n">
        <f aca="false">(Sens!C18226*tk_hold_h100+Sens!C18227*tk_hold_gb200+Sens!C18228*tk_hold_gb300+Sens!C18230*tk_hold_vr200+Sens!C18229*nv_out_mai*tk_hold_vr200)/Sens!C18218</f>
        <v>9.7235358126469</v>
      </c>
      <c r="D18232" s="15" t="n">
        <f aca="false">(Sens!D18226*tk_hold_h100+Sens!D18227*tk_hold_gb200+Sens!D18228*tk_hold_gb300+Sens!D18230*tk_hold_vr200+Sens!D18229*nv_out_mai*tk_hold_vr200)/Sens!D18218</f>
        <v>9.7235358126469</v>
      </c>
      <c r="E18232" s="15" t="n">
        <f aca="false">(Sens!E18226*tk_hold_h100+Sens!E18227*tk_hold_gb200+Sens!E18228*tk_hold_gb300+Sens!E18230*tk_hold_vr200+Sens!E18229*nv_out_mai*tk_hold_vr200)/Sens!E18218</f>
        <v>9.7235358126469</v>
      </c>
      <c r="F18232" s="15" t="n">
        <f aca="false">(Sens!F18226*tk_hold_h100+Sens!F18227*tk_hold_gb200+Sens!F18228*tk_hold_gb300+Sens!F18230*tk_hold_vr200+Sens!F18229*nv_out_mai*tk_hold_vr200)/Sens!F18218</f>
        <v>10.247422093969</v>
      </c>
      <c r="G18232" s="15" t="n">
        <f aca="false">(Sens!G18226*tk_hold_h100+Sens!G18227*tk_hold_gb200+Sens!G18228*tk_hold_gb300+Sens!G18230*tk_hold_vr200+Sens!G18229*nv_out_mai*tk_hold_vr200)/Sens!G18218</f>
        <v>10.6108602808053</v>
      </c>
      <c r="H18232" s="15" t="n">
        <f aca="false">(Sens!H18226*tk_hold_h100+Sens!H18227*tk_hold_gb200+Sens!H18228*tk_hold_gb300+Sens!H18230*tk_hold_vr200+Sens!H18229*nv_out_mai*tk_hold_vr200)/Sens!H18218</f>
        <v>10.8647885507393</v>
      </c>
      <c r="I18232" s="15" t="n">
        <f aca="false">(Sens!I18226*tk_hold_h100+Sens!I18227*tk_hold_gb200+Sens!I18228*tk_hold_gb300+Sens!I18230*tk_hold_vr200+Sens!I18229*nv_out_mai*tk_hold_vr200)/Sens!I18218</f>
        <v>11.0535625770025</v>
      </c>
      <c r="J18232" s="15" t="n">
        <f aca="false">(Sens!J18226*tk_hold_h100+Sens!J18227*tk_hold_gb200+Sens!J18228*tk_hold_gb300+Sens!J18230*tk_hold_vr200+Sens!J18229*nv_out_mai*tk_hold_vr200)/Sens!J18218</f>
        <v>11.2032127128058</v>
      </c>
      <c r="K18232" s="15" t="n">
        <f aca="false">(Sens!K18226*tk_hold_h100+Sens!K18227*tk_hold_gb200+Sens!K18228*tk_hold_gb300+Sens!K18230*tk_hold_vr200+Sens!K18229*nv_out_mai*tk_hold_vr200)/Sens!K18218</f>
        <v>11.4085735724225</v>
      </c>
      <c r="L18232" s="12" t="s">
        <v>971</v>
      </c>
    </row>
    <row r="18233" customFormat="false" ht="17.15" hidden="false" customHeight="false" outlineLevel="0" collapsed="false">
      <c r="A18233" s="0" t="s">
        <v>972</v>
      </c>
      <c r="B18233" s="0" t="s">
        <v>229</v>
      </c>
      <c r="C18233" s="15" t="n">
        <f aca="false">k_B</f>
        <v>1.17213932619116</v>
      </c>
      <c r="D18233" s="15" t="n">
        <f aca="false">k_B</f>
        <v>1.17213932619116</v>
      </c>
      <c r="E18233" s="15" t="n">
        <f aca="false">k_B</f>
        <v>1.17213932619116</v>
      </c>
      <c r="F18233" s="15" t="n">
        <f aca="false">(k_B+((ls_A*k_long+(1-ls_A)*k_spot)-k_B)*MIN(1,(Sens!F18216-base_fy)/k_ramp))</f>
        <v>1.25022828131298</v>
      </c>
      <c r="G18233" s="15" t="n">
        <f aca="false">(k_B+((ls_A*k_long+(1-ls_A)*k_spot)-k_B)*MIN(1,(Sens!G18216-base_fy)/k_ramp))</f>
        <v>1.3283172364348</v>
      </c>
      <c r="H18233" s="15" t="n">
        <f aca="false">(k_B+((ls_A*k_long+(1-ls_A)*k_spot)-k_B)*MIN(1,(Sens!H18216-base_fy)/k_ramp))</f>
        <v>1.40640619155662</v>
      </c>
      <c r="I18233" s="15" t="n">
        <f aca="false">(k_B+((ls_A*k_long+(1-ls_A)*k_spot)-k_B)*MIN(1,(Sens!I18216-base_fy)/k_ramp))</f>
        <v>1.40640619155662</v>
      </c>
      <c r="J18233" s="15" t="n">
        <f aca="false">(k_B+((ls_A*k_long+(1-ls_A)*k_spot)-k_B)*MIN(1,(Sens!J18216-base_fy)/k_ramp))</f>
        <v>1.40640619155662</v>
      </c>
      <c r="K18233" s="15" t="n">
        <f aca="false">(k_B+((ls_A*k_long+(1-ls_A)*k_spot)-k_B)*MIN(1,(Sens!K18216-base_fy)/k_ramp))</f>
        <v>1.40640619155662</v>
      </c>
      <c r="L18233" s="1" t="s">
        <v>973</v>
      </c>
    </row>
    <row r="18234" customFormat="false" ht="17.15" hidden="false" customHeight="false" outlineLevel="0" collapsed="false">
      <c r="A18234" s="1" t="s">
        <v>974</v>
      </c>
      <c r="B18234" s="0" t="s">
        <v>403</v>
      </c>
      <c r="C18234" s="15" t="n">
        <f aca="false">Sens!C18232*Sens!C18233*chip_f</f>
        <v>11.3973387156315</v>
      </c>
      <c r="D18234" s="15" t="n">
        <f aca="false">Sens!D18232*Sens!D18233*chip_f</f>
        <v>11.3973387156315</v>
      </c>
      <c r="E18234" s="15" t="n">
        <f aca="false">Sens!E18232*Sens!E18233*chip_f</f>
        <v>11.3973387156315</v>
      </c>
      <c r="F18234" s="15" t="n">
        <f aca="false">Sens!F18232*Sens!F18233*chip_f</f>
        <v>12.8116169124314</v>
      </c>
      <c r="G18234" s="15" t="n">
        <f aca="false">Sens!G18232*Sens!G18233*chip_f</f>
        <v>14.094588604395</v>
      </c>
      <c r="H18234" s="15" t="n">
        <f aca="false">Sens!H18232*Sens!H18233*chip_f</f>
        <v>15.2803058877132</v>
      </c>
      <c r="I18234" s="15" t="n">
        <f aca="false">Sens!I18232*Sens!I18233*chip_f</f>
        <v>15.5457988470549</v>
      </c>
      <c r="J18234" s="15" t="n">
        <f aca="false">Sens!J18232*Sens!J18233*chip_f</f>
        <v>15.7562677246158</v>
      </c>
      <c r="K18234" s="15" t="n">
        <f aca="false">Sens!K18232*Sens!K18233*chip_f</f>
        <v>16.0450885090842</v>
      </c>
      <c r="L18234" s="1" t="s">
        <v>975</v>
      </c>
    </row>
    <row r="18235" customFormat="false" ht="17.15" hidden="false" customHeight="false" outlineLevel="0" collapsed="false">
      <c r="A18235" s="0" t="s">
        <v>976</v>
      </c>
      <c r="B18235" s="0" t="s">
        <v>98</v>
      </c>
      <c r="D18235" s="6" t="n">
        <f aca="false">(Sens!C18218+Sens!D18218)/2*Sens!D18234/1000</f>
        <v>12.9359794422418</v>
      </c>
      <c r="E18235" s="6" t="n">
        <f aca="false">(Sens!D18218+Sens!E18218)/2*Sens!E18234/1000</f>
        <v>27.8095064661409</v>
      </c>
      <c r="F18235" s="6" t="n">
        <f aca="false">(Sens!E18218+Sens!F18218)/2*Sens!F18234/1000</f>
        <v>59.1034165651511</v>
      </c>
      <c r="G18235" s="6" t="n">
        <f aca="false">(Sens!F18218+Sens!G18218)/2*Sens!G18234/1000</f>
        <v>103.451498789198</v>
      </c>
      <c r="H18235" s="6" t="n">
        <f aca="false">(Sens!G18218+Sens!H18218)/2*Sens!H18234/1000</f>
        <v>153.816719989035</v>
      </c>
      <c r="I18235" s="6" t="n">
        <f aca="false">(Sens!H18218+Sens!I18218)/2*Sens!I18234/1000</f>
        <v>192.699478690852</v>
      </c>
      <c r="J18235" s="6" t="n">
        <f aca="false">(Sens!I18218+Sens!J18218)/2*Sens!J18234/1000</f>
        <v>219.794102584244</v>
      </c>
      <c r="K18235" s="6" t="n">
        <f aca="false">(Sens!J18218+Sens!K18218)/2*Sens!K18234/1000</f>
        <v>236.757046905022</v>
      </c>
      <c r="L18235" s="12" t="s">
        <v>977</v>
      </c>
    </row>
    <row r="18236" customFormat="false" ht="17.15" hidden="false" customHeight="false" outlineLevel="0" collapsed="false">
      <c r="A18236" s="1" t="s">
        <v>978</v>
      </c>
      <c r="B18236" s="0" t="s">
        <v>403</v>
      </c>
      <c r="C18236" s="15" t="n">
        <f aca="false">(Sens!C18226*tk_opex_h100+Sens!C18227*tk_opex_gb200+Sens!C18228*tk_opex_gb300+(Sens!C18230+Sens!C18229)*tk_opex_vr200)/Sens!C18218</f>
        <v>1.88636041306092</v>
      </c>
      <c r="D18236" s="15" t="n">
        <f aca="false">(Sens!D18226*tk_opex_h100+Sens!D18227*tk_opex_gb200+Sens!D18228*tk_opex_gb300+(Sens!D18230+Sens!D18229)*tk_opex_vr200)/Sens!D18218</f>
        <v>1.88636041306092</v>
      </c>
      <c r="E18236" s="15" t="n">
        <f aca="false">(Sens!E18226*tk_opex_h100+Sens!E18227*tk_opex_gb200+Sens!E18228*tk_opex_gb300+(Sens!E18230+Sens!E18229)*tk_opex_vr200)/Sens!E18218</f>
        <v>1.88636041306092</v>
      </c>
      <c r="F18236" s="15" t="n">
        <f aca="false">(Sens!F18226*tk_opex_h100+Sens!F18227*tk_opex_gb200+Sens!F18228*tk_opex_gb300+(Sens!F18230+Sens!F18229)*tk_opex_vr200)/Sens!F18218</f>
        <v>1.95051159746876</v>
      </c>
      <c r="G18236" s="15" t="n">
        <f aca="false">(Sens!G18226*tk_opex_h100+Sens!G18227*tk_opex_gb200+Sens!G18228*tk_opex_gb300+(Sens!G18230+Sens!G18229)*tk_opex_vr200)/Sens!G18218</f>
        <v>1.98836003669956</v>
      </c>
      <c r="H18236" s="15" t="n">
        <f aca="false">(Sens!H18226*tk_opex_h100+Sens!H18227*tk_opex_gb200+Sens!H18228*tk_opex_gb300+(Sens!H18230+Sens!H18229)*tk_opex_vr200)/Sens!H18218</f>
        <v>2.01344013834343</v>
      </c>
      <c r="I18236" s="15" t="n">
        <f aca="false">(Sens!I18226*tk_opex_h100+Sens!I18227*tk_opex_gb200+Sens!I18228*tk_opex_gb300+(Sens!I18230+Sens!I18229)*tk_opex_vr200)/Sens!I18218</f>
        <v>2.03261166882178</v>
      </c>
      <c r="J18236" s="15" t="n">
        <f aca="false">(Sens!J18226*tk_opex_h100+Sens!J18227*tk_opex_gb200+Sens!J18228*tk_opex_gb300+(Sens!J18230+Sens!J18229)*tk_opex_vr200)/Sens!J18218</f>
        <v>2.04808073288745</v>
      </c>
      <c r="K18236" s="15" t="n">
        <f aca="false">(Sens!K18226*tk_opex_h100+Sens!K18227*tk_opex_gb200+Sens!K18228*tk_opex_gb300+(Sens!K18230+Sens!K18229)*tk_opex_vr200)/Sens!K18218</f>
        <v>2.06973825807449</v>
      </c>
      <c r="L18236" s="12" t="s">
        <v>979</v>
      </c>
    </row>
    <row r="18237" customFormat="false" ht="17.15" hidden="false" customHeight="false" outlineLevel="0" collapsed="false">
      <c r="A18237" s="0" t="s">
        <v>980</v>
      </c>
      <c r="B18237" s="0" t="s">
        <v>98</v>
      </c>
      <c r="D18237" s="6" t="n">
        <f aca="false">(Sens!C18221+Sens!D18221)/2*Sens!D18236/1000</f>
        <v>2.70378325872065</v>
      </c>
      <c r="E18237" s="6" t="n">
        <f aca="false">(Sens!D18221+Sens!E18221)/2*Sens!E18236/1000</f>
        <v>6.17783035277451</v>
      </c>
      <c r="F18237" s="6" t="n">
        <f aca="false">(Sens!E18221+Sens!F18221)/2*Sens!F18236/1000</f>
        <v>12.8742463089237</v>
      </c>
      <c r="G18237" s="6" t="n">
        <f aca="false">(Sens!F18221+Sens!G18221)/2*Sens!G18236/1000</f>
        <v>21.8182834646277</v>
      </c>
      <c r="H18237" s="6" t="n">
        <f aca="false">(Sens!G18221+Sens!H18221)/2*Sens!H18236/1000</f>
        <v>31.2430128789734</v>
      </c>
      <c r="I18237" s="6" t="n">
        <f aca="false">(Sens!H18221+Sens!I18221)/2*Sens!I18236/1000</f>
        <v>39.4313057443268</v>
      </c>
      <c r="J18237" s="6" t="n">
        <f aca="false">(Sens!I18221+Sens!J18221)/2*Sens!J18236/1000</f>
        <v>45.0360318228653</v>
      </c>
      <c r="K18237" s="6" t="n">
        <f aca="false">(Sens!J18221+Sens!K18221)/2*Sens!K18236/1000</f>
        <v>48.2929727091156</v>
      </c>
    </row>
    <row r="18238" customFormat="false" ht="17.15" hidden="false" customHeight="false" outlineLevel="0" collapsed="false">
      <c r="A18238" s="0" t="s">
        <v>981</v>
      </c>
      <c r="B18238" s="0" t="s">
        <v>98</v>
      </c>
      <c r="D18238" s="6" t="n">
        <f aca="false">(Sens!C18219+Sens!D18219)/2*rent_mw/1000</f>
        <v>2.44475</v>
      </c>
      <c r="E18238" s="6" t="n">
        <f aca="false">(Sens!D18219+Sens!E18219)/2*rent_mw/1000</f>
        <v>4.22275</v>
      </c>
      <c r="F18238" s="6" t="n">
        <f aca="false">(Sens!E18219+Sens!F18219)/2*rent_mw/1000</f>
        <v>5.80517</v>
      </c>
      <c r="G18238" s="6" t="n">
        <f aca="false">(Sens!F18219+Sens!G18219)/2*rent_mw/1000</f>
        <v>6.72084</v>
      </c>
      <c r="H18238" s="6" t="n">
        <f aca="false">(Sens!G18219+Sens!H18219)/2*rent_mw/1000</f>
        <v>6.72084</v>
      </c>
      <c r="I18238" s="6" t="n">
        <f aca="false">(Sens!H18219+Sens!I18219)/2*rent_mw/1000</f>
        <v>6.72084</v>
      </c>
      <c r="J18238" s="6" t="n">
        <f aca="false">(Sens!I18219+Sens!J18219)/2*rent_mw/1000</f>
        <v>6.72084</v>
      </c>
      <c r="K18238" s="6" t="n">
        <f aca="false">(Sens!J18219+Sens!K18219)/2*rent_mw/1000</f>
        <v>6.72084</v>
      </c>
    </row>
    <row r="18239" customFormat="false" ht="17.15" hidden="false" customHeight="false" outlineLevel="0" collapsed="false">
      <c r="A18239" s="0" t="s">
        <v>982</v>
      </c>
      <c r="B18239" s="0" t="s">
        <v>98</v>
      </c>
      <c r="D18239" s="6" t="n">
        <f aca="false">(Sens!C18221+Sens!D18221)/2*(1-self_build)*fac_rent/1000</f>
        <v>0.853242375631075</v>
      </c>
      <c r="E18239" s="6" t="n">
        <f aca="false">(Sens!D18221+Sens!E18221)/2*(1-self_build)*fac_rent/1000</f>
        <v>1.94955961408728</v>
      </c>
      <c r="F18239" s="6" t="n">
        <f aca="false">(Sens!E18221+Sens!F18221)/2*(1-self_build)*fac_rent/1000</f>
        <v>3.92914894476356</v>
      </c>
      <c r="G18239" s="6" t="n">
        <f aca="false">(Sens!F18221+Sens!G18221)/2*(1-self_build)*fac_rent/1000</f>
        <v>6.53206908578159</v>
      </c>
      <c r="H18239" s="6" t="n">
        <f aca="false">(Sens!G18221+Sens!H18221)/2*(1-self_build)*fac_rent/1000</f>
        <v>9.23717988341591</v>
      </c>
      <c r="I18239" s="6" t="n">
        <f aca="false">(Sens!H18221+Sens!I18221)/2*(1-self_build)*fac_rent/1000</f>
        <v>11.5481378557393</v>
      </c>
      <c r="J18239" s="6" t="n">
        <f aca="false">(Sens!I18221+Sens!J18221)/2*(1-self_build)*fac_rent/1000</f>
        <v>13.0899582289108</v>
      </c>
      <c r="K18239" s="6" t="n">
        <f aca="false">(Sens!J18221+Sens!K18221)/2*(1-self_build)*fac_rent/1000</f>
        <v>13.8897275626556</v>
      </c>
      <c r="L18239" s="12" t="s">
        <v>983</v>
      </c>
    </row>
    <row r="18240" customFormat="false" ht="17.15" hidden="false" customHeight="false" outlineLevel="0" collapsed="false">
      <c r="A18240" s="1" t="s">
        <v>984</v>
      </c>
      <c r="B18240" s="0" t="s">
        <v>168</v>
      </c>
      <c r="D18240" s="7" t="n">
        <f aca="false">(Sens!C18220+Sens!D18220)/(Sens!C18221+Sens!D18221)</f>
        <v>0.6</v>
      </c>
      <c r="E18240" s="7" t="n">
        <f aca="false">(Sens!D18220+Sens!E18220)/(Sens!D18221+Sens!E18221)</f>
        <v>0.6</v>
      </c>
      <c r="F18240" s="7" t="n">
        <f aca="false">(Sens!E18220+Sens!F18220)/(Sens!E18221+Sens!F18221)</f>
        <v>0.6</v>
      </c>
      <c r="G18240" s="7" t="n">
        <f aca="false">(Sens!F18220+Sens!G18220)/(Sens!F18221+Sens!G18221)</f>
        <v>0.6</v>
      </c>
      <c r="H18240" s="7" t="n">
        <f aca="false">(Sens!G18220+Sens!H18220)/(Sens!G18221+Sens!H18221)</f>
        <v>0.6</v>
      </c>
      <c r="I18240" s="7" t="n">
        <f aca="false">(Sens!H18220+Sens!I18220)/(Sens!H18221+Sens!I18221)</f>
        <v>0.6</v>
      </c>
      <c r="J18240" s="7" t="n">
        <f aca="false">(Sens!I18220+Sens!J18220)/(Sens!I18221+Sens!J18221)</f>
        <v>0.6</v>
      </c>
      <c r="K18240" s="7" t="n">
        <f aca="false">(Sens!J18220+Sens!K18220)/(Sens!J18221+Sens!K18221)</f>
        <v>0.6</v>
      </c>
    </row>
    <row r="18241" customFormat="false" ht="17.15" hidden="false" customHeight="false" outlineLevel="0" collapsed="false">
      <c r="A18241" s="0" t="s">
        <v>985</v>
      </c>
      <c r="B18241" s="0" t="s">
        <v>98</v>
      </c>
      <c r="D18241" s="6" t="n">
        <f aca="false">Sens!D18235-Sens!D18240*(Sens!D18237+Sens!D18239)-Sens!D18238</f>
        <v>8.35701406163072</v>
      </c>
      <c r="E18241" s="6" t="n">
        <f aca="false">Sens!E18235-Sens!E18240*(Sens!E18237+Sens!E18239)-Sens!E18238</f>
        <v>18.7103224860238</v>
      </c>
      <c r="F18241" s="6" t="n">
        <f aca="false">Sens!F18235-Sens!F18240*(Sens!F18237+Sens!F18239)-Sens!F18238</f>
        <v>43.2162094129388</v>
      </c>
      <c r="G18241" s="6" t="n">
        <f aca="false">Sens!G18235-Sens!G18240*(Sens!G18237+Sens!G18239)-Sens!G18238</f>
        <v>79.7204472589529</v>
      </c>
      <c r="H18241" s="6" t="n">
        <f aca="false">Sens!H18235-Sens!H18240*(Sens!H18237+Sens!H18239)-Sens!H18238</f>
        <v>122.807764331602</v>
      </c>
      <c r="I18241" s="6" t="n">
        <f aca="false">Sens!I18235-Sens!I18240*(Sens!I18237+Sens!I18239)-Sens!I18238</f>
        <v>155.390972530813</v>
      </c>
      <c r="J18241" s="6" t="n">
        <f aca="false">Sens!J18235-Sens!J18240*(Sens!J18237+Sens!J18239)-Sens!J18238</f>
        <v>178.197668553178</v>
      </c>
      <c r="K18241" s="6" t="n">
        <f aca="false">Sens!K18235-Sens!K18240*(Sens!K18237+Sens!K18239)-Sens!K18238</f>
        <v>192.726586741959</v>
      </c>
    </row>
    <row r="18242" customFormat="false" ht="17.15" hidden="false" customHeight="false" outlineLevel="0" collapsed="false">
      <c r="A18242" s="1" t="s">
        <v>986</v>
      </c>
      <c r="B18242" s="0" t="s">
        <v>98</v>
      </c>
      <c r="D18242" s="6" t="n">
        <f aca="false">(1-Sens!D18240)*(Sens!D18237+Sens!D18239)</f>
        <v>1.42281025374069</v>
      </c>
      <c r="E18242" s="6" t="n">
        <f aca="false">(1-Sens!E18240)*(Sens!E18237+Sens!E18239)</f>
        <v>3.25095598674472</v>
      </c>
      <c r="F18242" s="6" t="n">
        <f aca="false">(1-Sens!F18240)*(Sens!F18237+Sens!F18239)</f>
        <v>6.72135810147489</v>
      </c>
      <c r="G18242" s="6" t="n">
        <f aca="false">(1-Sens!G18240)*(Sens!G18237+Sens!G18239)</f>
        <v>11.3401410201637</v>
      </c>
      <c r="H18242" s="6" t="n">
        <f aca="false">(1-Sens!H18240)*(Sens!H18237+Sens!H18239)</f>
        <v>16.1920771049557</v>
      </c>
      <c r="I18242" s="6" t="n">
        <f aca="false">(1-Sens!I18240)*(Sens!I18237+Sens!I18239)</f>
        <v>20.3917774400264</v>
      </c>
      <c r="J18242" s="6" t="n">
        <f aca="false">(1-Sens!J18240)*(Sens!J18237+Sens!J18239)</f>
        <v>23.2503960207104</v>
      </c>
      <c r="K18242" s="6" t="n">
        <f aca="false">(1-Sens!K18240)*(Sens!K18237+Sens!K18239)</f>
        <v>24.8730801087085</v>
      </c>
    </row>
    <row r="18243" customFormat="false" ht="17.15" hidden="false" customHeight="false" outlineLevel="0" collapsed="false">
      <c r="A18243" s="1" t="s">
        <v>987</v>
      </c>
      <c r="B18243" s="0" t="s">
        <v>414</v>
      </c>
      <c r="C18243" s="8" t="n">
        <f aca="false">cxit_open</f>
        <v>27.5918995</v>
      </c>
      <c r="D18243" s="8" t="n">
        <f aca="false">cxit_open</f>
        <v>27.5918995</v>
      </c>
      <c r="E18243" s="8" t="n">
        <f aca="false">cxit_open</f>
        <v>27.5918995</v>
      </c>
      <c r="F18243" s="8" t="n">
        <f aca="false">((a_g3_27-nonnv*a_mai)*tk_cxit_gb300+nonnv*a_mai*nv_hold_mai*tk_cxit_vr200+(1-a_g3_27)*tk_cxit_vr200)</f>
        <v>32.4975576</v>
      </c>
      <c r="G18243" s="8" t="n">
        <f aca="false">((a_g3_28-nonnv*a_mai)*tk_cxit_gb300+nonnv*a_mai*nv_hold_mai*tk_cxit_vr200+(1-a_g3_28)*tk_cxit_vr200)</f>
        <v>34.6372088</v>
      </c>
      <c r="H18243" s="8" t="n">
        <f aca="false">((a_g3_29-nonnv*a_mai)*tk_cxit_gb300+nonnv*a_mai*nv_hold_mai*tk_cxit_vr200+(1-a_g3_29)*tk_cxit_vr200)</f>
        <v>35.7070344</v>
      </c>
      <c r="I18243" s="8" t="n">
        <f aca="false">((a_g3_29-nonnv*a_mai)*tk_cxit_gb300+nonnv*a_mai*nv_hold_mai*tk_cxit_vr200+(1-a_g3_29)*tk_cxit_vr200)</f>
        <v>35.7070344</v>
      </c>
      <c r="J18243" s="8" t="n">
        <f aca="false">((a_g3_29-nonnv*a_mai)*tk_cxit_gb300+nonnv*a_mai*nv_hold_mai*tk_cxit_vr200+(1-a_g3_29)*tk_cxit_vr200)</f>
        <v>35.7070344</v>
      </c>
      <c r="K18243" s="8" t="n">
        <f aca="false">((a_g3_29-nonnv*a_mai)*tk_cxit_gb300+nonnv*a_mai*nv_hold_mai*tk_cxit_vr200+(1-a_g3_29)*tk_cxit_vr200)</f>
        <v>35.7070344</v>
      </c>
      <c r="L18243" s="12" t="s">
        <v>988</v>
      </c>
    </row>
    <row r="18244" customFormat="false" ht="17.15" hidden="false" customHeight="false" outlineLevel="0" collapsed="false">
      <c r="A18244" s="0" t="s">
        <v>989</v>
      </c>
      <c r="B18244" s="0" t="s">
        <v>456</v>
      </c>
      <c r="F18244" s="30" t="n">
        <f aca="false">Sens!C18223*IF(Sens!F18216-Sens!C18216=life_it,1,0)+Sens!D18223*IF(Sens!F18216-Sens!D18216=life_it,1,0)+Sens!E18223*IF(Sens!F18216-Sens!E18216=life_it,1,0)</f>
        <v>0</v>
      </c>
      <c r="G18244" s="30" t="n">
        <f aca="false">Sens!C18223*IF(Sens!G18216-Sens!C18216=life_it,1,0)+Sens!D18223*IF(Sens!G18216-Sens!D18216=life_it,1,0)+Sens!E18223*IF(Sens!G18216-Sens!E18216=life_it,1,0)+Sens!F18223*IF(Sens!G18216-Sens!F18216=life_it,1,0)</f>
        <v>0</v>
      </c>
      <c r="H18244" s="30" t="n">
        <f aca="false">Sens!C18223*IF(Sens!H18216-Sens!C18216=life_it,1,0)+Sens!D18223*IF(Sens!H18216-Sens!D18216=life_it,1,0)+Sens!E18223*IF(Sens!H18216-Sens!E18216=life_it,1,0)+Sens!F18223*IF(Sens!H18216-Sens!F18216=life_it,1,0)+Sens!G18223*IF(Sens!H18216-Sens!G18216=life_it,1,0)</f>
        <v>0</v>
      </c>
      <c r="I18244" s="30" t="n">
        <f aca="false">Sens!C18223*IF(Sens!I18216-Sens!C18216=life_it,1,0)+Sens!D18223*IF(Sens!I18216-Sens!D18216=life_it,1,0)+Sens!E18223*IF(Sens!I18216-Sens!E18216=life_it,1,0)+Sens!F18223*IF(Sens!I18216-Sens!F18216=life_it,1,0)+Sens!G18223*IF(Sens!I18216-Sens!G18216=life_it,1,0)+Sens!H18223*IF(Sens!I18216-Sens!H18216=life_it,1,0)</f>
        <v>816.666666666667</v>
      </c>
      <c r="J18244" s="30" t="n">
        <f aca="false">Sens!C18223*IF(Sens!J18216-Sens!C18216=life_it,1,0)+Sens!D18223*IF(Sens!J18216-Sens!D18216=life_it,1,0)+Sens!E18223*IF(Sens!J18216-Sens!E18216=life_it,1,0)+Sens!F18223*IF(Sens!J18216-Sens!F18216=life_it,1,0)+Sens!G18223*IF(Sens!J18216-Sens!G18216=life_it,1,0)+Sens!H18223*IF(Sens!J18216-Sens!H18216=life_it,1,0)+Sens!I18223*IF(Sens!J18216-Sens!I18216=life_it,1,0)</f>
        <v>1233.33333333333</v>
      </c>
      <c r="K18244" s="30" t="n">
        <f aca="false">Sens!C18223*IF(Sens!K18216-Sens!C18216=life_it,1,0)+Sens!D18223*IF(Sens!K18216-Sens!D18216=life_it,1,0)+Sens!E18223*IF(Sens!K18216-Sens!E18216=life_it,1,0)+Sens!F18223*IF(Sens!K18216-Sens!F18216=life_it,1,0)+Sens!G18223*IF(Sens!K18216-Sens!G18216=life_it,1,0)+Sens!H18223*IF(Sens!K18216-Sens!H18216=life_it,1,0)+Sens!I18223*IF(Sens!K18216-Sens!I18216=life_it,1,0)+Sens!J18223*IF(Sens!K18216-Sens!J18216=life_it,1,0)</f>
        <v>2450</v>
      </c>
      <c r="L18244" s="1" t="s">
        <v>990</v>
      </c>
    </row>
    <row r="18245" customFormat="false" ht="17.15" hidden="false" customHeight="false" outlineLevel="0" collapsed="false">
      <c r="A18245" s="0" t="s">
        <v>991</v>
      </c>
      <c r="B18245" s="0" t="s">
        <v>98</v>
      </c>
      <c r="C18245" s="6" t="n">
        <f aca="false">Sens!C18223*Sens!C18243/1000</f>
        <v>22.5333845916667</v>
      </c>
      <c r="D18245" s="6" t="n">
        <f aca="false">Sens!D18223*Sens!D18243/1000</f>
        <v>34.0300093833333</v>
      </c>
      <c r="E18245" s="6" t="n">
        <f aca="false">Sens!E18223*Sens!E18243/1000</f>
        <v>67.600153775</v>
      </c>
      <c r="F18245" s="6" t="n">
        <f aca="false">(Sens!F18223+Sens!F18244)*Sens!F18243/1000</f>
        <v>136.51872432512</v>
      </c>
      <c r="G18245" s="6" t="n">
        <f aca="false">(Sens!G18223+Sens!G18244)*Sens!G18243/1000</f>
        <v>157.399275932048</v>
      </c>
      <c r="H18245" s="6" t="n">
        <f aca="false">(Sens!H18223+Sens!H18244)*Sens!H18243/1000</f>
        <v>162.260804347512</v>
      </c>
      <c r="I18245" s="6" t="n">
        <f aca="false">(Sens!I18223+Sens!I18244)*Sens!I18243/1000</f>
        <v>144.136569485434</v>
      </c>
      <c r="J18245" s="6" t="n">
        <f aca="false">(Sens!J18223+Sens!J18244)*Sens!J18243/1000</f>
        <v>114.029037357864</v>
      </c>
      <c r="K18245" s="6" t="n">
        <f aca="false">(Sens!K18223+Sens!K18244)*Sens!K18243/1000</f>
        <v>113.437085350975</v>
      </c>
    </row>
    <row r="18246" customFormat="false" ht="17.15" hidden="false" customHeight="false" outlineLevel="0" collapsed="false">
      <c r="A18246" s="0" t="s">
        <v>992</v>
      </c>
      <c r="B18246" s="0" t="s">
        <v>98</v>
      </c>
      <c r="C18246" s="6" t="n">
        <f aca="false">Sens!C18223*self_build*tk_cxfac/1000</f>
        <v>6.2083</v>
      </c>
      <c r="D18246" s="6" t="n">
        <f aca="false">Sens!D18223*self_build*tk_cxfac/1000</f>
        <v>9.3758</v>
      </c>
      <c r="E18246" s="6" t="n">
        <f aca="false">Sens!E18223*self_build*tk_cxfac/1000</f>
        <v>18.6249</v>
      </c>
      <c r="F18246" s="6" t="n">
        <f aca="false">Sens!F18223*self_build*tk_cxfac/1000</f>
        <v>31.935179717</v>
      </c>
      <c r="G18246" s="6" t="n">
        <f aca="false">Sens!G18223*self_build*tk_cxfac/1000</f>
        <v>34.545199717</v>
      </c>
      <c r="H18246" s="6" t="n">
        <f aca="false">Sens!H18223*self_build*tk_cxfac/1000</f>
        <v>34.545199717</v>
      </c>
      <c r="I18246" s="6" t="n">
        <f aca="false">Sens!I18223*self_build*tk_cxfac/1000</f>
        <v>24.4782641361767</v>
      </c>
      <c r="J18246" s="6" t="n">
        <f aca="false">Sens!J18223*self_build*tk_cxfac/1000</f>
        <v>14.9008938380769</v>
      </c>
      <c r="K18246" s="6" t="n">
        <f aca="false">Sens!K18223*self_build*tk_cxfac/1000</f>
        <v>5.52576771375761</v>
      </c>
    </row>
    <row r="18247" customFormat="false" ht="17.15" hidden="false" customHeight="false" outlineLevel="0" collapsed="false">
      <c r="A18247" s="0" t="s">
        <v>993</v>
      </c>
      <c r="B18247" s="0" t="s">
        <v>98</v>
      </c>
      <c r="F18247" s="15" t="n">
        <f aca="false">capex_floor27-Sens!F18245-Sens!F18246-Sens!F18343</f>
        <v>0.176332265009222</v>
      </c>
      <c r="L18247" s="12" t="s">
        <v>994</v>
      </c>
    </row>
    <row r="18248" customFormat="false" ht="17.15" hidden="false" customHeight="false" outlineLevel="0" collapsed="false">
      <c r="A18248" s="0" t="s">
        <v>995</v>
      </c>
      <c r="B18248" s="0" t="s">
        <v>98</v>
      </c>
      <c r="F18248" s="6" t="n">
        <f aca="false">MAX(0,Sens!F18247)</f>
        <v>0.176332265009222</v>
      </c>
    </row>
    <row r="18249" customFormat="false" ht="17.15" hidden="false" customHeight="false" outlineLevel="0" collapsed="false">
      <c r="A18249" s="0" t="s">
        <v>996</v>
      </c>
      <c r="B18249" s="0" t="s">
        <v>98</v>
      </c>
      <c r="C18249" s="6" t="n">
        <f aca="false">Sens!C18245</f>
        <v>22.5333845916667</v>
      </c>
      <c r="D18249" s="6" t="n">
        <f aca="false">Sens!D18245</f>
        <v>34.0300093833333</v>
      </c>
      <c r="E18249" s="6" t="n">
        <f aca="false">Sens!E18245</f>
        <v>67.600153775</v>
      </c>
      <c r="F18249" s="6" t="n">
        <f aca="false">Sens!F18245</f>
        <v>136.51872432512</v>
      </c>
      <c r="G18249" s="6" t="n">
        <f aca="false">Sens!G18245</f>
        <v>157.399275932048</v>
      </c>
      <c r="H18249" s="6" t="n">
        <f aca="false">Sens!H18245</f>
        <v>162.260804347512</v>
      </c>
      <c r="I18249" s="6" t="n">
        <f aca="false">Sens!I18245</f>
        <v>144.136569485434</v>
      </c>
      <c r="J18249" s="6" t="n">
        <f aca="false">Sens!J18245</f>
        <v>114.029037357864</v>
      </c>
      <c r="K18249" s="6" t="n">
        <f aca="false">Sens!K18245</f>
        <v>113.437085350975</v>
      </c>
    </row>
    <row r="18250" customFormat="false" ht="17.15" hidden="false" customHeight="false" outlineLevel="0" collapsed="false">
      <c r="A18250" s="0" t="s">
        <v>997</v>
      </c>
      <c r="B18250" s="0" t="s">
        <v>98</v>
      </c>
      <c r="C18250" s="6" t="n">
        <f aca="false">Sens!C18249+Sens!C18246</f>
        <v>28.7416845916667</v>
      </c>
      <c r="D18250" s="6" t="n">
        <f aca="false">Sens!D18249+Sens!D18246</f>
        <v>43.4058093833333</v>
      </c>
      <c r="E18250" s="6" t="n">
        <f aca="false">Sens!E18249+Sens!E18246</f>
        <v>86.225053775</v>
      </c>
      <c r="F18250" s="6" t="n">
        <f aca="false">Sens!F18249+Sens!F18246</f>
        <v>168.45390404212</v>
      </c>
      <c r="G18250" s="6" t="n">
        <f aca="false">Sens!G18249+Sens!G18246</f>
        <v>191.944475649048</v>
      </c>
      <c r="H18250" s="6" t="n">
        <f aca="false">Sens!H18249+Sens!H18246</f>
        <v>196.806004064512</v>
      </c>
      <c r="I18250" s="6" t="n">
        <f aca="false">Sens!I18249+Sens!I18246</f>
        <v>168.61483362161</v>
      </c>
      <c r="J18250" s="6" t="n">
        <f aca="false">Sens!J18249+Sens!J18246</f>
        <v>128.92993119594</v>
      </c>
      <c r="K18250" s="6" t="n">
        <f aca="false">Sens!K18249+Sens!K18246</f>
        <v>118.962853064733</v>
      </c>
      <c r="L18250" s="12" t="s">
        <v>998</v>
      </c>
    </row>
    <row r="18251" customFormat="false" ht="17.15" hidden="false" customHeight="false" outlineLevel="0" collapsed="false">
      <c r="A18251" s="0" t="s">
        <v>999</v>
      </c>
      <c r="B18251" s="0" t="s">
        <v>98</v>
      </c>
      <c r="E18251" s="6" t="n">
        <f aca="false">(Sens!C18249*IF(2&lt;life_it,1,IF(2=life_it,0.5,0))+Sens!D18249*IF(1&lt;life_it,1,IF(1=life_it,0.5,0))+Sens!E18249*0.5)/life_it</f>
        <v>15.0605784770833</v>
      </c>
      <c r="F18251" s="6" t="n">
        <f aca="false">(Sens!C18249*IF(3&lt;life_it,1,IF(3=life_it,0.5,0))+Sens!D18249*IF(2&lt;life_it,1,IF(2=life_it,0.5,0))+Sens!E18249*IF(1&lt;life_it,1,IF(1=life_it,0.5,0))+Sens!F18249*0.5)/life_it</f>
        <v>32.0704849854266</v>
      </c>
      <c r="G18251" s="6" t="n">
        <f aca="false">(Sens!C18249*IF(4&lt;life_it,1,IF(4=life_it,0.5,0))+Sens!D18249*IF(3&lt;life_it,1,IF(3=life_it,0.5,0))+Sens!E18249*IF(2&lt;life_it,1,IF(2=life_it,0.5,0))+Sens!F18249*IF(1&lt;life_it,1,IF(1=life_it,0.5,0))+Sens!G18249*0.5)/life_it</f>
        <v>56.5636516735239</v>
      </c>
      <c r="H18251" s="6" t="n">
        <f aca="false">(Sens!C18249*IF(5&lt;life_it,1,IF(5=life_it,0.5,0))+Sens!D18249*IF(4&lt;life_it,1,IF(4=life_it,0.5,0))+Sens!E18249*IF(3&lt;life_it,1,IF(3=life_it,0.5,0))+Sens!F18249*IF(2&lt;life_it,1,IF(2=life_it,0.5,0))+Sens!G18249*IF(1&lt;life_it,1,IF(1=life_it,0.5,0))+Sens!H18249*0.5)/life_it</f>
        <v>83.2019916968207</v>
      </c>
      <c r="I18251" s="6" t="n">
        <f aca="false">(Sens!C18249*IF(6&lt;life_it,1,IF(6=life_it,0.5,0))+Sens!D18249*IF(5&lt;life_it,1,IF(5=life_it,0.5,0))+Sens!E18249*IF(4&lt;life_it,1,IF(4=life_it,0.5,0))+Sens!F18249*IF(3&lt;life_it,1,IF(3=life_it,0.5,0))+Sens!G18249*IF(2&lt;life_it,1,IF(2=life_it,0.5,0))+Sens!H18249*IF(1&lt;life_it,1,IF(1=life_it,0.5,0))+Sens!I18249*0.5)/life_it</f>
        <v>106.857324133594</v>
      </c>
      <c r="J18251" s="6" t="n">
        <f aca="false">(Sens!C18249*IF(7&lt;life_it,1,IF(7=life_it,0.5,0))+Sens!D18249*IF(6&lt;life_it,1,IF(6=life_it,0.5,0))+Sens!E18249*IF(5&lt;life_it,1,IF(5=life_it,0.5,0))+Sens!F18249*IF(4&lt;life_it,1,IF(4=life_it,0.5,0))+Sens!G18249*IF(3&lt;life_it,1,IF(3=life_it,0.5,0))+Sens!H18249*IF(2&lt;life_it,1,IF(2=life_it,0.5,0))+Sens!I18249*IF(1&lt;life_it,1,IF(1=life_it,0.5,0))+Sens!J18249*0.5)/life_it</f>
        <v>123.657508539285</v>
      </c>
      <c r="K18251" s="6" t="n">
        <f aca="false">(Sens!C18249*IF(8&lt;life_it,1,IF(8=life_it,0.5,0))+Sens!D18249*IF(7&lt;life_it,1,IF(7=life_it,0.5,0))+Sens!E18249*IF(6&lt;life_it,1,IF(6=life_it,0.5,0))+Sens!F18249*IF(5&lt;life_it,1,IF(5=life_it,0.5,0))+Sens!G18249*IF(4&lt;life_it,1,IF(4=life_it,0.5,0))+Sens!H18249*IF(3&lt;life_it,1,IF(3=life_it,0.5,0))+Sens!I18249*IF(2&lt;life_it,1,IF(2=life_it,0.5,0))+Sens!J18249*IF(1&lt;life_it,1,IF(1=life_it,0.5,0))+Sens!K18249*0.5)/life_it</f>
        <v>134.143838501827</v>
      </c>
    </row>
    <row r="18252" customFormat="false" ht="17.15" hidden="false" customHeight="false" outlineLevel="0" collapsed="false">
      <c r="A18252" s="0" t="s">
        <v>1000</v>
      </c>
      <c r="B18252" s="0" t="s">
        <v>98</v>
      </c>
      <c r="E18252" s="6" t="n">
        <f aca="false">(Sens!C18246*IF(2&lt;life_fac,1,IF(2=life_fac,0.5,0))+Sens!D18246*IF(1&lt;life_fac,1,IF(1=life_fac,0.5,0))+Sens!E18246*0.5)/life_fac</f>
        <v>1.2448275</v>
      </c>
      <c r="F18252" s="6" t="n">
        <f aca="false">(Sens!C18246*IF(3&lt;life_fac,1,IF(3=life_fac,0.5,0))+Sens!D18246*IF(2&lt;life_fac,1,IF(2=life_fac,0.5,0))+Sens!E18246*IF(1&lt;life_fac,1,IF(1=life_fac,0.5,0))+Sens!F18246*0.5)/life_fac</f>
        <v>2.508829492925</v>
      </c>
      <c r="G18252" s="6" t="n">
        <f aca="false">(Sens!C18246*IF(4&lt;life_fac,1,IF(4=life_fac,0.5,0))+Sens!D18246*IF(3&lt;life_fac,1,IF(3=life_fac,0.5,0))+Sens!E18246*IF(2&lt;life_fac,1,IF(2=life_fac,0.5,0))+Sens!F18246*IF(1&lt;life_fac,1,IF(1=life_fac,0.5,0))+Sens!G18246*0.5)/life_fac</f>
        <v>4.170838978775</v>
      </c>
      <c r="H18252" s="6" t="n">
        <f aca="false">(Sens!C18246*IF(5&lt;life_fac,1,IF(5=life_fac,0.5,0))+Sens!D18246*IF(4&lt;life_fac,1,IF(4=life_fac,0.5,0))+Sens!E18246*IF(3&lt;life_fac,1,IF(3=life_fac,0.5,0))+Sens!F18246*IF(2&lt;life_fac,1,IF(2=life_fac,0.5,0))+Sens!G18246*IF(1&lt;life_fac,1,IF(1=life_fac,0.5,0))+Sens!H18246*0.5)/life_fac</f>
        <v>5.898098964625</v>
      </c>
      <c r="I18252" s="6" t="n">
        <f aca="false">(Sens!C18246*IF(6&lt;life_fac,1,IF(6=life_fac,0.5,0))+Sens!D18246*IF(5&lt;life_fac,1,IF(5=life_fac,0.5,0))+Sens!E18246*IF(4&lt;life_fac,1,IF(4=life_fac,0.5,0))+Sens!F18246*IF(3&lt;life_fac,1,IF(3=life_fac,0.5,0))+Sens!G18246*IF(2&lt;life_fac,1,IF(2=life_fac,0.5,0))+Sens!H18246*IF(1&lt;life_fac,1,IF(1=life_fac,0.5,0))+Sens!I18246*0.5)/life_fac</f>
        <v>7.37368556095442</v>
      </c>
      <c r="J18252" s="6" t="n">
        <f aca="false">(Sens!C18246*IF(7&lt;life_fac,1,IF(7=life_fac,0.5,0))+Sens!D18246*IF(6&lt;life_fac,1,IF(6=life_fac,0.5,0))+Sens!E18246*IF(5&lt;life_fac,1,IF(5=life_fac,0.5,0))+Sens!F18246*IF(4&lt;life_fac,1,IF(4=life_fac,0.5,0))+Sens!G18246*IF(3&lt;life_fac,1,IF(3=life_fac,0.5,0))+Sens!H18246*IF(2&lt;life_fac,1,IF(2=life_fac,0.5,0))+Sens!I18246*IF(1&lt;life_fac,1,IF(1=life_fac,0.5,0))+Sens!J18246*0.5)/life_fac</f>
        <v>8.35816451031075</v>
      </c>
      <c r="K18252" s="6" t="n">
        <f aca="false">(Sens!C18246*IF(8&lt;life_fac,1,IF(8=life_fac,0.5,0))+Sens!D18246*IF(7&lt;life_fac,1,IF(7=life_fac,0.5,0))+Sens!E18246*IF(6&lt;life_fac,1,IF(6=life_fac,0.5,0))+Sens!F18246*IF(5&lt;life_fac,1,IF(5=life_fac,0.5,0))+Sens!G18246*IF(4&lt;life_fac,1,IF(4=life_fac,0.5,0))+Sens!H18246*IF(3&lt;life_fac,1,IF(3=life_fac,0.5,0))+Sens!I18246*IF(2&lt;life_fac,1,IF(2=life_fac,0.5,0))+Sens!J18246*IF(1&lt;life_fac,1,IF(1=life_fac,0.5,0))+Sens!K18246*0.5)/life_fac</f>
        <v>8.86883104910662</v>
      </c>
    </row>
    <row r="18253" customFormat="false" ht="17.15" hidden="false" customHeight="false" outlineLevel="0" collapsed="false">
      <c r="A18253" s="0" t="s">
        <v>1001</v>
      </c>
      <c r="B18253" s="0" t="s">
        <v>98</v>
      </c>
      <c r="E18253" s="6" t="n">
        <f aca="false">Sens!E18251+Sens!E18252</f>
        <v>16.3054059770833</v>
      </c>
      <c r="F18253" s="6" t="n">
        <f aca="false">Sens!F18251+Sens!F18252</f>
        <v>34.5793144783516</v>
      </c>
      <c r="G18253" s="6" t="n">
        <f aca="false">Sens!G18251+Sens!G18252</f>
        <v>60.7344906522989</v>
      </c>
      <c r="H18253" s="6" t="n">
        <f aca="false">Sens!H18251+Sens!H18252</f>
        <v>89.1000906614457</v>
      </c>
      <c r="I18253" s="6" t="n">
        <f aca="false">Sens!I18251+Sens!I18252</f>
        <v>114.231009694548</v>
      </c>
      <c r="J18253" s="6" t="n">
        <f aca="false">Sens!J18251+Sens!J18252</f>
        <v>132.015673049596</v>
      </c>
      <c r="K18253" s="6" t="n">
        <f aca="false">Sens!K18251+Sens!K18252</f>
        <v>143.012669550934</v>
      </c>
    </row>
    <row r="18254" customFormat="false" ht="17.15" hidden="false" customHeight="false" outlineLevel="0" collapsed="false">
      <c r="A18254" s="0" t="s">
        <v>1002</v>
      </c>
      <c r="B18254" s="0" t="s">
        <v>98</v>
      </c>
      <c r="E18254" s="6" t="n">
        <f aca="false">Sens!E18241-Sens!E18240*Sens!E18253</f>
        <v>8.92707889977379</v>
      </c>
      <c r="F18254" s="6" t="n">
        <f aca="false">Sens!F18241-Sens!F18240*Sens!F18253</f>
        <v>22.4686207259278</v>
      </c>
      <c r="G18254" s="6" t="n">
        <f aca="false">Sens!G18241-Sens!G18240*Sens!G18253</f>
        <v>43.2797528675735</v>
      </c>
      <c r="H18254" s="6" t="n">
        <f aca="false">Sens!H18241-Sens!H18240*Sens!H18253</f>
        <v>69.3477099347341</v>
      </c>
      <c r="I18254" s="6" t="n">
        <f aca="false">Sens!I18241-Sens!I18240*Sens!I18253</f>
        <v>86.8523667140836</v>
      </c>
      <c r="J18254" s="6" t="n">
        <f aca="false">Sens!J18241-Sens!J18240*Sens!J18253</f>
        <v>98.9882647234202</v>
      </c>
      <c r="K18254" s="6" t="n">
        <f aca="false">Sens!K18241-Sens!K18240*Sens!K18253</f>
        <v>106.918985011399</v>
      </c>
    </row>
    <row r="18255" customFormat="false" ht="17.15" hidden="false" customHeight="false" outlineLevel="0" collapsed="false">
      <c r="A18255" s="3" t="s">
        <v>1930</v>
      </c>
    </row>
    <row r="18256" customFormat="false" ht="15" hidden="false" customHeight="false" outlineLevel="0" collapsed="false">
      <c r="A18256" s="4" t="s">
        <v>43</v>
      </c>
      <c r="B18256" s="4" t="s">
        <v>65</v>
      </c>
      <c r="C18256" s="23" t="s">
        <v>938</v>
      </c>
      <c r="D18256" s="23" t="s">
        <v>939</v>
      </c>
      <c r="E18256" s="23" t="s">
        <v>940</v>
      </c>
      <c r="F18256" s="23" t="s">
        <v>941</v>
      </c>
      <c r="G18256" s="23" t="s">
        <v>942</v>
      </c>
      <c r="H18256" s="23" t="s">
        <v>943</v>
      </c>
      <c r="I18256" s="23" t="s">
        <v>944</v>
      </c>
      <c r="J18256" s="23" t="s">
        <v>945</v>
      </c>
      <c r="K18256" s="23" t="s">
        <v>946</v>
      </c>
      <c r="L18256" s="4" t="s">
        <v>47</v>
      </c>
    </row>
    <row r="18257" customFormat="false" ht="17.15" hidden="false" customHeight="false" outlineLevel="0" collapsed="false">
      <c r="A18257" s="0" t="s">
        <v>1021</v>
      </c>
      <c r="B18257" s="0" t="s">
        <v>98</v>
      </c>
      <c r="D18257" s="6" t="n">
        <f aca="false">Sens!D18235</f>
        <v>12.9359794422418</v>
      </c>
      <c r="E18257" s="6" t="n">
        <f aca="false">Sens!E18235</f>
        <v>27.8095064661409</v>
      </c>
      <c r="F18257" s="6" t="n">
        <f aca="false">Sens!F18235</f>
        <v>59.1034165651511</v>
      </c>
      <c r="G18257" s="6" t="n">
        <f aca="false">Sens!G18235</f>
        <v>103.451498789198</v>
      </c>
      <c r="H18257" s="6" t="n">
        <f aca="false">Sens!H18235</f>
        <v>153.816719989035</v>
      </c>
      <c r="I18257" s="6" t="n">
        <f aca="false">Sens!I18235</f>
        <v>192.699478690852</v>
      </c>
      <c r="J18257" s="6" t="n">
        <f aca="false">Sens!J18235</f>
        <v>219.794102584244</v>
      </c>
      <c r="K18257" s="6" t="n">
        <f aca="false">Sens!K18235</f>
        <v>236.757046905022</v>
      </c>
    </row>
    <row r="18258" customFormat="false" ht="17.15" hidden="false" customHeight="false" outlineLevel="0" collapsed="false">
      <c r="A18258" s="0" t="s">
        <v>1022</v>
      </c>
      <c r="B18258" s="0" t="s">
        <v>98</v>
      </c>
      <c r="D18258" s="6" t="n">
        <f aca="false">Q!L6-Sens!D18257</f>
        <v>59.6740205577583</v>
      </c>
      <c r="E18258" s="6" t="n">
        <f aca="false">Q!M6-Sens!E18257</f>
        <v>74.1284935338591</v>
      </c>
      <c r="F18258" s="6" t="n">
        <f aca="false">Q!$I$6+(Sens!F18257+Sens!E18258*(1+Sens!F18259))*(1-Q!$E$6/Q!M6)-Sens!F18257</f>
        <v>90.4866018070994</v>
      </c>
      <c r="G18258" s="6" t="n">
        <f aca="false">Sens!F18258*(1+Sens!G18259)</f>
        <v>107.511588557154</v>
      </c>
      <c r="H18258" s="6" t="n">
        <f aca="false">Sens!G18258*(1+Sens!H18259)</f>
        <v>124.832989325489</v>
      </c>
      <c r="I18258" s="6" t="n">
        <f aca="false">Sens!H18258*(1+Sens!I18259)</f>
        <v>141.56992589148</v>
      </c>
      <c r="J18258" s="6" t="n">
        <f aca="false">Sens!I18258*(1+Sens!J18259)</f>
        <v>156.723190479428</v>
      </c>
      <c r="K18258" s="6" t="n">
        <f aca="false">Sens!J18258*(1+Sens!K18259)</f>
        <v>169.261045717783</v>
      </c>
      <c r="L18258" s="12" t="s">
        <v>1023</v>
      </c>
    </row>
    <row r="18259" customFormat="false" ht="15" hidden="false" customHeight="false" outlineLevel="0" collapsed="false">
      <c r="A18259" s="1" t="s">
        <v>1024</v>
      </c>
      <c r="B18259" s="0" t="s">
        <v>168</v>
      </c>
      <c r="E18259" s="7" t="n">
        <f aca="false">Sens!E18258/Sens!D18258-1</f>
        <v>0.242223883039864</v>
      </c>
      <c r="F18259" s="7" t="n">
        <f aca="false">Sens!$E$18259+(glt_azo-Sens!$E$18259)*MIN(1,(Sens!F18216-base_fy)/n_conv)</f>
        <v>0.215186569199887</v>
      </c>
      <c r="G18259" s="7" t="n">
        <f aca="false">Sens!$E$18259+(glt_azo-Sens!$E$18259)*MIN(1,(Sens!G18216-base_fy)/n_conv)</f>
        <v>0.18814925535991</v>
      </c>
      <c r="H18259" s="7" t="n">
        <f aca="false">Sens!$E$18259+(glt_azo-Sens!$E$18259)*MIN(1,(Sens!H18216-base_fy)/n_conv)</f>
        <v>0.161111941519932</v>
      </c>
      <c r="I18259" s="7" t="n">
        <f aca="false">Sens!$E$18259+(glt_azo-Sens!$E$18259)*MIN(1,(Sens!I18216-base_fy)/n_conv)</f>
        <v>0.134074627679955</v>
      </c>
      <c r="J18259" s="7" t="n">
        <f aca="false">Sens!$E$18259+(glt_azo-Sens!$E$18259)*MIN(1,(Sens!J18216-base_fy)/n_conv)</f>
        <v>0.107037313839977</v>
      </c>
      <c r="K18259" s="7" t="n">
        <f aca="false">Sens!$E$18259+(glt_azo-Sens!$E$18259)*MIN(1,(Sens!K18216-base_fy)/n_conv)</f>
        <v>0.08</v>
      </c>
    </row>
    <row r="18260" customFormat="false" ht="15" hidden="false" customHeight="false" outlineLevel="0" collapsed="false">
      <c r="A18260" s="0" t="s">
        <v>1025</v>
      </c>
      <c r="B18260" s="0" t="s">
        <v>98</v>
      </c>
      <c r="D18260" s="6" t="n">
        <f aca="false">Sens!D18257+Sens!D18258</f>
        <v>72.61</v>
      </c>
      <c r="E18260" s="6" t="n">
        <f aca="false">Sens!E18257+Sens!E18258</f>
        <v>101.938</v>
      </c>
      <c r="F18260" s="6" t="n">
        <f aca="false">Sens!F18257+Sens!F18258</f>
        <v>149.59001837225</v>
      </c>
      <c r="G18260" s="6" t="n">
        <f aca="false">Sens!G18257+Sens!G18258</f>
        <v>210.963087346352</v>
      </c>
      <c r="H18260" s="6" t="n">
        <f aca="false">Sens!H18257+Sens!H18258</f>
        <v>278.649709314524</v>
      </c>
      <c r="I18260" s="6" t="n">
        <f aca="false">Sens!I18257+Sens!I18258</f>
        <v>334.269404582332</v>
      </c>
      <c r="J18260" s="6" t="n">
        <f aca="false">Sens!J18257+Sens!J18258</f>
        <v>376.517293063672</v>
      </c>
      <c r="K18260" s="6" t="n">
        <f aca="false">Sens!K18257+Sens!K18258</f>
        <v>406.018092622804</v>
      </c>
    </row>
    <row r="18261" customFormat="false" ht="17.15" hidden="false" customHeight="false" outlineLevel="0" collapsed="false">
      <c r="A18261" s="0" t="s">
        <v>1026</v>
      </c>
      <c r="B18261" s="1" t="s">
        <v>610</v>
      </c>
      <c r="C18261" s="30" t="n">
        <f aca="false">cop_s24</f>
        <v>1</v>
      </c>
      <c r="D18261" s="30" t="n">
        <f aca="false">cop_s25</f>
        <v>5</v>
      </c>
      <c r="E18261" s="30" t="n">
        <f aca="false">cop_s26</f>
        <v>30</v>
      </c>
      <c r="F18261" s="30" t="n">
        <f aca="false">Sens!E18261+cop_add_A</f>
        <v>60</v>
      </c>
      <c r="G18261" s="30" t="n">
        <f aca="false">Sens!F18261+cop_add_A</f>
        <v>90</v>
      </c>
      <c r="H18261" s="30" t="n">
        <f aca="false">Sens!G18261+cop_add_A</f>
        <v>120</v>
      </c>
      <c r="I18261" s="30" t="n">
        <f aca="false">Sens!H18261+cop_add_A*cop_tail</f>
        <v>135</v>
      </c>
      <c r="J18261" s="30" t="n">
        <f aca="false">Sens!I18261+cop_add_A*cop_tail</f>
        <v>150</v>
      </c>
      <c r="K18261" s="30" t="n">
        <f aca="false">Sens!J18261+cop_add_A*cop_tail</f>
        <v>165</v>
      </c>
      <c r="L18261" s="12" t="s">
        <v>1027</v>
      </c>
    </row>
    <row r="18262" customFormat="false" ht="17.15" hidden="false" customHeight="false" outlineLevel="0" collapsed="false">
      <c r="A18262" s="0" t="s">
        <v>1028</v>
      </c>
      <c r="B18262" s="0" t="s">
        <v>98</v>
      </c>
      <c r="D18262" s="6" t="n">
        <f aca="false">(Sens!C18261+Sens!D18261)/2*cop_px*12/1000</f>
        <v>0.9</v>
      </c>
      <c r="E18262" s="6" t="n">
        <f aca="false">(Sens!D18261+Sens!E18261)/2*cop_px*12/1000</f>
        <v>5.25</v>
      </c>
      <c r="F18262" s="6" t="n">
        <f aca="false">(Sens!E18261+Sens!F18261)/2*cop_px*12/1000</f>
        <v>13.5</v>
      </c>
      <c r="G18262" s="6" t="n">
        <f aca="false">(Sens!F18261+Sens!G18261)/2*cop_px*12/1000</f>
        <v>22.5</v>
      </c>
      <c r="H18262" s="6" t="n">
        <f aca="false">(Sens!G18261+Sens!H18261)/2*cop_px*12/1000</f>
        <v>31.5</v>
      </c>
      <c r="I18262" s="6" t="n">
        <f aca="false">(Sens!H18261+Sens!I18261)/2*cop_px*12/1000</f>
        <v>38.25</v>
      </c>
      <c r="J18262" s="6" t="n">
        <f aca="false">(Sens!I18261+Sens!J18261)/2*cop_px*12/1000</f>
        <v>42.75</v>
      </c>
      <c r="K18262" s="6" t="n">
        <f aca="false">(Sens!J18261+Sens!K18261)/2*cop_px*12/1000</f>
        <v>47.25</v>
      </c>
      <c r="L18262" s="1" t="s">
        <v>1029</v>
      </c>
    </row>
    <row r="18263" customFormat="false" ht="17.15" hidden="false" customHeight="false" outlineLevel="0" collapsed="false">
      <c r="A18263" s="0" t="s">
        <v>1030</v>
      </c>
      <c r="B18263" s="0" t="s">
        <v>98</v>
      </c>
      <c r="D18263" s="6" t="n">
        <f aca="false">Q!L7-Sens!D18262</f>
        <v>83.705</v>
      </c>
      <c r="E18263" s="6" t="n">
        <f aca="false">Q!M7-Sens!E18262</f>
        <v>95.049</v>
      </c>
      <c r="F18263" s="6" t="n">
        <f aca="false">Q!$I$7+(Sens!E18263*(1+Sens!F18264)+Sens!F18262)*(1-Q!$E$7/Q!M7)-Sens!F18262</f>
        <v>106.229653205718</v>
      </c>
      <c r="G18263" s="6" t="n">
        <f aca="false">Sens!F18263*(1+Sens!G18264)</f>
        <v>118.306092647576</v>
      </c>
      <c r="H18263" s="6" t="n">
        <f aca="false">Sens!G18263*(1+Sens!H18264)</f>
        <v>130.463437602768</v>
      </c>
      <c r="I18263" s="6" t="n">
        <f aca="false">Sens!H18263*(1+Sens!I18264)</f>
        <v>142.445354741933</v>
      </c>
      <c r="J18263" s="6" t="n">
        <f aca="false">Sens!I18263*(1+Sens!J18264)</f>
        <v>153.972117481571</v>
      </c>
      <c r="K18263" s="6" t="n">
        <f aca="false">Sens!J18263*(1+Sens!K18264)</f>
        <v>164.75016570528</v>
      </c>
      <c r="L18263" s="12" t="s">
        <v>1031</v>
      </c>
    </row>
    <row r="18264" customFormat="false" ht="15" hidden="false" customHeight="false" outlineLevel="0" collapsed="false">
      <c r="A18264" s="1" t="s">
        <v>1024</v>
      </c>
      <c r="B18264" s="0" t="s">
        <v>168</v>
      </c>
      <c r="E18264" s="7" t="n">
        <f aca="false">Sens!E18263/Sens!D18263-1</f>
        <v>0.135523564900544</v>
      </c>
      <c r="F18264" s="7" t="n">
        <f aca="false">Sens!$E$18264+(glt_m365b-Sens!$E$18264)*MIN(1,(Sens!F18216-base_fy)/n_conv)</f>
        <v>0.124602970750453</v>
      </c>
      <c r="G18264" s="7" t="n">
        <f aca="false">Sens!$E$18264+(glt_m365b-Sens!$E$18264)*MIN(1,(Sens!G18216-base_fy)/n_conv)</f>
        <v>0.113682376600363</v>
      </c>
      <c r="H18264" s="7" t="n">
        <f aca="false">Sens!$E$18264+(glt_m365b-Sens!$E$18264)*MIN(1,(Sens!H18216-base_fy)/n_conv)</f>
        <v>0.102761782450272</v>
      </c>
      <c r="I18264" s="7" t="n">
        <f aca="false">Sens!$E$18264+(glt_m365b-Sens!$E$18264)*MIN(1,(Sens!I18216-base_fy)/n_conv)</f>
        <v>0.0918411883001813</v>
      </c>
      <c r="J18264" s="7" t="n">
        <f aca="false">Sens!$E$18264+(glt_m365b-Sens!$E$18264)*MIN(1,(Sens!J18216-base_fy)/n_conv)</f>
        <v>0.0809205941500906</v>
      </c>
      <c r="K18264" s="7" t="n">
        <f aca="false">Sens!$E$18264+(glt_m365b-Sens!$E$18264)*MIN(1,(Sens!K18216-base_fy)/n_conv)</f>
        <v>0.07</v>
      </c>
    </row>
    <row r="18265" customFormat="false" ht="15" hidden="false" customHeight="false" outlineLevel="0" collapsed="false">
      <c r="A18265" s="0" t="s">
        <v>1032</v>
      </c>
      <c r="B18265" s="0" t="s">
        <v>98</v>
      </c>
      <c r="D18265" s="6" t="n">
        <f aca="false">Sens!D18263+Sens!D18262</f>
        <v>84.605</v>
      </c>
      <c r="E18265" s="6" t="n">
        <f aca="false">Sens!E18263+Sens!E18262</f>
        <v>100.299</v>
      </c>
      <c r="F18265" s="6" t="n">
        <f aca="false">Sens!F18263+Sens!F18262</f>
        <v>119.729653205718</v>
      </c>
      <c r="G18265" s="6" t="n">
        <f aca="false">Sens!G18263+Sens!G18262</f>
        <v>140.806092647576</v>
      </c>
      <c r="H18265" s="6" t="n">
        <f aca="false">Sens!H18263+Sens!H18262</f>
        <v>161.963437602768</v>
      </c>
      <c r="I18265" s="6" t="n">
        <f aca="false">Sens!I18263+Sens!I18262</f>
        <v>180.695354741933</v>
      </c>
      <c r="J18265" s="6" t="n">
        <f aca="false">Sens!J18263+Sens!J18262</f>
        <v>196.722117481571</v>
      </c>
      <c r="K18265" s="6" t="n">
        <f aca="false">Sens!K18263+Sens!K18262</f>
        <v>212.00016570528</v>
      </c>
    </row>
    <row r="18266" customFormat="false" ht="17.15" hidden="false" customHeight="false" outlineLevel="0" collapsed="false">
      <c r="A18266" s="0" t="s">
        <v>1033</v>
      </c>
      <c r="B18266" s="0" t="s">
        <v>98</v>
      </c>
      <c r="D18266" s="6" t="n">
        <f aca="false">Q!L8</f>
        <v>35.391</v>
      </c>
      <c r="E18266" s="6" t="n">
        <f aca="false">Q!M8</f>
        <v>37.285</v>
      </c>
      <c r="F18266" s="6" t="n">
        <f aca="false">Q!$I$8+(Q!M8-Q!$E$8)*(1+Sens!F18267)</f>
        <v>38.3851437782675</v>
      </c>
      <c r="G18266" s="6" t="n">
        <f aca="false">Sens!F18266*(1+Sens!G18267)</f>
        <v>40.0105353288615</v>
      </c>
      <c r="H18266" s="6" t="n">
        <f aca="false">Sens!G18266*(1+Sens!H18267)</f>
        <v>41.4812512033683</v>
      </c>
      <c r="I18266" s="6" t="n">
        <f aca="false">Sens!H18266*(1+Sens!I18267)</f>
        <v>42.7743107216329</v>
      </c>
      <c r="J18266" s="6" t="n">
        <f aca="false">Sens!I18266*(1+Sens!J18267)</f>
        <v>43.8687373064601</v>
      </c>
      <c r="K18266" s="6" t="n">
        <f aca="false">Sens!J18266*(1+Sens!K18267)</f>
        <v>44.7461120525893</v>
      </c>
      <c r="L18266" s="12" t="s">
        <v>1034</v>
      </c>
    </row>
    <row r="18267" customFormat="false" ht="15" hidden="false" customHeight="false" outlineLevel="0" collapsed="false">
      <c r="A18267" s="1" t="s">
        <v>1024</v>
      </c>
      <c r="B18267" s="0" t="s">
        <v>168</v>
      </c>
      <c r="E18267" s="7" t="n">
        <f aca="false">Sens!E18266/Sens!D18266-1</f>
        <v>0.0535164307309768</v>
      </c>
      <c r="F18267" s="7" t="n">
        <f aca="false">Sens!$E$18267+(glt_lic-Sens!$E$18267)*MIN(1,(Sens!F18216-base_fy)/n_conv)</f>
        <v>0.0479303589424807</v>
      </c>
      <c r="G18267" s="7" t="n">
        <f aca="false">Sens!$E$18267+(glt_lic-Sens!$E$18267)*MIN(1,(Sens!G18216-base_fy)/n_conv)</f>
        <v>0.0423442871539845</v>
      </c>
      <c r="H18267" s="7" t="n">
        <f aca="false">Sens!$E$18267+(glt_lic-Sens!$E$18267)*MIN(1,(Sens!H18216-base_fy)/n_conv)</f>
        <v>0.0367582153654884</v>
      </c>
      <c r="I18267" s="7" t="n">
        <f aca="false">Sens!$E$18267+(glt_lic-Sens!$E$18267)*MIN(1,(Sens!I18216-base_fy)/n_conv)</f>
        <v>0.0311721435769923</v>
      </c>
      <c r="J18267" s="7" t="n">
        <f aca="false">Sens!$E$18267+(glt_lic-Sens!$E$18267)*MIN(1,(Sens!J18216-base_fy)/n_conv)</f>
        <v>0.0255860717884961</v>
      </c>
      <c r="K18267" s="7" t="n">
        <f aca="false">Sens!$E$18267+(glt_lic-Sens!$E$18267)*MIN(1,(Sens!K18216-base_fy)/n_conv)</f>
        <v>0.02</v>
      </c>
    </row>
    <row r="18268" customFormat="false" ht="17.15" hidden="false" customHeight="false" outlineLevel="0" collapsed="false">
      <c r="A18268" s="0" t="s">
        <v>1035</v>
      </c>
      <c r="B18268" s="0" t="s">
        <v>98</v>
      </c>
      <c r="D18268" s="6" t="n">
        <f aca="false">Q!L9</f>
        <v>18.417</v>
      </c>
      <c r="E18268" s="6" t="n">
        <f aca="false">Q!M9</f>
        <v>20.345</v>
      </c>
      <c r="F18268" s="6" t="n">
        <f aca="false">Q!$I$9+(Q!M9-Q!$E$9)*(1+Sens!F18269)</f>
        <v>22.3161797133988</v>
      </c>
      <c r="G18268" s="6" t="n">
        <f aca="false">Sens!F18268*(1+Sens!G18269)</f>
        <v>24.3943499673233</v>
      </c>
      <c r="H18268" s="6" t="n">
        <f aca="false">Sens!G18268*(1+Sens!H18269)</f>
        <v>26.5250243109019</v>
      </c>
      <c r="I18268" s="6" t="n">
        <f aca="false">Sens!H18268*(1+Sens!I18269)</f>
        <v>28.6884573538181</v>
      </c>
      <c r="J18268" s="6" t="n">
        <f aca="false">Sens!I18268*(1+Sens!J18269)</f>
        <v>30.8624968052127</v>
      </c>
      <c r="K18268" s="6" t="n">
        <f aca="false">Sens!J18268*(1+Sens!K18269)</f>
        <v>33.0228715815776</v>
      </c>
      <c r="L18268" s="12" t="s">
        <v>1034</v>
      </c>
    </row>
    <row r="18269" customFormat="false" ht="15" hidden="false" customHeight="false" outlineLevel="0" collapsed="false">
      <c r="A18269" s="1" t="s">
        <v>1024</v>
      </c>
      <c r="B18269" s="0" t="s">
        <v>168</v>
      </c>
      <c r="E18269" s="7" t="n">
        <f aca="false">Sens!E18268/Sens!D18268-1</f>
        <v>0.104685888038225</v>
      </c>
      <c r="F18269" s="7" t="n">
        <f aca="false">Sens!$E$18269+(glt_ind-Sens!$E$18269)*MIN(1,(Sens!F18216-base_fy)/n_conv)</f>
        <v>0.0989049066985211</v>
      </c>
      <c r="G18269" s="7" t="n">
        <f aca="false">Sens!$E$18269+(glt_ind-Sens!$E$18269)*MIN(1,(Sens!G18216-base_fy)/n_conv)</f>
        <v>0.0931239253588169</v>
      </c>
      <c r="H18269" s="7" t="n">
        <f aca="false">Sens!$E$18269+(glt_ind-Sens!$E$18269)*MIN(1,(Sens!H18216-base_fy)/n_conv)</f>
        <v>0.0873429440191127</v>
      </c>
      <c r="I18269" s="7" t="n">
        <f aca="false">Sens!$E$18269+(glt_ind-Sens!$E$18269)*MIN(1,(Sens!I18216-base_fy)/n_conv)</f>
        <v>0.0815619626794085</v>
      </c>
      <c r="J18269" s="7" t="n">
        <f aca="false">Sens!$E$18269+(glt_ind-Sens!$E$18269)*MIN(1,(Sens!J18216-base_fy)/n_conv)</f>
        <v>0.0757809813397042</v>
      </c>
      <c r="K18269" s="7" t="n">
        <f aca="false">Sens!$E$18269+(glt_ind-Sens!$E$18269)*MIN(1,(Sens!K18216-base_fy)/n_conv)</f>
        <v>0.07</v>
      </c>
    </row>
    <row r="18270" customFormat="false" ht="17.15" hidden="false" customHeight="false" outlineLevel="0" collapsed="false">
      <c r="A18270" s="0" t="s">
        <v>1036</v>
      </c>
      <c r="B18270" s="0" t="s">
        <v>98</v>
      </c>
      <c r="D18270" s="6" t="n">
        <f aca="false">Q!L10</f>
        <v>7.76</v>
      </c>
      <c r="E18270" s="6" t="n">
        <f aca="false">Q!M10</f>
        <v>8.26</v>
      </c>
      <c r="F18270" s="6" t="n">
        <f aca="false">Q!$I$10+(Q!M10-Q!$E$10)*(1+Sens!F18271)</f>
        <v>8.75372082474227</v>
      </c>
      <c r="G18270" s="6" t="n">
        <f aca="false">Sens!F18270*(1+Sens!G18271)</f>
        <v>9.33399324642364</v>
      </c>
      <c r="H18270" s="6" t="n">
        <f aca="false">Sens!G18270*(1+Sens!H18271)</f>
        <v>9.96139155535851</v>
      </c>
      <c r="I18270" s="6" t="n">
        <f aca="false">Sens!H18270*(1+Sens!I18271)</f>
        <v>10.6402039077391</v>
      </c>
      <c r="J18270" s="6" t="n">
        <f aca="false">Sens!I18270*(1+Sens!J18271)</f>
        <v>11.3751458271397</v>
      </c>
      <c r="K18270" s="6" t="n">
        <f aca="false">Sens!J18270*(1+Sens!K18271)</f>
        <v>12.1714060350394</v>
      </c>
      <c r="L18270" s="12" t="s">
        <v>1034</v>
      </c>
    </row>
    <row r="18271" customFormat="false" ht="15" hidden="false" customHeight="false" outlineLevel="0" collapsed="false">
      <c r="A18271" s="1" t="s">
        <v>1024</v>
      </c>
      <c r="B18271" s="0" t="s">
        <v>168</v>
      </c>
      <c r="E18271" s="7" t="n">
        <f aca="false">Sens!E18270/Sens!D18270-1</f>
        <v>0.0644329896907216</v>
      </c>
      <c r="F18271" s="7" t="n">
        <f aca="false">Sens!$E$18271+(glt_fro-Sens!$E$18271)*MIN(1,(Sens!F18216-base_fy)/n_conv)</f>
        <v>0.065360824742268</v>
      </c>
      <c r="G18271" s="7" t="n">
        <f aca="false">Sens!$E$18271+(glt_fro-Sens!$E$18271)*MIN(1,(Sens!G18216-base_fy)/n_conv)</f>
        <v>0.0662886597938144</v>
      </c>
      <c r="H18271" s="7" t="n">
        <f aca="false">Sens!$E$18271+(glt_fro-Sens!$E$18271)*MIN(1,(Sens!H18216-base_fy)/n_conv)</f>
        <v>0.0672164948453608</v>
      </c>
      <c r="I18271" s="7" t="n">
        <f aca="false">Sens!$E$18271+(glt_fro-Sens!$E$18271)*MIN(1,(Sens!I18216-base_fy)/n_conv)</f>
        <v>0.0681443298969072</v>
      </c>
      <c r="J18271" s="7" t="n">
        <f aca="false">Sens!$E$18271+(glt_fro-Sens!$E$18271)*MIN(1,(Sens!J18216-base_fy)/n_conv)</f>
        <v>0.0690721649484536</v>
      </c>
      <c r="K18271" s="7" t="n">
        <f aca="false">Sens!$E$18271+(glt_fro-Sens!$E$18271)*MIN(1,(Sens!K18216-base_fy)/n_conv)</f>
        <v>0.07</v>
      </c>
    </row>
    <row r="18272" customFormat="false" ht="15" hidden="false" customHeight="false" outlineLevel="0" collapsed="false">
      <c r="A18272" s="0" t="s">
        <v>852</v>
      </c>
      <c r="B18272" s="0" t="s">
        <v>98</v>
      </c>
      <c r="D18272" s="6" t="n">
        <f aca="false">Sens!D18260+Sens!D18265+Sens!D18266+Sens!D18268+Sens!D18270</f>
        <v>218.783</v>
      </c>
      <c r="E18272" s="6" t="n">
        <f aca="false">Sens!E18260+Sens!E18265+Sens!E18266+Sens!E18268+Sens!E18270</f>
        <v>268.127</v>
      </c>
      <c r="F18272" s="6" t="n">
        <f aca="false">Sens!F18260+Sens!F18265+Sens!F18266+Sens!F18268+Sens!F18270</f>
        <v>338.774715894377</v>
      </c>
      <c r="G18272" s="6" t="n">
        <f aca="false">Sens!G18260+Sens!G18265+Sens!G18266+Sens!G18268+Sens!G18270</f>
        <v>425.508058536537</v>
      </c>
      <c r="H18272" s="6" t="n">
        <f aca="false">Sens!H18260+Sens!H18265+Sens!H18266+Sens!H18268+Sens!H18270</f>
        <v>518.580813986921</v>
      </c>
      <c r="I18272" s="6" t="n">
        <f aca="false">Sens!I18260+Sens!I18265+Sens!I18266+Sens!I18268+Sens!I18270</f>
        <v>597.067731307455</v>
      </c>
      <c r="J18272" s="6" t="n">
        <f aca="false">Sens!J18260+Sens!J18265+Sens!J18266+Sens!J18268+Sens!J18270</f>
        <v>659.345790484055</v>
      </c>
      <c r="K18272" s="6" t="n">
        <f aca="false">Sens!K18260+Sens!K18265+Sens!K18266+Sens!K18268+Sens!K18270</f>
        <v>707.958647997291</v>
      </c>
    </row>
    <row r="18273" customFormat="false" ht="17.15" hidden="false" customHeight="false" outlineLevel="0" collapsed="false">
      <c r="A18273" s="0" t="s">
        <v>1037</v>
      </c>
      <c r="B18273" s="0" t="s">
        <v>98</v>
      </c>
      <c r="D18273" s="6" t="n">
        <f aca="false">Q!L13</f>
        <v>22.171</v>
      </c>
      <c r="E18273" s="6" t="n">
        <f aca="false">Q!M13</f>
        <v>24.835</v>
      </c>
      <c r="F18273" s="6" t="n">
        <f aca="false">Q!$I$13+(Q!M13-Q!$E$13)*(1+Sens!F18274)</f>
        <v>27.5591895660247</v>
      </c>
      <c r="G18273" s="6" t="n">
        <f aca="false">Sens!F18273*(1+Sens!G18274)</f>
        <v>30.4098563144583</v>
      </c>
      <c r="H18273" s="6" t="n">
        <f aca="false">Sens!G18273*(1+Sens!H18274)</f>
        <v>33.3011792571777</v>
      </c>
      <c r="I18273" s="6" t="n">
        <f aca="false">Sens!H18273*(1+Sens!I18274)</f>
        <v>36.189023797112</v>
      </c>
      <c r="J18273" s="6" t="n">
        <f aca="false">Sens!I18273*(1+Sens!J18274)</f>
        <v>39.0247773769199</v>
      </c>
      <c r="K18273" s="6" t="n">
        <f aca="false">Sens!J18273*(1+Sens!K18274)</f>
        <v>41.7565117933043</v>
      </c>
      <c r="L18273" s="12" t="s">
        <v>1034</v>
      </c>
    </row>
    <row r="18274" customFormat="false" ht="15" hidden="false" customHeight="false" outlineLevel="0" collapsed="false">
      <c r="A18274" s="1" t="s">
        <v>1024</v>
      </c>
      <c r="B18274" s="0" t="s">
        <v>168</v>
      </c>
      <c r="E18274" s="7" t="n">
        <f aca="false">Sens!E18273/Sens!D18273-1</f>
        <v>0.120156961796942</v>
      </c>
      <c r="F18274" s="7" t="n">
        <f aca="false">Sens!$E$18274+(glt_srch-Sens!$E$18274)*MIN(1,(Sens!F18216-base_fy)/n_conv)</f>
        <v>0.111797468164118</v>
      </c>
      <c r="G18274" s="7" t="n">
        <f aca="false">Sens!$E$18274+(glt_srch-Sens!$E$18274)*MIN(1,(Sens!G18216-base_fy)/n_conv)</f>
        <v>0.103437974531295</v>
      </c>
      <c r="H18274" s="7" t="n">
        <f aca="false">Sens!$E$18274+(glt_srch-Sens!$E$18274)*MIN(1,(Sens!H18216-base_fy)/n_conv)</f>
        <v>0.095078480898471</v>
      </c>
      <c r="I18274" s="7" t="n">
        <f aca="false">Sens!$E$18274+(glt_srch-Sens!$E$18274)*MIN(1,(Sens!I18216-base_fy)/n_conv)</f>
        <v>0.0867189872656474</v>
      </c>
      <c r="J18274" s="7" t="n">
        <f aca="false">Sens!$E$18274+(glt_srch-Sens!$E$18274)*MIN(1,(Sens!J18216-base_fy)/n_conv)</f>
        <v>0.0783594936328237</v>
      </c>
      <c r="K18274" s="7" t="n">
        <f aca="false">Sens!$E$18274+(glt_srch-Sens!$E$18274)*MIN(1,(Sens!K18216-base_fy)/n_conv)</f>
        <v>0.07</v>
      </c>
    </row>
    <row r="18275" customFormat="false" ht="17.15" hidden="false" customHeight="false" outlineLevel="0" collapsed="false">
      <c r="A18275" s="0" t="s">
        <v>1038</v>
      </c>
      <c r="B18275" s="0" t="s">
        <v>98</v>
      </c>
      <c r="D18275" s="6" t="n">
        <f aca="false">Q!L14</f>
        <v>23.455</v>
      </c>
      <c r="E18275" s="6" t="n">
        <f aca="false">Q!M14</f>
        <v>21.79</v>
      </c>
      <c r="F18275" s="6" t="n">
        <f aca="false">Q!$I$14+(Q!M14-Q!$E$14)*(1+Sens!F18276)</f>
        <v>20.7520981041711</v>
      </c>
      <c r="G18275" s="6" t="n">
        <f aca="false">Sens!F18275*(1+Sens!G18276)</f>
        <v>19.9083593495882</v>
      </c>
      <c r="H18275" s="6" t="n">
        <f aca="false">Sens!G18275*(1+Sens!H18276)</f>
        <v>19.4008256265831</v>
      </c>
      <c r="I18275" s="6" t="n">
        <f aca="false">Sens!H18275*(1+Sens!I18276)</f>
        <v>19.200434522122</v>
      </c>
      <c r="J18275" s="6" t="n">
        <f aca="false">Sens!I18275*(1+Sens!J18276)</f>
        <v>19.2932782348507</v>
      </c>
      <c r="K18275" s="6" t="n">
        <f aca="false">Sens!J18275*(1+Sens!K18276)</f>
        <v>19.6791437995477</v>
      </c>
      <c r="L18275" s="12" t="s">
        <v>1034</v>
      </c>
    </row>
    <row r="18276" customFormat="false" ht="15" hidden="false" customHeight="false" outlineLevel="0" collapsed="false">
      <c r="A18276" s="1" t="s">
        <v>1024</v>
      </c>
      <c r="B18276" s="0" t="s">
        <v>168</v>
      </c>
      <c r="E18276" s="7" t="n">
        <f aca="false">Sens!E18275/Sens!D18275-1</f>
        <v>-0.0709869963760392</v>
      </c>
      <c r="F18276" s="7" t="n">
        <f aca="false">Sens!$E$18276+(glt_xbox-Sens!$E$18276)*MIN(1,(Sens!F18216-base_fy)/n_conv)</f>
        <v>-0.0558224969800327</v>
      </c>
      <c r="G18276" s="7" t="n">
        <f aca="false">Sens!$E$18276+(glt_xbox-Sens!$E$18276)*MIN(1,(Sens!G18216-base_fy)/n_conv)</f>
        <v>-0.0406579975840262</v>
      </c>
      <c r="H18276" s="7" t="n">
        <f aca="false">Sens!$E$18276+(glt_xbox-Sens!$E$18276)*MIN(1,(Sens!H18216-base_fy)/n_conv)</f>
        <v>-0.0254934981880196</v>
      </c>
      <c r="I18276" s="7" t="n">
        <f aca="false">Sens!$E$18276+(glt_xbox-Sens!$E$18276)*MIN(1,(Sens!I18216-base_fy)/n_conv)</f>
        <v>-0.0103289987920131</v>
      </c>
      <c r="J18276" s="7" t="n">
        <f aca="false">Sens!$E$18276+(glt_xbox-Sens!$E$18276)*MIN(1,(Sens!J18216-base_fy)/n_conv)</f>
        <v>0.00483550060399347</v>
      </c>
      <c r="K18276" s="7" t="n">
        <f aca="false">Sens!$E$18276+(glt_xbox-Sens!$E$18276)*MIN(1,(Sens!K18216-base_fy)/n_conv)</f>
        <v>0.02</v>
      </c>
    </row>
    <row r="18277" customFormat="false" ht="17.15" hidden="false" customHeight="false" outlineLevel="0" collapsed="false">
      <c r="A18277" s="0" t="s">
        <v>1039</v>
      </c>
      <c r="B18277" s="0" t="s">
        <v>98</v>
      </c>
      <c r="D18277" s="6" t="n">
        <f aca="false">Q!L15</f>
        <v>17.315</v>
      </c>
      <c r="E18277" s="6" t="n">
        <f aca="false">Q!M15</f>
        <v>17.087</v>
      </c>
      <c r="F18277" s="6" t="n">
        <f aca="false">Q!$I$15+(Q!M15-Q!$E$15)*(1+g_q2_win)</f>
        <v>11.6994</v>
      </c>
      <c r="G18277" s="6" t="n">
        <f aca="false">Sens!F18277*(1+Sens!G18278)</f>
        <v>11.6746926329772</v>
      </c>
      <c r="H18277" s="6" t="n">
        <f aca="false">Sens!G18277*(1+Sens!H18278)</f>
        <v>11.7145747045475</v>
      </c>
      <c r="I18277" s="6" t="n">
        <f aca="false">Sens!H18277*(1+Sens!I18278)</f>
        <v>11.8193507447388</v>
      </c>
      <c r="J18277" s="6" t="n">
        <f aca="false">Sens!I18277*(1+Sens!J18278)</f>
        <v>11.9904008346869</v>
      </c>
      <c r="K18277" s="6" t="n">
        <f aca="false">Sens!J18277*(1+Sens!K18278)</f>
        <v>12.2302088513807</v>
      </c>
      <c r="L18277" s="12" t="s">
        <v>1034</v>
      </c>
    </row>
    <row r="18278" customFormat="false" ht="15" hidden="false" customHeight="false" outlineLevel="0" collapsed="false">
      <c r="A18278" s="1" t="s">
        <v>1024</v>
      </c>
      <c r="B18278" s="0" t="s">
        <v>168</v>
      </c>
      <c r="E18278" s="7" t="n">
        <f aca="false">Sens!E18277/Sens!D18277-1</f>
        <v>-0.0131677736066995</v>
      </c>
      <c r="F18278" s="7" t="n">
        <f aca="false">Sens!$E$18278+(glt_win-Sens!$E$18278)*MIN(1,(Sens!F18216-base_fy)/n_conv)</f>
        <v>-0.00763981133891627</v>
      </c>
      <c r="G18278" s="7" t="n">
        <f aca="false">Sens!$E$18278+(glt_win-Sens!$E$18278)*MIN(1,(Sens!G18216-base_fy)/n_conv)</f>
        <v>-0.00211184907113301</v>
      </c>
      <c r="H18278" s="7" t="n">
        <f aca="false">Sens!$E$18278+(glt_win-Sens!$E$18278)*MIN(1,(Sens!H18216-base_fy)/n_conv)</f>
        <v>0.00341611319665024</v>
      </c>
      <c r="I18278" s="7" t="n">
        <f aca="false">Sens!$E$18278+(glt_win-Sens!$E$18278)*MIN(1,(Sens!I18216-base_fy)/n_conv)</f>
        <v>0.00894407546443349</v>
      </c>
      <c r="J18278" s="7" t="n">
        <f aca="false">Sens!$E$18278+(glt_win-Sens!$E$18278)*MIN(1,(Sens!J18216-base_fy)/n_conv)</f>
        <v>0.0144720377322168</v>
      </c>
      <c r="K18278" s="7" t="n">
        <f aca="false">Sens!$E$18278+(glt_win-Sens!$E$18278)*MIN(1,(Sens!K18216-base_fy)/n_conv)</f>
        <v>0.02</v>
      </c>
    </row>
    <row r="18279" customFormat="false" ht="15" hidden="false" customHeight="false" outlineLevel="0" collapsed="false">
      <c r="A18279" s="0" t="s">
        <v>866</v>
      </c>
      <c r="B18279" s="0" t="s">
        <v>98</v>
      </c>
      <c r="D18279" s="6" t="n">
        <f aca="false">Sens!D18273+Sens!D18275+Sens!D18277</f>
        <v>62.941</v>
      </c>
      <c r="E18279" s="6" t="n">
        <f aca="false">Sens!E18273+Sens!E18275+Sens!E18277</f>
        <v>63.712</v>
      </c>
      <c r="F18279" s="6" t="n">
        <f aca="false">Sens!F18273+Sens!F18275+Sens!F18277</f>
        <v>60.0106876701958</v>
      </c>
      <c r="G18279" s="6" t="n">
        <f aca="false">Sens!G18273+Sens!G18275+Sens!G18277</f>
        <v>61.9929082970237</v>
      </c>
      <c r="H18279" s="6" t="n">
        <f aca="false">Sens!H18273+Sens!H18275+Sens!H18277</f>
        <v>64.4165795883084</v>
      </c>
      <c r="I18279" s="6" t="n">
        <f aca="false">Sens!I18273+Sens!I18275+Sens!I18277</f>
        <v>67.2088090639728</v>
      </c>
      <c r="J18279" s="6" t="n">
        <f aca="false">Sens!J18273+Sens!J18275+Sens!J18277</f>
        <v>70.3084564464575</v>
      </c>
      <c r="K18279" s="6" t="n">
        <f aca="false">Sens!K18273+Sens!K18275+Sens!K18277</f>
        <v>73.6658644442326</v>
      </c>
    </row>
    <row r="18280" customFormat="false" ht="15" hidden="false" customHeight="false" outlineLevel="0" collapsed="false">
      <c r="A18280" s="1" t="s">
        <v>1040</v>
      </c>
      <c r="B18280" s="0" t="s">
        <v>98</v>
      </c>
      <c r="D18280" s="6" t="n">
        <f aca="false">Sens!D18272+Sens!D18279</f>
        <v>281.724</v>
      </c>
      <c r="E18280" s="6" t="n">
        <f aca="false">Sens!E18272+Sens!E18279</f>
        <v>331.839</v>
      </c>
      <c r="F18280" s="6" t="n">
        <f aca="false">Sens!F18272+Sens!F18279</f>
        <v>398.785403564573</v>
      </c>
      <c r="G18280" s="6" t="n">
        <f aca="false">Sens!G18272+Sens!G18279</f>
        <v>487.500966833561</v>
      </c>
      <c r="H18280" s="6" t="n">
        <f aca="false">Sens!H18272+Sens!H18279</f>
        <v>582.997393575229</v>
      </c>
      <c r="I18280" s="6" t="n">
        <f aca="false">Sens!I18272+Sens!I18279</f>
        <v>664.276540371428</v>
      </c>
      <c r="J18280" s="6" t="n">
        <f aca="false">Sens!J18272+Sens!J18279</f>
        <v>729.654246930512</v>
      </c>
      <c r="K18280" s="6" t="n">
        <f aca="false">Sens!K18272+Sens!K18279</f>
        <v>781.624512441524</v>
      </c>
    </row>
    <row r="18281" customFormat="false" ht="15" hidden="false" customHeight="false" outlineLevel="0" collapsed="false">
      <c r="A18281" s="26" t="s">
        <v>1041</v>
      </c>
      <c r="B18281" s="31" t="s">
        <v>98</v>
      </c>
      <c r="C18281" s="31"/>
      <c r="D18281" s="27" t="n">
        <f aca="false">(Sens!D18260+Sens!D18265+Sens!D18266+Sens!D18268+Sens!D18270-Sens!D18272)+(Sens!D18273+Sens!D18275+Sens!D18277-Sens!D18279)+(Sens!D18272-Q!L5)+(Sens!D18279-Q!L12)+(Sens!D18260-Q!L6)+(Sens!D18265-Q!L7)</f>
        <v>0</v>
      </c>
      <c r="E18281" s="27" t="n">
        <f aca="false">(Sens!E18260+Sens!E18265+Sens!E18266+Sens!E18268+Sens!E18270-Sens!E18272)+(Sens!E18273+Sens!E18275+Sens!E18277-Sens!E18279)+(Sens!E18272-Q!M5)+(Sens!E18279-Q!M12)+(Sens!E18260-Q!M6)+(Sens!E18265-Q!M7)</f>
        <v>0</v>
      </c>
      <c r="F18281" s="27" t="n">
        <f aca="false">(Sens!F18260+Sens!F18265+Sens!F18266+Sens!F18268+Sens!F18270-Sens!F18272)+(Sens!F18273+Sens!F18275+Sens!F18277-Sens!F18279)</f>
        <v>0</v>
      </c>
      <c r="G18281" s="27" t="n">
        <f aca="false">(Sens!G18260+Sens!G18265+Sens!G18266+Sens!G18268+Sens!G18270-Sens!G18272)+(Sens!G18273+Sens!G18275+Sens!G18277-Sens!G18279)</f>
        <v>0</v>
      </c>
      <c r="H18281" s="27" t="n">
        <f aca="false">(Sens!H18260+Sens!H18265+Sens!H18266+Sens!H18268+Sens!H18270-Sens!H18272)+(Sens!H18273+Sens!H18275+Sens!H18277-Sens!H18279)</f>
        <v>0</v>
      </c>
      <c r="I18281" s="27" t="n">
        <f aca="false">(Sens!I18260+Sens!I18265+Sens!I18266+Sens!I18268+Sens!I18270-Sens!I18272)+(Sens!I18273+Sens!I18275+Sens!I18277-Sens!I18279)</f>
        <v>0</v>
      </c>
      <c r="J18281" s="27" t="n">
        <f aca="false">(Sens!J18260+Sens!J18265+Sens!J18266+Sens!J18268+Sens!J18270-Sens!J18272)+(Sens!J18273+Sens!J18275+Sens!J18277-Sens!J18279)</f>
        <v>0</v>
      </c>
      <c r="K18281" s="27" t="n">
        <f aca="false">(Sens!K18260+Sens!K18265+Sens!K18266+Sens!K18268+Sens!K18270-Sens!K18272)+(Sens!K18273+Sens!K18275+Sens!K18277-Sens!K18279)</f>
        <v>0</v>
      </c>
    </row>
    <row r="18282" customFormat="false" ht="17.15" hidden="false" customHeight="false" outlineLevel="0" collapsed="false">
      <c r="A18282" s="3" t="s">
        <v>1931</v>
      </c>
    </row>
    <row r="18283" customFormat="false" ht="15" hidden="false" customHeight="false" outlineLevel="0" collapsed="false">
      <c r="A18283" s="4" t="s">
        <v>43</v>
      </c>
      <c r="B18283" s="4" t="s">
        <v>65</v>
      </c>
      <c r="C18283" s="23" t="s">
        <v>938</v>
      </c>
      <c r="D18283" s="23" t="s">
        <v>939</v>
      </c>
      <c r="E18283" s="23" t="s">
        <v>940</v>
      </c>
      <c r="F18283" s="23" t="s">
        <v>941</v>
      </c>
      <c r="G18283" s="23" t="s">
        <v>942</v>
      </c>
      <c r="H18283" s="23" t="s">
        <v>943</v>
      </c>
      <c r="I18283" s="23" t="s">
        <v>944</v>
      </c>
      <c r="J18283" s="23" t="s">
        <v>945</v>
      </c>
      <c r="K18283" s="23" t="s">
        <v>946</v>
      </c>
      <c r="L18283" s="4" t="s">
        <v>47</v>
      </c>
    </row>
    <row r="18284" customFormat="false" ht="15" hidden="false" customHeight="false" outlineLevel="0" collapsed="false">
      <c r="A18284" s="0" t="s">
        <v>1025</v>
      </c>
      <c r="B18284" s="0" t="s">
        <v>98</v>
      </c>
      <c r="D18284" s="6" t="n">
        <f aca="false">Sens!D18260</f>
        <v>72.61</v>
      </c>
      <c r="E18284" s="6" t="n">
        <f aca="false">Sens!E18260</f>
        <v>101.938</v>
      </c>
      <c r="F18284" s="6" t="n">
        <f aca="false">Sens!F18260</f>
        <v>149.59001837225</v>
      </c>
      <c r="G18284" s="6" t="n">
        <f aca="false">Sens!G18260</f>
        <v>210.963087346352</v>
      </c>
      <c r="H18284" s="6" t="n">
        <f aca="false">Sens!H18260</f>
        <v>278.649709314524</v>
      </c>
      <c r="I18284" s="6" t="n">
        <f aca="false">Sens!I18260</f>
        <v>334.269404582332</v>
      </c>
      <c r="J18284" s="6" t="n">
        <f aca="false">Sens!J18260</f>
        <v>376.517293063672</v>
      </c>
      <c r="K18284" s="6" t="n">
        <f aca="false">Sens!K18260</f>
        <v>406.018092622804</v>
      </c>
    </row>
    <row r="18285" customFormat="false" ht="17.15" hidden="false" customHeight="false" outlineLevel="0" collapsed="false">
      <c r="A18285" s="0" t="s">
        <v>1021</v>
      </c>
      <c r="B18285" s="0" t="s">
        <v>98</v>
      </c>
      <c r="D18285" s="6" t="n">
        <f aca="false">Sens!D18257</f>
        <v>12.9359794422418</v>
      </c>
      <c r="E18285" s="6" t="n">
        <f aca="false">Sens!E18257</f>
        <v>27.8095064661409</v>
      </c>
      <c r="F18285" s="6" t="n">
        <f aca="false">Sens!F18257</f>
        <v>59.1034165651511</v>
      </c>
      <c r="G18285" s="6" t="n">
        <f aca="false">Sens!G18257</f>
        <v>103.451498789198</v>
      </c>
      <c r="H18285" s="6" t="n">
        <f aca="false">Sens!H18257</f>
        <v>153.816719989035</v>
      </c>
      <c r="I18285" s="6" t="n">
        <f aca="false">Sens!I18257</f>
        <v>192.699478690852</v>
      </c>
      <c r="J18285" s="6" t="n">
        <f aca="false">Sens!J18257</f>
        <v>219.794102584244</v>
      </c>
      <c r="K18285" s="6" t="n">
        <f aca="false">Sens!K18257</f>
        <v>236.757046905022</v>
      </c>
    </row>
    <row r="18286" customFormat="false" ht="17.15" hidden="false" customHeight="false" outlineLevel="0" collapsed="false">
      <c r="A18286" s="0" t="s">
        <v>1052</v>
      </c>
      <c r="B18286" s="0" t="s">
        <v>98</v>
      </c>
      <c r="D18286" s="6" t="n">
        <f aca="false">Sens!D18258</f>
        <v>59.6740205577583</v>
      </c>
      <c r="E18286" s="6" t="n">
        <f aca="false">Sens!E18258</f>
        <v>74.1284935338591</v>
      </c>
      <c r="F18286" s="6" t="n">
        <f aca="false">Sens!F18258</f>
        <v>90.4866018070994</v>
      </c>
      <c r="G18286" s="6" t="n">
        <f aca="false">Sens!G18258</f>
        <v>107.511588557154</v>
      </c>
      <c r="H18286" s="6" t="n">
        <f aca="false">Sens!H18258</f>
        <v>124.832989325489</v>
      </c>
      <c r="I18286" s="6" t="n">
        <f aca="false">Sens!I18258</f>
        <v>141.56992589148</v>
      </c>
      <c r="J18286" s="6" t="n">
        <f aca="false">Sens!J18258</f>
        <v>156.723190479428</v>
      </c>
      <c r="K18286" s="6" t="n">
        <f aca="false">Sens!K18258</f>
        <v>169.261045717783</v>
      </c>
    </row>
    <row r="18287" customFormat="false" ht="15" hidden="false" customHeight="false" outlineLevel="0" collapsed="false">
      <c r="A18287" s="0" t="s">
        <v>1032</v>
      </c>
      <c r="B18287" s="0" t="s">
        <v>98</v>
      </c>
      <c r="D18287" s="6" t="n">
        <f aca="false">Sens!D18265</f>
        <v>84.605</v>
      </c>
      <c r="E18287" s="6" t="n">
        <f aca="false">Sens!E18265</f>
        <v>100.299</v>
      </c>
      <c r="F18287" s="6" t="n">
        <f aca="false">Sens!F18265</f>
        <v>119.729653205718</v>
      </c>
      <c r="G18287" s="6" t="n">
        <f aca="false">Sens!G18265</f>
        <v>140.806092647576</v>
      </c>
      <c r="H18287" s="6" t="n">
        <f aca="false">Sens!H18265</f>
        <v>161.963437602768</v>
      </c>
      <c r="I18287" s="6" t="n">
        <f aca="false">Sens!I18265</f>
        <v>180.695354741933</v>
      </c>
      <c r="J18287" s="6" t="n">
        <f aca="false">Sens!J18265</f>
        <v>196.722117481571</v>
      </c>
      <c r="K18287" s="6" t="n">
        <f aca="false">Sens!K18265</f>
        <v>212.00016570528</v>
      </c>
    </row>
    <row r="18288" customFormat="false" ht="17.15" hidden="false" customHeight="false" outlineLevel="0" collapsed="false">
      <c r="A18288" s="0" t="s">
        <v>1053</v>
      </c>
      <c r="B18288" s="0" t="s">
        <v>98</v>
      </c>
      <c r="D18288" s="6" t="n">
        <f aca="false">Sens!D18263</f>
        <v>83.705</v>
      </c>
      <c r="E18288" s="6" t="n">
        <f aca="false">Sens!E18263</f>
        <v>95.049</v>
      </c>
      <c r="F18288" s="6" t="n">
        <f aca="false">Sens!F18263</f>
        <v>106.229653205718</v>
      </c>
      <c r="G18288" s="6" t="n">
        <f aca="false">Sens!G18263</f>
        <v>118.306092647576</v>
      </c>
      <c r="H18288" s="6" t="n">
        <f aca="false">Sens!H18263</f>
        <v>130.463437602768</v>
      </c>
      <c r="I18288" s="6" t="n">
        <f aca="false">Sens!I18263</f>
        <v>142.445354741933</v>
      </c>
      <c r="J18288" s="6" t="n">
        <f aca="false">Sens!J18263</f>
        <v>153.972117481571</v>
      </c>
      <c r="K18288" s="6" t="n">
        <f aca="false">Sens!K18263</f>
        <v>164.75016570528</v>
      </c>
    </row>
    <row r="18289" customFormat="false" ht="17.15" hidden="false" customHeight="false" outlineLevel="0" collapsed="false">
      <c r="A18289" s="0" t="s">
        <v>1054</v>
      </c>
      <c r="B18289" s="0" t="s">
        <v>98</v>
      </c>
      <c r="D18289" s="6" t="n">
        <f aca="false">Sens!D18262</f>
        <v>0.9</v>
      </c>
      <c r="E18289" s="6" t="n">
        <f aca="false">Sens!E18262</f>
        <v>5.25</v>
      </c>
      <c r="F18289" s="6" t="n">
        <f aca="false">Sens!F18262</f>
        <v>13.5</v>
      </c>
      <c r="G18289" s="6" t="n">
        <f aca="false">Sens!G18262</f>
        <v>22.5</v>
      </c>
      <c r="H18289" s="6" t="n">
        <f aca="false">Sens!H18262</f>
        <v>31.5</v>
      </c>
      <c r="I18289" s="6" t="n">
        <f aca="false">Sens!I18262</f>
        <v>38.25</v>
      </c>
      <c r="J18289" s="6" t="n">
        <f aca="false">Sens!J18262</f>
        <v>42.75</v>
      </c>
      <c r="K18289" s="6" t="n">
        <f aca="false">Sens!K18262</f>
        <v>47.25</v>
      </c>
    </row>
    <row r="18290" customFormat="false" ht="15" hidden="false" customHeight="false" outlineLevel="0" collapsed="false">
      <c r="A18290" s="0" t="s">
        <v>1033</v>
      </c>
      <c r="B18290" s="0" t="s">
        <v>98</v>
      </c>
      <c r="D18290" s="6" t="n">
        <f aca="false">Sens!D18266</f>
        <v>35.391</v>
      </c>
      <c r="E18290" s="6" t="n">
        <f aca="false">Sens!E18266</f>
        <v>37.285</v>
      </c>
      <c r="F18290" s="6" t="n">
        <f aca="false">Sens!F18266</f>
        <v>38.3851437782675</v>
      </c>
      <c r="G18290" s="6" t="n">
        <f aca="false">Sens!G18266</f>
        <v>40.0105353288615</v>
      </c>
      <c r="H18290" s="6" t="n">
        <f aca="false">Sens!H18266</f>
        <v>41.4812512033683</v>
      </c>
      <c r="I18290" s="6" t="n">
        <f aca="false">Sens!I18266</f>
        <v>42.7743107216329</v>
      </c>
      <c r="J18290" s="6" t="n">
        <f aca="false">Sens!J18266</f>
        <v>43.8687373064601</v>
      </c>
      <c r="K18290" s="6" t="n">
        <f aca="false">Sens!K18266</f>
        <v>44.7461120525893</v>
      </c>
    </row>
    <row r="18291" customFormat="false" ht="15" hidden="false" customHeight="false" outlineLevel="0" collapsed="false">
      <c r="A18291" s="0" t="s">
        <v>1035</v>
      </c>
      <c r="B18291" s="0" t="s">
        <v>98</v>
      </c>
      <c r="D18291" s="6" t="n">
        <f aca="false">Sens!D18268</f>
        <v>18.417</v>
      </c>
      <c r="E18291" s="6" t="n">
        <f aca="false">Sens!E18268</f>
        <v>20.345</v>
      </c>
      <c r="F18291" s="6" t="n">
        <f aca="false">Sens!F18268</f>
        <v>22.3161797133988</v>
      </c>
      <c r="G18291" s="6" t="n">
        <f aca="false">Sens!G18268</f>
        <v>24.3943499673233</v>
      </c>
      <c r="H18291" s="6" t="n">
        <f aca="false">Sens!H18268</f>
        <v>26.5250243109019</v>
      </c>
      <c r="I18291" s="6" t="n">
        <f aca="false">Sens!I18268</f>
        <v>28.6884573538181</v>
      </c>
      <c r="J18291" s="6" t="n">
        <f aca="false">Sens!J18268</f>
        <v>30.8624968052127</v>
      </c>
      <c r="K18291" s="6" t="n">
        <f aca="false">Sens!K18268</f>
        <v>33.0228715815776</v>
      </c>
    </row>
    <row r="18292" customFormat="false" ht="15" hidden="false" customHeight="false" outlineLevel="0" collapsed="false">
      <c r="A18292" s="0" t="s">
        <v>1036</v>
      </c>
      <c r="B18292" s="0" t="s">
        <v>98</v>
      </c>
      <c r="D18292" s="6" t="n">
        <f aca="false">Sens!D18270</f>
        <v>7.76</v>
      </c>
      <c r="E18292" s="6" t="n">
        <f aca="false">Sens!E18270</f>
        <v>8.26</v>
      </c>
      <c r="F18292" s="6" t="n">
        <f aca="false">Sens!F18270</f>
        <v>8.75372082474227</v>
      </c>
      <c r="G18292" s="6" t="n">
        <f aca="false">Sens!G18270</f>
        <v>9.33399324642364</v>
      </c>
      <c r="H18292" s="6" t="n">
        <f aca="false">Sens!H18270</f>
        <v>9.96139155535851</v>
      </c>
      <c r="I18292" s="6" t="n">
        <f aca="false">Sens!I18270</f>
        <v>10.6402039077391</v>
      </c>
      <c r="J18292" s="6" t="n">
        <f aca="false">Sens!J18270</f>
        <v>11.3751458271397</v>
      </c>
      <c r="K18292" s="6" t="n">
        <f aca="false">Sens!K18270</f>
        <v>12.1714060350394</v>
      </c>
    </row>
    <row r="18293" customFormat="false" ht="15" hidden="false" customHeight="false" outlineLevel="0" collapsed="false">
      <c r="A18293" s="0" t="s">
        <v>852</v>
      </c>
      <c r="B18293" s="0" t="s">
        <v>98</v>
      </c>
      <c r="D18293" s="6" t="n">
        <f aca="false">Sens!D18272</f>
        <v>218.783</v>
      </c>
      <c r="E18293" s="6" t="n">
        <f aca="false">Sens!E18272</f>
        <v>268.127</v>
      </c>
      <c r="F18293" s="6" t="n">
        <f aca="false">Sens!F18272</f>
        <v>338.774715894377</v>
      </c>
      <c r="G18293" s="6" t="n">
        <f aca="false">Sens!G18272</f>
        <v>425.508058536537</v>
      </c>
      <c r="H18293" s="6" t="n">
        <f aca="false">Sens!H18272</f>
        <v>518.580813986921</v>
      </c>
      <c r="I18293" s="6" t="n">
        <f aca="false">Sens!I18272</f>
        <v>597.067731307455</v>
      </c>
      <c r="J18293" s="6" t="n">
        <f aca="false">Sens!J18272</f>
        <v>659.345790484055</v>
      </c>
      <c r="K18293" s="6" t="n">
        <f aca="false">Sens!K18272</f>
        <v>707.958647997291</v>
      </c>
    </row>
    <row r="18294" customFormat="false" ht="15" hidden="false" customHeight="false" outlineLevel="0" collapsed="false">
      <c r="A18294" s="0" t="s">
        <v>1037</v>
      </c>
      <c r="B18294" s="0" t="s">
        <v>98</v>
      </c>
      <c r="D18294" s="6" t="n">
        <f aca="false">Sens!D18273</f>
        <v>22.171</v>
      </c>
      <c r="E18294" s="6" t="n">
        <f aca="false">Sens!E18273</f>
        <v>24.835</v>
      </c>
      <c r="F18294" s="6" t="n">
        <f aca="false">Sens!F18273</f>
        <v>27.5591895660247</v>
      </c>
      <c r="G18294" s="6" t="n">
        <f aca="false">Sens!G18273</f>
        <v>30.4098563144583</v>
      </c>
      <c r="H18294" s="6" t="n">
        <f aca="false">Sens!H18273</f>
        <v>33.3011792571777</v>
      </c>
      <c r="I18294" s="6" t="n">
        <f aca="false">Sens!I18273</f>
        <v>36.189023797112</v>
      </c>
      <c r="J18294" s="6" t="n">
        <f aca="false">Sens!J18273</f>
        <v>39.0247773769199</v>
      </c>
      <c r="K18294" s="6" t="n">
        <f aca="false">Sens!K18273</f>
        <v>41.7565117933043</v>
      </c>
    </row>
    <row r="18295" customFormat="false" ht="15" hidden="false" customHeight="false" outlineLevel="0" collapsed="false">
      <c r="A18295" s="0" t="s">
        <v>1038</v>
      </c>
      <c r="B18295" s="0" t="s">
        <v>98</v>
      </c>
      <c r="D18295" s="6" t="n">
        <f aca="false">Sens!D18275</f>
        <v>23.455</v>
      </c>
      <c r="E18295" s="6" t="n">
        <f aca="false">Sens!E18275</f>
        <v>21.79</v>
      </c>
      <c r="F18295" s="6" t="n">
        <f aca="false">Sens!F18275</f>
        <v>20.7520981041711</v>
      </c>
      <c r="G18295" s="6" t="n">
        <f aca="false">Sens!G18275</f>
        <v>19.9083593495882</v>
      </c>
      <c r="H18295" s="6" t="n">
        <f aca="false">Sens!H18275</f>
        <v>19.4008256265831</v>
      </c>
      <c r="I18295" s="6" t="n">
        <f aca="false">Sens!I18275</f>
        <v>19.200434522122</v>
      </c>
      <c r="J18295" s="6" t="n">
        <f aca="false">Sens!J18275</f>
        <v>19.2932782348507</v>
      </c>
      <c r="K18295" s="6" t="n">
        <f aca="false">Sens!K18275</f>
        <v>19.6791437995477</v>
      </c>
    </row>
    <row r="18296" customFormat="false" ht="15" hidden="false" customHeight="false" outlineLevel="0" collapsed="false">
      <c r="A18296" s="0" t="s">
        <v>1039</v>
      </c>
      <c r="B18296" s="0" t="s">
        <v>98</v>
      </c>
      <c r="D18296" s="6" t="n">
        <f aca="false">Sens!D18277</f>
        <v>17.315</v>
      </c>
      <c r="E18296" s="6" t="n">
        <f aca="false">Sens!E18277</f>
        <v>17.087</v>
      </c>
      <c r="F18296" s="6" t="n">
        <f aca="false">Sens!F18277</f>
        <v>11.6994</v>
      </c>
      <c r="G18296" s="6" t="n">
        <f aca="false">Sens!G18277</f>
        <v>11.6746926329772</v>
      </c>
      <c r="H18296" s="6" t="n">
        <f aca="false">Sens!H18277</f>
        <v>11.7145747045475</v>
      </c>
      <c r="I18296" s="6" t="n">
        <f aca="false">Sens!I18277</f>
        <v>11.8193507447388</v>
      </c>
      <c r="J18296" s="6" t="n">
        <f aca="false">Sens!J18277</f>
        <v>11.9904008346869</v>
      </c>
      <c r="K18296" s="6" t="n">
        <f aca="false">Sens!K18277</f>
        <v>12.2302088513807</v>
      </c>
    </row>
    <row r="18297" customFormat="false" ht="15" hidden="false" customHeight="false" outlineLevel="0" collapsed="false">
      <c r="A18297" s="0" t="s">
        <v>866</v>
      </c>
      <c r="B18297" s="0" t="s">
        <v>98</v>
      </c>
      <c r="D18297" s="6" t="n">
        <f aca="false">Sens!D18279</f>
        <v>62.941</v>
      </c>
      <c r="E18297" s="6" t="n">
        <f aca="false">Sens!E18279</f>
        <v>63.712</v>
      </c>
      <c r="F18297" s="6" t="n">
        <f aca="false">Sens!F18279</f>
        <v>60.0106876701958</v>
      </c>
      <c r="G18297" s="6" t="n">
        <f aca="false">Sens!G18279</f>
        <v>61.9929082970237</v>
      </c>
      <c r="H18297" s="6" t="n">
        <f aca="false">Sens!H18279</f>
        <v>64.4165795883084</v>
      </c>
      <c r="I18297" s="6" t="n">
        <f aca="false">Sens!I18279</f>
        <v>67.2088090639728</v>
      </c>
      <c r="J18297" s="6" t="n">
        <f aca="false">Sens!J18279</f>
        <v>70.3084564464575</v>
      </c>
      <c r="K18297" s="6" t="n">
        <f aca="false">Sens!K18279</f>
        <v>73.6658644442326</v>
      </c>
    </row>
    <row r="18298" customFormat="false" ht="15" hidden="false" customHeight="false" outlineLevel="0" collapsed="false">
      <c r="A18298" s="1" t="s">
        <v>1055</v>
      </c>
      <c r="B18298" s="0" t="s">
        <v>98</v>
      </c>
      <c r="D18298" s="6" t="n">
        <f aca="false">Sens!D18280</f>
        <v>281.724</v>
      </c>
      <c r="E18298" s="6" t="n">
        <f aca="false">Sens!E18280</f>
        <v>331.839</v>
      </c>
      <c r="F18298" s="6" t="n">
        <f aca="false">Sens!F18280</f>
        <v>398.785403564573</v>
      </c>
      <c r="G18298" s="6" t="n">
        <f aca="false">Sens!G18280</f>
        <v>487.500966833561</v>
      </c>
      <c r="H18298" s="6" t="n">
        <f aca="false">Sens!H18280</f>
        <v>582.997393575229</v>
      </c>
      <c r="I18298" s="6" t="n">
        <f aca="false">Sens!I18280</f>
        <v>664.276540371428</v>
      </c>
      <c r="J18298" s="6" t="n">
        <f aca="false">Sens!J18280</f>
        <v>729.654246930512</v>
      </c>
      <c r="K18298" s="6" t="n">
        <f aca="false">Sens!K18280</f>
        <v>781.624512441524</v>
      </c>
    </row>
    <row r="18299" customFormat="false" ht="15" hidden="false" customHeight="false" outlineLevel="0" collapsed="false">
      <c r="A18299" s="1" t="s">
        <v>1056</v>
      </c>
      <c r="B18299" s="0" t="s">
        <v>168</v>
      </c>
      <c r="E18299" s="7" t="n">
        <f aca="false">Sens!E18298/Sens!D18298-1</f>
        <v>0.177886867998467</v>
      </c>
      <c r="F18299" s="7" t="n">
        <f aca="false">Sens!F18298/Sens!E18298-1</f>
        <v>0.201743627375242</v>
      </c>
      <c r="G18299" s="7" t="n">
        <f aca="false">Sens!G18298/Sens!F18298-1</f>
        <v>0.222464419399499</v>
      </c>
      <c r="H18299" s="7" t="n">
        <f aca="false">Sens!H18298/Sens!G18298-1</f>
        <v>0.195889717638801</v>
      </c>
      <c r="I18299" s="7" t="n">
        <f aca="false">Sens!I18298/Sens!H18298-1</f>
        <v>0.139415969422701</v>
      </c>
      <c r="J18299" s="7" t="n">
        <f aca="false">Sens!J18298/Sens!I18298-1</f>
        <v>0.0984194120757735</v>
      </c>
      <c r="K18299" s="7" t="n">
        <f aca="false">Sens!K18298/Sens!J18298-1</f>
        <v>0.071225879558213</v>
      </c>
    </row>
    <row r="18300" customFormat="false" ht="17.15" hidden="false" customHeight="false" outlineLevel="0" collapsed="false">
      <c r="A18300" s="26" t="s">
        <v>1057</v>
      </c>
      <c r="B18300" s="31" t="s">
        <v>98</v>
      </c>
      <c r="C18300" s="31"/>
      <c r="D18300" s="27" t="n">
        <f aca="false">(Sens!D18293+Sens!D18297-Sens!D18298)+(Sens!D18285+Sens!D18286-Sens!D18284)+(Sens!D18288+Sens!D18289-Sens!D18287)+(Sens!D18298-Q!L18)</f>
        <v>0</v>
      </c>
      <c r="E18300" s="27" t="n">
        <f aca="false">(Sens!E18293+Sens!E18297-Sens!E18298)+(Sens!E18285+Sens!E18286-Sens!E18284)+(Sens!E18288+Sens!E18289-Sens!E18287)+(Sens!E18298-Q!M18)</f>
        <v>0</v>
      </c>
      <c r="F18300" s="27" t="n">
        <f aca="false">(Sens!F18293+Sens!F18297-Sens!F18298)+(Sens!F18285+Sens!F18286-Sens!F18284)+(Sens!F18288+Sens!F18289-Sens!F18287)</f>
        <v>0</v>
      </c>
      <c r="G18300" s="27" t="n">
        <f aca="false">(Sens!G18293+Sens!G18297-Sens!G18298)+(Sens!G18285+Sens!G18286-Sens!G18284)+(Sens!G18288+Sens!G18289-Sens!G18287)</f>
        <v>0</v>
      </c>
      <c r="H18300" s="27" t="n">
        <f aca="false">(Sens!H18293+Sens!H18297-Sens!H18298)+(Sens!H18285+Sens!H18286-Sens!H18284)+(Sens!H18288+Sens!H18289-Sens!H18287)</f>
        <v>0</v>
      </c>
      <c r="I18300" s="27" t="n">
        <f aca="false">(Sens!I18293+Sens!I18297-Sens!I18298)+(Sens!I18285+Sens!I18286-Sens!I18284)+(Sens!I18288+Sens!I18289-Sens!I18287)</f>
        <v>0</v>
      </c>
      <c r="J18300" s="27" t="n">
        <f aca="false">(Sens!J18293+Sens!J18297-Sens!J18298)+(Sens!J18285+Sens!J18286-Sens!J18284)+(Sens!J18288+Sens!J18289-Sens!J18287)</f>
        <v>0</v>
      </c>
      <c r="K18300" s="27" t="n">
        <f aca="false">(Sens!K18293+Sens!K18297-Sens!K18298)+(Sens!K18285+Sens!K18286-Sens!K18284)+(Sens!K18288+Sens!K18289-Sens!K18287)</f>
        <v>0</v>
      </c>
    </row>
    <row r="18301" customFormat="false" ht="17.15" hidden="false" customHeight="false" outlineLevel="0" collapsed="false">
      <c r="A18301" s="0" t="s">
        <v>1058</v>
      </c>
      <c r="B18301" s="0" t="s">
        <v>168</v>
      </c>
      <c r="E18301" s="7" t="n">
        <f aca="false">(Q!M21+Sens!E18237+Sens!E18238+Sens!E18239+Sens!E18253-Sens!E18235)/(Q!M5-Sens!E18235)</f>
        <v>0.570957350878296</v>
      </c>
      <c r="F18301" s="7" t="n">
        <f aca="false">Sens!$E$18301+dm_seg</f>
        <v>0.570957350878296</v>
      </c>
      <c r="G18301" s="7" t="n">
        <f aca="false">Sens!$E$18301+dm_seg</f>
        <v>0.570957350878296</v>
      </c>
      <c r="H18301" s="7" t="n">
        <f aca="false">Sens!$E$18301+dm_seg</f>
        <v>0.570957350878296</v>
      </c>
      <c r="I18301" s="7" t="n">
        <f aca="false">Sens!$E$18301+dm_seg</f>
        <v>0.570957350878296</v>
      </c>
      <c r="J18301" s="7" t="n">
        <f aca="false">Sens!$E$18301+dm_seg</f>
        <v>0.570957350878296</v>
      </c>
      <c r="K18301" s="7" t="n">
        <f aca="false">Sens!$E$18301+dm_seg</f>
        <v>0.570957350878296</v>
      </c>
      <c r="L18301" s="12" t="s">
        <v>1059</v>
      </c>
    </row>
    <row r="18302" customFormat="false" ht="17.15" hidden="false" customHeight="false" outlineLevel="0" collapsed="false">
      <c r="A18302" s="0" t="s">
        <v>880</v>
      </c>
      <c r="B18302" s="0" t="s">
        <v>98</v>
      </c>
      <c r="D18302" s="6" t="n">
        <f aca="false">Q!L21</f>
        <v>110.814</v>
      </c>
      <c r="E18302" s="6" t="n">
        <f aca="false">Q!M21</f>
        <v>136.365</v>
      </c>
      <c r="F18302" s="6" t="n">
        <f aca="false">Q!$I$21+(Sens!F18301*(Sens!F18272-Sens!F18235)+Sens!F18235-(Sens!F18237+Sens!F18238+Sens!F18239)-Sens!F18253-Sens!F18336)*(Sens!F18272-Q!$I$5)/Sens!F18272</f>
        <v>165.508983480954</v>
      </c>
      <c r="G18302" s="6" t="n">
        <f aca="false">(Sens!G18301*(Sens!G18272-Sens!G18235)+Sens!G18235-(Sens!G18237+Sens!G18238+Sens!G18239)-Sens!G18253-Sens!G18336)</f>
        <v>191.510505868957</v>
      </c>
      <c r="H18302" s="6" t="n">
        <f aca="false">(Sens!H18301*(Sens!H18272-Sens!H18235)+Sens!H18235-(Sens!H18237+Sens!H18238+Sens!H18239)-Sens!H18253-Sens!H18336)</f>
        <v>225.766054456289</v>
      </c>
      <c r="I18302" s="6" t="n">
        <f aca="false">(Sens!I18301*(Sens!I18272-Sens!I18235)+Sens!I18235-(Sens!I18237+Sens!I18238+Sens!I18239)-Sens!I18253-Sens!I18336)</f>
        <v>251.63235706738</v>
      </c>
      <c r="J18302" s="6" t="n">
        <f aca="false">(Sens!J18301*(Sens!J18272-Sens!J18235)+Sens!J18235-(Sens!J18237+Sens!J18238+Sens!J18239)-Sens!J18253-Sens!J18336)</f>
        <v>273.885297620324</v>
      </c>
      <c r="K18302" s="6" t="n">
        <f aca="false">(Sens!K18301*(Sens!K18272-Sens!K18235)+Sens!K18235-(Sens!K18237+Sens!K18238+Sens!K18239)-Sens!K18253-Sens!K18336)</f>
        <v>293.866442727654</v>
      </c>
      <c r="L18302" s="1" t="s">
        <v>1060</v>
      </c>
    </row>
    <row r="18303" customFormat="false" ht="17.15" hidden="false" customHeight="false" outlineLevel="0" collapsed="false">
      <c r="A18303" s="0" t="s">
        <v>1061</v>
      </c>
      <c r="B18303" s="0" t="s">
        <v>168</v>
      </c>
      <c r="E18303" s="7" t="n">
        <f aca="false">Q!M22/Q!M12</f>
        <v>0.296207935710698</v>
      </c>
      <c r="F18303" s="7" t="n">
        <f aca="false">Sens!$E$18303+dm_seg</f>
        <v>0.296207935710698</v>
      </c>
      <c r="G18303" s="7" t="n">
        <f aca="false">Sens!$E$18303+dm_seg</f>
        <v>0.296207935710698</v>
      </c>
      <c r="H18303" s="7" t="n">
        <f aca="false">Sens!$E$18303+dm_seg</f>
        <v>0.296207935710698</v>
      </c>
      <c r="I18303" s="7" t="n">
        <f aca="false">Sens!$E$18303+dm_seg</f>
        <v>0.296207935710698</v>
      </c>
      <c r="J18303" s="7" t="n">
        <f aca="false">Sens!$E$18303+dm_seg</f>
        <v>0.296207935710698</v>
      </c>
      <c r="K18303" s="7" t="n">
        <f aca="false">Sens!$E$18303+dm_seg</f>
        <v>0.296207935710698</v>
      </c>
      <c r="L18303" s="12" t="s">
        <v>1062</v>
      </c>
    </row>
    <row r="18304" customFormat="false" ht="17.15" hidden="false" customHeight="false" outlineLevel="0" collapsed="false">
      <c r="A18304" s="0" t="s">
        <v>882</v>
      </c>
      <c r="B18304" s="0" t="s">
        <v>98</v>
      </c>
      <c r="D18304" s="6" t="n">
        <f aca="false">Q!L22</f>
        <v>17.714</v>
      </c>
      <c r="E18304" s="6" t="n">
        <f aca="false">Q!M22</f>
        <v>18.872</v>
      </c>
      <c r="F18304" s="6" t="n">
        <f aca="false">Q!$I$22+(Sens!F18279-Q!$I$12)*Sens!F18303</f>
        <v>18.5461582388237</v>
      </c>
      <c r="G18304" s="6" t="n">
        <f aca="false">Sens!G18279*Sens!G18303</f>
        <v>18.362791395364</v>
      </c>
      <c r="H18304" s="6" t="n">
        <f aca="false">Sens!H18279*Sens!H18303</f>
        <v>19.0807020653967</v>
      </c>
      <c r="I18304" s="6" t="n">
        <f aca="false">Sens!I18279*Sens!I18303</f>
        <v>19.9077825944138</v>
      </c>
      <c r="J18304" s="6" t="n">
        <f aca="false">Sens!J18279*Sens!J18303</f>
        <v>20.8259227470107</v>
      </c>
      <c r="K18304" s="6" t="n">
        <f aca="false">Sens!K18279*Sens!K18303</f>
        <v>21.8204136393703</v>
      </c>
      <c r="L18304" s="12" t="s">
        <v>1063</v>
      </c>
    </row>
    <row r="18305" customFormat="false" ht="15" hidden="false" customHeight="false" outlineLevel="0" collapsed="false">
      <c r="A18305" s="1" t="s">
        <v>1064</v>
      </c>
      <c r="B18305" s="0" t="s">
        <v>98</v>
      </c>
      <c r="D18305" s="6" t="n">
        <f aca="false">Sens!D18302+Sens!D18304</f>
        <v>128.528</v>
      </c>
      <c r="E18305" s="6" t="n">
        <f aca="false">Sens!E18302+Sens!E18304</f>
        <v>155.237</v>
      </c>
      <c r="F18305" s="6" t="n">
        <f aca="false">Sens!F18302+Sens!F18304</f>
        <v>184.055141719778</v>
      </c>
      <c r="G18305" s="6" t="n">
        <f aca="false">Sens!G18302+Sens!G18304</f>
        <v>209.873297264321</v>
      </c>
      <c r="H18305" s="6" t="n">
        <f aca="false">Sens!H18302+Sens!H18304</f>
        <v>244.846756521686</v>
      </c>
      <c r="I18305" s="6" t="n">
        <f aca="false">Sens!I18302+Sens!I18304</f>
        <v>271.540139661794</v>
      </c>
      <c r="J18305" s="6" t="n">
        <f aca="false">Sens!J18302+Sens!J18304</f>
        <v>294.711220367335</v>
      </c>
      <c r="K18305" s="6" t="n">
        <f aca="false">Sens!K18302+Sens!K18304</f>
        <v>315.686856367024</v>
      </c>
    </row>
    <row r="18306" customFormat="false" ht="15" hidden="false" customHeight="false" outlineLevel="0" collapsed="false">
      <c r="A18306" s="26" t="s">
        <v>1065</v>
      </c>
      <c r="B18306" s="31" t="s">
        <v>98</v>
      </c>
      <c r="C18306" s="31"/>
      <c r="D18306" s="27" t="n">
        <f aca="false">Sens!D18305-Q!L23</f>
        <v>0</v>
      </c>
      <c r="E18306" s="27" t="n">
        <f aca="false">Sens!E18305-Q!M23</f>
        <v>0</v>
      </c>
      <c r="F18306" s="31"/>
      <c r="G18306" s="31"/>
      <c r="H18306" s="31"/>
      <c r="I18306" s="31"/>
      <c r="J18306" s="31"/>
      <c r="K18306" s="31"/>
    </row>
    <row r="18307" customFormat="false" ht="15" hidden="false" customHeight="false" outlineLevel="0" collapsed="false">
      <c r="A18307" s="1" t="s">
        <v>1066</v>
      </c>
      <c r="B18307" s="0" t="s">
        <v>168</v>
      </c>
      <c r="D18307" s="7" t="n">
        <f aca="false">Sens!D18305/Sens!D18298</f>
        <v>0.456219562408598</v>
      </c>
      <c r="E18307" s="7" t="n">
        <f aca="false">Sens!E18305/Sens!E18298</f>
        <v>0.467808184089272</v>
      </c>
      <c r="F18307" s="7" t="n">
        <f aca="false">Sens!F18305/Sens!F18298</f>
        <v>0.461539314314384</v>
      </c>
      <c r="G18307" s="7" t="n">
        <f aca="false">Sens!G18305/Sens!G18298</f>
        <v>0.430508473916473</v>
      </c>
      <c r="H18307" s="7" t="n">
        <f aca="false">Sens!H18305/Sens!H18298</f>
        <v>0.419979161519341</v>
      </c>
      <c r="I18307" s="7" t="n">
        <f aca="false">Sens!I18305/Sens!I18298</f>
        <v>0.408775747988877</v>
      </c>
      <c r="J18307" s="7" t="n">
        <f aca="false">Sens!J18305/Sens!J18298</f>
        <v>0.403905303925958</v>
      </c>
      <c r="K18307" s="7" t="n">
        <f aca="false">Sens!K18305/Sens!K18298</f>
        <v>0.403885563134308</v>
      </c>
    </row>
    <row r="18308" customFormat="false" ht="17.15" hidden="false" customHeight="false" outlineLevel="0" collapsed="false">
      <c r="A18308" s="1" t="s">
        <v>1067</v>
      </c>
      <c r="B18308" s="0" t="s">
        <v>98</v>
      </c>
      <c r="F18308" s="6" t="n">
        <f aca="false">Sens!F18323</f>
        <v>8.88340674531245</v>
      </c>
      <c r="G18308" s="6" t="n">
        <f aca="false">Sens!G18323</f>
        <v>22.7060305170273</v>
      </c>
      <c r="H18308" s="6" t="n">
        <f aca="false">Sens!H18323</f>
        <v>38.0018452382075</v>
      </c>
      <c r="I18308" s="6" t="n">
        <f aca="false">Sens!I18323</f>
        <v>52.1381094705177</v>
      </c>
      <c r="J18308" s="6" t="n">
        <f aca="false">Sens!J18323</f>
        <v>62.0595818934393</v>
      </c>
      <c r="K18308" s="6" t="n">
        <f aca="false">Sens!K18323</f>
        <v>67.0801312706266</v>
      </c>
      <c r="L18308" s="1" t="s">
        <v>1068</v>
      </c>
    </row>
    <row r="18309" customFormat="false" ht="17.15" hidden="false" customHeight="false" outlineLevel="0" collapsed="false">
      <c r="A18309" s="1" t="s">
        <v>1069</v>
      </c>
      <c r="B18309" s="0" t="s">
        <v>98</v>
      </c>
      <c r="D18309" s="6" t="n">
        <f aca="false">Sens!D18305</f>
        <v>128.528</v>
      </c>
      <c r="E18309" s="6" t="n">
        <f aca="false">Sens!E18305</f>
        <v>155.237</v>
      </c>
      <c r="F18309" s="6" t="n">
        <f aca="false">Sens!F18305+Sens!F18308</f>
        <v>192.93854846509</v>
      </c>
      <c r="G18309" s="6" t="n">
        <f aca="false">Sens!G18305+Sens!G18308</f>
        <v>232.579327781349</v>
      </c>
      <c r="H18309" s="6" t="n">
        <f aca="false">Sens!H18305+Sens!H18308</f>
        <v>282.848601759893</v>
      </c>
      <c r="I18309" s="6" t="n">
        <f aca="false">Sens!I18305+Sens!I18308</f>
        <v>323.678249132311</v>
      </c>
      <c r="J18309" s="6" t="n">
        <f aca="false">Sens!J18305+Sens!J18308</f>
        <v>356.770802260774</v>
      </c>
      <c r="K18309" s="6" t="n">
        <f aca="false">Sens!K18305+Sens!K18308</f>
        <v>382.766987637651</v>
      </c>
    </row>
    <row r="18310" customFormat="false" ht="17.15" hidden="false" customHeight="false" outlineLevel="0" collapsed="false">
      <c r="A18310" s="1" t="s">
        <v>1070</v>
      </c>
      <c r="B18310" s="0" t="s">
        <v>98</v>
      </c>
      <c r="E18310" s="6" t="n">
        <f aca="false">Sens!E18253</f>
        <v>16.3054059770833</v>
      </c>
      <c r="F18310" s="6" t="n">
        <f aca="false">Sens!F18253</f>
        <v>34.5793144783516</v>
      </c>
      <c r="G18310" s="6" t="n">
        <f aca="false">Sens!G18253</f>
        <v>60.7344906522989</v>
      </c>
      <c r="H18310" s="6" t="n">
        <f aca="false">Sens!H18253</f>
        <v>89.1000906614457</v>
      </c>
      <c r="I18310" s="6" t="n">
        <f aca="false">Sens!I18253</f>
        <v>114.231009694548</v>
      </c>
      <c r="J18310" s="6" t="n">
        <f aca="false">Sens!J18253</f>
        <v>132.015673049596</v>
      </c>
      <c r="K18310" s="6" t="n">
        <f aca="false">Sens!K18253</f>
        <v>143.012669550934</v>
      </c>
    </row>
    <row r="18311" customFormat="false" ht="17.15" hidden="false" customHeight="false" outlineLevel="0" collapsed="false">
      <c r="A18311" s="1" t="s">
        <v>1071</v>
      </c>
      <c r="B18311" s="0" t="s">
        <v>98</v>
      </c>
      <c r="E18311" s="6" t="n">
        <f aca="false">Sens!E18335</f>
        <v>22.2285940229167</v>
      </c>
      <c r="F18311" s="6" t="n">
        <f aca="false">Sens!F18335</f>
        <v>23.580344216413</v>
      </c>
      <c r="G18311" s="6" t="n">
        <f aca="false">Sens!G18335</f>
        <v>25.3672932855804</v>
      </c>
      <c r="H18311" s="6" t="n">
        <f aca="false">Sens!H18335</f>
        <v>27.5720083363487</v>
      </c>
      <c r="I18311" s="6" t="n">
        <f aca="false">Sens!I18335</f>
        <v>30.1179230418913</v>
      </c>
      <c r="J18311" s="6" t="n">
        <f aca="false">Sens!J18335</f>
        <v>32.9127906661051</v>
      </c>
      <c r="K18311" s="6" t="n">
        <f aca="false">Sens!K18335</f>
        <v>35.8719779353905</v>
      </c>
    </row>
    <row r="18312" customFormat="false" ht="17.15" hidden="false" customHeight="false" outlineLevel="0" collapsed="false">
      <c r="A18312" s="1" t="s">
        <v>1072</v>
      </c>
      <c r="B18312" s="0" t="s">
        <v>98</v>
      </c>
      <c r="D18312" s="6" t="n">
        <f aca="false">Q!L27</f>
        <v>-4.901</v>
      </c>
      <c r="E18312" s="6" t="n">
        <f aca="false">Q!M27</f>
        <v>10.697</v>
      </c>
      <c r="F18312" s="6" t="n">
        <f aca="false">Q!$I$27+oie_f*(q_per_yr-1)/q_per_yr</f>
        <v>-0.862</v>
      </c>
      <c r="G18312" s="6" t="n">
        <f aca="false">oie_f</f>
        <v>-1.2</v>
      </c>
      <c r="H18312" s="6" t="n">
        <f aca="false">oie_f</f>
        <v>-1.2</v>
      </c>
      <c r="I18312" s="6" t="n">
        <f aca="false">oie_f</f>
        <v>-1.2</v>
      </c>
      <c r="J18312" s="6" t="n">
        <f aca="false">oie_f</f>
        <v>-1.2</v>
      </c>
      <c r="K18312" s="6" t="n">
        <f aca="false">oie_f</f>
        <v>-1.2</v>
      </c>
      <c r="L18312" s="12" t="s">
        <v>1073</v>
      </c>
    </row>
    <row r="18313" customFormat="false" ht="15" hidden="false" customHeight="false" outlineLevel="0" collapsed="false">
      <c r="A18313" s="1" t="s">
        <v>1074</v>
      </c>
      <c r="B18313" s="0" t="s">
        <v>98</v>
      </c>
      <c r="D18313" s="6" t="n">
        <f aca="false">Sens!D18305+Sens!D18312</f>
        <v>123.627</v>
      </c>
      <c r="E18313" s="6" t="n">
        <f aca="false">Sens!E18305+Sens!E18312</f>
        <v>165.934</v>
      </c>
      <c r="F18313" s="6" t="n">
        <f aca="false">Sens!F18305+Sens!F18312</f>
        <v>183.193141719778</v>
      </c>
      <c r="G18313" s="6" t="n">
        <f aca="false">Sens!G18305+Sens!G18312</f>
        <v>208.673297264321</v>
      </c>
      <c r="H18313" s="6" t="n">
        <f aca="false">Sens!H18305+Sens!H18312</f>
        <v>243.646756521686</v>
      </c>
      <c r="I18313" s="6" t="n">
        <f aca="false">Sens!I18305+Sens!I18312</f>
        <v>270.340139661794</v>
      </c>
      <c r="J18313" s="6" t="n">
        <f aca="false">Sens!J18305+Sens!J18312</f>
        <v>293.511220367335</v>
      </c>
      <c r="K18313" s="6" t="n">
        <f aca="false">Sens!K18305+Sens!K18312</f>
        <v>314.486856367024</v>
      </c>
    </row>
    <row r="18314" customFormat="false" ht="15" hidden="false" customHeight="false" outlineLevel="0" collapsed="false">
      <c r="A18314" s="1" t="s">
        <v>1075</v>
      </c>
      <c r="B18314" s="0" t="s">
        <v>98</v>
      </c>
      <c r="D18314" s="6" t="n">
        <f aca="false">Q!L29</f>
        <v>21.795</v>
      </c>
      <c r="E18314" s="6" t="n">
        <f aca="false">Q!M29</f>
        <v>32.185</v>
      </c>
      <c r="F18314" s="6" t="n">
        <f aca="false">Q!$I$29+(Sens!F18313-Q!$I$28)*tax_f</f>
        <v>36.7720283439556</v>
      </c>
      <c r="G18314" s="6" t="n">
        <f aca="false">Sens!G18313*tax_f</f>
        <v>41.7346594528643</v>
      </c>
      <c r="H18314" s="6" t="n">
        <f aca="false">Sens!H18313*tax_f</f>
        <v>48.7293513043372</v>
      </c>
      <c r="I18314" s="6" t="n">
        <f aca="false">Sens!I18313*tax_f</f>
        <v>54.0680279323587</v>
      </c>
      <c r="J18314" s="6" t="n">
        <f aca="false">Sens!J18313*tax_f</f>
        <v>58.7022440734669</v>
      </c>
      <c r="K18314" s="6" t="n">
        <f aca="false">Sens!K18313*tax_f</f>
        <v>62.8973712734048</v>
      </c>
    </row>
    <row r="18315" customFormat="false" ht="15" hidden="false" customHeight="false" outlineLevel="0" collapsed="false">
      <c r="A18315" s="1" t="s">
        <v>1076</v>
      </c>
      <c r="B18315" s="0" t="s">
        <v>98</v>
      </c>
      <c r="D18315" s="6" t="n">
        <f aca="false">Sens!D18313-Sens!D18314</f>
        <v>101.832</v>
      </c>
      <c r="E18315" s="6" t="n">
        <f aca="false">Sens!E18313-Sens!E18314</f>
        <v>133.749</v>
      </c>
      <c r="F18315" s="6" t="n">
        <f aca="false">Sens!F18313-Sens!F18314</f>
        <v>146.421113375822</v>
      </c>
      <c r="G18315" s="6" t="n">
        <f aca="false">Sens!G18313-Sens!G18314</f>
        <v>166.938637811457</v>
      </c>
      <c r="H18315" s="6" t="n">
        <f aca="false">Sens!H18313-Sens!H18314</f>
        <v>194.917405217349</v>
      </c>
      <c r="I18315" s="6" t="n">
        <f aca="false">Sens!I18313-Sens!I18314</f>
        <v>216.272111729435</v>
      </c>
      <c r="J18315" s="6" t="n">
        <f aca="false">Sens!J18313-Sens!J18314</f>
        <v>234.808976293868</v>
      </c>
      <c r="K18315" s="6" t="n">
        <f aca="false">Sens!K18313-Sens!K18314</f>
        <v>251.589485093619</v>
      </c>
    </row>
    <row r="18316" customFormat="false" ht="17.15" hidden="false" customHeight="false" outlineLevel="0" collapsed="false">
      <c r="A18316" s="1" t="s">
        <v>1077</v>
      </c>
      <c r="B18316" s="1" t="s">
        <v>81</v>
      </c>
      <c r="D18316" s="15" t="n">
        <f aca="false">Q!L31</f>
        <v>7.465</v>
      </c>
      <c r="E18316" s="15" t="n">
        <f aca="false">Q!M31</f>
        <v>7.453</v>
      </c>
      <c r="F18316" s="15" t="n">
        <f aca="false">Sens!F18360</f>
        <v>7.47170674888949</v>
      </c>
      <c r="G18316" s="15" t="n">
        <f aca="false">Sens!G18360</f>
        <v>7.51295571657515</v>
      </c>
      <c r="H18316" s="15" t="n">
        <f aca="false">Sens!H18360</f>
        <v>7.53869787440014</v>
      </c>
      <c r="I18316" s="15" t="n">
        <f aca="false">Sens!I18360</f>
        <v>7.55037923845561</v>
      </c>
      <c r="J18316" s="15" t="n">
        <f aca="false">Sens!J18360</f>
        <v>7.56452864961808</v>
      </c>
      <c r="K18316" s="15" t="n">
        <f aca="false">Sens!K18360</f>
        <v>7.58096328958333</v>
      </c>
    </row>
    <row r="18317" customFormat="false" ht="17.15" hidden="false" customHeight="false" outlineLevel="0" collapsed="false">
      <c r="A18317" s="0" t="s">
        <v>1078</v>
      </c>
      <c r="B18317" s="0" t="s">
        <v>75</v>
      </c>
      <c r="D18317" s="8" t="n">
        <f aca="false">Sens!D18315/Sens!D18316</f>
        <v>13.641259209645</v>
      </c>
      <c r="E18317" s="8" t="n">
        <f aca="false">Sens!E18315/Sens!E18316</f>
        <v>17.9456594659869</v>
      </c>
      <c r="F18317" s="8" t="n">
        <f aca="false">Sens!F18315/Sens!F18316</f>
        <v>19.5967425244018</v>
      </c>
      <c r="G18317" s="8" t="n">
        <f aca="false">Sens!G18315/Sens!G18316</f>
        <v>22.220101396732</v>
      </c>
      <c r="H18317" s="8" t="n">
        <f aca="false">Sens!H18315/Sens!H18316</f>
        <v>25.8555798978558</v>
      </c>
      <c r="I18317" s="8" t="n">
        <f aca="false">Sens!I18315/Sens!I18316</f>
        <v>28.6438740226342</v>
      </c>
      <c r="J18317" s="8" t="n">
        <f aca="false">Sens!J18315/Sens!J18316</f>
        <v>31.0407941023163</v>
      </c>
      <c r="K18317" s="8" t="n">
        <f aca="false">Sens!K18315/Sens!K18316</f>
        <v>33.1870074399803</v>
      </c>
      <c r="L18317" s="1" t="s">
        <v>1079</v>
      </c>
    </row>
    <row r="18318" customFormat="false" ht="17.15" hidden="false" customHeight="false" outlineLevel="0" collapsed="false">
      <c r="A18318" s="1" t="s">
        <v>1080</v>
      </c>
      <c r="B18318" s="0" t="s">
        <v>98</v>
      </c>
      <c r="D18318" s="6" t="n">
        <f aca="false">Sens!D18315</f>
        <v>101.832</v>
      </c>
      <c r="E18318" s="6" t="n">
        <f aca="false">Sens!E18315</f>
        <v>133.749</v>
      </c>
      <c r="F18318" s="6" t="n">
        <f aca="false">Sens!F18315+Sens!F18308*(1-tax_f)</f>
        <v>153.527838772072</v>
      </c>
      <c r="G18318" s="6" t="n">
        <f aca="false">Sens!G18315+Sens!G18308*(1-tax_f)</f>
        <v>185.103462225079</v>
      </c>
      <c r="H18318" s="6" t="n">
        <f aca="false">Sens!H18315+Sens!H18308*(1-tax_f)</f>
        <v>225.318881407915</v>
      </c>
      <c r="I18318" s="6" t="n">
        <f aca="false">Sens!I18315+Sens!I18308*(1-tax_f)</f>
        <v>257.982599305849</v>
      </c>
      <c r="J18318" s="6" t="n">
        <f aca="false">Sens!J18315+Sens!J18308*(1-tax_f)</f>
        <v>284.456641808619</v>
      </c>
      <c r="K18318" s="6" t="n">
        <f aca="false">Sens!K18315+Sens!K18308*(1-tax_f)</f>
        <v>305.25359011012</v>
      </c>
    </row>
    <row r="18319" customFormat="false" ht="17.15" hidden="false" customHeight="false" outlineLevel="0" collapsed="false">
      <c r="A18319" s="0" t="s">
        <v>1081</v>
      </c>
      <c r="B18319" s="0" t="s">
        <v>75</v>
      </c>
      <c r="D18319" s="8" t="n">
        <f aca="false">Sens!D18318/Sens!D18316</f>
        <v>13.641259209645</v>
      </c>
      <c r="E18319" s="8" t="n">
        <f aca="false">Sens!E18318/Sens!E18316</f>
        <v>17.9456594659869</v>
      </c>
      <c r="F18319" s="8" t="n">
        <f aca="false">Sens!F18318/Sens!F18316</f>
        <v>20.5478940664917</v>
      </c>
      <c r="G18319" s="8" t="n">
        <f aca="false">Sens!G18318/Sens!G18316</f>
        <v>24.637901407658</v>
      </c>
      <c r="H18319" s="8" t="n">
        <f aca="false">Sens!H18318/Sens!H18316</f>
        <v>29.8883023516636</v>
      </c>
      <c r="I18319" s="8" t="n">
        <f aca="false">Sens!I18318/Sens!I18316</f>
        <v>34.168164427012</v>
      </c>
      <c r="J18319" s="8" t="n">
        <f aca="false">Sens!J18318/Sens!J18316</f>
        <v>37.604014074688</v>
      </c>
      <c r="K18319" s="8" t="n">
        <f aca="false">Sens!K18318/Sens!K18316</f>
        <v>40.2658050764546</v>
      </c>
      <c r="L18319" s="1" t="s">
        <v>1082</v>
      </c>
    </row>
    <row r="18320" customFormat="false" ht="17.15" hidden="false" customHeight="false" outlineLevel="0" collapsed="false">
      <c r="A18320" s="0" t="s">
        <v>1083</v>
      </c>
      <c r="B18320" s="0" t="s">
        <v>168</v>
      </c>
      <c r="E18320" s="7" t="n">
        <f aca="false">Sens!E18319/Sens!D18319-1</f>
        <v>0.315542736208578</v>
      </c>
      <c r="F18320" s="7" t="n">
        <f aca="false">Sens!F18319/Sens!E18319-1</f>
        <v>0.145006351281598</v>
      </c>
      <c r="G18320" s="7" t="n">
        <f aca="false">Sens!G18319/Sens!F18319-1</f>
        <v>0.199047519319074</v>
      </c>
      <c r="H18320" s="7" t="n">
        <f aca="false">Sens!H18319/Sens!G18319-1</f>
        <v>0.213102603875736</v>
      </c>
      <c r="I18320" s="7" t="n">
        <f aca="false">Sens!I18319/Sens!H18319-1</f>
        <v>0.143195221494748</v>
      </c>
      <c r="J18320" s="7" t="n">
        <f aca="false">Sens!J18319/Sens!I18319-1</f>
        <v>0.100557044994778</v>
      </c>
      <c r="K18320" s="7" t="n">
        <f aca="false">Sens!K18319/Sens!J18319-1</f>
        <v>0.0707847570868312</v>
      </c>
    </row>
    <row r="18321" customFormat="false" ht="17.15" hidden="false" customHeight="false" outlineLevel="0" collapsed="false">
      <c r="A18321" s="0" t="s">
        <v>1003</v>
      </c>
      <c r="B18321" s="0" t="s">
        <v>98</v>
      </c>
      <c r="E18321" s="6" t="n">
        <f aca="false">Sens!E18262</f>
        <v>5.25</v>
      </c>
      <c r="F18321" s="6" t="n">
        <f aca="false">Sens!F18262</f>
        <v>13.5</v>
      </c>
      <c r="G18321" s="6" t="n">
        <f aca="false">Sens!G18262</f>
        <v>22.5</v>
      </c>
      <c r="H18321" s="6" t="n">
        <f aca="false">Sens!H18262</f>
        <v>31.5</v>
      </c>
      <c r="I18321" s="6" t="n">
        <f aca="false">Sens!I18262</f>
        <v>38.25</v>
      </c>
      <c r="J18321" s="6" t="n">
        <f aca="false">Sens!J18262</f>
        <v>42.75</v>
      </c>
      <c r="K18321" s="6" t="n">
        <f aca="false">Sens!K18262</f>
        <v>47.25</v>
      </c>
    </row>
    <row r="18322" customFormat="false" ht="17.15" hidden="false" customHeight="false" outlineLevel="0" collapsed="false">
      <c r="A18322" s="1" t="s">
        <v>1004</v>
      </c>
      <c r="B18322" s="0" t="s">
        <v>98</v>
      </c>
      <c r="F18322" s="6" t="n">
        <f aca="false">MAX(0,((Sens!E18222+Sens!F18222)/2-(shadow_base*(Sens!$D$18222+Sens!$E$18222)/2+(1-shadow_base)*Sens!$E$18222))*Sens!F18231/1000-(Sens!F18321-Sens!$E$18321)*Sens!F18301)</f>
        <v>8.88340674531245</v>
      </c>
      <c r="G18322" s="6" t="n">
        <f aca="false">MAX(0,((Sens!F18222+Sens!G18222)/2-(shadow_base*(Sens!$D$18222+Sens!$E$18222)/2+(1-shadow_base)*Sens!$E$18222))*Sens!G18231/1000-(Sens!G18321-Sens!$E$18321)*Sens!G18301)</f>
        <v>22.7060305170273</v>
      </c>
      <c r="H18322" s="6" t="n">
        <f aca="false">MAX(0,((Sens!G18222+Sens!H18222)/2-(shadow_base*(Sens!$D$18222+Sens!$E$18222)/2+(1-shadow_base)*Sens!$E$18222))*Sens!H18231/1000-(Sens!H18321-Sens!$E$18321)*Sens!H18301)</f>
        <v>38.0018452382075</v>
      </c>
      <c r="I18322" s="6" t="n">
        <f aca="false">MAX(0,((Sens!H18222+Sens!I18222)/2-(shadow_base*(Sens!$D$18222+Sens!$E$18222)/2+(1-shadow_base)*Sens!$E$18222))*Sens!I18231/1000-(Sens!I18321-Sens!$E$18321)*Sens!I18301)</f>
        <v>52.1381094705177</v>
      </c>
      <c r="J18322" s="6" t="n">
        <f aca="false">MAX(0,((Sens!I18222+Sens!J18222)/2-(shadow_base*(Sens!$D$18222+Sens!$E$18222)/2+(1-shadow_base)*Sens!$E$18222))*Sens!J18231/1000-(Sens!J18321-Sens!$E$18321)*Sens!J18301)</f>
        <v>62.0595818934393</v>
      </c>
      <c r="K18322" s="6" t="n">
        <f aca="false">MAX(0,((Sens!J18222+Sens!K18222)/2-(shadow_base*(Sens!$D$18222+Sens!$E$18222)/2+(1-shadow_base)*Sens!$E$18222))*Sens!K18231/1000-(Sens!K18321-Sens!$E$18321)*Sens!K18301)</f>
        <v>67.0801312706266</v>
      </c>
      <c r="L18322" s="1" t="s">
        <v>1005</v>
      </c>
    </row>
    <row r="18323" customFormat="false" ht="17.15" hidden="false" customHeight="false" outlineLevel="0" collapsed="false">
      <c r="A18323" s="1" t="s">
        <v>1006</v>
      </c>
      <c r="B18323" s="0" t="s">
        <v>98</v>
      </c>
      <c r="F18323" s="6" t="n">
        <f aca="false">IF(internal_ai_reading=2,1,0)*Sens!F18322</f>
        <v>8.88340674531245</v>
      </c>
      <c r="G18323" s="6" t="n">
        <f aca="false">IF(internal_ai_reading=2,1,0)*Sens!G18322</f>
        <v>22.7060305170273</v>
      </c>
      <c r="H18323" s="6" t="n">
        <f aca="false">IF(internal_ai_reading=2,1,0)*Sens!H18322</f>
        <v>38.0018452382075</v>
      </c>
      <c r="I18323" s="6" t="n">
        <f aca="false">IF(internal_ai_reading=2,1,0)*Sens!I18322</f>
        <v>52.1381094705177</v>
      </c>
      <c r="J18323" s="6" t="n">
        <f aca="false">IF(internal_ai_reading=2,1,0)*Sens!J18322</f>
        <v>62.0595818934393</v>
      </c>
      <c r="K18323" s="6" t="n">
        <f aca="false">IF(internal_ai_reading=2,1,0)*Sens!K18322</f>
        <v>67.0801312706266</v>
      </c>
    </row>
    <row r="18324" customFormat="false" ht="17.15" hidden="false" customHeight="false" outlineLevel="0" collapsed="false">
      <c r="A18324" s="0" t="s">
        <v>1007</v>
      </c>
      <c r="B18324" s="0" t="s">
        <v>98</v>
      </c>
      <c r="F18324" s="6" t="n">
        <f aca="false">Sens!F18241+Sens!F18321*Sens!F18301+Sens!F18323-Sens!F18242-Sens!F18253</f>
        <v>18.5068678152817</v>
      </c>
      <c r="G18324" s="6" t="n">
        <f aca="false">Sens!G18241+Sens!G18321*Sens!G18301+Sens!G18323-Sens!G18242-Sens!G18253</f>
        <v>43.1983864982792</v>
      </c>
      <c r="H18324" s="6" t="n">
        <f aca="false">Sens!H18241+Sens!H18321*Sens!H18301+Sens!H18323-Sens!H18242-Sens!H18253</f>
        <v>73.502598356074</v>
      </c>
      <c r="I18324" s="6" t="n">
        <f aca="false">Sens!I18241+Sens!I18321*Sens!I18301+Sens!I18323-Sens!I18242-Sens!I18253</f>
        <v>94.7454135378504</v>
      </c>
      <c r="J18324" s="6" t="n">
        <f aca="false">Sens!J18241+Sens!J18321*Sens!J18301+Sens!J18323-Sens!J18242-Sens!J18253</f>
        <v>109.399608126358</v>
      </c>
      <c r="K18324" s="6" t="n">
        <f aca="false">Sens!K18241+Sens!K18321*Sens!K18301+Sens!K18323-Sens!K18242-Sens!K18253</f>
        <v>118.898703181943</v>
      </c>
    </row>
    <row r="18325" customFormat="false" ht="17.15" hidden="false" customHeight="false" outlineLevel="0" collapsed="false">
      <c r="A18325" s="0" t="s">
        <v>1008</v>
      </c>
      <c r="B18325" s="0" t="s">
        <v>98</v>
      </c>
      <c r="E18325" s="6" t="n">
        <f aca="false">Sens!E18221*(cxit_open+self_build*tk_cxfac)/1000*ai_net_open</f>
        <v>126.6980382</v>
      </c>
      <c r="F18325" s="6" t="n">
        <f aca="false">Sens!E18325+Sens!F18250-Sens!F18253</f>
        <v>260.572627763768</v>
      </c>
      <c r="G18325" s="6" t="n">
        <f aca="false">Sens!F18325+Sens!G18250-Sens!G18253</f>
        <v>391.782612760517</v>
      </c>
      <c r="H18325" s="6" t="n">
        <f aca="false">Sens!G18325+Sens!H18250-Sens!H18253</f>
        <v>499.488526163584</v>
      </c>
      <c r="I18325" s="6" t="n">
        <f aca="false">Sens!H18325+Sens!I18250-Sens!I18253</f>
        <v>553.872350090646</v>
      </c>
      <c r="J18325" s="6" t="n">
        <f aca="false">Sens!I18325+Sens!J18250-Sens!J18253</f>
        <v>550.78660823699</v>
      </c>
      <c r="K18325" s="6" t="n">
        <f aca="false">Sens!J18325+Sens!K18250-Sens!K18253</f>
        <v>526.736791750789</v>
      </c>
      <c r="L18325" s="1" t="s">
        <v>1009</v>
      </c>
    </row>
    <row r="18326" customFormat="false" ht="17.15" hidden="false" customHeight="false" outlineLevel="0" collapsed="false">
      <c r="A18326" s="0" t="s">
        <v>1010</v>
      </c>
      <c r="B18326" s="0" t="s">
        <v>168</v>
      </c>
      <c r="F18326" s="7" t="n">
        <f aca="false">Sens!F18324*(1-tax_f)/((Sens!E18325+Sens!F18325)/2)</f>
        <v>0.0764607059271074</v>
      </c>
      <c r="G18326" s="7" t="n">
        <f aca="false">Sens!G18324*(1-tax_f)/((Sens!F18325+Sens!G18325)/2)</f>
        <v>0.105950583522098</v>
      </c>
      <c r="H18326" s="7" t="n">
        <f aca="false">Sens!H18324*(1-tax_f)/((Sens!G18325+Sens!H18325)/2)</f>
        <v>0.131951044114011</v>
      </c>
      <c r="I18326" s="7" t="n">
        <f aca="false">Sens!I18324*(1-tax_f)/((Sens!H18325+Sens!I18325)/2)</f>
        <v>0.143913320760143</v>
      </c>
      <c r="J18326" s="7" t="n">
        <f aca="false">Sens!J18324*(1-tax_f)/((Sens!I18325+Sens!J18325)/2)</f>
        <v>0.158455577336889</v>
      </c>
      <c r="K18326" s="7" t="n">
        <f aca="false">Sens!K18324*(1-tax_f)/((Sens!J18325+Sens!K18325)/2)</f>
        <v>0.176551084731214</v>
      </c>
    </row>
    <row r="18327" customFormat="false" ht="17.15" hidden="false" customHeight="false" outlineLevel="0" collapsed="false">
      <c r="A18327" s="1" t="s">
        <v>1011</v>
      </c>
      <c r="B18327" s="0" t="s">
        <v>168</v>
      </c>
      <c r="F18327" s="7" t="n">
        <f aca="false">(Sens!F18324-Sens!F18323)*(1-tax_f)/((Sens!E18325+Sens!F18325)/2)</f>
        <v>0.0397591118181705</v>
      </c>
      <c r="G18327" s="7" t="n">
        <f aca="false">(Sens!G18324-Sens!G18323)*(1-tax_f)/((Sens!F18325+Sens!G18325)/2)</f>
        <v>0.0502606057761598</v>
      </c>
      <c r="H18327" s="7" t="n">
        <f aca="false">(Sens!H18324-Sens!H18323)*(1-tax_f)/((Sens!G18325+Sens!H18325)/2)</f>
        <v>0.0637305557287023</v>
      </c>
      <c r="I18327" s="7" t="n">
        <f aca="false">(Sens!I18324-Sens!I18323)*(1-tax_f)/((Sens!H18325+Sens!I18325)/2)</f>
        <v>0.0647182632699936</v>
      </c>
      <c r="J18327" s="7" t="n">
        <f aca="false">(Sens!J18324-Sens!J18323)*(1-tax_f)/((Sens!I18325+Sens!J18325)/2)</f>
        <v>0.0685678067440289</v>
      </c>
      <c r="K18327" s="7" t="n">
        <f aca="false">(Sens!K18324-Sens!K18323)*(1-tax_f)/((Sens!J18325+Sens!K18325)/2)</f>
        <v>0.0769447002812616</v>
      </c>
    </row>
    <row r="18328" customFormat="false" ht="17.15" hidden="false" customHeight="false" outlineLevel="0" collapsed="false">
      <c r="A18328" s="1" t="s">
        <v>1012</v>
      </c>
      <c r="B18328" s="0" t="s">
        <v>168</v>
      </c>
      <c r="F18328" s="7" t="n">
        <f aca="false">(Sens!F18324-Sens!F18323+Sens!F18322)*(1-tax_f)/((Sens!E18325+Sens!F18325)/2)</f>
        <v>0.0764607059271074</v>
      </c>
      <c r="G18328" s="7" t="n">
        <f aca="false">(Sens!G18324-Sens!G18323+Sens!G18322)*(1-tax_f)/((Sens!F18325+Sens!G18325)/2)</f>
        <v>0.105950583522098</v>
      </c>
      <c r="H18328" s="7" t="n">
        <f aca="false">(Sens!H18324-Sens!H18323+Sens!H18322)*(1-tax_f)/((Sens!G18325+Sens!H18325)/2)</f>
        <v>0.131951044114011</v>
      </c>
      <c r="I18328" s="7" t="n">
        <f aca="false">(Sens!I18324-Sens!I18323+Sens!I18322)*(1-tax_f)/((Sens!H18325+Sens!I18325)/2)</f>
        <v>0.143913320760143</v>
      </c>
      <c r="J18328" s="7" t="n">
        <f aca="false">(Sens!J18324-Sens!J18323+Sens!J18322)*(1-tax_f)/((Sens!I18325+Sens!J18325)/2)</f>
        <v>0.158455577336889</v>
      </c>
      <c r="K18328" s="7" t="n">
        <f aca="false">(Sens!K18324-Sens!K18323+Sens!K18322)*(1-tax_f)/((Sens!J18325+Sens!K18325)/2)</f>
        <v>0.176551084731214</v>
      </c>
    </row>
    <row r="18329" customFormat="false" ht="17.15" hidden="false" customHeight="false" outlineLevel="0" collapsed="false">
      <c r="A18329" s="1" t="s">
        <v>1013</v>
      </c>
      <c r="B18329" s="0" t="s">
        <v>168</v>
      </c>
      <c r="F18329" s="7" t="n">
        <f aca="false">Sens!F18254*(1-tax_f)/(Sens!F18240*(Sens!E18325+Sens!F18325)/2)</f>
        <v>0.15471433083293</v>
      </c>
      <c r="G18329" s="7" t="n">
        <f aca="false">Sens!G18254*(1-tax_f)/(Sens!G18240*(Sens!F18325+Sens!G18325)/2)</f>
        <v>0.176916911437355</v>
      </c>
      <c r="H18329" s="7" t="n">
        <f aca="false">Sens!H18254*(1-tax_f)/(Sens!H18240*(Sens!G18325+Sens!H18325)/2)</f>
        <v>0.207487057996582</v>
      </c>
      <c r="I18329" s="7" t="n">
        <f aca="false">Sens!I18254*(1-tax_f)/(Sens!I18240*(Sens!H18325+Sens!I18325)/2)</f>
        <v>0.219873660070946</v>
      </c>
      <c r="J18329" s="7" t="n">
        <f aca="false">Sens!J18254*(1-tax_f)/(Sens!J18240*(Sens!I18325+Sens!J18325)/2)</f>
        <v>0.238959457974928</v>
      </c>
      <c r="K18329" s="7" t="n">
        <f aca="false">Sens!K18254*(1-tax_f)/(Sens!K18240*(Sens!J18325+Sens!K18325)/2)</f>
        <v>0.264604270651536</v>
      </c>
    </row>
    <row r="18330" customFormat="false" ht="17.15" hidden="false" customHeight="false" outlineLevel="0" collapsed="false">
      <c r="A18330" s="0" t="s">
        <v>1014</v>
      </c>
      <c r="B18330" s="0" t="s">
        <v>253</v>
      </c>
      <c r="F18330" s="7" t="n">
        <f aca="false">Sens!F18326-wacc</f>
        <v>-0.0264758850184899</v>
      </c>
      <c r="G18330" s="7" t="n">
        <f aca="false">Sens!G18326-wacc</f>
        <v>0.00301399257650095</v>
      </c>
      <c r="H18330" s="7" t="n">
        <f aca="false">Sens!H18326-wacc</f>
        <v>0.0290144531684132</v>
      </c>
      <c r="I18330" s="7" t="n">
        <f aca="false">Sens!I18326-wacc</f>
        <v>0.0409767298145461</v>
      </c>
      <c r="J18330" s="7" t="n">
        <f aca="false">Sens!J18326-wacc</f>
        <v>0.0555189863912922</v>
      </c>
      <c r="K18330" s="7" t="n">
        <f aca="false">Sens!K18326-wacc</f>
        <v>0.0736144937856168</v>
      </c>
    </row>
    <row r="18331" customFormat="false" ht="17.15" hidden="false" customHeight="false" outlineLevel="0" collapsed="false">
      <c r="A18331" s="0" t="s">
        <v>1015</v>
      </c>
      <c r="B18331" s="0" t="s">
        <v>98</v>
      </c>
      <c r="F18331" s="6" t="n">
        <f aca="false">Sens!F18324*(1-tax_f)-wacc*(Sens!E18325+Sens!F18325)/2</f>
        <v>-5.12666681154535</v>
      </c>
      <c r="G18331" s="6" t="n">
        <f aca="false">Sens!G18324*(1-tax_f)-wacc*(Sens!F18325+Sens!G18325)/2</f>
        <v>0.983096926090845</v>
      </c>
      <c r="H18331" s="6" t="n">
        <f aca="false">Sens!H18324*(1-tax_f)-wacc*(Sens!G18325+Sens!H18325)/2</f>
        <v>12.9298723603358</v>
      </c>
      <c r="I18331" s="6" t="n">
        <f aca="false">Sens!I18324*(1-tax_f)-wacc*(Sens!H18325+Sens!I18325)/2</f>
        <v>21.5816420117415</v>
      </c>
      <c r="J18331" s="6" t="n">
        <f aca="false">Sens!J18324*(1-tax_f)-wacc*(Sens!I18325+Sens!J18325)/2</f>
        <v>30.6647728372055</v>
      </c>
      <c r="K18331" s="6" t="n">
        <f aca="false">Sens!K18324*(1-tax_f)-wacc*(Sens!J18325+Sens!K18325)/2</f>
        <v>39.6606698161285</v>
      </c>
    </row>
    <row r="18332" customFormat="false" ht="17.15" hidden="false" customHeight="false" outlineLevel="0" collapsed="false">
      <c r="A18332" s="3" t="s">
        <v>1932</v>
      </c>
    </row>
    <row r="18333" customFormat="false" ht="15" hidden="false" customHeight="false" outlineLevel="0" collapsed="false">
      <c r="A18333" s="4" t="s">
        <v>43</v>
      </c>
      <c r="B18333" s="4" t="s">
        <v>65</v>
      </c>
      <c r="C18333" s="23" t="s">
        <v>938</v>
      </c>
      <c r="D18333" s="23" t="s">
        <v>939</v>
      </c>
      <c r="E18333" s="23" t="s">
        <v>940</v>
      </c>
      <c r="F18333" s="23" t="s">
        <v>941</v>
      </c>
      <c r="G18333" s="23" t="s">
        <v>942</v>
      </c>
      <c r="H18333" s="23" t="s">
        <v>943</v>
      </c>
      <c r="I18333" s="23" t="s">
        <v>944</v>
      </c>
      <c r="J18333" s="23" t="s">
        <v>945</v>
      </c>
      <c r="K18333" s="23" t="s">
        <v>946</v>
      </c>
      <c r="L18333" s="4" t="s">
        <v>47</v>
      </c>
    </row>
    <row r="18334" customFormat="false" ht="15" hidden="false" customHeight="false" outlineLevel="0" collapsed="false">
      <c r="A18334" s="1" t="s">
        <v>1076</v>
      </c>
      <c r="B18334" s="0" t="s">
        <v>98</v>
      </c>
      <c r="F18334" s="6" t="n">
        <f aca="false">Sens!F18315</f>
        <v>146.421113375822</v>
      </c>
      <c r="G18334" s="6" t="n">
        <f aca="false">Sens!G18315</f>
        <v>166.938637811457</v>
      </c>
      <c r="H18334" s="6" t="n">
        <f aca="false">Sens!H18315</f>
        <v>194.917405217349</v>
      </c>
      <c r="I18334" s="6" t="n">
        <f aca="false">Sens!I18315</f>
        <v>216.272111729435</v>
      </c>
      <c r="J18334" s="6" t="n">
        <f aca="false">Sens!J18315</f>
        <v>234.808976293868</v>
      </c>
      <c r="K18334" s="6" t="n">
        <f aca="false">Sens!K18315</f>
        <v>251.589485093619</v>
      </c>
    </row>
    <row r="18335" customFormat="false" ht="17.15" hidden="false" customHeight="false" outlineLevel="0" collapsed="false">
      <c r="A18335" s="1" t="s">
        <v>1098</v>
      </c>
      <c r="B18335" s="0" t="s">
        <v>98</v>
      </c>
      <c r="E18335" s="6" t="n">
        <f aca="false">Q!M38-Sens!E18253</f>
        <v>22.2285940229167</v>
      </c>
      <c r="F18335" s="6" t="n">
        <f aca="false">Sens!E18335*(1-1/life_nonai)+(Sens!F18343+Sens!F18344)/life_nonai</f>
        <v>23.580344216413</v>
      </c>
      <c r="G18335" s="6" t="n">
        <f aca="false">Sens!F18335*(1-1/life_nonai)+(Sens!G18343)/life_nonai</f>
        <v>25.3672932855804</v>
      </c>
      <c r="H18335" s="6" t="n">
        <f aca="false">Sens!G18335*(1-1/life_nonai)+(Sens!H18343)/life_nonai</f>
        <v>27.5720083363487</v>
      </c>
      <c r="I18335" s="6" t="n">
        <f aca="false">Sens!H18335*(1-1/life_nonai)+(Sens!I18343)/life_nonai</f>
        <v>30.1179230418913</v>
      </c>
      <c r="J18335" s="6" t="n">
        <f aca="false">Sens!I18335*(1-1/life_nonai)+(Sens!J18343)/life_nonai</f>
        <v>32.9127906661051</v>
      </c>
      <c r="K18335" s="6" t="n">
        <f aca="false">Sens!J18335*(1-1/life_nonai)+(Sens!K18343)/life_nonai</f>
        <v>35.8719779353905</v>
      </c>
      <c r="L18335" s="12" t="s">
        <v>1099</v>
      </c>
    </row>
    <row r="18336" customFormat="false" ht="17.15" hidden="false" customHeight="false" outlineLevel="0" collapsed="false">
      <c r="A18336" s="1" t="s">
        <v>1100</v>
      </c>
      <c r="B18336" s="0" t="s">
        <v>98</v>
      </c>
      <c r="F18336" s="6" t="n">
        <f aca="false">Sens!$F$18344/life_nonai*(1-1/life_nonai)^(Sens!F18216-2027)</f>
        <v>0.0176332265009222</v>
      </c>
      <c r="G18336" s="6" t="n">
        <f aca="false">Sens!$F$18344/life_nonai*(1-1/life_nonai)^(Sens!G18216-2027)</f>
        <v>0.01586990385083</v>
      </c>
      <c r="H18336" s="6" t="n">
        <f aca="false">Sens!$F$18344/life_nonai*(1-1/life_nonai)^(Sens!H18216-2027)</f>
        <v>0.014282913465747</v>
      </c>
      <c r="I18336" s="6" t="n">
        <f aca="false">Sens!$F$18344/life_nonai*(1-1/life_nonai)^(Sens!I18216-2027)</f>
        <v>0.0128546221191723</v>
      </c>
      <c r="J18336" s="6" t="n">
        <f aca="false">Sens!$F$18344/life_nonai*(1-1/life_nonai)^(Sens!J18216-2027)</f>
        <v>0.0115691599072551</v>
      </c>
      <c r="K18336" s="6" t="n">
        <f aca="false">Sens!$F$18344/life_nonai*(1-1/life_nonai)^(Sens!K18216-2027)</f>
        <v>0.0104122439165296</v>
      </c>
      <c r="L18336" s="1" t="s">
        <v>1101</v>
      </c>
    </row>
    <row r="18337" customFormat="false" ht="17.15" hidden="false" customHeight="false" outlineLevel="0" collapsed="false">
      <c r="A18337" s="1" t="s">
        <v>1102</v>
      </c>
      <c r="B18337" s="0" t="s">
        <v>98</v>
      </c>
      <c r="E18337" s="6" t="n">
        <f aca="false">Sens!E18253+Sens!E18335</f>
        <v>38.534</v>
      </c>
      <c r="F18337" s="6" t="n">
        <f aca="false">Sens!F18253+Sens!F18335</f>
        <v>58.1596586947647</v>
      </c>
      <c r="G18337" s="6" t="n">
        <f aca="false">Sens!G18253+Sens!G18335</f>
        <v>86.1017839378793</v>
      </c>
      <c r="H18337" s="6" t="n">
        <f aca="false">Sens!H18253+Sens!H18335</f>
        <v>116.672098997794</v>
      </c>
      <c r="I18337" s="6" t="n">
        <f aca="false">Sens!I18253+Sens!I18335</f>
        <v>144.34893273644</v>
      </c>
      <c r="J18337" s="6" t="n">
        <f aca="false">Sens!J18253+Sens!J18335</f>
        <v>164.928463715701</v>
      </c>
      <c r="K18337" s="6" t="n">
        <f aca="false">Sens!K18253+Sens!K18335</f>
        <v>178.884647486325</v>
      </c>
    </row>
    <row r="18338" customFormat="false" ht="17.15" hidden="false" customHeight="false" outlineLevel="0" collapsed="false">
      <c r="A18338" s="1" t="s">
        <v>1103</v>
      </c>
      <c r="B18338" s="0" t="s">
        <v>98</v>
      </c>
      <c r="F18338" s="6" t="n">
        <f aca="false">Sens!F18280*sbc_r</f>
        <v>14.9076296975899</v>
      </c>
      <c r="G18338" s="6" t="n">
        <f aca="false">Sens!G18280*sbc_r</f>
        <v>18.2240468828869</v>
      </c>
      <c r="H18338" s="6" t="n">
        <f aca="false">Sens!H18280*sbc_r</f>
        <v>21.7939502810119</v>
      </c>
      <c r="I18338" s="6" t="n">
        <f aca="false">Sens!I18280*sbc_r</f>
        <v>24.8323749869894</v>
      </c>
      <c r="J18338" s="6" t="n">
        <f aca="false">Sens!J18280*sbc_r</f>
        <v>27.276362733654</v>
      </c>
      <c r="K18338" s="6" t="n">
        <f aca="false">Sens!K18280*sbc_r</f>
        <v>29.2191456605074</v>
      </c>
    </row>
    <row r="18339" customFormat="false" ht="17.15" hidden="false" customHeight="false" outlineLevel="0" collapsed="false">
      <c r="A18339" s="1" t="s">
        <v>1104</v>
      </c>
      <c r="B18339" s="0" t="s">
        <v>98</v>
      </c>
      <c r="F18339" s="6" t="n">
        <f aca="false">wc27-wc26q1</f>
        <v>-4.677</v>
      </c>
      <c r="G18339" s="6" t="n">
        <f aca="false">wc_f</f>
        <v>0</v>
      </c>
      <c r="H18339" s="6" t="n">
        <f aca="false">wc_f</f>
        <v>0</v>
      </c>
      <c r="I18339" s="6" t="n">
        <f aca="false">wc_f</f>
        <v>0</v>
      </c>
      <c r="J18339" s="6" t="n">
        <f aca="false">wc_f</f>
        <v>0</v>
      </c>
      <c r="K18339" s="6" t="n">
        <f aca="false">wc_f</f>
        <v>0</v>
      </c>
      <c r="L18339" s="12" t="s">
        <v>1105</v>
      </c>
    </row>
    <row r="18340" customFormat="false" ht="17.15" hidden="false" customHeight="false" outlineLevel="0" collapsed="false">
      <c r="A18340" s="0" t="s">
        <v>1106</v>
      </c>
      <c r="B18340" s="0" t="s">
        <v>98</v>
      </c>
      <c r="F18340" s="6" t="n">
        <f aca="false">Q!$I$35-Q!$I$26-Q!$I$38-Q!$I$39</f>
        <v>6.493</v>
      </c>
      <c r="L18340" s="1" t="s">
        <v>1107</v>
      </c>
    </row>
    <row r="18341" customFormat="false" ht="15" hidden="false" customHeight="false" outlineLevel="0" collapsed="false">
      <c r="A18341" s="1" t="s">
        <v>904</v>
      </c>
      <c r="B18341" s="0" t="s">
        <v>98</v>
      </c>
      <c r="E18341" s="6" t="n">
        <f aca="false">Q!M35</f>
        <v>182.935</v>
      </c>
      <c r="F18341" s="6" t="n">
        <f aca="false">Sens!F18334+Sens!F18337+Sens!F18338+Sens!F18339+Sens!F18340</f>
        <v>221.304401768177</v>
      </c>
      <c r="G18341" s="6" t="n">
        <f aca="false">Sens!G18334+Sens!G18337+Sens!G18338+Sens!G18339</f>
        <v>271.264468632223</v>
      </c>
      <c r="H18341" s="6" t="n">
        <f aca="false">Sens!H18334+Sens!H18337+Sens!H18338+Sens!H18339</f>
        <v>333.383454496155</v>
      </c>
      <c r="I18341" s="6" t="n">
        <f aca="false">Sens!I18334+Sens!I18337+Sens!I18338+Sens!I18339</f>
        <v>385.453419452864</v>
      </c>
      <c r="J18341" s="6" t="n">
        <f aca="false">Sens!J18334+Sens!J18337+Sens!J18338+Sens!J18339</f>
        <v>427.013802743223</v>
      </c>
      <c r="K18341" s="6" t="n">
        <f aca="false">Sens!K18334+Sens!K18337+Sens!K18338+Sens!K18339</f>
        <v>459.693278240451</v>
      </c>
    </row>
    <row r="18342" customFormat="false" ht="17.15" hidden="false" customHeight="false" outlineLevel="0" collapsed="false">
      <c r="A18342" s="0" t="s">
        <v>1108</v>
      </c>
      <c r="B18342" s="0" t="s">
        <v>98</v>
      </c>
      <c r="F18342" s="6" t="n">
        <f aca="false">Sens!F18250</f>
        <v>168.45390404212</v>
      </c>
      <c r="G18342" s="6" t="n">
        <f aca="false">Sens!G18250</f>
        <v>191.944475649048</v>
      </c>
      <c r="H18342" s="6" t="n">
        <f aca="false">Sens!H18250</f>
        <v>196.806004064512</v>
      </c>
      <c r="I18342" s="6" t="n">
        <f aca="false">Sens!I18250</f>
        <v>168.61483362161</v>
      </c>
      <c r="J18342" s="6" t="n">
        <f aca="false">Sens!J18250</f>
        <v>128.92993119594</v>
      </c>
      <c r="K18342" s="6" t="n">
        <f aca="false">Sens!K18250</f>
        <v>118.962853064733</v>
      </c>
    </row>
    <row r="18343" customFormat="false" ht="17.15" hidden="false" customHeight="false" outlineLevel="0" collapsed="false">
      <c r="A18343" s="1" t="s">
        <v>1109</v>
      </c>
      <c r="B18343" s="0" t="s">
        <v>98</v>
      </c>
      <c r="E18343" s="6" t="n">
        <f aca="false">Sens!E18258*cx_azo+Sens!E18265*cx_m365+Sens!E18266*cx_lic+(Sens!E18268+Sens!E18270)*cx_ind+Sens!E18273*cx_srch+(Sens!E18275+Sens!E18277)*cx_dev</f>
        <v>30.1846587067718</v>
      </c>
      <c r="F18343" s="6" t="n">
        <f aca="false">Sens!F18258*cx_azo+Sens!F18265*cx_m365+Sens!F18266*cx_lic+(Sens!F18268+Sens!F18270)*cx_ind+Sens!F18273*cx_srch+(Sens!F18275+Sens!F18277)*cx_dev</f>
        <v>35.5697636928712</v>
      </c>
      <c r="G18343" s="6" t="n">
        <f aca="false">Sens!G18258*cx_azo+Sens!G18265*cx_m365+Sens!G18266*cx_lic+(Sens!G18268+Sens!G18270)*cx_ind+Sens!G18273*cx_srch+(Sens!G18275+Sens!G18277)*cx_dev</f>
        <v>41.4498349080866</v>
      </c>
      <c r="H18343" s="6" t="n">
        <f aca="false">Sens!H18258*cx_azo+Sens!H18265*cx_m365+Sens!H18266*cx_lic+(Sens!H18268+Sens!H18270)*cx_ind+Sens!H18273*cx_srch+(Sens!H18275+Sens!H18277)*cx_dev</f>
        <v>47.4144437932631</v>
      </c>
      <c r="I18343" s="6" t="n">
        <f aca="false">Sens!I18258*cx_azo+Sens!I18265*cx_m365+Sens!I18266*cx_lic+(Sens!I18268+Sens!I18270)*cx_ind+Sens!I18273*cx_srch+(Sens!I18275+Sens!I18277)*cx_dev</f>
        <v>53.0311553917745</v>
      </c>
      <c r="J18343" s="6" t="n">
        <f aca="false">Sens!J18258*cx_azo+Sens!J18265*cx_m365+Sens!J18266*cx_lic+(Sens!J18268+Sens!J18270)*cx_ind+Sens!J18273*cx_srch+(Sens!J18275+Sens!J18277)*cx_dev</f>
        <v>58.0665992840293</v>
      </c>
      <c r="K18343" s="6" t="n">
        <f aca="false">Sens!K18258*cx_azo+Sens!K18265*cx_m365+Sens!K18266*cx_lic+(Sens!K18268+Sens!K18270)*cx_ind+Sens!K18273*cx_srch+(Sens!K18275+Sens!K18277)*cx_dev</f>
        <v>62.5046633589594</v>
      </c>
    </row>
    <row r="18344" customFormat="false" ht="17.15" hidden="false" customHeight="false" outlineLevel="0" collapsed="false">
      <c r="A18344" s="0" t="s">
        <v>1110</v>
      </c>
      <c r="B18344" s="0" t="s">
        <v>98</v>
      </c>
      <c r="F18344" s="6" t="n">
        <f aca="false">Sens!F18248</f>
        <v>0.176332265009222</v>
      </c>
      <c r="L18344" s="1" t="s">
        <v>1111</v>
      </c>
    </row>
    <row r="18345" customFormat="false" ht="17.15" hidden="false" customHeight="false" outlineLevel="0" collapsed="false">
      <c r="A18345" s="1" t="s">
        <v>1112</v>
      </c>
      <c r="B18345" s="0" t="s">
        <v>98</v>
      </c>
      <c r="E18345" s="6" t="n">
        <f aca="false">Q!M43</f>
        <v>145.3</v>
      </c>
      <c r="F18345" s="6" t="n">
        <f aca="false">Sens!F18342+Sens!F18343+Sens!F18344</f>
        <v>204.2</v>
      </c>
      <c r="G18345" s="6" t="n">
        <f aca="false">Sens!G18342+Sens!G18343</f>
        <v>233.394310557135</v>
      </c>
      <c r="H18345" s="6" t="n">
        <f aca="false">Sens!H18342+Sens!H18343</f>
        <v>244.220447857775</v>
      </c>
      <c r="I18345" s="6" t="n">
        <f aca="false">Sens!I18342+Sens!I18343</f>
        <v>221.645989013385</v>
      </c>
      <c r="J18345" s="6" t="n">
        <f aca="false">Sens!J18342+Sens!J18343</f>
        <v>186.99653047997</v>
      </c>
      <c r="K18345" s="6" t="n">
        <f aca="false">Sens!K18342+Sens!K18343</f>
        <v>181.467516423692</v>
      </c>
      <c r="L18345" s="1" t="s">
        <v>1113</v>
      </c>
    </row>
    <row r="18346" customFormat="false" ht="15" hidden="false" customHeight="false" outlineLevel="0" collapsed="false">
      <c r="A18346" s="1" t="s">
        <v>1114</v>
      </c>
      <c r="B18346" s="0" t="s">
        <v>98</v>
      </c>
      <c r="E18346" s="6" t="n">
        <f aca="false">fl_liab</f>
        <v>66.594</v>
      </c>
      <c r="F18346" s="6" t="n">
        <f aca="false">Sens!E18346-Sens!F18347</f>
        <v>62.46973</v>
      </c>
      <c r="G18346" s="6" t="n">
        <f aca="false">Sens!F18346-Sens!G18347</f>
        <v>57.98686785</v>
      </c>
      <c r="H18346" s="6" t="n">
        <f aca="false">Sens!G18346-Sens!H18347</f>
        <v>53.92827690325</v>
      </c>
      <c r="I18346" s="6" t="n">
        <f aca="false">Sens!H18346-Sens!I18347</f>
        <v>49.7850493638962</v>
      </c>
      <c r="J18346" s="6" t="n">
        <f aca="false">Sens!I18346-Sens!J18347</f>
        <v>45.4823765852716</v>
      </c>
      <c r="K18346" s="6" t="n">
        <f aca="false">Sens!J18346-Sens!K18347</f>
        <v>40.9860835316088</v>
      </c>
    </row>
    <row r="18347" customFormat="false" ht="15" hidden="false" customHeight="false" outlineLevel="0" collapsed="false">
      <c r="A18347" s="1" t="s">
        <v>1115</v>
      </c>
      <c r="B18347" s="0" t="s">
        <v>98</v>
      </c>
      <c r="F18347" s="6" t="n">
        <f aca="false">fl_pay_27-Sens!E18346*fl_rate</f>
        <v>4.12427</v>
      </c>
      <c r="G18347" s="6" t="n">
        <f aca="false">fl_pay_28-Sens!F18346*fl_rate</f>
        <v>4.48286215</v>
      </c>
      <c r="H18347" s="6" t="n">
        <f aca="false">fl_pay_29-Sens!G18346*fl_rate</f>
        <v>4.05859094675</v>
      </c>
      <c r="I18347" s="6" t="n">
        <f aca="false">fl_pay_30-Sens!H18346*fl_rate</f>
        <v>4.14322753935375</v>
      </c>
      <c r="J18347" s="6" t="n">
        <f aca="false">fl_pay_31-Sens!I18346*fl_rate</f>
        <v>4.30267277862467</v>
      </c>
      <c r="K18347" s="6" t="n">
        <f aca="false">fl_pay_32-Sens!J18346*fl_rate</f>
        <v>4.49629305366278</v>
      </c>
    </row>
    <row r="18348" customFormat="false" ht="17.15" hidden="false" customHeight="false" outlineLevel="0" collapsed="false">
      <c r="A18348" s="1" t="s">
        <v>1116</v>
      </c>
      <c r="B18348" s="0" t="s">
        <v>98</v>
      </c>
      <c r="E18348" s="6" t="n">
        <f aca="false">Q!M35-Q!M36-Q!M44</f>
        <v>63.886</v>
      </c>
      <c r="F18348" s="6" t="n">
        <f aca="false">Sens!F18341-Sens!F18345-Sens!F18347</f>
        <v>12.9801317681768</v>
      </c>
      <c r="G18348" s="6" t="n">
        <f aca="false">Sens!G18341-Sens!G18345-Sens!G18347</f>
        <v>33.3872959250887</v>
      </c>
      <c r="H18348" s="6" t="n">
        <f aca="false">Sens!H18341-Sens!H18345-Sens!H18347</f>
        <v>85.1044156916295</v>
      </c>
      <c r="I18348" s="6" t="n">
        <f aca="false">Sens!I18341-Sens!I18345-Sens!I18347</f>
        <v>159.664202900125</v>
      </c>
      <c r="J18348" s="6" t="n">
        <f aca="false">Sens!J18341-Sens!J18345-Sens!J18347</f>
        <v>235.714599484629</v>
      </c>
      <c r="K18348" s="6" t="n">
        <f aca="false">Sens!K18341-Sens!K18345-Sens!K18347</f>
        <v>273.729468763096</v>
      </c>
      <c r="L18348" s="12" t="s">
        <v>1117</v>
      </c>
    </row>
    <row r="18349" customFormat="false" ht="15" hidden="false" customHeight="false" outlineLevel="0" collapsed="false">
      <c r="A18349" s="1" t="s">
        <v>1118</v>
      </c>
      <c r="B18349" s="0" t="s">
        <v>75</v>
      </c>
      <c r="F18349" s="8" t="n">
        <f aca="false">dps_27</f>
        <v>3.85</v>
      </c>
      <c r="G18349" s="8" t="n">
        <f aca="false">Sens!F18349*(1+dps_g)</f>
        <v>4.158</v>
      </c>
      <c r="H18349" s="8" t="n">
        <f aca="false">Sens!G18349*(1+dps_g)</f>
        <v>4.49064</v>
      </c>
      <c r="I18349" s="8" t="n">
        <f aca="false">Sens!H18349*(1+dps_g)</f>
        <v>4.8498912</v>
      </c>
      <c r="J18349" s="8" t="n">
        <f aca="false">Sens!I18349*(1+dps_g)</f>
        <v>5.237882496</v>
      </c>
      <c r="K18349" s="8" t="n">
        <f aca="false">Sens!J18349*(1+dps_g)</f>
        <v>5.65691309568</v>
      </c>
    </row>
    <row r="18350" customFormat="false" ht="17.15" hidden="false" customHeight="false" outlineLevel="0" collapsed="false">
      <c r="A18350" s="1" t="s">
        <v>1119</v>
      </c>
      <c r="B18350" s="0" t="s">
        <v>98</v>
      </c>
      <c r="E18350" s="6" t="n">
        <f aca="false">Q!M41</f>
        <v>26.445</v>
      </c>
      <c r="F18350" s="6" t="n">
        <f aca="false">Sens!F18349*Sens!E18359</f>
        <v>28.59395</v>
      </c>
      <c r="G18350" s="6" t="n">
        <f aca="false">Sens!G18349*Sens!F18359</f>
        <v>31.053663323765</v>
      </c>
      <c r="H18350" s="6" t="n">
        <f aca="false">Sens!H18349*Sens!G18359</f>
        <v>33.7224518084959</v>
      </c>
      <c r="I18350" s="6" t="n">
        <f aca="false">Sens!I18349*Sens!H18359</f>
        <v>36.4706862302483</v>
      </c>
      <c r="J18350" s="6" t="n">
        <f aca="false">Sens!J18349*Sens!I18359</f>
        <v>39.4562390140608</v>
      </c>
      <c r="K18350" s="6" t="n">
        <f aca="false">Sens!K18349*Sens!J18359</f>
        <v>42.6994923975639</v>
      </c>
      <c r="L18350" s="1" t="s">
        <v>1120</v>
      </c>
    </row>
    <row r="18351" customFormat="false" ht="15" hidden="false" customHeight="false" outlineLevel="0" collapsed="false">
      <c r="A18351" s="1" t="s">
        <v>1121</v>
      </c>
      <c r="B18351" s="0" t="s">
        <v>98</v>
      </c>
      <c r="E18351" s="6" t="n">
        <f aca="false">Sens!E18348-Sens!E18350</f>
        <v>37.441</v>
      </c>
      <c r="F18351" s="6" t="n">
        <f aca="false">Sens!F18348-Sens!F18350</f>
        <v>-15.6138182318232</v>
      </c>
      <c r="G18351" s="6" t="n">
        <f aca="false">Sens!G18348-Sens!G18350</f>
        <v>2.33363260132368</v>
      </c>
      <c r="H18351" s="6" t="n">
        <f aca="false">Sens!H18348-Sens!H18350</f>
        <v>51.3819638831335</v>
      </c>
      <c r="I18351" s="6" t="n">
        <f aca="false">Sens!I18348-Sens!I18350</f>
        <v>123.193516669877</v>
      </c>
      <c r="J18351" s="6" t="n">
        <f aca="false">Sens!J18348-Sens!J18350</f>
        <v>196.258360470568</v>
      </c>
      <c r="K18351" s="6" t="n">
        <f aca="false">Sens!K18348-Sens!K18350</f>
        <v>231.029976365532</v>
      </c>
    </row>
    <row r="18352" customFormat="false" ht="15" hidden="false" customHeight="false" outlineLevel="0" collapsed="false">
      <c r="A18352" s="1" t="s">
        <v>1122</v>
      </c>
      <c r="B18352" s="0" t="s">
        <v>98</v>
      </c>
      <c r="F18352" s="6" t="n">
        <f aca="false">debt_mat_27</f>
        <v>9.25</v>
      </c>
      <c r="G18352" s="6" t="n">
        <f aca="false">debt_mat_28</f>
        <v>0</v>
      </c>
      <c r="H18352" s="6" t="n">
        <f aca="false">debt_mat_29</f>
        <v>2.001</v>
      </c>
      <c r="I18352" s="6" t="n">
        <f aca="false">debt_mat_30</f>
        <v>0</v>
      </c>
      <c r="J18352" s="6" t="n">
        <f aca="false">debt_mat_31</f>
        <v>0.5</v>
      </c>
      <c r="K18352" s="6" t="n">
        <f aca="false">debt_mat_32</f>
        <v>0</v>
      </c>
    </row>
    <row r="18353" customFormat="false" ht="15" hidden="false" customHeight="false" outlineLevel="0" collapsed="false">
      <c r="A18353" s="1" t="s">
        <v>1123</v>
      </c>
      <c r="B18353" s="0" t="s">
        <v>98</v>
      </c>
      <c r="E18353" s="6" t="n">
        <f aca="false">Q!M40</f>
        <v>22.271</v>
      </c>
      <c r="F18353" s="6" t="n">
        <f aca="false">MAX(0,MIN(bb_target,Sens!E18355+Sens!F18351-Sens!F18352-min_cash))</f>
        <v>1.97918176817679</v>
      </c>
      <c r="G18353" s="6" t="n">
        <f aca="false">MAX(0,MIN(bb_target,Sens!F18355+Sens!G18351-Sens!G18352-min_cash))</f>
        <v>2.33363260132367</v>
      </c>
      <c r="H18353" s="6" t="n">
        <f aca="false">MAX(0,MIN(bb_target,Sens!G18355+Sens!H18351-Sens!H18352-min_cash))</f>
        <v>22.271</v>
      </c>
      <c r="I18353" s="6" t="n">
        <f aca="false">MAX(0,MIN(bb_target,Sens!H18355+Sens!I18351-Sens!I18352-min_cash))</f>
        <v>22.271</v>
      </c>
      <c r="J18353" s="6" t="n">
        <f aca="false">MAX(0,MIN(bb_target,Sens!I18355+Sens!J18351-Sens!J18352-min_cash))</f>
        <v>22.271</v>
      </c>
      <c r="K18353" s="6" t="n">
        <f aca="false">MAX(0,MIN(bb_target,Sens!J18355+Sens!K18351-Sens!K18352-min_cash))</f>
        <v>22.271</v>
      </c>
    </row>
    <row r="18354" customFormat="false" ht="15" hidden="false" customHeight="false" outlineLevel="0" collapsed="false">
      <c r="A18354" s="1" t="s">
        <v>1124</v>
      </c>
      <c r="B18354" s="0" t="s">
        <v>98</v>
      </c>
      <c r="F18354" s="6" t="n">
        <f aca="false">MAX(0,min_cash-(Sens!E18355+Sens!F18351-Sens!F18352-Sens!F18353))</f>
        <v>0</v>
      </c>
      <c r="G18354" s="6" t="n">
        <f aca="false">MAX(0,min_cash-(Sens!F18355+Sens!G18351-Sens!G18352-Sens!G18353))</f>
        <v>0</v>
      </c>
      <c r="H18354" s="6" t="n">
        <f aca="false">MAX(0,min_cash-(Sens!G18355+Sens!H18351-Sens!H18352-Sens!H18353))</f>
        <v>0</v>
      </c>
      <c r="I18354" s="6" t="n">
        <f aca="false">MAX(0,min_cash-(Sens!H18355+Sens!I18351-Sens!I18352-Sens!I18353))</f>
        <v>0</v>
      </c>
      <c r="J18354" s="6" t="n">
        <f aca="false">MAX(0,min_cash-(Sens!I18355+Sens!J18351-Sens!J18352-Sens!J18353))</f>
        <v>0</v>
      </c>
      <c r="K18354" s="6" t="n">
        <f aca="false">MAX(0,min_cash-(Sens!J18355+Sens!K18351-Sens!K18352-Sens!K18353))</f>
        <v>0</v>
      </c>
    </row>
    <row r="18355" customFormat="false" ht="15" hidden="false" customHeight="false" outlineLevel="0" collapsed="false">
      <c r="A18355" s="1" t="s">
        <v>1125</v>
      </c>
      <c r="B18355" s="0" t="s">
        <v>98</v>
      </c>
      <c r="E18355" s="6" t="n">
        <f aca="false">cash_open</f>
        <v>76.843</v>
      </c>
      <c r="F18355" s="6" t="n">
        <f aca="false">Sens!E18355+Sens!F18351-Sens!F18352-Sens!F18353+Sens!F18354</f>
        <v>50</v>
      </c>
      <c r="G18355" s="6" t="n">
        <f aca="false">Sens!F18355+Sens!G18351-Sens!G18352-Sens!G18353+Sens!G18354</f>
        <v>50</v>
      </c>
      <c r="H18355" s="6" t="n">
        <f aca="false">Sens!G18355+Sens!H18351-Sens!H18352-Sens!H18353+Sens!H18354</f>
        <v>77.1099638831335</v>
      </c>
      <c r="I18355" s="6" t="n">
        <f aca="false">Sens!H18355+Sens!I18351-Sens!I18352-Sens!I18353+Sens!I18354</f>
        <v>178.032480553011</v>
      </c>
      <c r="J18355" s="6" t="n">
        <f aca="false">Sens!I18355+Sens!J18351-Sens!J18352-Sens!J18353+Sens!J18354</f>
        <v>351.519841023578</v>
      </c>
      <c r="K18355" s="6" t="n">
        <f aca="false">Sens!J18355+Sens!K18351-Sens!K18352-Sens!K18353+Sens!K18354</f>
        <v>560.278817389111</v>
      </c>
    </row>
    <row r="18356" customFormat="false" ht="15" hidden="false" customHeight="false" outlineLevel="0" collapsed="false">
      <c r="A18356" s="1" t="s">
        <v>1126</v>
      </c>
      <c r="B18356" s="0" t="s">
        <v>98</v>
      </c>
      <c r="E18356" s="6" t="n">
        <f aca="false">debt_face</f>
        <v>46.136</v>
      </c>
      <c r="F18356" s="6" t="n">
        <f aca="false">Sens!E18356-Sens!F18352+Sens!F18354</f>
        <v>36.886</v>
      </c>
      <c r="G18356" s="6" t="n">
        <f aca="false">Sens!F18356-Sens!G18352+Sens!G18354</f>
        <v>36.886</v>
      </c>
      <c r="H18356" s="6" t="n">
        <f aca="false">Sens!G18356-Sens!H18352+Sens!H18354</f>
        <v>34.885</v>
      </c>
      <c r="I18356" s="6" t="n">
        <f aca="false">Sens!H18356-Sens!I18352+Sens!I18354</f>
        <v>34.885</v>
      </c>
      <c r="J18356" s="6" t="n">
        <f aca="false">Sens!I18356-Sens!J18352+Sens!J18354</f>
        <v>34.385</v>
      </c>
      <c r="K18356" s="6" t="n">
        <f aca="false">Sens!J18356-Sens!K18352+Sens!K18354</f>
        <v>34.385</v>
      </c>
    </row>
    <row r="18357" customFormat="false" ht="15" hidden="false" customHeight="false" outlineLevel="0" collapsed="false">
      <c r="A18357" s="1" t="s">
        <v>1127</v>
      </c>
      <c r="B18357" s="0" t="s">
        <v>98</v>
      </c>
      <c r="E18357" s="6" t="n">
        <f aca="false">Sens!E18355-Sens!E18356</f>
        <v>30.707</v>
      </c>
      <c r="F18357" s="6" t="n">
        <f aca="false">Sens!F18355-Sens!F18356</f>
        <v>13.114</v>
      </c>
      <c r="G18357" s="6" t="n">
        <f aca="false">Sens!G18355-Sens!G18356</f>
        <v>13.114</v>
      </c>
      <c r="H18357" s="6" t="n">
        <f aca="false">Sens!H18355-Sens!H18356</f>
        <v>42.2249638831335</v>
      </c>
      <c r="I18357" s="6" t="n">
        <f aca="false">Sens!I18355-Sens!I18356</f>
        <v>143.147480553011</v>
      </c>
      <c r="J18357" s="6" t="n">
        <f aca="false">Sens!J18355-Sens!J18356</f>
        <v>317.134841023578</v>
      </c>
      <c r="K18357" s="6" t="n">
        <f aca="false">Sens!K18355-Sens!K18356</f>
        <v>525.893817389111</v>
      </c>
    </row>
    <row r="18358" customFormat="false" ht="15" hidden="false" customHeight="false" outlineLevel="0" collapsed="false">
      <c r="A18358" s="1" t="s">
        <v>1128</v>
      </c>
      <c r="B18358" s="0" t="s">
        <v>75</v>
      </c>
      <c r="F18358" s="30" t="n">
        <f aca="false">px*(1+bb_g)^(Sens!F18216-base_fy-mid_yr)</f>
        <v>551.84177959629</v>
      </c>
      <c r="G18358" s="30" t="n">
        <f aca="false">px*(1+bb_g)^(Sens!G18216-base_fy-mid_yr)</f>
        <v>595.989121963993</v>
      </c>
      <c r="H18358" s="30" t="n">
        <f aca="false">px*(1+bb_g)^(Sens!H18216-base_fy-mid_yr)</f>
        <v>643.668251721112</v>
      </c>
      <c r="I18358" s="30" t="n">
        <f aca="false">px*(1+bb_g)^(Sens!I18216-base_fy-mid_yr)</f>
        <v>695.161711858801</v>
      </c>
      <c r="J18358" s="30" t="n">
        <f aca="false">px*(1+bb_g)^(Sens!J18216-base_fy-mid_yr)</f>
        <v>750.774648807506</v>
      </c>
      <c r="K18358" s="30" t="n">
        <f aca="false">px*(1+bb_g)^(Sens!K18216-base_fy-mid_yr)</f>
        <v>810.836620712106</v>
      </c>
    </row>
    <row r="18359" customFormat="false" ht="15" hidden="false" customHeight="false" outlineLevel="0" collapsed="false">
      <c r="A18359" s="1" t="s">
        <v>1129</v>
      </c>
      <c r="B18359" s="1" t="s">
        <v>81</v>
      </c>
      <c r="E18359" s="15" t="n">
        <f aca="false">sh_out26</f>
        <v>7.427</v>
      </c>
      <c r="F18359" s="15" t="n">
        <f aca="false">Sens!E18359+sh_iss-Sens!F18353/Sens!F18358</f>
        <v>7.46841349777897</v>
      </c>
      <c r="G18359" s="15" t="n">
        <f aca="false">Sens!F18359+sh_iss-Sens!G18353/Sens!G18358</f>
        <v>7.50949793537134</v>
      </c>
      <c r="H18359" s="15" t="n">
        <f aca="false">Sens!G18359+sh_iss-Sens!H18353/Sens!H18358</f>
        <v>7.51989781342894</v>
      </c>
      <c r="I18359" s="15" t="n">
        <f aca="false">Sens!H18359+sh_iss-Sens!I18353/Sens!I18358</f>
        <v>7.53286066348227</v>
      </c>
      <c r="J18359" s="15" t="n">
        <f aca="false">Sens!I18359+sh_iss-Sens!J18353/Sens!J18358</f>
        <v>7.54819663575388</v>
      </c>
      <c r="K18359" s="15" t="n">
        <f aca="false">Sens!J18359+sh_iss-Sens!K18353/Sens!K18358</f>
        <v>7.56572994341278</v>
      </c>
    </row>
    <row r="18360" customFormat="false" ht="15" hidden="false" customHeight="false" outlineLevel="0" collapsed="false">
      <c r="A18360" s="1" t="s">
        <v>1130</v>
      </c>
      <c r="B18360" s="1" t="s">
        <v>81</v>
      </c>
      <c r="E18360" s="15" t="n">
        <f aca="false">sh_dil26</f>
        <v>7.453</v>
      </c>
      <c r="F18360" s="15" t="n">
        <f aca="false">(Sens!E18359+Sens!F18359)/2+dil_gap</f>
        <v>7.47170674888949</v>
      </c>
      <c r="G18360" s="15" t="n">
        <f aca="false">(Sens!F18359+Sens!G18359)/2+dil_gap</f>
        <v>7.51295571657515</v>
      </c>
      <c r="H18360" s="15" t="n">
        <f aca="false">(Sens!G18359+Sens!H18359)/2+dil_gap</f>
        <v>7.53869787440014</v>
      </c>
      <c r="I18360" s="15" t="n">
        <f aca="false">(Sens!H18359+Sens!I18359)/2+dil_gap</f>
        <v>7.55037923845561</v>
      </c>
      <c r="J18360" s="15" t="n">
        <f aca="false">(Sens!I18359+Sens!J18359)/2+dil_gap</f>
        <v>7.56452864961808</v>
      </c>
      <c r="K18360" s="15" t="n">
        <f aca="false">(Sens!J18359+Sens!K18359)/2+dil_gap</f>
        <v>7.58096328958333</v>
      </c>
    </row>
    <row r="18361" customFormat="false" ht="17.15" hidden="false" customHeight="false" outlineLevel="0" collapsed="false">
      <c r="A18361" s="1" t="s">
        <v>1131</v>
      </c>
      <c r="B18361" s="0" t="s">
        <v>98</v>
      </c>
      <c r="C18361" s="6" t="n">
        <f aca="false">SUM(Sens!F18351:J18351)</f>
        <v>357.553655393079</v>
      </c>
    </row>
    <row r="18362" customFormat="false" ht="15" hidden="false" customHeight="false" outlineLevel="0" collapsed="false">
      <c r="A18362" s="26" t="s">
        <v>1096</v>
      </c>
      <c r="B18362" s="31" t="s">
        <v>98</v>
      </c>
      <c r="C18362" s="27" t="n">
        <f aca="false">Sens!$C$18361-(Sens!F18351+Sens!G18351+Sens!H18351+Sens!I18351+Sens!J18351)</f>
        <v>0</v>
      </c>
      <c r="D18362" s="31"/>
      <c r="E18362" s="31"/>
      <c r="F18362" s="31"/>
      <c r="G18362" s="31"/>
      <c r="H18362" s="31"/>
      <c r="I18362" s="31"/>
      <c r="J18362" s="31"/>
      <c r="K18362" s="31"/>
    </row>
    <row r="18363" customFormat="false" ht="17.15" hidden="false" customHeight="false" outlineLevel="0" collapsed="false">
      <c r="A18363" s="1" t="s">
        <v>1090</v>
      </c>
      <c r="B18363" s="1" t="s">
        <v>1132</v>
      </c>
      <c r="C18363" s="33" t="str">
        <f aca="false">IF(SUM(Sens!F18354:J18354)&gt;0.05,"需要舉債 "&amp;TEXT(SUM(Sens!F18354:J18354),"0.0")&amp;" 十億美元","不需舉債")&amp;"；"&amp;IF(SUM(Sens!F18353:J18353)&lt;COUNT(Sens!F18353:J18353)*bb_target-0.05,"回購較每年 "&amp;TEXT(bb_target,"0.0")&amp;" 的目標少 "&amp;TEXT(COUNT(Sens!F18353:J18353)*bb_target-SUM(Sens!F18353:J18353),"0.0")&amp;" 十億美元（"&amp;TEXT(COUNTIF(Sens!F18353:J18353,"&lt;"&amp;(bb_target-0.05)),"0")&amp;" 年減少）","回購不減")</f>
        <v>不需舉債；回購較每年 22.3 的目標少 40.2 十億美元（2 年減少）</v>
      </c>
    </row>
    <row r="18364" customFormat="false" ht="17.15" hidden="false" customHeight="false" outlineLevel="0" collapsed="false">
      <c r="A18364" s="3" t="s">
        <v>1933</v>
      </c>
    </row>
    <row r="18365" customFormat="false" ht="15" hidden="false" customHeight="false" outlineLevel="0" collapsed="false">
      <c r="A18365" s="4" t="s">
        <v>43</v>
      </c>
      <c r="B18365" s="4" t="s">
        <v>65</v>
      </c>
      <c r="C18365" s="23" t="s">
        <v>938</v>
      </c>
      <c r="D18365" s="23" t="s">
        <v>939</v>
      </c>
      <c r="E18365" s="23" t="s">
        <v>940</v>
      </c>
      <c r="F18365" s="23" t="s">
        <v>941</v>
      </c>
      <c r="G18365" s="23" t="s">
        <v>942</v>
      </c>
      <c r="H18365" s="23" t="s">
        <v>943</v>
      </c>
      <c r="I18365" s="23" t="s">
        <v>944</v>
      </c>
      <c r="J18365" s="23" t="s">
        <v>945</v>
      </c>
      <c r="K18365" s="23" t="s">
        <v>946</v>
      </c>
      <c r="L18365" s="4" t="s">
        <v>47</v>
      </c>
    </row>
    <row r="18366" customFormat="false" ht="17.15" hidden="false" customHeight="false" outlineLevel="0" collapsed="false">
      <c r="A18366" s="1" t="s">
        <v>1212</v>
      </c>
      <c r="B18366" s="1" t="s">
        <v>279</v>
      </c>
      <c r="F18366" s="8" t="n">
        <f aca="false">(1-v_off)*mid_yr</f>
        <v>0.373972602739726</v>
      </c>
      <c r="G18366" s="8" t="n">
        <f aca="false">Sens!G18216-base_fy-mid_yr-v_off</f>
        <v>1.24794520547945</v>
      </c>
      <c r="H18366" s="8" t="n">
        <f aca="false">Sens!H18216-base_fy-mid_yr-v_off</f>
        <v>2.24794520547945</v>
      </c>
      <c r="I18366" s="8" t="n">
        <f aca="false">Sens!I18216-base_fy-mid_yr-v_off</f>
        <v>3.24794520547945</v>
      </c>
      <c r="J18366" s="8" t="n">
        <f aca="false">Sens!J18216-base_fy-mid_yr-v_off</f>
        <v>4.24794520547945</v>
      </c>
      <c r="K18366" s="8" t="n">
        <f aca="false">Sens!K18216-base_fy-mid_yr-v_off</f>
        <v>5.24794520547945</v>
      </c>
      <c r="L18366" s="12" t="s">
        <v>1213</v>
      </c>
    </row>
    <row r="18367" customFormat="false" ht="15" hidden="false" customHeight="false" outlineLevel="0" collapsed="false">
      <c r="A18367" s="1" t="s">
        <v>1214</v>
      </c>
      <c r="B18367" s="1" t="s">
        <v>279</v>
      </c>
      <c r="F18367" s="8" t="n">
        <f aca="false">Sens!F18216-base_fy-v_off</f>
        <v>0.747945205479452</v>
      </c>
      <c r="G18367" s="8" t="n">
        <f aca="false">Sens!G18216-base_fy-v_off</f>
        <v>1.74794520547945</v>
      </c>
      <c r="H18367" s="8" t="n">
        <f aca="false">Sens!H18216-base_fy-v_off</f>
        <v>2.74794520547945</v>
      </c>
      <c r="I18367" s="8" t="n">
        <f aca="false">Sens!I18216-base_fy-v_off</f>
        <v>3.74794520547945</v>
      </c>
      <c r="J18367" s="8" t="n">
        <f aca="false">Sens!J18216-base_fy-v_off</f>
        <v>4.74794520547945</v>
      </c>
      <c r="K18367" s="8" t="n">
        <f aca="false">Sens!K18216-base_fy-v_off</f>
        <v>5.74794520547945</v>
      </c>
    </row>
    <row r="18368" customFormat="false" ht="15" hidden="false" customHeight="false" outlineLevel="0" collapsed="false">
      <c r="A18368" s="1" t="s">
        <v>1215</v>
      </c>
      <c r="B18368" s="0" t="s">
        <v>229</v>
      </c>
      <c r="F18368" s="15" t="n">
        <f aca="false">1/(1+wacc)^Sens!F18366</f>
        <v>0.964022703286649</v>
      </c>
      <c r="G18368" s="15" t="n">
        <f aca="false">1/(1+wacc)^Sens!G18366</f>
        <v>0.884910302296739</v>
      </c>
      <c r="H18368" s="15" t="n">
        <f aca="false">1/(1+wacc)^Sens!H18366</f>
        <v>0.802322009770358</v>
      </c>
      <c r="I18368" s="15" t="n">
        <f aca="false">1/(1+wacc)^Sens!I18366</f>
        <v>0.727441646561469</v>
      </c>
      <c r="J18368" s="15" t="n">
        <f aca="false">1/(1+wacc)^Sens!J18366</f>
        <v>0.659549834988973</v>
      </c>
      <c r="K18368" s="15" t="n">
        <f aca="false">1/(1+wacc)^Sens!K18366</f>
        <v>0.597994336576966</v>
      </c>
    </row>
    <row r="18369" customFormat="false" ht="17.15" hidden="false" customHeight="false" outlineLevel="0" collapsed="false">
      <c r="A18369" s="1" t="s">
        <v>1216</v>
      </c>
      <c r="B18369" s="0" t="s">
        <v>98</v>
      </c>
      <c r="F18369" s="6" t="n">
        <f aca="false">Q!$I$35-Q!$I$39-Q!$I$43</f>
        <v>9.666</v>
      </c>
      <c r="L18369" s="12" t="s">
        <v>1217</v>
      </c>
    </row>
    <row r="18370" customFormat="false" ht="17.15" hidden="false" customHeight="false" outlineLevel="0" collapsed="false">
      <c r="A18370" s="1" t="s">
        <v>1218</v>
      </c>
      <c r="B18370" s="0" t="s">
        <v>98</v>
      </c>
      <c r="F18370" s="6" t="n">
        <f aca="false">Sens!F18341-Sens!F18338-Sens!F18345+Sens!F18323*(1-tax_f)*(1-v_off)-Sens!F18369</f>
        <v>-2.15378674262886</v>
      </c>
      <c r="G18370" s="6" t="n">
        <f aca="false">Sens!G18341-Sens!G18338-Sens!G18345+Sens!G18323*(1-tax_f)</f>
        <v>37.8109356058236</v>
      </c>
      <c r="H18370" s="6" t="n">
        <f aca="false">Sens!H18341-Sens!H18338-Sens!H18345+Sens!H18323*(1-tax_f)</f>
        <v>97.7705325479336</v>
      </c>
      <c r="I18370" s="6" t="n">
        <f aca="false">Sens!I18341-Sens!I18338-Sens!I18345+Sens!I18323*(1-tax_f)</f>
        <v>180.685543028904</v>
      </c>
      <c r="J18370" s="6" t="n">
        <f aca="false">Sens!J18341-Sens!J18338-Sens!J18345+Sens!J18323*(1-tax_f)</f>
        <v>262.388575044351</v>
      </c>
      <c r="K18370" s="6" t="n">
        <f aca="false">Sens!K18341-Sens!K18338-Sens!K18345+Sens!K18323*(1-tax_f)</f>
        <v>302.670721172753</v>
      </c>
      <c r="L18370" s="1" t="s">
        <v>1219</v>
      </c>
    </row>
    <row r="18371" customFormat="false" ht="15" hidden="false" customHeight="false" outlineLevel="0" collapsed="false">
      <c r="A18371" s="1" t="s">
        <v>1220</v>
      </c>
      <c r="B18371" s="0" t="s">
        <v>98</v>
      </c>
      <c r="F18371" s="6" t="n">
        <f aca="false">Sens!F18370*Sens!F18368</f>
        <v>-2.07629931793202</v>
      </c>
      <c r="G18371" s="6" t="n">
        <f aca="false">Sens!G18370*Sens!G18368</f>
        <v>33.4592864570719</v>
      </c>
      <c r="H18371" s="6" t="n">
        <f aca="false">Sens!H18370*Sens!H18368</f>
        <v>78.4434501701763</v>
      </c>
      <c r="I18371" s="6" t="n">
        <f aca="false">Sens!I18370*Sens!I18368</f>
        <v>131.438188930799</v>
      </c>
      <c r="J18371" s="6" t="n">
        <f aca="false">Sens!J18370*Sens!J18368</f>
        <v>173.058341373493</v>
      </c>
      <c r="K18371" s="6" t="n">
        <f aca="false">Sens!K18370*Sens!K18368</f>
        <v>180.995377108972</v>
      </c>
    </row>
    <row r="18372" customFormat="false" ht="17.15" hidden="false" customHeight="false" outlineLevel="0" collapsed="false">
      <c r="A18372" s="1" t="s">
        <v>1221</v>
      </c>
      <c r="B18372" s="0" t="s">
        <v>98</v>
      </c>
      <c r="C18372" s="6" t="n">
        <f aca="false">SUM(Sens!F18371:K18371)</f>
        <v>595.31834472258</v>
      </c>
    </row>
    <row r="18373" customFormat="false" ht="17.15" hidden="false" customHeight="false" outlineLevel="0" collapsed="false">
      <c r="A18373" s="1" t="s">
        <v>1222</v>
      </c>
      <c r="B18373" s="0" t="s">
        <v>98</v>
      </c>
      <c r="C18373" s="6" t="n">
        <f aca="false">Sens!K18309*(1+g_tv)*(1-tax_f)</f>
        <v>315.399997813424</v>
      </c>
    </row>
    <row r="18374" customFormat="false" ht="17.15" hidden="false" customHeight="false" outlineLevel="0" collapsed="false">
      <c r="A18374" s="1" t="s">
        <v>1223</v>
      </c>
      <c r="B18374" s="0" t="s">
        <v>98</v>
      </c>
      <c r="C18374" s="6" t="n">
        <f aca="false">Sens!$C$18373*(1-g_tv/(wacc+ronic_prem))</f>
        <v>223.479332406859</v>
      </c>
    </row>
    <row r="18375" customFormat="false" ht="17.15" hidden="false" customHeight="false" outlineLevel="0" collapsed="false">
      <c r="A18375" s="1" t="s">
        <v>1224</v>
      </c>
      <c r="B18375" s="0" t="s">
        <v>98</v>
      </c>
      <c r="C18375" s="6" t="n">
        <f aca="false">Sens!$C$18374/(wacc-g_tv)</f>
        <v>3064.02218021884</v>
      </c>
    </row>
    <row r="18376" customFormat="false" ht="15" hidden="false" customHeight="false" outlineLevel="0" collapsed="false">
      <c r="A18376" s="1" t="s">
        <v>1225</v>
      </c>
      <c r="B18376" s="0" t="s">
        <v>98</v>
      </c>
      <c r="C18376" s="6" t="n">
        <f aca="false">Sens!$C$18375/(1+wacc)^Sens!K18367</f>
        <v>1744.6716464745</v>
      </c>
    </row>
    <row r="18377" customFormat="false" ht="17.15" hidden="false" customHeight="false" outlineLevel="0" collapsed="false">
      <c r="A18377" s="0" t="s">
        <v>1226</v>
      </c>
      <c r="B18377" s="0" t="s">
        <v>98</v>
      </c>
      <c r="C18377" s="6" t="n">
        <f aca="false">Sens!$C$18372+Sens!$C$18376</f>
        <v>2339.98999119708</v>
      </c>
    </row>
    <row r="18378" customFormat="false" ht="15" hidden="false" customHeight="false" outlineLevel="0" collapsed="false">
      <c r="A18378" s="1" t="s">
        <v>1141</v>
      </c>
      <c r="B18378" s="0" t="s">
        <v>168</v>
      </c>
      <c r="C18378" s="7" t="n">
        <f aca="false">Sens!$C$18376/Sens!$C$18377</f>
        <v>0.745589362791236</v>
      </c>
    </row>
    <row r="18379" customFormat="false" ht="17.15" hidden="false" customHeight="false" outlineLevel="0" collapsed="false">
      <c r="A18379" s="1" t="s">
        <v>1227</v>
      </c>
      <c r="B18379" s="0" t="s">
        <v>98</v>
      </c>
      <c r="C18379" s="6" t="n">
        <f aca="false">Sens!$C$18377+cash_val-debt_val-fl_val+oai_v</f>
        <v>2455.84099119708</v>
      </c>
    </row>
    <row r="18380" customFormat="false" ht="17.15" hidden="false" customHeight="false" outlineLevel="0" collapsed="false">
      <c r="A18380" s="0" t="s">
        <v>1149</v>
      </c>
      <c r="B18380" s="0" t="s">
        <v>75</v>
      </c>
      <c r="C18380" s="5" t="n">
        <f aca="false">Sens!$C$18379/shd_val</f>
        <v>329.820170722144</v>
      </c>
    </row>
    <row r="18381" customFormat="false" ht="15" hidden="false" customHeight="false" outlineLevel="0" collapsed="false">
      <c r="A18381" s="1" t="s">
        <v>1228</v>
      </c>
      <c r="B18381" s="0" t="s">
        <v>75</v>
      </c>
      <c r="C18381" s="8" t="n">
        <f aca="false">div_rem27+Sens!G18349*roll_div_q/q_per_yr</f>
        <v>3.9795</v>
      </c>
    </row>
    <row r="18382" customFormat="false" ht="17.15" hidden="false" customHeight="false" outlineLevel="0" collapsed="false">
      <c r="A18382" s="0" t="s">
        <v>1229</v>
      </c>
      <c r="B18382" s="0" t="s">
        <v>75</v>
      </c>
      <c r="C18382" s="5" t="n">
        <f aca="false">Sens!$C$18380*(1+wacc)^t_roll-Sens!$C$18381</f>
        <v>362.634027266717</v>
      </c>
    </row>
    <row r="18383" customFormat="false" ht="17.15" hidden="false" customHeight="false" outlineLevel="0" collapsed="false">
      <c r="A18383" s="1" t="s">
        <v>1230</v>
      </c>
      <c r="B18383" s="0" t="s">
        <v>168</v>
      </c>
      <c r="F18383" s="7" t="n">
        <f aca="false">Sens!F18335/(Sens!F18280-Sens!F18235)</f>
        <v>0.069418883305264</v>
      </c>
      <c r="G18383" s="7" t="n">
        <f aca="false">Sens!G18335/(Sens!G18280-Sens!G18235)</f>
        <v>0.0660521505595477</v>
      </c>
      <c r="H18383" s="7" t="n">
        <f aca="false">Sens!H18335/(Sens!H18280-Sens!H18235)</f>
        <v>0.0642433595761885</v>
      </c>
      <c r="I18383" s="7" t="n">
        <f aca="false">Sens!I18335/(Sens!I18280-Sens!I18235)</f>
        <v>0.0638663868309434</v>
      </c>
      <c r="J18383" s="7" t="n">
        <f aca="false">Sens!J18335/(Sens!J18280-Sens!J18235)</f>
        <v>0.0645525857062334</v>
      </c>
      <c r="K18383" s="7" t="n">
        <f aca="false">Sens!K18335/(Sens!K18280-Sens!K18235)</f>
        <v>0.0658361532011629</v>
      </c>
    </row>
    <row r="18384" customFormat="false" ht="17.15" hidden="false" customHeight="false" outlineLevel="0" collapsed="false">
      <c r="A18384" s="0" t="s">
        <v>1231</v>
      </c>
      <c r="B18384" s="0" t="s">
        <v>98</v>
      </c>
      <c r="F18384" s="6" t="n">
        <f aca="false">Sens!F18265*(al_m365+Sens!F18383+sbc_r)</f>
        <v>84.6250948212114</v>
      </c>
      <c r="G18384" s="6" t="n">
        <f aca="false">Sens!G18265*(al_m365+Sens!G18383+sbc_r)</f>
        <v>99.0478967063439</v>
      </c>
      <c r="H18384" s="6" t="n">
        <f aca="false">Sens!H18265*(al_m365+Sens!H18383+sbc_r)</f>
        <v>113.637750078456</v>
      </c>
      <c r="I18384" s="6" t="n">
        <f aca="false">Sens!I18265*(al_m365+Sens!I18383+sbc_r)</f>
        <v>126.712431932251</v>
      </c>
      <c r="J18384" s="6" t="n">
        <f aca="false">Sens!J18265*(al_m365+Sens!J18383+sbc_r)</f>
        <v>138.086173339129</v>
      </c>
      <c r="K18384" s="6" t="n">
        <f aca="false">Sens!K18265*(al_m365+Sens!K18383+sbc_r)</f>
        <v>149.082489266036</v>
      </c>
      <c r="L18384" s="12" t="s">
        <v>1232</v>
      </c>
    </row>
    <row r="18385" customFormat="false" ht="17.15" hidden="false" customHeight="false" outlineLevel="0" collapsed="false">
      <c r="A18385" s="0" t="s">
        <v>1233</v>
      </c>
      <c r="B18385" s="0" t="s">
        <v>98</v>
      </c>
      <c r="F18385" s="6" t="n">
        <f aca="false">Sens!F18266*(al_lic+Sens!F18383+sbc_r)</f>
        <v>32.8884475938431</v>
      </c>
      <c r="G18385" s="6" t="n">
        <f aca="false">Sens!G18266*(al_lic+Sens!G18383+sbc_r)</f>
        <v>34.1463806833403</v>
      </c>
      <c r="H18385" s="6" t="n">
        <f aca="false">Sens!H18266*(al_lic+Sens!H18383+sbc_r)</f>
        <v>35.3265097852953</v>
      </c>
      <c r="I18385" s="6" t="n">
        <f aca="false">Sens!I18266*(al_lic+Sens!I18383+sbc_r)</f>
        <v>36.4115880710579</v>
      </c>
      <c r="J18385" s="6" t="n">
        <f aca="false">Sens!J18266*(al_lic+Sens!J18383+sbc_r)</f>
        <v>37.3733202555772</v>
      </c>
      <c r="K18385" s="6" t="n">
        <f aca="false">Sens!K18266*(al_lic+Sens!K18383+sbc_r)</f>
        <v>38.1782213156439</v>
      </c>
    </row>
    <row r="18386" customFormat="false" ht="17.15" hidden="false" customHeight="false" outlineLevel="0" collapsed="false">
      <c r="A18386" s="0" t="s">
        <v>1234</v>
      </c>
      <c r="B18386" s="0" t="s">
        <v>98</v>
      </c>
      <c r="F18386" s="6" t="n">
        <f aca="false">Sens!F18268*(al_ind+Sens!F18383+sbc_r)</f>
        <v>9.07825469967325</v>
      </c>
      <c r="G18386" s="6" t="n">
        <f aca="false">Sens!G18268*(al_ind+Sens!G18383+sbc_r)</f>
        <v>9.84152815586849</v>
      </c>
      <c r="H18386" s="6" t="n">
        <f aca="false">Sens!H18268*(al_ind+Sens!H18383+sbc_r)</f>
        <v>10.6531379738421</v>
      </c>
      <c r="I18386" s="6" t="n">
        <f aca="false">Sens!I18268*(al_ind+Sens!I18383+sbc_r)</f>
        <v>11.5112140491577</v>
      </c>
      <c r="J18386" s="6" t="n">
        <f aca="false">Sens!J18268*(al_ind+Sens!J18383+sbc_r)</f>
        <v>12.4047229568106</v>
      </c>
      <c r="K18386" s="6" t="n">
        <f aca="false">Sens!K18268*(al_ind+Sens!K18383+sbc_r)</f>
        <v>13.3154406483387</v>
      </c>
    </row>
    <row r="18387" customFormat="false" ht="17.15" hidden="false" customHeight="false" outlineLevel="0" collapsed="false">
      <c r="A18387" s="0" t="s">
        <v>1235</v>
      </c>
      <c r="B18387" s="0" t="s">
        <v>98</v>
      </c>
      <c r="F18387" s="6" t="n">
        <f aca="false">Sens!F18270*(al_fro+Sens!F18383+sbc_r)</f>
        <v>3.56102649456306</v>
      </c>
      <c r="G18387" s="6" t="n">
        <f aca="false">Sens!G18270*(al_fro+Sens!G18383+sbc_r)</f>
        <v>3.76565710766688</v>
      </c>
      <c r="H18387" s="6" t="n">
        <f aca="false">Sens!H18270*(al_fro+Sens!H18383+sbc_r)</f>
        <v>4.00075330400673</v>
      </c>
      <c r="I18387" s="6" t="n">
        <f aca="false">Sens!I18270*(al_fro+Sens!I18383+sbc_r)</f>
        <v>4.26937089011404</v>
      </c>
      <c r="J18387" s="6" t="n">
        <f aca="false">Sens!J18270*(al_fro+Sens!J18383+sbc_r)</f>
        <v>4.57207119273496</v>
      </c>
      <c r="K18387" s="6" t="n">
        <f aca="false">Sens!K18270*(al_fro+Sens!K18383+sbc_r)</f>
        <v>4.90773899738058</v>
      </c>
    </row>
    <row r="18388" customFormat="false" ht="17.15" hidden="false" customHeight="false" outlineLevel="0" collapsed="false">
      <c r="A18388" s="0" t="s">
        <v>1236</v>
      </c>
      <c r="B18388" s="0" t="s">
        <v>98</v>
      </c>
      <c r="F18388" s="6" t="n">
        <f aca="false">Sens!F18273*(al_srch+Sens!F18383+sbc_r)</f>
        <v>11.2111188120041</v>
      </c>
      <c r="G18388" s="6" t="n">
        <f aca="false">Sens!G18273*(al_srch+Sens!G18383+sbc_r)</f>
        <v>12.2683923751011</v>
      </c>
      <c r="H18388" s="6" t="n">
        <f aca="false">Sens!H18273*(al_srch+Sens!H18383+sbc_r)</f>
        <v>13.3746176124164</v>
      </c>
      <c r="I18388" s="6" t="n">
        <f aca="false">Sens!I18273*(al_srch+Sens!I18383+sbc_r)</f>
        <v>14.5208086311819</v>
      </c>
      <c r="J18388" s="6" t="n">
        <f aca="false">Sens!J18273*(al_srch+Sens!J18383+sbc_r)</f>
        <v>15.685430601005</v>
      </c>
      <c r="K18388" s="6" t="n">
        <f aca="false">Sens!K18273*(al_srch+Sens!K18383+sbc_r)</f>
        <v>16.8370080443149</v>
      </c>
    </row>
    <row r="18389" customFormat="false" ht="17.15" hidden="false" customHeight="false" outlineLevel="0" collapsed="false">
      <c r="A18389" s="0" t="s">
        <v>1237</v>
      </c>
      <c r="B18389" s="0" t="s">
        <v>98</v>
      </c>
      <c r="F18389" s="6" t="n">
        <f aca="false">Sens!F18241-Sens!F18242+Sens!F18323</f>
        <v>45.3782580567763</v>
      </c>
      <c r="G18389" s="6" t="n">
        <f aca="false">Sens!G18241-Sens!G18242+Sens!G18323</f>
        <v>91.0863367558165</v>
      </c>
      <c r="H18389" s="6" t="n">
        <f aca="false">Sens!H18241-Sens!H18242+Sens!H18323</f>
        <v>144.617532464853</v>
      </c>
      <c r="I18389" s="6" t="n">
        <f aca="false">Sens!I18241-Sens!I18242+Sens!I18323</f>
        <v>187.137304561304</v>
      </c>
      <c r="J18389" s="6" t="n">
        <f aca="false">Sens!J18241-Sens!J18242+Sens!J18323</f>
        <v>217.006854425907</v>
      </c>
      <c r="K18389" s="6" t="n">
        <f aca="false">Sens!K18241-Sens!K18242+Sens!K18323</f>
        <v>234.933637903877</v>
      </c>
    </row>
    <row r="18390" customFormat="false" ht="17.15" hidden="false" customHeight="false" outlineLevel="0" collapsed="false">
      <c r="A18390" s="0" t="s">
        <v>1238</v>
      </c>
      <c r="B18390" s="0" t="s">
        <v>98</v>
      </c>
      <c r="F18390" s="6" t="n">
        <f aca="false">Sens!F18302+Sens!F18323+Sens!F18253+Sens!F18383*(Sens!F18272-Sens!F18235)+sbc_r*Sens!F18272</f>
        <v>241.050448993405</v>
      </c>
      <c r="G18390" s="6" t="n">
        <f aca="false">Sens!G18302+Sens!G18323+Sens!G18253+Sens!G18383*(Sens!G18272-Sens!G18235)+sbc_r*Sens!G18272</f>
        <v>312.130147060204</v>
      </c>
      <c r="H18390" s="6" t="n">
        <f aca="false">Sens!H18302+Sens!H18323+Sens!H18253+Sens!H18383*(Sens!H18272-Sens!H18235)+sbc_r*Sens!H18272</f>
        <v>395.687553153249</v>
      </c>
      <c r="I18390" s="6" t="n">
        <f aca="false">Sens!I18302+Sens!I18323+Sens!I18253+Sens!I18383*(Sens!I18272-Sens!I18235)+sbc_r*Sens!I18272</f>
        <v>466.146951369427</v>
      </c>
      <c r="J18390" s="6" t="n">
        <f aca="false">Sens!J18302+Sens!J18323+Sens!J18253+Sens!J18383*(Sens!J18272-Sens!J18235)+sbc_r*Sens!J18272</f>
        <v>520.982801373453</v>
      </c>
      <c r="K18390" s="6" t="n">
        <f aca="false">Sens!K18302+Sens!K18323+Sens!K18253+Sens!K18383*(Sens!K18272-Sens!K18235)+sbc_r*Sens!K18272</f>
        <v>561.44666948517</v>
      </c>
    </row>
    <row r="18391" customFormat="false" ht="17.15" hidden="false" customHeight="false" outlineLevel="0" collapsed="false">
      <c r="A18391" s="0" t="s">
        <v>1239</v>
      </c>
      <c r="B18391" s="0" t="s">
        <v>98</v>
      </c>
      <c r="F18391" s="6" t="n">
        <f aca="false">Sens!F18390-Sens!F18384-Sens!F18385-Sens!F18386-Sens!F18387-Sens!F18389</f>
        <v>65.519367327338</v>
      </c>
      <c r="G18391" s="6" t="n">
        <f aca="false">Sens!G18390-Sens!G18384-Sens!G18385-Sens!G18386-Sens!G18387-Sens!G18389</f>
        <v>74.2423476511675</v>
      </c>
      <c r="H18391" s="6" t="n">
        <f aca="false">Sens!H18390-Sens!H18384-Sens!H18385-Sens!H18386-Sens!H18387-Sens!H18389</f>
        <v>87.4518695467948</v>
      </c>
      <c r="I18391" s="6" t="n">
        <f aca="false">Sens!I18390-Sens!I18384-Sens!I18385-Sens!I18386-Sens!I18387-Sens!I18389</f>
        <v>100.105041865542</v>
      </c>
      <c r="J18391" s="6" t="n">
        <f aca="false">Sens!J18390-Sens!J18384-Sens!J18385-Sens!J18386-Sens!J18387-Sens!J18389</f>
        <v>111.539659203294</v>
      </c>
      <c r="K18391" s="6" t="n">
        <f aca="false">Sens!K18390-Sens!K18384-Sens!K18385-Sens!K18386-Sens!K18387-Sens!K18389</f>
        <v>121.029141353894</v>
      </c>
    </row>
    <row r="18392" customFormat="false" ht="17.15" hidden="false" customHeight="false" outlineLevel="0" collapsed="false">
      <c r="A18392" s="0" t="s">
        <v>1240</v>
      </c>
      <c r="B18392" s="0" t="s">
        <v>98</v>
      </c>
      <c r="F18392" s="6" t="n">
        <f aca="false">Sens!F18304+Sens!F18383*Sens!F18279+sbc_r*Sens!F18279</f>
        <v>24.9553878640395</v>
      </c>
      <c r="G18392" s="6" t="n">
        <f aca="false">Sens!G18304+Sens!G18383*Sens!G18279+sbc_r*Sens!G18279</f>
        <v>24.7750115419114</v>
      </c>
      <c r="H18392" s="6" t="n">
        <f aca="false">Sens!H18304+Sens!H18383*Sens!H18279+sbc_r*Sens!H18279</f>
        <v>25.6270978854508</v>
      </c>
      <c r="I18392" s="6" t="n">
        <f aca="false">Sens!I18304+Sens!I18383*Sens!I18279+sbc_r*Sens!I18279</f>
        <v>26.7126054863137</v>
      </c>
      <c r="J18392" s="6" t="n">
        <f aca="false">Sens!J18304+Sens!J18383*Sens!J18279+sbc_r*Sens!J18279</f>
        <v>27.9928273366764</v>
      </c>
      <c r="K18392" s="6" t="n">
        <f aca="false">Sens!K18304+Sens!K18383*Sens!K18279+sbc_r*Sens!K18279</f>
        <v>29.4241112993122</v>
      </c>
    </row>
    <row r="18393" customFormat="false" ht="17.15" hidden="false" customHeight="false" outlineLevel="0" collapsed="false">
      <c r="A18393" s="0" t="s">
        <v>1241</v>
      </c>
      <c r="B18393" s="0" t="s">
        <v>98</v>
      </c>
      <c r="F18393" s="6" t="n">
        <f aca="false">(Sens!F18392-Sens!F18388)*Sens!F18275/(Sens!F18275+Sens!F18277)</f>
        <v>8.78919114373035</v>
      </c>
      <c r="G18393" s="6" t="n">
        <f aca="false">(Sens!G18392-Sens!G18388)*Sens!G18275/(Sens!G18275+Sens!G18277)</f>
        <v>7.88354047476964</v>
      </c>
      <c r="H18393" s="6" t="n">
        <f aca="false">(Sens!H18392-Sens!H18388)*Sens!H18275/(Sens!H18275+Sens!H18277)</f>
        <v>7.63956853328556</v>
      </c>
      <c r="I18393" s="6" t="n">
        <f aca="false">(Sens!I18392-Sens!I18388)*Sens!I18275/(Sens!I18275+Sens!I18277)</f>
        <v>7.54640289125572</v>
      </c>
      <c r="J18393" s="6" t="n">
        <f aca="false">(Sens!J18392-Sens!J18388)*Sens!J18275/(Sens!J18275+Sens!J18277)</f>
        <v>7.59022073587304</v>
      </c>
      <c r="K18393" s="6" t="n">
        <f aca="false">(Sens!K18392-Sens!K18388)*Sens!K18275/(Sens!K18275+Sens!K18277)</f>
        <v>7.76272140913024</v>
      </c>
    </row>
    <row r="18394" customFormat="false" ht="17.15" hidden="false" customHeight="false" outlineLevel="0" collapsed="false">
      <c r="A18394" s="0" t="s">
        <v>1242</v>
      </c>
      <c r="B18394" s="0" t="s">
        <v>98</v>
      </c>
      <c r="F18394" s="6" t="n">
        <f aca="false">Sens!F18392-Sens!F18388-Sens!F18393</f>
        <v>4.95507790830512</v>
      </c>
      <c r="G18394" s="6" t="n">
        <f aca="false">Sens!G18392-Sens!G18388-Sens!G18393</f>
        <v>4.6230786920407</v>
      </c>
      <c r="H18394" s="6" t="n">
        <f aca="false">Sens!H18392-Sens!H18388-Sens!H18393</f>
        <v>4.61291173974879</v>
      </c>
      <c r="I18394" s="6" t="n">
        <f aca="false">Sens!I18392-Sens!I18388-Sens!I18393</f>
        <v>4.645393963876</v>
      </c>
      <c r="J18394" s="6" t="n">
        <f aca="false">Sens!J18392-Sens!J18388-Sens!J18393</f>
        <v>4.71717599979837</v>
      </c>
      <c r="K18394" s="6" t="n">
        <f aca="false">Sens!K18392-Sens!K18388-Sens!K18393</f>
        <v>4.82438184586713</v>
      </c>
    </row>
    <row r="18395" customFormat="false" ht="17.15" hidden="false" customHeight="false" outlineLevel="0" collapsed="false">
      <c r="A18395" s="0" t="s">
        <v>1243</v>
      </c>
      <c r="B18395" s="0" t="s">
        <v>98</v>
      </c>
      <c r="F18395" s="6" t="n">
        <f aca="false">Sens!F18389-tax_f*(Sens!F18389-Sens!F18253)-Sens!F18250</f>
        <v>-125.235434701028</v>
      </c>
      <c r="G18395" s="6" t="n">
        <f aca="false">Sens!G18389-tax_f*(Sens!G18389-Sens!G18253)-Sens!G18250</f>
        <v>-106.928508113935</v>
      </c>
      <c r="H18395" s="6" t="n">
        <f aca="false">Sens!H18389-tax_f*(Sens!H18389-Sens!H18253)-Sens!H18250</f>
        <v>-63.2919599603405</v>
      </c>
      <c r="I18395" s="6" t="n">
        <f aca="false">Sens!I18389-tax_f*(Sens!I18389-Sens!I18253)-Sens!I18250</f>
        <v>3.94121196634245</v>
      </c>
      <c r="J18395" s="6" t="n">
        <f aca="false">Sens!J18389-tax_f*(Sens!J18389-Sens!J18253)-Sens!J18250</f>
        <v>71.0786869547042</v>
      </c>
      <c r="K18395" s="6" t="n">
        <f aca="false">Sens!K18389-tax_f*(Sens!K18389-Sens!K18253)-Sens!K18250</f>
        <v>97.5865911685559</v>
      </c>
    </row>
    <row r="18396" customFormat="false" ht="17.15" hidden="false" customHeight="false" outlineLevel="0" collapsed="false">
      <c r="A18396" s="0" t="s">
        <v>1244</v>
      </c>
      <c r="B18396" s="0" t="s">
        <v>98</v>
      </c>
      <c r="G18396" s="6" t="n">
        <f aca="false">Sens!G18395/(1+wacc)^(Sens!G18366-Sens!F18367)</f>
        <v>-101.81651667568</v>
      </c>
      <c r="H18396" s="6" t="n">
        <f aca="false">Sens!H18395/(1+wacc)^(Sens!H18366-Sens!F18367)</f>
        <v>-54.6415143556151</v>
      </c>
      <c r="I18396" s="6" t="n">
        <f aca="false">Sens!I18395/(1+wacc)^(Sens!I18366-Sens!F18367)</f>
        <v>3.08498765169516</v>
      </c>
      <c r="J18396" s="6" t="n">
        <f aca="false">Sens!J18395/(1+wacc)^(Sens!J18366-Sens!F18367)</f>
        <v>50.4443451596971</v>
      </c>
      <c r="K18396" s="6" t="n">
        <f aca="false">Sens!K18395/(1+wacc)^(Sens!K18366-Sens!F18367)</f>
        <v>62.7932114544856</v>
      </c>
      <c r="L18396" s="1" t="s">
        <v>1245</v>
      </c>
    </row>
    <row r="18397" customFormat="false" ht="17.15" hidden="false" customHeight="false" outlineLevel="0" collapsed="false">
      <c r="A18397" s="0" t="s">
        <v>1246</v>
      </c>
      <c r="B18397" s="0" t="s">
        <v>98</v>
      </c>
      <c r="C18397" s="6" t="n">
        <f aca="false">(Sens!K18389-Sens!K18253)*(1-tax_f)*(1+g_tv)*(1-g_tv/(wacc+ronic_prem))/(wacc-g_tv)/(1+wacc)^(Sens!K18367-Sens!F18367)</f>
        <v>450.836735002813</v>
      </c>
    </row>
    <row r="18398" customFormat="false" ht="17.15" hidden="false" customHeight="false" outlineLevel="0" collapsed="false">
      <c r="A18398" s="1" t="s">
        <v>1247</v>
      </c>
      <c r="B18398" s="0" t="s">
        <v>98</v>
      </c>
      <c r="C18398" s="6" t="n">
        <f aca="false">(SUM(Sens!G18396:K18396)+Sens!$C$18397)*(1+wacc)^(t_roll-Sens!F18367)</f>
        <v>424.259738494477</v>
      </c>
      <c r="L18398" s="12" t="s">
        <v>1248</v>
      </c>
    </row>
    <row r="18399" customFormat="false" ht="17.15" hidden="false" customHeight="false" outlineLevel="0" collapsed="false">
      <c r="A18399" s="1" t="s">
        <v>1249</v>
      </c>
      <c r="B18399" s="0" t="s">
        <v>98</v>
      </c>
      <c r="C18399" s="6" t="n">
        <f aca="false">(w_ntm28*Sens!G18241+(1-w_ntm28)*Sens!H18241)*m_ai</f>
        <v>563.316843258668</v>
      </c>
    </row>
    <row r="18400" customFormat="false" ht="17.15" hidden="false" customHeight="false" outlineLevel="0" collapsed="false">
      <c r="A18400" s="1" t="s">
        <v>1250</v>
      </c>
      <c r="B18400" s="0" t="s">
        <v>98</v>
      </c>
      <c r="C18400" s="6" t="n">
        <f aca="false">(w_ntm28*Sens!G18391+(1-w_ntm28)*Sens!H18391)*m_cloud</f>
        <v>1086.04752155751</v>
      </c>
    </row>
    <row r="18401" customFormat="false" ht="17.15" hidden="false" customHeight="false" outlineLevel="0" collapsed="false">
      <c r="A18401" s="1" t="s">
        <v>1251</v>
      </c>
      <c r="B18401" s="0" t="s">
        <v>98</v>
      </c>
      <c r="C18401" s="6" t="n">
        <f aca="false">(w_ntm28*Sens!G18384+(1-w_ntm28)*Sens!H18384)*m_sw</f>
        <v>1121.52125694977</v>
      </c>
    </row>
    <row r="18402" customFormat="false" ht="17.15" hidden="false" customHeight="false" outlineLevel="0" collapsed="false">
      <c r="A18402" s="1" t="s">
        <v>1252</v>
      </c>
      <c r="B18402" s="0" t="s">
        <v>98</v>
      </c>
      <c r="C18402" s="6" t="n">
        <f aca="false">(w_ntm28*Sens!G18385+(1-w_ntm28)*Sens!H18385)*m_sw</f>
        <v>372.97117799962</v>
      </c>
    </row>
    <row r="18403" customFormat="false" ht="17.15" hidden="false" customHeight="false" outlineLevel="0" collapsed="false">
      <c r="A18403" s="1" t="s">
        <v>1253</v>
      </c>
      <c r="B18403" s="0" t="s">
        <v>98</v>
      </c>
      <c r="C18403" s="6" t="n">
        <f aca="false">(w_ntm28*Sens!G18386+(1-w_ntm28)*Sens!H18386)*m_sw</f>
        <v>109.170274834322</v>
      </c>
    </row>
    <row r="18404" customFormat="false" ht="17.15" hidden="false" customHeight="false" outlineLevel="0" collapsed="false">
      <c r="A18404" s="1" t="s">
        <v>1254</v>
      </c>
      <c r="B18404" s="0" t="s">
        <v>98</v>
      </c>
      <c r="C18404" s="6" t="n">
        <f aca="false">(w_ntm28*Sens!G18387+(1-w_ntm28)*Sens!H18387)*m_sw</f>
        <v>41.5038492846008</v>
      </c>
    </row>
    <row r="18405" customFormat="false" ht="17.15" hidden="false" customHeight="false" outlineLevel="0" collapsed="false">
      <c r="A18405" s="1" t="s">
        <v>1255</v>
      </c>
      <c r="B18405" s="0" t="s">
        <v>98</v>
      </c>
      <c r="C18405" s="6" t="n">
        <f aca="false">(w_ntm28*Sens!G18388+(1-w_ntm28)*Sens!H18388)*m_ads</f>
        <v>115.078274891782</v>
      </c>
    </row>
    <row r="18406" customFormat="false" ht="17.15" hidden="false" customHeight="false" outlineLevel="0" collapsed="false">
      <c r="A18406" s="1" t="s">
        <v>1256</v>
      </c>
      <c r="B18406" s="0" t="s">
        <v>98</v>
      </c>
      <c r="C18406" s="6" t="n">
        <f aca="false">(w_ntm28*Sens!G18393+(1-w_ntm28)*Sens!H18393)*m_game</f>
        <v>98.5560644853453</v>
      </c>
    </row>
    <row r="18407" customFormat="false" ht="17.15" hidden="false" customHeight="false" outlineLevel="0" collapsed="false">
      <c r="A18407" s="1" t="s">
        <v>1257</v>
      </c>
      <c r="B18407" s="0" t="s">
        <v>98</v>
      </c>
      <c r="C18407" s="6" t="n">
        <f aca="false">(w_ntm28*Sens!G18394+(1-w_ntm28)*Sens!H18394)*m_pc</f>
        <v>66.8475818355833</v>
      </c>
    </row>
    <row r="18408" customFormat="false" ht="17.15" hidden="false" customHeight="false" outlineLevel="0" collapsed="false">
      <c r="A18408" s="1" t="s">
        <v>1258</v>
      </c>
      <c r="B18408" s="0" t="s">
        <v>98</v>
      </c>
      <c r="C18408" s="6" t="n">
        <f aca="false">Sens!$C$18398+Sens!$C$18400+Sens!$C$18401+Sens!$C$18402+Sens!$C$18403+Sens!$C$18404+Sens!$C$18405+Sens!$C$18406+Sens!$C$18407</f>
        <v>3435.95574033301</v>
      </c>
    </row>
    <row r="18409" customFormat="false" ht="17.15" hidden="false" customHeight="false" outlineLevel="0" collapsed="false">
      <c r="A18409" s="1" t="s">
        <v>1259</v>
      </c>
      <c r="B18409" s="0" t="s">
        <v>98</v>
      </c>
      <c r="C18409" s="6" t="n">
        <f aca="false">(Sens!G18370-Sens!G18395)*t_stub</f>
        <v>47.9821169591529</v>
      </c>
      <c r="L18409" s="1" t="s">
        <v>1260</v>
      </c>
    </row>
    <row r="18410" customFormat="false" ht="17.15" hidden="false" customHeight="false" outlineLevel="0" collapsed="false">
      <c r="A18410" s="1" t="s">
        <v>1169</v>
      </c>
      <c r="B18410" s="0" t="s">
        <v>98</v>
      </c>
      <c r="C18410" s="6" t="n">
        <f aca="false">Sens!F18357+oai_v-Sens!F18346+Sens!$C$18409</f>
        <v>162.210386959153</v>
      </c>
      <c r="L18410" s="1" t="s">
        <v>1261</v>
      </c>
    </row>
    <row r="18411" customFormat="false" ht="17.15" hidden="false" customHeight="false" outlineLevel="0" collapsed="false">
      <c r="A18411" s="1" t="s">
        <v>1262</v>
      </c>
      <c r="B18411" s="0" t="s">
        <v>75</v>
      </c>
      <c r="C18411" s="5" t="n">
        <f aca="false">(Sens!$C$18408+Sens!$C$18410)/(Sens!F18359+dil_gap)-Sens!G18349*roll_div_q/q_per_yr</f>
        <v>479.201763827576</v>
      </c>
      <c r="L18411" s="1" t="s">
        <v>1263</v>
      </c>
    </row>
    <row r="18412" customFormat="false" ht="17.15" hidden="false" customHeight="false" outlineLevel="0" collapsed="false">
      <c r="A18412" s="1" t="s">
        <v>1264</v>
      </c>
      <c r="B18412" s="0" t="s">
        <v>75</v>
      </c>
      <c r="C18412" s="5" t="n">
        <f aca="false">w_dcf*Sens!$C$18382+(1-w_dcf)*Sens!$C$18411</f>
        <v>420.917895547147</v>
      </c>
    </row>
    <row r="18413" customFormat="false" ht="17.15" hidden="false" customHeight="false" outlineLevel="0" collapsed="false">
      <c r="A18413" s="3" t="s">
        <v>1934</v>
      </c>
    </row>
    <row r="18414" customFormat="false" ht="15" hidden="false" customHeight="false" outlineLevel="0" collapsed="false">
      <c r="A18414" s="4" t="s">
        <v>43</v>
      </c>
      <c r="B18414" s="4" t="s">
        <v>65</v>
      </c>
      <c r="C18414" s="23" t="s">
        <v>938</v>
      </c>
      <c r="D18414" s="23" t="s">
        <v>939</v>
      </c>
      <c r="E18414" s="23" t="s">
        <v>940</v>
      </c>
      <c r="F18414" s="23" t="s">
        <v>941</v>
      </c>
      <c r="G18414" s="23" t="s">
        <v>942</v>
      </c>
      <c r="H18414" s="23" t="s">
        <v>943</v>
      </c>
      <c r="I18414" s="23" t="s">
        <v>944</v>
      </c>
      <c r="J18414" s="23" t="s">
        <v>945</v>
      </c>
      <c r="K18414" s="23" t="s">
        <v>946</v>
      </c>
      <c r="L18414" s="4" t="s">
        <v>47</v>
      </c>
    </row>
    <row r="18415" customFormat="false" ht="17.15" hidden="false" customHeight="false" outlineLevel="0" collapsed="false">
      <c r="A18415" s="1" t="s">
        <v>947</v>
      </c>
      <c r="B18415" s="1" t="s">
        <v>279</v>
      </c>
      <c r="C18415" s="21" t="n">
        <v>2024</v>
      </c>
      <c r="D18415" s="21" t="n">
        <v>2025</v>
      </c>
      <c r="E18415" s="21" t="n">
        <v>2026</v>
      </c>
      <c r="F18415" s="21" t="n">
        <v>2027</v>
      </c>
      <c r="G18415" s="21" t="n">
        <v>2028</v>
      </c>
      <c r="H18415" s="21" t="n">
        <v>2029</v>
      </c>
      <c r="I18415" s="21" t="n">
        <v>2030</v>
      </c>
      <c r="J18415" s="21" t="n">
        <v>2031</v>
      </c>
      <c r="K18415" s="21" t="n">
        <v>2032</v>
      </c>
    </row>
    <row r="18416" customFormat="false" ht="17.15" hidden="false" customHeight="false" outlineLevel="0" collapsed="false">
      <c r="A18416" s="1" t="s">
        <v>948</v>
      </c>
      <c r="B18416" s="0" t="s">
        <v>456</v>
      </c>
      <c r="F18416" s="30" t="n">
        <f aca="false">pace</f>
        <v>2726.5351</v>
      </c>
      <c r="G18416" s="30" t="n">
        <f aca="false">pace</f>
        <v>2726.5351</v>
      </c>
      <c r="H18416" s="30" t="n">
        <f aca="false">pace</f>
        <v>2726.5351</v>
      </c>
      <c r="I18416" s="30" t="n">
        <f aca="false">pace+(g_tv*Sens!H18417-pace)*MIN(1,(Sens!I18415-pace_y0)/(pace_y1-pace_y0))</f>
        <v>1931.98611966667</v>
      </c>
      <c r="J18416" s="30" t="n">
        <f aca="false">pace+(g_tv*Sens!I18417-pace)*MIN(1,(Sens!J18415-pace_y0)/(pace_y1-pace_y0))</f>
        <v>1176.07686172667</v>
      </c>
      <c r="K18416" s="30" t="n">
        <f aca="false">pace+(g_tv*Sens!J18417-pace)*MIN(1,(Sens!K18415-pace_y0)/(pace_y1-pace_y0))</f>
        <v>436.1300484418</v>
      </c>
      <c r="L18416" s="12" t="s">
        <v>949</v>
      </c>
    </row>
    <row r="18417" customFormat="false" ht="17.15" hidden="false" customHeight="false" outlineLevel="0" collapsed="false">
      <c r="A18417" s="1" t="s">
        <v>950</v>
      </c>
      <c r="B18417" s="0" t="s">
        <v>456</v>
      </c>
      <c r="C18417" s="30" t="n">
        <f aca="false">mw_ext_24</f>
        <v>640</v>
      </c>
      <c r="D18417" s="30" t="n">
        <f aca="false">mw_ext_25</f>
        <v>1630</v>
      </c>
      <c r="E18417" s="30" t="n">
        <f aca="false">mw_ext_26</f>
        <v>3250</v>
      </c>
      <c r="F18417" s="30" t="n">
        <f aca="false">Sens!E18417+Sens!F18416</f>
        <v>5976.5351</v>
      </c>
      <c r="G18417" s="30" t="n">
        <f aca="false">Sens!F18417+Sens!G18416</f>
        <v>8703.0702</v>
      </c>
      <c r="H18417" s="30" t="n">
        <f aca="false">Sens!G18417+Sens!H18416</f>
        <v>11429.6053</v>
      </c>
      <c r="I18417" s="30" t="n">
        <f aca="false">Sens!H18417+Sens!I18416</f>
        <v>13361.5914196667</v>
      </c>
      <c r="J18417" s="30" t="n">
        <f aca="false">Sens!I18417+Sens!J18416</f>
        <v>14537.6682813933</v>
      </c>
      <c r="K18417" s="30" t="n">
        <f aca="false">Sens!J18417+Sens!K18416</f>
        <v>14973.7983298351</v>
      </c>
      <c r="L18417" s="1" t="s">
        <v>951</v>
      </c>
    </row>
    <row r="18418" customFormat="false" ht="17.15" hidden="false" customHeight="false" outlineLevel="0" collapsed="false">
      <c r="A18418" s="1" t="s">
        <v>952</v>
      </c>
      <c r="B18418" s="0" t="s">
        <v>456</v>
      </c>
      <c r="C18418" s="30" t="n">
        <f aca="false">rent_ext_24</f>
        <v>150</v>
      </c>
      <c r="D18418" s="30" t="n">
        <f aca="false">rent_ext_25</f>
        <v>400</v>
      </c>
      <c r="E18418" s="30" t="n">
        <f aca="false">rent_ext_26</f>
        <v>550</v>
      </c>
      <c r="F18418" s="30" t="n">
        <f aca="false">rent_ext_f</f>
        <v>756</v>
      </c>
      <c r="G18418" s="30" t="n">
        <f aca="false">rent_ext_f</f>
        <v>756</v>
      </c>
      <c r="H18418" s="30" t="n">
        <f aca="false">rent_ext_f</f>
        <v>756</v>
      </c>
      <c r="I18418" s="30" t="n">
        <f aca="false">rent_ext_f</f>
        <v>756</v>
      </c>
      <c r="J18418" s="30" t="n">
        <f aca="false">rent_ext_f</f>
        <v>756</v>
      </c>
      <c r="K18418" s="30" t="n">
        <f aca="false">rent_ext_f</f>
        <v>756</v>
      </c>
      <c r="L18418" s="1" t="s">
        <v>953</v>
      </c>
    </row>
    <row r="18419" customFormat="false" ht="17.15" hidden="false" customHeight="false" outlineLevel="0" collapsed="false">
      <c r="A18419" s="1" t="s">
        <v>954</v>
      </c>
      <c r="B18419" s="0" t="s">
        <v>456</v>
      </c>
      <c r="C18419" s="30" t="n">
        <f aca="false">Sens!C18417-Sens!C18418</f>
        <v>490</v>
      </c>
      <c r="D18419" s="30" t="n">
        <f aca="false">Sens!D18417-Sens!D18418</f>
        <v>1230</v>
      </c>
      <c r="E18419" s="30" t="n">
        <f aca="false">Sens!E18417-Sens!E18418</f>
        <v>2700</v>
      </c>
      <c r="F18419" s="30" t="n">
        <f aca="false">Sens!F18417-Sens!F18418</f>
        <v>5220.5351</v>
      </c>
      <c r="G18419" s="30" t="n">
        <f aca="false">Sens!G18417-Sens!G18418</f>
        <v>7947.0702</v>
      </c>
      <c r="H18419" s="30" t="n">
        <f aca="false">Sens!H18417-Sens!H18418</f>
        <v>10673.6053</v>
      </c>
      <c r="I18419" s="30" t="n">
        <f aca="false">Sens!I18417-Sens!I18418</f>
        <v>12605.5914196667</v>
      </c>
      <c r="J18419" s="30" t="n">
        <f aca="false">Sens!J18417-Sens!J18418</f>
        <v>13781.6682813933</v>
      </c>
      <c r="K18419" s="30" t="n">
        <f aca="false">Sens!K18417-Sens!K18418</f>
        <v>14217.7983298351</v>
      </c>
    </row>
    <row r="18420" customFormat="false" ht="17.15" hidden="false" customHeight="false" outlineLevel="0" collapsed="false">
      <c r="A18420" s="1" t="s">
        <v>955</v>
      </c>
      <c r="B18420" s="0" t="s">
        <v>456</v>
      </c>
      <c r="C18420" s="30" t="n">
        <f aca="false">Sens!C18419/ext_sh</f>
        <v>816.666666666667</v>
      </c>
      <c r="D18420" s="30" t="n">
        <f aca="false">Sens!D18419/ext_sh</f>
        <v>2050</v>
      </c>
      <c r="E18420" s="30" t="n">
        <f aca="false">Sens!E18419/ext_sh</f>
        <v>4500</v>
      </c>
      <c r="F18420" s="30" t="n">
        <f aca="false">Sens!F18419/ext_sh</f>
        <v>8700.89183333333</v>
      </c>
      <c r="G18420" s="30" t="n">
        <f aca="false">Sens!G18419/ext_sh</f>
        <v>13245.117</v>
      </c>
      <c r="H18420" s="30" t="n">
        <f aca="false">Sens!H18419/ext_sh</f>
        <v>17789.3421666667</v>
      </c>
      <c r="I18420" s="30" t="n">
        <f aca="false">Sens!I18419/ext_sh</f>
        <v>21009.3190327778</v>
      </c>
      <c r="J18420" s="30" t="n">
        <f aca="false">Sens!J18419/ext_sh</f>
        <v>22969.4471356556</v>
      </c>
      <c r="K18420" s="30" t="n">
        <f aca="false">Sens!K18419/ext_sh</f>
        <v>23696.3305497252</v>
      </c>
      <c r="L18420" s="1" t="s">
        <v>956</v>
      </c>
    </row>
    <row r="18421" customFormat="false" ht="17.15" hidden="false" customHeight="false" outlineLevel="0" collapsed="false">
      <c r="A18421" s="1" t="s">
        <v>957</v>
      </c>
      <c r="B18421" s="0" t="s">
        <v>456</v>
      </c>
      <c r="C18421" s="30" t="n">
        <f aca="false">Sens!C18420-Sens!C18419</f>
        <v>326.666666666667</v>
      </c>
      <c r="D18421" s="30" t="n">
        <f aca="false">Sens!D18420-Sens!D18419</f>
        <v>820</v>
      </c>
      <c r="E18421" s="30" t="n">
        <f aca="false">Sens!E18420-Sens!E18419</f>
        <v>1800</v>
      </c>
      <c r="F18421" s="30" t="n">
        <f aca="false">Sens!F18420-Sens!F18419</f>
        <v>3480.35673333333</v>
      </c>
      <c r="G18421" s="30" t="n">
        <f aca="false">Sens!G18420-Sens!G18419</f>
        <v>5298.0468</v>
      </c>
      <c r="H18421" s="30" t="n">
        <f aca="false">Sens!H18420-Sens!H18419</f>
        <v>7115.73686666667</v>
      </c>
      <c r="I18421" s="30" t="n">
        <f aca="false">Sens!I18420-Sens!I18419</f>
        <v>8403.72761311111</v>
      </c>
      <c r="J18421" s="30" t="n">
        <f aca="false">Sens!J18420-Sens!J18419</f>
        <v>9187.77885426222</v>
      </c>
      <c r="K18421" s="30" t="n">
        <f aca="false">Sens!K18420-Sens!K18419</f>
        <v>9478.53221989009</v>
      </c>
    </row>
    <row r="18422" customFormat="false" ht="17.15" hidden="false" customHeight="false" outlineLevel="0" collapsed="false">
      <c r="A18422" s="1" t="s">
        <v>958</v>
      </c>
      <c r="B18422" s="0" t="s">
        <v>456</v>
      </c>
      <c r="C18422" s="30" t="n">
        <f aca="false">Sens!C18420</f>
        <v>816.666666666667</v>
      </c>
      <c r="D18422" s="30" t="n">
        <f aca="false">Sens!D18420-Sens!C18420</f>
        <v>1233.33333333333</v>
      </c>
      <c r="E18422" s="30" t="n">
        <f aca="false">Sens!E18420-Sens!D18420</f>
        <v>2450</v>
      </c>
      <c r="F18422" s="30" t="n">
        <f aca="false">Sens!F18420-Sens!E18420</f>
        <v>4200.89183333333</v>
      </c>
      <c r="G18422" s="30" t="n">
        <f aca="false">Sens!G18420-Sens!F18420</f>
        <v>4544.22516666667</v>
      </c>
      <c r="H18422" s="30" t="n">
        <f aca="false">Sens!H18420-Sens!G18420</f>
        <v>4544.22516666667</v>
      </c>
      <c r="I18422" s="30" t="n">
        <f aca="false">Sens!I18420-Sens!H18420</f>
        <v>3219.97686611111</v>
      </c>
      <c r="J18422" s="30" t="n">
        <f aca="false">Sens!J18420-Sens!I18420</f>
        <v>1960.12810287778</v>
      </c>
      <c r="K18422" s="30" t="n">
        <f aca="false">Sens!K18420-Sens!J18420</f>
        <v>726.883414069667</v>
      </c>
    </row>
    <row r="18423" customFormat="false" ht="17.15" hidden="false" customHeight="false" outlineLevel="0" collapsed="false">
      <c r="A18423" s="1" t="s">
        <v>959</v>
      </c>
      <c r="B18423" s="0" t="s">
        <v>456</v>
      </c>
      <c r="D18423" s="30" t="n">
        <f aca="false">Sens!D18417-Sens!C18417</f>
        <v>990</v>
      </c>
      <c r="E18423" s="30" t="n">
        <f aca="false">Sens!E18417-Sens!D18417</f>
        <v>1620</v>
      </c>
      <c r="F18423" s="30" t="n">
        <f aca="false">Sens!F18417-Sens!E18417</f>
        <v>2726.5351</v>
      </c>
      <c r="G18423" s="30" t="n">
        <f aca="false">Sens!G18417-Sens!F18417</f>
        <v>2726.5351</v>
      </c>
      <c r="H18423" s="30" t="n">
        <f aca="false">Sens!H18417-Sens!G18417</f>
        <v>2726.5351</v>
      </c>
      <c r="I18423" s="30" t="n">
        <f aca="false">Sens!I18417-Sens!H18417</f>
        <v>1931.98611966667</v>
      </c>
      <c r="J18423" s="30" t="n">
        <f aca="false">Sens!J18417-Sens!I18417</f>
        <v>1176.07686172667</v>
      </c>
      <c r="K18423" s="30" t="n">
        <f aca="false">Sens!K18417-Sens!J18417</f>
        <v>436.130048441799</v>
      </c>
    </row>
    <row r="18424" customFormat="false" ht="17.15" hidden="false" customHeight="false" outlineLevel="0" collapsed="false">
      <c r="A18424" s="1" t="s">
        <v>960</v>
      </c>
      <c r="B18424" s="0" t="s">
        <v>456</v>
      </c>
      <c r="F18424" s="30" t="n">
        <f aca="false">Sens!F18443*ext_sh</f>
        <v>0</v>
      </c>
      <c r="G18424" s="30" t="n">
        <f aca="false">Sens!G18443*ext_sh</f>
        <v>0</v>
      </c>
      <c r="H18424" s="30" t="n">
        <f aca="false">Sens!H18443*ext_sh</f>
        <v>0</v>
      </c>
      <c r="I18424" s="30" t="n">
        <f aca="false">Sens!I18443*ext_sh</f>
        <v>490</v>
      </c>
      <c r="J18424" s="30" t="n">
        <f aca="false">Sens!J18443*ext_sh</f>
        <v>740</v>
      </c>
      <c r="K18424" s="30" t="n">
        <f aca="false">Sens!K18443*ext_sh</f>
        <v>1470</v>
      </c>
      <c r="L18424" s="1" t="s">
        <v>961</v>
      </c>
    </row>
    <row r="18425" customFormat="false" ht="17.15" hidden="false" customHeight="false" outlineLevel="0" collapsed="false">
      <c r="A18425" s="1" t="s">
        <v>962</v>
      </c>
      <c r="B18425" s="0" t="s">
        <v>456</v>
      </c>
      <c r="C18425" s="30" t="n">
        <f aca="false">mix_h*Sens!C18417</f>
        <v>128</v>
      </c>
      <c r="D18425" s="30" t="n">
        <f aca="false">mix_h*Sens!D18417</f>
        <v>326</v>
      </c>
      <c r="E18425" s="30" t="n">
        <f aca="false">mix_h*Sens!E18417</f>
        <v>650</v>
      </c>
      <c r="F18425" s="30" t="n">
        <f aca="false">Sens!E18425-Sens!F18424*mix_h</f>
        <v>650</v>
      </c>
      <c r="G18425" s="30" t="n">
        <f aca="false">Sens!F18425-Sens!G18424*mix_h</f>
        <v>650</v>
      </c>
      <c r="H18425" s="30" t="n">
        <f aca="false">Sens!G18425-Sens!H18424*mix_h</f>
        <v>650</v>
      </c>
      <c r="I18425" s="30" t="n">
        <f aca="false">Sens!H18425-Sens!I18424*mix_h</f>
        <v>552</v>
      </c>
      <c r="J18425" s="30" t="n">
        <f aca="false">Sens!I18425-Sens!J18424*mix_h</f>
        <v>404</v>
      </c>
      <c r="K18425" s="30" t="n">
        <f aca="false">Sens!J18425-Sens!K18424*mix_h</f>
        <v>110</v>
      </c>
    </row>
    <row r="18426" customFormat="false" ht="17.15" hidden="false" customHeight="false" outlineLevel="0" collapsed="false">
      <c r="A18426" s="1" t="s">
        <v>963</v>
      </c>
      <c r="B18426" s="0" t="s">
        <v>456</v>
      </c>
      <c r="C18426" s="30" t="n">
        <f aca="false">mix_g2*Sens!C18417</f>
        <v>288</v>
      </c>
      <c r="D18426" s="30" t="n">
        <f aca="false">mix_g2*Sens!D18417</f>
        <v>733.5</v>
      </c>
      <c r="E18426" s="30" t="n">
        <f aca="false">mix_g2*Sens!E18417</f>
        <v>1462.5</v>
      </c>
      <c r="F18426" s="30" t="n">
        <f aca="false">Sens!E18426-Sens!F18424*mix_g2</f>
        <v>1462.5</v>
      </c>
      <c r="G18426" s="30" t="n">
        <f aca="false">Sens!F18426-Sens!G18424*mix_g2</f>
        <v>1462.5</v>
      </c>
      <c r="H18426" s="30" t="n">
        <f aca="false">Sens!G18426-Sens!H18424*mix_g2</f>
        <v>1462.5</v>
      </c>
      <c r="I18426" s="30" t="n">
        <f aca="false">Sens!H18426-Sens!I18424*mix_g2</f>
        <v>1242</v>
      </c>
      <c r="J18426" s="30" t="n">
        <f aca="false">Sens!I18426-Sens!J18424*mix_g2</f>
        <v>909</v>
      </c>
      <c r="K18426" s="30" t="n">
        <f aca="false">Sens!J18426-Sens!K18424*mix_g2</f>
        <v>247.5</v>
      </c>
    </row>
    <row r="18427" customFormat="false" ht="17.15" hidden="false" customHeight="false" outlineLevel="0" collapsed="false">
      <c r="A18427" s="1" t="s">
        <v>964</v>
      </c>
      <c r="B18427" s="0" t="s">
        <v>456</v>
      </c>
      <c r="C18427" s="30" t="n">
        <f aca="false">mix_g3*Sens!C18417</f>
        <v>224</v>
      </c>
      <c r="D18427" s="30" t="n">
        <f aca="false">mix_g3*Sens!D18417</f>
        <v>570.5</v>
      </c>
      <c r="E18427" s="30" t="n">
        <f aca="false">mix_g3*Sens!E18417</f>
        <v>1137.5</v>
      </c>
      <c r="F18427" s="30" t="n">
        <f aca="false">Sens!E18427+(Sens!F18423+Sens!F18424)*(a_g3_27-nonnv*a_mai)-Sens!F18424*mix_g3</f>
        <v>2773.42106</v>
      </c>
      <c r="G18427" s="30" t="n">
        <f aca="false">Sens!F18427+(Sens!G18423+Sens!G18424)*(a_g3_28-nonnv*a_mai)-Sens!G18424*mix_g3</f>
        <v>3318.72808</v>
      </c>
      <c r="H18427" s="30" t="n">
        <f aca="false">Sens!G18427+(Sens!H18423+Sens!H18424)*(a_g3_29-nonnv*a_mai)-Sens!H18424*mix_g3</f>
        <v>3318.72808</v>
      </c>
      <c r="I18427" s="30" t="n">
        <f aca="false">Sens!H18427+(Sens!I18423+Sens!I18424)*(a_g3_29-nonnv*a_mai)-Sens!I18424*mix_g3</f>
        <v>3147.22808</v>
      </c>
      <c r="J18427" s="30" t="n">
        <f aca="false">Sens!I18427+(Sens!J18423+Sens!J18424)*(a_g3_29-nonnv*a_mai)-Sens!J18424*mix_g3</f>
        <v>2888.22808</v>
      </c>
      <c r="K18427" s="30" t="n">
        <f aca="false">Sens!J18427+(Sens!K18423+Sens!K18424)*(a_g3_29-nonnv*a_mai)-Sens!K18424*mix_g3</f>
        <v>2373.72808</v>
      </c>
    </row>
    <row r="18428" customFormat="false" ht="17.15" hidden="false" customHeight="false" outlineLevel="0" collapsed="false">
      <c r="A18428" s="1" t="s">
        <v>965</v>
      </c>
      <c r="B18428" s="0" t="s">
        <v>456</v>
      </c>
      <c r="C18428" s="30" t="n">
        <v>0</v>
      </c>
      <c r="D18428" s="30" t="n">
        <v>0</v>
      </c>
      <c r="E18428" s="30" t="n">
        <v>0</v>
      </c>
      <c r="F18428" s="30" t="n">
        <f aca="false">Sens!E18428+(Sens!F18423+Sens!F18424)*nonnv*a_mai</f>
        <v>272.65351</v>
      </c>
      <c r="G18428" s="30" t="n">
        <f aca="false">Sens!F18428+(Sens!G18423+Sens!G18424)*nonnv*a_mai</f>
        <v>545.30702</v>
      </c>
      <c r="H18428" s="30" t="n">
        <f aca="false">Sens!G18428+(Sens!H18423+Sens!H18424)*nonnv*a_mai</f>
        <v>817.96053</v>
      </c>
      <c r="I18428" s="30" t="n">
        <f aca="false">Sens!H18428+(Sens!I18423+Sens!I18424)*nonnv*a_mai</f>
        <v>1060.15914196667</v>
      </c>
      <c r="J18428" s="30" t="n">
        <f aca="false">Sens!I18428+(Sens!J18423+Sens!J18424)*nonnv*a_mai</f>
        <v>1251.76682813933</v>
      </c>
      <c r="K18428" s="30" t="n">
        <f aca="false">Sens!J18428+(Sens!K18423+Sens!K18424)*nonnv*a_mai</f>
        <v>1442.37983298351</v>
      </c>
      <c r="L18428" s="12" t="s">
        <v>966</v>
      </c>
    </row>
    <row r="18429" customFormat="false" ht="17.15" hidden="false" customHeight="false" outlineLevel="0" collapsed="false">
      <c r="A18429" s="1" t="s">
        <v>967</v>
      </c>
      <c r="B18429" s="0" t="s">
        <v>456</v>
      </c>
      <c r="C18429" s="30" t="n">
        <v>0</v>
      </c>
      <c r="D18429" s="30" t="n">
        <v>0</v>
      </c>
      <c r="E18429" s="30" t="n">
        <v>0</v>
      </c>
      <c r="F18429" s="30" t="n">
        <f aca="false">Sens!E18429+(Sens!F18423+Sens!F18424)*(1-a_g3_27)</f>
        <v>817.96053</v>
      </c>
      <c r="G18429" s="30" t="n">
        <f aca="false">Sens!F18429+(Sens!G18423+Sens!G18424)*(1-a_g3_28)</f>
        <v>2726.5351</v>
      </c>
      <c r="H18429" s="30" t="n">
        <f aca="false">Sens!G18429+(Sens!H18423+Sens!H18424)*(1-a_g3_29)</f>
        <v>5180.41669</v>
      </c>
      <c r="I18429" s="30" t="n">
        <f aca="false">Sens!H18429+(Sens!I18423+Sens!I18424)*(1-a_g3_29)</f>
        <v>7360.2041977</v>
      </c>
      <c r="J18429" s="30" t="n">
        <f aca="false">Sens!I18429+(Sens!J18423+Sens!J18424)*(1-a_g3_29)</f>
        <v>9084.673373254</v>
      </c>
      <c r="K18429" s="30" t="n">
        <f aca="false">Sens!J18429+(Sens!K18423+Sens!K18424)*(1-a_g3_29)</f>
        <v>10800.1904168516</v>
      </c>
    </row>
    <row r="18430" customFormat="false" ht="17.15" hidden="false" customHeight="false" outlineLevel="0" collapsed="false">
      <c r="A18430" s="1" t="s">
        <v>968</v>
      </c>
      <c r="B18430" s="0" t="s">
        <v>403</v>
      </c>
      <c r="C18430" s="15" t="n">
        <f aca="false">(Sens!C18425*tk_hold_h100+Sens!C18426*tk_hold_gb200+Sens!C18427*tk_hold_gb300+Sens!C18429*tk_hold_vr200+Sens!C18428*nv_hold_mai*tk_hold_vr200)/Sens!C18417</f>
        <v>9.7235358126469</v>
      </c>
      <c r="D18430" s="15" t="n">
        <f aca="false">(Sens!D18425*tk_hold_h100+Sens!D18426*tk_hold_gb200+Sens!D18427*tk_hold_gb300+Sens!D18429*tk_hold_vr200+Sens!D18428*nv_hold_mai*tk_hold_vr200)/Sens!D18417</f>
        <v>9.7235358126469</v>
      </c>
      <c r="E18430" s="15" t="n">
        <f aca="false">(Sens!E18425*tk_hold_h100+Sens!E18426*tk_hold_gb200+Sens!E18427*tk_hold_gb300+Sens!E18429*tk_hold_vr200+Sens!E18428*nv_hold_mai*tk_hold_vr200)/Sens!E18417</f>
        <v>9.7235358126469</v>
      </c>
      <c r="F18430" s="15" t="n">
        <f aca="false">(Sens!F18425*tk_hold_h100+Sens!F18426*tk_hold_gb200+Sens!F18427*tk_hold_gb300+Sens!F18429*tk_hold_vr200+Sens!F18428*nv_hold_mai*tk_hold_vr200)/Sens!F18417</f>
        <v>10.2195353876665</v>
      </c>
      <c r="G18430" s="15" t="n">
        <f aca="false">(Sens!G18425*tk_hold_h100+Sens!G18426*tk_hold_gb200+Sens!G18427*tk_hold_gb300+Sens!G18429*tk_hold_vr200+Sens!G18428*nv_hold_mai*tk_hold_vr200)/Sens!G18417</f>
        <v>10.5725598017306</v>
      </c>
      <c r="H18430" s="15" t="n">
        <f aca="false">(Sens!H18425*tk_hold_h100+Sens!H18426*tk_hold_gb200+Sens!H18427*tk_hold_gb300+Sens!H18429*tk_hold_vr200+Sens!H18428*nv_hold_mai*tk_hold_vr200)/Sens!H18417</f>
        <v>10.8210427149036</v>
      </c>
      <c r="I18430" s="15" t="n">
        <f aca="false">(Sens!I18425*tk_hold_h100+Sens!I18426*tk_hold_gb200+Sens!I18427*tk_hold_gb300+Sens!I18429*tk_hold_vr200+Sens!I18428*nv_hold_mai*tk_hold_vr200)/Sens!I18417</f>
        <v>11.0050618241982</v>
      </c>
      <c r="J18430" s="15" t="n">
        <f aca="false">(Sens!J18425*tk_hold_h100+Sens!J18426*tk_hold_gb200+Sens!J18427*tk_hold_gb300+Sens!J18429*tk_hold_vr200+Sens!J18428*nv_hold_mai*tk_hold_vr200)/Sens!J18417</f>
        <v>11.1505789658881</v>
      </c>
      <c r="K18430" s="15" t="n">
        <f aca="false">(Sens!K18425*tk_hold_h100+Sens!K18426*tk_hold_gb200+Sens!K18427*tk_hold_gb300+Sens!K18429*tk_hold_vr200+Sens!K18428*nv_hold_mai*tk_hold_vr200)/Sens!K18417</f>
        <v>11.3496914757183</v>
      </c>
      <c r="L18430" s="1" t="s">
        <v>969</v>
      </c>
    </row>
    <row r="18431" customFormat="false" ht="17.15" hidden="false" customHeight="false" outlineLevel="0" collapsed="false">
      <c r="A18431" s="1" t="s">
        <v>970</v>
      </c>
      <c r="B18431" s="0" t="s">
        <v>403</v>
      </c>
      <c r="C18431" s="15" t="n">
        <f aca="false">(Sens!C18425*tk_hold_h100+Sens!C18426*tk_hold_gb200+Sens!C18427*tk_hold_gb300+Sens!C18429*tk_hold_vr200+Sens!C18428*nv_out_mai*tk_hold_vr200)/Sens!C18417</f>
        <v>9.7235358126469</v>
      </c>
      <c r="D18431" s="15" t="n">
        <f aca="false">(Sens!D18425*tk_hold_h100+Sens!D18426*tk_hold_gb200+Sens!D18427*tk_hold_gb300+Sens!D18429*tk_hold_vr200+Sens!D18428*nv_out_mai*tk_hold_vr200)/Sens!D18417</f>
        <v>9.7235358126469</v>
      </c>
      <c r="E18431" s="15" t="n">
        <f aca="false">(Sens!E18425*tk_hold_h100+Sens!E18426*tk_hold_gb200+Sens!E18427*tk_hold_gb300+Sens!E18429*tk_hold_vr200+Sens!E18428*nv_out_mai*tk_hold_vr200)/Sens!E18417</f>
        <v>9.7235358126469</v>
      </c>
      <c r="F18431" s="15" t="n">
        <f aca="false">(Sens!F18425*tk_hold_h100+Sens!F18426*tk_hold_gb200+Sens!F18427*tk_hold_gb300+Sens!F18429*tk_hold_vr200+Sens!F18428*nv_out_mai*tk_hold_vr200)/Sens!F18417</f>
        <v>10.247422093969</v>
      </c>
      <c r="G18431" s="15" t="n">
        <f aca="false">(Sens!G18425*tk_hold_h100+Sens!G18426*tk_hold_gb200+Sens!G18427*tk_hold_gb300+Sens!G18429*tk_hold_vr200+Sens!G18428*nv_out_mai*tk_hold_vr200)/Sens!G18417</f>
        <v>10.6108602808053</v>
      </c>
      <c r="H18431" s="15" t="n">
        <f aca="false">(Sens!H18425*tk_hold_h100+Sens!H18426*tk_hold_gb200+Sens!H18427*tk_hold_gb300+Sens!H18429*tk_hold_vr200+Sens!H18428*nv_out_mai*tk_hold_vr200)/Sens!H18417</f>
        <v>10.8647885507393</v>
      </c>
      <c r="I18431" s="15" t="n">
        <f aca="false">(Sens!I18425*tk_hold_h100+Sens!I18426*tk_hold_gb200+Sens!I18427*tk_hold_gb300+Sens!I18429*tk_hold_vr200+Sens!I18428*nv_out_mai*tk_hold_vr200)/Sens!I18417</f>
        <v>11.0535625770025</v>
      </c>
      <c r="J18431" s="15" t="n">
        <f aca="false">(Sens!J18425*tk_hold_h100+Sens!J18426*tk_hold_gb200+Sens!J18427*tk_hold_gb300+Sens!J18429*tk_hold_vr200+Sens!J18428*nv_out_mai*tk_hold_vr200)/Sens!J18417</f>
        <v>11.2032127128058</v>
      </c>
      <c r="K18431" s="15" t="n">
        <f aca="false">(Sens!K18425*tk_hold_h100+Sens!K18426*tk_hold_gb200+Sens!K18427*tk_hold_gb300+Sens!K18429*tk_hold_vr200+Sens!K18428*nv_out_mai*tk_hold_vr200)/Sens!K18417</f>
        <v>11.4085735724225</v>
      </c>
      <c r="L18431" s="12" t="s">
        <v>971</v>
      </c>
    </row>
    <row r="18432" customFormat="false" ht="17.15" hidden="false" customHeight="false" outlineLevel="0" collapsed="false">
      <c r="A18432" s="0" t="s">
        <v>972</v>
      </c>
      <c r="B18432" s="0" t="s">
        <v>229</v>
      </c>
      <c r="C18432" s="15" t="n">
        <f aca="false">k_B</f>
        <v>1.17213932619116</v>
      </c>
      <c r="D18432" s="15" t="n">
        <f aca="false">k_B</f>
        <v>1.17213932619116</v>
      </c>
      <c r="E18432" s="15" t="n">
        <f aca="false">k_B</f>
        <v>1.17213932619116</v>
      </c>
      <c r="F18432" s="15" t="n">
        <f aca="false">(k_B+((ls_B*k_long+(1-ls_B)*k_spot)-k_B)*MIN(1,(Sens!F18415-base_fy)/k_ramp))</f>
        <v>1.17213932619116</v>
      </c>
      <c r="G18432" s="15" t="n">
        <f aca="false">(k_B+((ls_B*k_long+(1-ls_B)*k_spot)-k_B)*MIN(1,(Sens!G18415-base_fy)/k_ramp))</f>
        <v>1.17213932619116</v>
      </c>
      <c r="H18432" s="15" t="n">
        <f aca="false">(k_B+((ls_B*k_long+(1-ls_B)*k_spot)-k_B)*MIN(1,(Sens!H18415-base_fy)/k_ramp))</f>
        <v>1.17213932619116</v>
      </c>
      <c r="I18432" s="15" t="n">
        <f aca="false">(k_B+((ls_B*k_long+(1-ls_B)*k_spot)-k_B)*MIN(1,(Sens!I18415-base_fy)/k_ramp))</f>
        <v>1.17213932619116</v>
      </c>
      <c r="J18432" s="15" t="n">
        <f aca="false">(k_B+((ls_B*k_long+(1-ls_B)*k_spot)-k_B)*MIN(1,(Sens!J18415-base_fy)/k_ramp))</f>
        <v>1.17213932619116</v>
      </c>
      <c r="K18432" s="15" t="n">
        <f aca="false">(k_B+((ls_B*k_long+(1-ls_B)*k_spot)-k_B)*MIN(1,(Sens!K18415-base_fy)/k_ramp))</f>
        <v>1.17213932619116</v>
      </c>
      <c r="L18432" s="1" t="s">
        <v>973</v>
      </c>
    </row>
    <row r="18433" customFormat="false" ht="17.15" hidden="false" customHeight="false" outlineLevel="0" collapsed="false">
      <c r="A18433" s="1" t="s">
        <v>974</v>
      </c>
      <c r="B18433" s="0" t="s">
        <v>403</v>
      </c>
      <c r="C18433" s="15" t="n">
        <f aca="false">Sens!C18431*Sens!C18432*chip_f</f>
        <v>11.3973387156315</v>
      </c>
      <c r="D18433" s="15" t="n">
        <f aca="false">Sens!D18431*Sens!D18432*chip_f</f>
        <v>11.3973387156315</v>
      </c>
      <c r="E18433" s="15" t="n">
        <f aca="false">Sens!E18431*Sens!E18432*chip_f</f>
        <v>11.3973387156315</v>
      </c>
      <c r="F18433" s="15" t="n">
        <f aca="false">Sens!F18431*Sens!F18432*chip_f</f>
        <v>12.0114064284211</v>
      </c>
      <c r="G18433" s="15" t="n">
        <f aca="false">Sens!G18431*Sens!G18432*chip_f</f>
        <v>12.4374066198516</v>
      </c>
      <c r="H18433" s="15" t="n">
        <f aca="false">Sens!H18431*Sens!H18432*chip_f</f>
        <v>12.735045931073</v>
      </c>
      <c r="I18433" s="15" t="n">
        <f aca="false">Sens!I18431*Sens!I18432*chip_f</f>
        <v>12.9563153910195</v>
      </c>
      <c r="J18433" s="15" t="n">
        <f aca="false">Sens!J18431*Sens!J18432*chip_f</f>
        <v>13.1317262003643</v>
      </c>
      <c r="K18433" s="15" t="n">
        <f aca="false">Sens!K18431*Sens!K18432*chip_f</f>
        <v>13.3724377399815</v>
      </c>
      <c r="L18433" s="1" t="s">
        <v>975</v>
      </c>
    </row>
    <row r="18434" customFormat="false" ht="17.15" hidden="false" customHeight="false" outlineLevel="0" collapsed="false">
      <c r="A18434" s="0" t="s">
        <v>976</v>
      </c>
      <c r="B18434" s="0" t="s">
        <v>98</v>
      </c>
      <c r="D18434" s="6" t="n">
        <f aca="false">(Sens!C18417+Sens!D18417)/2*Sens!D18433/1000</f>
        <v>12.9359794422418</v>
      </c>
      <c r="E18434" s="6" t="n">
        <f aca="false">(Sens!D18417+Sens!E18417)/2*Sens!E18433/1000</f>
        <v>27.8095064661409</v>
      </c>
      <c r="F18434" s="6" t="n">
        <f aca="false">(Sens!E18417+Sens!F18417)/2*Sens!F18433/1000</f>
        <v>55.4118315060966</v>
      </c>
      <c r="G18434" s="6" t="n">
        <f aca="false">(Sens!F18417+Sens!G18417)/2*Sens!G18433/1000</f>
        <v>91.2881100675143</v>
      </c>
      <c r="H18434" s="6" t="n">
        <f aca="false">(Sens!G18417+Sens!H18417)/2*Sens!H18433/1000</f>
        <v>128.195273603944</v>
      </c>
      <c r="I18434" s="6" t="n">
        <f aca="false">(Sens!H18417+Sens!I18417)/2*Sens!I18433/1000</f>
        <v>160.601281810405</v>
      </c>
      <c r="J18434" s="6" t="n">
        <f aca="false">(Sens!I18417+Sens!J18417)/2*Sens!J18433/1000</f>
        <v>183.182719793589</v>
      </c>
      <c r="K18434" s="6" t="n">
        <f aca="false">(Sens!J18417+Sens!K18417)/2*Sens!K18433/1000</f>
        <v>197.320124937098</v>
      </c>
      <c r="L18434" s="12" t="s">
        <v>977</v>
      </c>
    </row>
    <row r="18435" customFormat="false" ht="17.15" hidden="false" customHeight="false" outlineLevel="0" collapsed="false">
      <c r="A18435" s="1" t="s">
        <v>978</v>
      </c>
      <c r="B18435" s="0" t="s">
        <v>403</v>
      </c>
      <c r="C18435" s="15" t="n">
        <f aca="false">(Sens!C18425*tk_opex_h100+Sens!C18426*tk_opex_gb200+Sens!C18427*tk_opex_gb300+(Sens!C18429+Sens!C18428)*tk_opex_vr200)/Sens!C18417</f>
        <v>1.88636041306092</v>
      </c>
      <c r="D18435" s="15" t="n">
        <f aca="false">(Sens!D18425*tk_opex_h100+Sens!D18426*tk_opex_gb200+Sens!D18427*tk_opex_gb300+(Sens!D18429+Sens!D18428)*tk_opex_vr200)/Sens!D18417</f>
        <v>1.88636041306092</v>
      </c>
      <c r="E18435" s="15" t="n">
        <f aca="false">(Sens!E18425*tk_opex_h100+Sens!E18426*tk_opex_gb200+Sens!E18427*tk_opex_gb300+(Sens!E18429+Sens!E18428)*tk_opex_vr200)/Sens!E18417</f>
        <v>1.88636041306092</v>
      </c>
      <c r="F18435" s="15" t="n">
        <f aca="false">(Sens!F18425*tk_opex_h100+Sens!F18426*tk_opex_gb200+Sens!F18427*tk_opex_gb300+(Sens!F18429+Sens!F18428)*tk_opex_vr200)/Sens!F18417</f>
        <v>1.95051159746876</v>
      </c>
      <c r="G18435" s="15" t="n">
        <f aca="false">(Sens!G18425*tk_opex_h100+Sens!G18426*tk_opex_gb200+Sens!G18427*tk_opex_gb300+(Sens!G18429+Sens!G18428)*tk_opex_vr200)/Sens!G18417</f>
        <v>1.98836003669956</v>
      </c>
      <c r="H18435" s="15" t="n">
        <f aca="false">(Sens!H18425*tk_opex_h100+Sens!H18426*tk_opex_gb200+Sens!H18427*tk_opex_gb300+(Sens!H18429+Sens!H18428)*tk_opex_vr200)/Sens!H18417</f>
        <v>2.01344013834343</v>
      </c>
      <c r="I18435" s="15" t="n">
        <f aca="false">(Sens!I18425*tk_opex_h100+Sens!I18426*tk_opex_gb200+Sens!I18427*tk_opex_gb300+(Sens!I18429+Sens!I18428)*tk_opex_vr200)/Sens!I18417</f>
        <v>2.03261166882178</v>
      </c>
      <c r="J18435" s="15" t="n">
        <f aca="false">(Sens!J18425*tk_opex_h100+Sens!J18426*tk_opex_gb200+Sens!J18427*tk_opex_gb300+(Sens!J18429+Sens!J18428)*tk_opex_vr200)/Sens!J18417</f>
        <v>2.04808073288745</v>
      </c>
      <c r="K18435" s="15" t="n">
        <f aca="false">(Sens!K18425*tk_opex_h100+Sens!K18426*tk_opex_gb200+Sens!K18427*tk_opex_gb300+(Sens!K18429+Sens!K18428)*tk_opex_vr200)/Sens!K18417</f>
        <v>2.06973825807449</v>
      </c>
      <c r="L18435" s="12" t="s">
        <v>979</v>
      </c>
    </row>
    <row r="18436" customFormat="false" ht="17.15" hidden="false" customHeight="false" outlineLevel="0" collapsed="false">
      <c r="A18436" s="0" t="s">
        <v>980</v>
      </c>
      <c r="B18436" s="0" t="s">
        <v>98</v>
      </c>
      <c r="D18436" s="6" t="n">
        <f aca="false">(Sens!C18420+Sens!D18420)/2*Sens!D18435/1000</f>
        <v>2.70378325872065</v>
      </c>
      <c r="E18436" s="6" t="n">
        <f aca="false">(Sens!D18420+Sens!E18420)/2*Sens!E18435/1000</f>
        <v>6.17783035277451</v>
      </c>
      <c r="F18436" s="6" t="n">
        <f aca="false">(Sens!E18420+Sens!F18420)/2*Sens!F18435/1000</f>
        <v>12.8742463089237</v>
      </c>
      <c r="G18436" s="6" t="n">
        <f aca="false">(Sens!F18420+Sens!G18420)/2*Sens!G18435/1000</f>
        <v>21.8182834646277</v>
      </c>
      <c r="H18436" s="6" t="n">
        <f aca="false">(Sens!G18420+Sens!H18420)/2*Sens!H18435/1000</f>
        <v>31.2430128789734</v>
      </c>
      <c r="I18436" s="6" t="n">
        <f aca="false">(Sens!H18420+Sens!I18420)/2*Sens!I18435/1000</f>
        <v>39.4313057443268</v>
      </c>
      <c r="J18436" s="6" t="n">
        <f aca="false">(Sens!I18420+Sens!J18420)/2*Sens!J18435/1000</f>
        <v>45.0360318228653</v>
      </c>
      <c r="K18436" s="6" t="n">
        <f aca="false">(Sens!J18420+Sens!K18420)/2*Sens!K18435/1000</f>
        <v>48.2929727091156</v>
      </c>
    </row>
    <row r="18437" customFormat="false" ht="17.15" hidden="false" customHeight="false" outlineLevel="0" collapsed="false">
      <c r="A18437" s="0" t="s">
        <v>981</v>
      </c>
      <c r="B18437" s="0" t="s">
        <v>98</v>
      </c>
      <c r="D18437" s="6" t="n">
        <f aca="false">(Sens!C18418+Sens!D18418)/2*rent_mw/1000</f>
        <v>2.44475</v>
      </c>
      <c r="E18437" s="6" t="n">
        <f aca="false">(Sens!D18418+Sens!E18418)/2*rent_mw/1000</f>
        <v>4.22275</v>
      </c>
      <c r="F18437" s="6" t="n">
        <f aca="false">(Sens!E18418+Sens!F18418)/2*rent_mw/1000</f>
        <v>5.80517</v>
      </c>
      <c r="G18437" s="6" t="n">
        <f aca="false">(Sens!F18418+Sens!G18418)/2*rent_mw/1000</f>
        <v>6.72084</v>
      </c>
      <c r="H18437" s="6" t="n">
        <f aca="false">(Sens!G18418+Sens!H18418)/2*rent_mw/1000</f>
        <v>6.72084</v>
      </c>
      <c r="I18437" s="6" t="n">
        <f aca="false">(Sens!H18418+Sens!I18418)/2*rent_mw/1000</f>
        <v>6.72084</v>
      </c>
      <c r="J18437" s="6" t="n">
        <f aca="false">(Sens!I18418+Sens!J18418)/2*rent_mw/1000</f>
        <v>6.72084</v>
      </c>
      <c r="K18437" s="6" t="n">
        <f aca="false">(Sens!J18418+Sens!K18418)/2*rent_mw/1000</f>
        <v>6.72084</v>
      </c>
    </row>
    <row r="18438" customFormat="false" ht="17.15" hidden="false" customHeight="false" outlineLevel="0" collapsed="false">
      <c r="A18438" s="0" t="s">
        <v>982</v>
      </c>
      <c r="B18438" s="0" t="s">
        <v>98</v>
      </c>
      <c r="D18438" s="6" t="n">
        <f aca="false">(Sens!C18420+Sens!D18420)/2*(1-self_build)*fac_rent/1000</f>
        <v>0.853242375631075</v>
      </c>
      <c r="E18438" s="6" t="n">
        <f aca="false">(Sens!D18420+Sens!E18420)/2*(1-self_build)*fac_rent/1000</f>
        <v>1.94955961408728</v>
      </c>
      <c r="F18438" s="6" t="n">
        <f aca="false">(Sens!E18420+Sens!F18420)/2*(1-self_build)*fac_rent/1000</f>
        <v>3.92914894476356</v>
      </c>
      <c r="G18438" s="6" t="n">
        <f aca="false">(Sens!F18420+Sens!G18420)/2*(1-self_build)*fac_rent/1000</f>
        <v>6.53206908578159</v>
      </c>
      <c r="H18438" s="6" t="n">
        <f aca="false">(Sens!G18420+Sens!H18420)/2*(1-self_build)*fac_rent/1000</f>
        <v>9.23717988341591</v>
      </c>
      <c r="I18438" s="6" t="n">
        <f aca="false">(Sens!H18420+Sens!I18420)/2*(1-self_build)*fac_rent/1000</f>
        <v>11.5481378557393</v>
      </c>
      <c r="J18438" s="6" t="n">
        <f aca="false">(Sens!I18420+Sens!J18420)/2*(1-self_build)*fac_rent/1000</f>
        <v>13.0899582289108</v>
      </c>
      <c r="K18438" s="6" t="n">
        <f aca="false">(Sens!J18420+Sens!K18420)/2*(1-self_build)*fac_rent/1000</f>
        <v>13.8897275626556</v>
      </c>
      <c r="L18438" s="12" t="s">
        <v>983</v>
      </c>
    </row>
    <row r="18439" customFormat="false" ht="17.15" hidden="false" customHeight="false" outlineLevel="0" collapsed="false">
      <c r="A18439" s="1" t="s">
        <v>984</v>
      </c>
      <c r="B18439" s="0" t="s">
        <v>168</v>
      </c>
      <c r="D18439" s="7" t="n">
        <f aca="false">(Sens!C18419+Sens!D18419)/(Sens!C18420+Sens!D18420)</f>
        <v>0.6</v>
      </c>
      <c r="E18439" s="7" t="n">
        <f aca="false">(Sens!D18419+Sens!E18419)/(Sens!D18420+Sens!E18420)</f>
        <v>0.6</v>
      </c>
      <c r="F18439" s="7" t="n">
        <f aca="false">(Sens!E18419+Sens!F18419)/(Sens!E18420+Sens!F18420)</f>
        <v>0.6</v>
      </c>
      <c r="G18439" s="7" t="n">
        <f aca="false">(Sens!F18419+Sens!G18419)/(Sens!F18420+Sens!G18420)</f>
        <v>0.6</v>
      </c>
      <c r="H18439" s="7" t="n">
        <f aca="false">(Sens!G18419+Sens!H18419)/(Sens!G18420+Sens!H18420)</f>
        <v>0.6</v>
      </c>
      <c r="I18439" s="7" t="n">
        <f aca="false">(Sens!H18419+Sens!I18419)/(Sens!H18420+Sens!I18420)</f>
        <v>0.6</v>
      </c>
      <c r="J18439" s="7" t="n">
        <f aca="false">(Sens!I18419+Sens!J18419)/(Sens!I18420+Sens!J18420)</f>
        <v>0.6</v>
      </c>
      <c r="K18439" s="7" t="n">
        <f aca="false">(Sens!J18419+Sens!K18419)/(Sens!J18420+Sens!K18420)</f>
        <v>0.6</v>
      </c>
    </row>
    <row r="18440" customFormat="false" ht="17.15" hidden="false" customHeight="false" outlineLevel="0" collapsed="false">
      <c r="A18440" s="0" t="s">
        <v>985</v>
      </c>
      <c r="B18440" s="0" t="s">
        <v>98</v>
      </c>
      <c r="D18440" s="6" t="n">
        <f aca="false">Sens!D18434-Sens!D18439*(Sens!D18436+Sens!D18438)-Sens!D18437</f>
        <v>8.35701406163072</v>
      </c>
      <c r="E18440" s="6" t="n">
        <f aca="false">Sens!E18434-Sens!E18439*(Sens!E18436+Sens!E18438)-Sens!E18437</f>
        <v>18.7103224860238</v>
      </c>
      <c r="F18440" s="6" t="n">
        <f aca="false">Sens!F18434-Sens!F18439*(Sens!F18436+Sens!F18438)-Sens!F18437</f>
        <v>39.5246243538843</v>
      </c>
      <c r="G18440" s="6" t="n">
        <f aca="false">Sens!G18434-Sens!G18439*(Sens!G18436+Sens!G18438)-Sens!G18437</f>
        <v>67.5570585372687</v>
      </c>
      <c r="H18440" s="6" t="n">
        <f aca="false">Sens!H18434-Sens!H18439*(Sens!H18436+Sens!H18438)-Sens!H18437</f>
        <v>97.1863179465102</v>
      </c>
      <c r="I18440" s="6" t="n">
        <f aca="false">Sens!I18434-Sens!I18439*(Sens!I18436+Sens!I18438)-Sens!I18437</f>
        <v>123.292775650365</v>
      </c>
      <c r="J18440" s="6" t="n">
        <f aca="false">Sens!J18434-Sens!J18439*(Sens!J18436+Sens!J18438)-Sens!J18437</f>
        <v>141.586285762524</v>
      </c>
      <c r="K18440" s="6" t="n">
        <f aca="false">Sens!K18434-Sens!K18439*(Sens!K18436+Sens!K18438)-Sens!K18437</f>
        <v>153.289664774035</v>
      </c>
    </row>
    <row r="18441" customFormat="false" ht="17.15" hidden="false" customHeight="false" outlineLevel="0" collapsed="false">
      <c r="A18441" s="1" t="s">
        <v>986</v>
      </c>
      <c r="B18441" s="0" t="s">
        <v>98</v>
      </c>
      <c r="D18441" s="6" t="n">
        <f aca="false">(1-Sens!D18439)*(Sens!D18436+Sens!D18438)</f>
        <v>1.42281025374069</v>
      </c>
      <c r="E18441" s="6" t="n">
        <f aca="false">(1-Sens!E18439)*(Sens!E18436+Sens!E18438)</f>
        <v>3.25095598674472</v>
      </c>
      <c r="F18441" s="6" t="n">
        <f aca="false">(1-Sens!F18439)*(Sens!F18436+Sens!F18438)</f>
        <v>6.72135810147489</v>
      </c>
      <c r="G18441" s="6" t="n">
        <f aca="false">(1-Sens!G18439)*(Sens!G18436+Sens!G18438)</f>
        <v>11.3401410201637</v>
      </c>
      <c r="H18441" s="6" t="n">
        <f aca="false">(1-Sens!H18439)*(Sens!H18436+Sens!H18438)</f>
        <v>16.1920771049557</v>
      </c>
      <c r="I18441" s="6" t="n">
        <f aca="false">(1-Sens!I18439)*(Sens!I18436+Sens!I18438)</f>
        <v>20.3917774400264</v>
      </c>
      <c r="J18441" s="6" t="n">
        <f aca="false">(1-Sens!J18439)*(Sens!J18436+Sens!J18438)</f>
        <v>23.2503960207104</v>
      </c>
      <c r="K18441" s="6" t="n">
        <f aca="false">(1-Sens!K18439)*(Sens!K18436+Sens!K18438)</f>
        <v>24.8730801087085</v>
      </c>
    </row>
    <row r="18442" customFormat="false" ht="17.15" hidden="false" customHeight="false" outlineLevel="0" collapsed="false">
      <c r="A18442" s="1" t="s">
        <v>987</v>
      </c>
      <c r="B18442" s="0" t="s">
        <v>414</v>
      </c>
      <c r="C18442" s="8" t="n">
        <f aca="false">cxit_open</f>
        <v>27.5918995</v>
      </c>
      <c r="D18442" s="8" t="n">
        <f aca="false">cxit_open</f>
        <v>27.5918995</v>
      </c>
      <c r="E18442" s="8" t="n">
        <f aca="false">cxit_open</f>
        <v>27.5918995</v>
      </c>
      <c r="F18442" s="8" t="n">
        <f aca="false">((a_g3_27-nonnv*a_mai)*tk_cxit_gb300+nonnv*a_mai*nv_hold_mai*tk_cxit_vr200+(1-a_g3_27)*tk_cxit_vr200)</f>
        <v>32.4975576</v>
      </c>
      <c r="G18442" s="8" t="n">
        <f aca="false">((a_g3_28-nonnv*a_mai)*tk_cxit_gb300+nonnv*a_mai*nv_hold_mai*tk_cxit_vr200+(1-a_g3_28)*tk_cxit_vr200)</f>
        <v>34.6372088</v>
      </c>
      <c r="H18442" s="8" t="n">
        <f aca="false">((a_g3_29-nonnv*a_mai)*tk_cxit_gb300+nonnv*a_mai*nv_hold_mai*tk_cxit_vr200+(1-a_g3_29)*tk_cxit_vr200)</f>
        <v>35.7070344</v>
      </c>
      <c r="I18442" s="8" t="n">
        <f aca="false">((a_g3_29-nonnv*a_mai)*tk_cxit_gb300+nonnv*a_mai*nv_hold_mai*tk_cxit_vr200+(1-a_g3_29)*tk_cxit_vr200)</f>
        <v>35.7070344</v>
      </c>
      <c r="J18442" s="8" t="n">
        <f aca="false">((a_g3_29-nonnv*a_mai)*tk_cxit_gb300+nonnv*a_mai*nv_hold_mai*tk_cxit_vr200+(1-a_g3_29)*tk_cxit_vr200)</f>
        <v>35.7070344</v>
      </c>
      <c r="K18442" s="8" t="n">
        <f aca="false">((a_g3_29-nonnv*a_mai)*tk_cxit_gb300+nonnv*a_mai*nv_hold_mai*tk_cxit_vr200+(1-a_g3_29)*tk_cxit_vr200)</f>
        <v>35.7070344</v>
      </c>
      <c r="L18442" s="12" t="s">
        <v>988</v>
      </c>
    </row>
    <row r="18443" customFormat="false" ht="17.15" hidden="false" customHeight="false" outlineLevel="0" collapsed="false">
      <c r="A18443" s="0" t="s">
        <v>989</v>
      </c>
      <c r="B18443" s="0" t="s">
        <v>456</v>
      </c>
      <c r="F18443" s="30" t="n">
        <f aca="false">Sens!C18422*IF(Sens!F18415-Sens!C18415=life_it,1,0)+Sens!D18422*IF(Sens!F18415-Sens!D18415=life_it,1,0)+Sens!E18422*IF(Sens!F18415-Sens!E18415=life_it,1,0)</f>
        <v>0</v>
      </c>
      <c r="G18443" s="30" t="n">
        <f aca="false">Sens!C18422*IF(Sens!G18415-Sens!C18415=life_it,1,0)+Sens!D18422*IF(Sens!G18415-Sens!D18415=life_it,1,0)+Sens!E18422*IF(Sens!G18415-Sens!E18415=life_it,1,0)+Sens!F18422*IF(Sens!G18415-Sens!F18415=life_it,1,0)</f>
        <v>0</v>
      </c>
      <c r="H18443" s="30" t="n">
        <f aca="false">Sens!C18422*IF(Sens!H18415-Sens!C18415=life_it,1,0)+Sens!D18422*IF(Sens!H18415-Sens!D18415=life_it,1,0)+Sens!E18422*IF(Sens!H18415-Sens!E18415=life_it,1,0)+Sens!F18422*IF(Sens!H18415-Sens!F18415=life_it,1,0)+Sens!G18422*IF(Sens!H18415-Sens!G18415=life_it,1,0)</f>
        <v>0</v>
      </c>
      <c r="I18443" s="30" t="n">
        <f aca="false">Sens!C18422*IF(Sens!I18415-Sens!C18415=life_it,1,0)+Sens!D18422*IF(Sens!I18415-Sens!D18415=life_it,1,0)+Sens!E18422*IF(Sens!I18415-Sens!E18415=life_it,1,0)+Sens!F18422*IF(Sens!I18415-Sens!F18415=life_it,1,0)+Sens!G18422*IF(Sens!I18415-Sens!G18415=life_it,1,0)+Sens!H18422*IF(Sens!I18415-Sens!H18415=life_it,1,0)</f>
        <v>816.666666666667</v>
      </c>
      <c r="J18443" s="30" t="n">
        <f aca="false">Sens!C18422*IF(Sens!J18415-Sens!C18415=life_it,1,0)+Sens!D18422*IF(Sens!J18415-Sens!D18415=life_it,1,0)+Sens!E18422*IF(Sens!J18415-Sens!E18415=life_it,1,0)+Sens!F18422*IF(Sens!J18415-Sens!F18415=life_it,1,0)+Sens!G18422*IF(Sens!J18415-Sens!G18415=life_it,1,0)+Sens!H18422*IF(Sens!J18415-Sens!H18415=life_it,1,0)+Sens!I18422*IF(Sens!J18415-Sens!I18415=life_it,1,0)</f>
        <v>1233.33333333333</v>
      </c>
      <c r="K18443" s="30" t="n">
        <f aca="false">Sens!C18422*IF(Sens!K18415-Sens!C18415=life_it,1,0)+Sens!D18422*IF(Sens!K18415-Sens!D18415=life_it,1,0)+Sens!E18422*IF(Sens!K18415-Sens!E18415=life_it,1,0)+Sens!F18422*IF(Sens!K18415-Sens!F18415=life_it,1,0)+Sens!G18422*IF(Sens!K18415-Sens!G18415=life_it,1,0)+Sens!H18422*IF(Sens!K18415-Sens!H18415=life_it,1,0)+Sens!I18422*IF(Sens!K18415-Sens!I18415=life_it,1,0)+Sens!J18422*IF(Sens!K18415-Sens!J18415=life_it,1,0)</f>
        <v>2450</v>
      </c>
      <c r="L18443" s="1" t="s">
        <v>990</v>
      </c>
    </row>
    <row r="18444" customFormat="false" ht="17.15" hidden="false" customHeight="false" outlineLevel="0" collapsed="false">
      <c r="A18444" s="0" t="s">
        <v>991</v>
      </c>
      <c r="B18444" s="0" t="s">
        <v>98</v>
      </c>
      <c r="C18444" s="6" t="n">
        <f aca="false">Sens!C18422*Sens!C18442/1000</f>
        <v>22.5333845916667</v>
      </c>
      <c r="D18444" s="6" t="n">
        <f aca="false">Sens!D18422*Sens!D18442/1000</f>
        <v>34.0300093833333</v>
      </c>
      <c r="E18444" s="6" t="n">
        <f aca="false">Sens!E18422*Sens!E18442/1000</f>
        <v>67.600153775</v>
      </c>
      <c r="F18444" s="6" t="n">
        <f aca="false">(Sens!F18422+Sens!F18443)*Sens!F18442/1000</f>
        <v>136.51872432512</v>
      </c>
      <c r="G18444" s="6" t="n">
        <f aca="false">(Sens!G18422+Sens!G18443)*Sens!G18442/1000</f>
        <v>157.399275932048</v>
      </c>
      <c r="H18444" s="6" t="n">
        <f aca="false">(Sens!H18422+Sens!H18443)*Sens!H18442/1000</f>
        <v>162.260804347512</v>
      </c>
      <c r="I18444" s="6" t="n">
        <f aca="false">(Sens!I18422+Sens!I18443)*Sens!I18442/1000</f>
        <v>144.136569485434</v>
      </c>
      <c r="J18444" s="6" t="n">
        <f aca="false">(Sens!J18422+Sens!J18443)*Sens!J18442/1000</f>
        <v>114.029037357864</v>
      </c>
      <c r="K18444" s="6" t="n">
        <f aca="false">(Sens!K18422+Sens!K18443)*Sens!K18442/1000</f>
        <v>113.437085350975</v>
      </c>
    </row>
    <row r="18445" customFormat="false" ht="17.15" hidden="false" customHeight="false" outlineLevel="0" collapsed="false">
      <c r="A18445" s="0" t="s">
        <v>992</v>
      </c>
      <c r="B18445" s="0" t="s">
        <v>98</v>
      </c>
      <c r="C18445" s="6" t="n">
        <f aca="false">Sens!C18422*self_build*tk_cxfac/1000</f>
        <v>6.2083</v>
      </c>
      <c r="D18445" s="6" t="n">
        <f aca="false">Sens!D18422*self_build*tk_cxfac/1000</f>
        <v>9.3758</v>
      </c>
      <c r="E18445" s="6" t="n">
        <f aca="false">Sens!E18422*self_build*tk_cxfac/1000</f>
        <v>18.6249</v>
      </c>
      <c r="F18445" s="6" t="n">
        <f aca="false">Sens!F18422*self_build*tk_cxfac/1000</f>
        <v>31.935179717</v>
      </c>
      <c r="G18445" s="6" t="n">
        <f aca="false">Sens!G18422*self_build*tk_cxfac/1000</f>
        <v>34.545199717</v>
      </c>
      <c r="H18445" s="6" t="n">
        <f aca="false">Sens!H18422*self_build*tk_cxfac/1000</f>
        <v>34.545199717</v>
      </c>
      <c r="I18445" s="6" t="n">
        <f aca="false">Sens!I18422*self_build*tk_cxfac/1000</f>
        <v>24.4782641361767</v>
      </c>
      <c r="J18445" s="6" t="n">
        <f aca="false">Sens!J18422*self_build*tk_cxfac/1000</f>
        <v>14.9008938380769</v>
      </c>
      <c r="K18445" s="6" t="n">
        <f aca="false">Sens!K18422*self_build*tk_cxfac/1000</f>
        <v>5.52576771375761</v>
      </c>
    </row>
    <row r="18446" customFormat="false" ht="17.15" hidden="false" customHeight="false" outlineLevel="0" collapsed="false">
      <c r="A18446" s="0" t="s">
        <v>993</v>
      </c>
      <c r="B18446" s="0" t="s">
        <v>98</v>
      </c>
      <c r="F18446" s="15" t="n">
        <f aca="false">capex_floor27-Sens!F18444-Sens!F18445-Sens!F18542</f>
        <v>0.128774278409338</v>
      </c>
      <c r="L18446" s="12" t="s">
        <v>994</v>
      </c>
    </row>
    <row r="18447" customFormat="false" ht="17.15" hidden="false" customHeight="false" outlineLevel="0" collapsed="false">
      <c r="A18447" s="0" t="s">
        <v>995</v>
      </c>
      <c r="B18447" s="0" t="s">
        <v>98</v>
      </c>
      <c r="F18447" s="6" t="n">
        <f aca="false">MAX(0,Sens!F18446)</f>
        <v>0.128774278409338</v>
      </c>
    </row>
    <row r="18448" customFormat="false" ht="17.15" hidden="false" customHeight="false" outlineLevel="0" collapsed="false">
      <c r="A18448" s="0" t="s">
        <v>996</v>
      </c>
      <c r="B18448" s="0" t="s">
        <v>98</v>
      </c>
      <c r="C18448" s="6" t="n">
        <f aca="false">Sens!C18444</f>
        <v>22.5333845916667</v>
      </c>
      <c r="D18448" s="6" t="n">
        <f aca="false">Sens!D18444</f>
        <v>34.0300093833333</v>
      </c>
      <c r="E18448" s="6" t="n">
        <f aca="false">Sens!E18444</f>
        <v>67.600153775</v>
      </c>
      <c r="F18448" s="6" t="n">
        <f aca="false">Sens!F18444</f>
        <v>136.51872432512</v>
      </c>
      <c r="G18448" s="6" t="n">
        <f aca="false">Sens!G18444</f>
        <v>157.399275932048</v>
      </c>
      <c r="H18448" s="6" t="n">
        <f aca="false">Sens!H18444</f>
        <v>162.260804347512</v>
      </c>
      <c r="I18448" s="6" t="n">
        <f aca="false">Sens!I18444</f>
        <v>144.136569485434</v>
      </c>
      <c r="J18448" s="6" t="n">
        <f aca="false">Sens!J18444</f>
        <v>114.029037357864</v>
      </c>
      <c r="K18448" s="6" t="n">
        <f aca="false">Sens!K18444</f>
        <v>113.437085350975</v>
      </c>
    </row>
    <row r="18449" customFormat="false" ht="17.15" hidden="false" customHeight="false" outlineLevel="0" collapsed="false">
      <c r="A18449" s="0" t="s">
        <v>997</v>
      </c>
      <c r="B18449" s="0" t="s">
        <v>98</v>
      </c>
      <c r="C18449" s="6" t="n">
        <f aca="false">Sens!C18448+Sens!C18445</f>
        <v>28.7416845916667</v>
      </c>
      <c r="D18449" s="6" t="n">
        <f aca="false">Sens!D18448+Sens!D18445</f>
        <v>43.4058093833333</v>
      </c>
      <c r="E18449" s="6" t="n">
        <f aca="false">Sens!E18448+Sens!E18445</f>
        <v>86.225053775</v>
      </c>
      <c r="F18449" s="6" t="n">
        <f aca="false">Sens!F18448+Sens!F18445</f>
        <v>168.45390404212</v>
      </c>
      <c r="G18449" s="6" t="n">
        <f aca="false">Sens!G18448+Sens!G18445</f>
        <v>191.944475649048</v>
      </c>
      <c r="H18449" s="6" t="n">
        <f aca="false">Sens!H18448+Sens!H18445</f>
        <v>196.806004064512</v>
      </c>
      <c r="I18449" s="6" t="n">
        <f aca="false">Sens!I18448+Sens!I18445</f>
        <v>168.61483362161</v>
      </c>
      <c r="J18449" s="6" t="n">
        <f aca="false">Sens!J18448+Sens!J18445</f>
        <v>128.92993119594</v>
      </c>
      <c r="K18449" s="6" t="n">
        <f aca="false">Sens!K18448+Sens!K18445</f>
        <v>118.962853064733</v>
      </c>
      <c r="L18449" s="12" t="s">
        <v>998</v>
      </c>
    </row>
    <row r="18450" customFormat="false" ht="17.15" hidden="false" customHeight="false" outlineLevel="0" collapsed="false">
      <c r="A18450" s="0" t="s">
        <v>999</v>
      </c>
      <c r="B18450" s="0" t="s">
        <v>98</v>
      </c>
      <c r="E18450" s="6" t="n">
        <f aca="false">(Sens!C18448*IF(2&lt;life_it,1,IF(2=life_it,0.5,0))+Sens!D18448*IF(1&lt;life_it,1,IF(1=life_it,0.5,0))+Sens!E18448*0.5)/life_it</f>
        <v>15.0605784770833</v>
      </c>
      <c r="F18450" s="6" t="n">
        <f aca="false">(Sens!C18448*IF(3&lt;life_it,1,IF(3=life_it,0.5,0))+Sens!D18448*IF(2&lt;life_it,1,IF(2=life_it,0.5,0))+Sens!E18448*IF(1&lt;life_it,1,IF(1=life_it,0.5,0))+Sens!F18448*0.5)/life_it</f>
        <v>32.0704849854266</v>
      </c>
      <c r="G18450" s="6" t="n">
        <f aca="false">(Sens!C18448*IF(4&lt;life_it,1,IF(4=life_it,0.5,0))+Sens!D18448*IF(3&lt;life_it,1,IF(3=life_it,0.5,0))+Sens!E18448*IF(2&lt;life_it,1,IF(2=life_it,0.5,0))+Sens!F18448*IF(1&lt;life_it,1,IF(1=life_it,0.5,0))+Sens!G18448*0.5)/life_it</f>
        <v>56.5636516735239</v>
      </c>
      <c r="H18450" s="6" t="n">
        <f aca="false">(Sens!C18448*IF(5&lt;life_it,1,IF(5=life_it,0.5,0))+Sens!D18448*IF(4&lt;life_it,1,IF(4=life_it,0.5,0))+Sens!E18448*IF(3&lt;life_it,1,IF(3=life_it,0.5,0))+Sens!F18448*IF(2&lt;life_it,1,IF(2=life_it,0.5,0))+Sens!G18448*IF(1&lt;life_it,1,IF(1=life_it,0.5,0))+Sens!H18448*0.5)/life_it</f>
        <v>83.2019916968207</v>
      </c>
      <c r="I18450" s="6" t="n">
        <f aca="false">(Sens!C18448*IF(6&lt;life_it,1,IF(6=life_it,0.5,0))+Sens!D18448*IF(5&lt;life_it,1,IF(5=life_it,0.5,0))+Sens!E18448*IF(4&lt;life_it,1,IF(4=life_it,0.5,0))+Sens!F18448*IF(3&lt;life_it,1,IF(3=life_it,0.5,0))+Sens!G18448*IF(2&lt;life_it,1,IF(2=life_it,0.5,0))+Sens!H18448*IF(1&lt;life_it,1,IF(1=life_it,0.5,0))+Sens!I18448*0.5)/life_it</f>
        <v>106.857324133594</v>
      </c>
      <c r="J18450" s="6" t="n">
        <f aca="false">(Sens!C18448*IF(7&lt;life_it,1,IF(7=life_it,0.5,0))+Sens!D18448*IF(6&lt;life_it,1,IF(6=life_it,0.5,0))+Sens!E18448*IF(5&lt;life_it,1,IF(5=life_it,0.5,0))+Sens!F18448*IF(4&lt;life_it,1,IF(4=life_it,0.5,0))+Sens!G18448*IF(3&lt;life_it,1,IF(3=life_it,0.5,0))+Sens!H18448*IF(2&lt;life_it,1,IF(2=life_it,0.5,0))+Sens!I18448*IF(1&lt;life_it,1,IF(1=life_it,0.5,0))+Sens!J18448*0.5)/life_it</f>
        <v>123.657508539285</v>
      </c>
      <c r="K18450" s="6" t="n">
        <f aca="false">(Sens!C18448*IF(8&lt;life_it,1,IF(8=life_it,0.5,0))+Sens!D18448*IF(7&lt;life_it,1,IF(7=life_it,0.5,0))+Sens!E18448*IF(6&lt;life_it,1,IF(6=life_it,0.5,0))+Sens!F18448*IF(5&lt;life_it,1,IF(5=life_it,0.5,0))+Sens!G18448*IF(4&lt;life_it,1,IF(4=life_it,0.5,0))+Sens!H18448*IF(3&lt;life_it,1,IF(3=life_it,0.5,0))+Sens!I18448*IF(2&lt;life_it,1,IF(2=life_it,0.5,0))+Sens!J18448*IF(1&lt;life_it,1,IF(1=life_it,0.5,0))+Sens!K18448*0.5)/life_it</f>
        <v>134.143838501827</v>
      </c>
    </row>
    <row r="18451" customFormat="false" ht="17.15" hidden="false" customHeight="false" outlineLevel="0" collapsed="false">
      <c r="A18451" s="0" t="s">
        <v>1000</v>
      </c>
      <c r="B18451" s="0" t="s">
        <v>98</v>
      </c>
      <c r="E18451" s="6" t="n">
        <f aca="false">(Sens!C18445*IF(2&lt;life_fac,1,IF(2=life_fac,0.5,0))+Sens!D18445*IF(1&lt;life_fac,1,IF(1=life_fac,0.5,0))+Sens!E18445*0.5)/life_fac</f>
        <v>1.2448275</v>
      </c>
      <c r="F18451" s="6" t="n">
        <f aca="false">(Sens!C18445*IF(3&lt;life_fac,1,IF(3=life_fac,0.5,0))+Sens!D18445*IF(2&lt;life_fac,1,IF(2=life_fac,0.5,0))+Sens!E18445*IF(1&lt;life_fac,1,IF(1=life_fac,0.5,0))+Sens!F18445*0.5)/life_fac</f>
        <v>2.508829492925</v>
      </c>
      <c r="G18451" s="6" t="n">
        <f aca="false">(Sens!C18445*IF(4&lt;life_fac,1,IF(4=life_fac,0.5,0))+Sens!D18445*IF(3&lt;life_fac,1,IF(3=life_fac,0.5,0))+Sens!E18445*IF(2&lt;life_fac,1,IF(2=life_fac,0.5,0))+Sens!F18445*IF(1&lt;life_fac,1,IF(1=life_fac,0.5,0))+Sens!G18445*0.5)/life_fac</f>
        <v>4.170838978775</v>
      </c>
      <c r="H18451" s="6" t="n">
        <f aca="false">(Sens!C18445*IF(5&lt;life_fac,1,IF(5=life_fac,0.5,0))+Sens!D18445*IF(4&lt;life_fac,1,IF(4=life_fac,0.5,0))+Sens!E18445*IF(3&lt;life_fac,1,IF(3=life_fac,0.5,0))+Sens!F18445*IF(2&lt;life_fac,1,IF(2=life_fac,0.5,0))+Sens!G18445*IF(1&lt;life_fac,1,IF(1=life_fac,0.5,0))+Sens!H18445*0.5)/life_fac</f>
        <v>5.898098964625</v>
      </c>
      <c r="I18451" s="6" t="n">
        <f aca="false">(Sens!C18445*IF(6&lt;life_fac,1,IF(6=life_fac,0.5,0))+Sens!D18445*IF(5&lt;life_fac,1,IF(5=life_fac,0.5,0))+Sens!E18445*IF(4&lt;life_fac,1,IF(4=life_fac,0.5,0))+Sens!F18445*IF(3&lt;life_fac,1,IF(3=life_fac,0.5,0))+Sens!G18445*IF(2&lt;life_fac,1,IF(2=life_fac,0.5,0))+Sens!H18445*IF(1&lt;life_fac,1,IF(1=life_fac,0.5,0))+Sens!I18445*0.5)/life_fac</f>
        <v>7.37368556095442</v>
      </c>
      <c r="J18451" s="6" t="n">
        <f aca="false">(Sens!C18445*IF(7&lt;life_fac,1,IF(7=life_fac,0.5,0))+Sens!D18445*IF(6&lt;life_fac,1,IF(6=life_fac,0.5,0))+Sens!E18445*IF(5&lt;life_fac,1,IF(5=life_fac,0.5,0))+Sens!F18445*IF(4&lt;life_fac,1,IF(4=life_fac,0.5,0))+Sens!G18445*IF(3&lt;life_fac,1,IF(3=life_fac,0.5,0))+Sens!H18445*IF(2&lt;life_fac,1,IF(2=life_fac,0.5,0))+Sens!I18445*IF(1&lt;life_fac,1,IF(1=life_fac,0.5,0))+Sens!J18445*0.5)/life_fac</f>
        <v>8.35816451031075</v>
      </c>
      <c r="K18451" s="6" t="n">
        <f aca="false">(Sens!C18445*IF(8&lt;life_fac,1,IF(8=life_fac,0.5,0))+Sens!D18445*IF(7&lt;life_fac,1,IF(7=life_fac,0.5,0))+Sens!E18445*IF(6&lt;life_fac,1,IF(6=life_fac,0.5,0))+Sens!F18445*IF(5&lt;life_fac,1,IF(5=life_fac,0.5,0))+Sens!G18445*IF(4&lt;life_fac,1,IF(4=life_fac,0.5,0))+Sens!H18445*IF(3&lt;life_fac,1,IF(3=life_fac,0.5,0))+Sens!I18445*IF(2&lt;life_fac,1,IF(2=life_fac,0.5,0))+Sens!J18445*IF(1&lt;life_fac,1,IF(1=life_fac,0.5,0))+Sens!K18445*0.5)/life_fac</f>
        <v>8.86883104910662</v>
      </c>
    </row>
    <row r="18452" customFormat="false" ht="17.15" hidden="false" customHeight="false" outlineLevel="0" collapsed="false">
      <c r="A18452" s="0" t="s">
        <v>1001</v>
      </c>
      <c r="B18452" s="0" t="s">
        <v>98</v>
      </c>
      <c r="E18452" s="6" t="n">
        <f aca="false">Sens!E18450+Sens!E18451</f>
        <v>16.3054059770833</v>
      </c>
      <c r="F18452" s="6" t="n">
        <f aca="false">Sens!F18450+Sens!F18451</f>
        <v>34.5793144783516</v>
      </c>
      <c r="G18452" s="6" t="n">
        <f aca="false">Sens!G18450+Sens!G18451</f>
        <v>60.7344906522989</v>
      </c>
      <c r="H18452" s="6" t="n">
        <f aca="false">Sens!H18450+Sens!H18451</f>
        <v>89.1000906614457</v>
      </c>
      <c r="I18452" s="6" t="n">
        <f aca="false">Sens!I18450+Sens!I18451</f>
        <v>114.231009694548</v>
      </c>
      <c r="J18452" s="6" t="n">
        <f aca="false">Sens!J18450+Sens!J18451</f>
        <v>132.015673049596</v>
      </c>
      <c r="K18452" s="6" t="n">
        <f aca="false">Sens!K18450+Sens!K18451</f>
        <v>143.012669550934</v>
      </c>
    </row>
    <row r="18453" customFormat="false" ht="17.15" hidden="false" customHeight="false" outlineLevel="0" collapsed="false">
      <c r="A18453" s="0" t="s">
        <v>1002</v>
      </c>
      <c r="B18453" s="0" t="s">
        <v>98</v>
      </c>
      <c r="E18453" s="6" t="n">
        <f aca="false">Sens!E18440-Sens!E18439*Sens!E18452</f>
        <v>8.92707889977379</v>
      </c>
      <c r="F18453" s="6" t="n">
        <f aca="false">Sens!F18440-Sens!F18439*Sens!F18452</f>
        <v>18.7770356668733</v>
      </c>
      <c r="G18453" s="6" t="n">
        <f aca="false">Sens!G18440-Sens!G18439*Sens!G18452</f>
        <v>31.1163641458894</v>
      </c>
      <c r="H18453" s="6" t="n">
        <f aca="false">Sens!H18440-Sens!H18439*Sens!H18452</f>
        <v>43.7262635496428</v>
      </c>
      <c r="I18453" s="6" t="n">
        <f aca="false">Sens!I18440-Sens!I18439*Sens!I18452</f>
        <v>54.7541698336361</v>
      </c>
      <c r="J18453" s="6" t="n">
        <f aca="false">Sens!J18440-Sens!J18439*Sens!J18452</f>
        <v>62.3768819327658</v>
      </c>
      <c r="K18453" s="6" t="n">
        <f aca="false">Sens!K18440-Sens!K18439*Sens!K18452</f>
        <v>67.4820630434748</v>
      </c>
    </row>
    <row r="18454" customFormat="false" ht="17.15" hidden="false" customHeight="false" outlineLevel="0" collapsed="false">
      <c r="A18454" s="3" t="s">
        <v>1935</v>
      </c>
    </row>
    <row r="18455" customFormat="false" ht="15" hidden="false" customHeight="false" outlineLevel="0" collapsed="false">
      <c r="A18455" s="4" t="s">
        <v>43</v>
      </c>
      <c r="B18455" s="4" t="s">
        <v>65</v>
      </c>
      <c r="C18455" s="23" t="s">
        <v>938</v>
      </c>
      <c r="D18455" s="23" t="s">
        <v>939</v>
      </c>
      <c r="E18455" s="23" t="s">
        <v>940</v>
      </c>
      <c r="F18455" s="23" t="s">
        <v>941</v>
      </c>
      <c r="G18455" s="23" t="s">
        <v>942</v>
      </c>
      <c r="H18455" s="23" t="s">
        <v>943</v>
      </c>
      <c r="I18455" s="23" t="s">
        <v>944</v>
      </c>
      <c r="J18455" s="23" t="s">
        <v>945</v>
      </c>
      <c r="K18455" s="23" t="s">
        <v>946</v>
      </c>
      <c r="L18455" s="4" t="s">
        <v>47</v>
      </c>
    </row>
    <row r="18456" customFormat="false" ht="17.15" hidden="false" customHeight="false" outlineLevel="0" collapsed="false">
      <c r="A18456" s="0" t="s">
        <v>1021</v>
      </c>
      <c r="B18456" s="0" t="s">
        <v>98</v>
      </c>
      <c r="D18456" s="6" t="n">
        <f aca="false">Sens!D18434</f>
        <v>12.9359794422418</v>
      </c>
      <c r="E18456" s="6" t="n">
        <f aca="false">Sens!E18434</f>
        <v>27.8095064661409</v>
      </c>
      <c r="F18456" s="6" t="n">
        <f aca="false">Sens!F18434</f>
        <v>55.4118315060966</v>
      </c>
      <c r="G18456" s="6" t="n">
        <f aca="false">Sens!G18434</f>
        <v>91.2881100675143</v>
      </c>
      <c r="H18456" s="6" t="n">
        <f aca="false">Sens!H18434</f>
        <v>128.195273603944</v>
      </c>
      <c r="I18456" s="6" t="n">
        <f aca="false">Sens!I18434</f>
        <v>160.601281810405</v>
      </c>
      <c r="J18456" s="6" t="n">
        <f aca="false">Sens!J18434</f>
        <v>183.182719793589</v>
      </c>
      <c r="K18456" s="6" t="n">
        <f aca="false">Sens!K18434</f>
        <v>197.320124937098</v>
      </c>
    </row>
    <row r="18457" customFormat="false" ht="17.15" hidden="false" customHeight="false" outlineLevel="0" collapsed="false">
      <c r="A18457" s="0" t="s">
        <v>1022</v>
      </c>
      <c r="B18457" s="0" t="s">
        <v>98</v>
      </c>
      <c r="D18457" s="6" t="n">
        <f aca="false">Q!L6-Sens!D18456</f>
        <v>59.6740205577583</v>
      </c>
      <c r="E18457" s="6" t="n">
        <f aca="false">Q!M6-Sens!E18456</f>
        <v>74.1284935338591</v>
      </c>
      <c r="F18457" s="6" t="n">
        <f aca="false">Q!$I$6+(Sens!F18456+Sens!E18457*(1+Sens!F18458))*(1-Q!$E$6/Q!M6)-Sens!F18456</f>
        <v>91.2972164940844</v>
      </c>
      <c r="G18457" s="6" t="n">
        <f aca="false">Sens!F18457*(1+Sens!G18458)</f>
        <v>108.474719793879</v>
      </c>
      <c r="H18457" s="6" t="n">
        <f aca="false">Sens!G18457*(1+Sens!H18458)</f>
        <v>125.951292505701</v>
      </c>
      <c r="I18457" s="6" t="n">
        <f aca="false">Sens!H18457*(1+Sens!I18458)</f>
        <v>142.838165154212</v>
      </c>
      <c r="J18457" s="6" t="n">
        <f aca="false">Sens!I18457*(1+Sens!J18458)</f>
        <v>158.12717866615</v>
      </c>
      <c r="K18457" s="6" t="n">
        <f aca="false">Sens!J18457*(1+Sens!K18458)</f>
        <v>170.777352959442</v>
      </c>
      <c r="L18457" s="12" t="s">
        <v>1023</v>
      </c>
    </row>
    <row r="18458" customFormat="false" ht="15" hidden="false" customHeight="false" outlineLevel="0" collapsed="false">
      <c r="A18458" s="1" t="s">
        <v>1024</v>
      </c>
      <c r="B18458" s="0" t="s">
        <v>168</v>
      </c>
      <c r="E18458" s="7" t="n">
        <f aca="false">Sens!E18457/Sens!D18457-1</f>
        <v>0.242223883039864</v>
      </c>
      <c r="F18458" s="7" t="n">
        <f aca="false">Sens!$E$18458+(glt_azo-Sens!$E$18458)*MIN(1,(Sens!F18415-base_fy)/n_conv)</f>
        <v>0.215186569199887</v>
      </c>
      <c r="G18458" s="7" t="n">
        <f aca="false">Sens!$E$18458+(glt_azo-Sens!$E$18458)*MIN(1,(Sens!G18415-base_fy)/n_conv)</f>
        <v>0.18814925535991</v>
      </c>
      <c r="H18458" s="7" t="n">
        <f aca="false">Sens!$E$18458+(glt_azo-Sens!$E$18458)*MIN(1,(Sens!H18415-base_fy)/n_conv)</f>
        <v>0.161111941519932</v>
      </c>
      <c r="I18458" s="7" t="n">
        <f aca="false">Sens!$E$18458+(glt_azo-Sens!$E$18458)*MIN(1,(Sens!I18415-base_fy)/n_conv)</f>
        <v>0.134074627679955</v>
      </c>
      <c r="J18458" s="7" t="n">
        <f aca="false">Sens!$E$18458+(glt_azo-Sens!$E$18458)*MIN(1,(Sens!J18415-base_fy)/n_conv)</f>
        <v>0.107037313839977</v>
      </c>
      <c r="K18458" s="7" t="n">
        <f aca="false">Sens!$E$18458+(glt_azo-Sens!$E$18458)*MIN(1,(Sens!K18415-base_fy)/n_conv)</f>
        <v>0.08</v>
      </c>
    </row>
    <row r="18459" customFormat="false" ht="15" hidden="false" customHeight="false" outlineLevel="0" collapsed="false">
      <c r="A18459" s="0" t="s">
        <v>1025</v>
      </c>
      <c r="B18459" s="0" t="s">
        <v>98</v>
      </c>
      <c r="D18459" s="6" t="n">
        <f aca="false">Sens!D18456+Sens!D18457</f>
        <v>72.61</v>
      </c>
      <c r="E18459" s="6" t="n">
        <f aca="false">Sens!E18456+Sens!E18457</f>
        <v>101.938</v>
      </c>
      <c r="F18459" s="6" t="n">
        <f aca="false">Sens!F18456+Sens!F18457</f>
        <v>146.709048000181</v>
      </c>
      <c r="G18459" s="6" t="n">
        <f aca="false">Sens!G18456+Sens!G18457</f>
        <v>199.762829861393</v>
      </c>
      <c r="H18459" s="6" t="n">
        <f aca="false">Sens!H18456+Sens!H18457</f>
        <v>254.146566109645</v>
      </c>
      <c r="I18459" s="6" t="n">
        <f aca="false">Sens!I18456+Sens!I18457</f>
        <v>303.439446964617</v>
      </c>
      <c r="J18459" s="6" t="n">
        <f aca="false">Sens!J18456+Sens!J18457</f>
        <v>341.309898459739</v>
      </c>
      <c r="K18459" s="6" t="n">
        <f aca="false">Sens!K18456+Sens!K18457</f>
        <v>368.09747789654</v>
      </c>
    </row>
    <row r="18460" customFormat="false" ht="17.15" hidden="false" customHeight="false" outlineLevel="0" collapsed="false">
      <c r="A18460" s="0" t="s">
        <v>1026</v>
      </c>
      <c r="B18460" s="1" t="s">
        <v>610</v>
      </c>
      <c r="C18460" s="30" t="n">
        <f aca="false">cop_s24</f>
        <v>1</v>
      </c>
      <c r="D18460" s="30" t="n">
        <f aca="false">cop_s25</f>
        <v>5</v>
      </c>
      <c r="E18460" s="30" t="n">
        <f aca="false">cop_s26</f>
        <v>30</v>
      </c>
      <c r="F18460" s="30" t="n">
        <f aca="false">Sens!E18460+cop_add_B</f>
        <v>50</v>
      </c>
      <c r="G18460" s="30" t="n">
        <f aca="false">Sens!F18460+cop_add_B</f>
        <v>70</v>
      </c>
      <c r="H18460" s="30" t="n">
        <f aca="false">Sens!G18460+cop_add_B</f>
        <v>90</v>
      </c>
      <c r="I18460" s="30" t="n">
        <f aca="false">Sens!H18460+cop_add_B*cop_tail</f>
        <v>100</v>
      </c>
      <c r="J18460" s="30" t="n">
        <f aca="false">Sens!I18460+cop_add_B*cop_tail</f>
        <v>110</v>
      </c>
      <c r="K18460" s="30" t="n">
        <f aca="false">Sens!J18460+cop_add_B*cop_tail</f>
        <v>120</v>
      </c>
      <c r="L18460" s="12" t="s">
        <v>1027</v>
      </c>
    </row>
    <row r="18461" customFormat="false" ht="17.15" hidden="false" customHeight="false" outlineLevel="0" collapsed="false">
      <c r="A18461" s="0" t="s">
        <v>1028</v>
      </c>
      <c r="B18461" s="0" t="s">
        <v>98</v>
      </c>
      <c r="D18461" s="6" t="n">
        <f aca="false">(Sens!C18460+Sens!D18460)/2*cop_px*12/1000</f>
        <v>0.9</v>
      </c>
      <c r="E18461" s="6" t="n">
        <f aca="false">(Sens!D18460+Sens!E18460)/2*cop_px*12/1000</f>
        <v>5.25</v>
      </c>
      <c r="F18461" s="6" t="n">
        <f aca="false">(Sens!E18460+Sens!F18460)/2*cop_px*12/1000</f>
        <v>12</v>
      </c>
      <c r="G18461" s="6" t="n">
        <f aca="false">(Sens!F18460+Sens!G18460)/2*cop_px*12/1000</f>
        <v>18</v>
      </c>
      <c r="H18461" s="6" t="n">
        <f aca="false">(Sens!G18460+Sens!H18460)/2*cop_px*12/1000</f>
        <v>24</v>
      </c>
      <c r="I18461" s="6" t="n">
        <f aca="false">(Sens!H18460+Sens!I18460)/2*cop_px*12/1000</f>
        <v>28.5</v>
      </c>
      <c r="J18461" s="6" t="n">
        <f aca="false">(Sens!I18460+Sens!J18460)/2*cop_px*12/1000</f>
        <v>31.5</v>
      </c>
      <c r="K18461" s="6" t="n">
        <f aca="false">(Sens!J18460+Sens!K18460)/2*cop_px*12/1000</f>
        <v>34.5</v>
      </c>
      <c r="L18461" s="1" t="s">
        <v>1029</v>
      </c>
    </row>
    <row r="18462" customFormat="false" ht="17.15" hidden="false" customHeight="false" outlineLevel="0" collapsed="false">
      <c r="A18462" s="0" t="s">
        <v>1030</v>
      </c>
      <c r="B18462" s="0" t="s">
        <v>98</v>
      </c>
      <c r="D18462" s="6" t="n">
        <f aca="false">Q!L7-Sens!D18461</f>
        <v>83.705</v>
      </c>
      <c r="E18462" s="6" t="n">
        <f aca="false">Q!M7-Sens!E18461</f>
        <v>95.049</v>
      </c>
      <c r="F18462" s="6" t="n">
        <f aca="false">Q!$I$7+(Sens!E18462*(1+Sens!F18463)+Sens!F18461)*(1-Q!$E$7/Q!M7)-Sens!F18461</f>
        <v>106.584003697747</v>
      </c>
      <c r="G18462" s="6" t="n">
        <f aca="false">Sens!F18462*(1+Sens!G18463)</f>
        <v>118.700726545688</v>
      </c>
      <c r="H18462" s="6" t="n">
        <f aca="false">Sens!G18462*(1+Sens!H18463)</f>
        <v>130.898624783666</v>
      </c>
      <c r="I18462" s="6" t="n">
        <f aca="false">Sens!H18462*(1+Sens!I18463)</f>
        <v>142.920510030657</v>
      </c>
      <c r="J18462" s="6" t="n">
        <f aca="false">Sens!I18462*(1+Sens!J18463)</f>
        <v>154.485722618572</v>
      </c>
      <c r="K18462" s="6" t="n">
        <f aca="false">Sens!J18462*(1+Sens!K18463)</f>
        <v>165.299723201872</v>
      </c>
      <c r="L18462" s="12" t="s">
        <v>1031</v>
      </c>
    </row>
    <row r="18463" customFormat="false" ht="15" hidden="false" customHeight="false" outlineLevel="0" collapsed="false">
      <c r="A18463" s="1" t="s">
        <v>1024</v>
      </c>
      <c r="B18463" s="0" t="s">
        <v>168</v>
      </c>
      <c r="E18463" s="7" t="n">
        <f aca="false">Sens!E18462/Sens!D18462-1</f>
        <v>0.135523564900544</v>
      </c>
      <c r="F18463" s="7" t="n">
        <f aca="false">Sens!$E$18463+(glt_m365b-Sens!$E$18463)*MIN(1,(Sens!F18415-base_fy)/n_conv)</f>
        <v>0.124602970750453</v>
      </c>
      <c r="G18463" s="7" t="n">
        <f aca="false">Sens!$E$18463+(glt_m365b-Sens!$E$18463)*MIN(1,(Sens!G18415-base_fy)/n_conv)</f>
        <v>0.113682376600363</v>
      </c>
      <c r="H18463" s="7" t="n">
        <f aca="false">Sens!$E$18463+(glt_m365b-Sens!$E$18463)*MIN(1,(Sens!H18415-base_fy)/n_conv)</f>
        <v>0.102761782450272</v>
      </c>
      <c r="I18463" s="7" t="n">
        <f aca="false">Sens!$E$18463+(glt_m365b-Sens!$E$18463)*MIN(1,(Sens!I18415-base_fy)/n_conv)</f>
        <v>0.0918411883001813</v>
      </c>
      <c r="J18463" s="7" t="n">
        <f aca="false">Sens!$E$18463+(glt_m365b-Sens!$E$18463)*MIN(1,(Sens!J18415-base_fy)/n_conv)</f>
        <v>0.0809205941500906</v>
      </c>
      <c r="K18463" s="7" t="n">
        <f aca="false">Sens!$E$18463+(glt_m365b-Sens!$E$18463)*MIN(1,(Sens!K18415-base_fy)/n_conv)</f>
        <v>0.07</v>
      </c>
    </row>
    <row r="18464" customFormat="false" ht="15" hidden="false" customHeight="false" outlineLevel="0" collapsed="false">
      <c r="A18464" s="0" t="s">
        <v>1032</v>
      </c>
      <c r="B18464" s="0" t="s">
        <v>98</v>
      </c>
      <c r="D18464" s="6" t="n">
        <f aca="false">Sens!D18462+Sens!D18461</f>
        <v>84.605</v>
      </c>
      <c r="E18464" s="6" t="n">
        <f aca="false">Sens!E18462+Sens!E18461</f>
        <v>100.299</v>
      </c>
      <c r="F18464" s="6" t="n">
        <f aca="false">Sens!F18462+Sens!F18461</f>
        <v>118.584003697747</v>
      </c>
      <c r="G18464" s="6" t="n">
        <f aca="false">Sens!G18462+Sens!G18461</f>
        <v>136.700726545688</v>
      </c>
      <c r="H18464" s="6" t="n">
        <f aca="false">Sens!H18462+Sens!H18461</f>
        <v>154.898624783666</v>
      </c>
      <c r="I18464" s="6" t="n">
        <f aca="false">Sens!I18462+Sens!I18461</f>
        <v>171.420510030657</v>
      </c>
      <c r="J18464" s="6" t="n">
        <f aca="false">Sens!J18462+Sens!J18461</f>
        <v>185.985722618572</v>
      </c>
      <c r="K18464" s="6" t="n">
        <f aca="false">Sens!K18462+Sens!K18461</f>
        <v>199.799723201872</v>
      </c>
    </row>
    <row r="18465" customFormat="false" ht="17.15" hidden="false" customHeight="false" outlineLevel="0" collapsed="false">
      <c r="A18465" s="0" t="s">
        <v>1033</v>
      </c>
      <c r="B18465" s="0" t="s">
        <v>98</v>
      </c>
      <c r="D18465" s="6" t="n">
        <f aca="false">Q!L8</f>
        <v>35.391</v>
      </c>
      <c r="E18465" s="6" t="n">
        <f aca="false">Q!M8</f>
        <v>37.285</v>
      </c>
      <c r="F18465" s="6" t="n">
        <f aca="false">Q!$I$8+(Q!M8-Q!$E$8)*(1+Sens!F18466)</f>
        <v>38.3851437782675</v>
      </c>
      <c r="G18465" s="6" t="n">
        <f aca="false">Sens!F18465*(1+Sens!G18466)</f>
        <v>40.0105353288615</v>
      </c>
      <c r="H18465" s="6" t="n">
        <f aca="false">Sens!G18465*(1+Sens!H18466)</f>
        <v>41.4812512033683</v>
      </c>
      <c r="I18465" s="6" t="n">
        <f aca="false">Sens!H18465*(1+Sens!I18466)</f>
        <v>42.7743107216329</v>
      </c>
      <c r="J18465" s="6" t="n">
        <f aca="false">Sens!I18465*(1+Sens!J18466)</f>
        <v>43.8687373064601</v>
      </c>
      <c r="K18465" s="6" t="n">
        <f aca="false">Sens!J18465*(1+Sens!K18466)</f>
        <v>44.7461120525893</v>
      </c>
      <c r="L18465" s="12" t="s">
        <v>1034</v>
      </c>
    </row>
    <row r="18466" customFormat="false" ht="15" hidden="false" customHeight="false" outlineLevel="0" collapsed="false">
      <c r="A18466" s="1" t="s">
        <v>1024</v>
      </c>
      <c r="B18466" s="0" t="s">
        <v>168</v>
      </c>
      <c r="E18466" s="7" t="n">
        <f aca="false">Sens!E18465/Sens!D18465-1</f>
        <v>0.0535164307309768</v>
      </c>
      <c r="F18466" s="7" t="n">
        <f aca="false">Sens!$E$18466+(glt_lic-Sens!$E$18466)*MIN(1,(Sens!F18415-base_fy)/n_conv)</f>
        <v>0.0479303589424807</v>
      </c>
      <c r="G18466" s="7" t="n">
        <f aca="false">Sens!$E$18466+(glt_lic-Sens!$E$18466)*MIN(1,(Sens!G18415-base_fy)/n_conv)</f>
        <v>0.0423442871539845</v>
      </c>
      <c r="H18466" s="7" t="n">
        <f aca="false">Sens!$E$18466+(glt_lic-Sens!$E$18466)*MIN(1,(Sens!H18415-base_fy)/n_conv)</f>
        <v>0.0367582153654884</v>
      </c>
      <c r="I18466" s="7" t="n">
        <f aca="false">Sens!$E$18466+(glt_lic-Sens!$E$18466)*MIN(1,(Sens!I18415-base_fy)/n_conv)</f>
        <v>0.0311721435769923</v>
      </c>
      <c r="J18466" s="7" t="n">
        <f aca="false">Sens!$E$18466+(glt_lic-Sens!$E$18466)*MIN(1,(Sens!J18415-base_fy)/n_conv)</f>
        <v>0.0255860717884961</v>
      </c>
      <c r="K18466" s="7" t="n">
        <f aca="false">Sens!$E$18466+(glt_lic-Sens!$E$18466)*MIN(1,(Sens!K18415-base_fy)/n_conv)</f>
        <v>0.02</v>
      </c>
    </row>
    <row r="18467" customFormat="false" ht="17.15" hidden="false" customHeight="false" outlineLevel="0" collapsed="false">
      <c r="A18467" s="0" t="s">
        <v>1035</v>
      </c>
      <c r="B18467" s="0" t="s">
        <v>98</v>
      </c>
      <c r="D18467" s="6" t="n">
        <f aca="false">Q!L9</f>
        <v>18.417</v>
      </c>
      <c r="E18467" s="6" t="n">
        <f aca="false">Q!M9</f>
        <v>20.345</v>
      </c>
      <c r="F18467" s="6" t="n">
        <f aca="false">Q!$I$9+(Q!M9-Q!$E$9)*(1+Sens!F18468)</f>
        <v>22.3161797133988</v>
      </c>
      <c r="G18467" s="6" t="n">
        <f aca="false">Sens!F18467*(1+Sens!G18468)</f>
        <v>24.3943499673233</v>
      </c>
      <c r="H18467" s="6" t="n">
        <f aca="false">Sens!G18467*(1+Sens!H18468)</f>
        <v>26.5250243109019</v>
      </c>
      <c r="I18467" s="6" t="n">
        <f aca="false">Sens!H18467*(1+Sens!I18468)</f>
        <v>28.6884573538181</v>
      </c>
      <c r="J18467" s="6" t="n">
        <f aca="false">Sens!I18467*(1+Sens!J18468)</f>
        <v>30.8624968052127</v>
      </c>
      <c r="K18467" s="6" t="n">
        <f aca="false">Sens!J18467*(1+Sens!K18468)</f>
        <v>33.0228715815776</v>
      </c>
      <c r="L18467" s="12" t="s">
        <v>1034</v>
      </c>
    </row>
    <row r="18468" customFormat="false" ht="15" hidden="false" customHeight="false" outlineLevel="0" collapsed="false">
      <c r="A18468" s="1" t="s">
        <v>1024</v>
      </c>
      <c r="B18468" s="0" t="s">
        <v>168</v>
      </c>
      <c r="E18468" s="7" t="n">
        <f aca="false">Sens!E18467/Sens!D18467-1</f>
        <v>0.104685888038225</v>
      </c>
      <c r="F18468" s="7" t="n">
        <f aca="false">Sens!$E$18468+(glt_ind-Sens!$E$18468)*MIN(1,(Sens!F18415-base_fy)/n_conv)</f>
        <v>0.0989049066985211</v>
      </c>
      <c r="G18468" s="7" t="n">
        <f aca="false">Sens!$E$18468+(glt_ind-Sens!$E$18468)*MIN(1,(Sens!G18415-base_fy)/n_conv)</f>
        <v>0.0931239253588169</v>
      </c>
      <c r="H18468" s="7" t="n">
        <f aca="false">Sens!$E$18468+(glt_ind-Sens!$E$18468)*MIN(1,(Sens!H18415-base_fy)/n_conv)</f>
        <v>0.0873429440191127</v>
      </c>
      <c r="I18468" s="7" t="n">
        <f aca="false">Sens!$E$18468+(glt_ind-Sens!$E$18468)*MIN(1,(Sens!I18415-base_fy)/n_conv)</f>
        <v>0.0815619626794085</v>
      </c>
      <c r="J18468" s="7" t="n">
        <f aca="false">Sens!$E$18468+(glt_ind-Sens!$E$18468)*MIN(1,(Sens!J18415-base_fy)/n_conv)</f>
        <v>0.0757809813397042</v>
      </c>
      <c r="K18468" s="7" t="n">
        <f aca="false">Sens!$E$18468+(glt_ind-Sens!$E$18468)*MIN(1,(Sens!K18415-base_fy)/n_conv)</f>
        <v>0.07</v>
      </c>
    </row>
    <row r="18469" customFormat="false" ht="17.15" hidden="false" customHeight="false" outlineLevel="0" collapsed="false">
      <c r="A18469" s="0" t="s">
        <v>1036</v>
      </c>
      <c r="B18469" s="0" t="s">
        <v>98</v>
      </c>
      <c r="D18469" s="6" t="n">
        <f aca="false">Q!L10</f>
        <v>7.76</v>
      </c>
      <c r="E18469" s="6" t="n">
        <f aca="false">Q!M10</f>
        <v>8.26</v>
      </c>
      <c r="F18469" s="6" t="n">
        <f aca="false">Q!$I$10+(Q!M10-Q!$E$10)*(1+Sens!F18470)</f>
        <v>8.75372082474227</v>
      </c>
      <c r="G18469" s="6" t="n">
        <f aca="false">Sens!F18469*(1+Sens!G18470)</f>
        <v>9.33399324642364</v>
      </c>
      <c r="H18469" s="6" t="n">
        <f aca="false">Sens!G18469*(1+Sens!H18470)</f>
        <v>9.96139155535851</v>
      </c>
      <c r="I18469" s="6" t="n">
        <f aca="false">Sens!H18469*(1+Sens!I18470)</f>
        <v>10.6402039077391</v>
      </c>
      <c r="J18469" s="6" t="n">
        <f aca="false">Sens!I18469*(1+Sens!J18470)</f>
        <v>11.3751458271397</v>
      </c>
      <c r="K18469" s="6" t="n">
        <f aca="false">Sens!J18469*(1+Sens!K18470)</f>
        <v>12.1714060350394</v>
      </c>
      <c r="L18469" s="12" t="s">
        <v>1034</v>
      </c>
    </row>
    <row r="18470" customFormat="false" ht="15" hidden="false" customHeight="false" outlineLevel="0" collapsed="false">
      <c r="A18470" s="1" t="s">
        <v>1024</v>
      </c>
      <c r="B18470" s="0" t="s">
        <v>168</v>
      </c>
      <c r="E18470" s="7" t="n">
        <f aca="false">Sens!E18469/Sens!D18469-1</f>
        <v>0.0644329896907216</v>
      </c>
      <c r="F18470" s="7" t="n">
        <f aca="false">Sens!$E$18470+(glt_fro-Sens!$E$18470)*MIN(1,(Sens!F18415-base_fy)/n_conv)</f>
        <v>0.065360824742268</v>
      </c>
      <c r="G18470" s="7" t="n">
        <f aca="false">Sens!$E$18470+(glt_fro-Sens!$E$18470)*MIN(1,(Sens!G18415-base_fy)/n_conv)</f>
        <v>0.0662886597938144</v>
      </c>
      <c r="H18470" s="7" t="n">
        <f aca="false">Sens!$E$18470+(glt_fro-Sens!$E$18470)*MIN(1,(Sens!H18415-base_fy)/n_conv)</f>
        <v>0.0672164948453608</v>
      </c>
      <c r="I18470" s="7" t="n">
        <f aca="false">Sens!$E$18470+(glt_fro-Sens!$E$18470)*MIN(1,(Sens!I18415-base_fy)/n_conv)</f>
        <v>0.0681443298969072</v>
      </c>
      <c r="J18470" s="7" t="n">
        <f aca="false">Sens!$E$18470+(glt_fro-Sens!$E$18470)*MIN(1,(Sens!J18415-base_fy)/n_conv)</f>
        <v>0.0690721649484536</v>
      </c>
      <c r="K18470" s="7" t="n">
        <f aca="false">Sens!$E$18470+(glt_fro-Sens!$E$18470)*MIN(1,(Sens!K18415-base_fy)/n_conv)</f>
        <v>0.07</v>
      </c>
    </row>
    <row r="18471" customFormat="false" ht="15" hidden="false" customHeight="false" outlineLevel="0" collapsed="false">
      <c r="A18471" s="0" t="s">
        <v>852</v>
      </c>
      <c r="B18471" s="0" t="s">
        <v>98</v>
      </c>
      <c r="D18471" s="6" t="n">
        <f aca="false">Sens!D18459+Sens!D18464+Sens!D18465+Sens!D18467+Sens!D18469</f>
        <v>218.783</v>
      </c>
      <c r="E18471" s="6" t="n">
        <f aca="false">Sens!E18459+Sens!E18464+Sens!E18465+Sens!E18467+Sens!E18469</f>
        <v>268.127</v>
      </c>
      <c r="F18471" s="6" t="n">
        <f aca="false">Sens!F18459+Sens!F18464+Sens!F18465+Sens!F18467+Sens!F18469</f>
        <v>334.748096014336</v>
      </c>
      <c r="G18471" s="6" t="n">
        <f aca="false">Sens!G18459+Sens!G18464+Sens!G18465+Sens!G18467+Sens!G18469</f>
        <v>410.20243494969</v>
      </c>
      <c r="H18471" s="6" t="n">
        <f aca="false">Sens!H18459+Sens!H18464+Sens!H18465+Sens!H18467+Sens!H18469</f>
        <v>487.012857962939</v>
      </c>
      <c r="I18471" s="6" t="n">
        <f aca="false">Sens!I18459+Sens!I18464+Sens!I18465+Sens!I18467+Sens!I18469</f>
        <v>556.962928978464</v>
      </c>
      <c r="J18471" s="6" t="n">
        <f aca="false">Sens!J18459+Sens!J18464+Sens!J18465+Sens!J18467+Sens!J18469</f>
        <v>613.402001017124</v>
      </c>
      <c r="K18471" s="6" t="n">
        <f aca="false">Sens!K18459+Sens!K18464+Sens!K18465+Sens!K18467+Sens!K18469</f>
        <v>657.837590767618</v>
      </c>
    </row>
    <row r="18472" customFormat="false" ht="17.15" hidden="false" customHeight="false" outlineLevel="0" collapsed="false">
      <c r="A18472" s="0" t="s">
        <v>1037</v>
      </c>
      <c r="B18472" s="0" t="s">
        <v>98</v>
      </c>
      <c r="D18472" s="6" t="n">
        <f aca="false">Q!L13</f>
        <v>22.171</v>
      </c>
      <c r="E18472" s="6" t="n">
        <f aca="false">Q!M13</f>
        <v>24.835</v>
      </c>
      <c r="F18472" s="6" t="n">
        <f aca="false">Q!$I$13+(Q!M13-Q!$E$13)*(1+Sens!F18473)</f>
        <v>27.5591895660247</v>
      </c>
      <c r="G18472" s="6" t="n">
        <f aca="false">Sens!F18472*(1+Sens!G18473)</f>
        <v>30.4098563144583</v>
      </c>
      <c r="H18472" s="6" t="n">
        <f aca="false">Sens!G18472*(1+Sens!H18473)</f>
        <v>33.3011792571777</v>
      </c>
      <c r="I18472" s="6" t="n">
        <f aca="false">Sens!H18472*(1+Sens!I18473)</f>
        <v>36.189023797112</v>
      </c>
      <c r="J18472" s="6" t="n">
        <f aca="false">Sens!I18472*(1+Sens!J18473)</f>
        <v>39.0247773769199</v>
      </c>
      <c r="K18472" s="6" t="n">
        <f aca="false">Sens!J18472*(1+Sens!K18473)</f>
        <v>41.7565117933043</v>
      </c>
      <c r="L18472" s="12" t="s">
        <v>1034</v>
      </c>
    </row>
    <row r="18473" customFormat="false" ht="15" hidden="false" customHeight="false" outlineLevel="0" collapsed="false">
      <c r="A18473" s="1" t="s">
        <v>1024</v>
      </c>
      <c r="B18473" s="0" t="s">
        <v>168</v>
      </c>
      <c r="E18473" s="7" t="n">
        <f aca="false">Sens!E18472/Sens!D18472-1</f>
        <v>0.120156961796942</v>
      </c>
      <c r="F18473" s="7" t="n">
        <f aca="false">Sens!$E$18473+(glt_srch-Sens!$E$18473)*MIN(1,(Sens!F18415-base_fy)/n_conv)</f>
        <v>0.111797468164118</v>
      </c>
      <c r="G18473" s="7" t="n">
        <f aca="false">Sens!$E$18473+(glt_srch-Sens!$E$18473)*MIN(1,(Sens!G18415-base_fy)/n_conv)</f>
        <v>0.103437974531295</v>
      </c>
      <c r="H18473" s="7" t="n">
        <f aca="false">Sens!$E$18473+(glt_srch-Sens!$E$18473)*MIN(1,(Sens!H18415-base_fy)/n_conv)</f>
        <v>0.095078480898471</v>
      </c>
      <c r="I18473" s="7" t="n">
        <f aca="false">Sens!$E$18473+(glt_srch-Sens!$E$18473)*MIN(1,(Sens!I18415-base_fy)/n_conv)</f>
        <v>0.0867189872656474</v>
      </c>
      <c r="J18473" s="7" t="n">
        <f aca="false">Sens!$E$18473+(glt_srch-Sens!$E$18473)*MIN(1,(Sens!J18415-base_fy)/n_conv)</f>
        <v>0.0783594936328237</v>
      </c>
      <c r="K18473" s="7" t="n">
        <f aca="false">Sens!$E$18473+(glt_srch-Sens!$E$18473)*MIN(1,(Sens!K18415-base_fy)/n_conv)</f>
        <v>0.07</v>
      </c>
    </row>
    <row r="18474" customFormat="false" ht="17.15" hidden="false" customHeight="false" outlineLevel="0" collapsed="false">
      <c r="A18474" s="0" t="s">
        <v>1038</v>
      </c>
      <c r="B18474" s="0" t="s">
        <v>98</v>
      </c>
      <c r="D18474" s="6" t="n">
        <f aca="false">Q!L14</f>
        <v>23.455</v>
      </c>
      <c r="E18474" s="6" t="n">
        <f aca="false">Q!M14</f>
        <v>21.79</v>
      </c>
      <c r="F18474" s="6" t="n">
        <f aca="false">Q!$I$14+(Q!M14-Q!$E$14)*(1+Sens!F18475)</f>
        <v>20.7520981041711</v>
      </c>
      <c r="G18474" s="6" t="n">
        <f aca="false">Sens!F18474*(1+Sens!G18475)</f>
        <v>19.9083593495882</v>
      </c>
      <c r="H18474" s="6" t="n">
        <f aca="false">Sens!G18474*(1+Sens!H18475)</f>
        <v>19.4008256265831</v>
      </c>
      <c r="I18474" s="6" t="n">
        <f aca="false">Sens!H18474*(1+Sens!I18475)</f>
        <v>19.200434522122</v>
      </c>
      <c r="J18474" s="6" t="n">
        <f aca="false">Sens!I18474*(1+Sens!J18475)</f>
        <v>19.2932782348507</v>
      </c>
      <c r="K18474" s="6" t="n">
        <f aca="false">Sens!J18474*(1+Sens!K18475)</f>
        <v>19.6791437995477</v>
      </c>
      <c r="L18474" s="12" t="s">
        <v>1034</v>
      </c>
    </row>
    <row r="18475" customFormat="false" ht="15" hidden="false" customHeight="false" outlineLevel="0" collapsed="false">
      <c r="A18475" s="1" t="s">
        <v>1024</v>
      </c>
      <c r="B18475" s="0" t="s">
        <v>168</v>
      </c>
      <c r="E18475" s="7" t="n">
        <f aca="false">Sens!E18474/Sens!D18474-1</f>
        <v>-0.0709869963760392</v>
      </c>
      <c r="F18475" s="7" t="n">
        <f aca="false">Sens!$E$18475+(glt_xbox-Sens!$E$18475)*MIN(1,(Sens!F18415-base_fy)/n_conv)</f>
        <v>-0.0558224969800327</v>
      </c>
      <c r="G18475" s="7" t="n">
        <f aca="false">Sens!$E$18475+(glt_xbox-Sens!$E$18475)*MIN(1,(Sens!G18415-base_fy)/n_conv)</f>
        <v>-0.0406579975840262</v>
      </c>
      <c r="H18475" s="7" t="n">
        <f aca="false">Sens!$E$18475+(glt_xbox-Sens!$E$18475)*MIN(1,(Sens!H18415-base_fy)/n_conv)</f>
        <v>-0.0254934981880196</v>
      </c>
      <c r="I18475" s="7" t="n">
        <f aca="false">Sens!$E$18475+(glt_xbox-Sens!$E$18475)*MIN(1,(Sens!I18415-base_fy)/n_conv)</f>
        <v>-0.0103289987920131</v>
      </c>
      <c r="J18475" s="7" t="n">
        <f aca="false">Sens!$E$18475+(glt_xbox-Sens!$E$18475)*MIN(1,(Sens!J18415-base_fy)/n_conv)</f>
        <v>0.00483550060399347</v>
      </c>
      <c r="K18475" s="7" t="n">
        <f aca="false">Sens!$E$18475+(glt_xbox-Sens!$E$18475)*MIN(1,(Sens!K18415-base_fy)/n_conv)</f>
        <v>0.02</v>
      </c>
    </row>
    <row r="18476" customFormat="false" ht="17.15" hidden="false" customHeight="false" outlineLevel="0" collapsed="false">
      <c r="A18476" s="0" t="s">
        <v>1039</v>
      </c>
      <c r="B18476" s="0" t="s">
        <v>98</v>
      </c>
      <c r="D18476" s="6" t="n">
        <f aca="false">Q!L15</f>
        <v>17.315</v>
      </c>
      <c r="E18476" s="6" t="n">
        <f aca="false">Q!M15</f>
        <v>17.087</v>
      </c>
      <c r="F18476" s="6" t="n">
        <f aca="false">Q!$I$15+(Q!M15-Q!$E$15)*(1+g_q2_win)</f>
        <v>11.6994</v>
      </c>
      <c r="G18476" s="6" t="n">
        <f aca="false">Sens!F18476*(1+Sens!G18477)</f>
        <v>11.6746926329772</v>
      </c>
      <c r="H18476" s="6" t="n">
        <f aca="false">Sens!G18476*(1+Sens!H18477)</f>
        <v>11.7145747045475</v>
      </c>
      <c r="I18476" s="6" t="n">
        <f aca="false">Sens!H18476*(1+Sens!I18477)</f>
        <v>11.8193507447388</v>
      </c>
      <c r="J18476" s="6" t="n">
        <f aca="false">Sens!I18476*(1+Sens!J18477)</f>
        <v>11.9904008346869</v>
      </c>
      <c r="K18476" s="6" t="n">
        <f aca="false">Sens!J18476*(1+Sens!K18477)</f>
        <v>12.2302088513807</v>
      </c>
      <c r="L18476" s="12" t="s">
        <v>1034</v>
      </c>
    </row>
    <row r="18477" customFormat="false" ht="15" hidden="false" customHeight="false" outlineLevel="0" collapsed="false">
      <c r="A18477" s="1" t="s">
        <v>1024</v>
      </c>
      <c r="B18477" s="0" t="s">
        <v>168</v>
      </c>
      <c r="E18477" s="7" t="n">
        <f aca="false">Sens!E18476/Sens!D18476-1</f>
        <v>-0.0131677736066995</v>
      </c>
      <c r="F18477" s="7" t="n">
        <f aca="false">Sens!$E$18477+(glt_win-Sens!$E$18477)*MIN(1,(Sens!F18415-base_fy)/n_conv)</f>
        <v>-0.00763981133891627</v>
      </c>
      <c r="G18477" s="7" t="n">
        <f aca="false">Sens!$E$18477+(glt_win-Sens!$E$18477)*MIN(1,(Sens!G18415-base_fy)/n_conv)</f>
        <v>-0.00211184907113301</v>
      </c>
      <c r="H18477" s="7" t="n">
        <f aca="false">Sens!$E$18477+(glt_win-Sens!$E$18477)*MIN(1,(Sens!H18415-base_fy)/n_conv)</f>
        <v>0.00341611319665024</v>
      </c>
      <c r="I18477" s="7" t="n">
        <f aca="false">Sens!$E$18477+(glt_win-Sens!$E$18477)*MIN(1,(Sens!I18415-base_fy)/n_conv)</f>
        <v>0.00894407546443349</v>
      </c>
      <c r="J18477" s="7" t="n">
        <f aca="false">Sens!$E$18477+(glt_win-Sens!$E$18477)*MIN(1,(Sens!J18415-base_fy)/n_conv)</f>
        <v>0.0144720377322168</v>
      </c>
      <c r="K18477" s="7" t="n">
        <f aca="false">Sens!$E$18477+(glt_win-Sens!$E$18477)*MIN(1,(Sens!K18415-base_fy)/n_conv)</f>
        <v>0.02</v>
      </c>
    </row>
    <row r="18478" customFormat="false" ht="15" hidden="false" customHeight="false" outlineLevel="0" collapsed="false">
      <c r="A18478" s="0" t="s">
        <v>866</v>
      </c>
      <c r="B18478" s="0" t="s">
        <v>98</v>
      </c>
      <c r="D18478" s="6" t="n">
        <f aca="false">Sens!D18472+Sens!D18474+Sens!D18476</f>
        <v>62.941</v>
      </c>
      <c r="E18478" s="6" t="n">
        <f aca="false">Sens!E18472+Sens!E18474+Sens!E18476</f>
        <v>63.712</v>
      </c>
      <c r="F18478" s="6" t="n">
        <f aca="false">Sens!F18472+Sens!F18474+Sens!F18476</f>
        <v>60.0106876701958</v>
      </c>
      <c r="G18478" s="6" t="n">
        <f aca="false">Sens!G18472+Sens!G18474+Sens!G18476</f>
        <v>61.9929082970237</v>
      </c>
      <c r="H18478" s="6" t="n">
        <f aca="false">Sens!H18472+Sens!H18474+Sens!H18476</f>
        <v>64.4165795883084</v>
      </c>
      <c r="I18478" s="6" t="n">
        <f aca="false">Sens!I18472+Sens!I18474+Sens!I18476</f>
        <v>67.2088090639728</v>
      </c>
      <c r="J18478" s="6" t="n">
        <f aca="false">Sens!J18472+Sens!J18474+Sens!J18476</f>
        <v>70.3084564464575</v>
      </c>
      <c r="K18478" s="6" t="n">
        <f aca="false">Sens!K18472+Sens!K18474+Sens!K18476</f>
        <v>73.6658644442326</v>
      </c>
    </row>
    <row r="18479" customFormat="false" ht="15" hidden="false" customHeight="false" outlineLevel="0" collapsed="false">
      <c r="A18479" s="1" t="s">
        <v>1040</v>
      </c>
      <c r="B18479" s="0" t="s">
        <v>98</v>
      </c>
      <c r="D18479" s="6" t="n">
        <f aca="false">Sens!D18471+Sens!D18478</f>
        <v>281.724</v>
      </c>
      <c r="E18479" s="6" t="n">
        <f aca="false">Sens!E18471+Sens!E18478</f>
        <v>331.839</v>
      </c>
      <c r="F18479" s="6" t="n">
        <f aca="false">Sens!F18471+Sens!F18478</f>
        <v>394.758783684532</v>
      </c>
      <c r="G18479" s="6" t="n">
        <f aca="false">Sens!G18471+Sens!G18478</f>
        <v>472.195343246714</v>
      </c>
      <c r="H18479" s="6" t="n">
        <f aca="false">Sens!H18471+Sens!H18478</f>
        <v>551.429437551248</v>
      </c>
      <c r="I18479" s="6" t="n">
        <f aca="false">Sens!I18471+Sens!I18478</f>
        <v>624.171738042437</v>
      </c>
      <c r="J18479" s="6" t="n">
        <f aca="false">Sens!J18471+Sens!J18478</f>
        <v>683.710457463581</v>
      </c>
      <c r="K18479" s="6" t="n">
        <f aca="false">Sens!K18471+Sens!K18478</f>
        <v>731.503455211851</v>
      </c>
    </row>
    <row r="18480" customFormat="false" ht="15" hidden="false" customHeight="false" outlineLevel="0" collapsed="false">
      <c r="A18480" s="26" t="s">
        <v>1041</v>
      </c>
      <c r="B18480" s="31" t="s">
        <v>98</v>
      </c>
      <c r="C18480" s="31"/>
      <c r="D18480" s="27" t="n">
        <f aca="false">(Sens!D18459+Sens!D18464+Sens!D18465+Sens!D18467+Sens!D18469-Sens!D18471)+(Sens!D18472+Sens!D18474+Sens!D18476-Sens!D18478)+(Sens!D18471-Q!L5)+(Sens!D18478-Q!L12)+(Sens!D18459-Q!L6)+(Sens!D18464-Q!L7)</f>
        <v>0</v>
      </c>
      <c r="E18480" s="27" t="n">
        <f aca="false">(Sens!E18459+Sens!E18464+Sens!E18465+Sens!E18467+Sens!E18469-Sens!E18471)+(Sens!E18472+Sens!E18474+Sens!E18476-Sens!E18478)+(Sens!E18471-Q!M5)+(Sens!E18478-Q!M12)+(Sens!E18459-Q!M6)+(Sens!E18464-Q!M7)</f>
        <v>0</v>
      </c>
      <c r="F18480" s="27" t="n">
        <f aca="false">(Sens!F18459+Sens!F18464+Sens!F18465+Sens!F18467+Sens!F18469-Sens!F18471)+(Sens!F18472+Sens!F18474+Sens!F18476-Sens!F18478)</f>
        <v>0</v>
      </c>
      <c r="G18480" s="27" t="n">
        <f aca="false">(Sens!G18459+Sens!G18464+Sens!G18465+Sens!G18467+Sens!G18469-Sens!G18471)+(Sens!G18472+Sens!G18474+Sens!G18476-Sens!G18478)</f>
        <v>0</v>
      </c>
      <c r="H18480" s="27" t="n">
        <f aca="false">(Sens!H18459+Sens!H18464+Sens!H18465+Sens!H18467+Sens!H18469-Sens!H18471)+(Sens!H18472+Sens!H18474+Sens!H18476-Sens!H18478)</f>
        <v>0</v>
      </c>
      <c r="I18480" s="27" t="n">
        <f aca="false">(Sens!I18459+Sens!I18464+Sens!I18465+Sens!I18467+Sens!I18469-Sens!I18471)+(Sens!I18472+Sens!I18474+Sens!I18476-Sens!I18478)</f>
        <v>0</v>
      </c>
      <c r="J18480" s="27" t="n">
        <f aca="false">(Sens!J18459+Sens!J18464+Sens!J18465+Sens!J18467+Sens!J18469-Sens!J18471)+(Sens!J18472+Sens!J18474+Sens!J18476-Sens!J18478)</f>
        <v>0</v>
      </c>
      <c r="K18480" s="27" t="n">
        <f aca="false">(Sens!K18459+Sens!K18464+Sens!K18465+Sens!K18467+Sens!K18469-Sens!K18471)+(Sens!K18472+Sens!K18474+Sens!K18476-Sens!K18478)</f>
        <v>0</v>
      </c>
    </row>
    <row r="18481" customFormat="false" ht="17.15" hidden="false" customHeight="false" outlineLevel="0" collapsed="false">
      <c r="A18481" s="3" t="s">
        <v>1936</v>
      </c>
    </row>
    <row r="18482" customFormat="false" ht="15" hidden="false" customHeight="false" outlineLevel="0" collapsed="false">
      <c r="A18482" s="4" t="s">
        <v>43</v>
      </c>
      <c r="B18482" s="4" t="s">
        <v>65</v>
      </c>
      <c r="C18482" s="23" t="s">
        <v>938</v>
      </c>
      <c r="D18482" s="23" t="s">
        <v>939</v>
      </c>
      <c r="E18482" s="23" t="s">
        <v>940</v>
      </c>
      <c r="F18482" s="23" t="s">
        <v>941</v>
      </c>
      <c r="G18482" s="23" t="s">
        <v>942</v>
      </c>
      <c r="H18482" s="23" t="s">
        <v>943</v>
      </c>
      <c r="I18482" s="23" t="s">
        <v>944</v>
      </c>
      <c r="J18482" s="23" t="s">
        <v>945</v>
      </c>
      <c r="K18482" s="23" t="s">
        <v>946</v>
      </c>
      <c r="L18482" s="4" t="s">
        <v>47</v>
      </c>
    </row>
    <row r="18483" customFormat="false" ht="15" hidden="false" customHeight="false" outlineLevel="0" collapsed="false">
      <c r="A18483" s="0" t="s">
        <v>1025</v>
      </c>
      <c r="B18483" s="0" t="s">
        <v>98</v>
      </c>
      <c r="D18483" s="6" t="n">
        <f aca="false">Sens!D18459</f>
        <v>72.61</v>
      </c>
      <c r="E18483" s="6" t="n">
        <f aca="false">Sens!E18459</f>
        <v>101.938</v>
      </c>
      <c r="F18483" s="6" t="n">
        <f aca="false">Sens!F18459</f>
        <v>146.709048000181</v>
      </c>
      <c r="G18483" s="6" t="n">
        <f aca="false">Sens!G18459</f>
        <v>199.762829861393</v>
      </c>
      <c r="H18483" s="6" t="n">
        <f aca="false">Sens!H18459</f>
        <v>254.146566109645</v>
      </c>
      <c r="I18483" s="6" t="n">
        <f aca="false">Sens!I18459</f>
        <v>303.439446964617</v>
      </c>
      <c r="J18483" s="6" t="n">
        <f aca="false">Sens!J18459</f>
        <v>341.309898459739</v>
      </c>
      <c r="K18483" s="6" t="n">
        <f aca="false">Sens!K18459</f>
        <v>368.09747789654</v>
      </c>
    </row>
    <row r="18484" customFormat="false" ht="17.15" hidden="false" customHeight="false" outlineLevel="0" collapsed="false">
      <c r="A18484" s="0" t="s">
        <v>1021</v>
      </c>
      <c r="B18484" s="0" t="s">
        <v>98</v>
      </c>
      <c r="D18484" s="6" t="n">
        <f aca="false">Sens!D18456</f>
        <v>12.9359794422418</v>
      </c>
      <c r="E18484" s="6" t="n">
        <f aca="false">Sens!E18456</f>
        <v>27.8095064661409</v>
      </c>
      <c r="F18484" s="6" t="n">
        <f aca="false">Sens!F18456</f>
        <v>55.4118315060966</v>
      </c>
      <c r="G18484" s="6" t="n">
        <f aca="false">Sens!G18456</f>
        <v>91.2881100675143</v>
      </c>
      <c r="H18484" s="6" t="n">
        <f aca="false">Sens!H18456</f>
        <v>128.195273603944</v>
      </c>
      <c r="I18484" s="6" t="n">
        <f aca="false">Sens!I18456</f>
        <v>160.601281810405</v>
      </c>
      <c r="J18484" s="6" t="n">
        <f aca="false">Sens!J18456</f>
        <v>183.182719793589</v>
      </c>
      <c r="K18484" s="6" t="n">
        <f aca="false">Sens!K18456</f>
        <v>197.320124937098</v>
      </c>
    </row>
    <row r="18485" customFormat="false" ht="17.15" hidden="false" customHeight="false" outlineLevel="0" collapsed="false">
      <c r="A18485" s="0" t="s">
        <v>1052</v>
      </c>
      <c r="B18485" s="0" t="s">
        <v>98</v>
      </c>
      <c r="D18485" s="6" t="n">
        <f aca="false">Sens!D18457</f>
        <v>59.6740205577583</v>
      </c>
      <c r="E18485" s="6" t="n">
        <f aca="false">Sens!E18457</f>
        <v>74.1284935338591</v>
      </c>
      <c r="F18485" s="6" t="n">
        <f aca="false">Sens!F18457</f>
        <v>91.2972164940844</v>
      </c>
      <c r="G18485" s="6" t="n">
        <f aca="false">Sens!G18457</f>
        <v>108.474719793879</v>
      </c>
      <c r="H18485" s="6" t="n">
        <f aca="false">Sens!H18457</f>
        <v>125.951292505701</v>
      </c>
      <c r="I18485" s="6" t="n">
        <f aca="false">Sens!I18457</f>
        <v>142.838165154212</v>
      </c>
      <c r="J18485" s="6" t="n">
        <f aca="false">Sens!J18457</f>
        <v>158.12717866615</v>
      </c>
      <c r="K18485" s="6" t="n">
        <f aca="false">Sens!K18457</f>
        <v>170.777352959442</v>
      </c>
    </row>
    <row r="18486" customFormat="false" ht="15" hidden="false" customHeight="false" outlineLevel="0" collapsed="false">
      <c r="A18486" s="0" t="s">
        <v>1032</v>
      </c>
      <c r="B18486" s="0" t="s">
        <v>98</v>
      </c>
      <c r="D18486" s="6" t="n">
        <f aca="false">Sens!D18464</f>
        <v>84.605</v>
      </c>
      <c r="E18486" s="6" t="n">
        <f aca="false">Sens!E18464</f>
        <v>100.299</v>
      </c>
      <c r="F18486" s="6" t="n">
        <f aca="false">Sens!F18464</f>
        <v>118.584003697747</v>
      </c>
      <c r="G18486" s="6" t="n">
        <f aca="false">Sens!G18464</f>
        <v>136.700726545688</v>
      </c>
      <c r="H18486" s="6" t="n">
        <f aca="false">Sens!H18464</f>
        <v>154.898624783666</v>
      </c>
      <c r="I18486" s="6" t="n">
        <f aca="false">Sens!I18464</f>
        <v>171.420510030657</v>
      </c>
      <c r="J18486" s="6" t="n">
        <f aca="false">Sens!J18464</f>
        <v>185.985722618572</v>
      </c>
      <c r="K18486" s="6" t="n">
        <f aca="false">Sens!K18464</f>
        <v>199.799723201872</v>
      </c>
    </row>
    <row r="18487" customFormat="false" ht="17.15" hidden="false" customHeight="false" outlineLevel="0" collapsed="false">
      <c r="A18487" s="0" t="s">
        <v>1053</v>
      </c>
      <c r="B18487" s="0" t="s">
        <v>98</v>
      </c>
      <c r="D18487" s="6" t="n">
        <f aca="false">Sens!D18462</f>
        <v>83.705</v>
      </c>
      <c r="E18487" s="6" t="n">
        <f aca="false">Sens!E18462</f>
        <v>95.049</v>
      </c>
      <c r="F18487" s="6" t="n">
        <f aca="false">Sens!F18462</f>
        <v>106.584003697747</v>
      </c>
      <c r="G18487" s="6" t="n">
        <f aca="false">Sens!G18462</f>
        <v>118.700726545688</v>
      </c>
      <c r="H18487" s="6" t="n">
        <f aca="false">Sens!H18462</f>
        <v>130.898624783666</v>
      </c>
      <c r="I18487" s="6" t="n">
        <f aca="false">Sens!I18462</f>
        <v>142.920510030657</v>
      </c>
      <c r="J18487" s="6" t="n">
        <f aca="false">Sens!J18462</f>
        <v>154.485722618572</v>
      </c>
      <c r="K18487" s="6" t="n">
        <f aca="false">Sens!K18462</f>
        <v>165.299723201872</v>
      </c>
    </row>
    <row r="18488" customFormat="false" ht="17.15" hidden="false" customHeight="false" outlineLevel="0" collapsed="false">
      <c r="A18488" s="0" t="s">
        <v>1054</v>
      </c>
      <c r="B18488" s="0" t="s">
        <v>98</v>
      </c>
      <c r="D18488" s="6" t="n">
        <f aca="false">Sens!D18461</f>
        <v>0.9</v>
      </c>
      <c r="E18488" s="6" t="n">
        <f aca="false">Sens!E18461</f>
        <v>5.25</v>
      </c>
      <c r="F18488" s="6" t="n">
        <f aca="false">Sens!F18461</f>
        <v>12</v>
      </c>
      <c r="G18488" s="6" t="n">
        <f aca="false">Sens!G18461</f>
        <v>18</v>
      </c>
      <c r="H18488" s="6" t="n">
        <f aca="false">Sens!H18461</f>
        <v>24</v>
      </c>
      <c r="I18488" s="6" t="n">
        <f aca="false">Sens!I18461</f>
        <v>28.5</v>
      </c>
      <c r="J18488" s="6" t="n">
        <f aca="false">Sens!J18461</f>
        <v>31.5</v>
      </c>
      <c r="K18488" s="6" t="n">
        <f aca="false">Sens!K18461</f>
        <v>34.5</v>
      </c>
    </row>
    <row r="18489" customFormat="false" ht="15" hidden="false" customHeight="false" outlineLevel="0" collapsed="false">
      <c r="A18489" s="0" t="s">
        <v>1033</v>
      </c>
      <c r="B18489" s="0" t="s">
        <v>98</v>
      </c>
      <c r="D18489" s="6" t="n">
        <f aca="false">Sens!D18465</f>
        <v>35.391</v>
      </c>
      <c r="E18489" s="6" t="n">
        <f aca="false">Sens!E18465</f>
        <v>37.285</v>
      </c>
      <c r="F18489" s="6" t="n">
        <f aca="false">Sens!F18465</f>
        <v>38.3851437782675</v>
      </c>
      <c r="G18489" s="6" t="n">
        <f aca="false">Sens!G18465</f>
        <v>40.0105353288615</v>
      </c>
      <c r="H18489" s="6" t="n">
        <f aca="false">Sens!H18465</f>
        <v>41.4812512033683</v>
      </c>
      <c r="I18489" s="6" t="n">
        <f aca="false">Sens!I18465</f>
        <v>42.7743107216329</v>
      </c>
      <c r="J18489" s="6" t="n">
        <f aca="false">Sens!J18465</f>
        <v>43.8687373064601</v>
      </c>
      <c r="K18489" s="6" t="n">
        <f aca="false">Sens!K18465</f>
        <v>44.7461120525893</v>
      </c>
    </row>
    <row r="18490" customFormat="false" ht="15" hidden="false" customHeight="false" outlineLevel="0" collapsed="false">
      <c r="A18490" s="0" t="s">
        <v>1035</v>
      </c>
      <c r="B18490" s="0" t="s">
        <v>98</v>
      </c>
      <c r="D18490" s="6" t="n">
        <f aca="false">Sens!D18467</f>
        <v>18.417</v>
      </c>
      <c r="E18490" s="6" t="n">
        <f aca="false">Sens!E18467</f>
        <v>20.345</v>
      </c>
      <c r="F18490" s="6" t="n">
        <f aca="false">Sens!F18467</f>
        <v>22.3161797133988</v>
      </c>
      <c r="G18490" s="6" t="n">
        <f aca="false">Sens!G18467</f>
        <v>24.3943499673233</v>
      </c>
      <c r="H18490" s="6" t="n">
        <f aca="false">Sens!H18467</f>
        <v>26.5250243109019</v>
      </c>
      <c r="I18490" s="6" t="n">
        <f aca="false">Sens!I18467</f>
        <v>28.6884573538181</v>
      </c>
      <c r="J18490" s="6" t="n">
        <f aca="false">Sens!J18467</f>
        <v>30.8624968052127</v>
      </c>
      <c r="K18490" s="6" t="n">
        <f aca="false">Sens!K18467</f>
        <v>33.0228715815776</v>
      </c>
    </row>
    <row r="18491" customFormat="false" ht="15" hidden="false" customHeight="false" outlineLevel="0" collapsed="false">
      <c r="A18491" s="0" t="s">
        <v>1036</v>
      </c>
      <c r="B18491" s="0" t="s">
        <v>98</v>
      </c>
      <c r="D18491" s="6" t="n">
        <f aca="false">Sens!D18469</f>
        <v>7.76</v>
      </c>
      <c r="E18491" s="6" t="n">
        <f aca="false">Sens!E18469</f>
        <v>8.26</v>
      </c>
      <c r="F18491" s="6" t="n">
        <f aca="false">Sens!F18469</f>
        <v>8.75372082474227</v>
      </c>
      <c r="G18491" s="6" t="n">
        <f aca="false">Sens!G18469</f>
        <v>9.33399324642364</v>
      </c>
      <c r="H18491" s="6" t="n">
        <f aca="false">Sens!H18469</f>
        <v>9.96139155535851</v>
      </c>
      <c r="I18491" s="6" t="n">
        <f aca="false">Sens!I18469</f>
        <v>10.6402039077391</v>
      </c>
      <c r="J18491" s="6" t="n">
        <f aca="false">Sens!J18469</f>
        <v>11.3751458271397</v>
      </c>
      <c r="K18491" s="6" t="n">
        <f aca="false">Sens!K18469</f>
        <v>12.1714060350394</v>
      </c>
    </row>
    <row r="18492" customFormat="false" ht="15" hidden="false" customHeight="false" outlineLevel="0" collapsed="false">
      <c r="A18492" s="0" t="s">
        <v>852</v>
      </c>
      <c r="B18492" s="0" t="s">
        <v>98</v>
      </c>
      <c r="D18492" s="6" t="n">
        <f aca="false">Sens!D18471</f>
        <v>218.783</v>
      </c>
      <c r="E18492" s="6" t="n">
        <f aca="false">Sens!E18471</f>
        <v>268.127</v>
      </c>
      <c r="F18492" s="6" t="n">
        <f aca="false">Sens!F18471</f>
        <v>334.748096014336</v>
      </c>
      <c r="G18492" s="6" t="n">
        <f aca="false">Sens!G18471</f>
        <v>410.20243494969</v>
      </c>
      <c r="H18492" s="6" t="n">
        <f aca="false">Sens!H18471</f>
        <v>487.012857962939</v>
      </c>
      <c r="I18492" s="6" t="n">
        <f aca="false">Sens!I18471</f>
        <v>556.962928978464</v>
      </c>
      <c r="J18492" s="6" t="n">
        <f aca="false">Sens!J18471</f>
        <v>613.402001017124</v>
      </c>
      <c r="K18492" s="6" t="n">
        <f aca="false">Sens!K18471</f>
        <v>657.837590767618</v>
      </c>
    </row>
    <row r="18493" customFormat="false" ht="15" hidden="false" customHeight="false" outlineLevel="0" collapsed="false">
      <c r="A18493" s="0" t="s">
        <v>1037</v>
      </c>
      <c r="B18493" s="0" t="s">
        <v>98</v>
      </c>
      <c r="D18493" s="6" t="n">
        <f aca="false">Sens!D18472</f>
        <v>22.171</v>
      </c>
      <c r="E18493" s="6" t="n">
        <f aca="false">Sens!E18472</f>
        <v>24.835</v>
      </c>
      <c r="F18493" s="6" t="n">
        <f aca="false">Sens!F18472</f>
        <v>27.5591895660247</v>
      </c>
      <c r="G18493" s="6" t="n">
        <f aca="false">Sens!G18472</f>
        <v>30.4098563144583</v>
      </c>
      <c r="H18493" s="6" t="n">
        <f aca="false">Sens!H18472</f>
        <v>33.3011792571777</v>
      </c>
      <c r="I18493" s="6" t="n">
        <f aca="false">Sens!I18472</f>
        <v>36.189023797112</v>
      </c>
      <c r="J18493" s="6" t="n">
        <f aca="false">Sens!J18472</f>
        <v>39.0247773769199</v>
      </c>
      <c r="K18493" s="6" t="n">
        <f aca="false">Sens!K18472</f>
        <v>41.7565117933043</v>
      </c>
    </row>
    <row r="18494" customFormat="false" ht="15" hidden="false" customHeight="false" outlineLevel="0" collapsed="false">
      <c r="A18494" s="0" t="s">
        <v>1038</v>
      </c>
      <c r="B18494" s="0" t="s">
        <v>98</v>
      </c>
      <c r="D18494" s="6" t="n">
        <f aca="false">Sens!D18474</f>
        <v>23.455</v>
      </c>
      <c r="E18494" s="6" t="n">
        <f aca="false">Sens!E18474</f>
        <v>21.79</v>
      </c>
      <c r="F18494" s="6" t="n">
        <f aca="false">Sens!F18474</f>
        <v>20.7520981041711</v>
      </c>
      <c r="G18494" s="6" t="n">
        <f aca="false">Sens!G18474</f>
        <v>19.9083593495882</v>
      </c>
      <c r="H18494" s="6" t="n">
        <f aca="false">Sens!H18474</f>
        <v>19.4008256265831</v>
      </c>
      <c r="I18494" s="6" t="n">
        <f aca="false">Sens!I18474</f>
        <v>19.200434522122</v>
      </c>
      <c r="J18494" s="6" t="n">
        <f aca="false">Sens!J18474</f>
        <v>19.2932782348507</v>
      </c>
      <c r="K18494" s="6" t="n">
        <f aca="false">Sens!K18474</f>
        <v>19.6791437995477</v>
      </c>
    </row>
    <row r="18495" customFormat="false" ht="15" hidden="false" customHeight="false" outlineLevel="0" collapsed="false">
      <c r="A18495" s="0" t="s">
        <v>1039</v>
      </c>
      <c r="B18495" s="0" t="s">
        <v>98</v>
      </c>
      <c r="D18495" s="6" t="n">
        <f aca="false">Sens!D18476</f>
        <v>17.315</v>
      </c>
      <c r="E18495" s="6" t="n">
        <f aca="false">Sens!E18476</f>
        <v>17.087</v>
      </c>
      <c r="F18495" s="6" t="n">
        <f aca="false">Sens!F18476</f>
        <v>11.6994</v>
      </c>
      <c r="G18495" s="6" t="n">
        <f aca="false">Sens!G18476</f>
        <v>11.6746926329772</v>
      </c>
      <c r="H18495" s="6" t="n">
        <f aca="false">Sens!H18476</f>
        <v>11.7145747045475</v>
      </c>
      <c r="I18495" s="6" t="n">
        <f aca="false">Sens!I18476</f>
        <v>11.8193507447388</v>
      </c>
      <c r="J18495" s="6" t="n">
        <f aca="false">Sens!J18476</f>
        <v>11.9904008346869</v>
      </c>
      <c r="K18495" s="6" t="n">
        <f aca="false">Sens!K18476</f>
        <v>12.2302088513807</v>
      </c>
    </row>
    <row r="18496" customFormat="false" ht="15" hidden="false" customHeight="false" outlineLevel="0" collapsed="false">
      <c r="A18496" s="0" t="s">
        <v>866</v>
      </c>
      <c r="B18496" s="0" t="s">
        <v>98</v>
      </c>
      <c r="D18496" s="6" t="n">
        <f aca="false">Sens!D18478</f>
        <v>62.941</v>
      </c>
      <c r="E18496" s="6" t="n">
        <f aca="false">Sens!E18478</f>
        <v>63.712</v>
      </c>
      <c r="F18496" s="6" t="n">
        <f aca="false">Sens!F18478</f>
        <v>60.0106876701958</v>
      </c>
      <c r="G18496" s="6" t="n">
        <f aca="false">Sens!G18478</f>
        <v>61.9929082970237</v>
      </c>
      <c r="H18496" s="6" t="n">
        <f aca="false">Sens!H18478</f>
        <v>64.4165795883084</v>
      </c>
      <c r="I18496" s="6" t="n">
        <f aca="false">Sens!I18478</f>
        <v>67.2088090639728</v>
      </c>
      <c r="J18496" s="6" t="n">
        <f aca="false">Sens!J18478</f>
        <v>70.3084564464575</v>
      </c>
      <c r="K18496" s="6" t="n">
        <f aca="false">Sens!K18478</f>
        <v>73.6658644442326</v>
      </c>
    </row>
    <row r="18497" customFormat="false" ht="15" hidden="false" customHeight="false" outlineLevel="0" collapsed="false">
      <c r="A18497" s="1" t="s">
        <v>1055</v>
      </c>
      <c r="B18497" s="0" t="s">
        <v>98</v>
      </c>
      <c r="D18497" s="6" t="n">
        <f aca="false">Sens!D18479</f>
        <v>281.724</v>
      </c>
      <c r="E18497" s="6" t="n">
        <f aca="false">Sens!E18479</f>
        <v>331.839</v>
      </c>
      <c r="F18497" s="6" t="n">
        <f aca="false">Sens!F18479</f>
        <v>394.758783684532</v>
      </c>
      <c r="G18497" s="6" t="n">
        <f aca="false">Sens!G18479</f>
        <v>472.195343246714</v>
      </c>
      <c r="H18497" s="6" t="n">
        <f aca="false">Sens!H18479</f>
        <v>551.429437551248</v>
      </c>
      <c r="I18497" s="6" t="n">
        <f aca="false">Sens!I18479</f>
        <v>624.171738042437</v>
      </c>
      <c r="J18497" s="6" t="n">
        <f aca="false">Sens!J18479</f>
        <v>683.710457463581</v>
      </c>
      <c r="K18497" s="6" t="n">
        <f aca="false">Sens!K18479</f>
        <v>731.503455211851</v>
      </c>
    </row>
    <row r="18498" customFormat="false" ht="15" hidden="false" customHeight="false" outlineLevel="0" collapsed="false">
      <c r="A18498" s="1" t="s">
        <v>1056</v>
      </c>
      <c r="B18498" s="0" t="s">
        <v>168</v>
      </c>
      <c r="E18498" s="7" t="n">
        <f aca="false">Sens!E18497/Sens!D18497-1</f>
        <v>0.177886867998467</v>
      </c>
      <c r="F18498" s="7" t="n">
        <f aca="false">Sens!F18497/Sens!E18497-1</f>
        <v>0.189609369858673</v>
      </c>
      <c r="G18498" s="7" t="n">
        <f aca="false">Sens!G18497/Sens!F18497-1</f>
        <v>0.196161713843115</v>
      </c>
      <c r="H18498" s="7" t="n">
        <f aca="false">Sens!H18497/Sens!G18497-1</f>
        <v>0.167799397935053</v>
      </c>
      <c r="I18498" s="7" t="n">
        <f aca="false">Sens!I18497/Sens!H18497-1</f>
        <v>0.131915881774862</v>
      </c>
      <c r="J18498" s="7" t="n">
        <f aca="false">Sens!J18497/Sens!I18497-1</f>
        <v>0.095388361555544</v>
      </c>
      <c r="K18498" s="7" t="n">
        <f aca="false">Sens!K18497/Sens!J18497-1</f>
        <v>0.0699023939542647</v>
      </c>
    </row>
    <row r="18499" customFormat="false" ht="17.15" hidden="false" customHeight="false" outlineLevel="0" collapsed="false">
      <c r="A18499" s="26" t="s">
        <v>1057</v>
      </c>
      <c r="B18499" s="31" t="s">
        <v>98</v>
      </c>
      <c r="C18499" s="31"/>
      <c r="D18499" s="27" t="n">
        <f aca="false">(Sens!D18492+Sens!D18496-Sens!D18497)+(Sens!D18484+Sens!D18485-Sens!D18483)+(Sens!D18487+Sens!D18488-Sens!D18486)+(Sens!D18497-Q!L18)</f>
        <v>0</v>
      </c>
      <c r="E18499" s="27" t="n">
        <f aca="false">(Sens!E18492+Sens!E18496-Sens!E18497)+(Sens!E18484+Sens!E18485-Sens!E18483)+(Sens!E18487+Sens!E18488-Sens!E18486)+(Sens!E18497-Q!M18)</f>
        <v>0</v>
      </c>
      <c r="F18499" s="27" t="n">
        <f aca="false">(Sens!F18492+Sens!F18496-Sens!F18497)+(Sens!F18484+Sens!F18485-Sens!F18483)+(Sens!F18487+Sens!F18488-Sens!F18486)</f>
        <v>0</v>
      </c>
      <c r="G18499" s="27" t="n">
        <f aca="false">(Sens!G18492+Sens!G18496-Sens!G18497)+(Sens!G18484+Sens!G18485-Sens!G18483)+(Sens!G18487+Sens!G18488-Sens!G18486)</f>
        <v>0</v>
      </c>
      <c r="H18499" s="27" t="n">
        <f aca="false">(Sens!H18492+Sens!H18496-Sens!H18497)+(Sens!H18484+Sens!H18485-Sens!H18483)+(Sens!H18487+Sens!H18488-Sens!H18486)</f>
        <v>0</v>
      </c>
      <c r="I18499" s="27" t="n">
        <f aca="false">(Sens!I18492+Sens!I18496-Sens!I18497)+(Sens!I18484+Sens!I18485-Sens!I18483)+(Sens!I18487+Sens!I18488-Sens!I18486)</f>
        <v>0</v>
      </c>
      <c r="J18499" s="27" t="n">
        <f aca="false">(Sens!J18492+Sens!J18496-Sens!J18497)+(Sens!J18484+Sens!J18485-Sens!J18483)+(Sens!J18487+Sens!J18488-Sens!J18486)</f>
        <v>0</v>
      </c>
      <c r="K18499" s="27" t="n">
        <f aca="false">(Sens!K18492+Sens!K18496-Sens!K18497)+(Sens!K18484+Sens!K18485-Sens!K18483)+(Sens!K18487+Sens!K18488-Sens!K18486)</f>
        <v>0</v>
      </c>
    </row>
    <row r="18500" customFormat="false" ht="17.15" hidden="false" customHeight="false" outlineLevel="0" collapsed="false">
      <c r="A18500" s="0" t="s">
        <v>1058</v>
      </c>
      <c r="B18500" s="0" t="s">
        <v>168</v>
      </c>
      <c r="E18500" s="7" t="n">
        <f aca="false">(Q!M21+Sens!E18436+Sens!E18437+Sens!E18438+Sens!E18452-Sens!E18434)/(Q!M5-Sens!E18434)</f>
        <v>0.570957350878296</v>
      </c>
      <c r="F18500" s="7" t="n">
        <f aca="false">Sens!$E$18500+dm_seg</f>
        <v>0.570957350878296</v>
      </c>
      <c r="G18500" s="7" t="n">
        <f aca="false">Sens!$E$18500+dm_seg</f>
        <v>0.570957350878296</v>
      </c>
      <c r="H18500" s="7" t="n">
        <f aca="false">Sens!$E$18500+dm_seg</f>
        <v>0.570957350878296</v>
      </c>
      <c r="I18500" s="7" t="n">
        <f aca="false">Sens!$E$18500+dm_seg</f>
        <v>0.570957350878296</v>
      </c>
      <c r="J18500" s="7" t="n">
        <f aca="false">Sens!$E$18500+dm_seg</f>
        <v>0.570957350878296</v>
      </c>
      <c r="K18500" s="7" t="n">
        <f aca="false">Sens!$E$18500+dm_seg</f>
        <v>0.570957350878296</v>
      </c>
      <c r="L18500" s="12" t="s">
        <v>1059</v>
      </c>
    </row>
    <row r="18501" customFormat="false" ht="17.15" hidden="false" customHeight="false" outlineLevel="0" collapsed="false">
      <c r="A18501" s="0" t="s">
        <v>880</v>
      </c>
      <c r="B18501" s="0" t="s">
        <v>98</v>
      </c>
      <c r="D18501" s="6" t="n">
        <f aca="false">Q!L21</f>
        <v>110.814</v>
      </c>
      <c r="E18501" s="6" t="n">
        <f aca="false">Q!M21</f>
        <v>136.365</v>
      </c>
      <c r="F18501" s="6" t="n">
        <f aca="false">Q!$I$21+(Sens!F18500*(Sens!F18471-Sens!F18434)+Sens!F18434-(Sens!F18436+Sens!F18437+Sens!F18438)-Sens!F18452-Sens!F18535)*(Sens!F18471-Q!$I$5)/Sens!F18471</f>
        <v>162.079965456779</v>
      </c>
      <c r="G18501" s="6" t="n">
        <f aca="false">(Sens!G18500*(Sens!G18471-Sens!G18434)+Sens!G18434-(Sens!G18436+Sens!G18437+Sens!G18438)-Sens!G18452-Sens!G18535)</f>
        <v>177.557315271616</v>
      </c>
      <c r="H18501" s="6" t="n">
        <f aca="false">(Sens!H18500*(Sens!H18471-Sens!H18434)+Sens!H18434-(Sens!H18436+Sens!H18437+Sens!H18438)-Sens!H18452-Sens!H18535)</f>
        <v>196.753256877719</v>
      </c>
      <c r="I18501" s="6" t="n">
        <f aca="false">(Sens!I18500*(Sens!I18471-Sens!I18434)+Sens!I18434-(Sens!I18436+Sens!I18437+Sens!I18438)-Sens!I18452-Sens!I18535)</f>
        <v>214.966196927727</v>
      </c>
      <c r="J18501" s="6" t="n">
        <f aca="false">(Sens!J18500*(Sens!J18471-Sens!J18434)+Sens!J18434-(Sens!J18436+Sens!J18437+Sens!J18438)-Sens!J18452-Sens!J18535)</f>
        <v>231.948628915964</v>
      </c>
      <c r="K18501" s="6" t="n">
        <f aca="false">(Sens!K18500*(Sens!K18471-Sens!K18434)+Sens!K18434-(Sens!K18436+Sens!K18437+Sens!K18438)-Sens!K18452-Sens!K18535)</f>
        <v>248.332143445807</v>
      </c>
      <c r="L18501" s="1" t="s">
        <v>1060</v>
      </c>
    </row>
    <row r="18502" customFormat="false" ht="17.15" hidden="false" customHeight="false" outlineLevel="0" collapsed="false">
      <c r="A18502" s="0" t="s">
        <v>1061</v>
      </c>
      <c r="B18502" s="0" t="s">
        <v>168</v>
      </c>
      <c r="E18502" s="7" t="n">
        <f aca="false">Q!M22/Q!M12</f>
        <v>0.296207935710698</v>
      </c>
      <c r="F18502" s="7" t="n">
        <f aca="false">Sens!$E$18502+dm_seg</f>
        <v>0.296207935710698</v>
      </c>
      <c r="G18502" s="7" t="n">
        <f aca="false">Sens!$E$18502+dm_seg</f>
        <v>0.296207935710698</v>
      </c>
      <c r="H18502" s="7" t="n">
        <f aca="false">Sens!$E$18502+dm_seg</f>
        <v>0.296207935710698</v>
      </c>
      <c r="I18502" s="7" t="n">
        <f aca="false">Sens!$E$18502+dm_seg</f>
        <v>0.296207935710698</v>
      </c>
      <c r="J18502" s="7" t="n">
        <f aca="false">Sens!$E$18502+dm_seg</f>
        <v>0.296207935710698</v>
      </c>
      <c r="K18502" s="7" t="n">
        <f aca="false">Sens!$E$18502+dm_seg</f>
        <v>0.296207935710698</v>
      </c>
      <c r="L18502" s="12" t="s">
        <v>1062</v>
      </c>
    </row>
    <row r="18503" customFormat="false" ht="17.15" hidden="false" customHeight="false" outlineLevel="0" collapsed="false">
      <c r="A18503" s="0" t="s">
        <v>882</v>
      </c>
      <c r="B18503" s="0" t="s">
        <v>98</v>
      </c>
      <c r="D18503" s="6" t="n">
        <f aca="false">Q!L22</f>
        <v>17.714</v>
      </c>
      <c r="E18503" s="6" t="n">
        <f aca="false">Q!M22</f>
        <v>18.872</v>
      </c>
      <c r="F18503" s="6" t="n">
        <f aca="false">Q!$I$22+(Sens!F18478-Q!$I$12)*Sens!F18502</f>
        <v>18.5461582388237</v>
      </c>
      <c r="G18503" s="6" t="n">
        <f aca="false">Sens!G18478*Sens!G18502</f>
        <v>18.362791395364</v>
      </c>
      <c r="H18503" s="6" t="n">
        <f aca="false">Sens!H18478*Sens!H18502</f>
        <v>19.0807020653967</v>
      </c>
      <c r="I18503" s="6" t="n">
        <f aca="false">Sens!I18478*Sens!I18502</f>
        <v>19.9077825944138</v>
      </c>
      <c r="J18503" s="6" t="n">
        <f aca="false">Sens!J18478*Sens!J18502</f>
        <v>20.8259227470107</v>
      </c>
      <c r="K18503" s="6" t="n">
        <f aca="false">Sens!K18478*Sens!K18502</f>
        <v>21.8204136393703</v>
      </c>
      <c r="L18503" s="12" t="s">
        <v>1063</v>
      </c>
    </row>
    <row r="18504" customFormat="false" ht="15" hidden="false" customHeight="false" outlineLevel="0" collapsed="false">
      <c r="A18504" s="1" t="s">
        <v>1064</v>
      </c>
      <c r="B18504" s="0" t="s">
        <v>98</v>
      </c>
      <c r="D18504" s="6" t="n">
        <f aca="false">Sens!D18501+Sens!D18503</f>
        <v>128.528</v>
      </c>
      <c r="E18504" s="6" t="n">
        <f aca="false">Sens!E18501+Sens!E18503</f>
        <v>155.237</v>
      </c>
      <c r="F18504" s="6" t="n">
        <f aca="false">Sens!F18501+Sens!F18503</f>
        <v>180.626123695603</v>
      </c>
      <c r="G18504" s="6" t="n">
        <f aca="false">Sens!G18501+Sens!G18503</f>
        <v>195.92010666698</v>
      </c>
      <c r="H18504" s="6" t="n">
        <f aca="false">Sens!H18501+Sens!H18503</f>
        <v>215.833958943116</v>
      </c>
      <c r="I18504" s="6" t="n">
        <f aca="false">Sens!I18501+Sens!I18503</f>
        <v>234.873979522141</v>
      </c>
      <c r="J18504" s="6" t="n">
        <f aca="false">Sens!J18501+Sens!J18503</f>
        <v>252.774551662975</v>
      </c>
      <c r="K18504" s="6" t="n">
        <f aca="false">Sens!K18501+Sens!K18503</f>
        <v>270.152557085177</v>
      </c>
    </row>
    <row r="18505" customFormat="false" ht="15" hidden="false" customHeight="false" outlineLevel="0" collapsed="false">
      <c r="A18505" s="26" t="s">
        <v>1065</v>
      </c>
      <c r="B18505" s="31" t="s">
        <v>98</v>
      </c>
      <c r="C18505" s="31"/>
      <c r="D18505" s="27" t="n">
        <f aca="false">Sens!D18504-Q!L23</f>
        <v>0</v>
      </c>
      <c r="E18505" s="27" t="n">
        <f aca="false">Sens!E18504-Q!M23</f>
        <v>0</v>
      </c>
      <c r="F18505" s="31"/>
      <c r="G18505" s="31"/>
      <c r="H18505" s="31"/>
      <c r="I18505" s="31"/>
      <c r="J18505" s="31"/>
      <c r="K18505" s="31"/>
    </row>
    <row r="18506" customFormat="false" ht="15" hidden="false" customHeight="false" outlineLevel="0" collapsed="false">
      <c r="A18506" s="1" t="s">
        <v>1066</v>
      </c>
      <c r="B18506" s="0" t="s">
        <v>168</v>
      </c>
      <c r="D18506" s="7" t="n">
        <f aca="false">Sens!D18504/Sens!D18497</f>
        <v>0.456219562408598</v>
      </c>
      <c r="E18506" s="7" t="n">
        <f aca="false">Sens!E18504/Sens!E18497</f>
        <v>0.467808184089272</v>
      </c>
      <c r="F18506" s="7" t="n">
        <f aca="false">Sens!F18504/Sens!F18497</f>
        <v>0.457560746361881</v>
      </c>
      <c r="G18506" s="7" t="n">
        <f aca="false">Sens!G18504/Sens!G18497</f>
        <v>0.414913254586282</v>
      </c>
      <c r="H18506" s="7" t="n">
        <f aca="false">Sens!H18504/Sens!H18497</f>
        <v>0.391408119054321</v>
      </c>
      <c r="I18506" s="7" t="n">
        <f aca="false">Sens!I18504/Sens!I18497</f>
        <v>0.376297043276529</v>
      </c>
      <c r="J18506" s="7" t="n">
        <f aca="false">Sens!J18504/Sens!J18497</f>
        <v>0.369709939205427</v>
      </c>
      <c r="K18506" s="7" t="n">
        <f aca="false">Sens!K18504/Sens!K18497</f>
        <v>0.369311388976199</v>
      </c>
    </row>
    <row r="18507" customFormat="false" ht="17.15" hidden="false" customHeight="false" outlineLevel="0" collapsed="false">
      <c r="A18507" s="1" t="s">
        <v>1067</v>
      </c>
      <c r="B18507" s="0" t="s">
        <v>98</v>
      </c>
      <c r="F18507" s="6" t="n">
        <f aca="false">Sens!F18522</f>
        <v>9.7398427716299</v>
      </c>
      <c r="G18507" s="6" t="n">
        <f aca="false">Sens!G18522</f>
        <v>25.2753385959797</v>
      </c>
      <c r="H18507" s="6" t="n">
        <f aca="false">Sens!H18522</f>
        <v>42.2840253697948</v>
      </c>
      <c r="I18507" s="6" t="n">
        <f aca="false">Sens!I18522</f>
        <v>57.704943641581</v>
      </c>
      <c r="J18507" s="6" t="n">
        <f aca="false">Sens!J18522</f>
        <v>68.4828520908201</v>
      </c>
      <c r="K18507" s="6" t="n">
        <f aca="false">Sens!K18522</f>
        <v>74.3598374943249</v>
      </c>
      <c r="L18507" s="1" t="s">
        <v>1068</v>
      </c>
    </row>
    <row r="18508" customFormat="false" ht="17.15" hidden="false" customHeight="false" outlineLevel="0" collapsed="false">
      <c r="A18508" s="1" t="s">
        <v>1069</v>
      </c>
      <c r="B18508" s="0" t="s">
        <v>98</v>
      </c>
      <c r="D18508" s="6" t="n">
        <f aca="false">Sens!D18504</f>
        <v>128.528</v>
      </c>
      <c r="E18508" s="6" t="n">
        <f aca="false">Sens!E18504</f>
        <v>155.237</v>
      </c>
      <c r="F18508" s="6" t="n">
        <f aca="false">Sens!F18504+Sens!F18507</f>
        <v>190.365966467233</v>
      </c>
      <c r="G18508" s="6" t="n">
        <f aca="false">Sens!G18504+Sens!G18507</f>
        <v>221.19544526296</v>
      </c>
      <c r="H18508" s="6" t="n">
        <f aca="false">Sens!H18504+Sens!H18507</f>
        <v>258.117984312911</v>
      </c>
      <c r="I18508" s="6" t="n">
        <f aca="false">Sens!I18504+Sens!I18507</f>
        <v>292.578923163722</v>
      </c>
      <c r="J18508" s="6" t="n">
        <f aca="false">Sens!J18504+Sens!J18507</f>
        <v>321.257403753795</v>
      </c>
      <c r="K18508" s="6" t="n">
        <f aca="false">Sens!K18504+Sens!K18507</f>
        <v>344.512394579502</v>
      </c>
    </row>
    <row r="18509" customFormat="false" ht="17.15" hidden="false" customHeight="false" outlineLevel="0" collapsed="false">
      <c r="A18509" s="1" t="s">
        <v>1070</v>
      </c>
      <c r="B18509" s="0" t="s">
        <v>98</v>
      </c>
      <c r="E18509" s="6" t="n">
        <f aca="false">Sens!E18452</f>
        <v>16.3054059770833</v>
      </c>
      <c r="F18509" s="6" t="n">
        <f aca="false">Sens!F18452</f>
        <v>34.5793144783516</v>
      </c>
      <c r="G18509" s="6" t="n">
        <f aca="false">Sens!G18452</f>
        <v>60.7344906522989</v>
      </c>
      <c r="H18509" s="6" t="n">
        <f aca="false">Sens!H18452</f>
        <v>89.1000906614457</v>
      </c>
      <c r="I18509" s="6" t="n">
        <f aca="false">Sens!I18452</f>
        <v>114.231009694548</v>
      </c>
      <c r="J18509" s="6" t="n">
        <f aca="false">Sens!J18452</f>
        <v>132.015673049596</v>
      </c>
      <c r="K18509" s="6" t="n">
        <f aca="false">Sens!K18452</f>
        <v>143.012669550934</v>
      </c>
    </row>
    <row r="18510" customFormat="false" ht="17.15" hidden="false" customHeight="false" outlineLevel="0" collapsed="false">
      <c r="A18510" s="1" t="s">
        <v>1071</v>
      </c>
      <c r="B18510" s="0" t="s">
        <v>98</v>
      </c>
      <c r="E18510" s="6" t="n">
        <f aca="false">Sens!E18534</f>
        <v>22.2285940229167</v>
      </c>
      <c r="F18510" s="6" t="n">
        <f aca="false">Sens!F18534</f>
        <v>23.580344216413</v>
      </c>
      <c r="G18510" s="6" t="n">
        <f aca="false">Sens!G18534</f>
        <v>25.345502249296</v>
      </c>
      <c r="H18510" s="6" t="n">
        <f aca="false">Sens!H18534</f>
        <v>27.504114339106</v>
      </c>
      <c r="I18510" s="6" t="n">
        <f aca="false">Sens!I18534</f>
        <v>29.9894347825147</v>
      </c>
      <c r="J18510" s="6" t="n">
        <f aca="false">Sens!J18534</f>
        <v>32.7178670477706</v>
      </c>
      <c r="K18510" s="6" t="n">
        <f aca="false">Sens!K18534</f>
        <v>35.6048683986886</v>
      </c>
    </row>
    <row r="18511" customFormat="false" ht="17.15" hidden="false" customHeight="false" outlineLevel="0" collapsed="false">
      <c r="A18511" s="1" t="s">
        <v>1072</v>
      </c>
      <c r="B18511" s="0" t="s">
        <v>98</v>
      </c>
      <c r="D18511" s="6" t="n">
        <f aca="false">Q!L27</f>
        <v>-4.901</v>
      </c>
      <c r="E18511" s="6" t="n">
        <f aca="false">Q!M27</f>
        <v>10.697</v>
      </c>
      <c r="F18511" s="6" t="n">
        <f aca="false">Q!$I$27+oie_f*(q_per_yr-1)/q_per_yr</f>
        <v>-0.862</v>
      </c>
      <c r="G18511" s="6" t="n">
        <f aca="false">oie_f</f>
        <v>-1.2</v>
      </c>
      <c r="H18511" s="6" t="n">
        <f aca="false">oie_f</f>
        <v>-1.2</v>
      </c>
      <c r="I18511" s="6" t="n">
        <f aca="false">oie_f</f>
        <v>-1.2</v>
      </c>
      <c r="J18511" s="6" t="n">
        <f aca="false">oie_f</f>
        <v>-1.2</v>
      </c>
      <c r="K18511" s="6" t="n">
        <f aca="false">oie_f</f>
        <v>-1.2</v>
      </c>
      <c r="L18511" s="12" t="s">
        <v>1073</v>
      </c>
    </row>
    <row r="18512" customFormat="false" ht="15" hidden="false" customHeight="false" outlineLevel="0" collapsed="false">
      <c r="A18512" s="1" t="s">
        <v>1074</v>
      </c>
      <c r="B18512" s="0" t="s">
        <v>98</v>
      </c>
      <c r="D18512" s="6" t="n">
        <f aca="false">Sens!D18504+Sens!D18511</f>
        <v>123.627</v>
      </c>
      <c r="E18512" s="6" t="n">
        <f aca="false">Sens!E18504+Sens!E18511</f>
        <v>165.934</v>
      </c>
      <c r="F18512" s="6" t="n">
        <f aca="false">Sens!F18504+Sens!F18511</f>
        <v>179.764123695603</v>
      </c>
      <c r="G18512" s="6" t="n">
        <f aca="false">Sens!G18504+Sens!G18511</f>
        <v>194.72010666698</v>
      </c>
      <c r="H18512" s="6" t="n">
        <f aca="false">Sens!H18504+Sens!H18511</f>
        <v>214.633958943116</v>
      </c>
      <c r="I18512" s="6" t="n">
        <f aca="false">Sens!I18504+Sens!I18511</f>
        <v>233.673979522141</v>
      </c>
      <c r="J18512" s="6" t="n">
        <f aca="false">Sens!J18504+Sens!J18511</f>
        <v>251.574551662975</v>
      </c>
      <c r="K18512" s="6" t="n">
        <f aca="false">Sens!K18504+Sens!K18511</f>
        <v>268.952557085177</v>
      </c>
    </row>
    <row r="18513" customFormat="false" ht="15" hidden="false" customHeight="false" outlineLevel="0" collapsed="false">
      <c r="A18513" s="1" t="s">
        <v>1075</v>
      </c>
      <c r="B18513" s="0" t="s">
        <v>98</v>
      </c>
      <c r="D18513" s="6" t="n">
        <f aca="false">Q!L29</f>
        <v>21.795</v>
      </c>
      <c r="E18513" s="6" t="n">
        <f aca="false">Q!M29</f>
        <v>32.185</v>
      </c>
      <c r="F18513" s="6" t="n">
        <f aca="false">Q!$I$29+(Sens!F18512-Q!$I$28)*tax_f</f>
        <v>36.0862247391206</v>
      </c>
      <c r="G18513" s="6" t="n">
        <f aca="false">Sens!G18512*tax_f</f>
        <v>38.9440213333961</v>
      </c>
      <c r="H18513" s="6" t="n">
        <f aca="false">Sens!H18512*tax_f</f>
        <v>42.9267917886232</v>
      </c>
      <c r="I18513" s="6" t="n">
        <f aca="false">Sens!I18512*tax_f</f>
        <v>46.7347959044282</v>
      </c>
      <c r="J18513" s="6" t="n">
        <f aca="false">Sens!J18512*tax_f</f>
        <v>50.314910332595</v>
      </c>
      <c r="K18513" s="6" t="n">
        <f aca="false">Sens!K18512*tax_f</f>
        <v>53.7905114170354</v>
      </c>
    </row>
    <row r="18514" customFormat="false" ht="15" hidden="false" customHeight="false" outlineLevel="0" collapsed="false">
      <c r="A18514" s="1" t="s">
        <v>1076</v>
      </c>
      <c r="B18514" s="0" t="s">
        <v>98</v>
      </c>
      <c r="D18514" s="6" t="n">
        <f aca="false">Sens!D18512-Sens!D18513</f>
        <v>101.832</v>
      </c>
      <c r="E18514" s="6" t="n">
        <f aca="false">Sens!E18512-Sens!E18513</f>
        <v>133.749</v>
      </c>
      <c r="F18514" s="6" t="n">
        <f aca="false">Sens!F18512-Sens!F18513</f>
        <v>143.677898956482</v>
      </c>
      <c r="G18514" s="6" t="n">
        <f aca="false">Sens!G18512-Sens!G18513</f>
        <v>155.776085333584</v>
      </c>
      <c r="H18514" s="6" t="n">
        <f aca="false">Sens!H18512-Sens!H18513</f>
        <v>171.707167154493</v>
      </c>
      <c r="I18514" s="6" t="n">
        <f aca="false">Sens!I18512-Sens!I18513</f>
        <v>186.939183617713</v>
      </c>
      <c r="J18514" s="6" t="n">
        <f aca="false">Sens!J18512-Sens!J18513</f>
        <v>201.25964133038</v>
      </c>
      <c r="K18514" s="6" t="n">
        <f aca="false">Sens!K18512-Sens!K18513</f>
        <v>215.162045668142</v>
      </c>
    </row>
    <row r="18515" customFormat="false" ht="17.15" hidden="false" customHeight="false" outlineLevel="0" collapsed="false">
      <c r="A18515" s="1" t="s">
        <v>1077</v>
      </c>
      <c r="B18515" s="1" t="s">
        <v>81</v>
      </c>
      <c r="D18515" s="15" t="n">
        <f aca="false">Q!L31</f>
        <v>7.465</v>
      </c>
      <c r="E18515" s="15" t="n">
        <f aca="false">Q!M31</f>
        <v>7.453</v>
      </c>
      <c r="F18515" s="15" t="n">
        <f aca="false">Sens!F18559</f>
        <v>7.4735</v>
      </c>
      <c r="G18515" s="15" t="n">
        <f aca="false">Sens!G18559</f>
        <v>7.5185</v>
      </c>
      <c r="H18515" s="15" t="n">
        <f aca="false">Sens!H18559</f>
        <v>7.5461999390288</v>
      </c>
      <c r="I18515" s="15" t="n">
        <f aca="false">Sens!I18559</f>
        <v>7.55788130308427</v>
      </c>
      <c r="J18515" s="15" t="n">
        <f aca="false">Sens!J18559</f>
        <v>7.57203071424674</v>
      </c>
      <c r="K18515" s="15" t="n">
        <f aca="false">Sens!K18559</f>
        <v>7.58846535421199</v>
      </c>
    </row>
    <row r="18516" customFormat="false" ht="17.15" hidden="false" customHeight="false" outlineLevel="0" collapsed="false">
      <c r="A18516" s="0" t="s">
        <v>1078</v>
      </c>
      <c r="B18516" s="0" t="s">
        <v>75</v>
      </c>
      <c r="D18516" s="8" t="n">
        <f aca="false">Sens!D18514/Sens!D18515</f>
        <v>13.641259209645</v>
      </c>
      <c r="E18516" s="8" t="n">
        <f aca="false">Sens!E18514/Sens!E18515</f>
        <v>17.9456594659869</v>
      </c>
      <c r="F18516" s="8" t="n">
        <f aca="false">Sens!F18514/Sens!F18515</f>
        <v>19.2249814620302</v>
      </c>
      <c r="G18516" s="8" t="n">
        <f aca="false">Sens!G18514/Sens!G18515</f>
        <v>20.7190377513579</v>
      </c>
      <c r="H18516" s="8" t="n">
        <f aca="false">Sens!H18514/Sens!H18515</f>
        <v>22.7541237366938</v>
      </c>
      <c r="I18516" s="8" t="n">
        <f aca="false">Sens!I18514/Sens!I18515</f>
        <v>24.734337061026</v>
      </c>
      <c r="J18516" s="8" t="n">
        <f aca="false">Sens!J18514/Sens!J18515</f>
        <v>26.5793482522081</v>
      </c>
      <c r="K18516" s="8" t="n">
        <f aca="false">Sens!K18514/Sens!K18515</f>
        <v>28.3538285575377</v>
      </c>
      <c r="L18516" s="1" t="s">
        <v>1079</v>
      </c>
    </row>
    <row r="18517" customFormat="false" ht="17.15" hidden="false" customHeight="false" outlineLevel="0" collapsed="false">
      <c r="A18517" s="1" t="s">
        <v>1080</v>
      </c>
      <c r="B18517" s="0" t="s">
        <v>98</v>
      </c>
      <c r="D18517" s="6" t="n">
        <f aca="false">Sens!D18514</f>
        <v>101.832</v>
      </c>
      <c r="E18517" s="6" t="n">
        <f aca="false">Sens!E18514</f>
        <v>133.749</v>
      </c>
      <c r="F18517" s="6" t="n">
        <f aca="false">Sens!F18514+Sens!F18507*(1-tax_f)</f>
        <v>151.469773173786</v>
      </c>
      <c r="G18517" s="6" t="n">
        <f aca="false">Sens!G18514+Sens!G18507*(1-tax_f)</f>
        <v>175.996356210368</v>
      </c>
      <c r="H18517" s="6" t="n">
        <f aca="false">Sens!H18514+Sens!H18507*(1-tax_f)</f>
        <v>205.534387450329</v>
      </c>
      <c r="I18517" s="6" t="n">
        <f aca="false">Sens!I18514+Sens!I18507*(1-tax_f)</f>
        <v>233.103138530978</v>
      </c>
      <c r="J18517" s="6" t="n">
        <f aca="false">Sens!J18514+Sens!J18507*(1-tax_f)</f>
        <v>256.045923003036</v>
      </c>
      <c r="K18517" s="6" t="n">
        <f aca="false">Sens!K18514+Sens!K18507*(1-tax_f)</f>
        <v>274.649915663602</v>
      </c>
    </row>
    <row r="18518" customFormat="false" ht="17.15" hidden="false" customHeight="false" outlineLevel="0" collapsed="false">
      <c r="A18518" s="0" t="s">
        <v>1081</v>
      </c>
      <c r="B18518" s="0" t="s">
        <v>75</v>
      </c>
      <c r="D18518" s="8" t="n">
        <f aca="false">Sens!D18517/Sens!D18515</f>
        <v>13.641259209645</v>
      </c>
      <c r="E18518" s="8" t="n">
        <f aca="false">Sens!E18517/Sens!E18515</f>
        <v>17.9456594659869</v>
      </c>
      <c r="F18518" s="8" t="n">
        <f aca="false">Sens!F18517/Sens!F18515</f>
        <v>20.2675818791445</v>
      </c>
      <c r="G18518" s="8" t="n">
        <f aca="false">Sens!G18517/Sens!G18515</f>
        <v>23.4084400093593</v>
      </c>
      <c r="H18518" s="8" t="n">
        <f aca="false">Sens!H18517/Sens!H18515</f>
        <v>27.2368064868396</v>
      </c>
      <c r="I18518" s="8" t="n">
        <f aca="false">Sens!I18517/Sens!I18515</f>
        <v>30.8423920915312</v>
      </c>
      <c r="J18518" s="8" t="n">
        <f aca="false">Sens!J18517/Sens!J18515</f>
        <v>33.814696831761</v>
      </c>
      <c r="K18518" s="8" t="n">
        <f aca="false">Sens!K18517/Sens!K18515</f>
        <v>36.1930776307961</v>
      </c>
      <c r="L18518" s="1" t="s">
        <v>1082</v>
      </c>
    </row>
    <row r="18519" customFormat="false" ht="17.15" hidden="false" customHeight="false" outlineLevel="0" collapsed="false">
      <c r="A18519" s="0" t="s">
        <v>1083</v>
      </c>
      <c r="B18519" s="0" t="s">
        <v>168</v>
      </c>
      <c r="E18519" s="7" t="n">
        <f aca="false">Sens!E18518/Sens!D18518-1</f>
        <v>0.315542736208578</v>
      </c>
      <c r="F18519" s="7" t="n">
        <f aca="false">Sens!F18518/Sens!E18518-1</f>
        <v>0.12938629631073</v>
      </c>
      <c r="G18519" s="7" t="n">
        <f aca="false">Sens!G18518/Sens!F18518-1</f>
        <v>0.154969554283475</v>
      </c>
      <c r="H18519" s="7" t="n">
        <f aca="false">Sens!H18518/Sens!G18518-1</f>
        <v>0.163546416418592</v>
      </c>
      <c r="I18519" s="7" t="n">
        <f aca="false">Sens!I18518/Sens!H18518-1</f>
        <v>0.132379161500953</v>
      </c>
      <c r="J18519" s="7" t="n">
        <f aca="false">Sens!J18518/Sens!I18518-1</f>
        <v>0.0963707591618983</v>
      </c>
      <c r="K18519" s="7" t="n">
        <f aca="false">Sens!K18518/Sens!J18518-1</f>
        <v>0.0703357126301731</v>
      </c>
    </row>
    <row r="18520" customFormat="false" ht="17.15" hidden="false" customHeight="false" outlineLevel="0" collapsed="false">
      <c r="A18520" s="0" t="s">
        <v>1003</v>
      </c>
      <c r="B18520" s="0" t="s">
        <v>98</v>
      </c>
      <c r="E18520" s="6" t="n">
        <f aca="false">Sens!E18461</f>
        <v>5.25</v>
      </c>
      <c r="F18520" s="6" t="n">
        <f aca="false">Sens!F18461</f>
        <v>12</v>
      </c>
      <c r="G18520" s="6" t="n">
        <f aca="false">Sens!G18461</f>
        <v>18</v>
      </c>
      <c r="H18520" s="6" t="n">
        <f aca="false">Sens!H18461</f>
        <v>24</v>
      </c>
      <c r="I18520" s="6" t="n">
        <f aca="false">Sens!I18461</f>
        <v>28.5</v>
      </c>
      <c r="J18520" s="6" t="n">
        <f aca="false">Sens!J18461</f>
        <v>31.5</v>
      </c>
      <c r="K18520" s="6" t="n">
        <f aca="false">Sens!K18461</f>
        <v>34.5</v>
      </c>
    </row>
    <row r="18521" customFormat="false" ht="17.15" hidden="false" customHeight="false" outlineLevel="0" collapsed="false">
      <c r="A18521" s="1" t="s">
        <v>1004</v>
      </c>
      <c r="B18521" s="0" t="s">
        <v>98</v>
      </c>
      <c r="F18521" s="6" t="n">
        <f aca="false">MAX(0,((Sens!E18421+Sens!F18421)/2-(shadow_base*(Sens!$D$18421+Sens!$E$18421)/2+(1-shadow_base)*Sens!$E$18421))*Sens!F18430/1000-(Sens!F18520-Sens!$E$18520)*Sens!F18500)</f>
        <v>9.7398427716299</v>
      </c>
      <c r="G18521" s="6" t="n">
        <f aca="false">MAX(0,((Sens!F18421+Sens!G18421)/2-(shadow_base*(Sens!$D$18421+Sens!$E$18421)/2+(1-shadow_base)*Sens!$E$18421))*Sens!G18430/1000-(Sens!G18520-Sens!$E$18520)*Sens!G18500)</f>
        <v>25.2753385959797</v>
      </c>
      <c r="H18521" s="6" t="n">
        <f aca="false">MAX(0,((Sens!G18421+Sens!H18421)/2-(shadow_base*(Sens!$D$18421+Sens!$E$18421)/2+(1-shadow_base)*Sens!$E$18421))*Sens!H18430/1000-(Sens!H18520-Sens!$E$18520)*Sens!H18500)</f>
        <v>42.2840253697948</v>
      </c>
      <c r="I18521" s="6" t="n">
        <f aca="false">MAX(0,((Sens!H18421+Sens!I18421)/2-(shadow_base*(Sens!$D$18421+Sens!$E$18421)/2+(1-shadow_base)*Sens!$E$18421))*Sens!I18430/1000-(Sens!I18520-Sens!$E$18520)*Sens!I18500)</f>
        <v>57.704943641581</v>
      </c>
      <c r="J18521" s="6" t="n">
        <f aca="false">MAX(0,((Sens!I18421+Sens!J18421)/2-(shadow_base*(Sens!$D$18421+Sens!$E$18421)/2+(1-shadow_base)*Sens!$E$18421))*Sens!J18430/1000-(Sens!J18520-Sens!$E$18520)*Sens!J18500)</f>
        <v>68.4828520908201</v>
      </c>
      <c r="K18521" s="6" t="n">
        <f aca="false">MAX(0,((Sens!J18421+Sens!K18421)/2-(shadow_base*(Sens!$D$18421+Sens!$E$18421)/2+(1-shadow_base)*Sens!$E$18421))*Sens!K18430/1000-(Sens!K18520-Sens!$E$18520)*Sens!K18500)</f>
        <v>74.3598374943249</v>
      </c>
      <c r="L18521" s="1" t="s">
        <v>1005</v>
      </c>
    </row>
    <row r="18522" customFormat="false" ht="17.15" hidden="false" customHeight="false" outlineLevel="0" collapsed="false">
      <c r="A18522" s="1" t="s">
        <v>1006</v>
      </c>
      <c r="B18522" s="0" t="s">
        <v>98</v>
      </c>
      <c r="F18522" s="6" t="n">
        <f aca="false">IF(internal_ai_reading=2,1,0)*Sens!F18521</f>
        <v>9.7398427716299</v>
      </c>
      <c r="G18522" s="6" t="n">
        <f aca="false">IF(internal_ai_reading=2,1,0)*Sens!G18521</f>
        <v>25.2753385959797</v>
      </c>
      <c r="H18522" s="6" t="n">
        <f aca="false">IF(internal_ai_reading=2,1,0)*Sens!H18521</f>
        <v>42.2840253697948</v>
      </c>
      <c r="I18522" s="6" t="n">
        <f aca="false">IF(internal_ai_reading=2,1,0)*Sens!I18521</f>
        <v>57.704943641581</v>
      </c>
      <c r="J18522" s="6" t="n">
        <f aca="false">IF(internal_ai_reading=2,1,0)*Sens!J18521</f>
        <v>68.4828520908201</v>
      </c>
      <c r="K18522" s="6" t="n">
        <f aca="false">IF(internal_ai_reading=2,1,0)*Sens!K18521</f>
        <v>74.3598374943249</v>
      </c>
    </row>
    <row r="18523" customFormat="false" ht="17.15" hidden="false" customHeight="false" outlineLevel="0" collapsed="false">
      <c r="A18523" s="0" t="s">
        <v>1007</v>
      </c>
      <c r="B18523" s="0" t="s">
        <v>98</v>
      </c>
      <c r="F18523" s="6" t="n">
        <f aca="false">Sens!F18440+Sens!F18520*Sens!F18500+Sens!F18522-Sens!F18441-Sens!F18452</f>
        <v>14.8152827562272</v>
      </c>
      <c r="G18523" s="6" t="n">
        <f aca="false">Sens!G18440+Sens!G18520*Sens!G18500+Sens!G18522-Sens!G18441-Sens!G18452</f>
        <v>31.0349977765951</v>
      </c>
      <c r="H18523" s="6" t="n">
        <f aca="false">Sens!H18440+Sens!H18520*Sens!H18500+Sens!H18522-Sens!H18441-Sens!H18452</f>
        <v>47.8811519709826</v>
      </c>
      <c r="I18523" s="6" t="n">
        <f aca="false">Sens!I18440+Sens!I18520*Sens!I18500+Sens!I18522-Sens!I18441-Sens!I18452</f>
        <v>62.6472166574028</v>
      </c>
      <c r="J18523" s="6" t="n">
        <f aca="false">Sens!J18440+Sens!J18520*Sens!J18500+Sens!J18522-Sens!J18441-Sens!J18452</f>
        <v>72.7882253357034</v>
      </c>
      <c r="K18523" s="6" t="n">
        <f aca="false">Sens!K18440+Sens!K18520*Sens!K18500+Sens!K18522-Sens!K18441-Sens!K18452</f>
        <v>79.4617812140187</v>
      </c>
    </row>
    <row r="18524" customFormat="false" ht="17.15" hidden="false" customHeight="false" outlineLevel="0" collapsed="false">
      <c r="A18524" s="0" t="s">
        <v>1008</v>
      </c>
      <c r="B18524" s="0" t="s">
        <v>98</v>
      </c>
      <c r="E18524" s="6" t="n">
        <f aca="false">Sens!E18420*(cxit_open+self_build*tk_cxfac)/1000*ai_net_open</f>
        <v>126.6980382</v>
      </c>
      <c r="F18524" s="6" t="n">
        <f aca="false">Sens!E18524+Sens!F18449-Sens!F18452</f>
        <v>260.572627763768</v>
      </c>
      <c r="G18524" s="6" t="n">
        <f aca="false">Sens!F18524+Sens!G18449-Sens!G18452</f>
        <v>391.782612760517</v>
      </c>
      <c r="H18524" s="6" t="n">
        <f aca="false">Sens!G18524+Sens!H18449-Sens!H18452</f>
        <v>499.488526163584</v>
      </c>
      <c r="I18524" s="6" t="n">
        <f aca="false">Sens!H18524+Sens!I18449-Sens!I18452</f>
        <v>553.872350090646</v>
      </c>
      <c r="J18524" s="6" t="n">
        <f aca="false">Sens!I18524+Sens!J18449-Sens!J18452</f>
        <v>550.78660823699</v>
      </c>
      <c r="K18524" s="6" t="n">
        <f aca="false">Sens!J18524+Sens!K18449-Sens!K18452</f>
        <v>526.736791750789</v>
      </c>
      <c r="L18524" s="1" t="s">
        <v>1009</v>
      </c>
    </row>
    <row r="18525" customFormat="false" ht="17.15" hidden="false" customHeight="false" outlineLevel="0" collapsed="false">
      <c r="A18525" s="0" t="s">
        <v>1010</v>
      </c>
      <c r="B18525" s="0" t="s">
        <v>168</v>
      </c>
      <c r="F18525" s="7" t="n">
        <f aca="false">Sens!F18523*(1-tax_f)/((Sens!E18524+Sens!F18524)/2)</f>
        <v>0.0612090057246454</v>
      </c>
      <c r="G18525" s="7" t="n">
        <f aca="false">Sens!G18523*(1-tax_f)/((Sens!F18524+Sens!G18524)/2)</f>
        <v>0.0761180310326695</v>
      </c>
      <c r="H18525" s="7" t="n">
        <f aca="false">Sens!H18523*(1-tax_f)/((Sens!G18524+Sens!H18524)/2)</f>
        <v>0.0859557095566361</v>
      </c>
      <c r="I18525" s="7" t="n">
        <f aca="false">Sens!I18523*(1-tax_f)/((Sens!H18524+Sens!I18524)/2)</f>
        <v>0.0951578408800258</v>
      </c>
      <c r="J18525" s="7" t="n">
        <f aca="false">Sens!J18523*(1-tax_f)/((Sens!I18524+Sens!J18524)/2)</f>
        <v>0.105427253958487</v>
      </c>
      <c r="K18525" s="7" t="n">
        <f aca="false">Sens!K18523*(1-tax_f)/((Sens!J18524+Sens!K18524)/2)</f>
        <v>0.117991729872291</v>
      </c>
    </row>
    <row r="18526" customFormat="false" ht="17.15" hidden="false" customHeight="false" outlineLevel="0" collapsed="false">
      <c r="A18526" s="1" t="s">
        <v>1011</v>
      </c>
      <c r="B18526" s="0" t="s">
        <v>168</v>
      </c>
      <c r="F18526" s="7" t="n">
        <f aca="false">(Sens!F18523-Sens!F18522)*(1-tax_f)/((Sens!E18524+Sens!F18524)/2)</f>
        <v>0.0209690655375262</v>
      </c>
      <c r="G18526" s="7" t="n">
        <f aca="false">(Sens!G18523-Sens!G18522)*(1-tax_f)/((Sens!F18524+Sens!G18524)/2)</f>
        <v>0.014126436206105</v>
      </c>
      <c r="H18526" s="7" t="n">
        <f aca="false">(Sens!H18523-Sens!H18522)*(1-tax_f)/((Sens!G18524+Sens!H18524)/2)</f>
        <v>0.010047899197893</v>
      </c>
      <c r="I18526" s="7" t="n">
        <f aca="false">(Sens!I18523-Sens!I18522)*(1-tax_f)/((Sens!H18524+Sens!I18524)/2)</f>
        <v>0.00750705385359908</v>
      </c>
      <c r="J18526" s="7" t="n">
        <f aca="false">(Sens!J18523-Sens!J18522)*(1-tax_f)/((Sens!I18524+Sens!J18524)/2)</f>
        <v>0.00623594924015468</v>
      </c>
      <c r="K18526" s="7" t="n">
        <f aca="false">(Sens!K18523-Sens!K18522)*(1-tax_f)/((Sens!J18524+Sens!K18524)/2)</f>
        <v>0.00757580758951754</v>
      </c>
    </row>
    <row r="18527" customFormat="false" ht="17.15" hidden="false" customHeight="false" outlineLevel="0" collapsed="false">
      <c r="A18527" s="1" t="s">
        <v>1012</v>
      </c>
      <c r="B18527" s="0" t="s">
        <v>168</v>
      </c>
      <c r="F18527" s="7" t="n">
        <f aca="false">(Sens!F18523-Sens!F18522+Sens!F18521)*(1-tax_f)/((Sens!E18524+Sens!F18524)/2)</f>
        <v>0.0612090057246454</v>
      </c>
      <c r="G18527" s="7" t="n">
        <f aca="false">(Sens!G18523-Sens!G18522+Sens!G18521)*(1-tax_f)/((Sens!F18524+Sens!G18524)/2)</f>
        <v>0.0761180310326695</v>
      </c>
      <c r="H18527" s="7" t="n">
        <f aca="false">(Sens!H18523-Sens!H18522+Sens!H18521)*(1-tax_f)/((Sens!G18524+Sens!H18524)/2)</f>
        <v>0.0859557095566361</v>
      </c>
      <c r="I18527" s="7" t="n">
        <f aca="false">(Sens!I18523-Sens!I18522+Sens!I18521)*(1-tax_f)/((Sens!H18524+Sens!I18524)/2)</f>
        <v>0.0951578408800258</v>
      </c>
      <c r="J18527" s="7" t="n">
        <f aca="false">(Sens!J18523-Sens!J18522+Sens!J18521)*(1-tax_f)/((Sens!I18524+Sens!J18524)/2)</f>
        <v>0.105427253958487</v>
      </c>
      <c r="K18527" s="7" t="n">
        <f aca="false">(Sens!K18523-Sens!K18522+Sens!K18521)*(1-tax_f)/((Sens!J18524+Sens!K18524)/2)</f>
        <v>0.117991729872291</v>
      </c>
    </row>
    <row r="18528" customFormat="false" ht="17.15" hidden="false" customHeight="false" outlineLevel="0" collapsed="false">
      <c r="A18528" s="1" t="s">
        <v>1013</v>
      </c>
      <c r="B18528" s="0" t="s">
        <v>168</v>
      </c>
      <c r="F18528" s="7" t="n">
        <f aca="false">Sens!F18453*(1-tax_f)/(Sens!F18439*(Sens!E18524+Sens!F18524)/2)</f>
        <v>0.129294830495493</v>
      </c>
      <c r="G18528" s="7" t="n">
        <f aca="false">Sens!G18453*(1-tax_f)/(Sens!G18439*(Sens!F18524+Sens!G18524)/2)</f>
        <v>0.12719599062164</v>
      </c>
      <c r="H18528" s="7" t="n">
        <f aca="false">Sens!H18453*(1-tax_f)/(Sens!H18439*(Sens!G18524+Sens!H18524)/2)</f>
        <v>0.130828167067624</v>
      </c>
      <c r="I18528" s="7" t="n">
        <f aca="false">Sens!I18453*(1-tax_f)/(Sens!I18439*(Sens!H18524+Sens!I18524)/2)</f>
        <v>0.138614526937417</v>
      </c>
      <c r="J18528" s="7" t="n">
        <f aca="false">Sens!J18453*(1-tax_f)/(Sens!J18439*(Sens!I18524+Sens!J18524)/2)</f>
        <v>0.150578919010924</v>
      </c>
      <c r="K18528" s="7" t="n">
        <f aca="false">Sens!K18453*(1-tax_f)/(Sens!K18439*(Sens!J18524+Sens!K18524)/2)</f>
        <v>0.167005345886664</v>
      </c>
    </row>
    <row r="18529" customFormat="false" ht="17.15" hidden="false" customHeight="false" outlineLevel="0" collapsed="false">
      <c r="A18529" s="0" t="s">
        <v>1014</v>
      </c>
      <c r="B18529" s="0" t="s">
        <v>253</v>
      </c>
      <c r="F18529" s="7" t="n">
        <f aca="false">Sens!F18525-wacc</f>
        <v>-0.0417275852209519</v>
      </c>
      <c r="G18529" s="7" t="n">
        <f aca="false">Sens!G18525-wacc</f>
        <v>-0.0268185599129278</v>
      </c>
      <c r="H18529" s="7" t="n">
        <f aca="false">Sens!H18525-wacc</f>
        <v>-0.0169808813889612</v>
      </c>
      <c r="I18529" s="7" t="n">
        <f aca="false">Sens!I18525-wacc</f>
        <v>-0.00777875006557149</v>
      </c>
      <c r="J18529" s="7" t="n">
        <f aca="false">Sens!J18525-wacc</f>
        <v>0.0024906630128898</v>
      </c>
      <c r="K18529" s="7" t="n">
        <f aca="false">Sens!K18525-wacc</f>
        <v>0.0150551389266932</v>
      </c>
    </row>
    <row r="18530" customFormat="false" ht="17.15" hidden="false" customHeight="false" outlineLevel="0" collapsed="false">
      <c r="A18530" s="0" t="s">
        <v>1015</v>
      </c>
      <c r="B18530" s="0" t="s">
        <v>98</v>
      </c>
      <c r="F18530" s="6" t="n">
        <f aca="false">Sens!F18523*(1-tax_f)-wacc*(Sens!E18524+Sens!F18524)/2</f>
        <v>-8.07993485878896</v>
      </c>
      <c r="G18530" s="6" t="n">
        <f aca="false">Sens!G18523*(1-tax_f)-wacc*(Sens!F18524+Sens!G18524)/2</f>
        <v>-8.74761405125648</v>
      </c>
      <c r="H18530" s="6" t="n">
        <f aca="false">Sens!H18523*(1-tax_f)-wacc*(Sens!G18524+Sens!H18524)/2</f>
        <v>-7.56728474773728</v>
      </c>
      <c r="I18530" s="6" t="n">
        <f aca="false">Sens!I18523*(1-tax_f)-wacc*(Sens!H18524+Sens!I18524)/2</f>
        <v>-4.09691549261652</v>
      </c>
      <c r="J18530" s="6" t="n">
        <f aca="false">Sens!J18523*(1-tax_f)-wacc*(Sens!I18524+Sens!J18524)/2</f>
        <v>1.37566660468201</v>
      </c>
      <c r="K18530" s="6" t="n">
        <f aca="false">Sens!K18523*(1-tax_f)-wacc*(Sens!J18524+Sens!K18524)/2</f>
        <v>8.11113224178941</v>
      </c>
    </row>
    <row r="18531" customFormat="false" ht="17.15" hidden="false" customHeight="false" outlineLevel="0" collapsed="false">
      <c r="A18531" s="3" t="s">
        <v>1937</v>
      </c>
    </row>
    <row r="18532" customFormat="false" ht="15" hidden="false" customHeight="false" outlineLevel="0" collapsed="false">
      <c r="A18532" s="4" t="s">
        <v>43</v>
      </c>
      <c r="B18532" s="4" t="s">
        <v>65</v>
      </c>
      <c r="C18532" s="23" t="s">
        <v>938</v>
      </c>
      <c r="D18532" s="23" t="s">
        <v>939</v>
      </c>
      <c r="E18532" s="23" t="s">
        <v>940</v>
      </c>
      <c r="F18532" s="23" t="s">
        <v>941</v>
      </c>
      <c r="G18532" s="23" t="s">
        <v>942</v>
      </c>
      <c r="H18532" s="23" t="s">
        <v>943</v>
      </c>
      <c r="I18532" s="23" t="s">
        <v>944</v>
      </c>
      <c r="J18532" s="23" t="s">
        <v>945</v>
      </c>
      <c r="K18532" s="23" t="s">
        <v>946</v>
      </c>
      <c r="L18532" s="4" t="s">
        <v>47</v>
      </c>
    </row>
    <row r="18533" customFormat="false" ht="15" hidden="false" customHeight="false" outlineLevel="0" collapsed="false">
      <c r="A18533" s="1" t="s">
        <v>1076</v>
      </c>
      <c r="B18533" s="0" t="s">
        <v>98</v>
      </c>
      <c r="F18533" s="6" t="n">
        <f aca="false">Sens!F18514</f>
        <v>143.677898956482</v>
      </c>
      <c r="G18533" s="6" t="n">
        <f aca="false">Sens!G18514</f>
        <v>155.776085333584</v>
      </c>
      <c r="H18533" s="6" t="n">
        <f aca="false">Sens!H18514</f>
        <v>171.707167154493</v>
      </c>
      <c r="I18533" s="6" t="n">
        <f aca="false">Sens!I18514</f>
        <v>186.939183617713</v>
      </c>
      <c r="J18533" s="6" t="n">
        <f aca="false">Sens!J18514</f>
        <v>201.25964133038</v>
      </c>
      <c r="K18533" s="6" t="n">
        <f aca="false">Sens!K18514</f>
        <v>215.162045668142</v>
      </c>
    </row>
    <row r="18534" customFormat="false" ht="17.15" hidden="false" customHeight="false" outlineLevel="0" collapsed="false">
      <c r="A18534" s="1" t="s">
        <v>1098</v>
      </c>
      <c r="B18534" s="0" t="s">
        <v>98</v>
      </c>
      <c r="E18534" s="6" t="n">
        <f aca="false">Q!M38-Sens!E18452</f>
        <v>22.2285940229167</v>
      </c>
      <c r="F18534" s="6" t="n">
        <f aca="false">Sens!E18534*(1-1/life_nonai)+(Sens!F18542+Sens!F18543)/life_nonai</f>
        <v>23.580344216413</v>
      </c>
      <c r="G18534" s="6" t="n">
        <f aca="false">Sens!F18534*(1-1/life_nonai)+(Sens!G18542)/life_nonai</f>
        <v>25.345502249296</v>
      </c>
      <c r="H18534" s="6" t="n">
        <f aca="false">Sens!G18534*(1-1/life_nonai)+(Sens!H18542)/life_nonai</f>
        <v>27.504114339106</v>
      </c>
      <c r="I18534" s="6" t="n">
        <f aca="false">Sens!H18534*(1-1/life_nonai)+(Sens!I18542)/life_nonai</f>
        <v>29.9894347825147</v>
      </c>
      <c r="J18534" s="6" t="n">
        <f aca="false">Sens!I18534*(1-1/life_nonai)+(Sens!J18542)/life_nonai</f>
        <v>32.7178670477706</v>
      </c>
      <c r="K18534" s="6" t="n">
        <f aca="false">Sens!J18534*(1-1/life_nonai)+(Sens!K18542)/life_nonai</f>
        <v>35.6048683986886</v>
      </c>
      <c r="L18534" s="12" t="s">
        <v>1099</v>
      </c>
    </row>
    <row r="18535" customFormat="false" ht="17.15" hidden="false" customHeight="false" outlineLevel="0" collapsed="false">
      <c r="A18535" s="1" t="s">
        <v>1100</v>
      </c>
      <c r="B18535" s="0" t="s">
        <v>98</v>
      </c>
      <c r="F18535" s="6" t="n">
        <f aca="false">Sens!$F$18543/life_nonai*(1-1/life_nonai)^(Sens!F18415-2027)</f>
        <v>0.0128774278409338</v>
      </c>
      <c r="G18535" s="6" t="n">
        <f aca="false">Sens!$F$18543/life_nonai*(1-1/life_nonai)^(Sens!G18415-2027)</f>
        <v>0.0115896850568404</v>
      </c>
      <c r="H18535" s="6" t="n">
        <f aca="false">Sens!$F$18543/life_nonai*(1-1/life_nonai)^(Sens!H18415-2027)</f>
        <v>0.0104307165511564</v>
      </c>
      <c r="I18535" s="6" t="n">
        <f aca="false">Sens!$F$18543/life_nonai*(1-1/life_nonai)^(Sens!I18415-2027)</f>
        <v>0.00938764489604076</v>
      </c>
      <c r="J18535" s="6" t="n">
        <f aca="false">Sens!$F$18543/life_nonai*(1-1/life_nonai)^(Sens!J18415-2027)</f>
        <v>0.00844888040643668</v>
      </c>
      <c r="K18535" s="6" t="n">
        <f aca="false">Sens!$F$18543/life_nonai*(1-1/life_nonai)^(Sens!K18415-2027)</f>
        <v>0.00760399236579301</v>
      </c>
      <c r="L18535" s="1" t="s">
        <v>1101</v>
      </c>
    </row>
    <row r="18536" customFormat="false" ht="17.15" hidden="false" customHeight="false" outlineLevel="0" collapsed="false">
      <c r="A18536" s="1" t="s">
        <v>1102</v>
      </c>
      <c r="B18536" s="0" t="s">
        <v>98</v>
      </c>
      <c r="E18536" s="6" t="n">
        <f aca="false">Sens!E18452+Sens!E18534</f>
        <v>38.534</v>
      </c>
      <c r="F18536" s="6" t="n">
        <f aca="false">Sens!F18452+Sens!F18534</f>
        <v>58.1596586947647</v>
      </c>
      <c r="G18536" s="6" t="n">
        <f aca="false">Sens!G18452+Sens!G18534</f>
        <v>86.079992901595</v>
      </c>
      <c r="H18536" s="6" t="n">
        <f aca="false">Sens!H18452+Sens!H18534</f>
        <v>116.604205000552</v>
      </c>
      <c r="I18536" s="6" t="n">
        <f aca="false">Sens!I18452+Sens!I18534</f>
        <v>144.220444477063</v>
      </c>
      <c r="J18536" s="6" t="n">
        <f aca="false">Sens!J18452+Sens!J18534</f>
        <v>164.733540097367</v>
      </c>
      <c r="K18536" s="6" t="n">
        <f aca="false">Sens!K18452+Sens!K18534</f>
        <v>178.617537949623</v>
      </c>
    </row>
    <row r="18537" customFormat="false" ht="17.15" hidden="false" customHeight="false" outlineLevel="0" collapsed="false">
      <c r="A18537" s="1" t="s">
        <v>1103</v>
      </c>
      <c r="B18537" s="0" t="s">
        <v>98</v>
      </c>
      <c r="F18537" s="6" t="n">
        <f aca="false">Sens!F18479*sbc_r</f>
        <v>14.7571042330968</v>
      </c>
      <c r="G18537" s="6" t="n">
        <f aca="false">Sens!G18479*sbc_r</f>
        <v>17.6518830908226</v>
      </c>
      <c r="H18537" s="6" t="n">
        <f aca="false">Sens!H18479*sbc_r</f>
        <v>20.6138584458826</v>
      </c>
      <c r="I18537" s="6" t="n">
        <f aca="false">Sens!I18479*sbc_r</f>
        <v>23.3331537595534</v>
      </c>
      <c r="J18537" s="6" t="n">
        <f aca="false">Sens!J18479*sbc_r</f>
        <v>25.5588650666007</v>
      </c>
      <c r="K18537" s="6" t="n">
        <f aca="false">Sens!K18479*sbc_r</f>
        <v>27.3454909215102</v>
      </c>
    </row>
    <row r="18538" customFormat="false" ht="17.15" hidden="false" customHeight="false" outlineLevel="0" collapsed="false">
      <c r="A18538" s="1" t="s">
        <v>1104</v>
      </c>
      <c r="B18538" s="0" t="s">
        <v>98</v>
      </c>
      <c r="F18538" s="6" t="n">
        <f aca="false">wc27-wc26q1</f>
        <v>-4.677</v>
      </c>
      <c r="G18538" s="6" t="n">
        <f aca="false">wc_f</f>
        <v>0</v>
      </c>
      <c r="H18538" s="6" t="n">
        <f aca="false">wc_f</f>
        <v>0</v>
      </c>
      <c r="I18538" s="6" t="n">
        <f aca="false">wc_f</f>
        <v>0</v>
      </c>
      <c r="J18538" s="6" t="n">
        <f aca="false">wc_f</f>
        <v>0</v>
      </c>
      <c r="K18538" s="6" t="n">
        <f aca="false">wc_f</f>
        <v>0</v>
      </c>
      <c r="L18538" s="12" t="s">
        <v>1105</v>
      </c>
    </row>
    <row r="18539" customFormat="false" ht="17.15" hidden="false" customHeight="false" outlineLevel="0" collapsed="false">
      <c r="A18539" s="0" t="s">
        <v>1106</v>
      </c>
      <c r="B18539" s="0" t="s">
        <v>98</v>
      </c>
      <c r="F18539" s="6" t="n">
        <f aca="false">Q!$I$35-Q!$I$26-Q!$I$38-Q!$I$39</f>
        <v>6.493</v>
      </c>
      <c r="L18539" s="1" t="s">
        <v>1107</v>
      </c>
    </row>
    <row r="18540" customFormat="false" ht="15" hidden="false" customHeight="false" outlineLevel="0" collapsed="false">
      <c r="A18540" s="1" t="s">
        <v>904</v>
      </c>
      <c r="B18540" s="0" t="s">
        <v>98</v>
      </c>
      <c r="E18540" s="6" t="n">
        <f aca="false">Q!M35</f>
        <v>182.935</v>
      </c>
      <c r="F18540" s="6" t="n">
        <f aca="false">Sens!F18533+Sens!F18536+Sens!F18537+Sens!F18538+Sens!F18539</f>
        <v>218.410661884344</v>
      </c>
      <c r="G18540" s="6" t="n">
        <f aca="false">Sens!G18533+Sens!G18536+Sens!G18537+Sens!G18538</f>
        <v>259.507961326002</v>
      </c>
      <c r="H18540" s="6" t="n">
        <f aca="false">Sens!H18533+Sens!H18536+Sens!H18537+Sens!H18538</f>
        <v>308.925230600927</v>
      </c>
      <c r="I18540" s="6" t="n">
        <f aca="false">Sens!I18533+Sens!I18536+Sens!I18537+Sens!I18538</f>
        <v>354.492781854329</v>
      </c>
      <c r="J18540" s="6" t="n">
        <f aca="false">Sens!J18533+Sens!J18536+Sens!J18537+Sens!J18538</f>
        <v>391.552046494348</v>
      </c>
      <c r="K18540" s="6" t="n">
        <f aca="false">Sens!K18533+Sens!K18536+Sens!K18537+Sens!K18538</f>
        <v>421.125074539275</v>
      </c>
    </row>
    <row r="18541" customFormat="false" ht="17.15" hidden="false" customHeight="false" outlineLevel="0" collapsed="false">
      <c r="A18541" s="0" t="s">
        <v>1108</v>
      </c>
      <c r="B18541" s="0" t="s">
        <v>98</v>
      </c>
      <c r="F18541" s="6" t="n">
        <f aca="false">Sens!F18449</f>
        <v>168.45390404212</v>
      </c>
      <c r="G18541" s="6" t="n">
        <f aca="false">Sens!G18449</f>
        <v>191.944475649048</v>
      </c>
      <c r="H18541" s="6" t="n">
        <f aca="false">Sens!H18449</f>
        <v>196.806004064512</v>
      </c>
      <c r="I18541" s="6" t="n">
        <f aca="false">Sens!I18449</f>
        <v>168.61483362161</v>
      </c>
      <c r="J18541" s="6" t="n">
        <f aca="false">Sens!J18449</f>
        <v>128.92993119594</v>
      </c>
      <c r="K18541" s="6" t="n">
        <f aca="false">Sens!K18449</f>
        <v>118.962853064733</v>
      </c>
    </row>
    <row r="18542" customFormat="false" ht="17.15" hidden="false" customHeight="false" outlineLevel="0" collapsed="false">
      <c r="A18542" s="1" t="s">
        <v>1109</v>
      </c>
      <c r="B18542" s="0" t="s">
        <v>98</v>
      </c>
      <c r="E18542" s="6" t="n">
        <f aca="false">Sens!E18457*cx_azo+Sens!E18464*cx_m365+Sens!E18465*cx_lic+(Sens!E18467+Sens!E18469)*cx_ind+Sens!E18472*cx_srch+(Sens!E18474+Sens!E18476)*cx_dev</f>
        <v>30.1846587067718</v>
      </c>
      <c r="F18542" s="6" t="n">
        <f aca="false">Sens!F18457*cx_azo+Sens!F18464*cx_m365+Sens!F18465*cx_lic+(Sens!F18467+Sens!F18469)*cx_ind+Sens!F18472*cx_srch+(Sens!F18474+Sens!F18476)*cx_dev</f>
        <v>35.6173216794711</v>
      </c>
      <c r="G18542" s="6" t="n">
        <f aca="false">Sens!G18457*cx_azo+Sens!G18464*cx_m365+Sens!G18465*cx_lic+(Sens!G18467+Sens!G18469)*cx_ind+Sens!G18472*cx_srch+(Sens!G18474+Sens!G18476)*cx_dev</f>
        <v>41.2319245452428</v>
      </c>
      <c r="H18542" s="6" t="n">
        <f aca="false">Sens!H18457*cx_azo+Sens!H18464*cx_m365+Sens!H18465*cx_lic+(Sens!H18467+Sens!H18469)*cx_ind+Sens!H18472*cx_srch+(Sens!H18474+Sens!H18476)*cx_dev</f>
        <v>46.9316231473953</v>
      </c>
      <c r="I18542" s="6" t="n">
        <f aca="false">Sens!I18457*cx_azo+Sens!I18464*cx_m365+Sens!I18465*cx_lic+(Sens!I18467+Sens!I18469)*cx_ind+Sens!I18472*cx_srch+(Sens!I18474+Sens!I18476)*cx_dev</f>
        <v>52.3573187731934</v>
      </c>
      <c r="J18542" s="6" t="n">
        <f aca="false">Sens!J18457*cx_azo+Sens!J18464*cx_m365+Sens!J18465*cx_lic+(Sens!J18467+Sens!J18469)*cx_ind+Sens!J18472*cx_srch+(Sens!J18474+Sens!J18476)*cx_dev</f>
        <v>57.2737574350737</v>
      </c>
      <c r="K18542" s="6" t="n">
        <f aca="false">Sens!K18457*cx_azo+Sens!K18464*cx_m365+Sens!K18465*cx_lic+(Sens!K18467+Sens!K18469)*cx_ind+Sens!K18472*cx_srch+(Sens!K18474+Sens!K18476)*cx_dev</f>
        <v>61.5878805569504</v>
      </c>
    </row>
    <row r="18543" customFormat="false" ht="17.15" hidden="false" customHeight="false" outlineLevel="0" collapsed="false">
      <c r="A18543" s="0" t="s">
        <v>1110</v>
      </c>
      <c r="B18543" s="0" t="s">
        <v>98</v>
      </c>
      <c r="F18543" s="6" t="n">
        <f aca="false">Sens!F18447</f>
        <v>0.128774278409338</v>
      </c>
      <c r="L18543" s="1" t="s">
        <v>1111</v>
      </c>
    </row>
    <row r="18544" customFormat="false" ht="17.15" hidden="false" customHeight="false" outlineLevel="0" collapsed="false">
      <c r="A18544" s="1" t="s">
        <v>1112</v>
      </c>
      <c r="B18544" s="0" t="s">
        <v>98</v>
      </c>
      <c r="E18544" s="6" t="n">
        <f aca="false">Q!M43</f>
        <v>145.3</v>
      </c>
      <c r="F18544" s="6" t="n">
        <f aca="false">Sens!F18541+Sens!F18542+Sens!F18543</f>
        <v>204.2</v>
      </c>
      <c r="G18544" s="6" t="n">
        <f aca="false">Sens!G18541+Sens!G18542</f>
        <v>233.176400194291</v>
      </c>
      <c r="H18544" s="6" t="n">
        <f aca="false">Sens!H18541+Sens!H18542</f>
        <v>243.737627211908</v>
      </c>
      <c r="I18544" s="6" t="n">
        <f aca="false">Sens!I18541+Sens!I18542</f>
        <v>220.972152394804</v>
      </c>
      <c r="J18544" s="6" t="n">
        <f aca="false">Sens!J18541+Sens!J18542</f>
        <v>186.203688631014</v>
      </c>
      <c r="K18544" s="6" t="n">
        <f aca="false">Sens!K18541+Sens!K18542</f>
        <v>180.550733621683</v>
      </c>
      <c r="L18544" s="1" t="s">
        <v>1113</v>
      </c>
    </row>
    <row r="18545" customFormat="false" ht="15" hidden="false" customHeight="false" outlineLevel="0" collapsed="false">
      <c r="A18545" s="1" t="s">
        <v>1114</v>
      </c>
      <c r="B18545" s="0" t="s">
        <v>98</v>
      </c>
      <c r="E18545" s="6" t="n">
        <f aca="false">fl_liab</f>
        <v>66.594</v>
      </c>
      <c r="F18545" s="6" t="n">
        <f aca="false">Sens!E18545-Sens!F18546</f>
        <v>62.46973</v>
      </c>
      <c r="G18545" s="6" t="n">
        <f aca="false">Sens!F18545-Sens!G18546</f>
        <v>57.98686785</v>
      </c>
      <c r="H18545" s="6" t="n">
        <f aca="false">Sens!G18545-Sens!H18546</f>
        <v>53.92827690325</v>
      </c>
      <c r="I18545" s="6" t="n">
        <f aca="false">Sens!H18545-Sens!I18546</f>
        <v>49.7850493638962</v>
      </c>
      <c r="J18545" s="6" t="n">
        <f aca="false">Sens!I18545-Sens!J18546</f>
        <v>45.4823765852716</v>
      </c>
      <c r="K18545" s="6" t="n">
        <f aca="false">Sens!J18545-Sens!K18546</f>
        <v>40.9860835316088</v>
      </c>
    </row>
    <row r="18546" customFormat="false" ht="15" hidden="false" customHeight="false" outlineLevel="0" collapsed="false">
      <c r="A18546" s="1" t="s">
        <v>1115</v>
      </c>
      <c r="B18546" s="0" t="s">
        <v>98</v>
      </c>
      <c r="F18546" s="6" t="n">
        <f aca="false">fl_pay_27-Sens!E18545*fl_rate</f>
        <v>4.12427</v>
      </c>
      <c r="G18546" s="6" t="n">
        <f aca="false">fl_pay_28-Sens!F18545*fl_rate</f>
        <v>4.48286215</v>
      </c>
      <c r="H18546" s="6" t="n">
        <f aca="false">fl_pay_29-Sens!G18545*fl_rate</f>
        <v>4.05859094675</v>
      </c>
      <c r="I18546" s="6" t="n">
        <f aca="false">fl_pay_30-Sens!H18545*fl_rate</f>
        <v>4.14322753935375</v>
      </c>
      <c r="J18546" s="6" t="n">
        <f aca="false">fl_pay_31-Sens!I18545*fl_rate</f>
        <v>4.30267277862467</v>
      </c>
      <c r="K18546" s="6" t="n">
        <f aca="false">fl_pay_32-Sens!J18545*fl_rate</f>
        <v>4.49629305366278</v>
      </c>
    </row>
    <row r="18547" customFormat="false" ht="17.15" hidden="false" customHeight="false" outlineLevel="0" collapsed="false">
      <c r="A18547" s="1" t="s">
        <v>1116</v>
      </c>
      <c r="B18547" s="0" t="s">
        <v>98</v>
      </c>
      <c r="E18547" s="6" t="n">
        <f aca="false">Q!M35-Q!M36-Q!M44</f>
        <v>63.886</v>
      </c>
      <c r="F18547" s="6" t="n">
        <f aca="false">Sens!F18540-Sens!F18544-Sens!F18546</f>
        <v>10.0863918843439</v>
      </c>
      <c r="G18547" s="6" t="n">
        <f aca="false">Sens!G18540-Sens!G18544-Sens!G18546</f>
        <v>21.848698981711</v>
      </c>
      <c r="H18547" s="6" t="n">
        <f aca="false">Sens!H18540-Sens!H18544-Sens!H18546</f>
        <v>61.1290124422693</v>
      </c>
      <c r="I18547" s="6" t="n">
        <f aca="false">Sens!I18540-Sens!I18544-Sens!I18546</f>
        <v>129.377401920172</v>
      </c>
      <c r="J18547" s="6" t="n">
        <f aca="false">Sens!J18540-Sens!J18544-Sens!J18546</f>
        <v>201.045685084709</v>
      </c>
      <c r="K18547" s="6" t="n">
        <f aca="false">Sens!K18540-Sens!K18544-Sens!K18546</f>
        <v>236.078047863929</v>
      </c>
      <c r="L18547" s="12" t="s">
        <v>1117</v>
      </c>
    </row>
    <row r="18548" customFormat="false" ht="15" hidden="false" customHeight="false" outlineLevel="0" collapsed="false">
      <c r="A18548" s="1" t="s">
        <v>1118</v>
      </c>
      <c r="B18548" s="0" t="s">
        <v>75</v>
      </c>
      <c r="F18548" s="8" t="n">
        <f aca="false">dps_27</f>
        <v>3.85</v>
      </c>
      <c r="G18548" s="8" t="n">
        <f aca="false">Sens!F18548*(1+dps_g)</f>
        <v>4.158</v>
      </c>
      <c r="H18548" s="8" t="n">
        <f aca="false">Sens!G18548*(1+dps_g)</f>
        <v>4.49064</v>
      </c>
      <c r="I18548" s="8" t="n">
        <f aca="false">Sens!H18548*(1+dps_g)</f>
        <v>4.8498912</v>
      </c>
      <c r="J18548" s="8" t="n">
        <f aca="false">Sens!I18548*(1+dps_g)</f>
        <v>5.237882496</v>
      </c>
      <c r="K18548" s="8" t="n">
        <f aca="false">Sens!J18548*(1+dps_g)</f>
        <v>5.65691309568</v>
      </c>
    </row>
    <row r="18549" customFormat="false" ht="17.15" hidden="false" customHeight="false" outlineLevel="0" collapsed="false">
      <c r="A18549" s="1" t="s">
        <v>1119</v>
      </c>
      <c r="B18549" s="0" t="s">
        <v>98</v>
      </c>
      <c r="E18549" s="6" t="n">
        <f aca="false">Q!M41</f>
        <v>26.445</v>
      </c>
      <c r="F18549" s="6" t="n">
        <f aca="false">Sens!F18548*Sens!E18558</f>
        <v>28.59395</v>
      </c>
      <c r="G18549" s="6" t="n">
        <f aca="false">Sens!G18548*Sens!F18558</f>
        <v>31.068576</v>
      </c>
      <c r="H18549" s="6" t="n">
        <f aca="false">Sens!H18548*Sens!G18558</f>
        <v>33.75614088</v>
      </c>
      <c r="I18549" s="6" t="n">
        <f aca="false">Sens!I18548*Sens!H18558</f>
        <v>36.5070704274727</v>
      </c>
      <c r="J18549" s="6" t="n">
        <f aca="false">Sens!J18548*Sens!I18558</f>
        <v>39.4955339470631</v>
      </c>
      <c r="K18549" s="6" t="n">
        <f aca="false">Sens!K18548*Sens!J18558</f>
        <v>42.7419309252064</v>
      </c>
      <c r="L18549" s="1" t="s">
        <v>1120</v>
      </c>
    </row>
    <row r="18550" customFormat="false" ht="15" hidden="false" customHeight="false" outlineLevel="0" collapsed="false">
      <c r="A18550" s="1" t="s">
        <v>1121</v>
      </c>
      <c r="B18550" s="0" t="s">
        <v>98</v>
      </c>
      <c r="E18550" s="6" t="n">
        <f aca="false">Sens!E18547-Sens!E18549</f>
        <v>37.441</v>
      </c>
      <c r="F18550" s="6" t="n">
        <f aca="false">Sens!F18547-Sens!F18549</f>
        <v>-18.5075581156561</v>
      </c>
      <c r="G18550" s="6" t="n">
        <f aca="false">Sens!G18547-Sens!G18549</f>
        <v>-9.21987701828903</v>
      </c>
      <c r="H18550" s="6" t="n">
        <f aca="false">Sens!H18547-Sens!H18549</f>
        <v>27.3728715622693</v>
      </c>
      <c r="I18550" s="6" t="n">
        <f aca="false">Sens!I18547-Sens!I18549</f>
        <v>92.8703314926991</v>
      </c>
      <c r="J18550" s="6" t="n">
        <f aca="false">Sens!J18547-Sens!J18549</f>
        <v>161.550151137646</v>
      </c>
      <c r="K18550" s="6" t="n">
        <f aca="false">Sens!K18547-Sens!K18549</f>
        <v>193.336116938722</v>
      </c>
    </row>
    <row r="18551" customFormat="false" ht="15" hidden="false" customHeight="false" outlineLevel="0" collapsed="false">
      <c r="A18551" s="1" t="s">
        <v>1122</v>
      </c>
      <c r="B18551" s="0" t="s">
        <v>98</v>
      </c>
      <c r="F18551" s="6" t="n">
        <f aca="false">debt_mat_27</f>
        <v>9.25</v>
      </c>
      <c r="G18551" s="6" t="n">
        <f aca="false">debt_mat_28</f>
        <v>0</v>
      </c>
      <c r="H18551" s="6" t="n">
        <f aca="false">debt_mat_29</f>
        <v>2.001</v>
      </c>
      <c r="I18551" s="6" t="n">
        <f aca="false">debt_mat_30</f>
        <v>0</v>
      </c>
      <c r="J18551" s="6" t="n">
        <f aca="false">debt_mat_31</f>
        <v>0.5</v>
      </c>
      <c r="K18551" s="6" t="n">
        <f aca="false">debt_mat_32</f>
        <v>0</v>
      </c>
    </row>
    <row r="18552" customFormat="false" ht="15" hidden="false" customHeight="false" outlineLevel="0" collapsed="false">
      <c r="A18552" s="1" t="s">
        <v>1123</v>
      </c>
      <c r="B18552" s="0" t="s">
        <v>98</v>
      </c>
      <c r="E18552" s="6" t="n">
        <f aca="false">Q!M40</f>
        <v>22.271</v>
      </c>
      <c r="F18552" s="6" t="n">
        <f aca="false">MAX(0,MIN(bb_target,Sens!E18554+Sens!F18550-Sens!F18551-min_cash))</f>
        <v>0</v>
      </c>
      <c r="G18552" s="6" t="n">
        <f aca="false">MAX(0,MIN(bb_target,Sens!F18554+Sens!G18550-Sens!G18551-min_cash))</f>
        <v>0</v>
      </c>
      <c r="H18552" s="6" t="n">
        <f aca="false">MAX(0,MIN(bb_target,Sens!G18554+Sens!H18550-Sens!H18551-min_cash))</f>
        <v>22.271</v>
      </c>
      <c r="I18552" s="6" t="n">
        <f aca="false">MAX(0,MIN(bb_target,Sens!H18554+Sens!I18550-Sens!I18551-min_cash))</f>
        <v>22.271</v>
      </c>
      <c r="J18552" s="6" t="n">
        <f aca="false">MAX(0,MIN(bb_target,Sens!I18554+Sens!J18550-Sens!J18551-min_cash))</f>
        <v>22.271</v>
      </c>
      <c r="K18552" s="6" t="n">
        <f aca="false">MAX(0,MIN(bb_target,Sens!J18554+Sens!K18550-Sens!K18551-min_cash))</f>
        <v>22.271</v>
      </c>
    </row>
    <row r="18553" customFormat="false" ht="15" hidden="false" customHeight="false" outlineLevel="0" collapsed="false">
      <c r="A18553" s="1" t="s">
        <v>1124</v>
      </c>
      <c r="B18553" s="0" t="s">
        <v>98</v>
      </c>
      <c r="F18553" s="6" t="n">
        <f aca="false">MAX(0,min_cash-(Sens!E18554+Sens!F18550-Sens!F18551-Sens!F18552))</f>
        <v>0.914558115656078</v>
      </c>
      <c r="G18553" s="6" t="n">
        <f aca="false">MAX(0,min_cash-(Sens!F18554+Sens!G18550-Sens!G18551-Sens!G18552))</f>
        <v>9.21987701828903</v>
      </c>
      <c r="H18553" s="6" t="n">
        <f aca="false">MAX(0,min_cash-(Sens!G18554+Sens!H18550-Sens!H18551-Sens!H18552))</f>
        <v>0</v>
      </c>
      <c r="I18553" s="6" t="n">
        <f aca="false">MAX(0,min_cash-(Sens!H18554+Sens!I18550-Sens!I18551-Sens!I18552))</f>
        <v>0</v>
      </c>
      <c r="J18553" s="6" t="n">
        <f aca="false">MAX(0,min_cash-(Sens!I18554+Sens!J18550-Sens!J18551-Sens!J18552))</f>
        <v>0</v>
      </c>
      <c r="K18553" s="6" t="n">
        <f aca="false">MAX(0,min_cash-(Sens!J18554+Sens!K18550-Sens!K18551-Sens!K18552))</f>
        <v>0</v>
      </c>
    </row>
    <row r="18554" customFormat="false" ht="15" hidden="false" customHeight="false" outlineLevel="0" collapsed="false">
      <c r="A18554" s="1" t="s">
        <v>1125</v>
      </c>
      <c r="B18554" s="0" t="s">
        <v>98</v>
      </c>
      <c r="E18554" s="6" t="n">
        <f aca="false">cash_open</f>
        <v>76.843</v>
      </c>
      <c r="F18554" s="6" t="n">
        <f aca="false">Sens!E18554+Sens!F18550-Sens!F18551-Sens!F18552+Sens!F18553</f>
        <v>50</v>
      </c>
      <c r="G18554" s="6" t="n">
        <f aca="false">Sens!F18554+Sens!G18550-Sens!G18551-Sens!G18552+Sens!G18553</f>
        <v>50</v>
      </c>
      <c r="H18554" s="6" t="n">
        <f aca="false">Sens!G18554+Sens!H18550-Sens!H18551-Sens!H18552+Sens!H18553</f>
        <v>53.1008715622693</v>
      </c>
      <c r="I18554" s="6" t="n">
        <f aca="false">Sens!H18554+Sens!I18550-Sens!I18551-Sens!I18552+Sens!I18553</f>
        <v>123.700203054968</v>
      </c>
      <c r="J18554" s="6" t="n">
        <f aca="false">Sens!I18554+Sens!J18550-Sens!J18551-Sens!J18552+Sens!J18553</f>
        <v>262.479354192614</v>
      </c>
      <c r="K18554" s="6" t="n">
        <f aca="false">Sens!J18554+Sens!K18550-Sens!K18551-Sens!K18552+Sens!K18553</f>
        <v>433.544471131336</v>
      </c>
    </row>
    <row r="18555" customFormat="false" ht="15" hidden="false" customHeight="false" outlineLevel="0" collapsed="false">
      <c r="A18555" s="1" t="s">
        <v>1126</v>
      </c>
      <c r="B18555" s="0" t="s">
        <v>98</v>
      </c>
      <c r="E18555" s="6" t="n">
        <f aca="false">debt_face</f>
        <v>46.136</v>
      </c>
      <c r="F18555" s="6" t="n">
        <f aca="false">Sens!E18555-Sens!F18551+Sens!F18553</f>
        <v>37.8005581156561</v>
      </c>
      <c r="G18555" s="6" t="n">
        <f aca="false">Sens!F18555-Sens!G18551+Sens!G18553</f>
        <v>47.0204351339451</v>
      </c>
      <c r="H18555" s="6" t="n">
        <f aca="false">Sens!G18555-Sens!H18551+Sens!H18553</f>
        <v>45.0194351339451</v>
      </c>
      <c r="I18555" s="6" t="n">
        <f aca="false">Sens!H18555-Sens!I18551+Sens!I18553</f>
        <v>45.0194351339451</v>
      </c>
      <c r="J18555" s="6" t="n">
        <f aca="false">Sens!I18555-Sens!J18551+Sens!J18553</f>
        <v>44.5194351339451</v>
      </c>
      <c r="K18555" s="6" t="n">
        <f aca="false">Sens!J18555-Sens!K18551+Sens!K18553</f>
        <v>44.5194351339451</v>
      </c>
    </row>
    <row r="18556" customFormat="false" ht="15" hidden="false" customHeight="false" outlineLevel="0" collapsed="false">
      <c r="A18556" s="1" t="s">
        <v>1127</v>
      </c>
      <c r="B18556" s="0" t="s">
        <v>98</v>
      </c>
      <c r="E18556" s="6" t="n">
        <f aca="false">Sens!E18554-Sens!E18555</f>
        <v>30.707</v>
      </c>
      <c r="F18556" s="6" t="n">
        <f aca="false">Sens!F18554-Sens!F18555</f>
        <v>12.1994418843439</v>
      </c>
      <c r="G18556" s="6" t="n">
        <f aca="false">Sens!G18554-Sens!G18555</f>
        <v>2.97956486605489</v>
      </c>
      <c r="H18556" s="6" t="n">
        <f aca="false">Sens!H18554-Sens!H18555</f>
        <v>8.08143642832415</v>
      </c>
      <c r="I18556" s="6" t="n">
        <f aca="false">Sens!I18554-Sens!I18555</f>
        <v>78.6807679210233</v>
      </c>
      <c r="J18556" s="6" t="n">
        <f aca="false">Sens!J18554-Sens!J18555</f>
        <v>217.959919058669</v>
      </c>
      <c r="K18556" s="6" t="n">
        <f aca="false">Sens!K18554-Sens!K18555</f>
        <v>389.025035997391</v>
      </c>
    </row>
    <row r="18557" customFormat="false" ht="15" hidden="false" customHeight="false" outlineLevel="0" collapsed="false">
      <c r="A18557" s="1" t="s">
        <v>1128</v>
      </c>
      <c r="B18557" s="0" t="s">
        <v>75</v>
      </c>
      <c r="F18557" s="30" t="n">
        <f aca="false">px*(1+bb_g)^(Sens!F18415-base_fy-mid_yr)</f>
        <v>551.84177959629</v>
      </c>
      <c r="G18557" s="30" t="n">
        <f aca="false">px*(1+bb_g)^(Sens!G18415-base_fy-mid_yr)</f>
        <v>595.989121963993</v>
      </c>
      <c r="H18557" s="30" t="n">
        <f aca="false">px*(1+bb_g)^(Sens!H18415-base_fy-mid_yr)</f>
        <v>643.668251721112</v>
      </c>
      <c r="I18557" s="30" t="n">
        <f aca="false">px*(1+bb_g)^(Sens!I18415-base_fy-mid_yr)</f>
        <v>695.161711858801</v>
      </c>
      <c r="J18557" s="30" t="n">
        <f aca="false">px*(1+bb_g)^(Sens!J18415-base_fy-mid_yr)</f>
        <v>750.774648807506</v>
      </c>
      <c r="K18557" s="30" t="n">
        <f aca="false">px*(1+bb_g)^(Sens!K18415-base_fy-mid_yr)</f>
        <v>810.836620712106</v>
      </c>
    </row>
    <row r="18558" customFormat="false" ht="15" hidden="false" customHeight="false" outlineLevel="0" collapsed="false">
      <c r="A18558" s="1" t="s">
        <v>1129</v>
      </c>
      <c r="B18558" s="1" t="s">
        <v>81</v>
      </c>
      <c r="E18558" s="15" t="n">
        <f aca="false">sh_out26</f>
        <v>7.427</v>
      </c>
      <c r="F18558" s="15" t="n">
        <f aca="false">Sens!E18558+sh_iss-Sens!F18552/Sens!F18557</f>
        <v>7.472</v>
      </c>
      <c r="G18558" s="15" t="n">
        <f aca="false">Sens!F18558+sh_iss-Sens!G18552/Sens!G18557</f>
        <v>7.517</v>
      </c>
      <c r="H18558" s="15" t="n">
        <f aca="false">Sens!G18558+sh_iss-Sens!H18552/Sens!H18557</f>
        <v>7.5273998780576</v>
      </c>
      <c r="I18558" s="15" t="n">
        <f aca="false">Sens!H18558+sh_iss-Sens!I18552/Sens!I18557</f>
        <v>7.54036272811094</v>
      </c>
      <c r="J18558" s="15" t="n">
        <f aca="false">Sens!I18558+sh_iss-Sens!J18552/Sens!J18557</f>
        <v>7.55569870038255</v>
      </c>
      <c r="K18558" s="15" t="n">
        <f aca="false">Sens!J18558+sh_iss-Sens!K18552/Sens!K18557</f>
        <v>7.57323200804144</v>
      </c>
    </row>
    <row r="18559" customFormat="false" ht="15" hidden="false" customHeight="false" outlineLevel="0" collapsed="false">
      <c r="A18559" s="1" t="s">
        <v>1130</v>
      </c>
      <c r="B18559" s="1" t="s">
        <v>81</v>
      </c>
      <c r="E18559" s="15" t="n">
        <f aca="false">sh_dil26</f>
        <v>7.453</v>
      </c>
      <c r="F18559" s="15" t="n">
        <f aca="false">(Sens!E18558+Sens!F18558)/2+dil_gap</f>
        <v>7.4735</v>
      </c>
      <c r="G18559" s="15" t="n">
        <f aca="false">(Sens!F18558+Sens!G18558)/2+dil_gap</f>
        <v>7.5185</v>
      </c>
      <c r="H18559" s="15" t="n">
        <f aca="false">(Sens!G18558+Sens!H18558)/2+dil_gap</f>
        <v>7.5461999390288</v>
      </c>
      <c r="I18559" s="15" t="n">
        <f aca="false">(Sens!H18558+Sens!I18558)/2+dil_gap</f>
        <v>7.55788130308427</v>
      </c>
      <c r="J18559" s="15" t="n">
        <f aca="false">(Sens!I18558+Sens!J18558)/2+dil_gap</f>
        <v>7.57203071424674</v>
      </c>
      <c r="K18559" s="15" t="n">
        <f aca="false">(Sens!J18558+Sens!K18558)/2+dil_gap</f>
        <v>7.58846535421199</v>
      </c>
    </row>
    <row r="18560" customFormat="false" ht="17.15" hidden="false" customHeight="false" outlineLevel="0" collapsed="false">
      <c r="A18560" s="1" t="s">
        <v>1131</v>
      </c>
      <c r="B18560" s="0" t="s">
        <v>98</v>
      </c>
      <c r="C18560" s="6" t="n">
        <f aca="false">SUM(Sens!F18550:J18550)</f>
        <v>254.065919058669</v>
      </c>
    </row>
    <row r="18561" customFormat="false" ht="15" hidden="false" customHeight="false" outlineLevel="0" collapsed="false">
      <c r="A18561" s="26" t="s">
        <v>1096</v>
      </c>
      <c r="B18561" s="31" t="s">
        <v>98</v>
      </c>
      <c r="C18561" s="27" t="n">
        <f aca="false">Sens!$C$18560-(Sens!F18550+Sens!G18550+Sens!H18550+Sens!I18550+Sens!J18550)</f>
        <v>0</v>
      </c>
      <c r="D18561" s="31"/>
      <c r="E18561" s="31"/>
      <c r="F18561" s="31"/>
      <c r="G18561" s="31"/>
      <c r="H18561" s="31"/>
      <c r="I18561" s="31"/>
      <c r="J18561" s="31"/>
      <c r="K18561" s="31"/>
    </row>
    <row r="18562" customFormat="false" ht="17.15" hidden="false" customHeight="false" outlineLevel="0" collapsed="false">
      <c r="A18562" s="1" t="s">
        <v>1090</v>
      </c>
      <c r="B18562" s="1" t="s">
        <v>1132</v>
      </c>
      <c r="C18562" s="33" t="str">
        <f aca="false">IF(SUM(Sens!F18553:J18553)&gt;0.05,"需要舉債 "&amp;TEXT(SUM(Sens!F18553:J18553),"0.0")&amp;" 十億美元","不需舉債")&amp;"；"&amp;IF(SUM(Sens!F18552:J18552)&lt;COUNT(Sens!F18552:J18552)*bb_target-0.05,"回購較每年 "&amp;TEXT(bb_target,"0.0")&amp;" 的目標少 "&amp;TEXT(COUNT(Sens!F18552:J18552)*bb_target-SUM(Sens!F18552:J18552),"0.0")&amp;" 十億美元（"&amp;TEXT(COUNTIF(Sens!F18552:J18552,"&lt;"&amp;(bb_target-0.05)),"0")&amp;" 年減少）","回購不減")</f>
        <v>需要舉債 10.1 十億美元；回購較每年 22.3 的目標少 44.5 十億美元（2 年減少）</v>
      </c>
    </row>
    <row r="18563" customFormat="false" ht="17.15" hidden="false" customHeight="false" outlineLevel="0" collapsed="false">
      <c r="A18563" s="3" t="s">
        <v>1938</v>
      </c>
    </row>
    <row r="18564" customFormat="false" ht="15" hidden="false" customHeight="false" outlineLevel="0" collapsed="false">
      <c r="A18564" s="4" t="s">
        <v>43</v>
      </c>
      <c r="B18564" s="4" t="s">
        <v>65</v>
      </c>
      <c r="C18564" s="23" t="s">
        <v>938</v>
      </c>
      <c r="D18564" s="23" t="s">
        <v>939</v>
      </c>
      <c r="E18564" s="23" t="s">
        <v>940</v>
      </c>
      <c r="F18564" s="23" t="s">
        <v>941</v>
      </c>
      <c r="G18564" s="23" t="s">
        <v>942</v>
      </c>
      <c r="H18564" s="23" t="s">
        <v>943</v>
      </c>
      <c r="I18564" s="23" t="s">
        <v>944</v>
      </c>
      <c r="J18564" s="23" t="s">
        <v>945</v>
      </c>
      <c r="K18564" s="23" t="s">
        <v>946</v>
      </c>
      <c r="L18564" s="4" t="s">
        <v>47</v>
      </c>
    </row>
    <row r="18565" customFormat="false" ht="17.15" hidden="false" customHeight="false" outlineLevel="0" collapsed="false">
      <c r="A18565" s="1" t="s">
        <v>1212</v>
      </c>
      <c r="B18565" s="1" t="s">
        <v>279</v>
      </c>
      <c r="F18565" s="8" t="n">
        <f aca="false">(1-v_off)*mid_yr</f>
        <v>0.373972602739726</v>
      </c>
      <c r="G18565" s="8" t="n">
        <f aca="false">Sens!G18415-base_fy-mid_yr-v_off</f>
        <v>1.24794520547945</v>
      </c>
      <c r="H18565" s="8" t="n">
        <f aca="false">Sens!H18415-base_fy-mid_yr-v_off</f>
        <v>2.24794520547945</v>
      </c>
      <c r="I18565" s="8" t="n">
        <f aca="false">Sens!I18415-base_fy-mid_yr-v_off</f>
        <v>3.24794520547945</v>
      </c>
      <c r="J18565" s="8" t="n">
        <f aca="false">Sens!J18415-base_fy-mid_yr-v_off</f>
        <v>4.24794520547945</v>
      </c>
      <c r="K18565" s="8" t="n">
        <f aca="false">Sens!K18415-base_fy-mid_yr-v_off</f>
        <v>5.24794520547945</v>
      </c>
      <c r="L18565" s="12" t="s">
        <v>1213</v>
      </c>
    </row>
    <row r="18566" customFormat="false" ht="15" hidden="false" customHeight="false" outlineLevel="0" collapsed="false">
      <c r="A18566" s="1" t="s">
        <v>1214</v>
      </c>
      <c r="B18566" s="1" t="s">
        <v>279</v>
      </c>
      <c r="F18566" s="8" t="n">
        <f aca="false">Sens!F18415-base_fy-v_off</f>
        <v>0.747945205479452</v>
      </c>
      <c r="G18566" s="8" t="n">
        <f aca="false">Sens!G18415-base_fy-v_off</f>
        <v>1.74794520547945</v>
      </c>
      <c r="H18566" s="8" t="n">
        <f aca="false">Sens!H18415-base_fy-v_off</f>
        <v>2.74794520547945</v>
      </c>
      <c r="I18566" s="8" t="n">
        <f aca="false">Sens!I18415-base_fy-v_off</f>
        <v>3.74794520547945</v>
      </c>
      <c r="J18566" s="8" t="n">
        <f aca="false">Sens!J18415-base_fy-v_off</f>
        <v>4.74794520547945</v>
      </c>
      <c r="K18566" s="8" t="n">
        <f aca="false">Sens!K18415-base_fy-v_off</f>
        <v>5.74794520547945</v>
      </c>
    </row>
    <row r="18567" customFormat="false" ht="15" hidden="false" customHeight="false" outlineLevel="0" collapsed="false">
      <c r="A18567" s="1" t="s">
        <v>1215</v>
      </c>
      <c r="B18567" s="0" t="s">
        <v>229</v>
      </c>
      <c r="F18567" s="15" t="n">
        <f aca="false">1/(1+wacc)^Sens!F18565</f>
        <v>0.964022703286649</v>
      </c>
      <c r="G18567" s="15" t="n">
        <f aca="false">1/(1+wacc)^Sens!G18565</f>
        <v>0.884910302296739</v>
      </c>
      <c r="H18567" s="15" t="n">
        <f aca="false">1/(1+wacc)^Sens!H18565</f>
        <v>0.802322009770358</v>
      </c>
      <c r="I18567" s="15" t="n">
        <f aca="false">1/(1+wacc)^Sens!I18565</f>
        <v>0.727441646561469</v>
      </c>
      <c r="J18567" s="15" t="n">
        <f aca="false">1/(1+wacc)^Sens!J18565</f>
        <v>0.659549834988973</v>
      </c>
      <c r="K18567" s="15" t="n">
        <f aca="false">1/(1+wacc)^Sens!K18565</f>
        <v>0.597994336576966</v>
      </c>
    </row>
    <row r="18568" customFormat="false" ht="17.15" hidden="false" customHeight="false" outlineLevel="0" collapsed="false">
      <c r="A18568" s="1" t="s">
        <v>1216</v>
      </c>
      <c r="B18568" s="0" t="s">
        <v>98</v>
      </c>
      <c r="F18568" s="6" t="n">
        <f aca="false">Q!$I$35-Q!$I$39-Q!$I$43</f>
        <v>9.666</v>
      </c>
      <c r="L18568" s="12" t="s">
        <v>1217</v>
      </c>
    </row>
    <row r="18569" customFormat="false" ht="17.15" hidden="false" customHeight="false" outlineLevel="0" collapsed="false">
      <c r="A18569" s="1" t="s">
        <v>1218</v>
      </c>
      <c r="B18569" s="0" t="s">
        <v>98</v>
      </c>
      <c r="F18569" s="6" t="n">
        <f aca="false">Sens!F18540-Sens!F18537-Sens!F18544+Sens!F18522*(1-tax_f)*(1-v_off)-Sens!F18568</f>
        <v>-4.38454738622149</v>
      </c>
      <c r="G18569" s="6" t="n">
        <f aca="false">Sens!G18540-Sens!G18537-Sens!G18544+Sens!G18522*(1-tax_f)</f>
        <v>28.8999489176721</v>
      </c>
      <c r="H18569" s="6" t="n">
        <f aca="false">Sens!H18540-Sens!H18537-Sens!H18544+Sens!H18522*(1-tax_f)</f>
        <v>78.4009652389725</v>
      </c>
      <c r="I18569" s="6" t="n">
        <f aca="false">Sens!I18540-Sens!I18537-Sens!I18544+Sens!I18522*(1-tax_f)</f>
        <v>156.351430613237</v>
      </c>
      <c r="J18569" s="6" t="n">
        <f aca="false">Sens!J18540-Sens!J18537-Sens!J18544+Sens!J18522*(1-tax_f)</f>
        <v>234.575774469389</v>
      </c>
      <c r="K18569" s="6" t="n">
        <f aca="false">Sens!K18540-Sens!K18537-Sens!K18544+Sens!K18522*(1-tax_f)</f>
        <v>272.716719991541</v>
      </c>
      <c r="L18569" s="1" t="s">
        <v>1219</v>
      </c>
    </row>
    <row r="18570" customFormat="false" ht="15" hidden="false" customHeight="false" outlineLevel="0" collapsed="false">
      <c r="A18570" s="1" t="s">
        <v>1220</v>
      </c>
      <c r="B18570" s="0" t="s">
        <v>98</v>
      </c>
      <c r="F18570" s="6" t="n">
        <f aca="false">Sens!F18569*Sens!F18567</f>
        <v>-4.22680322395366</v>
      </c>
      <c r="G18570" s="6" t="n">
        <f aca="false">Sens!G18569*Sens!G18567</f>
        <v>25.5738625330976</v>
      </c>
      <c r="H18570" s="6" t="n">
        <f aca="false">Sens!H18569*Sens!H18567</f>
        <v>62.9028199984684</v>
      </c>
      <c r="I18570" s="6" t="n">
        <f aca="false">Sens!I18569*Sens!I18567</f>
        <v>113.736542127534</v>
      </c>
      <c r="J18570" s="6" t="n">
        <f aca="false">Sens!J18569*Sens!J18567</f>
        <v>154.714413343696</v>
      </c>
      <c r="K18570" s="6" t="n">
        <f aca="false">Sens!K18569*Sens!K18567</f>
        <v>163.083054044788</v>
      </c>
    </row>
    <row r="18571" customFormat="false" ht="17.15" hidden="false" customHeight="false" outlineLevel="0" collapsed="false">
      <c r="A18571" s="1" t="s">
        <v>1221</v>
      </c>
      <c r="B18571" s="0" t="s">
        <v>98</v>
      </c>
      <c r="C18571" s="6" t="n">
        <f aca="false">SUM(Sens!F18570:K18570)</f>
        <v>515.78388882363</v>
      </c>
    </row>
    <row r="18572" customFormat="false" ht="17.15" hidden="false" customHeight="false" outlineLevel="0" collapsed="false">
      <c r="A18572" s="1" t="s">
        <v>1222</v>
      </c>
      <c r="B18572" s="0" t="s">
        <v>98</v>
      </c>
      <c r="C18572" s="6" t="n">
        <f aca="false">Sens!K18508*(1+g_tv)*(1-tax_f)</f>
        <v>283.87821313351</v>
      </c>
    </row>
    <row r="18573" customFormat="false" ht="17.15" hidden="false" customHeight="false" outlineLevel="0" collapsed="false">
      <c r="A18573" s="1" t="s">
        <v>1223</v>
      </c>
      <c r="B18573" s="0" t="s">
        <v>98</v>
      </c>
      <c r="C18573" s="6" t="n">
        <f aca="false">Sens!$C$18572*(1-g_tv/(wacc+ronic_prem))</f>
        <v>201.14430563014</v>
      </c>
    </row>
    <row r="18574" customFormat="false" ht="17.15" hidden="false" customHeight="false" outlineLevel="0" collapsed="false">
      <c r="A18574" s="1" t="s">
        <v>1224</v>
      </c>
      <c r="B18574" s="0" t="s">
        <v>98</v>
      </c>
      <c r="C18574" s="6" t="n">
        <f aca="false">Sens!$C$18573/(wacc-g_tv)</f>
        <v>2757.796916779</v>
      </c>
    </row>
    <row r="18575" customFormat="false" ht="15" hidden="false" customHeight="false" outlineLevel="0" collapsed="false">
      <c r="A18575" s="1" t="s">
        <v>1225</v>
      </c>
      <c r="B18575" s="0" t="s">
        <v>98</v>
      </c>
      <c r="C18575" s="6" t="n">
        <f aca="false">Sens!$C$18574/(1+wacc)^Sens!K18566</f>
        <v>1570.30524077195</v>
      </c>
    </row>
    <row r="18576" customFormat="false" ht="17.15" hidden="false" customHeight="false" outlineLevel="0" collapsed="false">
      <c r="A18576" s="0" t="s">
        <v>1226</v>
      </c>
      <c r="B18576" s="0" t="s">
        <v>98</v>
      </c>
      <c r="C18576" s="6" t="n">
        <f aca="false">Sens!$C$18571+Sens!$C$18575</f>
        <v>2086.08912959558</v>
      </c>
    </row>
    <row r="18577" customFormat="false" ht="15" hidden="false" customHeight="false" outlineLevel="0" collapsed="false">
      <c r="A18577" s="1" t="s">
        <v>1141</v>
      </c>
      <c r="B18577" s="0" t="s">
        <v>168</v>
      </c>
      <c r="C18577" s="7" t="n">
        <f aca="false">Sens!$C$18575/Sens!$C$18576</f>
        <v>0.752750790219772</v>
      </c>
    </row>
    <row r="18578" customFormat="false" ht="17.15" hidden="false" customHeight="false" outlineLevel="0" collapsed="false">
      <c r="A18578" s="1" t="s">
        <v>1227</v>
      </c>
      <c r="B18578" s="0" t="s">
        <v>98</v>
      </c>
      <c r="C18578" s="6" t="n">
        <f aca="false">Sens!$C$18576+cash_val-debt_val-fl_val+oai_v</f>
        <v>2201.94012959558</v>
      </c>
    </row>
    <row r="18579" customFormat="false" ht="17.15" hidden="false" customHeight="false" outlineLevel="0" collapsed="false">
      <c r="A18579" s="0" t="s">
        <v>1149</v>
      </c>
      <c r="B18579" s="0" t="s">
        <v>75</v>
      </c>
      <c r="C18579" s="5" t="n">
        <f aca="false">Sens!$C$18578/shd_val</f>
        <v>295.721209991348</v>
      </c>
    </row>
    <row r="18580" customFormat="false" ht="15" hidden="false" customHeight="false" outlineLevel="0" collapsed="false">
      <c r="A18580" s="1" t="s">
        <v>1228</v>
      </c>
      <c r="B18580" s="0" t="s">
        <v>75</v>
      </c>
      <c r="C18580" s="8" t="n">
        <f aca="false">div_rem27+Sens!G18548*roll_div_q/q_per_yr</f>
        <v>3.9795</v>
      </c>
    </row>
    <row r="18581" customFormat="false" ht="17.15" hidden="false" customHeight="false" outlineLevel="0" collapsed="false">
      <c r="A18581" s="0" t="s">
        <v>1229</v>
      </c>
      <c r="B18581" s="0" t="s">
        <v>75</v>
      </c>
      <c r="C18581" s="5" t="n">
        <f aca="false">Sens!$C$18579*(1+wacc)^t_roll-Sens!$C$18580</f>
        <v>324.731129326076</v>
      </c>
    </row>
    <row r="18582" customFormat="false" ht="17.15" hidden="false" customHeight="false" outlineLevel="0" collapsed="false">
      <c r="A18582" s="1" t="s">
        <v>1230</v>
      </c>
      <c r="B18582" s="0" t="s">
        <v>168</v>
      </c>
      <c r="F18582" s="7" t="n">
        <f aca="false">Sens!F18534/(Sens!F18479-Sens!F18434)</f>
        <v>0.069487420072699</v>
      </c>
      <c r="G18582" s="7" t="n">
        <f aca="false">Sens!G18534/(Sens!G18479-Sens!G18434)</f>
        <v>0.0665398292328362</v>
      </c>
      <c r="H18582" s="7" t="n">
        <f aca="false">Sens!H18534/(Sens!H18479-Sens!H18434)</f>
        <v>0.0649855722482045</v>
      </c>
      <c r="I18582" s="7" t="n">
        <f aca="false">Sens!I18534/(Sens!I18479-Sens!I18434)</f>
        <v>0.0646922908467316</v>
      </c>
      <c r="J18582" s="7" t="n">
        <f aca="false">Sens!J18534/(Sens!J18479-Sens!J18434)</f>
        <v>0.0653667411122421</v>
      </c>
      <c r="K18582" s="7" t="n">
        <f aca="false">Sens!K18534/(Sens!K18479-Sens!K18434)</f>
        <v>0.0666529005695021</v>
      </c>
    </row>
    <row r="18583" customFormat="false" ht="17.15" hidden="false" customHeight="false" outlineLevel="0" collapsed="false">
      <c r="A18583" s="0" t="s">
        <v>1231</v>
      </c>
      <c r="B18583" s="0" t="s">
        <v>98</v>
      </c>
      <c r="F18583" s="6" t="n">
        <f aca="false">Sens!F18464*(al_m365+Sens!F18582+sbc_r)</f>
        <v>83.8234754297984</v>
      </c>
      <c r="G18583" s="6" t="n">
        <f aca="false">Sens!G18464*(al_m365+Sens!G18582+sbc_r)</f>
        <v>96.2267056123927</v>
      </c>
      <c r="H18583" s="6" t="n">
        <f aca="false">Sens!H18464*(al_m365+Sens!H18582+sbc_r)</f>
        <v>108.795861825183</v>
      </c>
      <c r="I18583" s="6" t="n">
        <f aca="false">Sens!I18464*(al_m365+Sens!I18582+sbc_r)</f>
        <v>120.350033491686</v>
      </c>
      <c r="J18583" s="6" t="n">
        <f aca="false">Sens!J18464*(al_m365+Sens!J18582+sbc_r)</f>
        <v>130.70134144754</v>
      </c>
      <c r="K18583" s="6" t="n">
        <f aca="false">Sens!K18464*(al_m365+Sens!K18582+sbc_r)</f>
        <v>140.666095367582</v>
      </c>
      <c r="L18583" s="12" t="s">
        <v>1232</v>
      </c>
    </row>
    <row r="18584" customFormat="false" ht="17.15" hidden="false" customHeight="false" outlineLevel="0" collapsed="false">
      <c r="A18584" s="0" t="s">
        <v>1233</v>
      </c>
      <c r="B18584" s="0" t="s">
        <v>98</v>
      </c>
      <c r="F18584" s="6" t="n">
        <f aca="false">Sens!F18465*(al_lic+Sens!F18582+sbc_r)</f>
        <v>32.8910783875152</v>
      </c>
      <c r="G18584" s="6" t="n">
        <f aca="false">Sens!G18465*(al_lic+Sens!G18582+sbc_r)</f>
        <v>34.165892968127</v>
      </c>
      <c r="H18584" s="6" t="n">
        <f aca="false">Sens!H18465*(al_lic+Sens!H18582+sbc_r)</f>
        <v>35.3572976955896</v>
      </c>
      <c r="I18584" s="6" t="n">
        <f aca="false">Sens!I18465*(al_lic+Sens!I18582+sbc_r)</f>
        <v>36.4469155460555</v>
      </c>
      <c r="J18584" s="6" t="n">
        <f aca="false">Sens!J18465*(al_lic+Sens!J18582+sbc_r)</f>
        <v>37.40903622521</v>
      </c>
      <c r="K18584" s="6" t="n">
        <f aca="false">Sens!K18465*(al_lic+Sens!K18582+sbc_r)</f>
        <v>38.2147675849063</v>
      </c>
    </row>
    <row r="18585" customFormat="false" ht="17.15" hidden="false" customHeight="false" outlineLevel="0" collapsed="false">
      <c r="A18585" s="0" t="s">
        <v>1234</v>
      </c>
      <c r="B18585" s="0" t="s">
        <v>98</v>
      </c>
      <c r="F18585" s="6" t="n">
        <f aca="false">Sens!F18467*(al_ind+Sens!F18582+sbc_r)</f>
        <v>9.0797841784923</v>
      </c>
      <c r="G18585" s="6" t="n">
        <f aca="false">Sens!G18467*(al_ind+Sens!G18582+sbc_r)</f>
        <v>9.85342476009629</v>
      </c>
      <c r="H18585" s="6" t="n">
        <f aca="false">Sens!H18467*(al_ind+Sens!H18582+sbc_r)</f>
        <v>10.6728251830112</v>
      </c>
      <c r="I18585" s="6" t="n">
        <f aca="false">Sens!I18467*(al_ind+Sens!I18582+sbc_r)</f>
        <v>11.534907961293</v>
      </c>
      <c r="J18585" s="6" t="n">
        <f aca="false">Sens!J18467*(al_ind+Sens!J18582+sbc_r)</f>
        <v>12.4298498254275</v>
      </c>
      <c r="K18585" s="6" t="n">
        <f aca="false">Sens!K18467*(al_ind+Sens!K18582+sbc_r)</f>
        <v>13.342411991798</v>
      </c>
    </row>
    <row r="18586" customFormat="false" ht="17.15" hidden="false" customHeight="false" outlineLevel="0" collapsed="false">
      <c r="A18586" s="0" t="s">
        <v>1235</v>
      </c>
      <c r="B18586" s="0" t="s">
        <v>98</v>
      </c>
      <c r="F18586" s="6" t="n">
        <f aca="false">Sens!F18469*(al_fro+Sens!F18582+sbc_r)</f>
        <v>3.56162644629142</v>
      </c>
      <c r="G18586" s="6" t="n">
        <f aca="false">Sens!G18469*(al_fro+Sens!G18582+sbc_r)</f>
        <v>3.77020909710978</v>
      </c>
      <c r="H18586" s="6" t="n">
        <f aca="false">Sens!H18469*(al_fro+Sens!H18582+sbc_r)</f>
        <v>4.00814677505003</v>
      </c>
      <c r="I18586" s="6" t="n">
        <f aca="false">Sens!I18469*(al_fro+Sens!I18582+sbc_r)</f>
        <v>4.27815867725025</v>
      </c>
      <c r="J18586" s="6" t="n">
        <f aca="false">Sens!J18469*(al_fro+Sens!J18582+sbc_r)</f>
        <v>4.58133232920427</v>
      </c>
      <c r="K18586" s="6" t="n">
        <f aca="false">Sens!K18469*(al_fro+Sens!K18582+sbc_r)</f>
        <v>4.91767996122868</v>
      </c>
    </row>
    <row r="18587" customFormat="false" ht="17.15" hidden="false" customHeight="false" outlineLevel="0" collapsed="false">
      <c r="A18587" s="0" t="s">
        <v>1236</v>
      </c>
      <c r="B18587" s="0" t="s">
        <v>98</v>
      </c>
      <c r="F18587" s="6" t="n">
        <f aca="false">Sens!F18472*(al_srch+Sens!F18582+sbc_r)</f>
        <v>11.2130076297701</v>
      </c>
      <c r="G18587" s="6" t="n">
        <f aca="false">Sens!G18472*(al_srch+Sens!G18582+sbc_r)</f>
        <v>12.2832226134834</v>
      </c>
      <c r="H18587" s="6" t="n">
        <f aca="false">Sens!H18472*(al_srch+Sens!H18582+sbc_r)</f>
        <v>13.3993341696542</v>
      </c>
      <c r="I18587" s="6" t="n">
        <f aca="false">Sens!I18472*(al_srch+Sens!I18582+sbc_r)</f>
        <v>14.5506972912634</v>
      </c>
      <c r="J18587" s="6" t="n">
        <f aca="false">Sens!J18472*(al_srch+Sens!J18582+sbc_r)</f>
        <v>15.7172028344747</v>
      </c>
      <c r="K18587" s="6" t="n">
        <f aca="false">Sens!K18472*(al_srch+Sens!K18582+sbc_r)</f>
        <v>16.8711125654331</v>
      </c>
    </row>
    <row r="18588" customFormat="false" ht="17.15" hidden="false" customHeight="false" outlineLevel="0" collapsed="false">
      <c r="A18588" s="0" t="s">
        <v>1237</v>
      </c>
      <c r="B18588" s="0" t="s">
        <v>98</v>
      </c>
      <c r="F18588" s="6" t="n">
        <f aca="false">Sens!F18440-Sens!F18441+Sens!F18522</f>
        <v>42.5431090240393</v>
      </c>
      <c r="G18588" s="6" t="n">
        <f aca="false">Sens!G18440-Sens!G18441+Sens!G18522</f>
        <v>81.4922561130847</v>
      </c>
      <c r="H18588" s="6" t="n">
        <f aca="false">Sens!H18440-Sens!H18441+Sens!H18522</f>
        <v>123.278266211349</v>
      </c>
      <c r="I18588" s="6" t="n">
        <f aca="false">Sens!I18440-Sens!I18441+Sens!I18522</f>
        <v>160.60594185192</v>
      </c>
      <c r="J18588" s="6" t="n">
        <f aca="false">Sens!J18440-Sens!J18441+Sens!J18522</f>
        <v>186.818741832633</v>
      </c>
      <c r="K18588" s="6" t="n">
        <f aca="false">Sens!K18440-Sens!K18441+Sens!K18522</f>
        <v>202.776422159652</v>
      </c>
    </row>
    <row r="18589" customFormat="false" ht="17.15" hidden="false" customHeight="false" outlineLevel="0" collapsed="false">
      <c r="A18589" s="0" t="s">
        <v>1238</v>
      </c>
      <c r="B18589" s="0" t="s">
        <v>98</v>
      </c>
      <c r="F18589" s="6" t="n">
        <f aca="false">Sens!F18501+Sens!F18522+Sens!F18452+Sens!F18582*(Sens!F18471-Sens!F18434)+sbc_r*Sens!F18471</f>
        <v>238.32322859251</v>
      </c>
      <c r="G18589" s="6" t="n">
        <f aca="false">Sens!G18501+Sens!G18522+Sens!G18452+Sens!G18582*(Sens!G18471-Sens!G18434)+sbc_r*Sens!G18471</f>
        <v>300.122077094195</v>
      </c>
      <c r="H18589" s="6" t="n">
        <f aca="false">Sens!H18501+Sens!H18522+Sens!H18452+Sens!H18582*(Sens!H18471-Sens!H18434)+sbc_r*Sens!H18471</f>
        <v>369.661139072236</v>
      </c>
      <c r="I18589" s="6" t="n">
        <f aca="false">Sens!I18501+Sens!I18522+Sens!I18452+Sens!I18582*(Sens!I18471-Sens!I18434)+sbc_r*Sens!I18471</f>
        <v>433.364407888723</v>
      </c>
      <c r="J18589" s="6" t="n">
        <f aca="false">Sens!J18501+Sens!J18522+Sens!J18452+Sens!J18582*(Sens!J18471-Sens!J18434)+sbc_r*Sens!J18471</f>
        <v>483.499739571182</v>
      </c>
      <c r="K18589" s="6" t="n">
        <f aca="false">Sens!K18501+Sens!K18522+Sens!K18452+Sens!K18582*(Sens!K18471-Sens!K18434)+sbc_r*Sens!K18471</f>
        <v>520.991145750401</v>
      </c>
    </row>
    <row r="18590" customFormat="false" ht="17.15" hidden="false" customHeight="false" outlineLevel="0" collapsed="false">
      <c r="A18590" s="0" t="s">
        <v>1239</v>
      </c>
      <c r="B18590" s="0" t="s">
        <v>98</v>
      </c>
      <c r="F18590" s="6" t="n">
        <f aca="false">Sens!F18589-Sens!F18583-Sens!F18584-Sens!F18585-Sens!F18586-Sens!F18588</f>
        <v>66.4241551263738</v>
      </c>
      <c r="G18590" s="6" t="n">
        <f aca="false">Sens!G18589-Sens!G18583-Sens!G18584-Sens!G18585-Sens!G18586-Sens!G18588</f>
        <v>74.6135885433842</v>
      </c>
      <c r="H18590" s="6" t="n">
        <f aca="false">Sens!H18589-Sens!H18583-Sens!H18584-Sens!H18585-Sens!H18586-Sens!H18588</f>
        <v>87.5487413820526</v>
      </c>
      <c r="I18590" s="6" t="n">
        <f aca="false">Sens!I18589-Sens!I18583-Sens!I18584-Sens!I18585-Sens!I18586-Sens!I18588</f>
        <v>100.148450360519</v>
      </c>
      <c r="J18590" s="6" t="n">
        <f aca="false">Sens!J18589-Sens!J18583-Sens!J18584-Sens!J18585-Sens!J18586-Sens!J18588</f>
        <v>111.559437911167</v>
      </c>
      <c r="K18590" s="6" t="n">
        <f aca="false">Sens!K18589-Sens!K18583-Sens!K18584-Sens!K18585-Sens!K18586-Sens!K18588</f>
        <v>121.073768685235</v>
      </c>
    </row>
    <row r="18591" customFormat="false" ht="17.15" hidden="false" customHeight="false" outlineLevel="0" collapsed="false">
      <c r="A18591" s="0" t="s">
        <v>1240</v>
      </c>
      <c r="B18591" s="0" t="s">
        <v>98</v>
      </c>
      <c r="F18591" s="6" t="n">
        <f aca="false">Sens!F18503+Sens!F18582*Sens!F18478+sbc_r*Sens!F18478</f>
        <v>24.959500802584</v>
      </c>
      <c r="G18591" s="6" t="n">
        <f aca="false">Sens!G18503+Sens!G18582*Sens!G18478+sbc_r*Sens!G18478</f>
        <v>24.805244161183</v>
      </c>
      <c r="H18591" s="6" t="n">
        <f aca="false">Sens!H18503+Sens!H18582*Sens!H18478+sbc_r*Sens!H18478</f>
        <v>25.6749086871092</v>
      </c>
      <c r="I18591" s="6" t="n">
        <f aca="false">Sens!I18503+Sens!I18582*Sens!I18478+sbc_r*Sens!I18478</f>
        <v>26.7681135116159</v>
      </c>
      <c r="J18591" s="6" t="n">
        <f aca="false">Sens!J18503+Sens!J18582*Sens!J18478+sbc_r*Sens!J18478</f>
        <v>28.0500693465804</v>
      </c>
      <c r="K18591" s="6" t="n">
        <f aca="false">Sens!K18503+Sens!K18582*Sens!K18478+sbc_r*Sens!K18478</f>
        <v>29.4842777002335</v>
      </c>
    </row>
    <row r="18592" customFormat="false" ht="17.15" hidden="false" customHeight="false" outlineLevel="0" collapsed="false">
      <c r="A18592" s="0" t="s">
        <v>1241</v>
      </c>
      <c r="B18592" s="0" t="s">
        <v>98</v>
      </c>
      <c r="F18592" s="6" t="n">
        <f aca="false">(Sens!F18591-Sens!F18587)*Sens!F18474/(Sens!F18474+Sens!F18476)</f>
        <v>8.7906134254519</v>
      </c>
      <c r="G18592" s="6" t="n">
        <f aca="false">(Sens!G18591-Sens!G18587)*Sens!G18474/(Sens!G18474+Sens!G18476)</f>
        <v>7.8932493570446</v>
      </c>
      <c r="H18592" s="6" t="n">
        <f aca="false">(Sens!H18591-Sens!H18587)*Sens!H18474/(Sens!H18474+Sens!H18476)</f>
        <v>7.65396807191319</v>
      </c>
      <c r="I18592" s="6" t="n">
        <f aca="false">(Sens!I18591-Sens!I18587)*Sens!I18474/(Sens!I18474+Sens!I18476)</f>
        <v>7.56226060723243</v>
      </c>
      <c r="J18592" s="6" t="n">
        <f aca="false">(Sens!J18591-Sens!J18587)*Sens!J18474/(Sens!J18474+Sens!J18476)</f>
        <v>7.60592846264758</v>
      </c>
      <c r="K18592" s="6" t="n">
        <f aca="false">(Sens!K18591-Sens!K18587)*Sens!K18474/(Sens!K18474+Sens!K18476)</f>
        <v>7.77879429803968</v>
      </c>
    </row>
    <row r="18593" customFormat="false" ht="17.15" hidden="false" customHeight="false" outlineLevel="0" collapsed="false">
      <c r="A18593" s="0" t="s">
        <v>1242</v>
      </c>
      <c r="B18593" s="0" t="s">
        <v>98</v>
      </c>
      <c r="F18593" s="6" t="n">
        <f aca="false">Sens!F18591-Sens!F18587-Sens!F18592</f>
        <v>4.95587974736205</v>
      </c>
      <c r="G18593" s="6" t="n">
        <f aca="false">Sens!G18591-Sens!G18587-Sens!G18592</f>
        <v>4.628772190655</v>
      </c>
      <c r="H18593" s="6" t="n">
        <f aca="false">Sens!H18591-Sens!H18587-Sens!H18592</f>
        <v>4.62160644554179</v>
      </c>
      <c r="I18593" s="6" t="n">
        <f aca="false">Sens!I18591-Sens!I18587-Sens!I18592</f>
        <v>4.65515561312009</v>
      </c>
      <c r="J18593" s="6" t="n">
        <f aca="false">Sens!J18591-Sens!J18587-Sens!J18592</f>
        <v>4.72693804945815</v>
      </c>
      <c r="K18593" s="6" t="n">
        <f aca="false">Sens!K18591-Sens!K18587-Sens!K18592</f>
        <v>4.83437083676074</v>
      </c>
    </row>
    <row r="18594" customFormat="false" ht="17.15" hidden="false" customHeight="false" outlineLevel="0" collapsed="false">
      <c r="A18594" s="0" t="s">
        <v>1243</v>
      </c>
      <c r="B18594" s="0" t="s">
        <v>98</v>
      </c>
      <c r="F18594" s="6" t="n">
        <f aca="false">Sens!F18588-tax_f*(Sens!F18588-Sens!F18452)-Sens!F18449</f>
        <v>-127.503553927218</v>
      </c>
      <c r="G18594" s="6" t="n">
        <f aca="false">Sens!G18588-tax_f*(Sens!G18588-Sens!G18452)-Sens!G18449</f>
        <v>-114.603772628121</v>
      </c>
      <c r="H18594" s="6" t="n">
        <f aca="false">Sens!H18588-tax_f*(Sens!H18588-Sens!H18452)-Sens!H18449</f>
        <v>-80.3633729631438</v>
      </c>
      <c r="I18594" s="6" t="n">
        <f aca="false">Sens!I18588-tax_f*(Sens!I18588-Sens!I18452)-Sens!I18449</f>
        <v>-17.2838782011649</v>
      </c>
      <c r="J18594" s="6" t="n">
        <f aca="false">Sens!J18588-tax_f*(Sens!J18588-Sens!J18452)-Sens!J18449</f>
        <v>46.9281968800854</v>
      </c>
      <c r="K18594" s="6" t="n">
        <f aca="false">Sens!K18588-tax_f*(Sens!K18588-Sens!K18452)-Sens!K18449</f>
        <v>71.8608185731755</v>
      </c>
    </row>
    <row r="18595" customFormat="false" ht="17.15" hidden="false" customHeight="false" outlineLevel="0" collapsed="false">
      <c r="A18595" s="0" t="s">
        <v>1244</v>
      </c>
      <c r="B18595" s="0" t="s">
        <v>98</v>
      </c>
      <c r="G18595" s="6" t="n">
        <f aca="false">Sens!G18594/(1+wacc)^(Sens!G18565-Sens!F18566)</f>
        <v>-109.124845494465</v>
      </c>
      <c r="H18595" s="6" t="n">
        <f aca="false">Sens!H18594/(1+wacc)^(Sens!H18565-Sens!F18566)</f>
        <v>-69.3796874071025</v>
      </c>
      <c r="I18595" s="6" t="n">
        <f aca="false">Sens!I18594/(1+wacc)^(Sens!I18565-Sens!F18566)</f>
        <v>-13.5289731380471</v>
      </c>
      <c r="J18595" s="6" t="n">
        <f aca="false">Sens!J18594/(1+wacc)^(Sens!J18565-Sens!F18566)</f>
        <v>33.3048099587126</v>
      </c>
      <c r="K18595" s="6" t="n">
        <f aca="false">Sens!K18594/(1+wacc)^(Sens!K18565-Sens!F18566)</f>
        <v>46.2396679904913</v>
      </c>
      <c r="L18595" s="1" t="s">
        <v>1245</v>
      </c>
    </row>
    <row r="18596" customFormat="false" ht="17.15" hidden="false" customHeight="false" outlineLevel="0" collapsed="false">
      <c r="A18596" s="0" t="s">
        <v>1246</v>
      </c>
      <c r="B18596" s="0" t="s">
        <v>98</v>
      </c>
      <c r="C18596" s="6" t="n">
        <f aca="false">(Sens!K18588-Sens!K18452)*(1-tax_f)*(1+g_tv)*(1-g_tv/(wacc+ronic_prem))/(wacc-g_tv)/(1+wacc)^(Sens!K18566-Sens!F18566)</f>
        <v>293.118051086843</v>
      </c>
    </row>
    <row r="18597" customFormat="false" ht="17.15" hidden="false" customHeight="false" outlineLevel="0" collapsed="false">
      <c r="A18597" s="1" t="s">
        <v>1247</v>
      </c>
      <c r="B18597" s="0" t="s">
        <v>98</v>
      </c>
      <c r="C18597" s="6" t="n">
        <f aca="false">(SUM(Sens!G18595:K18595)+Sens!$C$18596)*(1+wacc)^(t_roll-Sens!F18566)</f>
        <v>186.592133308255</v>
      </c>
      <c r="L18597" s="12" t="s">
        <v>1248</v>
      </c>
    </row>
    <row r="18598" customFormat="false" ht="17.15" hidden="false" customHeight="false" outlineLevel="0" collapsed="false">
      <c r="A18598" s="1" t="s">
        <v>1249</v>
      </c>
      <c r="B18598" s="0" t="s">
        <v>98</v>
      </c>
      <c r="C18598" s="6" t="n">
        <f aca="false">(w_ntm28*Sens!G18440+(1-w_ntm28)*Sens!H18440)*m_ai</f>
        <v>463.789109510335</v>
      </c>
    </row>
    <row r="18599" customFormat="false" ht="17.15" hidden="false" customHeight="false" outlineLevel="0" collapsed="false">
      <c r="A18599" s="1" t="s">
        <v>1250</v>
      </c>
      <c r="B18599" s="0" t="s">
        <v>98</v>
      </c>
      <c r="C18599" s="6" t="n">
        <f aca="false">(w_ntm28*Sens!G18590+(1-w_ntm28)*Sens!H18590)*m_cloud</f>
        <v>1089.93145796449</v>
      </c>
    </row>
    <row r="18600" customFormat="false" ht="17.15" hidden="false" customHeight="false" outlineLevel="0" collapsed="false">
      <c r="A18600" s="1" t="s">
        <v>1251</v>
      </c>
      <c r="B18600" s="0" t="s">
        <v>98</v>
      </c>
      <c r="C18600" s="6" t="n">
        <f aca="false">(w_ntm28*Sens!G18583+(1-w_ntm28)*Sens!H18583)*m_sw</f>
        <v>1083.87753418035</v>
      </c>
    </row>
    <row r="18601" customFormat="false" ht="17.15" hidden="false" customHeight="false" outlineLevel="0" collapsed="false">
      <c r="A18601" s="1" t="s">
        <v>1252</v>
      </c>
      <c r="B18601" s="0" t="s">
        <v>98</v>
      </c>
      <c r="C18601" s="6" t="n">
        <f aca="false">(w_ntm28*Sens!G18584+(1-w_ntm28)*Sens!H18584)*m_sw</f>
        <v>373.221946868899</v>
      </c>
    </row>
    <row r="18602" customFormat="false" ht="17.15" hidden="false" customHeight="false" outlineLevel="0" collapsed="false">
      <c r="A18602" s="1" t="s">
        <v>1253</v>
      </c>
      <c r="B18602" s="0" t="s">
        <v>98</v>
      </c>
      <c r="C18602" s="6" t="n">
        <f aca="false">(w_ntm28*Sens!G18585+(1-w_ntm28)*Sens!H18585)*m_sw</f>
        <v>109.326420143554</v>
      </c>
    </row>
    <row r="18603" customFormat="false" ht="17.15" hidden="false" customHeight="false" outlineLevel="0" collapsed="false">
      <c r="A18603" s="1" t="s">
        <v>1254</v>
      </c>
      <c r="B18603" s="0" t="s">
        <v>98</v>
      </c>
      <c r="C18603" s="6" t="n">
        <f aca="false">(w_ntm28*Sens!G18586+(1-w_ntm28)*Sens!H18586)*m_sw</f>
        <v>41.5630999764858</v>
      </c>
    </row>
    <row r="18604" customFormat="false" ht="17.15" hidden="false" customHeight="false" outlineLevel="0" collapsed="false">
      <c r="A18604" s="1" t="s">
        <v>1255</v>
      </c>
      <c r="B18604" s="0" t="s">
        <v>98</v>
      </c>
      <c r="C18604" s="6" t="n">
        <f aca="false">(w_ntm28*Sens!G18587+(1-w_ntm28)*Sens!H18587)*m_ads</f>
        <v>115.242988565562</v>
      </c>
    </row>
    <row r="18605" customFormat="false" ht="17.15" hidden="false" customHeight="false" outlineLevel="0" collapsed="false">
      <c r="A18605" s="1" t="s">
        <v>1256</v>
      </c>
      <c r="B18605" s="0" t="s">
        <v>98</v>
      </c>
      <c r="C18605" s="6" t="n">
        <f aca="false">(w_ntm28*Sens!G18592+(1-w_ntm28)*Sens!H18592)*m_game</f>
        <v>98.6981648157879</v>
      </c>
    </row>
    <row r="18606" customFormat="false" ht="17.15" hidden="false" customHeight="false" outlineLevel="0" collapsed="false">
      <c r="A18606" s="1" t="s">
        <v>1257</v>
      </c>
      <c r="B18606" s="0" t="s">
        <v>98</v>
      </c>
      <c r="C18606" s="6" t="n">
        <f aca="false">(w_ntm28*Sens!G18593+(1-w_ntm28)*Sens!H18593)*m_pc</f>
        <v>66.9442442842174</v>
      </c>
    </row>
    <row r="18607" customFormat="false" ht="17.15" hidden="false" customHeight="false" outlineLevel="0" collapsed="false">
      <c r="A18607" s="1" t="s">
        <v>1258</v>
      </c>
      <c r="B18607" s="0" t="s">
        <v>98</v>
      </c>
      <c r="C18607" s="6" t="n">
        <f aca="false">Sens!$C$18597+Sens!$C$18599+Sens!$C$18600+Sens!$C$18601+Sens!$C$18602+Sens!$C$18603+Sens!$C$18604+Sens!$C$18605+Sens!$C$18606</f>
        <v>3165.39799010761</v>
      </c>
    </row>
    <row r="18608" customFormat="false" ht="17.15" hidden="false" customHeight="false" outlineLevel="0" collapsed="false">
      <c r="A18608" s="1" t="s">
        <v>1259</v>
      </c>
      <c r="B18608" s="0" t="s">
        <v>98</v>
      </c>
      <c r="C18608" s="6" t="n">
        <f aca="false">(Sens!G18569-Sens!G18594)*t_stub</f>
        <v>47.5724665946327</v>
      </c>
      <c r="L18608" s="1" t="s">
        <v>1260</v>
      </c>
    </row>
    <row r="18609" customFormat="false" ht="17.15" hidden="false" customHeight="false" outlineLevel="0" collapsed="false">
      <c r="A18609" s="1" t="s">
        <v>1169</v>
      </c>
      <c r="B18609" s="0" t="s">
        <v>98</v>
      </c>
      <c r="C18609" s="6" t="n">
        <f aca="false">Sens!F18556+oai_v-Sens!F18545+Sens!$C$18608</f>
        <v>160.886178478977</v>
      </c>
      <c r="L18609" s="1" t="s">
        <v>1261</v>
      </c>
    </row>
    <row r="18610" customFormat="false" ht="17.15" hidden="false" customHeight="false" outlineLevel="0" collapsed="false">
      <c r="A18610" s="1" t="s">
        <v>1262</v>
      </c>
      <c r="B18610" s="0" t="s">
        <v>75</v>
      </c>
      <c r="C18610" s="5" t="n">
        <f aca="false">(Sens!$C$18607+Sens!$C$18609)/(Sens!F18558+dil_gap)-Sens!G18548*roll_div_q/q_per_yr</f>
        <v>442.701717794368</v>
      </c>
      <c r="L18610" s="1" t="s">
        <v>1263</v>
      </c>
    </row>
    <row r="18611" customFormat="false" ht="17.15" hidden="false" customHeight="false" outlineLevel="0" collapsed="false">
      <c r="A18611" s="1" t="s">
        <v>1264</v>
      </c>
      <c r="B18611" s="0" t="s">
        <v>75</v>
      </c>
      <c r="C18611" s="5" t="n">
        <f aca="false">w_dcf*Sens!$C$18581+(1-w_dcf)*Sens!$C$18610</f>
        <v>383.716423560222</v>
      </c>
    </row>
    <row r="18612" customFormat="false" ht="17.15" hidden="false" customHeight="false" outlineLevel="0" collapsed="false">
      <c r="A18612" s="3" t="s">
        <v>1939</v>
      </c>
    </row>
    <row r="18613" customFormat="false" ht="15" hidden="false" customHeight="false" outlineLevel="0" collapsed="false">
      <c r="A18613" s="4" t="s">
        <v>43</v>
      </c>
      <c r="B18613" s="4" t="s">
        <v>65</v>
      </c>
      <c r="C18613" s="23" t="s">
        <v>938</v>
      </c>
      <c r="D18613" s="23" t="s">
        <v>939</v>
      </c>
      <c r="E18613" s="23" t="s">
        <v>940</v>
      </c>
      <c r="F18613" s="23" t="s">
        <v>941</v>
      </c>
      <c r="G18613" s="23" t="s">
        <v>942</v>
      </c>
      <c r="H18613" s="23" t="s">
        <v>943</v>
      </c>
      <c r="I18613" s="23" t="s">
        <v>944</v>
      </c>
      <c r="J18613" s="23" t="s">
        <v>945</v>
      </c>
      <c r="K18613" s="23" t="s">
        <v>946</v>
      </c>
      <c r="L18613" s="4" t="s">
        <v>47</v>
      </c>
    </row>
    <row r="18614" customFormat="false" ht="17.15" hidden="false" customHeight="false" outlineLevel="0" collapsed="false">
      <c r="A18614" s="1" t="s">
        <v>947</v>
      </c>
      <c r="B18614" s="1" t="s">
        <v>279</v>
      </c>
      <c r="C18614" s="21" t="n">
        <v>2024</v>
      </c>
      <c r="D18614" s="21" t="n">
        <v>2025</v>
      </c>
      <c r="E18614" s="21" t="n">
        <v>2026</v>
      </c>
      <c r="F18614" s="21" t="n">
        <v>2027</v>
      </c>
      <c r="G18614" s="21" t="n">
        <v>2028</v>
      </c>
      <c r="H18614" s="21" t="n">
        <v>2029</v>
      </c>
      <c r="I18614" s="21" t="n">
        <v>2030</v>
      </c>
      <c r="J18614" s="21" t="n">
        <v>2031</v>
      </c>
      <c r="K18614" s="21" t="n">
        <v>2032</v>
      </c>
    </row>
    <row r="18615" customFormat="false" ht="17.15" hidden="false" customHeight="false" outlineLevel="0" collapsed="false">
      <c r="A18615" s="1" t="s">
        <v>948</v>
      </c>
      <c r="B18615" s="0" t="s">
        <v>456</v>
      </c>
      <c r="F18615" s="30" t="n">
        <f aca="false">pace</f>
        <v>2726.5351</v>
      </c>
      <c r="G18615" s="30" t="n">
        <f aca="false">pace</f>
        <v>2726.5351</v>
      </c>
      <c r="H18615" s="30" t="n">
        <f aca="false">pace</f>
        <v>2726.5351</v>
      </c>
      <c r="I18615" s="30" t="n">
        <f aca="false">pace+(g_tv*Sens!H18616-pace)*MIN(1,(Sens!I18614-pace_y0)/(pace_y1-pace_y0))</f>
        <v>1931.98611966667</v>
      </c>
      <c r="J18615" s="30" t="n">
        <f aca="false">pace+(g_tv*Sens!I18616-pace)*MIN(1,(Sens!J18614-pace_y0)/(pace_y1-pace_y0))</f>
        <v>1176.07686172667</v>
      </c>
      <c r="K18615" s="30" t="n">
        <f aca="false">pace+(g_tv*Sens!J18616-pace)*MIN(1,(Sens!K18614-pace_y0)/(pace_y1-pace_y0))</f>
        <v>436.1300484418</v>
      </c>
      <c r="L18615" s="12" t="s">
        <v>949</v>
      </c>
    </row>
    <row r="18616" customFormat="false" ht="17.15" hidden="false" customHeight="false" outlineLevel="0" collapsed="false">
      <c r="A18616" s="1" t="s">
        <v>950</v>
      </c>
      <c r="B18616" s="0" t="s">
        <v>456</v>
      </c>
      <c r="C18616" s="30" t="n">
        <f aca="false">mw_ext_24</f>
        <v>640</v>
      </c>
      <c r="D18616" s="30" t="n">
        <f aca="false">mw_ext_25</f>
        <v>1630</v>
      </c>
      <c r="E18616" s="30" t="n">
        <f aca="false">mw_ext_26</f>
        <v>3250</v>
      </c>
      <c r="F18616" s="30" t="n">
        <f aca="false">Sens!E18616+Sens!F18615</f>
        <v>5976.5351</v>
      </c>
      <c r="G18616" s="30" t="n">
        <f aca="false">Sens!F18616+Sens!G18615</f>
        <v>8703.0702</v>
      </c>
      <c r="H18616" s="30" t="n">
        <f aca="false">Sens!G18616+Sens!H18615</f>
        <v>11429.6053</v>
      </c>
      <c r="I18616" s="30" t="n">
        <f aca="false">Sens!H18616+Sens!I18615</f>
        <v>13361.5914196667</v>
      </c>
      <c r="J18616" s="30" t="n">
        <f aca="false">Sens!I18616+Sens!J18615</f>
        <v>14537.6682813933</v>
      </c>
      <c r="K18616" s="30" t="n">
        <f aca="false">Sens!J18616+Sens!K18615</f>
        <v>14973.7983298351</v>
      </c>
      <c r="L18616" s="1" t="s">
        <v>951</v>
      </c>
    </row>
    <row r="18617" customFormat="false" ht="17.15" hidden="false" customHeight="false" outlineLevel="0" collapsed="false">
      <c r="A18617" s="1" t="s">
        <v>952</v>
      </c>
      <c r="B18617" s="0" t="s">
        <v>456</v>
      </c>
      <c r="C18617" s="30" t="n">
        <f aca="false">rent_ext_24</f>
        <v>150</v>
      </c>
      <c r="D18617" s="30" t="n">
        <f aca="false">rent_ext_25</f>
        <v>400</v>
      </c>
      <c r="E18617" s="30" t="n">
        <f aca="false">rent_ext_26</f>
        <v>550</v>
      </c>
      <c r="F18617" s="30" t="n">
        <f aca="false">rent_ext_f</f>
        <v>756</v>
      </c>
      <c r="G18617" s="30" t="n">
        <f aca="false">rent_ext_f</f>
        <v>756</v>
      </c>
      <c r="H18617" s="30" t="n">
        <f aca="false">rent_ext_f</f>
        <v>756</v>
      </c>
      <c r="I18617" s="30" t="n">
        <f aca="false">rent_ext_f</f>
        <v>756</v>
      </c>
      <c r="J18617" s="30" t="n">
        <f aca="false">rent_ext_f</f>
        <v>756</v>
      </c>
      <c r="K18617" s="30" t="n">
        <f aca="false">rent_ext_f</f>
        <v>756</v>
      </c>
      <c r="L18617" s="1" t="s">
        <v>953</v>
      </c>
    </row>
    <row r="18618" customFormat="false" ht="17.15" hidden="false" customHeight="false" outlineLevel="0" collapsed="false">
      <c r="A18618" s="1" t="s">
        <v>954</v>
      </c>
      <c r="B18618" s="0" t="s">
        <v>456</v>
      </c>
      <c r="C18618" s="30" t="n">
        <f aca="false">Sens!C18616-Sens!C18617</f>
        <v>490</v>
      </c>
      <c r="D18618" s="30" t="n">
        <f aca="false">Sens!D18616-Sens!D18617</f>
        <v>1230</v>
      </c>
      <c r="E18618" s="30" t="n">
        <f aca="false">Sens!E18616-Sens!E18617</f>
        <v>2700</v>
      </c>
      <c r="F18618" s="30" t="n">
        <f aca="false">Sens!F18616-Sens!F18617</f>
        <v>5220.5351</v>
      </c>
      <c r="G18618" s="30" t="n">
        <f aca="false">Sens!G18616-Sens!G18617</f>
        <v>7947.0702</v>
      </c>
      <c r="H18618" s="30" t="n">
        <f aca="false">Sens!H18616-Sens!H18617</f>
        <v>10673.6053</v>
      </c>
      <c r="I18618" s="30" t="n">
        <f aca="false">Sens!I18616-Sens!I18617</f>
        <v>12605.5914196667</v>
      </c>
      <c r="J18618" s="30" t="n">
        <f aca="false">Sens!J18616-Sens!J18617</f>
        <v>13781.6682813933</v>
      </c>
      <c r="K18618" s="30" t="n">
        <f aca="false">Sens!K18616-Sens!K18617</f>
        <v>14217.7983298351</v>
      </c>
    </row>
    <row r="18619" customFormat="false" ht="17.15" hidden="false" customHeight="false" outlineLevel="0" collapsed="false">
      <c r="A18619" s="1" t="s">
        <v>955</v>
      </c>
      <c r="B18619" s="0" t="s">
        <v>456</v>
      </c>
      <c r="C18619" s="30" t="n">
        <f aca="false">Sens!C18618/ext_sh</f>
        <v>816.666666666667</v>
      </c>
      <c r="D18619" s="30" t="n">
        <f aca="false">Sens!D18618/ext_sh</f>
        <v>2050</v>
      </c>
      <c r="E18619" s="30" t="n">
        <f aca="false">Sens!E18618/ext_sh</f>
        <v>4500</v>
      </c>
      <c r="F18619" s="30" t="n">
        <f aca="false">Sens!F18618/ext_sh</f>
        <v>8700.89183333333</v>
      </c>
      <c r="G18619" s="30" t="n">
        <f aca="false">Sens!G18618/ext_sh</f>
        <v>13245.117</v>
      </c>
      <c r="H18619" s="30" t="n">
        <f aca="false">Sens!H18618/ext_sh</f>
        <v>17789.3421666667</v>
      </c>
      <c r="I18619" s="30" t="n">
        <f aca="false">Sens!I18618/ext_sh</f>
        <v>21009.3190327778</v>
      </c>
      <c r="J18619" s="30" t="n">
        <f aca="false">Sens!J18618/ext_sh</f>
        <v>22969.4471356556</v>
      </c>
      <c r="K18619" s="30" t="n">
        <f aca="false">Sens!K18618/ext_sh</f>
        <v>23696.3305497252</v>
      </c>
      <c r="L18619" s="1" t="s">
        <v>956</v>
      </c>
    </row>
    <row r="18620" customFormat="false" ht="17.15" hidden="false" customHeight="false" outlineLevel="0" collapsed="false">
      <c r="A18620" s="1" t="s">
        <v>957</v>
      </c>
      <c r="B18620" s="0" t="s">
        <v>456</v>
      </c>
      <c r="C18620" s="30" t="n">
        <f aca="false">Sens!C18619-Sens!C18618</f>
        <v>326.666666666667</v>
      </c>
      <c r="D18620" s="30" t="n">
        <f aca="false">Sens!D18619-Sens!D18618</f>
        <v>820</v>
      </c>
      <c r="E18620" s="30" t="n">
        <f aca="false">Sens!E18619-Sens!E18618</f>
        <v>1800</v>
      </c>
      <c r="F18620" s="30" t="n">
        <f aca="false">Sens!F18619-Sens!F18618</f>
        <v>3480.35673333333</v>
      </c>
      <c r="G18620" s="30" t="n">
        <f aca="false">Sens!G18619-Sens!G18618</f>
        <v>5298.0468</v>
      </c>
      <c r="H18620" s="30" t="n">
        <f aca="false">Sens!H18619-Sens!H18618</f>
        <v>7115.73686666667</v>
      </c>
      <c r="I18620" s="30" t="n">
        <f aca="false">Sens!I18619-Sens!I18618</f>
        <v>8403.72761311111</v>
      </c>
      <c r="J18620" s="30" t="n">
        <f aca="false">Sens!J18619-Sens!J18618</f>
        <v>9187.77885426222</v>
      </c>
      <c r="K18620" s="30" t="n">
        <f aca="false">Sens!K18619-Sens!K18618</f>
        <v>9478.53221989009</v>
      </c>
    </row>
    <row r="18621" customFormat="false" ht="17.15" hidden="false" customHeight="false" outlineLevel="0" collapsed="false">
      <c r="A18621" s="1" t="s">
        <v>958</v>
      </c>
      <c r="B18621" s="0" t="s">
        <v>456</v>
      </c>
      <c r="C18621" s="30" t="n">
        <f aca="false">Sens!C18619</f>
        <v>816.666666666667</v>
      </c>
      <c r="D18621" s="30" t="n">
        <f aca="false">Sens!D18619-Sens!C18619</f>
        <v>1233.33333333333</v>
      </c>
      <c r="E18621" s="30" t="n">
        <f aca="false">Sens!E18619-Sens!D18619</f>
        <v>2450</v>
      </c>
      <c r="F18621" s="30" t="n">
        <f aca="false">Sens!F18619-Sens!E18619</f>
        <v>4200.89183333333</v>
      </c>
      <c r="G18621" s="30" t="n">
        <f aca="false">Sens!G18619-Sens!F18619</f>
        <v>4544.22516666667</v>
      </c>
      <c r="H18621" s="30" t="n">
        <f aca="false">Sens!H18619-Sens!G18619</f>
        <v>4544.22516666667</v>
      </c>
      <c r="I18621" s="30" t="n">
        <f aca="false">Sens!I18619-Sens!H18619</f>
        <v>3219.97686611111</v>
      </c>
      <c r="J18621" s="30" t="n">
        <f aca="false">Sens!J18619-Sens!I18619</f>
        <v>1960.12810287778</v>
      </c>
      <c r="K18621" s="30" t="n">
        <f aca="false">Sens!K18619-Sens!J18619</f>
        <v>726.883414069667</v>
      </c>
    </row>
    <row r="18622" customFormat="false" ht="17.15" hidden="false" customHeight="false" outlineLevel="0" collapsed="false">
      <c r="A18622" s="1" t="s">
        <v>959</v>
      </c>
      <c r="B18622" s="0" t="s">
        <v>456</v>
      </c>
      <c r="D18622" s="30" t="n">
        <f aca="false">Sens!D18616-Sens!C18616</f>
        <v>990</v>
      </c>
      <c r="E18622" s="30" t="n">
        <f aca="false">Sens!E18616-Sens!D18616</f>
        <v>1620</v>
      </c>
      <c r="F18622" s="30" t="n">
        <f aca="false">Sens!F18616-Sens!E18616</f>
        <v>2726.5351</v>
      </c>
      <c r="G18622" s="30" t="n">
        <f aca="false">Sens!G18616-Sens!F18616</f>
        <v>2726.5351</v>
      </c>
      <c r="H18622" s="30" t="n">
        <f aca="false">Sens!H18616-Sens!G18616</f>
        <v>2726.5351</v>
      </c>
      <c r="I18622" s="30" t="n">
        <f aca="false">Sens!I18616-Sens!H18616</f>
        <v>1931.98611966667</v>
      </c>
      <c r="J18622" s="30" t="n">
        <f aca="false">Sens!J18616-Sens!I18616</f>
        <v>1176.07686172667</v>
      </c>
      <c r="K18622" s="30" t="n">
        <f aca="false">Sens!K18616-Sens!J18616</f>
        <v>436.130048441799</v>
      </c>
    </row>
    <row r="18623" customFormat="false" ht="17.15" hidden="false" customHeight="false" outlineLevel="0" collapsed="false">
      <c r="A18623" s="1" t="s">
        <v>960</v>
      </c>
      <c r="B18623" s="0" t="s">
        <v>456</v>
      </c>
      <c r="F18623" s="30" t="n">
        <f aca="false">Sens!F18642*ext_sh</f>
        <v>0</v>
      </c>
      <c r="G18623" s="30" t="n">
        <f aca="false">Sens!G18642*ext_sh</f>
        <v>0</v>
      </c>
      <c r="H18623" s="30" t="n">
        <f aca="false">Sens!H18642*ext_sh</f>
        <v>0</v>
      </c>
      <c r="I18623" s="30" t="n">
        <f aca="false">Sens!I18642*ext_sh</f>
        <v>490</v>
      </c>
      <c r="J18623" s="30" t="n">
        <f aca="false">Sens!J18642*ext_sh</f>
        <v>740</v>
      </c>
      <c r="K18623" s="30" t="n">
        <f aca="false">Sens!K18642*ext_sh</f>
        <v>1470</v>
      </c>
      <c r="L18623" s="1" t="s">
        <v>961</v>
      </c>
    </row>
    <row r="18624" customFormat="false" ht="17.15" hidden="false" customHeight="false" outlineLevel="0" collapsed="false">
      <c r="A18624" s="1" t="s">
        <v>962</v>
      </c>
      <c r="B18624" s="0" t="s">
        <v>456</v>
      </c>
      <c r="C18624" s="30" t="n">
        <f aca="false">mix_h*Sens!C18616</f>
        <v>128</v>
      </c>
      <c r="D18624" s="30" t="n">
        <f aca="false">mix_h*Sens!D18616</f>
        <v>326</v>
      </c>
      <c r="E18624" s="30" t="n">
        <f aca="false">mix_h*Sens!E18616</f>
        <v>650</v>
      </c>
      <c r="F18624" s="30" t="n">
        <f aca="false">Sens!E18624-Sens!F18623*mix_h</f>
        <v>650</v>
      </c>
      <c r="G18624" s="30" t="n">
        <f aca="false">Sens!F18624-Sens!G18623*mix_h</f>
        <v>650</v>
      </c>
      <c r="H18624" s="30" t="n">
        <f aca="false">Sens!G18624-Sens!H18623*mix_h</f>
        <v>650</v>
      </c>
      <c r="I18624" s="30" t="n">
        <f aca="false">Sens!H18624-Sens!I18623*mix_h</f>
        <v>552</v>
      </c>
      <c r="J18624" s="30" t="n">
        <f aca="false">Sens!I18624-Sens!J18623*mix_h</f>
        <v>404</v>
      </c>
      <c r="K18624" s="30" t="n">
        <f aca="false">Sens!J18624-Sens!K18623*mix_h</f>
        <v>110</v>
      </c>
    </row>
    <row r="18625" customFormat="false" ht="17.15" hidden="false" customHeight="false" outlineLevel="0" collapsed="false">
      <c r="A18625" s="1" t="s">
        <v>963</v>
      </c>
      <c r="B18625" s="0" t="s">
        <v>456</v>
      </c>
      <c r="C18625" s="30" t="n">
        <f aca="false">mix_g2*Sens!C18616</f>
        <v>288</v>
      </c>
      <c r="D18625" s="30" t="n">
        <f aca="false">mix_g2*Sens!D18616</f>
        <v>733.5</v>
      </c>
      <c r="E18625" s="30" t="n">
        <f aca="false">mix_g2*Sens!E18616</f>
        <v>1462.5</v>
      </c>
      <c r="F18625" s="30" t="n">
        <f aca="false">Sens!E18625-Sens!F18623*mix_g2</f>
        <v>1462.5</v>
      </c>
      <c r="G18625" s="30" t="n">
        <f aca="false">Sens!F18625-Sens!G18623*mix_g2</f>
        <v>1462.5</v>
      </c>
      <c r="H18625" s="30" t="n">
        <f aca="false">Sens!G18625-Sens!H18623*mix_g2</f>
        <v>1462.5</v>
      </c>
      <c r="I18625" s="30" t="n">
        <f aca="false">Sens!H18625-Sens!I18623*mix_g2</f>
        <v>1242</v>
      </c>
      <c r="J18625" s="30" t="n">
        <f aca="false">Sens!I18625-Sens!J18623*mix_g2</f>
        <v>909</v>
      </c>
      <c r="K18625" s="30" t="n">
        <f aca="false">Sens!J18625-Sens!K18623*mix_g2</f>
        <v>247.5</v>
      </c>
    </row>
    <row r="18626" customFormat="false" ht="17.15" hidden="false" customHeight="false" outlineLevel="0" collapsed="false">
      <c r="A18626" s="1" t="s">
        <v>964</v>
      </c>
      <c r="B18626" s="0" t="s">
        <v>456</v>
      </c>
      <c r="C18626" s="30" t="n">
        <f aca="false">mix_g3*Sens!C18616</f>
        <v>224</v>
      </c>
      <c r="D18626" s="30" t="n">
        <f aca="false">mix_g3*Sens!D18616</f>
        <v>570.5</v>
      </c>
      <c r="E18626" s="30" t="n">
        <f aca="false">mix_g3*Sens!E18616</f>
        <v>1137.5</v>
      </c>
      <c r="F18626" s="30" t="n">
        <f aca="false">Sens!E18626+(Sens!F18622+Sens!F18623)*(a_g3_27-nonnv*a_mai)-Sens!F18623*mix_g3</f>
        <v>2773.42106</v>
      </c>
      <c r="G18626" s="30" t="n">
        <f aca="false">Sens!F18626+(Sens!G18622+Sens!G18623)*(a_g3_28-nonnv*a_mai)-Sens!G18623*mix_g3</f>
        <v>3318.72808</v>
      </c>
      <c r="H18626" s="30" t="n">
        <f aca="false">Sens!G18626+(Sens!H18622+Sens!H18623)*(a_g3_29-nonnv*a_mai)-Sens!H18623*mix_g3</f>
        <v>3318.72808</v>
      </c>
      <c r="I18626" s="30" t="n">
        <f aca="false">Sens!H18626+(Sens!I18622+Sens!I18623)*(a_g3_29-nonnv*a_mai)-Sens!I18623*mix_g3</f>
        <v>3147.22808</v>
      </c>
      <c r="J18626" s="30" t="n">
        <f aca="false">Sens!I18626+(Sens!J18622+Sens!J18623)*(a_g3_29-nonnv*a_mai)-Sens!J18623*mix_g3</f>
        <v>2888.22808</v>
      </c>
      <c r="K18626" s="30" t="n">
        <f aca="false">Sens!J18626+(Sens!K18622+Sens!K18623)*(a_g3_29-nonnv*a_mai)-Sens!K18623*mix_g3</f>
        <v>2373.72808</v>
      </c>
    </row>
    <row r="18627" customFormat="false" ht="17.15" hidden="false" customHeight="false" outlineLevel="0" collapsed="false">
      <c r="A18627" s="1" t="s">
        <v>965</v>
      </c>
      <c r="B18627" s="0" t="s">
        <v>456</v>
      </c>
      <c r="C18627" s="30" t="n">
        <v>0</v>
      </c>
      <c r="D18627" s="30" t="n">
        <v>0</v>
      </c>
      <c r="E18627" s="30" t="n">
        <v>0</v>
      </c>
      <c r="F18627" s="30" t="n">
        <f aca="false">Sens!E18627+(Sens!F18622+Sens!F18623)*nonnv*a_mai</f>
        <v>272.65351</v>
      </c>
      <c r="G18627" s="30" t="n">
        <f aca="false">Sens!F18627+(Sens!G18622+Sens!G18623)*nonnv*a_mai</f>
        <v>545.30702</v>
      </c>
      <c r="H18627" s="30" t="n">
        <f aca="false">Sens!G18627+(Sens!H18622+Sens!H18623)*nonnv*a_mai</f>
        <v>817.96053</v>
      </c>
      <c r="I18627" s="30" t="n">
        <f aca="false">Sens!H18627+(Sens!I18622+Sens!I18623)*nonnv*a_mai</f>
        <v>1060.15914196667</v>
      </c>
      <c r="J18627" s="30" t="n">
        <f aca="false">Sens!I18627+(Sens!J18622+Sens!J18623)*nonnv*a_mai</f>
        <v>1251.76682813933</v>
      </c>
      <c r="K18627" s="30" t="n">
        <f aca="false">Sens!J18627+(Sens!K18622+Sens!K18623)*nonnv*a_mai</f>
        <v>1442.37983298351</v>
      </c>
      <c r="L18627" s="12" t="s">
        <v>966</v>
      </c>
    </row>
    <row r="18628" customFormat="false" ht="17.15" hidden="false" customHeight="false" outlineLevel="0" collapsed="false">
      <c r="A18628" s="1" t="s">
        <v>967</v>
      </c>
      <c r="B18628" s="0" t="s">
        <v>456</v>
      </c>
      <c r="C18628" s="30" t="n">
        <v>0</v>
      </c>
      <c r="D18628" s="30" t="n">
        <v>0</v>
      </c>
      <c r="E18628" s="30" t="n">
        <v>0</v>
      </c>
      <c r="F18628" s="30" t="n">
        <f aca="false">Sens!E18628+(Sens!F18622+Sens!F18623)*(1-a_g3_27)</f>
        <v>817.96053</v>
      </c>
      <c r="G18628" s="30" t="n">
        <f aca="false">Sens!F18628+(Sens!G18622+Sens!G18623)*(1-a_g3_28)</f>
        <v>2726.5351</v>
      </c>
      <c r="H18628" s="30" t="n">
        <f aca="false">Sens!G18628+(Sens!H18622+Sens!H18623)*(1-a_g3_29)</f>
        <v>5180.41669</v>
      </c>
      <c r="I18628" s="30" t="n">
        <f aca="false">Sens!H18628+(Sens!I18622+Sens!I18623)*(1-a_g3_29)</f>
        <v>7360.2041977</v>
      </c>
      <c r="J18628" s="30" t="n">
        <f aca="false">Sens!I18628+(Sens!J18622+Sens!J18623)*(1-a_g3_29)</f>
        <v>9084.673373254</v>
      </c>
      <c r="K18628" s="30" t="n">
        <f aca="false">Sens!J18628+(Sens!K18622+Sens!K18623)*(1-a_g3_29)</f>
        <v>10800.1904168516</v>
      </c>
    </row>
    <row r="18629" customFormat="false" ht="17.15" hidden="false" customHeight="false" outlineLevel="0" collapsed="false">
      <c r="A18629" s="1" t="s">
        <v>968</v>
      </c>
      <c r="B18629" s="0" t="s">
        <v>403</v>
      </c>
      <c r="C18629" s="15" t="n">
        <f aca="false">(Sens!C18624*tk_hold_h100+Sens!C18625*tk_hold_gb200+Sens!C18626*tk_hold_gb300+Sens!C18628*tk_hold_vr200+Sens!C18627*nv_hold_mai*tk_hold_vr200)/Sens!C18616</f>
        <v>9.7235358126469</v>
      </c>
      <c r="D18629" s="15" t="n">
        <f aca="false">(Sens!D18624*tk_hold_h100+Sens!D18625*tk_hold_gb200+Sens!D18626*tk_hold_gb300+Sens!D18628*tk_hold_vr200+Sens!D18627*nv_hold_mai*tk_hold_vr200)/Sens!D18616</f>
        <v>9.7235358126469</v>
      </c>
      <c r="E18629" s="15" t="n">
        <f aca="false">(Sens!E18624*tk_hold_h100+Sens!E18625*tk_hold_gb200+Sens!E18626*tk_hold_gb300+Sens!E18628*tk_hold_vr200+Sens!E18627*nv_hold_mai*tk_hold_vr200)/Sens!E18616</f>
        <v>9.7235358126469</v>
      </c>
      <c r="F18629" s="15" t="n">
        <f aca="false">(Sens!F18624*tk_hold_h100+Sens!F18625*tk_hold_gb200+Sens!F18626*tk_hold_gb300+Sens!F18628*tk_hold_vr200+Sens!F18627*nv_hold_mai*tk_hold_vr200)/Sens!F18616</f>
        <v>10.2195353876665</v>
      </c>
      <c r="G18629" s="15" t="n">
        <f aca="false">(Sens!G18624*tk_hold_h100+Sens!G18625*tk_hold_gb200+Sens!G18626*tk_hold_gb300+Sens!G18628*tk_hold_vr200+Sens!G18627*nv_hold_mai*tk_hold_vr200)/Sens!G18616</f>
        <v>10.5725598017306</v>
      </c>
      <c r="H18629" s="15" t="n">
        <f aca="false">(Sens!H18624*tk_hold_h100+Sens!H18625*tk_hold_gb200+Sens!H18626*tk_hold_gb300+Sens!H18628*tk_hold_vr200+Sens!H18627*nv_hold_mai*tk_hold_vr200)/Sens!H18616</f>
        <v>10.8210427149036</v>
      </c>
      <c r="I18629" s="15" t="n">
        <f aca="false">(Sens!I18624*tk_hold_h100+Sens!I18625*tk_hold_gb200+Sens!I18626*tk_hold_gb300+Sens!I18628*tk_hold_vr200+Sens!I18627*nv_hold_mai*tk_hold_vr200)/Sens!I18616</f>
        <v>11.0050618241982</v>
      </c>
      <c r="J18629" s="15" t="n">
        <f aca="false">(Sens!J18624*tk_hold_h100+Sens!J18625*tk_hold_gb200+Sens!J18626*tk_hold_gb300+Sens!J18628*tk_hold_vr200+Sens!J18627*nv_hold_mai*tk_hold_vr200)/Sens!J18616</f>
        <v>11.1505789658881</v>
      </c>
      <c r="K18629" s="15" t="n">
        <f aca="false">(Sens!K18624*tk_hold_h100+Sens!K18625*tk_hold_gb200+Sens!K18626*tk_hold_gb300+Sens!K18628*tk_hold_vr200+Sens!K18627*nv_hold_mai*tk_hold_vr200)/Sens!K18616</f>
        <v>11.3496914757183</v>
      </c>
      <c r="L18629" s="1" t="s">
        <v>969</v>
      </c>
    </row>
    <row r="18630" customFormat="false" ht="17.15" hidden="false" customHeight="false" outlineLevel="0" collapsed="false">
      <c r="A18630" s="1" t="s">
        <v>970</v>
      </c>
      <c r="B18630" s="0" t="s">
        <v>403</v>
      </c>
      <c r="C18630" s="15" t="n">
        <f aca="false">(Sens!C18624*tk_hold_h100+Sens!C18625*tk_hold_gb200+Sens!C18626*tk_hold_gb300+Sens!C18628*tk_hold_vr200+Sens!C18627*nv_out_mai*tk_hold_vr200)/Sens!C18616</f>
        <v>9.7235358126469</v>
      </c>
      <c r="D18630" s="15" t="n">
        <f aca="false">(Sens!D18624*tk_hold_h100+Sens!D18625*tk_hold_gb200+Sens!D18626*tk_hold_gb300+Sens!D18628*tk_hold_vr200+Sens!D18627*nv_out_mai*tk_hold_vr200)/Sens!D18616</f>
        <v>9.7235358126469</v>
      </c>
      <c r="E18630" s="15" t="n">
        <f aca="false">(Sens!E18624*tk_hold_h100+Sens!E18625*tk_hold_gb200+Sens!E18626*tk_hold_gb300+Sens!E18628*tk_hold_vr200+Sens!E18627*nv_out_mai*tk_hold_vr200)/Sens!E18616</f>
        <v>9.7235358126469</v>
      </c>
      <c r="F18630" s="15" t="n">
        <f aca="false">(Sens!F18624*tk_hold_h100+Sens!F18625*tk_hold_gb200+Sens!F18626*tk_hold_gb300+Sens!F18628*tk_hold_vr200+Sens!F18627*nv_out_mai*tk_hold_vr200)/Sens!F18616</f>
        <v>10.247422093969</v>
      </c>
      <c r="G18630" s="15" t="n">
        <f aca="false">(Sens!G18624*tk_hold_h100+Sens!G18625*tk_hold_gb200+Sens!G18626*tk_hold_gb300+Sens!G18628*tk_hold_vr200+Sens!G18627*nv_out_mai*tk_hold_vr200)/Sens!G18616</f>
        <v>10.6108602808053</v>
      </c>
      <c r="H18630" s="15" t="n">
        <f aca="false">(Sens!H18624*tk_hold_h100+Sens!H18625*tk_hold_gb200+Sens!H18626*tk_hold_gb300+Sens!H18628*tk_hold_vr200+Sens!H18627*nv_out_mai*tk_hold_vr200)/Sens!H18616</f>
        <v>10.8647885507393</v>
      </c>
      <c r="I18630" s="15" t="n">
        <f aca="false">(Sens!I18624*tk_hold_h100+Sens!I18625*tk_hold_gb200+Sens!I18626*tk_hold_gb300+Sens!I18628*tk_hold_vr200+Sens!I18627*nv_out_mai*tk_hold_vr200)/Sens!I18616</f>
        <v>11.0535625770025</v>
      </c>
      <c r="J18630" s="15" t="n">
        <f aca="false">(Sens!J18624*tk_hold_h100+Sens!J18625*tk_hold_gb200+Sens!J18626*tk_hold_gb300+Sens!J18628*tk_hold_vr200+Sens!J18627*nv_out_mai*tk_hold_vr200)/Sens!J18616</f>
        <v>11.2032127128058</v>
      </c>
      <c r="K18630" s="15" t="n">
        <f aca="false">(Sens!K18624*tk_hold_h100+Sens!K18625*tk_hold_gb200+Sens!K18626*tk_hold_gb300+Sens!K18628*tk_hold_vr200+Sens!K18627*nv_out_mai*tk_hold_vr200)/Sens!K18616</f>
        <v>11.4085735724225</v>
      </c>
      <c r="L18630" s="12" t="s">
        <v>971</v>
      </c>
    </row>
    <row r="18631" customFormat="false" ht="17.15" hidden="false" customHeight="false" outlineLevel="0" collapsed="false">
      <c r="A18631" s="0" t="s">
        <v>972</v>
      </c>
      <c r="B18631" s="0" t="s">
        <v>229</v>
      </c>
      <c r="C18631" s="15" t="n">
        <f aca="false">k_B</f>
        <v>1.17213932619116</v>
      </c>
      <c r="D18631" s="15" t="n">
        <f aca="false">k_B</f>
        <v>1.17213932619116</v>
      </c>
      <c r="E18631" s="15" t="n">
        <f aca="false">k_B</f>
        <v>1.17213932619116</v>
      </c>
      <c r="F18631" s="15" t="n">
        <f aca="false">(k_B+((ls_C*k_long+(1-ls_C)*k_spot)-k_B)*MIN(1,(Sens!F18614-base_fy)/k_ramp))</f>
        <v>1.07843258004497</v>
      </c>
      <c r="G18631" s="15" t="n">
        <f aca="false">(k_B+((ls_C*k_long+(1-ls_C)*k_spot)-k_B)*MIN(1,(Sens!G18614-base_fy)/k_ramp))</f>
        <v>0.984725833898784</v>
      </c>
      <c r="H18631" s="15" t="n">
        <f aca="false">(k_B+((ls_C*k_long+(1-ls_C)*k_spot)-k_B)*MIN(1,(Sens!H18614-base_fy)/k_ramp))</f>
        <v>0.891019087752599</v>
      </c>
      <c r="I18631" s="15" t="n">
        <f aca="false">(k_B+((ls_C*k_long+(1-ls_C)*k_spot)-k_B)*MIN(1,(Sens!I18614-base_fy)/k_ramp))</f>
        <v>0.891019087752599</v>
      </c>
      <c r="J18631" s="15" t="n">
        <f aca="false">(k_B+((ls_C*k_long+(1-ls_C)*k_spot)-k_B)*MIN(1,(Sens!J18614-base_fy)/k_ramp))</f>
        <v>0.891019087752599</v>
      </c>
      <c r="K18631" s="15" t="n">
        <f aca="false">(k_B+((ls_C*k_long+(1-ls_C)*k_spot)-k_B)*MIN(1,(Sens!K18614-base_fy)/k_ramp))</f>
        <v>0.891019087752599</v>
      </c>
      <c r="L18631" s="1" t="s">
        <v>973</v>
      </c>
    </row>
    <row r="18632" customFormat="false" ht="17.15" hidden="false" customHeight="false" outlineLevel="0" collapsed="false">
      <c r="A18632" s="1" t="s">
        <v>974</v>
      </c>
      <c r="B18632" s="0" t="s">
        <v>403</v>
      </c>
      <c r="C18632" s="15" t="n">
        <f aca="false">Sens!C18630*Sens!C18631*chip_f</f>
        <v>11.3973387156315</v>
      </c>
      <c r="D18632" s="15" t="n">
        <f aca="false">Sens!D18630*Sens!D18631*chip_f</f>
        <v>11.3973387156315</v>
      </c>
      <c r="E18632" s="15" t="n">
        <f aca="false">Sens!E18630*Sens!E18631*chip_f</f>
        <v>11.3973387156315</v>
      </c>
      <c r="F18632" s="15" t="n">
        <f aca="false">Sens!F18630*Sens!F18631*chip_f</f>
        <v>11.0511538476088</v>
      </c>
      <c r="G18632" s="15" t="n">
        <f aca="false">Sens!G18630*Sens!G18631*chip_f</f>
        <v>10.4487882383995</v>
      </c>
      <c r="H18632" s="15" t="n">
        <f aca="false">Sens!H18630*Sens!H18631*chip_f</f>
        <v>9.68073398310464</v>
      </c>
      <c r="I18632" s="15" t="n">
        <f aca="false">Sens!I18630*Sens!I18631*chip_f</f>
        <v>9.84893524377706</v>
      </c>
      <c r="J18632" s="15" t="n">
        <f aca="false">Sens!J18630*Sens!J18631*chip_f</f>
        <v>9.98227637126252</v>
      </c>
      <c r="K18632" s="15" t="n">
        <f aca="false">Sens!K18630*Sens!K18631*chip_f</f>
        <v>10.1652568170583</v>
      </c>
      <c r="L18632" s="1" t="s">
        <v>975</v>
      </c>
    </row>
    <row r="18633" customFormat="false" ht="17.15" hidden="false" customHeight="false" outlineLevel="0" collapsed="false">
      <c r="A18633" s="0" t="s">
        <v>976</v>
      </c>
      <c r="B18633" s="0" t="s">
        <v>98</v>
      </c>
      <c r="D18633" s="6" t="n">
        <f aca="false">(Sens!C18616+Sens!D18616)/2*Sens!D18632/1000</f>
        <v>12.9359794422418</v>
      </c>
      <c r="E18633" s="6" t="n">
        <f aca="false">(Sens!D18616+Sens!E18616)/2*Sens!E18632/1000</f>
        <v>27.8095064661409</v>
      </c>
      <c r="F18633" s="6" t="n">
        <f aca="false">(Sens!E18616+Sens!F18616)/2*Sens!F18632/1000</f>
        <v>50.9819294352312</v>
      </c>
      <c r="G18633" s="6" t="n">
        <f aca="false">(Sens!F18616+Sens!G18616)/2*Sens!G18632/1000</f>
        <v>76.6920436014933</v>
      </c>
      <c r="H18633" s="6" t="n">
        <f aca="false">(Sens!G18616+Sens!H18616)/2*Sens!H18632/1000</f>
        <v>97.4495379418341</v>
      </c>
      <c r="I18633" s="6" t="n">
        <f aca="false">(Sens!H18616+Sens!I18616)/2*Sens!I18632/1000</f>
        <v>122.083445553868</v>
      </c>
      <c r="J18633" s="6" t="n">
        <f aca="false">(Sens!I18616+Sens!J18616)/2*Sens!J18632/1000</f>
        <v>139.249060444804</v>
      </c>
      <c r="K18633" s="6" t="n">
        <f aca="false">(Sens!J18616+Sens!K18616)/2*Sens!K18632/1000</f>
        <v>149.995818575589</v>
      </c>
      <c r="L18633" s="12" t="s">
        <v>977</v>
      </c>
    </row>
    <row r="18634" customFormat="false" ht="17.15" hidden="false" customHeight="false" outlineLevel="0" collapsed="false">
      <c r="A18634" s="1" t="s">
        <v>978</v>
      </c>
      <c r="B18634" s="0" t="s">
        <v>403</v>
      </c>
      <c r="C18634" s="15" t="n">
        <f aca="false">(Sens!C18624*tk_opex_h100+Sens!C18625*tk_opex_gb200+Sens!C18626*tk_opex_gb300+(Sens!C18628+Sens!C18627)*tk_opex_vr200)/Sens!C18616</f>
        <v>1.88636041306092</v>
      </c>
      <c r="D18634" s="15" t="n">
        <f aca="false">(Sens!D18624*tk_opex_h100+Sens!D18625*tk_opex_gb200+Sens!D18626*tk_opex_gb300+(Sens!D18628+Sens!D18627)*tk_opex_vr200)/Sens!D18616</f>
        <v>1.88636041306092</v>
      </c>
      <c r="E18634" s="15" t="n">
        <f aca="false">(Sens!E18624*tk_opex_h100+Sens!E18625*tk_opex_gb200+Sens!E18626*tk_opex_gb300+(Sens!E18628+Sens!E18627)*tk_opex_vr200)/Sens!E18616</f>
        <v>1.88636041306092</v>
      </c>
      <c r="F18634" s="15" t="n">
        <f aca="false">(Sens!F18624*tk_opex_h100+Sens!F18625*tk_opex_gb200+Sens!F18626*tk_opex_gb300+(Sens!F18628+Sens!F18627)*tk_opex_vr200)/Sens!F18616</f>
        <v>1.95051159746876</v>
      </c>
      <c r="G18634" s="15" t="n">
        <f aca="false">(Sens!G18624*tk_opex_h100+Sens!G18625*tk_opex_gb200+Sens!G18626*tk_opex_gb300+(Sens!G18628+Sens!G18627)*tk_opex_vr200)/Sens!G18616</f>
        <v>1.98836003669956</v>
      </c>
      <c r="H18634" s="15" t="n">
        <f aca="false">(Sens!H18624*tk_opex_h100+Sens!H18625*tk_opex_gb200+Sens!H18626*tk_opex_gb300+(Sens!H18628+Sens!H18627)*tk_opex_vr200)/Sens!H18616</f>
        <v>2.01344013834343</v>
      </c>
      <c r="I18634" s="15" t="n">
        <f aca="false">(Sens!I18624*tk_opex_h100+Sens!I18625*tk_opex_gb200+Sens!I18626*tk_opex_gb300+(Sens!I18628+Sens!I18627)*tk_opex_vr200)/Sens!I18616</f>
        <v>2.03261166882178</v>
      </c>
      <c r="J18634" s="15" t="n">
        <f aca="false">(Sens!J18624*tk_opex_h100+Sens!J18625*tk_opex_gb200+Sens!J18626*tk_opex_gb300+(Sens!J18628+Sens!J18627)*tk_opex_vr200)/Sens!J18616</f>
        <v>2.04808073288745</v>
      </c>
      <c r="K18634" s="15" t="n">
        <f aca="false">(Sens!K18624*tk_opex_h100+Sens!K18625*tk_opex_gb200+Sens!K18626*tk_opex_gb300+(Sens!K18628+Sens!K18627)*tk_opex_vr200)/Sens!K18616</f>
        <v>2.06973825807449</v>
      </c>
      <c r="L18634" s="12" t="s">
        <v>979</v>
      </c>
    </row>
    <row r="18635" customFormat="false" ht="17.15" hidden="false" customHeight="false" outlineLevel="0" collapsed="false">
      <c r="A18635" s="0" t="s">
        <v>980</v>
      </c>
      <c r="B18635" s="0" t="s">
        <v>98</v>
      </c>
      <c r="D18635" s="6" t="n">
        <f aca="false">(Sens!C18619+Sens!D18619)/2*Sens!D18634/1000</f>
        <v>2.70378325872065</v>
      </c>
      <c r="E18635" s="6" t="n">
        <f aca="false">(Sens!D18619+Sens!E18619)/2*Sens!E18634/1000</f>
        <v>6.17783035277451</v>
      </c>
      <c r="F18635" s="6" t="n">
        <f aca="false">(Sens!E18619+Sens!F18619)/2*Sens!F18634/1000</f>
        <v>12.8742463089237</v>
      </c>
      <c r="G18635" s="6" t="n">
        <f aca="false">(Sens!F18619+Sens!G18619)/2*Sens!G18634/1000</f>
        <v>21.8182834646277</v>
      </c>
      <c r="H18635" s="6" t="n">
        <f aca="false">(Sens!G18619+Sens!H18619)/2*Sens!H18634/1000</f>
        <v>31.2430128789734</v>
      </c>
      <c r="I18635" s="6" t="n">
        <f aca="false">(Sens!H18619+Sens!I18619)/2*Sens!I18634/1000</f>
        <v>39.4313057443268</v>
      </c>
      <c r="J18635" s="6" t="n">
        <f aca="false">(Sens!I18619+Sens!J18619)/2*Sens!J18634/1000</f>
        <v>45.0360318228653</v>
      </c>
      <c r="K18635" s="6" t="n">
        <f aca="false">(Sens!J18619+Sens!K18619)/2*Sens!K18634/1000</f>
        <v>48.2929727091156</v>
      </c>
    </row>
    <row r="18636" customFormat="false" ht="17.15" hidden="false" customHeight="false" outlineLevel="0" collapsed="false">
      <c r="A18636" s="0" t="s">
        <v>981</v>
      </c>
      <c r="B18636" s="0" t="s">
        <v>98</v>
      </c>
      <c r="D18636" s="6" t="n">
        <f aca="false">(Sens!C18617+Sens!D18617)/2*rent_mw/1000</f>
        <v>2.44475</v>
      </c>
      <c r="E18636" s="6" t="n">
        <f aca="false">(Sens!D18617+Sens!E18617)/2*rent_mw/1000</f>
        <v>4.22275</v>
      </c>
      <c r="F18636" s="6" t="n">
        <f aca="false">(Sens!E18617+Sens!F18617)/2*rent_mw/1000</f>
        <v>5.80517</v>
      </c>
      <c r="G18636" s="6" t="n">
        <f aca="false">(Sens!F18617+Sens!G18617)/2*rent_mw/1000</f>
        <v>6.72084</v>
      </c>
      <c r="H18636" s="6" t="n">
        <f aca="false">(Sens!G18617+Sens!H18617)/2*rent_mw/1000</f>
        <v>6.72084</v>
      </c>
      <c r="I18636" s="6" t="n">
        <f aca="false">(Sens!H18617+Sens!I18617)/2*rent_mw/1000</f>
        <v>6.72084</v>
      </c>
      <c r="J18636" s="6" t="n">
        <f aca="false">(Sens!I18617+Sens!J18617)/2*rent_mw/1000</f>
        <v>6.72084</v>
      </c>
      <c r="K18636" s="6" t="n">
        <f aca="false">(Sens!J18617+Sens!K18617)/2*rent_mw/1000</f>
        <v>6.72084</v>
      </c>
    </row>
    <row r="18637" customFormat="false" ht="17.15" hidden="false" customHeight="false" outlineLevel="0" collapsed="false">
      <c r="A18637" s="0" t="s">
        <v>982</v>
      </c>
      <c r="B18637" s="0" t="s">
        <v>98</v>
      </c>
      <c r="D18637" s="6" t="n">
        <f aca="false">(Sens!C18619+Sens!D18619)/2*(1-self_build)*fac_rent/1000</f>
        <v>0.853242375631075</v>
      </c>
      <c r="E18637" s="6" t="n">
        <f aca="false">(Sens!D18619+Sens!E18619)/2*(1-self_build)*fac_rent/1000</f>
        <v>1.94955961408728</v>
      </c>
      <c r="F18637" s="6" t="n">
        <f aca="false">(Sens!E18619+Sens!F18619)/2*(1-self_build)*fac_rent/1000</f>
        <v>3.92914894476356</v>
      </c>
      <c r="G18637" s="6" t="n">
        <f aca="false">(Sens!F18619+Sens!G18619)/2*(1-self_build)*fac_rent/1000</f>
        <v>6.53206908578159</v>
      </c>
      <c r="H18637" s="6" t="n">
        <f aca="false">(Sens!G18619+Sens!H18619)/2*(1-self_build)*fac_rent/1000</f>
        <v>9.23717988341591</v>
      </c>
      <c r="I18637" s="6" t="n">
        <f aca="false">(Sens!H18619+Sens!I18619)/2*(1-self_build)*fac_rent/1000</f>
        <v>11.5481378557393</v>
      </c>
      <c r="J18637" s="6" t="n">
        <f aca="false">(Sens!I18619+Sens!J18619)/2*(1-self_build)*fac_rent/1000</f>
        <v>13.0899582289108</v>
      </c>
      <c r="K18637" s="6" t="n">
        <f aca="false">(Sens!J18619+Sens!K18619)/2*(1-self_build)*fac_rent/1000</f>
        <v>13.8897275626556</v>
      </c>
      <c r="L18637" s="12" t="s">
        <v>983</v>
      </c>
    </row>
    <row r="18638" customFormat="false" ht="17.15" hidden="false" customHeight="false" outlineLevel="0" collapsed="false">
      <c r="A18638" s="1" t="s">
        <v>984</v>
      </c>
      <c r="B18638" s="0" t="s">
        <v>168</v>
      </c>
      <c r="D18638" s="7" t="n">
        <f aca="false">(Sens!C18618+Sens!D18618)/(Sens!C18619+Sens!D18619)</f>
        <v>0.6</v>
      </c>
      <c r="E18638" s="7" t="n">
        <f aca="false">(Sens!D18618+Sens!E18618)/(Sens!D18619+Sens!E18619)</f>
        <v>0.6</v>
      </c>
      <c r="F18638" s="7" t="n">
        <f aca="false">(Sens!E18618+Sens!F18618)/(Sens!E18619+Sens!F18619)</f>
        <v>0.6</v>
      </c>
      <c r="G18638" s="7" t="n">
        <f aca="false">(Sens!F18618+Sens!G18618)/(Sens!F18619+Sens!G18619)</f>
        <v>0.6</v>
      </c>
      <c r="H18638" s="7" t="n">
        <f aca="false">(Sens!G18618+Sens!H18618)/(Sens!G18619+Sens!H18619)</f>
        <v>0.6</v>
      </c>
      <c r="I18638" s="7" t="n">
        <f aca="false">(Sens!H18618+Sens!I18618)/(Sens!H18619+Sens!I18619)</f>
        <v>0.6</v>
      </c>
      <c r="J18638" s="7" t="n">
        <f aca="false">(Sens!I18618+Sens!J18618)/(Sens!I18619+Sens!J18619)</f>
        <v>0.6</v>
      </c>
      <c r="K18638" s="7" t="n">
        <f aca="false">(Sens!J18618+Sens!K18618)/(Sens!J18619+Sens!K18619)</f>
        <v>0.6</v>
      </c>
    </row>
    <row r="18639" customFormat="false" ht="17.15" hidden="false" customHeight="false" outlineLevel="0" collapsed="false">
      <c r="A18639" s="0" t="s">
        <v>985</v>
      </c>
      <c r="B18639" s="0" t="s">
        <v>98</v>
      </c>
      <c r="D18639" s="6" t="n">
        <f aca="false">Sens!D18633-Sens!D18638*(Sens!D18635+Sens!D18637)-Sens!D18636</f>
        <v>8.35701406163072</v>
      </c>
      <c r="E18639" s="6" t="n">
        <f aca="false">Sens!E18633-Sens!E18638*(Sens!E18635+Sens!E18637)-Sens!E18636</f>
        <v>18.7103224860238</v>
      </c>
      <c r="F18639" s="6" t="n">
        <f aca="false">Sens!F18633-Sens!F18638*(Sens!F18635+Sens!F18637)-Sens!F18636</f>
        <v>35.0947222830189</v>
      </c>
      <c r="G18639" s="6" t="n">
        <f aca="false">Sens!G18633-Sens!G18638*(Sens!G18635+Sens!G18637)-Sens!G18636</f>
        <v>52.9609920712477</v>
      </c>
      <c r="H18639" s="6" t="n">
        <f aca="false">Sens!H18633-Sens!H18638*(Sens!H18635+Sens!H18637)-Sens!H18636</f>
        <v>66.4405822844005</v>
      </c>
      <c r="I18639" s="6" t="n">
        <f aca="false">Sens!I18633-Sens!I18638*(Sens!I18635+Sens!I18637)-Sens!I18636</f>
        <v>84.7749393938279</v>
      </c>
      <c r="J18639" s="6" t="n">
        <f aca="false">Sens!J18633-Sens!J18638*(Sens!J18635+Sens!J18637)-Sens!J18636</f>
        <v>97.6526264137382</v>
      </c>
      <c r="K18639" s="6" t="n">
        <f aca="false">Sens!K18633-Sens!K18638*(Sens!K18635+Sens!K18637)-Sens!K18636</f>
        <v>105.965358412527</v>
      </c>
    </row>
    <row r="18640" customFormat="false" ht="17.15" hidden="false" customHeight="false" outlineLevel="0" collapsed="false">
      <c r="A18640" s="1" t="s">
        <v>986</v>
      </c>
      <c r="B18640" s="0" t="s">
        <v>98</v>
      </c>
      <c r="D18640" s="6" t="n">
        <f aca="false">(1-Sens!D18638)*(Sens!D18635+Sens!D18637)</f>
        <v>1.42281025374069</v>
      </c>
      <c r="E18640" s="6" t="n">
        <f aca="false">(1-Sens!E18638)*(Sens!E18635+Sens!E18637)</f>
        <v>3.25095598674472</v>
      </c>
      <c r="F18640" s="6" t="n">
        <f aca="false">(1-Sens!F18638)*(Sens!F18635+Sens!F18637)</f>
        <v>6.72135810147489</v>
      </c>
      <c r="G18640" s="6" t="n">
        <f aca="false">(1-Sens!G18638)*(Sens!G18635+Sens!G18637)</f>
        <v>11.3401410201637</v>
      </c>
      <c r="H18640" s="6" t="n">
        <f aca="false">(1-Sens!H18638)*(Sens!H18635+Sens!H18637)</f>
        <v>16.1920771049557</v>
      </c>
      <c r="I18640" s="6" t="n">
        <f aca="false">(1-Sens!I18638)*(Sens!I18635+Sens!I18637)</f>
        <v>20.3917774400264</v>
      </c>
      <c r="J18640" s="6" t="n">
        <f aca="false">(1-Sens!J18638)*(Sens!J18635+Sens!J18637)</f>
        <v>23.2503960207104</v>
      </c>
      <c r="K18640" s="6" t="n">
        <f aca="false">(1-Sens!K18638)*(Sens!K18635+Sens!K18637)</f>
        <v>24.8730801087085</v>
      </c>
    </row>
    <row r="18641" customFormat="false" ht="17.15" hidden="false" customHeight="false" outlineLevel="0" collapsed="false">
      <c r="A18641" s="1" t="s">
        <v>987</v>
      </c>
      <c r="B18641" s="0" t="s">
        <v>414</v>
      </c>
      <c r="C18641" s="8" t="n">
        <f aca="false">cxit_open</f>
        <v>27.5918995</v>
      </c>
      <c r="D18641" s="8" t="n">
        <f aca="false">cxit_open</f>
        <v>27.5918995</v>
      </c>
      <c r="E18641" s="8" t="n">
        <f aca="false">cxit_open</f>
        <v>27.5918995</v>
      </c>
      <c r="F18641" s="8" t="n">
        <f aca="false">((a_g3_27-nonnv*a_mai)*tk_cxit_gb300+nonnv*a_mai*nv_hold_mai*tk_cxit_vr200+(1-a_g3_27)*tk_cxit_vr200)</f>
        <v>32.4975576</v>
      </c>
      <c r="G18641" s="8" t="n">
        <f aca="false">((a_g3_28-nonnv*a_mai)*tk_cxit_gb300+nonnv*a_mai*nv_hold_mai*tk_cxit_vr200+(1-a_g3_28)*tk_cxit_vr200)</f>
        <v>34.6372088</v>
      </c>
      <c r="H18641" s="8" t="n">
        <f aca="false">((a_g3_29-nonnv*a_mai)*tk_cxit_gb300+nonnv*a_mai*nv_hold_mai*tk_cxit_vr200+(1-a_g3_29)*tk_cxit_vr200)</f>
        <v>35.7070344</v>
      </c>
      <c r="I18641" s="8" t="n">
        <f aca="false">((a_g3_29-nonnv*a_mai)*tk_cxit_gb300+nonnv*a_mai*nv_hold_mai*tk_cxit_vr200+(1-a_g3_29)*tk_cxit_vr200)</f>
        <v>35.7070344</v>
      </c>
      <c r="J18641" s="8" t="n">
        <f aca="false">((a_g3_29-nonnv*a_mai)*tk_cxit_gb300+nonnv*a_mai*nv_hold_mai*tk_cxit_vr200+(1-a_g3_29)*tk_cxit_vr200)</f>
        <v>35.7070344</v>
      </c>
      <c r="K18641" s="8" t="n">
        <f aca="false">((a_g3_29-nonnv*a_mai)*tk_cxit_gb300+nonnv*a_mai*nv_hold_mai*tk_cxit_vr200+(1-a_g3_29)*tk_cxit_vr200)</f>
        <v>35.7070344</v>
      </c>
      <c r="L18641" s="12" t="s">
        <v>988</v>
      </c>
    </row>
    <row r="18642" customFormat="false" ht="17.15" hidden="false" customHeight="false" outlineLevel="0" collapsed="false">
      <c r="A18642" s="0" t="s">
        <v>989</v>
      </c>
      <c r="B18642" s="0" t="s">
        <v>456</v>
      </c>
      <c r="F18642" s="30" t="n">
        <f aca="false">Sens!C18621*IF(Sens!F18614-Sens!C18614=life_it,1,0)+Sens!D18621*IF(Sens!F18614-Sens!D18614=life_it,1,0)+Sens!E18621*IF(Sens!F18614-Sens!E18614=life_it,1,0)</f>
        <v>0</v>
      </c>
      <c r="G18642" s="30" t="n">
        <f aca="false">Sens!C18621*IF(Sens!G18614-Sens!C18614=life_it,1,0)+Sens!D18621*IF(Sens!G18614-Sens!D18614=life_it,1,0)+Sens!E18621*IF(Sens!G18614-Sens!E18614=life_it,1,0)+Sens!F18621*IF(Sens!G18614-Sens!F18614=life_it,1,0)</f>
        <v>0</v>
      </c>
      <c r="H18642" s="30" t="n">
        <f aca="false">Sens!C18621*IF(Sens!H18614-Sens!C18614=life_it,1,0)+Sens!D18621*IF(Sens!H18614-Sens!D18614=life_it,1,0)+Sens!E18621*IF(Sens!H18614-Sens!E18614=life_it,1,0)+Sens!F18621*IF(Sens!H18614-Sens!F18614=life_it,1,0)+Sens!G18621*IF(Sens!H18614-Sens!G18614=life_it,1,0)</f>
        <v>0</v>
      </c>
      <c r="I18642" s="30" t="n">
        <f aca="false">Sens!C18621*IF(Sens!I18614-Sens!C18614=life_it,1,0)+Sens!D18621*IF(Sens!I18614-Sens!D18614=life_it,1,0)+Sens!E18621*IF(Sens!I18614-Sens!E18614=life_it,1,0)+Sens!F18621*IF(Sens!I18614-Sens!F18614=life_it,1,0)+Sens!G18621*IF(Sens!I18614-Sens!G18614=life_it,1,0)+Sens!H18621*IF(Sens!I18614-Sens!H18614=life_it,1,0)</f>
        <v>816.666666666667</v>
      </c>
      <c r="J18642" s="30" t="n">
        <f aca="false">Sens!C18621*IF(Sens!J18614-Sens!C18614=life_it,1,0)+Sens!D18621*IF(Sens!J18614-Sens!D18614=life_it,1,0)+Sens!E18621*IF(Sens!J18614-Sens!E18614=life_it,1,0)+Sens!F18621*IF(Sens!J18614-Sens!F18614=life_it,1,0)+Sens!G18621*IF(Sens!J18614-Sens!G18614=life_it,1,0)+Sens!H18621*IF(Sens!J18614-Sens!H18614=life_it,1,0)+Sens!I18621*IF(Sens!J18614-Sens!I18614=life_it,1,0)</f>
        <v>1233.33333333333</v>
      </c>
      <c r="K18642" s="30" t="n">
        <f aca="false">Sens!C18621*IF(Sens!K18614-Sens!C18614=life_it,1,0)+Sens!D18621*IF(Sens!K18614-Sens!D18614=life_it,1,0)+Sens!E18621*IF(Sens!K18614-Sens!E18614=life_it,1,0)+Sens!F18621*IF(Sens!K18614-Sens!F18614=life_it,1,0)+Sens!G18621*IF(Sens!K18614-Sens!G18614=life_it,1,0)+Sens!H18621*IF(Sens!K18614-Sens!H18614=life_it,1,0)+Sens!I18621*IF(Sens!K18614-Sens!I18614=life_it,1,0)+Sens!J18621*IF(Sens!K18614-Sens!J18614=life_it,1,0)</f>
        <v>2450</v>
      </c>
      <c r="L18642" s="1" t="s">
        <v>990</v>
      </c>
    </row>
    <row r="18643" customFormat="false" ht="17.15" hidden="false" customHeight="false" outlineLevel="0" collapsed="false">
      <c r="A18643" s="0" t="s">
        <v>991</v>
      </c>
      <c r="B18643" s="0" t="s">
        <v>98</v>
      </c>
      <c r="C18643" s="6" t="n">
        <f aca="false">Sens!C18621*Sens!C18641/1000</f>
        <v>22.5333845916667</v>
      </c>
      <c r="D18643" s="6" t="n">
        <f aca="false">Sens!D18621*Sens!D18641/1000</f>
        <v>34.0300093833333</v>
      </c>
      <c r="E18643" s="6" t="n">
        <f aca="false">Sens!E18621*Sens!E18641/1000</f>
        <v>67.600153775</v>
      </c>
      <c r="F18643" s="6" t="n">
        <f aca="false">(Sens!F18621+Sens!F18642)*Sens!F18641/1000</f>
        <v>136.51872432512</v>
      </c>
      <c r="G18643" s="6" t="n">
        <f aca="false">(Sens!G18621+Sens!G18642)*Sens!G18641/1000</f>
        <v>157.399275932048</v>
      </c>
      <c r="H18643" s="6" t="n">
        <f aca="false">(Sens!H18621+Sens!H18642)*Sens!H18641/1000</f>
        <v>162.260804347512</v>
      </c>
      <c r="I18643" s="6" t="n">
        <f aca="false">(Sens!I18621+Sens!I18642)*Sens!I18641/1000</f>
        <v>144.136569485434</v>
      </c>
      <c r="J18643" s="6" t="n">
        <f aca="false">(Sens!J18621+Sens!J18642)*Sens!J18641/1000</f>
        <v>114.029037357864</v>
      </c>
      <c r="K18643" s="6" t="n">
        <f aca="false">(Sens!K18621+Sens!K18642)*Sens!K18641/1000</f>
        <v>113.437085350975</v>
      </c>
    </row>
    <row r="18644" customFormat="false" ht="17.15" hidden="false" customHeight="false" outlineLevel="0" collapsed="false">
      <c r="A18644" s="0" t="s">
        <v>992</v>
      </c>
      <c r="B18644" s="0" t="s">
        <v>98</v>
      </c>
      <c r="C18644" s="6" t="n">
        <f aca="false">Sens!C18621*self_build*tk_cxfac/1000</f>
        <v>6.2083</v>
      </c>
      <c r="D18644" s="6" t="n">
        <f aca="false">Sens!D18621*self_build*tk_cxfac/1000</f>
        <v>9.3758</v>
      </c>
      <c r="E18644" s="6" t="n">
        <f aca="false">Sens!E18621*self_build*tk_cxfac/1000</f>
        <v>18.6249</v>
      </c>
      <c r="F18644" s="6" t="n">
        <f aca="false">Sens!F18621*self_build*tk_cxfac/1000</f>
        <v>31.935179717</v>
      </c>
      <c r="G18644" s="6" t="n">
        <f aca="false">Sens!G18621*self_build*tk_cxfac/1000</f>
        <v>34.545199717</v>
      </c>
      <c r="H18644" s="6" t="n">
        <f aca="false">Sens!H18621*self_build*tk_cxfac/1000</f>
        <v>34.545199717</v>
      </c>
      <c r="I18644" s="6" t="n">
        <f aca="false">Sens!I18621*self_build*tk_cxfac/1000</f>
        <v>24.4782641361767</v>
      </c>
      <c r="J18644" s="6" t="n">
        <f aca="false">Sens!J18621*self_build*tk_cxfac/1000</f>
        <v>14.9008938380769</v>
      </c>
      <c r="K18644" s="6" t="n">
        <f aca="false">Sens!K18621*self_build*tk_cxfac/1000</f>
        <v>5.52576771375761</v>
      </c>
    </row>
    <row r="18645" customFormat="false" ht="17.15" hidden="false" customHeight="false" outlineLevel="0" collapsed="false">
      <c r="A18645" s="0" t="s">
        <v>993</v>
      </c>
      <c r="B18645" s="0" t="s">
        <v>98</v>
      </c>
      <c r="F18645" s="15" t="n">
        <f aca="false">capex_floor27-Sens!F18643-Sens!F18644-Sens!F18741</f>
        <v>0.048791704330057</v>
      </c>
      <c r="L18645" s="12" t="s">
        <v>994</v>
      </c>
    </row>
    <row r="18646" customFormat="false" ht="17.15" hidden="false" customHeight="false" outlineLevel="0" collapsed="false">
      <c r="A18646" s="0" t="s">
        <v>995</v>
      </c>
      <c r="B18646" s="0" t="s">
        <v>98</v>
      </c>
      <c r="F18646" s="6" t="n">
        <f aca="false">MAX(0,Sens!F18645)</f>
        <v>0.048791704330057</v>
      </c>
    </row>
    <row r="18647" customFormat="false" ht="17.15" hidden="false" customHeight="false" outlineLevel="0" collapsed="false">
      <c r="A18647" s="0" t="s">
        <v>996</v>
      </c>
      <c r="B18647" s="0" t="s">
        <v>98</v>
      </c>
      <c r="C18647" s="6" t="n">
        <f aca="false">Sens!C18643</f>
        <v>22.5333845916667</v>
      </c>
      <c r="D18647" s="6" t="n">
        <f aca="false">Sens!D18643</f>
        <v>34.0300093833333</v>
      </c>
      <c r="E18647" s="6" t="n">
        <f aca="false">Sens!E18643</f>
        <v>67.600153775</v>
      </c>
      <c r="F18647" s="6" t="n">
        <f aca="false">Sens!F18643</f>
        <v>136.51872432512</v>
      </c>
      <c r="G18647" s="6" t="n">
        <f aca="false">Sens!G18643</f>
        <v>157.399275932048</v>
      </c>
      <c r="H18647" s="6" t="n">
        <f aca="false">Sens!H18643</f>
        <v>162.260804347512</v>
      </c>
      <c r="I18647" s="6" t="n">
        <f aca="false">Sens!I18643</f>
        <v>144.136569485434</v>
      </c>
      <c r="J18647" s="6" t="n">
        <f aca="false">Sens!J18643</f>
        <v>114.029037357864</v>
      </c>
      <c r="K18647" s="6" t="n">
        <f aca="false">Sens!K18643</f>
        <v>113.437085350975</v>
      </c>
    </row>
    <row r="18648" customFormat="false" ht="17.15" hidden="false" customHeight="false" outlineLevel="0" collapsed="false">
      <c r="A18648" s="0" t="s">
        <v>997</v>
      </c>
      <c r="B18648" s="0" t="s">
        <v>98</v>
      </c>
      <c r="C18648" s="6" t="n">
        <f aca="false">Sens!C18647+Sens!C18644</f>
        <v>28.7416845916667</v>
      </c>
      <c r="D18648" s="6" t="n">
        <f aca="false">Sens!D18647+Sens!D18644</f>
        <v>43.4058093833333</v>
      </c>
      <c r="E18648" s="6" t="n">
        <f aca="false">Sens!E18647+Sens!E18644</f>
        <v>86.225053775</v>
      </c>
      <c r="F18648" s="6" t="n">
        <f aca="false">Sens!F18647+Sens!F18644</f>
        <v>168.45390404212</v>
      </c>
      <c r="G18648" s="6" t="n">
        <f aca="false">Sens!G18647+Sens!G18644</f>
        <v>191.944475649048</v>
      </c>
      <c r="H18648" s="6" t="n">
        <f aca="false">Sens!H18647+Sens!H18644</f>
        <v>196.806004064512</v>
      </c>
      <c r="I18648" s="6" t="n">
        <f aca="false">Sens!I18647+Sens!I18644</f>
        <v>168.61483362161</v>
      </c>
      <c r="J18648" s="6" t="n">
        <f aca="false">Sens!J18647+Sens!J18644</f>
        <v>128.92993119594</v>
      </c>
      <c r="K18648" s="6" t="n">
        <f aca="false">Sens!K18647+Sens!K18644</f>
        <v>118.962853064733</v>
      </c>
      <c r="L18648" s="12" t="s">
        <v>998</v>
      </c>
    </row>
    <row r="18649" customFormat="false" ht="17.15" hidden="false" customHeight="false" outlineLevel="0" collapsed="false">
      <c r="A18649" s="0" t="s">
        <v>999</v>
      </c>
      <c r="B18649" s="0" t="s">
        <v>98</v>
      </c>
      <c r="E18649" s="6" t="n">
        <f aca="false">(Sens!C18647*IF(2&lt;life_it,1,IF(2=life_it,0.5,0))+Sens!D18647*IF(1&lt;life_it,1,IF(1=life_it,0.5,0))+Sens!E18647*0.5)/life_it</f>
        <v>15.0605784770833</v>
      </c>
      <c r="F18649" s="6" t="n">
        <f aca="false">(Sens!C18647*IF(3&lt;life_it,1,IF(3=life_it,0.5,0))+Sens!D18647*IF(2&lt;life_it,1,IF(2=life_it,0.5,0))+Sens!E18647*IF(1&lt;life_it,1,IF(1=life_it,0.5,0))+Sens!F18647*0.5)/life_it</f>
        <v>32.0704849854266</v>
      </c>
      <c r="G18649" s="6" t="n">
        <f aca="false">(Sens!C18647*IF(4&lt;life_it,1,IF(4=life_it,0.5,0))+Sens!D18647*IF(3&lt;life_it,1,IF(3=life_it,0.5,0))+Sens!E18647*IF(2&lt;life_it,1,IF(2=life_it,0.5,0))+Sens!F18647*IF(1&lt;life_it,1,IF(1=life_it,0.5,0))+Sens!G18647*0.5)/life_it</f>
        <v>56.5636516735239</v>
      </c>
      <c r="H18649" s="6" t="n">
        <f aca="false">(Sens!C18647*IF(5&lt;life_it,1,IF(5=life_it,0.5,0))+Sens!D18647*IF(4&lt;life_it,1,IF(4=life_it,0.5,0))+Sens!E18647*IF(3&lt;life_it,1,IF(3=life_it,0.5,0))+Sens!F18647*IF(2&lt;life_it,1,IF(2=life_it,0.5,0))+Sens!G18647*IF(1&lt;life_it,1,IF(1=life_it,0.5,0))+Sens!H18647*0.5)/life_it</f>
        <v>83.2019916968207</v>
      </c>
      <c r="I18649" s="6" t="n">
        <f aca="false">(Sens!C18647*IF(6&lt;life_it,1,IF(6=life_it,0.5,0))+Sens!D18647*IF(5&lt;life_it,1,IF(5=life_it,0.5,0))+Sens!E18647*IF(4&lt;life_it,1,IF(4=life_it,0.5,0))+Sens!F18647*IF(3&lt;life_it,1,IF(3=life_it,0.5,0))+Sens!G18647*IF(2&lt;life_it,1,IF(2=life_it,0.5,0))+Sens!H18647*IF(1&lt;life_it,1,IF(1=life_it,0.5,0))+Sens!I18647*0.5)/life_it</f>
        <v>106.857324133594</v>
      </c>
      <c r="J18649" s="6" t="n">
        <f aca="false">(Sens!C18647*IF(7&lt;life_it,1,IF(7=life_it,0.5,0))+Sens!D18647*IF(6&lt;life_it,1,IF(6=life_it,0.5,0))+Sens!E18647*IF(5&lt;life_it,1,IF(5=life_it,0.5,0))+Sens!F18647*IF(4&lt;life_it,1,IF(4=life_it,0.5,0))+Sens!G18647*IF(3&lt;life_it,1,IF(3=life_it,0.5,0))+Sens!H18647*IF(2&lt;life_it,1,IF(2=life_it,0.5,0))+Sens!I18647*IF(1&lt;life_it,1,IF(1=life_it,0.5,0))+Sens!J18647*0.5)/life_it</f>
        <v>123.657508539285</v>
      </c>
      <c r="K18649" s="6" t="n">
        <f aca="false">(Sens!C18647*IF(8&lt;life_it,1,IF(8=life_it,0.5,0))+Sens!D18647*IF(7&lt;life_it,1,IF(7=life_it,0.5,0))+Sens!E18647*IF(6&lt;life_it,1,IF(6=life_it,0.5,0))+Sens!F18647*IF(5&lt;life_it,1,IF(5=life_it,0.5,0))+Sens!G18647*IF(4&lt;life_it,1,IF(4=life_it,0.5,0))+Sens!H18647*IF(3&lt;life_it,1,IF(3=life_it,0.5,0))+Sens!I18647*IF(2&lt;life_it,1,IF(2=life_it,0.5,0))+Sens!J18647*IF(1&lt;life_it,1,IF(1=life_it,0.5,0))+Sens!K18647*0.5)/life_it</f>
        <v>134.143838501827</v>
      </c>
    </row>
    <row r="18650" customFormat="false" ht="17.15" hidden="false" customHeight="false" outlineLevel="0" collapsed="false">
      <c r="A18650" s="0" t="s">
        <v>1000</v>
      </c>
      <c r="B18650" s="0" t="s">
        <v>98</v>
      </c>
      <c r="E18650" s="6" t="n">
        <f aca="false">(Sens!C18644*IF(2&lt;life_fac,1,IF(2=life_fac,0.5,0))+Sens!D18644*IF(1&lt;life_fac,1,IF(1=life_fac,0.5,0))+Sens!E18644*0.5)/life_fac</f>
        <v>1.2448275</v>
      </c>
      <c r="F18650" s="6" t="n">
        <f aca="false">(Sens!C18644*IF(3&lt;life_fac,1,IF(3=life_fac,0.5,0))+Sens!D18644*IF(2&lt;life_fac,1,IF(2=life_fac,0.5,0))+Sens!E18644*IF(1&lt;life_fac,1,IF(1=life_fac,0.5,0))+Sens!F18644*0.5)/life_fac</f>
        <v>2.508829492925</v>
      </c>
      <c r="G18650" s="6" t="n">
        <f aca="false">(Sens!C18644*IF(4&lt;life_fac,1,IF(4=life_fac,0.5,0))+Sens!D18644*IF(3&lt;life_fac,1,IF(3=life_fac,0.5,0))+Sens!E18644*IF(2&lt;life_fac,1,IF(2=life_fac,0.5,0))+Sens!F18644*IF(1&lt;life_fac,1,IF(1=life_fac,0.5,0))+Sens!G18644*0.5)/life_fac</f>
        <v>4.170838978775</v>
      </c>
      <c r="H18650" s="6" t="n">
        <f aca="false">(Sens!C18644*IF(5&lt;life_fac,1,IF(5=life_fac,0.5,0))+Sens!D18644*IF(4&lt;life_fac,1,IF(4=life_fac,0.5,0))+Sens!E18644*IF(3&lt;life_fac,1,IF(3=life_fac,0.5,0))+Sens!F18644*IF(2&lt;life_fac,1,IF(2=life_fac,0.5,0))+Sens!G18644*IF(1&lt;life_fac,1,IF(1=life_fac,0.5,0))+Sens!H18644*0.5)/life_fac</f>
        <v>5.898098964625</v>
      </c>
      <c r="I18650" s="6" t="n">
        <f aca="false">(Sens!C18644*IF(6&lt;life_fac,1,IF(6=life_fac,0.5,0))+Sens!D18644*IF(5&lt;life_fac,1,IF(5=life_fac,0.5,0))+Sens!E18644*IF(4&lt;life_fac,1,IF(4=life_fac,0.5,0))+Sens!F18644*IF(3&lt;life_fac,1,IF(3=life_fac,0.5,0))+Sens!G18644*IF(2&lt;life_fac,1,IF(2=life_fac,0.5,0))+Sens!H18644*IF(1&lt;life_fac,1,IF(1=life_fac,0.5,0))+Sens!I18644*0.5)/life_fac</f>
        <v>7.37368556095442</v>
      </c>
      <c r="J18650" s="6" t="n">
        <f aca="false">(Sens!C18644*IF(7&lt;life_fac,1,IF(7=life_fac,0.5,0))+Sens!D18644*IF(6&lt;life_fac,1,IF(6=life_fac,0.5,0))+Sens!E18644*IF(5&lt;life_fac,1,IF(5=life_fac,0.5,0))+Sens!F18644*IF(4&lt;life_fac,1,IF(4=life_fac,0.5,0))+Sens!G18644*IF(3&lt;life_fac,1,IF(3=life_fac,0.5,0))+Sens!H18644*IF(2&lt;life_fac,1,IF(2=life_fac,0.5,0))+Sens!I18644*IF(1&lt;life_fac,1,IF(1=life_fac,0.5,0))+Sens!J18644*0.5)/life_fac</f>
        <v>8.35816451031075</v>
      </c>
      <c r="K18650" s="6" t="n">
        <f aca="false">(Sens!C18644*IF(8&lt;life_fac,1,IF(8=life_fac,0.5,0))+Sens!D18644*IF(7&lt;life_fac,1,IF(7=life_fac,0.5,0))+Sens!E18644*IF(6&lt;life_fac,1,IF(6=life_fac,0.5,0))+Sens!F18644*IF(5&lt;life_fac,1,IF(5=life_fac,0.5,0))+Sens!G18644*IF(4&lt;life_fac,1,IF(4=life_fac,0.5,0))+Sens!H18644*IF(3&lt;life_fac,1,IF(3=life_fac,0.5,0))+Sens!I18644*IF(2&lt;life_fac,1,IF(2=life_fac,0.5,0))+Sens!J18644*IF(1&lt;life_fac,1,IF(1=life_fac,0.5,0))+Sens!K18644*0.5)/life_fac</f>
        <v>8.86883104910662</v>
      </c>
    </row>
    <row r="18651" customFormat="false" ht="17.15" hidden="false" customHeight="false" outlineLevel="0" collapsed="false">
      <c r="A18651" s="0" t="s">
        <v>1001</v>
      </c>
      <c r="B18651" s="0" t="s">
        <v>98</v>
      </c>
      <c r="E18651" s="6" t="n">
        <f aca="false">Sens!E18649+Sens!E18650</f>
        <v>16.3054059770833</v>
      </c>
      <c r="F18651" s="6" t="n">
        <f aca="false">Sens!F18649+Sens!F18650</f>
        <v>34.5793144783516</v>
      </c>
      <c r="G18651" s="6" t="n">
        <f aca="false">Sens!G18649+Sens!G18650</f>
        <v>60.7344906522989</v>
      </c>
      <c r="H18651" s="6" t="n">
        <f aca="false">Sens!H18649+Sens!H18650</f>
        <v>89.1000906614457</v>
      </c>
      <c r="I18651" s="6" t="n">
        <f aca="false">Sens!I18649+Sens!I18650</f>
        <v>114.231009694548</v>
      </c>
      <c r="J18651" s="6" t="n">
        <f aca="false">Sens!J18649+Sens!J18650</f>
        <v>132.015673049596</v>
      </c>
      <c r="K18651" s="6" t="n">
        <f aca="false">Sens!K18649+Sens!K18650</f>
        <v>143.012669550934</v>
      </c>
    </row>
    <row r="18652" customFormat="false" ht="17.15" hidden="false" customHeight="false" outlineLevel="0" collapsed="false">
      <c r="A18652" s="0" t="s">
        <v>1002</v>
      </c>
      <c r="B18652" s="0" t="s">
        <v>98</v>
      </c>
      <c r="E18652" s="6" t="n">
        <f aca="false">Sens!E18639-Sens!E18638*Sens!E18651</f>
        <v>8.92707889977379</v>
      </c>
      <c r="F18652" s="6" t="n">
        <f aca="false">Sens!F18639-Sens!F18638*Sens!F18651</f>
        <v>14.3471335960079</v>
      </c>
      <c r="G18652" s="6" t="n">
        <f aca="false">Sens!G18639-Sens!G18638*Sens!G18651</f>
        <v>16.5202976798683</v>
      </c>
      <c r="H18652" s="6" t="n">
        <f aca="false">Sens!H18639-Sens!H18638*Sens!H18651</f>
        <v>12.9805278875331</v>
      </c>
      <c r="I18652" s="6" t="n">
        <f aca="false">Sens!I18639-Sens!I18638*Sens!I18651</f>
        <v>16.2363335770989</v>
      </c>
      <c r="J18652" s="6" t="n">
        <f aca="false">Sens!J18639-Sens!J18638*Sens!J18651</f>
        <v>18.4432225839805</v>
      </c>
      <c r="K18652" s="6" t="n">
        <f aca="false">Sens!K18639-Sens!K18638*Sens!K18651</f>
        <v>20.1577566819661</v>
      </c>
    </row>
    <row r="18653" customFormat="false" ht="17.15" hidden="false" customHeight="false" outlineLevel="0" collapsed="false">
      <c r="A18653" s="3" t="s">
        <v>1940</v>
      </c>
    </row>
    <row r="18654" customFormat="false" ht="15" hidden="false" customHeight="false" outlineLevel="0" collapsed="false">
      <c r="A18654" s="4" t="s">
        <v>43</v>
      </c>
      <c r="B18654" s="4" t="s">
        <v>65</v>
      </c>
      <c r="C18654" s="23" t="s">
        <v>938</v>
      </c>
      <c r="D18654" s="23" t="s">
        <v>939</v>
      </c>
      <c r="E18654" s="23" t="s">
        <v>940</v>
      </c>
      <c r="F18654" s="23" t="s">
        <v>941</v>
      </c>
      <c r="G18654" s="23" t="s">
        <v>942</v>
      </c>
      <c r="H18654" s="23" t="s">
        <v>943</v>
      </c>
      <c r="I18654" s="23" t="s">
        <v>944</v>
      </c>
      <c r="J18654" s="23" t="s">
        <v>945</v>
      </c>
      <c r="K18654" s="23" t="s">
        <v>946</v>
      </c>
      <c r="L18654" s="4" t="s">
        <v>47</v>
      </c>
    </row>
    <row r="18655" customFormat="false" ht="17.15" hidden="false" customHeight="false" outlineLevel="0" collapsed="false">
      <c r="A18655" s="0" t="s">
        <v>1021</v>
      </c>
      <c r="B18655" s="0" t="s">
        <v>98</v>
      </c>
      <c r="D18655" s="6" t="n">
        <f aca="false">Sens!D18633</f>
        <v>12.9359794422418</v>
      </c>
      <c r="E18655" s="6" t="n">
        <f aca="false">Sens!E18633</f>
        <v>27.8095064661409</v>
      </c>
      <c r="F18655" s="6" t="n">
        <f aca="false">Sens!F18633</f>
        <v>50.9819294352312</v>
      </c>
      <c r="G18655" s="6" t="n">
        <f aca="false">Sens!G18633</f>
        <v>76.6920436014933</v>
      </c>
      <c r="H18655" s="6" t="n">
        <f aca="false">Sens!H18633</f>
        <v>97.4495379418341</v>
      </c>
      <c r="I18655" s="6" t="n">
        <f aca="false">Sens!I18633</f>
        <v>122.083445553868</v>
      </c>
      <c r="J18655" s="6" t="n">
        <f aca="false">Sens!J18633</f>
        <v>139.249060444804</v>
      </c>
      <c r="K18655" s="6" t="n">
        <f aca="false">Sens!K18633</f>
        <v>149.995818575589</v>
      </c>
    </row>
    <row r="18656" customFormat="false" ht="17.15" hidden="false" customHeight="false" outlineLevel="0" collapsed="false">
      <c r="A18656" s="0" t="s">
        <v>1022</v>
      </c>
      <c r="B18656" s="0" t="s">
        <v>98</v>
      </c>
      <c r="D18656" s="6" t="n">
        <f aca="false">Q!L6-Sens!D18655</f>
        <v>59.6740205577583</v>
      </c>
      <c r="E18656" s="6" t="n">
        <f aca="false">Q!M6-Sens!E18655</f>
        <v>74.1284935338591</v>
      </c>
      <c r="F18656" s="6" t="n">
        <f aca="false">Q!$I$6+(Sens!F18655+Sens!E18656*(1+Sens!F18657))*(1-Q!$E$6/Q!M6)-Sens!F18655</f>
        <v>92.2699541184664</v>
      </c>
      <c r="G18656" s="6" t="n">
        <f aca="false">Sens!F18656*(1+Sens!G18657)</f>
        <v>109.630477277949</v>
      </c>
      <c r="H18656" s="6" t="n">
        <f aca="false">Sens!G18656*(1+Sens!H18657)</f>
        <v>127.293256321956</v>
      </c>
      <c r="I18656" s="6" t="n">
        <f aca="false">Sens!H18656*(1+Sens!I18657)</f>
        <v>144.360052269491</v>
      </c>
      <c r="J18656" s="6" t="n">
        <f aca="false">Sens!I18656*(1+Sens!J18657)</f>
        <v>159.811964490216</v>
      </c>
      <c r="K18656" s="6" t="n">
        <f aca="false">Sens!J18656*(1+Sens!K18657)</f>
        <v>172.596921649434</v>
      </c>
      <c r="L18656" s="12" t="s">
        <v>1023</v>
      </c>
    </row>
    <row r="18657" customFormat="false" ht="15" hidden="false" customHeight="false" outlineLevel="0" collapsed="false">
      <c r="A18657" s="1" t="s">
        <v>1024</v>
      </c>
      <c r="B18657" s="0" t="s">
        <v>168</v>
      </c>
      <c r="E18657" s="7" t="n">
        <f aca="false">Sens!E18656/Sens!D18656-1</f>
        <v>0.242223883039864</v>
      </c>
      <c r="F18657" s="7" t="n">
        <f aca="false">Sens!$E$18657+(glt_azo-Sens!$E$18657)*MIN(1,(Sens!F18614-base_fy)/n_conv)</f>
        <v>0.215186569199887</v>
      </c>
      <c r="G18657" s="7" t="n">
        <f aca="false">Sens!$E$18657+(glt_azo-Sens!$E$18657)*MIN(1,(Sens!G18614-base_fy)/n_conv)</f>
        <v>0.18814925535991</v>
      </c>
      <c r="H18657" s="7" t="n">
        <f aca="false">Sens!$E$18657+(glt_azo-Sens!$E$18657)*MIN(1,(Sens!H18614-base_fy)/n_conv)</f>
        <v>0.161111941519932</v>
      </c>
      <c r="I18657" s="7" t="n">
        <f aca="false">Sens!$E$18657+(glt_azo-Sens!$E$18657)*MIN(1,(Sens!I18614-base_fy)/n_conv)</f>
        <v>0.134074627679955</v>
      </c>
      <c r="J18657" s="7" t="n">
        <f aca="false">Sens!$E$18657+(glt_azo-Sens!$E$18657)*MIN(1,(Sens!J18614-base_fy)/n_conv)</f>
        <v>0.107037313839977</v>
      </c>
      <c r="K18657" s="7" t="n">
        <f aca="false">Sens!$E$18657+(glt_azo-Sens!$E$18657)*MIN(1,(Sens!K18614-base_fy)/n_conv)</f>
        <v>0.08</v>
      </c>
    </row>
    <row r="18658" customFormat="false" ht="15" hidden="false" customHeight="false" outlineLevel="0" collapsed="false">
      <c r="A18658" s="0" t="s">
        <v>1025</v>
      </c>
      <c r="B18658" s="0" t="s">
        <v>98</v>
      </c>
      <c r="D18658" s="6" t="n">
        <f aca="false">Sens!D18655+Sens!D18656</f>
        <v>72.61</v>
      </c>
      <c r="E18658" s="6" t="n">
        <f aca="false">Sens!E18655+Sens!E18656</f>
        <v>101.938</v>
      </c>
      <c r="F18658" s="6" t="n">
        <f aca="false">Sens!F18655+Sens!F18656</f>
        <v>143.251883553698</v>
      </c>
      <c r="G18658" s="6" t="n">
        <f aca="false">Sens!G18655+Sens!G18656</f>
        <v>186.322520879442</v>
      </c>
      <c r="H18658" s="6" t="n">
        <f aca="false">Sens!H18655+Sens!H18656</f>
        <v>224.74279426379</v>
      </c>
      <c r="I18658" s="6" t="n">
        <f aca="false">Sens!I18655+Sens!I18656</f>
        <v>266.443497823359</v>
      </c>
      <c r="J18658" s="6" t="n">
        <f aca="false">Sens!J18655+Sens!J18656</f>
        <v>299.06102493502</v>
      </c>
      <c r="K18658" s="6" t="n">
        <f aca="false">Sens!K18655+Sens!K18656</f>
        <v>322.592740225023</v>
      </c>
    </row>
    <row r="18659" customFormat="false" ht="17.15" hidden="false" customHeight="false" outlineLevel="0" collapsed="false">
      <c r="A18659" s="0" t="s">
        <v>1026</v>
      </c>
      <c r="B18659" s="1" t="s">
        <v>610</v>
      </c>
      <c r="C18659" s="30" t="n">
        <f aca="false">cop_s24</f>
        <v>1</v>
      </c>
      <c r="D18659" s="30" t="n">
        <f aca="false">cop_s25</f>
        <v>5</v>
      </c>
      <c r="E18659" s="30" t="n">
        <f aca="false">cop_s26</f>
        <v>30</v>
      </c>
      <c r="F18659" s="30" t="n">
        <f aca="false">Sens!E18659+cop_add_C</f>
        <v>40</v>
      </c>
      <c r="G18659" s="30" t="n">
        <f aca="false">Sens!F18659+cop_add_C</f>
        <v>50</v>
      </c>
      <c r="H18659" s="30" t="n">
        <f aca="false">Sens!G18659+cop_add_C</f>
        <v>60</v>
      </c>
      <c r="I18659" s="30" t="n">
        <f aca="false">Sens!H18659+cop_add_C*cop_tail</f>
        <v>65</v>
      </c>
      <c r="J18659" s="30" t="n">
        <f aca="false">Sens!I18659+cop_add_C*cop_tail</f>
        <v>70</v>
      </c>
      <c r="K18659" s="30" t="n">
        <f aca="false">Sens!J18659+cop_add_C*cop_tail</f>
        <v>75</v>
      </c>
      <c r="L18659" s="12" t="s">
        <v>1027</v>
      </c>
    </row>
    <row r="18660" customFormat="false" ht="17.15" hidden="false" customHeight="false" outlineLevel="0" collapsed="false">
      <c r="A18660" s="0" t="s">
        <v>1028</v>
      </c>
      <c r="B18660" s="0" t="s">
        <v>98</v>
      </c>
      <c r="D18660" s="6" t="n">
        <f aca="false">(Sens!C18659+Sens!D18659)/2*cop_px*12/1000</f>
        <v>0.9</v>
      </c>
      <c r="E18660" s="6" t="n">
        <f aca="false">(Sens!D18659+Sens!E18659)/2*cop_px*12/1000</f>
        <v>5.25</v>
      </c>
      <c r="F18660" s="6" t="n">
        <f aca="false">(Sens!E18659+Sens!F18659)/2*cop_px*12/1000</f>
        <v>10.5</v>
      </c>
      <c r="G18660" s="6" t="n">
        <f aca="false">(Sens!F18659+Sens!G18659)/2*cop_px*12/1000</f>
        <v>13.5</v>
      </c>
      <c r="H18660" s="6" t="n">
        <f aca="false">(Sens!G18659+Sens!H18659)/2*cop_px*12/1000</f>
        <v>16.5</v>
      </c>
      <c r="I18660" s="6" t="n">
        <f aca="false">(Sens!H18659+Sens!I18659)/2*cop_px*12/1000</f>
        <v>18.75</v>
      </c>
      <c r="J18660" s="6" t="n">
        <f aca="false">(Sens!I18659+Sens!J18659)/2*cop_px*12/1000</f>
        <v>20.25</v>
      </c>
      <c r="K18660" s="6" t="n">
        <f aca="false">(Sens!J18659+Sens!K18659)/2*cop_px*12/1000</f>
        <v>21.75</v>
      </c>
      <c r="L18660" s="1" t="s">
        <v>1029</v>
      </c>
    </row>
    <row r="18661" customFormat="false" ht="17.15" hidden="false" customHeight="false" outlineLevel="0" collapsed="false">
      <c r="A18661" s="0" t="s">
        <v>1030</v>
      </c>
      <c r="B18661" s="0" t="s">
        <v>98</v>
      </c>
      <c r="D18661" s="6" t="n">
        <f aca="false">Q!L7-Sens!D18660</f>
        <v>83.705</v>
      </c>
      <c r="E18661" s="6" t="n">
        <f aca="false">Q!M7-Sens!E18660</f>
        <v>95.049</v>
      </c>
      <c r="F18661" s="6" t="n">
        <f aca="false">Q!$I$7+(Sens!E18661*(1+Sens!F18662)+Sens!F18660)*(1-Q!$E$7/Q!M7)-Sens!F18660</f>
        <v>106.938354189776</v>
      </c>
      <c r="G18661" s="6" t="n">
        <f aca="false">Sens!F18661*(1+Sens!G18662)</f>
        <v>119.095360443801</v>
      </c>
      <c r="H18661" s="6" t="n">
        <f aca="false">Sens!G18661*(1+Sens!H18662)</f>
        <v>131.333811964563</v>
      </c>
      <c r="I18661" s="6" t="n">
        <f aca="false">Sens!H18661*(1+Sens!I18662)</f>
        <v>143.395665319381</v>
      </c>
      <c r="J18661" s="6" t="n">
        <f aca="false">Sens!I18661*(1+Sens!J18662)</f>
        <v>154.999327755573</v>
      </c>
      <c r="K18661" s="6" t="n">
        <f aca="false">Sens!J18661*(1+Sens!K18662)</f>
        <v>165.849280698463</v>
      </c>
      <c r="L18661" s="12" t="s">
        <v>1031</v>
      </c>
    </row>
    <row r="18662" customFormat="false" ht="15" hidden="false" customHeight="false" outlineLevel="0" collapsed="false">
      <c r="A18662" s="1" t="s">
        <v>1024</v>
      </c>
      <c r="B18662" s="0" t="s">
        <v>168</v>
      </c>
      <c r="E18662" s="7" t="n">
        <f aca="false">Sens!E18661/Sens!D18661-1</f>
        <v>0.135523564900544</v>
      </c>
      <c r="F18662" s="7" t="n">
        <f aca="false">Sens!$E$18662+(glt_m365b-Sens!$E$18662)*MIN(1,(Sens!F18614-base_fy)/n_conv)</f>
        <v>0.124602970750453</v>
      </c>
      <c r="G18662" s="7" t="n">
        <f aca="false">Sens!$E$18662+(glt_m365b-Sens!$E$18662)*MIN(1,(Sens!G18614-base_fy)/n_conv)</f>
        <v>0.113682376600363</v>
      </c>
      <c r="H18662" s="7" t="n">
        <f aca="false">Sens!$E$18662+(glt_m365b-Sens!$E$18662)*MIN(1,(Sens!H18614-base_fy)/n_conv)</f>
        <v>0.102761782450272</v>
      </c>
      <c r="I18662" s="7" t="n">
        <f aca="false">Sens!$E$18662+(glt_m365b-Sens!$E$18662)*MIN(1,(Sens!I18614-base_fy)/n_conv)</f>
        <v>0.0918411883001813</v>
      </c>
      <c r="J18662" s="7" t="n">
        <f aca="false">Sens!$E$18662+(glt_m365b-Sens!$E$18662)*MIN(1,(Sens!J18614-base_fy)/n_conv)</f>
        <v>0.0809205941500906</v>
      </c>
      <c r="K18662" s="7" t="n">
        <f aca="false">Sens!$E$18662+(glt_m365b-Sens!$E$18662)*MIN(1,(Sens!K18614-base_fy)/n_conv)</f>
        <v>0.07</v>
      </c>
    </row>
    <row r="18663" customFormat="false" ht="15" hidden="false" customHeight="false" outlineLevel="0" collapsed="false">
      <c r="A18663" s="0" t="s">
        <v>1032</v>
      </c>
      <c r="B18663" s="0" t="s">
        <v>98</v>
      </c>
      <c r="D18663" s="6" t="n">
        <f aca="false">Sens!D18661+Sens!D18660</f>
        <v>84.605</v>
      </c>
      <c r="E18663" s="6" t="n">
        <f aca="false">Sens!E18661+Sens!E18660</f>
        <v>100.299</v>
      </c>
      <c r="F18663" s="6" t="n">
        <f aca="false">Sens!F18661+Sens!F18660</f>
        <v>117.438354189776</v>
      </c>
      <c r="G18663" s="6" t="n">
        <f aca="false">Sens!G18661+Sens!G18660</f>
        <v>132.595360443801</v>
      </c>
      <c r="H18663" s="6" t="n">
        <f aca="false">Sens!H18661+Sens!H18660</f>
        <v>147.833811964563</v>
      </c>
      <c r="I18663" s="6" t="n">
        <f aca="false">Sens!I18661+Sens!I18660</f>
        <v>162.145665319381</v>
      </c>
      <c r="J18663" s="6" t="n">
        <f aca="false">Sens!J18661+Sens!J18660</f>
        <v>175.249327755573</v>
      </c>
      <c r="K18663" s="6" t="n">
        <f aca="false">Sens!K18661+Sens!K18660</f>
        <v>187.599280698463</v>
      </c>
    </row>
    <row r="18664" customFormat="false" ht="17.15" hidden="false" customHeight="false" outlineLevel="0" collapsed="false">
      <c r="A18664" s="0" t="s">
        <v>1033</v>
      </c>
      <c r="B18664" s="0" t="s">
        <v>98</v>
      </c>
      <c r="D18664" s="6" t="n">
        <f aca="false">Q!L8</f>
        <v>35.391</v>
      </c>
      <c r="E18664" s="6" t="n">
        <f aca="false">Q!M8</f>
        <v>37.285</v>
      </c>
      <c r="F18664" s="6" t="n">
        <f aca="false">Q!$I$8+(Q!M8-Q!$E$8)*(1+Sens!F18665)</f>
        <v>38.3851437782675</v>
      </c>
      <c r="G18664" s="6" t="n">
        <f aca="false">Sens!F18664*(1+Sens!G18665)</f>
        <v>40.0105353288615</v>
      </c>
      <c r="H18664" s="6" t="n">
        <f aca="false">Sens!G18664*(1+Sens!H18665)</f>
        <v>41.4812512033683</v>
      </c>
      <c r="I18664" s="6" t="n">
        <f aca="false">Sens!H18664*(1+Sens!I18665)</f>
        <v>42.7743107216329</v>
      </c>
      <c r="J18664" s="6" t="n">
        <f aca="false">Sens!I18664*(1+Sens!J18665)</f>
        <v>43.8687373064601</v>
      </c>
      <c r="K18664" s="6" t="n">
        <f aca="false">Sens!J18664*(1+Sens!K18665)</f>
        <v>44.7461120525893</v>
      </c>
      <c r="L18664" s="12" t="s">
        <v>1034</v>
      </c>
    </row>
    <row r="18665" customFormat="false" ht="15" hidden="false" customHeight="false" outlineLevel="0" collapsed="false">
      <c r="A18665" s="1" t="s">
        <v>1024</v>
      </c>
      <c r="B18665" s="0" t="s">
        <v>168</v>
      </c>
      <c r="E18665" s="7" t="n">
        <f aca="false">Sens!E18664/Sens!D18664-1</f>
        <v>0.0535164307309768</v>
      </c>
      <c r="F18665" s="7" t="n">
        <f aca="false">Sens!$E$18665+(glt_lic-Sens!$E$18665)*MIN(1,(Sens!F18614-base_fy)/n_conv)</f>
        <v>0.0479303589424807</v>
      </c>
      <c r="G18665" s="7" t="n">
        <f aca="false">Sens!$E$18665+(glt_lic-Sens!$E$18665)*MIN(1,(Sens!G18614-base_fy)/n_conv)</f>
        <v>0.0423442871539845</v>
      </c>
      <c r="H18665" s="7" t="n">
        <f aca="false">Sens!$E$18665+(glt_lic-Sens!$E$18665)*MIN(1,(Sens!H18614-base_fy)/n_conv)</f>
        <v>0.0367582153654884</v>
      </c>
      <c r="I18665" s="7" t="n">
        <f aca="false">Sens!$E$18665+(glt_lic-Sens!$E$18665)*MIN(1,(Sens!I18614-base_fy)/n_conv)</f>
        <v>0.0311721435769923</v>
      </c>
      <c r="J18665" s="7" t="n">
        <f aca="false">Sens!$E$18665+(glt_lic-Sens!$E$18665)*MIN(1,(Sens!J18614-base_fy)/n_conv)</f>
        <v>0.0255860717884961</v>
      </c>
      <c r="K18665" s="7" t="n">
        <f aca="false">Sens!$E$18665+(glt_lic-Sens!$E$18665)*MIN(1,(Sens!K18614-base_fy)/n_conv)</f>
        <v>0.02</v>
      </c>
    </row>
    <row r="18666" customFormat="false" ht="17.15" hidden="false" customHeight="false" outlineLevel="0" collapsed="false">
      <c r="A18666" s="0" t="s">
        <v>1035</v>
      </c>
      <c r="B18666" s="0" t="s">
        <v>98</v>
      </c>
      <c r="D18666" s="6" t="n">
        <f aca="false">Q!L9</f>
        <v>18.417</v>
      </c>
      <c r="E18666" s="6" t="n">
        <f aca="false">Q!M9</f>
        <v>20.345</v>
      </c>
      <c r="F18666" s="6" t="n">
        <f aca="false">Q!$I$9+(Q!M9-Q!$E$9)*(1+Sens!F18667)</f>
        <v>22.3161797133988</v>
      </c>
      <c r="G18666" s="6" t="n">
        <f aca="false">Sens!F18666*(1+Sens!G18667)</f>
        <v>24.3943499673233</v>
      </c>
      <c r="H18666" s="6" t="n">
        <f aca="false">Sens!G18666*(1+Sens!H18667)</f>
        <v>26.5250243109019</v>
      </c>
      <c r="I18666" s="6" t="n">
        <f aca="false">Sens!H18666*(1+Sens!I18667)</f>
        <v>28.6884573538181</v>
      </c>
      <c r="J18666" s="6" t="n">
        <f aca="false">Sens!I18666*(1+Sens!J18667)</f>
        <v>30.8624968052127</v>
      </c>
      <c r="K18666" s="6" t="n">
        <f aca="false">Sens!J18666*(1+Sens!K18667)</f>
        <v>33.0228715815776</v>
      </c>
      <c r="L18666" s="12" t="s">
        <v>1034</v>
      </c>
    </row>
    <row r="18667" customFormat="false" ht="15" hidden="false" customHeight="false" outlineLevel="0" collapsed="false">
      <c r="A18667" s="1" t="s">
        <v>1024</v>
      </c>
      <c r="B18667" s="0" t="s">
        <v>168</v>
      </c>
      <c r="E18667" s="7" t="n">
        <f aca="false">Sens!E18666/Sens!D18666-1</f>
        <v>0.104685888038225</v>
      </c>
      <c r="F18667" s="7" t="n">
        <f aca="false">Sens!$E$18667+(glt_ind-Sens!$E$18667)*MIN(1,(Sens!F18614-base_fy)/n_conv)</f>
        <v>0.0989049066985211</v>
      </c>
      <c r="G18667" s="7" t="n">
        <f aca="false">Sens!$E$18667+(glt_ind-Sens!$E$18667)*MIN(1,(Sens!G18614-base_fy)/n_conv)</f>
        <v>0.0931239253588169</v>
      </c>
      <c r="H18667" s="7" t="n">
        <f aca="false">Sens!$E$18667+(glt_ind-Sens!$E$18667)*MIN(1,(Sens!H18614-base_fy)/n_conv)</f>
        <v>0.0873429440191127</v>
      </c>
      <c r="I18667" s="7" t="n">
        <f aca="false">Sens!$E$18667+(glt_ind-Sens!$E$18667)*MIN(1,(Sens!I18614-base_fy)/n_conv)</f>
        <v>0.0815619626794085</v>
      </c>
      <c r="J18667" s="7" t="n">
        <f aca="false">Sens!$E$18667+(glt_ind-Sens!$E$18667)*MIN(1,(Sens!J18614-base_fy)/n_conv)</f>
        <v>0.0757809813397042</v>
      </c>
      <c r="K18667" s="7" t="n">
        <f aca="false">Sens!$E$18667+(glt_ind-Sens!$E$18667)*MIN(1,(Sens!K18614-base_fy)/n_conv)</f>
        <v>0.07</v>
      </c>
    </row>
    <row r="18668" customFormat="false" ht="17.15" hidden="false" customHeight="false" outlineLevel="0" collapsed="false">
      <c r="A18668" s="0" t="s">
        <v>1036</v>
      </c>
      <c r="B18668" s="0" t="s">
        <v>98</v>
      </c>
      <c r="D18668" s="6" t="n">
        <f aca="false">Q!L10</f>
        <v>7.76</v>
      </c>
      <c r="E18668" s="6" t="n">
        <f aca="false">Q!M10</f>
        <v>8.26</v>
      </c>
      <c r="F18668" s="6" t="n">
        <f aca="false">Q!$I$10+(Q!M10-Q!$E$10)*(1+Sens!F18669)</f>
        <v>8.75372082474227</v>
      </c>
      <c r="G18668" s="6" t="n">
        <f aca="false">Sens!F18668*(1+Sens!G18669)</f>
        <v>9.33399324642364</v>
      </c>
      <c r="H18668" s="6" t="n">
        <f aca="false">Sens!G18668*(1+Sens!H18669)</f>
        <v>9.96139155535851</v>
      </c>
      <c r="I18668" s="6" t="n">
        <f aca="false">Sens!H18668*(1+Sens!I18669)</f>
        <v>10.6402039077391</v>
      </c>
      <c r="J18668" s="6" t="n">
        <f aca="false">Sens!I18668*(1+Sens!J18669)</f>
        <v>11.3751458271397</v>
      </c>
      <c r="K18668" s="6" t="n">
        <f aca="false">Sens!J18668*(1+Sens!K18669)</f>
        <v>12.1714060350394</v>
      </c>
      <c r="L18668" s="12" t="s">
        <v>1034</v>
      </c>
    </row>
    <row r="18669" customFormat="false" ht="15" hidden="false" customHeight="false" outlineLevel="0" collapsed="false">
      <c r="A18669" s="1" t="s">
        <v>1024</v>
      </c>
      <c r="B18669" s="0" t="s">
        <v>168</v>
      </c>
      <c r="E18669" s="7" t="n">
        <f aca="false">Sens!E18668/Sens!D18668-1</f>
        <v>0.0644329896907216</v>
      </c>
      <c r="F18669" s="7" t="n">
        <f aca="false">Sens!$E$18669+(glt_fro-Sens!$E$18669)*MIN(1,(Sens!F18614-base_fy)/n_conv)</f>
        <v>0.065360824742268</v>
      </c>
      <c r="G18669" s="7" t="n">
        <f aca="false">Sens!$E$18669+(glt_fro-Sens!$E$18669)*MIN(1,(Sens!G18614-base_fy)/n_conv)</f>
        <v>0.0662886597938144</v>
      </c>
      <c r="H18669" s="7" t="n">
        <f aca="false">Sens!$E$18669+(glt_fro-Sens!$E$18669)*MIN(1,(Sens!H18614-base_fy)/n_conv)</f>
        <v>0.0672164948453608</v>
      </c>
      <c r="I18669" s="7" t="n">
        <f aca="false">Sens!$E$18669+(glt_fro-Sens!$E$18669)*MIN(1,(Sens!I18614-base_fy)/n_conv)</f>
        <v>0.0681443298969072</v>
      </c>
      <c r="J18669" s="7" t="n">
        <f aca="false">Sens!$E$18669+(glt_fro-Sens!$E$18669)*MIN(1,(Sens!J18614-base_fy)/n_conv)</f>
        <v>0.0690721649484536</v>
      </c>
      <c r="K18669" s="7" t="n">
        <f aca="false">Sens!$E$18669+(glt_fro-Sens!$E$18669)*MIN(1,(Sens!K18614-base_fy)/n_conv)</f>
        <v>0.07</v>
      </c>
    </row>
    <row r="18670" customFormat="false" ht="15" hidden="false" customHeight="false" outlineLevel="0" collapsed="false">
      <c r="A18670" s="0" t="s">
        <v>852</v>
      </c>
      <c r="B18670" s="0" t="s">
        <v>98</v>
      </c>
      <c r="D18670" s="6" t="n">
        <f aca="false">Sens!D18658+Sens!D18663+Sens!D18664+Sens!D18666+Sens!D18668</f>
        <v>218.783</v>
      </c>
      <c r="E18670" s="6" t="n">
        <f aca="false">Sens!E18658+Sens!E18663+Sens!E18664+Sens!E18666+Sens!E18668</f>
        <v>268.127</v>
      </c>
      <c r="F18670" s="6" t="n">
        <f aca="false">Sens!F18658+Sens!F18663+Sens!F18664+Sens!F18666+Sens!F18668</f>
        <v>330.145282059882</v>
      </c>
      <c r="G18670" s="6" t="n">
        <f aca="false">Sens!G18658+Sens!G18663+Sens!G18664+Sens!G18666+Sens!G18668</f>
        <v>392.656759865851</v>
      </c>
      <c r="H18670" s="6" t="n">
        <f aca="false">Sens!H18658+Sens!H18663+Sens!H18664+Sens!H18666+Sens!H18668</f>
        <v>450.544273297982</v>
      </c>
      <c r="I18670" s="6" t="n">
        <f aca="false">Sens!I18658+Sens!I18663+Sens!I18664+Sens!I18666+Sens!I18668</f>
        <v>510.69213512593</v>
      </c>
      <c r="J18670" s="6" t="n">
        <f aca="false">Sens!J18658+Sens!J18663+Sens!J18664+Sens!J18666+Sens!J18668</f>
        <v>560.416732629406</v>
      </c>
      <c r="K18670" s="6" t="n">
        <f aca="false">Sens!K18658+Sens!K18663+Sens!K18664+Sens!K18666+Sens!K18668</f>
        <v>600.132410592692</v>
      </c>
    </row>
    <row r="18671" customFormat="false" ht="17.15" hidden="false" customHeight="false" outlineLevel="0" collapsed="false">
      <c r="A18671" s="0" t="s">
        <v>1037</v>
      </c>
      <c r="B18671" s="0" t="s">
        <v>98</v>
      </c>
      <c r="D18671" s="6" t="n">
        <f aca="false">Q!L13</f>
        <v>22.171</v>
      </c>
      <c r="E18671" s="6" t="n">
        <f aca="false">Q!M13</f>
        <v>24.835</v>
      </c>
      <c r="F18671" s="6" t="n">
        <f aca="false">Q!$I$13+(Q!M13-Q!$E$13)*(1+Sens!F18672)</f>
        <v>27.5591895660247</v>
      </c>
      <c r="G18671" s="6" t="n">
        <f aca="false">Sens!F18671*(1+Sens!G18672)</f>
        <v>30.4098563144583</v>
      </c>
      <c r="H18671" s="6" t="n">
        <f aca="false">Sens!G18671*(1+Sens!H18672)</f>
        <v>33.3011792571777</v>
      </c>
      <c r="I18671" s="6" t="n">
        <f aca="false">Sens!H18671*(1+Sens!I18672)</f>
        <v>36.189023797112</v>
      </c>
      <c r="J18671" s="6" t="n">
        <f aca="false">Sens!I18671*(1+Sens!J18672)</f>
        <v>39.0247773769199</v>
      </c>
      <c r="K18671" s="6" t="n">
        <f aca="false">Sens!J18671*(1+Sens!K18672)</f>
        <v>41.7565117933043</v>
      </c>
      <c r="L18671" s="12" t="s">
        <v>1034</v>
      </c>
    </row>
    <row r="18672" customFormat="false" ht="15" hidden="false" customHeight="false" outlineLevel="0" collapsed="false">
      <c r="A18672" s="1" t="s">
        <v>1024</v>
      </c>
      <c r="B18672" s="0" t="s">
        <v>168</v>
      </c>
      <c r="E18672" s="7" t="n">
        <f aca="false">Sens!E18671/Sens!D18671-1</f>
        <v>0.120156961796942</v>
      </c>
      <c r="F18672" s="7" t="n">
        <f aca="false">Sens!$E$18672+(glt_srch-Sens!$E$18672)*MIN(1,(Sens!F18614-base_fy)/n_conv)</f>
        <v>0.111797468164118</v>
      </c>
      <c r="G18672" s="7" t="n">
        <f aca="false">Sens!$E$18672+(glt_srch-Sens!$E$18672)*MIN(1,(Sens!G18614-base_fy)/n_conv)</f>
        <v>0.103437974531295</v>
      </c>
      <c r="H18672" s="7" t="n">
        <f aca="false">Sens!$E$18672+(glt_srch-Sens!$E$18672)*MIN(1,(Sens!H18614-base_fy)/n_conv)</f>
        <v>0.095078480898471</v>
      </c>
      <c r="I18672" s="7" t="n">
        <f aca="false">Sens!$E$18672+(glt_srch-Sens!$E$18672)*MIN(1,(Sens!I18614-base_fy)/n_conv)</f>
        <v>0.0867189872656474</v>
      </c>
      <c r="J18672" s="7" t="n">
        <f aca="false">Sens!$E$18672+(glt_srch-Sens!$E$18672)*MIN(1,(Sens!J18614-base_fy)/n_conv)</f>
        <v>0.0783594936328237</v>
      </c>
      <c r="K18672" s="7" t="n">
        <f aca="false">Sens!$E$18672+(glt_srch-Sens!$E$18672)*MIN(1,(Sens!K18614-base_fy)/n_conv)</f>
        <v>0.07</v>
      </c>
    </row>
    <row r="18673" customFormat="false" ht="17.15" hidden="false" customHeight="false" outlineLevel="0" collapsed="false">
      <c r="A18673" s="0" t="s">
        <v>1038</v>
      </c>
      <c r="B18673" s="0" t="s">
        <v>98</v>
      </c>
      <c r="D18673" s="6" t="n">
        <f aca="false">Q!L14</f>
        <v>23.455</v>
      </c>
      <c r="E18673" s="6" t="n">
        <f aca="false">Q!M14</f>
        <v>21.79</v>
      </c>
      <c r="F18673" s="6" t="n">
        <f aca="false">Q!$I$14+(Q!M14-Q!$E$14)*(1+Sens!F18674)</f>
        <v>20.7520981041711</v>
      </c>
      <c r="G18673" s="6" t="n">
        <f aca="false">Sens!F18673*(1+Sens!G18674)</f>
        <v>19.9083593495882</v>
      </c>
      <c r="H18673" s="6" t="n">
        <f aca="false">Sens!G18673*(1+Sens!H18674)</f>
        <v>19.4008256265831</v>
      </c>
      <c r="I18673" s="6" t="n">
        <f aca="false">Sens!H18673*(1+Sens!I18674)</f>
        <v>19.200434522122</v>
      </c>
      <c r="J18673" s="6" t="n">
        <f aca="false">Sens!I18673*(1+Sens!J18674)</f>
        <v>19.2932782348507</v>
      </c>
      <c r="K18673" s="6" t="n">
        <f aca="false">Sens!J18673*(1+Sens!K18674)</f>
        <v>19.6791437995477</v>
      </c>
      <c r="L18673" s="12" t="s">
        <v>1034</v>
      </c>
    </row>
    <row r="18674" customFormat="false" ht="15" hidden="false" customHeight="false" outlineLevel="0" collapsed="false">
      <c r="A18674" s="1" t="s">
        <v>1024</v>
      </c>
      <c r="B18674" s="0" t="s">
        <v>168</v>
      </c>
      <c r="E18674" s="7" t="n">
        <f aca="false">Sens!E18673/Sens!D18673-1</f>
        <v>-0.0709869963760392</v>
      </c>
      <c r="F18674" s="7" t="n">
        <f aca="false">Sens!$E$18674+(glt_xbox-Sens!$E$18674)*MIN(1,(Sens!F18614-base_fy)/n_conv)</f>
        <v>-0.0558224969800327</v>
      </c>
      <c r="G18674" s="7" t="n">
        <f aca="false">Sens!$E$18674+(glt_xbox-Sens!$E$18674)*MIN(1,(Sens!G18614-base_fy)/n_conv)</f>
        <v>-0.0406579975840262</v>
      </c>
      <c r="H18674" s="7" t="n">
        <f aca="false">Sens!$E$18674+(glt_xbox-Sens!$E$18674)*MIN(1,(Sens!H18614-base_fy)/n_conv)</f>
        <v>-0.0254934981880196</v>
      </c>
      <c r="I18674" s="7" t="n">
        <f aca="false">Sens!$E$18674+(glt_xbox-Sens!$E$18674)*MIN(1,(Sens!I18614-base_fy)/n_conv)</f>
        <v>-0.0103289987920131</v>
      </c>
      <c r="J18674" s="7" t="n">
        <f aca="false">Sens!$E$18674+(glt_xbox-Sens!$E$18674)*MIN(1,(Sens!J18614-base_fy)/n_conv)</f>
        <v>0.00483550060399347</v>
      </c>
      <c r="K18674" s="7" t="n">
        <f aca="false">Sens!$E$18674+(glt_xbox-Sens!$E$18674)*MIN(1,(Sens!K18614-base_fy)/n_conv)</f>
        <v>0.02</v>
      </c>
    </row>
    <row r="18675" customFormat="false" ht="17.15" hidden="false" customHeight="false" outlineLevel="0" collapsed="false">
      <c r="A18675" s="0" t="s">
        <v>1039</v>
      </c>
      <c r="B18675" s="0" t="s">
        <v>98</v>
      </c>
      <c r="D18675" s="6" t="n">
        <f aca="false">Q!L15</f>
        <v>17.315</v>
      </c>
      <c r="E18675" s="6" t="n">
        <f aca="false">Q!M15</f>
        <v>17.087</v>
      </c>
      <c r="F18675" s="6" t="n">
        <f aca="false">Q!$I$15+(Q!M15-Q!$E$15)*(1+g_q2_win)</f>
        <v>11.6994</v>
      </c>
      <c r="G18675" s="6" t="n">
        <f aca="false">Sens!F18675*(1+Sens!G18676)</f>
        <v>11.6746926329772</v>
      </c>
      <c r="H18675" s="6" t="n">
        <f aca="false">Sens!G18675*(1+Sens!H18676)</f>
        <v>11.7145747045475</v>
      </c>
      <c r="I18675" s="6" t="n">
        <f aca="false">Sens!H18675*(1+Sens!I18676)</f>
        <v>11.8193507447388</v>
      </c>
      <c r="J18675" s="6" t="n">
        <f aca="false">Sens!I18675*(1+Sens!J18676)</f>
        <v>11.9904008346869</v>
      </c>
      <c r="K18675" s="6" t="n">
        <f aca="false">Sens!J18675*(1+Sens!K18676)</f>
        <v>12.2302088513807</v>
      </c>
      <c r="L18675" s="12" t="s">
        <v>1034</v>
      </c>
    </row>
    <row r="18676" customFormat="false" ht="15" hidden="false" customHeight="false" outlineLevel="0" collapsed="false">
      <c r="A18676" s="1" t="s">
        <v>1024</v>
      </c>
      <c r="B18676" s="0" t="s">
        <v>168</v>
      </c>
      <c r="E18676" s="7" t="n">
        <f aca="false">Sens!E18675/Sens!D18675-1</f>
        <v>-0.0131677736066995</v>
      </c>
      <c r="F18676" s="7" t="n">
        <f aca="false">Sens!$E$18676+(glt_win-Sens!$E$18676)*MIN(1,(Sens!F18614-base_fy)/n_conv)</f>
        <v>-0.00763981133891627</v>
      </c>
      <c r="G18676" s="7" t="n">
        <f aca="false">Sens!$E$18676+(glt_win-Sens!$E$18676)*MIN(1,(Sens!G18614-base_fy)/n_conv)</f>
        <v>-0.00211184907113301</v>
      </c>
      <c r="H18676" s="7" t="n">
        <f aca="false">Sens!$E$18676+(glt_win-Sens!$E$18676)*MIN(1,(Sens!H18614-base_fy)/n_conv)</f>
        <v>0.00341611319665024</v>
      </c>
      <c r="I18676" s="7" t="n">
        <f aca="false">Sens!$E$18676+(glt_win-Sens!$E$18676)*MIN(1,(Sens!I18614-base_fy)/n_conv)</f>
        <v>0.00894407546443349</v>
      </c>
      <c r="J18676" s="7" t="n">
        <f aca="false">Sens!$E$18676+(glt_win-Sens!$E$18676)*MIN(1,(Sens!J18614-base_fy)/n_conv)</f>
        <v>0.0144720377322168</v>
      </c>
      <c r="K18676" s="7" t="n">
        <f aca="false">Sens!$E$18676+(glt_win-Sens!$E$18676)*MIN(1,(Sens!K18614-base_fy)/n_conv)</f>
        <v>0.02</v>
      </c>
    </row>
    <row r="18677" customFormat="false" ht="15" hidden="false" customHeight="false" outlineLevel="0" collapsed="false">
      <c r="A18677" s="0" t="s">
        <v>866</v>
      </c>
      <c r="B18677" s="0" t="s">
        <v>98</v>
      </c>
      <c r="D18677" s="6" t="n">
        <f aca="false">Sens!D18671+Sens!D18673+Sens!D18675</f>
        <v>62.941</v>
      </c>
      <c r="E18677" s="6" t="n">
        <f aca="false">Sens!E18671+Sens!E18673+Sens!E18675</f>
        <v>63.712</v>
      </c>
      <c r="F18677" s="6" t="n">
        <f aca="false">Sens!F18671+Sens!F18673+Sens!F18675</f>
        <v>60.0106876701958</v>
      </c>
      <c r="G18677" s="6" t="n">
        <f aca="false">Sens!G18671+Sens!G18673+Sens!G18675</f>
        <v>61.9929082970237</v>
      </c>
      <c r="H18677" s="6" t="n">
        <f aca="false">Sens!H18671+Sens!H18673+Sens!H18675</f>
        <v>64.4165795883084</v>
      </c>
      <c r="I18677" s="6" t="n">
        <f aca="false">Sens!I18671+Sens!I18673+Sens!I18675</f>
        <v>67.2088090639728</v>
      </c>
      <c r="J18677" s="6" t="n">
        <f aca="false">Sens!J18671+Sens!J18673+Sens!J18675</f>
        <v>70.3084564464575</v>
      </c>
      <c r="K18677" s="6" t="n">
        <f aca="false">Sens!K18671+Sens!K18673+Sens!K18675</f>
        <v>73.6658644442326</v>
      </c>
    </row>
    <row r="18678" customFormat="false" ht="15" hidden="false" customHeight="false" outlineLevel="0" collapsed="false">
      <c r="A18678" s="1" t="s">
        <v>1040</v>
      </c>
      <c r="B18678" s="0" t="s">
        <v>98</v>
      </c>
      <c r="D18678" s="6" t="n">
        <f aca="false">Sens!D18670+Sens!D18677</f>
        <v>281.724</v>
      </c>
      <c r="E18678" s="6" t="n">
        <f aca="false">Sens!E18670+Sens!E18677</f>
        <v>331.839</v>
      </c>
      <c r="F18678" s="6" t="n">
        <f aca="false">Sens!F18670+Sens!F18677</f>
        <v>390.155969730078</v>
      </c>
      <c r="G18678" s="6" t="n">
        <f aca="false">Sens!G18670+Sens!G18677</f>
        <v>454.649668162875</v>
      </c>
      <c r="H18678" s="6" t="n">
        <f aca="false">Sens!H18670+Sens!H18677</f>
        <v>514.96085288629</v>
      </c>
      <c r="I18678" s="6" t="n">
        <f aca="false">Sens!I18670+Sens!I18677</f>
        <v>577.900944189903</v>
      </c>
      <c r="J18678" s="6" t="n">
        <f aca="false">Sens!J18670+Sens!J18677</f>
        <v>630.725189075863</v>
      </c>
      <c r="K18678" s="6" t="n">
        <f aca="false">Sens!K18670+Sens!K18677</f>
        <v>673.798275036925</v>
      </c>
    </row>
    <row r="18679" customFormat="false" ht="15" hidden="false" customHeight="false" outlineLevel="0" collapsed="false">
      <c r="A18679" s="26" t="s">
        <v>1041</v>
      </c>
      <c r="B18679" s="31" t="s">
        <v>98</v>
      </c>
      <c r="C18679" s="31"/>
      <c r="D18679" s="27" t="n">
        <f aca="false">(Sens!D18658+Sens!D18663+Sens!D18664+Sens!D18666+Sens!D18668-Sens!D18670)+(Sens!D18671+Sens!D18673+Sens!D18675-Sens!D18677)+(Sens!D18670-Q!L5)+(Sens!D18677-Q!L12)+(Sens!D18658-Q!L6)+(Sens!D18663-Q!L7)</f>
        <v>0</v>
      </c>
      <c r="E18679" s="27" t="n">
        <f aca="false">(Sens!E18658+Sens!E18663+Sens!E18664+Sens!E18666+Sens!E18668-Sens!E18670)+(Sens!E18671+Sens!E18673+Sens!E18675-Sens!E18677)+(Sens!E18670-Q!M5)+(Sens!E18677-Q!M12)+(Sens!E18658-Q!M6)+(Sens!E18663-Q!M7)</f>
        <v>0</v>
      </c>
      <c r="F18679" s="27" t="n">
        <f aca="false">(Sens!F18658+Sens!F18663+Sens!F18664+Sens!F18666+Sens!F18668-Sens!F18670)+(Sens!F18671+Sens!F18673+Sens!F18675-Sens!F18677)</f>
        <v>0</v>
      </c>
      <c r="G18679" s="27" t="n">
        <f aca="false">(Sens!G18658+Sens!G18663+Sens!G18664+Sens!G18666+Sens!G18668-Sens!G18670)+(Sens!G18671+Sens!G18673+Sens!G18675-Sens!G18677)</f>
        <v>0</v>
      </c>
      <c r="H18679" s="27" t="n">
        <f aca="false">(Sens!H18658+Sens!H18663+Sens!H18664+Sens!H18666+Sens!H18668-Sens!H18670)+(Sens!H18671+Sens!H18673+Sens!H18675-Sens!H18677)</f>
        <v>0</v>
      </c>
      <c r="I18679" s="27" t="n">
        <f aca="false">(Sens!I18658+Sens!I18663+Sens!I18664+Sens!I18666+Sens!I18668-Sens!I18670)+(Sens!I18671+Sens!I18673+Sens!I18675-Sens!I18677)</f>
        <v>0</v>
      </c>
      <c r="J18679" s="27" t="n">
        <f aca="false">(Sens!J18658+Sens!J18663+Sens!J18664+Sens!J18666+Sens!J18668-Sens!J18670)+(Sens!J18671+Sens!J18673+Sens!J18675-Sens!J18677)</f>
        <v>0</v>
      </c>
      <c r="K18679" s="27" t="n">
        <f aca="false">(Sens!K18658+Sens!K18663+Sens!K18664+Sens!K18666+Sens!K18668-Sens!K18670)+(Sens!K18671+Sens!K18673+Sens!K18675-Sens!K18677)</f>
        <v>0</v>
      </c>
    </row>
    <row r="18680" customFormat="false" ht="17.15" hidden="false" customHeight="false" outlineLevel="0" collapsed="false">
      <c r="A18680" s="3" t="s">
        <v>1941</v>
      </c>
    </row>
    <row r="18681" customFormat="false" ht="15" hidden="false" customHeight="false" outlineLevel="0" collapsed="false">
      <c r="A18681" s="4" t="s">
        <v>43</v>
      </c>
      <c r="B18681" s="4" t="s">
        <v>65</v>
      </c>
      <c r="C18681" s="23" t="s">
        <v>938</v>
      </c>
      <c r="D18681" s="23" t="s">
        <v>939</v>
      </c>
      <c r="E18681" s="23" t="s">
        <v>940</v>
      </c>
      <c r="F18681" s="23" t="s">
        <v>941</v>
      </c>
      <c r="G18681" s="23" t="s">
        <v>942</v>
      </c>
      <c r="H18681" s="23" t="s">
        <v>943</v>
      </c>
      <c r="I18681" s="23" t="s">
        <v>944</v>
      </c>
      <c r="J18681" s="23" t="s">
        <v>945</v>
      </c>
      <c r="K18681" s="23" t="s">
        <v>946</v>
      </c>
      <c r="L18681" s="4" t="s">
        <v>47</v>
      </c>
    </row>
    <row r="18682" customFormat="false" ht="15" hidden="false" customHeight="false" outlineLevel="0" collapsed="false">
      <c r="A18682" s="0" t="s">
        <v>1025</v>
      </c>
      <c r="B18682" s="0" t="s">
        <v>98</v>
      </c>
      <c r="D18682" s="6" t="n">
        <f aca="false">Sens!D18658</f>
        <v>72.61</v>
      </c>
      <c r="E18682" s="6" t="n">
        <f aca="false">Sens!E18658</f>
        <v>101.938</v>
      </c>
      <c r="F18682" s="6" t="n">
        <f aca="false">Sens!F18658</f>
        <v>143.251883553698</v>
      </c>
      <c r="G18682" s="6" t="n">
        <f aca="false">Sens!G18658</f>
        <v>186.322520879442</v>
      </c>
      <c r="H18682" s="6" t="n">
        <f aca="false">Sens!H18658</f>
        <v>224.74279426379</v>
      </c>
      <c r="I18682" s="6" t="n">
        <f aca="false">Sens!I18658</f>
        <v>266.443497823359</v>
      </c>
      <c r="J18682" s="6" t="n">
        <f aca="false">Sens!J18658</f>
        <v>299.06102493502</v>
      </c>
      <c r="K18682" s="6" t="n">
        <f aca="false">Sens!K18658</f>
        <v>322.592740225023</v>
      </c>
    </row>
    <row r="18683" customFormat="false" ht="17.15" hidden="false" customHeight="false" outlineLevel="0" collapsed="false">
      <c r="A18683" s="0" t="s">
        <v>1021</v>
      </c>
      <c r="B18683" s="0" t="s">
        <v>98</v>
      </c>
      <c r="D18683" s="6" t="n">
        <f aca="false">Sens!D18655</f>
        <v>12.9359794422418</v>
      </c>
      <c r="E18683" s="6" t="n">
        <f aca="false">Sens!E18655</f>
        <v>27.8095064661409</v>
      </c>
      <c r="F18683" s="6" t="n">
        <f aca="false">Sens!F18655</f>
        <v>50.9819294352312</v>
      </c>
      <c r="G18683" s="6" t="n">
        <f aca="false">Sens!G18655</f>
        <v>76.6920436014933</v>
      </c>
      <c r="H18683" s="6" t="n">
        <f aca="false">Sens!H18655</f>
        <v>97.4495379418341</v>
      </c>
      <c r="I18683" s="6" t="n">
        <f aca="false">Sens!I18655</f>
        <v>122.083445553868</v>
      </c>
      <c r="J18683" s="6" t="n">
        <f aca="false">Sens!J18655</f>
        <v>139.249060444804</v>
      </c>
      <c r="K18683" s="6" t="n">
        <f aca="false">Sens!K18655</f>
        <v>149.995818575589</v>
      </c>
    </row>
    <row r="18684" customFormat="false" ht="17.15" hidden="false" customHeight="false" outlineLevel="0" collapsed="false">
      <c r="A18684" s="0" t="s">
        <v>1052</v>
      </c>
      <c r="B18684" s="0" t="s">
        <v>98</v>
      </c>
      <c r="D18684" s="6" t="n">
        <f aca="false">Sens!D18656</f>
        <v>59.6740205577583</v>
      </c>
      <c r="E18684" s="6" t="n">
        <f aca="false">Sens!E18656</f>
        <v>74.1284935338591</v>
      </c>
      <c r="F18684" s="6" t="n">
        <f aca="false">Sens!F18656</f>
        <v>92.2699541184664</v>
      </c>
      <c r="G18684" s="6" t="n">
        <f aca="false">Sens!G18656</f>
        <v>109.630477277949</v>
      </c>
      <c r="H18684" s="6" t="n">
        <f aca="false">Sens!H18656</f>
        <v>127.293256321956</v>
      </c>
      <c r="I18684" s="6" t="n">
        <f aca="false">Sens!I18656</f>
        <v>144.360052269491</v>
      </c>
      <c r="J18684" s="6" t="n">
        <f aca="false">Sens!J18656</f>
        <v>159.811964490216</v>
      </c>
      <c r="K18684" s="6" t="n">
        <f aca="false">Sens!K18656</f>
        <v>172.596921649434</v>
      </c>
    </row>
    <row r="18685" customFormat="false" ht="15" hidden="false" customHeight="false" outlineLevel="0" collapsed="false">
      <c r="A18685" s="0" t="s">
        <v>1032</v>
      </c>
      <c r="B18685" s="0" t="s">
        <v>98</v>
      </c>
      <c r="D18685" s="6" t="n">
        <f aca="false">Sens!D18663</f>
        <v>84.605</v>
      </c>
      <c r="E18685" s="6" t="n">
        <f aca="false">Sens!E18663</f>
        <v>100.299</v>
      </c>
      <c r="F18685" s="6" t="n">
        <f aca="false">Sens!F18663</f>
        <v>117.438354189776</v>
      </c>
      <c r="G18685" s="6" t="n">
        <f aca="false">Sens!G18663</f>
        <v>132.595360443801</v>
      </c>
      <c r="H18685" s="6" t="n">
        <f aca="false">Sens!H18663</f>
        <v>147.833811964563</v>
      </c>
      <c r="I18685" s="6" t="n">
        <f aca="false">Sens!I18663</f>
        <v>162.145665319381</v>
      </c>
      <c r="J18685" s="6" t="n">
        <f aca="false">Sens!J18663</f>
        <v>175.249327755573</v>
      </c>
      <c r="K18685" s="6" t="n">
        <f aca="false">Sens!K18663</f>
        <v>187.599280698463</v>
      </c>
    </row>
    <row r="18686" customFormat="false" ht="17.15" hidden="false" customHeight="false" outlineLevel="0" collapsed="false">
      <c r="A18686" s="0" t="s">
        <v>1053</v>
      </c>
      <c r="B18686" s="0" t="s">
        <v>98</v>
      </c>
      <c r="D18686" s="6" t="n">
        <f aca="false">Sens!D18661</f>
        <v>83.705</v>
      </c>
      <c r="E18686" s="6" t="n">
        <f aca="false">Sens!E18661</f>
        <v>95.049</v>
      </c>
      <c r="F18686" s="6" t="n">
        <f aca="false">Sens!F18661</f>
        <v>106.938354189776</v>
      </c>
      <c r="G18686" s="6" t="n">
        <f aca="false">Sens!G18661</f>
        <v>119.095360443801</v>
      </c>
      <c r="H18686" s="6" t="n">
        <f aca="false">Sens!H18661</f>
        <v>131.333811964563</v>
      </c>
      <c r="I18686" s="6" t="n">
        <f aca="false">Sens!I18661</f>
        <v>143.395665319381</v>
      </c>
      <c r="J18686" s="6" t="n">
        <f aca="false">Sens!J18661</f>
        <v>154.999327755573</v>
      </c>
      <c r="K18686" s="6" t="n">
        <f aca="false">Sens!K18661</f>
        <v>165.849280698463</v>
      </c>
    </row>
    <row r="18687" customFormat="false" ht="17.15" hidden="false" customHeight="false" outlineLevel="0" collapsed="false">
      <c r="A18687" s="0" t="s">
        <v>1054</v>
      </c>
      <c r="B18687" s="0" t="s">
        <v>98</v>
      </c>
      <c r="D18687" s="6" t="n">
        <f aca="false">Sens!D18660</f>
        <v>0.9</v>
      </c>
      <c r="E18687" s="6" t="n">
        <f aca="false">Sens!E18660</f>
        <v>5.25</v>
      </c>
      <c r="F18687" s="6" t="n">
        <f aca="false">Sens!F18660</f>
        <v>10.5</v>
      </c>
      <c r="G18687" s="6" t="n">
        <f aca="false">Sens!G18660</f>
        <v>13.5</v>
      </c>
      <c r="H18687" s="6" t="n">
        <f aca="false">Sens!H18660</f>
        <v>16.5</v>
      </c>
      <c r="I18687" s="6" t="n">
        <f aca="false">Sens!I18660</f>
        <v>18.75</v>
      </c>
      <c r="J18687" s="6" t="n">
        <f aca="false">Sens!J18660</f>
        <v>20.25</v>
      </c>
      <c r="K18687" s="6" t="n">
        <f aca="false">Sens!K18660</f>
        <v>21.75</v>
      </c>
    </row>
    <row r="18688" customFormat="false" ht="15" hidden="false" customHeight="false" outlineLevel="0" collapsed="false">
      <c r="A18688" s="0" t="s">
        <v>1033</v>
      </c>
      <c r="B18688" s="0" t="s">
        <v>98</v>
      </c>
      <c r="D18688" s="6" t="n">
        <f aca="false">Sens!D18664</f>
        <v>35.391</v>
      </c>
      <c r="E18688" s="6" t="n">
        <f aca="false">Sens!E18664</f>
        <v>37.285</v>
      </c>
      <c r="F18688" s="6" t="n">
        <f aca="false">Sens!F18664</f>
        <v>38.3851437782675</v>
      </c>
      <c r="G18688" s="6" t="n">
        <f aca="false">Sens!G18664</f>
        <v>40.0105353288615</v>
      </c>
      <c r="H18688" s="6" t="n">
        <f aca="false">Sens!H18664</f>
        <v>41.4812512033683</v>
      </c>
      <c r="I18688" s="6" t="n">
        <f aca="false">Sens!I18664</f>
        <v>42.7743107216329</v>
      </c>
      <c r="J18688" s="6" t="n">
        <f aca="false">Sens!J18664</f>
        <v>43.8687373064601</v>
      </c>
      <c r="K18688" s="6" t="n">
        <f aca="false">Sens!K18664</f>
        <v>44.7461120525893</v>
      </c>
    </row>
    <row r="18689" customFormat="false" ht="15" hidden="false" customHeight="false" outlineLevel="0" collapsed="false">
      <c r="A18689" s="0" t="s">
        <v>1035</v>
      </c>
      <c r="B18689" s="0" t="s">
        <v>98</v>
      </c>
      <c r="D18689" s="6" t="n">
        <f aca="false">Sens!D18666</f>
        <v>18.417</v>
      </c>
      <c r="E18689" s="6" t="n">
        <f aca="false">Sens!E18666</f>
        <v>20.345</v>
      </c>
      <c r="F18689" s="6" t="n">
        <f aca="false">Sens!F18666</f>
        <v>22.3161797133988</v>
      </c>
      <c r="G18689" s="6" t="n">
        <f aca="false">Sens!G18666</f>
        <v>24.3943499673233</v>
      </c>
      <c r="H18689" s="6" t="n">
        <f aca="false">Sens!H18666</f>
        <v>26.5250243109019</v>
      </c>
      <c r="I18689" s="6" t="n">
        <f aca="false">Sens!I18666</f>
        <v>28.6884573538181</v>
      </c>
      <c r="J18689" s="6" t="n">
        <f aca="false">Sens!J18666</f>
        <v>30.8624968052127</v>
      </c>
      <c r="K18689" s="6" t="n">
        <f aca="false">Sens!K18666</f>
        <v>33.0228715815776</v>
      </c>
    </row>
    <row r="18690" customFormat="false" ht="15" hidden="false" customHeight="false" outlineLevel="0" collapsed="false">
      <c r="A18690" s="0" t="s">
        <v>1036</v>
      </c>
      <c r="B18690" s="0" t="s">
        <v>98</v>
      </c>
      <c r="D18690" s="6" t="n">
        <f aca="false">Sens!D18668</f>
        <v>7.76</v>
      </c>
      <c r="E18690" s="6" t="n">
        <f aca="false">Sens!E18668</f>
        <v>8.26</v>
      </c>
      <c r="F18690" s="6" t="n">
        <f aca="false">Sens!F18668</f>
        <v>8.75372082474227</v>
      </c>
      <c r="G18690" s="6" t="n">
        <f aca="false">Sens!G18668</f>
        <v>9.33399324642364</v>
      </c>
      <c r="H18690" s="6" t="n">
        <f aca="false">Sens!H18668</f>
        <v>9.96139155535851</v>
      </c>
      <c r="I18690" s="6" t="n">
        <f aca="false">Sens!I18668</f>
        <v>10.6402039077391</v>
      </c>
      <c r="J18690" s="6" t="n">
        <f aca="false">Sens!J18668</f>
        <v>11.3751458271397</v>
      </c>
      <c r="K18690" s="6" t="n">
        <f aca="false">Sens!K18668</f>
        <v>12.1714060350394</v>
      </c>
    </row>
    <row r="18691" customFormat="false" ht="15" hidden="false" customHeight="false" outlineLevel="0" collapsed="false">
      <c r="A18691" s="0" t="s">
        <v>852</v>
      </c>
      <c r="B18691" s="0" t="s">
        <v>98</v>
      </c>
      <c r="D18691" s="6" t="n">
        <f aca="false">Sens!D18670</f>
        <v>218.783</v>
      </c>
      <c r="E18691" s="6" t="n">
        <f aca="false">Sens!E18670</f>
        <v>268.127</v>
      </c>
      <c r="F18691" s="6" t="n">
        <f aca="false">Sens!F18670</f>
        <v>330.145282059882</v>
      </c>
      <c r="G18691" s="6" t="n">
        <f aca="false">Sens!G18670</f>
        <v>392.656759865851</v>
      </c>
      <c r="H18691" s="6" t="n">
        <f aca="false">Sens!H18670</f>
        <v>450.544273297982</v>
      </c>
      <c r="I18691" s="6" t="n">
        <f aca="false">Sens!I18670</f>
        <v>510.69213512593</v>
      </c>
      <c r="J18691" s="6" t="n">
        <f aca="false">Sens!J18670</f>
        <v>560.416732629406</v>
      </c>
      <c r="K18691" s="6" t="n">
        <f aca="false">Sens!K18670</f>
        <v>600.132410592692</v>
      </c>
    </row>
    <row r="18692" customFormat="false" ht="15" hidden="false" customHeight="false" outlineLevel="0" collapsed="false">
      <c r="A18692" s="0" t="s">
        <v>1037</v>
      </c>
      <c r="B18692" s="0" t="s">
        <v>98</v>
      </c>
      <c r="D18692" s="6" t="n">
        <f aca="false">Sens!D18671</f>
        <v>22.171</v>
      </c>
      <c r="E18692" s="6" t="n">
        <f aca="false">Sens!E18671</f>
        <v>24.835</v>
      </c>
      <c r="F18692" s="6" t="n">
        <f aca="false">Sens!F18671</f>
        <v>27.5591895660247</v>
      </c>
      <c r="G18692" s="6" t="n">
        <f aca="false">Sens!G18671</f>
        <v>30.4098563144583</v>
      </c>
      <c r="H18692" s="6" t="n">
        <f aca="false">Sens!H18671</f>
        <v>33.3011792571777</v>
      </c>
      <c r="I18692" s="6" t="n">
        <f aca="false">Sens!I18671</f>
        <v>36.189023797112</v>
      </c>
      <c r="J18692" s="6" t="n">
        <f aca="false">Sens!J18671</f>
        <v>39.0247773769199</v>
      </c>
      <c r="K18692" s="6" t="n">
        <f aca="false">Sens!K18671</f>
        <v>41.7565117933043</v>
      </c>
    </row>
    <row r="18693" customFormat="false" ht="15" hidden="false" customHeight="false" outlineLevel="0" collapsed="false">
      <c r="A18693" s="0" t="s">
        <v>1038</v>
      </c>
      <c r="B18693" s="0" t="s">
        <v>98</v>
      </c>
      <c r="D18693" s="6" t="n">
        <f aca="false">Sens!D18673</f>
        <v>23.455</v>
      </c>
      <c r="E18693" s="6" t="n">
        <f aca="false">Sens!E18673</f>
        <v>21.79</v>
      </c>
      <c r="F18693" s="6" t="n">
        <f aca="false">Sens!F18673</f>
        <v>20.7520981041711</v>
      </c>
      <c r="G18693" s="6" t="n">
        <f aca="false">Sens!G18673</f>
        <v>19.9083593495882</v>
      </c>
      <c r="H18693" s="6" t="n">
        <f aca="false">Sens!H18673</f>
        <v>19.4008256265831</v>
      </c>
      <c r="I18693" s="6" t="n">
        <f aca="false">Sens!I18673</f>
        <v>19.200434522122</v>
      </c>
      <c r="J18693" s="6" t="n">
        <f aca="false">Sens!J18673</f>
        <v>19.2932782348507</v>
      </c>
      <c r="K18693" s="6" t="n">
        <f aca="false">Sens!K18673</f>
        <v>19.6791437995477</v>
      </c>
    </row>
    <row r="18694" customFormat="false" ht="15" hidden="false" customHeight="false" outlineLevel="0" collapsed="false">
      <c r="A18694" s="0" t="s">
        <v>1039</v>
      </c>
      <c r="B18694" s="0" t="s">
        <v>98</v>
      </c>
      <c r="D18694" s="6" t="n">
        <f aca="false">Sens!D18675</f>
        <v>17.315</v>
      </c>
      <c r="E18694" s="6" t="n">
        <f aca="false">Sens!E18675</f>
        <v>17.087</v>
      </c>
      <c r="F18694" s="6" t="n">
        <f aca="false">Sens!F18675</f>
        <v>11.6994</v>
      </c>
      <c r="G18694" s="6" t="n">
        <f aca="false">Sens!G18675</f>
        <v>11.6746926329772</v>
      </c>
      <c r="H18694" s="6" t="n">
        <f aca="false">Sens!H18675</f>
        <v>11.7145747045475</v>
      </c>
      <c r="I18694" s="6" t="n">
        <f aca="false">Sens!I18675</f>
        <v>11.8193507447388</v>
      </c>
      <c r="J18694" s="6" t="n">
        <f aca="false">Sens!J18675</f>
        <v>11.9904008346869</v>
      </c>
      <c r="K18694" s="6" t="n">
        <f aca="false">Sens!K18675</f>
        <v>12.2302088513807</v>
      </c>
    </row>
    <row r="18695" customFormat="false" ht="15" hidden="false" customHeight="false" outlineLevel="0" collapsed="false">
      <c r="A18695" s="0" t="s">
        <v>866</v>
      </c>
      <c r="B18695" s="0" t="s">
        <v>98</v>
      </c>
      <c r="D18695" s="6" t="n">
        <f aca="false">Sens!D18677</f>
        <v>62.941</v>
      </c>
      <c r="E18695" s="6" t="n">
        <f aca="false">Sens!E18677</f>
        <v>63.712</v>
      </c>
      <c r="F18695" s="6" t="n">
        <f aca="false">Sens!F18677</f>
        <v>60.0106876701958</v>
      </c>
      <c r="G18695" s="6" t="n">
        <f aca="false">Sens!G18677</f>
        <v>61.9929082970237</v>
      </c>
      <c r="H18695" s="6" t="n">
        <f aca="false">Sens!H18677</f>
        <v>64.4165795883084</v>
      </c>
      <c r="I18695" s="6" t="n">
        <f aca="false">Sens!I18677</f>
        <v>67.2088090639728</v>
      </c>
      <c r="J18695" s="6" t="n">
        <f aca="false">Sens!J18677</f>
        <v>70.3084564464575</v>
      </c>
      <c r="K18695" s="6" t="n">
        <f aca="false">Sens!K18677</f>
        <v>73.6658644442326</v>
      </c>
    </row>
    <row r="18696" customFormat="false" ht="15" hidden="false" customHeight="false" outlineLevel="0" collapsed="false">
      <c r="A18696" s="1" t="s">
        <v>1055</v>
      </c>
      <c r="B18696" s="0" t="s">
        <v>98</v>
      </c>
      <c r="D18696" s="6" t="n">
        <f aca="false">Sens!D18678</f>
        <v>281.724</v>
      </c>
      <c r="E18696" s="6" t="n">
        <f aca="false">Sens!E18678</f>
        <v>331.839</v>
      </c>
      <c r="F18696" s="6" t="n">
        <f aca="false">Sens!F18678</f>
        <v>390.155969730078</v>
      </c>
      <c r="G18696" s="6" t="n">
        <f aca="false">Sens!G18678</f>
        <v>454.649668162875</v>
      </c>
      <c r="H18696" s="6" t="n">
        <f aca="false">Sens!H18678</f>
        <v>514.96085288629</v>
      </c>
      <c r="I18696" s="6" t="n">
        <f aca="false">Sens!I18678</f>
        <v>577.900944189903</v>
      </c>
      <c r="J18696" s="6" t="n">
        <f aca="false">Sens!J18678</f>
        <v>630.725189075863</v>
      </c>
      <c r="K18696" s="6" t="n">
        <f aca="false">Sens!K18678</f>
        <v>673.798275036925</v>
      </c>
    </row>
    <row r="18697" customFormat="false" ht="15" hidden="false" customHeight="false" outlineLevel="0" collapsed="false">
      <c r="A18697" s="1" t="s">
        <v>1056</v>
      </c>
      <c r="B18697" s="0" t="s">
        <v>168</v>
      </c>
      <c r="E18697" s="7" t="n">
        <f aca="false">Sens!E18696/Sens!D18696-1</f>
        <v>0.177886867998467</v>
      </c>
      <c r="F18697" s="7" t="n">
        <f aca="false">Sens!F18696/Sens!E18696-1</f>
        <v>0.175738745988499</v>
      </c>
      <c r="G18697" s="7" t="n">
        <f aca="false">Sens!G18696/Sens!F18696-1</f>
        <v>0.165302349410202</v>
      </c>
      <c r="H18697" s="7" t="n">
        <f aca="false">Sens!H18696/Sens!G18696-1</f>
        <v>0.132654192770266</v>
      </c>
      <c r="I18697" s="7" t="n">
        <f aca="false">Sens!I18696/Sens!H18696-1</f>
        <v>0.122223060162421</v>
      </c>
      <c r="J18697" s="7" t="n">
        <f aca="false">Sens!J18696/Sens!I18696-1</f>
        <v>0.0914070921964125</v>
      </c>
      <c r="K18697" s="7" t="n">
        <f aca="false">Sens!K18696/Sens!J18696-1</f>
        <v>0.0682913679476989</v>
      </c>
    </row>
    <row r="18698" customFormat="false" ht="17.15" hidden="false" customHeight="false" outlineLevel="0" collapsed="false">
      <c r="A18698" s="26" t="s">
        <v>1057</v>
      </c>
      <c r="B18698" s="31" t="s">
        <v>98</v>
      </c>
      <c r="C18698" s="31"/>
      <c r="D18698" s="27" t="n">
        <f aca="false">(Sens!D18691+Sens!D18695-Sens!D18696)+(Sens!D18683+Sens!D18684-Sens!D18682)+(Sens!D18686+Sens!D18687-Sens!D18685)+(Sens!D18696-Q!L18)</f>
        <v>0</v>
      </c>
      <c r="E18698" s="27" t="n">
        <f aca="false">(Sens!E18691+Sens!E18695-Sens!E18696)+(Sens!E18683+Sens!E18684-Sens!E18682)+(Sens!E18686+Sens!E18687-Sens!E18685)+(Sens!E18696-Q!M18)</f>
        <v>0</v>
      </c>
      <c r="F18698" s="27" t="n">
        <f aca="false">(Sens!F18691+Sens!F18695-Sens!F18696)+(Sens!F18683+Sens!F18684-Sens!F18682)+(Sens!F18686+Sens!F18687-Sens!F18685)</f>
        <v>0</v>
      </c>
      <c r="G18698" s="27" t="n">
        <f aca="false">(Sens!G18691+Sens!G18695-Sens!G18696)+(Sens!G18683+Sens!G18684-Sens!G18682)+(Sens!G18686+Sens!G18687-Sens!G18685)</f>
        <v>0</v>
      </c>
      <c r="H18698" s="27" t="n">
        <f aca="false">(Sens!H18691+Sens!H18695-Sens!H18696)+(Sens!H18683+Sens!H18684-Sens!H18682)+(Sens!H18686+Sens!H18687-Sens!H18685)</f>
        <v>0</v>
      </c>
      <c r="I18698" s="27" t="n">
        <f aca="false">(Sens!I18691+Sens!I18695-Sens!I18696)+(Sens!I18683+Sens!I18684-Sens!I18682)+(Sens!I18686+Sens!I18687-Sens!I18685)</f>
        <v>0</v>
      </c>
      <c r="J18698" s="27" t="n">
        <f aca="false">(Sens!J18691+Sens!J18695-Sens!J18696)+(Sens!J18683+Sens!J18684-Sens!J18682)+(Sens!J18686+Sens!J18687-Sens!J18685)</f>
        <v>0</v>
      </c>
      <c r="K18698" s="27" t="n">
        <f aca="false">(Sens!K18691+Sens!K18695-Sens!K18696)+(Sens!K18683+Sens!K18684-Sens!K18682)+(Sens!K18686+Sens!K18687-Sens!K18685)</f>
        <v>0</v>
      </c>
    </row>
    <row r="18699" customFormat="false" ht="17.15" hidden="false" customHeight="false" outlineLevel="0" collapsed="false">
      <c r="A18699" s="0" t="s">
        <v>1058</v>
      </c>
      <c r="B18699" s="0" t="s">
        <v>168</v>
      </c>
      <c r="E18699" s="7" t="n">
        <f aca="false">(Q!M21+Sens!E18635+Sens!E18636+Sens!E18637+Sens!E18651-Sens!E18633)/(Q!M5-Sens!E18633)</f>
        <v>0.570957350878296</v>
      </c>
      <c r="F18699" s="7" t="n">
        <f aca="false">Sens!$E$18699+dm_seg</f>
        <v>0.570957350878296</v>
      </c>
      <c r="G18699" s="7" t="n">
        <f aca="false">Sens!$E$18699+dm_seg</f>
        <v>0.570957350878296</v>
      </c>
      <c r="H18699" s="7" t="n">
        <f aca="false">Sens!$E$18699+dm_seg</f>
        <v>0.570957350878296</v>
      </c>
      <c r="I18699" s="7" t="n">
        <f aca="false">Sens!$E$18699+dm_seg</f>
        <v>0.570957350878296</v>
      </c>
      <c r="J18699" s="7" t="n">
        <f aca="false">Sens!$E$18699+dm_seg</f>
        <v>0.570957350878296</v>
      </c>
      <c r="K18699" s="7" t="n">
        <f aca="false">Sens!$E$18699+dm_seg</f>
        <v>0.570957350878296</v>
      </c>
      <c r="L18699" s="12" t="s">
        <v>1059</v>
      </c>
    </row>
    <row r="18700" customFormat="false" ht="17.15" hidden="false" customHeight="false" outlineLevel="0" collapsed="false">
      <c r="A18700" s="0" t="s">
        <v>880</v>
      </c>
      <c r="B18700" s="0" t="s">
        <v>98</v>
      </c>
      <c r="D18700" s="6" t="n">
        <f aca="false">Q!L21</f>
        <v>110.814</v>
      </c>
      <c r="E18700" s="6" t="n">
        <f aca="false">Q!M21</f>
        <v>136.365</v>
      </c>
      <c r="F18700" s="6" t="n">
        <f aca="false">Q!$I$21+(Sens!F18699*(Sens!F18670-Sens!F18633)+Sens!F18633-(Sens!F18635+Sens!F18636+Sens!F18637)-Sens!F18651-Sens!F18734)*(Sens!F18670-Q!$I$5)/Sens!F18670</f>
        <v>158.106489928698</v>
      </c>
      <c r="G18700" s="6" t="n">
        <f aca="false">(Sens!G18699*(Sens!G18670-Sens!G18633)+Sens!G18633-(Sens!G18635+Sens!G18636+Sens!G18637)-Sens!G18651-Sens!G18734)</f>
        <v>161.284346514706</v>
      </c>
      <c r="H18700" s="6" t="n">
        <f aca="false">(Sens!H18699*(Sens!H18670-Sens!H18633)+Sens!H18633-(Sens!H18635+Sens!H18636+Sens!H18637)-Sens!H18651-Sens!H18734)</f>
        <v>162.746497097968</v>
      </c>
      <c r="I18700" s="6" t="n">
        <f aca="false">(Sens!I18699*(Sens!I18670-Sens!I18633)+Sens!I18633-(Sens!I18635+Sens!I18636+Sens!I18637)-Sens!I18651-Sens!I18734)</f>
        <v>172.027583270358</v>
      </c>
      <c r="J18700" s="6" t="n">
        <f aca="false">(Sens!J18699*(Sens!J18670-Sens!J18633)+Sens!J18633-(Sens!J18635+Sens!J18636+Sens!J18637)-Sens!J18651-Sens!J18734)</f>
        <v>182.852134505809</v>
      </c>
      <c r="K18700" s="6" t="n">
        <f aca="false">(Sens!K18699*(Sens!K18670-Sens!K18633)+Sens!K18633-(Sens!K18635+Sens!K18636+Sens!K18637)-Sens!K18651-Sens!K18734)</f>
        <v>195.085523763005</v>
      </c>
      <c r="L18700" s="1" t="s">
        <v>1060</v>
      </c>
    </row>
    <row r="18701" customFormat="false" ht="17.15" hidden="false" customHeight="false" outlineLevel="0" collapsed="false">
      <c r="A18701" s="0" t="s">
        <v>1061</v>
      </c>
      <c r="B18701" s="0" t="s">
        <v>168</v>
      </c>
      <c r="E18701" s="7" t="n">
        <f aca="false">Q!M22/Q!M12</f>
        <v>0.296207935710698</v>
      </c>
      <c r="F18701" s="7" t="n">
        <f aca="false">Sens!$E$18701+dm_seg</f>
        <v>0.296207935710698</v>
      </c>
      <c r="G18701" s="7" t="n">
        <f aca="false">Sens!$E$18701+dm_seg</f>
        <v>0.296207935710698</v>
      </c>
      <c r="H18701" s="7" t="n">
        <f aca="false">Sens!$E$18701+dm_seg</f>
        <v>0.296207935710698</v>
      </c>
      <c r="I18701" s="7" t="n">
        <f aca="false">Sens!$E$18701+dm_seg</f>
        <v>0.296207935710698</v>
      </c>
      <c r="J18701" s="7" t="n">
        <f aca="false">Sens!$E$18701+dm_seg</f>
        <v>0.296207935710698</v>
      </c>
      <c r="K18701" s="7" t="n">
        <f aca="false">Sens!$E$18701+dm_seg</f>
        <v>0.296207935710698</v>
      </c>
      <c r="L18701" s="12" t="s">
        <v>1062</v>
      </c>
    </row>
    <row r="18702" customFormat="false" ht="17.15" hidden="false" customHeight="false" outlineLevel="0" collapsed="false">
      <c r="A18702" s="0" t="s">
        <v>882</v>
      </c>
      <c r="B18702" s="0" t="s">
        <v>98</v>
      </c>
      <c r="D18702" s="6" t="n">
        <f aca="false">Q!L22</f>
        <v>17.714</v>
      </c>
      <c r="E18702" s="6" t="n">
        <f aca="false">Q!M22</f>
        <v>18.872</v>
      </c>
      <c r="F18702" s="6" t="n">
        <f aca="false">Q!$I$22+(Sens!F18677-Q!$I$12)*Sens!F18701</f>
        <v>18.5461582388237</v>
      </c>
      <c r="G18702" s="6" t="n">
        <f aca="false">Sens!G18677*Sens!G18701</f>
        <v>18.362791395364</v>
      </c>
      <c r="H18702" s="6" t="n">
        <f aca="false">Sens!H18677*Sens!H18701</f>
        <v>19.0807020653967</v>
      </c>
      <c r="I18702" s="6" t="n">
        <f aca="false">Sens!I18677*Sens!I18701</f>
        <v>19.9077825944138</v>
      </c>
      <c r="J18702" s="6" t="n">
        <f aca="false">Sens!J18677*Sens!J18701</f>
        <v>20.8259227470107</v>
      </c>
      <c r="K18702" s="6" t="n">
        <f aca="false">Sens!K18677*Sens!K18701</f>
        <v>21.8204136393703</v>
      </c>
      <c r="L18702" s="12" t="s">
        <v>1063</v>
      </c>
    </row>
    <row r="18703" customFormat="false" ht="15" hidden="false" customHeight="false" outlineLevel="0" collapsed="false">
      <c r="A18703" s="1" t="s">
        <v>1064</v>
      </c>
      <c r="B18703" s="0" t="s">
        <v>98</v>
      </c>
      <c r="D18703" s="6" t="n">
        <f aca="false">Sens!D18700+Sens!D18702</f>
        <v>128.528</v>
      </c>
      <c r="E18703" s="6" t="n">
        <f aca="false">Sens!E18700+Sens!E18702</f>
        <v>155.237</v>
      </c>
      <c r="F18703" s="6" t="n">
        <f aca="false">Sens!F18700+Sens!F18702</f>
        <v>176.652648167522</v>
      </c>
      <c r="G18703" s="6" t="n">
        <f aca="false">Sens!G18700+Sens!G18702</f>
        <v>179.64713791007</v>
      </c>
      <c r="H18703" s="6" t="n">
        <f aca="false">Sens!H18700+Sens!H18702</f>
        <v>181.827199163364</v>
      </c>
      <c r="I18703" s="6" t="n">
        <f aca="false">Sens!I18700+Sens!I18702</f>
        <v>191.935365864772</v>
      </c>
      <c r="J18703" s="6" t="n">
        <f aca="false">Sens!J18700+Sens!J18702</f>
        <v>203.67805725282</v>
      </c>
      <c r="K18703" s="6" t="n">
        <f aca="false">Sens!K18700+Sens!K18702</f>
        <v>216.905937402375</v>
      </c>
    </row>
    <row r="18704" customFormat="false" ht="15" hidden="false" customHeight="false" outlineLevel="0" collapsed="false">
      <c r="A18704" s="26" t="s">
        <v>1065</v>
      </c>
      <c r="B18704" s="31" t="s">
        <v>98</v>
      </c>
      <c r="C18704" s="31"/>
      <c r="D18704" s="27" t="n">
        <f aca="false">Sens!D18703-Q!L23</f>
        <v>0</v>
      </c>
      <c r="E18704" s="27" t="n">
        <f aca="false">Sens!E18703-Q!M23</f>
        <v>0</v>
      </c>
      <c r="F18704" s="31"/>
      <c r="G18704" s="31"/>
      <c r="H18704" s="31"/>
      <c r="I18704" s="31"/>
      <c r="J18704" s="31"/>
      <c r="K18704" s="31"/>
    </row>
    <row r="18705" customFormat="false" ht="15" hidden="false" customHeight="false" outlineLevel="0" collapsed="false">
      <c r="A18705" s="1" t="s">
        <v>1066</v>
      </c>
      <c r="B18705" s="0" t="s">
        <v>168</v>
      </c>
      <c r="D18705" s="7" t="n">
        <f aca="false">Sens!D18703/Sens!D18696</f>
        <v>0.456219562408598</v>
      </c>
      <c r="E18705" s="7" t="n">
        <f aca="false">Sens!E18703/Sens!E18696</f>
        <v>0.467808184089272</v>
      </c>
      <c r="F18705" s="7" t="n">
        <f aca="false">Sens!F18703/Sens!F18696</f>
        <v>0.452774433490626</v>
      </c>
      <c r="G18705" s="7" t="n">
        <f aca="false">Sens!G18703/Sens!G18696</f>
        <v>0.395133111250204</v>
      </c>
      <c r="H18705" s="7" t="n">
        <f aca="false">Sens!H18703/Sens!H18696</f>
        <v>0.353089362316079</v>
      </c>
      <c r="I18705" s="7" t="n">
        <f aca="false">Sens!I18703/Sens!I18696</f>
        <v>0.332125025567878</v>
      </c>
      <c r="J18705" s="7" t="n">
        <f aca="false">Sens!J18703/Sens!J18696</f>
        <v>0.322926784565634</v>
      </c>
      <c r="K18705" s="7" t="n">
        <f aca="false">Sens!K18703/Sens!K18696</f>
        <v>0.321915245910192</v>
      </c>
    </row>
    <row r="18706" customFormat="false" ht="17.15" hidden="false" customHeight="false" outlineLevel="0" collapsed="false">
      <c r="A18706" s="1" t="s">
        <v>1067</v>
      </c>
      <c r="B18706" s="0" t="s">
        <v>98</v>
      </c>
      <c r="F18706" s="6" t="n">
        <f aca="false">Sens!F18721</f>
        <v>10.5962787979473</v>
      </c>
      <c r="G18706" s="6" t="n">
        <f aca="false">Sens!G18721</f>
        <v>27.844646674932</v>
      </c>
      <c r="H18706" s="6" t="n">
        <f aca="false">Sens!H18721</f>
        <v>46.566205501382</v>
      </c>
      <c r="I18706" s="6" t="n">
        <f aca="false">Sens!I18721</f>
        <v>63.2717778126444</v>
      </c>
      <c r="J18706" s="6" t="n">
        <f aca="false">Sens!J18721</f>
        <v>74.9061222882009</v>
      </c>
      <c r="K18706" s="6" t="n">
        <f aca="false">Sens!K18721</f>
        <v>81.6395437180232</v>
      </c>
      <c r="L18706" s="1" t="s">
        <v>1068</v>
      </c>
    </row>
    <row r="18707" customFormat="false" ht="17.15" hidden="false" customHeight="false" outlineLevel="0" collapsed="false">
      <c r="A18707" s="1" t="s">
        <v>1069</v>
      </c>
      <c r="B18707" s="0" t="s">
        <v>98</v>
      </c>
      <c r="D18707" s="6" t="n">
        <f aca="false">Sens!D18703</f>
        <v>128.528</v>
      </c>
      <c r="E18707" s="6" t="n">
        <f aca="false">Sens!E18703</f>
        <v>155.237</v>
      </c>
      <c r="F18707" s="6" t="n">
        <f aca="false">Sens!F18703+Sens!F18706</f>
        <v>187.248926965469</v>
      </c>
      <c r="G18707" s="6" t="n">
        <f aca="false">Sens!G18703+Sens!G18706</f>
        <v>207.491784585002</v>
      </c>
      <c r="H18707" s="6" t="n">
        <f aca="false">Sens!H18703+Sens!H18706</f>
        <v>228.393404664746</v>
      </c>
      <c r="I18707" s="6" t="n">
        <f aca="false">Sens!I18703+Sens!I18706</f>
        <v>255.207143677417</v>
      </c>
      <c r="J18707" s="6" t="n">
        <f aca="false">Sens!J18703+Sens!J18706</f>
        <v>278.584179541021</v>
      </c>
      <c r="K18707" s="6" t="n">
        <f aca="false">Sens!K18703+Sens!K18706</f>
        <v>298.545481120398</v>
      </c>
    </row>
    <row r="18708" customFormat="false" ht="17.15" hidden="false" customHeight="false" outlineLevel="0" collapsed="false">
      <c r="A18708" s="1" t="s">
        <v>1070</v>
      </c>
      <c r="B18708" s="0" t="s">
        <v>98</v>
      </c>
      <c r="E18708" s="6" t="n">
        <f aca="false">Sens!E18651</f>
        <v>16.3054059770833</v>
      </c>
      <c r="F18708" s="6" t="n">
        <f aca="false">Sens!F18651</f>
        <v>34.5793144783516</v>
      </c>
      <c r="G18708" s="6" t="n">
        <f aca="false">Sens!G18651</f>
        <v>60.7344906522989</v>
      </c>
      <c r="H18708" s="6" t="n">
        <f aca="false">Sens!H18651</f>
        <v>89.1000906614457</v>
      </c>
      <c r="I18708" s="6" t="n">
        <f aca="false">Sens!I18651</f>
        <v>114.231009694548</v>
      </c>
      <c r="J18708" s="6" t="n">
        <f aca="false">Sens!J18651</f>
        <v>132.015673049596</v>
      </c>
      <c r="K18708" s="6" t="n">
        <f aca="false">Sens!K18651</f>
        <v>143.012669550934</v>
      </c>
    </row>
    <row r="18709" customFormat="false" ht="17.15" hidden="false" customHeight="false" outlineLevel="0" collapsed="false">
      <c r="A18709" s="1" t="s">
        <v>1071</v>
      </c>
      <c r="B18709" s="0" t="s">
        <v>98</v>
      </c>
      <c r="E18709" s="6" t="n">
        <f aca="false">Sens!E18733</f>
        <v>22.2285940229167</v>
      </c>
      <c r="F18709" s="6" t="n">
        <f aca="false">Sens!F18733</f>
        <v>23.580344216413</v>
      </c>
      <c r="G18709" s="6" t="n">
        <f aca="false">Sens!G18733</f>
        <v>25.3275637379585</v>
      </c>
      <c r="H18709" s="6" t="n">
        <f aca="false">Sens!H18733</f>
        <v>27.4441608270363</v>
      </c>
      <c r="I18709" s="6" t="n">
        <f aca="false">Sens!I18733</f>
        <v>29.8731659168448</v>
      </c>
      <c r="J18709" s="6" t="n">
        <f aca="false">Sens!J18733</f>
        <v>32.5395568365191</v>
      </c>
      <c r="K18709" s="6" t="n">
        <f aca="false">Sens!K18733</f>
        <v>35.3587761573279</v>
      </c>
    </row>
    <row r="18710" customFormat="false" ht="17.15" hidden="false" customHeight="false" outlineLevel="0" collapsed="false">
      <c r="A18710" s="1" t="s">
        <v>1072</v>
      </c>
      <c r="B18710" s="0" t="s">
        <v>98</v>
      </c>
      <c r="D18710" s="6" t="n">
        <f aca="false">Q!L27</f>
        <v>-4.901</v>
      </c>
      <c r="E18710" s="6" t="n">
        <f aca="false">Q!M27</f>
        <v>10.697</v>
      </c>
      <c r="F18710" s="6" t="n">
        <f aca="false">Q!$I$27+oie_f*(q_per_yr-1)/q_per_yr</f>
        <v>-0.862</v>
      </c>
      <c r="G18710" s="6" t="n">
        <f aca="false">oie_f</f>
        <v>-1.2</v>
      </c>
      <c r="H18710" s="6" t="n">
        <f aca="false">oie_f</f>
        <v>-1.2</v>
      </c>
      <c r="I18710" s="6" t="n">
        <f aca="false">oie_f</f>
        <v>-1.2</v>
      </c>
      <c r="J18710" s="6" t="n">
        <f aca="false">oie_f</f>
        <v>-1.2</v>
      </c>
      <c r="K18710" s="6" t="n">
        <f aca="false">oie_f</f>
        <v>-1.2</v>
      </c>
      <c r="L18710" s="12" t="s">
        <v>1073</v>
      </c>
    </row>
    <row r="18711" customFormat="false" ht="15" hidden="false" customHeight="false" outlineLevel="0" collapsed="false">
      <c r="A18711" s="1" t="s">
        <v>1074</v>
      </c>
      <c r="B18711" s="0" t="s">
        <v>98</v>
      </c>
      <c r="D18711" s="6" t="n">
        <f aca="false">Sens!D18703+Sens!D18710</f>
        <v>123.627</v>
      </c>
      <c r="E18711" s="6" t="n">
        <f aca="false">Sens!E18703+Sens!E18710</f>
        <v>165.934</v>
      </c>
      <c r="F18711" s="6" t="n">
        <f aca="false">Sens!F18703+Sens!F18710</f>
        <v>175.790648167522</v>
      </c>
      <c r="G18711" s="6" t="n">
        <f aca="false">Sens!G18703+Sens!G18710</f>
        <v>178.44713791007</v>
      </c>
      <c r="H18711" s="6" t="n">
        <f aca="false">Sens!H18703+Sens!H18710</f>
        <v>180.627199163364</v>
      </c>
      <c r="I18711" s="6" t="n">
        <f aca="false">Sens!I18703+Sens!I18710</f>
        <v>190.735365864772</v>
      </c>
      <c r="J18711" s="6" t="n">
        <f aca="false">Sens!J18703+Sens!J18710</f>
        <v>202.47805725282</v>
      </c>
      <c r="K18711" s="6" t="n">
        <f aca="false">Sens!K18703+Sens!K18710</f>
        <v>215.705937402375</v>
      </c>
    </row>
    <row r="18712" customFormat="false" ht="15" hidden="false" customHeight="false" outlineLevel="0" collapsed="false">
      <c r="A18712" s="1" t="s">
        <v>1075</v>
      </c>
      <c r="B18712" s="0" t="s">
        <v>98</v>
      </c>
      <c r="D18712" s="6" t="n">
        <f aca="false">Q!L29</f>
        <v>21.795</v>
      </c>
      <c r="E18712" s="6" t="n">
        <f aca="false">Q!M29</f>
        <v>32.185</v>
      </c>
      <c r="F18712" s="6" t="n">
        <f aca="false">Q!$I$29+(Sens!F18711-Q!$I$28)*tax_f</f>
        <v>35.2915296335044</v>
      </c>
      <c r="G18712" s="6" t="n">
        <f aca="false">Sens!G18711*tax_f</f>
        <v>35.6894275820139</v>
      </c>
      <c r="H18712" s="6" t="n">
        <f aca="false">Sens!H18711*tax_f</f>
        <v>36.1254398326729</v>
      </c>
      <c r="I18712" s="6" t="n">
        <f aca="false">Sens!I18711*tax_f</f>
        <v>38.1470731729545</v>
      </c>
      <c r="J18712" s="6" t="n">
        <f aca="false">Sens!J18711*tax_f</f>
        <v>40.495611450564</v>
      </c>
      <c r="K18712" s="6" t="n">
        <f aca="false">Sens!K18711*tax_f</f>
        <v>43.141187480475</v>
      </c>
    </row>
    <row r="18713" customFormat="false" ht="15" hidden="false" customHeight="false" outlineLevel="0" collapsed="false">
      <c r="A18713" s="1" t="s">
        <v>1076</v>
      </c>
      <c r="B18713" s="0" t="s">
        <v>98</v>
      </c>
      <c r="D18713" s="6" t="n">
        <f aca="false">Sens!D18711-Sens!D18712</f>
        <v>101.832</v>
      </c>
      <c r="E18713" s="6" t="n">
        <f aca="false">Sens!E18711-Sens!E18712</f>
        <v>133.749</v>
      </c>
      <c r="F18713" s="6" t="n">
        <f aca="false">Sens!F18711-Sens!F18712</f>
        <v>140.499118534018</v>
      </c>
      <c r="G18713" s="6" t="n">
        <f aca="false">Sens!G18711-Sens!G18712</f>
        <v>142.757710328056</v>
      </c>
      <c r="H18713" s="6" t="n">
        <f aca="false">Sens!H18711-Sens!H18712</f>
        <v>144.501759330691</v>
      </c>
      <c r="I18713" s="6" t="n">
        <f aca="false">Sens!I18711-Sens!I18712</f>
        <v>152.588292691818</v>
      </c>
      <c r="J18713" s="6" t="n">
        <f aca="false">Sens!J18711-Sens!J18712</f>
        <v>161.982445802256</v>
      </c>
      <c r="K18713" s="6" t="n">
        <f aca="false">Sens!K18711-Sens!K18712</f>
        <v>172.5647499219</v>
      </c>
    </row>
    <row r="18714" customFormat="false" ht="17.15" hidden="false" customHeight="false" outlineLevel="0" collapsed="false">
      <c r="A18714" s="1" t="s">
        <v>1077</v>
      </c>
      <c r="B18714" s="1" t="s">
        <v>81</v>
      </c>
      <c r="D18714" s="15" t="n">
        <f aca="false">Q!L31</f>
        <v>7.465</v>
      </c>
      <c r="E18714" s="15" t="n">
        <f aca="false">Q!M31</f>
        <v>7.453</v>
      </c>
      <c r="F18714" s="15" t="n">
        <f aca="false">Sens!F18758</f>
        <v>7.4735</v>
      </c>
      <c r="G18714" s="15" t="n">
        <f aca="false">Sens!G18758</f>
        <v>7.5185</v>
      </c>
      <c r="H18714" s="15" t="n">
        <f aca="false">Sens!H18758</f>
        <v>7.5635</v>
      </c>
      <c r="I18714" s="15" t="n">
        <f aca="false">Sens!I18758</f>
        <v>7.59248142502667</v>
      </c>
      <c r="J18714" s="15" t="n">
        <f aca="false">Sens!J18758</f>
        <v>7.60663083618914</v>
      </c>
      <c r="K18714" s="15" t="n">
        <f aca="false">Sens!K18758</f>
        <v>7.62306547615439</v>
      </c>
    </row>
    <row r="18715" customFormat="false" ht="17.15" hidden="false" customHeight="false" outlineLevel="0" collapsed="false">
      <c r="A18715" s="0" t="s">
        <v>1078</v>
      </c>
      <c r="B18715" s="0" t="s">
        <v>75</v>
      </c>
      <c r="D18715" s="8" t="n">
        <f aca="false">Sens!D18713/Sens!D18714</f>
        <v>13.641259209645</v>
      </c>
      <c r="E18715" s="8" t="n">
        <f aca="false">Sens!E18713/Sens!E18714</f>
        <v>17.9456594659869</v>
      </c>
      <c r="F18715" s="8" t="n">
        <f aca="false">Sens!F18713/Sens!F18714</f>
        <v>18.7996412034545</v>
      </c>
      <c r="G18715" s="8" t="n">
        <f aca="false">Sens!G18713/Sens!G18714</f>
        <v>18.9875254808879</v>
      </c>
      <c r="H18715" s="8" t="n">
        <f aca="false">Sens!H18713/Sens!H18714</f>
        <v>19.105144355218</v>
      </c>
      <c r="I18715" s="8" t="n">
        <f aca="false">Sens!I18713/Sens!I18714</f>
        <v>20.0972889033155</v>
      </c>
      <c r="J18715" s="8" t="n">
        <f aca="false">Sens!J18713/Sens!J18714</f>
        <v>21.2949003692426</v>
      </c>
      <c r="K18715" s="8" t="n">
        <f aca="false">Sens!K18713/Sens!K18714</f>
        <v>22.6371858488816</v>
      </c>
      <c r="L18715" s="1" t="s">
        <v>1079</v>
      </c>
    </row>
    <row r="18716" customFormat="false" ht="17.15" hidden="false" customHeight="false" outlineLevel="0" collapsed="false">
      <c r="A18716" s="1" t="s">
        <v>1080</v>
      </c>
      <c r="B18716" s="0" t="s">
        <v>98</v>
      </c>
      <c r="D18716" s="6" t="n">
        <f aca="false">Sens!D18713</f>
        <v>101.832</v>
      </c>
      <c r="E18716" s="6" t="n">
        <f aca="false">Sens!E18713</f>
        <v>133.749</v>
      </c>
      <c r="F18716" s="6" t="n">
        <f aca="false">Sens!F18713+Sens!F18706*(1-tax_f)</f>
        <v>148.976141572375</v>
      </c>
      <c r="G18716" s="6" t="n">
        <f aca="false">Sens!G18713+Sens!G18706*(1-tax_f)</f>
        <v>165.033427668001</v>
      </c>
      <c r="H18716" s="6" t="n">
        <f aca="false">Sens!H18713+Sens!H18706*(1-tax_f)</f>
        <v>181.754723731797</v>
      </c>
      <c r="I18716" s="6" t="n">
        <f aca="false">Sens!I18713+Sens!I18706*(1-tax_f)</f>
        <v>203.205714941933</v>
      </c>
      <c r="J18716" s="6" t="n">
        <f aca="false">Sens!J18713+Sens!J18706*(1-tax_f)</f>
        <v>221.907343632817</v>
      </c>
      <c r="K18716" s="6" t="n">
        <f aca="false">Sens!K18713+Sens!K18706*(1-tax_f)</f>
        <v>237.876384896318</v>
      </c>
    </row>
    <row r="18717" customFormat="false" ht="17.15" hidden="false" customHeight="false" outlineLevel="0" collapsed="false">
      <c r="A18717" s="0" t="s">
        <v>1081</v>
      </c>
      <c r="B18717" s="0" t="s">
        <v>75</v>
      </c>
      <c r="D18717" s="8" t="n">
        <f aca="false">Sens!D18716/Sens!D18714</f>
        <v>13.641259209645</v>
      </c>
      <c r="E18717" s="8" t="n">
        <f aca="false">Sens!E18716/Sens!E18714</f>
        <v>17.9456594659869</v>
      </c>
      <c r="F18717" s="8" t="n">
        <f aca="false">Sens!F18716/Sens!F18714</f>
        <v>19.9339187224694</v>
      </c>
      <c r="G18717" s="8" t="n">
        <f aca="false">Sens!G18716/Sens!G18714</f>
        <v>21.9503129172044</v>
      </c>
      <c r="H18717" s="8" t="n">
        <f aca="false">Sens!H18716/Sens!H18714</f>
        <v>24.0305048895084</v>
      </c>
      <c r="I18717" s="8" t="n">
        <f aca="false">Sens!I18716/Sens!I18714</f>
        <v>26.7640713972797</v>
      </c>
      <c r="J18717" s="8" t="n">
        <f aca="false">Sens!J18716/Sens!J18714</f>
        <v>29.172881977797</v>
      </c>
      <c r="K18717" s="8" t="n">
        <f aca="false">Sens!K18716/Sens!K18714</f>
        <v>31.2048198510712</v>
      </c>
      <c r="L18717" s="1" t="s">
        <v>1082</v>
      </c>
    </row>
    <row r="18718" customFormat="false" ht="17.15" hidden="false" customHeight="false" outlineLevel="0" collapsed="false">
      <c r="A18718" s="0" t="s">
        <v>1083</v>
      </c>
      <c r="B18718" s="0" t="s">
        <v>168</v>
      </c>
      <c r="E18718" s="7" t="n">
        <f aca="false">Sens!E18717/Sens!D18717-1</f>
        <v>0.315542736208578</v>
      </c>
      <c r="F18718" s="7" t="n">
        <f aca="false">Sens!F18717/Sens!E18717-1</f>
        <v>0.110793323602904</v>
      </c>
      <c r="G18718" s="7" t="n">
        <f aca="false">Sens!G18717/Sens!F18717-1</f>
        <v>0.101153928778794</v>
      </c>
      <c r="H18718" s="7" t="n">
        <f aca="false">Sens!H18717/Sens!G18717-1</f>
        <v>0.0947682149293465</v>
      </c>
      <c r="I18718" s="7" t="n">
        <f aca="false">Sens!I18717/Sens!H18717-1</f>
        <v>0.113754018916377</v>
      </c>
      <c r="J18718" s="7" t="n">
        <f aca="false">Sens!J18717/Sens!I18717-1</f>
        <v>0.0900016497774756</v>
      </c>
      <c r="K18718" s="7" t="n">
        <f aca="false">Sens!K18717/Sens!J18717-1</f>
        <v>0.0696515988657116</v>
      </c>
    </row>
    <row r="18719" customFormat="false" ht="17.15" hidden="false" customHeight="false" outlineLevel="0" collapsed="false">
      <c r="A18719" s="0" t="s">
        <v>1003</v>
      </c>
      <c r="B18719" s="0" t="s">
        <v>98</v>
      </c>
      <c r="E18719" s="6" t="n">
        <f aca="false">Sens!E18660</f>
        <v>5.25</v>
      </c>
      <c r="F18719" s="6" t="n">
        <f aca="false">Sens!F18660</f>
        <v>10.5</v>
      </c>
      <c r="G18719" s="6" t="n">
        <f aca="false">Sens!G18660</f>
        <v>13.5</v>
      </c>
      <c r="H18719" s="6" t="n">
        <f aca="false">Sens!H18660</f>
        <v>16.5</v>
      </c>
      <c r="I18719" s="6" t="n">
        <f aca="false">Sens!I18660</f>
        <v>18.75</v>
      </c>
      <c r="J18719" s="6" t="n">
        <f aca="false">Sens!J18660</f>
        <v>20.25</v>
      </c>
      <c r="K18719" s="6" t="n">
        <f aca="false">Sens!K18660</f>
        <v>21.75</v>
      </c>
    </row>
    <row r="18720" customFormat="false" ht="17.15" hidden="false" customHeight="false" outlineLevel="0" collapsed="false">
      <c r="A18720" s="1" t="s">
        <v>1004</v>
      </c>
      <c r="B18720" s="0" t="s">
        <v>98</v>
      </c>
      <c r="F18720" s="6" t="n">
        <f aca="false">MAX(0,((Sens!E18620+Sens!F18620)/2-(shadow_base*(Sens!$D$18620+Sens!$E$18620)/2+(1-shadow_base)*Sens!$E$18620))*Sens!F18629/1000-(Sens!F18719-Sens!$E$18719)*Sens!F18699)</f>
        <v>10.5962787979473</v>
      </c>
      <c r="G18720" s="6" t="n">
        <f aca="false">MAX(0,((Sens!F18620+Sens!G18620)/2-(shadow_base*(Sens!$D$18620+Sens!$E$18620)/2+(1-shadow_base)*Sens!$E$18620))*Sens!G18629/1000-(Sens!G18719-Sens!$E$18719)*Sens!G18699)</f>
        <v>27.844646674932</v>
      </c>
      <c r="H18720" s="6" t="n">
        <f aca="false">MAX(0,((Sens!G18620+Sens!H18620)/2-(shadow_base*(Sens!$D$18620+Sens!$E$18620)/2+(1-shadow_base)*Sens!$E$18620))*Sens!H18629/1000-(Sens!H18719-Sens!$E$18719)*Sens!H18699)</f>
        <v>46.566205501382</v>
      </c>
      <c r="I18720" s="6" t="n">
        <f aca="false">MAX(0,((Sens!H18620+Sens!I18620)/2-(shadow_base*(Sens!$D$18620+Sens!$E$18620)/2+(1-shadow_base)*Sens!$E$18620))*Sens!I18629/1000-(Sens!I18719-Sens!$E$18719)*Sens!I18699)</f>
        <v>63.2717778126444</v>
      </c>
      <c r="J18720" s="6" t="n">
        <f aca="false">MAX(0,((Sens!I18620+Sens!J18620)/2-(shadow_base*(Sens!$D$18620+Sens!$E$18620)/2+(1-shadow_base)*Sens!$E$18620))*Sens!J18629/1000-(Sens!J18719-Sens!$E$18719)*Sens!J18699)</f>
        <v>74.9061222882009</v>
      </c>
      <c r="K18720" s="6" t="n">
        <f aca="false">MAX(0,((Sens!J18620+Sens!K18620)/2-(shadow_base*(Sens!$D$18620+Sens!$E$18620)/2+(1-shadow_base)*Sens!$E$18620))*Sens!K18629/1000-(Sens!K18719-Sens!$E$18719)*Sens!K18699)</f>
        <v>81.6395437180232</v>
      </c>
      <c r="L18720" s="1" t="s">
        <v>1005</v>
      </c>
    </row>
    <row r="18721" customFormat="false" ht="17.15" hidden="false" customHeight="false" outlineLevel="0" collapsed="false">
      <c r="A18721" s="1" t="s">
        <v>1006</v>
      </c>
      <c r="B18721" s="0" t="s">
        <v>98</v>
      </c>
      <c r="F18721" s="6" t="n">
        <f aca="false">IF(internal_ai_reading=2,1,0)*Sens!F18720</f>
        <v>10.5962787979473</v>
      </c>
      <c r="G18721" s="6" t="n">
        <f aca="false">IF(internal_ai_reading=2,1,0)*Sens!G18720</f>
        <v>27.844646674932</v>
      </c>
      <c r="H18721" s="6" t="n">
        <f aca="false">IF(internal_ai_reading=2,1,0)*Sens!H18720</f>
        <v>46.566205501382</v>
      </c>
      <c r="I18721" s="6" t="n">
        <f aca="false">IF(internal_ai_reading=2,1,0)*Sens!I18720</f>
        <v>63.2717778126444</v>
      </c>
      <c r="J18721" s="6" t="n">
        <f aca="false">IF(internal_ai_reading=2,1,0)*Sens!J18720</f>
        <v>74.9061222882009</v>
      </c>
      <c r="K18721" s="6" t="n">
        <f aca="false">IF(internal_ai_reading=2,1,0)*Sens!K18720</f>
        <v>81.6395437180232</v>
      </c>
    </row>
    <row r="18722" customFormat="false" ht="17.15" hidden="false" customHeight="false" outlineLevel="0" collapsed="false">
      <c r="A18722" s="0" t="s">
        <v>1007</v>
      </c>
      <c r="B18722" s="0" t="s">
        <v>98</v>
      </c>
      <c r="F18722" s="6" t="n">
        <f aca="false">Sens!F18639+Sens!F18719*Sens!F18699+Sens!F18721-Sens!F18640-Sens!F18651</f>
        <v>10.3853806853618</v>
      </c>
      <c r="G18722" s="6" t="n">
        <f aca="false">Sens!G18639+Sens!G18719*Sens!G18699+Sens!G18721-Sens!G18640-Sens!G18651</f>
        <v>16.4389313105741</v>
      </c>
      <c r="H18722" s="6" t="n">
        <f aca="false">Sens!H18639+Sens!H18719*Sens!H18699+Sens!H18721-Sens!H18640-Sens!H18651</f>
        <v>17.135416308873</v>
      </c>
      <c r="I18722" s="6" t="n">
        <f aca="false">Sens!I18639+Sens!I18719*Sens!I18699+Sens!I18721-Sens!I18640-Sens!I18651</f>
        <v>24.1293804008657</v>
      </c>
      <c r="J18722" s="6" t="n">
        <f aca="false">Sens!J18639+Sens!J18719*Sens!J18699+Sens!J18721-Sens!J18640-Sens!J18651</f>
        <v>28.8545659869181</v>
      </c>
      <c r="K18722" s="6" t="n">
        <f aca="false">Sens!K18639+Sens!K18719*Sens!K18699+Sens!K18721-Sens!K18640-Sens!K18651</f>
        <v>32.13747485251</v>
      </c>
    </row>
    <row r="18723" customFormat="false" ht="17.15" hidden="false" customHeight="false" outlineLevel="0" collapsed="false">
      <c r="A18723" s="0" t="s">
        <v>1008</v>
      </c>
      <c r="B18723" s="0" t="s">
        <v>98</v>
      </c>
      <c r="E18723" s="6" t="n">
        <f aca="false">Sens!E18619*(cxit_open+self_build*tk_cxfac)/1000*ai_net_open</f>
        <v>126.6980382</v>
      </c>
      <c r="F18723" s="6" t="n">
        <f aca="false">Sens!E18723+Sens!F18648-Sens!F18651</f>
        <v>260.572627763768</v>
      </c>
      <c r="G18723" s="6" t="n">
        <f aca="false">Sens!F18723+Sens!G18648-Sens!G18651</f>
        <v>391.782612760517</v>
      </c>
      <c r="H18723" s="6" t="n">
        <f aca="false">Sens!G18723+Sens!H18648-Sens!H18651</f>
        <v>499.488526163584</v>
      </c>
      <c r="I18723" s="6" t="n">
        <f aca="false">Sens!H18723+Sens!I18648-Sens!I18651</f>
        <v>553.872350090646</v>
      </c>
      <c r="J18723" s="6" t="n">
        <f aca="false">Sens!I18723+Sens!J18648-Sens!J18651</f>
        <v>550.78660823699</v>
      </c>
      <c r="K18723" s="6" t="n">
        <f aca="false">Sens!J18723+Sens!K18648-Sens!K18651</f>
        <v>526.736791750789</v>
      </c>
      <c r="L18723" s="1" t="s">
        <v>1009</v>
      </c>
    </row>
    <row r="18724" customFormat="false" ht="17.15" hidden="false" customHeight="false" outlineLevel="0" collapsed="false">
      <c r="A18724" s="0" t="s">
        <v>1010</v>
      </c>
      <c r="B18724" s="0" t="s">
        <v>168</v>
      </c>
      <c r="F18724" s="7" t="n">
        <f aca="false">Sens!F18722*(1-tax_f)/((Sens!E18723+Sens!F18723)/2)</f>
        <v>0.0429069654816909</v>
      </c>
      <c r="G18724" s="7" t="n">
        <f aca="false">Sens!G18722*(1-tax_f)/((Sens!F18723+Sens!G18723)/2)</f>
        <v>0.0403189680453549</v>
      </c>
      <c r="H18724" s="7" t="n">
        <f aca="false">Sens!H18722*(1-tax_f)/((Sens!G18723+Sens!H18723)/2)</f>
        <v>0.0307613080877867</v>
      </c>
      <c r="I18724" s="7" t="n">
        <f aca="false">Sens!I18722*(1-tax_f)/((Sens!H18723+Sens!I18723)/2)</f>
        <v>0.0366512650238846</v>
      </c>
      <c r="J18724" s="7" t="n">
        <f aca="false">Sens!J18722*(1-tax_f)/((Sens!I18723+Sens!J18723)/2)</f>
        <v>0.0417932659044041</v>
      </c>
      <c r="K18724" s="7" t="n">
        <f aca="false">Sens!K18722*(1-tax_f)/((Sens!J18723+Sens!K18723)/2)</f>
        <v>0.0477205040415821</v>
      </c>
    </row>
    <row r="18725" customFormat="false" ht="17.15" hidden="false" customHeight="false" outlineLevel="0" collapsed="false">
      <c r="A18725" s="1" t="s">
        <v>1011</v>
      </c>
      <c r="B18725" s="0" t="s">
        <v>168</v>
      </c>
      <c r="F18725" s="7" t="n">
        <f aca="false">(Sens!F18722-Sens!F18721)*(1-tax_f)/((Sens!E18723+Sens!F18723)/2)</f>
        <v>-0.000871320783610466</v>
      </c>
      <c r="G18725" s="7" t="n">
        <f aca="false">(Sens!G18722-Sens!G18721)*(1-tax_f)/((Sens!F18723+Sens!G18723)/2)</f>
        <v>-0.0279742438618356</v>
      </c>
      <c r="H18725" s="7" t="n">
        <f aca="false">(Sens!H18722-Sens!H18721)*(1-tax_f)/((Sens!G18723+Sens!H18723)/2)</f>
        <v>-0.0528338242443913</v>
      </c>
      <c r="I18725" s="7" t="n">
        <f aca="false">(Sens!I18722-Sens!I18721)*(1-tax_f)/((Sens!H18723+Sens!I18723)/2)</f>
        <v>-0.059455251538819</v>
      </c>
      <c r="J18725" s="7" t="n">
        <f aca="false">(Sens!J18722-Sens!J18721)*(1-tax_f)/((Sens!I18723+Sens!J18723)/2)</f>
        <v>-0.0667015729394002</v>
      </c>
      <c r="K18725" s="7" t="n">
        <f aca="false">(Sens!K18722-Sens!K18721)*(1-tax_f)/((Sens!J18723+Sens!K18723)/2)</f>
        <v>-0.0735049560740113</v>
      </c>
    </row>
    <row r="18726" customFormat="false" ht="17.15" hidden="false" customHeight="false" outlineLevel="0" collapsed="false">
      <c r="A18726" s="1" t="s">
        <v>1012</v>
      </c>
      <c r="B18726" s="0" t="s">
        <v>168</v>
      </c>
      <c r="F18726" s="7" t="n">
        <f aca="false">(Sens!F18722-Sens!F18721+Sens!F18720)*(1-tax_f)/((Sens!E18723+Sens!F18723)/2)</f>
        <v>0.0429069654816909</v>
      </c>
      <c r="G18726" s="7" t="n">
        <f aca="false">(Sens!G18722-Sens!G18721+Sens!G18720)*(1-tax_f)/((Sens!F18723+Sens!G18723)/2)</f>
        <v>0.0403189680453549</v>
      </c>
      <c r="H18726" s="7" t="n">
        <f aca="false">(Sens!H18722-Sens!H18721+Sens!H18720)*(1-tax_f)/((Sens!G18723+Sens!H18723)/2)</f>
        <v>0.0307613080877867</v>
      </c>
      <c r="I18726" s="7" t="n">
        <f aca="false">(Sens!I18722-Sens!I18721+Sens!I18720)*(1-tax_f)/((Sens!H18723+Sens!I18723)/2)</f>
        <v>0.0366512650238846</v>
      </c>
      <c r="J18726" s="7" t="n">
        <f aca="false">(Sens!J18722-Sens!J18721+Sens!J18720)*(1-tax_f)/((Sens!I18723+Sens!J18723)/2)</f>
        <v>0.0417932659044041</v>
      </c>
      <c r="K18726" s="7" t="n">
        <f aca="false">(Sens!K18722-Sens!K18721+Sens!K18720)*(1-tax_f)/((Sens!J18723+Sens!K18723)/2)</f>
        <v>0.0477205040415821</v>
      </c>
    </row>
    <row r="18727" customFormat="false" ht="17.15" hidden="false" customHeight="false" outlineLevel="0" collapsed="false">
      <c r="A18727" s="1" t="s">
        <v>1013</v>
      </c>
      <c r="B18727" s="0" t="s">
        <v>168</v>
      </c>
      <c r="F18727" s="7" t="n">
        <f aca="false">Sens!F18652*(1-tax_f)/(Sens!F18638*(Sens!E18723+Sens!F18723)/2)</f>
        <v>0.098791430090569</v>
      </c>
      <c r="G18727" s="7" t="n">
        <f aca="false">Sens!G18652*(1-tax_f)/(Sens!G18638*(Sens!F18723+Sens!G18723)/2)</f>
        <v>0.0675308856427828</v>
      </c>
      <c r="H18727" s="7" t="n">
        <f aca="false">Sens!H18652*(1-tax_f)/(Sens!H18638*(Sens!G18723+Sens!H18723)/2)</f>
        <v>0.0388374979528754</v>
      </c>
      <c r="I18727" s="7" t="n">
        <f aca="false">Sens!I18652*(1-tax_f)/(Sens!I18638*(Sens!H18723+Sens!I18723)/2)</f>
        <v>0.0411035671771815</v>
      </c>
      <c r="J18727" s="7" t="n">
        <f aca="false">Sens!J18652*(1-tax_f)/(Sens!J18638*(Sens!I18723+Sens!J18723)/2)</f>
        <v>0.0445222722541192</v>
      </c>
      <c r="K18727" s="7" t="n">
        <f aca="false">Sens!K18652*(1-tax_f)/(Sens!K18638*(Sens!J18723+Sens!K18723)/2)</f>
        <v>0.0498866361688162</v>
      </c>
    </row>
    <row r="18728" customFormat="false" ht="17.15" hidden="false" customHeight="false" outlineLevel="0" collapsed="false">
      <c r="A18728" s="0" t="s">
        <v>1014</v>
      </c>
      <c r="B18728" s="0" t="s">
        <v>253</v>
      </c>
      <c r="F18728" s="7" t="n">
        <f aca="false">Sens!F18724-wacc</f>
        <v>-0.0600296254639064</v>
      </c>
      <c r="G18728" s="7" t="n">
        <f aca="false">Sens!G18724-wacc</f>
        <v>-0.0626176229002424</v>
      </c>
      <c r="H18728" s="7" t="n">
        <f aca="false">Sens!H18724-wacc</f>
        <v>-0.0721752828578106</v>
      </c>
      <c r="I18728" s="7" t="n">
        <f aca="false">Sens!I18724-wacc</f>
        <v>-0.0662853259217127</v>
      </c>
      <c r="J18728" s="7" t="n">
        <f aca="false">Sens!J18724-wacc</f>
        <v>-0.0611433250411932</v>
      </c>
      <c r="K18728" s="7" t="n">
        <f aca="false">Sens!K18724-wacc</f>
        <v>-0.0552160869040152</v>
      </c>
    </row>
    <row r="18729" customFormat="false" ht="17.15" hidden="false" customHeight="false" outlineLevel="0" collapsed="false">
      <c r="A18729" s="0" t="s">
        <v>1015</v>
      </c>
      <c r="B18729" s="0" t="s">
        <v>98</v>
      </c>
      <c r="F18729" s="6" t="n">
        <f aca="false">Sens!F18722*(1-tax_f)-wacc*(Sens!E18723+Sens!F18723)/2</f>
        <v>-11.6238565154813</v>
      </c>
      <c r="G18729" s="6" t="n">
        <f aca="false">Sens!G18722*(1-tax_f)-wacc*(Sens!F18723+Sens!G18723)/2</f>
        <v>-20.4244672240733</v>
      </c>
      <c r="H18729" s="6" t="n">
        <f aca="false">Sens!H18722*(1-tax_f)-wacc*(Sens!G18723+Sens!H18723)/2</f>
        <v>-32.163873277425</v>
      </c>
      <c r="I18729" s="6" t="n">
        <f aca="false">Sens!I18722*(1-tax_f)-wacc*(Sens!H18723+Sens!I18723)/2</f>
        <v>-34.9111844978462</v>
      </c>
      <c r="J18729" s="6" t="n">
        <f aca="false">Sens!J18722*(1-tax_f)-wacc*(Sens!I18723+Sens!J18723)/2</f>
        <v>-33.7712608743463</v>
      </c>
      <c r="K18729" s="6" t="n">
        <f aca="false">Sens!K18722*(1-tax_f)-wacc*(Sens!J18723+Sens!K18723)/2</f>
        <v>-29.7483128474176</v>
      </c>
    </row>
    <row r="18730" customFormat="false" ht="17.15" hidden="false" customHeight="false" outlineLevel="0" collapsed="false">
      <c r="A18730" s="3" t="s">
        <v>1942</v>
      </c>
    </row>
    <row r="18731" customFormat="false" ht="15" hidden="false" customHeight="false" outlineLevel="0" collapsed="false">
      <c r="A18731" s="4" t="s">
        <v>43</v>
      </c>
      <c r="B18731" s="4" t="s">
        <v>65</v>
      </c>
      <c r="C18731" s="23" t="s">
        <v>938</v>
      </c>
      <c r="D18731" s="23" t="s">
        <v>939</v>
      </c>
      <c r="E18731" s="23" t="s">
        <v>940</v>
      </c>
      <c r="F18731" s="23" t="s">
        <v>941</v>
      </c>
      <c r="G18731" s="23" t="s">
        <v>942</v>
      </c>
      <c r="H18731" s="23" t="s">
        <v>943</v>
      </c>
      <c r="I18731" s="23" t="s">
        <v>944</v>
      </c>
      <c r="J18731" s="23" t="s">
        <v>945</v>
      </c>
      <c r="K18731" s="23" t="s">
        <v>946</v>
      </c>
      <c r="L18731" s="4" t="s">
        <v>47</v>
      </c>
    </row>
    <row r="18732" customFormat="false" ht="15" hidden="false" customHeight="false" outlineLevel="0" collapsed="false">
      <c r="A18732" s="1" t="s">
        <v>1076</v>
      </c>
      <c r="B18732" s="0" t="s">
        <v>98</v>
      </c>
      <c r="F18732" s="6" t="n">
        <f aca="false">Sens!F18713</f>
        <v>140.499118534018</v>
      </c>
      <c r="G18732" s="6" t="n">
        <f aca="false">Sens!G18713</f>
        <v>142.757710328056</v>
      </c>
      <c r="H18732" s="6" t="n">
        <f aca="false">Sens!H18713</f>
        <v>144.501759330691</v>
      </c>
      <c r="I18732" s="6" t="n">
        <f aca="false">Sens!I18713</f>
        <v>152.588292691818</v>
      </c>
      <c r="J18732" s="6" t="n">
        <f aca="false">Sens!J18713</f>
        <v>161.982445802256</v>
      </c>
      <c r="K18732" s="6" t="n">
        <f aca="false">Sens!K18713</f>
        <v>172.5647499219</v>
      </c>
    </row>
    <row r="18733" customFormat="false" ht="17.15" hidden="false" customHeight="false" outlineLevel="0" collapsed="false">
      <c r="A18733" s="1" t="s">
        <v>1098</v>
      </c>
      <c r="B18733" s="0" t="s">
        <v>98</v>
      </c>
      <c r="E18733" s="6" t="n">
        <f aca="false">Q!M38-Sens!E18651</f>
        <v>22.2285940229167</v>
      </c>
      <c r="F18733" s="6" t="n">
        <f aca="false">Sens!E18733*(1-1/life_nonai)+(Sens!F18741+Sens!F18742)/life_nonai</f>
        <v>23.580344216413</v>
      </c>
      <c r="G18733" s="6" t="n">
        <f aca="false">Sens!F18733*(1-1/life_nonai)+(Sens!G18741)/life_nonai</f>
        <v>25.3275637379585</v>
      </c>
      <c r="H18733" s="6" t="n">
        <f aca="false">Sens!G18733*(1-1/life_nonai)+(Sens!H18741)/life_nonai</f>
        <v>27.4441608270363</v>
      </c>
      <c r="I18733" s="6" t="n">
        <f aca="false">Sens!H18733*(1-1/life_nonai)+(Sens!I18741)/life_nonai</f>
        <v>29.8731659168448</v>
      </c>
      <c r="J18733" s="6" t="n">
        <f aca="false">Sens!I18733*(1-1/life_nonai)+(Sens!J18741)/life_nonai</f>
        <v>32.5395568365191</v>
      </c>
      <c r="K18733" s="6" t="n">
        <f aca="false">Sens!J18733*(1-1/life_nonai)+(Sens!K18741)/life_nonai</f>
        <v>35.3587761573279</v>
      </c>
      <c r="L18733" s="12" t="s">
        <v>1099</v>
      </c>
    </row>
    <row r="18734" customFormat="false" ht="17.15" hidden="false" customHeight="false" outlineLevel="0" collapsed="false">
      <c r="A18734" s="1" t="s">
        <v>1100</v>
      </c>
      <c r="B18734" s="0" t="s">
        <v>98</v>
      </c>
      <c r="F18734" s="6" t="n">
        <f aca="false">Sens!$F$18742/life_nonai*(1-1/life_nonai)^(Sens!F18614-2027)</f>
        <v>0.0048791704330057</v>
      </c>
      <c r="G18734" s="6" t="n">
        <f aca="false">Sens!$F$18742/life_nonai*(1-1/life_nonai)^(Sens!G18614-2027)</f>
        <v>0.00439125338970513</v>
      </c>
      <c r="H18734" s="6" t="n">
        <f aca="false">Sens!$F$18742/life_nonai*(1-1/life_nonai)^(Sens!H18614-2027)</f>
        <v>0.00395212805073462</v>
      </c>
      <c r="I18734" s="6" t="n">
        <f aca="false">Sens!$F$18742/life_nonai*(1-1/life_nonai)^(Sens!I18614-2027)</f>
        <v>0.00355691524566115</v>
      </c>
      <c r="J18734" s="6" t="n">
        <f aca="false">Sens!$F$18742/life_nonai*(1-1/life_nonai)^(Sens!J18614-2027)</f>
        <v>0.00320122372109504</v>
      </c>
      <c r="K18734" s="6" t="n">
        <f aca="false">Sens!$F$18742/life_nonai*(1-1/life_nonai)^(Sens!K18614-2027)</f>
        <v>0.00288110134898553</v>
      </c>
      <c r="L18734" s="1" t="s">
        <v>1101</v>
      </c>
    </row>
    <row r="18735" customFormat="false" ht="17.15" hidden="false" customHeight="false" outlineLevel="0" collapsed="false">
      <c r="A18735" s="1" t="s">
        <v>1102</v>
      </c>
      <c r="B18735" s="0" t="s">
        <v>98</v>
      </c>
      <c r="E18735" s="6" t="n">
        <f aca="false">Sens!E18651+Sens!E18733</f>
        <v>38.534</v>
      </c>
      <c r="F18735" s="6" t="n">
        <f aca="false">Sens!F18651+Sens!F18733</f>
        <v>58.1596586947647</v>
      </c>
      <c r="G18735" s="6" t="n">
        <f aca="false">Sens!G18651+Sens!G18733</f>
        <v>86.0620543902575</v>
      </c>
      <c r="H18735" s="6" t="n">
        <f aca="false">Sens!H18651+Sens!H18733</f>
        <v>116.544251488482</v>
      </c>
      <c r="I18735" s="6" t="n">
        <f aca="false">Sens!I18651+Sens!I18733</f>
        <v>144.104175611393</v>
      </c>
      <c r="J18735" s="6" t="n">
        <f aca="false">Sens!J18651+Sens!J18733</f>
        <v>164.555229886115</v>
      </c>
      <c r="K18735" s="6" t="n">
        <f aca="false">Sens!K18651+Sens!K18733</f>
        <v>178.371445708262</v>
      </c>
    </row>
    <row r="18736" customFormat="false" ht="17.15" hidden="false" customHeight="false" outlineLevel="0" collapsed="false">
      <c r="A18736" s="1" t="s">
        <v>1103</v>
      </c>
      <c r="B18736" s="0" t="s">
        <v>98</v>
      </c>
      <c r="F18736" s="6" t="n">
        <f aca="false">Sens!F18678*sbc_r</f>
        <v>14.5850391439873</v>
      </c>
      <c r="G18736" s="6" t="n">
        <f aca="false">Sens!G18678*sbc_r</f>
        <v>16.9959803807282</v>
      </c>
      <c r="H18736" s="6" t="n">
        <f aca="false">Sens!H18678*sbc_r</f>
        <v>19.250568438473</v>
      </c>
      <c r="I18736" s="6" t="n">
        <f aca="false">Sens!I18678*sbc_r</f>
        <v>21.6034318228893</v>
      </c>
      <c r="J18736" s="6" t="n">
        <f aca="false">Sens!J18678*sbc_r</f>
        <v>23.578138707283</v>
      </c>
      <c r="K18736" s="6" t="n">
        <f aca="false">Sens!K18678*sbc_r</f>
        <v>25.1883220532639</v>
      </c>
    </row>
    <row r="18737" customFormat="false" ht="17.15" hidden="false" customHeight="false" outlineLevel="0" collapsed="false">
      <c r="A18737" s="1" t="s">
        <v>1104</v>
      </c>
      <c r="B18737" s="0" t="s">
        <v>98</v>
      </c>
      <c r="F18737" s="6" t="n">
        <f aca="false">wc27-wc26q1</f>
        <v>-4.677</v>
      </c>
      <c r="G18737" s="6" t="n">
        <f aca="false">wc_f</f>
        <v>0</v>
      </c>
      <c r="H18737" s="6" t="n">
        <f aca="false">wc_f</f>
        <v>0</v>
      </c>
      <c r="I18737" s="6" t="n">
        <f aca="false">wc_f</f>
        <v>0</v>
      </c>
      <c r="J18737" s="6" t="n">
        <f aca="false">wc_f</f>
        <v>0</v>
      </c>
      <c r="K18737" s="6" t="n">
        <f aca="false">wc_f</f>
        <v>0</v>
      </c>
      <c r="L18737" s="12" t="s">
        <v>1105</v>
      </c>
    </row>
    <row r="18738" customFormat="false" ht="17.15" hidden="false" customHeight="false" outlineLevel="0" collapsed="false">
      <c r="A18738" s="0" t="s">
        <v>1106</v>
      </c>
      <c r="B18738" s="0" t="s">
        <v>98</v>
      </c>
      <c r="F18738" s="6" t="n">
        <f aca="false">Q!$I$35-Q!$I$26-Q!$I$38-Q!$I$39</f>
        <v>6.493</v>
      </c>
      <c r="L18738" s="1" t="s">
        <v>1107</v>
      </c>
    </row>
    <row r="18739" customFormat="false" ht="15" hidden="false" customHeight="false" outlineLevel="0" collapsed="false">
      <c r="A18739" s="1" t="s">
        <v>904</v>
      </c>
      <c r="B18739" s="0" t="s">
        <v>98</v>
      </c>
      <c r="E18739" s="6" t="n">
        <f aca="false">Q!M35</f>
        <v>182.935</v>
      </c>
      <c r="F18739" s="6" t="n">
        <f aca="false">Sens!F18732+Sens!F18735+Sens!F18736+Sens!F18737+Sens!F18738</f>
        <v>215.05981637277</v>
      </c>
      <c r="G18739" s="6" t="n">
        <f aca="false">Sens!G18732+Sens!G18735+Sens!G18736+Sens!G18737</f>
        <v>245.815745099041</v>
      </c>
      <c r="H18739" s="6" t="n">
        <f aca="false">Sens!H18732+Sens!H18735+Sens!H18736+Sens!H18737</f>
        <v>280.296579257646</v>
      </c>
      <c r="I18739" s="6" t="n">
        <f aca="false">Sens!I18732+Sens!I18735+Sens!I18736+Sens!I18737</f>
        <v>318.2959001261</v>
      </c>
      <c r="J18739" s="6" t="n">
        <f aca="false">Sens!J18732+Sens!J18735+Sens!J18736+Sens!J18737</f>
        <v>350.115814395654</v>
      </c>
      <c r="K18739" s="6" t="n">
        <f aca="false">Sens!K18732+Sens!K18735+Sens!K18736+Sens!K18737</f>
        <v>376.124517683426</v>
      </c>
    </row>
    <row r="18740" customFormat="false" ht="17.15" hidden="false" customHeight="false" outlineLevel="0" collapsed="false">
      <c r="A18740" s="0" t="s">
        <v>1108</v>
      </c>
      <c r="B18740" s="0" t="s">
        <v>98</v>
      </c>
      <c r="F18740" s="6" t="n">
        <f aca="false">Sens!F18648</f>
        <v>168.45390404212</v>
      </c>
      <c r="G18740" s="6" t="n">
        <f aca="false">Sens!G18648</f>
        <v>191.944475649048</v>
      </c>
      <c r="H18740" s="6" t="n">
        <f aca="false">Sens!H18648</f>
        <v>196.806004064512</v>
      </c>
      <c r="I18740" s="6" t="n">
        <f aca="false">Sens!I18648</f>
        <v>168.61483362161</v>
      </c>
      <c r="J18740" s="6" t="n">
        <f aca="false">Sens!J18648</f>
        <v>128.92993119594</v>
      </c>
      <c r="K18740" s="6" t="n">
        <f aca="false">Sens!K18648</f>
        <v>118.962853064733</v>
      </c>
    </row>
    <row r="18741" customFormat="false" ht="17.15" hidden="false" customHeight="false" outlineLevel="0" collapsed="false">
      <c r="A18741" s="1" t="s">
        <v>1109</v>
      </c>
      <c r="B18741" s="0" t="s">
        <v>98</v>
      </c>
      <c r="E18741" s="6" t="n">
        <f aca="false">Sens!E18656*cx_azo+Sens!E18663*cx_m365+Sens!E18664*cx_lic+(Sens!E18666+Sens!E18668)*cx_ind+Sens!E18671*cx_srch+(Sens!E18673+Sens!E18675)*cx_dev</f>
        <v>30.1846587067718</v>
      </c>
      <c r="F18741" s="6" t="n">
        <f aca="false">Sens!F18656*cx_azo+Sens!F18663*cx_m365+Sens!F18664*cx_lic+(Sens!F18666+Sens!F18668)*cx_ind+Sens!F18671*cx_srch+(Sens!F18673+Sens!F18675)*cx_dev</f>
        <v>35.6973042535503</v>
      </c>
      <c r="G18741" s="6" t="n">
        <f aca="false">Sens!G18656*cx_azo+Sens!G18663*cx_m365+Sens!G18664*cx_lic+(Sens!G18666+Sens!G18668)*cx_ind+Sens!G18671*cx_srch+(Sens!G18673+Sens!G18675)*cx_dev</f>
        <v>41.052539431868</v>
      </c>
      <c r="H18741" s="6" t="n">
        <f aca="false">Sens!H18656*cx_azo+Sens!H18663*cx_m365+Sens!H18664*cx_lic+(Sens!H18666+Sens!H18668)*cx_ind+Sens!H18671*cx_srch+(Sens!H18673+Sens!H18675)*cx_dev</f>
        <v>46.493534628736</v>
      </c>
      <c r="I18741" s="6" t="n">
        <f aca="false">Sens!I18656*cx_azo+Sens!I18663*cx_m365+Sens!I18664*cx_lic+(Sens!I18666+Sens!I18668)*cx_ind+Sens!I18671*cx_srch+(Sens!I18673+Sens!I18675)*cx_dev</f>
        <v>51.7342117251217</v>
      </c>
      <c r="J18741" s="6" t="n">
        <f aca="false">Sens!J18656*cx_azo+Sens!J18663*cx_m365+Sens!J18664*cx_lic+(Sens!J18666+Sens!J18668)*cx_ind+Sens!J18671*cx_srch+(Sens!J18673+Sens!J18675)*cx_dev</f>
        <v>56.5370751135871</v>
      </c>
      <c r="K18741" s="6" t="n">
        <f aca="false">Sens!K18656*cx_azo+Sens!K18663*cx_m365+Sens!K18664*cx_lic+(Sens!K18666+Sens!K18668)*cx_ind+Sens!K18671*cx_srch+(Sens!K18673+Sens!K18675)*cx_dev</f>
        <v>60.7317500446079</v>
      </c>
    </row>
    <row r="18742" customFormat="false" ht="17.15" hidden="false" customHeight="false" outlineLevel="0" collapsed="false">
      <c r="A18742" s="0" t="s">
        <v>1110</v>
      </c>
      <c r="B18742" s="0" t="s">
        <v>98</v>
      </c>
      <c r="F18742" s="6" t="n">
        <f aca="false">Sens!F18646</f>
        <v>0.048791704330057</v>
      </c>
      <c r="L18742" s="1" t="s">
        <v>1111</v>
      </c>
    </row>
    <row r="18743" customFormat="false" ht="17.15" hidden="false" customHeight="false" outlineLevel="0" collapsed="false">
      <c r="A18743" s="1" t="s">
        <v>1112</v>
      </c>
      <c r="B18743" s="0" t="s">
        <v>98</v>
      </c>
      <c r="E18743" s="6" t="n">
        <f aca="false">Q!M43</f>
        <v>145.3</v>
      </c>
      <c r="F18743" s="6" t="n">
        <f aca="false">Sens!F18740+Sens!F18741+Sens!F18742</f>
        <v>204.2</v>
      </c>
      <c r="G18743" s="6" t="n">
        <f aca="false">Sens!G18740+Sens!G18741</f>
        <v>232.997015080916</v>
      </c>
      <c r="H18743" s="6" t="n">
        <f aca="false">Sens!H18740+Sens!H18741</f>
        <v>243.299538693248</v>
      </c>
      <c r="I18743" s="6" t="n">
        <f aca="false">Sens!I18740+Sens!I18741</f>
        <v>220.349045346732</v>
      </c>
      <c r="J18743" s="6" t="n">
        <f aca="false">Sens!J18740+Sens!J18741</f>
        <v>185.467006309527</v>
      </c>
      <c r="K18743" s="6" t="n">
        <f aca="false">Sens!K18740+Sens!K18741</f>
        <v>179.694603109341</v>
      </c>
      <c r="L18743" s="1" t="s">
        <v>1113</v>
      </c>
    </row>
    <row r="18744" customFormat="false" ht="15" hidden="false" customHeight="false" outlineLevel="0" collapsed="false">
      <c r="A18744" s="1" t="s">
        <v>1114</v>
      </c>
      <c r="B18744" s="0" t="s">
        <v>98</v>
      </c>
      <c r="E18744" s="6" t="n">
        <f aca="false">fl_liab</f>
        <v>66.594</v>
      </c>
      <c r="F18744" s="6" t="n">
        <f aca="false">Sens!E18744-Sens!F18745</f>
        <v>62.46973</v>
      </c>
      <c r="G18744" s="6" t="n">
        <f aca="false">Sens!F18744-Sens!G18745</f>
        <v>57.98686785</v>
      </c>
      <c r="H18744" s="6" t="n">
        <f aca="false">Sens!G18744-Sens!H18745</f>
        <v>53.92827690325</v>
      </c>
      <c r="I18744" s="6" t="n">
        <f aca="false">Sens!H18744-Sens!I18745</f>
        <v>49.7850493638962</v>
      </c>
      <c r="J18744" s="6" t="n">
        <f aca="false">Sens!I18744-Sens!J18745</f>
        <v>45.4823765852716</v>
      </c>
      <c r="K18744" s="6" t="n">
        <f aca="false">Sens!J18744-Sens!K18745</f>
        <v>40.9860835316088</v>
      </c>
    </row>
    <row r="18745" customFormat="false" ht="15" hidden="false" customHeight="false" outlineLevel="0" collapsed="false">
      <c r="A18745" s="1" t="s">
        <v>1115</v>
      </c>
      <c r="B18745" s="0" t="s">
        <v>98</v>
      </c>
      <c r="F18745" s="6" t="n">
        <f aca="false">fl_pay_27-Sens!E18744*fl_rate</f>
        <v>4.12427</v>
      </c>
      <c r="G18745" s="6" t="n">
        <f aca="false">fl_pay_28-Sens!F18744*fl_rate</f>
        <v>4.48286215</v>
      </c>
      <c r="H18745" s="6" t="n">
        <f aca="false">fl_pay_29-Sens!G18744*fl_rate</f>
        <v>4.05859094675</v>
      </c>
      <c r="I18745" s="6" t="n">
        <f aca="false">fl_pay_30-Sens!H18744*fl_rate</f>
        <v>4.14322753935375</v>
      </c>
      <c r="J18745" s="6" t="n">
        <f aca="false">fl_pay_31-Sens!I18744*fl_rate</f>
        <v>4.30267277862467</v>
      </c>
      <c r="K18745" s="6" t="n">
        <f aca="false">fl_pay_32-Sens!J18744*fl_rate</f>
        <v>4.49629305366278</v>
      </c>
    </row>
    <row r="18746" customFormat="false" ht="17.15" hidden="false" customHeight="false" outlineLevel="0" collapsed="false">
      <c r="A18746" s="1" t="s">
        <v>1116</v>
      </c>
      <c r="B18746" s="0" t="s">
        <v>98</v>
      </c>
      <c r="E18746" s="6" t="n">
        <f aca="false">Q!M35-Q!M36-Q!M44</f>
        <v>63.886</v>
      </c>
      <c r="F18746" s="6" t="n">
        <f aca="false">Sens!F18739-Sens!F18743-Sens!F18745</f>
        <v>6.73554637276956</v>
      </c>
      <c r="G18746" s="6" t="n">
        <f aca="false">Sens!G18739-Sens!G18743-Sens!G18745</f>
        <v>8.33586786812511</v>
      </c>
      <c r="H18746" s="6" t="n">
        <f aca="false">Sens!H18739-Sens!H18743-Sens!H18745</f>
        <v>32.938449617648</v>
      </c>
      <c r="I18746" s="6" t="n">
        <f aca="false">Sens!I18739-Sens!I18743-Sens!I18745</f>
        <v>93.8036272400145</v>
      </c>
      <c r="J18746" s="6" t="n">
        <f aca="false">Sens!J18739-Sens!J18743-Sens!J18745</f>
        <v>160.346135307502</v>
      </c>
      <c r="K18746" s="6" t="n">
        <f aca="false">Sens!K18739-Sens!K18743-Sens!K18745</f>
        <v>191.933621520422</v>
      </c>
      <c r="L18746" s="12" t="s">
        <v>1117</v>
      </c>
    </row>
    <row r="18747" customFormat="false" ht="15" hidden="false" customHeight="false" outlineLevel="0" collapsed="false">
      <c r="A18747" s="1" t="s">
        <v>1118</v>
      </c>
      <c r="B18747" s="0" t="s">
        <v>75</v>
      </c>
      <c r="F18747" s="8" t="n">
        <f aca="false">dps_27</f>
        <v>3.85</v>
      </c>
      <c r="G18747" s="8" t="n">
        <f aca="false">Sens!F18747*(1+dps_g)</f>
        <v>4.158</v>
      </c>
      <c r="H18747" s="8" t="n">
        <f aca="false">Sens!G18747*(1+dps_g)</f>
        <v>4.49064</v>
      </c>
      <c r="I18747" s="8" t="n">
        <f aca="false">Sens!H18747*(1+dps_g)</f>
        <v>4.8498912</v>
      </c>
      <c r="J18747" s="8" t="n">
        <f aca="false">Sens!I18747*(1+dps_g)</f>
        <v>5.237882496</v>
      </c>
      <c r="K18747" s="8" t="n">
        <f aca="false">Sens!J18747*(1+dps_g)</f>
        <v>5.65691309568</v>
      </c>
    </row>
    <row r="18748" customFormat="false" ht="17.15" hidden="false" customHeight="false" outlineLevel="0" collapsed="false">
      <c r="A18748" s="1" t="s">
        <v>1119</v>
      </c>
      <c r="B18748" s="0" t="s">
        <v>98</v>
      </c>
      <c r="E18748" s="6" t="n">
        <f aca="false">Q!M41</f>
        <v>26.445</v>
      </c>
      <c r="F18748" s="6" t="n">
        <f aca="false">Sens!F18747*Sens!E18757</f>
        <v>28.59395</v>
      </c>
      <c r="G18748" s="6" t="n">
        <f aca="false">Sens!G18747*Sens!F18757</f>
        <v>31.068576</v>
      </c>
      <c r="H18748" s="6" t="n">
        <f aca="false">Sens!H18747*Sens!G18757</f>
        <v>33.75614088</v>
      </c>
      <c r="I18748" s="6" t="n">
        <f aca="false">Sens!I18747*Sens!H18757</f>
        <v>36.6748772544</v>
      </c>
      <c r="J18748" s="6" t="n">
        <f aca="false">Sens!J18747*Sens!I18757</f>
        <v>39.6767653201446</v>
      </c>
      <c r="K18748" s="6" t="n">
        <f aca="false">Sens!K18747*Sens!J18757</f>
        <v>42.9376608081345</v>
      </c>
      <c r="L18748" s="1" t="s">
        <v>1120</v>
      </c>
    </row>
    <row r="18749" customFormat="false" ht="15" hidden="false" customHeight="false" outlineLevel="0" collapsed="false">
      <c r="A18749" s="1" t="s">
        <v>1121</v>
      </c>
      <c r="B18749" s="0" t="s">
        <v>98</v>
      </c>
      <c r="E18749" s="6" t="n">
        <f aca="false">Sens!E18746-Sens!E18748</f>
        <v>37.441</v>
      </c>
      <c r="F18749" s="6" t="n">
        <f aca="false">Sens!F18746-Sens!F18748</f>
        <v>-21.8584036272304</v>
      </c>
      <c r="G18749" s="6" t="n">
        <f aca="false">Sens!G18746-Sens!G18748</f>
        <v>-22.7327081318749</v>
      </c>
      <c r="H18749" s="6" t="n">
        <f aca="false">Sens!H18746-Sens!H18748</f>
        <v>-0.817691262352014</v>
      </c>
      <c r="I18749" s="6" t="n">
        <f aca="false">Sens!I18746-Sens!I18748</f>
        <v>57.1287499856145</v>
      </c>
      <c r="J18749" s="6" t="n">
        <f aca="false">Sens!J18746-Sens!J18748</f>
        <v>120.669369987358</v>
      </c>
      <c r="K18749" s="6" t="n">
        <f aca="false">Sens!K18746-Sens!K18748</f>
        <v>148.995960712288</v>
      </c>
    </row>
    <row r="18750" customFormat="false" ht="15" hidden="false" customHeight="false" outlineLevel="0" collapsed="false">
      <c r="A18750" s="1" t="s">
        <v>1122</v>
      </c>
      <c r="B18750" s="0" t="s">
        <v>98</v>
      </c>
      <c r="F18750" s="6" t="n">
        <f aca="false">debt_mat_27</f>
        <v>9.25</v>
      </c>
      <c r="G18750" s="6" t="n">
        <f aca="false">debt_mat_28</f>
        <v>0</v>
      </c>
      <c r="H18750" s="6" t="n">
        <f aca="false">debt_mat_29</f>
        <v>2.001</v>
      </c>
      <c r="I18750" s="6" t="n">
        <f aca="false">debt_mat_30</f>
        <v>0</v>
      </c>
      <c r="J18750" s="6" t="n">
        <f aca="false">debt_mat_31</f>
        <v>0.5</v>
      </c>
      <c r="K18750" s="6" t="n">
        <f aca="false">debt_mat_32</f>
        <v>0</v>
      </c>
    </row>
    <row r="18751" customFormat="false" ht="15" hidden="false" customHeight="false" outlineLevel="0" collapsed="false">
      <c r="A18751" s="1" t="s">
        <v>1123</v>
      </c>
      <c r="B18751" s="0" t="s">
        <v>98</v>
      </c>
      <c r="E18751" s="6" t="n">
        <f aca="false">Q!M40</f>
        <v>22.271</v>
      </c>
      <c r="F18751" s="6" t="n">
        <f aca="false">MAX(0,MIN(bb_target,Sens!E18753+Sens!F18749-Sens!F18750-min_cash))</f>
        <v>0</v>
      </c>
      <c r="G18751" s="6" t="n">
        <f aca="false">MAX(0,MIN(bb_target,Sens!F18753+Sens!G18749-Sens!G18750-min_cash))</f>
        <v>0</v>
      </c>
      <c r="H18751" s="6" t="n">
        <f aca="false">MAX(0,MIN(bb_target,Sens!G18753+Sens!H18749-Sens!H18750-min_cash))</f>
        <v>0</v>
      </c>
      <c r="I18751" s="6" t="n">
        <f aca="false">MAX(0,MIN(bb_target,Sens!H18753+Sens!I18749-Sens!I18750-min_cash))</f>
        <v>22.271</v>
      </c>
      <c r="J18751" s="6" t="n">
        <f aca="false">MAX(0,MIN(bb_target,Sens!I18753+Sens!J18749-Sens!J18750-min_cash))</f>
        <v>22.271</v>
      </c>
      <c r="K18751" s="6" t="n">
        <f aca="false">MAX(0,MIN(bb_target,Sens!J18753+Sens!K18749-Sens!K18750-min_cash))</f>
        <v>22.271</v>
      </c>
    </row>
    <row r="18752" customFormat="false" ht="15" hidden="false" customHeight="false" outlineLevel="0" collapsed="false">
      <c r="A18752" s="1" t="s">
        <v>1124</v>
      </c>
      <c r="B18752" s="0" t="s">
        <v>98</v>
      </c>
      <c r="F18752" s="6" t="n">
        <f aca="false">MAX(0,min_cash-(Sens!E18753+Sens!F18749-Sens!F18750-Sens!F18751))</f>
        <v>4.26540362723044</v>
      </c>
      <c r="G18752" s="6" t="n">
        <f aca="false">MAX(0,min_cash-(Sens!F18753+Sens!G18749-Sens!G18750-Sens!G18751))</f>
        <v>22.7327081318749</v>
      </c>
      <c r="H18752" s="6" t="n">
        <f aca="false">MAX(0,min_cash-(Sens!G18753+Sens!H18749-Sens!H18750-Sens!H18751))</f>
        <v>2.81869126235201</v>
      </c>
      <c r="I18752" s="6" t="n">
        <f aca="false">MAX(0,min_cash-(Sens!H18753+Sens!I18749-Sens!I18750-Sens!I18751))</f>
        <v>0</v>
      </c>
      <c r="J18752" s="6" t="n">
        <f aca="false">MAX(0,min_cash-(Sens!I18753+Sens!J18749-Sens!J18750-Sens!J18751))</f>
        <v>0</v>
      </c>
      <c r="K18752" s="6" t="n">
        <f aca="false">MAX(0,min_cash-(Sens!J18753+Sens!K18749-Sens!K18750-Sens!K18751))</f>
        <v>0</v>
      </c>
    </row>
    <row r="18753" customFormat="false" ht="15" hidden="false" customHeight="false" outlineLevel="0" collapsed="false">
      <c r="A18753" s="1" t="s">
        <v>1125</v>
      </c>
      <c r="B18753" s="0" t="s">
        <v>98</v>
      </c>
      <c r="E18753" s="6" t="n">
        <f aca="false">cash_open</f>
        <v>76.843</v>
      </c>
      <c r="F18753" s="6" t="n">
        <f aca="false">Sens!E18753+Sens!F18749-Sens!F18750-Sens!F18751+Sens!F18752</f>
        <v>50</v>
      </c>
      <c r="G18753" s="6" t="n">
        <f aca="false">Sens!F18753+Sens!G18749-Sens!G18750-Sens!G18751+Sens!G18752</f>
        <v>50</v>
      </c>
      <c r="H18753" s="6" t="n">
        <f aca="false">Sens!G18753+Sens!H18749-Sens!H18750-Sens!H18751+Sens!H18752</f>
        <v>50</v>
      </c>
      <c r="I18753" s="6" t="n">
        <f aca="false">Sens!H18753+Sens!I18749-Sens!I18750-Sens!I18751+Sens!I18752</f>
        <v>84.8577499856145</v>
      </c>
      <c r="J18753" s="6" t="n">
        <f aca="false">Sens!I18753+Sens!J18749-Sens!J18750-Sens!J18751+Sens!J18752</f>
        <v>182.756119972972</v>
      </c>
      <c r="K18753" s="6" t="n">
        <f aca="false">Sens!J18753+Sens!K18749-Sens!K18750-Sens!K18751+Sens!K18752</f>
        <v>309.48108068526</v>
      </c>
    </row>
    <row r="18754" customFormat="false" ht="15" hidden="false" customHeight="false" outlineLevel="0" collapsed="false">
      <c r="A18754" s="1" t="s">
        <v>1126</v>
      </c>
      <c r="B18754" s="0" t="s">
        <v>98</v>
      </c>
      <c r="E18754" s="6" t="n">
        <f aca="false">debt_face</f>
        <v>46.136</v>
      </c>
      <c r="F18754" s="6" t="n">
        <f aca="false">Sens!E18754-Sens!F18750+Sens!F18752</f>
        <v>41.1514036272304</v>
      </c>
      <c r="G18754" s="6" t="n">
        <f aca="false">Sens!F18754-Sens!G18750+Sens!G18752</f>
        <v>63.8841117591053</v>
      </c>
      <c r="H18754" s="6" t="n">
        <f aca="false">Sens!G18754-Sens!H18750+Sens!H18752</f>
        <v>64.7018030214574</v>
      </c>
      <c r="I18754" s="6" t="n">
        <f aca="false">Sens!H18754-Sens!I18750+Sens!I18752</f>
        <v>64.7018030214574</v>
      </c>
      <c r="J18754" s="6" t="n">
        <f aca="false">Sens!I18754-Sens!J18750+Sens!J18752</f>
        <v>64.2018030214574</v>
      </c>
      <c r="K18754" s="6" t="n">
        <f aca="false">Sens!J18754-Sens!K18750+Sens!K18752</f>
        <v>64.2018030214574</v>
      </c>
    </row>
    <row r="18755" customFormat="false" ht="15" hidden="false" customHeight="false" outlineLevel="0" collapsed="false">
      <c r="A18755" s="1" t="s">
        <v>1127</v>
      </c>
      <c r="B18755" s="0" t="s">
        <v>98</v>
      </c>
      <c r="E18755" s="6" t="n">
        <f aca="false">Sens!E18753-Sens!E18754</f>
        <v>30.707</v>
      </c>
      <c r="F18755" s="6" t="n">
        <f aca="false">Sens!F18753-Sens!F18754</f>
        <v>8.84859637276956</v>
      </c>
      <c r="G18755" s="6" t="n">
        <f aca="false">Sens!G18753-Sens!G18754</f>
        <v>-13.8841117591053</v>
      </c>
      <c r="H18755" s="6" t="n">
        <f aca="false">Sens!H18753-Sens!H18754</f>
        <v>-14.7018030214574</v>
      </c>
      <c r="I18755" s="6" t="n">
        <f aca="false">Sens!I18753-Sens!I18754</f>
        <v>20.1559469641572</v>
      </c>
      <c r="J18755" s="6" t="n">
        <f aca="false">Sens!J18753-Sens!J18754</f>
        <v>118.554316951515</v>
      </c>
      <c r="K18755" s="6" t="n">
        <f aca="false">Sens!K18753-Sens!K18754</f>
        <v>245.279277663803</v>
      </c>
    </row>
    <row r="18756" customFormat="false" ht="15" hidden="false" customHeight="false" outlineLevel="0" collapsed="false">
      <c r="A18756" s="1" t="s">
        <v>1128</v>
      </c>
      <c r="B18756" s="0" t="s">
        <v>75</v>
      </c>
      <c r="F18756" s="30" t="n">
        <f aca="false">px*(1+bb_g)^(Sens!F18614-base_fy-mid_yr)</f>
        <v>551.84177959629</v>
      </c>
      <c r="G18756" s="30" t="n">
        <f aca="false">px*(1+bb_g)^(Sens!G18614-base_fy-mid_yr)</f>
        <v>595.989121963993</v>
      </c>
      <c r="H18756" s="30" t="n">
        <f aca="false">px*(1+bb_g)^(Sens!H18614-base_fy-mid_yr)</f>
        <v>643.668251721112</v>
      </c>
      <c r="I18756" s="30" t="n">
        <f aca="false">px*(1+bb_g)^(Sens!I18614-base_fy-mid_yr)</f>
        <v>695.161711858801</v>
      </c>
      <c r="J18756" s="30" t="n">
        <f aca="false">px*(1+bb_g)^(Sens!J18614-base_fy-mid_yr)</f>
        <v>750.774648807506</v>
      </c>
      <c r="K18756" s="30" t="n">
        <f aca="false">px*(1+bb_g)^(Sens!K18614-base_fy-mid_yr)</f>
        <v>810.836620712106</v>
      </c>
    </row>
    <row r="18757" customFormat="false" ht="15" hidden="false" customHeight="false" outlineLevel="0" collapsed="false">
      <c r="A18757" s="1" t="s">
        <v>1129</v>
      </c>
      <c r="B18757" s="1" t="s">
        <v>81</v>
      </c>
      <c r="E18757" s="15" t="n">
        <f aca="false">sh_out26</f>
        <v>7.427</v>
      </c>
      <c r="F18757" s="15" t="n">
        <f aca="false">Sens!E18757+sh_iss-Sens!F18751/Sens!F18756</f>
        <v>7.472</v>
      </c>
      <c r="G18757" s="15" t="n">
        <f aca="false">Sens!F18757+sh_iss-Sens!G18751/Sens!G18756</f>
        <v>7.517</v>
      </c>
      <c r="H18757" s="15" t="n">
        <f aca="false">Sens!G18757+sh_iss-Sens!H18751/Sens!H18756</f>
        <v>7.562</v>
      </c>
      <c r="I18757" s="15" t="n">
        <f aca="false">Sens!H18757+sh_iss-Sens!I18751/Sens!I18756</f>
        <v>7.57496285005334</v>
      </c>
      <c r="J18757" s="15" t="n">
        <f aca="false">Sens!I18757+sh_iss-Sens!J18751/Sens!J18756</f>
        <v>7.59029882232494</v>
      </c>
      <c r="K18757" s="15" t="n">
        <f aca="false">Sens!J18757+sh_iss-Sens!K18751/Sens!K18756</f>
        <v>7.60783212998384</v>
      </c>
    </row>
    <row r="18758" customFormat="false" ht="15" hidden="false" customHeight="false" outlineLevel="0" collapsed="false">
      <c r="A18758" s="1" t="s">
        <v>1130</v>
      </c>
      <c r="B18758" s="1" t="s">
        <v>81</v>
      </c>
      <c r="E18758" s="15" t="n">
        <f aca="false">sh_dil26</f>
        <v>7.453</v>
      </c>
      <c r="F18758" s="15" t="n">
        <f aca="false">(Sens!E18757+Sens!F18757)/2+dil_gap</f>
        <v>7.4735</v>
      </c>
      <c r="G18758" s="15" t="n">
        <f aca="false">(Sens!F18757+Sens!G18757)/2+dil_gap</f>
        <v>7.5185</v>
      </c>
      <c r="H18758" s="15" t="n">
        <f aca="false">(Sens!G18757+Sens!H18757)/2+dil_gap</f>
        <v>7.5635</v>
      </c>
      <c r="I18758" s="15" t="n">
        <f aca="false">(Sens!H18757+Sens!I18757)/2+dil_gap</f>
        <v>7.59248142502667</v>
      </c>
      <c r="J18758" s="15" t="n">
        <f aca="false">(Sens!I18757+Sens!J18757)/2+dil_gap</f>
        <v>7.60663083618914</v>
      </c>
      <c r="K18758" s="15" t="n">
        <f aca="false">(Sens!J18757+Sens!K18757)/2+dil_gap</f>
        <v>7.62306547615439</v>
      </c>
    </row>
    <row r="18759" customFormat="false" ht="17.15" hidden="false" customHeight="false" outlineLevel="0" collapsed="false">
      <c r="A18759" s="1" t="s">
        <v>1131</v>
      </c>
      <c r="B18759" s="0" t="s">
        <v>98</v>
      </c>
      <c r="C18759" s="6" t="n">
        <f aca="false">SUM(Sens!F18749:J18749)</f>
        <v>132.389316951515</v>
      </c>
    </row>
    <row r="18760" customFormat="false" ht="15" hidden="false" customHeight="false" outlineLevel="0" collapsed="false">
      <c r="A18760" s="26" t="s">
        <v>1096</v>
      </c>
      <c r="B18760" s="31" t="s">
        <v>98</v>
      </c>
      <c r="C18760" s="27" t="n">
        <f aca="false">Sens!$C$18759-(Sens!F18749+Sens!G18749+Sens!H18749+Sens!I18749+Sens!J18749)</f>
        <v>0</v>
      </c>
      <c r="D18760" s="31"/>
      <c r="E18760" s="31"/>
      <c r="F18760" s="31"/>
      <c r="G18760" s="31"/>
      <c r="H18760" s="31"/>
      <c r="I18760" s="31"/>
      <c r="J18760" s="31"/>
      <c r="K18760" s="31"/>
    </row>
    <row r="18761" customFormat="false" ht="17.15" hidden="false" customHeight="false" outlineLevel="0" collapsed="false">
      <c r="A18761" s="1" t="s">
        <v>1090</v>
      </c>
      <c r="B18761" s="1" t="s">
        <v>1132</v>
      </c>
      <c r="C18761" s="33" t="str">
        <f aca="false">IF(SUM(Sens!F18752:J18752)&gt;0.05,"需要舉債 "&amp;TEXT(SUM(Sens!F18752:J18752),"0.0")&amp;" 十億美元","不需舉債")&amp;"；"&amp;IF(SUM(Sens!F18751:J18751)&lt;COUNT(Sens!F18751:J18751)*bb_target-0.05,"回購較每年 "&amp;TEXT(bb_target,"0.0")&amp;" 的目標少 "&amp;TEXT(COUNT(Sens!F18751:J18751)*bb_target-SUM(Sens!F18751:J18751),"0.0")&amp;" 十億美元（"&amp;TEXT(COUNTIF(Sens!F18751:J18751,"&lt;"&amp;(bb_target-0.05)),"0")&amp;" 年減少）","回購不減")</f>
        <v>需要舉債 29.8 十億美元；回購較每年 22.3 的目標少 66.8 十億美元（3 年減少）</v>
      </c>
    </row>
    <row r="18762" customFormat="false" ht="17.15" hidden="false" customHeight="false" outlineLevel="0" collapsed="false">
      <c r="A18762" s="3" t="s">
        <v>1943</v>
      </c>
    </row>
    <row r="18763" customFormat="false" ht="15" hidden="false" customHeight="false" outlineLevel="0" collapsed="false">
      <c r="A18763" s="4" t="s">
        <v>43</v>
      </c>
      <c r="B18763" s="4" t="s">
        <v>65</v>
      </c>
      <c r="C18763" s="23" t="s">
        <v>938</v>
      </c>
      <c r="D18763" s="23" t="s">
        <v>939</v>
      </c>
      <c r="E18763" s="23" t="s">
        <v>940</v>
      </c>
      <c r="F18763" s="23" t="s">
        <v>941</v>
      </c>
      <c r="G18763" s="23" t="s">
        <v>942</v>
      </c>
      <c r="H18763" s="23" t="s">
        <v>943</v>
      </c>
      <c r="I18763" s="23" t="s">
        <v>944</v>
      </c>
      <c r="J18763" s="23" t="s">
        <v>945</v>
      </c>
      <c r="K18763" s="23" t="s">
        <v>946</v>
      </c>
      <c r="L18763" s="4" t="s">
        <v>47</v>
      </c>
    </row>
    <row r="18764" customFormat="false" ht="17.15" hidden="false" customHeight="false" outlineLevel="0" collapsed="false">
      <c r="A18764" s="1" t="s">
        <v>1212</v>
      </c>
      <c r="B18764" s="1" t="s">
        <v>279</v>
      </c>
      <c r="F18764" s="8" t="n">
        <f aca="false">(1-v_off)*mid_yr</f>
        <v>0.373972602739726</v>
      </c>
      <c r="G18764" s="8" t="n">
        <f aca="false">Sens!G18614-base_fy-mid_yr-v_off</f>
        <v>1.24794520547945</v>
      </c>
      <c r="H18764" s="8" t="n">
        <f aca="false">Sens!H18614-base_fy-mid_yr-v_off</f>
        <v>2.24794520547945</v>
      </c>
      <c r="I18764" s="8" t="n">
        <f aca="false">Sens!I18614-base_fy-mid_yr-v_off</f>
        <v>3.24794520547945</v>
      </c>
      <c r="J18764" s="8" t="n">
        <f aca="false">Sens!J18614-base_fy-mid_yr-v_off</f>
        <v>4.24794520547945</v>
      </c>
      <c r="K18764" s="8" t="n">
        <f aca="false">Sens!K18614-base_fy-mid_yr-v_off</f>
        <v>5.24794520547945</v>
      </c>
      <c r="L18764" s="12" t="s">
        <v>1213</v>
      </c>
    </row>
    <row r="18765" customFormat="false" ht="15" hidden="false" customHeight="false" outlineLevel="0" collapsed="false">
      <c r="A18765" s="1" t="s">
        <v>1214</v>
      </c>
      <c r="B18765" s="1" t="s">
        <v>279</v>
      </c>
      <c r="F18765" s="8" t="n">
        <f aca="false">Sens!F18614-base_fy-v_off</f>
        <v>0.747945205479452</v>
      </c>
      <c r="G18765" s="8" t="n">
        <f aca="false">Sens!G18614-base_fy-v_off</f>
        <v>1.74794520547945</v>
      </c>
      <c r="H18765" s="8" t="n">
        <f aca="false">Sens!H18614-base_fy-v_off</f>
        <v>2.74794520547945</v>
      </c>
      <c r="I18765" s="8" t="n">
        <f aca="false">Sens!I18614-base_fy-v_off</f>
        <v>3.74794520547945</v>
      </c>
      <c r="J18765" s="8" t="n">
        <f aca="false">Sens!J18614-base_fy-v_off</f>
        <v>4.74794520547945</v>
      </c>
      <c r="K18765" s="8" t="n">
        <f aca="false">Sens!K18614-base_fy-v_off</f>
        <v>5.74794520547945</v>
      </c>
    </row>
    <row r="18766" customFormat="false" ht="15" hidden="false" customHeight="false" outlineLevel="0" collapsed="false">
      <c r="A18766" s="1" t="s">
        <v>1215</v>
      </c>
      <c r="B18766" s="0" t="s">
        <v>229</v>
      </c>
      <c r="F18766" s="15" t="n">
        <f aca="false">1/(1+wacc)^Sens!F18764</f>
        <v>0.964022703286649</v>
      </c>
      <c r="G18766" s="15" t="n">
        <f aca="false">1/(1+wacc)^Sens!G18764</f>
        <v>0.884910302296739</v>
      </c>
      <c r="H18766" s="15" t="n">
        <f aca="false">1/(1+wacc)^Sens!H18764</f>
        <v>0.802322009770358</v>
      </c>
      <c r="I18766" s="15" t="n">
        <f aca="false">1/(1+wacc)^Sens!I18764</f>
        <v>0.727441646561469</v>
      </c>
      <c r="J18766" s="15" t="n">
        <f aca="false">1/(1+wacc)^Sens!J18764</f>
        <v>0.659549834988973</v>
      </c>
      <c r="K18766" s="15" t="n">
        <f aca="false">1/(1+wacc)^Sens!K18764</f>
        <v>0.597994336576966</v>
      </c>
    </row>
    <row r="18767" customFormat="false" ht="17.15" hidden="false" customHeight="false" outlineLevel="0" collapsed="false">
      <c r="A18767" s="1" t="s">
        <v>1216</v>
      </c>
      <c r="B18767" s="0" t="s">
        <v>98</v>
      </c>
      <c r="F18767" s="6" t="n">
        <f aca="false">Q!$I$35-Q!$I$39-Q!$I$43</f>
        <v>9.666</v>
      </c>
      <c r="L18767" s="12" t="s">
        <v>1217</v>
      </c>
    </row>
    <row r="18768" customFormat="false" ht="17.15" hidden="false" customHeight="false" outlineLevel="0" collapsed="false">
      <c r="A18768" s="1" t="s">
        <v>1218</v>
      </c>
      <c r="B18768" s="0" t="s">
        <v>98</v>
      </c>
      <c r="F18768" s="6" t="n">
        <f aca="false">Sens!F18739-Sens!F18736-Sens!F18743+Sens!F18721*(1-tax_f)*(1-v_off)-Sens!F18767</f>
        <v>-7.05087403293914</v>
      </c>
      <c r="G18768" s="6" t="n">
        <f aca="false">Sens!G18739-Sens!G18736-Sens!G18743+Sens!G18721*(1-tax_f)</f>
        <v>18.0984669773425</v>
      </c>
      <c r="H18768" s="6" t="n">
        <f aca="false">Sens!H18739-Sens!H18736-Sens!H18743+Sens!H18721*(1-tax_f)</f>
        <v>54.9994365270306</v>
      </c>
      <c r="I18768" s="6" t="n">
        <f aca="false">Sens!I18739-Sens!I18736-Sens!I18743+Sens!I18721*(1-tax_f)</f>
        <v>126.960845206595</v>
      </c>
      <c r="J18768" s="6" t="n">
        <f aca="false">Sens!J18739-Sens!J18736-Sens!J18743+Sens!J18721*(1-tax_f)</f>
        <v>200.995567209405</v>
      </c>
      <c r="K18768" s="6" t="n">
        <f aca="false">Sens!K18739-Sens!K18736-Sens!K18743+Sens!K18721*(1-tax_f)</f>
        <v>236.55322749524</v>
      </c>
      <c r="L18768" s="1" t="s">
        <v>1219</v>
      </c>
    </row>
    <row r="18769" customFormat="false" ht="15" hidden="false" customHeight="false" outlineLevel="0" collapsed="false">
      <c r="A18769" s="1" t="s">
        <v>1220</v>
      </c>
      <c r="B18769" s="0" t="s">
        <v>98</v>
      </c>
      <c r="F18769" s="6" t="n">
        <f aca="false">Sens!F18768*Sens!F18766</f>
        <v>-6.79720264576763</v>
      </c>
      <c r="G18769" s="6" t="n">
        <f aca="false">Sens!G18768*Sens!G18766</f>
        <v>16.0155198840277</v>
      </c>
      <c r="H18769" s="6" t="n">
        <f aca="false">Sens!H18768*Sens!H18766</f>
        <v>44.1272584506044</v>
      </c>
      <c r="I18769" s="6" t="n">
        <f aca="false">Sens!I18768*Sens!I18766</f>
        <v>92.3566062859209</v>
      </c>
      <c r="J18769" s="6" t="n">
        <f aca="false">Sens!J18768*Sens!J18766</f>
        <v>132.566593186478</v>
      </c>
      <c r="K18769" s="6" t="n">
        <f aca="false">Sens!K18768*Sens!K18766</f>
        <v>141.457490341156</v>
      </c>
    </row>
    <row r="18770" customFormat="false" ht="17.15" hidden="false" customHeight="false" outlineLevel="0" collapsed="false">
      <c r="A18770" s="1" t="s">
        <v>1221</v>
      </c>
      <c r="B18770" s="0" t="s">
        <v>98</v>
      </c>
      <c r="C18770" s="6" t="n">
        <f aca="false">SUM(Sens!F18769:K18769)</f>
        <v>419.726265502419</v>
      </c>
    </row>
    <row r="18771" customFormat="false" ht="17.15" hidden="false" customHeight="false" outlineLevel="0" collapsed="false">
      <c r="A18771" s="1" t="s">
        <v>1222</v>
      </c>
      <c r="B18771" s="0" t="s">
        <v>98</v>
      </c>
      <c r="C18771" s="6" t="n">
        <f aca="false">Sens!K18707*(1+g_tv)*(1-tax_f)</f>
        <v>246.001476443208</v>
      </c>
    </row>
    <row r="18772" customFormat="false" ht="17.15" hidden="false" customHeight="false" outlineLevel="0" collapsed="false">
      <c r="A18772" s="1" t="s">
        <v>1223</v>
      </c>
      <c r="B18772" s="0" t="s">
        <v>98</v>
      </c>
      <c r="C18772" s="6" t="n">
        <f aca="false">Sens!$C$18771*(1-g_tv/(wacc+ronic_prem))</f>
        <v>174.306423930767</v>
      </c>
    </row>
    <row r="18773" customFormat="false" ht="17.15" hidden="false" customHeight="false" outlineLevel="0" collapsed="false">
      <c r="A18773" s="1" t="s">
        <v>1224</v>
      </c>
      <c r="B18773" s="0" t="s">
        <v>98</v>
      </c>
      <c r="C18773" s="6" t="n">
        <f aca="false">Sens!$C$18772/(wacc-g_tv)</f>
        <v>2389.83508374803</v>
      </c>
    </row>
    <row r="18774" customFormat="false" ht="15" hidden="false" customHeight="false" outlineLevel="0" collapsed="false">
      <c r="A18774" s="1" t="s">
        <v>1225</v>
      </c>
      <c r="B18774" s="0" t="s">
        <v>98</v>
      </c>
      <c r="C18774" s="6" t="n">
        <f aca="false">Sens!$C$18773/(1+wacc)^Sens!K18765</f>
        <v>1360.78568141024</v>
      </c>
    </row>
    <row r="18775" customFormat="false" ht="17.15" hidden="false" customHeight="false" outlineLevel="0" collapsed="false">
      <c r="A18775" s="0" t="s">
        <v>1226</v>
      </c>
      <c r="B18775" s="0" t="s">
        <v>98</v>
      </c>
      <c r="C18775" s="6" t="n">
        <f aca="false">Sens!$C$18770+Sens!$C$18774</f>
        <v>1780.51194691266</v>
      </c>
    </row>
    <row r="18776" customFormat="false" ht="15" hidden="false" customHeight="false" outlineLevel="0" collapsed="false">
      <c r="A18776" s="1" t="s">
        <v>1141</v>
      </c>
      <c r="B18776" s="0" t="s">
        <v>168</v>
      </c>
      <c r="C18776" s="7" t="n">
        <f aca="false">Sens!$C$18774/Sens!$C$18775</f>
        <v>0.764266526697444</v>
      </c>
    </row>
    <row r="18777" customFormat="false" ht="17.15" hidden="false" customHeight="false" outlineLevel="0" collapsed="false">
      <c r="A18777" s="1" t="s">
        <v>1227</v>
      </c>
      <c r="B18777" s="0" t="s">
        <v>98</v>
      </c>
      <c r="C18777" s="6" t="n">
        <f aca="false">Sens!$C$18775+cash_val-debt_val-fl_val+oai_v</f>
        <v>1896.36294691266</v>
      </c>
    </row>
    <row r="18778" customFormat="false" ht="17.15" hidden="false" customHeight="false" outlineLevel="0" collapsed="false">
      <c r="A18778" s="0" t="s">
        <v>1149</v>
      </c>
      <c r="B18778" s="0" t="s">
        <v>75</v>
      </c>
      <c r="C18778" s="5" t="n">
        <f aca="false">Sens!$C$18777/shd_val</f>
        <v>254.682104071</v>
      </c>
    </row>
    <row r="18779" customFormat="false" ht="15" hidden="false" customHeight="false" outlineLevel="0" collapsed="false">
      <c r="A18779" s="1" t="s">
        <v>1228</v>
      </c>
      <c r="B18779" s="0" t="s">
        <v>75</v>
      </c>
      <c r="C18779" s="8" t="n">
        <f aca="false">div_rem27+Sens!G18747*roll_div_q/q_per_yr</f>
        <v>3.9795</v>
      </c>
    </row>
    <row r="18780" customFormat="false" ht="17.15" hidden="false" customHeight="false" outlineLevel="0" collapsed="false">
      <c r="A18780" s="0" t="s">
        <v>1229</v>
      </c>
      <c r="B18780" s="0" t="s">
        <v>75</v>
      </c>
      <c r="C18780" s="5" t="n">
        <f aca="false">Sens!$C$18778*(1+wacc)^t_roll-Sens!$C$18779</f>
        <v>279.113872672582</v>
      </c>
    </row>
    <row r="18781" customFormat="false" ht="17.15" hidden="false" customHeight="false" outlineLevel="0" collapsed="false">
      <c r="A18781" s="1" t="s">
        <v>1230</v>
      </c>
      <c r="B18781" s="0" t="s">
        <v>168</v>
      </c>
      <c r="F18781" s="7" t="n">
        <f aca="false">Sens!F18733/(Sens!F18678-Sens!F18633)</f>
        <v>0.0695228449556885</v>
      </c>
      <c r="G18781" s="7" t="n">
        <f aca="false">Sens!G18733/(Sens!G18678-Sens!G18633)</f>
        <v>0.0670116491692715</v>
      </c>
      <c r="H18781" s="7" t="n">
        <f aca="false">Sens!H18733/(Sens!H18678-Sens!H18633)</f>
        <v>0.0657327354845158</v>
      </c>
      <c r="I18781" s="7" t="n">
        <f aca="false">Sens!I18733/(Sens!I18678-Sens!I18633)</f>
        <v>0.0655375583566575</v>
      </c>
      <c r="J18781" s="7" t="n">
        <f aca="false">Sens!J18733/(Sens!J18678-Sens!J18633)</f>
        <v>0.0662078073398063</v>
      </c>
      <c r="K18781" s="7" t="n">
        <f aca="false">Sens!K18733/(Sens!K18678-Sens!K18633)</f>
        <v>0.0675040288970809</v>
      </c>
    </row>
    <row r="18782" customFormat="false" ht="17.15" hidden="false" customHeight="false" outlineLevel="0" collapsed="false">
      <c r="A18782" s="0" t="s">
        <v>1231</v>
      </c>
      <c r="B18782" s="0" t="s">
        <v>98</v>
      </c>
      <c r="F18782" s="6" t="n">
        <f aca="false">Sens!F18663*(al_m365+Sens!F18781+sbc_r)</f>
        <v>83.0178103949442</v>
      </c>
      <c r="G18782" s="6" t="n">
        <f aca="false">Sens!G18663*(al_m365+Sens!G18781+sbc_r)</f>
        <v>93.3994075245244</v>
      </c>
      <c r="H18782" s="6" t="n">
        <f aca="false">Sens!H18663*(al_m365+Sens!H18781+sbc_r)</f>
        <v>103.944218245501</v>
      </c>
      <c r="I18782" s="6" t="n">
        <f aca="false">Sens!I18663*(al_m365+Sens!I18781+sbc_r)</f>
        <v>113.975454494774</v>
      </c>
      <c r="J18782" s="6" t="n">
        <f aca="false">Sens!J18663*(al_m365+Sens!J18781+sbc_r)</f>
        <v>123.3037434715</v>
      </c>
      <c r="K18782" s="6" t="n">
        <f aca="false">Sens!K18663*(al_m365+Sens!K18781+sbc_r)</f>
        <v>132.236221953737</v>
      </c>
      <c r="L18782" s="12" t="s">
        <v>1232</v>
      </c>
    </row>
    <row r="18783" customFormat="false" ht="17.15" hidden="false" customHeight="false" outlineLevel="0" collapsed="false">
      <c r="A18783" s="0" t="s">
        <v>1233</v>
      </c>
      <c r="B18783" s="0" t="s">
        <v>98</v>
      </c>
      <c r="F18783" s="6" t="n">
        <f aca="false">Sens!F18664*(al_lic+Sens!F18781+sbc_r)</f>
        <v>32.8924381767421</v>
      </c>
      <c r="G18783" s="6" t="n">
        <f aca="false">Sens!G18664*(al_lic+Sens!G18781+sbc_r)</f>
        <v>34.1847707363626</v>
      </c>
      <c r="H18783" s="6" t="n">
        <f aca="false">Sens!H18664*(al_lic+Sens!H18781+sbc_r)</f>
        <v>35.3882909614849</v>
      </c>
      <c r="I18783" s="6" t="n">
        <f aca="false">Sens!I18664*(al_lic+Sens!I18781+sbc_r)</f>
        <v>36.4830712811679</v>
      </c>
      <c r="J18783" s="6" t="n">
        <f aca="false">Sens!J18664*(al_lic+Sens!J18781+sbc_r)</f>
        <v>37.4459327386044</v>
      </c>
      <c r="K18783" s="6" t="n">
        <f aca="false">Sens!K18664*(al_lic+Sens!K18781+sbc_r)</f>
        <v>38.2528522684233</v>
      </c>
    </row>
    <row r="18784" customFormat="false" ht="17.15" hidden="false" customHeight="false" outlineLevel="0" collapsed="false">
      <c r="A18784" s="0" t="s">
        <v>1234</v>
      </c>
      <c r="B18784" s="0" t="s">
        <v>98</v>
      </c>
      <c r="F18784" s="6" t="n">
        <f aca="false">Sens!F18666*(al_ind+Sens!F18781+sbc_r)</f>
        <v>9.08057472654742</v>
      </c>
      <c r="G18784" s="6" t="n">
        <f aca="false">Sens!G18666*(al_ind+Sens!G18781+sbc_r)</f>
        <v>9.86493450074726</v>
      </c>
      <c r="H18784" s="6" t="n">
        <f aca="false">Sens!H18666*(al_ind+Sens!H18781+sbc_r)</f>
        <v>10.6926437060185</v>
      </c>
      <c r="I18784" s="6" t="n">
        <f aca="false">Sens!I18666*(al_ind+Sens!I18781+sbc_r)</f>
        <v>11.559157382204</v>
      </c>
      <c r="J18784" s="6" t="n">
        <f aca="false">Sens!J18666*(al_ind+Sens!J18781+sbc_r)</f>
        <v>12.4558072291887</v>
      </c>
      <c r="K18784" s="6" t="n">
        <f aca="false">Sens!K18666*(al_ind+Sens!K18781+sbc_r)</f>
        <v>13.370518693259</v>
      </c>
    </row>
    <row r="18785" customFormat="false" ht="17.15" hidden="false" customHeight="false" outlineLevel="0" collapsed="false">
      <c r="A18785" s="0" t="s">
        <v>1235</v>
      </c>
      <c r="B18785" s="0" t="s">
        <v>98</v>
      </c>
      <c r="F18785" s="6" t="n">
        <f aca="false">Sens!F18668*(al_fro+Sens!F18781+sbc_r)</f>
        <v>3.56193654582736</v>
      </c>
      <c r="G18785" s="6" t="n">
        <f aca="false">Sens!G18668*(al_fro+Sens!G18781+sbc_r)</f>
        <v>3.77461306121</v>
      </c>
      <c r="H18785" s="6" t="n">
        <f aca="false">Sens!H18668*(al_fro+Sens!H18781+sbc_r)</f>
        <v>4.0155895606027</v>
      </c>
      <c r="I18785" s="6" t="n">
        <f aca="false">Sens!I18668*(al_fro+Sens!I18781+sbc_r)</f>
        <v>4.28715249591244</v>
      </c>
      <c r="J18785" s="6" t="n">
        <f aca="false">Sens!J18668*(al_fro+Sens!J18781+sbc_r)</f>
        <v>4.59089958019309</v>
      </c>
      <c r="K18785" s="6" t="n">
        <f aca="false">Sens!K18668*(al_fro+Sens!K18781+sbc_r)</f>
        <v>4.92803938969157</v>
      </c>
    </row>
    <row r="18786" customFormat="false" ht="17.15" hidden="false" customHeight="false" outlineLevel="0" collapsed="false">
      <c r="A18786" s="0" t="s">
        <v>1236</v>
      </c>
      <c r="B18786" s="0" t="s">
        <v>98</v>
      </c>
      <c r="F18786" s="6" t="n">
        <f aca="false">Sens!F18671*(al_srch+Sens!F18781+sbc_r)</f>
        <v>11.2139839108357</v>
      </c>
      <c r="G18786" s="6" t="n">
        <f aca="false">Sens!G18671*(al_srch+Sens!G18781+sbc_r)</f>
        <v>12.2975705899567</v>
      </c>
      <c r="H18786" s="6" t="n">
        <f aca="false">Sens!H18671*(al_srch+Sens!H18781+sbc_r)</f>
        <v>13.424215586521</v>
      </c>
      <c r="I18786" s="6" t="n">
        <f aca="false">Sens!I18671*(al_srch+Sens!I18781+sbc_r)</f>
        <v>14.5812866972951</v>
      </c>
      <c r="J18786" s="6" t="n">
        <f aca="false">Sens!J18671*(al_srch+Sens!J18781+sbc_r)</f>
        <v>15.7500252567646</v>
      </c>
      <c r="K18786" s="6" t="n">
        <f aca="false">Sens!K18671*(al_srch+Sens!K18781+sbc_r)</f>
        <v>16.9066527154812</v>
      </c>
    </row>
    <row r="18787" customFormat="false" ht="17.15" hidden="false" customHeight="false" outlineLevel="0" collapsed="false">
      <c r="A18787" s="0" t="s">
        <v>1237</v>
      </c>
      <c r="B18787" s="0" t="s">
        <v>98</v>
      </c>
      <c r="F18787" s="6" t="n">
        <f aca="false">Sens!F18639-Sens!F18640+Sens!F18721</f>
        <v>38.9696429794913</v>
      </c>
      <c r="G18787" s="6" t="n">
        <f aca="false">Sens!G18639-Sens!G18640+Sens!G18721</f>
        <v>69.465497726016</v>
      </c>
      <c r="H18787" s="6" t="n">
        <f aca="false">Sens!H18639-Sens!H18640+Sens!H18721</f>
        <v>96.8147106808268</v>
      </c>
      <c r="I18787" s="6" t="n">
        <f aca="false">Sens!I18639-Sens!I18640+Sens!I18721</f>
        <v>127.654939766446</v>
      </c>
      <c r="J18787" s="6" t="n">
        <f aca="false">Sens!J18639-Sens!J18640+Sens!J18721</f>
        <v>149.308352681229</v>
      </c>
      <c r="K18787" s="6" t="n">
        <f aca="false">Sens!K18639-Sens!K18640+Sens!K18721</f>
        <v>162.731822021841</v>
      </c>
    </row>
    <row r="18788" customFormat="false" ht="17.15" hidden="false" customHeight="false" outlineLevel="0" collapsed="false">
      <c r="A18788" s="0" t="s">
        <v>1238</v>
      </c>
      <c r="B18788" s="0" t="s">
        <v>98</v>
      </c>
      <c r="F18788" s="6" t="n">
        <f aca="false">Sens!F18700+Sens!F18721+Sens!F18651+Sens!F18781*(Sens!F18670-Sens!F18633)+sbc_r*Sens!F18670</f>
        <v>235.031998130048</v>
      </c>
      <c r="G18788" s="6" t="n">
        <f aca="false">Sens!G18700+Sens!G18721+Sens!G18651+Sens!G18781*(Sens!G18670-Sens!G18633)+sbc_r*Sens!G18670</f>
        <v>285.715325704752</v>
      </c>
      <c r="H18788" s="6" t="n">
        <f aca="false">Sens!H18700+Sens!H18721+Sens!H18651+Sens!H18781*(Sens!H18670-Sens!H18633)+sbc_r*Sens!H18670</f>
        <v>338.465186204515</v>
      </c>
      <c r="I18788" s="6" t="n">
        <f aca="false">Sens!I18700+Sens!I18721+Sens!I18651+Sens!I18781*(Sens!I18670-Sens!I18633)+sbc_r*Sens!I18670</f>
        <v>394.089828177401</v>
      </c>
      <c r="J18788" s="6" t="n">
        <f aca="false">Sens!J18700+Sens!J18721+Sens!J18651+Sens!J18781*(Sens!J18670-Sens!J18633)+sbc_r*Sens!J18670</f>
        <v>438.60834471961</v>
      </c>
      <c r="K18788" s="6" t="n">
        <f aca="false">Sens!K18700+Sens!K18721+Sens!K18651+Sens!K18781*(Sens!K18670-Sens!K18633)+sbc_r*Sens!K18670</f>
        <v>472.558272077686</v>
      </c>
    </row>
    <row r="18789" customFormat="false" ht="17.15" hidden="false" customHeight="false" outlineLevel="0" collapsed="false">
      <c r="A18789" s="0" t="s">
        <v>1239</v>
      </c>
      <c r="B18789" s="0" t="s">
        <v>98</v>
      </c>
      <c r="F18789" s="6" t="n">
        <f aca="false">Sens!F18788-Sens!F18782-Sens!F18783-Sens!F18784-Sens!F18785-Sens!F18787</f>
        <v>67.509595306496</v>
      </c>
      <c r="G18789" s="6" t="n">
        <f aca="false">Sens!G18788-Sens!G18782-Sens!G18783-Sens!G18784-Sens!G18785-Sens!G18787</f>
        <v>75.0261021558918</v>
      </c>
      <c r="H18789" s="6" t="n">
        <f aca="false">Sens!H18788-Sens!H18782-Sens!H18783-Sens!H18784-Sens!H18785-Sens!H18787</f>
        <v>87.6097330500805</v>
      </c>
      <c r="I18789" s="6" t="n">
        <f aca="false">Sens!I18788-Sens!I18782-Sens!I18783-Sens!I18784-Sens!I18785-Sens!I18787</f>
        <v>100.130052756896</v>
      </c>
      <c r="J18789" s="6" t="n">
        <f aca="false">Sens!J18788-Sens!J18782-Sens!J18783-Sens!J18784-Sens!J18785-Sens!J18787</f>
        <v>111.503609018895</v>
      </c>
      <c r="K18789" s="6" t="n">
        <f aca="false">Sens!K18788-Sens!K18782-Sens!K18783-Sens!K18784-Sens!K18785-Sens!K18787</f>
        <v>121.038817750734</v>
      </c>
    </row>
    <row r="18790" customFormat="false" ht="17.15" hidden="false" customHeight="false" outlineLevel="0" collapsed="false">
      <c r="A18790" s="0" t="s">
        <v>1240</v>
      </c>
      <c r="B18790" s="0" t="s">
        <v>98</v>
      </c>
      <c r="F18790" s="6" t="n">
        <f aca="false">Sens!F18702+Sens!F18781*Sens!F18677+sbc_r*Sens!F18677</f>
        <v>24.9616266741728</v>
      </c>
      <c r="G18790" s="6" t="n">
        <f aca="false">Sens!G18702+Sens!G18781*Sens!G18677+sbc_r*Sens!G18677</f>
        <v>24.8344936512351</v>
      </c>
      <c r="H18790" s="6" t="n">
        <f aca="false">Sens!H18702+Sens!H18781*Sens!H18677+sbc_r*Sens!H18677</f>
        <v>25.7230383871865</v>
      </c>
      <c r="I18790" s="6" t="n">
        <f aca="false">Sens!I18702+Sens!I18781*Sens!I18677+sbc_r*Sens!I18677</f>
        <v>26.8249229342985</v>
      </c>
      <c r="J18790" s="6" t="n">
        <f aca="false">Sens!J18702+Sens!J18781*Sens!J18677+sbc_r*Sens!J18677</f>
        <v>28.1092034148097</v>
      </c>
      <c r="K18790" s="6" t="n">
        <f aca="false">Sens!K18702+Sens!K18781*Sens!K18677+sbc_r*Sens!K18677</f>
        <v>29.5469768042375</v>
      </c>
    </row>
    <row r="18791" customFormat="false" ht="17.15" hidden="false" customHeight="false" outlineLevel="0" collapsed="false">
      <c r="A18791" s="0" t="s">
        <v>1241</v>
      </c>
      <c r="B18791" s="0" t="s">
        <v>98</v>
      </c>
      <c r="F18791" s="6" t="n">
        <f aca="false">(Sens!F18790-Sens!F18786)*Sens!F18673/(Sens!F18673+Sens!F18675)</f>
        <v>8.79134856609903</v>
      </c>
      <c r="G18791" s="6" t="n">
        <f aca="false">(Sens!G18790-Sens!G18786)*Sens!G18673/(Sens!G18673+Sens!G18675)</f>
        <v>7.90264251788746</v>
      </c>
      <c r="H18791" s="6" t="n">
        <f aca="false">(Sens!H18790-Sens!H18786)*Sens!H18673/(Sens!H18673+Sens!H18675)</f>
        <v>7.66846365557545</v>
      </c>
      <c r="I18791" s="6" t="n">
        <f aca="false">(Sens!I18790-Sens!I18786)*Sens!I18673/(Sens!I18673+Sens!I18675)</f>
        <v>7.57849011071043</v>
      </c>
      <c r="J18791" s="6" t="n">
        <f aca="false">(Sens!J18790-Sens!J18786)*Sens!J18673/(Sens!J18673+Sens!J18675)</f>
        <v>7.62215538738991</v>
      </c>
      <c r="K18791" s="6" t="n">
        <f aca="false">(Sens!K18790-Sens!K18786)*Sens!K18673/(Sens!K18673+Sens!K18675)</f>
        <v>7.79554377478998</v>
      </c>
    </row>
    <row r="18792" customFormat="false" ht="17.15" hidden="false" customHeight="false" outlineLevel="0" collapsed="false">
      <c r="A18792" s="0" t="s">
        <v>1242</v>
      </c>
      <c r="B18792" s="0" t="s">
        <v>98</v>
      </c>
      <c r="F18792" s="6" t="n">
        <f aca="false">Sens!F18790-Sens!F18786-Sens!F18791</f>
        <v>4.9562941972381</v>
      </c>
      <c r="G18792" s="6" t="n">
        <f aca="false">Sens!G18790-Sens!G18786-Sens!G18791</f>
        <v>4.63428054339099</v>
      </c>
      <c r="H18792" s="6" t="n">
        <f aca="false">Sens!H18790-Sens!H18786-Sens!H18791</f>
        <v>4.63035914509005</v>
      </c>
      <c r="I18792" s="6" t="n">
        <f aca="false">Sens!I18790-Sens!I18786-Sens!I18791</f>
        <v>4.66514612629303</v>
      </c>
      <c r="J18792" s="6" t="n">
        <f aca="false">Sens!J18790-Sens!J18786-Sens!J18791</f>
        <v>4.73702277065516</v>
      </c>
      <c r="K18792" s="6" t="n">
        <f aca="false">Sens!K18790-Sens!K18786-Sens!K18791</f>
        <v>4.84478031396635</v>
      </c>
    </row>
    <row r="18793" customFormat="false" ht="17.15" hidden="false" customHeight="false" outlineLevel="0" collapsed="false">
      <c r="A18793" s="0" t="s">
        <v>1243</v>
      </c>
      <c r="B18793" s="0" t="s">
        <v>98</v>
      </c>
      <c r="F18793" s="6" t="n">
        <f aca="false">Sens!F18787-tax_f*(Sens!F18787-Sens!F18651)-Sens!F18648</f>
        <v>-130.362326762856</v>
      </c>
      <c r="G18793" s="6" t="n">
        <f aca="false">Sens!G18787-tax_f*(Sens!G18787-Sens!G18651)-Sens!G18648</f>
        <v>-124.225179337776</v>
      </c>
      <c r="H18793" s="6" t="n">
        <f aca="false">Sens!H18787-tax_f*(Sens!H18787-Sens!H18651)-Sens!H18648</f>
        <v>-101.534217387562</v>
      </c>
      <c r="I18793" s="6" t="n">
        <f aca="false">Sens!I18787-tax_f*(Sens!I18787-Sens!I18651)-Sens!I18648</f>
        <v>-43.6446798695439</v>
      </c>
      <c r="J18793" s="6" t="n">
        <f aca="false">Sens!J18787-tax_f*(Sens!J18787-Sens!J18651)-Sens!J18648</f>
        <v>16.9198855589618</v>
      </c>
      <c r="K18793" s="6" t="n">
        <f aca="false">Sens!K18787-tax_f*(Sens!K18787-Sens!K18651)-Sens!K18648</f>
        <v>39.8251384629271</v>
      </c>
    </row>
    <row r="18794" customFormat="false" ht="17.15" hidden="false" customHeight="false" outlineLevel="0" collapsed="false">
      <c r="A18794" s="0" t="s">
        <v>1244</v>
      </c>
      <c r="B18794" s="0" t="s">
        <v>98</v>
      </c>
      <c r="G18794" s="6" t="n">
        <f aca="false">Sens!G18793/(1+wacc)^(Sens!G18764-Sens!F18765)</f>
        <v>-118.286276192192</v>
      </c>
      <c r="H18794" s="6" t="n">
        <f aca="false">Sens!H18793/(1+wacc)^(Sens!H18764-Sens!F18765)</f>
        <v>-87.6570009910427</v>
      </c>
      <c r="I18794" s="6" t="n">
        <f aca="false">Sens!I18793/(1+wacc)^(Sens!I18764-Sens!F18765)</f>
        <v>-34.1629172979204</v>
      </c>
      <c r="J18794" s="6" t="n">
        <f aca="false">Sens!J18793/(1+wacc)^(Sens!J18764-Sens!F18765)</f>
        <v>12.0079954170053</v>
      </c>
      <c r="K18794" s="6" t="n">
        <f aca="false">Sens!K18793/(1+wacc)^(Sens!K18764-Sens!F18765)</f>
        <v>25.6259421582556</v>
      </c>
      <c r="L18794" s="1" t="s">
        <v>1245</v>
      </c>
    </row>
    <row r="18795" customFormat="false" ht="17.15" hidden="false" customHeight="false" outlineLevel="0" collapsed="false">
      <c r="A18795" s="0" t="s">
        <v>1246</v>
      </c>
      <c r="B18795" s="0" t="s">
        <v>98</v>
      </c>
      <c r="C18795" s="6" t="n">
        <f aca="false">(Sens!K18787-Sens!K18651)*(1-tax_f)*(1+g_tv)*(1-g_tv/(wacc+ronic_prem))/(wacc-g_tv)/(1+wacc)^(Sens!K18765-Sens!F18765)</f>
        <v>96.7148026864948</v>
      </c>
    </row>
    <row r="18796" customFormat="false" ht="17.15" hidden="false" customHeight="false" outlineLevel="0" collapsed="false">
      <c r="A18796" s="1" t="s">
        <v>1247</v>
      </c>
      <c r="B18796" s="0" t="s">
        <v>98</v>
      </c>
      <c r="C18796" s="6" t="n">
        <f aca="false">(SUM(Sens!G18794:K18794)+Sens!$C$18795)*(1+wacc)^(t_roll-Sens!F18765)</f>
        <v>-109.248827617462</v>
      </c>
      <c r="L18796" s="12" t="s">
        <v>1248</v>
      </c>
    </row>
    <row r="18797" customFormat="false" ht="17.15" hidden="false" customHeight="false" outlineLevel="0" collapsed="false">
      <c r="A18797" s="1" t="s">
        <v>1249</v>
      </c>
      <c r="B18797" s="0" t="s">
        <v>98</v>
      </c>
      <c r="C18797" s="6" t="n">
        <f aca="false">(w_ntm28*Sens!G18639+(1-w_ntm28)*Sens!H18639)*m_ai</f>
        <v>344.355829012336</v>
      </c>
    </row>
    <row r="18798" customFormat="false" ht="17.15" hidden="false" customHeight="false" outlineLevel="0" collapsed="false">
      <c r="A18798" s="1" t="s">
        <v>1250</v>
      </c>
      <c r="B18798" s="0" t="s">
        <v>98</v>
      </c>
      <c r="C18798" s="6" t="n">
        <f aca="false">(w_ntm28*Sens!G18789+(1-w_ntm28)*Sens!H18789)*m_cloud</f>
        <v>1094.03523446544</v>
      </c>
    </row>
    <row r="18799" customFormat="false" ht="17.15" hidden="false" customHeight="false" outlineLevel="0" collapsed="false">
      <c r="A18799" s="1" t="s">
        <v>1251</v>
      </c>
      <c r="B18799" s="0" t="s">
        <v>98</v>
      </c>
      <c r="C18799" s="6" t="n">
        <f aca="false">(w_ntm28*Sens!G18782+(1-w_ntm28)*Sens!H18782)*m_sw</f>
        <v>1046.15490179743</v>
      </c>
    </row>
    <row r="18800" customFormat="false" ht="17.15" hidden="false" customHeight="false" outlineLevel="0" collapsed="false">
      <c r="A18800" s="1" t="s">
        <v>1252</v>
      </c>
      <c r="B18800" s="0" t="s">
        <v>98</v>
      </c>
      <c r="C18800" s="6" t="n">
        <f aca="false">(w_ntm28*Sens!G18783+(1-w_ntm28)*Sens!H18783)*m_sw</f>
        <v>373.468845080822</v>
      </c>
    </row>
    <row r="18801" customFormat="false" ht="17.15" hidden="false" customHeight="false" outlineLevel="0" collapsed="false">
      <c r="A18801" s="1" t="s">
        <v>1253</v>
      </c>
      <c r="B18801" s="0" t="s">
        <v>98</v>
      </c>
      <c r="C18801" s="6" t="n">
        <f aca="false">(w_ntm28*Sens!G18784+(1-w_ntm28)*Sens!H18784)*m_sw</f>
        <v>109.480227210897</v>
      </c>
    </row>
    <row r="18802" customFormat="false" ht="17.15" hidden="false" customHeight="false" outlineLevel="0" collapsed="false">
      <c r="A18802" s="1" t="s">
        <v>1254</v>
      </c>
      <c r="B18802" s="0" t="s">
        <v>98</v>
      </c>
      <c r="C18802" s="6" t="n">
        <f aca="false">(w_ntm28*Sens!G18785+(1-w_ntm28)*Sens!H18785)*m_sw</f>
        <v>41.6214526863089</v>
      </c>
    </row>
    <row r="18803" customFormat="false" ht="17.15" hidden="false" customHeight="false" outlineLevel="0" collapsed="false">
      <c r="A18803" s="1" t="s">
        <v>1255</v>
      </c>
      <c r="B18803" s="0" t="s">
        <v>98</v>
      </c>
      <c r="C18803" s="6" t="n">
        <f aca="false">(w_ntm28*Sens!G18786+(1-w_ntm28)*Sens!H18786)*m_ads</f>
        <v>115.405247006681</v>
      </c>
    </row>
    <row r="18804" customFormat="false" ht="17.15" hidden="false" customHeight="false" outlineLevel="0" collapsed="false">
      <c r="A18804" s="1" t="s">
        <v>1256</v>
      </c>
      <c r="B18804" s="0" t="s">
        <v>98</v>
      </c>
      <c r="C18804" s="6" t="n">
        <f aca="false">(w_ntm28*Sens!G18791+(1-w_ntm28)*Sens!H18791)*m_game</f>
        <v>98.8379873742883</v>
      </c>
    </row>
    <row r="18805" customFormat="false" ht="17.15" hidden="false" customHeight="false" outlineLevel="0" collapsed="false">
      <c r="A18805" s="1" t="s">
        <v>1257</v>
      </c>
      <c r="B18805" s="0" t="s">
        <v>98</v>
      </c>
      <c r="C18805" s="6" t="n">
        <f aca="false">(w_ntm28*Sens!G18792+(1-w_ntm28)*Sens!H18792)*m_pc</f>
        <v>67.0393843505122</v>
      </c>
    </row>
    <row r="18806" customFormat="false" ht="17.15" hidden="false" customHeight="false" outlineLevel="0" collapsed="false">
      <c r="A18806" s="1" t="s">
        <v>1258</v>
      </c>
      <c r="B18806" s="0" t="s">
        <v>98</v>
      </c>
      <c r="C18806" s="6" t="n">
        <f aca="false">Sens!$C$18796+Sens!$C$18798+Sens!$C$18799+Sens!$C$18800+Sens!$C$18801+Sens!$C$18802+Sens!$C$18803+Sens!$C$18804+Sens!$C$18805</f>
        <v>2836.79445235492</v>
      </c>
    </row>
    <row r="18807" customFormat="false" ht="17.15" hidden="false" customHeight="false" outlineLevel="0" collapsed="false">
      <c r="A18807" s="1" t="s">
        <v>1259</v>
      </c>
      <c r="B18807" s="0" t="s">
        <v>98</v>
      </c>
      <c r="C18807" s="6" t="n">
        <f aca="false">(Sens!G18768-Sens!G18793)*t_stub</f>
        <v>47.181263572957</v>
      </c>
      <c r="L18807" s="1" t="s">
        <v>1260</v>
      </c>
    </row>
    <row r="18808" customFormat="false" ht="17.15" hidden="false" customHeight="false" outlineLevel="0" collapsed="false">
      <c r="A18808" s="1" t="s">
        <v>1169</v>
      </c>
      <c r="B18808" s="0" t="s">
        <v>98</v>
      </c>
      <c r="C18808" s="6" t="n">
        <f aca="false">Sens!F18755+oai_v-Sens!F18744+Sens!$C$18807</f>
        <v>157.144129945727</v>
      </c>
      <c r="L18808" s="1" t="s">
        <v>1261</v>
      </c>
    </row>
    <row r="18809" customFormat="false" ht="17.15" hidden="false" customHeight="false" outlineLevel="0" collapsed="false">
      <c r="A18809" s="1" t="s">
        <v>1262</v>
      </c>
      <c r="B18809" s="0" t="s">
        <v>75</v>
      </c>
      <c r="C18809" s="5" t="n">
        <f aca="false">(Sens!$C$18806+Sens!$C$18808)/(Sens!F18757+dil_gap)-Sens!G18747*roll_div_q/q_per_yr</f>
        <v>398.365326881089</v>
      </c>
      <c r="L18809" s="1" t="s">
        <v>1263</v>
      </c>
    </row>
    <row r="18810" customFormat="false" ht="17.15" hidden="false" customHeight="false" outlineLevel="0" collapsed="false">
      <c r="A18810" s="1" t="s">
        <v>1264</v>
      </c>
      <c r="B18810" s="0" t="s">
        <v>75</v>
      </c>
      <c r="C18810" s="5" t="n">
        <f aca="false">w_dcf*Sens!$C$18780+(1-w_dcf)*Sens!$C$18809</f>
        <v>338.739599776836</v>
      </c>
    </row>
    <row r="18811" customFormat="false" ht="17.15" hidden="false" customHeight="false" outlineLevel="0" collapsed="false">
      <c r="A18811" s="3" t="s">
        <v>1944</v>
      </c>
    </row>
    <row r="18812" customFormat="false" ht="15" hidden="false" customHeight="false" outlineLevel="0" collapsed="false">
      <c r="A18812" s="4" t="s">
        <v>43</v>
      </c>
      <c r="B18812" s="4" t="s">
        <v>65</v>
      </c>
      <c r="C18812" s="23" t="s">
        <v>938</v>
      </c>
      <c r="D18812" s="23" t="s">
        <v>939</v>
      </c>
      <c r="E18812" s="23" t="s">
        <v>940</v>
      </c>
      <c r="F18812" s="23" t="s">
        <v>941</v>
      </c>
      <c r="G18812" s="23" t="s">
        <v>942</v>
      </c>
      <c r="H18812" s="23" t="s">
        <v>943</v>
      </c>
      <c r="I18812" s="23" t="s">
        <v>944</v>
      </c>
      <c r="J18812" s="23" t="s">
        <v>945</v>
      </c>
      <c r="K18812" s="23" t="s">
        <v>946</v>
      </c>
      <c r="L18812" s="4" t="s">
        <v>47</v>
      </c>
    </row>
    <row r="18813" customFormat="false" ht="17.15" hidden="false" customHeight="false" outlineLevel="0" collapsed="false">
      <c r="A18813" s="1" t="s">
        <v>947</v>
      </c>
      <c r="B18813" s="1" t="s">
        <v>279</v>
      </c>
      <c r="C18813" s="21" t="n">
        <v>2024</v>
      </c>
      <c r="D18813" s="21" t="n">
        <v>2025</v>
      </c>
      <c r="E18813" s="21" t="n">
        <v>2026</v>
      </c>
      <c r="F18813" s="21" t="n">
        <v>2027</v>
      </c>
      <c r="G18813" s="21" t="n">
        <v>2028</v>
      </c>
      <c r="H18813" s="21" t="n">
        <v>2029</v>
      </c>
      <c r="I18813" s="21" t="n">
        <v>2030</v>
      </c>
      <c r="J18813" s="21" t="n">
        <v>2031</v>
      </c>
      <c r="K18813" s="21" t="n">
        <v>2032</v>
      </c>
    </row>
    <row r="18814" customFormat="false" ht="17.15" hidden="false" customHeight="false" outlineLevel="0" collapsed="false">
      <c r="A18814" s="1" t="s">
        <v>948</v>
      </c>
      <c r="B18814" s="0" t="s">
        <v>456</v>
      </c>
      <c r="F18814" s="30" t="n">
        <f aca="false">pace_nv0</f>
        <v>2645.0669</v>
      </c>
      <c r="G18814" s="30" t="n">
        <f aca="false">pace_nv0</f>
        <v>2645.0669</v>
      </c>
      <c r="H18814" s="30" t="n">
        <f aca="false">pace_nv0</f>
        <v>2645.0669</v>
      </c>
      <c r="I18814" s="30" t="n">
        <f aca="false">pace_nv0+(g_tv*Sens!H18815-pace_nv0)*MIN(1,(Sens!I18813-pace_y0)/(pace_y1-pace_y0))</f>
        <v>1875.22994033333</v>
      </c>
      <c r="J18814" s="30" t="n">
        <f aca="false">pace_nv0+(g_tv*Sens!I18815-pace_nv0)*MIN(1,(Sens!J18813-pace_y0)/(pace_y1-pace_y0))</f>
        <v>1142.89757947333</v>
      </c>
      <c r="K18814" s="30" t="n">
        <f aca="false">pace_nv0+(g_tv*Sens!J18815-pace_nv0)*MIN(1,(Sens!K18813-pace_y0)/(pace_y1-pace_y0))</f>
        <v>426.0998465942</v>
      </c>
      <c r="L18814" s="12" t="s">
        <v>949</v>
      </c>
    </row>
    <row r="18815" customFormat="false" ht="17.15" hidden="false" customHeight="false" outlineLevel="0" collapsed="false">
      <c r="A18815" s="1" t="s">
        <v>950</v>
      </c>
      <c r="B18815" s="0" t="s">
        <v>456</v>
      </c>
      <c r="C18815" s="30" t="n">
        <f aca="false">mw_ext_24</f>
        <v>640</v>
      </c>
      <c r="D18815" s="30" t="n">
        <f aca="false">mw_ext_25</f>
        <v>1630</v>
      </c>
      <c r="E18815" s="30" t="n">
        <f aca="false">mw_ext_26</f>
        <v>3250</v>
      </c>
      <c r="F18815" s="30" t="n">
        <f aca="false">Sens!E18815+Sens!F18814</f>
        <v>5895.0669</v>
      </c>
      <c r="G18815" s="30" t="n">
        <f aca="false">Sens!F18815+Sens!G18814</f>
        <v>8540.1338</v>
      </c>
      <c r="H18815" s="30" t="n">
        <f aca="false">Sens!G18815+Sens!H18814</f>
        <v>11185.2007</v>
      </c>
      <c r="I18815" s="30" t="n">
        <f aca="false">Sens!H18815+Sens!I18814</f>
        <v>13060.4306403333</v>
      </c>
      <c r="J18815" s="30" t="n">
        <f aca="false">Sens!I18815+Sens!J18814</f>
        <v>14203.3282198067</v>
      </c>
      <c r="K18815" s="30" t="n">
        <f aca="false">Sens!J18815+Sens!K18814</f>
        <v>14629.4280664009</v>
      </c>
      <c r="L18815" s="1" t="s">
        <v>951</v>
      </c>
    </row>
    <row r="18816" customFormat="false" ht="17.15" hidden="false" customHeight="false" outlineLevel="0" collapsed="false">
      <c r="A18816" s="1" t="s">
        <v>952</v>
      </c>
      <c r="B18816" s="0" t="s">
        <v>456</v>
      </c>
      <c r="C18816" s="30" t="n">
        <f aca="false">rent_ext_24</f>
        <v>150</v>
      </c>
      <c r="D18816" s="30" t="n">
        <f aca="false">rent_ext_25</f>
        <v>400</v>
      </c>
      <c r="E18816" s="30" t="n">
        <f aca="false">rent_ext_26</f>
        <v>550</v>
      </c>
      <c r="F18816" s="30" t="n">
        <f aca="false">rent_ext_f</f>
        <v>756</v>
      </c>
      <c r="G18816" s="30" t="n">
        <f aca="false">rent_ext_f</f>
        <v>756</v>
      </c>
      <c r="H18816" s="30" t="n">
        <f aca="false">rent_ext_f</f>
        <v>756</v>
      </c>
      <c r="I18816" s="30" t="n">
        <f aca="false">rent_ext_f</f>
        <v>756</v>
      </c>
      <c r="J18816" s="30" t="n">
        <f aca="false">rent_ext_f</f>
        <v>756</v>
      </c>
      <c r="K18816" s="30" t="n">
        <f aca="false">rent_ext_f</f>
        <v>756</v>
      </c>
      <c r="L18816" s="1" t="s">
        <v>953</v>
      </c>
    </row>
    <row r="18817" customFormat="false" ht="17.15" hidden="false" customHeight="false" outlineLevel="0" collapsed="false">
      <c r="A18817" s="1" t="s">
        <v>954</v>
      </c>
      <c r="B18817" s="0" t="s">
        <v>456</v>
      </c>
      <c r="C18817" s="30" t="n">
        <f aca="false">Sens!C18815-Sens!C18816</f>
        <v>490</v>
      </c>
      <c r="D18817" s="30" t="n">
        <f aca="false">Sens!D18815-Sens!D18816</f>
        <v>1230</v>
      </c>
      <c r="E18817" s="30" t="n">
        <f aca="false">Sens!E18815-Sens!E18816</f>
        <v>2700</v>
      </c>
      <c r="F18817" s="30" t="n">
        <f aca="false">Sens!F18815-Sens!F18816</f>
        <v>5139.0669</v>
      </c>
      <c r="G18817" s="30" t="n">
        <f aca="false">Sens!G18815-Sens!G18816</f>
        <v>7784.1338</v>
      </c>
      <c r="H18817" s="30" t="n">
        <f aca="false">Sens!H18815-Sens!H18816</f>
        <v>10429.2007</v>
      </c>
      <c r="I18817" s="30" t="n">
        <f aca="false">Sens!I18815-Sens!I18816</f>
        <v>12304.4306403333</v>
      </c>
      <c r="J18817" s="30" t="n">
        <f aca="false">Sens!J18815-Sens!J18816</f>
        <v>13447.3282198067</v>
      </c>
      <c r="K18817" s="30" t="n">
        <f aca="false">Sens!K18815-Sens!K18816</f>
        <v>13873.4280664009</v>
      </c>
    </row>
    <row r="18818" customFormat="false" ht="17.15" hidden="false" customHeight="false" outlineLevel="0" collapsed="false">
      <c r="A18818" s="1" t="s">
        <v>955</v>
      </c>
      <c r="B18818" s="0" t="s">
        <v>456</v>
      </c>
      <c r="C18818" s="30" t="n">
        <f aca="false">Sens!C18817/ext_sh</f>
        <v>816.666666666667</v>
      </c>
      <c r="D18818" s="30" t="n">
        <f aca="false">Sens!D18817/ext_sh</f>
        <v>2050</v>
      </c>
      <c r="E18818" s="30" t="n">
        <f aca="false">Sens!E18817/ext_sh</f>
        <v>4500</v>
      </c>
      <c r="F18818" s="30" t="n">
        <f aca="false">Sens!F18817/ext_sh</f>
        <v>8565.1115</v>
      </c>
      <c r="G18818" s="30" t="n">
        <f aca="false">Sens!G18817/ext_sh</f>
        <v>12973.5563333333</v>
      </c>
      <c r="H18818" s="30" t="n">
        <f aca="false">Sens!H18817/ext_sh</f>
        <v>17382.0011666667</v>
      </c>
      <c r="I18818" s="30" t="n">
        <f aca="false">Sens!I18817/ext_sh</f>
        <v>20507.3844005556</v>
      </c>
      <c r="J18818" s="30" t="n">
        <f aca="false">Sens!J18817/ext_sh</f>
        <v>22412.2136996778</v>
      </c>
      <c r="K18818" s="30" t="n">
        <f aca="false">Sens!K18817/ext_sh</f>
        <v>23122.3801106681</v>
      </c>
      <c r="L18818" s="1" t="s">
        <v>956</v>
      </c>
    </row>
    <row r="18819" customFormat="false" ht="17.15" hidden="false" customHeight="false" outlineLevel="0" collapsed="false">
      <c r="A18819" s="1" t="s">
        <v>957</v>
      </c>
      <c r="B18819" s="0" t="s">
        <v>456</v>
      </c>
      <c r="C18819" s="30" t="n">
        <f aca="false">Sens!C18818-Sens!C18817</f>
        <v>326.666666666667</v>
      </c>
      <c r="D18819" s="30" t="n">
        <f aca="false">Sens!D18818-Sens!D18817</f>
        <v>820</v>
      </c>
      <c r="E18819" s="30" t="n">
        <f aca="false">Sens!E18818-Sens!E18817</f>
        <v>1800</v>
      </c>
      <c r="F18819" s="30" t="n">
        <f aca="false">Sens!F18818-Sens!F18817</f>
        <v>3426.0446</v>
      </c>
      <c r="G18819" s="30" t="n">
        <f aca="false">Sens!G18818-Sens!G18817</f>
        <v>5189.42253333333</v>
      </c>
      <c r="H18819" s="30" t="n">
        <f aca="false">Sens!H18818-Sens!H18817</f>
        <v>6952.80046666667</v>
      </c>
      <c r="I18819" s="30" t="n">
        <f aca="false">Sens!I18818-Sens!I18817</f>
        <v>8202.95376022222</v>
      </c>
      <c r="J18819" s="30" t="n">
        <f aca="false">Sens!J18818-Sens!J18817</f>
        <v>8964.88547987111</v>
      </c>
      <c r="K18819" s="30" t="n">
        <f aca="false">Sens!K18818-Sens!K18817</f>
        <v>9248.95204426724</v>
      </c>
    </row>
    <row r="18820" customFormat="false" ht="17.15" hidden="false" customHeight="false" outlineLevel="0" collapsed="false">
      <c r="A18820" s="1" t="s">
        <v>958</v>
      </c>
      <c r="B18820" s="0" t="s">
        <v>456</v>
      </c>
      <c r="C18820" s="30" t="n">
        <f aca="false">Sens!C18818</f>
        <v>816.666666666667</v>
      </c>
      <c r="D18820" s="30" t="n">
        <f aca="false">Sens!D18818-Sens!C18818</f>
        <v>1233.33333333333</v>
      </c>
      <c r="E18820" s="30" t="n">
        <f aca="false">Sens!E18818-Sens!D18818</f>
        <v>2450</v>
      </c>
      <c r="F18820" s="30" t="n">
        <f aca="false">Sens!F18818-Sens!E18818</f>
        <v>4065.1115</v>
      </c>
      <c r="G18820" s="30" t="n">
        <f aca="false">Sens!G18818-Sens!F18818</f>
        <v>4408.44483333333</v>
      </c>
      <c r="H18820" s="30" t="n">
        <f aca="false">Sens!H18818-Sens!G18818</f>
        <v>4408.44483333333</v>
      </c>
      <c r="I18820" s="30" t="n">
        <f aca="false">Sens!I18818-Sens!H18818</f>
        <v>3125.38323388889</v>
      </c>
      <c r="J18820" s="30" t="n">
        <f aca="false">Sens!J18818-Sens!I18818</f>
        <v>1904.82929912222</v>
      </c>
      <c r="K18820" s="30" t="n">
        <f aca="false">Sens!K18818-Sens!J18818</f>
        <v>710.166410990332</v>
      </c>
    </row>
    <row r="18821" customFormat="false" ht="17.15" hidden="false" customHeight="false" outlineLevel="0" collapsed="false">
      <c r="A18821" s="1" t="s">
        <v>959</v>
      </c>
      <c r="B18821" s="0" t="s">
        <v>456</v>
      </c>
      <c r="D18821" s="30" t="n">
        <f aca="false">Sens!D18815-Sens!C18815</f>
        <v>990</v>
      </c>
      <c r="E18821" s="30" t="n">
        <f aca="false">Sens!E18815-Sens!D18815</f>
        <v>1620</v>
      </c>
      <c r="F18821" s="30" t="n">
        <f aca="false">Sens!F18815-Sens!E18815</f>
        <v>2645.0669</v>
      </c>
      <c r="G18821" s="30" t="n">
        <f aca="false">Sens!G18815-Sens!F18815</f>
        <v>2645.0669</v>
      </c>
      <c r="H18821" s="30" t="n">
        <f aca="false">Sens!H18815-Sens!G18815</f>
        <v>2645.0669</v>
      </c>
      <c r="I18821" s="30" t="n">
        <f aca="false">Sens!I18815-Sens!H18815</f>
        <v>1875.22994033333</v>
      </c>
      <c r="J18821" s="30" t="n">
        <f aca="false">Sens!J18815-Sens!I18815</f>
        <v>1142.89757947333</v>
      </c>
      <c r="K18821" s="30" t="n">
        <f aca="false">Sens!K18815-Sens!J18815</f>
        <v>426.099846594199</v>
      </c>
    </row>
    <row r="18822" customFormat="false" ht="17.15" hidden="false" customHeight="false" outlineLevel="0" collapsed="false">
      <c r="A18822" s="1" t="s">
        <v>960</v>
      </c>
      <c r="B18822" s="0" t="s">
        <v>456</v>
      </c>
      <c r="F18822" s="30" t="n">
        <f aca="false">Sens!F18841*ext_sh</f>
        <v>0</v>
      </c>
      <c r="G18822" s="30" t="n">
        <f aca="false">Sens!G18841*ext_sh</f>
        <v>0</v>
      </c>
      <c r="H18822" s="30" t="n">
        <f aca="false">Sens!H18841*ext_sh</f>
        <v>0</v>
      </c>
      <c r="I18822" s="30" t="n">
        <f aca="false">Sens!I18841*ext_sh</f>
        <v>490</v>
      </c>
      <c r="J18822" s="30" t="n">
        <f aca="false">Sens!J18841*ext_sh</f>
        <v>740</v>
      </c>
      <c r="K18822" s="30" t="n">
        <f aca="false">Sens!K18841*ext_sh</f>
        <v>1470</v>
      </c>
      <c r="L18822" s="1" t="s">
        <v>961</v>
      </c>
    </row>
    <row r="18823" customFormat="false" ht="17.15" hidden="false" customHeight="false" outlineLevel="0" collapsed="false">
      <c r="A18823" s="1" t="s">
        <v>962</v>
      </c>
      <c r="B18823" s="0" t="s">
        <v>456</v>
      </c>
      <c r="C18823" s="30" t="n">
        <f aca="false">mix_h*Sens!C18815</f>
        <v>128</v>
      </c>
      <c r="D18823" s="30" t="n">
        <f aca="false">mix_h*Sens!D18815</f>
        <v>326</v>
      </c>
      <c r="E18823" s="30" t="n">
        <f aca="false">mix_h*Sens!E18815</f>
        <v>650</v>
      </c>
      <c r="F18823" s="30" t="n">
        <f aca="false">Sens!E18823-Sens!F18822*mix_h</f>
        <v>650</v>
      </c>
      <c r="G18823" s="30" t="n">
        <f aca="false">Sens!F18823-Sens!G18822*mix_h</f>
        <v>650</v>
      </c>
      <c r="H18823" s="30" t="n">
        <f aca="false">Sens!G18823-Sens!H18822*mix_h</f>
        <v>650</v>
      </c>
      <c r="I18823" s="30" t="n">
        <f aca="false">Sens!H18823-Sens!I18822*mix_h</f>
        <v>552</v>
      </c>
      <c r="J18823" s="30" t="n">
        <f aca="false">Sens!I18823-Sens!J18822*mix_h</f>
        <v>404</v>
      </c>
      <c r="K18823" s="30" t="n">
        <f aca="false">Sens!J18823-Sens!K18822*mix_h</f>
        <v>110</v>
      </c>
    </row>
    <row r="18824" customFormat="false" ht="17.15" hidden="false" customHeight="false" outlineLevel="0" collapsed="false">
      <c r="A18824" s="1" t="s">
        <v>963</v>
      </c>
      <c r="B18824" s="0" t="s">
        <v>456</v>
      </c>
      <c r="C18824" s="30" t="n">
        <f aca="false">mix_g2*Sens!C18815</f>
        <v>288</v>
      </c>
      <c r="D18824" s="30" t="n">
        <f aca="false">mix_g2*Sens!D18815</f>
        <v>733.5</v>
      </c>
      <c r="E18824" s="30" t="n">
        <f aca="false">mix_g2*Sens!E18815</f>
        <v>1462.5</v>
      </c>
      <c r="F18824" s="30" t="n">
        <f aca="false">Sens!E18824-Sens!F18822*mix_g2</f>
        <v>1462.5</v>
      </c>
      <c r="G18824" s="30" t="n">
        <f aca="false">Sens!F18824-Sens!G18822*mix_g2</f>
        <v>1462.5</v>
      </c>
      <c r="H18824" s="30" t="n">
        <f aca="false">Sens!G18824-Sens!H18822*mix_g2</f>
        <v>1462.5</v>
      </c>
      <c r="I18824" s="30" t="n">
        <f aca="false">Sens!H18824-Sens!I18822*mix_g2</f>
        <v>1242</v>
      </c>
      <c r="J18824" s="30" t="n">
        <f aca="false">Sens!I18824-Sens!J18822*mix_g2</f>
        <v>909</v>
      </c>
      <c r="K18824" s="30" t="n">
        <f aca="false">Sens!J18824-Sens!K18822*mix_g2</f>
        <v>247.5</v>
      </c>
    </row>
    <row r="18825" customFormat="false" ht="17.15" hidden="false" customHeight="false" outlineLevel="0" collapsed="false">
      <c r="A18825" s="1" t="s">
        <v>964</v>
      </c>
      <c r="B18825" s="0" t="s">
        <v>456</v>
      </c>
      <c r="C18825" s="30" t="n">
        <f aca="false">mix_g3*Sens!C18815</f>
        <v>224</v>
      </c>
      <c r="D18825" s="30" t="n">
        <f aca="false">mix_g3*Sens!D18815</f>
        <v>570.5</v>
      </c>
      <c r="E18825" s="30" t="n">
        <f aca="false">mix_g3*Sens!E18815</f>
        <v>1137.5</v>
      </c>
      <c r="F18825" s="30" t="n">
        <f aca="false">Sens!E18825+(Sens!F18821+Sens!F18822)*(a_g3_27-0*a_mai)-Sens!F18822*mix_g3</f>
        <v>2989.04683</v>
      </c>
      <c r="G18825" s="30" t="n">
        <f aca="false">Sens!F18825+(Sens!G18821+Sens!G18822)*(a_g3_28-0*a_mai)-Sens!G18822*mix_g3</f>
        <v>3782.5669</v>
      </c>
      <c r="H18825" s="30" t="n">
        <f aca="false">Sens!G18825+(Sens!H18821+Sens!H18822)*(a_g3_29-0*a_mai)-Sens!H18822*mix_g3</f>
        <v>4047.07359</v>
      </c>
      <c r="I18825" s="30" t="n">
        <f aca="false">Sens!H18825+(Sens!I18821+Sens!I18822)*(a_g3_29-0*a_mai)-Sens!I18822*mix_g3</f>
        <v>4112.09658403333</v>
      </c>
      <c r="J18825" s="30" t="n">
        <f aca="false">Sens!I18825+(Sens!J18821+Sens!J18822)*(a_g3_29-0*a_mai)-Sens!J18822*mix_g3</f>
        <v>4041.38634198067</v>
      </c>
      <c r="K18825" s="30" t="n">
        <f aca="false">Sens!J18825+(Sens!K18821+Sens!K18822)*(a_g3_29-0*a_mai)-Sens!K18822*mix_g3</f>
        <v>3716.49632664009</v>
      </c>
    </row>
    <row r="18826" customFormat="false" ht="17.15" hidden="false" customHeight="false" outlineLevel="0" collapsed="false">
      <c r="A18826" s="1" t="s">
        <v>965</v>
      </c>
      <c r="B18826" s="0" t="s">
        <v>456</v>
      </c>
      <c r="C18826" s="30" t="n">
        <v>0</v>
      </c>
      <c r="D18826" s="30" t="n">
        <v>0</v>
      </c>
      <c r="E18826" s="30" t="n">
        <v>0</v>
      </c>
      <c r="F18826" s="30" t="n">
        <f aca="false">Sens!E18826+(Sens!F18821+Sens!F18822)*0*a_mai</f>
        <v>0</v>
      </c>
      <c r="G18826" s="30" t="n">
        <f aca="false">Sens!F18826+(Sens!G18821+Sens!G18822)*0*a_mai</f>
        <v>0</v>
      </c>
      <c r="H18826" s="30" t="n">
        <f aca="false">Sens!G18826+(Sens!H18821+Sens!H18822)*0*a_mai</f>
        <v>0</v>
      </c>
      <c r="I18826" s="30" t="n">
        <f aca="false">Sens!H18826+(Sens!I18821+Sens!I18822)*0*a_mai</f>
        <v>0</v>
      </c>
      <c r="J18826" s="30" t="n">
        <f aca="false">Sens!I18826+(Sens!J18821+Sens!J18822)*0*a_mai</f>
        <v>0</v>
      </c>
      <c r="K18826" s="30" t="n">
        <f aca="false">Sens!J18826+(Sens!K18821+Sens!K18822)*0*a_mai</f>
        <v>0</v>
      </c>
      <c r="L18826" s="12" t="s">
        <v>966</v>
      </c>
    </row>
    <row r="18827" customFormat="false" ht="17.15" hidden="false" customHeight="false" outlineLevel="0" collapsed="false">
      <c r="A18827" s="1" t="s">
        <v>967</v>
      </c>
      <c r="B18827" s="0" t="s">
        <v>456</v>
      </c>
      <c r="C18827" s="30" t="n">
        <v>0</v>
      </c>
      <c r="D18827" s="30" t="n">
        <v>0</v>
      </c>
      <c r="E18827" s="30" t="n">
        <v>0</v>
      </c>
      <c r="F18827" s="30" t="n">
        <f aca="false">Sens!E18827+(Sens!F18821+Sens!F18822)*(1-a_g3_27)</f>
        <v>793.52007</v>
      </c>
      <c r="G18827" s="30" t="n">
        <f aca="false">Sens!F18827+(Sens!G18821+Sens!G18822)*(1-a_g3_28)</f>
        <v>2645.0669</v>
      </c>
      <c r="H18827" s="30" t="n">
        <f aca="false">Sens!G18827+(Sens!H18821+Sens!H18822)*(1-a_g3_29)</f>
        <v>5025.62711</v>
      </c>
      <c r="I18827" s="30" t="n">
        <f aca="false">Sens!H18827+(Sens!I18821+Sens!I18822)*(1-a_g3_29)</f>
        <v>7154.3340563</v>
      </c>
      <c r="J18827" s="30" t="n">
        <f aca="false">Sens!I18827+(Sens!J18821+Sens!J18822)*(1-a_g3_29)</f>
        <v>8848.941877826</v>
      </c>
      <c r="K18827" s="30" t="n">
        <f aca="false">Sens!J18827+(Sens!K18821+Sens!K18822)*(1-a_g3_29)</f>
        <v>10555.4317397608</v>
      </c>
    </row>
    <row r="18828" customFormat="false" ht="17.15" hidden="false" customHeight="false" outlineLevel="0" collapsed="false">
      <c r="A18828" s="1" t="s">
        <v>968</v>
      </c>
      <c r="B18828" s="0" t="s">
        <v>403</v>
      </c>
      <c r="C18828" s="15" t="n">
        <f aca="false">(Sens!C18823*tk_hold_h100+Sens!C18824*tk_hold_gb200+Sens!C18825*tk_hold_gb300+Sens!C18827*tk_hold_vr200+Sens!C18826*nv_hold_mai*tk_hold_vr200)/Sens!C18815</f>
        <v>9.7235358126469</v>
      </c>
      <c r="D18828" s="15" t="n">
        <f aca="false">(Sens!D18823*tk_hold_h100+Sens!D18824*tk_hold_gb200+Sens!D18825*tk_hold_gb300+Sens!D18827*tk_hold_vr200+Sens!D18826*nv_hold_mai*tk_hold_vr200)/Sens!D18815</f>
        <v>9.7235358126469</v>
      </c>
      <c r="E18828" s="15" t="n">
        <f aca="false">(Sens!E18823*tk_hold_h100+Sens!E18824*tk_hold_gb200+Sens!E18825*tk_hold_gb300+Sens!E18827*tk_hold_vr200+Sens!E18826*nv_hold_mai*tk_hold_vr200)/Sens!E18815</f>
        <v>9.7235358126469</v>
      </c>
      <c r="F18828" s="15" t="n">
        <f aca="false">(Sens!F18823*tk_hold_h100+Sens!F18824*tk_hold_gb200+Sens!F18825*tk_hold_gb300+Sens!F18827*tk_hold_vr200+Sens!F18826*nv_hold_mai*tk_hold_vr200)/Sens!F18815</f>
        <v>10.4255556081097</v>
      </c>
      <c r="G18828" s="15" t="n">
        <f aca="false">(Sens!G18823*tk_hold_h100+Sens!G18824*tk_hold_gb200+Sens!G18825*tk_hold_gb300+Sens!G18827*tk_hold_vr200+Sens!G18826*nv_hold_mai*tk_hold_vr200)/Sens!G18815</f>
        <v>10.8586080330164</v>
      </c>
      <c r="H18828" s="15" t="n">
        <f aca="false">(Sens!H18823*tk_hold_h100+Sens!H18824*tk_hold_gb200+Sens!H18825*tk_hold_gb300+Sens!H18827*tk_hold_vr200+Sens!H18826*nv_hold_mai*tk_hold_vr200)/Sens!H18815</f>
        <v>11.1501766656618</v>
      </c>
      <c r="I18828" s="15" t="n">
        <f aca="false">(Sens!I18823*tk_hold_h100+Sens!I18824*tk_hold_gb200+Sens!I18825*tk_hold_gb300+Sens!I18827*tk_hold_vr200+Sens!I18826*nv_hold_mai*tk_hold_vr200)/Sens!I18815</f>
        <v>11.3741856576055</v>
      </c>
      <c r="J18828" s="15" t="n">
        <f aca="false">(Sens!J18823*tk_hold_h100+Sens!J18824*tk_hold_gb200+Sens!J18825*tk_hold_gb300+Sens!J18827*tk_hold_vr200+Sens!J18826*nv_hold_mai*tk_hold_vr200)/Sens!J18815</f>
        <v>11.5552863602709</v>
      </c>
      <c r="K18828" s="15" t="n">
        <f aca="false">(Sens!K18823*tk_hold_h100+Sens!K18824*tk_hold_gb200+Sens!K18825*tk_hold_gb300+Sens!K18827*tk_hold_vr200+Sens!K18826*nv_hold_mai*tk_hold_vr200)/Sens!K18815</f>
        <v>11.8088513761358</v>
      </c>
      <c r="L18828" s="1" t="s">
        <v>969</v>
      </c>
    </row>
    <row r="18829" customFormat="false" ht="17.15" hidden="false" customHeight="false" outlineLevel="0" collapsed="false">
      <c r="A18829" s="1" t="s">
        <v>970</v>
      </c>
      <c r="B18829" s="0" t="s">
        <v>403</v>
      </c>
      <c r="C18829" s="15" t="n">
        <f aca="false">(Sens!C18823*tk_hold_h100+Sens!C18824*tk_hold_gb200+Sens!C18825*tk_hold_gb300+Sens!C18827*tk_hold_vr200+Sens!C18826*nv_out_mai*tk_hold_vr200)/Sens!C18815</f>
        <v>9.7235358126469</v>
      </c>
      <c r="D18829" s="15" t="n">
        <f aca="false">(Sens!D18823*tk_hold_h100+Sens!D18824*tk_hold_gb200+Sens!D18825*tk_hold_gb300+Sens!D18827*tk_hold_vr200+Sens!D18826*nv_out_mai*tk_hold_vr200)/Sens!D18815</f>
        <v>9.7235358126469</v>
      </c>
      <c r="E18829" s="15" t="n">
        <f aca="false">(Sens!E18823*tk_hold_h100+Sens!E18824*tk_hold_gb200+Sens!E18825*tk_hold_gb300+Sens!E18827*tk_hold_vr200+Sens!E18826*nv_out_mai*tk_hold_vr200)/Sens!E18815</f>
        <v>9.7235358126469</v>
      </c>
      <c r="F18829" s="15" t="n">
        <f aca="false">(Sens!F18823*tk_hold_h100+Sens!F18824*tk_hold_gb200+Sens!F18825*tk_hold_gb300+Sens!F18827*tk_hold_vr200+Sens!F18826*nv_out_mai*tk_hold_vr200)/Sens!F18815</f>
        <v>10.4255556081097</v>
      </c>
      <c r="G18829" s="15" t="n">
        <f aca="false">(Sens!G18823*tk_hold_h100+Sens!G18824*tk_hold_gb200+Sens!G18825*tk_hold_gb300+Sens!G18827*tk_hold_vr200+Sens!G18826*nv_out_mai*tk_hold_vr200)/Sens!G18815</f>
        <v>10.8586080330164</v>
      </c>
      <c r="H18829" s="15" t="n">
        <f aca="false">(Sens!H18823*tk_hold_h100+Sens!H18824*tk_hold_gb200+Sens!H18825*tk_hold_gb300+Sens!H18827*tk_hold_vr200+Sens!H18826*nv_out_mai*tk_hold_vr200)/Sens!H18815</f>
        <v>11.1501766656618</v>
      </c>
      <c r="I18829" s="15" t="n">
        <f aca="false">(Sens!I18823*tk_hold_h100+Sens!I18824*tk_hold_gb200+Sens!I18825*tk_hold_gb300+Sens!I18827*tk_hold_vr200+Sens!I18826*nv_out_mai*tk_hold_vr200)/Sens!I18815</f>
        <v>11.3741856576055</v>
      </c>
      <c r="J18829" s="15" t="n">
        <f aca="false">(Sens!J18823*tk_hold_h100+Sens!J18824*tk_hold_gb200+Sens!J18825*tk_hold_gb300+Sens!J18827*tk_hold_vr200+Sens!J18826*nv_out_mai*tk_hold_vr200)/Sens!J18815</f>
        <v>11.5552863602709</v>
      </c>
      <c r="K18829" s="15" t="n">
        <f aca="false">(Sens!K18823*tk_hold_h100+Sens!K18824*tk_hold_gb200+Sens!K18825*tk_hold_gb300+Sens!K18827*tk_hold_vr200+Sens!K18826*nv_out_mai*tk_hold_vr200)/Sens!K18815</f>
        <v>11.8088513761358</v>
      </c>
      <c r="L18829" s="12" t="s">
        <v>971</v>
      </c>
    </row>
    <row r="18830" customFormat="false" ht="17.15" hidden="false" customHeight="false" outlineLevel="0" collapsed="false">
      <c r="A18830" s="0" t="s">
        <v>972</v>
      </c>
      <c r="B18830" s="0" t="s">
        <v>229</v>
      </c>
      <c r="C18830" s="15" t="n">
        <f aca="false">k_B</f>
        <v>1.17213932619116</v>
      </c>
      <c r="D18830" s="15" t="n">
        <f aca="false">k_B</f>
        <v>1.17213932619116</v>
      </c>
      <c r="E18830" s="15" t="n">
        <f aca="false">k_B</f>
        <v>1.17213932619116</v>
      </c>
      <c r="F18830" s="15" t="n">
        <f aca="false">(k_B+((ls_A*k_long+(1-ls_A)*k_spot)-k_B)*MIN(1,(Sens!F18813-base_fy)/k_ramp))</f>
        <v>1.25022828131298</v>
      </c>
      <c r="G18830" s="15" t="n">
        <f aca="false">(k_B+((ls_A*k_long+(1-ls_A)*k_spot)-k_B)*MIN(1,(Sens!G18813-base_fy)/k_ramp))</f>
        <v>1.3283172364348</v>
      </c>
      <c r="H18830" s="15" t="n">
        <f aca="false">(k_B+((ls_A*k_long+(1-ls_A)*k_spot)-k_B)*MIN(1,(Sens!H18813-base_fy)/k_ramp))</f>
        <v>1.40640619155662</v>
      </c>
      <c r="I18830" s="15" t="n">
        <f aca="false">(k_B+((ls_A*k_long+(1-ls_A)*k_spot)-k_B)*MIN(1,(Sens!I18813-base_fy)/k_ramp))</f>
        <v>1.40640619155662</v>
      </c>
      <c r="J18830" s="15" t="n">
        <f aca="false">(k_B+((ls_A*k_long+(1-ls_A)*k_spot)-k_B)*MIN(1,(Sens!J18813-base_fy)/k_ramp))</f>
        <v>1.40640619155662</v>
      </c>
      <c r="K18830" s="15" t="n">
        <f aca="false">(k_B+((ls_A*k_long+(1-ls_A)*k_spot)-k_B)*MIN(1,(Sens!K18813-base_fy)/k_ramp))</f>
        <v>1.40640619155662</v>
      </c>
      <c r="L18830" s="1" t="s">
        <v>973</v>
      </c>
    </row>
    <row r="18831" customFormat="false" ht="17.15" hidden="false" customHeight="false" outlineLevel="0" collapsed="false">
      <c r="A18831" s="1" t="s">
        <v>974</v>
      </c>
      <c r="B18831" s="0" t="s">
        <v>403</v>
      </c>
      <c r="C18831" s="15" t="n">
        <f aca="false">Sens!C18829*Sens!C18830*chip_f</f>
        <v>11.3973387156315</v>
      </c>
      <c r="D18831" s="15" t="n">
        <f aca="false">Sens!D18829*Sens!D18830*chip_f</f>
        <v>11.3973387156315</v>
      </c>
      <c r="E18831" s="15" t="n">
        <f aca="false">Sens!E18829*Sens!E18830*chip_f</f>
        <v>11.3973387156315</v>
      </c>
      <c r="F18831" s="15" t="n">
        <f aca="false">Sens!F18829*Sens!F18830*chip_f</f>
        <v>13.0343244696599</v>
      </c>
      <c r="G18831" s="15" t="n">
        <f aca="false">Sens!G18829*Sens!G18830*chip_f</f>
        <v>14.423676213945</v>
      </c>
      <c r="H18831" s="15" t="n">
        <f aca="false">Sens!H18829*Sens!H18830*chip_f</f>
        <v>15.6816774995369</v>
      </c>
      <c r="I18831" s="15" t="n">
        <f aca="false">Sens!I18829*Sens!I18830*chip_f</f>
        <v>15.9967251327709</v>
      </c>
      <c r="J18831" s="15" t="n">
        <f aca="false">Sens!J18829*Sens!J18830*chip_f</f>
        <v>16.2514262822947</v>
      </c>
      <c r="K18831" s="15" t="n">
        <f aca="false">Sens!K18829*Sens!K18830*chip_f</f>
        <v>16.6080416905693</v>
      </c>
      <c r="L18831" s="1" t="s">
        <v>975</v>
      </c>
    </row>
    <row r="18832" customFormat="false" ht="17.15" hidden="false" customHeight="false" outlineLevel="0" collapsed="false">
      <c r="A18832" s="0" t="s">
        <v>976</v>
      </c>
      <c r="B18832" s="0" t="s">
        <v>98</v>
      </c>
      <c r="D18832" s="6" t="n">
        <f aca="false">(Sens!C18815+Sens!D18815)/2*Sens!D18831/1000</f>
        <v>12.9359794422418</v>
      </c>
      <c r="E18832" s="6" t="n">
        <f aca="false">(Sens!D18815+Sens!E18815)/2*Sens!E18831/1000</f>
        <v>27.8095064661409</v>
      </c>
      <c r="F18832" s="6" t="n">
        <f aca="false">(Sens!E18815+Sens!F18815)/2*Sens!F18831/1000</f>
        <v>59.5998846356733</v>
      </c>
      <c r="G18832" s="6" t="n">
        <f aca="false">(Sens!F18815+Sens!G18815)/2*Sens!G18831/1000</f>
        <v>104.104330490056</v>
      </c>
      <c r="H18832" s="6" t="n">
        <f aca="false">(Sens!G18815+Sens!H18815)/2*Sens!H18831/1000</f>
        <v>154.663167099744</v>
      </c>
      <c r="I18832" s="6" t="n">
        <f aca="false">(Sens!H18815+Sens!I18815)/2*Sens!I18831/1000</f>
        <v>193.925350110904</v>
      </c>
      <c r="J18832" s="6" t="n">
        <f aca="false">(Sens!I18815+Sens!J18815)/2*Sens!J18831/1000</f>
        <v>221.537483646912</v>
      </c>
      <c r="K18832" s="6" t="n">
        <f aca="false">(Sens!J18815+Sens!K18815)/2*Sens!K18831/1000</f>
        <v>239.42780922768</v>
      </c>
      <c r="L18832" s="12" t="s">
        <v>977</v>
      </c>
    </row>
    <row r="18833" customFormat="false" ht="17.15" hidden="false" customHeight="false" outlineLevel="0" collapsed="false">
      <c r="A18833" s="1" t="s">
        <v>978</v>
      </c>
      <c r="B18833" s="0" t="s">
        <v>403</v>
      </c>
      <c r="C18833" s="15" t="n">
        <f aca="false">(Sens!C18823*tk_opex_h100+Sens!C18824*tk_opex_gb200+Sens!C18825*tk_opex_gb300+(Sens!C18827+Sens!C18826)*tk_opex_vr200)/Sens!C18815</f>
        <v>1.88636041306092</v>
      </c>
      <c r="D18833" s="15" t="n">
        <f aca="false">(Sens!D18823*tk_opex_h100+Sens!D18824*tk_opex_gb200+Sens!D18825*tk_opex_gb300+(Sens!D18827+Sens!D18826)*tk_opex_vr200)/Sens!D18815</f>
        <v>1.88636041306092</v>
      </c>
      <c r="E18833" s="15" t="n">
        <f aca="false">(Sens!E18823*tk_opex_h100+Sens!E18824*tk_opex_gb200+Sens!E18825*tk_opex_gb300+(Sens!E18827+Sens!E18826)*tk_opex_vr200)/Sens!E18815</f>
        <v>1.88636041306092</v>
      </c>
      <c r="F18833" s="15" t="n">
        <f aca="false">(Sens!F18823*tk_opex_h100+Sens!F18824*tk_opex_gb200+Sens!F18825*tk_opex_gb300+(Sens!F18827+Sens!F18826)*tk_opex_vr200)/Sens!F18815</f>
        <v>1.94448060967998</v>
      </c>
      <c r="G18833" s="15" t="n">
        <f aca="false">(Sens!G18823*tk_opex_h100+Sens!G18824*tk_opex_gb200+Sens!G18825*tk_opex_gb300+(Sens!G18827+Sens!G18826)*tk_opex_vr200)/Sens!G18815</f>
        <v>1.98033300621439</v>
      </c>
      <c r="H18833" s="15" t="n">
        <f aca="false">(Sens!H18823*tk_opex_h100+Sens!H18824*tk_opex_gb200+Sens!H18825*tk_opex_gb300+(Sens!H18827+Sens!H18826)*tk_opex_vr200)/Sens!H18815</f>
        <v>2.00447196407118</v>
      </c>
      <c r="I18833" s="15" t="n">
        <f aca="false">(Sens!I18823*tk_opex_h100+Sens!I18824*tk_opex_gb200+Sens!I18825*tk_opex_gb300+(Sens!I18827+Sens!I18826)*tk_opex_vr200)/Sens!I18815</f>
        <v>2.02301766141526</v>
      </c>
      <c r="J18833" s="15" t="n">
        <f aca="false">(Sens!J18823*tk_opex_h100+Sens!J18824*tk_opex_gb200+Sens!J18825*tk_opex_gb300+(Sens!J18827+Sens!J18826)*tk_opex_vr200)/Sens!J18815</f>
        <v>2.03801098284977</v>
      </c>
      <c r="K18833" s="15" t="n">
        <f aca="false">(Sens!K18823*tk_opex_h100+Sens!K18824*tk_opex_gb200+Sens!K18825*tk_opex_gb300+(Sens!K18827+Sens!K18826)*tk_opex_vr200)/Sens!K18815</f>
        <v>2.05900362247765</v>
      </c>
      <c r="L18833" s="12" t="s">
        <v>979</v>
      </c>
    </row>
    <row r="18834" customFormat="false" ht="17.15" hidden="false" customHeight="false" outlineLevel="0" collapsed="false">
      <c r="A18834" s="0" t="s">
        <v>980</v>
      </c>
      <c r="B18834" s="0" t="s">
        <v>98</v>
      </c>
      <c r="D18834" s="6" t="n">
        <f aca="false">(Sens!C18818+Sens!D18818)/2*Sens!D18833/1000</f>
        <v>2.70378325872065</v>
      </c>
      <c r="E18834" s="6" t="n">
        <f aca="false">(Sens!D18818+Sens!E18818)/2*Sens!E18833/1000</f>
        <v>6.17783035277451</v>
      </c>
      <c r="F18834" s="6" t="n">
        <f aca="false">(Sens!E18818+Sens!F18818)/2*Sens!F18833/1000</f>
        <v>12.7024279875285</v>
      </c>
      <c r="G18834" s="6" t="n">
        <f aca="false">(Sens!F18818+Sens!G18818)/2*Sens!G18833/1000</f>
        <v>21.3268674101191</v>
      </c>
      <c r="H18834" s="6" t="n">
        <f aca="false">(Sens!G18818+Sens!H18818)/2*Sens!H18833/1000</f>
        <v>30.4234319812503</v>
      </c>
      <c r="I18834" s="6" t="n">
        <f aca="false">(Sens!H18818+Sens!I18818)/2*Sens!I18833/1000</f>
        <v>38.3254480913315</v>
      </c>
      <c r="J18834" s="6" t="n">
        <f aca="false">(Sens!I18818+Sens!J18818)/2*Sens!J18833/1000</f>
        <v>43.7353061538868</v>
      </c>
      <c r="K18834" s="6" t="n">
        <f aca="false">(Sens!J18818+Sens!K18818)/2*Sens!K18833/1000</f>
        <v>46.8779468017752</v>
      </c>
    </row>
    <row r="18835" customFormat="false" ht="17.15" hidden="false" customHeight="false" outlineLevel="0" collapsed="false">
      <c r="A18835" s="0" t="s">
        <v>981</v>
      </c>
      <c r="B18835" s="0" t="s">
        <v>98</v>
      </c>
      <c r="D18835" s="6" t="n">
        <f aca="false">(Sens!C18816+Sens!D18816)/2*rent_mw/1000</f>
        <v>2.44475</v>
      </c>
      <c r="E18835" s="6" t="n">
        <f aca="false">(Sens!D18816+Sens!E18816)/2*rent_mw/1000</f>
        <v>4.22275</v>
      </c>
      <c r="F18835" s="6" t="n">
        <f aca="false">(Sens!E18816+Sens!F18816)/2*rent_mw/1000</f>
        <v>5.80517</v>
      </c>
      <c r="G18835" s="6" t="n">
        <f aca="false">(Sens!F18816+Sens!G18816)/2*rent_mw/1000</f>
        <v>6.72084</v>
      </c>
      <c r="H18835" s="6" t="n">
        <f aca="false">(Sens!G18816+Sens!H18816)/2*rent_mw/1000</f>
        <v>6.72084</v>
      </c>
      <c r="I18835" s="6" t="n">
        <f aca="false">(Sens!H18816+Sens!I18816)/2*rent_mw/1000</f>
        <v>6.72084</v>
      </c>
      <c r="J18835" s="6" t="n">
        <f aca="false">(Sens!I18816+Sens!J18816)/2*rent_mw/1000</f>
        <v>6.72084</v>
      </c>
      <c r="K18835" s="6" t="n">
        <f aca="false">(Sens!J18816+Sens!K18816)/2*rent_mw/1000</f>
        <v>6.72084</v>
      </c>
    </row>
    <row r="18836" customFormat="false" ht="17.15" hidden="false" customHeight="false" outlineLevel="0" collapsed="false">
      <c r="A18836" s="0" t="s">
        <v>982</v>
      </c>
      <c r="B18836" s="0" t="s">
        <v>98</v>
      </c>
      <c r="D18836" s="6" t="n">
        <f aca="false">(Sens!C18818+Sens!D18818)/2*(1-self_build)*fac_rent/1000</f>
        <v>0.853242375631075</v>
      </c>
      <c r="E18836" s="6" t="n">
        <f aca="false">(Sens!D18818+Sens!E18818)/2*(1-self_build)*fac_rent/1000</f>
        <v>1.94955961408728</v>
      </c>
      <c r="F18836" s="6" t="n">
        <f aca="false">(Sens!E18818+Sens!F18818)/2*(1-self_build)*fac_rent/1000</f>
        <v>3.88873492121333</v>
      </c>
      <c r="G18836" s="6" t="n">
        <f aca="false">(Sens!F18818+Sens!G18818)/2*(1-self_build)*fac_rent/1000</f>
        <v>6.41082701513092</v>
      </c>
      <c r="H18836" s="6" t="n">
        <f aca="false">(Sens!G18818+Sens!H18818)/2*(1-self_build)*fac_rent/1000</f>
        <v>9.03510976566478</v>
      </c>
      <c r="I18836" s="6" t="n">
        <f aca="false">(Sens!H18818+Sens!I18818)/2*(1-self_build)*fac_rent/1000</f>
        <v>11.2774986113646</v>
      </c>
      <c r="J18836" s="6" t="n">
        <f aca="false">(Sens!I18818+Sens!J18818)/2*(1-self_build)*fac_rent/1000</f>
        <v>12.7747045968049</v>
      </c>
      <c r="K18836" s="6" t="n">
        <f aca="false">(Sens!J18818+Sens!K18818)/2*(1-self_build)*fac_rent/1000</f>
        <v>13.5530389521403</v>
      </c>
      <c r="L18836" s="12" t="s">
        <v>983</v>
      </c>
    </row>
    <row r="18837" customFormat="false" ht="17.15" hidden="false" customHeight="false" outlineLevel="0" collapsed="false">
      <c r="A18837" s="1" t="s">
        <v>984</v>
      </c>
      <c r="B18837" s="0" t="s">
        <v>168</v>
      </c>
      <c r="D18837" s="7" t="n">
        <f aca="false">(Sens!C18817+Sens!D18817)/(Sens!C18818+Sens!D18818)</f>
        <v>0.6</v>
      </c>
      <c r="E18837" s="7" t="n">
        <f aca="false">(Sens!D18817+Sens!E18817)/(Sens!D18818+Sens!E18818)</f>
        <v>0.6</v>
      </c>
      <c r="F18837" s="7" t="n">
        <f aca="false">(Sens!E18817+Sens!F18817)/(Sens!E18818+Sens!F18818)</f>
        <v>0.6</v>
      </c>
      <c r="G18837" s="7" t="n">
        <f aca="false">(Sens!F18817+Sens!G18817)/(Sens!F18818+Sens!G18818)</f>
        <v>0.6</v>
      </c>
      <c r="H18837" s="7" t="n">
        <f aca="false">(Sens!G18817+Sens!H18817)/(Sens!G18818+Sens!H18818)</f>
        <v>0.6</v>
      </c>
      <c r="I18837" s="7" t="n">
        <f aca="false">(Sens!H18817+Sens!I18817)/(Sens!H18818+Sens!I18818)</f>
        <v>0.6</v>
      </c>
      <c r="J18837" s="7" t="n">
        <f aca="false">(Sens!I18817+Sens!J18817)/(Sens!I18818+Sens!J18818)</f>
        <v>0.6</v>
      </c>
      <c r="K18837" s="7" t="n">
        <f aca="false">(Sens!J18817+Sens!K18817)/(Sens!J18818+Sens!K18818)</f>
        <v>0.6</v>
      </c>
    </row>
    <row r="18838" customFormat="false" ht="17.15" hidden="false" customHeight="false" outlineLevel="0" collapsed="false">
      <c r="A18838" s="0" t="s">
        <v>985</v>
      </c>
      <c r="B18838" s="0" t="s">
        <v>98</v>
      </c>
      <c r="D18838" s="6" t="n">
        <f aca="false">Sens!D18832-Sens!D18837*(Sens!D18834+Sens!D18836)-Sens!D18835</f>
        <v>8.35701406163072</v>
      </c>
      <c r="E18838" s="6" t="n">
        <f aca="false">Sens!E18832-Sens!E18837*(Sens!E18834+Sens!E18836)-Sens!E18835</f>
        <v>18.7103224860238</v>
      </c>
      <c r="F18838" s="6" t="n">
        <f aca="false">Sens!F18832-Sens!F18837*(Sens!F18834+Sens!F18836)-Sens!F18835</f>
        <v>43.8400168904282</v>
      </c>
      <c r="G18838" s="6" t="n">
        <f aca="false">Sens!G18832-Sens!G18837*(Sens!G18834+Sens!G18836)-Sens!G18835</f>
        <v>80.7408738349063</v>
      </c>
      <c r="H18838" s="6" t="n">
        <f aca="false">Sens!H18832-Sens!H18837*(Sens!H18834+Sens!H18836)-Sens!H18835</f>
        <v>124.267202051595</v>
      </c>
      <c r="I18838" s="6" t="n">
        <f aca="false">Sens!I18832-Sens!I18837*(Sens!I18834+Sens!I18836)-Sens!I18835</f>
        <v>157.442742089286</v>
      </c>
      <c r="J18838" s="6" t="n">
        <f aca="false">Sens!J18832-Sens!J18837*(Sens!J18834+Sens!J18836)-Sens!J18835</f>
        <v>180.910637196497</v>
      </c>
      <c r="K18838" s="6" t="n">
        <f aca="false">Sens!K18832-Sens!K18837*(Sens!K18834+Sens!K18836)-Sens!K18835</f>
        <v>196.44837777533</v>
      </c>
    </row>
    <row r="18839" customFormat="false" ht="17.15" hidden="false" customHeight="false" outlineLevel="0" collapsed="false">
      <c r="A18839" s="1" t="s">
        <v>986</v>
      </c>
      <c r="B18839" s="0" t="s">
        <v>98</v>
      </c>
      <c r="D18839" s="6" t="n">
        <f aca="false">(1-Sens!D18837)*(Sens!D18834+Sens!D18836)</f>
        <v>1.42281025374069</v>
      </c>
      <c r="E18839" s="6" t="n">
        <f aca="false">(1-Sens!E18837)*(Sens!E18834+Sens!E18836)</f>
        <v>3.25095598674472</v>
      </c>
      <c r="F18839" s="6" t="n">
        <f aca="false">(1-Sens!F18837)*(Sens!F18834+Sens!F18836)</f>
        <v>6.63646516349673</v>
      </c>
      <c r="G18839" s="6" t="n">
        <f aca="false">(1-Sens!G18837)*(Sens!G18834+Sens!G18836)</f>
        <v>11.0950777701</v>
      </c>
      <c r="H18839" s="6" t="n">
        <f aca="false">(1-Sens!H18837)*(Sens!H18834+Sens!H18836)</f>
        <v>15.783416698766</v>
      </c>
      <c r="I18839" s="6" t="n">
        <f aca="false">(1-Sens!I18837)*(Sens!I18834+Sens!I18836)</f>
        <v>19.8411786810784</v>
      </c>
      <c r="J18839" s="6" t="n">
        <f aca="false">(1-Sens!J18837)*(Sens!J18834+Sens!J18836)</f>
        <v>22.6040043002767</v>
      </c>
      <c r="K18839" s="6" t="n">
        <f aca="false">(1-Sens!K18837)*(Sens!K18834+Sens!K18836)</f>
        <v>24.1723943015662</v>
      </c>
    </row>
    <row r="18840" customFormat="false" ht="17.15" hidden="false" customHeight="false" outlineLevel="0" collapsed="false">
      <c r="A18840" s="1" t="s">
        <v>987</v>
      </c>
      <c r="B18840" s="0" t="s">
        <v>414</v>
      </c>
      <c r="C18840" s="8" t="n">
        <f aca="false">cxit_open</f>
        <v>27.5918995</v>
      </c>
      <c r="D18840" s="8" t="n">
        <f aca="false">cxit_open</f>
        <v>27.5918995</v>
      </c>
      <c r="E18840" s="8" t="n">
        <f aca="false">cxit_open</f>
        <v>27.5918995</v>
      </c>
      <c r="F18840" s="8" t="n">
        <f aca="false">((a_g3_27-0*a_mai)*tk_cxit_gb300+0*a_mai*nv_hold_mai*tk_cxit_vr200+(1-a_g3_27)*tk_cxit_vr200)</f>
        <v>33.8419624</v>
      </c>
      <c r="G18840" s="8" t="n">
        <f aca="false">((a_g3_28-0*a_mai)*tk_cxit_gb300+0*a_mai*nv_hold_mai*tk_cxit_vr200+(1-a_g3_28)*tk_cxit_vr200)</f>
        <v>35.9816136</v>
      </c>
      <c r="H18840" s="8" t="n">
        <f aca="false">((a_g3_29-0*a_mai)*tk_cxit_gb300+0*a_mai*nv_hold_mai*tk_cxit_vr200+(1-a_g3_29)*tk_cxit_vr200)</f>
        <v>37.0514392</v>
      </c>
      <c r="I18840" s="8" t="n">
        <f aca="false">((a_g3_29-0*a_mai)*tk_cxit_gb300+0*a_mai*nv_hold_mai*tk_cxit_vr200+(1-a_g3_29)*tk_cxit_vr200)</f>
        <v>37.0514392</v>
      </c>
      <c r="J18840" s="8" t="n">
        <f aca="false">((a_g3_29-0*a_mai)*tk_cxit_gb300+0*a_mai*nv_hold_mai*tk_cxit_vr200+(1-a_g3_29)*tk_cxit_vr200)</f>
        <v>37.0514392</v>
      </c>
      <c r="K18840" s="8" t="n">
        <f aca="false">((a_g3_29-0*a_mai)*tk_cxit_gb300+0*a_mai*nv_hold_mai*tk_cxit_vr200+(1-a_g3_29)*tk_cxit_vr200)</f>
        <v>37.0514392</v>
      </c>
      <c r="L18840" s="12" t="s">
        <v>988</v>
      </c>
    </row>
    <row r="18841" customFormat="false" ht="17.15" hidden="false" customHeight="false" outlineLevel="0" collapsed="false">
      <c r="A18841" s="0" t="s">
        <v>989</v>
      </c>
      <c r="B18841" s="0" t="s">
        <v>456</v>
      </c>
      <c r="F18841" s="30" t="n">
        <f aca="false">Sens!C18820*IF(Sens!F18813-Sens!C18813=life_it,1,0)+Sens!D18820*IF(Sens!F18813-Sens!D18813=life_it,1,0)+Sens!E18820*IF(Sens!F18813-Sens!E18813=life_it,1,0)</f>
        <v>0</v>
      </c>
      <c r="G18841" s="30" t="n">
        <f aca="false">Sens!C18820*IF(Sens!G18813-Sens!C18813=life_it,1,0)+Sens!D18820*IF(Sens!G18813-Sens!D18813=life_it,1,0)+Sens!E18820*IF(Sens!G18813-Sens!E18813=life_it,1,0)+Sens!F18820*IF(Sens!G18813-Sens!F18813=life_it,1,0)</f>
        <v>0</v>
      </c>
      <c r="H18841" s="30" t="n">
        <f aca="false">Sens!C18820*IF(Sens!H18813-Sens!C18813=life_it,1,0)+Sens!D18820*IF(Sens!H18813-Sens!D18813=life_it,1,0)+Sens!E18820*IF(Sens!H18813-Sens!E18813=life_it,1,0)+Sens!F18820*IF(Sens!H18813-Sens!F18813=life_it,1,0)+Sens!G18820*IF(Sens!H18813-Sens!G18813=life_it,1,0)</f>
        <v>0</v>
      </c>
      <c r="I18841" s="30" t="n">
        <f aca="false">Sens!C18820*IF(Sens!I18813-Sens!C18813=life_it,1,0)+Sens!D18820*IF(Sens!I18813-Sens!D18813=life_it,1,0)+Sens!E18820*IF(Sens!I18813-Sens!E18813=life_it,1,0)+Sens!F18820*IF(Sens!I18813-Sens!F18813=life_it,1,0)+Sens!G18820*IF(Sens!I18813-Sens!G18813=life_it,1,0)+Sens!H18820*IF(Sens!I18813-Sens!H18813=life_it,1,0)</f>
        <v>816.666666666667</v>
      </c>
      <c r="J18841" s="30" t="n">
        <f aca="false">Sens!C18820*IF(Sens!J18813-Sens!C18813=life_it,1,0)+Sens!D18820*IF(Sens!J18813-Sens!D18813=life_it,1,0)+Sens!E18820*IF(Sens!J18813-Sens!E18813=life_it,1,0)+Sens!F18820*IF(Sens!J18813-Sens!F18813=life_it,1,0)+Sens!G18820*IF(Sens!J18813-Sens!G18813=life_it,1,0)+Sens!H18820*IF(Sens!J18813-Sens!H18813=life_it,1,0)+Sens!I18820*IF(Sens!J18813-Sens!I18813=life_it,1,0)</f>
        <v>1233.33333333333</v>
      </c>
      <c r="K18841" s="30" t="n">
        <f aca="false">Sens!C18820*IF(Sens!K18813-Sens!C18813=life_it,1,0)+Sens!D18820*IF(Sens!K18813-Sens!D18813=life_it,1,0)+Sens!E18820*IF(Sens!K18813-Sens!E18813=life_it,1,0)+Sens!F18820*IF(Sens!K18813-Sens!F18813=life_it,1,0)+Sens!G18820*IF(Sens!K18813-Sens!G18813=life_it,1,0)+Sens!H18820*IF(Sens!K18813-Sens!H18813=life_it,1,0)+Sens!I18820*IF(Sens!K18813-Sens!I18813=life_it,1,0)+Sens!J18820*IF(Sens!K18813-Sens!J18813=life_it,1,0)</f>
        <v>2450</v>
      </c>
      <c r="L18841" s="1" t="s">
        <v>990</v>
      </c>
    </row>
    <row r="18842" customFormat="false" ht="17.15" hidden="false" customHeight="false" outlineLevel="0" collapsed="false">
      <c r="A18842" s="0" t="s">
        <v>991</v>
      </c>
      <c r="B18842" s="0" t="s">
        <v>98</v>
      </c>
      <c r="C18842" s="6" t="n">
        <f aca="false">Sens!C18820*Sens!C18840/1000</f>
        <v>22.5333845916667</v>
      </c>
      <c r="D18842" s="6" t="n">
        <f aca="false">Sens!D18820*Sens!D18840/1000</f>
        <v>34.0300093833333</v>
      </c>
      <c r="E18842" s="6" t="n">
        <f aca="false">Sens!E18820*Sens!E18840/1000</f>
        <v>67.600153775</v>
      </c>
      <c r="F18842" s="6" t="n">
        <f aca="false">(Sens!F18820+Sens!F18841)*Sens!F18840/1000</f>
        <v>137.571350534808</v>
      </c>
      <c r="G18842" s="6" t="n">
        <f aca="false">(Sens!G18820+Sens!G18841)*Sens!G18840/1000</f>
        <v>158.622958569916</v>
      </c>
      <c r="H18842" s="6" t="n">
        <f aca="false">(Sens!H18820+Sens!H18841)*Sens!H18840/1000</f>
        <v>163.339225708804</v>
      </c>
      <c r="I18842" s="6" t="n">
        <f aca="false">(Sens!I18820+Sens!I18841)*Sens!I18840/1000</f>
        <v>146.0586222138</v>
      </c>
      <c r="J18842" s="6" t="n">
        <f aca="false">(Sens!J18820+Sens!J18841)*Sens!J18840/1000</f>
        <v>116.273441976139</v>
      </c>
      <c r="K18842" s="6" t="n">
        <f aca="false">(Sens!K18820+Sens!K18841)*Sens!K18840/1000</f>
        <v>117.088713638691</v>
      </c>
    </row>
    <row r="18843" customFormat="false" ht="17.15" hidden="false" customHeight="false" outlineLevel="0" collapsed="false">
      <c r="A18843" s="0" t="s">
        <v>992</v>
      </c>
      <c r="B18843" s="0" t="s">
        <v>98</v>
      </c>
      <c r="C18843" s="6" t="n">
        <f aca="false">Sens!C18820*self_build*tk_cxfac/1000</f>
        <v>6.2083</v>
      </c>
      <c r="D18843" s="6" t="n">
        <f aca="false">Sens!D18820*self_build*tk_cxfac/1000</f>
        <v>9.3758</v>
      </c>
      <c r="E18843" s="6" t="n">
        <f aca="false">Sens!E18820*self_build*tk_cxfac/1000</f>
        <v>18.6249</v>
      </c>
      <c r="F18843" s="6" t="n">
        <f aca="false">Sens!F18820*self_build*tk_cxfac/1000</f>
        <v>30.902977623</v>
      </c>
      <c r="G18843" s="6" t="n">
        <f aca="false">Sens!G18820*self_build*tk_cxfac/1000</f>
        <v>33.512997623</v>
      </c>
      <c r="H18843" s="6" t="n">
        <f aca="false">Sens!H18820*self_build*tk_cxfac/1000</f>
        <v>33.512997623</v>
      </c>
      <c r="I18843" s="6" t="n">
        <f aca="false">Sens!I18820*self_build*tk_cxfac/1000</f>
        <v>23.7591633440233</v>
      </c>
      <c r="J18843" s="6" t="n">
        <f aca="false">Sens!J18820*self_build*tk_cxfac/1000</f>
        <v>14.4805123319271</v>
      </c>
      <c r="K18843" s="6" t="n">
        <f aca="false">Sens!K18820*self_build*tk_cxfac/1000</f>
        <v>5.39868505634851</v>
      </c>
    </row>
    <row r="18844" customFormat="false" ht="17.15" hidden="false" customHeight="false" outlineLevel="0" collapsed="false">
      <c r="A18844" s="0" t="s">
        <v>993</v>
      </c>
      <c r="B18844" s="0" t="s">
        <v>98</v>
      </c>
      <c r="F18844" s="15" t="n">
        <f aca="false">capex_floor27-Sens!F18842-Sens!F18843-Sens!F18940</f>
        <v>0.0489566635383412</v>
      </c>
      <c r="L18844" s="12" t="s">
        <v>994</v>
      </c>
    </row>
    <row r="18845" customFormat="false" ht="17.15" hidden="false" customHeight="false" outlineLevel="0" collapsed="false">
      <c r="A18845" s="0" t="s">
        <v>995</v>
      </c>
      <c r="B18845" s="0" t="s">
        <v>98</v>
      </c>
      <c r="F18845" s="6" t="n">
        <f aca="false">MAX(0,Sens!F18844)</f>
        <v>0.0489566635383412</v>
      </c>
    </row>
    <row r="18846" customFormat="false" ht="17.15" hidden="false" customHeight="false" outlineLevel="0" collapsed="false">
      <c r="A18846" s="0" t="s">
        <v>996</v>
      </c>
      <c r="B18846" s="0" t="s">
        <v>98</v>
      </c>
      <c r="C18846" s="6" t="n">
        <f aca="false">Sens!C18842</f>
        <v>22.5333845916667</v>
      </c>
      <c r="D18846" s="6" t="n">
        <f aca="false">Sens!D18842</f>
        <v>34.0300093833333</v>
      </c>
      <c r="E18846" s="6" t="n">
        <f aca="false">Sens!E18842</f>
        <v>67.600153775</v>
      </c>
      <c r="F18846" s="6" t="n">
        <f aca="false">Sens!F18842</f>
        <v>137.571350534808</v>
      </c>
      <c r="G18846" s="6" t="n">
        <f aca="false">Sens!G18842</f>
        <v>158.622958569916</v>
      </c>
      <c r="H18846" s="6" t="n">
        <f aca="false">Sens!H18842</f>
        <v>163.339225708804</v>
      </c>
      <c r="I18846" s="6" t="n">
        <f aca="false">Sens!I18842</f>
        <v>146.0586222138</v>
      </c>
      <c r="J18846" s="6" t="n">
        <f aca="false">Sens!J18842</f>
        <v>116.273441976139</v>
      </c>
      <c r="K18846" s="6" t="n">
        <f aca="false">Sens!K18842</f>
        <v>117.088713638691</v>
      </c>
    </row>
    <row r="18847" customFormat="false" ht="17.15" hidden="false" customHeight="false" outlineLevel="0" collapsed="false">
      <c r="A18847" s="0" t="s">
        <v>997</v>
      </c>
      <c r="B18847" s="0" t="s">
        <v>98</v>
      </c>
      <c r="C18847" s="6" t="n">
        <f aca="false">Sens!C18846+Sens!C18843</f>
        <v>28.7416845916667</v>
      </c>
      <c r="D18847" s="6" t="n">
        <f aca="false">Sens!D18846+Sens!D18843</f>
        <v>43.4058093833333</v>
      </c>
      <c r="E18847" s="6" t="n">
        <f aca="false">Sens!E18846+Sens!E18843</f>
        <v>86.225053775</v>
      </c>
      <c r="F18847" s="6" t="n">
        <f aca="false">Sens!F18846+Sens!F18843</f>
        <v>168.474328157808</v>
      </c>
      <c r="G18847" s="6" t="n">
        <f aca="false">Sens!G18846+Sens!G18843</f>
        <v>192.135956192916</v>
      </c>
      <c r="H18847" s="6" t="n">
        <f aca="false">Sens!H18846+Sens!H18843</f>
        <v>196.852223331804</v>
      </c>
      <c r="I18847" s="6" t="n">
        <f aca="false">Sens!I18846+Sens!I18843</f>
        <v>169.817785557824</v>
      </c>
      <c r="J18847" s="6" t="n">
        <f aca="false">Sens!J18846+Sens!J18843</f>
        <v>130.753954308066</v>
      </c>
      <c r="K18847" s="6" t="n">
        <f aca="false">Sens!K18846+Sens!K18843</f>
        <v>122.487398695039</v>
      </c>
      <c r="L18847" s="12" t="s">
        <v>998</v>
      </c>
    </row>
    <row r="18848" customFormat="false" ht="17.15" hidden="false" customHeight="false" outlineLevel="0" collapsed="false">
      <c r="A18848" s="0" t="s">
        <v>999</v>
      </c>
      <c r="B18848" s="0" t="s">
        <v>98</v>
      </c>
      <c r="E18848" s="6" t="n">
        <f aca="false">(Sens!C18846*IF(2&lt;life_it,1,IF(2=life_it,0.5,0))+Sens!D18846*IF(1&lt;life_it,1,IF(1=life_it,0.5,0))+Sens!E18846*0.5)/life_it</f>
        <v>15.0605784770833</v>
      </c>
      <c r="F18848" s="6" t="n">
        <f aca="false">(Sens!C18846*IF(3&lt;life_it,1,IF(3=life_it,0.5,0))+Sens!D18846*IF(2&lt;life_it,1,IF(2=life_it,0.5,0))+Sens!E18846*IF(1&lt;life_it,1,IF(1=life_it,0.5,0))+Sens!F18846*0.5)/life_it</f>
        <v>32.158203836234</v>
      </c>
      <c r="G18848" s="6" t="n">
        <f aca="false">(Sens!C18846*IF(4&lt;life_it,1,IF(4=life_it,0.5,0))+Sens!D18846*IF(3&lt;life_it,1,IF(3=life_it,0.5,0))+Sens!E18846*IF(2&lt;life_it,1,IF(2=life_it,0.5,0))+Sens!F18846*IF(1&lt;life_it,1,IF(1=life_it,0.5,0))+Sens!G18846*0.5)/life_it</f>
        <v>56.8410629282943</v>
      </c>
      <c r="H18848" s="6" t="n">
        <f aca="false">(Sens!C18846*IF(5&lt;life_it,1,IF(5=life_it,0.5,0))+Sens!D18846*IF(4&lt;life_it,1,IF(4=life_it,0.5,0))+Sens!E18846*IF(3&lt;life_it,1,IF(3=life_it,0.5,0))+Sens!F18846*IF(2&lt;life_it,1,IF(2=life_it,0.5,0))+Sens!G18846*IF(1&lt;life_it,1,IF(1=life_it,0.5,0))+Sens!H18846*0.5)/life_it</f>
        <v>83.671244951521</v>
      </c>
      <c r="I18848" s="6" t="n">
        <f aca="false">(Sens!C18846*IF(6&lt;life_it,1,IF(6=life_it,0.5,0))+Sens!D18846*IF(5&lt;life_it,1,IF(5=life_it,0.5,0))+Sens!E18846*IF(4&lt;life_it,1,IF(4=life_it,0.5,0))+Sens!F18846*IF(3&lt;life_it,1,IF(3=life_it,0.5,0))+Sens!G18846*IF(2&lt;life_it,1,IF(2=life_it,0.5,0))+Sens!H18846*IF(1&lt;life_it,1,IF(1=life_it,0.5,0))+Sens!I18846*0.5)/life_it</f>
        <v>107.576616895766</v>
      </c>
      <c r="J18848" s="6" t="n">
        <f aca="false">(Sens!C18846*IF(7&lt;life_it,1,IF(7=life_it,0.5,0))+Sens!D18846*IF(6&lt;life_it,1,IF(6=life_it,0.5,0))+Sens!E18846*IF(5&lt;life_it,1,IF(5=life_it,0.5,0))+Sens!F18846*IF(4&lt;life_it,1,IF(4=life_it,0.5,0))+Sens!G18846*IF(3&lt;life_it,1,IF(3=life_it,0.5,0))+Sens!H18846*IF(2&lt;life_it,1,IF(2=life_it,0.5,0))+Sens!I18846*IF(1&lt;life_it,1,IF(1=life_it,0.5,0))+Sens!J18846*0.5)/life_it</f>
        <v>124.724006080344</v>
      </c>
      <c r="K18848" s="6" t="n">
        <f aca="false">(Sens!C18846*IF(8&lt;life_it,1,IF(8=life_it,0.5,0))+Sens!D18846*IF(7&lt;life_it,1,IF(7=life_it,0.5,0))+Sens!E18846*IF(6&lt;life_it,1,IF(6=life_it,0.5,0))+Sens!F18846*IF(5&lt;life_it,1,IF(5=life_it,0.5,0))+Sens!G18846*IF(4&lt;life_it,1,IF(4=life_it,0.5,0))+Sens!H18846*IF(3&lt;life_it,1,IF(3=life_it,0.5,0))+Sens!I18846*IF(2&lt;life_it,1,IF(2=life_it,0.5,0))+Sens!J18846*IF(1&lt;life_it,1,IF(1=life_it,0.5,0))+Sens!K18846*0.5)/life_it</f>
        <v>135.701672118385</v>
      </c>
    </row>
    <row r="18849" customFormat="false" ht="17.15" hidden="false" customHeight="false" outlineLevel="0" collapsed="false">
      <c r="A18849" s="0" t="s">
        <v>1000</v>
      </c>
      <c r="B18849" s="0" t="s">
        <v>98</v>
      </c>
      <c r="E18849" s="6" t="n">
        <f aca="false">(Sens!C18843*IF(2&lt;life_fac,1,IF(2=life_fac,0.5,0))+Sens!D18843*IF(1&lt;life_fac,1,IF(1=life_fac,0.5,0))+Sens!E18843*0.5)/life_fac</f>
        <v>1.2448275</v>
      </c>
      <c r="F18849" s="6" t="n">
        <f aca="false">(Sens!C18843*IF(3&lt;life_fac,1,IF(3=life_fac,0.5,0))+Sens!D18843*IF(2&lt;life_fac,1,IF(2=life_fac,0.5,0))+Sens!E18843*IF(1&lt;life_fac,1,IF(1=life_fac,0.5,0))+Sens!F18843*0.5)/life_fac</f>
        <v>2.483024440575</v>
      </c>
      <c r="G18849" s="6" t="n">
        <f aca="false">(Sens!C18843*IF(4&lt;life_fac,1,IF(4=life_fac,0.5,0))+Sens!D18843*IF(3&lt;life_fac,1,IF(3=life_fac,0.5,0))+Sens!E18843*IF(2&lt;life_fac,1,IF(2=life_fac,0.5,0))+Sens!F18843*IF(1&lt;life_fac,1,IF(1=life_fac,0.5,0))+Sens!G18843*0.5)/life_fac</f>
        <v>4.093423821725</v>
      </c>
      <c r="H18849" s="6" t="n">
        <f aca="false">(Sens!C18843*IF(5&lt;life_fac,1,IF(5=life_fac,0.5,0))+Sens!D18843*IF(4&lt;life_fac,1,IF(4=life_fac,0.5,0))+Sens!E18843*IF(3&lt;life_fac,1,IF(3=life_fac,0.5,0))+Sens!F18843*IF(2&lt;life_fac,1,IF(2=life_fac,0.5,0))+Sens!G18843*IF(1&lt;life_fac,1,IF(1=life_fac,0.5,0))+Sens!H18843*0.5)/life_fac</f>
        <v>5.769073702875</v>
      </c>
      <c r="I18849" s="6" t="n">
        <f aca="false">(Sens!C18843*IF(6&lt;life_fac,1,IF(6=life_fac,0.5,0))+Sens!D18843*IF(5&lt;life_fac,1,IF(5=life_fac,0.5,0))+Sens!E18843*IF(4&lt;life_fac,1,IF(4=life_fac,0.5,0))+Sens!F18843*IF(3&lt;life_fac,1,IF(3=life_fac,0.5,0))+Sens!G18843*IF(2&lt;life_fac,1,IF(2=life_fac,0.5,0))+Sens!H18843*IF(1&lt;life_fac,1,IF(1=life_fac,0.5,0))+Sens!I18843*0.5)/life_fac</f>
        <v>7.20087772705058</v>
      </c>
      <c r="J18849" s="6" t="n">
        <f aca="false">(Sens!C18843*IF(7&lt;life_fac,1,IF(7=life_fac,0.5,0))+Sens!D18843*IF(6&lt;life_fac,1,IF(6=life_fac,0.5,0))+Sens!E18843*IF(5&lt;life_fac,1,IF(5=life_fac,0.5,0))+Sens!F18843*IF(4&lt;life_fac,1,IF(4=life_fac,0.5,0))+Sens!G18843*IF(3&lt;life_fac,1,IF(3=life_fac,0.5,0))+Sens!H18843*IF(2&lt;life_fac,1,IF(2=life_fac,0.5,0))+Sens!I18843*IF(1&lt;life_fac,1,IF(1=life_fac,0.5,0))+Sens!J18843*0.5)/life_fac</f>
        <v>8.15686961894934</v>
      </c>
      <c r="K18849" s="6" t="n">
        <f aca="false">(Sens!C18843*IF(8&lt;life_fac,1,IF(8=life_fac,0.5,0))+Sens!D18843*IF(7&lt;life_fac,1,IF(7=life_fac,0.5,0))+Sens!E18843*IF(6&lt;life_fac,1,IF(6=life_fac,0.5,0))+Sens!F18843*IF(5&lt;life_fac,1,IF(5=life_fac,0.5,0))+Sens!G18843*IF(4&lt;life_fac,1,IF(4=life_fac,0.5,0))+Sens!H18843*IF(3&lt;life_fac,1,IF(3=life_fac,0.5,0))+Sens!I18843*IF(2&lt;life_fac,1,IF(2=life_fac,0.5,0))+Sens!J18843*IF(1&lt;life_fac,1,IF(1=life_fac,0.5,0))+Sens!K18843*0.5)/life_fac</f>
        <v>8.65384955365624</v>
      </c>
    </row>
    <row r="18850" customFormat="false" ht="17.15" hidden="false" customHeight="false" outlineLevel="0" collapsed="false">
      <c r="A18850" s="0" t="s">
        <v>1001</v>
      </c>
      <c r="B18850" s="0" t="s">
        <v>98</v>
      </c>
      <c r="E18850" s="6" t="n">
        <f aca="false">Sens!E18848+Sens!E18849</f>
        <v>16.3054059770833</v>
      </c>
      <c r="F18850" s="6" t="n">
        <f aca="false">Sens!F18848+Sens!F18849</f>
        <v>34.641228276809</v>
      </c>
      <c r="G18850" s="6" t="n">
        <f aca="false">Sens!G18848+Sens!G18849</f>
        <v>60.9344867500193</v>
      </c>
      <c r="H18850" s="6" t="n">
        <f aca="false">Sens!H18848+Sens!H18849</f>
        <v>89.440318654396</v>
      </c>
      <c r="I18850" s="6" t="n">
        <f aca="false">Sens!I18848+Sens!I18849</f>
        <v>114.777494622816</v>
      </c>
      <c r="J18850" s="6" t="n">
        <f aca="false">Sens!J18848+Sens!J18849</f>
        <v>132.880875699293</v>
      </c>
      <c r="K18850" s="6" t="n">
        <f aca="false">Sens!K18848+Sens!K18849</f>
        <v>144.355521672042</v>
      </c>
    </row>
    <row r="18851" customFormat="false" ht="17.15" hidden="false" customHeight="false" outlineLevel="0" collapsed="false">
      <c r="A18851" s="0" t="s">
        <v>1002</v>
      </c>
      <c r="B18851" s="0" t="s">
        <v>98</v>
      </c>
      <c r="E18851" s="6" t="n">
        <f aca="false">Sens!E18838-Sens!E18837*Sens!E18850</f>
        <v>8.92707889977379</v>
      </c>
      <c r="F18851" s="6" t="n">
        <f aca="false">Sens!F18838-Sens!F18837*Sens!F18850</f>
        <v>23.0552799243428</v>
      </c>
      <c r="G18851" s="6" t="n">
        <f aca="false">Sens!G18838-Sens!G18837*Sens!G18850</f>
        <v>44.1801817848947</v>
      </c>
      <c r="H18851" s="6" t="n">
        <f aca="false">Sens!H18838-Sens!H18837*Sens!H18850</f>
        <v>70.6030108589578</v>
      </c>
      <c r="I18851" s="6" t="n">
        <f aca="false">Sens!I18838-Sens!I18837*Sens!I18850</f>
        <v>88.5762453155964</v>
      </c>
      <c r="J18851" s="6" t="n">
        <f aca="false">Sens!J18838-Sens!J18837*Sens!J18850</f>
        <v>101.182111776921</v>
      </c>
      <c r="K18851" s="6" t="n">
        <f aca="false">Sens!K18838-Sens!K18837*Sens!K18850</f>
        <v>109.835064772105</v>
      </c>
    </row>
    <row r="18852" customFormat="false" ht="17.15" hidden="false" customHeight="false" outlineLevel="0" collapsed="false">
      <c r="A18852" s="3" t="s">
        <v>1945</v>
      </c>
    </row>
    <row r="18853" customFormat="false" ht="15" hidden="false" customHeight="false" outlineLevel="0" collapsed="false">
      <c r="A18853" s="4" t="s">
        <v>43</v>
      </c>
      <c r="B18853" s="4" t="s">
        <v>65</v>
      </c>
      <c r="C18853" s="23" t="s">
        <v>938</v>
      </c>
      <c r="D18853" s="23" t="s">
        <v>939</v>
      </c>
      <c r="E18853" s="23" t="s">
        <v>940</v>
      </c>
      <c r="F18853" s="23" t="s">
        <v>941</v>
      </c>
      <c r="G18853" s="23" t="s">
        <v>942</v>
      </c>
      <c r="H18853" s="23" t="s">
        <v>943</v>
      </c>
      <c r="I18853" s="23" t="s">
        <v>944</v>
      </c>
      <c r="J18853" s="23" t="s">
        <v>945</v>
      </c>
      <c r="K18853" s="23" t="s">
        <v>946</v>
      </c>
      <c r="L18853" s="4" t="s">
        <v>47</v>
      </c>
    </row>
    <row r="18854" customFormat="false" ht="17.15" hidden="false" customHeight="false" outlineLevel="0" collapsed="false">
      <c r="A18854" s="0" t="s">
        <v>1021</v>
      </c>
      <c r="B18854" s="0" t="s">
        <v>98</v>
      </c>
      <c r="D18854" s="6" t="n">
        <f aca="false">Sens!D18832</f>
        <v>12.9359794422418</v>
      </c>
      <c r="E18854" s="6" t="n">
        <f aca="false">Sens!E18832</f>
        <v>27.8095064661409</v>
      </c>
      <c r="F18854" s="6" t="n">
        <f aca="false">Sens!F18832</f>
        <v>59.5998846356733</v>
      </c>
      <c r="G18854" s="6" t="n">
        <f aca="false">Sens!G18832</f>
        <v>104.104330490056</v>
      </c>
      <c r="H18854" s="6" t="n">
        <f aca="false">Sens!H18832</f>
        <v>154.663167099744</v>
      </c>
      <c r="I18854" s="6" t="n">
        <f aca="false">Sens!I18832</f>
        <v>193.925350110904</v>
      </c>
      <c r="J18854" s="6" t="n">
        <f aca="false">Sens!J18832</f>
        <v>221.537483646912</v>
      </c>
      <c r="K18854" s="6" t="n">
        <f aca="false">Sens!K18832</f>
        <v>239.42780922768</v>
      </c>
    </row>
    <row r="18855" customFormat="false" ht="17.15" hidden="false" customHeight="false" outlineLevel="0" collapsed="false">
      <c r="A18855" s="0" t="s">
        <v>1022</v>
      </c>
      <c r="B18855" s="0" t="s">
        <v>98</v>
      </c>
      <c r="D18855" s="6" t="n">
        <f aca="false">Q!L6-Sens!D18854</f>
        <v>59.6740205577583</v>
      </c>
      <c r="E18855" s="6" t="n">
        <f aca="false">Q!M6-Sens!E18854</f>
        <v>74.1284935338591</v>
      </c>
      <c r="F18855" s="6" t="n">
        <f aca="false">Q!$I$6+(Sens!F18854+Sens!E18855*(1+Sens!F18856))*(1-Q!$E$6/Q!M6)-Sens!F18854</f>
        <v>90.3775851372552</v>
      </c>
      <c r="G18855" s="6" t="n">
        <f aca="false">Sens!F18855*(1+Sens!G18856)</f>
        <v>107.382060482057</v>
      </c>
      <c r="H18855" s="6" t="n">
        <f aca="false">Sens!G18855*(1+Sens!H18856)</f>
        <v>124.682592730732</v>
      </c>
      <c r="I18855" s="6" t="n">
        <f aca="false">Sens!H18855*(1+Sens!I18856)</f>
        <v>141.399364929276</v>
      </c>
      <c r="J18855" s="6" t="n">
        <f aca="false">Sens!I18855*(1+Sens!J18856)</f>
        <v>156.534373129984</v>
      </c>
      <c r="K18855" s="6" t="n">
        <f aca="false">Sens!J18855*(1+Sens!K18856)</f>
        <v>169.057122980383</v>
      </c>
      <c r="L18855" s="12" t="s">
        <v>1023</v>
      </c>
    </row>
    <row r="18856" customFormat="false" ht="15" hidden="false" customHeight="false" outlineLevel="0" collapsed="false">
      <c r="A18856" s="1" t="s">
        <v>1024</v>
      </c>
      <c r="B18856" s="0" t="s">
        <v>168</v>
      </c>
      <c r="E18856" s="7" t="n">
        <f aca="false">Sens!E18855/Sens!D18855-1</f>
        <v>0.242223883039864</v>
      </c>
      <c r="F18856" s="7" t="n">
        <f aca="false">Sens!$E$18856+(glt_azo-Sens!$E$18856)*MIN(1,(Sens!F18813-base_fy)/n_conv)</f>
        <v>0.215186569199887</v>
      </c>
      <c r="G18856" s="7" t="n">
        <f aca="false">Sens!$E$18856+(glt_azo-Sens!$E$18856)*MIN(1,(Sens!G18813-base_fy)/n_conv)</f>
        <v>0.18814925535991</v>
      </c>
      <c r="H18856" s="7" t="n">
        <f aca="false">Sens!$E$18856+(glt_azo-Sens!$E$18856)*MIN(1,(Sens!H18813-base_fy)/n_conv)</f>
        <v>0.161111941519932</v>
      </c>
      <c r="I18856" s="7" t="n">
        <f aca="false">Sens!$E$18856+(glt_azo-Sens!$E$18856)*MIN(1,(Sens!I18813-base_fy)/n_conv)</f>
        <v>0.134074627679955</v>
      </c>
      <c r="J18856" s="7" t="n">
        <f aca="false">Sens!$E$18856+(glt_azo-Sens!$E$18856)*MIN(1,(Sens!J18813-base_fy)/n_conv)</f>
        <v>0.107037313839977</v>
      </c>
      <c r="K18856" s="7" t="n">
        <f aca="false">Sens!$E$18856+(glt_azo-Sens!$E$18856)*MIN(1,(Sens!K18813-base_fy)/n_conv)</f>
        <v>0.08</v>
      </c>
    </row>
    <row r="18857" customFormat="false" ht="15" hidden="false" customHeight="false" outlineLevel="0" collapsed="false">
      <c r="A18857" s="0" t="s">
        <v>1025</v>
      </c>
      <c r="B18857" s="0" t="s">
        <v>98</v>
      </c>
      <c r="D18857" s="6" t="n">
        <f aca="false">Sens!D18854+Sens!D18855</f>
        <v>72.61</v>
      </c>
      <c r="E18857" s="6" t="n">
        <f aca="false">Sens!E18854+Sens!E18855</f>
        <v>101.938</v>
      </c>
      <c r="F18857" s="6" t="n">
        <f aca="false">Sens!F18854+Sens!F18855</f>
        <v>149.977469772929</v>
      </c>
      <c r="G18857" s="6" t="n">
        <f aca="false">Sens!G18854+Sens!G18855</f>
        <v>211.486390972113</v>
      </c>
      <c r="H18857" s="6" t="n">
        <f aca="false">Sens!H18854+Sens!H18855</f>
        <v>279.345759830476</v>
      </c>
      <c r="I18857" s="6" t="n">
        <f aca="false">Sens!I18854+Sens!I18855</f>
        <v>335.32471504018</v>
      </c>
      <c r="J18857" s="6" t="n">
        <f aca="false">Sens!J18854+Sens!J18855</f>
        <v>378.071856776896</v>
      </c>
      <c r="K18857" s="6" t="n">
        <f aca="false">Sens!K18854+Sens!K18855</f>
        <v>408.484932208063</v>
      </c>
    </row>
    <row r="18858" customFormat="false" ht="17.15" hidden="false" customHeight="false" outlineLevel="0" collapsed="false">
      <c r="A18858" s="0" t="s">
        <v>1026</v>
      </c>
      <c r="B18858" s="1" t="s">
        <v>610</v>
      </c>
      <c r="C18858" s="30" t="n">
        <f aca="false">cop_s24</f>
        <v>1</v>
      </c>
      <c r="D18858" s="30" t="n">
        <f aca="false">cop_s25</f>
        <v>5</v>
      </c>
      <c r="E18858" s="30" t="n">
        <f aca="false">cop_s26</f>
        <v>30</v>
      </c>
      <c r="F18858" s="30" t="n">
        <f aca="false">Sens!E18858+cop_add_A</f>
        <v>60</v>
      </c>
      <c r="G18858" s="30" t="n">
        <f aca="false">Sens!F18858+cop_add_A</f>
        <v>90</v>
      </c>
      <c r="H18858" s="30" t="n">
        <f aca="false">Sens!G18858+cop_add_A</f>
        <v>120</v>
      </c>
      <c r="I18858" s="30" t="n">
        <f aca="false">Sens!H18858+cop_add_A*cop_tail</f>
        <v>135</v>
      </c>
      <c r="J18858" s="30" t="n">
        <f aca="false">Sens!I18858+cop_add_A*cop_tail</f>
        <v>150</v>
      </c>
      <c r="K18858" s="30" t="n">
        <f aca="false">Sens!J18858+cop_add_A*cop_tail</f>
        <v>165</v>
      </c>
      <c r="L18858" s="12" t="s">
        <v>1027</v>
      </c>
    </row>
    <row r="18859" customFormat="false" ht="17.15" hidden="false" customHeight="false" outlineLevel="0" collapsed="false">
      <c r="A18859" s="0" t="s">
        <v>1028</v>
      </c>
      <c r="B18859" s="0" t="s">
        <v>98</v>
      </c>
      <c r="D18859" s="6" t="n">
        <f aca="false">(Sens!C18858+Sens!D18858)/2*cop_px*12/1000</f>
        <v>0.9</v>
      </c>
      <c r="E18859" s="6" t="n">
        <f aca="false">(Sens!D18858+Sens!E18858)/2*cop_px*12/1000</f>
        <v>5.25</v>
      </c>
      <c r="F18859" s="6" t="n">
        <f aca="false">(Sens!E18858+Sens!F18858)/2*cop_px*12/1000</f>
        <v>13.5</v>
      </c>
      <c r="G18859" s="6" t="n">
        <f aca="false">(Sens!F18858+Sens!G18858)/2*cop_px*12/1000</f>
        <v>22.5</v>
      </c>
      <c r="H18859" s="6" t="n">
        <f aca="false">(Sens!G18858+Sens!H18858)/2*cop_px*12/1000</f>
        <v>31.5</v>
      </c>
      <c r="I18859" s="6" t="n">
        <f aca="false">(Sens!H18858+Sens!I18858)/2*cop_px*12/1000</f>
        <v>38.25</v>
      </c>
      <c r="J18859" s="6" t="n">
        <f aca="false">(Sens!I18858+Sens!J18858)/2*cop_px*12/1000</f>
        <v>42.75</v>
      </c>
      <c r="K18859" s="6" t="n">
        <f aca="false">(Sens!J18858+Sens!K18858)/2*cop_px*12/1000</f>
        <v>47.25</v>
      </c>
      <c r="L18859" s="1" t="s">
        <v>1029</v>
      </c>
    </row>
    <row r="18860" customFormat="false" ht="17.15" hidden="false" customHeight="false" outlineLevel="0" collapsed="false">
      <c r="A18860" s="0" t="s">
        <v>1030</v>
      </c>
      <c r="B18860" s="0" t="s">
        <v>98</v>
      </c>
      <c r="D18860" s="6" t="n">
        <f aca="false">Q!L7-Sens!D18859</f>
        <v>83.705</v>
      </c>
      <c r="E18860" s="6" t="n">
        <f aca="false">Q!M7-Sens!E18859</f>
        <v>95.049</v>
      </c>
      <c r="F18860" s="6" t="n">
        <f aca="false">Q!$I$7+(Sens!E18860*(1+Sens!F18861)+Sens!F18859)*(1-Q!$E$7/Q!M7)-Sens!F18859</f>
        <v>106.229653205718</v>
      </c>
      <c r="G18860" s="6" t="n">
        <f aca="false">Sens!F18860*(1+Sens!G18861)</f>
        <v>118.306092647576</v>
      </c>
      <c r="H18860" s="6" t="n">
        <f aca="false">Sens!G18860*(1+Sens!H18861)</f>
        <v>130.463437602768</v>
      </c>
      <c r="I18860" s="6" t="n">
        <f aca="false">Sens!H18860*(1+Sens!I18861)</f>
        <v>142.445354741933</v>
      </c>
      <c r="J18860" s="6" t="n">
        <f aca="false">Sens!I18860*(1+Sens!J18861)</f>
        <v>153.972117481571</v>
      </c>
      <c r="K18860" s="6" t="n">
        <f aca="false">Sens!J18860*(1+Sens!K18861)</f>
        <v>164.75016570528</v>
      </c>
      <c r="L18860" s="12" t="s">
        <v>1031</v>
      </c>
    </row>
    <row r="18861" customFormat="false" ht="15" hidden="false" customHeight="false" outlineLevel="0" collapsed="false">
      <c r="A18861" s="1" t="s">
        <v>1024</v>
      </c>
      <c r="B18861" s="0" t="s">
        <v>168</v>
      </c>
      <c r="E18861" s="7" t="n">
        <f aca="false">Sens!E18860/Sens!D18860-1</f>
        <v>0.135523564900544</v>
      </c>
      <c r="F18861" s="7" t="n">
        <f aca="false">Sens!$E$18861+(glt_m365b-Sens!$E$18861)*MIN(1,(Sens!F18813-base_fy)/n_conv)</f>
        <v>0.124602970750453</v>
      </c>
      <c r="G18861" s="7" t="n">
        <f aca="false">Sens!$E$18861+(glt_m365b-Sens!$E$18861)*MIN(1,(Sens!G18813-base_fy)/n_conv)</f>
        <v>0.113682376600363</v>
      </c>
      <c r="H18861" s="7" t="n">
        <f aca="false">Sens!$E$18861+(glt_m365b-Sens!$E$18861)*MIN(1,(Sens!H18813-base_fy)/n_conv)</f>
        <v>0.102761782450272</v>
      </c>
      <c r="I18861" s="7" t="n">
        <f aca="false">Sens!$E$18861+(glt_m365b-Sens!$E$18861)*MIN(1,(Sens!I18813-base_fy)/n_conv)</f>
        <v>0.0918411883001813</v>
      </c>
      <c r="J18861" s="7" t="n">
        <f aca="false">Sens!$E$18861+(glt_m365b-Sens!$E$18861)*MIN(1,(Sens!J18813-base_fy)/n_conv)</f>
        <v>0.0809205941500906</v>
      </c>
      <c r="K18861" s="7" t="n">
        <f aca="false">Sens!$E$18861+(glt_m365b-Sens!$E$18861)*MIN(1,(Sens!K18813-base_fy)/n_conv)</f>
        <v>0.07</v>
      </c>
    </row>
    <row r="18862" customFormat="false" ht="15" hidden="false" customHeight="false" outlineLevel="0" collapsed="false">
      <c r="A18862" s="0" t="s">
        <v>1032</v>
      </c>
      <c r="B18862" s="0" t="s">
        <v>98</v>
      </c>
      <c r="D18862" s="6" t="n">
        <f aca="false">Sens!D18860+Sens!D18859</f>
        <v>84.605</v>
      </c>
      <c r="E18862" s="6" t="n">
        <f aca="false">Sens!E18860+Sens!E18859</f>
        <v>100.299</v>
      </c>
      <c r="F18862" s="6" t="n">
        <f aca="false">Sens!F18860+Sens!F18859</f>
        <v>119.729653205718</v>
      </c>
      <c r="G18862" s="6" t="n">
        <f aca="false">Sens!G18860+Sens!G18859</f>
        <v>140.806092647576</v>
      </c>
      <c r="H18862" s="6" t="n">
        <f aca="false">Sens!H18860+Sens!H18859</f>
        <v>161.963437602768</v>
      </c>
      <c r="I18862" s="6" t="n">
        <f aca="false">Sens!I18860+Sens!I18859</f>
        <v>180.695354741933</v>
      </c>
      <c r="J18862" s="6" t="n">
        <f aca="false">Sens!J18860+Sens!J18859</f>
        <v>196.722117481571</v>
      </c>
      <c r="K18862" s="6" t="n">
        <f aca="false">Sens!K18860+Sens!K18859</f>
        <v>212.00016570528</v>
      </c>
    </row>
    <row r="18863" customFormat="false" ht="17.15" hidden="false" customHeight="false" outlineLevel="0" collapsed="false">
      <c r="A18863" s="0" t="s">
        <v>1033</v>
      </c>
      <c r="B18863" s="0" t="s">
        <v>98</v>
      </c>
      <c r="D18863" s="6" t="n">
        <f aca="false">Q!L8</f>
        <v>35.391</v>
      </c>
      <c r="E18863" s="6" t="n">
        <f aca="false">Q!M8</f>
        <v>37.285</v>
      </c>
      <c r="F18863" s="6" t="n">
        <f aca="false">Q!$I$8+(Q!M8-Q!$E$8)*(1+Sens!F18864)</f>
        <v>38.3851437782675</v>
      </c>
      <c r="G18863" s="6" t="n">
        <f aca="false">Sens!F18863*(1+Sens!G18864)</f>
        <v>40.0105353288615</v>
      </c>
      <c r="H18863" s="6" t="n">
        <f aca="false">Sens!G18863*(1+Sens!H18864)</f>
        <v>41.4812512033683</v>
      </c>
      <c r="I18863" s="6" t="n">
        <f aca="false">Sens!H18863*(1+Sens!I18864)</f>
        <v>42.7743107216329</v>
      </c>
      <c r="J18863" s="6" t="n">
        <f aca="false">Sens!I18863*(1+Sens!J18864)</f>
        <v>43.8687373064601</v>
      </c>
      <c r="K18863" s="6" t="n">
        <f aca="false">Sens!J18863*(1+Sens!K18864)</f>
        <v>44.7461120525893</v>
      </c>
      <c r="L18863" s="12" t="s">
        <v>1034</v>
      </c>
    </row>
    <row r="18864" customFormat="false" ht="15" hidden="false" customHeight="false" outlineLevel="0" collapsed="false">
      <c r="A18864" s="1" t="s">
        <v>1024</v>
      </c>
      <c r="B18864" s="0" t="s">
        <v>168</v>
      </c>
      <c r="E18864" s="7" t="n">
        <f aca="false">Sens!E18863/Sens!D18863-1</f>
        <v>0.0535164307309768</v>
      </c>
      <c r="F18864" s="7" t="n">
        <f aca="false">Sens!$E$18864+(glt_lic-Sens!$E$18864)*MIN(1,(Sens!F18813-base_fy)/n_conv)</f>
        <v>0.0479303589424807</v>
      </c>
      <c r="G18864" s="7" t="n">
        <f aca="false">Sens!$E$18864+(glt_lic-Sens!$E$18864)*MIN(1,(Sens!G18813-base_fy)/n_conv)</f>
        <v>0.0423442871539845</v>
      </c>
      <c r="H18864" s="7" t="n">
        <f aca="false">Sens!$E$18864+(glt_lic-Sens!$E$18864)*MIN(1,(Sens!H18813-base_fy)/n_conv)</f>
        <v>0.0367582153654884</v>
      </c>
      <c r="I18864" s="7" t="n">
        <f aca="false">Sens!$E$18864+(glt_lic-Sens!$E$18864)*MIN(1,(Sens!I18813-base_fy)/n_conv)</f>
        <v>0.0311721435769923</v>
      </c>
      <c r="J18864" s="7" t="n">
        <f aca="false">Sens!$E$18864+(glt_lic-Sens!$E$18864)*MIN(1,(Sens!J18813-base_fy)/n_conv)</f>
        <v>0.0255860717884961</v>
      </c>
      <c r="K18864" s="7" t="n">
        <f aca="false">Sens!$E$18864+(glt_lic-Sens!$E$18864)*MIN(1,(Sens!K18813-base_fy)/n_conv)</f>
        <v>0.02</v>
      </c>
    </row>
    <row r="18865" customFormat="false" ht="17.15" hidden="false" customHeight="false" outlineLevel="0" collapsed="false">
      <c r="A18865" s="0" t="s">
        <v>1035</v>
      </c>
      <c r="B18865" s="0" t="s">
        <v>98</v>
      </c>
      <c r="D18865" s="6" t="n">
        <f aca="false">Q!L9</f>
        <v>18.417</v>
      </c>
      <c r="E18865" s="6" t="n">
        <f aca="false">Q!M9</f>
        <v>20.345</v>
      </c>
      <c r="F18865" s="6" t="n">
        <f aca="false">Q!$I$9+(Q!M9-Q!$E$9)*(1+Sens!F18866)</f>
        <v>22.3161797133988</v>
      </c>
      <c r="G18865" s="6" t="n">
        <f aca="false">Sens!F18865*(1+Sens!G18866)</f>
        <v>24.3943499673233</v>
      </c>
      <c r="H18865" s="6" t="n">
        <f aca="false">Sens!G18865*(1+Sens!H18866)</f>
        <v>26.5250243109019</v>
      </c>
      <c r="I18865" s="6" t="n">
        <f aca="false">Sens!H18865*(1+Sens!I18866)</f>
        <v>28.6884573538181</v>
      </c>
      <c r="J18865" s="6" t="n">
        <f aca="false">Sens!I18865*(1+Sens!J18866)</f>
        <v>30.8624968052127</v>
      </c>
      <c r="K18865" s="6" t="n">
        <f aca="false">Sens!J18865*(1+Sens!K18866)</f>
        <v>33.0228715815776</v>
      </c>
      <c r="L18865" s="12" t="s">
        <v>1034</v>
      </c>
    </row>
    <row r="18866" customFormat="false" ht="15" hidden="false" customHeight="false" outlineLevel="0" collapsed="false">
      <c r="A18866" s="1" t="s">
        <v>1024</v>
      </c>
      <c r="B18866" s="0" t="s">
        <v>168</v>
      </c>
      <c r="E18866" s="7" t="n">
        <f aca="false">Sens!E18865/Sens!D18865-1</f>
        <v>0.104685888038225</v>
      </c>
      <c r="F18866" s="7" t="n">
        <f aca="false">Sens!$E$18866+(glt_ind-Sens!$E$18866)*MIN(1,(Sens!F18813-base_fy)/n_conv)</f>
        <v>0.0989049066985211</v>
      </c>
      <c r="G18866" s="7" t="n">
        <f aca="false">Sens!$E$18866+(glt_ind-Sens!$E$18866)*MIN(1,(Sens!G18813-base_fy)/n_conv)</f>
        <v>0.0931239253588169</v>
      </c>
      <c r="H18866" s="7" t="n">
        <f aca="false">Sens!$E$18866+(glt_ind-Sens!$E$18866)*MIN(1,(Sens!H18813-base_fy)/n_conv)</f>
        <v>0.0873429440191127</v>
      </c>
      <c r="I18866" s="7" t="n">
        <f aca="false">Sens!$E$18866+(glt_ind-Sens!$E$18866)*MIN(1,(Sens!I18813-base_fy)/n_conv)</f>
        <v>0.0815619626794085</v>
      </c>
      <c r="J18866" s="7" t="n">
        <f aca="false">Sens!$E$18866+(glt_ind-Sens!$E$18866)*MIN(1,(Sens!J18813-base_fy)/n_conv)</f>
        <v>0.0757809813397042</v>
      </c>
      <c r="K18866" s="7" t="n">
        <f aca="false">Sens!$E$18866+(glt_ind-Sens!$E$18866)*MIN(1,(Sens!K18813-base_fy)/n_conv)</f>
        <v>0.07</v>
      </c>
    </row>
    <row r="18867" customFormat="false" ht="17.15" hidden="false" customHeight="false" outlineLevel="0" collapsed="false">
      <c r="A18867" s="0" t="s">
        <v>1036</v>
      </c>
      <c r="B18867" s="0" t="s">
        <v>98</v>
      </c>
      <c r="D18867" s="6" t="n">
        <f aca="false">Q!L10</f>
        <v>7.76</v>
      </c>
      <c r="E18867" s="6" t="n">
        <f aca="false">Q!M10</f>
        <v>8.26</v>
      </c>
      <c r="F18867" s="6" t="n">
        <f aca="false">Q!$I$10+(Q!M10-Q!$E$10)*(1+Sens!F18868)</f>
        <v>8.75372082474227</v>
      </c>
      <c r="G18867" s="6" t="n">
        <f aca="false">Sens!F18867*(1+Sens!G18868)</f>
        <v>9.33399324642364</v>
      </c>
      <c r="H18867" s="6" t="n">
        <f aca="false">Sens!G18867*(1+Sens!H18868)</f>
        <v>9.96139155535851</v>
      </c>
      <c r="I18867" s="6" t="n">
        <f aca="false">Sens!H18867*(1+Sens!I18868)</f>
        <v>10.6402039077391</v>
      </c>
      <c r="J18867" s="6" t="n">
        <f aca="false">Sens!I18867*(1+Sens!J18868)</f>
        <v>11.3751458271397</v>
      </c>
      <c r="K18867" s="6" t="n">
        <f aca="false">Sens!J18867*(1+Sens!K18868)</f>
        <v>12.1714060350394</v>
      </c>
      <c r="L18867" s="12" t="s">
        <v>1034</v>
      </c>
    </row>
    <row r="18868" customFormat="false" ht="15" hidden="false" customHeight="false" outlineLevel="0" collapsed="false">
      <c r="A18868" s="1" t="s">
        <v>1024</v>
      </c>
      <c r="B18868" s="0" t="s">
        <v>168</v>
      </c>
      <c r="E18868" s="7" t="n">
        <f aca="false">Sens!E18867/Sens!D18867-1</f>
        <v>0.0644329896907216</v>
      </c>
      <c r="F18868" s="7" t="n">
        <f aca="false">Sens!$E$18868+(glt_fro-Sens!$E$18868)*MIN(1,(Sens!F18813-base_fy)/n_conv)</f>
        <v>0.065360824742268</v>
      </c>
      <c r="G18868" s="7" t="n">
        <f aca="false">Sens!$E$18868+(glt_fro-Sens!$E$18868)*MIN(1,(Sens!G18813-base_fy)/n_conv)</f>
        <v>0.0662886597938144</v>
      </c>
      <c r="H18868" s="7" t="n">
        <f aca="false">Sens!$E$18868+(glt_fro-Sens!$E$18868)*MIN(1,(Sens!H18813-base_fy)/n_conv)</f>
        <v>0.0672164948453608</v>
      </c>
      <c r="I18868" s="7" t="n">
        <f aca="false">Sens!$E$18868+(glt_fro-Sens!$E$18868)*MIN(1,(Sens!I18813-base_fy)/n_conv)</f>
        <v>0.0681443298969072</v>
      </c>
      <c r="J18868" s="7" t="n">
        <f aca="false">Sens!$E$18868+(glt_fro-Sens!$E$18868)*MIN(1,(Sens!J18813-base_fy)/n_conv)</f>
        <v>0.0690721649484536</v>
      </c>
      <c r="K18868" s="7" t="n">
        <f aca="false">Sens!$E$18868+(glt_fro-Sens!$E$18868)*MIN(1,(Sens!K18813-base_fy)/n_conv)</f>
        <v>0.07</v>
      </c>
    </row>
    <row r="18869" customFormat="false" ht="15" hidden="false" customHeight="false" outlineLevel="0" collapsed="false">
      <c r="A18869" s="0" t="s">
        <v>852</v>
      </c>
      <c r="B18869" s="0" t="s">
        <v>98</v>
      </c>
      <c r="D18869" s="6" t="n">
        <f aca="false">Sens!D18857+Sens!D18862+Sens!D18863+Sens!D18865+Sens!D18867</f>
        <v>218.783</v>
      </c>
      <c r="E18869" s="6" t="n">
        <f aca="false">Sens!E18857+Sens!E18862+Sens!E18863+Sens!E18865+Sens!E18867</f>
        <v>268.127</v>
      </c>
      <c r="F18869" s="6" t="n">
        <f aca="false">Sens!F18857+Sens!F18862+Sens!F18863+Sens!F18865+Sens!F18867</f>
        <v>339.162167295055</v>
      </c>
      <c r="G18869" s="6" t="n">
        <f aca="false">Sens!G18857+Sens!G18862+Sens!G18863+Sens!G18865+Sens!G18867</f>
        <v>426.031362162298</v>
      </c>
      <c r="H18869" s="6" t="n">
        <f aca="false">Sens!H18857+Sens!H18862+Sens!H18863+Sens!H18865+Sens!H18867</f>
        <v>519.276864502873</v>
      </c>
      <c r="I18869" s="6" t="n">
        <f aca="false">Sens!I18857+Sens!I18862+Sens!I18863+Sens!I18865+Sens!I18867</f>
        <v>598.123041765303</v>
      </c>
      <c r="J18869" s="6" t="n">
        <f aca="false">Sens!J18857+Sens!J18862+Sens!J18863+Sens!J18865+Sens!J18867</f>
        <v>660.900354197279</v>
      </c>
      <c r="K18869" s="6" t="n">
        <f aca="false">Sens!K18857+Sens!K18862+Sens!K18863+Sens!K18865+Sens!K18867</f>
        <v>710.42548758255</v>
      </c>
    </row>
    <row r="18870" customFormat="false" ht="17.15" hidden="false" customHeight="false" outlineLevel="0" collapsed="false">
      <c r="A18870" s="0" t="s">
        <v>1037</v>
      </c>
      <c r="B18870" s="0" t="s">
        <v>98</v>
      </c>
      <c r="D18870" s="6" t="n">
        <f aca="false">Q!L13</f>
        <v>22.171</v>
      </c>
      <c r="E18870" s="6" t="n">
        <f aca="false">Q!M13</f>
        <v>24.835</v>
      </c>
      <c r="F18870" s="6" t="n">
        <f aca="false">Q!$I$13+(Q!M13-Q!$E$13)*(1+Sens!F18871)</f>
        <v>27.5591895660247</v>
      </c>
      <c r="G18870" s="6" t="n">
        <f aca="false">Sens!F18870*(1+Sens!G18871)</f>
        <v>30.4098563144583</v>
      </c>
      <c r="H18870" s="6" t="n">
        <f aca="false">Sens!G18870*(1+Sens!H18871)</f>
        <v>33.3011792571777</v>
      </c>
      <c r="I18870" s="6" t="n">
        <f aca="false">Sens!H18870*(1+Sens!I18871)</f>
        <v>36.189023797112</v>
      </c>
      <c r="J18870" s="6" t="n">
        <f aca="false">Sens!I18870*(1+Sens!J18871)</f>
        <v>39.0247773769199</v>
      </c>
      <c r="K18870" s="6" t="n">
        <f aca="false">Sens!J18870*(1+Sens!K18871)</f>
        <v>41.7565117933043</v>
      </c>
      <c r="L18870" s="12" t="s">
        <v>1034</v>
      </c>
    </row>
    <row r="18871" customFormat="false" ht="15" hidden="false" customHeight="false" outlineLevel="0" collapsed="false">
      <c r="A18871" s="1" t="s">
        <v>1024</v>
      </c>
      <c r="B18871" s="0" t="s">
        <v>168</v>
      </c>
      <c r="E18871" s="7" t="n">
        <f aca="false">Sens!E18870/Sens!D18870-1</f>
        <v>0.120156961796942</v>
      </c>
      <c r="F18871" s="7" t="n">
        <f aca="false">Sens!$E$18871+(glt_srch-Sens!$E$18871)*MIN(1,(Sens!F18813-base_fy)/n_conv)</f>
        <v>0.111797468164118</v>
      </c>
      <c r="G18871" s="7" t="n">
        <f aca="false">Sens!$E$18871+(glt_srch-Sens!$E$18871)*MIN(1,(Sens!G18813-base_fy)/n_conv)</f>
        <v>0.103437974531295</v>
      </c>
      <c r="H18871" s="7" t="n">
        <f aca="false">Sens!$E$18871+(glt_srch-Sens!$E$18871)*MIN(1,(Sens!H18813-base_fy)/n_conv)</f>
        <v>0.095078480898471</v>
      </c>
      <c r="I18871" s="7" t="n">
        <f aca="false">Sens!$E$18871+(glt_srch-Sens!$E$18871)*MIN(1,(Sens!I18813-base_fy)/n_conv)</f>
        <v>0.0867189872656474</v>
      </c>
      <c r="J18871" s="7" t="n">
        <f aca="false">Sens!$E$18871+(glt_srch-Sens!$E$18871)*MIN(1,(Sens!J18813-base_fy)/n_conv)</f>
        <v>0.0783594936328237</v>
      </c>
      <c r="K18871" s="7" t="n">
        <f aca="false">Sens!$E$18871+(glt_srch-Sens!$E$18871)*MIN(1,(Sens!K18813-base_fy)/n_conv)</f>
        <v>0.07</v>
      </c>
    </row>
    <row r="18872" customFormat="false" ht="17.15" hidden="false" customHeight="false" outlineLevel="0" collapsed="false">
      <c r="A18872" s="0" t="s">
        <v>1038</v>
      </c>
      <c r="B18872" s="0" t="s">
        <v>98</v>
      </c>
      <c r="D18872" s="6" t="n">
        <f aca="false">Q!L14</f>
        <v>23.455</v>
      </c>
      <c r="E18872" s="6" t="n">
        <f aca="false">Q!M14</f>
        <v>21.79</v>
      </c>
      <c r="F18872" s="6" t="n">
        <f aca="false">Q!$I$14+(Q!M14-Q!$E$14)*(1+Sens!F18873)</f>
        <v>20.7520981041711</v>
      </c>
      <c r="G18872" s="6" t="n">
        <f aca="false">Sens!F18872*(1+Sens!G18873)</f>
        <v>19.9083593495882</v>
      </c>
      <c r="H18872" s="6" t="n">
        <f aca="false">Sens!G18872*(1+Sens!H18873)</f>
        <v>19.4008256265831</v>
      </c>
      <c r="I18872" s="6" t="n">
        <f aca="false">Sens!H18872*(1+Sens!I18873)</f>
        <v>19.200434522122</v>
      </c>
      <c r="J18872" s="6" t="n">
        <f aca="false">Sens!I18872*(1+Sens!J18873)</f>
        <v>19.2932782348507</v>
      </c>
      <c r="K18872" s="6" t="n">
        <f aca="false">Sens!J18872*(1+Sens!K18873)</f>
        <v>19.6791437995477</v>
      </c>
      <c r="L18872" s="12" t="s">
        <v>1034</v>
      </c>
    </row>
    <row r="18873" customFormat="false" ht="15" hidden="false" customHeight="false" outlineLevel="0" collapsed="false">
      <c r="A18873" s="1" t="s">
        <v>1024</v>
      </c>
      <c r="B18873" s="0" t="s">
        <v>168</v>
      </c>
      <c r="E18873" s="7" t="n">
        <f aca="false">Sens!E18872/Sens!D18872-1</f>
        <v>-0.0709869963760392</v>
      </c>
      <c r="F18873" s="7" t="n">
        <f aca="false">Sens!$E$18873+(glt_xbox-Sens!$E$18873)*MIN(1,(Sens!F18813-base_fy)/n_conv)</f>
        <v>-0.0558224969800327</v>
      </c>
      <c r="G18873" s="7" t="n">
        <f aca="false">Sens!$E$18873+(glt_xbox-Sens!$E$18873)*MIN(1,(Sens!G18813-base_fy)/n_conv)</f>
        <v>-0.0406579975840262</v>
      </c>
      <c r="H18873" s="7" t="n">
        <f aca="false">Sens!$E$18873+(glt_xbox-Sens!$E$18873)*MIN(1,(Sens!H18813-base_fy)/n_conv)</f>
        <v>-0.0254934981880196</v>
      </c>
      <c r="I18873" s="7" t="n">
        <f aca="false">Sens!$E$18873+(glt_xbox-Sens!$E$18873)*MIN(1,(Sens!I18813-base_fy)/n_conv)</f>
        <v>-0.0103289987920131</v>
      </c>
      <c r="J18873" s="7" t="n">
        <f aca="false">Sens!$E$18873+(glt_xbox-Sens!$E$18873)*MIN(1,(Sens!J18813-base_fy)/n_conv)</f>
        <v>0.00483550060399347</v>
      </c>
      <c r="K18873" s="7" t="n">
        <f aca="false">Sens!$E$18873+(glt_xbox-Sens!$E$18873)*MIN(1,(Sens!K18813-base_fy)/n_conv)</f>
        <v>0.02</v>
      </c>
    </row>
    <row r="18874" customFormat="false" ht="17.15" hidden="false" customHeight="false" outlineLevel="0" collapsed="false">
      <c r="A18874" s="0" t="s">
        <v>1039</v>
      </c>
      <c r="B18874" s="0" t="s">
        <v>98</v>
      </c>
      <c r="D18874" s="6" t="n">
        <f aca="false">Q!L15</f>
        <v>17.315</v>
      </c>
      <c r="E18874" s="6" t="n">
        <f aca="false">Q!M15</f>
        <v>17.087</v>
      </c>
      <c r="F18874" s="6" t="n">
        <f aca="false">Q!$I$15+(Q!M15-Q!$E$15)*(1+Sens!F18875)</f>
        <v>15.9912273250553</v>
      </c>
      <c r="G18874" s="6" t="n">
        <f aca="false">Sens!F18874*(1+Sens!G18875)</f>
        <v>15.9574562664827</v>
      </c>
      <c r="H18874" s="6" t="n">
        <f aca="false">Sens!G18874*(1+Sens!H18875)</f>
        <v>16.0119687434196</v>
      </c>
      <c r="I18874" s="6" t="n">
        <f aca="false">Sens!H18874*(1+Sens!I18875)</f>
        <v>16.1551810001948</v>
      </c>
      <c r="J18874" s="6" t="n">
        <f aca="false">Sens!I18874*(1+Sens!J18875)</f>
        <v>16.3889793892005</v>
      </c>
      <c r="K18874" s="6" t="n">
        <f aca="false">Sens!J18874*(1+Sens!K18875)</f>
        <v>16.7167589769845</v>
      </c>
      <c r="L18874" s="12" t="s">
        <v>1034</v>
      </c>
    </row>
    <row r="18875" customFormat="false" ht="15" hidden="false" customHeight="false" outlineLevel="0" collapsed="false">
      <c r="A18875" s="1" t="s">
        <v>1024</v>
      </c>
      <c r="B18875" s="0" t="s">
        <v>168</v>
      </c>
      <c r="E18875" s="7" t="n">
        <f aca="false">Sens!E18874/Sens!D18874-1</f>
        <v>-0.0131677736066995</v>
      </c>
      <c r="F18875" s="7" t="n">
        <f aca="false">Sens!$E$18875+(glt_win-Sens!$E$18875)*MIN(1,(Sens!F18813-base_fy)/n_conv)</f>
        <v>-0.00763981133891627</v>
      </c>
      <c r="G18875" s="7" t="n">
        <f aca="false">Sens!$E$18875+(glt_win-Sens!$E$18875)*MIN(1,(Sens!G18813-base_fy)/n_conv)</f>
        <v>-0.00211184907113301</v>
      </c>
      <c r="H18875" s="7" t="n">
        <f aca="false">Sens!$E$18875+(glt_win-Sens!$E$18875)*MIN(1,(Sens!H18813-base_fy)/n_conv)</f>
        <v>0.00341611319665024</v>
      </c>
      <c r="I18875" s="7" t="n">
        <f aca="false">Sens!$E$18875+(glt_win-Sens!$E$18875)*MIN(1,(Sens!I18813-base_fy)/n_conv)</f>
        <v>0.00894407546443349</v>
      </c>
      <c r="J18875" s="7" t="n">
        <f aca="false">Sens!$E$18875+(glt_win-Sens!$E$18875)*MIN(1,(Sens!J18813-base_fy)/n_conv)</f>
        <v>0.0144720377322168</v>
      </c>
      <c r="K18875" s="7" t="n">
        <f aca="false">Sens!$E$18875+(glt_win-Sens!$E$18875)*MIN(1,(Sens!K18813-base_fy)/n_conv)</f>
        <v>0.02</v>
      </c>
    </row>
    <row r="18876" customFormat="false" ht="15" hidden="false" customHeight="false" outlineLevel="0" collapsed="false">
      <c r="A18876" s="0" t="s">
        <v>866</v>
      </c>
      <c r="B18876" s="0" t="s">
        <v>98</v>
      </c>
      <c r="D18876" s="6" t="n">
        <f aca="false">Sens!D18870+Sens!D18872+Sens!D18874</f>
        <v>62.941</v>
      </c>
      <c r="E18876" s="6" t="n">
        <f aca="false">Sens!E18870+Sens!E18872+Sens!E18874</f>
        <v>63.712</v>
      </c>
      <c r="F18876" s="6" t="n">
        <f aca="false">Sens!F18870+Sens!F18872+Sens!F18874</f>
        <v>64.3025149952511</v>
      </c>
      <c r="G18876" s="6" t="n">
        <f aca="false">Sens!G18870+Sens!G18872+Sens!G18874</f>
        <v>66.2756719305292</v>
      </c>
      <c r="H18876" s="6" t="n">
        <f aca="false">Sens!H18870+Sens!H18872+Sens!H18874</f>
        <v>68.7139736271804</v>
      </c>
      <c r="I18876" s="6" t="n">
        <f aca="false">Sens!I18870+Sens!I18872+Sens!I18874</f>
        <v>71.5446393194289</v>
      </c>
      <c r="J18876" s="6" t="n">
        <f aca="false">Sens!J18870+Sens!J18872+Sens!J18874</f>
        <v>74.707035000971</v>
      </c>
      <c r="K18876" s="6" t="n">
        <f aca="false">Sens!K18870+Sens!K18872+Sens!K18874</f>
        <v>78.1524145698365</v>
      </c>
    </row>
    <row r="18877" customFormat="false" ht="15" hidden="false" customHeight="false" outlineLevel="0" collapsed="false">
      <c r="A18877" s="1" t="s">
        <v>1040</v>
      </c>
      <c r="B18877" s="0" t="s">
        <v>98</v>
      </c>
      <c r="D18877" s="6" t="n">
        <f aca="false">Sens!D18869+Sens!D18876</f>
        <v>281.724</v>
      </c>
      <c r="E18877" s="6" t="n">
        <f aca="false">Sens!E18869+Sens!E18876</f>
        <v>331.839</v>
      </c>
      <c r="F18877" s="6" t="n">
        <f aca="false">Sens!F18869+Sens!F18876</f>
        <v>403.464682290306</v>
      </c>
      <c r="G18877" s="6" t="n">
        <f aca="false">Sens!G18869+Sens!G18876</f>
        <v>492.307034092827</v>
      </c>
      <c r="H18877" s="6" t="n">
        <f aca="false">Sens!H18869+Sens!H18876</f>
        <v>587.990838130053</v>
      </c>
      <c r="I18877" s="6" t="n">
        <f aca="false">Sens!I18869+Sens!I18876</f>
        <v>669.667681084732</v>
      </c>
      <c r="J18877" s="6" t="n">
        <f aca="false">Sens!J18869+Sens!J18876</f>
        <v>735.60738919825</v>
      </c>
      <c r="K18877" s="6" t="n">
        <f aca="false">Sens!K18869+Sens!K18876</f>
        <v>788.577902152386</v>
      </c>
    </row>
    <row r="18878" customFormat="false" ht="15" hidden="false" customHeight="false" outlineLevel="0" collapsed="false">
      <c r="A18878" s="26" t="s">
        <v>1041</v>
      </c>
      <c r="B18878" s="31" t="s">
        <v>98</v>
      </c>
      <c r="C18878" s="31"/>
      <c r="D18878" s="27" t="n">
        <f aca="false">(Sens!D18857+Sens!D18862+Sens!D18863+Sens!D18865+Sens!D18867-Sens!D18869)+(Sens!D18870+Sens!D18872+Sens!D18874-Sens!D18876)+(Sens!D18869-Q!L5)+(Sens!D18876-Q!L12)+(Sens!D18857-Q!L6)+(Sens!D18862-Q!L7)</f>
        <v>0</v>
      </c>
      <c r="E18878" s="27" t="n">
        <f aca="false">(Sens!E18857+Sens!E18862+Sens!E18863+Sens!E18865+Sens!E18867-Sens!E18869)+(Sens!E18870+Sens!E18872+Sens!E18874-Sens!E18876)+(Sens!E18869-Q!M5)+(Sens!E18876-Q!M12)+(Sens!E18857-Q!M6)+(Sens!E18862-Q!M7)</f>
        <v>0</v>
      </c>
      <c r="F18878" s="27" t="n">
        <f aca="false">(Sens!F18857+Sens!F18862+Sens!F18863+Sens!F18865+Sens!F18867-Sens!F18869)+(Sens!F18870+Sens!F18872+Sens!F18874-Sens!F18876)</f>
        <v>0</v>
      </c>
      <c r="G18878" s="27" t="n">
        <f aca="false">(Sens!G18857+Sens!G18862+Sens!G18863+Sens!G18865+Sens!G18867-Sens!G18869)+(Sens!G18870+Sens!G18872+Sens!G18874-Sens!G18876)</f>
        <v>0</v>
      </c>
      <c r="H18878" s="27" t="n">
        <f aca="false">(Sens!H18857+Sens!H18862+Sens!H18863+Sens!H18865+Sens!H18867-Sens!H18869)+(Sens!H18870+Sens!H18872+Sens!H18874-Sens!H18876)</f>
        <v>0</v>
      </c>
      <c r="I18878" s="27" t="n">
        <f aca="false">(Sens!I18857+Sens!I18862+Sens!I18863+Sens!I18865+Sens!I18867-Sens!I18869)+(Sens!I18870+Sens!I18872+Sens!I18874-Sens!I18876)</f>
        <v>0</v>
      </c>
      <c r="J18878" s="27" t="n">
        <f aca="false">(Sens!J18857+Sens!J18862+Sens!J18863+Sens!J18865+Sens!J18867-Sens!J18869)+(Sens!J18870+Sens!J18872+Sens!J18874-Sens!J18876)</f>
        <v>0</v>
      </c>
      <c r="K18878" s="27" t="n">
        <f aca="false">(Sens!K18857+Sens!K18862+Sens!K18863+Sens!K18865+Sens!K18867-Sens!K18869)+(Sens!K18870+Sens!K18872+Sens!K18874-Sens!K18876)</f>
        <v>0</v>
      </c>
    </row>
    <row r="18879" customFormat="false" ht="17.15" hidden="false" customHeight="false" outlineLevel="0" collapsed="false">
      <c r="A18879" s="3" t="s">
        <v>1946</v>
      </c>
    </row>
    <row r="18880" customFormat="false" ht="15" hidden="false" customHeight="false" outlineLevel="0" collapsed="false">
      <c r="A18880" s="4" t="s">
        <v>43</v>
      </c>
      <c r="B18880" s="4" t="s">
        <v>65</v>
      </c>
      <c r="C18880" s="23" t="s">
        <v>938</v>
      </c>
      <c r="D18880" s="23" t="s">
        <v>939</v>
      </c>
      <c r="E18880" s="23" t="s">
        <v>940</v>
      </c>
      <c r="F18880" s="23" t="s">
        <v>941</v>
      </c>
      <c r="G18880" s="23" t="s">
        <v>942</v>
      </c>
      <c r="H18880" s="23" t="s">
        <v>943</v>
      </c>
      <c r="I18880" s="23" t="s">
        <v>944</v>
      </c>
      <c r="J18880" s="23" t="s">
        <v>945</v>
      </c>
      <c r="K18880" s="23" t="s">
        <v>946</v>
      </c>
      <c r="L18880" s="4" t="s">
        <v>47</v>
      </c>
    </row>
    <row r="18881" customFormat="false" ht="15" hidden="false" customHeight="false" outlineLevel="0" collapsed="false">
      <c r="A18881" s="0" t="s">
        <v>1025</v>
      </c>
      <c r="B18881" s="0" t="s">
        <v>98</v>
      </c>
      <c r="D18881" s="6" t="n">
        <f aca="false">Sens!D18857</f>
        <v>72.61</v>
      </c>
      <c r="E18881" s="6" t="n">
        <f aca="false">Sens!E18857</f>
        <v>101.938</v>
      </c>
      <c r="F18881" s="6" t="n">
        <f aca="false">Sens!F18857</f>
        <v>149.977469772929</v>
      </c>
      <c r="G18881" s="6" t="n">
        <f aca="false">Sens!G18857</f>
        <v>211.486390972113</v>
      </c>
      <c r="H18881" s="6" t="n">
        <f aca="false">Sens!H18857</f>
        <v>279.345759830476</v>
      </c>
      <c r="I18881" s="6" t="n">
        <f aca="false">Sens!I18857</f>
        <v>335.32471504018</v>
      </c>
      <c r="J18881" s="6" t="n">
        <f aca="false">Sens!J18857</f>
        <v>378.071856776896</v>
      </c>
      <c r="K18881" s="6" t="n">
        <f aca="false">Sens!K18857</f>
        <v>408.484932208063</v>
      </c>
    </row>
    <row r="18882" customFormat="false" ht="17.15" hidden="false" customHeight="false" outlineLevel="0" collapsed="false">
      <c r="A18882" s="0" t="s">
        <v>1021</v>
      </c>
      <c r="B18882" s="0" t="s">
        <v>98</v>
      </c>
      <c r="D18882" s="6" t="n">
        <f aca="false">Sens!D18854</f>
        <v>12.9359794422418</v>
      </c>
      <c r="E18882" s="6" t="n">
        <f aca="false">Sens!E18854</f>
        <v>27.8095064661409</v>
      </c>
      <c r="F18882" s="6" t="n">
        <f aca="false">Sens!F18854</f>
        <v>59.5998846356733</v>
      </c>
      <c r="G18882" s="6" t="n">
        <f aca="false">Sens!G18854</f>
        <v>104.104330490056</v>
      </c>
      <c r="H18882" s="6" t="n">
        <f aca="false">Sens!H18854</f>
        <v>154.663167099744</v>
      </c>
      <c r="I18882" s="6" t="n">
        <f aca="false">Sens!I18854</f>
        <v>193.925350110904</v>
      </c>
      <c r="J18882" s="6" t="n">
        <f aca="false">Sens!J18854</f>
        <v>221.537483646912</v>
      </c>
      <c r="K18882" s="6" t="n">
        <f aca="false">Sens!K18854</f>
        <v>239.42780922768</v>
      </c>
    </row>
    <row r="18883" customFormat="false" ht="17.15" hidden="false" customHeight="false" outlineLevel="0" collapsed="false">
      <c r="A18883" s="0" t="s">
        <v>1052</v>
      </c>
      <c r="B18883" s="0" t="s">
        <v>98</v>
      </c>
      <c r="D18883" s="6" t="n">
        <f aca="false">Sens!D18855</f>
        <v>59.6740205577583</v>
      </c>
      <c r="E18883" s="6" t="n">
        <f aca="false">Sens!E18855</f>
        <v>74.1284935338591</v>
      </c>
      <c r="F18883" s="6" t="n">
        <f aca="false">Sens!F18855</f>
        <v>90.3775851372552</v>
      </c>
      <c r="G18883" s="6" t="n">
        <f aca="false">Sens!G18855</f>
        <v>107.382060482057</v>
      </c>
      <c r="H18883" s="6" t="n">
        <f aca="false">Sens!H18855</f>
        <v>124.682592730732</v>
      </c>
      <c r="I18883" s="6" t="n">
        <f aca="false">Sens!I18855</f>
        <v>141.399364929276</v>
      </c>
      <c r="J18883" s="6" t="n">
        <f aca="false">Sens!J18855</f>
        <v>156.534373129984</v>
      </c>
      <c r="K18883" s="6" t="n">
        <f aca="false">Sens!K18855</f>
        <v>169.057122980383</v>
      </c>
    </row>
    <row r="18884" customFormat="false" ht="15" hidden="false" customHeight="false" outlineLevel="0" collapsed="false">
      <c r="A18884" s="0" t="s">
        <v>1032</v>
      </c>
      <c r="B18884" s="0" t="s">
        <v>98</v>
      </c>
      <c r="D18884" s="6" t="n">
        <f aca="false">Sens!D18862</f>
        <v>84.605</v>
      </c>
      <c r="E18884" s="6" t="n">
        <f aca="false">Sens!E18862</f>
        <v>100.299</v>
      </c>
      <c r="F18884" s="6" t="n">
        <f aca="false">Sens!F18862</f>
        <v>119.729653205718</v>
      </c>
      <c r="G18884" s="6" t="n">
        <f aca="false">Sens!G18862</f>
        <v>140.806092647576</v>
      </c>
      <c r="H18884" s="6" t="n">
        <f aca="false">Sens!H18862</f>
        <v>161.963437602768</v>
      </c>
      <c r="I18884" s="6" t="n">
        <f aca="false">Sens!I18862</f>
        <v>180.695354741933</v>
      </c>
      <c r="J18884" s="6" t="n">
        <f aca="false">Sens!J18862</f>
        <v>196.722117481571</v>
      </c>
      <c r="K18884" s="6" t="n">
        <f aca="false">Sens!K18862</f>
        <v>212.00016570528</v>
      </c>
    </row>
    <row r="18885" customFormat="false" ht="17.15" hidden="false" customHeight="false" outlineLevel="0" collapsed="false">
      <c r="A18885" s="0" t="s">
        <v>1053</v>
      </c>
      <c r="B18885" s="0" t="s">
        <v>98</v>
      </c>
      <c r="D18885" s="6" t="n">
        <f aca="false">Sens!D18860</f>
        <v>83.705</v>
      </c>
      <c r="E18885" s="6" t="n">
        <f aca="false">Sens!E18860</f>
        <v>95.049</v>
      </c>
      <c r="F18885" s="6" t="n">
        <f aca="false">Sens!F18860</f>
        <v>106.229653205718</v>
      </c>
      <c r="G18885" s="6" t="n">
        <f aca="false">Sens!G18860</f>
        <v>118.306092647576</v>
      </c>
      <c r="H18885" s="6" t="n">
        <f aca="false">Sens!H18860</f>
        <v>130.463437602768</v>
      </c>
      <c r="I18885" s="6" t="n">
        <f aca="false">Sens!I18860</f>
        <v>142.445354741933</v>
      </c>
      <c r="J18885" s="6" t="n">
        <f aca="false">Sens!J18860</f>
        <v>153.972117481571</v>
      </c>
      <c r="K18885" s="6" t="n">
        <f aca="false">Sens!K18860</f>
        <v>164.75016570528</v>
      </c>
    </row>
    <row r="18886" customFormat="false" ht="17.15" hidden="false" customHeight="false" outlineLevel="0" collapsed="false">
      <c r="A18886" s="0" t="s">
        <v>1054</v>
      </c>
      <c r="B18886" s="0" t="s">
        <v>98</v>
      </c>
      <c r="D18886" s="6" t="n">
        <f aca="false">Sens!D18859</f>
        <v>0.9</v>
      </c>
      <c r="E18886" s="6" t="n">
        <f aca="false">Sens!E18859</f>
        <v>5.25</v>
      </c>
      <c r="F18886" s="6" t="n">
        <f aca="false">Sens!F18859</f>
        <v>13.5</v>
      </c>
      <c r="G18886" s="6" t="n">
        <f aca="false">Sens!G18859</f>
        <v>22.5</v>
      </c>
      <c r="H18886" s="6" t="n">
        <f aca="false">Sens!H18859</f>
        <v>31.5</v>
      </c>
      <c r="I18886" s="6" t="n">
        <f aca="false">Sens!I18859</f>
        <v>38.25</v>
      </c>
      <c r="J18886" s="6" t="n">
        <f aca="false">Sens!J18859</f>
        <v>42.75</v>
      </c>
      <c r="K18886" s="6" t="n">
        <f aca="false">Sens!K18859</f>
        <v>47.25</v>
      </c>
    </row>
    <row r="18887" customFormat="false" ht="15" hidden="false" customHeight="false" outlineLevel="0" collapsed="false">
      <c r="A18887" s="0" t="s">
        <v>1033</v>
      </c>
      <c r="B18887" s="0" t="s">
        <v>98</v>
      </c>
      <c r="D18887" s="6" t="n">
        <f aca="false">Sens!D18863</f>
        <v>35.391</v>
      </c>
      <c r="E18887" s="6" t="n">
        <f aca="false">Sens!E18863</f>
        <v>37.285</v>
      </c>
      <c r="F18887" s="6" t="n">
        <f aca="false">Sens!F18863</f>
        <v>38.3851437782675</v>
      </c>
      <c r="G18887" s="6" t="n">
        <f aca="false">Sens!G18863</f>
        <v>40.0105353288615</v>
      </c>
      <c r="H18887" s="6" t="n">
        <f aca="false">Sens!H18863</f>
        <v>41.4812512033683</v>
      </c>
      <c r="I18887" s="6" t="n">
        <f aca="false">Sens!I18863</f>
        <v>42.7743107216329</v>
      </c>
      <c r="J18887" s="6" t="n">
        <f aca="false">Sens!J18863</f>
        <v>43.8687373064601</v>
      </c>
      <c r="K18887" s="6" t="n">
        <f aca="false">Sens!K18863</f>
        <v>44.7461120525893</v>
      </c>
    </row>
    <row r="18888" customFormat="false" ht="15" hidden="false" customHeight="false" outlineLevel="0" collapsed="false">
      <c r="A18888" s="0" t="s">
        <v>1035</v>
      </c>
      <c r="B18888" s="0" t="s">
        <v>98</v>
      </c>
      <c r="D18888" s="6" t="n">
        <f aca="false">Sens!D18865</f>
        <v>18.417</v>
      </c>
      <c r="E18888" s="6" t="n">
        <f aca="false">Sens!E18865</f>
        <v>20.345</v>
      </c>
      <c r="F18888" s="6" t="n">
        <f aca="false">Sens!F18865</f>
        <v>22.3161797133988</v>
      </c>
      <c r="G18888" s="6" t="n">
        <f aca="false">Sens!G18865</f>
        <v>24.3943499673233</v>
      </c>
      <c r="H18888" s="6" t="n">
        <f aca="false">Sens!H18865</f>
        <v>26.5250243109019</v>
      </c>
      <c r="I18888" s="6" t="n">
        <f aca="false">Sens!I18865</f>
        <v>28.6884573538181</v>
      </c>
      <c r="J18888" s="6" t="n">
        <f aca="false">Sens!J18865</f>
        <v>30.8624968052127</v>
      </c>
      <c r="K18888" s="6" t="n">
        <f aca="false">Sens!K18865</f>
        <v>33.0228715815776</v>
      </c>
    </row>
    <row r="18889" customFormat="false" ht="15" hidden="false" customHeight="false" outlineLevel="0" collapsed="false">
      <c r="A18889" s="0" t="s">
        <v>1036</v>
      </c>
      <c r="B18889" s="0" t="s">
        <v>98</v>
      </c>
      <c r="D18889" s="6" t="n">
        <f aca="false">Sens!D18867</f>
        <v>7.76</v>
      </c>
      <c r="E18889" s="6" t="n">
        <f aca="false">Sens!E18867</f>
        <v>8.26</v>
      </c>
      <c r="F18889" s="6" t="n">
        <f aca="false">Sens!F18867</f>
        <v>8.75372082474227</v>
      </c>
      <c r="G18889" s="6" t="n">
        <f aca="false">Sens!G18867</f>
        <v>9.33399324642364</v>
      </c>
      <c r="H18889" s="6" t="n">
        <f aca="false">Sens!H18867</f>
        <v>9.96139155535851</v>
      </c>
      <c r="I18889" s="6" t="n">
        <f aca="false">Sens!I18867</f>
        <v>10.6402039077391</v>
      </c>
      <c r="J18889" s="6" t="n">
        <f aca="false">Sens!J18867</f>
        <v>11.3751458271397</v>
      </c>
      <c r="K18889" s="6" t="n">
        <f aca="false">Sens!K18867</f>
        <v>12.1714060350394</v>
      </c>
    </row>
    <row r="18890" customFormat="false" ht="15" hidden="false" customHeight="false" outlineLevel="0" collapsed="false">
      <c r="A18890" s="0" t="s">
        <v>852</v>
      </c>
      <c r="B18890" s="0" t="s">
        <v>98</v>
      </c>
      <c r="D18890" s="6" t="n">
        <f aca="false">Sens!D18869</f>
        <v>218.783</v>
      </c>
      <c r="E18890" s="6" t="n">
        <f aca="false">Sens!E18869</f>
        <v>268.127</v>
      </c>
      <c r="F18890" s="6" t="n">
        <f aca="false">Sens!F18869</f>
        <v>339.162167295055</v>
      </c>
      <c r="G18890" s="6" t="n">
        <f aca="false">Sens!G18869</f>
        <v>426.031362162298</v>
      </c>
      <c r="H18890" s="6" t="n">
        <f aca="false">Sens!H18869</f>
        <v>519.276864502873</v>
      </c>
      <c r="I18890" s="6" t="n">
        <f aca="false">Sens!I18869</f>
        <v>598.123041765303</v>
      </c>
      <c r="J18890" s="6" t="n">
        <f aca="false">Sens!J18869</f>
        <v>660.900354197279</v>
      </c>
      <c r="K18890" s="6" t="n">
        <f aca="false">Sens!K18869</f>
        <v>710.42548758255</v>
      </c>
    </row>
    <row r="18891" customFormat="false" ht="15" hidden="false" customHeight="false" outlineLevel="0" collapsed="false">
      <c r="A18891" s="0" t="s">
        <v>1037</v>
      </c>
      <c r="B18891" s="0" t="s">
        <v>98</v>
      </c>
      <c r="D18891" s="6" t="n">
        <f aca="false">Sens!D18870</f>
        <v>22.171</v>
      </c>
      <c r="E18891" s="6" t="n">
        <f aca="false">Sens!E18870</f>
        <v>24.835</v>
      </c>
      <c r="F18891" s="6" t="n">
        <f aca="false">Sens!F18870</f>
        <v>27.5591895660247</v>
      </c>
      <c r="G18891" s="6" t="n">
        <f aca="false">Sens!G18870</f>
        <v>30.4098563144583</v>
      </c>
      <c r="H18891" s="6" t="n">
        <f aca="false">Sens!H18870</f>
        <v>33.3011792571777</v>
      </c>
      <c r="I18891" s="6" t="n">
        <f aca="false">Sens!I18870</f>
        <v>36.189023797112</v>
      </c>
      <c r="J18891" s="6" t="n">
        <f aca="false">Sens!J18870</f>
        <v>39.0247773769199</v>
      </c>
      <c r="K18891" s="6" t="n">
        <f aca="false">Sens!K18870</f>
        <v>41.7565117933043</v>
      </c>
    </row>
    <row r="18892" customFormat="false" ht="15" hidden="false" customHeight="false" outlineLevel="0" collapsed="false">
      <c r="A18892" s="0" t="s">
        <v>1038</v>
      </c>
      <c r="B18892" s="0" t="s">
        <v>98</v>
      </c>
      <c r="D18892" s="6" t="n">
        <f aca="false">Sens!D18872</f>
        <v>23.455</v>
      </c>
      <c r="E18892" s="6" t="n">
        <f aca="false">Sens!E18872</f>
        <v>21.79</v>
      </c>
      <c r="F18892" s="6" t="n">
        <f aca="false">Sens!F18872</f>
        <v>20.7520981041711</v>
      </c>
      <c r="G18892" s="6" t="n">
        <f aca="false">Sens!G18872</f>
        <v>19.9083593495882</v>
      </c>
      <c r="H18892" s="6" t="n">
        <f aca="false">Sens!H18872</f>
        <v>19.4008256265831</v>
      </c>
      <c r="I18892" s="6" t="n">
        <f aca="false">Sens!I18872</f>
        <v>19.200434522122</v>
      </c>
      <c r="J18892" s="6" t="n">
        <f aca="false">Sens!J18872</f>
        <v>19.2932782348507</v>
      </c>
      <c r="K18892" s="6" t="n">
        <f aca="false">Sens!K18872</f>
        <v>19.6791437995477</v>
      </c>
    </row>
    <row r="18893" customFormat="false" ht="15" hidden="false" customHeight="false" outlineLevel="0" collapsed="false">
      <c r="A18893" s="0" t="s">
        <v>1039</v>
      </c>
      <c r="B18893" s="0" t="s">
        <v>98</v>
      </c>
      <c r="D18893" s="6" t="n">
        <f aca="false">Sens!D18874</f>
        <v>17.315</v>
      </c>
      <c r="E18893" s="6" t="n">
        <f aca="false">Sens!E18874</f>
        <v>17.087</v>
      </c>
      <c r="F18893" s="6" t="n">
        <f aca="false">Sens!F18874</f>
        <v>15.9912273250553</v>
      </c>
      <c r="G18893" s="6" t="n">
        <f aca="false">Sens!G18874</f>
        <v>15.9574562664827</v>
      </c>
      <c r="H18893" s="6" t="n">
        <f aca="false">Sens!H18874</f>
        <v>16.0119687434196</v>
      </c>
      <c r="I18893" s="6" t="n">
        <f aca="false">Sens!I18874</f>
        <v>16.1551810001948</v>
      </c>
      <c r="J18893" s="6" t="n">
        <f aca="false">Sens!J18874</f>
        <v>16.3889793892005</v>
      </c>
      <c r="K18893" s="6" t="n">
        <f aca="false">Sens!K18874</f>
        <v>16.7167589769845</v>
      </c>
    </row>
    <row r="18894" customFormat="false" ht="15" hidden="false" customHeight="false" outlineLevel="0" collapsed="false">
      <c r="A18894" s="0" t="s">
        <v>866</v>
      </c>
      <c r="B18894" s="0" t="s">
        <v>98</v>
      </c>
      <c r="D18894" s="6" t="n">
        <f aca="false">Sens!D18876</f>
        <v>62.941</v>
      </c>
      <c r="E18894" s="6" t="n">
        <f aca="false">Sens!E18876</f>
        <v>63.712</v>
      </c>
      <c r="F18894" s="6" t="n">
        <f aca="false">Sens!F18876</f>
        <v>64.3025149952511</v>
      </c>
      <c r="G18894" s="6" t="n">
        <f aca="false">Sens!G18876</f>
        <v>66.2756719305292</v>
      </c>
      <c r="H18894" s="6" t="n">
        <f aca="false">Sens!H18876</f>
        <v>68.7139736271804</v>
      </c>
      <c r="I18894" s="6" t="n">
        <f aca="false">Sens!I18876</f>
        <v>71.5446393194289</v>
      </c>
      <c r="J18894" s="6" t="n">
        <f aca="false">Sens!J18876</f>
        <v>74.707035000971</v>
      </c>
      <c r="K18894" s="6" t="n">
        <f aca="false">Sens!K18876</f>
        <v>78.1524145698365</v>
      </c>
    </row>
    <row r="18895" customFormat="false" ht="15" hidden="false" customHeight="false" outlineLevel="0" collapsed="false">
      <c r="A18895" s="1" t="s">
        <v>1055</v>
      </c>
      <c r="B18895" s="0" t="s">
        <v>98</v>
      </c>
      <c r="D18895" s="6" t="n">
        <f aca="false">Sens!D18877</f>
        <v>281.724</v>
      </c>
      <c r="E18895" s="6" t="n">
        <f aca="false">Sens!E18877</f>
        <v>331.839</v>
      </c>
      <c r="F18895" s="6" t="n">
        <f aca="false">Sens!F18877</f>
        <v>403.464682290306</v>
      </c>
      <c r="G18895" s="6" t="n">
        <f aca="false">Sens!G18877</f>
        <v>492.307034092827</v>
      </c>
      <c r="H18895" s="6" t="n">
        <f aca="false">Sens!H18877</f>
        <v>587.990838130053</v>
      </c>
      <c r="I18895" s="6" t="n">
        <f aca="false">Sens!I18877</f>
        <v>669.667681084732</v>
      </c>
      <c r="J18895" s="6" t="n">
        <f aca="false">Sens!J18877</f>
        <v>735.60738919825</v>
      </c>
      <c r="K18895" s="6" t="n">
        <f aca="false">Sens!K18877</f>
        <v>788.577902152386</v>
      </c>
    </row>
    <row r="18896" customFormat="false" ht="15" hidden="false" customHeight="false" outlineLevel="0" collapsed="false">
      <c r="A18896" s="1" t="s">
        <v>1056</v>
      </c>
      <c r="B18896" s="0" t="s">
        <v>168</v>
      </c>
      <c r="E18896" s="7" t="n">
        <f aca="false">Sens!E18895/Sens!D18895-1</f>
        <v>0.177886867998467</v>
      </c>
      <c r="F18896" s="7" t="n">
        <f aca="false">Sens!F18895/Sens!E18895-1</f>
        <v>0.215844678564926</v>
      </c>
      <c r="G18896" s="7" t="n">
        <f aca="false">Sens!G18895/Sens!F18895-1</f>
        <v>0.220198584168999</v>
      </c>
      <c r="H18896" s="7" t="n">
        <f aca="false">Sens!H18895/Sens!G18895-1</f>
        <v>0.19435798680704</v>
      </c>
      <c r="I18896" s="7" t="n">
        <f aca="false">Sens!I18895/Sens!H18895-1</f>
        <v>0.138908359889466</v>
      </c>
      <c r="J18896" s="7" t="n">
        <f aca="false">Sens!J18895/Sens!I18895-1</f>
        <v>0.0984663139285882</v>
      </c>
      <c r="K18896" s="7" t="n">
        <f aca="false">Sens!K18895/Sens!J18895-1</f>
        <v>0.0720092181399497</v>
      </c>
    </row>
    <row r="18897" customFormat="false" ht="17.15" hidden="false" customHeight="false" outlineLevel="0" collapsed="false">
      <c r="A18897" s="26" t="s">
        <v>1057</v>
      </c>
      <c r="B18897" s="31" t="s">
        <v>98</v>
      </c>
      <c r="C18897" s="31"/>
      <c r="D18897" s="27" t="n">
        <f aca="false">(Sens!D18890+Sens!D18894-Sens!D18895)+(Sens!D18882+Sens!D18883-Sens!D18881)+(Sens!D18885+Sens!D18886-Sens!D18884)+(Sens!D18895-Q!L18)</f>
        <v>0</v>
      </c>
      <c r="E18897" s="27" t="n">
        <f aca="false">(Sens!E18890+Sens!E18894-Sens!E18895)+(Sens!E18882+Sens!E18883-Sens!E18881)+(Sens!E18885+Sens!E18886-Sens!E18884)+(Sens!E18895-Q!M18)</f>
        <v>0</v>
      </c>
      <c r="F18897" s="27" t="n">
        <f aca="false">(Sens!F18890+Sens!F18894-Sens!F18895)+(Sens!F18882+Sens!F18883-Sens!F18881)+(Sens!F18885+Sens!F18886-Sens!F18884)</f>
        <v>0</v>
      </c>
      <c r="G18897" s="27" t="n">
        <f aca="false">(Sens!G18890+Sens!G18894-Sens!G18895)+(Sens!G18882+Sens!G18883-Sens!G18881)+(Sens!G18885+Sens!G18886-Sens!G18884)</f>
        <v>0</v>
      </c>
      <c r="H18897" s="27" t="n">
        <f aca="false">(Sens!H18890+Sens!H18894-Sens!H18895)+(Sens!H18882+Sens!H18883-Sens!H18881)+(Sens!H18885+Sens!H18886-Sens!H18884)</f>
        <v>0</v>
      </c>
      <c r="I18897" s="27" t="n">
        <f aca="false">(Sens!I18890+Sens!I18894-Sens!I18895)+(Sens!I18882+Sens!I18883-Sens!I18881)+(Sens!I18885+Sens!I18886-Sens!I18884)</f>
        <v>0</v>
      </c>
      <c r="J18897" s="27" t="n">
        <f aca="false">(Sens!J18890+Sens!J18894-Sens!J18895)+(Sens!J18882+Sens!J18883-Sens!J18881)+(Sens!J18885+Sens!J18886-Sens!J18884)</f>
        <v>0</v>
      </c>
      <c r="K18897" s="27" t="n">
        <f aca="false">(Sens!K18890+Sens!K18894-Sens!K18895)+(Sens!K18882+Sens!K18883-Sens!K18881)+(Sens!K18885+Sens!K18886-Sens!K18884)</f>
        <v>0</v>
      </c>
    </row>
    <row r="18898" customFormat="false" ht="17.15" hidden="false" customHeight="false" outlineLevel="0" collapsed="false">
      <c r="A18898" s="0" t="s">
        <v>1058</v>
      </c>
      <c r="B18898" s="0" t="s">
        <v>168</v>
      </c>
      <c r="E18898" s="7" t="n">
        <f aca="false">(Q!M21+Sens!E18834+Sens!E18835+Sens!E18836+Sens!E18850-Sens!E18832)/(Q!M5-Sens!E18832)</f>
        <v>0.570957350878296</v>
      </c>
      <c r="F18898" s="7" t="n">
        <f aca="false">Sens!$E$18898+dm_seg</f>
        <v>0.570957350878296</v>
      </c>
      <c r="G18898" s="7" t="n">
        <f aca="false">Sens!$E$18898+dm_seg</f>
        <v>0.570957350878296</v>
      </c>
      <c r="H18898" s="7" t="n">
        <f aca="false">Sens!$E$18898+dm_seg</f>
        <v>0.570957350878296</v>
      </c>
      <c r="I18898" s="7" t="n">
        <f aca="false">Sens!$E$18898+dm_seg</f>
        <v>0.570957350878296</v>
      </c>
      <c r="J18898" s="7" t="n">
        <f aca="false">Sens!$E$18898+dm_seg</f>
        <v>0.570957350878296</v>
      </c>
      <c r="K18898" s="7" t="n">
        <f aca="false">Sens!$E$18898+dm_seg</f>
        <v>0.570957350878296</v>
      </c>
      <c r="L18898" s="12" t="s">
        <v>1059</v>
      </c>
    </row>
    <row r="18899" customFormat="false" ht="17.15" hidden="false" customHeight="false" outlineLevel="0" collapsed="false">
      <c r="A18899" s="0" t="s">
        <v>880</v>
      </c>
      <c r="B18899" s="0" t="s">
        <v>98</v>
      </c>
      <c r="D18899" s="6" t="n">
        <f aca="false">Q!L21</f>
        <v>110.814</v>
      </c>
      <c r="E18899" s="6" t="n">
        <f aca="false">Q!M21</f>
        <v>136.365</v>
      </c>
      <c r="F18899" s="6" t="n">
        <f aca="false">Q!$I$21+(Sens!F18898*(Sens!F18869-Sens!F18832)+Sens!F18832-(Sens!F18834+Sens!F18835+Sens!F18836)-Sens!F18850-Sens!F18933)*(Sens!F18869-Q!$I$5)/Sens!F18869</f>
        <v>166.012866458965</v>
      </c>
      <c r="G18899" s="6" t="n">
        <f aca="false">(Sens!G18898*(Sens!G18869-Sens!G18832)+Sens!G18832-(Sens!G18834+Sens!G18835+Sens!G18836)-Sens!G18850-Sens!G18933)</f>
        <v>192.513508394765</v>
      </c>
      <c r="H18899" s="6" t="n">
        <f aca="false">(Sens!H18898*(Sens!H18869-Sens!H18832)+Sens!H18832-(Sens!H18834+Sens!H18835+Sens!H18836)-Sens!H18850-Sens!H18933)</f>
        <v>227.218371971918</v>
      </c>
      <c r="I18899" s="6" t="n">
        <f aca="false">(Sens!I18898*(Sens!I18869-Sens!I18832)+Sens!I18832-(Sens!I18834+Sens!I18835+Sens!I18836)-Sens!I18850-Sens!I18933)</f>
        <v>253.600143102737</v>
      </c>
      <c r="J18899" s="6" t="n">
        <f aca="false">(Sens!J18898*(Sens!J18869-Sens!J18832)+Sens!J18832-(Sens!J18834+Sens!J18835+Sens!J18836)-Sens!J18850-Sens!J18933)</f>
        <v>276.280005793954</v>
      </c>
      <c r="K18899" s="6" t="n">
        <f aca="false">(Sens!K18898*(Sens!K18869-Sens!K18832)+Sens!K18832-(Sens!K18834+Sens!K18835+Sens!K18836)-Sens!K18850-Sens!K18933)</f>
        <v>296.837157663022</v>
      </c>
      <c r="L18899" s="1" t="s">
        <v>1060</v>
      </c>
    </row>
    <row r="18900" customFormat="false" ht="17.15" hidden="false" customHeight="false" outlineLevel="0" collapsed="false">
      <c r="A18900" s="0" t="s">
        <v>1061</v>
      </c>
      <c r="B18900" s="0" t="s">
        <v>168</v>
      </c>
      <c r="E18900" s="7" t="n">
        <f aca="false">Q!M22/Q!M12</f>
        <v>0.296207935710698</v>
      </c>
      <c r="F18900" s="7" t="n">
        <f aca="false">Sens!$E$18900+dm_seg</f>
        <v>0.296207935710698</v>
      </c>
      <c r="G18900" s="7" t="n">
        <f aca="false">Sens!$E$18900+dm_seg</f>
        <v>0.296207935710698</v>
      </c>
      <c r="H18900" s="7" t="n">
        <f aca="false">Sens!$E$18900+dm_seg</f>
        <v>0.296207935710698</v>
      </c>
      <c r="I18900" s="7" t="n">
        <f aca="false">Sens!$E$18900+dm_seg</f>
        <v>0.296207935710698</v>
      </c>
      <c r="J18900" s="7" t="n">
        <f aca="false">Sens!$E$18900+dm_seg</f>
        <v>0.296207935710698</v>
      </c>
      <c r="K18900" s="7" t="n">
        <f aca="false">Sens!$E$18900+dm_seg</f>
        <v>0.296207935710698</v>
      </c>
      <c r="L18900" s="12" t="s">
        <v>1062</v>
      </c>
    </row>
    <row r="18901" customFormat="false" ht="17.15" hidden="false" customHeight="false" outlineLevel="0" collapsed="false">
      <c r="A18901" s="0" t="s">
        <v>882</v>
      </c>
      <c r="B18901" s="0" t="s">
        <v>98</v>
      </c>
      <c r="D18901" s="6" t="n">
        <f aca="false">Q!L22</f>
        <v>17.714</v>
      </c>
      <c r="E18901" s="6" t="n">
        <f aca="false">Q!M22</f>
        <v>18.872</v>
      </c>
      <c r="F18901" s="6" t="n">
        <f aca="false">Q!$I$22+(Sens!F18876-Q!$I$12)*Sens!F18900</f>
        <v>19.8174315512051</v>
      </c>
      <c r="G18901" s="6" t="n">
        <f aca="false">Sens!G18876*Sens!G18900</f>
        <v>19.6313799703815</v>
      </c>
      <c r="H18901" s="6" t="n">
        <f aca="false">Sens!H18876*Sens!H18900</f>
        <v>20.3536242825865</v>
      </c>
      <c r="I18901" s="6" t="n">
        <f aca="false">Sens!I18876*Sens!I18900</f>
        <v>21.1920899239745</v>
      </c>
      <c r="J18901" s="6" t="n">
        <f aca="false">Sens!J18876*Sens!J18900</f>
        <v>22.1288166207045</v>
      </c>
      <c r="K18901" s="6" t="n">
        <f aca="false">Sens!K18876*Sens!K18900</f>
        <v>23.1493653905379</v>
      </c>
      <c r="L18901" s="12" t="s">
        <v>1063</v>
      </c>
    </row>
    <row r="18902" customFormat="false" ht="15" hidden="false" customHeight="false" outlineLevel="0" collapsed="false">
      <c r="A18902" s="1" t="s">
        <v>1064</v>
      </c>
      <c r="B18902" s="0" t="s">
        <v>98</v>
      </c>
      <c r="D18902" s="6" t="n">
        <f aca="false">Sens!D18899+Sens!D18901</f>
        <v>128.528</v>
      </c>
      <c r="E18902" s="6" t="n">
        <f aca="false">Sens!E18899+Sens!E18901</f>
        <v>155.237</v>
      </c>
      <c r="F18902" s="6" t="n">
        <f aca="false">Sens!F18899+Sens!F18901</f>
        <v>185.83029801017</v>
      </c>
      <c r="G18902" s="6" t="n">
        <f aca="false">Sens!G18899+Sens!G18901</f>
        <v>212.144888365146</v>
      </c>
      <c r="H18902" s="6" t="n">
        <f aca="false">Sens!H18899+Sens!H18901</f>
        <v>247.571996254504</v>
      </c>
      <c r="I18902" s="6" t="n">
        <f aca="false">Sens!I18899+Sens!I18901</f>
        <v>274.792233026712</v>
      </c>
      <c r="J18902" s="6" t="n">
        <f aca="false">Sens!J18899+Sens!J18901</f>
        <v>298.408822414658</v>
      </c>
      <c r="K18902" s="6" t="n">
        <f aca="false">Sens!K18899+Sens!K18901</f>
        <v>319.98652305356</v>
      </c>
    </row>
    <row r="18903" customFormat="false" ht="15" hidden="false" customHeight="false" outlineLevel="0" collapsed="false">
      <c r="A18903" s="26" t="s">
        <v>1065</v>
      </c>
      <c r="B18903" s="31" t="s">
        <v>98</v>
      </c>
      <c r="C18903" s="31"/>
      <c r="D18903" s="27" t="n">
        <f aca="false">Sens!D18902-Q!L23</f>
        <v>0</v>
      </c>
      <c r="E18903" s="27" t="n">
        <f aca="false">Sens!E18902-Q!M23</f>
        <v>0</v>
      </c>
      <c r="F18903" s="31"/>
      <c r="G18903" s="31"/>
      <c r="H18903" s="31"/>
      <c r="I18903" s="31"/>
      <c r="J18903" s="31"/>
      <c r="K18903" s="31"/>
    </row>
    <row r="18904" customFormat="false" ht="15" hidden="false" customHeight="false" outlineLevel="0" collapsed="false">
      <c r="A18904" s="1" t="s">
        <v>1066</v>
      </c>
      <c r="B18904" s="0" t="s">
        <v>168</v>
      </c>
      <c r="D18904" s="7" t="n">
        <f aca="false">Sens!D18902/Sens!D18895</f>
        <v>0.456219562408598</v>
      </c>
      <c r="E18904" s="7" t="n">
        <f aca="false">Sens!E18902/Sens!E18895</f>
        <v>0.467808184089272</v>
      </c>
      <c r="F18904" s="7" t="n">
        <f aca="false">Sens!F18902/Sens!F18895</f>
        <v>0.460586282187789</v>
      </c>
      <c r="G18904" s="7" t="n">
        <f aca="false">Sens!G18902/Sens!G18895</f>
        <v>0.430919880631129</v>
      </c>
      <c r="H18904" s="7" t="n">
        <f aca="false">Sens!H18902/Sens!H18895</f>
        <v>0.421047370468969</v>
      </c>
      <c r="I18904" s="7" t="n">
        <f aca="false">Sens!I18902/Sens!I18895</f>
        <v>0.410341189799696</v>
      </c>
      <c r="J18904" s="7" t="n">
        <f aca="false">Sens!J18902/Sens!J18895</f>
        <v>0.405663165972134</v>
      </c>
      <c r="K18904" s="7" t="n">
        <f aca="false">Sens!K18902/Sens!K18895</f>
        <v>0.405776679995941</v>
      </c>
    </row>
    <row r="18905" customFormat="false" ht="17.15" hidden="false" customHeight="false" outlineLevel="0" collapsed="false">
      <c r="A18905" s="1" t="s">
        <v>1067</v>
      </c>
      <c r="B18905" s="0" t="s">
        <v>98</v>
      </c>
      <c r="F18905" s="6" t="n">
        <f aca="false">Sens!F18920</f>
        <v>8.8743333025111</v>
      </c>
      <c r="G18905" s="6" t="n">
        <f aca="false">Sens!G18920</f>
        <v>22.702199485199</v>
      </c>
      <c r="H18905" s="6" t="n">
        <f aca="false">Sens!H18920</f>
        <v>38.0996038893588</v>
      </c>
      <c r="I18905" s="6" t="n">
        <f aca="false">Sens!I18920</f>
        <v>52.4504053883899</v>
      </c>
      <c r="J18905" s="6" t="n">
        <f aca="false">Sens!J18920</f>
        <v>62.6413235132959</v>
      </c>
      <c r="K18905" s="6" t="n">
        <f aca="false">Sens!K18920</f>
        <v>68.0924461161915</v>
      </c>
      <c r="L18905" s="1" t="s">
        <v>1068</v>
      </c>
    </row>
    <row r="18906" customFormat="false" ht="17.15" hidden="false" customHeight="false" outlineLevel="0" collapsed="false">
      <c r="A18906" s="1" t="s">
        <v>1069</v>
      </c>
      <c r="B18906" s="0" t="s">
        <v>98</v>
      </c>
      <c r="D18906" s="6" t="n">
        <f aca="false">Sens!D18902</f>
        <v>128.528</v>
      </c>
      <c r="E18906" s="6" t="n">
        <f aca="false">Sens!E18902</f>
        <v>155.237</v>
      </c>
      <c r="F18906" s="6" t="n">
        <f aca="false">Sens!F18902+Sens!F18905</f>
        <v>194.704631312681</v>
      </c>
      <c r="G18906" s="6" t="n">
        <f aca="false">Sens!G18902+Sens!G18905</f>
        <v>234.847087850345</v>
      </c>
      <c r="H18906" s="6" t="n">
        <f aca="false">Sens!H18902+Sens!H18905</f>
        <v>285.671600143863</v>
      </c>
      <c r="I18906" s="6" t="n">
        <f aca="false">Sens!I18902+Sens!I18905</f>
        <v>327.242638415102</v>
      </c>
      <c r="J18906" s="6" t="n">
        <f aca="false">Sens!J18902+Sens!J18905</f>
        <v>361.050145927954</v>
      </c>
      <c r="K18906" s="6" t="n">
        <f aca="false">Sens!K18902+Sens!K18905</f>
        <v>388.078969169751</v>
      </c>
    </row>
    <row r="18907" customFormat="false" ht="17.15" hidden="false" customHeight="false" outlineLevel="0" collapsed="false">
      <c r="A18907" s="1" t="s">
        <v>1070</v>
      </c>
      <c r="B18907" s="0" t="s">
        <v>98</v>
      </c>
      <c r="E18907" s="6" t="n">
        <f aca="false">Sens!E18850</f>
        <v>16.3054059770833</v>
      </c>
      <c r="F18907" s="6" t="n">
        <f aca="false">Sens!F18850</f>
        <v>34.641228276809</v>
      </c>
      <c r="G18907" s="6" t="n">
        <f aca="false">Sens!G18850</f>
        <v>60.9344867500193</v>
      </c>
      <c r="H18907" s="6" t="n">
        <f aca="false">Sens!H18850</f>
        <v>89.440318654396</v>
      </c>
      <c r="I18907" s="6" t="n">
        <f aca="false">Sens!I18850</f>
        <v>114.777494622816</v>
      </c>
      <c r="J18907" s="6" t="n">
        <f aca="false">Sens!J18850</f>
        <v>132.880875699293</v>
      </c>
      <c r="K18907" s="6" t="n">
        <f aca="false">Sens!K18850</f>
        <v>144.355521672042</v>
      </c>
    </row>
    <row r="18908" customFormat="false" ht="17.15" hidden="false" customHeight="false" outlineLevel="0" collapsed="false">
      <c r="A18908" s="1" t="s">
        <v>1071</v>
      </c>
      <c r="B18908" s="0" t="s">
        <v>98</v>
      </c>
      <c r="E18908" s="6" t="n">
        <f aca="false">Sens!E18932</f>
        <v>22.2285940229167</v>
      </c>
      <c r="F18908" s="6" t="n">
        <f aca="false">Sens!F18932</f>
        <v>23.5783018048442</v>
      </c>
      <c r="G18908" s="6" t="n">
        <f aca="false">Sens!G18932</f>
        <v>25.375712844567</v>
      </c>
      <c r="H18908" s="6" t="n">
        <f aca="false">Sens!H18932</f>
        <v>27.5894701896581</v>
      </c>
      <c r="I18908" s="6" t="n">
        <f aca="false">Sens!I18932</f>
        <v>30.1432349813921</v>
      </c>
      <c r="J18908" s="6" t="n">
        <f aca="false">Sens!J18932</f>
        <v>32.9449908003304</v>
      </c>
      <c r="K18908" s="6" t="n">
        <f aca="false">Sens!K18932</f>
        <v>35.9103392518222</v>
      </c>
    </row>
    <row r="18909" customFormat="false" ht="17.15" hidden="false" customHeight="false" outlineLevel="0" collapsed="false">
      <c r="A18909" s="1" t="s">
        <v>1072</v>
      </c>
      <c r="B18909" s="0" t="s">
        <v>98</v>
      </c>
      <c r="D18909" s="6" t="n">
        <f aca="false">Q!L27</f>
        <v>-4.901</v>
      </c>
      <c r="E18909" s="6" t="n">
        <f aca="false">Q!M27</f>
        <v>10.697</v>
      </c>
      <c r="F18909" s="6" t="n">
        <f aca="false">Q!$I$27+oie_f*(q_per_yr-1)/q_per_yr</f>
        <v>-0.862</v>
      </c>
      <c r="G18909" s="6" t="n">
        <f aca="false">oie_f</f>
        <v>-1.2</v>
      </c>
      <c r="H18909" s="6" t="n">
        <f aca="false">oie_f</f>
        <v>-1.2</v>
      </c>
      <c r="I18909" s="6" t="n">
        <f aca="false">oie_f</f>
        <v>-1.2</v>
      </c>
      <c r="J18909" s="6" t="n">
        <f aca="false">oie_f</f>
        <v>-1.2</v>
      </c>
      <c r="K18909" s="6" t="n">
        <f aca="false">oie_f</f>
        <v>-1.2</v>
      </c>
      <c r="L18909" s="12" t="s">
        <v>1073</v>
      </c>
    </row>
    <row r="18910" customFormat="false" ht="15" hidden="false" customHeight="false" outlineLevel="0" collapsed="false">
      <c r="A18910" s="1" t="s">
        <v>1074</v>
      </c>
      <c r="B18910" s="0" t="s">
        <v>98</v>
      </c>
      <c r="D18910" s="6" t="n">
        <f aca="false">Sens!D18902+Sens!D18909</f>
        <v>123.627</v>
      </c>
      <c r="E18910" s="6" t="n">
        <f aca="false">Sens!E18902+Sens!E18909</f>
        <v>165.934</v>
      </c>
      <c r="F18910" s="6" t="n">
        <f aca="false">Sens!F18902+Sens!F18909</f>
        <v>184.96829801017</v>
      </c>
      <c r="G18910" s="6" t="n">
        <f aca="false">Sens!G18902+Sens!G18909</f>
        <v>210.944888365146</v>
      </c>
      <c r="H18910" s="6" t="n">
        <f aca="false">Sens!H18902+Sens!H18909</f>
        <v>246.371996254504</v>
      </c>
      <c r="I18910" s="6" t="n">
        <f aca="false">Sens!I18902+Sens!I18909</f>
        <v>273.592233026712</v>
      </c>
      <c r="J18910" s="6" t="n">
        <f aca="false">Sens!J18902+Sens!J18909</f>
        <v>297.208822414658</v>
      </c>
      <c r="K18910" s="6" t="n">
        <f aca="false">Sens!K18902+Sens!K18909</f>
        <v>318.78652305356</v>
      </c>
    </row>
    <row r="18911" customFormat="false" ht="15" hidden="false" customHeight="false" outlineLevel="0" collapsed="false">
      <c r="A18911" s="1" t="s">
        <v>1075</v>
      </c>
      <c r="B18911" s="0" t="s">
        <v>98</v>
      </c>
      <c r="D18911" s="6" t="n">
        <f aca="false">Q!L29</f>
        <v>21.795</v>
      </c>
      <c r="E18911" s="6" t="n">
        <f aca="false">Q!M29</f>
        <v>32.185</v>
      </c>
      <c r="F18911" s="6" t="n">
        <f aca="false">Q!$I$29+(Sens!F18910-Q!$I$28)*tax_f</f>
        <v>37.127059602034</v>
      </c>
      <c r="G18911" s="6" t="n">
        <f aca="false">Sens!G18910*tax_f</f>
        <v>42.1889776730292</v>
      </c>
      <c r="H18911" s="6" t="n">
        <f aca="false">Sens!H18910*tax_f</f>
        <v>49.2743992509008</v>
      </c>
      <c r="I18911" s="6" t="n">
        <f aca="false">Sens!I18910*tax_f</f>
        <v>54.7184466053424</v>
      </c>
      <c r="J18911" s="6" t="n">
        <f aca="false">Sens!J18910*tax_f</f>
        <v>59.4417644829316</v>
      </c>
      <c r="K18911" s="6" t="n">
        <f aca="false">Sens!K18910*tax_f</f>
        <v>63.7573046107119</v>
      </c>
    </row>
    <row r="18912" customFormat="false" ht="15" hidden="false" customHeight="false" outlineLevel="0" collapsed="false">
      <c r="A18912" s="1" t="s">
        <v>1076</v>
      </c>
      <c r="B18912" s="0" t="s">
        <v>98</v>
      </c>
      <c r="D18912" s="6" t="n">
        <f aca="false">Sens!D18910-Sens!D18911</f>
        <v>101.832</v>
      </c>
      <c r="E18912" s="6" t="n">
        <f aca="false">Sens!E18910-Sens!E18911</f>
        <v>133.749</v>
      </c>
      <c r="F18912" s="6" t="n">
        <f aca="false">Sens!F18910-Sens!F18911</f>
        <v>147.841238408136</v>
      </c>
      <c r="G18912" s="6" t="n">
        <f aca="false">Sens!G18910-Sens!G18911</f>
        <v>168.755910692117</v>
      </c>
      <c r="H18912" s="6" t="n">
        <f aca="false">Sens!H18910-Sens!H18911</f>
        <v>197.097597003603</v>
      </c>
      <c r="I18912" s="6" t="n">
        <f aca="false">Sens!I18910-Sens!I18911</f>
        <v>218.873786421369</v>
      </c>
      <c r="J18912" s="6" t="n">
        <f aca="false">Sens!J18910-Sens!J18911</f>
        <v>237.767057931727</v>
      </c>
      <c r="K18912" s="6" t="n">
        <f aca="false">Sens!K18910-Sens!K18911</f>
        <v>255.029218442848</v>
      </c>
    </row>
    <row r="18913" customFormat="false" ht="17.15" hidden="false" customHeight="false" outlineLevel="0" collapsed="false">
      <c r="A18913" s="1" t="s">
        <v>1077</v>
      </c>
      <c r="B18913" s="1" t="s">
        <v>81</v>
      </c>
      <c r="D18913" s="15" t="n">
        <f aca="false">Q!L31</f>
        <v>7.465</v>
      </c>
      <c r="E18913" s="15" t="n">
        <f aca="false">Q!M31</f>
        <v>7.453</v>
      </c>
      <c r="F18913" s="15" t="n">
        <f aca="false">Sens!F18957</f>
        <v>7.47020729739777</v>
      </c>
      <c r="G18913" s="15" t="n">
        <f aca="false">Sens!G18957</f>
        <v>7.50834288869738</v>
      </c>
      <c r="H18913" s="15" t="n">
        <f aca="false">Sens!H18957</f>
        <v>7.53247112162801</v>
      </c>
      <c r="I18913" s="15" t="n">
        <f aca="false">Sens!I18957</f>
        <v>7.54415248568348</v>
      </c>
      <c r="J18913" s="15" t="n">
        <f aca="false">Sens!J18957</f>
        <v>7.55830189684595</v>
      </c>
      <c r="K18913" s="15" t="n">
        <f aca="false">Sens!K18957</f>
        <v>7.5747365368112</v>
      </c>
    </row>
    <row r="18914" customFormat="false" ht="17.15" hidden="false" customHeight="false" outlineLevel="0" collapsed="false">
      <c r="A18914" s="0" t="s">
        <v>1078</v>
      </c>
      <c r="B18914" s="0" t="s">
        <v>75</v>
      </c>
      <c r="D18914" s="8" t="n">
        <f aca="false">Sens!D18912/Sens!D18913</f>
        <v>13.641259209645</v>
      </c>
      <c r="E18914" s="8" t="n">
        <f aca="false">Sens!E18912/Sens!E18913</f>
        <v>17.9456594659869</v>
      </c>
      <c r="F18914" s="8" t="n">
        <f aca="false">Sens!F18912/Sens!F18913</f>
        <v>19.7907812357009</v>
      </c>
      <c r="G18914" s="8" t="n">
        <f aca="false">Sens!G18912/Sens!G18913</f>
        <v>22.4757863610827</v>
      </c>
      <c r="H18914" s="8" t="n">
        <f aca="false">Sens!H18912/Sens!H18913</f>
        <v>26.1663926513673</v>
      </c>
      <c r="I18914" s="8" t="n">
        <f aca="false">Sens!I18912/Sens!I18913</f>
        <v>29.0123757223526</v>
      </c>
      <c r="J18914" s="8" t="n">
        <f aca="false">Sens!J18912/Sens!J18913</f>
        <v>31.4577349749612</v>
      </c>
      <c r="K18914" s="8" t="n">
        <f aca="false">Sens!K18912/Sens!K18913</f>
        <v>33.6683945644147</v>
      </c>
      <c r="L18914" s="1" t="s">
        <v>1079</v>
      </c>
    </row>
    <row r="18915" customFormat="false" ht="17.15" hidden="false" customHeight="false" outlineLevel="0" collapsed="false">
      <c r="A18915" s="1" t="s">
        <v>1080</v>
      </c>
      <c r="B18915" s="0" t="s">
        <v>98</v>
      </c>
      <c r="D18915" s="6" t="n">
        <f aca="false">Sens!D18912</f>
        <v>101.832</v>
      </c>
      <c r="E18915" s="6" t="n">
        <f aca="false">Sens!E18912</f>
        <v>133.749</v>
      </c>
      <c r="F18915" s="6" t="n">
        <f aca="false">Sens!F18912+Sens!F18905*(1-tax_f)</f>
        <v>154.940705050145</v>
      </c>
      <c r="G18915" s="6" t="n">
        <f aca="false">Sens!G18912+Sens!G18905*(1-tax_f)</f>
        <v>186.917670280276</v>
      </c>
      <c r="H18915" s="6" t="n">
        <f aca="false">Sens!H18912+Sens!H18905*(1-tax_f)</f>
        <v>227.57728011509</v>
      </c>
      <c r="I18915" s="6" t="n">
        <f aca="false">Sens!I18912+Sens!I18905*(1-tax_f)</f>
        <v>260.834110732081</v>
      </c>
      <c r="J18915" s="6" t="n">
        <f aca="false">Sens!J18912+Sens!J18905*(1-tax_f)</f>
        <v>287.880116742363</v>
      </c>
      <c r="K18915" s="6" t="n">
        <f aca="false">Sens!K18912+Sens!K18905*(1-tax_f)</f>
        <v>309.503175335801</v>
      </c>
    </row>
    <row r="18916" customFormat="false" ht="17.15" hidden="false" customHeight="false" outlineLevel="0" collapsed="false">
      <c r="A18916" s="0" t="s">
        <v>1081</v>
      </c>
      <c r="B18916" s="0" t="s">
        <v>75</v>
      </c>
      <c r="D18916" s="8" t="n">
        <f aca="false">Sens!D18915/Sens!D18913</f>
        <v>13.641259209645</v>
      </c>
      <c r="E18916" s="8" t="n">
        <f aca="false">Sens!E18915/Sens!E18913</f>
        <v>17.9456594659869</v>
      </c>
      <c r="F18916" s="8" t="n">
        <f aca="false">Sens!F18915/Sens!F18913</f>
        <v>20.7411520031202</v>
      </c>
      <c r="G18916" s="8" t="n">
        <f aca="false">Sens!G18915/Sens!G18913</f>
        <v>24.8946635830459</v>
      </c>
      <c r="H18916" s="8" t="n">
        <f aca="false">Sens!H18915/Sens!H18913</f>
        <v>30.2128314122104</v>
      </c>
      <c r="I18916" s="8" t="n">
        <f aca="false">Sens!I18915/Sens!I18913</f>
        <v>34.5743423435655</v>
      </c>
      <c r="J18916" s="8" t="n">
        <f aca="false">Sens!J18915/Sens!J18913</f>
        <v>38.0879357124508</v>
      </c>
      <c r="K18916" s="8" t="n">
        <f aca="false">Sens!K18915/Sens!K18913</f>
        <v>40.8599261283475</v>
      </c>
      <c r="L18916" s="1" t="s">
        <v>1082</v>
      </c>
    </row>
    <row r="18917" customFormat="false" ht="17.15" hidden="false" customHeight="false" outlineLevel="0" collapsed="false">
      <c r="A18917" s="0" t="s">
        <v>1083</v>
      </c>
      <c r="B18917" s="0" t="s">
        <v>168</v>
      </c>
      <c r="E18917" s="7" t="n">
        <f aca="false">Sens!E18916/Sens!D18916-1</f>
        <v>0.315542736208578</v>
      </c>
      <c r="F18917" s="7" t="n">
        <f aca="false">Sens!F18916/Sens!E18916-1</f>
        <v>0.155775414240515</v>
      </c>
      <c r="G18917" s="7" t="n">
        <f aca="false">Sens!G18916/Sens!F18916-1</f>
        <v>0.200254623238906</v>
      </c>
      <c r="H18917" s="7" t="n">
        <f aca="false">Sens!H18916/Sens!G18916-1</f>
        <v>0.213626820520136</v>
      </c>
      <c r="I18917" s="7" t="n">
        <f aca="false">Sens!I18916/Sens!H18916-1</f>
        <v>0.144359556105438</v>
      </c>
      <c r="J18917" s="7" t="n">
        <f aca="false">Sens!J18916/Sens!I18916-1</f>
        <v>0.101624300875217</v>
      </c>
      <c r="K18917" s="7" t="n">
        <f aca="false">Sens!K18916/Sens!J18916-1</f>
        <v>0.0727786991876962</v>
      </c>
    </row>
    <row r="18918" customFormat="false" ht="17.15" hidden="false" customHeight="false" outlineLevel="0" collapsed="false">
      <c r="A18918" s="0" t="s">
        <v>1003</v>
      </c>
      <c r="B18918" s="0" t="s">
        <v>98</v>
      </c>
      <c r="E18918" s="6" t="n">
        <f aca="false">Sens!E18859</f>
        <v>5.25</v>
      </c>
      <c r="F18918" s="6" t="n">
        <f aca="false">Sens!F18859</f>
        <v>13.5</v>
      </c>
      <c r="G18918" s="6" t="n">
        <f aca="false">Sens!G18859</f>
        <v>22.5</v>
      </c>
      <c r="H18918" s="6" t="n">
        <f aca="false">Sens!H18859</f>
        <v>31.5</v>
      </c>
      <c r="I18918" s="6" t="n">
        <f aca="false">Sens!I18859</f>
        <v>38.25</v>
      </c>
      <c r="J18918" s="6" t="n">
        <f aca="false">Sens!J18859</f>
        <v>42.75</v>
      </c>
      <c r="K18918" s="6" t="n">
        <f aca="false">Sens!K18859</f>
        <v>47.25</v>
      </c>
    </row>
    <row r="18919" customFormat="false" ht="17.15" hidden="false" customHeight="false" outlineLevel="0" collapsed="false">
      <c r="A18919" s="1" t="s">
        <v>1004</v>
      </c>
      <c r="B18919" s="0" t="s">
        <v>98</v>
      </c>
      <c r="F18919" s="6" t="n">
        <f aca="false">MAX(0,((Sens!E18819+Sens!F18819)/2-(shadow_base*(Sens!$D$18819+Sens!$E$18819)/2+(1-shadow_base)*Sens!$E$18819))*Sens!F18828/1000-(Sens!F18918-Sens!$E$18918)*Sens!F18898)</f>
        <v>8.8743333025111</v>
      </c>
      <c r="G18919" s="6" t="n">
        <f aca="false">MAX(0,((Sens!F18819+Sens!G18819)/2-(shadow_base*(Sens!$D$18819+Sens!$E$18819)/2+(1-shadow_base)*Sens!$E$18819))*Sens!G18828/1000-(Sens!G18918-Sens!$E$18918)*Sens!G18898)</f>
        <v>22.702199485199</v>
      </c>
      <c r="H18919" s="6" t="n">
        <f aca="false">MAX(0,((Sens!G18819+Sens!H18819)/2-(shadow_base*(Sens!$D$18819+Sens!$E$18819)/2+(1-shadow_base)*Sens!$E$18819))*Sens!H18828/1000-(Sens!H18918-Sens!$E$18918)*Sens!H18898)</f>
        <v>38.0996038893588</v>
      </c>
      <c r="I18919" s="6" t="n">
        <f aca="false">MAX(0,((Sens!H18819+Sens!I18819)/2-(shadow_base*(Sens!$D$18819+Sens!$E$18819)/2+(1-shadow_base)*Sens!$E$18819))*Sens!I18828/1000-(Sens!I18918-Sens!$E$18918)*Sens!I18898)</f>
        <v>52.4504053883899</v>
      </c>
      <c r="J18919" s="6" t="n">
        <f aca="false">MAX(0,((Sens!I18819+Sens!J18819)/2-(shadow_base*(Sens!$D$18819+Sens!$E$18819)/2+(1-shadow_base)*Sens!$E$18819))*Sens!J18828/1000-(Sens!J18918-Sens!$E$18918)*Sens!J18898)</f>
        <v>62.6413235132959</v>
      </c>
      <c r="K18919" s="6" t="n">
        <f aca="false">MAX(0,((Sens!J18819+Sens!K18819)/2-(shadow_base*(Sens!$D$18819+Sens!$E$18819)/2+(1-shadow_base)*Sens!$E$18819))*Sens!K18828/1000-(Sens!K18918-Sens!$E$18918)*Sens!K18898)</f>
        <v>68.0924461161915</v>
      </c>
      <c r="L18919" s="1" t="s">
        <v>1005</v>
      </c>
    </row>
    <row r="18920" customFormat="false" ht="17.15" hidden="false" customHeight="false" outlineLevel="0" collapsed="false">
      <c r="A18920" s="1" t="s">
        <v>1006</v>
      </c>
      <c r="B18920" s="0" t="s">
        <v>98</v>
      </c>
      <c r="F18920" s="6" t="n">
        <f aca="false">IF(internal_ai_reading=2,1,0)*Sens!F18919</f>
        <v>8.8743333025111</v>
      </c>
      <c r="G18920" s="6" t="n">
        <f aca="false">IF(internal_ai_reading=2,1,0)*Sens!G18919</f>
        <v>22.702199485199</v>
      </c>
      <c r="H18920" s="6" t="n">
        <f aca="false">IF(internal_ai_reading=2,1,0)*Sens!H18919</f>
        <v>38.0996038893588</v>
      </c>
      <c r="I18920" s="6" t="n">
        <f aca="false">IF(internal_ai_reading=2,1,0)*Sens!I18919</f>
        <v>52.4504053883899</v>
      </c>
      <c r="J18920" s="6" t="n">
        <f aca="false">IF(internal_ai_reading=2,1,0)*Sens!J18919</f>
        <v>62.6413235132959</v>
      </c>
      <c r="K18920" s="6" t="n">
        <f aca="false">IF(internal_ai_reading=2,1,0)*Sens!K18919</f>
        <v>68.0924461161915</v>
      </c>
    </row>
    <row r="18921" customFormat="false" ht="17.15" hidden="false" customHeight="false" outlineLevel="0" collapsed="false">
      <c r="A18921" s="0" t="s">
        <v>1007</v>
      </c>
      <c r="B18921" s="0" t="s">
        <v>98</v>
      </c>
      <c r="F18921" s="6" t="n">
        <f aca="false">Sens!F18838+Sens!F18918*Sens!F18898+Sens!F18920-Sens!F18839-Sens!F18850</f>
        <v>19.1445809894906</v>
      </c>
      <c r="G18921" s="6" t="n">
        <f aca="false">Sens!G18838+Sens!G18918*Sens!G18898+Sens!G18920-Sens!G18839-Sens!G18850</f>
        <v>44.2600491947476</v>
      </c>
      <c r="H18921" s="6" t="n">
        <f aca="false">Sens!H18838+Sens!H18918*Sens!H18898+Sens!H18920-Sens!H18839-Sens!H18850</f>
        <v>75.1282271404586</v>
      </c>
      <c r="I18921" s="6" t="n">
        <f aca="false">Sens!I18838+Sens!I18918*Sens!I18898+Sens!I18920-Sens!I18839-Sens!I18850</f>
        <v>97.1135928448762</v>
      </c>
      <c r="J18921" s="6" t="n">
        <f aca="false">Sens!J18838+Sens!J18918*Sens!J18898+Sens!J18920-Sens!J18839-Sens!J18850</f>
        <v>112.47550746027</v>
      </c>
      <c r="K18921" s="6" t="n">
        <f aca="false">Sens!K18838+Sens!K18918*Sens!K18898+Sens!K18920-Sens!K18839-Sens!K18850</f>
        <v>122.990642746914</v>
      </c>
    </row>
    <row r="18922" customFormat="false" ht="17.15" hidden="false" customHeight="false" outlineLevel="0" collapsed="false">
      <c r="A18922" s="0" t="s">
        <v>1008</v>
      </c>
      <c r="B18922" s="0" t="s">
        <v>98</v>
      </c>
      <c r="E18922" s="6" t="n">
        <f aca="false">Sens!E18818*(cxit_open+self_build*tk_cxfac)/1000*ai_net_open</f>
        <v>126.6980382</v>
      </c>
      <c r="F18922" s="6" t="n">
        <f aca="false">Sens!E18922+Sens!F18847-Sens!F18850</f>
        <v>260.531138080999</v>
      </c>
      <c r="G18922" s="6" t="n">
        <f aca="false">Sens!F18922+Sens!G18847-Sens!G18850</f>
        <v>391.732607523896</v>
      </c>
      <c r="H18922" s="6" t="n">
        <f aca="false">Sens!G18922+Sens!H18847-Sens!H18850</f>
        <v>499.144512201304</v>
      </c>
      <c r="I18922" s="6" t="n">
        <f aca="false">Sens!H18922+Sens!I18847-Sens!I18850</f>
        <v>554.184803136311</v>
      </c>
      <c r="J18922" s="6" t="n">
        <f aca="false">Sens!I18922+Sens!J18847-Sens!J18850</f>
        <v>552.057881745084</v>
      </c>
      <c r="K18922" s="6" t="n">
        <f aca="false">Sens!J18922+Sens!K18847-Sens!K18850</f>
        <v>530.189758768081</v>
      </c>
      <c r="L18922" s="1" t="s">
        <v>1009</v>
      </c>
    </row>
    <row r="18923" customFormat="false" ht="17.15" hidden="false" customHeight="false" outlineLevel="0" collapsed="false">
      <c r="A18923" s="0" t="s">
        <v>1010</v>
      </c>
      <c r="B18923" s="0" t="s">
        <v>168</v>
      </c>
      <c r="F18923" s="7" t="n">
        <f aca="false">Sens!F18921*(1-tax_f)/((Sens!E18922+Sens!F18922)/2)</f>
        <v>0.0791038781668583</v>
      </c>
      <c r="G18923" s="7" t="n">
        <f aca="false">Sens!G18921*(1-tax_f)/((Sens!F18922+Sens!G18922)/2)</f>
        <v>0.10856969928004</v>
      </c>
      <c r="H18923" s="7" t="n">
        <f aca="false">Sens!H18921*(1-tax_f)/((Sens!G18922+Sens!H18922)/2)</f>
        <v>0.134929005093107</v>
      </c>
      <c r="I18923" s="7" t="n">
        <f aca="false">Sens!I18921*(1-tax_f)/((Sens!H18922+Sens!I18922)/2)</f>
        <v>0.147514880948698</v>
      </c>
      <c r="J18923" s="7" t="n">
        <f aca="false">Sens!J18921*(1-tax_f)/((Sens!I18922+Sens!J18922)/2)</f>
        <v>0.162677515879553</v>
      </c>
      <c r="K18923" s="7" t="n">
        <f aca="false">Sens!K18921*(1-tax_f)/((Sens!J18922+Sens!K18922)/2)</f>
        <v>0.181829944486414</v>
      </c>
    </row>
    <row r="18924" customFormat="false" ht="17.15" hidden="false" customHeight="false" outlineLevel="0" collapsed="false">
      <c r="A18924" s="1" t="s">
        <v>1011</v>
      </c>
      <c r="B18924" s="0" t="s">
        <v>168</v>
      </c>
      <c r="F18924" s="7" t="n">
        <f aca="false">(Sens!F18921-Sens!F18920)*(1-tax_f)/((Sens!E18922+Sens!F18922)/2)</f>
        <v>0.0424358424047129</v>
      </c>
      <c r="G18924" s="7" t="n">
        <f aca="false">(Sens!G18921-Sens!G18920)*(1-tax_f)/((Sens!F18922+Sens!G18922)/2)</f>
        <v>0.0528813072437288</v>
      </c>
      <c r="H18924" s="7" t="n">
        <f aca="false">(Sens!H18921-Sens!H18920)*(1-tax_f)/((Sens!G18922+Sens!H18922)/2)</f>
        <v>0.0665027711341768</v>
      </c>
      <c r="I18924" s="7" t="n">
        <f aca="false">(Sens!I18921-Sens!I18920)*(1-tax_f)/((Sens!H18922+Sens!I18922)/2)</f>
        <v>0.0678430751805984</v>
      </c>
      <c r="J18924" s="7" t="n">
        <f aca="false">(Sens!J18921-Sens!J18920)*(1-tax_f)/((Sens!I18922+Sens!J18922)/2)</f>
        <v>0.0720770364449527</v>
      </c>
      <c r="K18924" s="7" t="n">
        <f aca="false">(Sens!K18921-Sens!K18920)*(1-tax_f)/((Sens!J18922+Sens!K18922)/2)</f>
        <v>0.0811617520066905</v>
      </c>
    </row>
    <row r="18925" customFormat="false" ht="17.15" hidden="false" customHeight="false" outlineLevel="0" collapsed="false">
      <c r="A18925" s="1" t="s">
        <v>1012</v>
      </c>
      <c r="B18925" s="0" t="s">
        <v>168</v>
      </c>
      <c r="F18925" s="7" t="n">
        <f aca="false">(Sens!F18921-Sens!F18920+Sens!F18919)*(1-tax_f)/((Sens!E18922+Sens!F18922)/2)</f>
        <v>0.0791038781668583</v>
      </c>
      <c r="G18925" s="7" t="n">
        <f aca="false">(Sens!G18921-Sens!G18920+Sens!G18919)*(1-tax_f)/((Sens!F18922+Sens!G18922)/2)</f>
        <v>0.10856969928004</v>
      </c>
      <c r="H18925" s="7" t="n">
        <f aca="false">(Sens!H18921-Sens!H18920+Sens!H18919)*(1-tax_f)/((Sens!G18922+Sens!H18922)/2)</f>
        <v>0.134929005093107</v>
      </c>
      <c r="I18925" s="7" t="n">
        <f aca="false">(Sens!I18921-Sens!I18920+Sens!I18919)*(1-tax_f)/((Sens!H18922+Sens!I18922)/2)</f>
        <v>0.147514880948698</v>
      </c>
      <c r="J18925" s="7" t="n">
        <f aca="false">(Sens!J18921-Sens!J18920+Sens!J18919)*(1-tax_f)/((Sens!I18922+Sens!J18922)/2)</f>
        <v>0.162677515879553</v>
      </c>
      <c r="K18925" s="7" t="n">
        <f aca="false">(Sens!K18921-Sens!K18920+Sens!K18919)*(1-tax_f)/((Sens!J18922+Sens!K18922)/2)</f>
        <v>0.181829944486414</v>
      </c>
    </row>
    <row r="18926" customFormat="false" ht="17.15" hidden="false" customHeight="false" outlineLevel="0" collapsed="false">
      <c r="A18926" s="1" t="s">
        <v>1013</v>
      </c>
      <c r="B18926" s="0" t="s">
        <v>168</v>
      </c>
      <c r="F18926" s="7" t="n">
        <f aca="false">Sens!F18851*(1-tax_f)/(Sens!F18837*(Sens!E18922+Sens!F18922)/2)</f>
        <v>0.158770955885565</v>
      </c>
      <c r="G18926" s="7" t="n">
        <f aca="false">Sens!G18851*(1-tax_f)/(Sens!G18837*(Sens!F18922+Sens!G18922)/2)</f>
        <v>0.180622974811814</v>
      </c>
      <c r="H18926" s="7" t="n">
        <f aca="false">Sens!H18851*(1-tax_f)/(Sens!H18837*(Sens!G18922+Sens!H18922)/2)</f>
        <v>0.211336324006124</v>
      </c>
      <c r="I18926" s="7" t="n">
        <f aca="false">Sens!I18851*(1-tax_f)/(Sens!I18837*(Sens!H18922+Sens!I18922)/2)</f>
        <v>0.224244514419389</v>
      </c>
      <c r="J18926" s="7" t="n">
        <f aca="false">Sens!J18851*(1-tax_f)/(Sens!J18837*(Sens!I18922+Sens!J18922)/2)</f>
        <v>0.243905761751893</v>
      </c>
      <c r="K18926" s="7" t="n">
        <f aca="false">Sens!K18851*(1-tax_f)/(Sens!K18837*(Sens!J18922+Sens!K18922)/2)</f>
        <v>0.270634460260932</v>
      </c>
    </row>
    <row r="18927" customFormat="false" ht="17.15" hidden="false" customHeight="false" outlineLevel="0" collapsed="false">
      <c r="A18927" s="0" t="s">
        <v>1014</v>
      </c>
      <c r="B18927" s="0" t="s">
        <v>253</v>
      </c>
      <c r="F18927" s="7" t="n">
        <f aca="false">Sens!F18923-wacc</f>
        <v>-0.023832712778739</v>
      </c>
      <c r="G18927" s="7" t="n">
        <f aca="false">Sens!G18923-wacc</f>
        <v>0.00563310833444307</v>
      </c>
      <c r="H18927" s="7" t="n">
        <f aca="false">Sens!H18923-wacc</f>
        <v>0.0319924141475095</v>
      </c>
      <c r="I18927" s="7" t="n">
        <f aca="false">Sens!I18923-wacc</f>
        <v>0.0445782900031008</v>
      </c>
      <c r="J18927" s="7" t="n">
        <f aca="false">Sens!J18923-wacc</f>
        <v>0.0597409249339554</v>
      </c>
      <c r="K18927" s="7" t="n">
        <f aca="false">Sens!K18923-wacc</f>
        <v>0.0788933535408172</v>
      </c>
    </row>
    <row r="18928" customFormat="false" ht="17.15" hidden="false" customHeight="false" outlineLevel="0" collapsed="false">
      <c r="A18928" s="0" t="s">
        <v>1015</v>
      </c>
      <c r="B18928" s="0" t="s">
        <v>98</v>
      </c>
      <c r="F18928" s="6" t="n">
        <f aca="false">Sens!F18921*(1-tax_f)-wacc*(Sens!E18922+Sens!F18922)/2</f>
        <v>-4.61436086892636</v>
      </c>
      <c r="G18928" s="6" t="n">
        <f aca="false">Sens!G18921*(1-tax_f)-wacc*(Sens!F18922+Sens!G18922)/2</f>
        <v>1.83713617081099</v>
      </c>
      <c r="H18928" s="6" t="n">
        <f aca="false">Sens!H18921*(1-tax_f)-wacc*(Sens!G18922+Sens!H18922)/2</f>
        <v>14.2506548843945</v>
      </c>
      <c r="I18928" s="6" t="n">
        <f aca="false">Sens!I18921*(1-tax_f)-wacc*(Sens!H18922+Sens!I18922)/2</f>
        <v>23.4778098439439</v>
      </c>
      <c r="J18928" s="6" t="n">
        <f aca="false">Sens!J18921*(1-tax_f)-wacc*(Sens!I18922+Sens!J18922)/2</f>
        <v>33.0439805981183</v>
      </c>
      <c r="K18928" s="6" t="n">
        <f aca="false">Sens!K18921*(1-tax_f)-wacc*(Sens!J18922+Sens!K18922)/2</f>
        <v>42.6910728608602</v>
      </c>
    </row>
    <row r="18929" customFormat="false" ht="17.15" hidden="false" customHeight="false" outlineLevel="0" collapsed="false">
      <c r="A18929" s="3" t="s">
        <v>1947</v>
      </c>
    </row>
    <row r="18930" customFormat="false" ht="15" hidden="false" customHeight="false" outlineLevel="0" collapsed="false">
      <c r="A18930" s="4" t="s">
        <v>43</v>
      </c>
      <c r="B18930" s="4" t="s">
        <v>65</v>
      </c>
      <c r="C18930" s="23" t="s">
        <v>938</v>
      </c>
      <c r="D18930" s="23" t="s">
        <v>939</v>
      </c>
      <c r="E18930" s="23" t="s">
        <v>940</v>
      </c>
      <c r="F18930" s="23" t="s">
        <v>941</v>
      </c>
      <c r="G18930" s="23" t="s">
        <v>942</v>
      </c>
      <c r="H18930" s="23" t="s">
        <v>943</v>
      </c>
      <c r="I18930" s="23" t="s">
        <v>944</v>
      </c>
      <c r="J18930" s="23" t="s">
        <v>945</v>
      </c>
      <c r="K18930" s="23" t="s">
        <v>946</v>
      </c>
      <c r="L18930" s="4" t="s">
        <v>47</v>
      </c>
    </row>
    <row r="18931" customFormat="false" ht="15" hidden="false" customHeight="false" outlineLevel="0" collapsed="false">
      <c r="A18931" s="1" t="s">
        <v>1076</v>
      </c>
      <c r="B18931" s="0" t="s">
        <v>98</v>
      </c>
      <c r="F18931" s="6" t="n">
        <f aca="false">Sens!F18912</f>
        <v>147.841238408136</v>
      </c>
      <c r="G18931" s="6" t="n">
        <f aca="false">Sens!G18912</f>
        <v>168.755910692117</v>
      </c>
      <c r="H18931" s="6" t="n">
        <f aca="false">Sens!H18912</f>
        <v>197.097597003603</v>
      </c>
      <c r="I18931" s="6" t="n">
        <f aca="false">Sens!I18912</f>
        <v>218.873786421369</v>
      </c>
      <c r="J18931" s="6" t="n">
        <f aca="false">Sens!J18912</f>
        <v>237.767057931727</v>
      </c>
      <c r="K18931" s="6" t="n">
        <f aca="false">Sens!K18912</f>
        <v>255.029218442848</v>
      </c>
    </row>
    <row r="18932" customFormat="false" ht="17.15" hidden="false" customHeight="false" outlineLevel="0" collapsed="false">
      <c r="A18932" s="1" t="s">
        <v>1098</v>
      </c>
      <c r="B18932" s="0" t="s">
        <v>98</v>
      </c>
      <c r="E18932" s="6" t="n">
        <f aca="false">Q!M38-Sens!E18850</f>
        <v>22.2285940229167</v>
      </c>
      <c r="F18932" s="6" t="n">
        <f aca="false">Sens!E18932*(1-1/life_nonai)+(Sens!F18940+Sens!F18941)/life_nonai</f>
        <v>23.5783018048442</v>
      </c>
      <c r="G18932" s="6" t="n">
        <f aca="false">Sens!F18932*(1-1/life_nonai)+(Sens!G18940)/life_nonai</f>
        <v>25.375712844567</v>
      </c>
      <c r="H18932" s="6" t="n">
        <f aca="false">Sens!G18932*(1-1/life_nonai)+(Sens!H18940)/life_nonai</f>
        <v>27.5894701896581</v>
      </c>
      <c r="I18932" s="6" t="n">
        <f aca="false">Sens!H18932*(1-1/life_nonai)+(Sens!I18940)/life_nonai</f>
        <v>30.1432349813921</v>
      </c>
      <c r="J18932" s="6" t="n">
        <f aca="false">Sens!I18932*(1-1/life_nonai)+(Sens!J18940)/life_nonai</f>
        <v>32.9449908003304</v>
      </c>
      <c r="K18932" s="6" t="n">
        <f aca="false">Sens!J18932*(1-1/life_nonai)+(Sens!K18940)/life_nonai</f>
        <v>35.9103392518222</v>
      </c>
      <c r="L18932" s="12" t="s">
        <v>1099</v>
      </c>
    </row>
    <row r="18933" customFormat="false" ht="17.15" hidden="false" customHeight="false" outlineLevel="0" collapsed="false">
      <c r="A18933" s="1" t="s">
        <v>1100</v>
      </c>
      <c r="B18933" s="0" t="s">
        <v>98</v>
      </c>
      <c r="F18933" s="6" t="n">
        <f aca="false">Sens!$F$18941/life_nonai*(1-1/life_nonai)^(Sens!F18813-2027)</f>
        <v>0.00489566635383412</v>
      </c>
      <c r="G18933" s="6" t="n">
        <f aca="false">Sens!$F$18941/life_nonai*(1-1/life_nonai)^(Sens!G18813-2027)</f>
        <v>0.00440609971845071</v>
      </c>
      <c r="H18933" s="6" t="n">
        <f aca="false">Sens!$F$18941/life_nonai*(1-1/life_nonai)^(Sens!H18813-2027)</f>
        <v>0.00396548974660564</v>
      </c>
      <c r="I18933" s="6" t="n">
        <f aca="false">Sens!$F$18941/life_nonai*(1-1/life_nonai)^(Sens!I18813-2027)</f>
        <v>0.00356894077194507</v>
      </c>
      <c r="J18933" s="6" t="n">
        <f aca="false">Sens!$F$18941/life_nonai*(1-1/life_nonai)^(Sens!J18813-2027)</f>
        <v>0.00321204669475056</v>
      </c>
      <c r="K18933" s="6" t="n">
        <f aca="false">Sens!$F$18941/life_nonai*(1-1/life_nonai)^(Sens!K18813-2027)</f>
        <v>0.00289084202527551</v>
      </c>
      <c r="L18933" s="1" t="s">
        <v>1101</v>
      </c>
    </row>
    <row r="18934" customFormat="false" ht="17.15" hidden="false" customHeight="false" outlineLevel="0" collapsed="false">
      <c r="A18934" s="1" t="s">
        <v>1102</v>
      </c>
      <c r="B18934" s="0" t="s">
        <v>98</v>
      </c>
      <c r="E18934" s="6" t="n">
        <f aca="false">Sens!E18850+Sens!E18932</f>
        <v>38.534</v>
      </c>
      <c r="F18934" s="6" t="n">
        <f aca="false">Sens!F18850+Sens!F18932</f>
        <v>58.2195300816532</v>
      </c>
      <c r="G18934" s="6" t="n">
        <f aca="false">Sens!G18850+Sens!G18932</f>
        <v>86.3101995945864</v>
      </c>
      <c r="H18934" s="6" t="n">
        <f aca="false">Sens!H18850+Sens!H18932</f>
        <v>117.029788844054</v>
      </c>
      <c r="I18934" s="6" t="n">
        <f aca="false">Sens!I18850+Sens!I18932</f>
        <v>144.920729604208</v>
      </c>
      <c r="J18934" s="6" t="n">
        <f aca="false">Sens!J18850+Sens!J18932</f>
        <v>165.825866499624</v>
      </c>
      <c r="K18934" s="6" t="n">
        <f aca="false">Sens!K18850+Sens!K18932</f>
        <v>180.265860923864</v>
      </c>
    </row>
    <row r="18935" customFormat="false" ht="17.15" hidden="false" customHeight="false" outlineLevel="0" collapsed="false">
      <c r="A18935" s="1" t="s">
        <v>1103</v>
      </c>
      <c r="B18935" s="0" t="s">
        <v>98</v>
      </c>
      <c r="F18935" s="6" t="n">
        <f aca="false">Sens!F18877*sbc_r</f>
        <v>15.0825532375979</v>
      </c>
      <c r="G18935" s="6" t="n">
        <f aca="false">Sens!G18877*sbc_r</f>
        <v>18.4037101061705</v>
      </c>
      <c r="H18935" s="6" t="n">
        <f aca="false">Sens!H18877*sbc_r</f>
        <v>21.9806181521862</v>
      </c>
      <c r="I18935" s="6" t="n">
        <f aca="false">Sens!I18877*sbc_r</f>
        <v>25.033909769063</v>
      </c>
      <c r="J18935" s="6" t="n">
        <f aca="false">Sens!J18877*sbc_r</f>
        <v>27.4989065872435</v>
      </c>
      <c r="K18935" s="6" t="n">
        <f aca="false">Sens!K18877*sbc_r</f>
        <v>29.4790813502944</v>
      </c>
    </row>
    <row r="18936" customFormat="false" ht="17.15" hidden="false" customHeight="false" outlineLevel="0" collapsed="false">
      <c r="A18936" s="1" t="s">
        <v>1104</v>
      </c>
      <c r="B18936" s="0" t="s">
        <v>98</v>
      </c>
      <c r="F18936" s="6" t="n">
        <f aca="false">wc27-wc26q1</f>
        <v>-4.677</v>
      </c>
      <c r="G18936" s="6" t="n">
        <f aca="false">wc_f</f>
        <v>0</v>
      </c>
      <c r="H18936" s="6" t="n">
        <f aca="false">wc_f</f>
        <v>0</v>
      </c>
      <c r="I18936" s="6" t="n">
        <f aca="false">wc_f</f>
        <v>0</v>
      </c>
      <c r="J18936" s="6" t="n">
        <f aca="false">wc_f</f>
        <v>0</v>
      </c>
      <c r="K18936" s="6" t="n">
        <f aca="false">wc_f</f>
        <v>0</v>
      </c>
      <c r="L18936" s="12" t="s">
        <v>1105</v>
      </c>
    </row>
    <row r="18937" customFormat="false" ht="17.15" hidden="false" customHeight="false" outlineLevel="0" collapsed="false">
      <c r="A18937" s="0" t="s">
        <v>1106</v>
      </c>
      <c r="B18937" s="0" t="s">
        <v>98</v>
      </c>
      <c r="F18937" s="6" t="n">
        <f aca="false">Q!$I$35-Q!$I$26-Q!$I$38-Q!$I$39</f>
        <v>6.493</v>
      </c>
      <c r="L18937" s="1" t="s">
        <v>1107</v>
      </c>
    </row>
    <row r="18938" customFormat="false" ht="15" hidden="false" customHeight="false" outlineLevel="0" collapsed="false">
      <c r="A18938" s="1" t="s">
        <v>904</v>
      </c>
      <c r="B18938" s="0" t="s">
        <v>98</v>
      </c>
      <c r="E18938" s="6" t="n">
        <f aca="false">Q!M35</f>
        <v>182.935</v>
      </c>
      <c r="F18938" s="6" t="n">
        <f aca="false">Sens!F18931+Sens!F18934+Sens!F18935+Sens!F18936+Sens!F18937</f>
        <v>222.959321727387</v>
      </c>
      <c r="G18938" s="6" t="n">
        <f aca="false">Sens!G18931+Sens!G18934+Sens!G18935+Sens!G18936</f>
        <v>273.469820392874</v>
      </c>
      <c r="H18938" s="6" t="n">
        <f aca="false">Sens!H18931+Sens!H18934+Sens!H18935+Sens!H18936</f>
        <v>336.108003999844</v>
      </c>
      <c r="I18938" s="6" t="n">
        <f aca="false">Sens!I18931+Sens!I18934+Sens!I18935+Sens!I18936</f>
        <v>388.828425794641</v>
      </c>
      <c r="J18938" s="6" t="n">
        <f aca="false">Sens!J18931+Sens!J18934+Sens!J18935+Sens!J18936</f>
        <v>431.091831018594</v>
      </c>
      <c r="K18938" s="6" t="n">
        <f aca="false">Sens!K18931+Sens!K18934+Sens!K18935+Sens!K18936</f>
        <v>464.774160717006</v>
      </c>
    </row>
    <row r="18939" customFormat="false" ht="17.15" hidden="false" customHeight="false" outlineLevel="0" collapsed="false">
      <c r="A18939" s="0" t="s">
        <v>1108</v>
      </c>
      <c r="B18939" s="0" t="s">
        <v>98</v>
      </c>
      <c r="F18939" s="6" t="n">
        <f aca="false">Sens!F18847</f>
        <v>168.474328157808</v>
      </c>
      <c r="G18939" s="6" t="n">
        <f aca="false">Sens!G18847</f>
        <v>192.135956192916</v>
      </c>
      <c r="H18939" s="6" t="n">
        <f aca="false">Sens!H18847</f>
        <v>196.852223331804</v>
      </c>
      <c r="I18939" s="6" t="n">
        <f aca="false">Sens!I18847</f>
        <v>169.817785557824</v>
      </c>
      <c r="J18939" s="6" t="n">
        <f aca="false">Sens!J18847</f>
        <v>130.753954308066</v>
      </c>
      <c r="K18939" s="6" t="n">
        <f aca="false">Sens!K18847</f>
        <v>122.487398695039</v>
      </c>
    </row>
    <row r="18940" customFormat="false" ht="17.15" hidden="false" customHeight="false" outlineLevel="0" collapsed="false">
      <c r="A18940" s="1" t="s">
        <v>1109</v>
      </c>
      <c r="B18940" s="0" t="s">
        <v>98</v>
      </c>
      <c r="E18940" s="6" t="n">
        <f aca="false">Sens!E18855*cx_azo+Sens!E18862*cx_m365+Sens!E18863*cx_lic+(Sens!E18865+Sens!E18867)*cx_ind+Sens!E18870*cx_srch+(Sens!E18872+Sens!E18874)*cx_dev</f>
        <v>30.1846587067718</v>
      </c>
      <c r="F18940" s="6" t="n">
        <f aca="false">Sens!F18855*cx_azo+Sens!F18862*cx_m365+Sens!F18863*cx_lic+(Sens!F18865+Sens!F18867)*cx_ind+Sens!F18870*cx_srch+(Sens!F18872+Sens!F18874)*cx_dev</f>
        <v>35.676715178654</v>
      </c>
      <c r="G18940" s="6" t="n">
        <f aca="false">Sens!G18855*cx_azo+Sens!G18862*cx_m365+Sens!G18863*cx_lic+(Sens!G18865+Sens!G18867)*cx_ind+Sens!G18870*cx_srch+(Sens!G18872+Sens!G18874)*cx_dev</f>
        <v>41.5524122020723</v>
      </c>
      <c r="H18940" s="6" t="n">
        <f aca="false">Sens!H18855*cx_azo+Sens!H18862*cx_m365+Sens!H18863*cx_lic+(Sens!H18865+Sens!H18867)*cx_ind+Sens!H18870*cx_srch+(Sens!H18872+Sens!H18874)*cx_dev</f>
        <v>47.5132862954778</v>
      </c>
      <c r="I18940" s="6" t="n">
        <f aca="false">Sens!I18855*cx_azo+Sens!I18862*cx_m365+Sens!I18863*cx_lic+(Sens!I18865+Sens!I18867)*cx_ind+Sens!I18870*cx_srch+(Sens!I18872+Sens!I18874)*cx_dev</f>
        <v>53.1271181069975</v>
      </c>
      <c r="J18940" s="6" t="n">
        <f aca="false">Sens!J18855*cx_azo+Sens!J18862*cx_m365+Sens!J18863*cx_lic+(Sens!J18865+Sens!J18867)*cx_ind+Sens!J18870*cx_srch+(Sens!J18872+Sens!J18874)*cx_dev</f>
        <v>58.1607931707759</v>
      </c>
      <c r="K18940" s="6" t="n">
        <f aca="false">Sens!K18855*cx_azo+Sens!K18862*cx_m365+Sens!K18863*cx_lic+(Sens!K18865+Sens!K18867)*cx_ind+Sens!K18870*cx_srch+(Sens!K18872+Sens!K18874)*cx_dev</f>
        <v>62.5984753152476</v>
      </c>
    </row>
    <row r="18941" customFormat="false" ht="17.15" hidden="false" customHeight="false" outlineLevel="0" collapsed="false">
      <c r="A18941" s="0" t="s">
        <v>1110</v>
      </c>
      <c r="B18941" s="0" t="s">
        <v>98</v>
      </c>
      <c r="F18941" s="6" t="n">
        <f aca="false">Sens!F18845</f>
        <v>0.0489566635383412</v>
      </c>
      <c r="L18941" s="1" t="s">
        <v>1111</v>
      </c>
    </row>
    <row r="18942" customFormat="false" ht="17.15" hidden="false" customHeight="false" outlineLevel="0" collapsed="false">
      <c r="A18942" s="1" t="s">
        <v>1112</v>
      </c>
      <c r="B18942" s="0" t="s">
        <v>98</v>
      </c>
      <c r="E18942" s="6" t="n">
        <f aca="false">Q!M43</f>
        <v>145.3</v>
      </c>
      <c r="F18942" s="6" t="n">
        <f aca="false">Sens!F18939+Sens!F18940+Sens!F18941</f>
        <v>204.2</v>
      </c>
      <c r="G18942" s="6" t="n">
        <f aca="false">Sens!G18939+Sens!G18940</f>
        <v>233.688368394989</v>
      </c>
      <c r="H18942" s="6" t="n">
        <f aca="false">Sens!H18939+Sens!H18940</f>
        <v>244.365509627282</v>
      </c>
      <c r="I18942" s="6" t="n">
        <f aca="false">Sens!I18939+Sens!I18940</f>
        <v>222.944903664821</v>
      </c>
      <c r="J18942" s="6" t="n">
        <f aca="false">Sens!J18939+Sens!J18940</f>
        <v>188.914747478842</v>
      </c>
      <c r="K18942" s="6" t="n">
        <f aca="false">Sens!K18939+Sens!K18940</f>
        <v>185.085874010287</v>
      </c>
      <c r="L18942" s="1" t="s">
        <v>1113</v>
      </c>
    </row>
    <row r="18943" customFormat="false" ht="15" hidden="false" customHeight="false" outlineLevel="0" collapsed="false">
      <c r="A18943" s="1" t="s">
        <v>1114</v>
      </c>
      <c r="B18943" s="0" t="s">
        <v>98</v>
      </c>
      <c r="E18943" s="6" t="n">
        <f aca="false">fl_liab</f>
        <v>66.594</v>
      </c>
      <c r="F18943" s="6" t="n">
        <f aca="false">Sens!E18943-Sens!F18944</f>
        <v>62.46973</v>
      </c>
      <c r="G18943" s="6" t="n">
        <f aca="false">Sens!F18943-Sens!G18944</f>
        <v>57.98686785</v>
      </c>
      <c r="H18943" s="6" t="n">
        <f aca="false">Sens!G18943-Sens!H18944</f>
        <v>53.92827690325</v>
      </c>
      <c r="I18943" s="6" t="n">
        <f aca="false">Sens!H18943-Sens!I18944</f>
        <v>49.7850493638962</v>
      </c>
      <c r="J18943" s="6" t="n">
        <f aca="false">Sens!I18943-Sens!J18944</f>
        <v>45.4823765852716</v>
      </c>
      <c r="K18943" s="6" t="n">
        <f aca="false">Sens!J18943-Sens!K18944</f>
        <v>40.9860835316088</v>
      </c>
    </row>
    <row r="18944" customFormat="false" ht="15" hidden="false" customHeight="false" outlineLevel="0" collapsed="false">
      <c r="A18944" s="1" t="s">
        <v>1115</v>
      </c>
      <c r="B18944" s="0" t="s">
        <v>98</v>
      </c>
      <c r="F18944" s="6" t="n">
        <f aca="false">fl_pay_27-Sens!E18943*fl_rate</f>
        <v>4.12427</v>
      </c>
      <c r="G18944" s="6" t="n">
        <f aca="false">fl_pay_28-Sens!F18943*fl_rate</f>
        <v>4.48286215</v>
      </c>
      <c r="H18944" s="6" t="n">
        <f aca="false">fl_pay_29-Sens!G18943*fl_rate</f>
        <v>4.05859094675</v>
      </c>
      <c r="I18944" s="6" t="n">
        <f aca="false">fl_pay_30-Sens!H18943*fl_rate</f>
        <v>4.14322753935375</v>
      </c>
      <c r="J18944" s="6" t="n">
        <f aca="false">fl_pay_31-Sens!I18943*fl_rate</f>
        <v>4.30267277862467</v>
      </c>
      <c r="K18944" s="6" t="n">
        <f aca="false">fl_pay_32-Sens!J18943*fl_rate</f>
        <v>4.49629305366278</v>
      </c>
    </row>
    <row r="18945" customFormat="false" ht="17.15" hidden="false" customHeight="false" outlineLevel="0" collapsed="false">
      <c r="A18945" s="1" t="s">
        <v>1116</v>
      </c>
      <c r="B18945" s="0" t="s">
        <v>98</v>
      </c>
      <c r="E18945" s="6" t="n">
        <f aca="false">Q!M35-Q!M36-Q!M44</f>
        <v>63.886</v>
      </c>
      <c r="F18945" s="6" t="n">
        <f aca="false">Sens!F18938-Sens!F18942-Sens!F18944</f>
        <v>14.635051727387</v>
      </c>
      <c r="G18945" s="6" t="n">
        <f aca="false">Sens!G18938-Sens!G18942-Sens!G18944</f>
        <v>35.2985898478851</v>
      </c>
      <c r="H18945" s="6" t="n">
        <f aca="false">Sens!H18938-Sens!H18942-Sens!H18944</f>
        <v>87.6839034258118</v>
      </c>
      <c r="I18945" s="6" t="n">
        <f aca="false">Sens!I18938-Sens!I18942-Sens!I18944</f>
        <v>161.740294590466</v>
      </c>
      <c r="J18945" s="6" t="n">
        <f aca="false">Sens!J18938-Sens!J18942-Sens!J18944</f>
        <v>237.874410761127</v>
      </c>
      <c r="K18945" s="6" t="n">
        <f aca="false">Sens!K18938-Sens!K18942-Sens!K18944</f>
        <v>275.191993653056</v>
      </c>
      <c r="L18945" s="12" t="s">
        <v>1117</v>
      </c>
    </row>
    <row r="18946" customFormat="false" ht="15" hidden="false" customHeight="false" outlineLevel="0" collapsed="false">
      <c r="A18946" s="1" t="s">
        <v>1118</v>
      </c>
      <c r="B18946" s="0" t="s">
        <v>75</v>
      </c>
      <c r="F18946" s="8" t="n">
        <f aca="false">dps_27</f>
        <v>3.85</v>
      </c>
      <c r="G18946" s="8" t="n">
        <f aca="false">Sens!F18946*(1+dps_g)</f>
        <v>4.158</v>
      </c>
      <c r="H18946" s="8" t="n">
        <f aca="false">Sens!G18946*(1+dps_g)</f>
        <v>4.49064</v>
      </c>
      <c r="I18946" s="8" t="n">
        <f aca="false">Sens!H18946*(1+dps_g)</f>
        <v>4.8498912</v>
      </c>
      <c r="J18946" s="8" t="n">
        <f aca="false">Sens!I18946*(1+dps_g)</f>
        <v>5.237882496</v>
      </c>
      <c r="K18946" s="8" t="n">
        <f aca="false">Sens!J18946*(1+dps_g)</f>
        <v>5.65691309568</v>
      </c>
    </row>
    <row r="18947" customFormat="false" ht="17.15" hidden="false" customHeight="false" outlineLevel="0" collapsed="false">
      <c r="A18947" s="1" t="s">
        <v>1119</v>
      </c>
      <c r="B18947" s="0" t="s">
        <v>98</v>
      </c>
      <c r="E18947" s="6" t="n">
        <f aca="false">Q!M41</f>
        <v>26.445</v>
      </c>
      <c r="F18947" s="6" t="n">
        <f aca="false">Sens!F18946*Sens!E18956</f>
        <v>28.59395</v>
      </c>
      <c r="G18947" s="6" t="n">
        <f aca="false">Sens!G18946*Sens!F18956</f>
        <v>31.0411938851599</v>
      </c>
      <c r="H18947" s="6" t="n">
        <f aca="false">Sens!H18946*Sens!G18956</f>
        <v>33.6944897034273</v>
      </c>
      <c r="I18947" s="6" t="n">
        <f aca="false">Sens!I18946*Sens!H18956</f>
        <v>36.4404871567741</v>
      </c>
      <c r="J18947" s="6" t="n">
        <f aca="false">Sens!J18946*Sens!I18956</f>
        <v>39.4236240147087</v>
      </c>
      <c r="K18947" s="6" t="n">
        <f aca="false">Sens!K18946*Sens!J18956</f>
        <v>42.6642681982636</v>
      </c>
      <c r="L18947" s="1" t="s">
        <v>1120</v>
      </c>
    </row>
    <row r="18948" customFormat="false" ht="15" hidden="false" customHeight="false" outlineLevel="0" collapsed="false">
      <c r="A18948" s="1" t="s">
        <v>1121</v>
      </c>
      <c r="B18948" s="0" t="s">
        <v>98</v>
      </c>
      <c r="E18948" s="6" t="n">
        <f aca="false">Sens!E18945-Sens!E18947</f>
        <v>37.441</v>
      </c>
      <c r="F18948" s="6" t="n">
        <f aca="false">Sens!F18945-Sens!F18947</f>
        <v>-13.958898272613</v>
      </c>
      <c r="G18948" s="6" t="n">
        <f aca="false">Sens!G18945-Sens!G18947</f>
        <v>4.25739596272524</v>
      </c>
      <c r="H18948" s="6" t="n">
        <f aca="false">Sens!H18945-Sens!H18947</f>
        <v>53.9894137223845</v>
      </c>
      <c r="I18948" s="6" t="n">
        <f aca="false">Sens!I18945-Sens!I18947</f>
        <v>125.299807433692</v>
      </c>
      <c r="J18948" s="6" t="n">
        <f aca="false">Sens!J18945-Sens!J18947</f>
        <v>198.450786746419</v>
      </c>
      <c r="K18948" s="6" t="n">
        <f aca="false">Sens!K18945-Sens!K18947</f>
        <v>232.527725454793</v>
      </c>
    </row>
    <row r="18949" customFormat="false" ht="15" hidden="false" customHeight="false" outlineLevel="0" collapsed="false">
      <c r="A18949" s="1" t="s">
        <v>1122</v>
      </c>
      <c r="B18949" s="0" t="s">
        <v>98</v>
      </c>
      <c r="F18949" s="6" t="n">
        <f aca="false">debt_mat_27</f>
        <v>9.25</v>
      </c>
      <c r="G18949" s="6" t="n">
        <f aca="false">debt_mat_28</f>
        <v>0</v>
      </c>
      <c r="H18949" s="6" t="n">
        <f aca="false">debt_mat_29</f>
        <v>2.001</v>
      </c>
      <c r="I18949" s="6" t="n">
        <f aca="false">debt_mat_30</f>
        <v>0</v>
      </c>
      <c r="J18949" s="6" t="n">
        <f aca="false">debt_mat_31</f>
        <v>0.5</v>
      </c>
      <c r="K18949" s="6" t="n">
        <f aca="false">debt_mat_32</f>
        <v>0</v>
      </c>
    </row>
    <row r="18950" customFormat="false" ht="15" hidden="false" customHeight="false" outlineLevel="0" collapsed="false">
      <c r="A18950" s="1" t="s">
        <v>1123</v>
      </c>
      <c r="B18950" s="0" t="s">
        <v>98</v>
      </c>
      <c r="E18950" s="6" t="n">
        <f aca="false">Q!M40</f>
        <v>22.271</v>
      </c>
      <c r="F18950" s="6" t="n">
        <f aca="false">MAX(0,MIN(bb_target,Sens!E18952+Sens!F18948-Sens!F18949-min_cash))</f>
        <v>3.63410172738698</v>
      </c>
      <c r="G18950" s="6" t="n">
        <f aca="false">MAX(0,MIN(bb_target,Sens!F18952+Sens!G18948-Sens!G18949-min_cash))</f>
        <v>4.25739596272524</v>
      </c>
      <c r="H18950" s="6" t="n">
        <f aca="false">MAX(0,MIN(bb_target,Sens!G18952+Sens!H18948-Sens!H18949-min_cash))</f>
        <v>22.271</v>
      </c>
      <c r="I18950" s="6" t="n">
        <f aca="false">MAX(0,MIN(bb_target,Sens!H18952+Sens!I18948-Sens!I18949-min_cash))</f>
        <v>22.271</v>
      </c>
      <c r="J18950" s="6" t="n">
        <f aca="false">MAX(0,MIN(bb_target,Sens!I18952+Sens!J18948-Sens!J18949-min_cash))</f>
        <v>22.271</v>
      </c>
      <c r="K18950" s="6" t="n">
        <f aca="false">MAX(0,MIN(bb_target,Sens!J18952+Sens!K18948-Sens!K18949-min_cash))</f>
        <v>22.271</v>
      </c>
    </row>
    <row r="18951" customFormat="false" ht="15" hidden="false" customHeight="false" outlineLevel="0" collapsed="false">
      <c r="A18951" s="1" t="s">
        <v>1124</v>
      </c>
      <c r="B18951" s="0" t="s">
        <v>98</v>
      </c>
      <c r="F18951" s="6" t="n">
        <f aca="false">MAX(0,min_cash-(Sens!E18952+Sens!F18948-Sens!F18949-Sens!F18950))</f>
        <v>0</v>
      </c>
      <c r="G18951" s="6" t="n">
        <f aca="false">MAX(0,min_cash-(Sens!F18952+Sens!G18948-Sens!G18949-Sens!G18950))</f>
        <v>0</v>
      </c>
      <c r="H18951" s="6" t="n">
        <f aca="false">MAX(0,min_cash-(Sens!G18952+Sens!H18948-Sens!H18949-Sens!H18950))</f>
        <v>0</v>
      </c>
      <c r="I18951" s="6" t="n">
        <f aca="false">MAX(0,min_cash-(Sens!H18952+Sens!I18948-Sens!I18949-Sens!I18950))</f>
        <v>0</v>
      </c>
      <c r="J18951" s="6" t="n">
        <f aca="false">MAX(0,min_cash-(Sens!I18952+Sens!J18948-Sens!J18949-Sens!J18950))</f>
        <v>0</v>
      </c>
      <c r="K18951" s="6" t="n">
        <f aca="false">MAX(0,min_cash-(Sens!J18952+Sens!K18948-Sens!K18949-Sens!K18950))</f>
        <v>0</v>
      </c>
    </row>
    <row r="18952" customFormat="false" ht="15" hidden="false" customHeight="false" outlineLevel="0" collapsed="false">
      <c r="A18952" s="1" t="s">
        <v>1125</v>
      </c>
      <c r="B18952" s="0" t="s">
        <v>98</v>
      </c>
      <c r="E18952" s="6" t="n">
        <f aca="false">cash_open</f>
        <v>76.843</v>
      </c>
      <c r="F18952" s="6" t="n">
        <f aca="false">Sens!E18952+Sens!F18948-Sens!F18949-Sens!F18950+Sens!F18951</f>
        <v>50</v>
      </c>
      <c r="G18952" s="6" t="n">
        <f aca="false">Sens!F18952+Sens!G18948-Sens!G18949-Sens!G18950+Sens!G18951</f>
        <v>50</v>
      </c>
      <c r="H18952" s="6" t="n">
        <f aca="false">Sens!G18952+Sens!H18948-Sens!H18949-Sens!H18950+Sens!H18951</f>
        <v>79.7174137223845</v>
      </c>
      <c r="I18952" s="6" t="n">
        <f aca="false">Sens!H18952+Sens!I18948-Sens!I18949-Sens!I18950+Sens!I18951</f>
        <v>182.746221156076</v>
      </c>
      <c r="J18952" s="6" t="n">
        <f aca="false">Sens!I18952+Sens!J18948-Sens!J18949-Sens!J18950+Sens!J18951</f>
        <v>358.426007902495</v>
      </c>
      <c r="K18952" s="6" t="n">
        <f aca="false">Sens!J18952+Sens!K18948-Sens!K18949-Sens!K18950+Sens!K18951</f>
        <v>568.682733357288</v>
      </c>
    </row>
    <row r="18953" customFormat="false" ht="15" hidden="false" customHeight="false" outlineLevel="0" collapsed="false">
      <c r="A18953" s="1" t="s">
        <v>1126</v>
      </c>
      <c r="B18953" s="0" t="s">
        <v>98</v>
      </c>
      <c r="E18953" s="6" t="n">
        <f aca="false">debt_face</f>
        <v>46.136</v>
      </c>
      <c r="F18953" s="6" t="n">
        <f aca="false">Sens!E18953-Sens!F18949+Sens!F18951</f>
        <v>36.886</v>
      </c>
      <c r="G18953" s="6" t="n">
        <f aca="false">Sens!F18953-Sens!G18949+Sens!G18951</f>
        <v>36.886</v>
      </c>
      <c r="H18953" s="6" t="n">
        <f aca="false">Sens!G18953-Sens!H18949+Sens!H18951</f>
        <v>34.885</v>
      </c>
      <c r="I18953" s="6" t="n">
        <f aca="false">Sens!H18953-Sens!I18949+Sens!I18951</f>
        <v>34.885</v>
      </c>
      <c r="J18953" s="6" t="n">
        <f aca="false">Sens!I18953-Sens!J18949+Sens!J18951</f>
        <v>34.385</v>
      </c>
      <c r="K18953" s="6" t="n">
        <f aca="false">Sens!J18953-Sens!K18949+Sens!K18951</f>
        <v>34.385</v>
      </c>
    </row>
    <row r="18954" customFormat="false" ht="15" hidden="false" customHeight="false" outlineLevel="0" collapsed="false">
      <c r="A18954" s="1" t="s">
        <v>1127</v>
      </c>
      <c r="B18954" s="0" t="s">
        <v>98</v>
      </c>
      <c r="E18954" s="6" t="n">
        <f aca="false">Sens!E18952-Sens!E18953</f>
        <v>30.707</v>
      </c>
      <c r="F18954" s="6" t="n">
        <f aca="false">Sens!F18952-Sens!F18953</f>
        <v>13.114</v>
      </c>
      <c r="G18954" s="6" t="n">
        <f aca="false">Sens!G18952-Sens!G18953</f>
        <v>13.114</v>
      </c>
      <c r="H18954" s="6" t="n">
        <f aca="false">Sens!H18952-Sens!H18953</f>
        <v>44.8324137223845</v>
      </c>
      <c r="I18954" s="6" t="n">
        <f aca="false">Sens!I18952-Sens!I18953</f>
        <v>147.861221156076</v>
      </c>
      <c r="J18954" s="6" t="n">
        <f aca="false">Sens!J18952-Sens!J18953</f>
        <v>324.041007902495</v>
      </c>
      <c r="K18954" s="6" t="n">
        <f aca="false">Sens!K18952-Sens!K18953</f>
        <v>534.297733357288</v>
      </c>
    </row>
    <row r="18955" customFormat="false" ht="15" hidden="false" customHeight="false" outlineLevel="0" collapsed="false">
      <c r="A18955" s="1" t="s">
        <v>1128</v>
      </c>
      <c r="B18955" s="0" t="s">
        <v>75</v>
      </c>
      <c r="F18955" s="30" t="n">
        <f aca="false">px*(1+bb_g)^(Sens!F18813-base_fy-mid_yr)</f>
        <v>551.84177959629</v>
      </c>
      <c r="G18955" s="30" t="n">
        <f aca="false">px*(1+bb_g)^(Sens!G18813-base_fy-mid_yr)</f>
        <v>595.989121963993</v>
      </c>
      <c r="H18955" s="30" t="n">
        <f aca="false">px*(1+bb_g)^(Sens!H18813-base_fy-mid_yr)</f>
        <v>643.668251721112</v>
      </c>
      <c r="I18955" s="30" t="n">
        <f aca="false">px*(1+bb_g)^(Sens!I18813-base_fy-mid_yr)</f>
        <v>695.161711858801</v>
      </c>
      <c r="J18955" s="30" t="n">
        <f aca="false">px*(1+bb_g)^(Sens!J18813-base_fy-mid_yr)</f>
        <v>750.774648807506</v>
      </c>
      <c r="K18955" s="30" t="n">
        <f aca="false">px*(1+bb_g)^(Sens!K18813-base_fy-mid_yr)</f>
        <v>810.836620712106</v>
      </c>
    </row>
    <row r="18956" customFormat="false" ht="15" hidden="false" customHeight="false" outlineLevel="0" collapsed="false">
      <c r="A18956" s="1" t="s">
        <v>1129</v>
      </c>
      <c r="B18956" s="1" t="s">
        <v>81</v>
      </c>
      <c r="E18956" s="15" t="n">
        <f aca="false">sh_out26</f>
        <v>7.427</v>
      </c>
      <c r="F18956" s="15" t="n">
        <f aca="false">Sens!E18956+sh_iss-Sens!F18950/Sens!F18955</f>
        <v>7.46541459479555</v>
      </c>
      <c r="G18956" s="15" t="n">
        <f aca="false">Sens!F18956+sh_iss-Sens!G18950/Sens!G18955</f>
        <v>7.50327118259921</v>
      </c>
      <c r="H18956" s="15" t="n">
        <f aca="false">Sens!G18956+sh_iss-Sens!H18950/Sens!H18955</f>
        <v>7.51367106065681</v>
      </c>
      <c r="I18956" s="15" t="n">
        <f aca="false">Sens!H18956+sh_iss-Sens!I18950/Sens!I18955</f>
        <v>7.52663391071015</v>
      </c>
      <c r="J18956" s="15" t="n">
        <f aca="false">Sens!I18956+sh_iss-Sens!J18950/Sens!J18955</f>
        <v>7.54196988298175</v>
      </c>
      <c r="K18956" s="15" t="n">
        <f aca="false">Sens!J18956+sh_iss-Sens!K18950/Sens!K18955</f>
        <v>7.55950319064065</v>
      </c>
    </row>
    <row r="18957" customFormat="false" ht="15" hidden="false" customHeight="false" outlineLevel="0" collapsed="false">
      <c r="A18957" s="1" t="s">
        <v>1130</v>
      </c>
      <c r="B18957" s="1" t="s">
        <v>81</v>
      </c>
      <c r="E18957" s="15" t="n">
        <f aca="false">sh_dil26</f>
        <v>7.453</v>
      </c>
      <c r="F18957" s="15" t="n">
        <f aca="false">(Sens!E18956+Sens!F18956)/2+dil_gap</f>
        <v>7.47020729739777</v>
      </c>
      <c r="G18957" s="15" t="n">
        <f aca="false">(Sens!F18956+Sens!G18956)/2+dil_gap</f>
        <v>7.50834288869738</v>
      </c>
      <c r="H18957" s="15" t="n">
        <f aca="false">(Sens!G18956+Sens!H18956)/2+dil_gap</f>
        <v>7.53247112162801</v>
      </c>
      <c r="I18957" s="15" t="n">
        <f aca="false">(Sens!H18956+Sens!I18956)/2+dil_gap</f>
        <v>7.54415248568348</v>
      </c>
      <c r="J18957" s="15" t="n">
        <f aca="false">(Sens!I18956+Sens!J18956)/2+dil_gap</f>
        <v>7.55830189684595</v>
      </c>
      <c r="K18957" s="15" t="n">
        <f aca="false">(Sens!J18956+Sens!K18956)/2+dil_gap</f>
        <v>7.5747365368112</v>
      </c>
    </row>
    <row r="18958" customFormat="false" ht="17.15" hidden="false" customHeight="false" outlineLevel="0" collapsed="false">
      <c r="A18958" s="1" t="s">
        <v>1131</v>
      </c>
      <c r="B18958" s="0" t="s">
        <v>98</v>
      </c>
      <c r="C18958" s="6" t="n">
        <f aca="false">SUM(Sens!F18948:J18948)</f>
        <v>368.038505592607</v>
      </c>
    </row>
    <row r="18959" customFormat="false" ht="15" hidden="false" customHeight="false" outlineLevel="0" collapsed="false">
      <c r="A18959" s="26" t="s">
        <v>1096</v>
      </c>
      <c r="B18959" s="31" t="s">
        <v>98</v>
      </c>
      <c r="C18959" s="27" t="n">
        <f aca="false">Sens!$C$18958-(Sens!F18948+Sens!G18948+Sens!H18948+Sens!I18948+Sens!J18948)</f>
        <v>0</v>
      </c>
      <c r="D18959" s="31"/>
      <c r="E18959" s="31"/>
      <c r="F18959" s="31"/>
      <c r="G18959" s="31"/>
      <c r="H18959" s="31"/>
      <c r="I18959" s="31"/>
      <c r="J18959" s="31"/>
      <c r="K18959" s="31"/>
    </row>
    <row r="18960" customFormat="false" ht="17.15" hidden="false" customHeight="false" outlineLevel="0" collapsed="false">
      <c r="A18960" s="1" t="s">
        <v>1090</v>
      </c>
      <c r="B18960" s="1" t="s">
        <v>1132</v>
      </c>
      <c r="C18960" s="33" t="str">
        <f aca="false">IF(SUM(Sens!F18951:J18951)&gt;0.05,"需要舉債 "&amp;TEXT(SUM(Sens!F18951:J18951),"0.0")&amp;" 十億美元","不需舉債")&amp;"；"&amp;IF(SUM(Sens!F18950:J18950)&lt;COUNT(Sens!F18950:J18950)*bb_target-0.05,"回購較每年 "&amp;TEXT(bb_target,"0.0")&amp;" 的目標少 "&amp;TEXT(COUNT(Sens!F18950:J18950)*bb_target-SUM(Sens!F18950:J18950),"0.0")&amp;" 十億美元（"&amp;TEXT(COUNTIF(Sens!F18950:J18950,"&lt;"&amp;(bb_target-0.05)),"0")&amp;" 年減少）","回購不減")</f>
        <v>不需舉債；回購較每年 22.3 的目標少 36.7 十億美元（2 年減少）</v>
      </c>
    </row>
    <row r="18961" customFormat="false" ht="17.15" hidden="false" customHeight="false" outlineLevel="0" collapsed="false">
      <c r="A18961" s="3" t="s">
        <v>1948</v>
      </c>
    </row>
    <row r="18962" customFormat="false" ht="15" hidden="false" customHeight="false" outlineLevel="0" collapsed="false">
      <c r="A18962" s="4" t="s">
        <v>43</v>
      </c>
      <c r="B18962" s="4" t="s">
        <v>65</v>
      </c>
      <c r="C18962" s="23" t="s">
        <v>938</v>
      </c>
      <c r="D18962" s="23" t="s">
        <v>939</v>
      </c>
      <c r="E18962" s="23" t="s">
        <v>940</v>
      </c>
      <c r="F18962" s="23" t="s">
        <v>941</v>
      </c>
      <c r="G18962" s="23" t="s">
        <v>942</v>
      </c>
      <c r="H18962" s="23" t="s">
        <v>943</v>
      </c>
      <c r="I18962" s="23" t="s">
        <v>944</v>
      </c>
      <c r="J18962" s="23" t="s">
        <v>945</v>
      </c>
      <c r="K18962" s="23" t="s">
        <v>946</v>
      </c>
      <c r="L18962" s="4" t="s">
        <v>47</v>
      </c>
    </row>
    <row r="18963" customFormat="false" ht="17.15" hidden="false" customHeight="false" outlineLevel="0" collapsed="false">
      <c r="A18963" s="1" t="s">
        <v>1212</v>
      </c>
      <c r="B18963" s="1" t="s">
        <v>279</v>
      </c>
      <c r="F18963" s="8" t="n">
        <f aca="false">(1-v_off)*mid_yr</f>
        <v>0.373972602739726</v>
      </c>
      <c r="G18963" s="8" t="n">
        <f aca="false">Sens!G18813-base_fy-mid_yr-v_off</f>
        <v>1.24794520547945</v>
      </c>
      <c r="H18963" s="8" t="n">
        <f aca="false">Sens!H18813-base_fy-mid_yr-v_off</f>
        <v>2.24794520547945</v>
      </c>
      <c r="I18963" s="8" t="n">
        <f aca="false">Sens!I18813-base_fy-mid_yr-v_off</f>
        <v>3.24794520547945</v>
      </c>
      <c r="J18963" s="8" t="n">
        <f aca="false">Sens!J18813-base_fy-mid_yr-v_off</f>
        <v>4.24794520547945</v>
      </c>
      <c r="K18963" s="8" t="n">
        <f aca="false">Sens!K18813-base_fy-mid_yr-v_off</f>
        <v>5.24794520547945</v>
      </c>
      <c r="L18963" s="12" t="s">
        <v>1213</v>
      </c>
    </row>
    <row r="18964" customFormat="false" ht="15" hidden="false" customHeight="false" outlineLevel="0" collapsed="false">
      <c r="A18964" s="1" t="s">
        <v>1214</v>
      </c>
      <c r="B18964" s="1" t="s">
        <v>279</v>
      </c>
      <c r="F18964" s="8" t="n">
        <f aca="false">Sens!F18813-base_fy-v_off</f>
        <v>0.747945205479452</v>
      </c>
      <c r="G18964" s="8" t="n">
        <f aca="false">Sens!G18813-base_fy-v_off</f>
        <v>1.74794520547945</v>
      </c>
      <c r="H18964" s="8" t="n">
        <f aca="false">Sens!H18813-base_fy-v_off</f>
        <v>2.74794520547945</v>
      </c>
      <c r="I18964" s="8" t="n">
        <f aca="false">Sens!I18813-base_fy-v_off</f>
        <v>3.74794520547945</v>
      </c>
      <c r="J18964" s="8" t="n">
        <f aca="false">Sens!J18813-base_fy-v_off</f>
        <v>4.74794520547945</v>
      </c>
      <c r="K18964" s="8" t="n">
        <f aca="false">Sens!K18813-base_fy-v_off</f>
        <v>5.74794520547945</v>
      </c>
    </row>
    <row r="18965" customFormat="false" ht="15" hidden="false" customHeight="false" outlineLevel="0" collapsed="false">
      <c r="A18965" s="1" t="s">
        <v>1215</v>
      </c>
      <c r="B18965" s="0" t="s">
        <v>229</v>
      </c>
      <c r="F18965" s="15" t="n">
        <f aca="false">1/(1+wacc)^Sens!F18963</f>
        <v>0.964022703286649</v>
      </c>
      <c r="G18965" s="15" t="n">
        <f aca="false">1/(1+wacc)^Sens!G18963</f>
        <v>0.884910302296739</v>
      </c>
      <c r="H18965" s="15" t="n">
        <f aca="false">1/(1+wacc)^Sens!H18963</f>
        <v>0.802322009770358</v>
      </c>
      <c r="I18965" s="15" t="n">
        <f aca="false">1/(1+wacc)^Sens!I18963</f>
        <v>0.727441646561469</v>
      </c>
      <c r="J18965" s="15" t="n">
        <f aca="false">1/(1+wacc)^Sens!J18963</f>
        <v>0.659549834988973</v>
      </c>
      <c r="K18965" s="15" t="n">
        <f aca="false">1/(1+wacc)^Sens!K18963</f>
        <v>0.597994336576966</v>
      </c>
    </row>
    <row r="18966" customFormat="false" ht="17.15" hidden="false" customHeight="false" outlineLevel="0" collapsed="false">
      <c r="A18966" s="1" t="s">
        <v>1216</v>
      </c>
      <c r="B18966" s="0" t="s">
        <v>98</v>
      </c>
      <c r="F18966" s="6" t="n">
        <f aca="false">Q!$I$35-Q!$I$39-Q!$I$43</f>
        <v>9.666</v>
      </c>
      <c r="L18966" s="12" t="s">
        <v>1217</v>
      </c>
    </row>
    <row r="18967" customFormat="false" ht="17.15" hidden="false" customHeight="false" outlineLevel="0" collapsed="false">
      <c r="A18967" s="1" t="s">
        <v>1218</v>
      </c>
      <c r="B18967" s="0" t="s">
        <v>98</v>
      </c>
      <c r="F18967" s="6" t="n">
        <f aca="false">Sens!F18938-Sens!F18935-Sens!F18942+Sens!F18920*(1-tax_f)*(1-v_off)-Sens!F18966</f>
        <v>-0.679219473859067</v>
      </c>
      <c r="G18967" s="6" t="n">
        <f aca="false">Sens!G18938-Sens!G18935-Sens!G18942+Sens!G18920*(1-tax_f)</f>
        <v>39.5395014798738</v>
      </c>
      <c r="H18967" s="6" t="n">
        <f aca="false">Sens!H18938-Sens!H18935-Sens!H18942+Sens!H18920*(1-tax_f)</f>
        <v>100.241559331863</v>
      </c>
      <c r="I18967" s="6" t="n">
        <f aca="false">Sens!I18938-Sens!I18935-Sens!I18942+Sens!I18920*(1-tax_f)</f>
        <v>182.809936671469</v>
      </c>
      <c r="J18967" s="6" t="n">
        <f aca="false">Sens!J18938-Sens!J18935-Sens!J18942+Sens!J18920*(1-tax_f)</f>
        <v>264.791235763145</v>
      </c>
      <c r="K18967" s="6" t="n">
        <f aca="false">Sens!K18938-Sens!K18935-Sens!K18942+Sens!K18920*(1-tax_f)</f>
        <v>304.683162249378</v>
      </c>
      <c r="L18967" s="1" t="s">
        <v>1219</v>
      </c>
    </row>
    <row r="18968" customFormat="false" ht="15" hidden="false" customHeight="false" outlineLevel="0" collapsed="false">
      <c r="A18968" s="1" t="s">
        <v>1220</v>
      </c>
      <c r="B18968" s="0" t="s">
        <v>98</v>
      </c>
      <c r="F18968" s="6" t="n">
        <f aca="false">Sens!F18967*Sens!F18965</f>
        <v>-0.654782993314554</v>
      </c>
      <c r="G18968" s="6" t="n">
        <f aca="false">Sens!G18967*Sens!G18965</f>
        <v>34.9889122072175</v>
      </c>
      <c r="H18968" s="6" t="n">
        <f aca="false">Sens!H18967*Sens!H18965</f>
        <v>80.4260093456546</v>
      </c>
      <c r="I18968" s="6" t="n">
        <f aca="false">Sens!I18967*Sens!I18965</f>
        <v>132.983561340091</v>
      </c>
      <c r="J18968" s="6" t="n">
        <f aca="false">Sens!J18967*Sens!J18965</f>
        <v>174.643015854109</v>
      </c>
      <c r="K18968" s="6" t="n">
        <f aca="false">Sens!K18967*Sens!K18965</f>
        <v>182.198805475489</v>
      </c>
    </row>
    <row r="18969" customFormat="false" ht="17.15" hidden="false" customHeight="false" outlineLevel="0" collapsed="false">
      <c r="A18969" s="1" t="s">
        <v>1221</v>
      </c>
      <c r="B18969" s="0" t="s">
        <v>98</v>
      </c>
      <c r="C18969" s="6" t="n">
        <f aca="false">SUM(Sens!F18968:K18968)</f>
        <v>604.585521229246</v>
      </c>
    </row>
    <row r="18970" customFormat="false" ht="17.15" hidden="false" customHeight="false" outlineLevel="0" collapsed="false">
      <c r="A18970" s="1" t="s">
        <v>1222</v>
      </c>
      <c r="B18970" s="0" t="s">
        <v>98</v>
      </c>
      <c r="C18970" s="6" t="n">
        <f aca="false">Sens!K18906*(1+g_tv)*(1-tax_f)</f>
        <v>319.777070595875</v>
      </c>
    </row>
    <row r="18971" customFormat="false" ht="17.15" hidden="false" customHeight="false" outlineLevel="0" collapsed="false">
      <c r="A18971" s="1" t="s">
        <v>1223</v>
      </c>
      <c r="B18971" s="0" t="s">
        <v>98</v>
      </c>
      <c r="C18971" s="6" t="n">
        <f aca="false">Sens!$C$18970*(1-g_tv/(wacc+ronic_prem))</f>
        <v>226.580744296839</v>
      </c>
    </row>
    <row r="18972" customFormat="false" ht="17.15" hidden="false" customHeight="false" outlineLevel="0" collapsed="false">
      <c r="A18972" s="1" t="s">
        <v>1224</v>
      </c>
      <c r="B18972" s="0" t="s">
        <v>98</v>
      </c>
      <c r="C18972" s="6" t="n">
        <f aca="false">Sens!$C$18971/(wacc-g_tv)</f>
        <v>3106.54420996786</v>
      </c>
    </row>
    <row r="18973" customFormat="false" ht="15" hidden="false" customHeight="false" outlineLevel="0" collapsed="false">
      <c r="A18973" s="1" t="s">
        <v>1225</v>
      </c>
      <c r="B18973" s="0" t="s">
        <v>98</v>
      </c>
      <c r="C18973" s="6" t="n">
        <f aca="false">Sens!$C$18972/(1+wacc)^Sens!K18964</f>
        <v>1768.88393192485</v>
      </c>
    </row>
    <row r="18974" customFormat="false" ht="17.15" hidden="false" customHeight="false" outlineLevel="0" collapsed="false">
      <c r="A18974" s="0" t="s">
        <v>1226</v>
      </c>
      <c r="B18974" s="0" t="s">
        <v>98</v>
      </c>
      <c r="C18974" s="6" t="n">
        <f aca="false">Sens!$C$18969+Sens!$C$18973</f>
        <v>2373.46945315409</v>
      </c>
    </row>
    <row r="18975" customFormat="false" ht="15" hidden="false" customHeight="false" outlineLevel="0" collapsed="false">
      <c r="A18975" s="1" t="s">
        <v>1141</v>
      </c>
      <c r="B18975" s="0" t="s">
        <v>168</v>
      </c>
      <c r="C18975" s="7" t="n">
        <f aca="false">Sens!$C$18973/Sens!$C$18974</f>
        <v>0.745273519140592</v>
      </c>
    </row>
    <row r="18976" customFormat="false" ht="17.15" hidden="false" customHeight="false" outlineLevel="0" collapsed="false">
      <c r="A18976" s="1" t="s">
        <v>1227</v>
      </c>
      <c r="B18976" s="0" t="s">
        <v>98</v>
      </c>
      <c r="C18976" s="6" t="n">
        <f aca="false">Sens!$C$18974+cash_val-debt_val-fl_val+oai_v</f>
        <v>2489.32045315409</v>
      </c>
    </row>
    <row r="18977" customFormat="false" ht="17.15" hidden="false" customHeight="false" outlineLevel="0" collapsed="false">
      <c r="A18977" s="0" t="s">
        <v>1149</v>
      </c>
      <c r="B18977" s="0" t="s">
        <v>75</v>
      </c>
      <c r="C18977" s="5" t="n">
        <f aca="false">Sens!$C$18976/shd_val</f>
        <v>334.316472354834</v>
      </c>
    </row>
    <row r="18978" customFormat="false" ht="15" hidden="false" customHeight="false" outlineLevel="0" collapsed="false">
      <c r="A18978" s="1" t="s">
        <v>1228</v>
      </c>
      <c r="B18978" s="0" t="s">
        <v>75</v>
      </c>
      <c r="C18978" s="8" t="n">
        <f aca="false">div_rem27+Sens!G18946*roll_div_q/q_per_yr</f>
        <v>3.9795</v>
      </c>
    </row>
    <row r="18979" customFormat="false" ht="17.15" hidden="false" customHeight="false" outlineLevel="0" collapsed="false">
      <c r="A18979" s="0" t="s">
        <v>1229</v>
      </c>
      <c r="B18979" s="0" t="s">
        <v>75</v>
      </c>
      <c r="C18979" s="5" t="n">
        <f aca="false">Sens!$C$18977*(1+wacc)^t_roll-Sens!$C$18978</f>
        <v>367.631917473391</v>
      </c>
    </row>
    <row r="18980" customFormat="false" ht="17.15" hidden="false" customHeight="false" outlineLevel="0" collapsed="false">
      <c r="A18980" s="1" t="s">
        <v>1230</v>
      </c>
      <c r="B18980" s="0" t="s">
        <v>168</v>
      </c>
      <c r="F18980" s="7" t="n">
        <f aca="false">Sens!F18932/(Sens!F18877-Sens!F18832)</f>
        <v>0.0685685245063251</v>
      </c>
      <c r="G18980" s="7" t="n">
        <f aca="false">Sens!G18932/(Sens!G18877-Sens!G18832)</f>
        <v>0.0653671718642455</v>
      </c>
      <c r="H18980" s="7" t="n">
        <f aca="false">Sens!H18932/(Sens!H18877-Sens!H18832)</f>
        <v>0.0636688400813628</v>
      </c>
      <c r="I18980" s="7" t="n">
        <f aca="false">Sens!I18932/(Sens!I18877-Sens!I18832)</f>
        <v>0.0633604222682685</v>
      </c>
      <c r="J18980" s="7" t="n">
        <f aca="false">Sens!J18932/(Sens!J18877-Sens!J18832)</f>
        <v>0.0640865968705113</v>
      </c>
      <c r="K18980" s="7" t="n">
        <f aca="false">Sens!K18932/(Sens!K18877-Sens!K18832)</f>
        <v>0.0653925761180665</v>
      </c>
    </row>
    <row r="18981" customFormat="false" ht="17.15" hidden="false" customHeight="false" outlineLevel="0" collapsed="false">
      <c r="A18981" s="0" t="s">
        <v>1231</v>
      </c>
      <c r="B18981" s="0" t="s">
        <v>98</v>
      </c>
      <c r="F18981" s="6" t="n">
        <f aca="false">Sens!F18862*(al_m365+Sens!F18980+sbc_r)</f>
        <v>84.523281657114</v>
      </c>
      <c r="G18981" s="6" t="n">
        <f aca="false">Sens!G18862*(al_m365+Sens!G18980+sbc_r)</f>
        <v>98.9514475327116</v>
      </c>
      <c r="H18981" s="6" t="n">
        <f aca="false">Sens!H18862*(al_m365+Sens!H18980+sbc_r)</f>
        <v>113.544698926105</v>
      </c>
      <c r="I18981" s="6" t="n">
        <f aca="false">Sens!I18862*(al_m365+Sens!I18980+sbc_r)</f>
        <v>126.621006486112</v>
      </c>
      <c r="J18981" s="6" t="n">
        <f aca="false">Sens!J18862*(al_m365+Sens!J18980+sbc_r)</f>
        <v>137.994503028643</v>
      </c>
      <c r="K18981" s="6" t="n">
        <f aca="false">Sens!K18862*(al_m365+Sens!K18980+sbc_r)</f>
        <v>148.988450850917</v>
      </c>
      <c r="L18981" s="12" t="s">
        <v>1232</v>
      </c>
    </row>
    <row r="18982" customFormat="false" ht="17.15" hidden="false" customHeight="false" outlineLevel="0" collapsed="false">
      <c r="A18982" s="0" t="s">
        <v>1233</v>
      </c>
      <c r="B18982" s="0" t="s">
        <v>98</v>
      </c>
      <c r="F18982" s="6" t="n">
        <f aca="false">Sens!F18863*(al_lic+Sens!F18980+sbc_r)</f>
        <v>32.8558064490827</v>
      </c>
      <c r="G18982" s="6" t="n">
        <f aca="false">Sens!G18863*(al_lic+Sens!G18980+sbc_r)</f>
        <v>34.1189743190524</v>
      </c>
      <c r="H18982" s="6" t="n">
        <f aca="false">Sens!H18863*(al_lic+Sens!H18980+sbc_r)</f>
        <v>35.3026779978092</v>
      </c>
      <c r="I18982" s="6" t="n">
        <f aca="false">Sens!I18863*(al_lic+Sens!I18980+sbc_r)</f>
        <v>36.3899457856399</v>
      </c>
      <c r="J18982" s="6" t="n">
        <f aca="false">Sens!J18863*(al_lic+Sens!J18980+sbc_r)</f>
        <v>37.3528779137552</v>
      </c>
      <c r="K18982" s="6" t="n">
        <f aca="false">Sens!K18863*(al_lic+Sens!K18980+sbc_r)</f>
        <v>38.1583729657797</v>
      </c>
    </row>
    <row r="18983" customFormat="false" ht="17.15" hidden="false" customHeight="false" outlineLevel="0" collapsed="false">
      <c r="A18983" s="0" t="s">
        <v>1234</v>
      </c>
      <c r="B18983" s="0" t="s">
        <v>98</v>
      </c>
      <c r="F18983" s="6" t="n">
        <f aca="false">Sens!F18865*(al_ind+Sens!F18980+sbc_r)</f>
        <v>9.05927793989526</v>
      </c>
      <c r="G18983" s="6" t="n">
        <f aca="false">Sens!G18865*(al_ind+Sens!G18980+sbc_r)</f>
        <v>9.82481854585513</v>
      </c>
      <c r="H18983" s="6" t="n">
        <f aca="false">Sens!H18865*(al_ind+Sens!H18980+sbc_r)</f>
        <v>10.6378988302748</v>
      </c>
      <c r="I18983" s="6" t="n">
        <f aca="false">Sens!I18865*(al_ind+Sens!I18980+sbc_r)</f>
        <v>11.4966987063788</v>
      </c>
      <c r="J18983" s="6" t="n">
        <f aca="false">Sens!J18865*(al_ind+Sens!J18980+sbc_r)</f>
        <v>12.3903413778569</v>
      </c>
      <c r="K18983" s="6" t="n">
        <f aca="false">Sens!K18865*(al_ind+Sens!K18980+sbc_r)</f>
        <v>13.3007924592871</v>
      </c>
    </row>
    <row r="18984" customFormat="false" ht="17.15" hidden="false" customHeight="false" outlineLevel="0" collapsed="false">
      <c r="A18984" s="0" t="s">
        <v>1235</v>
      </c>
      <c r="B18984" s="0" t="s">
        <v>98</v>
      </c>
      <c r="F18984" s="6" t="n">
        <f aca="false">Sens!F18867*(al_fro+Sens!F18980+sbc_r)</f>
        <v>3.55358269103629</v>
      </c>
      <c r="G18984" s="6" t="n">
        <f aca="false">Sens!G18867*(al_fro+Sens!G18980+sbc_r)</f>
        <v>3.75926352115099</v>
      </c>
      <c r="H18984" s="6" t="n">
        <f aca="false">Sens!H18867*(al_fro+Sens!H18980+sbc_r)</f>
        <v>3.99503029036258</v>
      </c>
      <c r="I18984" s="6" t="n">
        <f aca="false">Sens!I18867*(al_fro+Sens!I18980+sbc_r)</f>
        <v>4.26398732399709</v>
      </c>
      <c r="J18984" s="6" t="n">
        <f aca="false">Sens!J18867*(al_fro+Sens!J18980+sbc_r)</f>
        <v>4.56677050177481</v>
      </c>
      <c r="K18984" s="6" t="n">
        <f aca="false">Sens!K18867*(al_fro+Sens!K18980+sbc_r)</f>
        <v>4.90234004059437</v>
      </c>
    </row>
    <row r="18985" customFormat="false" ht="17.15" hidden="false" customHeight="false" outlineLevel="0" collapsed="false">
      <c r="A18985" s="0" t="s">
        <v>1236</v>
      </c>
      <c r="B18985" s="0" t="s">
        <v>98</v>
      </c>
      <c r="F18985" s="6" t="n">
        <f aca="false">Sens!F18870*(al_srch+Sens!F18980+sbc_r)</f>
        <v>11.187683612665</v>
      </c>
      <c r="G18985" s="6" t="n">
        <f aca="false">Sens!G18870*(al_srch+Sens!G18980+sbc_r)</f>
        <v>12.2475622713985</v>
      </c>
      <c r="H18985" s="6" t="n">
        <f aca="false">Sens!H18870*(al_srch+Sens!H18980+sbc_r)</f>
        <v>13.3554854357325</v>
      </c>
      <c r="I18985" s="6" t="n">
        <f aca="false">Sens!I18870*(al_srch+Sens!I18980+sbc_r)</f>
        <v>14.5024982675828</v>
      </c>
      <c r="J18985" s="6" t="n">
        <f aca="false">Sens!J18870*(al_srch+Sens!J18980+sbc_r)</f>
        <v>15.6672454904308</v>
      </c>
      <c r="K18985" s="6" t="n">
        <f aca="false">Sens!K18870*(al_srch+Sens!K18980+sbc_r)</f>
        <v>16.8184858126133</v>
      </c>
    </row>
    <row r="18986" customFormat="false" ht="17.15" hidden="false" customHeight="false" outlineLevel="0" collapsed="false">
      <c r="A18986" s="0" t="s">
        <v>1237</v>
      </c>
      <c r="B18986" s="0" t="s">
        <v>98</v>
      </c>
      <c r="F18986" s="6" t="n">
        <f aca="false">Sens!F18838-Sens!F18839+Sens!F18920</f>
        <v>46.0778850294426</v>
      </c>
      <c r="G18986" s="6" t="n">
        <f aca="false">Sens!G18838-Sens!G18839+Sens!G18920</f>
        <v>92.3479955500052</v>
      </c>
      <c r="H18986" s="6" t="n">
        <f aca="false">Sens!H18838-Sens!H18839+Sens!H18920</f>
        <v>146.583389242188</v>
      </c>
      <c r="I18986" s="6" t="n">
        <f aca="false">Sens!I18838-Sens!I18839+Sens!I18920</f>
        <v>190.051968796598</v>
      </c>
      <c r="J18986" s="6" t="n">
        <f aca="false">Sens!J18838-Sens!J18839+Sens!J18920</f>
        <v>220.947956409516</v>
      </c>
      <c r="K18986" s="6" t="n">
        <f aca="false">Sens!K18838-Sens!K18839+Sens!K18920</f>
        <v>240.368429589956</v>
      </c>
    </row>
    <row r="18987" customFormat="false" ht="17.15" hidden="false" customHeight="false" outlineLevel="0" collapsed="false">
      <c r="A18987" s="0" t="s">
        <v>1238</v>
      </c>
      <c r="B18987" s="0" t="s">
        <v>98</v>
      </c>
      <c r="F18987" s="6" t="n">
        <f aca="false">Sens!F18899+Sens!F18920+Sens!F18850+Sens!F18980*(Sens!F18869-Sens!F18832)+sbc_r*Sens!F18869</f>
        <v>241.376360200037</v>
      </c>
      <c r="G18987" s="6" t="n">
        <f aca="false">Sens!G18899+Sens!G18920+Sens!G18850+Sens!G18980*(Sens!G18869-Sens!G18832)+sbc_r*Sens!G18869</f>
        <v>313.119808328712</v>
      </c>
      <c r="H18987" s="6" t="n">
        <f aca="false">Sens!H18899+Sens!H18920+Sens!H18850+Sens!H18980*(Sens!H18869-Sens!H18832)+sbc_r*Sens!H18869</f>
        <v>397.38473782159</v>
      </c>
      <c r="I18987" s="6" t="n">
        <f aca="false">Sens!I18899+Sens!I18920+Sens!I18850+Sens!I18980*(Sens!I18869-Sens!I18832)+sbc_r*Sens!I18869</f>
        <v>468.79756566433</v>
      </c>
      <c r="J18987" s="6" t="n">
        <f aca="false">Sens!J18899+Sens!J18920+Sens!J18850+Sens!J18980*(Sens!J18869-Sens!J18832)+sbc_r*Sens!J18869</f>
        <v>524.665640587906</v>
      </c>
      <c r="K18987" s="6" t="n">
        <f aca="false">Sens!K18899+Sens!K18920+Sens!K18850+Sens!K18980*(Sens!K18869-Sens!K18832)+sbc_r*Sens!K18869</f>
        <v>566.642418965594</v>
      </c>
    </row>
    <row r="18988" customFormat="false" ht="17.15" hidden="false" customHeight="false" outlineLevel="0" collapsed="false">
      <c r="A18988" s="0" t="s">
        <v>1239</v>
      </c>
      <c r="B18988" s="0" t="s">
        <v>98</v>
      </c>
      <c r="F18988" s="6" t="n">
        <f aca="false">Sens!F18987-Sens!F18981-Sens!F18982-Sens!F18983-Sens!F18984-Sens!F18986</f>
        <v>65.3065264334664</v>
      </c>
      <c r="G18988" s="6" t="n">
        <f aca="false">Sens!G18987-Sens!G18981-Sens!G18982-Sens!G18983-Sens!G18984-Sens!G18986</f>
        <v>74.1173088599363</v>
      </c>
      <c r="H18988" s="6" t="n">
        <f aca="false">Sens!H18987-Sens!H18981-Sens!H18982-Sens!H18983-Sens!H18984-Sens!H18986</f>
        <v>87.3210425348507</v>
      </c>
      <c r="I18988" s="6" t="n">
        <f aca="false">Sens!I18987-Sens!I18981-Sens!I18982-Sens!I18983-Sens!I18984-Sens!I18986</f>
        <v>99.9739585656051</v>
      </c>
      <c r="J18988" s="6" t="n">
        <f aca="false">Sens!J18987-Sens!J18981-Sens!J18982-Sens!J18983-Sens!J18984-Sens!J18986</f>
        <v>111.41319135636</v>
      </c>
      <c r="K18988" s="6" t="n">
        <f aca="false">Sens!K18987-Sens!K18981-Sens!K18982-Sens!K18983-Sens!K18984-Sens!K18986</f>
        <v>120.92403305906</v>
      </c>
    </row>
    <row r="18989" customFormat="false" ht="17.15" hidden="false" customHeight="false" outlineLevel="0" collapsed="false">
      <c r="A18989" s="0" t="s">
        <v>1240</v>
      </c>
      <c r="B18989" s="0" t="s">
        <v>98</v>
      </c>
      <c r="F18989" s="6" t="n">
        <f aca="false">Sens!F18901+Sens!F18980*Sens!F18876+sbc_r*Sens!F18876</f>
        <v>26.6303544318948</v>
      </c>
      <c r="G18989" s="6" t="n">
        <f aca="false">Sens!G18901+Sens!G18980*Sens!G18876+sbc_r*Sens!G18876</f>
        <v>26.4411892223904</v>
      </c>
      <c r="H18989" s="6" t="n">
        <f aca="false">Sens!H18901+Sens!H18980*Sens!H18876+sbc_r*Sens!H18876</f>
        <v>27.2972693185129</v>
      </c>
      <c r="I18989" s="6" t="n">
        <f aca="false">Sens!I18901+Sens!I18980*Sens!I18876+sbc_r*Sens!I18876</f>
        <v>28.399712124043</v>
      </c>
      <c r="J18989" s="6" t="n">
        <f aca="false">Sens!J18901+Sens!J18980*Sens!J18876+sbc_r*Sens!J18876</f>
        <v>29.7092784269154</v>
      </c>
      <c r="K18989" s="6" t="n">
        <f aca="false">Sens!K18901+Sens!K18980*Sens!K18876+sbc_r*Sens!K18876</f>
        <v>31.1814924783153</v>
      </c>
    </row>
    <row r="18990" customFormat="false" ht="17.15" hidden="false" customHeight="false" outlineLevel="0" collapsed="false">
      <c r="A18990" s="0" t="s">
        <v>1241</v>
      </c>
      <c r="B18990" s="0" t="s">
        <v>98</v>
      </c>
      <c r="F18990" s="6" t="n">
        <f aca="false">(Sens!F18989-Sens!F18985)*Sens!F18872/(Sens!F18872+Sens!F18874)</f>
        <v>8.72179684575229</v>
      </c>
      <c r="G18990" s="6" t="n">
        <f aca="false">(Sens!G18989-Sens!G18985)*Sens!G18872/(Sens!G18872+Sens!G18874)</f>
        <v>7.87858357493293</v>
      </c>
      <c r="H18990" s="6" t="n">
        <f aca="false">(Sens!H18989-Sens!H18985)*Sens!H18872/(Sens!H18872+Sens!H18874)</f>
        <v>7.63797725780286</v>
      </c>
      <c r="I18990" s="6" t="n">
        <f aca="false">(Sens!I18989-Sens!I18985)*Sens!I18872/(Sens!I18872+Sens!I18874)</f>
        <v>7.54710505669073</v>
      </c>
      <c r="J18990" s="6" t="n">
        <f aca="false">(Sens!J18989-Sens!J18985)*Sens!J18872/(Sens!J18872+Sens!J18874)</f>
        <v>7.59248059023951</v>
      </c>
      <c r="K18990" s="6" t="n">
        <f aca="false">(Sens!K18989-Sens!K18985)*Sens!K18872/(Sens!K18872+Sens!K18874)</f>
        <v>7.76603002001818</v>
      </c>
    </row>
    <row r="18991" customFormat="false" ht="17.15" hidden="false" customHeight="false" outlineLevel="0" collapsed="false">
      <c r="A18991" s="0" t="s">
        <v>1242</v>
      </c>
      <c r="B18991" s="0" t="s">
        <v>98</v>
      </c>
      <c r="F18991" s="6" t="n">
        <f aca="false">Sens!F18989-Sens!F18985-Sens!F18990</f>
        <v>6.72087397347751</v>
      </c>
      <c r="G18991" s="6" t="n">
        <f aca="false">Sens!G18989-Sens!G18985-Sens!G18990</f>
        <v>6.31504337605906</v>
      </c>
      <c r="H18991" s="6" t="n">
        <f aca="false">Sens!H18989-Sens!H18985-Sens!H18990</f>
        <v>6.30380662497756</v>
      </c>
      <c r="I18991" s="6" t="n">
        <f aca="false">Sens!I18989-Sens!I18985-Sens!I18990</f>
        <v>6.35010879976946</v>
      </c>
      <c r="J18991" s="6" t="n">
        <f aca="false">Sens!J18989-Sens!J18985-Sens!J18990</f>
        <v>6.44955234624505</v>
      </c>
      <c r="K18991" s="6" t="n">
        <f aca="false">Sens!K18989-Sens!K18985-Sens!K18990</f>
        <v>6.59697664568381</v>
      </c>
    </row>
    <row r="18992" customFormat="false" ht="17.15" hidden="false" customHeight="false" outlineLevel="0" collapsed="false">
      <c r="A18992" s="0" t="s">
        <v>1243</v>
      </c>
      <c r="B18992" s="0" t="s">
        <v>98</v>
      </c>
      <c r="F18992" s="6" t="n">
        <f aca="false">Sens!F18986-tax_f*(Sens!F18986-Sens!F18850)-Sens!F18847</f>
        <v>-124.683774478892</v>
      </c>
      <c r="G18992" s="6" t="n">
        <f aca="false">Sens!G18986-tax_f*(Sens!G18986-Sens!G18850)-Sens!G18847</f>
        <v>-106.070662402908</v>
      </c>
      <c r="H18992" s="6" t="n">
        <f aca="false">Sens!H18986-tax_f*(Sens!H18986-Sens!H18850)-Sens!H18847</f>
        <v>-61.6974482071742</v>
      </c>
      <c r="I18992" s="6" t="n">
        <f aca="false">Sens!I18986-tax_f*(Sens!I18986-Sens!I18850)-Sens!I18847</f>
        <v>5.17928840401791</v>
      </c>
      <c r="J18992" s="6" t="n">
        <f aca="false">Sens!J18986-tax_f*(Sens!J18986-Sens!J18850)-Sens!J18847</f>
        <v>72.5805859594056</v>
      </c>
      <c r="K18992" s="6" t="n">
        <f aca="false">Sens!K18986-tax_f*(Sens!K18986-Sens!K18850)-Sens!K18847</f>
        <v>98.6784493113339</v>
      </c>
    </row>
    <row r="18993" customFormat="false" ht="17.15" hidden="false" customHeight="false" outlineLevel="0" collapsed="false">
      <c r="A18993" s="0" t="s">
        <v>1244</v>
      </c>
      <c r="B18993" s="0" t="s">
        <v>98</v>
      </c>
      <c r="G18993" s="6" t="n">
        <f aca="false">Sens!G18992/(1+wacc)^(Sens!G18963-Sens!F18964)</f>
        <v>-100.999682477929</v>
      </c>
      <c r="H18993" s="6" t="n">
        <f aca="false">Sens!H18992/(1+wacc)^(Sens!H18963-Sens!F18964)</f>
        <v>-53.2649329240173</v>
      </c>
      <c r="I18993" s="6" t="n">
        <f aca="false">Sens!I18992/(1+wacc)^(Sens!I18963-Sens!F18964)</f>
        <v>4.05409323513022</v>
      </c>
      <c r="J18993" s="6" t="n">
        <f aca="false">Sens!J18992/(1+wacc)^(Sens!J18963-Sens!F18964)</f>
        <v>51.5102386790363</v>
      </c>
      <c r="K18993" s="6" t="n">
        <f aca="false">Sens!K18992/(1+wacc)^(Sens!K18963-Sens!F18964)</f>
        <v>63.4957801006159</v>
      </c>
      <c r="L18993" s="1" t="s">
        <v>1245</v>
      </c>
    </row>
    <row r="18994" customFormat="false" ht="17.15" hidden="false" customHeight="false" outlineLevel="0" collapsed="false">
      <c r="A18994" s="0" t="s">
        <v>1246</v>
      </c>
      <c r="B18994" s="0" t="s">
        <v>98</v>
      </c>
      <c r="C18994" s="6" t="n">
        <f aca="false">(Sens!K18986-Sens!K18850)*(1-tax_f)*(1+g_tv)*(1-g_tv/(wacc+ronic_prem))/(wacc-g_tv)/(1+wacc)^(Sens!K18964-Sens!F18964)</f>
        <v>470.906113147493</v>
      </c>
    </row>
    <row r="18995" customFormat="false" ht="17.15" hidden="false" customHeight="false" outlineLevel="0" collapsed="false">
      <c r="A18995" s="1" t="s">
        <v>1247</v>
      </c>
      <c r="B18995" s="0" t="s">
        <v>98</v>
      </c>
      <c r="C18995" s="6" t="n">
        <f aca="false">(SUM(Sens!G18993:K18993)+Sens!$C$18994)*(1+wacc)^(t_roll-Sens!F18964)</f>
        <v>450.085437557987</v>
      </c>
      <c r="L18995" s="12" t="s">
        <v>1248</v>
      </c>
    </row>
    <row r="18996" customFormat="false" ht="17.15" hidden="false" customHeight="false" outlineLevel="0" collapsed="false">
      <c r="A18996" s="1" t="s">
        <v>1249</v>
      </c>
      <c r="B18996" s="0" t="s">
        <v>98</v>
      </c>
      <c r="C18996" s="6" t="n">
        <f aca="false">(w_ntm28*Sens!G18838+(1-w_ntm28)*Sens!H18838)*m_ai</f>
        <v>570.305397299893</v>
      </c>
    </row>
    <row r="18997" customFormat="false" ht="17.15" hidden="false" customHeight="false" outlineLevel="0" collapsed="false">
      <c r="A18997" s="1" t="s">
        <v>1250</v>
      </c>
      <c r="B18997" s="0" t="s">
        <v>98</v>
      </c>
      <c r="C18997" s="6" t="n">
        <f aca="false">(w_ntm28*Sens!G18988+(1-w_ntm28)*Sens!H18988)*m_cloud</f>
        <v>1084.29318632508</v>
      </c>
    </row>
    <row r="18998" customFormat="false" ht="17.15" hidden="false" customHeight="false" outlineLevel="0" collapsed="false">
      <c r="A18998" s="1" t="s">
        <v>1251</v>
      </c>
      <c r="B18998" s="0" t="s">
        <v>98</v>
      </c>
      <c r="C18998" s="6" t="n">
        <f aca="false">(w_ntm28*Sens!G18981+(1-w_ntm28)*Sens!H18981)*m_sw</f>
        <v>1120.4916711775</v>
      </c>
    </row>
    <row r="18999" customFormat="false" ht="17.15" hidden="false" customHeight="false" outlineLevel="0" collapsed="false">
      <c r="A18999" s="1" t="s">
        <v>1252</v>
      </c>
      <c r="B18999" s="0" t="s">
        <v>98</v>
      </c>
      <c r="C18999" s="6" t="n">
        <f aca="false">(w_ntm28*Sens!G18982+(1-w_ntm28)*Sens!H18982)*m_sw</f>
        <v>372.687881461297</v>
      </c>
    </row>
    <row r="19000" customFormat="false" ht="17.15" hidden="false" customHeight="false" outlineLevel="0" collapsed="false">
      <c r="A19000" s="1" t="s">
        <v>1253</v>
      </c>
      <c r="B19000" s="0" t="s">
        <v>98</v>
      </c>
      <c r="C19000" s="6" t="n">
        <f aca="false">(w_ntm28*Sens!G18983+(1-w_ntm28)*Sens!H18983)*m_sw</f>
        <v>108.99503220923</v>
      </c>
    </row>
    <row r="19001" customFormat="false" ht="17.15" hidden="false" customHeight="false" outlineLevel="0" collapsed="false">
      <c r="A19001" s="1" t="s">
        <v>1254</v>
      </c>
      <c r="B19001" s="0" t="s">
        <v>98</v>
      </c>
      <c r="C19001" s="6" t="n">
        <f aca="false">(w_ntm28*Sens!G18984+(1-w_ntm28)*Sens!H18984)*m_sw</f>
        <v>41.4371795432204</v>
      </c>
    </row>
    <row r="19002" customFormat="false" ht="17.15" hidden="false" customHeight="false" outlineLevel="0" collapsed="false">
      <c r="A19002" s="1" t="s">
        <v>1255</v>
      </c>
      <c r="B19002" s="0" t="s">
        <v>98</v>
      </c>
      <c r="C19002" s="6" t="n">
        <f aca="false">(w_ntm28*Sens!G18985+(1-w_ntm28)*Sens!H18985)*m_ads</f>
        <v>114.893598054769</v>
      </c>
    </row>
    <row r="19003" customFormat="false" ht="17.15" hidden="false" customHeight="false" outlineLevel="0" collapsed="false">
      <c r="A19003" s="1" t="s">
        <v>1256</v>
      </c>
      <c r="B19003" s="0" t="s">
        <v>98</v>
      </c>
      <c r="C19003" s="6" t="n">
        <f aca="false">(w_ntm28*Sens!G18990+(1-w_ntm28)*Sens!H18990)*m_game</f>
        <v>98.5074340192321</v>
      </c>
    </row>
    <row r="19004" customFormat="false" ht="17.15" hidden="false" customHeight="false" outlineLevel="0" collapsed="false">
      <c r="A19004" s="1" t="s">
        <v>1257</v>
      </c>
      <c r="B19004" s="0" t="s">
        <v>98</v>
      </c>
      <c r="C19004" s="6" t="n">
        <f aca="false">(w_ntm28*Sens!G18991+(1-w_ntm28)*Sens!H18991)*m_pc</f>
        <v>91.325221502046</v>
      </c>
    </row>
    <row r="19005" customFormat="false" ht="17.15" hidden="false" customHeight="false" outlineLevel="0" collapsed="false">
      <c r="A19005" s="1" t="s">
        <v>1258</v>
      </c>
      <c r="B19005" s="0" t="s">
        <v>98</v>
      </c>
      <c r="C19005" s="6" t="n">
        <f aca="false">Sens!$C$18995+Sens!$C$18997+Sens!$C$18998+Sens!$C$18999+Sens!$C$19000+Sens!$C$19001+Sens!$C$19002+Sens!$C$19003+Sens!$C$19004</f>
        <v>3482.71664185036</v>
      </c>
    </row>
    <row r="19006" customFormat="false" ht="17.15" hidden="false" customHeight="false" outlineLevel="0" collapsed="false">
      <c r="A19006" s="1" t="s">
        <v>1259</v>
      </c>
      <c r="B19006" s="0" t="s">
        <v>98</v>
      </c>
      <c r="C19006" s="6" t="n">
        <f aca="false">(Sens!G18967-Sens!G18992)*t_stub</f>
        <v>48.2707666570319</v>
      </c>
      <c r="L19006" s="1" t="s">
        <v>1260</v>
      </c>
    </row>
    <row r="19007" customFormat="false" ht="17.15" hidden="false" customHeight="false" outlineLevel="0" collapsed="false">
      <c r="A19007" s="1" t="s">
        <v>1169</v>
      </c>
      <c r="B19007" s="0" t="s">
        <v>98</v>
      </c>
      <c r="C19007" s="6" t="n">
        <f aca="false">Sens!F18954+oai_v-Sens!F18943+Sens!$C$19006</f>
        <v>162.499036657032</v>
      </c>
      <c r="L19007" s="1" t="s">
        <v>1261</v>
      </c>
    </row>
    <row r="19008" customFormat="false" ht="17.15" hidden="false" customHeight="false" outlineLevel="0" collapsed="false">
      <c r="A19008" s="1" t="s">
        <v>1262</v>
      </c>
      <c r="B19008" s="0" t="s">
        <v>75</v>
      </c>
      <c r="C19008" s="5" t="n">
        <f aca="false">(Sens!$C$19005+Sens!$C$19007)/(Sens!F18956+dil_gap)-Sens!G18946*roll_div_q/q_per_yr</f>
        <v>485.676201523652</v>
      </c>
      <c r="L19008" s="1" t="s">
        <v>1263</v>
      </c>
    </row>
    <row r="19009" customFormat="false" ht="17.15" hidden="false" customHeight="false" outlineLevel="0" collapsed="false">
      <c r="A19009" s="1" t="s">
        <v>1264</v>
      </c>
      <c r="B19009" s="0" t="s">
        <v>75</v>
      </c>
      <c r="C19009" s="5" t="n">
        <f aca="false">w_dcf*Sens!$C$18979+(1-w_dcf)*Sens!$C$19008</f>
        <v>426.654059498521</v>
      </c>
    </row>
    <row r="19010" customFormat="false" ht="17.15" hidden="false" customHeight="false" outlineLevel="0" collapsed="false">
      <c r="A19010" s="3" t="s">
        <v>1949</v>
      </c>
    </row>
    <row r="19011" customFormat="false" ht="15" hidden="false" customHeight="false" outlineLevel="0" collapsed="false">
      <c r="A19011" s="4" t="s">
        <v>43</v>
      </c>
      <c r="B19011" s="4" t="s">
        <v>65</v>
      </c>
      <c r="C19011" s="23" t="s">
        <v>938</v>
      </c>
      <c r="D19011" s="23" t="s">
        <v>939</v>
      </c>
      <c r="E19011" s="23" t="s">
        <v>940</v>
      </c>
      <c r="F19011" s="23" t="s">
        <v>941</v>
      </c>
      <c r="G19011" s="23" t="s">
        <v>942</v>
      </c>
      <c r="H19011" s="23" t="s">
        <v>943</v>
      </c>
      <c r="I19011" s="23" t="s">
        <v>944</v>
      </c>
      <c r="J19011" s="23" t="s">
        <v>945</v>
      </c>
      <c r="K19011" s="23" t="s">
        <v>946</v>
      </c>
      <c r="L19011" s="4" t="s">
        <v>47</v>
      </c>
    </row>
    <row r="19012" customFormat="false" ht="17.15" hidden="false" customHeight="false" outlineLevel="0" collapsed="false">
      <c r="A19012" s="1" t="s">
        <v>947</v>
      </c>
      <c r="B19012" s="1" t="s">
        <v>279</v>
      </c>
      <c r="C19012" s="21" t="n">
        <v>2024</v>
      </c>
      <c r="D19012" s="21" t="n">
        <v>2025</v>
      </c>
      <c r="E19012" s="21" t="n">
        <v>2026</v>
      </c>
      <c r="F19012" s="21" t="n">
        <v>2027</v>
      </c>
      <c r="G19012" s="21" t="n">
        <v>2028</v>
      </c>
      <c r="H19012" s="21" t="n">
        <v>2029</v>
      </c>
      <c r="I19012" s="21" t="n">
        <v>2030</v>
      </c>
      <c r="J19012" s="21" t="n">
        <v>2031</v>
      </c>
      <c r="K19012" s="21" t="n">
        <v>2032</v>
      </c>
    </row>
    <row r="19013" customFormat="false" ht="17.15" hidden="false" customHeight="false" outlineLevel="0" collapsed="false">
      <c r="A19013" s="1" t="s">
        <v>948</v>
      </c>
      <c r="B19013" s="0" t="s">
        <v>456</v>
      </c>
      <c r="F19013" s="30" t="n">
        <f aca="false">pace_nv0</f>
        <v>2645.0669</v>
      </c>
      <c r="G19013" s="30" t="n">
        <f aca="false">pace_nv0</f>
        <v>2645.0669</v>
      </c>
      <c r="H19013" s="30" t="n">
        <f aca="false">pace_nv0</f>
        <v>2645.0669</v>
      </c>
      <c r="I19013" s="30" t="n">
        <f aca="false">pace_nv0+(g_tv*Sens!H19014-pace_nv0)*MIN(1,(Sens!I19012-pace_y0)/(pace_y1-pace_y0))</f>
        <v>1875.22994033333</v>
      </c>
      <c r="J19013" s="30" t="n">
        <f aca="false">pace_nv0+(g_tv*Sens!I19014-pace_nv0)*MIN(1,(Sens!J19012-pace_y0)/(pace_y1-pace_y0))</f>
        <v>1142.89757947333</v>
      </c>
      <c r="K19013" s="30" t="n">
        <f aca="false">pace_nv0+(g_tv*Sens!J19014-pace_nv0)*MIN(1,(Sens!K19012-pace_y0)/(pace_y1-pace_y0))</f>
        <v>426.0998465942</v>
      </c>
      <c r="L19013" s="12" t="s">
        <v>949</v>
      </c>
    </row>
    <row r="19014" customFormat="false" ht="17.15" hidden="false" customHeight="false" outlineLevel="0" collapsed="false">
      <c r="A19014" s="1" t="s">
        <v>950</v>
      </c>
      <c r="B19014" s="0" t="s">
        <v>456</v>
      </c>
      <c r="C19014" s="30" t="n">
        <f aca="false">mw_ext_24</f>
        <v>640</v>
      </c>
      <c r="D19014" s="30" t="n">
        <f aca="false">mw_ext_25</f>
        <v>1630</v>
      </c>
      <c r="E19014" s="30" t="n">
        <f aca="false">mw_ext_26</f>
        <v>3250</v>
      </c>
      <c r="F19014" s="30" t="n">
        <f aca="false">Sens!E19014+Sens!F19013</f>
        <v>5895.0669</v>
      </c>
      <c r="G19014" s="30" t="n">
        <f aca="false">Sens!F19014+Sens!G19013</f>
        <v>8540.1338</v>
      </c>
      <c r="H19014" s="30" t="n">
        <f aca="false">Sens!G19014+Sens!H19013</f>
        <v>11185.2007</v>
      </c>
      <c r="I19014" s="30" t="n">
        <f aca="false">Sens!H19014+Sens!I19013</f>
        <v>13060.4306403333</v>
      </c>
      <c r="J19014" s="30" t="n">
        <f aca="false">Sens!I19014+Sens!J19013</f>
        <v>14203.3282198067</v>
      </c>
      <c r="K19014" s="30" t="n">
        <f aca="false">Sens!J19014+Sens!K19013</f>
        <v>14629.4280664009</v>
      </c>
      <c r="L19014" s="1" t="s">
        <v>951</v>
      </c>
    </row>
    <row r="19015" customFormat="false" ht="17.15" hidden="false" customHeight="false" outlineLevel="0" collapsed="false">
      <c r="A19015" s="1" t="s">
        <v>952</v>
      </c>
      <c r="B19015" s="0" t="s">
        <v>456</v>
      </c>
      <c r="C19015" s="30" t="n">
        <f aca="false">rent_ext_24</f>
        <v>150</v>
      </c>
      <c r="D19015" s="30" t="n">
        <f aca="false">rent_ext_25</f>
        <v>400</v>
      </c>
      <c r="E19015" s="30" t="n">
        <f aca="false">rent_ext_26</f>
        <v>550</v>
      </c>
      <c r="F19015" s="30" t="n">
        <f aca="false">rent_ext_f</f>
        <v>756</v>
      </c>
      <c r="G19015" s="30" t="n">
        <f aca="false">rent_ext_f</f>
        <v>756</v>
      </c>
      <c r="H19015" s="30" t="n">
        <f aca="false">rent_ext_f</f>
        <v>756</v>
      </c>
      <c r="I19015" s="30" t="n">
        <f aca="false">rent_ext_f</f>
        <v>756</v>
      </c>
      <c r="J19015" s="30" t="n">
        <f aca="false">rent_ext_f</f>
        <v>756</v>
      </c>
      <c r="K19015" s="30" t="n">
        <f aca="false">rent_ext_f</f>
        <v>756</v>
      </c>
      <c r="L19015" s="1" t="s">
        <v>953</v>
      </c>
    </row>
    <row r="19016" customFormat="false" ht="17.15" hidden="false" customHeight="false" outlineLevel="0" collapsed="false">
      <c r="A19016" s="1" t="s">
        <v>954</v>
      </c>
      <c r="B19016" s="0" t="s">
        <v>456</v>
      </c>
      <c r="C19016" s="30" t="n">
        <f aca="false">Sens!C19014-Sens!C19015</f>
        <v>490</v>
      </c>
      <c r="D19016" s="30" t="n">
        <f aca="false">Sens!D19014-Sens!D19015</f>
        <v>1230</v>
      </c>
      <c r="E19016" s="30" t="n">
        <f aca="false">Sens!E19014-Sens!E19015</f>
        <v>2700</v>
      </c>
      <c r="F19016" s="30" t="n">
        <f aca="false">Sens!F19014-Sens!F19015</f>
        <v>5139.0669</v>
      </c>
      <c r="G19016" s="30" t="n">
        <f aca="false">Sens!G19014-Sens!G19015</f>
        <v>7784.1338</v>
      </c>
      <c r="H19016" s="30" t="n">
        <f aca="false">Sens!H19014-Sens!H19015</f>
        <v>10429.2007</v>
      </c>
      <c r="I19016" s="30" t="n">
        <f aca="false">Sens!I19014-Sens!I19015</f>
        <v>12304.4306403333</v>
      </c>
      <c r="J19016" s="30" t="n">
        <f aca="false">Sens!J19014-Sens!J19015</f>
        <v>13447.3282198067</v>
      </c>
      <c r="K19016" s="30" t="n">
        <f aca="false">Sens!K19014-Sens!K19015</f>
        <v>13873.4280664009</v>
      </c>
    </row>
    <row r="19017" customFormat="false" ht="17.15" hidden="false" customHeight="false" outlineLevel="0" collapsed="false">
      <c r="A19017" s="1" t="s">
        <v>955</v>
      </c>
      <c r="B19017" s="0" t="s">
        <v>456</v>
      </c>
      <c r="C19017" s="30" t="n">
        <f aca="false">Sens!C19016/ext_sh</f>
        <v>816.666666666667</v>
      </c>
      <c r="D19017" s="30" t="n">
        <f aca="false">Sens!D19016/ext_sh</f>
        <v>2050</v>
      </c>
      <c r="E19017" s="30" t="n">
        <f aca="false">Sens!E19016/ext_sh</f>
        <v>4500</v>
      </c>
      <c r="F19017" s="30" t="n">
        <f aca="false">Sens!F19016/ext_sh</f>
        <v>8565.1115</v>
      </c>
      <c r="G19017" s="30" t="n">
        <f aca="false">Sens!G19016/ext_sh</f>
        <v>12973.5563333333</v>
      </c>
      <c r="H19017" s="30" t="n">
        <f aca="false">Sens!H19016/ext_sh</f>
        <v>17382.0011666667</v>
      </c>
      <c r="I19017" s="30" t="n">
        <f aca="false">Sens!I19016/ext_sh</f>
        <v>20507.3844005556</v>
      </c>
      <c r="J19017" s="30" t="n">
        <f aca="false">Sens!J19016/ext_sh</f>
        <v>22412.2136996778</v>
      </c>
      <c r="K19017" s="30" t="n">
        <f aca="false">Sens!K19016/ext_sh</f>
        <v>23122.3801106681</v>
      </c>
      <c r="L19017" s="1" t="s">
        <v>956</v>
      </c>
    </row>
    <row r="19018" customFormat="false" ht="17.15" hidden="false" customHeight="false" outlineLevel="0" collapsed="false">
      <c r="A19018" s="1" t="s">
        <v>957</v>
      </c>
      <c r="B19018" s="0" t="s">
        <v>456</v>
      </c>
      <c r="C19018" s="30" t="n">
        <f aca="false">Sens!C19017-Sens!C19016</f>
        <v>326.666666666667</v>
      </c>
      <c r="D19018" s="30" t="n">
        <f aca="false">Sens!D19017-Sens!D19016</f>
        <v>820</v>
      </c>
      <c r="E19018" s="30" t="n">
        <f aca="false">Sens!E19017-Sens!E19016</f>
        <v>1800</v>
      </c>
      <c r="F19018" s="30" t="n">
        <f aca="false">Sens!F19017-Sens!F19016</f>
        <v>3426.0446</v>
      </c>
      <c r="G19018" s="30" t="n">
        <f aca="false">Sens!G19017-Sens!G19016</f>
        <v>5189.42253333333</v>
      </c>
      <c r="H19018" s="30" t="n">
        <f aca="false">Sens!H19017-Sens!H19016</f>
        <v>6952.80046666667</v>
      </c>
      <c r="I19018" s="30" t="n">
        <f aca="false">Sens!I19017-Sens!I19016</f>
        <v>8202.95376022222</v>
      </c>
      <c r="J19018" s="30" t="n">
        <f aca="false">Sens!J19017-Sens!J19016</f>
        <v>8964.88547987111</v>
      </c>
      <c r="K19018" s="30" t="n">
        <f aca="false">Sens!K19017-Sens!K19016</f>
        <v>9248.95204426724</v>
      </c>
    </row>
    <row r="19019" customFormat="false" ht="17.15" hidden="false" customHeight="false" outlineLevel="0" collapsed="false">
      <c r="A19019" s="1" t="s">
        <v>958</v>
      </c>
      <c r="B19019" s="0" t="s">
        <v>456</v>
      </c>
      <c r="C19019" s="30" t="n">
        <f aca="false">Sens!C19017</f>
        <v>816.666666666667</v>
      </c>
      <c r="D19019" s="30" t="n">
        <f aca="false">Sens!D19017-Sens!C19017</f>
        <v>1233.33333333333</v>
      </c>
      <c r="E19019" s="30" t="n">
        <f aca="false">Sens!E19017-Sens!D19017</f>
        <v>2450</v>
      </c>
      <c r="F19019" s="30" t="n">
        <f aca="false">Sens!F19017-Sens!E19017</f>
        <v>4065.1115</v>
      </c>
      <c r="G19019" s="30" t="n">
        <f aca="false">Sens!G19017-Sens!F19017</f>
        <v>4408.44483333333</v>
      </c>
      <c r="H19019" s="30" t="n">
        <f aca="false">Sens!H19017-Sens!G19017</f>
        <v>4408.44483333333</v>
      </c>
      <c r="I19019" s="30" t="n">
        <f aca="false">Sens!I19017-Sens!H19017</f>
        <v>3125.38323388889</v>
      </c>
      <c r="J19019" s="30" t="n">
        <f aca="false">Sens!J19017-Sens!I19017</f>
        <v>1904.82929912222</v>
      </c>
      <c r="K19019" s="30" t="n">
        <f aca="false">Sens!K19017-Sens!J19017</f>
        <v>710.166410990332</v>
      </c>
    </row>
    <row r="19020" customFormat="false" ht="17.15" hidden="false" customHeight="false" outlineLevel="0" collapsed="false">
      <c r="A19020" s="1" t="s">
        <v>959</v>
      </c>
      <c r="B19020" s="0" t="s">
        <v>456</v>
      </c>
      <c r="D19020" s="30" t="n">
        <f aca="false">Sens!D19014-Sens!C19014</f>
        <v>990</v>
      </c>
      <c r="E19020" s="30" t="n">
        <f aca="false">Sens!E19014-Sens!D19014</f>
        <v>1620</v>
      </c>
      <c r="F19020" s="30" t="n">
        <f aca="false">Sens!F19014-Sens!E19014</f>
        <v>2645.0669</v>
      </c>
      <c r="G19020" s="30" t="n">
        <f aca="false">Sens!G19014-Sens!F19014</f>
        <v>2645.0669</v>
      </c>
      <c r="H19020" s="30" t="n">
        <f aca="false">Sens!H19014-Sens!G19014</f>
        <v>2645.0669</v>
      </c>
      <c r="I19020" s="30" t="n">
        <f aca="false">Sens!I19014-Sens!H19014</f>
        <v>1875.22994033333</v>
      </c>
      <c r="J19020" s="30" t="n">
        <f aca="false">Sens!J19014-Sens!I19014</f>
        <v>1142.89757947333</v>
      </c>
      <c r="K19020" s="30" t="n">
        <f aca="false">Sens!K19014-Sens!J19014</f>
        <v>426.099846594199</v>
      </c>
    </row>
    <row r="19021" customFormat="false" ht="17.15" hidden="false" customHeight="false" outlineLevel="0" collapsed="false">
      <c r="A19021" s="1" t="s">
        <v>960</v>
      </c>
      <c r="B19021" s="0" t="s">
        <v>456</v>
      </c>
      <c r="F19021" s="30" t="n">
        <f aca="false">Sens!F19040*ext_sh</f>
        <v>0</v>
      </c>
      <c r="G19021" s="30" t="n">
        <f aca="false">Sens!G19040*ext_sh</f>
        <v>0</v>
      </c>
      <c r="H19021" s="30" t="n">
        <f aca="false">Sens!H19040*ext_sh</f>
        <v>0</v>
      </c>
      <c r="I19021" s="30" t="n">
        <f aca="false">Sens!I19040*ext_sh</f>
        <v>490</v>
      </c>
      <c r="J19021" s="30" t="n">
        <f aca="false">Sens!J19040*ext_sh</f>
        <v>740</v>
      </c>
      <c r="K19021" s="30" t="n">
        <f aca="false">Sens!K19040*ext_sh</f>
        <v>1470</v>
      </c>
      <c r="L19021" s="1" t="s">
        <v>961</v>
      </c>
    </row>
    <row r="19022" customFormat="false" ht="17.15" hidden="false" customHeight="false" outlineLevel="0" collapsed="false">
      <c r="A19022" s="1" t="s">
        <v>962</v>
      </c>
      <c r="B19022" s="0" t="s">
        <v>456</v>
      </c>
      <c r="C19022" s="30" t="n">
        <f aca="false">mix_h*Sens!C19014</f>
        <v>128</v>
      </c>
      <c r="D19022" s="30" t="n">
        <f aca="false">mix_h*Sens!D19014</f>
        <v>326</v>
      </c>
      <c r="E19022" s="30" t="n">
        <f aca="false">mix_h*Sens!E19014</f>
        <v>650</v>
      </c>
      <c r="F19022" s="30" t="n">
        <f aca="false">Sens!E19022-Sens!F19021*mix_h</f>
        <v>650</v>
      </c>
      <c r="G19022" s="30" t="n">
        <f aca="false">Sens!F19022-Sens!G19021*mix_h</f>
        <v>650</v>
      </c>
      <c r="H19022" s="30" t="n">
        <f aca="false">Sens!G19022-Sens!H19021*mix_h</f>
        <v>650</v>
      </c>
      <c r="I19022" s="30" t="n">
        <f aca="false">Sens!H19022-Sens!I19021*mix_h</f>
        <v>552</v>
      </c>
      <c r="J19022" s="30" t="n">
        <f aca="false">Sens!I19022-Sens!J19021*mix_h</f>
        <v>404</v>
      </c>
      <c r="K19022" s="30" t="n">
        <f aca="false">Sens!J19022-Sens!K19021*mix_h</f>
        <v>110</v>
      </c>
    </row>
    <row r="19023" customFormat="false" ht="17.15" hidden="false" customHeight="false" outlineLevel="0" collapsed="false">
      <c r="A19023" s="1" t="s">
        <v>963</v>
      </c>
      <c r="B19023" s="0" t="s">
        <v>456</v>
      </c>
      <c r="C19023" s="30" t="n">
        <f aca="false">mix_g2*Sens!C19014</f>
        <v>288</v>
      </c>
      <c r="D19023" s="30" t="n">
        <f aca="false">mix_g2*Sens!D19014</f>
        <v>733.5</v>
      </c>
      <c r="E19023" s="30" t="n">
        <f aca="false">mix_g2*Sens!E19014</f>
        <v>1462.5</v>
      </c>
      <c r="F19023" s="30" t="n">
        <f aca="false">Sens!E19023-Sens!F19021*mix_g2</f>
        <v>1462.5</v>
      </c>
      <c r="G19023" s="30" t="n">
        <f aca="false">Sens!F19023-Sens!G19021*mix_g2</f>
        <v>1462.5</v>
      </c>
      <c r="H19023" s="30" t="n">
        <f aca="false">Sens!G19023-Sens!H19021*mix_g2</f>
        <v>1462.5</v>
      </c>
      <c r="I19023" s="30" t="n">
        <f aca="false">Sens!H19023-Sens!I19021*mix_g2</f>
        <v>1242</v>
      </c>
      <c r="J19023" s="30" t="n">
        <f aca="false">Sens!I19023-Sens!J19021*mix_g2</f>
        <v>909</v>
      </c>
      <c r="K19023" s="30" t="n">
        <f aca="false">Sens!J19023-Sens!K19021*mix_g2</f>
        <v>247.5</v>
      </c>
    </row>
    <row r="19024" customFormat="false" ht="17.15" hidden="false" customHeight="false" outlineLevel="0" collapsed="false">
      <c r="A19024" s="1" t="s">
        <v>964</v>
      </c>
      <c r="B19024" s="0" t="s">
        <v>456</v>
      </c>
      <c r="C19024" s="30" t="n">
        <f aca="false">mix_g3*Sens!C19014</f>
        <v>224</v>
      </c>
      <c r="D19024" s="30" t="n">
        <f aca="false">mix_g3*Sens!D19014</f>
        <v>570.5</v>
      </c>
      <c r="E19024" s="30" t="n">
        <f aca="false">mix_g3*Sens!E19014</f>
        <v>1137.5</v>
      </c>
      <c r="F19024" s="30" t="n">
        <f aca="false">Sens!E19024+(Sens!F19020+Sens!F19021)*(a_g3_27-0*a_mai)-Sens!F19021*mix_g3</f>
        <v>2989.04683</v>
      </c>
      <c r="G19024" s="30" t="n">
        <f aca="false">Sens!F19024+(Sens!G19020+Sens!G19021)*(a_g3_28-0*a_mai)-Sens!G19021*mix_g3</f>
        <v>3782.5669</v>
      </c>
      <c r="H19024" s="30" t="n">
        <f aca="false">Sens!G19024+(Sens!H19020+Sens!H19021)*(a_g3_29-0*a_mai)-Sens!H19021*mix_g3</f>
        <v>4047.07359</v>
      </c>
      <c r="I19024" s="30" t="n">
        <f aca="false">Sens!H19024+(Sens!I19020+Sens!I19021)*(a_g3_29-0*a_mai)-Sens!I19021*mix_g3</f>
        <v>4112.09658403333</v>
      </c>
      <c r="J19024" s="30" t="n">
        <f aca="false">Sens!I19024+(Sens!J19020+Sens!J19021)*(a_g3_29-0*a_mai)-Sens!J19021*mix_g3</f>
        <v>4041.38634198067</v>
      </c>
      <c r="K19024" s="30" t="n">
        <f aca="false">Sens!J19024+(Sens!K19020+Sens!K19021)*(a_g3_29-0*a_mai)-Sens!K19021*mix_g3</f>
        <v>3716.49632664009</v>
      </c>
    </row>
    <row r="19025" customFormat="false" ht="17.15" hidden="false" customHeight="false" outlineLevel="0" collapsed="false">
      <c r="A19025" s="1" t="s">
        <v>965</v>
      </c>
      <c r="B19025" s="0" t="s">
        <v>456</v>
      </c>
      <c r="C19025" s="30" t="n">
        <v>0</v>
      </c>
      <c r="D19025" s="30" t="n">
        <v>0</v>
      </c>
      <c r="E19025" s="30" t="n">
        <v>0</v>
      </c>
      <c r="F19025" s="30" t="n">
        <f aca="false">Sens!E19025+(Sens!F19020+Sens!F19021)*0*a_mai</f>
        <v>0</v>
      </c>
      <c r="G19025" s="30" t="n">
        <f aca="false">Sens!F19025+(Sens!G19020+Sens!G19021)*0*a_mai</f>
        <v>0</v>
      </c>
      <c r="H19025" s="30" t="n">
        <f aca="false">Sens!G19025+(Sens!H19020+Sens!H19021)*0*a_mai</f>
        <v>0</v>
      </c>
      <c r="I19025" s="30" t="n">
        <f aca="false">Sens!H19025+(Sens!I19020+Sens!I19021)*0*a_mai</f>
        <v>0</v>
      </c>
      <c r="J19025" s="30" t="n">
        <f aca="false">Sens!I19025+(Sens!J19020+Sens!J19021)*0*a_mai</f>
        <v>0</v>
      </c>
      <c r="K19025" s="30" t="n">
        <f aca="false">Sens!J19025+(Sens!K19020+Sens!K19021)*0*a_mai</f>
        <v>0</v>
      </c>
      <c r="L19025" s="12" t="s">
        <v>966</v>
      </c>
    </row>
    <row r="19026" customFormat="false" ht="17.15" hidden="false" customHeight="false" outlineLevel="0" collapsed="false">
      <c r="A19026" s="1" t="s">
        <v>967</v>
      </c>
      <c r="B19026" s="0" t="s">
        <v>456</v>
      </c>
      <c r="C19026" s="30" t="n">
        <v>0</v>
      </c>
      <c r="D19026" s="30" t="n">
        <v>0</v>
      </c>
      <c r="E19026" s="30" t="n">
        <v>0</v>
      </c>
      <c r="F19026" s="30" t="n">
        <f aca="false">Sens!E19026+(Sens!F19020+Sens!F19021)*(1-a_g3_27)</f>
        <v>793.52007</v>
      </c>
      <c r="G19026" s="30" t="n">
        <f aca="false">Sens!F19026+(Sens!G19020+Sens!G19021)*(1-a_g3_28)</f>
        <v>2645.0669</v>
      </c>
      <c r="H19026" s="30" t="n">
        <f aca="false">Sens!G19026+(Sens!H19020+Sens!H19021)*(1-a_g3_29)</f>
        <v>5025.62711</v>
      </c>
      <c r="I19026" s="30" t="n">
        <f aca="false">Sens!H19026+(Sens!I19020+Sens!I19021)*(1-a_g3_29)</f>
        <v>7154.3340563</v>
      </c>
      <c r="J19026" s="30" t="n">
        <f aca="false">Sens!I19026+(Sens!J19020+Sens!J19021)*(1-a_g3_29)</f>
        <v>8848.941877826</v>
      </c>
      <c r="K19026" s="30" t="n">
        <f aca="false">Sens!J19026+(Sens!K19020+Sens!K19021)*(1-a_g3_29)</f>
        <v>10555.4317397608</v>
      </c>
    </row>
    <row r="19027" customFormat="false" ht="17.15" hidden="false" customHeight="false" outlineLevel="0" collapsed="false">
      <c r="A19027" s="1" t="s">
        <v>968</v>
      </c>
      <c r="B19027" s="0" t="s">
        <v>403</v>
      </c>
      <c r="C19027" s="15" t="n">
        <f aca="false">(Sens!C19022*tk_hold_h100+Sens!C19023*tk_hold_gb200+Sens!C19024*tk_hold_gb300+Sens!C19026*tk_hold_vr200+Sens!C19025*nv_hold_mai*tk_hold_vr200)/Sens!C19014</f>
        <v>9.7235358126469</v>
      </c>
      <c r="D19027" s="15" t="n">
        <f aca="false">(Sens!D19022*tk_hold_h100+Sens!D19023*tk_hold_gb200+Sens!D19024*tk_hold_gb300+Sens!D19026*tk_hold_vr200+Sens!D19025*nv_hold_mai*tk_hold_vr200)/Sens!D19014</f>
        <v>9.7235358126469</v>
      </c>
      <c r="E19027" s="15" t="n">
        <f aca="false">(Sens!E19022*tk_hold_h100+Sens!E19023*tk_hold_gb200+Sens!E19024*tk_hold_gb300+Sens!E19026*tk_hold_vr200+Sens!E19025*nv_hold_mai*tk_hold_vr200)/Sens!E19014</f>
        <v>9.7235358126469</v>
      </c>
      <c r="F19027" s="15" t="n">
        <f aca="false">(Sens!F19022*tk_hold_h100+Sens!F19023*tk_hold_gb200+Sens!F19024*tk_hold_gb300+Sens!F19026*tk_hold_vr200+Sens!F19025*nv_hold_mai*tk_hold_vr200)/Sens!F19014</f>
        <v>10.4255556081097</v>
      </c>
      <c r="G19027" s="15" t="n">
        <f aca="false">(Sens!G19022*tk_hold_h100+Sens!G19023*tk_hold_gb200+Sens!G19024*tk_hold_gb300+Sens!G19026*tk_hold_vr200+Sens!G19025*nv_hold_mai*tk_hold_vr200)/Sens!G19014</f>
        <v>10.8586080330164</v>
      </c>
      <c r="H19027" s="15" t="n">
        <f aca="false">(Sens!H19022*tk_hold_h100+Sens!H19023*tk_hold_gb200+Sens!H19024*tk_hold_gb300+Sens!H19026*tk_hold_vr200+Sens!H19025*nv_hold_mai*tk_hold_vr200)/Sens!H19014</f>
        <v>11.1501766656618</v>
      </c>
      <c r="I19027" s="15" t="n">
        <f aca="false">(Sens!I19022*tk_hold_h100+Sens!I19023*tk_hold_gb200+Sens!I19024*tk_hold_gb300+Sens!I19026*tk_hold_vr200+Sens!I19025*nv_hold_mai*tk_hold_vr200)/Sens!I19014</f>
        <v>11.3741856576055</v>
      </c>
      <c r="J19027" s="15" t="n">
        <f aca="false">(Sens!J19022*tk_hold_h100+Sens!J19023*tk_hold_gb200+Sens!J19024*tk_hold_gb300+Sens!J19026*tk_hold_vr200+Sens!J19025*nv_hold_mai*tk_hold_vr200)/Sens!J19014</f>
        <v>11.5552863602709</v>
      </c>
      <c r="K19027" s="15" t="n">
        <f aca="false">(Sens!K19022*tk_hold_h100+Sens!K19023*tk_hold_gb200+Sens!K19024*tk_hold_gb300+Sens!K19026*tk_hold_vr200+Sens!K19025*nv_hold_mai*tk_hold_vr200)/Sens!K19014</f>
        <v>11.8088513761358</v>
      </c>
      <c r="L19027" s="1" t="s">
        <v>969</v>
      </c>
    </row>
    <row r="19028" customFormat="false" ht="17.15" hidden="false" customHeight="false" outlineLevel="0" collapsed="false">
      <c r="A19028" s="1" t="s">
        <v>970</v>
      </c>
      <c r="B19028" s="0" t="s">
        <v>403</v>
      </c>
      <c r="C19028" s="15" t="n">
        <f aca="false">(Sens!C19022*tk_hold_h100+Sens!C19023*tk_hold_gb200+Sens!C19024*tk_hold_gb300+Sens!C19026*tk_hold_vr200+Sens!C19025*nv_out_mai*tk_hold_vr200)/Sens!C19014</f>
        <v>9.7235358126469</v>
      </c>
      <c r="D19028" s="15" t="n">
        <f aca="false">(Sens!D19022*tk_hold_h100+Sens!D19023*tk_hold_gb200+Sens!D19024*tk_hold_gb300+Sens!D19026*tk_hold_vr200+Sens!D19025*nv_out_mai*tk_hold_vr200)/Sens!D19014</f>
        <v>9.7235358126469</v>
      </c>
      <c r="E19028" s="15" t="n">
        <f aca="false">(Sens!E19022*tk_hold_h100+Sens!E19023*tk_hold_gb200+Sens!E19024*tk_hold_gb300+Sens!E19026*tk_hold_vr200+Sens!E19025*nv_out_mai*tk_hold_vr200)/Sens!E19014</f>
        <v>9.7235358126469</v>
      </c>
      <c r="F19028" s="15" t="n">
        <f aca="false">(Sens!F19022*tk_hold_h100+Sens!F19023*tk_hold_gb200+Sens!F19024*tk_hold_gb300+Sens!F19026*tk_hold_vr200+Sens!F19025*nv_out_mai*tk_hold_vr200)/Sens!F19014</f>
        <v>10.4255556081097</v>
      </c>
      <c r="G19028" s="15" t="n">
        <f aca="false">(Sens!G19022*tk_hold_h100+Sens!G19023*tk_hold_gb200+Sens!G19024*tk_hold_gb300+Sens!G19026*tk_hold_vr200+Sens!G19025*nv_out_mai*tk_hold_vr200)/Sens!G19014</f>
        <v>10.8586080330164</v>
      </c>
      <c r="H19028" s="15" t="n">
        <f aca="false">(Sens!H19022*tk_hold_h100+Sens!H19023*tk_hold_gb200+Sens!H19024*tk_hold_gb300+Sens!H19026*tk_hold_vr200+Sens!H19025*nv_out_mai*tk_hold_vr200)/Sens!H19014</f>
        <v>11.1501766656618</v>
      </c>
      <c r="I19028" s="15" t="n">
        <f aca="false">(Sens!I19022*tk_hold_h100+Sens!I19023*tk_hold_gb200+Sens!I19024*tk_hold_gb300+Sens!I19026*tk_hold_vr200+Sens!I19025*nv_out_mai*tk_hold_vr200)/Sens!I19014</f>
        <v>11.3741856576055</v>
      </c>
      <c r="J19028" s="15" t="n">
        <f aca="false">(Sens!J19022*tk_hold_h100+Sens!J19023*tk_hold_gb200+Sens!J19024*tk_hold_gb300+Sens!J19026*tk_hold_vr200+Sens!J19025*nv_out_mai*tk_hold_vr200)/Sens!J19014</f>
        <v>11.5552863602709</v>
      </c>
      <c r="K19028" s="15" t="n">
        <f aca="false">(Sens!K19022*tk_hold_h100+Sens!K19023*tk_hold_gb200+Sens!K19024*tk_hold_gb300+Sens!K19026*tk_hold_vr200+Sens!K19025*nv_out_mai*tk_hold_vr200)/Sens!K19014</f>
        <v>11.8088513761358</v>
      </c>
      <c r="L19028" s="12" t="s">
        <v>971</v>
      </c>
    </row>
    <row r="19029" customFormat="false" ht="17.15" hidden="false" customHeight="false" outlineLevel="0" collapsed="false">
      <c r="A19029" s="0" t="s">
        <v>972</v>
      </c>
      <c r="B19029" s="0" t="s">
        <v>229</v>
      </c>
      <c r="C19029" s="15" t="n">
        <f aca="false">k_B</f>
        <v>1.17213932619116</v>
      </c>
      <c r="D19029" s="15" t="n">
        <f aca="false">k_B</f>
        <v>1.17213932619116</v>
      </c>
      <c r="E19029" s="15" t="n">
        <f aca="false">k_B</f>
        <v>1.17213932619116</v>
      </c>
      <c r="F19029" s="15" t="n">
        <f aca="false">(k_B+((ls_B*k_long+(1-ls_B)*k_spot)-k_B)*MIN(1,(Sens!F19012-base_fy)/k_ramp))</f>
        <v>1.17213932619116</v>
      </c>
      <c r="G19029" s="15" t="n">
        <f aca="false">(k_B+((ls_B*k_long+(1-ls_B)*k_spot)-k_B)*MIN(1,(Sens!G19012-base_fy)/k_ramp))</f>
        <v>1.17213932619116</v>
      </c>
      <c r="H19029" s="15" t="n">
        <f aca="false">(k_B+((ls_B*k_long+(1-ls_B)*k_spot)-k_B)*MIN(1,(Sens!H19012-base_fy)/k_ramp))</f>
        <v>1.17213932619116</v>
      </c>
      <c r="I19029" s="15" t="n">
        <f aca="false">(k_B+((ls_B*k_long+(1-ls_B)*k_spot)-k_B)*MIN(1,(Sens!I19012-base_fy)/k_ramp))</f>
        <v>1.17213932619116</v>
      </c>
      <c r="J19029" s="15" t="n">
        <f aca="false">(k_B+((ls_B*k_long+(1-ls_B)*k_spot)-k_B)*MIN(1,(Sens!J19012-base_fy)/k_ramp))</f>
        <v>1.17213932619116</v>
      </c>
      <c r="K19029" s="15" t="n">
        <f aca="false">(k_B+((ls_B*k_long+(1-ls_B)*k_spot)-k_B)*MIN(1,(Sens!K19012-base_fy)/k_ramp))</f>
        <v>1.17213932619116</v>
      </c>
      <c r="L19029" s="1" t="s">
        <v>973</v>
      </c>
    </row>
    <row r="19030" customFormat="false" ht="17.15" hidden="false" customHeight="false" outlineLevel="0" collapsed="false">
      <c r="A19030" s="1" t="s">
        <v>974</v>
      </c>
      <c r="B19030" s="0" t="s">
        <v>403</v>
      </c>
      <c r="C19030" s="15" t="n">
        <f aca="false">Sens!C19028*Sens!C19029*chip_f</f>
        <v>11.3973387156315</v>
      </c>
      <c r="D19030" s="15" t="n">
        <f aca="false">Sens!D19028*Sens!D19029*chip_f</f>
        <v>11.3973387156315</v>
      </c>
      <c r="E19030" s="15" t="n">
        <f aca="false">Sens!E19028*Sens!E19029*chip_f</f>
        <v>11.3973387156315</v>
      </c>
      <c r="F19030" s="15" t="n">
        <f aca="false">Sens!F19028*Sens!F19029*chip_f</f>
        <v>12.2202037256582</v>
      </c>
      <c r="G19030" s="15" t="n">
        <f aca="false">Sens!G19028*Sens!G19029*chip_f</f>
        <v>12.7278015031937</v>
      </c>
      <c r="H19030" s="15" t="n">
        <f aca="false">Sens!H19028*Sens!H19029*chip_f</f>
        <v>13.0695605638012</v>
      </c>
      <c r="I19030" s="15" t="n">
        <f aca="false">Sens!I19028*Sens!I19029*chip_f</f>
        <v>13.3321303126788</v>
      </c>
      <c r="J19030" s="15" t="n">
        <f aca="false">Sens!J19028*Sens!J19029*chip_f</f>
        <v>13.5444055682738</v>
      </c>
      <c r="K19030" s="15" t="n">
        <f aca="false">Sens!K19028*Sens!K19029*chip_f</f>
        <v>13.8416190951154</v>
      </c>
      <c r="L19030" s="1" t="s">
        <v>975</v>
      </c>
    </row>
    <row r="19031" customFormat="false" ht="17.15" hidden="false" customHeight="false" outlineLevel="0" collapsed="false">
      <c r="A19031" s="0" t="s">
        <v>976</v>
      </c>
      <c r="B19031" s="0" t="s">
        <v>98</v>
      </c>
      <c r="D19031" s="6" t="n">
        <f aca="false">(Sens!C19014+Sens!D19014)/2*Sens!D19030/1000</f>
        <v>12.9359794422418</v>
      </c>
      <c r="E19031" s="6" t="n">
        <f aca="false">(Sens!D19014+Sens!E19014)/2*Sens!E19030/1000</f>
        <v>27.8095064661409</v>
      </c>
      <c r="F19031" s="6" t="n">
        <f aca="false">(Sens!E19014+Sens!F19014)/2*Sens!F19030/1000</f>
        <v>55.8772903013865</v>
      </c>
      <c r="G19031" s="6" t="n">
        <f aca="false">(Sens!F19014+Sens!G19014)/2*Sens!G19030/1000</f>
        <v>91.8641845841814</v>
      </c>
      <c r="H19031" s="6" t="n">
        <f aca="false">(Sens!G19014+Sens!H19014)/2*Sens!H19030/1000</f>
        <v>128.900726944493</v>
      </c>
      <c r="I19031" s="6" t="n">
        <f aca="false">(Sens!H19014+Sens!I19014)/2*Sens!I19030/1000</f>
        <v>161.622958271247</v>
      </c>
      <c r="J19031" s="6" t="n">
        <f aca="false">(Sens!I19014+Sens!J19014)/2*Sens!J19030/1000</f>
        <v>184.635703658677</v>
      </c>
      <c r="K19031" s="6" t="n">
        <f aca="false">(Sens!J19014+Sens!K19014)/2*Sens!K19030/1000</f>
        <v>199.546014987989</v>
      </c>
      <c r="L19031" s="12" t="s">
        <v>977</v>
      </c>
    </row>
    <row r="19032" customFormat="false" ht="17.15" hidden="false" customHeight="false" outlineLevel="0" collapsed="false">
      <c r="A19032" s="1" t="s">
        <v>978</v>
      </c>
      <c r="B19032" s="0" t="s">
        <v>403</v>
      </c>
      <c r="C19032" s="15" t="n">
        <f aca="false">(Sens!C19022*tk_opex_h100+Sens!C19023*tk_opex_gb200+Sens!C19024*tk_opex_gb300+(Sens!C19026+Sens!C19025)*tk_opex_vr200)/Sens!C19014</f>
        <v>1.88636041306092</v>
      </c>
      <c r="D19032" s="15" t="n">
        <f aca="false">(Sens!D19022*tk_opex_h100+Sens!D19023*tk_opex_gb200+Sens!D19024*tk_opex_gb300+(Sens!D19026+Sens!D19025)*tk_opex_vr200)/Sens!D19014</f>
        <v>1.88636041306092</v>
      </c>
      <c r="E19032" s="15" t="n">
        <f aca="false">(Sens!E19022*tk_opex_h100+Sens!E19023*tk_opex_gb200+Sens!E19024*tk_opex_gb300+(Sens!E19026+Sens!E19025)*tk_opex_vr200)/Sens!E19014</f>
        <v>1.88636041306092</v>
      </c>
      <c r="F19032" s="15" t="n">
        <f aca="false">(Sens!F19022*tk_opex_h100+Sens!F19023*tk_opex_gb200+Sens!F19024*tk_opex_gb300+(Sens!F19026+Sens!F19025)*tk_opex_vr200)/Sens!F19014</f>
        <v>1.94448060967998</v>
      </c>
      <c r="G19032" s="15" t="n">
        <f aca="false">(Sens!G19022*tk_opex_h100+Sens!G19023*tk_opex_gb200+Sens!G19024*tk_opex_gb300+(Sens!G19026+Sens!G19025)*tk_opex_vr200)/Sens!G19014</f>
        <v>1.98033300621439</v>
      </c>
      <c r="H19032" s="15" t="n">
        <f aca="false">(Sens!H19022*tk_opex_h100+Sens!H19023*tk_opex_gb200+Sens!H19024*tk_opex_gb300+(Sens!H19026+Sens!H19025)*tk_opex_vr200)/Sens!H19014</f>
        <v>2.00447196407118</v>
      </c>
      <c r="I19032" s="15" t="n">
        <f aca="false">(Sens!I19022*tk_opex_h100+Sens!I19023*tk_opex_gb200+Sens!I19024*tk_opex_gb300+(Sens!I19026+Sens!I19025)*tk_opex_vr200)/Sens!I19014</f>
        <v>2.02301766141526</v>
      </c>
      <c r="J19032" s="15" t="n">
        <f aca="false">(Sens!J19022*tk_opex_h100+Sens!J19023*tk_opex_gb200+Sens!J19024*tk_opex_gb300+(Sens!J19026+Sens!J19025)*tk_opex_vr200)/Sens!J19014</f>
        <v>2.03801098284977</v>
      </c>
      <c r="K19032" s="15" t="n">
        <f aca="false">(Sens!K19022*tk_opex_h100+Sens!K19023*tk_opex_gb200+Sens!K19024*tk_opex_gb300+(Sens!K19026+Sens!K19025)*tk_opex_vr200)/Sens!K19014</f>
        <v>2.05900362247765</v>
      </c>
      <c r="L19032" s="12" t="s">
        <v>979</v>
      </c>
    </row>
    <row r="19033" customFormat="false" ht="17.15" hidden="false" customHeight="false" outlineLevel="0" collapsed="false">
      <c r="A19033" s="0" t="s">
        <v>980</v>
      </c>
      <c r="B19033" s="0" t="s">
        <v>98</v>
      </c>
      <c r="D19033" s="6" t="n">
        <f aca="false">(Sens!C19017+Sens!D19017)/2*Sens!D19032/1000</f>
        <v>2.70378325872065</v>
      </c>
      <c r="E19033" s="6" t="n">
        <f aca="false">(Sens!D19017+Sens!E19017)/2*Sens!E19032/1000</f>
        <v>6.17783035277451</v>
      </c>
      <c r="F19033" s="6" t="n">
        <f aca="false">(Sens!E19017+Sens!F19017)/2*Sens!F19032/1000</f>
        <v>12.7024279875285</v>
      </c>
      <c r="G19033" s="6" t="n">
        <f aca="false">(Sens!F19017+Sens!G19017)/2*Sens!G19032/1000</f>
        <v>21.3268674101191</v>
      </c>
      <c r="H19033" s="6" t="n">
        <f aca="false">(Sens!G19017+Sens!H19017)/2*Sens!H19032/1000</f>
        <v>30.4234319812503</v>
      </c>
      <c r="I19033" s="6" t="n">
        <f aca="false">(Sens!H19017+Sens!I19017)/2*Sens!I19032/1000</f>
        <v>38.3254480913315</v>
      </c>
      <c r="J19033" s="6" t="n">
        <f aca="false">(Sens!I19017+Sens!J19017)/2*Sens!J19032/1000</f>
        <v>43.7353061538868</v>
      </c>
      <c r="K19033" s="6" t="n">
        <f aca="false">(Sens!J19017+Sens!K19017)/2*Sens!K19032/1000</f>
        <v>46.8779468017752</v>
      </c>
    </row>
    <row r="19034" customFormat="false" ht="17.15" hidden="false" customHeight="false" outlineLevel="0" collapsed="false">
      <c r="A19034" s="0" t="s">
        <v>981</v>
      </c>
      <c r="B19034" s="0" t="s">
        <v>98</v>
      </c>
      <c r="D19034" s="6" t="n">
        <f aca="false">(Sens!C19015+Sens!D19015)/2*rent_mw/1000</f>
        <v>2.44475</v>
      </c>
      <c r="E19034" s="6" t="n">
        <f aca="false">(Sens!D19015+Sens!E19015)/2*rent_mw/1000</f>
        <v>4.22275</v>
      </c>
      <c r="F19034" s="6" t="n">
        <f aca="false">(Sens!E19015+Sens!F19015)/2*rent_mw/1000</f>
        <v>5.80517</v>
      </c>
      <c r="G19034" s="6" t="n">
        <f aca="false">(Sens!F19015+Sens!G19015)/2*rent_mw/1000</f>
        <v>6.72084</v>
      </c>
      <c r="H19034" s="6" t="n">
        <f aca="false">(Sens!G19015+Sens!H19015)/2*rent_mw/1000</f>
        <v>6.72084</v>
      </c>
      <c r="I19034" s="6" t="n">
        <f aca="false">(Sens!H19015+Sens!I19015)/2*rent_mw/1000</f>
        <v>6.72084</v>
      </c>
      <c r="J19034" s="6" t="n">
        <f aca="false">(Sens!I19015+Sens!J19015)/2*rent_mw/1000</f>
        <v>6.72084</v>
      </c>
      <c r="K19034" s="6" t="n">
        <f aca="false">(Sens!J19015+Sens!K19015)/2*rent_mw/1000</f>
        <v>6.72084</v>
      </c>
    </row>
    <row r="19035" customFormat="false" ht="17.15" hidden="false" customHeight="false" outlineLevel="0" collapsed="false">
      <c r="A19035" s="0" t="s">
        <v>982</v>
      </c>
      <c r="B19035" s="0" t="s">
        <v>98</v>
      </c>
      <c r="D19035" s="6" t="n">
        <f aca="false">(Sens!C19017+Sens!D19017)/2*(1-self_build)*fac_rent/1000</f>
        <v>0.853242375631075</v>
      </c>
      <c r="E19035" s="6" t="n">
        <f aca="false">(Sens!D19017+Sens!E19017)/2*(1-self_build)*fac_rent/1000</f>
        <v>1.94955961408728</v>
      </c>
      <c r="F19035" s="6" t="n">
        <f aca="false">(Sens!E19017+Sens!F19017)/2*(1-self_build)*fac_rent/1000</f>
        <v>3.88873492121333</v>
      </c>
      <c r="G19035" s="6" t="n">
        <f aca="false">(Sens!F19017+Sens!G19017)/2*(1-self_build)*fac_rent/1000</f>
        <v>6.41082701513092</v>
      </c>
      <c r="H19035" s="6" t="n">
        <f aca="false">(Sens!G19017+Sens!H19017)/2*(1-self_build)*fac_rent/1000</f>
        <v>9.03510976566478</v>
      </c>
      <c r="I19035" s="6" t="n">
        <f aca="false">(Sens!H19017+Sens!I19017)/2*(1-self_build)*fac_rent/1000</f>
        <v>11.2774986113646</v>
      </c>
      <c r="J19035" s="6" t="n">
        <f aca="false">(Sens!I19017+Sens!J19017)/2*(1-self_build)*fac_rent/1000</f>
        <v>12.7747045968049</v>
      </c>
      <c r="K19035" s="6" t="n">
        <f aca="false">(Sens!J19017+Sens!K19017)/2*(1-self_build)*fac_rent/1000</f>
        <v>13.5530389521403</v>
      </c>
      <c r="L19035" s="12" t="s">
        <v>983</v>
      </c>
    </row>
    <row r="19036" customFormat="false" ht="17.15" hidden="false" customHeight="false" outlineLevel="0" collapsed="false">
      <c r="A19036" s="1" t="s">
        <v>984</v>
      </c>
      <c r="B19036" s="0" t="s">
        <v>168</v>
      </c>
      <c r="D19036" s="7" t="n">
        <f aca="false">(Sens!C19016+Sens!D19016)/(Sens!C19017+Sens!D19017)</f>
        <v>0.6</v>
      </c>
      <c r="E19036" s="7" t="n">
        <f aca="false">(Sens!D19016+Sens!E19016)/(Sens!D19017+Sens!E19017)</f>
        <v>0.6</v>
      </c>
      <c r="F19036" s="7" t="n">
        <f aca="false">(Sens!E19016+Sens!F19016)/(Sens!E19017+Sens!F19017)</f>
        <v>0.6</v>
      </c>
      <c r="G19036" s="7" t="n">
        <f aca="false">(Sens!F19016+Sens!G19016)/(Sens!F19017+Sens!G19017)</f>
        <v>0.6</v>
      </c>
      <c r="H19036" s="7" t="n">
        <f aca="false">(Sens!G19016+Sens!H19016)/(Sens!G19017+Sens!H19017)</f>
        <v>0.6</v>
      </c>
      <c r="I19036" s="7" t="n">
        <f aca="false">(Sens!H19016+Sens!I19016)/(Sens!H19017+Sens!I19017)</f>
        <v>0.6</v>
      </c>
      <c r="J19036" s="7" t="n">
        <f aca="false">(Sens!I19016+Sens!J19016)/(Sens!I19017+Sens!J19017)</f>
        <v>0.6</v>
      </c>
      <c r="K19036" s="7" t="n">
        <f aca="false">(Sens!J19016+Sens!K19016)/(Sens!J19017+Sens!K19017)</f>
        <v>0.6</v>
      </c>
    </row>
    <row r="19037" customFormat="false" ht="17.15" hidden="false" customHeight="false" outlineLevel="0" collapsed="false">
      <c r="A19037" s="0" t="s">
        <v>985</v>
      </c>
      <c r="B19037" s="0" t="s">
        <v>98</v>
      </c>
      <c r="D19037" s="6" t="n">
        <f aca="false">Sens!D19031-Sens!D19036*(Sens!D19033+Sens!D19035)-Sens!D19034</f>
        <v>8.35701406163072</v>
      </c>
      <c r="E19037" s="6" t="n">
        <f aca="false">Sens!E19031-Sens!E19036*(Sens!E19033+Sens!E19035)-Sens!E19034</f>
        <v>18.7103224860238</v>
      </c>
      <c r="F19037" s="6" t="n">
        <f aca="false">Sens!F19031-Sens!F19036*(Sens!F19033+Sens!F19035)-Sens!F19034</f>
        <v>40.1174225561415</v>
      </c>
      <c r="G19037" s="6" t="n">
        <f aca="false">Sens!G19031-Sens!G19036*(Sens!G19033+Sens!G19035)-Sens!G19034</f>
        <v>68.5007279290313</v>
      </c>
      <c r="H19037" s="6" t="n">
        <f aca="false">Sens!H19031-Sens!H19036*(Sens!H19033+Sens!H19035)-Sens!H19034</f>
        <v>98.5047618963444</v>
      </c>
      <c r="I19037" s="6" t="n">
        <f aca="false">Sens!I19031-Sens!I19036*(Sens!I19033+Sens!I19035)-Sens!I19034</f>
        <v>125.140350249629</v>
      </c>
      <c r="J19037" s="6" t="n">
        <f aca="false">Sens!J19031-Sens!J19036*(Sens!J19033+Sens!J19035)-Sens!J19034</f>
        <v>144.008857208262</v>
      </c>
      <c r="K19037" s="6" t="n">
        <f aca="false">Sens!K19031-Sens!K19036*(Sens!K19033+Sens!K19035)-Sens!K19034</f>
        <v>156.566583535639</v>
      </c>
    </row>
    <row r="19038" customFormat="false" ht="17.15" hidden="false" customHeight="false" outlineLevel="0" collapsed="false">
      <c r="A19038" s="1" t="s">
        <v>986</v>
      </c>
      <c r="B19038" s="0" t="s">
        <v>98</v>
      </c>
      <c r="D19038" s="6" t="n">
        <f aca="false">(1-Sens!D19036)*(Sens!D19033+Sens!D19035)</f>
        <v>1.42281025374069</v>
      </c>
      <c r="E19038" s="6" t="n">
        <f aca="false">(1-Sens!E19036)*(Sens!E19033+Sens!E19035)</f>
        <v>3.25095598674472</v>
      </c>
      <c r="F19038" s="6" t="n">
        <f aca="false">(1-Sens!F19036)*(Sens!F19033+Sens!F19035)</f>
        <v>6.63646516349673</v>
      </c>
      <c r="G19038" s="6" t="n">
        <f aca="false">(1-Sens!G19036)*(Sens!G19033+Sens!G19035)</f>
        <v>11.0950777701</v>
      </c>
      <c r="H19038" s="6" t="n">
        <f aca="false">(1-Sens!H19036)*(Sens!H19033+Sens!H19035)</f>
        <v>15.783416698766</v>
      </c>
      <c r="I19038" s="6" t="n">
        <f aca="false">(1-Sens!I19036)*(Sens!I19033+Sens!I19035)</f>
        <v>19.8411786810784</v>
      </c>
      <c r="J19038" s="6" t="n">
        <f aca="false">(1-Sens!J19036)*(Sens!J19033+Sens!J19035)</f>
        <v>22.6040043002767</v>
      </c>
      <c r="K19038" s="6" t="n">
        <f aca="false">(1-Sens!K19036)*(Sens!K19033+Sens!K19035)</f>
        <v>24.1723943015662</v>
      </c>
    </row>
    <row r="19039" customFormat="false" ht="17.15" hidden="false" customHeight="false" outlineLevel="0" collapsed="false">
      <c r="A19039" s="1" t="s">
        <v>987</v>
      </c>
      <c r="B19039" s="0" t="s">
        <v>414</v>
      </c>
      <c r="C19039" s="8" t="n">
        <f aca="false">cxit_open</f>
        <v>27.5918995</v>
      </c>
      <c r="D19039" s="8" t="n">
        <f aca="false">cxit_open</f>
        <v>27.5918995</v>
      </c>
      <c r="E19039" s="8" t="n">
        <f aca="false">cxit_open</f>
        <v>27.5918995</v>
      </c>
      <c r="F19039" s="8" t="n">
        <f aca="false">((a_g3_27-0*a_mai)*tk_cxit_gb300+0*a_mai*nv_hold_mai*tk_cxit_vr200+(1-a_g3_27)*tk_cxit_vr200)</f>
        <v>33.8419624</v>
      </c>
      <c r="G19039" s="8" t="n">
        <f aca="false">((a_g3_28-0*a_mai)*tk_cxit_gb300+0*a_mai*nv_hold_mai*tk_cxit_vr200+(1-a_g3_28)*tk_cxit_vr200)</f>
        <v>35.9816136</v>
      </c>
      <c r="H19039" s="8" t="n">
        <f aca="false">((a_g3_29-0*a_mai)*tk_cxit_gb300+0*a_mai*nv_hold_mai*tk_cxit_vr200+(1-a_g3_29)*tk_cxit_vr200)</f>
        <v>37.0514392</v>
      </c>
      <c r="I19039" s="8" t="n">
        <f aca="false">((a_g3_29-0*a_mai)*tk_cxit_gb300+0*a_mai*nv_hold_mai*tk_cxit_vr200+(1-a_g3_29)*tk_cxit_vr200)</f>
        <v>37.0514392</v>
      </c>
      <c r="J19039" s="8" t="n">
        <f aca="false">((a_g3_29-0*a_mai)*tk_cxit_gb300+0*a_mai*nv_hold_mai*tk_cxit_vr200+(1-a_g3_29)*tk_cxit_vr200)</f>
        <v>37.0514392</v>
      </c>
      <c r="K19039" s="8" t="n">
        <f aca="false">((a_g3_29-0*a_mai)*tk_cxit_gb300+0*a_mai*nv_hold_mai*tk_cxit_vr200+(1-a_g3_29)*tk_cxit_vr200)</f>
        <v>37.0514392</v>
      </c>
      <c r="L19039" s="12" t="s">
        <v>988</v>
      </c>
    </row>
    <row r="19040" customFormat="false" ht="17.15" hidden="false" customHeight="false" outlineLevel="0" collapsed="false">
      <c r="A19040" s="0" t="s">
        <v>989</v>
      </c>
      <c r="B19040" s="0" t="s">
        <v>456</v>
      </c>
      <c r="F19040" s="30" t="n">
        <f aca="false">Sens!C19019*IF(Sens!F19012-Sens!C19012=life_it,1,0)+Sens!D19019*IF(Sens!F19012-Sens!D19012=life_it,1,0)+Sens!E19019*IF(Sens!F19012-Sens!E19012=life_it,1,0)</f>
        <v>0</v>
      </c>
      <c r="G19040" s="30" t="n">
        <f aca="false">Sens!C19019*IF(Sens!G19012-Sens!C19012=life_it,1,0)+Sens!D19019*IF(Sens!G19012-Sens!D19012=life_it,1,0)+Sens!E19019*IF(Sens!G19012-Sens!E19012=life_it,1,0)+Sens!F19019*IF(Sens!G19012-Sens!F19012=life_it,1,0)</f>
        <v>0</v>
      </c>
      <c r="H19040" s="30" t="n">
        <f aca="false">Sens!C19019*IF(Sens!H19012-Sens!C19012=life_it,1,0)+Sens!D19019*IF(Sens!H19012-Sens!D19012=life_it,1,0)+Sens!E19019*IF(Sens!H19012-Sens!E19012=life_it,1,0)+Sens!F19019*IF(Sens!H19012-Sens!F19012=life_it,1,0)+Sens!G19019*IF(Sens!H19012-Sens!G19012=life_it,1,0)</f>
        <v>0</v>
      </c>
      <c r="I19040" s="30" t="n">
        <f aca="false">Sens!C19019*IF(Sens!I19012-Sens!C19012=life_it,1,0)+Sens!D19019*IF(Sens!I19012-Sens!D19012=life_it,1,0)+Sens!E19019*IF(Sens!I19012-Sens!E19012=life_it,1,0)+Sens!F19019*IF(Sens!I19012-Sens!F19012=life_it,1,0)+Sens!G19019*IF(Sens!I19012-Sens!G19012=life_it,1,0)+Sens!H19019*IF(Sens!I19012-Sens!H19012=life_it,1,0)</f>
        <v>816.666666666667</v>
      </c>
      <c r="J19040" s="30" t="n">
        <f aca="false">Sens!C19019*IF(Sens!J19012-Sens!C19012=life_it,1,0)+Sens!D19019*IF(Sens!J19012-Sens!D19012=life_it,1,0)+Sens!E19019*IF(Sens!J19012-Sens!E19012=life_it,1,0)+Sens!F19019*IF(Sens!J19012-Sens!F19012=life_it,1,0)+Sens!G19019*IF(Sens!J19012-Sens!G19012=life_it,1,0)+Sens!H19019*IF(Sens!J19012-Sens!H19012=life_it,1,0)+Sens!I19019*IF(Sens!J19012-Sens!I19012=life_it,1,0)</f>
        <v>1233.33333333333</v>
      </c>
      <c r="K19040" s="30" t="n">
        <f aca="false">Sens!C19019*IF(Sens!K19012-Sens!C19012=life_it,1,0)+Sens!D19019*IF(Sens!K19012-Sens!D19012=life_it,1,0)+Sens!E19019*IF(Sens!K19012-Sens!E19012=life_it,1,0)+Sens!F19019*IF(Sens!K19012-Sens!F19012=life_it,1,0)+Sens!G19019*IF(Sens!K19012-Sens!G19012=life_it,1,0)+Sens!H19019*IF(Sens!K19012-Sens!H19012=life_it,1,0)+Sens!I19019*IF(Sens!K19012-Sens!I19012=life_it,1,0)+Sens!J19019*IF(Sens!K19012-Sens!J19012=life_it,1,0)</f>
        <v>2450</v>
      </c>
      <c r="L19040" s="1" t="s">
        <v>990</v>
      </c>
    </row>
    <row r="19041" customFormat="false" ht="17.15" hidden="false" customHeight="false" outlineLevel="0" collapsed="false">
      <c r="A19041" s="0" t="s">
        <v>991</v>
      </c>
      <c r="B19041" s="0" t="s">
        <v>98</v>
      </c>
      <c r="C19041" s="6" t="n">
        <f aca="false">Sens!C19019*Sens!C19039/1000</f>
        <v>22.5333845916667</v>
      </c>
      <c r="D19041" s="6" t="n">
        <f aca="false">Sens!D19019*Sens!D19039/1000</f>
        <v>34.0300093833333</v>
      </c>
      <c r="E19041" s="6" t="n">
        <f aca="false">Sens!E19019*Sens!E19039/1000</f>
        <v>67.600153775</v>
      </c>
      <c r="F19041" s="6" t="n">
        <f aca="false">(Sens!F19019+Sens!F19040)*Sens!F19039/1000</f>
        <v>137.571350534808</v>
      </c>
      <c r="G19041" s="6" t="n">
        <f aca="false">(Sens!G19019+Sens!G19040)*Sens!G19039/1000</f>
        <v>158.622958569916</v>
      </c>
      <c r="H19041" s="6" t="n">
        <f aca="false">(Sens!H19019+Sens!H19040)*Sens!H19039/1000</f>
        <v>163.339225708804</v>
      </c>
      <c r="I19041" s="6" t="n">
        <f aca="false">(Sens!I19019+Sens!I19040)*Sens!I19039/1000</f>
        <v>146.0586222138</v>
      </c>
      <c r="J19041" s="6" t="n">
        <f aca="false">(Sens!J19019+Sens!J19040)*Sens!J19039/1000</f>
        <v>116.273441976139</v>
      </c>
      <c r="K19041" s="6" t="n">
        <f aca="false">(Sens!K19019+Sens!K19040)*Sens!K19039/1000</f>
        <v>117.088713638691</v>
      </c>
    </row>
    <row r="19042" customFormat="false" ht="17.15" hidden="false" customHeight="false" outlineLevel="0" collapsed="false">
      <c r="A19042" s="0" t="s">
        <v>992</v>
      </c>
      <c r="B19042" s="0" t="s">
        <v>98</v>
      </c>
      <c r="C19042" s="6" t="n">
        <f aca="false">Sens!C19019*self_build*tk_cxfac/1000</f>
        <v>6.2083</v>
      </c>
      <c r="D19042" s="6" t="n">
        <f aca="false">Sens!D19019*self_build*tk_cxfac/1000</f>
        <v>9.3758</v>
      </c>
      <c r="E19042" s="6" t="n">
        <f aca="false">Sens!E19019*self_build*tk_cxfac/1000</f>
        <v>18.6249</v>
      </c>
      <c r="F19042" s="6" t="n">
        <f aca="false">Sens!F19019*self_build*tk_cxfac/1000</f>
        <v>30.902977623</v>
      </c>
      <c r="G19042" s="6" t="n">
        <f aca="false">Sens!G19019*self_build*tk_cxfac/1000</f>
        <v>33.512997623</v>
      </c>
      <c r="H19042" s="6" t="n">
        <f aca="false">Sens!H19019*self_build*tk_cxfac/1000</f>
        <v>33.512997623</v>
      </c>
      <c r="I19042" s="6" t="n">
        <f aca="false">Sens!I19019*self_build*tk_cxfac/1000</f>
        <v>23.7591633440233</v>
      </c>
      <c r="J19042" s="6" t="n">
        <f aca="false">Sens!J19019*self_build*tk_cxfac/1000</f>
        <v>14.4805123319271</v>
      </c>
      <c r="K19042" s="6" t="n">
        <f aca="false">Sens!K19019*self_build*tk_cxfac/1000</f>
        <v>5.39868505634851</v>
      </c>
    </row>
    <row r="19043" customFormat="false" ht="17.15" hidden="false" customHeight="false" outlineLevel="0" collapsed="false">
      <c r="A19043" s="0" t="s">
        <v>993</v>
      </c>
      <c r="B19043" s="0" t="s">
        <v>98</v>
      </c>
      <c r="F19043" s="15" t="n">
        <f aca="false">capex_floor27-Sens!F19041-Sens!F19042-Sens!F19139</f>
        <v>3.68459886601613E-005</v>
      </c>
      <c r="L19043" s="12" t="s">
        <v>994</v>
      </c>
    </row>
    <row r="19044" customFormat="false" ht="17.15" hidden="false" customHeight="false" outlineLevel="0" collapsed="false">
      <c r="A19044" s="0" t="s">
        <v>995</v>
      </c>
      <c r="B19044" s="0" t="s">
        <v>98</v>
      </c>
      <c r="F19044" s="6" t="n">
        <f aca="false">MAX(0,Sens!F19043)</f>
        <v>3.68459886601613E-005</v>
      </c>
    </row>
    <row r="19045" customFormat="false" ht="17.15" hidden="false" customHeight="false" outlineLevel="0" collapsed="false">
      <c r="A19045" s="0" t="s">
        <v>996</v>
      </c>
      <c r="B19045" s="0" t="s">
        <v>98</v>
      </c>
      <c r="C19045" s="6" t="n">
        <f aca="false">Sens!C19041</f>
        <v>22.5333845916667</v>
      </c>
      <c r="D19045" s="6" t="n">
        <f aca="false">Sens!D19041</f>
        <v>34.0300093833333</v>
      </c>
      <c r="E19045" s="6" t="n">
        <f aca="false">Sens!E19041</f>
        <v>67.600153775</v>
      </c>
      <c r="F19045" s="6" t="n">
        <f aca="false">Sens!F19041</f>
        <v>137.571350534808</v>
      </c>
      <c r="G19045" s="6" t="n">
        <f aca="false">Sens!G19041</f>
        <v>158.622958569916</v>
      </c>
      <c r="H19045" s="6" t="n">
        <f aca="false">Sens!H19041</f>
        <v>163.339225708804</v>
      </c>
      <c r="I19045" s="6" t="n">
        <f aca="false">Sens!I19041</f>
        <v>146.0586222138</v>
      </c>
      <c r="J19045" s="6" t="n">
        <f aca="false">Sens!J19041</f>
        <v>116.273441976139</v>
      </c>
      <c r="K19045" s="6" t="n">
        <f aca="false">Sens!K19041</f>
        <v>117.088713638691</v>
      </c>
    </row>
    <row r="19046" customFormat="false" ht="17.15" hidden="false" customHeight="false" outlineLevel="0" collapsed="false">
      <c r="A19046" s="0" t="s">
        <v>997</v>
      </c>
      <c r="B19046" s="0" t="s">
        <v>98</v>
      </c>
      <c r="C19046" s="6" t="n">
        <f aca="false">Sens!C19045+Sens!C19042</f>
        <v>28.7416845916667</v>
      </c>
      <c r="D19046" s="6" t="n">
        <f aca="false">Sens!D19045+Sens!D19042</f>
        <v>43.4058093833333</v>
      </c>
      <c r="E19046" s="6" t="n">
        <f aca="false">Sens!E19045+Sens!E19042</f>
        <v>86.225053775</v>
      </c>
      <c r="F19046" s="6" t="n">
        <f aca="false">Sens!F19045+Sens!F19042</f>
        <v>168.474328157808</v>
      </c>
      <c r="G19046" s="6" t="n">
        <f aca="false">Sens!G19045+Sens!G19042</f>
        <v>192.135956192916</v>
      </c>
      <c r="H19046" s="6" t="n">
        <f aca="false">Sens!H19045+Sens!H19042</f>
        <v>196.852223331804</v>
      </c>
      <c r="I19046" s="6" t="n">
        <f aca="false">Sens!I19045+Sens!I19042</f>
        <v>169.817785557824</v>
      </c>
      <c r="J19046" s="6" t="n">
        <f aca="false">Sens!J19045+Sens!J19042</f>
        <v>130.753954308066</v>
      </c>
      <c r="K19046" s="6" t="n">
        <f aca="false">Sens!K19045+Sens!K19042</f>
        <v>122.487398695039</v>
      </c>
      <c r="L19046" s="12" t="s">
        <v>998</v>
      </c>
    </row>
    <row r="19047" customFormat="false" ht="17.15" hidden="false" customHeight="false" outlineLevel="0" collapsed="false">
      <c r="A19047" s="0" t="s">
        <v>999</v>
      </c>
      <c r="B19047" s="0" t="s">
        <v>98</v>
      </c>
      <c r="E19047" s="6" t="n">
        <f aca="false">(Sens!C19045*IF(2&lt;life_it,1,IF(2=life_it,0.5,0))+Sens!D19045*IF(1&lt;life_it,1,IF(1=life_it,0.5,0))+Sens!E19045*0.5)/life_it</f>
        <v>15.0605784770833</v>
      </c>
      <c r="F19047" s="6" t="n">
        <f aca="false">(Sens!C19045*IF(3&lt;life_it,1,IF(3=life_it,0.5,0))+Sens!D19045*IF(2&lt;life_it,1,IF(2=life_it,0.5,0))+Sens!E19045*IF(1&lt;life_it,1,IF(1=life_it,0.5,0))+Sens!F19045*0.5)/life_it</f>
        <v>32.158203836234</v>
      </c>
      <c r="G19047" s="6" t="n">
        <f aca="false">(Sens!C19045*IF(4&lt;life_it,1,IF(4=life_it,0.5,0))+Sens!D19045*IF(3&lt;life_it,1,IF(3=life_it,0.5,0))+Sens!E19045*IF(2&lt;life_it,1,IF(2=life_it,0.5,0))+Sens!F19045*IF(1&lt;life_it,1,IF(1=life_it,0.5,0))+Sens!G19045*0.5)/life_it</f>
        <v>56.8410629282943</v>
      </c>
      <c r="H19047" s="6" t="n">
        <f aca="false">(Sens!C19045*IF(5&lt;life_it,1,IF(5=life_it,0.5,0))+Sens!D19045*IF(4&lt;life_it,1,IF(4=life_it,0.5,0))+Sens!E19045*IF(3&lt;life_it,1,IF(3=life_it,0.5,0))+Sens!F19045*IF(2&lt;life_it,1,IF(2=life_it,0.5,0))+Sens!G19045*IF(1&lt;life_it,1,IF(1=life_it,0.5,0))+Sens!H19045*0.5)/life_it</f>
        <v>83.671244951521</v>
      </c>
      <c r="I19047" s="6" t="n">
        <f aca="false">(Sens!C19045*IF(6&lt;life_it,1,IF(6=life_it,0.5,0))+Sens!D19045*IF(5&lt;life_it,1,IF(5=life_it,0.5,0))+Sens!E19045*IF(4&lt;life_it,1,IF(4=life_it,0.5,0))+Sens!F19045*IF(3&lt;life_it,1,IF(3=life_it,0.5,0))+Sens!G19045*IF(2&lt;life_it,1,IF(2=life_it,0.5,0))+Sens!H19045*IF(1&lt;life_it,1,IF(1=life_it,0.5,0))+Sens!I19045*0.5)/life_it</f>
        <v>107.576616895766</v>
      </c>
      <c r="J19047" s="6" t="n">
        <f aca="false">(Sens!C19045*IF(7&lt;life_it,1,IF(7=life_it,0.5,0))+Sens!D19045*IF(6&lt;life_it,1,IF(6=life_it,0.5,0))+Sens!E19045*IF(5&lt;life_it,1,IF(5=life_it,0.5,0))+Sens!F19045*IF(4&lt;life_it,1,IF(4=life_it,0.5,0))+Sens!G19045*IF(3&lt;life_it,1,IF(3=life_it,0.5,0))+Sens!H19045*IF(2&lt;life_it,1,IF(2=life_it,0.5,0))+Sens!I19045*IF(1&lt;life_it,1,IF(1=life_it,0.5,0))+Sens!J19045*0.5)/life_it</f>
        <v>124.724006080344</v>
      </c>
      <c r="K19047" s="6" t="n">
        <f aca="false">(Sens!C19045*IF(8&lt;life_it,1,IF(8=life_it,0.5,0))+Sens!D19045*IF(7&lt;life_it,1,IF(7=life_it,0.5,0))+Sens!E19045*IF(6&lt;life_it,1,IF(6=life_it,0.5,0))+Sens!F19045*IF(5&lt;life_it,1,IF(5=life_it,0.5,0))+Sens!G19045*IF(4&lt;life_it,1,IF(4=life_it,0.5,0))+Sens!H19045*IF(3&lt;life_it,1,IF(3=life_it,0.5,0))+Sens!I19045*IF(2&lt;life_it,1,IF(2=life_it,0.5,0))+Sens!J19045*IF(1&lt;life_it,1,IF(1=life_it,0.5,0))+Sens!K19045*0.5)/life_it</f>
        <v>135.701672118385</v>
      </c>
    </row>
    <row r="19048" customFormat="false" ht="17.15" hidden="false" customHeight="false" outlineLevel="0" collapsed="false">
      <c r="A19048" s="0" t="s">
        <v>1000</v>
      </c>
      <c r="B19048" s="0" t="s">
        <v>98</v>
      </c>
      <c r="E19048" s="6" t="n">
        <f aca="false">(Sens!C19042*IF(2&lt;life_fac,1,IF(2=life_fac,0.5,0))+Sens!D19042*IF(1&lt;life_fac,1,IF(1=life_fac,0.5,0))+Sens!E19042*0.5)/life_fac</f>
        <v>1.2448275</v>
      </c>
      <c r="F19048" s="6" t="n">
        <f aca="false">(Sens!C19042*IF(3&lt;life_fac,1,IF(3=life_fac,0.5,0))+Sens!D19042*IF(2&lt;life_fac,1,IF(2=life_fac,0.5,0))+Sens!E19042*IF(1&lt;life_fac,1,IF(1=life_fac,0.5,0))+Sens!F19042*0.5)/life_fac</f>
        <v>2.483024440575</v>
      </c>
      <c r="G19048" s="6" t="n">
        <f aca="false">(Sens!C19042*IF(4&lt;life_fac,1,IF(4=life_fac,0.5,0))+Sens!D19042*IF(3&lt;life_fac,1,IF(3=life_fac,0.5,0))+Sens!E19042*IF(2&lt;life_fac,1,IF(2=life_fac,0.5,0))+Sens!F19042*IF(1&lt;life_fac,1,IF(1=life_fac,0.5,0))+Sens!G19042*0.5)/life_fac</f>
        <v>4.093423821725</v>
      </c>
      <c r="H19048" s="6" t="n">
        <f aca="false">(Sens!C19042*IF(5&lt;life_fac,1,IF(5=life_fac,0.5,0))+Sens!D19042*IF(4&lt;life_fac,1,IF(4=life_fac,0.5,0))+Sens!E19042*IF(3&lt;life_fac,1,IF(3=life_fac,0.5,0))+Sens!F19042*IF(2&lt;life_fac,1,IF(2=life_fac,0.5,0))+Sens!G19042*IF(1&lt;life_fac,1,IF(1=life_fac,0.5,0))+Sens!H19042*0.5)/life_fac</f>
        <v>5.769073702875</v>
      </c>
      <c r="I19048" s="6" t="n">
        <f aca="false">(Sens!C19042*IF(6&lt;life_fac,1,IF(6=life_fac,0.5,0))+Sens!D19042*IF(5&lt;life_fac,1,IF(5=life_fac,0.5,0))+Sens!E19042*IF(4&lt;life_fac,1,IF(4=life_fac,0.5,0))+Sens!F19042*IF(3&lt;life_fac,1,IF(3=life_fac,0.5,0))+Sens!G19042*IF(2&lt;life_fac,1,IF(2=life_fac,0.5,0))+Sens!H19042*IF(1&lt;life_fac,1,IF(1=life_fac,0.5,0))+Sens!I19042*0.5)/life_fac</f>
        <v>7.20087772705058</v>
      </c>
      <c r="J19048" s="6" t="n">
        <f aca="false">(Sens!C19042*IF(7&lt;life_fac,1,IF(7=life_fac,0.5,0))+Sens!D19042*IF(6&lt;life_fac,1,IF(6=life_fac,0.5,0))+Sens!E19042*IF(5&lt;life_fac,1,IF(5=life_fac,0.5,0))+Sens!F19042*IF(4&lt;life_fac,1,IF(4=life_fac,0.5,0))+Sens!G19042*IF(3&lt;life_fac,1,IF(3=life_fac,0.5,0))+Sens!H19042*IF(2&lt;life_fac,1,IF(2=life_fac,0.5,0))+Sens!I19042*IF(1&lt;life_fac,1,IF(1=life_fac,0.5,0))+Sens!J19042*0.5)/life_fac</f>
        <v>8.15686961894934</v>
      </c>
      <c r="K19048" s="6" t="n">
        <f aca="false">(Sens!C19042*IF(8&lt;life_fac,1,IF(8=life_fac,0.5,0))+Sens!D19042*IF(7&lt;life_fac,1,IF(7=life_fac,0.5,0))+Sens!E19042*IF(6&lt;life_fac,1,IF(6=life_fac,0.5,0))+Sens!F19042*IF(5&lt;life_fac,1,IF(5=life_fac,0.5,0))+Sens!G19042*IF(4&lt;life_fac,1,IF(4=life_fac,0.5,0))+Sens!H19042*IF(3&lt;life_fac,1,IF(3=life_fac,0.5,0))+Sens!I19042*IF(2&lt;life_fac,1,IF(2=life_fac,0.5,0))+Sens!J19042*IF(1&lt;life_fac,1,IF(1=life_fac,0.5,0))+Sens!K19042*0.5)/life_fac</f>
        <v>8.65384955365624</v>
      </c>
    </row>
    <row r="19049" customFormat="false" ht="17.15" hidden="false" customHeight="false" outlineLevel="0" collapsed="false">
      <c r="A19049" s="0" t="s">
        <v>1001</v>
      </c>
      <c r="B19049" s="0" t="s">
        <v>98</v>
      </c>
      <c r="E19049" s="6" t="n">
        <f aca="false">Sens!E19047+Sens!E19048</f>
        <v>16.3054059770833</v>
      </c>
      <c r="F19049" s="6" t="n">
        <f aca="false">Sens!F19047+Sens!F19048</f>
        <v>34.641228276809</v>
      </c>
      <c r="G19049" s="6" t="n">
        <f aca="false">Sens!G19047+Sens!G19048</f>
        <v>60.9344867500193</v>
      </c>
      <c r="H19049" s="6" t="n">
        <f aca="false">Sens!H19047+Sens!H19048</f>
        <v>89.440318654396</v>
      </c>
      <c r="I19049" s="6" t="n">
        <f aca="false">Sens!I19047+Sens!I19048</f>
        <v>114.777494622816</v>
      </c>
      <c r="J19049" s="6" t="n">
        <f aca="false">Sens!J19047+Sens!J19048</f>
        <v>132.880875699293</v>
      </c>
      <c r="K19049" s="6" t="n">
        <f aca="false">Sens!K19047+Sens!K19048</f>
        <v>144.355521672042</v>
      </c>
    </row>
    <row r="19050" customFormat="false" ht="17.15" hidden="false" customHeight="false" outlineLevel="0" collapsed="false">
      <c r="A19050" s="0" t="s">
        <v>1002</v>
      </c>
      <c r="B19050" s="0" t="s">
        <v>98</v>
      </c>
      <c r="E19050" s="6" t="n">
        <f aca="false">Sens!E19037-Sens!E19036*Sens!E19049</f>
        <v>8.92707889977379</v>
      </c>
      <c r="F19050" s="6" t="n">
        <f aca="false">Sens!F19037-Sens!F19036*Sens!F19049</f>
        <v>19.3326855900561</v>
      </c>
      <c r="G19050" s="6" t="n">
        <f aca="false">Sens!G19037-Sens!G19036*Sens!G19049</f>
        <v>31.9400358790198</v>
      </c>
      <c r="H19050" s="6" t="n">
        <f aca="false">Sens!H19037-Sens!H19036*Sens!H19049</f>
        <v>44.8405707037068</v>
      </c>
      <c r="I19050" s="6" t="n">
        <f aca="false">Sens!I19037-Sens!I19036*Sens!I19049</f>
        <v>56.2738534759395</v>
      </c>
      <c r="J19050" s="6" t="n">
        <f aca="false">Sens!J19037-Sens!J19036*Sens!J19049</f>
        <v>64.2803317886855</v>
      </c>
      <c r="K19050" s="6" t="n">
        <f aca="false">Sens!K19037-Sens!K19036*Sens!K19049</f>
        <v>69.9532705324144</v>
      </c>
    </row>
    <row r="19051" customFormat="false" ht="17.15" hidden="false" customHeight="false" outlineLevel="0" collapsed="false">
      <c r="A19051" s="3" t="s">
        <v>1950</v>
      </c>
    </row>
    <row r="19052" customFormat="false" ht="15" hidden="false" customHeight="false" outlineLevel="0" collapsed="false">
      <c r="A19052" s="4" t="s">
        <v>43</v>
      </c>
      <c r="B19052" s="4" t="s">
        <v>65</v>
      </c>
      <c r="C19052" s="23" t="s">
        <v>938</v>
      </c>
      <c r="D19052" s="23" t="s">
        <v>939</v>
      </c>
      <c r="E19052" s="23" t="s">
        <v>940</v>
      </c>
      <c r="F19052" s="23" t="s">
        <v>941</v>
      </c>
      <c r="G19052" s="23" t="s">
        <v>942</v>
      </c>
      <c r="H19052" s="23" t="s">
        <v>943</v>
      </c>
      <c r="I19052" s="23" t="s">
        <v>944</v>
      </c>
      <c r="J19052" s="23" t="s">
        <v>945</v>
      </c>
      <c r="K19052" s="23" t="s">
        <v>946</v>
      </c>
      <c r="L19052" s="4" t="s">
        <v>47</v>
      </c>
    </row>
    <row r="19053" customFormat="false" ht="17.15" hidden="false" customHeight="false" outlineLevel="0" collapsed="false">
      <c r="A19053" s="0" t="s">
        <v>1021</v>
      </c>
      <c r="B19053" s="0" t="s">
        <v>98</v>
      </c>
      <c r="D19053" s="6" t="n">
        <f aca="false">Sens!D19031</f>
        <v>12.9359794422418</v>
      </c>
      <c r="E19053" s="6" t="n">
        <f aca="false">Sens!E19031</f>
        <v>27.8095064661409</v>
      </c>
      <c r="F19053" s="6" t="n">
        <f aca="false">Sens!F19031</f>
        <v>55.8772903013865</v>
      </c>
      <c r="G19053" s="6" t="n">
        <f aca="false">Sens!G19031</f>
        <v>91.8641845841814</v>
      </c>
      <c r="H19053" s="6" t="n">
        <f aca="false">Sens!H19031</f>
        <v>128.900726944493</v>
      </c>
      <c r="I19053" s="6" t="n">
        <f aca="false">Sens!I19031</f>
        <v>161.622958271247</v>
      </c>
      <c r="J19053" s="6" t="n">
        <f aca="false">Sens!J19031</f>
        <v>184.635703658677</v>
      </c>
      <c r="K19053" s="6" t="n">
        <f aca="false">Sens!K19031</f>
        <v>199.546014987989</v>
      </c>
    </row>
    <row r="19054" customFormat="false" ht="17.15" hidden="false" customHeight="false" outlineLevel="0" collapsed="false">
      <c r="A19054" s="0" t="s">
        <v>1022</v>
      </c>
      <c r="B19054" s="0" t="s">
        <v>98</v>
      </c>
      <c r="D19054" s="6" t="n">
        <f aca="false">Q!L6-Sens!D19053</f>
        <v>59.6740205577583</v>
      </c>
      <c r="E19054" s="6" t="n">
        <f aca="false">Q!M6-Sens!E19053</f>
        <v>74.1284935338591</v>
      </c>
      <c r="F19054" s="6" t="n">
        <f aca="false">Q!$I$6+(Sens!F19053+Sens!E19054*(1+Sens!F19055))*(1-Q!$E$6/Q!M6)-Sens!F19053</f>
        <v>91.1950089789892</v>
      </c>
      <c r="G19054" s="6" t="n">
        <f aca="false">Sens!F19054*(1+Sens!G19055)</f>
        <v>108.353282010926</v>
      </c>
      <c r="H19054" s="6" t="n">
        <f aca="false">Sens!G19054*(1+Sens!H19055)</f>
        <v>125.810289645763</v>
      </c>
      <c r="I19054" s="6" t="n">
        <f aca="false">Sens!H19054*(1+Sens!I19055)</f>
        <v>142.678257388326</v>
      </c>
      <c r="J19054" s="6" t="n">
        <f aca="false">Sens!I19054*(1+Sens!J19055)</f>
        <v>157.950154802542</v>
      </c>
      <c r="K19054" s="6" t="n">
        <f aca="false">Sens!J19054*(1+Sens!K19055)</f>
        <v>170.586167186745</v>
      </c>
      <c r="L19054" s="12" t="s">
        <v>1023</v>
      </c>
    </row>
    <row r="19055" customFormat="false" ht="15" hidden="false" customHeight="false" outlineLevel="0" collapsed="false">
      <c r="A19055" s="1" t="s">
        <v>1024</v>
      </c>
      <c r="B19055" s="0" t="s">
        <v>168</v>
      </c>
      <c r="E19055" s="7" t="n">
        <f aca="false">Sens!E19054/Sens!D19054-1</f>
        <v>0.242223883039864</v>
      </c>
      <c r="F19055" s="7" t="n">
        <f aca="false">Sens!$E$19055+(glt_azo-Sens!$E$19055)*MIN(1,(Sens!F19012-base_fy)/n_conv)</f>
        <v>0.215186569199887</v>
      </c>
      <c r="G19055" s="7" t="n">
        <f aca="false">Sens!$E$19055+(glt_azo-Sens!$E$19055)*MIN(1,(Sens!G19012-base_fy)/n_conv)</f>
        <v>0.18814925535991</v>
      </c>
      <c r="H19055" s="7" t="n">
        <f aca="false">Sens!$E$19055+(glt_azo-Sens!$E$19055)*MIN(1,(Sens!H19012-base_fy)/n_conv)</f>
        <v>0.161111941519932</v>
      </c>
      <c r="I19055" s="7" t="n">
        <f aca="false">Sens!$E$19055+(glt_azo-Sens!$E$19055)*MIN(1,(Sens!I19012-base_fy)/n_conv)</f>
        <v>0.134074627679955</v>
      </c>
      <c r="J19055" s="7" t="n">
        <f aca="false">Sens!$E$19055+(glt_azo-Sens!$E$19055)*MIN(1,(Sens!J19012-base_fy)/n_conv)</f>
        <v>0.107037313839977</v>
      </c>
      <c r="K19055" s="7" t="n">
        <f aca="false">Sens!$E$19055+(glt_azo-Sens!$E$19055)*MIN(1,(Sens!K19012-base_fy)/n_conv)</f>
        <v>0.08</v>
      </c>
    </row>
    <row r="19056" customFormat="false" ht="15" hidden="false" customHeight="false" outlineLevel="0" collapsed="false">
      <c r="A19056" s="0" t="s">
        <v>1025</v>
      </c>
      <c r="B19056" s="0" t="s">
        <v>98</v>
      </c>
      <c r="D19056" s="6" t="n">
        <f aca="false">Sens!D19053+Sens!D19054</f>
        <v>72.61</v>
      </c>
      <c r="E19056" s="6" t="n">
        <f aca="false">Sens!E19053+Sens!E19054</f>
        <v>101.938</v>
      </c>
      <c r="F19056" s="6" t="n">
        <f aca="false">Sens!F19053+Sens!F19054</f>
        <v>147.072299280376</v>
      </c>
      <c r="G19056" s="6" t="n">
        <f aca="false">Sens!G19053+Sens!G19054</f>
        <v>200.217466595108</v>
      </c>
      <c r="H19056" s="6" t="n">
        <f aca="false">Sens!H19053+Sens!H19054</f>
        <v>254.711016590257</v>
      </c>
      <c r="I19056" s="6" t="n">
        <f aca="false">Sens!I19053+Sens!I19054</f>
        <v>304.301215659573</v>
      </c>
      <c r="J19056" s="6" t="n">
        <f aca="false">Sens!J19053+Sens!J19054</f>
        <v>342.585858461218</v>
      </c>
      <c r="K19056" s="6" t="n">
        <f aca="false">Sens!K19053+Sens!K19054</f>
        <v>370.132182174734</v>
      </c>
    </row>
    <row r="19057" customFormat="false" ht="17.15" hidden="false" customHeight="false" outlineLevel="0" collapsed="false">
      <c r="A19057" s="0" t="s">
        <v>1026</v>
      </c>
      <c r="B19057" s="1" t="s">
        <v>610</v>
      </c>
      <c r="C19057" s="30" t="n">
        <f aca="false">cop_s24</f>
        <v>1</v>
      </c>
      <c r="D19057" s="30" t="n">
        <f aca="false">cop_s25</f>
        <v>5</v>
      </c>
      <c r="E19057" s="30" t="n">
        <f aca="false">cop_s26</f>
        <v>30</v>
      </c>
      <c r="F19057" s="30" t="n">
        <f aca="false">Sens!E19057+cop_add_B</f>
        <v>50</v>
      </c>
      <c r="G19057" s="30" t="n">
        <f aca="false">Sens!F19057+cop_add_B</f>
        <v>70</v>
      </c>
      <c r="H19057" s="30" t="n">
        <f aca="false">Sens!G19057+cop_add_B</f>
        <v>90</v>
      </c>
      <c r="I19057" s="30" t="n">
        <f aca="false">Sens!H19057+cop_add_B*cop_tail</f>
        <v>100</v>
      </c>
      <c r="J19057" s="30" t="n">
        <f aca="false">Sens!I19057+cop_add_B*cop_tail</f>
        <v>110</v>
      </c>
      <c r="K19057" s="30" t="n">
        <f aca="false">Sens!J19057+cop_add_B*cop_tail</f>
        <v>120</v>
      </c>
      <c r="L19057" s="12" t="s">
        <v>1027</v>
      </c>
    </row>
    <row r="19058" customFormat="false" ht="17.15" hidden="false" customHeight="false" outlineLevel="0" collapsed="false">
      <c r="A19058" s="0" t="s">
        <v>1028</v>
      </c>
      <c r="B19058" s="0" t="s">
        <v>98</v>
      </c>
      <c r="D19058" s="6" t="n">
        <f aca="false">(Sens!C19057+Sens!D19057)/2*cop_px*12/1000</f>
        <v>0.9</v>
      </c>
      <c r="E19058" s="6" t="n">
        <f aca="false">(Sens!D19057+Sens!E19057)/2*cop_px*12/1000</f>
        <v>5.25</v>
      </c>
      <c r="F19058" s="6" t="n">
        <f aca="false">(Sens!E19057+Sens!F19057)/2*cop_px*12/1000</f>
        <v>12</v>
      </c>
      <c r="G19058" s="6" t="n">
        <f aca="false">(Sens!F19057+Sens!G19057)/2*cop_px*12/1000</f>
        <v>18</v>
      </c>
      <c r="H19058" s="6" t="n">
        <f aca="false">(Sens!G19057+Sens!H19057)/2*cop_px*12/1000</f>
        <v>24</v>
      </c>
      <c r="I19058" s="6" t="n">
        <f aca="false">(Sens!H19057+Sens!I19057)/2*cop_px*12/1000</f>
        <v>28.5</v>
      </c>
      <c r="J19058" s="6" t="n">
        <f aca="false">(Sens!I19057+Sens!J19057)/2*cop_px*12/1000</f>
        <v>31.5</v>
      </c>
      <c r="K19058" s="6" t="n">
        <f aca="false">(Sens!J19057+Sens!K19057)/2*cop_px*12/1000</f>
        <v>34.5</v>
      </c>
      <c r="L19058" s="1" t="s">
        <v>1029</v>
      </c>
    </row>
    <row r="19059" customFormat="false" ht="17.15" hidden="false" customHeight="false" outlineLevel="0" collapsed="false">
      <c r="A19059" s="0" t="s">
        <v>1030</v>
      </c>
      <c r="B19059" s="0" t="s">
        <v>98</v>
      </c>
      <c r="D19059" s="6" t="n">
        <f aca="false">Q!L7-Sens!D19058</f>
        <v>83.705</v>
      </c>
      <c r="E19059" s="6" t="n">
        <f aca="false">Q!M7-Sens!E19058</f>
        <v>95.049</v>
      </c>
      <c r="F19059" s="6" t="n">
        <f aca="false">Q!$I$7+(Sens!E19059*(1+Sens!F19060)+Sens!F19058)*(1-Q!$E$7/Q!M7)-Sens!F19058</f>
        <v>106.584003697747</v>
      </c>
      <c r="G19059" s="6" t="n">
        <f aca="false">Sens!F19059*(1+Sens!G19060)</f>
        <v>118.700726545688</v>
      </c>
      <c r="H19059" s="6" t="n">
        <f aca="false">Sens!G19059*(1+Sens!H19060)</f>
        <v>130.898624783666</v>
      </c>
      <c r="I19059" s="6" t="n">
        <f aca="false">Sens!H19059*(1+Sens!I19060)</f>
        <v>142.920510030657</v>
      </c>
      <c r="J19059" s="6" t="n">
        <f aca="false">Sens!I19059*(1+Sens!J19060)</f>
        <v>154.485722618572</v>
      </c>
      <c r="K19059" s="6" t="n">
        <f aca="false">Sens!J19059*(1+Sens!K19060)</f>
        <v>165.299723201872</v>
      </c>
      <c r="L19059" s="12" t="s">
        <v>1031</v>
      </c>
    </row>
    <row r="19060" customFormat="false" ht="15" hidden="false" customHeight="false" outlineLevel="0" collapsed="false">
      <c r="A19060" s="1" t="s">
        <v>1024</v>
      </c>
      <c r="B19060" s="0" t="s">
        <v>168</v>
      </c>
      <c r="E19060" s="7" t="n">
        <f aca="false">Sens!E19059/Sens!D19059-1</f>
        <v>0.135523564900544</v>
      </c>
      <c r="F19060" s="7" t="n">
        <f aca="false">Sens!$E$19060+(glt_m365b-Sens!$E$19060)*MIN(1,(Sens!F19012-base_fy)/n_conv)</f>
        <v>0.124602970750453</v>
      </c>
      <c r="G19060" s="7" t="n">
        <f aca="false">Sens!$E$19060+(glt_m365b-Sens!$E$19060)*MIN(1,(Sens!G19012-base_fy)/n_conv)</f>
        <v>0.113682376600363</v>
      </c>
      <c r="H19060" s="7" t="n">
        <f aca="false">Sens!$E$19060+(glt_m365b-Sens!$E$19060)*MIN(1,(Sens!H19012-base_fy)/n_conv)</f>
        <v>0.102761782450272</v>
      </c>
      <c r="I19060" s="7" t="n">
        <f aca="false">Sens!$E$19060+(glt_m365b-Sens!$E$19060)*MIN(1,(Sens!I19012-base_fy)/n_conv)</f>
        <v>0.0918411883001813</v>
      </c>
      <c r="J19060" s="7" t="n">
        <f aca="false">Sens!$E$19060+(glt_m365b-Sens!$E$19060)*MIN(1,(Sens!J19012-base_fy)/n_conv)</f>
        <v>0.0809205941500906</v>
      </c>
      <c r="K19060" s="7" t="n">
        <f aca="false">Sens!$E$19060+(glt_m365b-Sens!$E$19060)*MIN(1,(Sens!K19012-base_fy)/n_conv)</f>
        <v>0.07</v>
      </c>
    </row>
    <row r="19061" customFormat="false" ht="15" hidden="false" customHeight="false" outlineLevel="0" collapsed="false">
      <c r="A19061" s="0" t="s">
        <v>1032</v>
      </c>
      <c r="B19061" s="0" t="s">
        <v>98</v>
      </c>
      <c r="D19061" s="6" t="n">
        <f aca="false">Sens!D19059+Sens!D19058</f>
        <v>84.605</v>
      </c>
      <c r="E19061" s="6" t="n">
        <f aca="false">Sens!E19059+Sens!E19058</f>
        <v>100.299</v>
      </c>
      <c r="F19061" s="6" t="n">
        <f aca="false">Sens!F19059+Sens!F19058</f>
        <v>118.584003697747</v>
      </c>
      <c r="G19061" s="6" t="n">
        <f aca="false">Sens!G19059+Sens!G19058</f>
        <v>136.700726545688</v>
      </c>
      <c r="H19061" s="6" t="n">
        <f aca="false">Sens!H19059+Sens!H19058</f>
        <v>154.898624783666</v>
      </c>
      <c r="I19061" s="6" t="n">
        <f aca="false">Sens!I19059+Sens!I19058</f>
        <v>171.420510030657</v>
      </c>
      <c r="J19061" s="6" t="n">
        <f aca="false">Sens!J19059+Sens!J19058</f>
        <v>185.985722618572</v>
      </c>
      <c r="K19061" s="6" t="n">
        <f aca="false">Sens!K19059+Sens!K19058</f>
        <v>199.799723201872</v>
      </c>
    </row>
    <row r="19062" customFormat="false" ht="17.15" hidden="false" customHeight="false" outlineLevel="0" collapsed="false">
      <c r="A19062" s="0" t="s">
        <v>1033</v>
      </c>
      <c r="B19062" s="0" t="s">
        <v>98</v>
      </c>
      <c r="D19062" s="6" t="n">
        <f aca="false">Q!L8</f>
        <v>35.391</v>
      </c>
      <c r="E19062" s="6" t="n">
        <f aca="false">Q!M8</f>
        <v>37.285</v>
      </c>
      <c r="F19062" s="6" t="n">
        <f aca="false">Q!$I$8+(Q!M8-Q!$E$8)*(1+Sens!F19063)</f>
        <v>38.3851437782675</v>
      </c>
      <c r="G19062" s="6" t="n">
        <f aca="false">Sens!F19062*(1+Sens!G19063)</f>
        <v>40.0105353288615</v>
      </c>
      <c r="H19062" s="6" t="n">
        <f aca="false">Sens!G19062*(1+Sens!H19063)</f>
        <v>41.4812512033683</v>
      </c>
      <c r="I19062" s="6" t="n">
        <f aca="false">Sens!H19062*(1+Sens!I19063)</f>
        <v>42.7743107216329</v>
      </c>
      <c r="J19062" s="6" t="n">
        <f aca="false">Sens!I19062*(1+Sens!J19063)</f>
        <v>43.8687373064601</v>
      </c>
      <c r="K19062" s="6" t="n">
        <f aca="false">Sens!J19062*(1+Sens!K19063)</f>
        <v>44.7461120525893</v>
      </c>
      <c r="L19062" s="12" t="s">
        <v>1034</v>
      </c>
    </row>
    <row r="19063" customFormat="false" ht="15" hidden="false" customHeight="false" outlineLevel="0" collapsed="false">
      <c r="A19063" s="1" t="s">
        <v>1024</v>
      </c>
      <c r="B19063" s="0" t="s">
        <v>168</v>
      </c>
      <c r="E19063" s="7" t="n">
        <f aca="false">Sens!E19062/Sens!D19062-1</f>
        <v>0.0535164307309768</v>
      </c>
      <c r="F19063" s="7" t="n">
        <f aca="false">Sens!$E$19063+(glt_lic-Sens!$E$19063)*MIN(1,(Sens!F19012-base_fy)/n_conv)</f>
        <v>0.0479303589424807</v>
      </c>
      <c r="G19063" s="7" t="n">
        <f aca="false">Sens!$E$19063+(glt_lic-Sens!$E$19063)*MIN(1,(Sens!G19012-base_fy)/n_conv)</f>
        <v>0.0423442871539845</v>
      </c>
      <c r="H19063" s="7" t="n">
        <f aca="false">Sens!$E$19063+(glt_lic-Sens!$E$19063)*MIN(1,(Sens!H19012-base_fy)/n_conv)</f>
        <v>0.0367582153654884</v>
      </c>
      <c r="I19063" s="7" t="n">
        <f aca="false">Sens!$E$19063+(glt_lic-Sens!$E$19063)*MIN(1,(Sens!I19012-base_fy)/n_conv)</f>
        <v>0.0311721435769923</v>
      </c>
      <c r="J19063" s="7" t="n">
        <f aca="false">Sens!$E$19063+(glt_lic-Sens!$E$19063)*MIN(1,(Sens!J19012-base_fy)/n_conv)</f>
        <v>0.0255860717884961</v>
      </c>
      <c r="K19063" s="7" t="n">
        <f aca="false">Sens!$E$19063+(glt_lic-Sens!$E$19063)*MIN(1,(Sens!K19012-base_fy)/n_conv)</f>
        <v>0.02</v>
      </c>
    </row>
    <row r="19064" customFormat="false" ht="17.15" hidden="false" customHeight="false" outlineLevel="0" collapsed="false">
      <c r="A19064" s="0" t="s">
        <v>1035</v>
      </c>
      <c r="B19064" s="0" t="s">
        <v>98</v>
      </c>
      <c r="D19064" s="6" t="n">
        <f aca="false">Q!L9</f>
        <v>18.417</v>
      </c>
      <c r="E19064" s="6" t="n">
        <f aca="false">Q!M9</f>
        <v>20.345</v>
      </c>
      <c r="F19064" s="6" t="n">
        <f aca="false">Q!$I$9+(Q!M9-Q!$E$9)*(1+Sens!F19065)</f>
        <v>22.3161797133988</v>
      </c>
      <c r="G19064" s="6" t="n">
        <f aca="false">Sens!F19064*(1+Sens!G19065)</f>
        <v>24.3943499673233</v>
      </c>
      <c r="H19064" s="6" t="n">
        <f aca="false">Sens!G19064*(1+Sens!H19065)</f>
        <v>26.5250243109019</v>
      </c>
      <c r="I19064" s="6" t="n">
        <f aca="false">Sens!H19064*(1+Sens!I19065)</f>
        <v>28.6884573538181</v>
      </c>
      <c r="J19064" s="6" t="n">
        <f aca="false">Sens!I19064*(1+Sens!J19065)</f>
        <v>30.8624968052127</v>
      </c>
      <c r="K19064" s="6" t="n">
        <f aca="false">Sens!J19064*(1+Sens!K19065)</f>
        <v>33.0228715815776</v>
      </c>
      <c r="L19064" s="12" t="s">
        <v>1034</v>
      </c>
    </row>
    <row r="19065" customFormat="false" ht="15" hidden="false" customHeight="false" outlineLevel="0" collapsed="false">
      <c r="A19065" s="1" t="s">
        <v>1024</v>
      </c>
      <c r="B19065" s="0" t="s">
        <v>168</v>
      </c>
      <c r="E19065" s="7" t="n">
        <f aca="false">Sens!E19064/Sens!D19064-1</f>
        <v>0.104685888038225</v>
      </c>
      <c r="F19065" s="7" t="n">
        <f aca="false">Sens!$E$19065+(glt_ind-Sens!$E$19065)*MIN(1,(Sens!F19012-base_fy)/n_conv)</f>
        <v>0.0989049066985211</v>
      </c>
      <c r="G19065" s="7" t="n">
        <f aca="false">Sens!$E$19065+(glt_ind-Sens!$E$19065)*MIN(1,(Sens!G19012-base_fy)/n_conv)</f>
        <v>0.0931239253588169</v>
      </c>
      <c r="H19065" s="7" t="n">
        <f aca="false">Sens!$E$19065+(glt_ind-Sens!$E$19065)*MIN(1,(Sens!H19012-base_fy)/n_conv)</f>
        <v>0.0873429440191127</v>
      </c>
      <c r="I19065" s="7" t="n">
        <f aca="false">Sens!$E$19065+(glt_ind-Sens!$E$19065)*MIN(1,(Sens!I19012-base_fy)/n_conv)</f>
        <v>0.0815619626794085</v>
      </c>
      <c r="J19065" s="7" t="n">
        <f aca="false">Sens!$E$19065+(glt_ind-Sens!$E$19065)*MIN(1,(Sens!J19012-base_fy)/n_conv)</f>
        <v>0.0757809813397042</v>
      </c>
      <c r="K19065" s="7" t="n">
        <f aca="false">Sens!$E$19065+(glt_ind-Sens!$E$19065)*MIN(1,(Sens!K19012-base_fy)/n_conv)</f>
        <v>0.07</v>
      </c>
    </row>
    <row r="19066" customFormat="false" ht="17.15" hidden="false" customHeight="false" outlineLevel="0" collapsed="false">
      <c r="A19066" s="0" t="s">
        <v>1036</v>
      </c>
      <c r="B19066" s="0" t="s">
        <v>98</v>
      </c>
      <c r="D19066" s="6" t="n">
        <f aca="false">Q!L10</f>
        <v>7.76</v>
      </c>
      <c r="E19066" s="6" t="n">
        <f aca="false">Q!M10</f>
        <v>8.26</v>
      </c>
      <c r="F19066" s="6" t="n">
        <f aca="false">Q!$I$10+(Q!M10-Q!$E$10)*(1+Sens!F19067)</f>
        <v>8.75372082474227</v>
      </c>
      <c r="G19066" s="6" t="n">
        <f aca="false">Sens!F19066*(1+Sens!G19067)</f>
        <v>9.33399324642364</v>
      </c>
      <c r="H19066" s="6" t="n">
        <f aca="false">Sens!G19066*(1+Sens!H19067)</f>
        <v>9.96139155535851</v>
      </c>
      <c r="I19066" s="6" t="n">
        <f aca="false">Sens!H19066*(1+Sens!I19067)</f>
        <v>10.6402039077391</v>
      </c>
      <c r="J19066" s="6" t="n">
        <f aca="false">Sens!I19066*(1+Sens!J19067)</f>
        <v>11.3751458271397</v>
      </c>
      <c r="K19066" s="6" t="n">
        <f aca="false">Sens!J19066*(1+Sens!K19067)</f>
        <v>12.1714060350394</v>
      </c>
      <c r="L19066" s="12" t="s">
        <v>1034</v>
      </c>
    </row>
    <row r="19067" customFormat="false" ht="15" hidden="false" customHeight="false" outlineLevel="0" collapsed="false">
      <c r="A19067" s="1" t="s">
        <v>1024</v>
      </c>
      <c r="B19067" s="0" t="s">
        <v>168</v>
      </c>
      <c r="E19067" s="7" t="n">
        <f aca="false">Sens!E19066/Sens!D19066-1</f>
        <v>0.0644329896907216</v>
      </c>
      <c r="F19067" s="7" t="n">
        <f aca="false">Sens!$E$19067+(glt_fro-Sens!$E$19067)*MIN(1,(Sens!F19012-base_fy)/n_conv)</f>
        <v>0.065360824742268</v>
      </c>
      <c r="G19067" s="7" t="n">
        <f aca="false">Sens!$E$19067+(glt_fro-Sens!$E$19067)*MIN(1,(Sens!G19012-base_fy)/n_conv)</f>
        <v>0.0662886597938144</v>
      </c>
      <c r="H19067" s="7" t="n">
        <f aca="false">Sens!$E$19067+(glt_fro-Sens!$E$19067)*MIN(1,(Sens!H19012-base_fy)/n_conv)</f>
        <v>0.0672164948453608</v>
      </c>
      <c r="I19067" s="7" t="n">
        <f aca="false">Sens!$E$19067+(glt_fro-Sens!$E$19067)*MIN(1,(Sens!I19012-base_fy)/n_conv)</f>
        <v>0.0681443298969072</v>
      </c>
      <c r="J19067" s="7" t="n">
        <f aca="false">Sens!$E$19067+(glt_fro-Sens!$E$19067)*MIN(1,(Sens!J19012-base_fy)/n_conv)</f>
        <v>0.0690721649484536</v>
      </c>
      <c r="K19067" s="7" t="n">
        <f aca="false">Sens!$E$19067+(glt_fro-Sens!$E$19067)*MIN(1,(Sens!K19012-base_fy)/n_conv)</f>
        <v>0.07</v>
      </c>
    </row>
    <row r="19068" customFormat="false" ht="15" hidden="false" customHeight="false" outlineLevel="0" collapsed="false">
      <c r="A19068" s="0" t="s">
        <v>852</v>
      </c>
      <c r="B19068" s="0" t="s">
        <v>98</v>
      </c>
      <c r="D19068" s="6" t="n">
        <f aca="false">Sens!D19056+Sens!D19061+Sens!D19062+Sens!D19064+Sens!D19066</f>
        <v>218.783</v>
      </c>
      <c r="E19068" s="6" t="n">
        <f aca="false">Sens!E19056+Sens!E19061+Sens!E19062+Sens!E19064+Sens!E19066</f>
        <v>268.127</v>
      </c>
      <c r="F19068" s="6" t="n">
        <f aca="false">Sens!F19056+Sens!F19061+Sens!F19062+Sens!F19064+Sens!F19066</f>
        <v>335.111347294531</v>
      </c>
      <c r="G19068" s="6" t="n">
        <f aca="false">Sens!G19056+Sens!G19061+Sens!G19062+Sens!G19064+Sens!G19066</f>
        <v>410.657071683405</v>
      </c>
      <c r="H19068" s="6" t="n">
        <f aca="false">Sens!H19056+Sens!H19061+Sens!H19062+Sens!H19064+Sens!H19066</f>
        <v>487.577308443551</v>
      </c>
      <c r="I19068" s="6" t="n">
        <f aca="false">Sens!I19056+Sens!I19061+Sens!I19062+Sens!I19064+Sens!I19066</f>
        <v>557.824697673421</v>
      </c>
      <c r="J19068" s="6" t="n">
        <f aca="false">Sens!J19056+Sens!J19061+Sens!J19062+Sens!J19064+Sens!J19066</f>
        <v>614.677961018603</v>
      </c>
      <c r="K19068" s="6" t="n">
        <f aca="false">Sens!K19056+Sens!K19061+Sens!K19062+Sens!K19064+Sens!K19066</f>
        <v>659.872295045812</v>
      </c>
    </row>
    <row r="19069" customFormat="false" ht="17.15" hidden="false" customHeight="false" outlineLevel="0" collapsed="false">
      <c r="A19069" s="0" t="s">
        <v>1037</v>
      </c>
      <c r="B19069" s="0" t="s">
        <v>98</v>
      </c>
      <c r="D19069" s="6" t="n">
        <f aca="false">Q!L13</f>
        <v>22.171</v>
      </c>
      <c r="E19069" s="6" t="n">
        <f aca="false">Q!M13</f>
        <v>24.835</v>
      </c>
      <c r="F19069" s="6" t="n">
        <f aca="false">Q!$I$13+(Q!M13-Q!$E$13)*(1+Sens!F19070)</f>
        <v>27.5591895660247</v>
      </c>
      <c r="G19069" s="6" t="n">
        <f aca="false">Sens!F19069*(1+Sens!G19070)</f>
        <v>30.4098563144583</v>
      </c>
      <c r="H19069" s="6" t="n">
        <f aca="false">Sens!G19069*(1+Sens!H19070)</f>
        <v>33.3011792571777</v>
      </c>
      <c r="I19069" s="6" t="n">
        <f aca="false">Sens!H19069*(1+Sens!I19070)</f>
        <v>36.189023797112</v>
      </c>
      <c r="J19069" s="6" t="n">
        <f aca="false">Sens!I19069*(1+Sens!J19070)</f>
        <v>39.0247773769199</v>
      </c>
      <c r="K19069" s="6" t="n">
        <f aca="false">Sens!J19069*(1+Sens!K19070)</f>
        <v>41.7565117933043</v>
      </c>
      <c r="L19069" s="12" t="s">
        <v>1034</v>
      </c>
    </row>
    <row r="19070" customFormat="false" ht="15" hidden="false" customHeight="false" outlineLevel="0" collapsed="false">
      <c r="A19070" s="1" t="s">
        <v>1024</v>
      </c>
      <c r="B19070" s="0" t="s">
        <v>168</v>
      </c>
      <c r="E19070" s="7" t="n">
        <f aca="false">Sens!E19069/Sens!D19069-1</f>
        <v>0.120156961796942</v>
      </c>
      <c r="F19070" s="7" t="n">
        <f aca="false">Sens!$E$19070+(glt_srch-Sens!$E$19070)*MIN(1,(Sens!F19012-base_fy)/n_conv)</f>
        <v>0.111797468164118</v>
      </c>
      <c r="G19070" s="7" t="n">
        <f aca="false">Sens!$E$19070+(glt_srch-Sens!$E$19070)*MIN(1,(Sens!G19012-base_fy)/n_conv)</f>
        <v>0.103437974531295</v>
      </c>
      <c r="H19070" s="7" t="n">
        <f aca="false">Sens!$E$19070+(glt_srch-Sens!$E$19070)*MIN(1,(Sens!H19012-base_fy)/n_conv)</f>
        <v>0.095078480898471</v>
      </c>
      <c r="I19070" s="7" t="n">
        <f aca="false">Sens!$E$19070+(glt_srch-Sens!$E$19070)*MIN(1,(Sens!I19012-base_fy)/n_conv)</f>
        <v>0.0867189872656474</v>
      </c>
      <c r="J19070" s="7" t="n">
        <f aca="false">Sens!$E$19070+(glt_srch-Sens!$E$19070)*MIN(1,(Sens!J19012-base_fy)/n_conv)</f>
        <v>0.0783594936328237</v>
      </c>
      <c r="K19070" s="7" t="n">
        <f aca="false">Sens!$E$19070+(glt_srch-Sens!$E$19070)*MIN(1,(Sens!K19012-base_fy)/n_conv)</f>
        <v>0.07</v>
      </c>
    </row>
    <row r="19071" customFormat="false" ht="17.15" hidden="false" customHeight="false" outlineLevel="0" collapsed="false">
      <c r="A19071" s="0" t="s">
        <v>1038</v>
      </c>
      <c r="B19071" s="0" t="s">
        <v>98</v>
      </c>
      <c r="D19071" s="6" t="n">
        <f aca="false">Q!L14</f>
        <v>23.455</v>
      </c>
      <c r="E19071" s="6" t="n">
        <f aca="false">Q!M14</f>
        <v>21.79</v>
      </c>
      <c r="F19071" s="6" t="n">
        <f aca="false">Q!$I$14+(Q!M14-Q!$E$14)*(1+Sens!F19072)</f>
        <v>20.7520981041711</v>
      </c>
      <c r="G19071" s="6" t="n">
        <f aca="false">Sens!F19071*(1+Sens!G19072)</f>
        <v>19.9083593495882</v>
      </c>
      <c r="H19071" s="6" t="n">
        <f aca="false">Sens!G19071*(1+Sens!H19072)</f>
        <v>19.4008256265831</v>
      </c>
      <c r="I19071" s="6" t="n">
        <f aca="false">Sens!H19071*(1+Sens!I19072)</f>
        <v>19.200434522122</v>
      </c>
      <c r="J19071" s="6" t="n">
        <f aca="false">Sens!I19071*(1+Sens!J19072)</f>
        <v>19.2932782348507</v>
      </c>
      <c r="K19071" s="6" t="n">
        <f aca="false">Sens!J19071*(1+Sens!K19072)</f>
        <v>19.6791437995477</v>
      </c>
      <c r="L19071" s="12" t="s">
        <v>1034</v>
      </c>
    </row>
    <row r="19072" customFormat="false" ht="15" hidden="false" customHeight="false" outlineLevel="0" collapsed="false">
      <c r="A19072" s="1" t="s">
        <v>1024</v>
      </c>
      <c r="B19072" s="0" t="s">
        <v>168</v>
      </c>
      <c r="E19072" s="7" t="n">
        <f aca="false">Sens!E19071/Sens!D19071-1</f>
        <v>-0.0709869963760392</v>
      </c>
      <c r="F19072" s="7" t="n">
        <f aca="false">Sens!$E$19072+(glt_xbox-Sens!$E$19072)*MIN(1,(Sens!F19012-base_fy)/n_conv)</f>
        <v>-0.0558224969800327</v>
      </c>
      <c r="G19072" s="7" t="n">
        <f aca="false">Sens!$E$19072+(glt_xbox-Sens!$E$19072)*MIN(1,(Sens!G19012-base_fy)/n_conv)</f>
        <v>-0.0406579975840262</v>
      </c>
      <c r="H19072" s="7" t="n">
        <f aca="false">Sens!$E$19072+(glt_xbox-Sens!$E$19072)*MIN(1,(Sens!H19012-base_fy)/n_conv)</f>
        <v>-0.0254934981880196</v>
      </c>
      <c r="I19072" s="7" t="n">
        <f aca="false">Sens!$E$19072+(glt_xbox-Sens!$E$19072)*MIN(1,(Sens!I19012-base_fy)/n_conv)</f>
        <v>-0.0103289987920131</v>
      </c>
      <c r="J19072" s="7" t="n">
        <f aca="false">Sens!$E$19072+(glt_xbox-Sens!$E$19072)*MIN(1,(Sens!J19012-base_fy)/n_conv)</f>
        <v>0.00483550060399347</v>
      </c>
      <c r="K19072" s="7" t="n">
        <f aca="false">Sens!$E$19072+(glt_xbox-Sens!$E$19072)*MIN(1,(Sens!K19012-base_fy)/n_conv)</f>
        <v>0.02</v>
      </c>
    </row>
    <row r="19073" customFormat="false" ht="17.15" hidden="false" customHeight="false" outlineLevel="0" collapsed="false">
      <c r="A19073" s="0" t="s">
        <v>1039</v>
      </c>
      <c r="B19073" s="0" t="s">
        <v>98</v>
      </c>
      <c r="D19073" s="6" t="n">
        <f aca="false">Q!L15</f>
        <v>17.315</v>
      </c>
      <c r="E19073" s="6" t="n">
        <f aca="false">Q!M15</f>
        <v>17.087</v>
      </c>
      <c r="F19073" s="6" t="n">
        <f aca="false">Q!$I$15+(Q!M15-Q!$E$15)*(1+Sens!F19074)</f>
        <v>15.9912273250553</v>
      </c>
      <c r="G19073" s="6" t="n">
        <f aca="false">Sens!F19073*(1+Sens!G19074)</f>
        <v>15.9574562664827</v>
      </c>
      <c r="H19073" s="6" t="n">
        <f aca="false">Sens!G19073*(1+Sens!H19074)</f>
        <v>16.0119687434196</v>
      </c>
      <c r="I19073" s="6" t="n">
        <f aca="false">Sens!H19073*(1+Sens!I19074)</f>
        <v>16.1551810001948</v>
      </c>
      <c r="J19073" s="6" t="n">
        <f aca="false">Sens!I19073*(1+Sens!J19074)</f>
        <v>16.3889793892005</v>
      </c>
      <c r="K19073" s="6" t="n">
        <f aca="false">Sens!J19073*(1+Sens!K19074)</f>
        <v>16.7167589769845</v>
      </c>
      <c r="L19073" s="12" t="s">
        <v>1034</v>
      </c>
    </row>
    <row r="19074" customFormat="false" ht="15" hidden="false" customHeight="false" outlineLevel="0" collapsed="false">
      <c r="A19074" s="1" t="s">
        <v>1024</v>
      </c>
      <c r="B19074" s="0" t="s">
        <v>168</v>
      </c>
      <c r="E19074" s="7" t="n">
        <f aca="false">Sens!E19073/Sens!D19073-1</f>
        <v>-0.0131677736066995</v>
      </c>
      <c r="F19074" s="7" t="n">
        <f aca="false">Sens!$E$19074+(glt_win-Sens!$E$19074)*MIN(1,(Sens!F19012-base_fy)/n_conv)</f>
        <v>-0.00763981133891627</v>
      </c>
      <c r="G19074" s="7" t="n">
        <f aca="false">Sens!$E$19074+(glt_win-Sens!$E$19074)*MIN(1,(Sens!G19012-base_fy)/n_conv)</f>
        <v>-0.00211184907113301</v>
      </c>
      <c r="H19074" s="7" t="n">
        <f aca="false">Sens!$E$19074+(glt_win-Sens!$E$19074)*MIN(1,(Sens!H19012-base_fy)/n_conv)</f>
        <v>0.00341611319665024</v>
      </c>
      <c r="I19074" s="7" t="n">
        <f aca="false">Sens!$E$19074+(glt_win-Sens!$E$19074)*MIN(1,(Sens!I19012-base_fy)/n_conv)</f>
        <v>0.00894407546443349</v>
      </c>
      <c r="J19074" s="7" t="n">
        <f aca="false">Sens!$E$19074+(glt_win-Sens!$E$19074)*MIN(1,(Sens!J19012-base_fy)/n_conv)</f>
        <v>0.0144720377322168</v>
      </c>
      <c r="K19074" s="7" t="n">
        <f aca="false">Sens!$E$19074+(glt_win-Sens!$E$19074)*MIN(1,(Sens!K19012-base_fy)/n_conv)</f>
        <v>0.02</v>
      </c>
    </row>
    <row r="19075" customFormat="false" ht="15" hidden="false" customHeight="false" outlineLevel="0" collapsed="false">
      <c r="A19075" s="0" t="s">
        <v>866</v>
      </c>
      <c r="B19075" s="0" t="s">
        <v>98</v>
      </c>
      <c r="D19075" s="6" t="n">
        <f aca="false">Sens!D19069+Sens!D19071+Sens!D19073</f>
        <v>62.941</v>
      </c>
      <c r="E19075" s="6" t="n">
        <f aca="false">Sens!E19069+Sens!E19071+Sens!E19073</f>
        <v>63.712</v>
      </c>
      <c r="F19075" s="6" t="n">
        <f aca="false">Sens!F19069+Sens!F19071+Sens!F19073</f>
        <v>64.3025149952511</v>
      </c>
      <c r="G19075" s="6" t="n">
        <f aca="false">Sens!G19069+Sens!G19071+Sens!G19073</f>
        <v>66.2756719305292</v>
      </c>
      <c r="H19075" s="6" t="n">
        <f aca="false">Sens!H19069+Sens!H19071+Sens!H19073</f>
        <v>68.7139736271804</v>
      </c>
      <c r="I19075" s="6" t="n">
        <f aca="false">Sens!I19069+Sens!I19071+Sens!I19073</f>
        <v>71.5446393194289</v>
      </c>
      <c r="J19075" s="6" t="n">
        <f aca="false">Sens!J19069+Sens!J19071+Sens!J19073</f>
        <v>74.707035000971</v>
      </c>
      <c r="K19075" s="6" t="n">
        <f aca="false">Sens!K19069+Sens!K19071+Sens!K19073</f>
        <v>78.1524145698365</v>
      </c>
    </row>
    <row r="19076" customFormat="false" ht="15" hidden="false" customHeight="false" outlineLevel="0" collapsed="false">
      <c r="A19076" s="1" t="s">
        <v>1040</v>
      </c>
      <c r="B19076" s="0" t="s">
        <v>98</v>
      </c>
      <c r="D19076" s="6" t="n">
        <f aca="false">Sens!D19068+Sens!D19075</f>
        <v>281.724</v>
      </c>
      <c r="E19076" s="6" t="n">
        <f aca="false">Sens!E19068+Sens!E19075</f>
        <v>331.839</v>
      </c>
      <c r="F19076" s="6" t="n">
        <f aca="false">Sens!F19068+Sens!F19075</f>
        <v>399.413862289782</v>
      </c>
      <c r="G19076" s="6" t="n">
        <f aca="false">Sens!G19068+Sens!G19075</f>
        <v>476.932743613934</v>
      </c>
      <c r="H19076" s="6" t="n">
        <f aca="false">Sens!H19068+Sens!H19075</f>
        <v>556.291282070731</v>
      </c>
      <c r="I19076" s="6" t="n">
        <f aca="false">Sens!I19068+Sens!I19075</f>
        <v>629.369336992849</v>
      </c>
      <c r="J19076" s="6" t="n">
        <f aca="false">Sens!J19068+Sens!J19075</f>
        <v>689.384996019574</v>
      </c>
      <c r="K19076" s="6" t="n">
        <f aca="false">Sens!K19068+Sens!K19075</f>
        <v>738.024709615648</v>
      </c>
    </row>
    <row r="19077" customFormat="false" ht="15" hidden="false" customHeight="false" outlineLevel="0" collapsed="false">
      <c r="A19077" s="26" t="s">
        <v>1041</v>
      </c>
      <c r="B19077" s="31" t="s">
        <v>98</v>
      </c>
      <c r="C19077" s="31"/>
      <c r="D19077" s="27" t="n">
        <f aca="false">(Sens!D19056+Sens!D19061+Sens!D19062+Sens!D19064+Sens!D19066-Sens!D19068)+(Sens!D19069+Sens!D19071+Sens!D19073-Sens!D19075)+(Sens!D19068-Q!L5)+(Sens!D19075-Q!L12)+(Sens!D19056-Q!L6)+(Sens!D19061-Q!L7)</f>
        <v>0</v>
      </c>
      <c r="E19077" s="27" t="n">
        <f aca="false">(Sens!E19056+Sens!E19061+Sens!E19062+Sens!E19064+Sens!E19066-Sens!E19068)+(Sens!E19069+Sens!E19071+Sens!E19073-Sens!E19075)+(Sens!E19068-Q!M5)+(Sens!E19075-Q!M12)+(Sens!E19056-Q!M6)+(Sens!E19061-Q!M7)</f>
        <v>0</v>
      </c>
      <c r="F19077" s="27" t="n">
        <f aca="false">(Sens!F19056+Sens!F19061+Sens!F19062+Sens!F19064+Sens!F19066-Sens!F19068)+(Sens!F19069+Sens!F19071+Sens!F19073-Sens!F19075)</f>
        <v>0</v>
      </c>
      <c r="G19077" s="27" t="n">
        <f aca="false">(Sens!G19056+Sens!G19061+Sens!G19062+Sens!G19064+Sens!G19066-Sens!G19068)+(Sens!G19069+Sens!G19071+Sens!G19073-Sens!G19075)</f>
        <v>0</v>
      </c>
      <c r="H19077" s="27" t="n">
        <f aca="false">(Sens!H19056+Sens!H19061+Sens!H19062+Sens!H19064+Sens!H19066-Sens!H19068)+(Sens!H19069+Sens!H19071+Sens!H19073-Sens!H19075)</f>
        <v>0</v>
      </c>
      <c r="I19077" s="27" t="n">
        <f aca="false">(Sens!I19056+Sens!I19061+Sens!I19062+Sens!I19064+Sens!I19066-Sens!I19068)+(Sens!I19069+Sens!I19071+Sens!I19073-Sens!I19075)</f>
        <v>0</v>
      </c>
      <c r="J19077" s="27" t="n">
        <f aca="false">(Sens!J19056+Sens!J19061+Sens!J19062+Sens!J19064+Sens!J19066-Sens!J19068)+(Sens!J19069+Sens!J19071+Sens!J19073-Sens!J19075)</f>
        <v>0</v>
      </c>
      <c r="K19077" s="27" t="n">
        <f aca="false">(Sens!K19056+Sens!K19061+Sens!K19062+Sens!K19064+Sens!K19066-Sens!K19068)+(Sens!K19069+Sens!K19071+Sens!K19073-Sens!K19075)</f>
        <v>0</v>
      </c>
    </row>
    <row r="19078" customFormat="false" ht="17.15" hidden="false" customHeight="false" outlineLevel="0" collapsed="false">
      <c r="A19078" s="3" t="s">
        <v>1951</v>
      </c>
    </row>
    <row r="19079" customFormat="false" ht="15" hidden="false" customHeight="false" outlineLevel="0" collapsed="false">
      <c r="A19079" s="4" t="s">
        <v>43</v>
      </c>
      <c r="B19079" s="4" t="s">
        <v>65</v>
      </c>
      <c r="C19079" s="23" t="s">
        <v>938</v>
      </c>
      <c r="D19079" s="23" t="s">
        <v>939</v>
      </c>
      <c r="E19079" s="23" t="s">
        <v>940</v>
      </c>
      <c r="F19079" s="23" t="s">
        <v>941</v>
      </c>
      <c r="G19079" s="23" t="s">
        <v>942</v>
      </c>
      <c r="H19079" s="23" t="s">
        <v>943</v>
      </c>
      <c r="I19079" s="23" t="s">
        <v>944</v>
      </c>
      <c r="J19079" s="23" t="s">
        <v>945</v>
      </c>
      <c r="K19079" s="23" t="s">
        <v>946</v>
      </c>
      <c r="L19079" s="4" t="s">
        <v>47</v>
      </c>
    </row>
    <row r="19080" customFormat="false" ht="15" hidden="false" customHeight="false" outlineLevel="0" collapsed="false">
      <c r="A19080" s="0" t="s">
        <v>1025</v>
      </c>
      <c r="B19080" s="0" t="s">
        <v>98</v>
      </c>
      <c r="D19080" s="6" t="n">
        <f aca="false">Sens!D19056</f>
        <v>72.61</v>
      </c>
      <c r="E19080" s="6" t="n">
        <f aca="false">Sens!E19056</f>
        <v>101.938</v>
      </c>
      <c r="F19080" s="6" t="n">
        <f aca="false">Sens!F19056</f>
        <v>147.072299280376</v>
      </c>
      <c r="G19080" s="6" t="n">
        <f aca="false">Sens!G19056</f>
        <v>200.217466595108</v>
      </c>
      <c r="H19080" s="6" t="n">
        <f aca="false">Sens!H19056</f>
        <v>254.711016590257</v>
      </c>
      <c r="I19080" s="6" t="n">
        <f aca="false">Sens!I19056</f>
        <v>304.301215659573</v>
      </c>
      <c r="J19080" s="6" t="n">
        <f aca="false">Sens!J19056</f>
        <v>342.585858461218</v>
      </c>
      <c r="K19080" s="6" t="n">
        <f aca="false">Sens!K19056</f>
        <v>370.132182174734</v>
      </c>
    </row>
    <row r="19081" customFormat="false" ht="17.15" hidden="false" customHeight="false" outlineLevel="0" collapsed="false">
      <c r="A19081" s="0" t="s">
        <v>1021</v>
      </c>
      <c r="B19081" s="0" t="s">
        <v>98</v>
      </c>
      <c r="D19081" s="6" t="n">
        <f aca="false">Sens!D19053</f>
        <v>12.9359794422418</v>
      </c>
      <c r="E19081" s="6" t="n">
        <f aca="false">Sens!E19053</f>
        <v>27.8095064661409</v>
      </c>
      <c r="F19081" s="6" t="n">
        <f aca="false">Sens!F19053</f>
        <v>55.8772903013865</v>
      </c>
      <c r="G19081" s="6" t="n">
        <f aca="false">Sens!G19053</f>
        <v>91.8641845841814</v>
      </c>
      <c r="H19081" s="6" t="n">
        <f aca="false">Sens!H19053</f>
        <v>128.900726944493</v>
      </c>
      <c r="I19081" s="6" t="n">
        <f aca="false">Sens!I19053</f>
        <v>161.622958271247</v>
      </c>
      <c r="J19081" s="6" t="n">
        <f aca="false">Sens!J19053</f>
        <v>184.635703658677</v>
      </c>
      <c r="K19081" s="6" t="n">
        <f aca="false">Sens!K19053</f>
        <v>199.546014987989</v>
      </c>
    </row>
    <row r="19082" customFormat="false" ht="17.15" hidden="false" customHeight="false" outlineLevel="0" collapsed="false">
      <c r="A19082" s="0" t="s">
        <v>1052</v>
      </c>
      <c r="B19082" s="0" t="s">
        <v>98</v>
      </c>
      <c r="D19082" s="6" t="n">
        <f aca="false">Sens!D19054</f>
        <v>59.6740205577583</v>
      </c>
      <c r="E19082" s="6" t="n">
        <f aca="false">Sens!E19054</f>
        <v>74.1284935338591</v>
      </c>
      <c r="F19082" s="6" t="n">
        <f aca="false">Sens!F19054</f>
        <v>91.1950089789892</v>
      </c>
      <c r="G19082" s="6" t="n">
        <f aca="false">Sens!G19054</f>
        <v>108.353282010926</v>
      </c>
      <c r="H19082" s="6" t="n">
        <f aca="false">Sens!H19054</f>
        <v>125.810289645763</v>
      </c>
      <c r="I19082" s="6" t="n">
        <f aca="false">Sens!I19054</f>
        <v>142.678257388326</v>
      </c>
      <c r="J19082" s="6" t="n">
        <f aca="false">Sens!J19054</f>
        <v>157.950154802542</v>
      </c>
      <c r="K19082" s="6" t="n">
        <f aca="false">Sens!K19054</f>
        <v>170.586167186745</v>
      </c>
    </row>
    <row r="19083" customFormat="false" ht="15" hidden="false" customHeight="false" outlineLevel="0" collapsed="false">
      <c r="A19083" s="0" t="s">
        <v>1032</v>
      </c>
      <c r="B19083" s="0" t="s">
        <v>98</v>
      </c>
      <c r="D19083" s="6" t="n">
        <f aca="false">Sens!D19061</f>
        <v>84.605</v>
      </c>
      <c r="E19083" s="6" t="n">
        <f aca="false">Sens!E19061</f>
        <v>100.299</v>
      </c>
      <c r="F19083" s="6" t="n">
        <f aca="false">Sens!F19061</f>
        <v>118.584003697747</v>
      </c>
      <c r="G19083" s="6" t="n">
        <f aca="false">Sens!G19061</f>
        <v>136.700726545688</v>
      </c>
      <c r="H19083" s="6" t="n">
        <f aca="false">Sens!H19061</f>
        <v>154.898624783666</v>
      </c>
      <c r="I19083" s="6" t="n">
        <f aca="false">Sens!I19061</f>
        <v>171.420510030657</v>
      </c>
      <c r="J19083" s="6" t="n">
        <f aca="false">Sens!J19061</f>
        <v>185.985722618572</v>
      </c>
      <c r="K19083" s="6" t="n">
        <f aca="false">Sens!K19061</f>
        <v>199.799723201872</v>
      </c>
    </row>
    <row r="19084" customFormat="false" ht="17.15" hidden="false" customHeight="false" outlineLevel="0" collapsed="false">
      <c r="A19084" s="0" t="s">
        <v>1053</v>
      </c>
      <c r="B19084" s="0" t="s">
        <v>98</v>
      </c>
      <c r="D19084" s="6" t="n">
        <f aca="false">Sens!D19059</f>
        <v>83.705</v>
      </c>
      <c r="E19084" s="6" t="n">
        <f aca="false">Sens!E19059</f>
        <v>95.049</v>
      </c>
      <c r="F19084" s="6" t="n">
        <f aca="false">Sens!F19059</f>
        <v>106.584003697747</v>
      </c>
      <c r="G19084" s="6" t="n">
        <f aca="false">Sens!G19059</f>
        <v>118.700726545688</v>
      </c>
      <c r="H19084" s="6" t="n">
        <f aca="false">Sens!H19059</f>
        <v>130.898624783666</v>
      </c>
      <c r="I19084" s="6" t="n">
        <f aca="false">Sens!I19059</f>
        <v>142.920510030657</v>
      </c>
      <c r="J19084" s="6" t="n">
        <f aca="false">Sens!J19059</f>
        <v>154.485722618572</v>
      </c>
      <c r="K19084" s="6" t="n">
        <f aca="false">Sens!K19059</f>
        <v>165.299723201872</v>
      </c>
    </row>
    <row r="19085" customFormat="false" ht="17.15" hidden="false" customHeight="false" outlineLevel="0" collapsed="false">
      <c r="A19085" s="0" t="s">
        <v>1054</v>
      </c>
      <c r="B19085" s="0" t="s">
        <v>98</v>
      </c>
      <c r="D19085" s="6" t="n">
        <f aca="false">Sens!D19058</f>
        <v>0.9</v>
      </c>
      <c r="E19085" s="6" t="n">
        <f aca="false">Sens!E19058</f>
        <v>5.25</v>
      </c>
      <c r="F19085" s="6" t="n">
        <f aca="false">Sens!F19058</f>
        <v>12</v>
      </c>
      <c r="G19085" s="6" t="n">
        <f aca="false">Sens!G19058</f>
        <v>18</v>
      </c>
      <c r="H19085" s="6" t="n">
        <f aca="false">Sens!H19058</f>
        <v>24</v>
      </c>
      <c r="I19085" s="6" t="n">
        <f aca="false">Sens!I19058</f>
        <v>28.5</v>
      </c>
      <c r="J19085" s="6" t="n">
        <f aca="false">Sens!J19058</f>
        <v>31.5</v>
      </c>
      <c r="K19085" s="6" t="n">
        <f aca="false">Sens!K19058</f>
        <v>34.5</v>
      </c>
    </row>
    <row r="19086" customFormat="false" ht="15" hidden="false" customHeight="false" outlineLevel="0" collapsed="false">
      <c r="A19086" s="0" t="s">
        <v>1033</v>
      </c>
      <c r="B19086" s="0" t="s">
        <v>98</v>
      </c>
      <c r="D19086" s="6" t="n">
        <f aca="false">Sens!D19062</f>
        <v>35.391</v>
      </c>
      <c r="E19086" s="6" t="n">
        <f aca="false">Sens!E19062</f>
        <v>37.285</v>
      </c>
      <c r="F19086" s="6" t="n">
        <f aca="false">Sens!F19062</f>
        <v>38.3851437782675</v>
      </c>
      <c r="G19086" s="6" t="n">
        <f aca="false">Sens!G19062</f>
        <v>40.0105353288615</v>
      </c>
      <c r="H19086" s="6" t="n">
        <f aca="false">Sens!H19062</f>
        <v>41.4812512033683</v>
      </c>
      <c r="I19086" s="6" t="n">
        <f aca="false">Sens!I19062</f>
        <v>42.7743107216329</v>
      </c>
      <c r="J19086" s="6" t="n">
        <f aca="false">Sens!J19062</f>
        <v>43.8687373064601</v>
      </c>
      <c r="K19086" s="6" t="n">
        <f aca="false">Sens!K19062</f>
        <v>44.7461120525893</v>
      </c>
    </row>
    <row r="19087" customFormat="false" ht="15" hidden="false" customHeight="false" outlineLevel="0" collapsed="false">
      <c r="A19087" s="0" t="s">
        <v>1035</v>
      </c>
      <c r="B19087" s="0" t="s">
        <v>98</v>
      </c>
      <c r="D19087" s="6" t="n">
        <f aca="false">Sens!D19064</f>
        <v>18.417</v>
      </c>
      <c r="E19087" s="6" t="n">
        <f aca="false">Sens!E19064</f>
        <v>20.345</v>
      </c>
      <c r="F19087" s="6" t="n">
        <f aca="false">Sens!F19064</f>
        <v>22.3161797133988</v>
      </c>
      <c r="G19087" s="6" t="n">
        <f aca="false">Sens!G19064</f>
        <v>24.3943499673233</v>
      </c>
      <c r="H19087" s="6" t="n">
        <f aca="false">Sens!H19064</f>
        <v>26.5250243109019</v>
      </c>
      <c r="I19087" s="6" t="n">
        <f aca="false">Sens!I19064</f>
        <v>28.6884573538181</v>
      </c>
      <c r="J19087" s="6" t="n">
        <f aca="false">Sens!J19064</f>
        <v>30.8624968052127</v>
      </c>
      <c r="K19087" s="6" t="n">
        <f aca="false">Sens!K19064</f>
        <v>33.0228715815776</v>
      </c>
    </row>
    <row r="19088" customFormat="false" ht="15" hidden="false" customHeight="false" outlineLevel="0" collapsed="false">
      <c r="A19088" s="0" t="s">
        <v>1036</v>
      </c>
      <c r="B19088" s="0" t="s">
        <v>98</v>
      </c>
      <c r="D19088" s="6" t="n">
        <f aca="false">Sens!D19066</f>
        <v>7.76</v>
      </c>
      <c r="E19088" s="6" t="n">
        <f aca="false">Sens!E19066</f>
        <v>8.26</v>
      </c>
      <c r="F19088" s="6" t="n">
        <f aca="false">Sens!F19066</f>
        <v>8.75372082474227</v>
      </c>
      <c r="G19088" s="6" t="n">
        <f aca="false">Sens!G19066</f>
        <v>9.33399324642364</v>
      </c>
      <c r="H19088" s="6" t="n">
        <f aca="false">Sens!H19066</f>
        <v>9.96139155535851</v>
      </c>
      <c r="I19088" s="6" t="n">
        <f aca="false">Sens!I19066</f>
        <v>10.6402039077391</v>
      </c>
      <c r="J19088" s="6" t="n">
        <f aca="false">Sens!J19066</f>
        <v>11.3751458271397</v>
      </c>
      <c r="K19088" s="6" t="n">
        <f aca="false">Sens!K19066</f>
        <v>12.1714060350394</v>
      </c>
    </row>
    <row r="19089" customFormat="false" ht="15" hidden="false" customHeight="false" outlineLevel="0" collapsed="false">
      <c r="A19089" s="0" t="s">
        <v>852</v>
      </c>
      <c r="B19089" s="0" t="s">
        <v>98</v>
      </c>
      <c r="D19089" s="6" t="n">
        <f aca="false">Sens!D19068</f>
        <v>218.783</v>
      </c>
      <c r="E19089" s="6" t="n">
        <f aca="false">Sens!E19068</f>
        <v>268.127</v>
      </c>
      <c r="F19089" s="6" t="n">
        <f aca="false">Sens!F19068</f>
        <v>335.111347294531</v>
      </c>
      <c r="G19089" s="6" t="n">
        <f aca="false">Sens!G19068</f>
        <v>410.657071683405</v>
      </c>
      <c r="H19089" s="6" t="n">
        <f aca="false">Sens!H19068</f>
        <v>487.577308443551</v>
      </c>
      <c r="I19089" s="6" t="n">
        <f aca="false">Sens!I19068</f>
        <v>557.824697673421</v>
      </c>
      <c r="J19089" s="6" t="n">
        <f aca="false">Sens!J19068</f>
        <v>614.677961018603</v>
      </c>
      <c r="K19089" s="6" t="n">
        <f aca="false">Sens!K19068</f>
        <v>659.872295045812</v>
      </c>
    </row>
    <row r="19090" customFormat="false" ht="15" hidden="false" customHeight="false" outlineLevel="0" collapsed="false">
      <c r="A19090" s="0" t="s">
        <v>1037</v>
      </c>
      <c r="B19090" s="0" t="s">
        <v>98</v>
      </c>
      <c r="D19090" s="6" t="n">
        <f aca="false">Sens!D19069</f>
        <v>22.171</v>
      </c>
      <c r="E19090" s="6" t="n">
        <f aca="false">Sens!E19069</f>
        <v>24.835</v>
      </c>
      <c r="F19090" s="6" t="n">
        <f aca="false">Sens!F19069</f>
        <v>27.5591895660247</v>
      </c>
      <c r="G19090" s="6" t="n">
        <f aca="false">Sens!G19069</f>
        <v>30.4098563144583</v>
      </c>
      <c r="H19090" s="6" t="n">
        <f aca="false">Sens!H19069</f>
        <v>33.3011792571777</v>
      </c>
      <c r="I19090" s="6" t="n">
        <f aca="false">Sens!I19069</f>
        <v>36.189023797112</v>
      </c>
      <c r="J19090" s="6" t="n">
        <f aca="false">Sens!J19069</f>
        <v>39.0247773769199</v>
      </c>
      <c r="K19090" s="6" t="n">
        <f aca="false">Sens!K19069</f>
        <v>41.7565117933043</v>
      </c>
    </row>
    <row r="19091" customFormat="false" ht="15" hidden="false" customHeight="false" outlineLevel="0" collapsed="false">
      <c r="A19091" s="0" t="s">
        <v>1038</v>
      </c>
      <c r="B19091" s="0" t="s">
        <v>98</v>
      </c>
      <c r="D19091" s="6" t="n">
        <f aca="false">Sens!D19071</f>
        <v>23.455</v>
      </c>
      <c r="E19091" s="6" t="n">
        <f aca="false">Sens!E19071</f>
        <v>21.79</v>
      </c>
      <c r="F19091" s="6" t="n">
        <f aca="false">Sens!F19071</f>
        <v>20.7520981041711</v>
      </c>
      <c r="G19091" s="6" t="n">
        <f aca="false">Sens!G19071</f>
        <v>19.9083593495882</v>
      </c>
      <c r="H19091" s="6" t="n">
        <f aca="false">Sens!H19071</f>
        <v>19.4008256265831</v>
      </c>
      <c r="I19091" s="6" t="n">
        <f aca="false">Sens!I19071</f>
        <v>19.200434522122</v>
      </c>
      <c r="J19091" s="6" t="n">
        <f aca="false">Sens!J19071</f>
        <v>19.2932782348507</v>
      </c>
      <c r="K19091" s="6" t="n">
        <f aca="false">Sens!K19071</f>
        <v>19.6791437995477</v>
      </c>
    </row>
    <row r="19092" customFormat="false" ht="15" hidden="false" customHeight="false" outlineLevel="0" collapsed="false">
      <c r="A19092" s="0" t="s">
        <v>1039</v>
      </c>
      <c r="B19092" s="0" t="s">
        <v>98</v>
      </c>
      <c r="D19092" s="6" t="n">
        <f aca="false">Sens!D19073</f>
        <v>17.315</v>
      </c>
      <c r="E19092" s="6" t="n">
        <f aca="false">Sens!E19073</f>
        <v>17.087</v>
      </c>
      <c r="F19092" s="6" t="n">
        <f aca="false">Sens!F19073</f>
        <v>15.9912273250553</v>
      </c>
      <c r="G19092" s="6" t="n">
        <f aca="false">Sens!G19073</f>
        <v>15.9574562664827</v>
      </c>
      <c r="H19092" s="6" t="n">
        <f aca="false">Sens!H19073</f>
        <v>16.0119687434196</v>
      </c>
      <c r="I19092" s="6" t="n">
        <f aca="false">Sens!I19073</f>
        <v>16.1551810001948</v>
      </c>
      <c r="J19092" s="6" t="n">
        <f aca="false">Sens!J19073</f>
        <v>16.3889793892005</v>
      </c>
      <c r="K19092" s="6" t="n">
        <f aca="false">Sens!K19073</f>
        <v>16.7167589769845</v>
      </c>
    </row>
    <row r="19093" customFormat="false" ht="15" hidden="false" customHeight="false" outlineLevel="0" collapsed="false">
      <c r="A19093" s="0" t="s">
        <v>866</v>
      </c>
      <c r="B19093" s="0" t="s">
        <v>98</v>
      </c>
      <c r="D19093" s="6" t="n">
        <f aca="false">Sens!D19075</f>
        <v>62.941</v>
      </c>
      <c r="E19093" s="6" t="n">
        <f aca="false">Sens!E19075</f>
        <v>63.712</v>
      </c>
      <c r="F19093" s="6" t="n">
        <f aca="false">Sens!F19075</f>
        <v>64.3025149952511</v>
      </c>
      <c r="G19093" s="6" t="n">
        <f aca="false">Sens!G19075</f>
        <v>66.2756719305292</v>
      </c>
      <c r="H19093" s="6" t="n">
        <f aca="false">Sens!H19075</f>
        <v>68.7139736271804</v>
      </c>
      <c r="I19093" s="6" t="n">
        <f aca="false">Sens!I19075</f>
        <v>71.5446393194289</v>
      </c>
      <c r="J19093" s="6" t="n">
        <f aca="false">Sens!J19075</f>
        <v>74.707035000971</v>
      </c>
      <c r="K19093" s="6" t="n">
        <f aca="false">Sens!K19075</f>
        <v>78.1524145698365</v>
      </c>
    </row>
    <row r="19094" customFormat="false" ht="15" hidden="false" customHeight="false" outlineLevel="0" collapsed="false">
      <c r="A19094" s="1" t="s">
        <v>1055</v>
      </c>
      <c r="B19094" s="0" t="s">
        <v>98</v>
      </c>
      <c r="D19094" s="6" t="n">
        <f aca="false">Sens!D19076</f>
        <v>281.724</v>
      </c>
      <c r="E19094" s="6" t="n">
        <f aca="false">Sens!E19076</f>
        <v>331.839</v>
      </c>
      <c r="F19094" s="6" t="n">
        <f aca="false">Sens!F19076</f>
        <v>399.413862289782</v>
      </c>
      <c r="G19094" s="6" t="n">
        <f aca="false">Sens!G19076</f>
        <v>476.932743613934</v>
      </c>
      <c r="H19094" s="6" t="n">
        <f aca="false">Sens!H19076</f>
        <v>556.291282070731</v>
      </c>
      <c r="I19094" s="6" t="n">
        <f aca="false">Sens!I19076</f>
        <v>629.369336992849</v>
      </c>
      <c r="J19094" s="6" t="n">
        <f aca="false">Sens!J19076</f>
        <v>689.384996019574</v>
      </c>
      <c r="K19094" s="6" t="n">
        <f aca="false">Sens!K19076</f>
        <v>738.024709615648</v>
      </c>
    </row>
    <row r="19095" customFormat="false" ht="15" hidden="false" customHeight="false" outlineLevel="0" collapsed="false">
      <c r="A19095" s="1" t="s">
        <v>1056</v>
      </c>
      <c r="B19095" s="0" t="s">
        <v>168</v>
      </c>
      <c r="E19095" s="7" t="n">
        <f aca="false">Sens!E19094/Sens!D19094-1</f>
        <v>0.177886867998467</v>
      </c>
      <c r="F19095" s="7" t="n">
        <f aca="false">Sens!F19094/Sens!E19094-1</f>
        <v>0.203637493753845</v>
      </c>
      <c r="G19095" s="7" t="n">
        <f aca="false">Sens!G19094/Sens!F19094-1</f>
        <v>0.194081599671446</v>
      </c>
      <c r="H19095" s="7" t="n">
        <f aca="false">Sens!H19094/Sens!G19094-1</f>
        <v>0.166393562864781</v>
      </c>
      <c r="I19095" s="7" t="n">
        <f aca="false">Sens!I19094/Sens!H19094-1</f>
        <v>0.131366529150148</v>
      </c>
      <c r="J19095" s="7" t="n">
        <f aca="false">Sens!J19094/Sens!I19094-1</f>
        <v>0.0953584096001268</v>
      </c>
      <c r="K19095" s="7" t="n">
        <f aca="false">Sens!K19094/Sens!J19094-1</f>
        <v>0.0705552251309711</v>
      </c>
    </row>
    <row r="19096" customFormat="false" ht="17.15" hidden="false" customHeight="false" outlineLevel="0" collapsed="false">
      <c r="A19096" s="26" t="s">
        <v>1057</v>
      </c>
      <c r="B19096" s="31" t="s">
        <v>98</v>
      </c>
      <c r="C19096" s="31"/>
      <c r="D19096" s="27" t="n">
        <f aca="false">(Sens!D19089+Sens!D19093-Sens!D19094)+(Sens!D19081+Sens!D19082-Sens!D19080)+(Sens!D19084+Sens!D19085-Sens!D19083)+(Sens!D19094-Q!L18)</f>
        <v>0</v>
      </c>
      <c r="E19096" s="27" t="n">
        <f aca="false">(Sens!E19089+Sens!E19093-Sens!E19094)+(Sens!E19081+Sens!E19082-Sens!E19080)+(Sens!E19084+Sens!E19085-Sens!E19083)+(Sens!E19094-Q!M18)</f>
        <v>0</v>
      </c>
      <c r="F19096" s="27" t="n">
        <f aca="false">(Sens!F19089+Sens!F19093-Sens!F19094)+(Sens!F19081+Sens!F19082-Sens!F19080)+(Sens!F19084+Sens!F19085-Sens!F19083)</f>
        <v>0</v>
      </c>
      <c r="G19096" s="27" t="n">
        <f aca="false">(Sens!G19089+Sens!G19093-Sens!G19094)+(Sens!G19081+Sens!G19082-Sens!G19080)+(Sens!G19084+Sens!G19085-Sens!G19083)</f>
        <v>0</v>
      </c>
      <c r="H19096" s="27" t="n">
        <f aca="false">(Sens!H19089+Sens!H19093-Sens!H19094)+(Sens!H19081+Sens!H19082-Sens!H19080)+(Sens!H19084+Sens!H19085-Sens!H19083)</f>
        <v>0</v>
      </c>
      <c r="I19096" s="27" t="n">
        <f aca="false">(Sens!I19089+Sens!I19093-Sens!I19094)+(Sens!I19081+Sens!I19082-Sens!I19080)+(Sens!I19084+Sens!I19085-Sens!I19083)</f>
        <v>0</v>
      </c>
      <c r="J19096" s="27" t="n">
        <f aca="false">(Sens!J19089+Sens!J19093-Sens!J19094)+(Sens!J19081+Sens!J19082-Sens!J19080)+(Sens!J19084+Sens!J19085-Sens!J19083)</f>
        <v>0</v>
      </c>
      <c r="K19096" s="27" t="n">
        <f aca="false">(Sens!K19089+Sens!K19093-Sens!K19094)+(Sens!K19081+Sens!K19082-Sens!K19080)+(Sens!K19084+Sens!K19085-Sens!K19083)</f>
        <v>0</v>
      </c>
    </row>
    <row r="19097" customFormat="false" ht="17.15" hidden="false" customHeight="false" outlineLevel="0" collapsed="false">
      <c r="A19097" s="0" t="s">
        <v>1058</v>
      </c>
      <c r="B19097" s="0" t="s">
        <v>168</v>
      </c>
      <c r="E19097" s="7" t="n">
        <f aca="false">(Q!M21+Sens!E19033+Sens!E19034+Sens!E19035+Sens!E19049-Sens!E19031)/(Q!M5-Sens!E19031)</f>
        <v>0.570957350878296</v>
      </c>
      <c r="F19097" s="7" t="n">
        <f aca="false">Sens!$E$19097+dm_seg</f>
        <v>0.570957350878296</v>
      </c>
      <c r="G19097" s="7" t="n">
        <f aca="false">Sens!$E$19097+dm_seg</f>
        <v>0.570957350878296</v>
      </c>
      <c r="H19097" s="7" t="n">
        <f aca="false">Sens!$E$19097+dm_seg</f>
        <v>0.570957350878296</v>
      </c>
      <c r="I19097" s="7" t="n">
        <f aca="false">Sens!$E$19097+dm_seg</f>
        <v>0.570957350878296</v>
      </c>
      <c r="J19097" s="7" t="n">
        <f aca="false">Sens!$E$19097+dm_seg</f>
        <v>0.570957350878296</v>
      </c>
      <c r="K19097" s="7" t="n">
        <f aca="false">Sens!$E$19097+dm_seg</f>
        <v>0.570957350878296</v>
      </c>
      <c r="L19097" s="12" t="s">
        <v>1059</v>
      </c>
    </row>
    <row r="19098" customFormat="false" ht="17.15" hidden="false" customHeight="false" outlineLevel="0" collapsed="false">
      <c r="A19098" s="0" t="s">
        <v>880</v>
      </c>
      <c r="B19098" s="0" t="s">
        <v>98</v>
      </c>
      <c r="D19098" s="6" t="n">
        <f aca="false">Q!L21</f>
        <v>110.814</v>
      </c>
      <c r="E19098" s="6" t="n">
        <f aca="false">Q!M21</f>
        <v>136.365</v>
      </c>
      <c r="F19098" s="6" t="n">
        <f aca="false">Q!$I$21+(Sens!F19097*(Sens!F19068-Sens!F19031)+Sens!F19031-(Sens!F19033+Sens!F19034+Sens!F19035)-Sens!F19049-Sens!F19132)*(Sens!F19068-Q!$I$5)/Sens!F19068</f>
        <v>162.558786268996</v>
      </c>
      <c r="G19098" s="6" t="n">
        <f aca="false">(Sens!G19097*(Sens!G19068-Sens!G19031)+Sens!G19031-(Sens!G19033+Sens!G19034+Sens!G19035)-Sens!G19049-Sens!G19132)</f>
        <v>178.488302389789</v>
      </c>
      <c r="H19098" s="6" t="n">
        <f aca="false">(Sens!H19097*(Sens!H19068-Sens!H19031)+Sens!H19031-(Sens!H19033+Sens!H19034+Sens!H19035)-Sens!H19049-Sens!H19132)</f>
        <v>198.070054353442</v>
      </c>
      <c r="I19098" s="6" t="n">
        <f aca="false">(Sens!I19097*(Sens!I19068-Sens!I19031)+Sens!I19031-(Sens!I19033+Sens!I19034+Sens!I19035)-Sens!I19049-Sens!I19132)</f>
        <v>216.7359698021</v>
      </c>
      <c r="J19098" s="6" t="n">
        <f aca="false">(Sens!J19097*(Sens!J19068-Sens!J19031)+Sens!J19031-(Sens!J19033+Sens!J19034+Sens!J19035)-Sens!J19049-Sens!J19132)</f>
        <v>234.059762819172</v>
      </c>
      <c r="K19098" s="6" t="n">
        <f aca="false">(Sens!K19097*(Sens!K19068-Sens!K19031)+Sens!K19031-(Sens!K19033+Sens!K19034+Sens!K19035)-Sens!K19049-Sens!K19132)</f>
        <v>250.865338787788</v>
      </c>
      <c r="L19098" s="1" t="s">
        <v>1060</v>
      </c>
    </row>
    <row r="19099" customFormat="false" ht="17.15" hidden="false" customHeight="false" outlineLevel="0" collapsed="false">
      <c r="A19099" s="0" t="s">
        <v>1061</v>
      </c>
      <c r="B19099" s="0" t="s">
        <v>168</v>
      </c>
      <c r="E19099" s="7" t="n">
        <f aca="false">Q!M22/Q!M12</f>
        <v>0.296207935710698</v>
      </c>
      <c r="F19099" s="7" t="n">
        <f aca="false">Sens!$E$19099+dm_seg</f>
        <v>0.296207935710698</v>
      </c>
      <c r="G19099" s="7" t="n">
        <f aca="false">Sens!$E$19099+dm_seg</f>
        <v>0.296207935710698</v>
      </c>
      <c r="H19099" s="7" t="n">
        <f aca="false">Sens!$E$19099+dm_seg</f>
        <v>0.296207935710698</v>
      </c>
      <c r="I19099" s="7" t="n">
        <f aca="false">Sens!$E$19099+dm_seg</f>
        <v>0.296207935710698</v>
      </c>
      <c r="J19099" s="7" t="n">
        <f aca="false">Sens!$E$19099+dm_seg</f>
        <v>0.296207935710698</v>
      </c>
      <c r="K19099" s="7" t="n">
        <f aca="false">Sens!$E$19099+dm_seg</f>
        <v>0.296207935710698</v>
      </c>
      <c r="L19099" s="12" t="s">
        <v>1062</v>
      </c>
    </row>
    <row r="19100" customFormat="false" ht="17.15" hidden="false" customHeight="false" outlineLevel="0" collapsed="false">
      <c r="A19100" s="0" t="s">
        <v>882</v>
      </c>
      <c r="B19100" s="0" t="s">
        <v>98</v>
      </c>
      <c r="D19100" s="6" t="n">
        <f aca="false">Q!L22</f>
        <v>17.714</v>
      </c>
      <c r="E19100" s="6" t="n">
        <f aca="false">Q!M22</f>
        <v>18.872</v>
      </c>
      <c r="F19100" s="6" t="n">
        <f aca="false">Q!$I$22+(Sens!F19075-Q!$I$12)*Sens!F19099</f>
        <v>19.8174315512051</v>
      </c>
      <c r="G19100" s="6" t="n">
        <f aca="false">Sens!G19075*Sens!G19099</f>
        <v>19.6313799703815</v>
      </c>
      <c r="H19100" s="6" t="n">
        <f aca="false">Sens!H19075*Sens!H19099</f>
        <v>20.3536242825865</v>
      </c>
      <c r="I19100" s="6" t="n">
        <f aca="false">Sens!I19075*Sens!I19099</f>
        <v>21.1920899239745</v>
      </c>
      <c r="J19100" s="6" t="n">
        <f aca="false">Sens!J19075*Sens!J19099</f>
        <v>22.1288166207045</v>
      </c>
      <c r="K19100" s="6" t="n">
        <f aca="false">Sens!K19075*Sens!K19099</f>
        <v>23.1493653905379</v>
      </c>
      <c r="L19100" s="12" t="s">
        <v>1063</v>
      </c>
    </row>
    <row r="19101" customFormat="false" ht="15" hidden="false" customHeight="false" outlineLevel="0" collapsed="false">
      <c r="A19101" s="1" t="s">
        <v>1064</v>
      </c>
      <c r="B19101" s="0" t="s">
        <v>98</v>
      </c>
      <c r="D19101" s="6" t="n">
        <f aca="false">Sens!D19098+Sens!D19100</f>
        <v>128.528</v>
      </c>
      <c r="E19101" s="6" t="n">
        <f aca="false">Sens!E19098+Sens!E19100</f>
        <v>155.237</v>
      </c>
      <c r="F19101" s="6" t="n">
        <f aca="false">Sens!F19098+Sens!F19100</f>
        <v>182.376217820201</v>
      </c>
      <c r="G19101" s="6" t="n">
        <f aca="false">Sens!G19098+Sens!G19100</f>
        <v>198.119682360171</v>
      </c>
      <c r="H19101" s="6" t="n">
        <f aca="false">Sens!H19098+Sens!H19100</f>
        <v>218.423678636029</v>
      </c>
      <c r="I19101" s="6" t="n">
        <f aca="false">Sens!I19098+Sens!I19100</f>
        <v>237.928059726074</v>
      </c>
      <c r="J19101" s="6" t="n">
        <f aca="false">Sens!J19098+Sens!J19100</f>
        <v>256.188579439876</v>
      </c>
      <c r="K19101" s="6" t="n">
        <f aca="false">Sens!K19098+Sens!K19100</f>
        <v>274.014704178326</v>
      </c>
    </row>
    <row r="19102" customFormat="false" ht="15" hidden="false" customHeight="false" outlineLevel="0" collapsed="false">
      <c r="A19102" s="26" t="s">
        <v>1065</v>
      </c>
      <c r="B19102" s="31" t="s">
        <v>98</v>
      </c>
      <c r="C19102" s="31"/>
      <c r="D19102" s="27" t="n">
        <f aca="false">Sens!D19101-Q!L23</f>
        <v>0</v>
      </c>
      <c r="E19102" s="27" t="n">
        <f aca="false">Sens!E19101-Q!M23</f>
        <v>0</v>
      </c>
      <c r="F19102" s="31"/>
      <c r="G19102" s="31"/>
      <c r="H19102" s="31"/>
      <c r="I19102" s="31"/>
      <c r="J19102" s="31"/>
      <c r="K19102" s="31"/>
    </row>
    <row r="19103" customFormat="false" ht="15" hidden="false" customHeight="false" outlineLevel="0" collapsed="false">
      <c r="A19103" s="1" t="s">
        <v>1066</v>
      </c>
      <c r="B19103" s="0" t="s">
        <v>168</v>
      </c>
      <c r="D19103" s="7" t="n">
        <f aca="false">Sens!D19101/Sens!D19094</f>
        <v>0.456219562408598</v>
      </c>
      <c r="E19103" s="7" t="n">
        <f aca="false">Sens!E19101/Sens!E19094</f>
        <v>0.467808184089272</v>
      </c>
      <c r="F19103" s="7" t="n">
        <f aca="false">Sens!F19101/Sens!F19094</f>
        <v>0.45660963486511</v>
      </c>
      <c r="G19103" s="7" t="n">
        <f aca="false">Sens!G19101/Sens!G19094</f>
        <v>0.415403817441698</v>
      </c>
      <c r="H19103" s="7" t="n">
        <f aca="false">Sens!H19101/Sens!H19094</f>
        <v>0.392642641860163</v>
      </c>
      <c r="I19103" s="7" t="n">
        <f aca="false">Sens!I19101/Sens!I19094</f>
        <v>0.378042026742046</v>
      </c>
      <c r="J19103" s="7" t="n">
        <f aca="false">Sens!J19101/Sens!J19094</f>
        <v>0.371619024085349</v>
      </c>
      <c r="K19103" s="7" t="n">
        <f aca="false">Sens!K19101/Sens!K19094</f>
        <v>0.371281205911152</v>
      </c>
    </row>
    <row r="19104" customFormat="false" ht="17.15" hidden="false" customHeight="false" outlineLevel="0" collapsed="false">
      <c r="A19104" s="1" t="s">
        <v>1067</v>
      </c>
      <c r="B19104" s="0" t="s">
        <v>98</v>
      </c>
      <c r="F19104" s="6" t="n">
        <f aca="false">Sens!F19119</f>
        <v>9.73076932882855</v>
      </c>
      <c r="G19104" s="6" t="n">
        <f aca="false">Sens!G19119</f>
        <v>25.2715075641513</v>
      </c>
      <c r="H19104" s="6" t="n">
        <f aca="false">Sens!H19119</f>
        <v>42.3817840209461</v>
      </c>
      <c r="I19104" s="6" t="n">
        <f aca="false">Sens!I19119</f>
        <v>58.0172395594533</v>
      </c>
      <c r="J19104" s="6" t="n">
        <f aca="false">Sens!J19119</f>
        <v>69.0645937106767</v>
      </c>
      <c r="K19104" s="6" t="n">
        <f aca="false">Sens!K19119</f>
        <v>75.3721523398898</v>
      </c>
      <c r="L19104" s="1" t="s">
        <v>1068</v>
      </c>
    </row>
    <row r="19105" customFormat="false" ht="17.15" hidden="false" customHeight="false" outlineLevel="0" collapsed="false">
      <c r="A19105" s="1" t="s">
        <v>1069</v>
      </c>
      <c r="B19105" s="0" t="s">
        <v>98</v>
      </c>
      <c r="D19105" s="6" t="n">
        <f aca="false">Sens!D19101</f>
        <v>128.528</v>
      </c>
      <c r="E19105" s="6" t="n">
        <f aca="false">Sens!E19101</f>
        <v>155.237</v>
      </c>
      <c r="F19105" s="6" t="n">
        <f aca="false">Sens!F19101+Sens!F19104</f>
        <v>192.106987149029</v>
      </c>
      <c r="G19105" s="6" t="n">
        <f aca="false">Sens!G19101+Sens!G19104</f>
        <v>223.391189924322</v>
      </c>
      <c r="H19105" s="6" t="n">
        <f aca="false">Sens!H19101+Sens!H19104</f>
        <v>260.805462656975</v>
      </c>
      <c r="I19105" s="6" t="n">
        <f aca="false">Sens!I19101+Sens!I19104</f>
        <v>295.945299285528</v>
      </c>
      <c r="J19105" s="6" t="n">
        <f aca="false">Sens!J19101+Sens!J19104</f>
        <v>325.253173150553</v>
      </c>
      <c r="K19105" s="6" t="n">
        <f aca="false">Sens!K19101+Sens!K19104</f>
        <v>349.386856518216</v>
      </c>
    </row>
    <row r="19106" customFormat="false" ht="17.15" hidden="false" customHeight="false" outlineLevel="0" collapsed="false">
      <c r="A19106" s="1" t="s">
        <v>1070</v>
      </c>
      <c r="B19106" s="0" t="s">
        <v>98</v>
      </c>
      <c r="E19106" s="6" t="n">
        <f aca="false">Sens!E19049</f>
        <v>16.3054059770833</v>
      </c>
      <c r="F19106" s="6" t="n">
        <f aca="false">Sens!F19049</f>
        <v>34.641228276809</v>
      </c>
      <c r="G19106" s="6" t="n">
        <f aca="false">Sens!G19049</f>
        <v>60.9344867500193</v>
      </c>
      <c r="H19106" s="6" t="n">
        <f aca="false">Sens!H19049</f>
        <v>89.440318654396</v>
      </c>
      <c r="I19106" s="6" t="n">
        <f aca="false">Sens!I19049</f>
        <v>114.777494622816</v>
      </c>
      <c r="J19106" s="6" t="n">
        <f aca="false">Sens!J19049</f>
        <v>132.880875699293</v>
      </c>
      <c r="K19106" s="6" t="n">
        <f aca="false">Sens!K19049</f>
        <v>144.355521672042</v>
      </c>
    </row>
    <row r="19107" customFormat="false" ht="17.15" hidden="false" customHeight="false" outlineLevel="0" collapsed="false">
      <c r="A19107" s="1" t="s">
        <v>1071</v>
      </c>
      <c r="B19107" s="0" t="s">
        <v>98</v>
      </c>
      <c r="E19107" s="6" t="n">
        <f aca="false">Sens!E19131</f>
        <v>22.2285940229167</v>
      </c>
      <c r="F19107" s="6" t="n">
        <f aca="false">Sens!F19131</f>
        <v>23.5783018048442</v>
      </c>
      <c r="G19107" s="6" t="n">
        <f aca="false">Sens!G19131</f>
        <v>25.3540836141256</v>
      </c>
      <c r="H19107" s="6" t="n">
        <f aca="false">Sens!H19131</f>
        <v>27.5219096923704</v>
      </c>
      <c r="I19107" s="6" t="n">
        <f aca="false">Sens!I19131</f>
        <v>30.0152599359014</v>
      </c>
      <c r="J19107" s="6" t="n">
        <f aca="false">Sens!J19131</f>
        <v>32.75076494421</v>
      </c>
      <c r="K19107" s="6" t="n">
        <f aca="false">Sens!K19131</f>
        <v>35.6441124404069</v>
      </c>
    </row>
    <row r="19108" customFormat="false" ht="17.15" hidden="false" customHeight="false" outlineLevel="0" collapsed="false">
      <c r="A19108" s="1" t="s">
        <v>1072</v>
      </c>
      <c r="B19108" s="0" t="s">
        <v>98</v>
      </c>
      <c r="D19108" s="6" t="n">
        <f aca="false">Q!L27</f>
        <v>-4.901</v>
      </c>
      <c r="E19108" s="6" t="n">
        <f aca="false">Q!M27</f>
        <v>10.697</v>
      </c>
      <c r="F19108" s="6" t="n">
        <f aca="false">Q!$I$27+oie_f*(q_per_yr-1)/q_per_yr</f>
        <v>-0.862</v>
      </c>
      <c r="G19108" s="6" t="n">
        <f aca="false">oie_f</f>
        <v>-1.2</v>
      </c>
      <c r="H19108" s="6" t="n">
        <f aca="false">oie_f</f>
        <v>-1.2</v>
      </c>
      <c r="I19108" s="6" t="n">
        <f aca="false">oie_f</f>
        <v>-1.2</v>
      </c>
      <c r="J19108" s="6" t="n">
        <f aca="false">oie_f</f>
        <v>-1.2</v>
      </c>
      <c r="K19108" s="6" t="n">
        <f aca="false">oie_f</f>
        <v>-1.2</v>
      </c>
      <c r="L19108" s="12" t="s">
        <v>1073</v>
      </c>
    </row>
    <row r="19109" customFormat="false" ht="15" hidden="false" customHeight="false" outlineLevel="0" collapsed="false">
      <c r="A19109" s="1" t="s">
        <v>1074</v>
      </c>
      <c r="B19109" s="0" t="s">
        <v>98</v>
      </c>
      <c r="D19109" s="6" t="n">
        <f aca="false">Sens!D19101+Sens!D19108</f>
        <v>123.627</v>
      </c>
      <c r="E19109" s="6" t="n">
        <f aca="false">Sens!E19101+Sens!E19108</f>
        <v>165.934</v>
      </c>
      <c r="F19109" s="6" t="n">
        <f aca="false">Sens!F19101+Sens!F19108</f>
        <v>181.514217820201</v>
      </c>
      <c r="G19109" s="6" t="n">
        <f aca="false">Sens!G19101+Sens!G19108</f>
        <v>196.919682360171</v>
      </c>
      <c r="H19109" s="6" t="n">
        <f aca="false">Sens!H19101+Sens!H19108</f>
        <v>217.223678636029</v>
      </c>
      <c r="I19109" s="6" t="n">
        <f aca="false">Sens!I19101+Sens!I19108</f>
        <v>236.728059726074</v>
      </c>
      <c r="J19109" s="6" t="n">
        <f aca="false">Sens!J19101+Sens!J19108</f>
        <v>254.988579439876</v>
      </c>
      <c r="K19109" s="6" t="n">
        <f aca="false">Sens!K19101+Sens!K19108</f>
        <v>272.814704178326</v>
      </c>
    </row>
    <row r="19110" customFormat="false" ht="15" hidden="false" customHeight="false" outlineLevel="0" collapsed="false">
      <c r="A19110" s="1" t="s">
        <v>1075</v>
      </c>
      <c r="B19110" s="0" t="s">
        <v>98</v>
      </c>
      <c r="D19110" s="6" t="n">
        <f aca="false">Q!L29</f>
        <v>21.795</v>
      </c>
      <c r="E19110" s="6" t="n">
        <f aca="false">Q!M29</f>
        <v>32.185</v>
      </c>
      <c r="F19110" s="6" t="n">
        <f aca="false">Q!$I$29+(Sens!F19109-Q!$I$28)*tax_f</f>
        <v>36.4362435640402</v>
      </c>
      <c r="G19110" s="6" t="n">
        <f aca="false">Sens!G19109*tax_f</f>
        <v>39.3839364720342</v>
      </c>
      <c r="H19110" s="6" t="n">
        <f aca="false">Sens!H19109*tax_f</f>
        <v>43.4447357272058</v>
      </c>
      <c r="I19110" s="6" t="n">
        <f aca="false">Sens!I19109*tax_f</f>
        <v>47.3456119452149</v>
      </c>
      <c r="J19110" s="6" t="n">
        <f aca="false">Sens!J19109*tax_f</f>
        <v>50.9977158879753</v>
      </c>
      <c r="K19110" s="6" t="n">
        <f aca="false">Sens!K19109*tax_f</f>
        <v>54.5629408356652</v>
      </c>
    </row>
    <row r="19111" customFormat="false" ht="15" hidden="false" customHeight="false" outlineLevel="0" collapsed="false">
      <c r="A19111" s="1" t="s">
        <v>1076</v>
      </c>
      <c r="B19111" s="0" t="s">
        <v>98</v>
      </c>
      <c r="D19111" s="6" t="n">
        <f aca="false">Sens!D19109-Sens!D19110</f>
        <v>101.832</v>
      </c>
      <c r="E19111" s="6" t="n">
        <f aca="false">Sens!E19109-Sens!E19110</f>
        <v>133.749</v>
      </c>
      <c r="F19111" s="6" t="n">
        <f aca="false">Sens!F19109-Sens!F19110</f>
        <v>145.077974256161</v>
      </c>
      <c r="G19111" s="6" t="n">
        <f aca="false">Sens!G19109-Sens!G19110</f>
        <v>157.535745888137</v>
      </c>
      <c r="H19111" s="6" t="n">
        <f aca="false">Sens!H19109-Sens!H19110</f>
        <v>173.778942908823</v>
      </c>
      <c r="I19111" s="6" t="n">
        <f aca="false">Sens!I19109-Sens!I19110</f>
        <v>189.38244778086</v>
      </c>
      <c r="J19111" s="6" t="n">
        <f aca="false">Sens!J19109-Sens!J19110</f>
        <v>203.990863551901</v>
      </c>
      <c r="K19111" s="6" t="n">
        <f aca="false">Sens!K19109-Sens!K19110</f>
        <v>218.251763342661</v>
      </c>
    </row>
    <row r="19112" customFormat="false" ht="17.15" hidden="false" customHeight="false" outlineLevel="0" collapsed="false">
      <c r="A19112" s="1" t="s">
        <v>1077</v>
      </c>
      <c r="B19112" s="1" t="s">
        <v>81</v>
      </c>
      <c r="D19112" s="15" t="n">
        <f aca="false">Q!L31</f>
        <v>7.465</v>
      </c>
      <c r="E19112" s="15" t="n">
        <f aca="false">Q!M31</f>
        <v>7.453</v>
      </c>
      <c r="F19112" s="15" t="n">
        <f aca="false">Sens!F19156</f>
        <v>7.47284817598592</v>
      </c>
      <c r="G19112" s="15" t="n">
        <f aca="false">Sens!G19156</f>
        <v>7.51719635197183</v>
      </c>
      <c r="H19112" s="15" t="n">
        <f aca="false">Sens!H19156</f>
        <v>7.54489629100064</v>
      </c>
      <c r="I19112" s="15" t="n">
        <f aca="false">Sens!I19156</f>
        <v>7.5565776550561</v>
      </c>
      <c r="J19112" s="15" t="n">
        <f aca="false">Sens!J19156</f>
        <v>7.57072706621858</v>
      </c>
      <c r="K19112" s="15" t="n">
        <f aca="false">Sens!K19156</f>
        <v>7.58716170618383</v>
      </c>
    </row>
    <row r="19113" customFormat="false" ht="17.15" hidden="false" customHeight="false" outlineLevel="0" collapsed="false">
      <c r="A19113" s="0" t="s">
        <v>1078</v>
      </c>
      <c r="B19113" s="0" t="s">
        <v>75</v>
      </c>
      <c r="D19113" s="8" t="n">
        <f aca="false">Sens!D19111/Sens!D19112</f>
        <v>13.641259209645</v>
      </c>
      <c r="E19113" s="8" t="n">
        <f aca="false">Sens!E19111/Sens!E19112</f>
        <v>17.9456594659869</v>
      </c>
      <c r="F19113" s="8" t="n">
        <f aca="false">Sens!F19111/Sens!F19112</f>
        <v>19.4140133506754</v>
      </c>
      <c r="G19113" s="8" t="n">
        <f aca="false">Sens!G19111/Sens!G19112</f>
        <v>20.9567155774524</v>
      </c>
      <c r="H19113" s="8" t="n">
        <f aca="false">Sens!H19111/Sens!H19112</f>
        <v>23.0326483236227</v>
      </c>
      <c r="I19113" s="8" t="n">
        <f aca="false">Sens!I19111/Sens!I19112</f>
        <v>25.0619336458673</v>
      </c>
      <c r="J19113" s="8" t="n">
        <f aca="false">Sens!J19111/Sens!J19112</f>
        <v>26.9446859948407</v>
      </c>
      <c r="K19113" s="8" t="n">
        <f aca="false">Sens!K19111/Sens!K19112</f>
        <v>28.7659301059548</v>
      </c>
      <c r="L19113" s="1" t="s">
        <v>1079</v>
      </c>
    </row>
    <row r="19114" customFormat="false" ht="17.15" hidden="false" customHeight="false" outlineLevel="0" collapsed="false">
      <c r="A19114" s="1" t="s">
        <v>1080</v>
      </c>
      <c r="B19114" s="0" t="s">
        <v>98</v>
      </c>
      <c r="D19114" s="6" t="n">
        <f aca="false">Sens!D19111</f>
        <v>101.832</v>
      </c>
      <c r="E19114" s="6" t="n">
        <f aca="false">Sens!E19111</f>
        <v>133.749</v>
      </c>
      <c r="F19114" s="6" t="n">
        <f aca="false">Sens!F19111+Sens!F19104*(1-tax_f)</f>
        <v>152.862589719224</v>
      </c>
      <c r="G19114" s="6" t="n">
        <f aca="false">Sens!G19111+Sens!G19104*(1-tax_f)</f>
        <v>177.752951939458</v>
      </c>
      <c r="H19114" s="6" t="n">
        <f aca="false">Sens!H19111+Sens!H19104*(1-tax_f)</f>
        <v>207.68437012558</v>
      </c>
      <c r="I19114" s="6" t="n">
        <f aca="false">Sens!I19111+Sens!I19104*(1-tax_f)</f>
        <v>235.796239428422</v>
      </c>
      <c r="J19114" s="6" t="n">
        <f aca="false">Sens!J19111+Sens!J19104*(1-tax_f)</f>
        <v>259.242538520443</v>
      </c>
      <c r="K19114" s="6" t="n">
        <f aca="false">Sens!K19111+Sens!K19104*(1-tax_f)</f>
        <v>278.549485214573</v>
      </c>
    </row>
    <row r="19115" customFormat="false" ht="17.15" hidden="false" customHeight="false" outlineLevel="0" collapsed="false">
      <c r="A19115" s="0" t="s">
        <v>1081</v>
      </c>
      <c r="B19115" s="0" t="s">
        <v>75</v>
      </c>
      <c r="D19115" s="8" t="n">
        <f aca="false">Sens!D19114/Sens!D19112</f>
        <v>13.641259209645</v>
      </c>
      <c r="E19115" s="8" t="n">
        <f aca="false">Sens!E19114/Sens!E19112</f>
        <v>17.9456594659869</v>
      </c>
      <c r="F19115" s="8" t="n">
        <f aca="false">Sens!F19114/Sens!F19112</f>
        <v>20.4557333588617</v>
      </c>
      <c r="G19115" s="8" t="n">
        <f aca="false">Sens!G19114/Sens!G19112</f>
        <v>23.6461765286777</v>
      </c>
      <c r="H19115" s="8" t="n">
        <f aca="false">Sens!H19114/Sens!H19112</f>
        <v>27.5264711555149</v>
      </c>
      <c r="I19115" s="8" t="n">
        <f aca="false">Sens!I19114/Sens!I19112</f>
        <v>31.2041045817416</v>
      </c>
      <c r="J19115" s="8" t="n">
        <f aca="false">Sens!J19114/Sens!J19112</f>
        <v>34.2427532062557</v>
      </c>
      <c r="K19115" s="8" t="n">
        <f aca="false">Sens!K19114/Sens!K19112</f>
        <v>36.7132659091138</v>
      </c>
      <c r="L19115" s="1" t="s">
        <v>1082</v>
      </c>
    </row>
    <row r="19116" customFormat="false" ht="17.15" hidden="false" customHeight="false" outlineLevel="0" collapsed="false">
      <c r="A19116" s="0" t="s">
        <v>1083</v>
      </c>
      <c r="B19116" s="0" t="s">
        <v>168</v>
      </c>
      <c r="E19116" s="7" t="n">
        <f aca="false">Sens!E19115/Sens!D19115-1</f>
        <v>0.315542736208578</v>
      </c>
      <c r="F19116" s="7" t="n">
        <f aca="false">Sens!F19115/Sens!E19115-1</f>
        <v>0.13987080818246</v>
      </c>
      <c r="G19116" s="7" t="n">
        <f aca="false">Sens!G19115/Sens!F19115-1</f>
        <v>0.155968163734099</v>
      </c>
      <c r="H19116" s="7" t="n">
        <f aca="false">Sens!H19115/Sens!G19115-1</f>
        <v>0.164098183997369</v>
      </c>
      <c r="I19116" s="7" t="n">
        <f aca="false">Sens!I19115/Sens!H19115-1</f>
        <v>0.133603519515792</v>
      </c>
      <c r="J19116" s="7" t="n">
        <f aca="false">Sens!J19115/Sens!I19115-1</f>
        <v>0.0973797731177994</v>
      </c>
      <c r="K19116" s="7" t="n">
        <f aca="false">Sens!K19115/Sens!J19115-1</f>
        <v>0.0721470229913299</v>
      </c>
    </row>
    <row r="19117" customFormat="false" ht="17.15" hidden="false" customHeight="false" outlineLevel="0" collapsed="false">
      <c r="A19117" s="0" t="s">
        <v>1003</v>
      </c>
      <c r="B19117" s="0" t="s">
        <v>98</v>
      </c>
      <c r="E19117" s="6" t="n">
        <f aca="false">Sens!E19058</f>
        <v>5.25</v>
      </c>
      <c r="F19117" s="6" t="n">
        <f aca="false">Sens!F19058</f>
        <v>12</v>
      </c>
      <c r="G19117" s="6" t="n">
        <f aca="false">Sens!G19058</f>
        <v>18</v>
      </c>
      <c r="H19117" s="6" t="n">
        <f aca="false">Sens!H19058</f>
        <v>24</v>
      </c>
      <c r="I19117" s="6" t="n">
        <f aca="false">Sens!I19058</f>
        <v>28.5</v>
      </c>
      <c r="J19117" s="6" t="n">
        <f aca="false">Sens!J19058</f>
        <v>31.5</v>
      </c>
      <c r="K19117" s="6" t="n">
        <f aca="false">Sens!K19058</f>
        <v>34.5</v>
      </c>
    </row>
    <row r="19118" customFormat="false" ht="17.15" hidden="false" customHeight="false" outlineLevel="0" collapsed="false">
      <c r="A19118" s="1" t="s">
        <v>1004</v>
      </c>
      <c r="B19118" s="0" t="s">
        <v>98</v>
      </c>
      <c r="F19118" s="6" t="n">
        <f aca="false">MAX(0,((Sens!E19018+Sens!F19018)/2-(shadow_base*(Sens!$D$19018+Sens!$E$19018)/2+(1-shadow_base)*Sens!$E$19018))*Sens!F19027/1000-(Sens!F19117-Sens!$E$19117)*Sens!F19097)</f>
        <v>9.73076932882855</v>
      </c>
      <c r="G19118" s="6" t="n">
        <f aca="false">MAX(0,((Sens!F19018+Sens!G19018)/2-(shadow_base*(Sens!$D$19018+Sens!$E$19018)/2+(1-shadow_base)*Sens!$E$19018))*Sens!G19027/1000-(Sens!G19117-Sens!$E$19117)*Sens!G19097)</f>
        <v>25.2715075641513</v>
      </c>
      <c r="H19118" s="6" t="n">
        <f aca="false">MAX(0,((Sens!G19018+Sens!H19018)/2-(shadow_base*(Sens!$D$19018+Sens!$E$19018)/2+(1-shadow_base)*Sens!$E$19018))*Sens!H19027/1000-(Sens!H19117-Sens!$E$19117)*Sens!H19097)</f>
        <v>42.3817840209461</v>
      </c>
      <c r="I19118" s="6" t="n">
        <f aca="false">MAX(0,((Sens!H19018+Sens!I19018)/2-(shadow_base*(Sens!$D$19018+Sens!$E$19018)/2+(1-shadow_base)*Sens!$E$19018))*Sens!I19027/1000-(Sens!I19117-Sens!$E$19117)*Sens!I19097)</f>
        <v>58.0172395594533</v>
      </c>
      <c r="J19118" s="6" t="n">
        <f aca="false">MAX(0,((Sens!I19018+Sens!J19018)/2-(shadow_base*(Sens!$D$19018+Sens!$E$19018)/2+(1-shadow_base)*Sens!$E$19018))*Sens!J19027/1000-(Sens!J19117-Sens!$E$19117)*Sens!J19097)</f>
        <v>69.0645937106767</v>
      </c>
      <c r="K19118" s="6" t="n">
        <f aca="false">MAX(0,((Sens!J19018+Sens!K19018)/2-(shadow_base*(Sens!$D$19018+Sens!$E$19018)/2+(1-shadow_base)*Sens!$E$19018))*Sens!K19027/1000-(Sens!K19117-Sens!$E$19117)*Sens!K19097)</f>
        <v>75.3721523398898</v>
      </c>
      <c r="L19118" s="1" t="s">
        <v>1005</v>
      </c>
    </row>
    <row r="19119" customFormat="false" ht="17.15" hidden="false" customHeight="false" outlineLevel="0" collapsed="false">
      <c r="A19119" s="1" t="s">
        <v>1006</v>
      </c>
      <c r="B19119" s="0" t="s">
        <v>98</v>
      </c>
      <c r="F19119" s="6" t="n">
        <f aca="false">IF(internal_ai_reading=2,1,0)*Sens!F19118</f>
        <v>9.73076932882855</v>
      </c>
      <c r="G19119" s="6" t="n">
        <f aca="false">IF(internal_ai_reading=2,1,0)*Sens!G19118</f>
        <v>25.2715075641513</v>
      </c>
      <c r="H19119" s="6" t="n">
        <f aca="false">IF(internal_ai_reading=2,1,0)*Sens!H19118</f>
        <v>42.3817840209461</v>
      </c>
      <c r="I19119" s="6" t="n">
        <f aca="false">IF(internal_ai_reading=2,1,0)*Sens!I19118</f>
        <v>58.0172395594533</v>
      </c>
      <c r="J19119" s="6" t="n">
        <f aca="false">IF(internal_ai_reading=2,1,0)*Sens!J19118</f>
        <v>69.0645937106767</v>
      </c>
      <c r="K19119" s="6" t="n">
        <f aca="false">IF(internal_ai_reading=2,1,0)*Sens!K19118</f>
        <v>75.3721523398898</v>
      </c>
    </row>
    <row r="19120" customFormat="false" ht="17.15" hidden="false" customHeight="false" outlineLevel="0" collapsed="false">
      <c r="A19120" s="0" t="s">
        <v>1007</v>
      </c>
      <c r="B19120" s="0" t="s">
        <v>98</v>
      </c>
      <c r="F19120" s="6" t="n">
        <f aca="false">Sens!F19037+Sens!F19117*Sens!F19097+Sens!F19119-Sens!F19038-Sens!F19049</f>
        <v>15.4219866552038</v>
      </c>
      <c r="G19120" s="6" t="n">
        <f aca="false">Sens!G19037+Sens!G19117*Sens!G19097+Sens!G19119-Sens!G19038-Sens!G19049</f>
        <v>32.0199032888727</v>
      </c>
      <c r="H19120" s="6" t="n">
        <f aca="false">Sens!H19037+Sens!H19117*Sens!H19097+Sens!H19119-Sens!H19038-Sens!H19049</f>
        <v>49.3657869852075</v>
      </c>
      <c r="I19120" s="6" t="n">
        <f aca="false">Sens!I19037+Sens!I19117*Sens!I19097+Sens!I19119-Sens!I19038-Sens!I19049</f>
        <v>64.8112010052193</v>
      </c>
      <c r="J19120" s="6" t="n">
        <f aca="false">Sens!J19037+Sens!J19117*Sens!J19097+Sens!J19119-Sens!J19038-Sens!J19049</f>
        <v>75.5737274720345</v>
      </c>
      <c r="K19120" s="6" t="n">
        <f aca="false">Sens!K19037+Sens!K19117*Sens!K19097+Sens!K19119-Sens!K19038-Sens!K19049</f>
        <v>83.1088485072225</v>
      </c>
    </row>
    <row r="19121" customFormat="false" ht="17.15" hidden="false" customHeight="false" outlineLevel="0" collapsed="false">
      <c r="A19121" s="0" t="s">
        <v>1008</v>
      </c>
      <c r="B19121" s="0" t="s">
        <v>98</v>
      </c>
      <c r="E19121" s="6" t="n">
        <f aca="false">Sens!E19017*(cxit_open+self_build*tk_cxfac)/1000*ai_net_open</f>
        <v>126.6980382</v>
      </c>
      <c r="F19121" s="6" t="n">
        <f aca="false">Sens!E19121+Sens!F19046-Sens!F19049</f>
        <v>260.531138080999</v>
      </c>
      <c r="G19121" s="6" t="n">
        <f aca="false">Sens!F19121+Sens!G19046-Sens!G19049</f>
        <v>391.732607523896</v>
      </c>
      <c r="H19121" s="6" t="n">
        <f aca="false">Sens!G19121+Sens!H19046-Sens!H19049</f>
        <v>499.144512201304</v>
      </c>
      <c r="I19121" s="6" t="n">
        <f aca="false">Sens!H19121+Sens!I19046-Sens!I19049</f>
        <v>554.184803136311</v>
      </c>
      <c r="J19121" s="6" t="n">
        <f aca="false">Sens!I19121+Sens!J19046-Sens!J19049</f>
        <v>552.057881745084</v>
      </c>
      <c r="K19121" s="6" t="n">
        <f aca="false">Sens!J19121+Sens!K19046-Sens!K19049</f>
        <v>530.189758768081</v>
      </c>
      <c r="L19121" s="1" t="s">
        <v>1009</v>
      </c>
    </row>
    <row r="19122" customFormat="false" ht="17.15" hidden="false" customHeight="false" outlineLevel="0" collapsed="false">
      <c r="A19122" s="0" t="s">
        <v>1010</v>
      </c>
      <c r="B19122" s="0" t="s">
        <v>168</v>
      </c>
      <c r="F19122" s="7" t="n">
        <f aca="false">Sens!F19120*(1-tax_f)/((Sens!E19121+Sens!F19121)/2)</f>
        <v>0.0637224159742039</v>
      </c>
      <c r="G19122" s="7" t="n">
        <f aca="false">Sens!G19120*(1-tax_f)/((Sens!F19121+Sens!G19121)/2)</f>
        <v>0.07854467706876</v>
      </c>
      <c r="H19122" s="7" t="n">
        <f aca="false">Sens!H19120*(1-tax_f)/((Sens!G19121+Sens!H19121)/2)</f>
        <v>0.0886601052238224</v>
      </c>
      <c r="I19122" s="7" t="n">
        <f aca="false">Sens!I19120*(1-tax_f)/((Sens!H19121+Sens!I19121)/2)</f>
        <v>0.098447769466203</v>
      </c>
      <c r="J19122" s="7" t="n">
        <f aca="false">Sens!J19120*(1-tax_f)/((Sens!I19121+Sens!J19121)/2)</f>
        <v>0.109305096980794</v>
      </c>
      <c r="K19122" s="7" t="n">
        <f aca="false">Sens!K19120*(1-tax_f)/((Sens!J19121+Sens!K19121)/2)</f>
        <v>0.122868512375323</v>
      </c>
    </row>
    <row r="19123" customFormat="false" ht="17.15" hidden="false" customHeight="false" outlineLevel="0" collapsed="false">
      <c r="A19123" s="1" t="s">
        <v>1011</v>
      </c>
      <c r="B19123" s="0" t="s">
        <v>168</v>
      </c>
      <c r="F19123" s="7" t="n">
        <f aca="false">(Sens!F19120-Sens!F19119)*(1-tax_f)/((Sens!E19121+Sens!F19121)/2)</f>
        <v>0.02351565501767</v>
      </c>
      <c r="G19123" s="7" t="n">
        <f aca="false">(Sens!G19120-Sens!G19119)*(1-tax_f)/((Sens!F19121+Sens!G19121)/2)</f>
        <v>0.0165537840057949</v>
      </c>
      <c r="H19123" s="7" t="n">
        <f aca="false">(Sens!H19120-Sens!H19119)*(1-tax_f)/((Sens!G19121+Sens!H19121)/2)</f>
        <v>0.0125431493248644</v>
      </c>
      <c r="I19123" s="7" t="n">
        <f aca="false">(Sens!I19120-Sens!I19119)*(1-tax_f)/((Sens!H19121+Sens!I19121)/2)</f>
        <v>0.0103199808027193</v>
      </c>
      <c r="J19123" s="7" t="n">
        <f aca="false">(Sens!J19120-Sens!J19119)*(1-tax_f)/((Sens!I19121+Sens!J19121)/2)</f>
        <v>0.0094144026084919</v>
      </c>
      <c r="K19123" s="7" t="n">
        <f aca="false">(Sens!K19120-Sens!K19119)*(1-tax_f)/((Sens!J19121+Sens!K19121)/2)</f>
        <v>0.0114379679884197</v>
      </c>
    </row>
    <row r="19124" customFormat="false" ht="17.15" hidden="false" customHeight="false" outlineLevel="0" collapsed="false">
      <c r="A19124" s="1" t="s">
        <v>1012</v>
      </c>
      <c r="B19124" s="0" t="s">
        <v>168</v>
      </c>
      <c r="F19124" s="7" t="n">
        <f aca="false">(Sens!F19120-Sens!F19119+Sens!F19118)*(1-tax_f)/((Sens!E19121+Sens!F19121)/2)</f>
        <v>0.0637224159742039</v>
      </c>
      <c r="G19124" s="7" t="n">
        <f aca="false">(Sens!G19120-Sens!G19119+Sens!G19118)*(1-tax_f)/((Sens!F19121+Sens!G19121)/2)</f>
        <v>0.07854467706876</v>
      </c>
      <c r="H19124" s="7" t="n">
        <f aca="false">(Sens!H19120-Sens!H19119+Sens!H19118)*(1-tax_f)/((Sens!G19121+Sens!H19121)/2)</f>
        <v>0.0886601052238224</v>
      </c>
      <c r="I19124" s="7" t="n">
        <f aca="false">(Sens!I19120-Sens!I19119+Sens!I19118)*(1-tax_f)/((Sens!H19121+Sens!I19121)/2)</f>
        <v>0.098447769466203</v>
      </c>
      <c r="J19124" s="7" t="n">
        <f aca="false">(Sens!J19120-Sens!J19119+Sens!J19118)*(1-tax_f)/((Sens!I19121+Sens!J19121)/2)</f>
        <v>0.109305096980794</v>
      </c>
      <c r="K19124" s="7" t="n">
        <f aca="false">(Sens!K19120-Sens!K19119+Sens!K19118)*(1-tax_f)/((Sens!J19121+Sens!K19121)/2)</f>
        <v>0.122868512375323</v>
      </c>
    </row>
    <row r="19125" customFormat="false" ht="17.15" hidden="false" customHeight="false" outlineLevel="0" collapsed="false">
      <c r="A19125" s="1" t="s">
        <v>1013</v>
      </c>
      <c r="B19125" s="0" t="s">
        <v>168</v>
      </c>
      <c r="F19125" s="7" t="n">
        <f aca="false">Sens!F19050*(1-tax_f)/(Sens!F19036*(Sens!E19121+Sens!F19121)/2)</f>
        <v>0.133135185564475</v>
      </c>
      <c r="G19125" s="7" t="n">
        <f aca="false">Sens!G19050*(1-tax_f)/(Sens!G19036*(Sens!F19121+Sens!G19121)/2)</f>
        <v>0.130581271126347</v>
      </c>
      <c r="H19125" s="7" t="n">
        <f aca="false">Sens!H19050*(1-tax_f)/(Sens!H19036*(Sens!G19121+Sens!H19121)/2)</f>
        <v>0.13422149089065</v>
      </c>
      <c r="I19125" s="7" t="n">
        <f aca="false">Sens!I19050*(1-tax_f)/(Sens!I19036*(Sens!H19121+Sens!I19121)/2)</f>
        <v>0.142465995281897</v>
      </c>
      <c r="J19125" s="7" t="n">
        <f aca="false">Sens!J19050*(1-tax_f)/(Sens!J19036*(Sens!I19121+Sens!J19121)/2)</f>
        <v>0.154951730253963</v>
      </c>
      <c r="K19125" s="7" t="n">
        <f aca="false">Sens!K19050*(1-tax_f)/(Sens!K19036*(Sens!J19121+Sens!K19121)/2)</f>
        <v>0.172365406742447</v>
      </c>
    </row>
    <row r="19126" customFormat="false" ht="17.15" hidden="false" customHeight="false" outlineLevel="0" collapsed="false">
      <c r="A19126" s="0" t="s">
        <v>1014</v>
      </c>
      <c r="B19126" s="0" t="s">
        <v>253</v>
      </c>
      <c r="F19126" s="7" t="n">
        <f aca="false">Sens!F19122-wacc</f>
        <v>-0.0392141749713933</v>
      </c>
      <c r="G19126" s="7" t="n">
        <f aca="false">Sens!G19122-wacc</f>
        <v>-0.0243919138768373</v>
      </c>
      <c r="H19126" s="7" t="n">
        <f aca="false">Sens!H19122-wacc</f>
        <v>-0.0142764857217749</v>
      </c>
      <c r="I19126" s="7" t="n">
        <f aca="false">Sens!I19122-wacc</f>
        <v>-0.00448882147939428</v>
      </c>
      <c r="J19126" s="7" t="n">
        <f aca="false">Sens!J19122-wacc</f>
        <v>0.00636850603519717</v>
      </c>
      <c r="K19126" s="7" t="n">
        <f aca="false">Sens!K19122-wacc</f>
        <v>0.0199319214297257</v>
      </c>
    </row>
    <row r="19127" customFormat="false" ht="17.15" hidden="false" customHeight="false" outlineLevel="0" collapsed="false">
      <c r="A19127" s="0" t="s">
        <v>1015</v>
      </c>
      <c r="B19127" s="0" t="s">
        <v>98</v>
      </c>
      <c r="F19127" s="6" t="n">
        <f aca="false">Sens!F19120*(1-tax_f)-wacc*(Sens!E19121+Sens!F19121)/2</f>
        <v>-7.5924363363558</v>
      </c>
      <c r="G19127" s="6" t="n">
        <f aca="false">Sens!G19120*(1-tax_f)-wacc*(Sens!F19121+Sens!G19121)/2</f>
        <v>-7.95498055388895</v>
      </c>
      <c r="H19127" s="6" t="n">
        <f aca="false">Sens!H19120*(1-tax_f)-wacc*(Sens!G19121+Sens!H19121)/2</f>
        <v>-6.35929723980636</v>
      </c>
      <c r="I19127" s="6" t="n">
        <f aca="false">Sens!I19120*(1-tax_f)-wacc*(Sens!H19121+Sens!I19121)/2</f>
        <v>-2.36410362778158</v>
      </c>
      <c r="J19127" s="6" t="n">
        <f aca="false">Sens!J19120*(1-tax_f)-wacc*(Sens!I19121+Sens!J19121)/2</f>
        <v>3.52255660752994</v>
      </c>
      <c r="K19127" s="6" t="n">
        <f aca="false">Sens!K19120*(1-tax_f)-wacc*(Sens!J19121+Sens!K19121)/2</f>
        <v>10.7856374691072</v>
      </c>
    </row>
    <row r="19128" customFormat="false" ht="17.15" hidden="false" customHeight="false" outlineLevel="0" collapsed="false">
      <c r="A19128" s="3" t="s">
        <v>1952</v>
      </c>
    </row>
    <row r="19129" customFormat="false" ht="15" hidden="false" customHeight="false" outlineLevel="0" collapsed="false">
      <c r="A19129" s="4" t="s">
        <v>43</v>
      </c>
      <c r="B19129" s="4" t="s">
        <v>65</v>
      </c>
      <c r="C19129" s="23" t="s">
        <v>938</v>
      </c>
      <c r="D19129" s="23" t="s">
        <v>939</v>
      </c>
      <c r="E19129" s="23" t="s">
        <v>940</v>
      </c>
      <c r="F19129" s="23" t="s">
        <v>941</v>
      </c>
      <c r="G19129" s="23" t="s">
        <v>942</v>
      </c>
      <c r="H19129" s="23" t="s">
        <v>943</v>
      </c>
      <c r="I19129" s="23" t="s">
        <v>944</v>
      </c>
      <c r="J19129" s="23" t="s">
        <v>945</v>
      </c>
      <c r="K19129" s="23" t="s">
        <v>946</v>
      </c>
      <c r="L19129" s="4" t="s">
        <v>47</v>
      </c>
    </row>
    <row r="19130" customFormat="false" ht="15" hidden="false" customHeight="false" outlineLevel="0" collapsed="false">
      <c r="A19130" s="1" t="s">
        <v>1076</v>
      </c>
      <c r="B19130" s="0" t="s">
        <v>98</v>
      </c>
      <c r="F19130" s="6" t="n">
        <f aca="false">Sens!F19111</f>
        <v>145.077974256161</v>
      </c>
      <c r="G19130" s="6" t="n">
        <f aca="false">Sens!G19111</f>
        <v>157.535745888137</v>
      </c>
      <c r="H19130" s="6" t="n">
        <f aca="false">Sens!H19111</f>
        <v>173.778942908823</v>
      </c>
      <c r="I19130" s="6" t="n">
        <f aca="false">Sens!I19111</f>
        <v>189.38244778086</v>
      </c>
      <c r="J19130" s="6" t="n">
        <f aca="false">Sens!J19111</f>
        <v>203.990863551901</v>
      </c>
      <c r="K19130" s="6" t="n">
        <f aca="false">Sens!K19111</f>
        <v>218.251763342661</v>
      </c>
    </row>
    <row r="19131" customFormat="false" ht="17.15" hidden="false" customHeight="false" outlineLevel="0" collapsed="false">
      <c r="A19131" s="1" t="s">
        <v>1098</v>
      </c>
      <c r="B19131" s="0" t="s">
        <v>98</v>
      </c>
      <c r="E19131" s="6" t="n">
        <f aca="false">Q!M38-Sens!E19049</f>
        <v>22.2285940229167</v>
      </c>
      <c r="F19131" s="6" t="n">
        <f aca="false">Sens!E19131*(1-1/life_nonai)+(Sens!F19139+Sens!F19140)/life_nonai</f>
        <v>23.5783018048442</v>
      </c>
      <c r="G19131" s="6" t="n">
        <f aca="false">Sens!F19131*(1-1/life_nonai)+(Sens!G19139)/life_nonai</f>
        <v>25.3540836141256</v>
      </c>
      <c r="H19131" s="6" t="n">
        <f aca="false">Sens!G19131*(1-1/life_nonai)+(Sens!H19139)/life_nonai</f>
        <v>27.5219096923704</v>
      </c>
      <c r="I19131" s="6" t="n">
        <f aca="false">Sens!H19131*(1-1/life_nonai)+(Sens!I19139)/life_nonai</f>
        <v>30.0152599359014</v>
      </c>
      <c r="J19131" s="6" t="n">
        <f aca="false">Sens!I19131*(1-1/life_nonai)+(Sens!J19139)/life_nonai</f>
        <v>32.75076494421</v>
      </c>
      <c r="K19131" s="6" t="n">
        <f aca="false">Sens!J19131*(1-1/life_nonai)+(Sens!K19139)/life_nonai</f>
        <v>35.6441124404069</v>
      </c>
      <c r="L19131" s="12" t="s">
        <v>1099</v>
      </c>
    </row>
    <row r="19132" customFormat="false" ht="17.15" hidden="false" customHeight="false" outlineLevel="0" collapsed="false">
      <c r="A19132" s="1" t="s">
        <v>1100</v>
      </c>
      <c r="B19132" s="0" t="s">
        <v>98</v>
      </c>
      <c r="F19132" s="6" t="n">
        <f aca="false">Sens!$F$19140/life_nonai*(1-1/life_nonai)^(Sens!F19012-2027)</f>
        <v>3.68459886601613E-006</v>
      </c>
      <c r="G19132" s="6" t="n">
        <f aca="false">Sens!$F$19140/life_nonai*(1-1/life_nonai)^(Sens!G19012-2027)</f>
        <v>3.31613897941452E-006</v>
      </c>
      <c r="H19132" s="6" t="n">
        <f aca="false">Sens!$F$19140/life_nonai*(1-1/life_nonai)^(Sens!H19012-2027)</f>
        <v>2.98452508147307E-006</v>
      </c>
      <c r="I19132" s="6" t="n">
        <f aca="false">Sens!$F$19140/life_nonai*(1-1/life_nonai)^(Sens!I19012-2027)</f>
        <v>2.68607257332576E-006</v>
      </c>
      <c r="J19132" s="6" t="n">
        <f aca="false">Sens!$F$19140/life_nonai*(1-1/life_nonai)^(Sens!J19012-2027)</f>
        <v>2.41746531599318E-006</v>
      </c>
      <c r="K19132" s="6" t="n">
        <f aca="false">Sens!$F$19140/life_nonai*(1-1/life_nonai)^(Sens!K19012-2027)</f>
        <v>2.17571878439387E-006</v>
      </c>
      <c r="L19132" s="1" t="s">
        <v>1101</v>
      </c>
    </row>
    <row r="19133" customFormat="false" ht="17.15" hidden="false" customHeight="false" outlineLevel="0" collapsed="false">
      <c r="A19133" s="1" t="s">
        <v>1102</v>
      </c>
      <c r="B19133" s="0" t="s">
        <v>98</v>
      </c>
      <c r="E19133" s="6" t="n">
        <f aca="false">Sens!E19049+Sens!E19131</f>
        <v>38.534</v>
      </c>
      <c r="F19133" s="6" t="n">
        <f aca="false">Sens!F19049+Sens!F19131</f>
        <v>58.2195300816532</v>
      </c>
      <c r="G19133" s="6" t="n">
        <f aca="false">Sens!G19049+Sens!G19131</f>
        <v>86.2885703641449</v>
      </c>
      <c r="H19133" s="6" t="n">
        <f aca="false">Sens!H19049+Sens!H19131</f>
        <v>116.962228346766</v>
      </c>
      <c r="I19133" s="6" t="n">
        <f aca="false">Sens!I19049+Sens!I19131</f>
        <v>144.792754558718</v>
      </c>
      <c r="J19133" s="6" t="n">
        <f aca="false">Sens!J19049+Sens!J19131</f>
        <v>165.631640643503</v>
      </c>
      <c r="K19133" s="6" t="n">
        <f aca="false">Sens!K19049+Sens!K19131</f>
        <v>179.999634112449</v>
      </c>
    </row>
    <row r="19134" customFormat="false" ht="17.15" hidden="false" customHeight="false" outlineLevel="0" collapsed="false">
      <c r="A19134" s="1" t="s">
        <v>1103</v>
      </c>
      <c r="B19134" s="0" t="s">
        <v>98</v>
      </c>
      <c r="F19134" s="6" t="n">
        <f aca="false">Sens!F19076*sbc_r</f>
        <v>14.9311231100164</v>
      </c>
      <c r="G19134" s="6" t="n">
        <f aca="false">Sens!G19076*sbc_r</f>
        <v>17.8289793680997</v>
      </c>
      <c r="H19134" s="6" t="n">
        <f aca="false">Sens!H19076*sbc_r</f>
        <v>20.7956067674005</v>
      </c>
      <c r="I19134" s="6" t="n">
        <f aca="false">Sens!I19076*sbc_r</f>
        <v>23.5274534500053</v>
      </c>
      <c r="J19134" s="6" t="n">
        <f aca="false">Sens!J19076*sbc_r</f>
        <v>25.7709939929388</v>
      </c>
      <c r="K19134" s="6" t="n">
        <f aca="false">Sens!K19076*sbc_r</f>
        <v>27.5892722759595</v>
      </c>
    </row>
    <row r="19135" customFormat="false" ht="17.15" hidden="false" customHeight="false" outlineLevel="0" collapsed="false">
      <c r="A19135" s="1" t="s">
        <v>1104</v>
      </c>
      <c r="B19135" s="0" t="s">
        <v>98</v>
      </c>
      <c r="F19135" s="6" t="n">
        <f aca="false">wc27-wc26q1</f>
        <v>-4.677</v>
      </c>
      <c r="G19135" s="6" t="n">
        <f aca="false">wc_f</f>
        <v>0</v>
      </c>
      <c r="H19135" s="6" t="n">
        <f aca="false">wc_f</f>
        <v>0</v>
      </c>
      <c r="I19135" s="6" t="n">
        <f aca="false">wc_f</f>
        <v>0</v>
      </c>
      <c r="J19135" s="6" t="n">
        <f aca="false">wc_f</f>
        <v>0</v>
      </c>
      <c r="K19135" s="6" t="n">
        <f aca="false">wc_f</f>
        <v>0</v>
      </c>
      <c r="L19135" s="12" t="s">
        <v>1105</v>
      </c>
    </row>
    <row r="19136" customFormat="false" ht="17.15" hidden="false" customHeight="false" outlineLevel="0" collapsed="false">
      <c r="A19136" s="0" t="s">
        <v>1106</v>
      </c>
      <c r="B19136" s="0" t="s">
        <v>98</v>
      </c>
      <c r="F19136" s="6" t="n">
        <f aca="false">Q!$I$35-Q!$I$26-Q!$I$38-Q!$I$39</f>
        <v>6.493</v>
      </c>
      <c r="L19136" s="1" t="s">
        <v>1107</v>
      </c>
    </row>
    <row r="19137" customFormat="false" ht="15" hidden="false" customHeight="false" outlineLevel="0" collapsed="false">
      <c r="A19137" s="1" t="s">
        <v>904</v>
      </c>
      <c r="B19137" s="0" t="s">
        <v>98</v>
      </c>
      <c r="E19137" s="6" t="n">
        <f aca="false">Q!M35</f>
        <v>182.935</v>
      </c>
      <c r="F19137" s="6" t="n">
        <f aca="false">Sens!F19130+Sens!F19133+Sens!F19134+Sens!F19135+Sens!F19136</f>
        <v>220.04462744783</v>
      </c>
      <c r="G19137" s="6" t="n">
        <f aca="false">Sens!G19130+Sens!G19133+Sens!G19134+Sens!G19135</f>
        <v>261.653295620381</v>
      </c>
      <c r="H19137" s="6" t="n">
        <f aca="false">Sens!H19130+Sens!H19133+Sens!H19134+Sens!H19135</f>
        <v>311.53677802299</v>
      </c>
      <c r="I19137" s="6" t="n">
        <f aca="false">Sens!I19130+Sens!I19133+Sens!I19134+Sens!I19135</f>
        <v>357.702655789583</v>
      </c>
      <c r="J19137" s="6" t="n">
        <f aca="false">Sens!J19130+Sens!J19133+Sens!J19134+Sens!J19135</f>
        <v>395.393498188343</v>
      </c>
      <c r="K19137" s="6" t="n">
        <f aca="false">Sens!K19130+Sens!K19133+Sens!K19134+Sens!K19135</f>
        <v>425.840669731069</v>
      </c>
    </row>
    <row r="19138" customFormat="false" ht="17.15" hidden="false" customHeight="false" outlineLevel="0" collapsed="false">
      <c r="A19138" s="0" t="s">
        <v>1108</v>
      </c>
      <c r="B19138" s="0" t="s">
        <v>98</v>
      </c>
      <c r="F19138" s="6" t="n">
        <f aca="false">Sens!F19046</f>
        <v>168.474328157808</v>
      </c>
      <c r="G19138" s="6" t="n">
        <f aca="false">Sens!G19046</f>
        <v>192.135956192916</v>
      </c>
      <c r="H19138" s="6" t="n">
        <f aca="false">Sens!H19046</f>
        <v>196.852223331804</v>
      </c>
      <c r="I19138" s="6" t="n">
        <f aca="false">Sens!I19046</f>
        <v>169.817785557824</v>
      </c>
      <c r="J19138" s="6" t="n">
        <f aca="false">Sens!J19046</f>
        <v>130.753954308066</v>
      </c>
      <c r="K19138" s="6" t="n">
        <f aca="false">Sens!K19046</f>
        <v>122.487398695039</v>
      </c>
    </row>
    <row r="19139" customFormat="false" ht="17.15" hidden="false" customHeight="false" outlineLevel="0" collapsed="false">
      <c r="A19139" s="1" t="s">
        <v>1109</v>
      </c>
      <c r="B19139" s="0" t="s">
        <v>98</v>
      </c>
      <c r="E19139" s="6" t="n">
        <f aca="false">Sens!E19054*cx_azo+Sens!E19061*cx_m365+Sens!E19062*cx_lic+(Sens!E19064+Sens!E19066)*cx_ind+Sens!E19069*cx_srch+(Sens!E19071+Sens!E19073)*cx_dev</f>
        <v>30.1846587067718</v>
      </c>
      <c r="F19139" s="6" t="n">
        <f aca="false">Sens!F19054*cx_azo+Sens!F19061*cx_m365+Sens!F19062*cx_lic+(Sens!F19064+Sens!F19066)*cx_ind+Sens!F19069*cx_srch+(Sens!F19071+Sens!F19073)*cx_dev</f>
        <v>35.7256349962037</v>
      </c>
      <c r="G19139" s="6" t="n">
        <f aca="false">Sens!G19054*cx_azo+Sens!G19061*cx_m365+Sens!G19062*cx_lic+(Sens!G19064+Sens!G19066)*cx_ind+Sens!G19069*cx_srch+(Sens!G19071+Sens!G19073)*cx_dev</f>
        <v>41.3361198976575</v>
      </c>
      <c r="H19139" s="6" t="n">
        <f aca="false">Sens!H19054*cx_azo+Sens!H19061*cx_m365+Sens!H19062*cx_lic+(Sens!H19064+Sens!H19066)*cx_ind+Sens!H19069*cx_srch+(Sens!H19071+Sens!H19073)*cx_dev</f>
        <v>47.0323443965739</v>
      </c>
      <c r="I19139" s="6" t="n">
        <f aca="false">Sens!I19054*cx_azo+Sens!I19061*cx_m365+Sens!I19062*cx_lic+(Sens!I19064+Sens!I19066)*cx_ind+Sens!I19069*cx_srch+(Sens!I19071+Sens!I19073)*cx_dev</f>
        <v>52.45541212768</v>
      </c>
      <c r="J19139" s="6" t="n">
        <f aca="false">Sens!J19054*cx_azo+Sens!J19061*cx_m365+Sens!J19062*cx_lic+(Sens!J19064+Sens!J19066)*cx_ind+Sens!J19069*cx_srch+(Sens!J19071+Sens!J19073)*cx_dev</f>
        <v>57.3703100189875</v>
      </c>
      <c r="K19139" s="6" t="n">
        <f aca="false">Sens!K19054*cx_azo+Sens!K19061*cx_m365+Sens!K19062*cx_lic+(Sens!K19064+Sens!K19066)*cx_ind+Sens!K19069*cx_srch+(Sens!K19071+Sens!K19073)*cx_dev</f>
        <v>61.6842399061791</v>
      </c>
    </row>
    <row r="19140" customFormat="false" ht="17.15" hidden="false" customHeight="false" outlineLevel="0" collapsed="false">
      <c r="A19140" s="0" t="s">
        <v>1110</v>
      </c>
      <c r="B19140" s="0" t="s">
        <v>98</v>
      </c>
      <c r="F19140" s="6" t="n">
        <f aca="false">Sens!F19044</f>
        <v>3.68459886601613E-005</v>
      </c>
      <c r="L19140" s="1" t="s">
        <v>1111</v>
      </c>
    </row>
    <row r="19141" customFormat="false" ht="17.15" hidden="false" customHeight="false" outlineLevel="0" collapsed="false">
      <c r="A19141" s="1" t="s">
        <v>1112</v>
      </c>
      <c r="B19141" s="0" t="s">
        <v>98</v>
      </c>
      <c r="E19141" s="6" t="n">
        <f aca="false">Q!M43</f>
        <v>145.3</v>
      </c>
      <c r="F19141" s="6" t="n">
        <f aca="false">Sens!F19138+Sens!F19139+Sens!F19140</f>
        <v>204.2</v>
      </c>
      <c r="G19141" s="6" t="n">
        <f aca="false">Sens!G19138+Sens!G19139</f>
        <v>233.472076090574</v>
      </c>
      <c r="H19141" s="6" t="n">
        <f aca="false">Sens!H19138+Sens!H19139</f>
        <v>243.884567728378</v>
      </c>
      <c r="I19141" s="6" t="n">
        <f aca="false">Sens!I19138+Sens!I19139</f>
        <v>222.273197685504</v>
      </c>
      <c r="J19141" s="6" t="n">
        <f aca="false">Sens!J19138+Sens!J19139</f>
        <v>188.124264327054</v>
      </c>
      <c r="K19141" s="6" t="n">
        <f aca="false">Sens!K19138+Sens!K19139</f>
        <v>184.171638601218</v>
      </c>
      <c r="L19141" s="1" t="s">
        <v>1113</v>
      </c>
    </row>
    <row r="19142" customFormat="false" ht="15" hidden="false" customHeight="false" outlineLevel="0" collapsed="false">
      <c r="A19142" s="1" t="s">
        <v>1114</v>
      </c>
      <c r="B19142" s="0" t="s">
        <v>98</v>
      </c>
      <c r="E19142" s="6" t="n">
        <f aca="false">fl_liab</f>
        <v>66.594</v>
      </c>
      <c r="F19142" s="6" t="n">
        <f aca="false">Sens!E19142-Sens!F19143</f>
        <v>62.46973</v>
      </c>
      <c r="G19142" s="6" t="n">
        <f aca="false">Sens!F19142-Sens!G19143</f>
        <v>57.98686785</v>
      </c>
      <c r="H19142" s="6" t="n">
        <f aca="false">Sens!G19142-Sens!H19143</f>
        <v>53.92827690325</v>
      </c>
      <c r="I19142" s="6" t="n">
        <f aca="false">Sens!H19142-Sens!I19143</f>
        <v>49.7850493638962</v>
      </c>
      <c r="J19142" s="6" t="n">
        <f aca="false">Sens!I19142-Sens!J19143</f>
        <v>45.4823765852716</v>
      </c>
      <c r="K19142" s="6" t="n">
        <f aca="false">Sens!J19142-Sens!K19143</f>
        <v>40.9860835316088</v>
      </c>
    </row>
    <row r="19143" customFormat="false" ht="15" hidden="false" customHeight="false" outlineLevel="0" collapsed="false">
      <c r="A19143" s="1" t="s">
        <v>1115</v>
      </c>
      <c r="B19143" s="0" t="s">
        <v>98</v>
      </c>
      <c r="F19143" s="6" t="n">
        <f aca="false">fl_pay_27-Sens!E19142*fl_rate</f>
        <v>4.12427</v>
      </c>
      <c r="G19143" s="6" t="n">
        <f aca="false">fl_pay_28-Sens!F19142*fl_rate</f>
        <v>4.48286215</v>
      </c>
      <c r="H19143" s="6" t="n">
        <f aca="false">fl_pay_29-Sens!G19142*fl_rate</f>
        <v>4.05859094675</v>
      </c>
      <c r="I19143" s="6" t="n">
        <f aca="false">fl_pay_30-Sens!H19142*fl_rate</f>
        <v>4.14322753935375</v>
      </c>
      <c r="J19143" s="6" t="n">
        <f aca="false">fl_pay_31-Sens!I19142*fl_rate</f>
        <v>4.30267277862467</v>
      </c>
      <c r="K19143" s="6" t="n">
        <f aca="false">fl_pay_32-Sens!J19142*fl_rate</f>
        <v>4.49629305366278</v>
      </c>
    </row>
    <row r="19144" customFormat="false" ht="17.15" hidden="false" customHeight="false" outlineLevel="0" collapsed="false">
      <c r="A19144" s="1" t="s">
        <v>1116</v>
      </c>
      <c r="B19144" s="0" t="s">
        <v>98</v>
      </c>
      <c r="E19144" s="6" t="n">
        <f aca="false">Q!M35-Q!M36-Q!M44</f>
        <v>63.886</v>
      </c>
      <c r="F19144" s="6" t="n">
        <f aca="false">Sens!F19137-Sens!F19141-Sens!F19143</f>
        <v>11.7203574478304</v>
      </c>
      <c r="G19144" s="6" t="n">
        <f aca="false">Sens!G19137-Sens!G19141-Sens!G19143</f>
        <v>23.6983573798074</v>
      </c>
      <c r="H19144" s="6" t="n">
        <f aca="false">Sens!H19137-Sens!H19141-Sens!H19143</f>
        <v>63.593619347862</v>
      </c>
      <c r="I19144" s="6" t="n">
        <f aca="false">Sens!I19137-Sens!I19141-Sens!I19143</f>
        <v>131.286230564725</v>
      </c>
      <c r="J19144" s="6" t="n">
        <f aca="false">Sens!J19137-Sens!J19141-Sens!J19143</f>
        <v>202.966561082665</v>
      </c>
      <c r="K19144" s="6" t="n">
        <f aca="false">Sens!K19137-Sens!K19141-Sens!K19143</f>
        <v>237.172738076188</v>
      </c>
      <c r="L19144" s="12" t="s">
        <v>1117</v>
      </c>
    </row>
    <row r="19145" customFormat="false" ht="15" hidden="false" customHeight="false" outlineLevel="0" collapsed="false">
      <c r="A19145" s="1" t="s">
        <v>1118</v>
      </c>
      <c r="B19145" s="0" t="s">
        <v>75</v>
      </c>
      <c r="F19145" s="8" t="n">
        <f aca="false">dps_27</f>
        <v>3.85</v>
      </c>
      <c r="G19145" s="8" t="n">
        <f aca="false">Sens!F19145*(1+dps_g)</f>
        <v>4.158</v>
      </c>
      <c r="H19145" s="8" t="n">
        <f aca="false">Sens!G19145*(1+dps_g)</f>
        <v>4.49064</v>
      </c>
      <c r="I19145" s="8" t="n">
        <f aca="false">Sens!H19145*(1+dps_g)</f>
        <v>4.8498912</v>
      </c>
      <c r="J19145" s="8" t="n">
        <f aca="false">Sens!I19145*(1+dps_g)</f>
        <v>5.237882496</v>
      </c>
      <c r="K19145" s="8" t="n">
        <f aca="false">Sens!J19145*(1+dps_g)</f>
        <v>5.65691309568</v>
      </c>
    </row>
    <row r="19146" customFormat="false" ht="17.15" hidden="false" customHeight="false" outlineLevel="0" collapsed="false">
      <c r="A19146" s="1" t="s">
        <v>1119</v>
      </c>
      <c r="B19146" s="0" t="s">
        <v>98</v>
      </c>
      <c r="E19146" s="6" t="n">
        <f aca="false">Q!M41</f>
        <v>26.445</v>
      </c>
      <c r="F19146" s="6" t="n">
        <f aca="false">Sens!F19145*Sens!E19155</f>
        <v>28.59395</v>
      </c>
      <c r="G19146" s="6" t="n">
        <f aca="false">Sens!G19145*Sens!F19155</f>
        <v>31.0631554314989</v>
      </c>
      <c r="H19146" s="6" t="n">
        <f aca="false">Sens!H19145*Sens!G19155</f>
        <v>33.7502866660188</v>
      </c>
      <c r="I19146" s="6" t="n">
        <f aca="false">Sens!I19145*Sens!H19155</f>
        <v>36.500747876373</v>
      </c>
      <c r="J19146" s="6" t="n">
        <f aca="false">Sens!J19145*Sens!I19155</f>
        <v>39.4887055918754</v>
      </c>
      <c r="K19146" s="6" t="n">
        <f aca="false">Sens!K19145*Sens!J19155</f>
        <v>42.7345563016037</v>
      </c>
      <c r="L19146" s="1" t="s">
        <v>1120</v>
      </c>
    </row>
    <row r="19147" customFormat="false" ht="15" hidden="false" customHeight="false" outlineLevel="0" collapsed="false">
      <c r="A19147" s="1" t="s">
        <v>1121</v>
      </c>
      <c r="B19147" s="0" t="s">
        <v>98</v>
      </c>
      <c r="E19147" s="6" t="n">
        <f aca="false">Sens!E19144-Sens!E19146</f>
        <v>37.441</v>
      </c>
      <c r="F19147" s="6" t="n">
        <f aca="false">Sens!F19144-Sens!F19146</f>
        <v>-16.8735925521696</v>
      </c>
      <c r="G19147" s="6" t="n">
        <f aca="false">Sens!G19144-Sens!G19146</f>
        <v>-7.36479805169151</v>
      </c>
      <c r="H19147" s="6" t="n">
        <f aca="false">Sens!H19144-Sens!H19146</f>
        <v>29.8433326818432</v>
      </c>
      <c r="I19147" s="6" t="n">
        <f aca="false">Sens!I19144-Sens!I19146</f>
        <v>94.7854826883524</v>
      </c>
      <c r="J19147" s="6" t="n">
        <f aca="false">Sens!J19144-Sens!J19146</f>
        <v>163.47785549079</v>
      </c>
      <c r="K19147" s="6" t="n">
        <f aca="false">Sens!K19144-Sens!K19146</f>
        <v>194.438181774584</v>
      </c>
    </row>
    <row r="19148" customFormat="false" ht="15" hidden="false" customHeight="false" outlineLevel="0" collapsed="false">
      <c r="A19148" s="1" t="s">
        <v>1122</v>
      </c>
      <c r="B19148" s="0" t="s">
        <v>98</v>
      </c>
      <c r="F19148" s="6" t="n">
        <f aca="false">debt_mat_27</f>
        <v>9.25</v>
      </c>
      <c r="G19148" s="6" t="n">
        <f aca="false">debt_mat_28</f>
        <v>0</v>
      </c>
      <c r="H19148" s="6" t="n">
        <f aca="false">debt_mat_29</f>
        <v>2.001</v>
      </c>
      <c r="I19148" s="6" t="n">
        <f aca="false">debt_mat_30</f>
        <v>0</v>
      </c>
      <c r="J19148" s="6" t="n">
        <f aca="false">debt_mat_31</f>
        <v>0.5</v>
      </c>
      <c r="K19148" s="6" t="n">
        <f aca="false">debt_mat_32</f>
        <v>0</v>
      </c>
    </row>
    <row r="19149" customFormat="false" ht="15" hidden="false" customHeight="false" outlineLevel="0" collapsed="false">
      <c r="A19149" s="1" t="s">
        <v>1123</v>
      </c>
      <c r="B19149" s="0" t="s">
        <v>98</v>
      </c>
      <c r="E19149" s="6" t="n">
        <f aca="false">Q!M40</f>
        <v>22.271</v>
      </c>
      <c r="F19149" s="6" t="n">
        <f aca="false">MAX(0,MIN(bb_target,Sens!E19151+Sens!F19147-Sens!F19148-min_cash))</f>
        <v>0.719407447830363</v>
      </c>
      <c r="G19149" s="6" t="n">
        <f aca="false">MAX(0,MIN(bb_target,Sens!F19151+Sens!G19147-Sens!G19148-min_cash))</f>
        <v>0</v>
      </c>
      <c r="H19149" s="6" t="n">
        <f aca="false">MAX(0,MIN(bb_target,Sens!G19151+Sens!H19147-Sens!H19148-min_cash))</f>
        <v>22.271</v>
      </c>
      <c r="I19149" s="6" t="n">
        <f aca="false">MAX(0,MIN(bb_target,Sens!H19151+Sens!I19147-Sens!I19148-min_cash))</f>
        <v>22.271</v>
      </c>
      <c r="J19149" s="6" t="n">
        <f aca="false">MAX(0,MIN(bb_target,Sens!I19151+Sens!J19147-Sens!J19148-min_cash))</f>
        <v>22.271</v>
      </c>
      <c r="K19149" s="6" t="n">
        <f aca="false">MAX(0,MIN(bb_target,Sens!J19151+Sens!K19147-Sens!K19148-min_cash))</f>
        <v>22.271</v>
      </c>
    </row>
    <row r="19150" customFormat="false" ht="15" hidden="false" customHeight="false" outlineLevel="0" collapsed="false">
      <c r="A19150" s="1" t="s">
        <v>1124</v>
      </c>
      <c r="B19150" s="0" t="s">
        <v>98</v>
      </c>
      <c r="F19150" s="6" t="n">
        <f aca="false">MAX(0,min_cash-(Sens!E19151+Sens!F19147-Sens!F19148-Sens!F19149))</f>
        <v>0</v>
      </c>
      <c r="G19150" s="6" t="n">
        <f aca="false">MAX(0,min_cash-(Sens!F19151+Sens!G19147-Sens!G19148-Sens!G19149))</f>
        <v>7.36479805169151</v>
      </c>
      <c r="H19150" s="6" t="n">
        <f aca="false">MAX(0,min_cash-(Sens!G19151+Sens!H19147-Sens!H19148-Sens!H19149))</f>
        <v>0</v>
      </c>
      <c r="I19150" s="6" t="n">
        <f aca="false">MAX(0,min_cash-(Sens!H19151+Sens!I19147-Sens!I19148-Sens!I19149))</f>
        <v>0</v>
      </c>
      <c r="J19150" s="6" t="n">
        <f aca="false">MAX(0,min_cash-(Sens!I19151+Sens!J19147-Sens!J19148-Sens!J19149))</f>
        <v>0</v>
      </c>
      <c r="K19150" s="6" t="n">
        <f aca="false">MAX(0,min_cash-(Sens!J19151+Sens!K19147-Sens!K19148-Sens!K19149))</f>
        <v>0</v>
      </c>
    </row>
    <row r="19151" customFormat="false" ht="15" hidden="false" customHeight="false" outlineLevel="0" collapsed="false">
      <c r="A19151" s="1" t="s">
        <v>1125</v>
      </c>
      <c r="B19151" s="0" t="s">
        <v>98</v>
      </c>
      <c r="E19151" s="6" t="n">
        <f aca="false">cash_open</f>
        <v>76.843</v>
      </c>
      <c r="F19151" s="6" t="n">
        <f aca="false">Sens!E19151+Sens!F19147-Sens!F19148-Sens!F19149+Sens!F19150</f>
        <v>50</v>
      </c>
      <c r="G19151" s="6" t="n">
        <f aca="false">Sens!F19151+Sens!G19147-Sens!G19148-Sens!G19149+Sens!G19150</f>
        <v>50</v>
      </c>
      <c r="H19151" s="6" t="n">
        <f aca="false">Sens!G19151+Sens!H19147-Sens!H19148-Sens!H19149+Sens!H19150</f>
        <v>55.5713326818432</v>
      </c>
      <c r="I19151" s="6" t="n">
        <f aca="false">Sens!H19151+Sens!I19147-Sens!I19148-Sens!I19149+Sens!I19150</f>
        <v>128.085815370196</v>
      </c>
      <c r="J19151" s="6" t="n">
        <f aca="false">Sens!I19151+Sens!J19147-Sens!J19148-Sens!J19149+Sens!J19150</f>
        <v>268.792670860985</v>
      </c>
      <c r="K19151" s="6" t="n">
        <f aca="false">Sens!J19151+Sens!K19147-Sens!K19148-Sens!K19149+Sens!K19150</f>
        <v>440.959852635569</v>
      </c>
    </row>
    <row r="19152" customFormat="false" ht="15" hidden="false" customHeight="false" outlineLevel="0" collapsed="false">
      <c r="A19152" s="1" t="s">
        <v>1126</v>
      </c>
      <c r="B19152" s="0" t="s">
        <v>98</v>
      </c>
      <c r="E19152" s="6" t="n">
        <f aca="false">debt_face</f>
        <v>46.136</v>
      </c>
      <c r="F19152" s="6" t="n">
        <f aca="false">Sens!E19152-Sens!F19148+Sens!F19150</f>
        <v>36.886</v>
      </c>
      <c r="G19152" s="6" t="n">
        <f aca="false">Sens!F19152-Sens!G19148+Sens!G19150</f>
        <v>44.2507980516915</v>
      </c>
      <c r="H19152" s="6" t="n">
        <f aca="false">Sens!G19152-Sens!H19148+Sens!H19150</f>
        <v>42.2497980516915</v>
      </c>
      <c r="I19152" s="6" t="n">
        <f aca="false">Sens!H19152-Sens!I19148+Sens!I19150</f>
        <v>42.2497980516915</v>
      </c>
      <c r="J19152" s="6" t="n">
        <f aca="false">Sens!I19152-Sens!J19148+Sens!J19150</f>
        <v>41.7497980516915</v>
      </c>
      <c r="K19152" s="6" t="n">
        <f aca="false">Sens!J19152-Sens!K19148+Sens!K19150</f>
        <v>41.7497980516915</v>
      </c>
    </row>
    <row r="19153" customFormat="false" ht="15" hidden="false" customHeight="false" outlineLevel="0" collapsed="false">
      <c r="A19153" s="1" t="s">
        <v>1127</v>
      </c>
      <c r="B19153" s="0" t="s">
        <v>98</v>
      </c>
      <c r="E19153" s="6" t="n">
        <f aca="false">Sens!E19151-Sens!E19152</f>
        <v>30.707</v>
      </c>
      <c r="F19153" s="6" t="n">
        <f aca="false">Sens!F19151-Sens!F19152</f>
        <v>13.114</v>
      </c>
      <c r="G19153" s="6" t="n">
        <f aca="false">Sens!G19151-Sens!G19152</f>
        <v>5.74920194830849</v>
      </c>
      <c r="H19153" s="6" t="n">
        <f aca="false">Sens!H19151-Sens!H19152</f>
        <v>13.3215346301517</v>
      </c>
      <c r="I19153" s="6" t="n">
        <f aca="false">Sens!I19151-Sens!I19152</f>
        <v>85.8360173185041</v>
      </c>
      <c r="J19153" s="6" t="n">
        <f aca="false">Sens!J19151-Sens!J19152</f>
        <v>227.042872809294</v>
      </c>
      <c r="K19153" s="6" t="n">
        <f aca="false">Sens!K19151-Sens!K19152</f>
        <v>399.210054583878</v>
      </c>
    </row>
    <row r="19154" customFormat="false" ht="15" hidden="false" customHeight="false" outlineLevel="0" collapsed="false">
      <c r="A19154" s="1" t="s">
        <v>1128</v>
      </c>
      <c r="B19154" s="0" t="s">
        <v>75</v>
      </c>
      <c r="F19154" s="30" t="n">
        <f aca="false">px*(1+bb_g)^(Sens!F19012-base_fy-mid_yr)</f>
        <v>551.84177959629</v>
      </c>
      <c r="G19154" s="30" t="n">
        <f aca="false">px*(1+bb_g)^(Sens!G19012-base_fy-mid_yr)</f>
        <v>595.989121963993</v>
      </c>
      <c r="H19154" s="30" t="n">
        <f aca="false">px*(1+bb_g)^(Sens!H19012-base_fy-mid_yr)</f>
        <v>643.668251721112</v>
      </c>
      <c r="I19154" s="30" t="n">
        <f aca="false">px*(1+bb_g)^(Sens!I19012-base_fy-mid_yr)</f>
        <v>695.161711858801</v>
      </c>
      <c r="J19154" s="30" t="n">
        <f aca="false">px*(1+bb_g)^(Sens!J19012-base_fy-mid_yr)</f>
        <v>750.774648807506</v>
      </c>
      <c r="K19154" s="30" t="n">
        <f aca="false">px*(1+bb_g)^(Sens!K19012-base_fy-mid_yr)</f>
        <v>810.836620712106</v>
      </c>
    </row>
    <row r="19155" customFormat="false" ht="15" hidden="false" customHeight="false" outlineLevel="0" collapsed="false">
      <c r="A19155" s="1" t="s">
        <v>1129</v>
      </c>
      <c r="B19155" s="1" t="s">
        <v>81</v>
      </c>
      <c r="E19155" s="15" t="n">
        <f aca="false">sh_out26</f>
        <v>7.427</v>
      </c>
      <c r="F19155" s="15" t="n">
        <f aca="false">Sens!E19155+sh_iss-Sens!F19149/Sens!F19154</f>
        <v>7.47069635197183</v>
      </c>
      <c r="G19155" s="15" t="n">
        <f aca="false">Sens!F19155+sh_iss-Sens!G19149/Sens!G19154</f>
        <v>7.51569635197183</v>
      </c>
      <c r="H19155" s="15" t="n">
        <f aca="false">Sens!G19155+sh_iss-Sens!H19149/Sens!H19154</f>
        <v>7.52609623002944</v>
      </c>
      <c r="I19155" s="15" t="n">
        <f aca="false">Sens!H19155+sh_iss-Sens!I19149/Sens!I19154</f>
        <v>7.53905908008277</v>
      </c>
      <c r="J19155" s="15" t="n">
        <f aca="false">Sens!I19155+sh_iss-Sens!J19149/Sens!J19154</f>
        <v>7.55439505235438</v>
      </c>
      <c r="K19155" s="15" t="n">
        <f aca="false">Sens!J19155+sh_iss-Sens!K19149/Sens!K19154</f>
        <v>7.57192836001328</v>
      </c>
    </row>
    <row r="19156" customFormat="false" ht="15" hidden="false" customHeight="false" outlineLevel="0" collapsed="false">
      <c r="A19156" s="1" t="s">
        <v>1130</v>
      </c>
      <c r="B19156" s="1" t="s">
        <v>81</v>
      </c>
      <c r="E19156" s="15" t="n">
        <f aca="false">sh_dil26</f>
        <v>7.453</v>
      </c>
      <c r="F19156" s="15" t="n">
        <f aca="false">(Sens!E19155+Sens!F19155)/2+dil_gap</f>
        <v>7.47284817598592</v>
      </c>
      <c r="G19156" s="15" t="n">
        <f aca="false">(Sens!F19155+Sens!G19155)/2+dil_gap</f>
        <v>7.51719635197183</v>
      </c>
      <c r="H19156" s="15" t="n">
        <f aca="false">(Sens!G19155+Sens!H19155)/2+dil_gap</f>
        <v>7.54489629100064</v>
      </c>
      <c r="I19156" s="15" t="n">
        <f aca="false">(Sens!H19155+Sens!I19155)/2+dil_gap</f>
        <v>7.5565776550561</v>
      </c>
      <c r="J19156" s="15" t="n">
        <f aca="false">(Sens!I19155+Sens!J19155)/2+dil_gap</f>
        <v>7.57072706621858</v>
      </c>
      <c r="K19156" s="15" t="n">
        <f aca="false">(Sens!J19155+Sens!K19155)/2+dil_gap</f>
        <v>7.58716170618383</v>
      </c>
    </row>
    <row r="19157" customFormat="false" ht="17.15" hidden="false" customHeight="false" outlineLevel="0" collapsed="false">
      <c r="A19157" s="1" t="s">
        <v>1131</v>
      </c>
      <c r="B19157" s="0" t="s">
        <v>98</v>
      </c>
      <c r="C19157" s="6" t="n">
        <f aca="false">SUM(Sens!F19147:J19147)</f>
        <v>263.868280257124</v>
      </c>
    </row>
    <row r="19158" customFormat="false" ht="15" hidden="false" customHeight="false" outlineLevel="0" collapsed="false">
      <c r="A19158" s="26" t="s">
        <v>1096</v>
      </c>
      <c r="B19158" s="31" t="s">
        <v>98</v>
      </c>
      <c r="C19158" s="27" t="n">
        <f aca="false">Sens!$C$19157-(Sens!F19147+Sens!G19147+Sens!H19147+Sens!I19147+Sens!J19147)</f>
        <v>0</v>
      </c>
      <c r="D19158" s="31"/>
      <c r="E19158" s="31"/>
      <c r="F19158" s="31"/>
      <c r="G19158" s="31"/>
      <c r="H19158" s="31"/>
      <c r="I19158" s="31"/>
      <c r="J19158" s="31"/>
      <c r="K19158" s="31"/>
    </row>
    <row r="19159" customFormat="false" ht="17.15" hidden="false" customHeight="false" outlineLevel="0" collapsed="false">
      <c r="A19159" s="1" t="s">
        <v>1090</v>
      </c>
      <c r="B19159" s="1" t="s">
        <v>1132</v>
      </c>
      <c r="C19159" s="33" t="str">
        <f aca="false">IF(SUM(Sens!F19150:J19150)&gt;0.05,"需要舉債 "&amp;TEXT(SUM(Sens!F19150:J19150),"0.0")&amp;" 十億美元","不需舉債")&amp;"；"&amp;IF(SUM(Sens!F19149:J19149)&lt;COUNT(Sens!F19149:J19149)*bb_target-0.05,"回購較每年 "&amp;TEXT(bb_target,"0.0")&amp;" 的目標少 "&amp;TEXT(COUNT(Sens!F19149:J19149)*bb_target-SUM(Sens!F19149:J19149),"0.0")&amp;" 十億美元（"&amp;TEXT(COUNTIF(Sens!F19149:J19149,"&lt;"&amp;(bb_target-0.05)),"0")&amp;" 年減少）","回購不減")</f>
        <v>需要舉債 7.4 十億美元；回購較每年 22.3 的目標少 43.8 十億美元（2 年減少）</v>
      </c>
    </row>
    <row r="19160" customFormat="false" ht="17.15" hidden="false" customHeight="false" outlineLevel="0" collapsed="false">
      <c r="A19160" s="3" t="s">
        <v>1953</v>
      </c>
    </row>
    <row r="19161" customFormat="false" ht="15" hidden="false" customHeight="false" outlineLevel="0" collapsed="false">
      <c r="A19161" s="4" t="s">
        <v>43</v>
      </c>
      <c r="B19161" s="4" t="s">
        <v>65</v>
      </c>
      <c r="C19161" s="23" t="s">
        <v>938</v>
      </c>
      <c r="D19161" s="23" t="s">
        <v>939</v>
      </c>
      <c r="E19161" s="23" t="s">
        <v>940</v>
      </c>
      <c r="F19161" s="23" t="s">
        <v>941</v>
      </c>
      <c r="G19161" s="23" t="s">
        <v>942</v>
      </c>
      <c r="H19161" s="23" t="s">
        <v>943</v>
      </c>
      <c r="I19161" s="23" t="s">
        <v>944</v>
      </c>
      <c r="J19161" s="23" t="s">
        <v>945</v>
      </c>
      <c r="K19161" s="23" t="s">
        <v>946</v>
      </c>
      <c r="L19161" s="4" t="s">
        <v>47</v>
      </c>
    </row>
    <row r="19162" customFormat="false" ht="17.15" hidden="false" customHeight="false" outlineLevel="0" collapsed="false">
      <c r="A19162" s="1" t="s">
        <v>1212</v>
      </c>
      <c r="B19162" s="1" t="s">
        <v>279</v>
      </c>
      <c r="F19162" s="8" t="n">
        <f aca="false">(1-v_off)*mid_yr</f>
        <v>0.373972602739726</v>
      </c>
      <c r="G19162" s="8" t="n">
        <f aca="false">Sens!G19012-base_fy-mid_yr-v_off</f>
        <v>1.24794520547945</v>
      </c>
      <c r="H19162" s="8" t="n">
        <f aca="false">Sens!H19012-base_fy-mid_yr-v_off</f>
        <v>2.24794520547945</v>
      </c>
      <c r="I19162" s="8" t="n">
        <f aca="false">Sens!I19012-base_fy-mid_yr-v_off</f>
        <v>3.24794520547945</v>
      </c>
      <c r="J19162" s="8" t="n">
        <f aca="false">Sens!J19012-base_fy-mid_yr-v_off</f>
        <v>4.24794520547945</v>
      </c>
      <c r="K19162" s="8" t="n">
        <f aca="false">Sens!K19012-base_fy-mid_yr-v_off</f>
        <v>5.24794520547945</v>
      </c>
      <c r="L19162" s="12" t="s">
        <v>1213</v>
      </c>
    </row>
    <row r="19163" customFormat="false" ht="15" hidden="false" customHeight="false" outlineLevel="0" collapsed="false">
      <c r="A19163" s="1" t="s">
        <v>1214</v>
      </c>
      <c r="B19163" s="1" t="s">
        <v>279</v>
      </c>
      <c r="F19163" s="8" t="n">
        <f aca="false">Sens!F19012-base_fy-v_off</f>
        <v>0.747945205479452</v>
      </c>
      <c r="G19163" s="8" t="n">
        <f aca="false">Sens!G19012-base_fy-v_off</f>
        <v>1.74794520547945</v>
      </c>
      <c r="H19163" s="8" t="n">
        <f aca="false">Sens!H19012-base_fy-v_off</f>
        <v>2.74794520547945</v>
      </c>
      <c r="I19163" s="8" t="n">
        <f aca="false">Sens!I19012-base_fy-v_off</f>
        <v>3.74794520547945</v>
      </c>
      <c r="J19163" s="8" t="n">
        <f aca="false">Sens!J19012-base_fy-v_off</f>
        <v>4.74794520547945</v>
      </c>
      <c r="K19163" s="8" t="n">
        <f aca="false">Sens!K19012-base_fy-v_off</f>
        <v>5.74794520547945</v>
      </c>
    </row>
    <row r="19164" customFormat="false" ht="15" hidden="false" customHeight="false" outlineLevel="0" collapsed="false">
      <c r="A19164" s="1" t="s">
        <v>1215</v>
      </c>
      <c r="B19164" s="0" t="s">
        <v>229</v>
      </c>
      <c r="F19164" s="15" t="n">
        <f aca="false">1/(1+wacc)^Sens!F19162</f>
        <v>0.964022703286649</v>
      </c>
      <c r="G19164" s="15" t="n">
        <f aca="false">1/(1+wacc)^Sens!G19162</f>
        <v>0.884910302296739</v>
      </c>
      <c r="H19164" s="15" t="n">
        <f aca="false">1/(1+wacc)^Sens!H19162</f>
        <v>0.802322009770358</v>
      </c>
      <c r="I19164" s="15" t="n">
        <f aca="false">1/(1+wacc)^Sens!I19162</f>
        <v>0.727441646561469</v>
      </c>
      <c r="J19164" s="15" t="n">
        <f aca="false">1/(1+wacc)^Sens!J19162</f>
        <v>0.659549834988973</v>
      </c>
      <c r="K19164" s="15" t="n">
        <f aca="false">1/(1+wacc)^Sens!K19162</f>
        <v>0.597994336576966</v>
      </c>
    </row>
    <row r="19165" customFormat="false" ht="17.15" hidden="false" customHeight="false" outlineLevel="0" collapsed="false">
      <c r="A19165" s="1" t="s">
        <v>1216</v>
      </c>
      <c r="B19165" s="0" t="s">
        <v>98</v>
      </c>
      <c r="F19165" s="6" t="n">
        <f aca="false">Q!$I$35-Q!$I$39-Q!$I$43</f>
        <v>9.666</v>
      </c>
      <c r="L19165" s="12" t="s">
        <v>1217</v>
      </c>
    </row>
    <row r="19166" customFormat="false" ht="17.15" hidden="false" customHeight="false" outlineLevel="0" collapsed="false">
      <c r="A19166" s="1" t="s">
        <v>1218</v>
      </c>
      <c r="B19166" s="0" t="s">
        <v>98</v>
      </c>
      <c r="F19166" s="6" t="n">
        <f aca="false">Sens!F19137-Sens!F19134-Sens!F19141+Sens!F19119*(1-tax_f)*(1-v_off)-Sens!F19165</f>
        <v>-2.93002985008703</v>
      </c>
      <c r="G19166" s="6" t="n">
        <f aca="false">Sens!G19137-Sens!G19134-Sens!G19141+Sens!G19119*(1-tax_f)</f>
        <v>30.5694462130287</v>
      </c>
      <c r="H19166" s="6" t="n">
        <f aca="false">Sens!H19137-Sens!H19134-Sens!H19141+Sens!H19119*(1-tax_f)</f>
        <v>80.7620307439684</v>
      </c>
      <c r="I19166" s="6" t="n">
        <f aca="false">Sens!I19137-Sens!I19134-Sens!I19141+Sens!I19119*(1-tax_f)</f>
        <v>158.315796301636</v>
      </c>
      <c r="J19166" s="6" t="n">
        <f aca="false">Sens!J19137-Sens!J19134-Sens!J19141+Sens!J19119*(1-tax_f)</f>
        <v>236.749914836892</v>
      </c>
      <c r="K19166" s="6" t="n">
        <f aca="false">Sens!K19137-Sens!K19134-Sens!K19141+Sens!K19119*(1-tax_f)</f>
        <v>274.377480725803</v>
      </c>
      <c r="L19166" s="1" t="s">
        <v>1219</v>
      </c>
    </row>
    <row r="19167" customFormat="false" ht="15" hidden="false" customHeight="false" outlineLevel="0" collapsed="false">
      <c r="A19167" s="1" t="s">
        <v>1220</v>
      </c>
      <c r="B19167" s="0" t="s">
        <v>98</v>
      </c>
      <c r="F19167" s="6" t="n">
        <f aca="false">Sens!F19166*Sens!F19164</f>
        <v>-2.82461529679147</v>
      </c>
      <c r="G19167" s="6" t="n">
        <f aca="false">Sens!G19166*Sens!G19164</f>
        <v>27.0512178894151</v>
      </c>
      <c r="H19167" s="6" t="n">
        <f aca="false">Sens!H19166*Sens!H19164</f>
        <v>64.7971548196362</v>
      </c>
      <c r="I19167" s="6" t="n">
        <f aca="false">Sens!I19166*Sens!I19164</f>
        <v>115.165503538352</v>
      </c>
      <c r="J19167" s="6" t="n">
        <f aca="false">Sens!J19166*Sens!J19164</f>
        <v>156.148367264326</v>
      </c>
      <c r="K19167" s="6" t="n">
        <f aca="false">Sens!K19166*Sens!K19164</f>
        <v>164.076179558286</v>
      </c>
    </row>
    <row r="19168" customFormat="false" ht="17.15" hidden="false" customHeight="false" outlineLevel="0" collapsed="false">
      <c r="A19168" s="1" t="s">
        <v>1221</v>
      </c>
      <c r="B19168" s="0" t="s">
        <v>98</v>
      </c>
      <c r="C19168" s="6" t="n">
        <f aca="false">SUM(Sens!F19167:K19167)</f>
        <v>524.413807773224</v>
      </c>
    </row>
    <row r="19169" customFormat="false" ht="17.15" hidden="false" customHeight="false" outlineLevel="0" collapsed="false">
      <c r="A19169" s="1" t="s">
        <v>1222</v>
      </c>
      <c r="B19169" s="0" t="s">
        <v>98</v>
      </c>
      <c r="C19169" s="6" t="n">
        <f aca="false">Sens!K19105*(1+g_tv)*(1-tax_f)</f>
        <v>287.89476977101</v>
      </c>
    </row>
    <row r="19170" customFormat="false" ht="17.15" hidden="false" customHeight="false" outlineLevel="0" collapsed="false">
      <c r="A19170" s="1" t="s">
        <v>1223</v>
      </c>
      <c r="B19170" s="0" t="s">
        <v>98</v>
      </c>
      <c r="C19170" s="6" t="n">
        <f aca="false">Sens!$C$19169*(1-g_tv/(wacc+ronic_prem))</f>
        <v>203.990270760595</v>
      </c>
    </row>
    <row r="19171" customFormat="false" ht="17.15" hidden="false" customHeight="false" outlineLevel="0" collapsed="false">
      <c r="A19171" s="1" t="s">
        <v>1224</v>
      </c>
      <c r="B19171" s="0" t="s">
        <v>98</v>
      </c>
      <c r="C19171" s="6" t="n">
        <f aca="false">Sens!$C$19170/(wacc-g_tv)</f>
        <v>2796.81663368048</v>
      </c>
    </row>
    <row r="19172" customFormat="false" ht="15" hidden="false" customHeight="false" outlineLevel="0" collapsed="false">
      <c r="A19172" s="1" t="s">
        <v>1225</v>
      </c>
      <c r="B19172" s="0" t="s">
        <v>98</v>
      </c>
      <c r="C19172" s="6" t="n">
        <f aca="false">Sens!$C$19171/(1+wacc)^Sens!K19163</f>
        <v>1592.52328937843</v>
      </c>
    </row>
    <row r="19173" customFormat="false" ht="17.15" hidden="false" customHeight="false" outlineLevel="0" collapsed="false">
      <c r="A19173" s="0" t="s">
        <v>1226</v>
      </c>
      <c r="B19173" s="0" t="s">
        <v>98</v>
      </c>
      <c r="C19173" s="6" t="n">
        <f aca="false">Sens!$C$19168+Sens!$C$19172</f>
        <v>2116.93709715166</v>
      </c>
    </row>
    <row r="19174" customFormat="false" ht="15" hidden="false" customHeight="false" outlineLevel="0" collapsed="false">
      <c r="A19174" s="1" t="s">
        <v>1141</v>
      </c>
      <c r="B19174" s="0" t="s">
        <v>168</v>
      </c>
      <c r="C19174" s="7" t="n">
        <f aca="false">Sens!$C$19172/Sens!$C$19173</f>
        <v>0.752277094827795</v>
      </c>
    </row>
    <row r="19175" customFormat="false" ht="17.15" hidden="false" customHeight="false" outlineLevel="0" collapsed="false">
      <c r="A19175" s="1" t="s">
        <v>1227</v>
      </c>
      <c r="B19175" s="0" t="s">
        <v>98</v>
      </c>
      <c r="C19175" s="6" t="n">
        <f aca="false">Sens!$C$19173+cash_val-debt_val-fl_val+oai_v</f>
        <v>2232.78809715166</v>
      </c>
    </row>
    <row r="19176" customFormat="false" ht="17.15" hidden="false" customHeight="false" outlineLevel="0" collapsed="false">
      <c r="A19176" s="0" t="s">
        <v>1149</v>
      </c>
      <c r="B19176" s="0" t="s">
        <v>75</v>
      </c>
      <c r="C19176" s="5" t="n">
        <f aca="false">Sens!$C$19175/shd_val</f>
        <v>299.86410114849</v>
      </c>
    </row>
    <row r="19177" customFormat="false" ht="15" hidden="false" customHeight="false" outlineLevel="0" collapsed="false">
      <c r="A19177" s="1" t="s">
        <v>1228</v>
      </c>
      <c r="B19177" s="0" t="s">
        <v>75</v>
      </c>
      <c r="C19177" s="8" t="n">
        <f aca="false">div_rem27+Sens!G19145*roll_div_q/q_per_yr</f>
        <v>3.9795</v>
      </c>
    </row>
    <row r="19178" customFormat="false" ht="17.15" hidden="false" customHeight="false" outlineLevel="0" collapsed="false">
      <c r="A19178" s="0" t="s">
        <v>1229</v>
      </c>
      <c r="B19178" s="0" t="s">
        <v>75</v>
      </c>
      <c r="C19178" s="5" t="n">
        <f aca="false">Sens!$C$19176*(1+wacc)^t_roll-Sens!$C$19177</f>
        <v>329.336184065077</v>
      </c>
    </row>
    <row r="19179" customFormat="false" ht="17.15" hidden="false" customHeight="false" outlineLevel="0" collapsed="false">
      <c r="A19179" s="1" t="s">
        <v>1230</v>
      </c>
      <c r="B19179" s="0" t="s">
        <v>168</v>
      </c>
      <c r="F19179" s="7" t="n">
        <f aca="false">Sens!F19131/(Sens!F19076-Sens!F19031)</f>
        <v>0.0686340370353369</v>
      </c>
      <c r="G19179" s="7" t="n">
        <f aca="false">Sens!G19131/(Sens!G19076-Sens!G19031)</f>
        <v>0.0658430376087043</v>
      </c>
      <c r="H19179" s="7" t="n">
        <f aca="false">Sens!H19131/(Sens!H19076-Sens!H19031)</f>
        <v>0.0643952220334894</v>
      </c>
      <c r="I19179" s="7" t="n">
        <f aca="false">Sens!I19131/(Sens!I19076-Sens!I19031)</f>
        <v>0.0641699461531612</v>
      </c>
      <c r="J19179" s="7" t="n">
        <f aca="false">Sens!J19131/(Sens!J19076-Sens!J19031)</f>
        <v>0.0648852122031171</v>
      </c>
      <c r="K19179" s="7" t="n">
        <f aca="false">Sens!K19131/(Sens!K19076-Sens!K19031)</f>
        <v>0.0661940997778076</v>
      </c>
    </row>
    <row r="19180" customFormat="false" ht="17.15" hidden="false" customHeight="false" outlineLevel="0" collapsed="false">
      <c r="A19180" s="0" t="s">
        <v>1231</v>
      </c>
      <c r="B19180" s="0" t="s">
        <v>98</v>
      </c>
      <c r="F19180" s="6" t="n">
        <f aca="false">Sens!F19061*(al_m365+Sens!F19179+sbc_r)</f>
        <v>83.7222778525403</v>
      </c>
      <c r="G19180" s="6" t="n">
        <f aca="false">Sens!G19061*(al_m365+Sens!G19179+sbc_r)</f>
        <v>96.131453691123</v>
      </c>
      <c r="H19180" s="6" t="n">
        <f aca="false">Sens!H19061*(al_m365+Sens!H19179+sbc_r)</f>
        <v>108.704417388783</v>
      </c>
      <c r="I19180" s="6" t="n">
        <f aca="false">Sens!I19061*(al_m365+Sens!I19179+sbc_r)</f>
        <v>120.260492897902</v>
      </c>
      <c r="J19180" s="6" t="n">
        <f aca="false">Sens!J19061*(al_m365+Sens!J19179+sbc_r)</f>
        <v>130.611783945415</v>
      </c>
      <c r="K19180" s="6" t="n">
        <f aca="false">Sens!K19061*(al_m365+Sens!K19179+sbc_r)</f>
        <v>140.574427096397</v>
      </c>
      <c r="L19180" s="12" t="s">
        <v>1232</v>
      </c>
    </row>
    <row r="19181" customFormat="false" ht="17.15" hidden="false" customHeight="false" outlineLevel="0" collapsed="false">
      <c r="A19181" s="0" t="s">
        <v>1233</v>
      </c>
      <c r="B19181" s="0" t="s">
        <v>98</v>
      </c>
      <c r="F19181" s="6" t="n">
        <f aca="false">Sens!F19062*(al_lic+Sens!F19179+sbc_r)</f>
        <v>32.8583211569281</v>
      </c>
      <c r="G19181" s="6" t="n">
        <f aca="false">Sens!G19062*(al_lic+Sens!G19179+sbc_r)</f>
        <v>34.1380139622328</v>
      </c>
      <c r="H19181" s="6" t="n">
        <f aca="false">Sens!H19062*(al_lic+Sens!H19179+sbc_r)</f>
        <v>35.332809230035</v>
      </c>
      <c r="I19181" s="6" t="n">
        <f aca="false">Sens!I19062*(al_lic+Sens!I19179+sbc_r)</f>
        <v>36.4245726118289</v>
      </c>
      <c r="J19181" s="6" t="n">
        <f aca="false">Sens!J19062*(al_lic+Sens!J19179+sbc_r)</f>
        <v>37.3879121599902</v>
      </c>
      <c r="K19181" s="6" t="n">
        <f aca="false">Sens!K19062*(al_lic+Sens!K19179+sbc_r)</f>
        <v>38.1942380332713</v>
      </c>
    </row>
    <row r="19182" customFormat="false" ht="17.15" hidden="false" customHeight="false" outlineLevel="0" collapsed="false">
      <c r="A19182" s="0" t="s">
        <v>1234</v>
      </c>
      <c r="B19182" s="0" t="s">
        <v>98</v>
      </c>
      <c r="F19182" s="6" t="n">
        <f aca="false">Sens!F19064*(al_ind+Sens!F19179+sbc_r)</f>
        <v>9.06073992926616</v>
      </c>
      <c r="G19182" s="6" t="n">
        <f aca="false">Sens!G19064*(al_ind+Sens!G19179+sbc_r)</f>
        <v>9.83642698136292</v>
      </c>
      <c r="H19182" s="6" t="n">
        <f aca="false">Sens!H19064*(al_ind+Sens!H19179+sbc_r)</f>
        <v>10.6571661292139</v>
      </c>
      <c r="I19182" s="6" t="n">
        <f aca="false">Sens!I19064*(al_ind+Sens!I19179+sbc_r)</f>
        <v>11.5199226978275</v>
      </c>
      <c r="J19182" s="6" t="n">
        <f aca="false">Sens!J19064*(al_ind+Sens!J19179+sbc_r)</f>
        <v>12.414988641008</v>
      </c>
      <c r="K19182" s="6" t="n">
        <f aca="false">Sens!K19064*(al_ind+Sens!K19179+sbc_r)</f>
        <v>13.3272610721723</v>
      </c>
    </row>
    <row r="19183" customFormat="false" ht="17.15" hidden="false" customHeight="false" outlineLevel="0" collapsed="false">
      <c r="A19183" s="0" t="s">
        <v>1235</v>
      </c>
      <c r="B19183" s="0" t="s">
        <v>98</v>
      </c>
      <c r="F19183" s="6" t="n">
        <f aca="false">Sens!F19066*(al_fro+Sens!F19179+sbc_r)</f>
        <v>3.55415616942578</v>
      </c>
      <c r="G19183" s="6" t="n">
        <f aca="false">Sens!G19066*(al_fro+Sens!G19179+sbc_r)</f>
        <v>3.76370524879597</v>
      </c>
      <c r="H19183" s="6" t="n">
        <f aca="false">Sens!H19066*(al_fro+Sens!H19179+sbc_r)</f>
        <v>4.00226606540646</v>
      </c>
      <c r="I19183" s="6" t="n">
        <f aca="false">Sens!I19066*(al_fro+Sens!I19179+sbc_r)</f>
        <v>4.27260082320053</v>
      </c>
      <c r="J19183" s="6" t="n">
        <f aca="false">Sens!J19066*(al_fro+Sens!J19179+sbc_r)</f>
        <v>4.57585486764299</v>
      </c>
      <c r="K19183" s="6" t="n">
        <f aca="false">Sens!K19066*(al_fro+Sens!K19179+sbc_r)</f>
        <v>4.91209571050377</v>
      </c>
    </row>
    <row r="19184" customFormat="false" ht="17.15" hidden="false" customHeight="false" outlineLevel="0" collapsed="false">
      <c r="A19184" s="0" t="s">
        <v>1236</v>
      </c>
      <c r="B19184" s="0" t="s">
        <v>98</v>
      </c>
      <c r="F19184" s="6" t="n">
        <f aca="false">Sens!F19069*(al_srch+Sens!F19179+sbc_r)</f>
        <v>11.189489084871</v>
      </c>
      <c r="G19184" s="6" t="n">
        <f aca="false">Sens!G19069*(al_srch+Sens!G19179+sbc_r)</f>
        <v>12.2620332803124</v>
      </c>
      <c r="H19184" s="6" t="n">
        <f aca="false">Sens!H19069*(al_srch+Sens!H19179+sbc_r)</f>
        <v>13.3796748113295</v>
      </c>
      <c r="I19184" s="6" t="n">
        <f aca="false">Sens!I19069*(al_srch+Sens!I19179+sbc_r)</f>
        <v>14.5317941467175</v>
      </c>
      <c r="J19184" s="6" t="n">
        <f aca="false">Sens!J19069*(al_srch+Sens!J19179+sbc_r)</f>
        <v>15.6984112759955</v>
      </c>
      <c r="K19184" s="6" t="n">
        <f aca="false">Sens!K19069*(al_srch+Sens!K19179+sbc_r)</f>
        <v>16.8519546447639</v>
      </c>
    </row>
    <row r="19185" customFormat="false" ht="17.15" hidden="false" customHeight="false" outlineLevel="0" collapsed="false">
      <c r="A19185" s="0" t="s">
        <v>1237</v>
      </c>
      <c r="B19185" s="0" t="s">
        <v>98</v>
      </c>
      <c r="F19185" s="6" t="n">
        <f aca="false">Sens!F19037-Sens!F19038+Sens!F19119</f>
        <v>43.2117267214733</v>
      </c>
      <c r="G19185" s="6" t="n">
        <f aca="false">Sens!G19037-Sens!G19038+Sens!G19119</f>
        <v>82.6771577230826</v>
      </c>
      <c r="H19185" s="6" t="n">
        <f aca="false">Sens!H19037-Sens!H19038+Sens!H19119</f>
        <v>125.103129218524</v>
      </c>
      <c r="I19185" s="6" t="n">
        <f aca="false">Sens!I19037-Sens!I19038+Sens!I19119</f>
        <v>163.316411128004</v>
      </c>
      <c r="J19185" s="6" t="n">
        <f aca="false">Sens!J19037-Sens!J19038+Sens!J19119</f>
        <v>190.469446618662</v>
      </c>
      <c r="K19185" s="6" t="n">
        <f aca="false">Sens!K19037-Sens!K19038+Sens!K19119</f>
        <v>207.766341573963</v>
      </c>
    </row>
    <row r="19186" customFormat="false" ht="17.15" hidden="false" customHeight="false" outlineLevel="0" collapsed="false">
      <c r="A19186" s="0" t="s">
        <v>1238</v>
      </c>
      <c r="B19186" s="0" t="s">
        <v>98</v>
      </c>
      <c r="F19186" s="6" t="n">
        <f aca="false">Sens!F19098+Sens!F19119+Sens!F19049+Sens!F19179*(Sens!F19068-Sens!F19031)+sbc_r*Sens!F19068</f>
        <v>238.623073288425</v>
      </c>
      <c r="G19186" s="6" t="n">
        <f aca="false">Sens!G19098+Sens!G19119+Sens!G19049+Sens!G19179*(Sens!G19068-Sens!G19031)+sbc_r*Sens!G19068</f>
        <v>301.036012112214</v>
      </c>
      <c r="H19186" s="6" t="n">
        <f aca="false">Sens!H19098+Sens!H19119+Sens!H19049+Sens!H19179*(Sens!H19068-Sens!H19031)+sbc_r*Sens!H19068</f>
        <v>371.216115862327</v>
      </c>
      <c r="I19186" s="6" t="n">
        <f aca="false">Sens!I19098+Sens!I19119+Sens!I19049+Sens!I19179*(Sens!I19068-Sens!I19031)+sbc_r*Sens!I19068</f>
        <v>435.807878075843</v>
      </c>
      <c r="J19186" s="6" t="n">
        <f aca="false">Sens!J19098+Sens!J19119+Sens!J19049+Sens!J19179*(Sens!J19068-Sens!J19031)+sbc_r*Sens!J19068</f>
        <v>486.886867176475</v>
      </c>
      <c r="K19186" s="6" t="n">
        <f aca="false">Sens!K19098+Sens!K19119+Sens!K19049+Sens!K19179*(Sens!K19068-Sens!K19031)+sbc_r*Sens!K19068</f>
        <v>525.731629418965</v>
      </c>
    </row>
    <row r="19187" customFormat="false" ht="17.15" hidden="false" customHeight="false" outlineLevel="0" collapsed="false">
      <c r="A19187" s="0" t="s">
        <v>1239</v>
      </c>
      <c r="B19187" s="0" t="s">
        <v>98</v>
      </c>
      <c r="F19187" s="6" t="n">
        <f aca="false">Sens!F19186-Sens!F19180-Sens!F19181-Sens!F19182-Sens!F19183-Sens!F19185</f>
        <v>66.2158514587915</v>
      </c>
      <c r="G19187" s="6" t="n">
        <f aca="false">Sens!G19186-Sens!G19180-Sens!G19181-Sens!G19182-Sens!G19183-Sens!G19185</f>
        <v>74.4892545056162</v>
      </c>
      <c r="H19187" s="6" t="n">
        <f aca="false">Sens!H19186-Sens!H19180-Sens!H19181-Sens!H19182-Sens!H19183-Sens!H19185</f>
        <v>87.4163278303646</v>
      </c>
      <c r="I19187" s="6" t="n">
        <f aca="false">Sens!I19186-Sens!I19180-Sens!I19181-Sens!I19182-Sens!I19183-Sens!I19185</f>
        <v>100.013877917079</v>
      </c>
      <c r="J19187" s="6" t="n">
        <f aca="false">Sens!J19186-Sens!J19180-Sens!J19181-Sens!J19182-Sens!J19183-Sens!J19185</f>
        <v>111.426880943757</v>
      </c>
      <c r="K19187" s="6" t="n">
        <f aca="false">Sens!K19186-Sens!K19180-Sens!K19181-Sens!K19182-Sens!K19183-Sens!K19185</f>
        <v>120.957265932658</v>
      </c>
    </row>
    <row r="19188" customFormat="false" ht="17.15" hidden="false" customHeight="false" outlineLevel="0" collapsed="false">
      <c r="A19188" s="0" t="s">
        <v>1240</v>
      </c>
      <c r="B19188" s="0" t="s">
        <v>98</v>
      </c>
      <c r="F19188" s="6" t="n">
        <f aca="false">Sens!F19100+Sens!F19179*Sens!F19075+sbc_r*Sens!F19075</f>
        <v>26.6345670522739</v>
      </c>
      <c r="G19188" s="6" t="n">
        <f aca="false">Sens!G19100+Sens!G19179*Sens!G19075+sbc_r*Sens!G19075</f>
        <v>26.4727275443532</v>
      </c>
      <c r="H19188" s="6" t="n">
        <f aca="false">Sens!H19100+Sens!H19179*Sens!H19075+sbc_r*Sens!H19075</f>
        <v>27.3471819088146</v>
      </c>
      <c r="I19188" s="6" t="n">
        <f aca="false">Sens!I19100+Sens!I19179*Sens!I19075+sbc_r*Sens!I19075</f>
        <v>28.4576292184081</v>
      </c>
      <c r="J19188" s="6" t="n">
        <f aca="false">Sens!J19100+Sens!J19179*Sens!J19075+sbc_r*Sens!J19075</f>
        <v>29.7689406105206</v>
      </c>
      <c r="K19188" s="6" t="n">
        <f aca="false">Sens!K19100+Sens!K19179*Sens!K19075+sbc_r*Sens!K19075</f>
        <v>31.2441334876589</v>
      </c>
    </row>
    <row r="19189" customFormat="false" ht="17.15" hidden="false" customHeight="false" outlineLevel="0" collapsed="false">
      <c r="A19189" s="0" t="s">
        <v>1241</v>
      </c>
      <c r="B19189" s="0" t="s">
        <v>98</v>
      </c>
      <c r="F19189" s="6" t="n">
        <f aca="false">(Sens!F19188-Sens!F19184)*Sens!F19071/(Sens!F19071+Sens!F19073)</f>
        <v>8.7231563681814</v>
      </c>
      <c r="G19189" s="6" t="n">
        <f aca="false">(Sens!G19188-Sens!G19184)*Sens!G19071/(Sens!G19071+Sens!G19073)</f>
        <v>7.88805728117577</v>
      </c>
      <c r="H19189" s="6" t="n">
        <f aca="false">(Sens!H19188-Sens!H19184)*Sens!H19071/(Sens!H19071+Sens!H19073)</f>
        <v>7.65206966739436</v>
      </c>
      <c r="I19189" s="6" t="n">
        <f aca="false">(Sens!I19188-Sens!I19184)*Sens!I19071/(Sens!I19071+Sens!I19073)</f>
        <v>7.56264826703671</v>
      </c>
      <c r="J19189" s="6" t="n">
        <f aca="false">(Sens!J19188-Sens!J19184)*Sens!J19071/(Sens!J19071+Sens!J19073)</f>
        <v>7.60788849805409</v>
      </c>
      <c r="K19189" s="6" t="n">
        <f aca="false">(Sens!K19188-Sens!K19184)*Sens!K19071/(Sens!K19071+Sens!K19073)</f>
        <v>7.78180331937696</v>
      </c>
    </row>
    <row r="19190" customFormat="false" ht="17.15" hidden="false" customHeight="false" outlineLevel="0" collapsed="false">
      <c r="A19190" s="0" t="s">
        <v>1242</v>
      </c>
      <c r="B19190" s="0" t="s">
        <v>98</v>
      </c>
      <c r="F19190" s="6" t="n">
        <f aca="false">Sens!F19188-Sens!F19184-Sens!F19189</f>
        <v>6.72192159922158</v>
      </c>
      <c r="G19190" s="6" t="n">
        <f aca="false">Sens!G19188-Sens!G19184-Sens!G19189</f>
        <v>6.32263698286498</v>
      </c>
      <c r="H19190" s="6" t="n">
        <f aca="false">Sens!H19188-Sens!H19184-Sens!H19189</f>
        <v>6.31543743009079</v>
      </c>
      <c r="I19190" s="6" t="n">
        <f aca="false">Sens!I19188-Sens!I19184-Sens!I19189</f>
        <v>6.36318680465388</v>
      </c>
      <c r="J19190" s="6" t="n">
        <f aca="false">Sens!J19188-Sens!J19184-Sens!J19189</f>
        <v>6.46264083647102</v>
      </c>
      <c r="K19190" s="6" t="n">
        <f aca="false">Sens!K19188-Sens!K19184-Sens!K19189</f>
        <v>6.61037552351805</v>
      </c>
    </row>
    <row r="19191" customFormat="false" ht="17.15" hidden="false" customHeight="false" outlineLevel="0" collapsed="false">
      <c r="A19191" s="0" t="s">
        <v>1243</v>
      </c>
      <c r="B19191" s="0" t="s">
        <v>98</v>
      </c>
      <c r="F19191" s="6" t="n">
        <f aca="false">Sens!F19185-tax_f*(Sens!F19185-Sens!F19049)-Sens!F19046</f>
        <v>-126.976701125267</v>
      </c>
      <c r="G19191" s="6" t="n">
        <f aca="false">Sens!G19185-tax_f*(Sens!G19185-Sens!G19049)-Sens!G19046</f>
        <v>-113.807332664446</v>
      </c>
      <c r="H19191" s="6" t="n">
        <f aca="false">Sens!H19185-tax_f*(Sens!H19185-Sens!H19049)-Sens!H19046</f>
        <v>-78.8816562261053</v>
      </c>
      <c r="I19191" s="6" t="n">
        <f aca="false">Sens!I19185-tax_f*(Sens!I19185-Sens!I19049)-Sens!I19046</f>
        <v>-16.2091577308568</v>
      </c>
      <c r="J19191" s="6" t="n">
        <f aca="false">Sens!J19185-tax_f*(Sens!J19185-Sens!J19049)-Sens!J19046</f>
        <v>48.1977781267219</v>
      </c>
      <c r="K19191" s="6" t="n">
        <f aca="false">Sens!K19185-tax_f*(Sens!K19185-Sens!K19049)-Sens!K19046</f>
        <v>72.5967788985396</v>
      </c>
    </row>
    <row r="19192" customFormat="false" ht="17.15" hidden="false" customHeight="false" outlineLevel="0" collapsed="false">
      <c r="A19192" s="0" t="s">
        <v>1244</v>
      </c>
      <c r="B19192" s="0" t="s">
        <v>98</v>
      </c>
      <c r="G19192" s="6" t="n">
        <f aca="false">Sens!G19191/(1+wacc)^(Sens!G19162-Sens!F19163)</f>
        <v>-108.366481384903</v>
      </c>
      <c r="H19192" s="6" t="n">
        <f aca="false">Sens!H19191/(1+wacc)^(Sens!H19162-Sens!F19163)</f>
        <v>-68.1004847025477</v>
      </c>
      <c r="I19192" s="6" t="n">
        <f aca="false">Sens!I19191/(1+wacc)^(Sens!I19162-Sens!F19163)</f>
        <v>-12.6877346032415</v>
      </c>
      <c r="J19192" s="6" t="n">
        <f aca="false">Sens!J19191/(1+wacc)^(Sens!J19162-Sens!F19163)</f>
        <v>34.2058282154851</v>
      </c>
      <c r="K19192" s="6" t="n">
        <f aca="false">Sens!K19191/(1+wacc)^(Sens!K19162-Sens!F19163)</f>
        <v>46.7132301036804</v>
      </c>
      <c r="L19192" s="1" t="s">
        <v>1245</v>
      </c>
    </row>
    <row r="19193" customFormat="false" ht="17.15" hidden="false" customHeight="false" outlineLevel="0" collapsed="false">
      <c r="A19193" s="0" t="s">
        <v>1246</v>
      </c>
      <c r="B19193" s="0" t="s">
        <v>98</v>
      </c>
      <c r="C19193" s="6" t="n">
        <f aca="false">(Sens!K19185-Sens!K19049)*(1-tax_f)*(1+g_tv)*(1-g_tv/(wacc+ronic_prem))/(wacc-g_tv)/(1+wacc)^(Sens!K19163-Sens!F19163)</f>
        <v>311.005503104214</v>
      </c>
    </row>
    <row r="19194" customFormat="false" ht="17.15" hidden="false" customHeight="false" outlineLevel="0" collapsed="false">
      <c r="A19194" s="1" t="s">
        <v>1247</v>
      </c>
      <c r="B19194" s="0" t="s">
        <v>98</v>
      </c>
      <c r="C19194" s="6" t="n">
        <f aca="false">(SUM(Sens!G19192:K19192)+Sens!$C$19193)*(1+wacc)^(t_roll-Sens!F19163)</f>
        <v>209.463907057047</v>
      </c>
      <c r="L19194" s="12" t="s">
        <v>1248</v>
      </c>
    </row>
    <row r="19195" customFormat="false" ht="17.15" hidden="false" customHeight="false" outlineLevel="0" collapsed="false">
      <c r="A19195" s="1" t="s">
        <v>1249</v>
      </c>
      <c r="B19195" s="0" t="s">
        <v>98</v>
      </c>
      <c r="C19195" s="6" t="n">
        <f aca="false">(w_ntm28*Sens!G19037+(1-w_ntm28)*Sens!H19037)*m_ai</f>
        <v>470.190407180943</v>
      </c>
    </row>
    <row r="19196" customFormat="false" ht="17.15" hidden="false" customHeight="false" outlineLevel="0" collapsed="false">
      <c r="A19196" s="1" t="s">
        <v>1250</v>
      </c>
      <c r="B19196" s="0" t="s">
        <v>98</v>
      </c>
      <c r="C19196" s="6" t="n">
        <f aca="false">(w_ntm28*Sens!G19187+(1-w_ntm28)*Sens!H19187)*m_cloud</f>
        <v>1088.17645179299</v>
      </c>
    </row>
    <row r="19197" customFormat="false" ht="17.15" hidden="false" customHeight="false" outlineLevel="0" collapsed="false">
      <c r="A19197" s="1" t="s">
        <v>1251</v>
      </c>
      <c r="B19197" s="0" t="s">
        <v>98</v>
      </c>
      <c r="C19197" s="6" t="n">
        <f aca="false">(w_ntm28*Sens!G19180+(1-w_ntm28)*Sens!H19180)*m_sw</f>
        <v>1082.86233260979</v>
      </c>
    </row>
    <row r="19198" customFormat="false" ht="17.15" hidden="false" customHeight="false" outlineLevel="0" collapsed="false">
      <c r="A19198" s="1" t="s">
        <v>1252</v>
      </c>
      <c r="B19198" s="0" t="s">
        <v>98</v>
      </c>
      <c r="C19198" s="6" t="n">
        <f aca="false">(w_ntm28*Sens!G19181+(1-w_ntm28)*Sens!H19181)*m_sw</f>
        <v>372.932892345735</v>
      </c>
    </row>
    <row r="19199" customFormat="false" ht="17.15" hidden="false" customHeight="false" outlineLevel="0" collapsed="false">
      <c r="A19199" s="1" t="s">
        <v>1253</v>
      </c>
      <c r="B19199" s="0" t="s">
        <v>98</v>
      </c>
      <c r="C19199" s="6" t="n">
        <f aca="false">(w_ntm28*Sens!G19182+(1-w_ntm28)*Sens!H19182)*m_sw</f>
        <v>109.147597523692</v>
      </c>
    </row>
    <row r="19200" customFormat="false" ht="17.15" hidden="false" customHeight="false" outlineLevel="0" collapsed="false">
      <c r="A19200" s="1" t="s">
        <v>1254</v>
      </c>
      <c r="B19200" s="0" t="s">
        <v>98</v>
      </c>
      <c r="C19200" s="6" t="n">
        <f aca="false">(w_ntm28*Sens!G19183+(1-w_ntm28)*Sens!H19183)*m_sw</f>
        <v>41.4950709837834</v>
      </c>
    </row>
    <row r="19201" customFormat="false" ht="17.15" hidden="false" customHeight="false" outlineLevel="0" collapsed="false">
      <c r="A19201" s="1" t="s">
        <v>1255</v>
      </c>
      <c r="B19201" s="0" t="s">
        <v>98</v>
      </c>
      <c r="C19201" s="6" t="n">
        <f aca="false">(w_ntm28*Sens!G19184+(1-w_ntm28)*Sens!H19184)*m_ads</f>
        <v>115.054536119832</v>
      </c>
    </row>
    <row r="19202" customFormat="false" ht="17.15" hidden="false" customHeight="false" outlineLevel="0" collapsed="false">
      <c r="A19202" s="1" t="s">
        <v>1256</v>
      </c>
      <c r="B19202" s="0" t="s">
        <v>98</v>
      </c>
      <c r="C19202" s="6" t="n">
        <f aca="false">(w_ntm28*Sens!G19189+(1-w_ntm28)*Sens!H19189)*m_game</f>
        <v>98.6462653038607</v>
      </c>
    </row>
    <row r="19203" customFormat="false" ht="17.15" hidden="false" customHeight="false" outlineLevel="0" collapsed="false">
      <c r="A19203" s="1" t="s">
        <v>1257</v>
      </c>
      <c r="B19203" s="0" t="s">
        <v>98</v>
      </c>
      <c r="C19203" s="6" t="n">
        <f aca="false">(w_ntm28*Sens!G19190+(1-w_ntm28)*Sens!H19190)*m_pc</f>
        <v>91.4543069956532</v>
      </c>
    </row>
    <row r="19204" customFormat="false" ht="17.15" hidden="false" customHeight="false" outlineLevel="0" collapsed="false">
      <c r="A19204" s="1" t="s">
        <v>1258</v>
      </c>
      <c r="B19204" s="0" t="s">
        <v>98</v>
      </c>
      <c r="C19204" s="6" t="n">
        <f aca="false">Sens!$C$19194+Sens!$C$19196+Sens!$C$19197+Sens!$C$19198+Sens!$C$19199+Sens!$C$19200+Sens!$C$19201+Sens!$C$19202+Sens!$C$19203</f>
        <v>3209.23336073239</v>
      </c>
    </row>
    <row r="19205" customFormat="false" ht="17.15" hidden="false" customHeight="false" outlineLevel="0" collapsed="false">
      <c r="A19205" s="1" t="s">
        <v>1259</v>
      </c>
      <c r="B19205" s="0" t="s">
        <v>98</v>
      </c>
      <c r="C19205" s="6" t="n">
        <f aca="false">(Sens!G19166-Sens!G19191)*t_stub</f>
        <v>47.8618910799301</v>
      </c>
      <c r="L19205" s="1" t="s">
        <v>1260</v>
      </c>
    </row>
    <row r="19206" customFormat="false" ht="17.15" hidden="false" customHeight="false" outlineLevel="0" collapsed="false">
      <c r="A19206" s="1" t="s">
        <v>1169</v>
      </c>
      <c r="B19206" s="0" t="s">
        <v>98</v>
      </c>
      <c r="C19206" s="6" t="n">
        <f aca="false">Sens!F19153+oai_v-Sens!F19142+Sens!$C$19205</f>
        <v>162.09016107993</v>
      </c>
      <c r="L19206" s="1" t="s">
        <v>1261</v>
      </c>
    </row>
    <row r="19207" customFormat="false" ht="17.15" hidden="false" customHeight="false" outlineLevel="0" collapsed="false">
      <c r="A19207" s="1" t="s">
        <v>1262</v>
      </c>
      <c r="B19207" s="0" t="s">
        <v>75</v>
      </c>
      <c r="C19207" s="5" t="n">
        <f aca="false">(Sens!$C$19204+Sens!$C$19206)/(Sens!F19155+dil_gap)-Sens!G19145*roll_div_q/q_per_yr</f>
        <v>448.788400089019</v>
      </c>
      <c r="L19207" s="1" t="s">
        <v>1263</v>
      </c>
    </row>
    <row r="19208" customFormat="false" ht="17.15" hidden="false" customHeight="false" outlineLevel="0" collapsed="false">
      <c r="A19208" s="1" t="s">
        <v>1264</v>
      </c>
      <c r="B19208" s="0" t="s">
        <v>75</v>
      </c>
      <c r="C19208" s="5" t="n">
        <f aca="false">w_dcf*Sens!$C$19178+(1-w_dcf)*Sens!$C$19207</f>
        <v>389.062292077048</v>
      </c>
    </row>
    <row r="19209" customFormat="false" ht="17.15" hidden="false" customHeight="false" outlineLevel="0" collapsed="false">
      <c r="A19209" s="3" t="s">
        <v>1954</v>
      </c>
    </row>
    <row r="19210" customFormat="false" ht="15" hidden="false" customHeight="false" outlineLevel="0" collapsed="false">
      <c r="A19210" s="4" t="s">
        <v>43</v>
      </c>
      <c r="B19210" s="4" t="s">
        <v>65</v>
      </c>
      <c r="C19210" s="23" t="s">
        <v>938</v>
      </c>
      <c r="D19210" s="23" t="s">
        <v>939</v>
      </c>
      <c r="E19210" s="23" t="s">
        <v>940</v>
      </c>
      <c r="F19210" s="23" t="s">
        <v>941</v>
      </c>
      <c r="G19210" s="23" t="s">
        <v>942</v>
      </c>
      <c r="H19210" s="23" t="s">
        <v>943</v>
      </c>
      <c r="I19210" s="23" t="s">
        <v>944</v>
      </c>
      <c r="J19210" s="23" t="s">
        <v>945</v>
      </c>
      <c r="K19210" s="23" t="s">
        <v>946</v>
      </c>
      <c r="L19210" s="4" t="s">
        <v>47</v>
      </c>
    </row>
    <row r="19211" customFormat="false" ht="17.15" hidden="false" customHeight="false" outlineLevel="0" collapsed="false">
      <c r="A19211" s="1" t="s">
        <v>947</v>
      </c>
      <c r="B19211" s="1" t="s">
        <v>279</v>
      </c>
      <c r="C19211" s="21" t="n">
        <v>2024</v>
      </c>
      <c r="D19211" s="21" t="n">
        <v>2025</v>
      </c>
      <c r="E19211" s="21" t="n">
        <v>2026</v>
      </c>
      <c r="F19211" s="21" t="n">
        <v>2027</v>
      </c>
      <c r="G19211" s="21" t="n">
        <v>2028</v>
      </c>
      <c r="H19211" s="21" t="n">
        <v>2029</v>
      </c>
      <c r="I19211" s="21" t="n">
        <v>2030</v>
      </c>
      <c r="J19211" s="21" t="n">
        <v>2031</v>
      </c>
      <c r="K19211" s="21" t="n">
        <v>2032</v>
      </c>
    </row>
    <row r="19212" customFormat="false" ht="17.15" hidden="false" customHeight="false" outlineLevel="0" collapsed="false">
      <c r="A19212" s="1" t="s">
        <v>948</v>
      </c>
      <c r="B19212" s="0" t="s">
        <v>456</v>
      </c>
      <c r="F19212" s="30" t="n">
        <f aca="false">pace_nv0</f>
        <v>2645.0669</v>
      </c>
      <c r="G19212" s="30" t="n">
        <f aca="false">pace_nv0</f>
        <v>2645.0669</v>
      </c>
      <c r="H19212" s="30" t="n">
        <f aca="false">pace_nv0</f>
        <v>2645.0669</v>
      </c>
      <c r="I19212" s="30" t="n">
        <f aca="false">pace_nv0+(g_tv*Sens!H19213-pace_nv0)*MIN(1,(Sens!I19211-pace_y0)/(pace_y1-pace_y0))</f>
        <v>1875.22994033333</v>
      </c>
      <c r="J19212" s="30" t="n">
        <f aca="false">pace_nv0+(g_tv*Sens!I19213-pace_nv0)*MIN(1,(Sens!J19211-pace_y0)/(pace_y1-pace_y0))</f>
        <v>1142.89757947333</v>
      </c>
      <c r="K19212" s="30" t="n">
        <f aca="false">pace_nv0+(g_tv*Sens!J19213-pace_nv0)*MIN(1,(Sens!K19211-pace_y0)/(pace_y1-pace_y0))</f>
        <v>426.0998465942</v>
      </c>
      <c r="L19212" s="12" t="s">
        <v>949</v>
      </c>
    </row>
    <row r="19213" customFormat="false" ht="17.15" hidden="false" customHeight="false" outlineLevel="0" collapsed="false">
      <c r="A19213" s="1" t="s">
        <v>950</v>
      </c>
      <c r="B19213" s="0" t="s">
        <v>456</v>
      </c>
      <c r="C19213" s="30" t="n">
        <f aca="false">mw_ext_24</f>
        <v>640</v>
      </c>
      <c r="D19213" s="30" t="n">
        <f aca="false">mw_ext_25</f>
        <v>1630</v>
      </c>
      <c r="E19213" s="30" t="n">
        <f aca="false">mw_ext_26</f>
        <v>3250</v>
      </c>
      <c r="F19213" s="30" t="n">
        <f aca="false">Sens!E19213+Sens!F19212</f>
        <v>5895.0669</v>
      </c>
      <c r="G19213" s="30" t="n">
        <f aca="false">Sens!F19213+Sens!G19212</f>
        <v>8540.1338</v>
      </c>
      <c r="H19213" s="30" t="n">
        <f aca="false">Sens!G19213+Sens!H19212</f>
        <v>11185.2007</v>
      </c>
      <c r="I19213" s="30" t="n">
        <f aca="false">Sens!H19213+Sens!I19212</f>
        <v>13060.4306403333</v>
      </c>
      <c r="J19213" s="30" t="n">
        <f aca="false">Sens!I19213+Sens!J19212</f>
        <v>14203.3282198067</v>
      </c>
      <c r="K19213" s="30" t="n">
        <f aca="false">Sens!J19213+Sens!K19212</f>
        <v>14629.4280664009</v>
      </c>
      <c r="L19213" s="1" t="s">
        <v>951</v>
      </c>
    </row>
    <row r="19214" customFormat="false" ht="17.15" hidden="false" customHeight="false" outlineLevel="0" collapsed="false">
      <c r="A19214" s="1" t="s">
        <v>952</v>
      </c>
      <c r="B19214" s="0" t="s">
        <v>456</v>
      </c>
      <c r="C19214" s="30" t="n">
        <f aca="false">rent_ext_24</f>
        <v>150</v>
      </c>
      <c r="D19214" s="30" t="n">
        <f aca="false">rent_ext_25</f>
        <v>400</v>
      </c>
      <c r="E19214" s="30" t="n">
        <f aca="false">rent_ext_26</f>
        <v>550</v>
      </c>
      <c r="F19214" s="30" t="n">
        <f aca="false">rent_ext_f</f>
        <v>756</v>
      </c>
      <c r="G19214" s="30" t="n">
        <f aca="false">rent_ext_f</f>
        <v>756</v>
      </c>
      <c r="H19214" s="30" t="n">
        <f aca="false">rent_ext_f</f>
        <v>756</v>
      </c>
      <c r="I19214" s="30" t="n">
        <f aca="false">rent_ext_f</f>
        <v>756</v>
      </c>
      <c r="J19214" s="30" t="n">
        <f aca="false">rent_ext_f</f>
        <v>756</v>
      </c>
      <c r="K19214" s="30" t="n">
        <f aca="false">rent_ext_f</f>
        <v>756</v>
      </c>
      <c r="L19214" s="1" t="s">
        <v>953</v>
      </c>
    </row>
    <row r="19215" customFormat="false" ht="17.15" hidden="false" customHeight="false" outlineLevel="0" collapsed="false">
      <c r="A19215" s="1" t="s">
        <v>954</v>
      </c>
      <c r="B19215" s="0" t="s">
        <v>456</v>
      </c>
      <c r="C19215" s="30" t="n">
        <f aca="false">Sens!C19213-Sens!C19214</f>
        <v>490</v>
      </c>
      <c r="D19215" s="30" t="n">
        <f aca="false">Sens!D19213-Sens!D19214</f>
        <v>1230</v>
      </c>
      <c r="E19215" s="30" t="n">
        <f aca="false">Sens!E19213-Sens!E19214</f>
        <v>2700</v>
      </c>
      <c r="F19215" s="30" t="n">
        <f aca="false">Sens!F19213-Sens!F19214</f>
        <v>5139.0669</v>
      </c>
      <c r="G19215" s="30" t="n">
        <f aca="false">Sens!G19213-Sens!G19214</f>
        <v>7784.1338</v>
      </c>
      <c r="H19215" s="30" t="n">
        <f aca="false">Sens!H19213-Sens!H19214</f>
        <v>10429.2007</v>
      </c>
      <c r="I19215" s="30" t="n">
        <f aca="false">Sens!I19213-Sens!I19214</f>
        <v>12304.4306403333</v>
      </c>
      <c r="J19215" s="30" t="n">
        <f aca="false">Sens!J19213-Sens!J19214</f>
        <v>13447.3282198067</v>
      </c>
      <c r="K19215" s="30" t="n">
        <f aca="false">Sens!K19213-Sens!K19214</f>
        <v>13873.4280664009</v>
      </c>
    </row>
    <row r="19216" customFormat="false" ht="17.15" hidden="false" customHeight="false" outlineLevel="0" collapsed="false">
      <c r="A19216" s="1" t="s">
        <v>955</v>
      </c>
      <c r="B19216" s="0" t="s">
        <v>456</v>
      </c>
      <c r="C19216" s="30" t="n">
        <f aca="false">Sens!C19215/ext_sh</f>
        <v>816.666666666667</v>
      </c>
      <c r="D19216" s="30" t="n">
        <f aca="false">Sens!D19215/ext_sh</f>
        <v>2050</v>
      </c>
      <c r="E19216" s="30" t="n">
        <f aca="false">Sens!E19215/ext_sh</f>
        <v>4500</v>
      </c>
      <c r="F19216" s="30" t="n">
        <f aca="false">Sens!F19215/ext_sh</f>
        <v>8565.1115</v>
      </c>
      <c r="G19216" s="30" t="n">
        <f aca="false">Sens!G19215/ext_sh</f>
        <v>12973.5563333333</v>
      </c>
      <c r="H19216" s="30" t="n">
        <f aca="false">Sens!H19215/ext_sh</f>
        <v>17382.0011666667</v>
      </c>
      <c r="I19216" s="30" t="n">
        <f aca="false">Sens!I19215/ext_sh</f>
        <v>20507.3844005556</v>
      </c>
      <c r="J19216" s="30" t="n">
        <f aca="false">Sens!J19215/ext_sh</f>
        <v>22412.2136996778</v>
      </c>
      <c r="K19216" s="30" t="n">
        <f aca="false">Sens!K19215/ext_sh</f>
        <v>23122.3801106681</v>
      </c>
      <c r="L19216" s="1" t="s">
        <v>956</v>
      </c>
    </row>
    <row r="19217" customFormat="false" ht="17.15" hidden="false" customHeight="false" outlineLevel="0" collapsed="false">
      <c r="A19217" s="1" t="s">
        <v>957</v>
      </c>
      <c r="B19217" s="0" t="s">
        <v>456</v>
      </c>
      <c r="C19217" s="30" t="n">
        <f aca="false">Sens!C19216-Sens!C19215</f>
        <v>326.666666666667</v>
      </c>
      <c r="D19217" s="30" t="n">
        <f aca="false">Sens!D19216-Sens!D19215</f>
        <v>820</v>
      </c>
      <c r="E19217" s="30" t="n">
        <f aca="false">Sens!E19216-Sens!E19215</f>
        <v>1800</v>
      </c>
      <c r="F19217" s="30" t="n">
        <f aca="false">Sens!F19216-Sens!F19215</f>
        <v>3426.0446</v>
      </c>
      <c r="G19217" s="30" t="n">
        <f aca="false">Sens!G19216-Sens!G19215</f>
        <v>5189.42253333333</v>
      </c>
      <c r="H19217" s="30" t="n">
        <f aca="false">Sens!H19216-Sens!H19215</f>
        <v>6952.80046666667</v>
      </c>
      <c r="I19217" s="30" t="n">
        <f aca="false">Sens!I19216-Sens!I19215</f>
        <v>8202.95376022222</v>
      </c>
      <c r="J19217" s="30" t="n">
        <f aca="false">Sens!J19216-Sens!J19215</f>
        <v>8964.88547987111</v>
      </c>
      <c r="K19217" s="30" t="n">
        <f aca="false">Sens!K19216-Sens!K19215</f>
        <v>9248.95204426724</v>
      </c>
    </row>
    <row r="19218" customFormat="false" ht="17.15" hidden="false" customHeight="false" outlineLevel="0" collapsed="false">
      <c r="A19218" s="1" t="s">
        <v>958</v>
      </c>
      <c r="B19218" s="0" t="s">
        <v>456</v>
      </c>
      <c r="C19218" s="30" t="n">
        <f aca="false">Sens!C19216</f>
        <v>816.666666666667</v>
      </c>
      <c r="D19218" s="30" t="n">
        <f aca="false">Sens!D19216-Sens!C19216</f>
        <v>1233.33333333333</v>
      </c>
      <c r="E19218" s="30" t="n">
        <f aca="false">Sens!E19216-Sens!D19216</f>
        <v>2450</v>
      </c>
      <c r="F19218" s="30" t="n">
        <f aca="false">Sens!F19216-Sens!E19216</f>
        <v>4065.1115</v>
      </c>
      <c r="G19218" s="30" t="n">
        <f aca="false">Sens!G19216-Sens!F19216</f>
        <v>4408.44483333333</v>
      </c>
      <c r="H19218" s="30" t="n">
        <f aca="false">Sens!H19216-Sens!G19216</f>
        <v>4408.44483333333</v>
      </c>
      <c r="I19218" s="30" t="n">
        <f aca="false">Sens!I19216-Sens!H19216</f>
        <v>3125.38323388889</v>
      </c>
      <c r="J19218" s="30" t="n">
        <f aca="false">Sens!J19216-Sens!I19216</f>
        <v>1904.82929912222</v>
      </c>
      <c r="K19218" s="30" t="n">
        <f aca="false">Sens!K19216-Sens!J19216</f>
        <v>710.166410990332</v>
      </c>
    </row>
    <row r="19219" customFormat="false" ht="17.15" hidden="false" customHeight="false" outlineLevel="0" collapsed="false">
      <c r="A19219" s="1" t="s">
        <v>959</v>
      </c>
      <c r="B19219" s="0" t="s">
        <v>456</v>
      </c>
      <c r="D19219" s="30" t="n">
        <f aca="false">Sens!D19213-Sens!C19213</f>
        <v>990</v>
      </c>
      <c r="E19219" s="30" t="n">
        <f aca="false">Sens!E19213-Sens!D19213</f>
        <v>1620</v>
      </c>
      <c r="F19219" s="30" t="n">
        <f aca="false">Sens!F19213-Sens!E19213</f>
        <v>2645.0669</v>
      </c>
      <c r="G19219" s="30" t="n">
        <f aca="false">Sens!G19213-Sens!F19213</f>
        <v>2645.0669</v>
      </c>
      <c r="H19219" s="30" t="n">
        <f aca="false">Sens!H19213-Sens!G19213</f>
        <v>2645.0669</v>
      </c>
      <c r="I19219" s="30" t="n">
        <f aca="false">Sens!I19213-Sens!H19213</f>
        <v>1875.22994033333</v>
      </c>
      <c r="J19219" s="30" t="n">
        <f aca="false">Sens!J19213-Sens!I19213</f>
        <v>1142.89757947333</v>
      </c>
      <c r="K19219" s="30" t="n">
        <f aca="false">Sens!K19213-Sens!J19213</f>
        <v>426.099846594199</v>
      </c>
    </row>
    <row r="19220" customFormat="false" ht="17.15" hidden="false" customHeight="false" outlineLevel="0" collapsed="false">
      <c r="A19220" s="1" t="s">
        <v>960</v>
      </c>
      <c r="B19220" s="0" t="s">
        <v>456</v>
      </c>
      <c r="F19220" s="30" t="n">
        <f aca="false">Sens!F19239*ext_sh</f>
        <v>0</v>
      </c>
      <c r="G19220" s="30" t="n">
        <f aca="false">Sens!G19239*ext_sh</f>
        <v>0</v>
      </c>
      <c r="H19220" s="30" t="n">
        <f aca="false">Sens!H19239*ext_sh</f>
        <v>0</v>
      </c>
      <c r="I19220" s="30" t="n">
        <f aca="false">Sens!I19239*ext_sh</f>
        <v>490</v>
      </c>
      <c r="J19220" s="30" t="n">
        <f aca="false">Sens!J19239*ext_sh</f>
        <v>740</v>
      </c>
      <c r="K19220" s="30" t="n">
        <f aca="false">Sens!K19239*ext_sh</f>
        <v>1470</v>
      </c>
      <c r="L19220" s="1" t="s">
        <v>961</v>
      </c>
    </row>
    <row r="19221" customFormat="false" ht="17.15" hidden="false" customHeight="false" outlineLevel="0" collapsed="false">
      <c r="A19221" s="1" t="s">
        <v>962</v>
      </c>
      <c r="B19221" s="0" t="s">
        <v>456</v>
      </c>
      <c r="C19221" s="30" t="n">
        <f aca="false">mix_h*Sens!C19213</f>
        <v>128</v>
      </c>
      <c r="D19221" s="30" t="n">
        <f aca="false">mix_h*Sens!D19213</f>
        <v>326</v>
      </c>
      <c r="E19221" s="30" t="n">
        <f aca="false">mix_h*Sens!E19213</f>
        <v>650</v>
      </c>
      <c r="F19221" s="30" t="n">
        <f aca="false">Sens!E19221-Sens!F19220*mix_h</f>
        <v>650</v>
      </c>
      <c r="G19221" s="30" t="n">
        <f aca="false">Sens!F19221-Sens!G19220*mix_h</f>
        <v>650</v>
      </c>
      <c r="H19221" s="30" t="n">
        <f aca="false">Sens!G19221-Sens!H19220*mix_h</f>
        <v>650</v>
      </c>
      <c r="I19221" s="30" t="n">
        <f aca="false">Sens!H19221-Sens!I19220*mix_h</f>
        <v>552</v>
      </c>
      <c r="J19221" s="30" t="n">
        <f aca="false">Sens!I19221-Sens!J19220*mix_h</f>
        <v>404</v>
      </c>
      <c r="K19221" s="30" t="n">
        <f aca="false">Sens!J19221-Sens!K19220*mix_h</f>
        <v>110</v>
      </c>
    </row>
    <row r="19222" customFormat="false" ht="17.15" hidden="false" customHeight="false" outlineLevel="0" collapsed="false">
      <c r="A19222" s="1" t="s">
        <v>963</v>
      </c>
      <c r="B19222" s="0" t="s">
        <v>456</v>
      </c>
      <c r="C19222" s="30" t="n">
        <f aca="false">mix_g2*Sens!C19213</f>
        <v>288</v>
      </c>
      <c r="D19222" s="30" t="n">
        <f aca="false">mix_g2*Sens!D19213</f>
        <v>733.5</v>
      </c>
      <c r="E19222" s="30" t="n">
        <f aca="false">mix_g2*Sens!E19213</f>
        <v>1462.5</v>
      </c>
      <c r="F19222" s="30" t="n">
        <f aca="false">Sens!E19222-Sens!F19220*mix_g2</f>
        <v>1462.5</v>
      </c>
      <c r="G19222" s="30" t="n">
        <f aca="false">Sens!F19222-Sens!G19220*mix_g2</f>
        <v>1462.5</v>
      </c>
      <c r="H19222" s="30" t="n">
        <f aca="false">Sens!G19222-Sens!H19220*mix_g2</f>
        <v>1462.5</v>
      </c>
      <c r="I19222" s="30" t="n">
        <f aca="false">Sens!H19222-Sens!I19220*mix_g2</f>
        <v>1242</v>
      </c>
      <c r="J19222" s="30" t="n">
        <f aca="false">Sens!I19222-Sens!J19220*mix_g2</f>
        <v>909</v>
      </c>
      <c r="K19222" s="30" t="n">
        <f aca="false">Sens!J19222-Sens!K19220*mix_g2</f>
        <v>247.5</v>
      </c>
    </row>
    <row r="19223" customFormat="false" ht="17.15" hidden="false" customHeight="false" outlineLevel="0" collapsed="false">
      <c r="A19223" s="1" t="s">
        <v>964</v>
      </c>
      <c r="B19223" s="0" t="s">
        <v>456</v>
      </c>
      <c r="C19223" s="30" t="n">
        <f aca="false">mix_g3*Sens!C19213</f>
        <v>224</v>
      </c>
      <c r="D19223" s="30" t="n">
        <f aca="false">mix_g3*Sens!D19213</f>
        <v>570.5</v>
      </c>
      <c r="E19223" s="30" t="n">
        <f aca="false">mix_g3*Sens!E19213</f>
        <v>1137.5</v>
      </c>
      <c r="F19223" s="30" t="n">
        <f aca="false">Sens!E19223+(Sens!F19219+Sens!F19220)*(a_g3_27-0*a_mai)-Sens!F19220*mix_g3</f>
        <v>2989.04683</v>
      </c>
      <c r="G19223" s="30" t="n">
        <f aca="false">Sens!F19223+(Sens!G19219+Sens!G19220)*(a_g3_28-0*a_mai)-Sens!G19220*mix_g3</f>
        <v>3782.5669</v>
      </c>
      <c r="H19223" s="30" t="n">
        <f aca="false">Sens!G19223+(Sens!H19219+Sens!H19220)*(a_g3_29-0*a_mai)-Sens!H19220*mix_g3</f>
        <v>4047.07359</v>
      </c>
      <c r="I19223" s="30" t="n">
        <f aca="false">Sens!H19223+(Sens!I19219+Sens!I19220)*(a_g3_29-0*a_mai)-Sens!I19220*mix_g3</f>
        <v>4112.09658403333</v>
      </c>
      <c r="J19223" s="30" t="n">
        <f aca="false">Sens!I19223+(Sens!J19219+Sens!J19220)*(a_g3_29-0*a_mai)-Sens!J19220*mix_g3</f>
        <v>4041.38634198067</v>
      </c>
      <c r="K19223" s="30" t="n">
        <f aca="false">Sens!J19223+(Sens!K19219+Sens!K19220)*(a_g3_29-0*a_mai)-Sens!K19220*mix_g3</f>
        <v>3716.49632664009</v>
      </c>
    </row>
    <row r="19224" customFormat="false" ht="17.15" hidden="false" customHeight="false" outlineLevel="0" collapsed="false">
      <c r="A19224" s="1" t="s">
        <v>965</v>
      </c>
      <c r="B19224" s="0" t="s">
        <v>456</v>
      </c>
      <c r="C19224" s="30" t="n">
        <v>0</v>
      </c>
      <c r="D19224" s="30" t="n">
        <v>0</v>
      </c>
      <c r="E19224" s="30" t="n">
        <v>0</v>
      </c>
      <c r="F19224" s="30" t="n">
        <f aca="false">Sens!E19224+(Sens!F19219+Sens!F19220)*0*a_mai</f>
        <v>0</v>
      </c>
      <c r="G19224" s="30" t="n">
        <f aca="false">Sens!F19224+(Sens!G19219+Sens!G19220)*0*a_mai</f>
        <v>0</v>
      </c>
      <c r="H19224" s="30" t="n">
        <f aca="false">Sens!G19224+(Sens!H19219+Sens!H19220)*0*a_mai</f>
        <v>0</v>
      </c>
      <c r="I19224" s="30" t="n">
        <f aca="false">Sens!H19224+(Sens!I19219+Sens!I19220)*0*a_mai</f>
        <v>0</v>
      </c>
      <c r="J19224" s="30" t="n">
        <f aca="false">Sens!I19224+(Sens!J19219+Sens!J19220)*0*a_mai</f>
        <v>0</v>
      </c>
      <c r="K19224" s="30" t="n">
        <f aca="false">Sens!J19224+(Sens!K19219+Sens!K19220)*0*a_mai</f>
        <v>0</v>
      </c>
      <c r="L19224" s="12" t="s">
        <v>966</v>
      </c>
    </row>
    <row r="19225" customFormat="false" ht="17.15" hidden="false" customHeight="false" outlineLevel="0" collapsed="false">
      <c r="A19225" s="1" t="s">
        <v>967</v>
      </c>
      <c r="B19225" s="0" t="s">
        <v>456</v>
      </c>
      <c r="C19225" s="30" t="n">
        <v>0</v>
      </c>
      <c r="D19225" s="30" t="n">
        <v>0</v>
      </c>
      <c r="E19225" s="30" t="n">
        <v>0</v>
      </c>
      <c r="F19225" s="30" t="n">
        <f aca="false">Sens!E19225+(Sens!F19219+Sens!F19220)*(1-a_g3_27)</f>
        <v>793.52007</v>
      </c>
      <c r="G19225" s="30" t="n">
        <f aca="false">Sens!F19225+(Sens!G19219+Sens!G19220)*(1-a_g3_28)</f>
        <v>2645.0669</v>
      </c>
      <c r="H19225" s="30" t="n">
        <f aca="false">Sens!G19225+(Sens!H19219+Sens!H19220)*(1-a_g3_29)</f>
        <v>5025.62711</v>
      </c>
      <c r="I19225" s="30" t="n">
        <f aca="false">Sens!H19225+(Sens!I19219+Sens!I19220)*(1-a_g3_29)</f>
        <v>7154.3340563</v>
      </c>
      <c r="J19225" s="30" t="n">
        <f aca="false">Sens!I19225+(Sens!J19219+Sens!J19220)*(1-a_g3_29)</f>
        <v>8848.941877826</v>
      </c>
      <c r="K19225" s="30" t="n">
        <f aca="false">Sens!J19225+(Sens!K19219+Sens!K19220)*(1-a_g3_29)</f>
        <v>10555.4317397608</v>
      </c>
    </row>
    <row r="19226" customFormat="false" ht="17.15" hidden="false" customHeight="false" outlineLevel="0" collapsed="false">
      <c r="A19226" s="1" t="s">
        <v>968</v>
      </c>
      <c r="B19226" s="0" t="s">
        <v>403</v>
      </c>
      <c r="C19226" s="15" t="n">
        <f aca="false">(Sens!C19221*tk_hold_h100+Sens!C19222*tk_hold_gb200+Sens!C19223*tk_hold_gb300+Sens!C19225*tk_hold_vr200+Sens!C19224*nv_hold_mai*tk_hold_vr200)/Sens!C19213</f>
        <v>9.7235358126469</v>
      </c>
      <c r="D19226" s="15" t="n">
        <f aca="false">(Sens!D19221*tk_hold_h100+Sens!D19222*tk_hold_gb200+Sens!D19223*tk_hold_gb300+Sens!D19225*tk_hold_vr200+Sens!D19224*nv_hold_mai*tk_hold_vr200)/Sens!D19213</f>
        <v>9.7235358126469</v>
      </c>
      <c r="E19226" s="15" t="n">
        <f aca="false">(Sens!E19221*tk_hold_h100+Sens!E19222*tk_hold_gb200+Sens!E19223*tk_hold_gb300+Sens!E19225*tk_hold_vr200+Sens!E19224*nv_hold_mai*tk_hold_vr200)/Sens!E19213</f>
        <v>9.7235358126469</v>
      </c>
      <c r="F19226" s="15" t="n">
        <f aca="false">(Sens!F19221*tk_hold_h100+Sens!F19222*tk_hold_gb200+Sens!F19223*tk_hold_gb300+Sens!F19225*tk_hold_vr200+Sens!F19224*nv_hold_mai*tk_hold_vr200)/Sens!F19213</f>
        <v>10.4255556081097</v>
      </c>
      <c r="G19226" s="15" t="n">
        <f aca="false">(Sens!G19221*tk_hold_h100+Sens!G19222*tk_hold_gb200+Sens!G19223*tk_hold_gb300+Sens!G19225*tk_hold_vr200+Sens!G19224*nv_hold_mai*tk_hold_vr200)/Sens!G19213</f>
        <v>10.8586080330164</v>
      </c>
      <c r="H19226" s="15" t="n">
        <f aca="false">(Sens!H19221*tk_hold_h100+Sens!H19222*tk_hold_gb200+Sens!H19223*tk_hold_gb300+Sens!H19225*tk_hold_vr200+Sens!H19224*nv_hold_mai*tk_hold_vr200)/Sens!H19213</f>
        <v>11.1501766656618</v>
      </c>
      <c r="I19226" s="15" t="n">
        <f aca="false">(Sens!I19221*tk_hold_h100+Sens!I19222*tk_hold_gb200+Sens!I19223*tk_hold_gb300+Sens!I19225*tk_hold_vr200+Sens!I19224*nv_hold_mai*tk_hold_vr200)/Sens!I19213</f>
        <v>11.3741856576055</v>
      </c>
      <c r="J19226" s="15" t="n">
        <f aca="false">(Sens!J19221*tk_hold_h100+Sens!J19222*tk_hold_gb200+Sens!J19223*tk_hold_gb300+Sens!J19225*tk_hold_vr200+Sens!J19224*nv_hold_mai*tk_hold_vr200)/Sens!J19213</f>
        <v>11.5552863602709</v>
      </c>
      <c r="K19226" s="15" t="n">
        <f aca="false">(Sens!K19221*tk_hold_h100+Sens!K19222*tk_hold_gb200+Sens!K19223*tk_hold_gb300+Sens!K19225*tk_hold_vr200+Sens!K19224*nv_hold_mai*tk_hold_vr200)/Sens!K19213</f>
        <v>11.8088513761358</v>
      </c>
      <c r="L19226" s="1" t="s">
        <v>969</v>
      </c>
    </row>
    <row r="19227" customFormat="false" ht="17.15" hidden="false" customHeight="false" outlineLevel="0" collapsed="false">
      <c r="A19227" s="1" t="s">
        <v>970</v>
      </c>
      <c r="B19227" s="0" t="s">
        <v>403</v>
      </c>
      <c r="C19227" s="15" t="n">
        <f aca="false">(Sens!C19221*tk_hold_h100+Sens!C19222*tk_hold_gb200+Sens!C19223*tk_hold_gb300+Sens!C19225*tk_hold_vr200+Sens!C19224*nv_out_mai*tk_hold_vr200)/Sens!C19213</f>
        <v>9.7235358126469</v>
      </c>
      <c r="D19227" s="15" t="n">
        <f aca="false">(Sens!D19221*tk_hold_h100+Sens!D19222*tk_hold_gb200+Sens!D19223*tk_hold_gb300+Sens!D19225*tk_hold_vr200+Sens!D19224*nv_out_mai*tk_hold_vr200)/Sens!D19213</f>
        <v>9.7235358126469</v>
      </c>
      <c r="E19227" s="15" t="n">
        <f aca="false">(Sens!E19221*tk_hold_h100+Sens!E19222*tk_hold_gb200+Sens!E19223*tk_hold_gb300+Sens!E19225*tk_hold_vr200+Sens!E19224*nv_out_mai*tk_hold_vr200)/Sens!E19213</f>
        <v>9.7235358126469</v>
      </c>
      <c r="F19227" s="15" t="n">
        <f aca="false">(Sens!F19221*tk_hold_h100+Sens!F19222*tk_hold_gb200+Sens!F19223*tk_hold_gb300+Sens!F19225*tk_hold_vr200+Sens!F19224*nv_out_mai*tk_hold_vr200)/Sens!F19213</f>
        <v>10.4255556081097</v>
      </c>
      <c r="G19227" s="15" t="n">
        <f aca="false">(Sens!G19221*tk_hold_h100+Sens!G19222*tk_hold_gb200+Sens!G19223*tk_hold_gb300+Sens!G19225*tk_hold_vr200+Sens!G19224*nv_out_mai*tk_hold_vr200)/Sens!G19213</f>
        <v>10.8586080330164</v>
      </c>
      <c r="H19227" s="15" t="n">
        <f aca="false">(Sens!H19221*tk_hold_h100+Sens!H19222*tk_hold_gb200+Sens!H19223*tk_hold_gb300+Sens!H19225*tk_hold_vr200+Sens!H19224*nv_out_mai*tk_hold_vr200)/Sens!H19213</f>
        <v>11.1501766656618</v>
      </c>
      <c r="I19227" s="15" t="n">
        <f aca="false">(Sens!I19221*tk_hold_h100+Sens!I19222*tk_hold_gb200+Sens!I19223*tk_hold_gb300+Sens!I19225*tk_hold_vr200+Sens!I19224*nv_out_mai*tk_hold_vr200)/Sens!I19213</f>
        <v>11.3741856576055</v>
      </c>
      <c r="J19227" s="15" t="n">
        <f aca="false">(Sens!J19221*tk_hold_h100+Sens!J19222*tk_hold_gb200+Sens!J19223*tk_hold_gb300+Sens!J19225*tk_hold_vr200+Sens!J19224*nv_out_mai*tk_hold_vr200)/Sens!J19213</f>
        <v>11.5552863602709</v>
      </c>
      <c r="K19227" s="15" t="n">
        <f aca="false">(Sens!K19221*tk_hold_h100+Sens!K19222*tk_hold_gb200+Sens!K19223*tk_hold_gb300+Sens!K19225*tk_hold_vr200+Sens!K19224*nv_out_mai*tk_hold_vr200)/Sens!K19213</f>
        <v>11.8088513761358</v>
      </c>
      <c r="L19227" s="12" t="s">
        <v>971</v>
      </c>
    </row>
    <row r="19228" customFormat="false" ht="17.15" hidden="false" customHeight="false" outlineLevel="0" collapsed="false">
      <c r="A19228" s="0" t="s">
        <v>972</v>
      </c>
      <c r="B19228" s="0" t="s">
        <v>229</v>
      </c>
      <c r="C19228" s="15" t="n">
        <f aca="false">k_B</f>
        <v>1.17213932619116</v>
      </c>
      <c r="D19228" s="15" t="n">
        <f aca="false">k_B</f>
        <v>1.17213932619116</v>
      </c>
      <c r="E19228" s="15" t="n">
        <f aca="false">k_B</f>
        <v>1.17213932619116</v>
      </c>
      <c r="F19228" s="15" t="n">
        <f aca="false">(k_B+((ls_C*k_long+(1-ls_C)*k_spot)-k_B)*MIN(1,(Sens!F19211-base_fy)/k_ramp))</f>
        <v>1.07843258004497</v>
      </c>
      <c r="G19228" s="15" t="n">
        <f aca="false">(k_B+((ls_C*k_long+(1-ls_C)*k_spot)-k_B)*MIN(1,(Sens!G19211-base_fy)/k_ramp))</f>
        <v>0.984725833898784</v>
      </c>
      <c r="H19228" s="15" t="n">
        <f aca="false">(k_B+((ls_C*k_long+(1-ls_C)*k_spot)-k_B)*MIN(1,(Sens!H19211-base_fy)/k_ramp))</f>
        <v>0.891019087752599</v>
      </c>
      <c r="I19228" s="15" t="n">
        <f aca="false">(k_B+((ls_C*k_long+(1-ls_C)*k_spot)-k_B)*MIN(1,(Sens!I19211-base_fy)/k_ramp))</f>
        <v>0.891019087752599</v>
      </c>
      <c r="J19228" s="15" t="n">
        <f aca="false">(k_B+((ls_C*k_long+(1-ls_C)*k_spot)-k_B)*MIN(1,(Sens!J19211-base_fy)/k_ramp))</f>
        <v>0.891019087752599</v>
      </c>
      <c r="K19228" s="15" t="n">
        <f aca="false">(k_B+((ls_C*k_long+(1-ls_C)*k_spot)-k_B)*MIN(1,(Sens!K19211-base_fy)/k_ramp))</f>
        <v>0.891019087752599</v>
      </c>
      <c r="L19228" s="1" t="s">
        <v>973</v>
      </c>
    </row>
    <row r="19229" customFormat="false" ht="17.15" hidden="false" customHeight="false" outlineLevel="0" collapsed="false">
      <c r="A19229" s="1" t="s">
        <v>974</v>
      </c>
      <c r="B19229" s="0" t="s">
        <v>403</v>
      </c>
      <c r="C19229" s="15" t="n">
        <f aca="false">Sens!C19227*Sens!C19228*chip_f</f>
        <v>11.3973387156315</v>
      </c>
      <c r="D19229" s="15" t="n">
        <f aca="false">Sens!D19227*Sens!D19228*chip_f</f>
        <v>11.3973387156315</v>
      </c>
      <c r="E19229" s="15" t="n">
        <f aca="false">Sens!E19227*Sens!E19228*chip_f</f>
        <v>11.3973387156315</v>
      </c>
      <c r="F19229" s="15" t="n">
        <f aca="false">Sens!F19227*Sens!F19228*chip_f</f>
        <v>11.2432588328561</v>
      </c>
      <c r="G19229" s="15" t="n">
        <f aca="false">Sens!G19227*Sens!G19228*chip_f</f>
        <v>10.6927518502921</v>
      </c>
      <c r="H19229" s="15" t="n">
        <f aca="false">Sens!H19227*Sens!H19228*chip_f</f>
        <v>9.93502024091831</v>
      </c>
      <c r="I19229" s="15" t="n">
        <f aca="false">Sens!I19227*Sens!I19228*chip_f</f>
        <v>10.1346165285684</v>
      </c>
      <c r="J19229" s="15" t="n">
        <f aca="false">Sens!J19227*Sens!J19228*chip_f</f>
        <v>10.2959807114486</v>
      </c>
      <c r="K19229" s="15" t="n">
        <f aca="false">Sens!K19227*Sens!K19228*chip_f</f>
        <v>10.5219119805706</v>
      </c>
      <c r="L19229" s="1" t="s">
        <v>975</v>
      </c>
    </row>
    <row r="19230" customFormat="false" ht="17.15" hidden="false" customHeight="false" outlineLevel="0" collapsed="false">
      <c r="A19230" s="0" t="s">
        <v>976</v>
      </c>
      <c r="B19230" s="0" t="s">
        <v>98</v>
      </c>
      <c r="D19230" s="6" t="n">
        <f aca="false">(Sens!C19213+Sens!D19213)/2*Sens!D19229/1000</f>
        <v>12.9359794422418</v>
      </c>
      <c r="E19230" s="6" t="n">
        <f aca="false">(Sens!D19213+Sens!E19213)/2*Sens!E19229/1000</f>
        <v>27.8095064661409</v>
      </c>
      <c r="F19230" s="6" t="n">
        <f aca="false">(Sens!E19213+Sens!F19213)/2*Sens!F19229/1000</f>
        <v>51.4101771002424</v>
      </c>
      <c r="G19230" s="6" t="n">
        <f aca="false">(Sens!F19213+Sens!G19213)/2*Sens!G19229/1000</f>
        <v>77.1760094971315</v>
      </c>
      <c r="H19230" s="6" t="n">
        <f aca="false">(Sens!G19213+Sens!H19213)/2*Sens!H19229/1000</f>
        <v>97.9857987581921</v>
      </c>
      <c r="I19230" s="6" t="n">
        <f aca="false">(Sens!H19213+Sens!I19213)/2*Sens!I19229/1000</f>
        <v>122.860088063659</v>
      </c>
      <c r="J19230" s="6" t="n">
        <f aca="false">(Sens!I19213+Sens!J19213)/2*Sens!J19229/1000</f>
        <v>140.353567672794</v>
      </c>
      <c r="K19230" s="6" t="n">
        <f aca="false">(Sens!J19213+Sens!K19213)/2*Sens!K19229/1000</f>
        <v>151.687861900359</v>
      </c>
      <c r="L19230" s="12" t="s">
        <v>977</v>
      </c>
    </row>
    <row r="19231" customFormat="false" ht="17.15" hidden="false" customHeight="false" outlineLevel="0" collapsed="false">
      <c r="A19231" s="1" t="s">
        <v>978</v>
      </c>
      <c r="B19231" s="0" t="s">
        <v>403</v>
      </c>
      <c r="C19231" s="15" t="n">
        <f aca="false">(Sens!C19221*tk_opex_h100+Sens!C19222*tk_opex_gb200+Sens!C19223*tk_opex_gb300+(Sens!C19225+Sens!C19224)*tk_opex_vr200)/Sens!C19213</f>
        <v>1.88636041306092</v>
      </c>
      <c r="D19231" s="15" t="n">
        <f aca="false">(Sens!D19221*tk_opex_h100+Sens!D19222*tk_opex_gb200+Sens!D19223*tk_opex_gb300+(Sens!D19225+Sens!D19224)*tk_opex_vr200)/Sens!D19213</f>
        <v>1.88636041306092</v>
      </c>
      <c r="E19231" s="15" t="n">
        <f aca="false">(Sens!E19221*tk_opex_h100+Sens!E19222*tk_opex_gb200+Sens!E19223*tk_opex_gb300+(Sens!E19225+Sens!E19224)*tk_opex_vr200)/Sens!E19213</f>
        <v>1.88636041306092</v>
      </c>
      <c r="F19231" s="15" t="n">
        <f aca="false">(Sens!F19221*tk_opex_h100+Sens!F19222*tk_opex_gb200+Sens!F19223*tk_opex_gb300+(Sens!F19225+Sens!F19224)*tk_opex_vr200)/Sens!F19213</f>
        <v>1.94448060967998</v>
      </c>
      <c r="G19231" s="15" t="n">
        <f aca="false">(Sens!G19221*tk_opex_h100+Sens!G19222*tk_opex_gb200+Sens!G19223*tk_opex_gb300+(Sens!G19225+Sens!G19224)*tk_opex_vr200)/Sens!G19213</f>
        <v>1.98033300621439</v>
      </c>
      <c r="H19231" s="15" t="n">
        <f aca="false">(Sens!H19221*tk_opex_h100+Sens!H19222*tk_opex_gb200+Sens!H19223*tk_opex_gb300+(Sens!H19225+Sens!H19224)*tk_opex_vr200)/Sens!H19213</f>
        <v>2.00447196407118</v>
      </c>
      <c r="I19231" s="15" t="n">
        <f aca="false">(Sens!I19221*tk_opex_h100+Sens!I19222*tk_opex_gb200+Sens!I19223*tk_opex_gb300+(Sens!I19225+Sens!I19224)*tk_opex_vr200)/Sens!I19213</f>
        <v>2.02301766141526</v>
      </c>
      <c r="J19231" s="15" t="n">
        <f aca="false">(Sens!J19221*tk_opex_h100+Sens!J19222*tk_opex_gb200+Sens!J19223*tk_opex_gb300+(Sens!J19225+Sens!J19224)*tk_opex_vr200)/Sens!J19213</f>
        <v>2.03801098284977</v>
      </c>
      <c r="K19231" s="15" t="n">
        <f aca="false">(Sens!K19221*tk_opex_h100+Sens!K19222*tk_opex_gb200+Sens!K19223*tk_opex_gb300+(Sens!K19225+Sens!K19224)*tk_opex_vr200)/Sens!K19213</f>
        <v>2.05900362247765</v>
      </c>
      <c r="L19231" s="12" t="s">
        <v>979</v>
      </c>
    </row>
    <row r="19232" customFormat="false" ht="17.15" hidden="false" customHeight="false" outlineLevel="0" collapsed="false">
      <c r="A19232" s="0" t="s">
        <v>980</v>
      </c>
      <c r="B19232" s="0" t="s">
        <v>98</v>
      </c>
      <c r="D19232" s="6" t="n">
        <f aca="false">(Sens!C19216+Sens!D19216)/2*Sens!D19231/1000</f>
        <v>2.70378325872065</v>
      </c>
      <c r="E19232" s="6" t="n">
        <f aca="false">(Sens!D19216+Sens!E19216)/2*Sens!E19231/1000</f>
        <v>6.17783035277451</v>
      </c>
      <c r="F19232" s="6" t="n">
        <f aca="false">(Sens!E19216+Sens!F19216)/2*Sens!F19231/1000</f>
        <v>12.7024279875285</v>
      </c>
      <c r="G19232" s="6" t="n">
        <f aca="false">(Sens!F19216+Sens!G19216)/2*Sens!G19231/1000</f>
        <v>21.3268674101191</v>
      </c>
      <c r="H19232" s="6" t="n">
        <f aca="false">(Sens!G19216+Sens!H19216)/2*Sens!H19231/1000</f>
        <v>30.4234319812503</v>
      </c>
      <c r="I19232" s="6" t="n">
        <f aca="false">(Sens!H19216+Sens!I19216)/2*Sens!I19231/1000</f>
        <v>38.3254480913315</v>
      </c>
      <c r="J19232" s="6" t="n">
        <f aca="false">(Sens!I19216+Sens!J19216)/2*Sens!J19231/1000</f>
        <v>43.7353061538868</v>
      </c>
      <c r="K19232" s="6" t="n">
        <f aca="false">(Sens!J19216+Sens!K19216)/2*Sens!K19231/1000</f>
        <v>46.8779468017752</v>
      </c>
    </row>
    <row r="19233" customFormat="false" ht="17.15" hidden="false" customHeight="false" outlineLevel="0" collapsed="false">
      <c r="A19233" s="0" t="s">
        <v>981</v>
      </c>
      <c r="B19233" s="0" t="s">
        <v>98</v>
      </c>
      <c r="D19233" s="6" t="n">
        <f aca="false">(Sens!C19214+Sens!D19214)/2*rent_mw/1000</f>
        <v>2.44475</v>
      </c>
      <c r="E19233" s="6" t="n">
        <f aca="false">(Sens!D19214+Sens!E19214)/2*rent_mw/1000</f>
        <v>4.22275</v>
      </c>
      <c r="F19233" s="6" t="n">
        <f aca="false">(Sens!E19214+Sens!F19214)/2*rent_mw/1000</f>
        <v>5.80517</v>
      </c>
      <c r="G19233" s="6" t="n">
        <f aca="false">(Sens!F19214+Sens!G19214)/2*rent_mw/1000</f>
        <v>6.72084</v>
      </c>
      <c r="H19233" s="6" t="n">
        <f aca="false">(Sens!G19214+Sens!H19214)/2*rent_mw/1000</f>
        <v>6.72084</v>
      </c>
      <c r="I19233" s="6" t="n">
        <f aca="false">(Sens!H19214+Sens!I19214)/2*rent_mw/1000</f>
        <v>6.72084</v>
      </c>
      <c r="J19233" s="6" t="n">
        <f aca="false">(Sens!I19214+Sens!J19214)/2*rent_mw/1000</f>
        <v>6.72084</v>
      </c>
      <c r="K19233" s="6" t="n">
        <f aca="false">(Sens!J19214+Sens!K19214)/2*rent_mw/1000</f>
        <v>6.72084</v>
      </c>
    </row>
    <row r="19234" customFormat="false" ht="17.15" hidden="false" customHeight="false" outlineLevel="0" collapsed="false">
      <c r="A19234" s="0" t="s">
        <v>982</v>
      </c>
      <c r="B19234" s="0" t="s">
        <v>98</v>
      </c>
      <c r="D19234" s="6" t="n">
        <f aca="false">(Sens!C19216+Sens!D19216)/2*(1-self_build)*fac_rent/1000</f>
        <v>0.853242375631075</v>
      </c>
      <c r="E19234" s="6" t="n">
        <f aca="false">(Sens!D19216+Sens!E19216)/2*(1-self_build)*fac_rent/1000</f>
        <v>1.94955961408728</v>
      </c>
      <c r="F19234" s="6" t="n">
        <f aca="false">(Sens!E19216+Sens!F19216)/2*(1-self_build)*fac_rent/1000</f>
        <v>3.88873492121333</v>
      </c>
      <c r="G19234" s="6" t="n">
        <f aca="false">(Sens!F19216+Sens!G19216)/2*(1-self_build)*fac_rent/1000</f>
        <v>6.41082701513092</v>
      </c>
      <c r="H19234" s="6" t="n">
        <f aca="false">(Sens!G19216+Sens!H19216)/2*(1-self_build)*fac_rent/1000</f>
        <v>9.03510976566478</v>
      </c>
      <c r="I19234" s="6" t="n">
        <f aca="false">(Sens!H19216+Sens!I19216)/2*(1-self_build)*fac_rent/1000</f>
        <v>11.2774986113646</v>
      </c>
      <c r="J19234" s="6" t="n">
        <f aca="false">(Sens!I19216+Sens!J19216)/2*(1-self_build)*fac_rent/1000</f>
        <v>12.7747045968049</v>
      </c>
      <c r="K19234" s="6" t="n">
        <f aca="false">(Sens!J19216+Sens!K19216)/2*(1-self_build)*fac_rent/1000</f>
        <v>13.5530389521403</v>
      </c>
      <c r="L19234" s="12" t="s">
        <v>983</v>
      </c>
    </row>
    <row r="19235" customFormat="false" ht="17.15" hidden="false" customHeight="false" outlineLevel="0" collapsed="false">
      <c r="A19235" s="1" t="s">
        <v>984</v>
      </c>
      <c r="B19235" s="0" t="s">
        <v>168</v>
      </c>
      <c r="D19235" s="7" t="n">
        <f aca="false">(Sens!C19215+Sens!D19215)/(Sens!C19216+Sens!D19216)</f>
        <v>0.6</v>
      </c>
      <c r="E19235" s="7" t="n">
        <f aca="false">(Sens!D19215+Sens!E19215)/(Sens!D19216+Sens!E19216)</f>
        <v>0.6</v>
      </c>
      <c r="F19235" s="7" t="n">
        <f aca="false">(Sens!E19215+Sens!F19215)/(Sens!E19216+Sens!F19216)</f>
        <v>0.6</v>
      </c>
      <c r="G19235" s="7" t="n">
        <f aca="false">(Sens!F19215+Sens!G19215)/(Sens!F19216+Sens!G19216)</f>
        <v>0.6</v>
      </c>
      <c r="H19235" s="7" t="n">
        <f aca="false">(Sens!G19215+Sens!H19215)/(Sens!G19216+Sens!H19216)</f>
        <v>0.6</v>
      </c>
      <c r="I19235" s="7" t="n">
        <f aca="false">(Sens!H19215+Sens!I19215)/(Sens!H19216+Sens!I19216)</f>
        <v>0.6</v>
      </c>
      <c r="J19235" s="7" t="n">
        <f aca="false">(Sens!I19215+Sens!J19215)/(Sens!I19216+Sens!J19216)</f>
        <v>0.6</v>
      </c>
      <c r="K19235" s="7" t="n">
        <f aca="false">(Sens!J19215+Sens!K19215)/(Sens!J19216+Sens!K19216)</f>
        <v>0.6</v>
      </c>
    </row>
    <row r="19236" customFormat="false" ht="17.15" hidden="false" customHeight="false" outlineLevel="0" collapsed="false">
      <c r="A19236" s="0" t="s">
        <v>985</v>
      </c>
      <c r="B19236" s="0" t="s">
        <v>98</v>
      </c>
      <c r="D19236" s="6" t="n">
        <f aca="false">Sens!D19230-Sens!D19235*(Sens!D19232+Sens!D19234)-Sens!D19233</f>
        <v>8.35701406163072</v>
      </c>
      <c r="E19236" s="6" t="n">
        <f aca="false">Sens!E19230-Sens!E19235*(Sens!E19232+Sens!E19234)-Sens!E19233</f>
        <v>18.7103224860238</v>
      </c>
      <c r="F19236" s="6" t="n">
        <f aca="false">Sens!F19230-Sens!F19235*(Sens!F19232+Sens!F19234)-Sens!F19233</f>
        <v>35.6503093549973</v>
      </c>
      <c r="G19236" s="6" t="n">
        <f aca="false">Sens!G19230-Sens!G19235*(Sens!G19232+Sens!G19234)-Sens!G19233</f>
        <v>53.8125528419815</v>
      </c>
      <c r="H19236" s="6" t="n">
        <f aca="false">Sens!H19230-Sens!H19235*(Sens!H19232+Sens!H19234)-Sens!H19233</f>
        <v>67.589833710043</v>
      </c>
      <c r="I19236" s="6" t="n">
        <f aca="false">Sens!I19230-Sens!I19235*(Sens!I19232+Sens!I19234)-Sens!I19233</f>
        <v>86.3774800420411</v>
      </c>
      <c r="J19236" s="6" t="n">
        <f aca="false">Sens!J19230-Sens!J19235*(Sens!J19232+Sens!J19234)-Sens!J19233</f>
        <v>99.7267212223788</v>
      </c>
      <c r="K19236" s="6" t="n">
        <f aca="false">Sens!K19230-Sens!K19235*(Sens!K19232+Sens!K19234)-Sens!K19233</f>
        <v>108.70843044801</v>
      </c>
    </row>
    <row r="19237" customFormat="false" ht="17.15" hidden="false" customHeight="false" outlineLevel="0" collapsed="false">
      <c r="A19237" s="1" t="s">
        <v>986</v>
      </c>
      <c r="B19237" s="0" t="s">
        <v>98</v>
      </c>
      <c r="D19237" s="6" t="n">
        <f aca="false">(1-Sens!D19235)*(Sens!D19232+Sens!D19234)</f>
        <v>1.42281025374069</v>
      </c>
      <c r="E19237" s="6" t="n">
        <f aca="false">(1-Sens!E19235)*(Sens!E19232+Sens!E19234)</f>
        <v>3.25095598674472</v>
      </c>
      <c r="F19237" s="6" t="n">
        <f aca="false">(1-Sens!F19235)*(Sens!F19232+Sens!F19234)</f>
        <v>6.63646516349673</v>
      </c>
      <c r="G19237" s="6" t="n">
        <f aca="false">(1-Sens!G19235)*(Sens!G19232+Sens!G19234)</f>
        <v>11.0950777701</v>
      </c>
      <c r="H19237" s="6" t="n">
        <f aca="false">(1-Sens!H19235)*(Sens!H19232+Sens!H19234)</f>
        <v>15.783416698766</v>
      </c>
      <c r="I19237" s="6" t="n">
        <f aca="false">(1-Sens!I19235)*(Sens!I19232+Sens!I19234)</f>
        <v>19.8411786810784</v>
      </c>
      <c r="J19237" s="6" t="n">
        <f aca="false">(1-Sens!J19235)*(Sens!J19232+Sens!J19234)</f>
        <v>22.6040043002767</v>
      </c>
      <c r="K19237" s="6" t="n">
        <f aca="false">(1-Sens!K19235)*(Sens!K19232+Sens!K19234)</f>
        <v>24.1723943015662</v>
      </c>
    </row>
    <row r="19238" customFormat="false" ht="17.15" hidden="false" customHeight="false" outlineLevel="0" collapsed="false">
      <c r="A19238" s="1" t="s">
        <v>987</v>
      </c>
      <c r="B19238" s="0" t="s">
        <v>414</v>
      </c>
      <c r="C19238" s="8" t="n">
        <f aca="false">cxit_open</f>
        <v>27.5918995</v>
      </c>
      <c r="D19238" s="8" t="n">
        <f aca="false">cxit_open</f>
        <v>27.5918995</v>
      </c>
      <c r="E19238" s="8" t="n">
        <f aca="false">cxit_open</f>
        <v>27.5918995</v>
      </c>
      <c r="F19238" s="8" t="n">
        <f aca="false">((a_g3_27-0*a_mai)*tk_cxit_gb300+0*a_mai*nv_hold_mai*tk_cxit_vr200+(1-a_g3_27)*tk_cxit_vr200)</f>
        <v>33.8419624</v>
      </c>
      <c r="G19238" s="8" t="n">
        <f aca="false">((a_g3_28-0*a_mai)*tk_cxit_gb300+0*a_mai*nv_hold_mai*tk_cxit_vr200+(1-a_g3_28)*tk_cxit_vr200)</f>
        <v>35.9816136</v>
      </c>
      <c r="H19238" s="8" t="n">
        <f aca="false">((a_g3_29-0*a_mai)*tk_cxit_gb300+0*a_mai*nv_hold_mai*tk_cxit_vr200+(1-a_g3_29)*tk_cxit_vr200)</f>
        <v>37.0514392</v>
      </c>
      <c r="I19238" s="8" t="n">
        <f aca="false">((a_g3_29-0*a_mai)*tk_cxit_gb300+0*a_mai*nv_hold_mai*tk_cxit_vr200+(1-a_g3_29)*tk_cxit_vr200)</f>
        <v>37.0514392</v>
      </c>
      <c r="J19238" s="8" t="n">
        <f aca="false">((a_g3_29-0*a_mai)*tk_cxit_gb300+0*a_mai*nv_hold_mai*tk_cxit_vr200+(1-a_g3_29)*tk_cxit_vr200)</f>
        <v>37.0514392</v>
      </c>
      <c r="K19238" s="8" t="n">
        <f aca="false">((a_g3_29-0*a_mai)*tk_cxit_gb300+0*a_mai*nv_hold_mai*tk_cxit_vr200+(1-a_g3_29)*tk_cxit_vr200)</f>
        <v>37.0514392</v>
      </c>
      <c r="L19238" s="12" t="s">
        <v>988</v>
      </c>
    </row>
    <row r="19239" customFormat="false" ht="17.15" hidden="false" customHeight="false" outlineLevel="0" collapsed="false">
      <c r="A19239" s="0" t="s">
        <v>989</v>
      </c>
      <c r="B19239" s="0" t="s">
        <v>456</v>
      </c>
      <c r="F19239" s="30" t="n">
        <f aca="false">Sens!C19218*IF(Sens!F19211-Sens!C19211=life_it,1,0)+Sens!D19218*IF(Sens!F19211-Sens!D19211=life_it,1,0)+Sens!E19218*IF(Sens!F19211-Sens!E19211=life_it,1,0)</f>
        <v>0</v>
      </c>
      <c r="G19239" s="30" t="n">
        <f aca="false">Sens!C19218*IF(Sens!G19211-Sens!C19211=life_it,1,0)+Sens!D19218*IF(Sens!G19211-Sens!D19211=life_it,1,0)+Sens!E19218*IF(Sens!G19211-Sens!E19211=life_it,1,0)+Sens!F19218*IF(Sens!G19211-Sens!F19211=life_it,1,0)</f>
        <v>0</v>
      </c>
      <c r="H19239" s="30" t="n">
        <f aca="false">Sens!C19218*IF(Sens!H19211-Sens!C19211=life_it,1,0)+Sens!D19218*IF(Sens!H19211-Sens!D19211=life_it,1,0)+Sens!E19218*IF(Sens!H19211-Sens!E19211=life_it,1,0)+Sens!F19218*IF(Sens!H19211-Sens!F19211=life_it,1,0)+Sens!G19218*IF(Sens!H19211-Sens!G19211=life_it,1,0)</f>
        <v>0</v>
      </c>
      <c r="I19239" s="30" t="n">
        <f aca="false">Sens!C19218*IF(Sens!I19211-Sens!C19211=life_it,1,0)+Sens!D19218*IF(Sens!I19211-Sens!D19211=life_it,1,0)+Sens!E19218*IF(Sens!I19211-Sens!E19211=life_it,1,0)+Sens!F19218*IF(Sens!I19211-Sens!F19211=life_it,1,0)+Sens!G19218*IF(Sens!I19211-Sens!G19211=life_it,1,0)+Sens!H19218*IF(Sens!I19211-Sens!H19211=life_it,1,0)</f>
        <v>816.666666666667</v>
      </c>
      <c r="J19239" s="30" t="n">
        <f aca="false">Sens!C19218*IF(Sens!J19211-Sens!C19211=life_it,1,0)+Sens!D19218*IF(Sens!J19211-Sens!D19211=life_it,1,0)+Sens!E19218*IF(Sens!J19211-Sens!E19211=life_it,1,0)+Sens!F19218*IF(Sens!J19211-Sens!F19211=life_it,1,0)+Sens!G19218*IF(Sens!J19211-Sens!G19211=life_it,1,0)+Sens!H19218*IF(Sens!J19211-Sens!H19211=life_it,1,0)+Sens!I19218*IF(Sens!J19211-Sens!I19211=life_it,1,0)</f>
        <v>1233.33333333333</v>
      </c>
      <c r="K19239" s="30" t="n">
        <f aca="false">Sens!C19218*IF(Sens!K19211-Sens!C19211=life_it,1,0)+Sens!D19218*IF(Sens!K19211-Sens!D19211=life_it,1,0)+Sens!E19218*IF(Sens!K19211-Sens!E19211=life_it,1,0)+Sens!F19218*IF(Sens!K19211-Sens!F19211=life_it,1,0)+Sens!G19218*IF(Sens!K19211-Sens!G19211=life_it,1,0)+Sens!H19218*IF(Sens!K19211-Sens!H19211=life_it,1,0)+Sens!I19218*IF(Sens!K19211-Sens!I19211=life_it,1,0)+Sens!J19218*IF(Sens!K19211-Sens!J19211=life_it,1,0)</f>
        <v>2450</v>
      </c>
      <c r="L19239" s="1" t="s">
        <v>990</v>
      </c>
    </row>
    <row r="19240" customFormat="false" ht="17.15" hidden="false" customHeight="false" outlineLevel="0" collapsed="false">
      <c r="A19240" s="0" t="s">
        <v>991</v>
      </c>
      <c r="B19240" s="0" t="s">
        <v>98</v>
      </c>
      <c r="C19240" s="6" t="n">
        <f aca="false">Sens!C19218*Sens!C19238/1000</f>
        <v>22.5333845916667</v>
      </c>
      <c r="D19240" s="6" t="n">
        <f aca="false">Sens!D19218*Sens!D19238/1000</f>
        <v>34.0300093833333</v>
      </c>
      <c r="E19240" s="6" t="n">
        <f aca="false">Sens!E19218*Sens!E19238/1000</f>
        <v>67.600153775</v>
      </c>
      <c r="F19240" s="6" t="n">
        <f aca="false">(Sens!F19218+Sens!F19239)*Sens!F19238/1000</f>
        <v>137.571350534808</v>
      </c>
      <c r="G19240" s="6" t="n">
        <f aca="false">(Sens!G19218+Sens!G19239)*Sens!G19238/1000</f>
        <v>158.622958569916</v>
      </c>
      <c r="H19240" s="6" t="n">
        <f aca="false">(Sens!H19218+Sens!H19239)*Sens!H19238/1000</f>
        <v>163.339225708804</v>
      </c>
      <c r="I19240" s="6" t="n">
        <f aca="false">(Sens!I19218+Sens!I19239)*Sens!I19238/1000</f>
        <v>146.0586222138</v>
      </c>
      <c r="J19240" s="6" t="n">
        <f aca="false">(Sens!J19218+Sens!J19239)*Sens!J19238/1000</f>
        <v>116.273441976139</v>
      </c>
      <c r="K19240" s="6" t="n">
        <f aca="false">(Sens!K19218+Sens!K19239)*Sens!K19238/1000</f>
        <v>117.088713638691</v>
      </c>
    </row>
    <row r="19241" customFormat="false" ht="17.15" hidden="false" customHeight="false" outlineLevel="0" collapsed="false">
      <c r="A19241" s="0" t="s">
        <v>992</v>
      </c>
      <c r="B19241" s="0" t="s">
        <v>98</v>
      </c>
      <c r="C19241" s="6" t="n">
        <f aca="false">Sens!C19218*self_build*tk_cxfac/1000</f>
        <v>6.2083</v>
      </c>
      <c r="D19241" s="6" t="n">
        <f aca="false">Sens!D19218*self_build*tk_cxfac/1000</f>
        <v>9.3758</v>
      </c>
      <c r="E19241" s="6" t="n">
        <f aca="false">Sens!E19218*self_build*tk_cxfac/1000</f>
        <v>18.6249</v>
      </c>
      <c r="F19241" s="6" t="n">
        <f aca="false">Sens!F19218*self_build*tk_cxfac/1000</f>
        <v>30.902977623</v>
      </c>
      <c r="G19241" s="6" t="n">
        <f aca="false">Sens!G19218*self_build*tk_cxfac/1000</f>
        <v>33.512997623</v>
      </c>
      <c r="H19241" s="6" t="n">
        <f aca="false">Sens!H19218*self_build*tk_cxfac/1000</f>
        <v>33.512997623</v>
      </c>
      <c r="I19241" s="6" t="n">
        <f aca="false">Sens!I19218*self_build*tk_cxfac/1000</f>
        <v>23.7591633440233</v>
      </c>
      <c r="J19241" s="6" t="n">
        <f aca="false">Sens!J19218*self_build*tk_cxfac/1000</f>
        <v>14.4805123319271</v>
      </c>
      <c r="K19241" s="6" t="n">
        <f aca="false">Sens!K19218*self_build*tk_cxfac/1000</f>
        <v>5.39868505634851</v>
      </c>
    </row>
    <row r="19242" customFormat="false" ht="17.15" hidden="false" customHeight="false" outlineLevel="0" collapsed="false">
      <c r="A19242" s="0" t="s">
        <v>993</v>
      </c>
      <c r="B19242" s="0" t="s">
        <v>98</v>
      </c>
      <c r="F19242" s="15" t="n">
        <f aca="false">capex_floor27-Sens!F19240-Sens!F19241-Sens!F19338</f>
        <v>-0.0815799252303648</v>
      </c>
      <c r="L19242" s="12" t="s">
        <v>994</v>
      </c>
    </row>
    <row r="19243" customFormat="false" ht="17.15" hidden="false" customHeight="false" outlineLevel="0" collapsed="false">
      <c r="A19243" s="0" t="s">
        <v>995</v>
      </c>
      <c r="B19243" s="0" t="s">
        <v>98</v>
      </c>
      <c r="F19243" s="6" t="n">
        <f aca="false">MAX(0,Sens!F19242)</f>
        <v>0</v>
      </c>
    </row>
    <row r="19244" customFormat="false" ht="17.15" hidden="false" customHeight="false" outlineLevel="0" collapsed="false">
      <c r="A19244" s="0" t="s">
        <v>996</v>
      </c>
      <c r="B19244" s="0" t="s">
        <v>98</v>
      </c>
      <c r="C19244" s="6" t="n">
        <f aca="false">Sens!C19240</f>
        <v>22.5333845916667</v>
      </c>
      <c r="D19244" s="6" t="n">
        <f aca="false">Sens!D19240</f>
        <v>34.0300093833333</v>
      </c>
      <c r="E19244" s="6" t="n">
        <f aca="false">Sens!E19240</f>
        <v>67.600153775</v>
      </c>
      <c r="F19244" s="6" t="n">
        <f aca="false">Sens!F19240</f>
        <v>137.571350534808</v>
      </c>
      <c r="G19244" s="6" t="n">
        <f aca="false">Sens!G19240</f>
        <v>158.622958569916</v>
      </c>
      <c r="H19244" s="6" t="n">
        <f aca="false">Sens!H19240</f>
        <v>163.339225708804</v>
      </c>
      <c r="I19244" s="6" t="n">
        <f aca="false">Sens!I19240</f>
        <v>146.0586222138</v>
      </c>
      <c r="J19244" s="6" t="n">
        <f aca="false">Sens!J19240</f>
        <v>116.273441976139</v>
      </c>
      <c r="K19244" s="6" t="n">
        <f aca="false">Sens!K19240</f>
        <v>117.088713638691</v>
      </c>
    </row>
    <row r="19245" customFormat="false" ht="17.15" hidden="false" customHeight="false" outlineLevel="0" collapsed="false">
      <c r="A19245" s="0" t="s">
        <v>997</v>
      </c>
      <c r="B19245" s="0" t="s">
        <v>98</v>
      </c>
      <c r="C19245" s="6" t="n">
        <f aca="false">Sens!C19244+Sens!C19241</f>
        <v>28.7416845916667</v>
      </c>
      <c r="D19245" s="6" t="n">
        <f aca="false">Sens!D19244+Sens!D19241</f>
        <v>43.4058093833333</v>
      </c>
      <c r="E19245" s="6" t="n">
        <f aca="false">Sens!E19244+Sens!E19241</f>
        <v>86.225053775</v>
      </c>
      <c r="F19245" s="6" t="n">
        <f aca="false">Sens!F19244+Sens!F19241</f>
        <v>168.474328157808</v>
      </c>
      <c r="G19245" s="6" t="n">
        <f aca="false">Sens!G19244+Sens!G19241</f>
        <v>192.135956192916</v>
      </c>
      <c r="H19245" s="6" t="n">
        <f aca="false">Sens!H19244+Sens!H19241</f>
        <v>196.852223331804</v>
      </c>
      <c r="I19245" s="6" t="n">
        <f aca="false">Sens!I19244+Sens!I19241</f>
        <v>169.817785557824</v>
      </c>
      <c r="J19245" s="6" t="n">
        <f aca="false">Sens!J19244+Sens!J19241</f>
        <v>130.753954308066</v>
      </c>
      <c r="K19245" s="6" t="n">
        <f aca="false">Sens!K19244+Sens!K19241</f>
        <v>122.487398695039</v>
      </c>
      <c r="L19245" s="12" t="s">
        <v>998</v>
      </c>
    </row>
    <row r="19246" customFormat="false" ht="17.15" hidden="false" customHeight="false" outlineLevel="0" collapsed="false">
      <c r="A19246" s="0" t="s">
        <v>999</v>
      </c>
      <c r="B19246" s="0" t="s">
        <v>98</v>
      </c>
      <c r="E19246" s="6" t="n">
        <f aca="false">(Sens!C19244*IF(2&lt;life_it,1,IF(2=life_it,0.5,0))+Sens!D19244*IF(1&lt;life_it,1,IF(1=life_it,0.5,0))+Sens!E19244*0.5)/life_it</f>
        <v>15.0605784770833</v>
      </c>
      <c r="F19246" s="6" t="n">
        <f aca="false">(Sens!C19244*IF(3&lt;life_it,1,IF(3=life_it,0.5,0))+Sens!D19244*IF(2&lt;life_it,1,IF(2=life_it,0.5,0))+Sens!E19244*IF(1&lt;life_it,1,IF(1=life_it,0.5,0))+Sens!F19244*0.5)/life_it</f>
        <v>32.158203836234</v>
      </c>
      <c r="G19246" s="6" t="n">
        <f aca="false">(Sens!C19244*IF(4&lt;life_it,1,IF(4=life_it,0.5,0))+Sens!D19244*IF(3&lt;life_it,1,IF(3=life_it,0.5,0))+Sens!E19244*IF(2&lt;life_it,1,IF(2=life_it,0.5,0))+Sens!F19244*IF(1&lt;life_it,1,IF(1=life_it,0.5,0))+Sens!G19244*0.5)/life_it</f>
        <v>56.8410629282943</v>
      </c>
      <c r="H19246" s="6" t="n">
        <f aca="false">(Sens!C19244*IF(5&lt;life_it,1,IF(5=life_it,0.5,0))+Sens!D19244*IF(4&lt;life_it,1,IF(4=life_it,0.5,0))+Sens!E19244*IF(3&lt;life_it,1,IF(3=life_it,0.5,0))+Sens!F19244*IF(2&lt;life_it,1,IF(2=life_it,0.5,0))+Sens!G19244*IF(1&lt;life_it,1,IF(1=life_it,0.5,0))+Sens!H19244*0.5)/life_it</f>
        <v>83.671244951521</v>
      </c>
      <c r="I19246" s="6" t="n">
        <f aca="false">(Sens!C19244*IF(6&lt;life_it,1,IF(6=life_it,0.5,0))+Sens!D19244*IF(5&lt;life_it,1,IF(5=life_it,0.5,0))+Sens!E19244*IF(4&lt;life_it,1,IF(4=life_it,0.5,0))+Sens!F19244*IF(3&lt;life_it,1,IF(3=life_it,0.5,0))+Sens!G19244*IF(2&lt;life_it,1,IF(2=life_it,0.5,0))+Sens!H19244*IF(1&lt;life_it,1,IF(1=life_it,0.5,0))+Sens!I19244*0.5)/life_it</f>
        <v>107.576616895766</v>
      </c>
      <c r="J19246" s="6" t="n">
        <f aca="false">(Sens!C19244*IF(7&lt;life_it,1,IF(7=life_it,0.5,0))+Sens!D19244*IF(6&lt;life_it,1,IF(6=life_it,0.5,0))+Sens!E19244*IF(5&lt;life_it,1,IF(5=life_it,0.5,0))+Sens!F19244*IF(4&lt;life_it,1,IF(4=life_it,0.5,0))+Sens!G19244*IF(3&lt;life_it,1,IF(3=life_it,0.5,0))+Sens!H19244*IF(2&lt;life_it,1,IF(2=life_it,0.5,0))+Sens!I19244*IF(1&lt;life_it,1,IF(1=life_it,0.5,0))+Sens!J19244*0.5)/life_it</f>
        <v>124.724006080344</v>
      </c>
      <c r="K19246" s="6" t="n">
        <f aca="false">(Sens!C19244*IF(8&lt;life_it,1,IF(8=life_it,0.5,0))+Sens!D19244*IF(7&lt;life_it,1,IF(7=life_it,0.5,0))+Sens!E19244*IF(6&lt;life_it,1,IF(6=life_it,0.5,0))+Sens!F19244*IF(5&lt;life_it,1,IF(5=life_it,0.5,0))+Sens!G19244*IF(4&lt;life_it,1,IF(4=life_it,0.5,0))+Sens!H19244*IF(3&lt;life_it,1,IF(3=life_it,0.5,0))+Sens!I19244*IF(2&lt;life_it,1,IF(2=life_it,0.5,0))+Sens!J19244*IF(1&lt;life_it,1,IF(1=life_it,0.5,0))+Sens!K19244*0.5)/life_it</f>
        <v>135.701672118385</v>
      </c>
    </row>
    <row r="19247" customFormat="false" ht="17.15" hidden="false" customHeight="false" outlineLevel="0" collapsed="false">
      <c r="A19247" s="0" t="s">
        <v>1000</v>
      </c>
      <c r="B19247" s="0" t="s">
        <v>98</v>
      </c>
      <c r="E19247" s="6" t="n">
        <f aca="false">(Sens!C19241*IF(2&lt;life_fac,1,IF(2=life_fac,0.5,0))+Sens!D19241*IF(1&lt;life_fac,1,IF(1=life_fac,0.5,0))+Sens!E19241*0.5)/life_fac</f>
        <v>1.2448275</v>
      </c>
      <c r="F19247" s="6" t="n">
        <f aca="false">(Sens!C19241*IF(3&lt;life_fac,1,IF(3=life_fac,0.5,0))+Sens!D19241*IF(2&lt;life_fac,1,IF(2=life_fac,0.5,0))+Sens!E19241*IF(1&lt;life_fac,1,IF(1=life_fac,0.5,0))+Sens!F19241*0.5)/life_fac</f>
        <v>2.483024440575</v>
      </c>
      <c r="G19247" s="6" t="n">
        <f aca="false">(Sens!C19241*IF(4&lt;life_fac,1,IF(4=life_fac,0.5,0))+Sens!D19241*IF(3&lt;life_fac,1,IF(3=life_fac,0.5,0))+Sens!E19241*IF(2&lt;life_fac,1,IF(2=life_fac,0.5,0))+Sens!F19241*IF(1&lt;life_fac,1,IF(1=life_fac,0.5,0))+Sens!G19241*0.5)/life_fac</f>
        <v>4.093423821725</v>
      </c>
      <c r="H19247" s="6" t="n">
        <f aca="false">(Sens!C19241*IF(5&lt;life_fac,1,IF(5=life_fac,0.5,0))+Sens!D19241*IF(4&lt;life_fac,1,IF(4=life_fac,0.5,0))+Sens!E19241*IF(3&lt;life_fac,1,IF(3=life_fac,0.5,0))+Sens!F19241*IF(2&lt;life_fac,1,IF(2=life_fac,0.5,0))+Sens!G19241*IF(1&lt;life_fac,1,IF(1=life_fac,0.5,0))+Sens!H19241*0.5)/life_fac</f>
        <v>5.769073702875</v>
      </c>
      <c r="I19247" s="6" t="n">
        <f aca="false">(Sens!C19241*IF(6&lt;life_fac,1,IF(6=life_fac,0.5,0))+Sens!D19241*IF(5&lt;life_fac,1,IF(5=life_fac,0.5,0))+Sens!E19241*IF(4&lt;life_fac,1,IF(4=life_fac,0.5,0))+Sens!F19241*IF(3&lt;life_fac,1,IF(3=life_fac,0.5,0))+Sens!G19241*IF(2&lt;life_fac,1,IF(2=life_fac,0.5,0))+Sens!H19241*IF(1&lt;life_fac,1,IF(1=life_fac,0.5,0))+Sens!I19241*0.5)/life_fac</f>
        <v>7.20087772705058</v>
      </c>
      <c r="J19247" s="6" t="n">
        <f aca="false">(Sens!C19241*IF(7&lt;life_fac,1,IF(7=life_fac,0.5,0))+Sens!D19241*IF(6&lt;life_fac,1,IF(6=life_fac,0.5,0))+Sens!E19241*IF(5&lt;life_fac,1,IF(5=life_fac,0.5,0))+Sens!F19241*IF(4&lt;life_fac,1,IF(4=life_fac,0.5,0))+Sens!G19241*IF(3&lt;life_fac,1,IF(3=life_fac,0.5,0))+Sens!H19241*IF(2&lt;life_fac,1,IF(2=life_fac,0.5,0))+Sens!I19241*IF(1&lt;life_fac,1,IF(1=life_fac,0.5,0))+Sens!J19241*0.5)/life_fac</f>
        <v>8.15686961894934</v>
      </c>
      <c r="K19247" s="6" t="n">
        <f aca="false">(Sens!C19241*IF(8&lt;life_fac,1,IF(8=life_fac,0.5,0))+Sens!D19241*IF(7&lt;life_fac,1,IF(7=life_fac,0.5,0))+Sens!E19241*IF(6&lt;life_fac,1,IF(6=life_fac,0.5,0))+Sens!F19241*IF(5&lt;life_fac,1,IF(5=life_fac,0.5,0))+Sens!G19241*IF(4&lt;life_fac,1,IF(4=life_fac,0.5,0))+Sens!H19241*IF(3&lt;life_fac,1,IF(3=life_fac,0.5,0))+Sens!I19241*IF(2&lt;life_fac,1,IF(2=life_fac,0.5,0))+Sens!J19241*IF(1&lt;life_fac,1,IF(1=life_fac,0.5,0))+Sens!K19241*0.5)/life_fac</f>
        <v>8.65384955365624</v>
      </c>
    </row>
    <row r="19248" customFormat="false" ht="17.15" hidden="false" customHeight="false" outlineLevel="0" collapsed="false">
      <c r="A19248" s="0" t="s">
        <v>1001</v>
      </c>
      <c r="B19248" s="0" t="s">
        <v>98</v>
      </c>
      <c r="E19248" s="6" t="n">
        <f aca="false">Sens!E19246+Sens!E19247</f>
        <v>16.3054059770833</v>
      </c>
      <c r="F19248" s="6" t="n">
        <f aca="false">Sens!F19246+Sens!F19247</f>
        <v>34.641228276809</v>
      </c>
      <c r="G19248" s="6" t="n">
        <f aca="false">Sens!G19246+Sens!G19247</f>
        <v>60.9344867500193</v>
      </c>
      <c r="H19248" s="6" t="n">
        <f aca="false">Sens!H19246+Sens!H19247</f>
        <v>89.440318654396</v>
      </c>
      <c r="I19248" s="6" t="n">
        <f aca="false">Sens!I19246+Sens!I19247</f>
        <v>114.777494622816</v>
      </c>
      <c r="J19248" s="6" t="n">
        <f aca="false">Sens!J19246+Sens!J19247</f>
        <v>132.880875699293</v>
      </c>
      <c r="K19248" s="6" t="n">
        <f aca="false">Sens!K19246+Sens!K19247</f>
        <v>144.355521672042</v>
      </c>
    </row>
    <row r="19249" customFormat="false" ht="17.15" hidden="false" customHeight="false" outlineLevel="0" collapsed="false">
      <c r="A19249" s="0" t="s">
        <v>1002</v>
      </c>
      <c r="B19249" s="0" t="s">
        <v>98</v>
      </c>
      <c r="E19249" s="6" t="n">
        <f aca="false">Sens!E19236-Sens!E19235*Sens!E19248</f>
        <v>8.92707889977379</v>
      </c>
      <c r="F19249" s="6" t="n">
        <f aca="false">Sens!F19236-Sens!F19235*Sens!F19248</f>
        <v>14.8655723889119</v>
      </c>
      <c r="G19249" s="6" t="n">
        <f aca="false">Sens!G19236-Sens!G19235*Sens!G19248</f>
        <v>17.2518607919699</v>
      </c>
      <c r="H19249" s="6" t="n">
        <f aca="false">Sens!H19236-Sens!H19235*Sens!H19248</f>
        <v>13.9256425174054</v>
      </c>
      <c r="I19249" s="6" t="n">
        <f aca="false">Sens!I19236-Sens!I19235*Sens!I19248</f>
        <v>17.5109832683512</v>
      </c>
      <c r="J19249" s="6" t="n">
        <f aca="false">Sens!J19236-Sens!J19235*Sens!J19248</f>
        <v>19.9981958028027</v>
      </c>
      <c r="K19249" s="6" t="n">
        <f aca="false">Sens!K19236-Sens!K19235*Sens!K19248</f>
        <v>22.095117444785</v>
      </c>
    </row>
    <row r="19250" customFormat="false" ht="17.15" hidden="false" customHeight="false" outlineLevel="0" collapsed="false">
      <c r="A19250" s="3" t="s">
        <v>1955</v>
      </c>
    </row>
    <row r="19251" customFormat="false" ht="15" hidden="false" customHeight="false" outlineLevel="0" collapsed="false">
      <c r="A19251" s="4" t="s">
        <v>43</v>
      </c>
      <c r="B19251" s="4" t="s">
        <v>65</v>
      </c>
      <c r="C19251" s="23" t="s">
        <v>938</v>
      </c>
      <c r="D19251" s="23" t="s">
        <v>939</v>
      </c>
      <c r="E19251" s="23" t="s">
        <v>940</v>
      </c>
      <c r="F19251" s="23" t="s">
        <v>941</v>
      </c>
      <c r="G19251" s="23" t="s">
        <v>942</v>
      </c>
      <c r="H19251" s="23" t="s">
        <v>943</v>
      </c>
      <c r="I19251" s="23" t="s">
        <v>944</v>
      </c>
      <c r="J19251" s="23" t="s">
        <v>945</v>
      </c>
      <c r="K19251" s="23" t="s">
        <v>946</v>
      </c>
      <c r="L19251" s="4" t="s">
        <v>47</v>
      </c>
    </row>
    <row r="19252" customFormat="false" ht="17.15" hidden="false" customHeight="false" outlineLevel="0" collapsed="false">
      <c r="A19252" s="0" t="s">
        <v>1021</v>
      </c>
      <c r="B19252" s="0" t="s">
        <v>98</v>
      </c>
      <c r="D19252" s="6" t="n">
        <f aca="false">Sens!D19230</f>
        <v>12.9359794422418</v>
      </c>
      <c r="E19252" s="6" t="n">
        <f aca="false">Sens!E19230</f>
        <v>27.8095064661409</v>
      </c>
      <c r="F19252" s="6" t="n">
        <f aca="false">Sens!F19230</f>
        <v>51.4101771002424</v>
      </c>
      <c r="G19252" s="6" t="n">
        <f aca="false">Sens!G19230</f>
        <v>77.1760094971315</v>
      </c>
      <c r="H19252" s="6" t="n">
        <f aca="false">Sens!H19230</f>
        <v>97.9857987581921</v>
      </c>
      <c r="I19252" s="6" t="n">
        <f aca="false">Sens!I19230</f>
        <v>122.860088063659</v>
      </c>
      <c r="J19252" s="6" t="n">
        <f aca="false">Sens!J19230</f>
        <v>140.353567672794</v>
      </c>
      <c r="K19252" s="6" t="n">
        <f aca="false">Sens!K19230</f>
        <v>151.687861900359</v>
      </c>
    </row>
    <row r="19253" customFormat="false" ht="17.15" hidden="false" customHeight="false" outlineLevel="0" collapsed="false">
      <c r="A19253" s="0" t="s">
        <v>1022</v>
      </c>
      <c r="B19253" s="0" t="s">
        <v>98</v>
      </c>
      <c r="D19253" s="6" t="n">
        <f aca="false">Q!L6-Sens!D19252</f>
        <v>59.6740205577583</v>
      </c>
      <c r="E19253" s="6" t="n">
        <f aca="false">Q!M6-Sens!E19252</f>
        <v>74.1284935338591</v>
      </c>
      <c r="F19253" s="6" t="n">
        <f aca="false">Q!$I$6+(Sens!F19252+Sens!E19253*(1+Sens!F19254))*(1-Q!$E$6/Q!M6)-Sens!F19252</f>
        <v>92.1759175890699</v>
      </c>
      <c r="G19253" s="6" t="n">
        <f aca="false">Sens!F19253*(1+Sens!G19254)</f>
        <v>109.51874784557</v>
      </c>
      <c r="H19253" s="6" t="n">
        <f aca="false">Sens!G19253*(1+Sens!H19254)</f>
        <v>127.163525943801</v>
      </c>
      <c r="I19253" s="6" t="n">
        <f aca="false">Sens!H19253*(1+Sens!I19254)</f>
        <v>144.212928339187</v>
      </c>
      <c r="J19253" s="6" t="n">
        <f aca="false">Sens!I19253*(1+Sens!J19254)</f>
        <v>159.649092809611</v>
      </c>
      <c r="K19253" s="6" t="n">
        <f aca="false">Sens!J19253*(1+Sens!K19254)</f>
        <v>172.42102023438</v>
      </c>
      <c r="L19253" s="12" t="s">
        <v>1023</v>
      </c>
    </row>
    <row r="19254" customFormat="false" ht="15" hidden="false" customHeight="false" outlineLevel="0" collapsed="false">
      <c r="A19254" s="1" t="s">
        <v>1024</v>
      </c>
      <c r="B19254" s="0" t="s">
        <v>168</v>
      </c>
      <c r="E19254" s="7" t="n">
        <f aca="false">Sens!E19253/Sens!D19253-1</f>
        <v>0.242223883039864</v>
      </c>
      <c r="F19254" s="7" t="n">
        <f aca="false">Sens!$E$19254+(glt_azo-Sens!$E$19254)*MIN(1,(Sens!F19211-base_fy)/n_conv)</f>
        <v>0.215186569199887</v>
      </c>
      <c r="G19254" s="7" t="n">
        <f aca="false">Sens!$E$19254+(glt_azo-Sens!$E$19254)*MIN(1,(Sens!G19211-base_fy)/n_conv)</f>
        <v>0.18814925535991</v>
      </c>
      <c r="H19254" s="7" t="n">
        <f aca="false">Sens!$E$19254+(glt_azo-Sens!$E$19254)*MIN(1,(Sens!H19211-base_fy)/n_conv)</f>
        <v>0.161111941519932</v>
      </c>
      <c r="I19254" s="7" t="n">
        <f aca="false">Sens!$E$19254+(glt_azo-Sens!$E$19254)*MIN(1,(Sens!I19211-base_fy)/n_conv)</f>
        <v>0.134074627679955</v>
      </c>
      <c r="J19254" s="7" t="n">
        <f aca="false">Sens!$E$19254+(glt_azo-Sens!$E$19254)*MIN(1,(Sens!J19211-base_fy)/n_conv)</f>
        <v>0.107037313839977</v>
      </c>
      <c r="K19254" s="7" t="n">
        <f aca="false">Sens!$E$19254+(glt_azo-Sens!$E$19254)*MIN(1,(Sens!K19211-base_fy)/n_conv)</f>
        <v>0.08</v>
      </c>
    </row>
    <row r="19255" customFormat="false" ht="15" hidden="false" customHeight="false" outlineLevel="0" collapsed="false">
      <c r="A19255" s="0" t="s">
        <v>1025</v>
      </c>
      <c r="B19255" s="0" t="s">
        <v>98</v>
      </c>
      <c r="D19255" s="6" t="n">
        <f aca="false">Sens!D19252+Sens!D19253</f>
        <v>72.61</v>
      </c>
      <c r="E19255" s="6" t="n">
        <f aca="false">Sens!E19252+Sens!E19253</f>
        <v>101.938</v>
      </c>
      <c r="F19255" s="6" t="n">
        <f aca="false">Sens!F19252+Sens!F19253</f>
        <v>143.586094689312</v>
      </c>
      <c r="G19255" s="6" t="n">
        <f aca="false">Sens!G19252+Sens!G19253</f>
        <v>186.694757342701</v>
      </c>
      <c r="H19255" s="6" t="n">
        <f aca="false">Sens!H19252+Sens!H19253</f>
        <v>225.149324701994</v>
      </c>
      <c r="I19255" s="6" t="n">
        <f aca="false">Sens!I19252+Sens!I19253</f>
        <v>267.073016402846</v>
      </c>
      <c r="J19255" s="6" t="n">
        <f aca="false">Sens!J19252+Sens!J19253</f>
        <v>300.002660482404</v>
      </c>
      <c r="K19255" s="6" t="n">
        <f aca="false">Sens!K19252+Sens!K19253</f>
        <v>324.108882134739</v>
      </c>
    </row>
    <row r="19256" customFormat="false" ht="17.15" hidden="false" customHeight="false" outlineLevel="0" collapsed="false">
      <c r="A19256" s="0" t="s">
        <v>1026</v>
      </c>
      <c r="B19256" s="1" t="s">
        <v>610</v>
      </c>
      <c r="C19256" s="30" t="n">
        <f aca="false">cop_s24</f>
        <v>1</v>
      </c>
      <c r="D19256" s="30" t="n">
        <f aca="false">cop_s25</f>
        <v>5</v>
      </c>
      <c r="E19256" s="30" t="n">
        <f aca="false">cop_s26</f>
        <v>30</v>
      </c>
      <c r="F19256" s="30" t="n">
        <f aca="false">Sens!E19256+cop_add_C</f>
        <v>40</v>
      </c>
      <c r="G19256" s="30" t="n">
        <f aca="false">Sens!F19256+cop_add_C</f>
        <v>50</v>
      </c>
      <c r="H19256" s="30" t="n">
        <f aca="false">Sens!G19256+cop_add_C</f>
        <v>60</v>
      </c>
      <c r="I19256" s="30" t="n">
        <f aca="false">Sens!H19256+cop_add_C*cop_tail</f>
        <v>65</v>
      </c>
      <c r="J19256" s="30" t="n">
        <f aca="false">Sens!I19256+cop_add_C*cop_tail</f>
        <v>70</v>
      </c>
      <c r="K19256" s="30" t="n">
        <f aca="false">Sens!J19256+cop_add_C*cop_tail</f>
        <v>75</v>
      </c>
      <c r="L19256" s="12" t="s">
        <v>1027</v>
      </c>
    </row>
    <row r="19257" customFormat="false" ht="17.15" hidden="false" customHeight="false" outlineLevel="0" collapsed="false">
      <c r="A19257" s="0" t="s">
        <v>1028</v>
      </c>
      <c r="B19257" s="0" t="s">
        <v>98</v>
      </c>
      <c r="D19257" s="6" t="n">
        <f aca="false">(Sens!C19256+Sens!D19256)/2*cop_px*12/1000</f>
        <v>0.9</v>
      </c>
      <c r="E19257" s="6" t="n">
        <f aca="false">(Sens!D19256+Sens!E19256)/2*cop_px*12/1000</f>
        <v>5.25</v>
      </c>
      <c r="F19257" s="6" t="n">
        <f aca="false">(Sens!E19256+Sens!F19256)/2*cop_px*12/1000</f>
        <v>10.5</v>
      </c>
      <c r="G19257" s="6" t="n">
        <f aca="false">(Sens!F19256+Sens!G19256)/2*cop_px*12/1000</f>
        <v>13.5</v>
      </c>
      <c r="H19257" s="6" t="n">
        <f aca="false">(Sens!G19256+Sens!H19256)/2*cop_px*12/1000</f>
        <v>16.5</v>
      </c>
      <c r="I19257" s="6" t="n">
        <f aca="false">(Sens!H19256+Sens!I19256)/2*cop_px*12/1000</f>
        <v>18.75</v>
      </c>
      <c r="J19257" s="6" t="n">
        <f aca="false">(Sens!I19256+Sens!J19256)/2*cop_px*12/1000</f>
        <v>20.25</v>
      </c>
      <c r="K19257" s="6" t="n">
        <f aca="false">(Sens!J19256+Sens!K19256)/2*cop_px*12/1000</f>
        <v>21.75</v>
      </c>
      <c r="L19257" s="1" t="s">
        <v>1029</v>
      </c>
    </row>
    <row r="19258" customFormat="false" ht="17.15" hidden="false" customHeight="false" outlineLevel="0" collapsed="false">
      <c r="A19258" s="0" t="s">
        <v>1030</v>
      </c>
      <c r="B19258" s="0" t="s">
        <v>98</v>
      </c>
      <c r="D19258" s="6" t="n">
        <f aca="false">Q!L7-Sens!D19257</f>
        <v>83.705</v>
      </c>
      <c r="E19258" s="6" t="n">
        <f aca="false">Q!M7-Sens!E19257</f>
        <v>95.049</v>
      </c>
      <c r="F19258" s="6" t="n">
        <f aca="false">Q!$I$7+(Sens!E19258*(1+Sens!F19259)+Sens!F19257)*(1-Q!$E$7/Q!M7)-Sens!F19257</f>
        <v>106.938354189776</v>
      </c>
      <c r="G19258" s="6" t="n">
        <f aca="false">Sens!F19258*(1+Sens!G19259)</f>
        <v>119.095360443801</v>
      </c>
      <c r="H19258" s="6" t="n">
        <f aca="false">Sens!G19258*(1+Sens!H19259)</f>
        <v>131.333811964563</v>
      </c>
      <c r="I19258" s="6" t="n">
        <f aca="false">Sens!H19258*(1+Sens!I19259)</f>
        <v>143.395665319381</v>
      </c>
      <c r="J19258" s="6" t="n">
        <f aca="false">Sens!I19258*(1+Sens!J19259)</f>
        <v>154.999327755573</v>
      </c>
      <c r="K19258" s="6" t="n">
        <f aca="false">Sens!J19258*(1+Sens!K19259)</f>
        <v>165.849280698463</v>
      </c>
      <c r="L19258" s="12" t="s">
        <v>1031</v>
      </c>
    </row>
    <row r="19259" customFormat="false" ht="15" hidden="false" customHeight="false" outlineLevel="0" collapsed="false">
      <c r="A19259" s="1" t="s">
        <v>1024</v>
      </c>
      <c r="B19259" s="0" t="s">
        <v>168</v>
      </c>
      <c r="E19259" s="7" t="n">
        <f aca="false">Sens!E19258/Sens!D19258-1</f>
        <v>0.135523564900544</v>
      </c>
      <c r="F19259" s="7" t="n">
        <f aca="false">Sens!$E$19259+(glt_m365b-Sens!$E$19259)*MIN(1,(Sens!F19211-base_fy)/n_conv)</f>
        <v>0.124602970750453</v>
      </c>
      <c r="G19259" s="7" t="n">
        <f aca="false">Sens!$E$19259+(glt_m365b-Sens!$E$19259)*MIN(1,(Sens!G19211-base_fy)/n_conv)</f>
        <v>0.113682376600363</v>
      </c>
      <c r="H19259" s="7" t="n">
        <f aca="false">Sens!$E$19259+(glt_m365b-Sens!$E$19259)*MIN(1,(Sens!H19211-base_fy)/n_conv)</f>
        <v>0.102761782450272</v>
      </c>
      <c r="I19259" s="7" t="n">
        <f aca="false">Sens!$E$19259+(glt_m365b-Sens!$E$19259)*MIN(1,(Sens!I19211-base_fy)/n_conv)</f>
        <v>0.0918411883001813</v>
      </c>
      <c r="J19259" s="7" t="n">
        <f aca="false">Sens!$E$19259+(glt_m365b-Sens!$E$19259)*MIN(1,(Sens!J19211-base_fy)/n_conv)</f>
        <v>0.0809205941500906</v>
      </c>
      <c r="K19259" s="7" t="n">
        <f aca="false">Sens!$E$19259+(glt_m365b-Sens!$E$19259)*MIN(1,(Sens!K19211-base_fy)/n_conv)</f>
        <v>0.07</v>
      </c>
    </row>
    <row r="19260" customFormat="false" ht="15" hidden="false" customHeight="false" outlineLevel="0" collapsed="false">
      <c r="A19260" s="0" t="s">
        <v>1032</v>
      </c>
      <c r="B19260" s="0" t="s">
        <v>98</v>
      </c>
      <c r="D19260" s="6" t="n">
        <f aca="false">Sens!D19258+Sens!D19257</f>
        <v>84.605</v>
      </c>
      <c r="E19260" s="6" t="n">
        <f aca="false">Sens!E19258+Sens!E19257</f>
        <v>100.299</v>
      </c>
      <c r="F19260" s="6" t="n">
        <f aca="false">Sens!F19258+Sens!F19257</f>
        <v>117.438354189776</v>
      </c>
      <c r="G19260" s="6" t="n">
        <f aca="false">Sens!G19258+Sens!G19257</f>
        <v>132.595360443801</v>
      </c>
      <c r="H19260" s="6" t="n">
        <f aca="false">Sens!H19258+Sens!H19257</f>
        <v>147.833811964563</v>
      </c>
      <c r="I19260" s="6" t="n">
        <f aca="false">Sens!I19258+Sens!I19257</f>
        <v>162.145665319381</v>
      </c>
      <c r="J19260" s="6" t="n">
        <f aca="false">Sens!J19258+Sens!J19257</f>
        <v>175.249327755573</v>
      </c>
      <c r="K19260" s="6" t="n">
        <f aca="false">Sens!K19258+Sens!K19257</f>
        <v>187.599280698463</v>
      </c>
    </row>
    <row r="19261" customFormat="false" ht="17.15" hidden="false" customHeight="false" outlineLevel="0" collapsed="false">
      <c r="A19261" s="0" t="s">
        <v>1033</v>
      </c>
      <c r="B19261" s="0" t="s">
        <v>98</v>
      </c>
      <c r="D19261" s="6" t="n">
        <f aca="false">Q!L8</f>
        <v>35.391</v>
      </c>
      <c r="E19261" s="6" t="n">
        <f aca="false">Q!M8</f>
        <v>37.285</v>
      </c>
      <c r="F19261" s="6" t="n">
        <f aca="false">Q!$I$8+(Q!M8-Q!$E$8)*(1+Sens!F19262)</f>
        <v>38.3851437782675</v>
      </c>
      <c r="G19261" s="6" t="n">
        <f aca="false">Sens!F19261*(1+Sens!G19262)</f>
        <v>40.0105353288615</v>
      </c>
      <c r="H19261" s="6" t="n">
        <f aca="false">Sens!G19261*(1+Sens!H19262)</f>
        <v>41.4812512033683</v>
      </c>
      <c r="I19261" s="6" t="n">
        <f aca="false">Sens!H19261*(1+Sens!I19262)</f>
        <v>42.7743107216329</v>
      </c>
      <c r="J19261" s="6" t="n">
        <f aca="false">Sens!I19261*(1+Sens!J19262)</f>
        <v>43.8687373064601</v>
      </c>
      <c r="K19261" s="6" t="n">
        <f aca="false">Sens!J19261*(1+Sens!K19262)</f>
        <v>44.7461120525893</v>
      </c>
      <c r="L19261" s="12" t="s">
        <v>1034</v>
      </c>
    </row>
    <row r="19262" customFormat="false" ht="15" hidden="false" customHeight="false" outlineLevel="0" collapsed="false">
      <c r="A19262" s="1" t="s">
        <v>1024</v>
      </c>
      <c r="B19262" s="0" t="s">
        <v>168</v>
      </c>
      <c r="E19262" s="7" t="n">
        <f aca="false">Sens!E19261/Sens!D19261-1</f>
        <v>0.0535164307309768</v>
      </c>
      <c r="F19262" s="7" t="n">
        <f aca="false">Sens!$E$19262+(glt_lic-Sens!$E$19262)*MIN(1,(Sens!F19211-base_fy)/n_conv)</f>
        <v>0.0479303589424807</v>
      </c>
      <c r="G19262" s="7" t="n">
        <f aca="false">Sens!$E$19262+(glt_lic-Sens!$E$19262)*MIN(1,(Sens!G19211-base_fy)/n_conv)</f>
        <v>0.0423442871539845</v>
      </c>
      <c r="H19262" s="7" t="n">
        <f aca="false">Sens!$E$19262+(glt_lic-Sens!$E$19262)*MIN(1,(Sens!H19211-base_fy)/n_conv)</f>
        <v>0.0367582153654884</v>
      </c>
      <c r="I19262" s="7" t="n">
        <f aca="false">Sens!$E$19262+(glt_lic-Sens!$E$19262)*MIN(1,(Sens!I19211-base_fy)/n_conv)</f>
        <v>0.0311721435769923</v>
      </c>
      <c r="J19262" s="7" t="n">
        <f aca="false">Sens!$E$19262+(glt_lic-Sens!$E$19262)*MIN(1,(Sens!J19211-base_fy)/n_conv)</f>
        <v>0.0255860717884961</v>
      </c>
      <c r="K19262" s="7" t="n">
        <f aca="false">Sens!$E$19262+(glt_lic-Sens!$E$19262)*MIN(1,(Sens!K19211-base_fy)/n_conv)</f>
        <v>0.02</v>
      </c>
    </row>
    <row r="19263" customFormat="false" ht="17.15" hidden="false" customHeight="false" outlineLevel="0" collapsed="false">
      <c r="A19263" s="0" t="s">
        <v>1035</v>
      </c>
      <c r="B19263" s="0" t="s">
        <v>98</v>
      </c>
      <c r="D19263" s="6" t="n">
        <f aca="false">Q!L9</f>
        <v>18.417</v>
      </c>
      <c r="E19263" s="6" t="n">
        <f aca="false">Q!M9</f>
        <v>20.345</v>
      </c>
      <c r="F19263" s="6" t="n">
        <f aca="false">Q!$I$9+(Q!M9-Q!$E$9)*(1+Sens!F19264)</f>
        <v>22.3161797133988</v>
      </c>
      <c r="G19263" s="6" t="n">
        <f aca="false">Sens!F19263*(1+Sens!G19264)</f>
        <v>24.3943499673233</v>
      </c>
      <c r="H19263" s="6" t="n">
        <f aca="false">Sens!G19263*(1+Sens!H19264)</f>
        <v>26.5250243109019</v>
      </c>
      <c r="I19263" s="6" t="n">
        <f aca="false">Sens!H19263*(1+Sens!I19264)</f>
        <v>28.6884573538181</v>
      </c>
      <c r="J19263" s="6" t="n">
        <f aca="false">Sens!I19263*(1+Sens!J19264)</f>
        <v>30.8624968052127</v>
      </c>
      <c r="K19263" s="6" t="n">
        <f aca="false">Sens!J19263*(1+Sens!K19264)</f>
        <v>33.0228715815776</v>
      </c>
      <c r="L19263" s="12" t="s">
        <v>1034</v>
      </c>
    </row>
    <row r="19264" customFormat="false" ht="15" hidden="false" customHeight="false" outlineLevel="0" collapsed="false">
      <c r="A19264" s="1" t="s">
        <v>1024</v>
      </c>
      <c r="B19264" s="0" t="s">
        <v>168</v>
      </c>
      <c r="E19264" s="7" t="n">
        <f aca="false">Sens!E19263/Sens!D19263-1</f>
        <v>0.104685888038225</v>
      </c>
      <c r="F19264" s="7" t="n">
        <f aca="false">Sens!$E$19264+(glt_ind-Sens!$E$19264)*MIN(1,(Sens!F19211-base_fy)/n_conv)</f>
        <v>0.0989049066985211</v>
      </c>
      <c r="G19264" s="7" t="n">
        <f aca="false">Sens!$E$19264+(glt_ind-Sens!$E$19264)*MIN(1,(Sens!G19211-base_fy)/n_conv)</f>
        <v>0.0931239253588169</v>
      </c>
      <c r="H19264" s="7" t="n">
        <f aca="false">Sens!$E$19264+(glt_ind-Sens!$E$19264)*MIN(1,(Sens!H19211-base_fy)/n_conv)</f>
        <v>0.0873429440191127</v>
      </c>
      <c r="I19264" s="7" t="n">
        <f aca="false">Sens!$E$19264+(glt_ind-Sens!$E$19264)*MIN(1,(Sens!I19211-base_fy)/n_conv)</f>
        <v>0.0815619626794085</v>
      </c>
      <c r="J19264" s="7" t="n">
        <f aca="false">Sens!$E$19264+(glt_ind-Sens!$E$19264)*MIN(1,(Sens!J19211-base_fy)/n_conv)</f>
        <v>0.0757809813397042</v>
      </c>
      <c r="K19264" s="7" t="n">
        <f aca="false">Sens!$E$19264+(glt_ind-Sens!$E$19264)*MIN(1,(Sens!K19211-base_fy)/n_conv)</f>
        <v>0.07</v>
      </c>
    </row>
    <row r="19265" customFormat="false" ht="17.15" hidden="false" customHeight="false" outlineLevel="0" collapsed="false">
      <c r="A19265" s="0" t="s">
        <v>1036</v>
      </c>
      <c r="B19265" s="0" t="s">
        <v>98</v>
      </c>
      <c r="D19265" s="6" t="n">
        <f aca="false">Q!L10</f>
        <v>7.76</v>
      </c>
      <c r="E19265" s="6" t="n">
        <f aca="false">Q!M10</f>
        <v>8.26</v>
      </c>
      <c r="F19265" s="6" t="n">
        <f aca="false">Q!$I$10+(Q!M10-Q!$E$10)*(1+Sens!F19266)</f>
        <v>8.75372082474227</v>
      </c>
      <c r="G19265" s="6" t="n">
        <f aca="false">Sens!F19265*(1+Sens!G19266)</f>
        <v>9.33399324642364</v>
      </c>
      <c r="H19265" s="6" t="n">
        <f aca="false">Sens!G19265*(1+Sens!H19266)</f>
        <v>9.96139155535851</v>
      </c>
      <c r="I19265" s="6" t="n">
        <f aca="false">Sens!H19265*(1+Sens!I19266)</f>
        <v>10.6402039077391</v>
      </c>
      <c r="J19265" s="6" t="n">
        <f aca="false">Sens!I19265*(1+Sens!J19266)</f>
        <v>11.3751458271397</v>
      </c>
      <c r="K19265" s="6" t="n">
        <f aca="false">Sens!J19265*(1+Sens!K19266)</f>
        <v>12.1714060350394</v>
      </c>
      <c r="L19265" s="12" t="s">
        <v>1034</v>
      </c>
    </row>
    <row r="19266" customFormat="false" ht="15" hidden="false" customHeight="false" outlineLevel="0" collapsed="false">
      <c r="A19266" s="1" t="s">
        <v>1024</v>
      </c>
      <c r="B19266" s="0" t="s">
        <v>168</v>
      </c>
      <c r="E19266" s="7" t="n">
        <f aca="false">Sens!E19265/Sens!D19265-1</f>
        <v>0.0644329896907216</v>
      </c>
      <c r="F19266" s="7" t="n">
        <f aca="false">Sens!$E$19266+(glt_fro-Sens!$E$19266)*MIN(1,(Sens!F19211-base_fy)/n_conv)</f>
        <v>0.065360824742268</v>
      </c>
      <c r="G19266" s="7" t="n">
        <f aca="false">Sens!$E$19266+(glt_fro-Sens!$E$19266)*MIN(1,(Sens!G19211-base_fy)/n_conv)</f>
        <v>0.0662886597938144</v>
      </c>
      <c r="H19266" s="7" t="n">
        <f aca="false">Sens!$E$19266+(glt_fro-Sens!$E$19266)*MIN(1,(Sens!H19211-base_fy)/n_conv)</f>
        <v>0.0672164948453608</v>
      </c>
      <c r="I19266" s="7" t="n">
        <f aca="false">Sens!$E$19266+(glt_fro-Sens!$E$19266)*MIN(1,(Sens!I19211-base_fy)/n_conv)</f>
        <v>0.0681443298969072</v>
      </c>
      <c r="J19266" s="7" t="n">
        <f aca="false">Sens!$E$19266+(glt_fro-Sens!$E$19266)*MIN(1,(Sens!J19211-base_fy)/n_conv)</f>
        <v>0.0690721649484536</v>
      </c>
      <c r="K19266" s="7" t="n">
        <f aca="false">Sens!$E$19266+(glt_fro-Sens!$E$19266)*MIN(1,(Sens!K19211-base_fy)/n_conv)</f>
        <v>0.07</v>
      </c>
    </row>
    <row r="19267" customFormat="false" ht="15" hidden="false" customHeight="false" outlineLevel="0" collapsed="false">
      <c r="A19267" s="0" t="s">
        <v>852</v>
      </c>
      <c r="B19267" s="0" t="s">
        <v>98</v>
      </c>
      <c r="D19267" s="6" t="n">
        <f aca="false">Sens!D19255+Sens!D19260+Sens!D19261+Sens!D19263+Sens!D19265</f>
        <v>218.783</v>
      </c>
      <c r="E19267" s="6" t="n">
        <f aca="false">Sens!E19255+Sens!E19260+Sens!E19261+Sens!E19263+Sens!E19265</f>
        <v>268.127</v>
      </c>
      <c r="F19267" s="6" t="n">
        <f aca="false">Sens!F19255+Sens!F19260+Sens!F19261+Sens!F19263+Sens!F19265</f>
        <v>330.479493195497</v>
      </c>
      <c r="G19267" s="6" t="n">
        <f aca="false">Sens!G19255+Sens!G19260+Sens!G19261+Sens!G19263+Sens!G19265</f>
        <v>393.02899632911</v>
      </c>
      <c r="H19267" s="6" t="n">
        <f aca="false">Sens!H19255+Sens!H19260+Sens!H19261+Sens!H19263+Sens!H19265</f>
        <v>450.950803736185</v>
      </c>
      <c r="I19267" s="6" t="n">
        <f aca="false">Sens!I19255+Sens!I19260+Sens!I19261+Sens!I19263+Sens!I19265</f>
        <v>511.321653705417</v>
      </c>
      <c r="J19267" s="6" t="n">
        <f aca="false">Sens!J19255+Sens!J19260+Sens!J19261+Sens!J19263+Sens!J19265</f>
        <v>561.35836817679</v>
      </c>
      <c r="K19267" s="6" t="n">
        <f aca="false">Sens!K19255+Sens!K19260+Sens!K19261+Sens!K19263+Sens!K19265</f>
        <v>601.648552502408</v>
      </c>
    </row>
    <row r="19268" customFormat="false" ht="17.15" hidden="false" customHeight="false" outlineLevel="0" collapsed="false">
      <c r="A19268" s="0" t="s">
        <v>1037</v>
      </c>
      <c r="B19268" s="0" t="s">
        <v>98</v>
      </c>
      <c r="D19268" s="6" t="n">
        <f aca="false">Q!L13</f>
        <v>22.171</v>
      </c>
      <c r="E19268" s="6" t="n">
        <f aca="false">Q!M13</f>
        <v>24.835</v>
      </c>
      <c r="F19268" s="6" t="n">
        <f aca="false">Q!$I$13+(Q!M13-Q!$E$13)*(1+Sens!F19269)</f>
        <v>27.5591895660247</v>
      </c>
      <c r="G19268" s="6" t="n">
        <f aca="false">Sens!F19268*(1+Sens!G19269)</f>
        <v>30.4098563144583</v>
      </c>
      <c r="H19268" s="6" t="n">
        <f aca="false">Sens!G19268*(1+Sens!H19269)</f>
        <v>33.3011792571777</v>
      </c>
      <c r="I19268" s="6" t="n">
        <f aca="false">Sens!H19268*(1+Sens!I19269)</f>
        <v>36.189023797112</v>
      </c>
      <c r="J19268" s="6" t="n">
        <f aca="false">Sens!I19268*(1+Sens!J19269)</f>
        <v>39.0247773769199</v>
      </c>
      <c r="K19268" s="6" t="n">
        <f aca="false">Sens!J19268*(1+Sens!K19269)</f>
        <v>41.7565117933043</v>
      </c>
      <c r="L19268" s="12" t="s">
        <v>1034</v>
      </c>
    </row>
    <row r="19269" customFormat="false" ht="15" hidden="false" customHeight="false" outlineLevel="0" collapsed="false">
      <c r="A19269" s="1" t="s">
        <v>1024</v>
      </c>
      <c r="B19269" s="0" t="s">
        <v>168</v>
      </c>
      <c r="E19269" s="7" t="n">
        <f aca="false">Sens!E19268/Sens!D19268-1</f>
        <v>0.120156961796942</v>
      </c>
      <c r="F19269" s="7" t="n">
        <f aca="false">Sens!$E$19269+(glt_srch-Sens!$E$19269)*MIN(1,(Sens!F19211-base_fy)/n_conv)</f>
        <v>0.111797468164118</v>
      </c>
      <c r="G19269" s="7" t="n">
        <f aca="false">Sens!$E$19269+(glt_srch-Sens!$E$19269)*MIN(1,(Sens!G19211-base_fy)/n_conv)</f>
        <v>0.103437974531295</v>
      </c>
      <c r="H19269" s="7" t="n">
        <f aca="false">Sens!$E$19269+(glt_srch-Sens!$E$19269)*MIN(1,(Sens!H19211-base_fy)/n_conv)</f>
        <v>0.095078480898471</v>
      </c>
      <c r="I19269" s="7" t="n">
        <f aca="false">Sens!$E$19269+(glt_srch-Sens!$E$19269)*MIN(1,(Sens!I19211-base_fy)/n_conv)</f>
        <v>0.0867189872656474</v>
      </c>
      <c r="J19269" s="7" t="n">
        <f aca="false">Sens!$E$19269+(glt_srch-Sens!$E$19269)*MIN(1,(Sens!J19211-base_fy)/n_conv)</f>
        <v>0.0783594936328237</v>
      </c>
      <c r="K19269" s="7" t="n">
        <f aca="false">Sens!$E$19269+(glt_srch-Sens!$E$19269)*MIN(1,(Sens!K19211-base_fy)/n_conv)</f>
        <v>0.07</v>
      </c>
    </row>
    <row r="19270" customFormat="false" ht="17.15" hidden="false" customHeight="false" outlineLevel="0" collapsed="false">
      <c r="A19270" s="0" t="s">
        <v>1038</v>
      </c>
      <c r="B19270" s="0" t="s">
        <v>98</v>
      </c>
      <c r="D19270" s="6" t="n">
        <f aca="false">Q!L14</f>
        <v>23.455</v>
      </c>
      <c r="E19270" s="6" t="n">
        <f aca="false">Q!M14</f>
        <v>21.79</v>
      </c>
      <c r="F19270" s="6" t="n">
        <f aca="false">Q!$I$14+(Q!M14-Q!$E$14)*(1+Sens!F19271)</f>
        <v>20.7520981041711</v>
      </c>
      <c r="G19270" s="6" t="n">
        <f aca="false">Sens!F19270*(1+Sens!G19271)</f>
        <v>19.9083593495882</v>
      </c>
      <c r="H19270" s="6" t="n">
        <f aca="false">Sens!G19270*(1+Sens!H19271)</f>
        <v>19.4008256265831</v>
      </c>
      <c r="I19270" s="6" t="n">
        <f aca="false">Sens!H19270*(1+Sens!I19271)</f>
        <v>19.200434522122</v>
      </c>
      <c r="J19270" s="6" t="n">
        <f aca="false">Sens!I19270*(1+Sens!J19271)</f>
        <v>19.2932782348507</v>
      </c>
      <c r="K19270" s="6" t="n">
        <f aca="false">Sens!J19270*(1+Sens!K19271)</f>
        <v>19.6791437995477</v>
      </c>
      <c r="L19270" s="12" t="s">
        <v>1034</v>
      </c>
    </row>
    <row r="19271" customFormat="false" ht="15" hidden="false" customHeight="false" outlineLevel="0" collapsed="false">
      <c r="A19271" s="1" t="s">
        <v>1024</v>
      </c>
      <c r="B19271" s="0" t="s">
        <v>168</v>
      </c>
      <c r="E19271" s="7" t="n">
        <f aca="false">Sens!E19270/Sens!D19270-1</f>
        <v>-0.0709869963760392</v>
      </c>
      <c r="F19271" s="7" t="n">
        <f aca="false">Sens!$E$19271+(glt_xbox-Sens!$E$19271)*MIN(1,(Sens!F19211-base_fy)/n_conv)</f>
        <v>-0.0558224969800327</v>
      </c>
      <c r="G19271" s="7" t="n">
        <f aca="false">Sens!$E$19271+(glt_xbox-Sens!$E$19271)*MIN(1,(Sens!G19211-base_fy)/n_conv)</f>
        <v>-0.0406579975840262</v>
      </c>
      <c r="H19271" s="7" t="n">
        <f aca="false">Sens!$E$19271+(glt_xbox-Sens!$E$19271)*MIN(1,(Sens!H19211-base_fy)/n_conv)</f>
        <v>-0.0254934981880196</v>
      </c>
      <c r="I19271" s="7" t="n">
        <f aca="false">Sens!$E$19271+(glt_xbox-Sens!$E$19271)*MIN(1,(Sens!I19211-base_fy)/n_conv)</f>
        <v>-0.0103289987920131</v>
      </c>
      <c r="J19271" s="7" t="n">
        <f aca="false">Sens!$E$19271+(glt_xbox-Sens!$E$19271)*MIN(1,(Sens!J19211-base_fy)/n_conv)</f>
        <v>0.00483550060399347</v>
      </c>
      <c r="K19271" s="7" t="n">
        <f aca="false">Sens!$E$19271+(glt_xbox-Sens!$E$19271)*MIN(1,(Sens!K19211-base_fy)/n_conv)</f>
        <v>0.02</v>
      </c>
    </row>
    <row r="19272" customFormat="false" ht="17.15" hidden="false" customHeight="false" outlineLevel="0" collapsed="false">
      <c r="A19272" s="0" t="s">
        <v>1039</v>
      </c>
      <c r="B19272" s="0" t="s">
        <v>98</v>
      </c>
      <c r="D19272" s="6" t="n">
        <f aca="false">Q!L15</f>
        <v>17.315</v>
      </c>
      <c r="E19272" s="6" t="n">
        <f aca="false">Q!M15</f>
        <v>17.087</v>
      </c>
      <c r="F19272" s="6" t="n">
        <f aca="false">Q!$I$15+(Q!M15-Q!$E$15)*(1+Sens!F19273)</f>
        <v>15.9912273250553</v>
      </c>
      <c r="G19272" s="6" t="n">
        <f aca="false">Sens!F19272*(1+Sens!G19273)</f>
        <v>15.9574562664827</v>
      </c>
      <c r="H19272" s="6" t="n">
        <f aca="false">Sens!G19272*(1+Sens!H19273)</f>
        <v>16.0119687434196</v>
      </c>
      <c r="I19272" s="6" t="n">
        <f aca="false">Sens!H19272*(1+Sens!I19273)</f>
        <v>16.1551810001948</v>
      </c>
      <c r="J19272" s="6" t="n">
        <f aca="false">Sens!I19272*(1+Sens!J19273)</f>
        <v>16.3889793892005</v>
      </c>
      <c r="K19272" s="6" t="n">
        <f aca="false">Sens!J19272*(1+Sens!K19273)</f>
        <v>16.7167589769845</v>
      </c>
      <c r="L19272" s="12" t="s">
        <v>1034</v>
      </c>
    </row>
    <row r="19273" customFormat="false" ht="15" hidden="false" customHeight="false" outlineLevel="0" collapsed="false">
      <c r="A19273" s="1" t="s">
        <v>1024</v>
      </c>
      <c r="B19273" s="0" t="s">
        <v>168</v>
      </c>
      <c r="E19273" s="7" t="n">
        <f aca="false">Sens!E19272/Sens!D19272-1</f>
        <v>-0.0131677736066995</v>
      </c>
      <c r="F19273" s="7" t="n">
        <f aca="false">Sens!$E$19273+(glt_win-Sens!$E$19273)*MIN(1,(Sens!F19211-base_fy)/n_conv)</f>
        <v>-0.00763981133891627</v>
      </c>
      <c r="G19273" s="7" t="n">
        <f aca="false">Sens!$E$19273+(glt_win-Sens!$E$19273)*MIN(1,(Sens!G19211-base_fy)/n_conv)</f>
        <v>-0.00211184907113301</v>
      </c>
      <c r="H19273" s="7" t="n">
        <f aca="false">Sens!$E$19273+(glt_win-Sens!$E$19273)*MIN(1,(Sens!H19211-base_fy)/n_conv)</f>
        <v>0.00341611319665024</v>
      </c>
      <c r="I19273" s="7" t="n">
        <f aca="false">Sens!$E$19273+(glt_win-Sens!$E$19273)*MIN(1,(Sens!I19211-base_fy)/n_conv)</f>
        <v>0.00894407546443349</v>
      </c>
      <c r="J19273" s="7" t="n">
        <f aca="false">Sens!$E$19273+(glt_win-Sens!$E$19273)*MIN(1,(Sens!J19211-base_fy)/n_conv)</f>
        <v>0.0144720377322168</v>
      </c>
      <c r="K19273" s="7" t="n">
        <f aca="false">Sens!$E$19273+(glt_win-Sens!$E$19273)*MIN(1,(Sens!K19211-base_fy)/n_conv)</f>
        <v>0.02</v>
      </c>
    </row>
    <row r="19274" customFormat="false" ht="15" hidden="false" customHeight="false" outlineLevel="0" collapsed="false">
      <c r="A19274" s="0" t="s">
        <v>866</v>
      </c>
      <c r="B19274" s="0" t="s">
        <v>98</v>
      </c>
      <c r="D19274" s="6" t="n">
        <f aca="false">Sens!D19268+Sens!D19270+Sens!D19272</f>
        <v>62.941</v>
      </c>
      <c r="E19274" s="6" t="n">
        <f aca="false">Sens!E19268+Sens!E19270+Sens!E19272</f>
        <v>63.712</v>
      </c>
      <c r="F19274" s="6" t="n">
        <f aca="false">Sens!F19268+Sens!F19270+Sens!F19272</f>
        <v>64.3025149952511</v>
      </c>
      <c r="G19274" s="6" t="n">
        <f aca="false">Sens!G19268+Sens!G19270+Sens!G19272</f>
        <v>66.2756719305292</v>
      </c>
      <c r="H19274" s="6" t="n">
        <f aca="false">Sens!H19268+Sens!H19270+Sens!H19272</f>
        <v>68.7139736271804</v>
      </c>
      <c r="I19274" s="6" t="n">
        <f aca="false">Sens!I19268+Sens!I19270+Sens!I19272</f>
        <v>71.5446393194289</v>
      </c>
      <c r="J19274" s="6" t="n">
        <f aca="false">Sens!J19268+Sens!J19270+Sens!J19272</f>
        <v>74.707035000971</v>
      </c>
      <c r="K19274" s="6" t="n">
        <f aca="false">Sens!K19268+Sens!K19270+Sens!K19272</f>
        <v>78.1524145698365</v>
      </c>
    </row>
    <row r="19275" customFormat="false" ht="15" hidden="false" customHeight="false" outlineLevel="0" collapsed="false">
      <c r="A19275" s="1" t="s">
        <v>1040</v>
      </c>
      <c r="B19275" s="0" t="s">
        <v>98</v>
      </c>
      <c r="D19275" s="6" t="n">
        <f aca="false">Sens!D19267+Sens!D19274</f>
        <v>281.724</v>
      </c>
      <c r="E19275" s="6" t="n">
        <f aca="false">Sens!E19267+Sens!E19274</f>
        <v>331.839</v>
      </c>
      <c r="F19275" s="6" t="n">
        <f aca="false">Sens!F19267+Sens!F19274</f>
        <v>394.782008190748</v>
      </c>
      <c r="G19275" s="6" t="n">
        <f aca="false">Sens!G19267+Sens!G19274</f>
        <v>459.30466825964</v>
      </c>
      <c r="H19275" s="6" t="n">
        <f aca="false">Sens!H19267+Sens!H19274</f>
        <v>519.664777363366</v>
      </c>
      <c r="I19275" s="6" t="n">
        <f aca="false">Sens!I19267+Sens!I19274</f>
        <v>582.866293024846</v>
      </c>
      <c r="J19275" s="6" t="n">
        <f aca="false">Sens!J19267+Sens!J19274</f>
        <v>636.065403177761</v>
      </c>
      <c r="K19275" s="6" t="n">
        <f aca="false">Sens!K19267+Sens!K19274</f>
        <v>679.800967072245</v>
      </c>
    </row>
    <row r="19276" customFormat="false" ht="15" hidden="false" customHeight="false" outlineLevel="0" collapsed="false">
      <c r="A19276" s="26" t="s">
        <v>1041</v>
      </c>
      <c r="B19276" s="31" t="s">
        <v>98</v>
      </c>
      <c r="C19276" s="31"/>
      <c r="D19276" s="27" t="n">
        <f aca="false">(Sens!D19255+Sens!D19260+Sens!D19261+Sens!D19263+Sens!D19265-Sens!D19267)+(Sens!D19268+Sens!D19270+Sens!D19272-Sens!D19274)+(Sens!D19267-Q!L5)+(Sens!D19274-Q!L12)+(Sens!D19255-Q!L6)+(Sens!D19260-Q!L7)</f>
        <v>0</v>
      </c>
      <c r="E19276" s="27" t="n">
        <f aca="false">(Sens!E19255+Sens!E19260+Sens!E19261+Sens!E19263+Sens!E19265-Sens!E19267)+(Sens!E19268+Sens!E19270+Sens!E19272-Sens!E19274)+(Sens!E19267-Q!M5)+(Sens!E19274-Q!M12)+(Sens!E19255-Q!M6)+(Sens!E19260-Q!M7)</f>
        <v>0</v>
      </c>
      <c r="F19276" s="27" t="n">
        <f aca="false">(Sens!F19255+Sens!F19260+Sens!F19261+Sens!F19263+Sens!F19265-Sens!F19267)+(Sens!F19268+Sens!F19270+Sens!F19272-Sens!F19274)</f>
        <v>0</v>
      </c>
      <c r="G19276" s="27" t="n">
        <f aca="false">(Sens!G19255+Sens!G19260+Sens!G19261+Sens!G19263+Sens!G19265-Sens!G19267)+(Sens!G19268+Sens!G19270+Sens!G19272-Sens!G19274)</f>
        <v>0</v>
      </c>
      <c r="H19276" s="27" t="n">
        <f aca="false">(Sens!H19255+Sens!H19260+Sens!H19261+Sens!H19263+Sens!H19265-Sens!H19267)+(Sens!H19268+Sens!H19270+Sens!H19272-Sens!H19274)</f>
        <v>0</v>
      </c>
      <c r="I19276" s="27" t="n">
        <f aca="false">(Sens!I19255+Sens!I19260+Sens!I19261+Sens!I19263+Sens!I19265-Sens!I19267)+(Sens!I19268+Sens!I19270+Sens!I19272-Sens!I19274)</f>
        <v>0</v>
      </c>
      <c r="J19276" s="27" t="n">
        <f aca="false">(Sens!J19255+Sens!J19260+Sens!J19261+Sens!J19263+Sens!J19265-Sens!J19267)+(Sens!J19268+Sens!J19270+Sens!J19272-Sens!J19274)</f>
        <v>0</v>
      </c>
      <c r="K19276" s="27" t="n">
        <f aca="false">(Sens!K19255+Sens!K19260+Sens!K19261+Sens!K19263+Sens!K19265-Sens!K19267)+(Sens!K19268+Sens!K19270+Sens!K19272-Sens!K19274)</f>
        <v>0</v>
      </c>
    </row>
    <row r="19277" customFormat="false" ht="17.15" hidden="false" customHeight="false" outlineLevel="0" collapsed="false">
      <c r="A19277" s="3" t="s">
        <v>1956</v>
      </c>
    </row>
    <row r="19278" customFormat="false" ht="15" hidden="false" customHeight="false" outlineLevel="0" collapsed="false">
      <c r="A19278" s="4" t="s">
        <v>43</v>
      </c>
      <c r="B19278" s="4" t="s">
        <v>65</v>
      </c>
      <c r="C19278" s="23" t="s">
        <v>938</v>
      </c>
      <c r="D19278" s="23" t="s">
        <v>939</v>
      </c>
      <c r="E19278" s="23" t="s">
        <v>940</v>
      </c>
      <c r="F19278" s="23" t="s">
        <v>941</v>
      </c>
      <c r="G19278" s="23" t="s">
        <v>942</v>
      </c>
      <c r="H19278" s="23" t="s">
        <v>943</v>
      </c>
      <c r="I19278" s="23" t="s">
        <v>944</v>
      </c>
      <c r="J19278" s="23" t="s">
        <v>945</v>
      </c>
      <c r="K19278" s="23" t="s">
        <v>946</v>
      </c>
      <c r="L19278" s="4" t="s">
        <v>47</v>
      </c>
    </row>
    <row r="19279" customFormat="false" ht="15" hidden="false" customHeight="false" outlineLevel="0" collapsed="false">
      <c r="A19279" s="0" t="s">
        <v>1025</v>
      </c>
      <c r="B19279" s="0" t="s">
        <v>98</v>
      </c>
      <c r="D19279" s="6" t="n">
        <f aca="false">Sens!D19255</f>
        <v>72.61</v>
      </c>
      <c r="E19279" s="6" t="n">
        <f aca="false">Sens!E19255</f>
        <v>101.938</v>
      </c>
      <c r="F19279" s="6" t="n">
        <f aca="false">Sens!F19255</f>
        <v>143.586094689312</v>
      </c>
      <c r="G19279" s="6" t="n">
        <f aca="false">Sens!G19255</f>
        <v>186.694757342701</v>
      </c>
      <c r="H19279" s="6" t="n">
        <f aca="false">Sens!H19255</f>
        <v>225.149324701994</v>
      </c>
      <c r="I19279" s="6" t="n">
        <f aca="false">Sens!I19255</f>
        <v>267.073016402846</v>
      </c>
      <c r="J19279" s="6" t="n">
        <f aca="false">Sens!J19255</f>
        <v>300.002660482404</v>
      </c>
      <c r="K19279" s="6" t="n">
        <f aca="false">Sens!K19255</f>
        <v>324.108882134739</v>
      </c>
    </row>
    <row r="19280" customFormat="false" ht="17.15" hidden="false" customHeight="false" outlineLevel="0" collapsed="false">
      <c r="A19280" s="0" t="s">
        <v>1021</v>
      </c>
      <c r="B19280" s="0" t="s">
        <v>98</v>
      </c>
      <c r="D19280" s="6" t="n">
        <f aca="false">Sens!D19252</f>
        <v>12.9359794422418</v>
      </c>
      <c r="E19280" s="6" t="n">
        <f aca="false">Sens!E19252</f>
        <v>27.8095064661409</v>
      </c>
      <c r="F19280" s="6" t="n">
        <f aca="false">Sens!F19252</f>
        <v>51.4101771002424</v>
      </c>
      <c r="G19280" s="6" t="n">
        <f aca="false">Sens!G19252</f>
        <v>77.1760094971315</v>
      </c>
      <c r="H19280" s="6" t="n">
        <f aca="false">Sens!H19252</f>
        <v>97.9857987581921</v>
      </c>
      <c r="I19280" s="6" t="n">
        <f aca="false">Sens!I19252</f>
        <v>122.860088063659</v>
      </c>
      <c r="J19280" s="6" t="n">
        <f aca="false">Sens!J19252</f>
        <v>140.353567672794</v>
      </c>
      <c r="K19280" s="6" t="n">
        <f aca="false">Sens!K19252</f>
        <v>151.687861900359</v>
      </c>
    </row>
    <row r="19281" customFormat="false" ht="17.15" hidden="false" customHeight="false" outlineLevel="0" collapsed="false">
      <c r="A19281" s="0" t="s">
        <v>1052</v>
      </c>
      <c r="B19281" s="0" t="s">
        <v>98</v>
      </c>
      <c r="D19281" s="6" t="n">
        <f aca="false">Sens!D19253</f>
        <v>59.6740205577583</v>
      </c>
      <c r="E19281" s="6" t="n">
        <f aca="false">Sens!E19253</f>
        <v>74.1284935338591</v>
      </c>
      <c r="F19281" s="6" t="n">
        <f aca="false">Sens!F19253</f>
        <v>92.1759175890699</v>
      </c>
      <c r="G19281" s="6" t="n">
        <f aca="false">Sens!G19253</f>
        <v>109.51874784557</v>
      </c>
      <c r="H19281" s="6" t="n">
        <f aca="false">Sens!H19253</f>
        <v>127.163525943801</v>
      </c>
      <c r="I19281" s="6" t="n">
        <f aca="false">Sens!I19253</f>
        <v>144.212928339187</v>
      </c>
      <c r="J19281" s="6" t="n">
        <f aca="false">Sens!J19253</f>
        <v>159.649092809611</v>
      </c>
      <c r="K19281" s="6" t="n">
        <f aca="false">Sens!K19253</f>
        <v>172.42102023438</v>
      </c>
    </row>
    <row r="19282" customFormat="false" ht="15" hidden="false" customHeight="false" outlineLevel="0" collapsed="false">
      <c r="A19282" s="0" t="s">
        <v>1032</v>
      </c>
      <c r="B19282" s="0" t="s">
        <v>98</v>
      </c>
      <c r="D19282" s="6" t="n">
        <f aca="false">Sens!D19260</f>
        <v>84.605</v>
      </c>
      <c r="E19282" s="6" t="n">
        <f aca="false">Sens!E19260</f>
        <v>100.299</v>
      </c>
      <c r="F19282" s="6" t="n">
        <f aca="false">Sens!F19260</f>
        <v>117.438354189776</v>
      </c>
      <c r="G19282" s="6" t="n">
        <f aca="false">Sens!G19260</f>
        <v>132.595360443801</v>
      </c>
      <c r="H19282" s="6" t="n">
        <f aca="false">Sens!H19260</f>
        <v>147.833811964563</v>
      </c>
      <c r="I19282" s="6" t="n">
        <f aca="false">Sens!I19260</f>
        <v>162.145665319381</v>
      </c>
      <c r="J19282" s="6" t="n">
        <f aca="false">Sens!J19260</f>
        <v>175.249327755573</v>
      </c>
      <c r="K19282" s="6" t="n">
        <f aca="false">Sens!K19260</f>
        <v>187.599280698463</v>
      </c>
    </row>
    <row r="19283" customFormat="false" ht="17.15" hidden="false" customHeight="false" outlineLevel="0" collapsed="false">
      <c r="A19283" s="0" t="s">
        <v>1053</v>
      </c>
      <c r="B19283" s="0" t="s">
        <v>98</v>
      </c>
      <c r="D19283" s="6" t="n">
        <f aca="false">Sens!D19258</f>
        <v>83.705</v>
      </c>
      <c r="E19283" s="6" t="n">
        <f aca="false">Sens!E19258</f>
        <v>95.049</v>
      </c>
      <c r="F19283" s="6" t="n">
        <f aca="false">Sens!F19258</f>
        <v>106.938354189776</v>
      </c>
      <c r="G19283" s="6" t="n">
        <f aca="false">Sens!G19258</f>
        <v>119.095360443801</v>
      </c>
      <c r="H19283" s="6" t="n">
        <f aca="false">Sens!H19258</f>
        <v>131.333811964563</v>
      </c>
      <c r="I19283" s="6" t="n">
        <f aca="false">Sens!I19258</f>
        <v>143.395665319381</v>
      </c>
      <c r="J19283" s="6" t="n">
        <f aca="false">Sens!J19258</f>
        <v>154.999327755573</v>
      </c>
      <c r="K19283" s="6" t="n">
        <f aca="false">Sens!K19258</f>
        <v>165.849280698463</v>
      </c>
    </row>
    <row r="19284" customFormat="false" ht="17.15" hidden="false" customHeight="false" outlineLevel="0" collapsed="false">
      <c r="A19284" s="0" t="s">
        <v>1054</v>
      </c>
      <c r="B19284" s="0" t="s">
        <v>98</v>
      </c>
      <c r="D19284" s="6" t="n">
        <f aca="false">Sens!D19257</f>
        <v>0.9</v>
      </c>
      <c r="E19284" s="6" t="n">
        <f aca="false">Sens!E19257</f>
        <v>5.25</v>
      </c>
      <c r="F19284" s="6" t="n">
        <f aca="false">Sens!F19257</f>
        <v>10.5</v>
      </c>
      <c r="G19284" s="6" t="n">
        <f aca="false">Sens!G19257</f>
        <v>13.5</v>
      </c>
      <c r="H19284" s="6" t="n">
        <f aca="false">Sens!H19257</f>
        <v>16.5</v>
      </c>
      <c r="I19284" s="6" t="n">
        <f aca="false">Sens!I19257</f>
        <v>18.75</v>
      </c>
      <c r="J19284" s="6" t="n">
        <f aca="false">Sens!J19257</f>
        <v>20.25</v>
      </c>
      <c r="K19284" s="6" t="n">
        <f aca="false">Sens!K19257</f>
        <v>21.75</v>
      </c>
    </row>
    <row r="19285" customFormat="false" ht="15" hidden="false" customHeight="false" outlineLevel="0" collapsed="false">
      <c r="A19285" s="0" t="s">
        <v>1033</v>
      </c>
      <c r="B19285" s="0" t="s">
        <v>98</v>
      </c>
      <c r="D19285" s="6" t="n">
        <f aca="false">Sens!D19261</f>
        <v>35.391</v>
      </c>
      <c r="E19285" s="6" t="n">
        <f aca="false">Sens!E19261</f>
        <v>37.285</v>
      </c>
      <c r="F19285" s="6" t="n">
        <f aca="false">Sens!F19261</f>
        <v>38.3851437782675</v>
      </c>
      <c r="G19285" s="6" t="n">
        <f aca="false">Sens!G19261</f>
        <v>40.0105353288615</v>
      </c>
      <c r="H19285" s="6" t="n">
        <f aca="false">Sens!H19261</f>
        <v>41.4812512033683</v>
      </c>
      <c r="I19285" s="6" t="n">
        <f aca="false">Sens!I19261</f>
        <v>42.7743107216329</v>
      </c>
      <c r="J19285" s="6" t="n">
        <f aca="false">Sens!J19261</f>
        <v>43.8687373064601</v>
      </c>
      <c r="K19285" s="6" t="n">
        <f aca="false">Sens!K19261</f>
        <v>44.7461120525893</v>
      </c>
    </row>
    <row r="19286" customFormat="false" ht="15" hidden="false" customHeight="false" outlineLevel="0" collapsed="false">
      <c r="A19286" s="0" t="s">
        <v>1035</v>
      </c>
      <c r="B19286" s="0" t="s">
        <v>98</v>
      </c>
      <c r="D19286" s="6" t="n">
        <f aca="false">Sens!D19263</f>
        <v>18.417</v>
      </c>
      <c r="E19286" s="6" t="n">
        <f aca="false">Sens!E19263</f>
        <v>20.345</v>
      </c>
      <c r="F19286" s="6" t="n">
        <f aca="false">Sens!F19263</f>
        <v>22.3161797133988</v>
      </c>
      <c r="G19286" s="6" t="n">
        <f aca="false">Sens!G19263</f>
        <v>24.3943499673233</v>
      </c>
      <c r="H19286" s="6" t="n">
        <f aca="false">Sens!H19263</f>
        <v>26.5250243109019</v>
      </c>
      <c r="I19286" s="6" t="n">
        <f aca="false">Sens!I19263</f>
        <v>28.6884573538181</v>
      </c>
      <c r="J19286" s="6" t="n">
        <f aca="false">Sens!J19263</f>
        <v>30.8624968052127</v>
      </c>
      <c r="K19286" s="6" t="n">
        <f aca="false">Sens!K19263</f>
        <v>33.0228715815776</v>
      </c>
    </row>
    <row r="19287" customFormat="false" ht="15" hidden="false" customHeight="false" outlineLevel="0" collapsed="false">
      <c r="A19287" s="0" t="s">
        <v>1036</v>
      </c>
      <c r="B19287" s="0" t="s">
        <v>98</v>
      </c>
      <c r="D19287" s="6" t="n">
        <f aca="false">Sens!D19265</f>
        <v>7.76</v>
      </c>
      <c r="E19287" s="6" t="n">
        <f aca="false">Sens!E19265</f>
        <v>8.26</v>
      </c>
      <c r="F19287" s="6" t="n">
        <f aca="false">Sens!F19265</f>
        <v>8.75372082474227</v>
      </c>
      <c r="G19287" s="6" t="n">
        <f aca="false">Sens!G19265</f>
        <v>9.33399324642364</v>
      </c>
      <c r="H19287" s="6" t="n">
        <f aca="false">Sens!H19265</f>
        <v>9.96139155535851</v>
      </c>
      <c r="I19287" s="6" t="n">
        <f aca="false">Sens!I19265</f>
        <v>10.6402039077391</v>
      </c>
      <c r="J19287" s="6" t="n">
        <f aca="false">Sens!J19265</f>
        <v>11.3751458271397</v>
      </c>
      <c r="K19287" s="6" t="n">
        <f aca="false">Sens!K19265</f>
        <v>12.1714060350394</v>
      </c>
    </row>
    <row r="19288" customFormat="false" ht="15" hidden="false" customHeight="false" outlineLevel="0" collapsed="false">
      <c r="A19288" s="0" t="s">
        <v>852</v>
      </c>
      <c r="B19288" s="0" t="s">
        <v>98</v>
      </c>
      <c r="D19288" s="6" t="n">
        <f aca="false">Sens!D19267</f>
        <v>218.783</v>
      </c>
      <c r="E19288" s="6" t="n">
        <f aca="false">Sens!E19267</f>
        <v>268.127</v>
      </c>
      <c r="F19288" s="6" t="n">
        <f aca="false">Sens!F19267</f>
        <v>330.479493195497</v>
      </c>
      <c r="G19288" s="6" t="n">
        <f aca="false">Sens!G19267</f>
        <v>393.02899632911</v>
      </c>
      <c r="H19288" s="6" t="n">
        <f aca="false">Sens!H19267</f>
        <v>450.950803736185</v>
      </c>
      <c r="I19288" s="6" t="n">
        <f aca="false">Sens!I19267</f>
        <v>511.321653705417</v>
      </c>
      <c r="J19288" s="6" t="n">
        <f aca="false">Sens!J19267</f>
        <v>561.35836817679</v>
      </c>
      <c r="K19288" s="6" t="n">
        <f aca="false">Sens!K19267</f>
        <v>601.648552502408</v>
      </c>
    </row>
    <row r="19289" customFormat="false" ht="15" hidden="false" customHeight="false" outlineLevel="0" collapsed="false">
      <c r="A19289" s="0" t="s">
        <v>1037</v>
      </c>
      <c r="B19289" s="0" t="s">
        <v>98</v>
      </c>
      <c r="D19289" s="6" t="n">
        <f aca="false">Sens!D19268</f>
        <v>22.171</v>
      </c>
      <c r="E19289" s="6" t="n">
        <f aca="false">Sens!E19268</f>
        <v>24.835</v>
      </c>
      <c r="F19289" s="6" t="n">
        <f aca="false">Sens!F19268</f>
        <v>27.5591895660247</v>
      </c>
      <c r="G19289" s="6" t="n">
        <f aca="false">Sens!G19268</f>
        <v>30.4098563144583</v>
      </c>
      <c r="H19289" s="6" t="n">
        <f aca="false">Sens!H19268</f>
        <v>33.3011792571777</v>
      </c>
      <c r="I19289" s="6" t="n">
        <f aca="false">Sens!I19268</f>
        <v>36.189023797112</v>
      </c>
      <c r="J19289" s="6" t="n">
        <f aca="false">Sens!J19268</f>
        <v>39.0247773769199</v>
      </c>
      <c r="K19289" s="6" t="n">
        <f aca="false">Sens!K19268</f>
        <v>41.7565117933043</v>
      </c>
    </row>
    <row r="19290" customFormat="false" ht="15" hidden="false" customHeight="false" outlineLevel="0" collapsed="false">
      <c r="A19290" s="0" t="s">
        <v>1038</v>
      </c>
      <c r="B19290" s="0" t="s">
        <v>98</v>
      </c>
      <c r="D19290" s="6" t="n">
        <f aca="false">Sens!D19270</f>
        <v>23.455</v>
      </c>
      <c r="E19290" s="6" t="n">
        <f aca="false">Sens!E19270</f>
        <v>21.79</v>
      </c>
      <c r="F19290" s="6" t="n">
        <f aca="false">Sens!F19270</f>
        <v>20.7520981041711</v>
      </c>
      <c r="G19290" s="6" t="n">
        <f aca="false">Sens!G19270</f>
        <v>19.9083593495882</v>
      </c>
      <c r="H19290" s="6" t="n">
        <f aca="false">Sens!H19270</f>
        <v>19.4008256265831</v>
      </c>
      <c r="I19290" s="6" t="n">
        <f aca="false">Sens!I19270</f>
        <v>19.200434522122</v>
      </c>
      <c r="J19290" s="6" t="n">
        <f aca="false">Sens!J19270</f>
        <v>19.2932782348507</v>
      </c>
      <c r="K19290" s="6" t="n">
        <f aca="false">Sens!K19270</f>
        <v>19.6791437995477</v>
      </c>
    </row>
    <row r="19291" customFormat="false" ht="15" hidden="false" customHeight="false" outlineLevel="0" collapsed="false">
      <c r="A19291" s="0" t="s">
        <v>1039</v>
      </c>
      <c r="B19291" s="0" t="s">
        <v>98</v>
      </c>
      <c r="D19291" s="6" t="n">
        <f aca="false">Sens!D19272</f>
        <v>17.315</v>
      </c>
      <c r="E19291" s="6" t="n">
        <f aca="false">Sens!E19272</f>
        <v>17.087</v>
      </c>
      <c r="F19291" s="6" t="n">
        <f aca="false">Sens!F19272</f>
        <v>15.9912273250553</v>
      </c>
      <c r="G19291" s="6" t="n">
        <f aca="false">Sens!G19272</f>
        <v>15.9574562664827</v>
      </c>
      <c r="H19291" s="6" t="n">
        <f aca="false">Sens!H19272</f>
        <v>16.0119687434196</v>
      </c>
      <c r="I19291" s="6" t="n">
        <f aca="false">Sens!I19272</f>
        <v>16.1551810001948</v>
      </c>
      <c r="J19291" s="6" t="n">
        <f aca="false">Sens!J19272</f>
        <v>16.3889793892005</v>
      </c>
      <c r="K19291" s="6" t="n">
        <f aca="false">Sens!K19272</f>
        <v>16.7167589769845</v>
      </c>
    </row>
    <row r="19292" customFormat="false" ht="15" hidden="false" customHeight="false" outlineLevel="0" collapsed="false">
      <c r="A19292" s="0" t="s">
        <v>866</v>
      </c>
      <c r="B19292" s="0" t="s">
        <v>98</v>
      </c>
      <c r="D19292" s="6" t="n">
        <f aca="false">Sens!D19274</f>
        <v>62.941</v>
      </c>
      <c r="E19292" s="6" t="n">
        <f aca="false">Sens!E19274</f>
        <v>63.712</v>
      </c>
      <c r="F19292" s="6" t="n">
        <f aca="false">Sens!F19274</f>
        <v>64.3025149952511</v>
      </c>
      <c r="G19292" s="6" t="n">
        <f aca="false">Sens!G19274</f>
        <v>66.2756719305292</v>
      </c>
      <c r="H19292" s="6" t="n">
        <f aca="false">Sens!H19274</f>
        <v>68.7139736271804</v>
      </c>
      <c r="I19292" s="6" t="n">
        <f aca="false">Sens!I19274</f>
        <v>71.5446393194289</v>
      </c>
      <c r="J19292" s="6" t="n">
        <f aca="false">Sens!J19274</f>
        <v>74.707035000971</v>
      </c>
      <c r="K19292" s="6" t="n">
        <f aca="false">Sens!K19274</f>
        <v>78.1524145698365</v>
      </c>
    </row>
    <row r="19293" customFormat="false" ht="15" hidden="false" customHeight="false" outlineLevel="0" collapsed="false">
      <c r="A19293" s="1" t="s">
        <v>1055</v>
      </c>
      <c r="B19293" s="0" t="s">
        <v>98</v>
      </c>
      <c r="D19293" s="6" t="n">
        <f aca="false">Sens!D19275</f>
        <v>281.724</v>
      </c>
      <c r="E19293" s="6" t="n">
        <f aca="false">Sens!E19275</f>
        <v>331.839</v>
      </c>
      <c r="F19293" s="6" t="n">
        <f aca="false">Sens!F19275</f>
        <v>394.782008190748</v>
      </c>
      <c r="G19293" s="6" t="n">
        <f aca="false">Sens!G19275</f>
        <v>459.30466825964</v>
      </c>
      <c r="H19293" s="6" t="n">
        <f aca="false">Sens!H19275</f>
        <v>519.664777363366</v>
      </c>
      <c r="I19293" s="6" t="n">
        <f aca="false">Sens!I19275</f>
        <v>582.866293024846</v>
      </c>
      <c r="J19293" s="6" t="n">
        <f aca="false">Sens!J19275</f>
        <v>636.065403177761</v>
      </c>
      <c r="K19293" s="6" t="n">
        <f aca="false">Sens!K19275</f>
        <v>679.800967072245</v>
      </c>
    </row>
    <row r="19294" customFormat="false" ht="15" hidden="false" customHeight="false" outlineLevel="0" collapsed="false">
      <c r="A19294" s="1" t="s">
        <v>1056</v>
      </c>
      <c r="B19294" s="0" t="s">
        <v>168</v>
      </c>
      <c r="E19294" s="7" t="n">
        <f aca="false">Sens!E19293/Sens!D19293-1</f>
        <v>0.177886867998467</v>
      </c>
      <c r="F19294" s="7" t="n">
        <f aca="false">Sens!F19293/Sens!E19293-1</f>
        <v>0.189679357130258</v>
      </c>
      <c r="G19294" s="7" t="n">
        <f aca="false">Sens!G19293/Sens!F19293-1</f>
        <v>0.163438704728703</v>
      </c>
      <c r="H19294" s="7" t="n">
        <f aca="false">Sens!H19293/Sens!G19293-1</f>
        <v>0.131416276112407</v>
      </c>
      <c r="I19294" s="7" t="n">
        <f aca="false">Sens!I19293/Sens!H19293-1</f>
        <v>0.121619779547398</v>
      </c>
      <c r="J19294" s="7" t="n">
        <f aca="false">Sens!J19293/Sens!I19293-1</f>
        <v>0.0912715502501142</v>
      </c>
      <c r="K19294" s="7" t="n">
        <f aca="false">Sens!K19293/Sens!J19293-1</f>
        <v>0.068759538997063</v>
      </c>
    </row>
    <row r="19295" customFormat="false" ht="17.15" hidden="false" customHeight="false" outlineLevel="0" collapsed="false">
      <c r="A19295" s="26" t="s">
        <v>1057</v>
      </c>
      <c r="B19295" s="31" t="s">
        <v>98</v>
      </c>
      <c r="C19295" s="31"/>
      <c r="D19295" s="27" t="n">
        <f aca="false">(Sens!D19288+Sens!D19292-Sens!D19293)+(Sens!D19280+Sens!D19281-Sens!D19279)+(Sens!D19283+Sens!D19284-Sens!D19282)+(Sens!D19293-Q!L18)</f>
        <v>0</v>
      </c>
      <c r="E19295" s="27" t="n">
        <f aca="false">(Sens!E19288+Sens!E19292-Sens!E19293)+(Sens!E19280+Sens!E19281-Sens!E19279)+(Sens!E19283+Sens!E19284-Sens!E19282)+(Sens!E19293-Q!M18)</f>
        <v>0</v>
      </c>
      <c r="F19295" s="27" t="n">
        <f aca="false">(Sens!F19288+Sens!F19292-Sens!F19293)+(Sens!F19280+Sens!F19281-Sens!F19279)+(Sens!F19283+Sens!F19284-Sens!F19282)</f>
        <v>0</v>
      </c>
      <c r="G19295" s="27" t="n">
        <f aca="false">(Sens!G19288+Sens!G19292-Sens!G19293)+(Sens!G19280+Sens!G19281-Sens!G19279)+(Sens!G19283+Sens!G19284-Sens!G19282)</f>
        <v>0</v>
      </c>
      <c r="H19295" s="27" t="n">
        <f aca="false">(Sens!H19288+Sens!H19292-Sens!H19293)+(Sens!H19280+Sens!H19281-Sens!H19279)+(Sens!H19283+Sens!H19284-Sens!H19282)</f>
        <v>0</v>
      </c>
      <c r="I19295" s="27" t="n">
        <f aca="false">(Sens!I19288+Sens!I19292-Sens!I19293)+(Sens!I19280+Sens!I19281-Sens!I19279)+(Sens!I19283+Sens!I19284-Sens!I19282)</f>
        <v>0</v>
      </c>
      <c r="J19295" s="27" t="n">
        <f aca="false">(Sens!J19288+Sens!J19292-Sens!J19293)+(Sens!J19280+Sens!J19281-Sens!J19279)+(Sens!J19283+Sens!J19284-Sens!J19282)</f>
        <v>0</v>
      </c>
      <c r="K19295" s="27" t="n">
        <f aca="false">(Sens!K19288+Sens!K19292-Sens!K19293)+(Sens!K19280+Sens!K19281-Sens!K19279)+(Sens!K19283+Sens!K19284-Sens!K19282)</f>
        <v>0</v>
      </c>
    </row>
    <row r="19296" customFormat="false" ht="17.15" hidden="false" customHeight="false" outlineLevel="0" collapsed="false">
      <c r="A19296" s="0" t="s">
        <v>1058</v>
      </c>
      <c r="B19296" s="0" t="s">
        <v>168</v>
      </c>
      <c r="E19296" s="7" t="n">
        <f aca="false">(Q!M21+Sens!E19232+Sens!E19233+Sens!E19234+Sens!E19248-Sens!E19230)/(Q!M5-Sens!E19230)</f>
        <v>0.570957350878296</v>
      </c>
      <c r="F19296" s="7" t="n">
        <f aca="false">Sens!$E$19296+dm_seg</f>
        <v>0.570957350878296</v>
      </c>
      <c r="G19296" s="7" t="n">
        <f aca="false">Sens!$E$19296+dm_seg</f>
        <v>0.570957350878296</v>
      </c>
      <c r="H19296" s="7" t="n">
        <f aca="false">Sens!$E$19296+dm_seg</f>
        <v>0.570957350878296</v>
      </c>
      <c r="I19296" s="7" t="n">
        <f aca="false">Sens!$E$19296+dm_seg</f>
        <v>0.570957350878296</v>
      </c>
      <c r="J19296" s="7" t="n">
        <f aca="false">Sens!$E$19296+dm_seg</f>
        <v>0.570957350878296</v>
      </c>
      <c r="K19296" s="7" t="n">
        <f aca="false">Sens!$E$19296+dm_seg</f>
        <v>0.570957350878296</v>
      </c>
      <c r="L19296" s="12" t="s">
        <v>1059</v>
      </c>
    </row>
    <row r="19297" customFormat="false" ht="17.15" hidden="false" customHeight="false" outlineLevel="0" collapsed="false">
      <c r="A19297" s="0" t="s">
        <v>880</v>
      </c>
      <c r="B19297" s="0" t="s">
        <v>98</v>
      </c>
      <c r="D19297" s="6" t="n">
        <f aca="false">Q!L21</f>
        <v>110.814</v>
      </c>
      <c r="E19297" s="6" t="n">
        <f aca="false">Q!M21</f>
        <v>136.365</v>
      </c>
      <c r="F19297" s="6" t="n">
        <f aca="false">Q!$I$21+(Sens!F19296*(Sens!F19267-Sens!F19230)+Sens!F19230-(Sens!F19232+Sens!F19233+Sens!F19234)-Sens!F19248-Sens!F19331)*(Sens!F19267-Q!$I$5)/Sens!F19267</f>
        <v>158.549176409566</v>
      </c>
      <c r="G19297" s="6" t="n">
        <f aca="false">(Sens!G19296*(Sens!G19267-Sens!G19230)+Sens!G19230-(Sens!G19232+Sens!G19233+Sens!G19234)-Sens!G19248-Sens!G19331)</f>
        <v>162.121572950446</v>
      </c>
      <c r="H19297" s="6" t="n">
        <f aca="false">(Sens!H19296*(Sens!H19267-Sens!H19230)+Sens!H19230-(Sens!H19232+Sens!H19233+Sens!H19234)-Sens!H19248-Sens!H19331)</f>
        <v>163.894062551861</v>
      </c>
      <c r="I19297" s="6" t="n">
        <f aca="false">(Sens!I19296*(Sens!I19267-Sens!I19230)+Sens!I19230-(Sens!I19232+Sens!I19233+Sens!I19234)-Sens!I19248-Sens!I19331)</f>
        <v>173.553793175</v>
      </c>
      <c r="J19297" s="6" t="n">
        <f aca="false">(Sens!J19296*(Sens!J19267-Sens!J19230)+Sens!J19230-(Sens!J19232+Sens!J19233+Sens!J19234)-Sens!J19248-Sens!J19331)</f>
        <v>184.617626825616</v>
      </c>
      <c r="K19297" s="6" t="n">
        <f aca="false">(Sens!K19296*(Sens!K19267-Sens!K19230)+Sens!K19230-(Sens!K19232+Sens!K19233+Sens!K19234)-Sens!K19248-Sens!K19331)</f>
        <v>197.088878379917</v>
      </c>
      <c r="L19297" s="1" t="s">
        <v>1060</v>
      </c>
    </row>
    <row r="19298" customFormat="false" ht="17.15" hidden="false" customHeight="false" outlineLevel="0" collapsed="false">
      <c r="A19298" s="0" t="s">
        <v>1061</v>
      </c>
      <c r="B19298" s="0" t="s">
        <v>168</v>
      </c>
      <c r="E19298" s="7" t="n">
        <f aca="false">Q!M22/Q!M12</f>
        <v>0.296207935710698</v>
      </c>
      <c r="F19298" s="7" t="n">
        <f aca="false">Sens!$E$19298+dm_seg</f>
        <v>0.296207935710698</v>
      </c>
      <c r="G19298" s="7" t="n">
        <f aca="false">Sens!$E$19298+dm_seg</f>
        <v>0.296207935710698</v>
      </c>
      <c r="H19298" s="7" t="n">
        <f aca="false">Sens!$E$19298+dm_seg</f>
        <v>0.296207935710698</v>
      </c>
      <c r="I19298" s="7" t="n">
        <f aca="false">Sens!$E$19298+dm_seg</f>
        <v>0.296207935710698</v>
      </c>
      <c r="J19298" s="7" t="n">
        <f aca="false">Sens!$E$19298+dm_seg</f>
        <v>0.296207935710698</v>
      </c>
      <c r="K19298" s="7" t="n">
        <f aca="false">Sens!$E$19298+dm_seg</f>
        <v>0.296207935710698</v>
      </c>
      <c r="L19298" s="12" t="s">
        <v>1062</v>
      </c>
    </row>
    <row r="19299" customFormat="false" ht="17.15" hidden="false" customHeight="false" outlineLevel="0" collapsed="false">
      <c r="A19299" s="0" t="s">
        <v>882</v>
      </c>
      <c r="B19299" s="0" t="s">
        <v>98</v>
      </c>
      <c r="D19299" s="6" t="n">
        <f aca="false">Q!L22</f>
        <v>17.714</v>
      </c>
      <c r="E19299" s="6" t="n">
        <f aca="false">Q!M22</f>
        <v>18.872</v>
      </c>
      <c r="F19299" s="6" t="n">
        <f aca="false">Q!$I$22+(Sens!F19274-Q!$I$12)*Sens!F19298</f>
        <v>19.8174315512051</v>
      </c>
      <c r="G19299" s="6" t="n">
        <f aca="false">Sens!G19274*Sens!G19298</f>
        <v>19.6313799703815</v>
      </c>
      <c r="H19299" s="6" t="n">
        <f aca="false">Sens!H19274*Sens!H19298</f>
        <v>20.3536242825865</v>
      </c>
      <c r="I19299" s="6" t="n">
        <f aca="false">Sens!I19274*Sens!I19298</f>
        <v>21.1920899239745</v>
      </c>
      <c r="J19299" s="6" t="n">
        <f aca="false">Sens!J19274*Sens!J19298</f>
        <v>22.1288166207045</v>
      </c>
      <c r="K19299" s="6" t="n">
        <f aca="false">Sens!K19274*Sens!K19298</f>
        <v>23.1493653905379</v>
      </c>
      <c r="L19299" s="12" t="s">
        <v>1063</v>
      </c>
    </row>
    <row r="19300" customFormat="false" ht="15" hidden="false" customHeight="false" outlineLevel="0" collapsed="false">
      <c r="A19300" s="1" t="s">
        <v>1064</v>
      </c>
      <c r="B19300" s="0" t="s">
        <v>98</v>
      </c>
      <c r="D19300" s="6" t="n">
        <f aca="false">Sens!D19297+Sens!D19299</f>
        <v>128.528</v>
      </c>
      <c r="E19300" s="6" t="n">
        <f aca="false">Sens!E19297+Sens!E19299</f>
        <v>155.237</v>
      </c>
      <c r="F19300" s="6" t="n">
        <f aca="false">Sens!F19297+Sens!F19299</f>
        <v>178.366607960772</v>
      </c>
      <c r="G19300" s="6" t="n">
        <f aca="false">Sens!G19297+Sens!G19299</f>
        <v>181.752952920828</v>
      </c>
      <c r="H19300" s="6" t="n">
        <f aca="false">Sens!H19297+Sens!H19299</f>
        <v>184.247686834447</v>
      </c>
      <c r="I19300" s="6" t="n">
        <f aca="false">Sens!I19297+Sens!I19299</f>
        <v>194.745883098974</v>
      </c>
      <c r="J19300" s="6" t="n">
        <f aca="false">Sens!J19297+Sens!J19299</f>
        <v>206.74644344632</v>
      </c>
      <c r="K19300" s="6" t="n">
        <f aca="false">Sens!K19297+Sens!K19299</f>
        <v>220.238243770455</v>
      </c>
    </row>
    <row r="19301" customFormat="false" ht="15" hidden="false" customHeight="false" outlineLevel="0" collapsed="false">
      <c r="A19301" s="26" t="s">
        <v>1065</v>
      </c>
      <c r="B19301" s="31" t="s">
        <v>98</v>
      </c>
      <c r="C19301" s="31"/>
      <c r="D19301" s="27" t="n">
        <f aca="false">Sens!D19300-Q!L23</f>
        <v>0</v>
      </c>
      <c r="E19301" s="27" t="n">
        <f aca="false">Sens!E19300-Q!M23</f>
        <v>0</v>
      </c>
      <c r="F19301" s="31"/>
      <c r="G19301" s="31"/>
      <c r="H19301" s="31"/>
      <c r="I19301" s="31"/>
      <c r="J19301" s="31"/>
      <c r="K19301" s="31"/>
    </row>
    <row r="19302" customFormat="false" ht="15" hidden="false" customHeight="false" outlineLevel="0" collapsed="false">
      <c r="A19302" s="1" t="s">
        <v>1066</v>
      </c>
      <c r="B19302" s="0" t="s">
        <v>168</v>
      </c>
      <c r="D19302" s="7" t="n">
        <f aca="false">Sens!D19300/Sens!D19293</f>
        <v>0.456219562408598</v>
      </c>
      <c r="E19302" s="7" t="n">
        <f aca="false">Sens!E19300/Sens!E19293</f>
        <v>0.467808184089272</v>
      </c>
      <c r="F19302" s="7" t="n">
        <f aca="false">Sens!F19300/Sens!F19293</f>
        <v>0.451810377018473</v>
      </c>
      <c r="G19302" s="7" t="n">
        <f aca="false">Sens!G19300/Sens!G19293</f>
        <v>0.395713271562232</v>
      </c>
      <c r="H19302" s="7" t="n">
        <f aca="false">Sens!H19300/Sens!H19293</f>
        <v>0.354551039170422</v>
      </c>
      <c r="I19302" s="7" t="n">
        <f aca="false">Sens!I19300/Sens!I19293</f>
        <v>0.3341175933992</v>
      </c>
      <c r="J19302" s="7" t="n">
        <f aca="false">Sens!J19300/Sens!J19293</f>
        <v>0.325039598779343</v>
      </c>
      <c r="K19302" s="7" t="n">
        <f aca="false">Sens!K19300/Sens!K19293</f>
        <v>0.323974596151242</v>
      </c>
    </row>
    <row r="19303" customFormat="false" ht="17.15" hidden="false" customHeight="false" outlineLevel="0" collapsed="false">
      <c r="A19303" s="1" t="s">
        <v>1067</v>
      </c>
      <c r="B19303" s="0" t="s">
        <v>98</v>
      </c>
      <c r="F19303" s="6" t="n">
        <f aca="false">Sens!F19318</f>
        <v>10.587205355146</v>
      </c>
      <c r="G19303" s="6" t="n">
        <f aca="false">Sens!G19318</f>
        <v>27.8408156431036</v>
      </c>
      <c r="H19303" s="6" t="n">
        <f aca="false">Sens!H19318</f>
        <v>46.6639641525333</v>
      </c>
      <c r="I19303" s="6" t="n">
        <f aca="false">Sens!I19318</f>
        <v>63.5840737305167</v>
      </c>
      <c r="J19303" s="6" t="n">
        <f aca="false">Sens!J19318</f>
        <v>75.4878639080576</v>
      </c>
      <c r="K19303" s="6" t="n">
        <f aca="false">Sens!K19318</f>
        <v>82.651858563588</v>
      </c>
      <c r="L19303" s="1" t="s">
        <v>1068</v>
      </c>
    </row>
    <row r="19304" customFormat="false" ht="17.15" hidden="false" customHeight="false" outlineLevel="0" collapsed="false">
      <c r="A19304" s="1" t="s">
        <v>1069</v>
      </c>
      <c r="B19304" s="0" t="s">
        <v>98</v>
      </c>
      <c r="D19304" s="6" t="n">
        <f aca="false">Sens!D19300</f>
        <v>128.528</v>
      </c>
      <c r="E19304" s="6" t="n">
        <f aca="false">Sens!E19300</f>
        <v>155.237</v>
      </c>
      <c r="F19304" s="6" t="n">
        <f aca="false">Sens!F19300+Sens!F19303</f>
        <v>188.953813315918</v>
      </c>
      <c r="G19304" s="6" t="n">
        <f aca="false">Sens!G19300+Sens!G19303</f>
        <v>209.593768563931</v>
      </c>
      <c r="H19304" s="6" t="n">
        <f aca="false">Sens!H19300+Sens!H19303</f>
        <v>230.91165098698</v>
      </c>
      <c r="I19304" s="6" t="n">
        <f aca="false">Sens!I19300+Sens!I19303</f>
        <v>258.329956829491</v>
      </c>
      <c r="J19304" s="6" t="n">
        <f aca="false">Sens!J19300+Sens!J19303</f>
        <v>282.234307354378</v>
      </c>
      <c r="K19304" s="6" t="n">
        <f aca="false">Sens!K19300+Sens!K19303</f>
        <v>302.890102334043</v>
      </c>
    </row>
    <row r="19305" customFormat="false" ht="17.15" hidden="false" customHeight="false" outlineLevel="0" collapsed="false">
      <c r="A19305" s="1" t="s">
        <v>1070</v>
      </c>
      <c r="B19305" s="0" t="s">
        <v>98</v>
      </c>
      <c r="E19305" s="6" t="n">
        <f aca="false">Sens!E19248</f>
        <v>16.3054059770833</v>
      </c>
      <c r="F19305" s="6" t="n">
        <f aca="false">Sens!F19248</f>
        <v>34.641228276809</v>
      </c>
      <c r="G19305" s="6" t="n">
        <f aca="false">Sens!G19248</f>
        <v>60.9344867500193</v>
      </c>
      <c r="H19305" s="6" t="n">
        <f aca="false">Sens!H19248</f>
        <v>89.440318654396</v>
      </c>
      <c r="I19305" s="6" t="n">
        <f aca="false">Sens!I19248</f>
        <v>114.777494622816</v>
      </c>
      <c r="J19305" s="6" t="n">
        <f aca="false">Sens!J19248</f>
        <v>132.880875699293</v>
      </c>
      <c r="K19305" s="6" t="n">
        <f aca="false">Sens!K19248</f>
        <v>144.355521672042</v>
      </c>
    </row>
    <row r="19306" customFormat="false" ht="17.15" hidden="false" customHeight="false" outlineLevel="0" collapsed="false">
      <c r="A19306" s="1" t="s">
        <v>1071</v>
      </c>
      <c r="B19306" s="0" t="s">
        <v>98</v>
      </c>
      <c r="E19306" s="6" t="n">
        <f aca="false">Sens!E19330</f>
        <v>22.2285940229167</v>
      </c>
      <c r="F19306" s="6" t="n">
        <f aca="false">Sens!F19330</f>
        <v>23.5864597973673</v>
      </c>
      <c r="G19306" s="6" t="n">
        <f aca="false">Sens!G19330</f>
        <v>25.3436814630703</v>
      </c>
      <c r="H19306" s="6" t="n">
        <f aca="false">Sens!H19330</f>
        <v>27.4689643541904</v>
      </c>
      <c r="I19306" s="6" t="n">
        <f aca="false">Sens!I19330</f>
        <v>29.9055541034438</v>
      </c>
      <c r="J19306" s="6" t="n">
        <f aca="false">Sens!J19330</f>
        <v>32.5786445065096</v>
      </c>
      <c r="K19306" s="6" t="n">
        <f aca="false">Sens!K19330</f>
        <v>35.4038966823951</v>
      </c>
    </row>
    <row r="19307" customFormat="false" ht="17.15" hidden="false" customHeight="false" outlineLevel="0" collapsed="false">
      <c r="A19307" s="1" t="s">
        <v>1072</v>
      </c>
      <c r="B19307" s="0" t="s">
        <v>98</v>
      </c>
      <c r="D19307" s="6" t="n">
        <f aca="false">Q!L27</f>
        <v>-4.901</v>
      </c>
      <c r="E19307" s="6" t="n">
        <f aca="false">Q!M27</f>
        <v>10.697</v>
      </c>
      <c r="F19307" s="6" t="n">
        <f aca="false">Q!$I$27+oie_f*(q_per_yr-1)/q_per_yr</f>
        <v>-0.862</v>
      </c>
      <c r="G19307" s="6" t="n">
        <f aca="false">oie_f</f>
        <v>-1.2</v>
      </c>
      <c r="H19307" s="6" t="n">
        <f aca="false">oie_f</f>
        <v>-1.2</v>
      </c>
      <c r="I19307" s="6" t="n">
        <f aca="false">oie_f</f>
        <v>-1.2</v>
      </c>
      <c r="J19307" s="6" t="n">
        <f aca="false">oie_f</f>
        <v>-1.2</v>
      </c>
      <c r="K19307" s="6" t="n">
        <f aca="false">oie_f</f>
        <v>-1.2</v>
      </c>
      <c r="L19307" s="12" t="s">
        <v>1073</v>
      </c>
    </row>
    <row r="19308" customFormat="false" ht="15" hidden="false" customHeight="false" outlineLevel="0" collapsed="false">
      <c r="A19308" s="1" t="s">
        <v>1074</v>
      </c>
      <c r="B19308" s="0" t="s">
        <v>98</v>
      </c>
      <c r="D19308" s="6" t="n">
        <f aca="false">Sens!D19300+Sens!D19307</f>
        <v>123.627</v>
      </c>
      <c r="E19308" s="6" t="n">
        <f aca="false">Sens!E19300+Sens!E19307</f>
        <v>165.934</v>
      </c>
      <c r="F19308" s="6" t="n">
        <f aca="false">Sens!F19300+Sens!F19307</f>
        <v>177.504607960772</v>
      </c>
      <c r="G19308" s="6" t="n">
        <f aca="false">Sens!G19300+Sens!G19307</f>
        <v>180.552952920828</v>
      </c>
      <c r="H19308" s="6" t="n">
        <f aca="false">Sens!H19300+Sens!H19307</f>
        <v>183.047686834447</v>
      </c>
      <c r="I19308" s="6" t="n">
        <f aca="false">Sens!I19300+Sens!I19307</f>
        <v>193.545883098974</v>
      </c>
      <c r="J19308" s="6" t="n">
        <f aca="false">Sens!J19300+Sens!J19307</f>
        <v>205.54644344632</v>
      </c>
      <c r="K19308" s="6" t="n">
        <f aca="false">Sens!K19300+Sens!K19307</f>
        <v>219.038243770455</v>
      </c>
    </row>
    <row r="19309" customFormat="false" ht="15" hidden="false" customHeight="false" outlineLevel="0" collapsed="false">
      <c r="A19309" s="1" t="s">
        <v>1075</v>
      </c>
      <c r="B19309" s="0" t="s">
        <v>98</v>
      </c>
      <c r="D19309" s="6" t="n">
        <f aca="false">Q!L29</f>
        <v>21.795</v>
      </c>
      <c r="E19309" s="6" t="n">
        <f aca="false">Q!M29</f>
        <v>32.185</v>
      </c>
      <c r="F19309" s="6" t="n">
        <f aca="false">Q!$I$29+(Sens!F19308-Q!$I$28)*tax_f</f>
        <v>35.6343215921543</v>
      </c>
      <c r="G19309" s="6" t="n">
        <f aca="false">Sens!G19308*tax_f</f>
        <v>36.1105905841655</v>
      </c>
      <c r="H19309" s="6" t="n">
        <f aca="false">Sens!H19308*tax_f</f>
        <v>36.6095373668894</v>
      </c>
      <c r="I19309" s="6" t="n">
        <f aca="false">Sens!I19308*tax_f</f>
        <v>38.7091766197949</v>
      </c>
      <c r="J19309" s="6" t="n">
        <f aca="false">Sens!J19308*tax_f</f>
        <v>41.1092886892641</v>
      </c>
      <c r="K19309" s="6" t="n">
        <f aca="false">Sens!K19308*tax_f</f>
        <v>43.8076487540909</v>
      </c>
    </row>
    <row r="19310" customFormat="false" ht="15" hidden="false" customHeight="false" outlineLevel="0" collapsed="false">
      <c r="A19310" s="1" t="s">
        <v>1076</v>
      </c>
      <c r="B19310" s="0" t="s">
        <v>98</v>
      </c>
      <c r="D19310" s="6" t="n">
        <f aca="false">Sens!D19308-Sens!D19309</f>
        <v>101.832</v>
      </c>
      <c r="E19310" s="6" t="n">
        <f aca="false">Sens!E19308-Sens!E19309</f>
        <v>133.749</v>
      </c>
      <c r="F19310" s="6" t="n">
        <f aca="false">Sens!F19308-Sens!F19309</f>
        <v>141.870286368617</v>
      </c>
      <c r="G19310" s="6" t="n">
        <f aca="false">Sens!G19308-Sens!G19309</f>
        <v>144.442362336662</v>
      </c>
      <c r="H19310" s="6" t="n">
        <f aca="false">Sens!H19308-Sens!H19309</f>
        <v>146.438149467558</v>
      </c>
      <c r="I19310" s="6" t="n">
        <f aca="false">Sens!I19308-Sens!I19309</f>
        <v>154.83670647918</v>
      </c>
      <c r="J19310" s="6" t="n">
        <f aca="false">Sens!J19308-Sens!J19309</f>
        <v>164.437154757056</v>
      </c>
      <c r="K19310" s="6" t="n">
        <f aca="false">Sens!K19308-Sens!K19309</f>
        <v>175.230595016364</v>
      </c>
    </row>
    <row r="19311" customFormat="false" ht="17.15" hidden="false" customHeight="false" outlineLevel="0" collapsed="false">
      <c r="A19311" s="1" t="s">
        <v>1077</v>
      </c>
      <c r="B19311" s="1" t="s">
        <v>81</v>
      </c>
      <c r="D19311" s="15" t="n">
        <f aca="false">Q!L31</f>
        <v>7.465</v>
      </c>
      <c r="E19311" s="15" t="n">
        <f aca="false">Q!M31</f>
        <v>7.453</v>
      </c>
      <c r="F19311" s="15" t="n">
        <f aca="false">Sens!F19355</f>
        <v>7.4735</v>
      </c>
      <c r="G19311" s="15" t="n">
        <f aca="false">Sens!G19355</f>
        <v>7.5185</v>
      </c>
      <c r="H19311" s="15" t="n">
        <f aca="false">Sens!H19355</f>
        <v>7.5635</v>
      </c>
      <c r="I19311" s="15" t="n">
        <f aca="false">Sens!I19355</f>
        <v>7.59248142502667</v>
      </c>
      <c r="J19311" s="15" t="n">
        <f aca="false">Sens!J19355</f>
        <v>7.60663083618914</v>
      </c>
      <c r="K19311" s="15" t="n">
        <f aca="false">Sens!K19355</f>
        <v>7.62306547615439</v>
      </c>
    </row>
    <row r="19312" customFormat="false" ht="17.15" hidden="false" customHeight="false" outlineLevel="0" collapsed="false">
      <c r="A19312" s="0" t="s">
        <v>1078</v>
      </c>
      <c r="B19312" s="0" t="s">
        <v>75</v>
      </c>
      <c r="D19312" s="8" t="n">
        <f aca="false">Sens!D19310/Sens!D19311</f>
        <v>13.641259209645</v>
      </c>
      <c r="E19312" s="8" t="n">
        <f aca="false">Sens!E19310/Sens!E19311</f>
        <v>17.9456594659869</v>
      </c>
      <c r="F19312" s="8" t="n">
        <f aca="false">Sens!F19310/Sens!F19311</f>
        <v>18.9831118443323</v>
      </c>
      <c r="G19312" s="8" t="n">
        <f aca="false">Sens!G19310/Sens!G19311</f>
        <v>19.2115930487015</v>
      </c>
      <c r="H19312" s="8" t="n">
        <f aca="false">Sens!H19310/Sens!H19311</f>
        <v>19.3611620899792</v>
      </c>
      <c r="I19312" s="8" t="n">
        <f aca="false">Sens!I19310/Sens!I19311</f>
        <v>20.3934257868317</v>
      </c>
      <c r="J19312" s="8" t="n">
        <f aca="false">Sens!J19310/Sens!J19311</f>
        <v>21.6176068351751</v>
      </c>
      <c r="K19312" s="8" t="n">
        <f aca="false">Sens!K19310/Sens!K19311</f>
        <v>22.986893601334</v>
      </c>
      <c r="L19312" s="1" t="s">
        <v>1079</v>
      </c>
    </row>
    <row r="19313" customFormat="false" ht="17.15" hidden="false" customHeight="false" outlineLevel="0" collapsed="false">
      <c r="A19313" s="1" t="s">
        <v>1080</v>
      </c>
      <c r="B19313" s="0" t="s">
        <v>98</v>
      </c>
      <c r="D19313" s="6" t="n">
        <f aca="false">Sens!D19310</f>
        <v>101.832</v>
      </c>
      <c r="E19313" s="6" t="n">
        <f aca="false">Sens!E19310</f>
        <v>133.749</v>
      </c>
      <c r="F19313" s="6" t="n">
        <f aca="false">Sens!F19310+Sens!F19303*(1-tax_f)</f>
        <v>150.340050652734</v>
      </c>
      <c r="G19313" s="6" t="n">
        <f aca="false">Sens!G19310+Sens!G19303*(1-tax_f)</f>
        <v>166.715014851145</v>
      </c>
      <c r="H19313" s="6" t="n">
        <f aca="false">Sens!H19310+Sens!H19303*(1-tax_f)</f>
        <v>183.769320789584</v>
      </c>
      <c r="I19313" s="6" t="n">
        <f aca="false">Sens!I19310+Sens!I19303*(1-tax_f)</f>
        <v>205.703965463593</v>
      </c>
      <c r="J19313" s="6" t="n">
        <f aca="false">Sens!J19310+Sens!J19303*(1-tax_f)</f>
        <v>224.827445883502</v>
      </c>
      <c r="K19313" s="6" t="n">
        <f aca="false">Sens!K19310+Sens!K19303*(1-tax_f)</f>
        <v>241.352081867234</v>
      </c>
    </row>
    <row r="19314" customFormat="false" ht="17.15" hidden="false" customHeight="false" outlineLevel="0" collapsed="false">
      <c r="A19314" s="0" t="s">
        <v>1081</v>
      </c>
      <c r="B19314" s="0" t="s">
        <v>75</v>
      </c>
      <c r="D19314" s="8" t="n">
        <f aca="false">Sens!D19313/Sens!D19311</f>
        <v>13.641259209645</v>
      </c>
      <c r="E19314" s="8" t="n">
        <f aca="false">Sens!E19313/Sens!E19311</f>
        <v>17.9456594659869</v>
      </c>
      <c r="F19314" s="8" t="n">
        <f aca="false">Sens!F19313/Sens!F19311</f>
        <v>20.1164180976429</v>
      </c>
      <c r="G19314" s="8" t="n">
        <f aca="false">Sens!G19313/Sens!G19311</f>
        <v>22.1739728471298</v>
      </c>
      <c r="H19314" s="8" t="n">
        <f aca="false">Sens!H19313/Sens!H19311</f>
        <v>24.296862668022</v>
      </c>
      <c r="I19314" s="8" t="n">
        <f aca="false">Sens!I19313/Sens!I19311</f>
        <v>27.0931140885696</v>
      </c>
      <c r="J19314" s="8" t="n">
        <f aca="false">Sens!J19313/Sens!J19311</f>
        <v>29.5567710232325</v>
      </c>
      <c r="K19314" s="8" t="n">
        <f aca="false">Sens!K19313/Sens!K19311</f>
        <v>31.6607646388719</v>
      </c>
      <c r="L19314" s="1" t="s">
        <v>1082</v>
      </c>
    </row>
    <row r="19315" customFormat="false" ht="17.15" hidden="false" customHeight="false" outlineLevel="0" collapsed="false">
      <c r="A19315" s="0" t="s">
        <v>1083</v>
      </c>
      <c r="B19315" s="0" t="s">
        <v>168</v>
      </c>
      <c r="E19315" s="7" t="n">
        <f aca="false">Sens!E19314/Sens!D19314-1</f>
        <v>0.315542736208578</v>
      </c>
      <c r="F19315" s="7" t="n">
        <f aca="false">Sens!F19314/Sens!E19314-1</f>
        <v>0.120962878838214</v>
      </c>
      <c r="G19315" s="7" t="n">
        <f aca="false">Sens!G19314/Sens!F19314-1</f>
        <v>0.102282361576486</v>
      </c>
      <c r="H19315" s="7" t="n">
        <f aca="false">Sens!H19314/Sens!G19314-1</f>
        <v>0.0957379101854106</v>
      </c>
      <c r="I19315" s="7" t="n">
        <f aca="false">Sens!I19314/Sens!H19314-1</f>
        <v>0.115086933599367</v>
      </c>
      <c r="J19315" s="7" t="n">
        <f aca="false">Sens!J19314/Sens!I19314-1</f>
        <v>0.0909329553852345</v>
      </c>
      <c r="K19315" s="7" t="n">
        <f aca="false">Sens!K19314/Sens!J19314-1</f>
        <v>0.0711848264475692</v>
      </c>
    </row>
    <row r="19316" customFormat="false" ht="17.15" hidden="false" customHeight="false" outlineLevel="0" collapsed="false">
      <c r="A19316" s="0" t="s">
        <v>1003</v>
      </c>
      <c r="B19316" s="0" t="s">
        <v>98</v>
      </c>
      <c r="E19316" s="6" t="n">
        <f aca="false">Sens!E19257</f>
        <v>5.25</v>
      </c>
      <c r="F19316" s="6" t="n">
        <f aca="false">Sens!F19257</f>
        <v>10.5</v>
      </c>
      <c r="G19316" s="6" t="n">
        <f aca="false">Sens!G19257</f>
        <v>13.5</v>
      </c>
      <c r="H19316" s="6" t="n">
        <f aca="false">Sens!H19257</f>
        <v>16.5</v>
      </c>
      <c r="I19316" s="6" t="n">
        <f aca="false">Sens!I19257</f>
        <v>18.75</v>
      </c>
      <c r="J19316" s="6" t="n">
        <f aca="false">Sens!J19257</f>
        <v>20.25</v>
      </c>
      <c r="K19316" s="6" t="n">
        <f aca="false">Sens!K19257</f>
        <v>21.75</v>
      </c>
    </row>
    <row r="19317" customFormat="false" ht="17.15" hidden="false" customHeight="false" outlineLevel="0" collapsed="false">
      <c r="A19317" s="1" t="s">
        <v>1004</v>
      </c>
      <c r="B19317" s="0" t="s">
        <v>98</v>
      </c>
      <c r="F19317" s="6" t="n">
        <f aca="false">MAX(0,((Sens!E19217+Sens!F19217)/2-(shadow_base*(Sens!$D$19217+Sens!$E$19217)/2+(1-shadow_base)*Sens!$E$19217))*Sens!F19226/1000-(Sens!F19316-Sens!$E$19316)*Sens!F19296)</f>
        <v>10.587205355146</v>
      </c>
      <c r="G19317" s="6" t="n">
        <f aca="false">MAX(0,((Sens!F19217+Sens!G19217)/2-(shadow_base*(Sens!$D$19217+Sens!$E$19217)/2+(1-shadow_base)*Sens!$E$19217))*Sens!G19226/1000-(Sens!G19316-Sens!$E$19316)*Sens!G19296)</f>
        <v>27.8408156431036</v>
      </c>
      <c r="H19317" s="6" t="n">
        <f aca="false">MAX(0,((Sens!G19217+Sens!H19217)/2-(shadow_base*(Sens!$D$19217+Sens!$E$19217)/2+(1-shadow_base)*Sens!$E$19217))*Sens!H19226/1000-(Sens!H19316-Sens!$E$19316)*Sens!H19296)</f>
        <v>46.6639641525333</v>
      </c>
      <c r="I19317" s="6" t="n">
        <f aca="false">MAX(0,((Sens!H19217+Sens!I19217)/2-(shadow_base*(Sens!$D$19217+Sens!$E$19217)/2+(1-shadow_base)*Sens!$E$19217))*Sens!I19226/1000-(Sens!I19316-Sens!$E$19316)*Sens!I19296)</f>
        <v>63.5840737305167</v>
      </c>
      <c r="J19317" s="6" t="n">
        <f aca="false">MAX(0,((Sens!I19217+Sens!J19217)/2-(shadow_base*(Sens!$D$19217+Sens!$E$19217)/2+(1-shadow_base)*Sens!$E$19217))*Sens!J19226/1000-(Sens!J19316-Sens!$E$19316)*Sens!J19296)</f>
        <v>75.4878639080576</v>
      </c>
      <c r="K19317" s="6" t="n">
        <f aca="false">MAX(0,((Sens!J19217+Sens!K19217)/2-(shadow_base*(Sens!$D$19217+Sens!$E$19217)/2+(1-shadow_base)*Sens!$E$19217))*Sens!K19226/1000-(Sens!K19316-Sens!$E$19316)*Sens!K19296)</f>
        <v>82.651858563588</v>
      </c>
      <c r="L19317" s="1" t="s">
        <v>1005</v>
      </c>
    </row>
    <row r="19318" customFormat="false" ht="17.15" hidden="false" customHeight="false" outlineLevel="0" collapsed="false">
      <c r="A19318" s="1" t="s">
        <v>1006</v>
      </c>
      <c r="B19318" s="0" t="s">
        <v>98</v>
      </c>
      <c r="F19318" s="6" t="n">
        <f aca="false">IF(internal_ai_reading=2,1,0)*Sens!F19317</f>
        <v>10.587205355146</v>
      </c>
      <c r="G19318" s="6" t="n">
        <f aca="false">IF(internal_ai_reading=2,1,0)*Sens!G19317</f>
        <v>27.8408156431036</v>
      </c>
      <c r="H19318" s="6" t="n">
        <f aca="false">IF(internal_ai_reading=2,1,0)*Sens!H19317</f>
        <v>46.6639641525333</v>
      </c>
      <c r="I19318" s="6" t="n">
        <f aca="false">IF(internal_ai_reading=2,1,0)*Sens!I19317</f>
        <v>63.5840737305167</v>
      </c>
      <c r="J19318" s="6" t="n">
        <f aca="false">IF(internal_ai_reading=2,1,0)*Sens!J19317</f>
        <v>75.4878639080576</v>
      </c>
      <c r="K19318" s="6" t="n">
        <f aca="false">IF(internal_ai_reading=2,1,0)*Sens!K19317</f>
        <v>82.651858563588</v>
      </c>
    </row>
    <row r="19319" customFormat="false" ht="17.15" hidden="false" customHeight="false" outlineLevel="0" collapsed="false">
      <c r="A19319" s="0" t="s">
        <v>1007</v>
      </c>
      <c r="B19319" s="0" t="s">
        <v>98</v>
      </c>
      <c r="F19319" s="6" t="n">
        <f aca="false">Sens!F19236+Sens!F19316*Sens!F19296+Sens!F19318-Sens!F19237-Sens!F19248</f>
        <v>10.9548734540597</v>
      </c>
      <c r="G19319" s="6" t="n">
        <f aca="false">Sens!G19236+Sens!G19316*Sens!G19296+Sens!G19318-Sens!G19237-Sens!G19248</f>
        <v>17.3317282018228</v>
      </c>
      <c r="H19319" s="6" t="n">
        <f aca="false">Sens!H19236+Sens!H19316*Sens!H19296+Sens!H19318-Sens!H19237-Sens!H19248</f>
        <v>18.4508587989062</v>
      </c>
      <c r="I19319" s="6" t="n">
        <f aca="false">Sens!I19236+Sens!I19316*Sens!I19296+Sens!I19318-Sens!I19237-Sens!I19248</f>
        <v>26.048330797631</v>
      </c>
      <c r="J19319" s="6" t="n">
        <f aca="false">Sens!J19236+Sens!J19316*Sens!J19296+Sens!J19318-Sens!J19237-Sens!J19248</f>
        <v>31.2915914861518</v>
      </c>
      <c r="K19319" s="6" t="n">
        <f aca="false">Sens!K19236+Sens!K19316*Sens!K19296+Sens!K19318-Sens!K19237-Sens!K19248</f>
        <v>35.2506954195931</v>
      </c>
    </row>
    <row r="19320" customFormat="false" ht="17.15" hidden="false" customHeight="false" outlineLevel="0" collapsed="false">
      <c r="A19320" s="0" t="s">
        <v>1008</v>
      </c>
      <c r="B19320" s="0" t="s">
        <v>98</v>
      </c>
      <c r="E19320" s="6" t="n">
        <f aca="false">Sens!E19216*(cxit_open+self_build*tk_cxfac)/1000*ai_net_open</f>
        <v>126.6980382</v>
      </c>
      <c r="F19320" s="6" t="n">
        <f aca="false">Sens!E19320+Sens!F19245-Sens!F19248</f>
        <v>260.531138080999</v>
      </c>
      <c r="G19320" s="6" t="n">
        <f aca="false">Sens!F19320+Sens!G19245-Sens!G19248</f>
        <v>391.732607523896</v>
      </c>
      <c r="H19320" s="6" t="n">
        <f aca="false">Sens!G19320+Sens!H19245-Sens!H19248</f>
        <v>499.144512201304</v>
      </c>
      <c r="I19320" s="6" t="n">
        <f aca="false">Sens!H19320+Sens!I19245-Sens!I19248</f>
        <v>554.184803136311</v>
      </c>
      <c r="J19320" s="6" t="n">
        <f aca="false">Sens!I19320+Sens!J19245-Sens!J19248</f>
        <v>552.057881745084</v>
      </c>
      <c r="K19320" s="6" t="n">
        <f aca="false">Sens!J19320+Sens!K19245-Sens!K19248</f>
        <v>530.189758768081</v>
      </c>
      <c r="L19320" s="1" t="s">
        <v>1009</v>
      </c>
    </row>
    <row r="19321" customFormat="false" ht="17.15" hidden="false" customHeight="false" outlineLevel="0" collapsed="false">
      <c r="A19321" s="0" t="s">
        <v>1010</v>
      </c>
      <c r="B19321" s="0" t="s">
        <v>168</v>
      </c>
      <c r="F19321" s="7" t="n">
        <f aca="false">Sens!F19319*(1-tax_f)/((Sens!E19320+Sens!F19320)/2)</f>
        <v>0.0452646613430188</v>
      </c>
      <c r="G19321" s="7" t="n">
        <f aca="false">Sens!G19319*(1-tax_f)/((Sens!F19320+Sens!G19320)/2)</f>
        <v>0.0425146504152236</v>
      </c>
      <c r="H19321" s="7" t="n">
        <f aca="false">Sens!H19319*(1-tax_f)/((Sens!G19320+Sens!H19320)/2)</f>
        <v>0.0331374253806811</v>
      </c>
      <c r="I19321" s="7" t="n">
        <f aca="false">Sens!I19319*(1-tax_f)/((Sens!H19320+Sens!I19320)/2)</f>
        <v>0.0395672356872088</v>
      </c>
      <c r="J19321" s="7" t="n">
        <f aca="false">Sens!J19319*(1-tax_f)/((Sens!I19320+Sens!J19320)/2)</f>
        <v>0.0452581943022843</v>
      </c>
      <c r="K19321" s="7" t="n">
        <f aca="false">Sens!K19319*(1-tax_f)/((Sens!J19320+Sens!K19320)/2)</f>
        <v>0.0521147938420134</v>
      </c>
    </row>
    <row r="19322" customFormat="false" ht="17.15" hidden="false" customHeight="false" outlineLevel="0" collapsed="false">
      <c r="A19322" s="1" t="s">
        <v>1011</v>
      </c>
      <c r="B19322" s="0" t="s">
        <v>168</v>
      </c>
      <c r="F19322" s="7" t="n">
        <f aca="false">(Sens!F19319-Sens!F19318)*(1-tax_f)/((Sens!E19320+Sens!F19320)/2)</f>
        <v>0.00151917519209617</v>
      </c>
      <c r="G19322" s="7" t="n">
        <f aca="false">(Sens!G19319-Sens!G19318)*(1-tax_f)/((Sens!F19320+Sens!G19320)/2)</f>
        <v>-0.025778743674395</v>
      </c>
      <c r="H19322" s="7" t="n">
        <f aca="false">(Sens!H19319-Sens!H19318)*(1-tax_f)/((Sens!G19320+Sens!H19320)/2)</f>
        <v>-0.0506702524583049</v>
      </c>
      <c r="I19322" s="7" t="n">
        <f aca="false">(Sens!I19319-Sens!I19318)*(1-tax_f)/((Sens!H19320+Sens!I19320)/2)</f>
        <v>-0.057016535871659</v>
      </c>
      <c r="J19322" s="7" t="n">
        <f aca="false">(Sens!J19319-Sens!J19318)*(1-tax_f)/((Sens!I19320+Sens!J19320)/2)</f>
        <v>-0.0639227150077208</v>
      </c>
      <c r="K19322" s="7" t="n">
        <f aca="false">(Sens!K19319-Sens!K19318)*(1-tax_f)/((Sens!J19320+Sens!K19320)/2)</f>
        <v>-0.0700781024520693</v>
      </c>
    </row>
    <row r="19323" customFormat="false" ht="17.15" hidden="false" customHeight="false" outlineLevel="0" collapsed="false">
      <c r="A19323" s="1" t="s">
        <v>1012</v>
      </c>
      <c r="B19323" s="0" t="s">
        <v>168</v>
      </c>
      <c r="F19323" s="7" t="n">
        <f aca="false">(Sens!F19319-Sens!F19318+Sens!F19317)*(1-tax_f)/((Sens!E19320+Sens!F19320)/2)</f>
        <v>0.0452646613430188</v>
      </c>
      <c r="G19323" s="7" t="n">
        <f aca="false">(Sens!G19319-Sens!G19318+Sens!G19317)*(1-tax_f)/((Sens!F19320+Sens!G19320)/2)</f>
        <v>0.0425146504152236</v>
      </c>
      <c r="H19323" s="7" t="n">
        <f aca="false">(Sens!H19319-Sens!H19318+Sens!H19317)*(1-tax_f)/((Sens!G19320+Sens!H19320)/2)</f>
        <v>0.0331374253806811</v>
      </c>
      <c r="I19323" s="7" t="n">
        <f aca="false">(Sens!I19319-Sens!I19318+Sens!I19317)*(1-tax_f)/((Sens!H19320+Sens!I19320)/2)</f>
        <v>0.0395672356872088</v>
      </c>
      <c r="J19323" s="7" t="n">
        <f aca="false">(Sens!J19319-Sens!J19318+Sens!J19317)*(1-tax_f)/((Sens!I19320+Sens!J19320)/2)</f>
        <v>0.0452581943022843</v>
      </c>
      <c r="K19323" s="7" t="n">
        <f aca="false">(Sens!K19319-Sens!K19318+Sens!K19317)*(1-tax_f)/((Sens!J19320+Sens!K19320)/2)</f>
        <v>0.0521147938420134</v>
      </c>
    </row>
    <row r="19324" customFormat="false" ht="17.15" hidden="false" customHeight="false" outlineLevel="0" collapsed="false">
      <c r="A19324" s="1" t="s">
        <v>1013</v>
      </c>
      <c r="B19324" s="0" t="s">
        <v>168</v>
      </c>
      <c r="F19324" s="7" t="n">
        <f aca="false">Sens!F19249*(1-tax_f)/(Sens!F19235*(Sens!E19320+Sens!F19320)/2)</f>
        <v>0.102372261179166</v>
      </c>
      <c r="G19324" s="7" t="n">
        <f aca="false">Sens!G19249*(1-tax_f)/(Sens!G19235*(Sens!F19320+Sens!G19320)/2)</f>
        <v>0.0705312267037864</v>
      </c>
      <c r="H19324" s="7" t="n">
        <f aca="false">Sens!H19249*(1-tax_f)/(Sens!H19235*(Sens!G19320+Sens!H19320)/2)</f>
        <v>0.0416836911520815</v>
      </c>
      <c r="I19324" s="7" t="n">
        <f aca="false">Sens!I19249*(1-tax_f)/(Sens!I19235*(Sens!H19320+Sens!I19320)/2)</f>
        <v>0.0443317723169064</v>
      </c>
      <c r="J19324" s="7" t="n">
        <f aca="false">Sens!J19249*(1-tax_f)/(Sens!J19235*(Sens!I19320+Sens!J19320)/2)</f>
        <v>0.0482068924564458</v>
      </c>
      <c r="K19324" s="7" t="n">
        <f aca="false">Sens!K19249*(1-tax_f)/(Sens!K19235*(Sens!J19320+Sens!K19320)/2)</f>
        <v>0.0544425425202641</v>
      </c>
    </row>
    <row r="19325" customFormat="false" ht="17.15" hidden="false" customHeight="false" outlineLevel="0" collapsed="false">
      <c r="A19325" s="0" t="s">
        <v>1014</v>
      </c>
      <c r="B19325" s="0" t="s">
        <v>253</v>
      </c>
      <c r="F19325" s="7" t="n">
        <f aca="false">Sens!F19321-wacc</f>
        <v>-0.0576719296025785</v>
      </c>
      <c r="G19325" s="7" t="n">
        <f aca="false">Sens!G19321-wacc</f>
        <v>-0.0604219405303737</v>
      </c>
      <c r="H19325" s="7" t="n">
        <f aca="false">Sens!H19321-wacc</f>
        <v>-0.0697991655649162</v>
      </c>
      <c r="I19325" s="7" t="n">
        <f aca="false">Sens!I19321-wacc</f>
        <v>-0.0633693552583885</v>
      </c>
      <c r="J19325" s="7" t="n">
        <f aca="false">Sens!J19321-wacc</f>
        <v>-0.057678396643313</v>
      </c>
      <c r="K19325" s="7" t="n">
        <f aca="false">Sens!K19321-wacc</f>
        <v>-0.0508217971035839</v>
      </c>
    </row>
    <row r="19326" customFormat="false" ht="17.15" hidden="false" customHeight="false" outlineLevel="0" collapsed="false">
      <c r="A19326" s="0" t="s">
        <v>1015</v>
      </c>
      <c r="B19326" s="0" t="s">
        <v>98</v>
      </c>
      <c r="F19326" s="6" t="n">
        <f aca="false">Sens!F19319*(1-tax_f)-wacc*(Sens!E19320+Sens!F19320)/2</f>
        <v>-11.1661268972711</v>
      </c>
      <c r="G19326" s="6" t="n">
        <f aca="false">Sens!G19319*(1-tax_f)-wacc*(Sens!F19320+Sens!G19320)/2</f>
        <v>-19.7055206235289</v>
      </c>
      <c r="H19326" s="6" t="n">
        <f aca="false">Sens!H19319*(1-tax_f)-wacc*(Sens!G19320+Sens!H19320)/2</f>
        <v>-31.0912397888474</v>
      </c>
      <c r="I19326" s="6" t="n">
        <f aca="false">Sens!I19319*(1-tax_f)-wacc*(Sens!H19320+Sens!I19320)/2</f>
        <v>-33.3743997938522</v>
      </c>
      <c r="J19326" s="6" t="n">
        <f aca="false">Sens!J19319*(1-tax_f)-wacc*(Sens!I19320+Sens!J19320)/2</f>
        <v>-31.9031521811763</v>
      </c>
      <c r="K19326" s="6" t="n">
        <f aca="false">Sens!K19319*(1-tax_f)-wacc*(Sens!J19320+Sens!K19320)/2</f>
        <v>-27.5008850009962</v>
      </c>
    </row>
    <row r="19327" customFormat="false" ht="17.15" hidden="false" customHeight="false" outlineLevel="0" collapsed="false">
      <c r="A19327" s="3" t="s">
        <v>1957</v>
      </c>
    </row>
    <row r="19328" customFormat="false" ht="15" hidden="false" customHeight="false" outlineLevel="0" collapsed="false">
      <c r="A19328" s="4" t="s">
        <v>43</v>
      </c>
      <c r="B19328" s="4" t="s">
        <v>65</v>
      </c>
      <c r="C19328" s="23" t="s">
        <v>938</v>
      </c>
      <c r="D19328" s="23" t="s">
        <v>939</v>
      </c>
      <c r="E19328" s="23" t="s">
        <v>940</v>
      </c>
      <c r="F19328" s="23" t="s">
        <v>941</v>
      </c>
      <c r="G19328" s="23" t="s">
        <v>942</v>
      </c>
      <c r="H19328" s="23" t="s">
        <v>943</v>
      </c>
      <c r="I19328" s="23" t="s">
        <v>944</v>
      </c>
      <c r="J19328" s="23" t="s">
        <v>945</v>
      </c>
      <c r="K19328" s="23" t="s">
        <v>946</v>
      </c>
      <c r="L19328" s="4" t="s">
        <v>47</v>
      </c>
    </row>
    <row r="19329" customFormat="false" ht="15" hidden="false" customHeight="false" outlineLevel="0" collapsed="false">
      <c r="A19329" s="1" t="s">
        <v>1076</v>
      </c>
      <c r="B19329" s="0" t="s">
        <v>98</v>
      </c>
      <c r="F19329" s="6" t="n">
        <f aca="false">Sens!F19310</f>
        <v>141.870286368617</v>
      </c>
      <c r="G19329" s="6" t="n">
        <f aca="false">Sens!G19310</f>
        <v>144.442362336662</v>
      </c>
      <c r="H19329" s="6" t="n">
        <f aca="false">Sens!H19310</f>
        <v>146.438149467558</v>
      </c>
      <c r="I19329" s="6" t="n">
        <f aca="false">Sens!I19310</f>
        <v>154.83670647918</v>
      </c>
      <c r="J19329" s="6" t="n">
        <f aca="false">Sens!J19310</f>
        <v>164.437154757056</v>
      </c>
      <c r="K19329" s="6" t="n">
        <f aca="false">Sens!K19310</f>
        <v>175.230595016364</v>
      </c>
    </row>
    <row r="19330" customFormat="false" ht="17.15" hidden="false" customHeight="false" outlineLevel="0" collapsed="false">
      <c r="A19330" s="1" t="s">
        <v>1098</v>
      </c>
      <c r="B19330" s="0" t="s">
        <v>98</v>
      </c>
      <c r="E19330" s="6" t="n">
        <f aca="false">Q!M38-Sens!E19248</f>
        <v>22.2285940229167</v>
      </c>
      <c r="F19330" s="6" t="n">
        <f aca="false">Sens!E19330*(1-1/life_nonai)+(Sens!F19338+Sens!F19339)/life_nonai</f>
        <v>23.5864597973673</v>
      </c>
      <c r="G19330" s="6" t="n">
        <f aca="false">Sens!F19330*(1-1/life_nonai)+(Sens!G19338)/life_nonai</f>
        <v>25.3436814630703</v>
      </c>
      <c r="H19330" s="6" t="n">
        <f aca="false">Sens!G19330*(1-1/life_nonai)+(Sens!H19338)/life_nonai</f>
        <v>27.4689643541904</v>
      </c>
      <c r="I19330" s="6" t="n">
        <f aca="false">Sens!H19330*(1-1/life_nonai)+(Sens!I19338)/life_nonai</f>
        <v>29.9055541034438</v>
      </c>
      <c r="J19330" s="6" t="n">
        <f aca="false">Sens!I19330*(1-1/life_nonai)+(Sens!J19338)/life_nonai</f>
        <v>32.5786445065096</v>
      </c>
      <c r="K19330" s="6" t="n">
        <f aca="false">Sens!J19330*(1-1/life_nonai)+(Sens!K19338)/life_nonai</f>
        <v>35.4038966823951</v>
      </c>
      <c r="L19330" s="12" t="s">
        <v>1099</v>
      </c>
    </row>
    <row r="19331" customFormat="false" ht="17.15" hidden="false" customHeight="false" outlineLevel="0" collapsed="false">
      <c r="A19331" s="1" t="s">
        <v>1100</v>
      </c>
      <c r="B19331" s="0" t="s">
        <v>98</v>
      </c>
      <c r="F19331" s="6" t="n">
        <f aca="false">Sens!$F$19339/life_nonai*(1-1/life_nonai)^(Sens!F19211-2027)</f>
        <v>0</v>
      </c>
      <c r="G19331" s="6" t="n">
        <f aca="false">Sens!$F$19339/life_nonai*(1-1/life_nonai)^(Sens!G19211-2027)</f>
        <v>0</v>
      </c>
      <c r="H19331" s="6" t="n">
        <f aca="false">Sens!$F$19339/life_nonai*(1-1/life_nonai)^(Sens!H19211-2027)</f>
        <v>0</v>
      </c>
      <c r="I19331" s="6" t="n">
        <f aca="false">Sens!$F$19339/life_nonai*(1-1/life_nonai)^(Sens!I19211-2027)</f>
        <v>0</v>
      </c>
      <c r="J19331" s="6" t="n">
        <f aca="false">Sens!$F$19339/life_nonai*(1-1/life_nonai)^(Sens!J19211-2027)</f>
        <v>0</v>
      </c>
      <c r="K19331" s="6" t="n">
        <f aca="false">Sens!$F$19339/life_nonai*(1-1/life_nonai)^(Sens!K19211-2027)</f>
        <v>0</v>
      </c>
      <c r="L19331" s="1" t="s">
        <v>1101</v>
      </c>
    </row>
    <row r="19332" customFormat="false" ht="17.15" hidden="false" customHeight="false" outlineLevel="0" collapsed="false">
      <c r="A19332" s="1" t="s">
        <v>1102</v>
      </c>
      <c r="B19332" s="0" t="s">
        <v>98</v>
      </c>
      <c r="E19332" s="6" t="n">
        <f aca="false">Sens!E19248+Sens!E19330</f>
        <v>38.534</v>
      </c>
      <c r="F19332" s="6" t="n">
        <f aca="false">Sens!F19248+Sens!F19330</f>
        <v>58.2276880741763</v>
      </c>
      <c r="G19332" s="6" t="n">
        <f aca="false">Sens!G19248+Sens!G19330</f>
        <v>86.2781682130896</v>
      </c>
      <c r="H19332" s="6" t="n">
        <f aca="false">Sens!H19248+Sens!H19330</f>
        <v>116.909283008586</v>
      </c>
      <c r="I19332" s="6" t="n">
        <f aca="false">Sens!I19248+Sens!I19330</f>
        <v>144.68304872626</v>
      </c>
      <c r="J19332" s="6" t="n">
        <f aca="false">Sens!J19248+Sens!J19330</f>
        <v>165.459520205803</v>
      </c>
      <c r="K19332" s="6" t="n">
        <f aca="false">Sens!K19248+Sens!K19330</f>
        <v>179.759418354437</v>
      </c>
    </row>
    <row r="19333" customFormat="false" ht="17.15" hidden="false" customHeight="false" outlineLevel="0" collapsed="false">
      <c r="A19333" s="1" t="s">
        <v>1103</v>
      </c>
      <c r="B19333" s="0" t="s">
        <v>98</v>
      </c>
      <c r="F19333" s="6" t="n">
        <f aca="false">Sens!F19275*sbc_r</f>
        <v>14.7579724252009</v>
      </c>
      <c r="G19333" s="6" t="n">
        <f aca="false">Sens!G19275*sbc_r</f>
        <v>17.1699963227976</v>
      </c>
      <c r="H19333" s="6" t="n">
        <f aca="false">Sens!H19275*sbc_r</f>
        <v>19.4264133004034</v>
      </c>
      <c r="I19333" s="6" t="n">
        <f aca="false">Sens!I19275*sbc_r</f>
        <v>21.7890494033951</v>
      </c>
      <c r="J19333" s="6" t="n">
        <f aca="false">Sens!J19275*sbc_r</f>
        <v>23.7777697209193</v>
      </c>
      <c r="K19333" s="6" t="n">
        <f aca="false">Sens!K19275*sbc_r</f>
        <v>25.412718205308</v>
      </c>
    </row>
    <row r="19334" customFormat="false" ht="17.15" hidden="false" customHeight="false" outlineLevel="0" collapsed="false">
      <c r="A19334" s="1" t="s">
        <v>1104</v>
      </c>
      <c r="B19334" s="0" t="s">
        <v>98</v>
      </c>
      <c r="F19334" s="6" t="n">
        <f aca="false">wc27-wc26q1</f>
        <v>-4.677</v>
      </c>
      <c r="G19334" s="6" t="n">
        <f aca="false">wc_f</f>
        <v>0</v>
      </c>
      <c r="H19334" s="6" t="n">
        <f aca="false">wc_f</f>
        <v>0</v>
      </c>
      <c r="I19334" s="6" t="n">
        <f aca="false">wc_f</f>
        <v>0</v>
      </c>
      <c r="J19334" s="6" t="n">
        <f aca="false">wc_f</f>
        <v>0</v>
      </c>
      <c r="K19334" s="6" t="n">
        <f aca="false">wc_f</f>
        <v>0</v>
      </c>
      <c r="L19334" s="12" t="s">
        <v>1105</v>
      </c>
    </row>
    <row r="19335" customFormat="false" ht="17.15" hidden="false" customHeight="false" outlineLevel="0" collapsed="false">
      <c r="A19335" s="0" t="s">
        <v>1106</v>
      </c>
      <c r="B19335" s="0" t="s">
        <v>98</v>
      </c>
      <c r="F19335" s="6" t="n">
        <f aca="false">Q!$I$35-Q!$I$26-Q!$I$38-Q!$I$39</f>
        <v>6.493</v>
      </c>
      <c r="L19335" s="1" t="s">
        <v>1107</v>
      </c>
    </row>
    <row r="19336" customFormat="false" ht="15" hidden="false" customHeight="false" outlineLevel="0" collapsed="false">
      <c r="A19336" s="1" t="s">
        <v>904</v>
      </c>
      <c r="B19336" s="0" t="s">
        <v>98</v>
      </c>
      <c r="E19336" s="6" t="n">
        <f aca="false">Q!M35</f>
        <v>182.935</v>
      </c>
      <c r="F19336" s="6" t="n">
        <f aca="false">Sens!F19329+Sens!F19332+Sens!F19333+Sens!F19334+Sens!F19335</f>
        <v>216.671946867994</v>
      </c>
      <c r="G19336" s="6" t="n">
        <f aca="false">Sens!G19329+Sens!G19332+Sens!G19333+Sens!G19334</f>
        <v>247.890526872549</v>
      </c>
      <c r="H19336" s="6" t="n">
        <f aca="false">Sens!H19329+Sens!H19332+Sens!H19333+Sens!H19334</f>
        <v>282.773845776547</v>
      </c>
      <c r="I19336" s="6" t="n">
        <f aca="false">Sens!I19329+Sens!I19332+Sens!I19333+Sens!I19334</f>
        <v>321.308804608835</v>
      </c>
      <c r="J19336" s="6" t="n">
        <f aca="false">Sens!J19329+Sens!J19332+Sens!J19333+Sens!J19334</f>
        <v>353.674444683778</v>
      </c>
      <c r="K19336" s="6" t="n">
        <f aca="false">Sens!K19329+Sens!K19332+Sens!K19333+Sens!K19334</f>
        <v>380.402731576108</v>
      </c>
    </row>
    <row r="19337" customFormat="false" ht="17.15" hidden="false" customHeight="false" outlineLevel="0" collapsed="false">
      <c r="A19337" s="0" t="s">
        <v>1108</v>
      </c>
      <c r="B19337" s="0" t="s">
        <v>98</v>
      </c>
      <c r="F19337" s="6" t="n">
        <f aca="false">Sens!F19245</f>
        <v>168.474328157808</v>
      </c>
      <c r="G19337" s="6" t="n">
        <f aca="false">Sens!G19245</f>
        <v>192.135956192916</v>
      </c>
      <c r="H19337" s="6" t="n">
        <f aca="false">Sens!H19245</f>
        <v>196.852223331804</v>
      </c>
      <c r="I19337" s="6" t="n">
        <f aca="false">Sens!I19245</f>
        <v>169.817785557824</v>
      </c>
      <c r="J19337" s="6" t="n">
        <f aca="false">Sens!J19245</f>
        <v>130.753954308066</v>
      </c>
      <c r="K19337" s="6" t="n">
        <f aca="false">Sens!K19245</f>
        <v>122.487398695039</v>
      </c>
    </row>
    <row r="19338" customFormat="false" ht="17.15" hidden="false" customHeight="false" outlineLevel="0" collapsed="false">
      <c r="A19338" s="1" t="s">
        <v>1109</v>
      </c>
      <c r="B19338" s="0" t="s">
        <v>98</v>
      </c>
      <c r="E19338" s="6" t="n">
        <f aca="false">Sens!E19253*cx_azo+Sens!E19260*cx_m365+Sens!E19261*cx_lic+(Sens!E19263+Sens!E19265)*cx_ind+Sens!E19268*cx_srch+(Sens!E19270+Sens!E19272)*cx_dev</f>
        <v>30.1846587067718</v>
      </c>
      <c r="F19338" s="6" t="n">
        <f aca="false">Sens!F19253*cx_azo+Sens!F19260*cx_m365+Sens!F19261*cx_lic+(Sens!F19263+Sens!F19265)*cx_ind+Sens!F19268*cx_srch+(Sens!F19270+Sens!F19272)*cx_dev</f>
        <v>35.8072517674227</v>
      </c>
      <c r="G19338" s="6" t="n">
        <f aca="false">Sens!G19253*cx_azo+Sens!G19260*cx_m365+Sens!G19261*cx_lic+(Sens!G19263+Sens!G19265)*cx_ind+Sens!G19268*cx_srch+(Sens!G19270+Sens!G19272)*cx_dev</f>
        <v>41.1586764543974</v>
      </c>
      <c r="H19338" s="6" t="n">
        <f aca="false">Sens!H19253*cx_azo+Sens!H19260*cx_m365+Sens!H19261*cx_lic+(Sens!H19263+Sens!H19265)*cx_ind+Sens!H19268*cx_srch+(Sens!H19270+Sens!H19272)*cx_dev</f>
        <v>46.5965103742713</v>
      </c>
      <c r="I19338" s="6" t="n">
        <f aca="false">Sens!I19253*cx_azo+Sens!I19260*cx_m365+Sens!I19261*cx_lic+(Sens!I19263+Sens!I19265)*cx_ind+Sens!I19268*cx_srch+(Sens!I19270+Sens!I19272)*cx_dev</f>
        <v>51.8348618467245</v>
      </c>
      <c r="J19338" s="6" t="n">
        <f aca="false">Sens!J19253*cx_azo+Sens!J19260*cx_m365+Sens!J19261*cx_lic+(Sens!J19263+Sens!J19265)*cx_ind+Sens!J19268*cx_srch+(Sens!J19270+Sens!J19272)*cx_dev</f>
        <v>56.6364581341014</v>
      </c>
      <c r="K19338" s="6" t="n">
        <f aca="false">Sens!K19253*cx_azo+Sens!K19260*cx_m365+Sens!K19261*cx_lic+(Sens!K19263+Sens!K19265)*cx_ind+Sens!K19268*cx_srch+(Sens!K19270+Sens!K19272)*cx_dev</f>
        <v>60.8311662653652</v>
      </c>
    </row>
    <row r="19339" customFormat="false" ht="17.15" hidden="false" customHeight="false" outlineLevel="0" collapsed="false">
      <c r="A19339" s="0" t="s">
        <v>1110</v>
      </c>
      <c r="B19339" s="0" t="s">
        <v>98</v>
      </c>
      <c r="F19339" s="6" t="n">
        <f aca="false">Sens!F19243</f>
        <v>0</v>
      </c>
      <c r="L19339" s="1" t="s">
        <v>1111</v>
      </c>
    </row>
    <row r="19340" customFormat="false" ht="17.15" hidden="false" customHeight="false" outlineLevel="0" collapsed="false">
      <c r="A19340" s="1" t="s">
        <v>1112</v>
      </c>
      <c r="B19340" s="0" t="s">
        <v>98</v>
      </c>
      <c r="E19340" s="6" t="n">
        <f aca="false">Q!M43</f>
        <v>145.3</v>
      </c>
      <c r="F19340" s="6" t="n">
        <f aca="false">Sens!F19337+Sens!F19338+Sens!F19339</f>
        <v>204.28157992523</v>
      </c>
      <c r="G19340" s="6" t="n">
        <f aca="false">Sens!G19337+Sens!G19338</f>
        <v>233.294632647314</v>
      </c>
      <c r="H19340" s="6" t="n">
        <f aca="false">Sens!H19337+Sens!H19338</f>
        <v>243.448733706075</v>
      </c>
      <c r="I19340" s="6" t="n">
        <f aca="false">Sens!I19337+Sens!I19338</f>
        <v>221.652647404548</v>
      </c>
      <c r="J19340" s="6" t="n">
        <f aca="false">Sens!J19337+Sens!J19338</f>
        <v>187.390412442167</v>
      </c>
      <c r="K19340" s="6" t="n">
        <f aca="false">Sens!K19337+Sens!K19338</f>
        <v>183.318564960404</v>
      </c>
      <c r="L19340" s="1" t="s">
        <v>1113</v>
      </c>
    </row>
    <row r="19341" customFormat="false" ht="15" hidden="false" customHeight="false" outlineLevel="0" collapsed="false">
      <c r="A19341" s="1" t="s">
        <v>1114</v>
      </c>
      <c r="B19341" s="0" t="s">
        <v>98</v>
      </c>
      <c r="E19341" s="6" t="n">
        <f aca="false">fl_liab</f>
        <v>66.594</v>
      </c>
      <c r="F19341" s="6" t="n">
        <f aca="false">Sens!E19341-Sens!F19342</f>
        <v>62.46973</v>
      </c>
      <c r="G19341" s="6" t="n">
        <f aca="false">Sens!F19341-Sens!G19342</f>
        <v>57.98686785</v>
      </c>
      <c r="H19341" s="6" t="n">
        <f aca="false">Sens!G19341-Sens!H19342</f>
        <v>53.92827690325</v>
      </c>
      <c r="I19341" s="6" t="n">
        <f aca="false">Sens!H19341-Sens!I19342</f>
        <v>49.7850493638962</v>
      </c>
      <c r="J19341" s="6" t="n">
        <f aca="false">Sens!I19341-Sens!J19342</f>
        <v>45.4823765852716</v>
      </c>
      <c r="K19341" s="6" t="n">
        <f aca="false">Sens!J19341-Sens!K19342</f>
        <v>40.9860835316088</v>
      </c>
    </row>
    <row r="19342" customFormat="false" ht="15" hidden="false" customHeight="false" outlineLevel="0" collapsed="false">
      <c r="A19342" s="1" t="s">
        <v>1115</v>
      </c>
      <c r="B19342" s="0" t="s">
        <v>98</v>
      </c>
      <c r="F19342" s="6" t="n">
        <f aca="false">fl_pay_27-Sens!E19341*fl_rate</f>
        <v>4.12427</v>
      </c>
      <c r="G19342" s="6" t="n">
        <f aca="false">fl_pay_28-Sens!F19341*fl_rate</f>
        <v>4.48286215</v>
      </c>
      <c r="H19342" s="6" t="n">
        <f aca="false">fl_pay_29-Sens!G19341*fl_rate</f>
        <v>4.05859094675</v>
      </c>
      <c r="I19342" s="6" t="n">
        <f aca="false">fl_pay_30-Sens!H19341*fl_rate</f>
        <v>4.14322753935375</v>
      </c>
      <c r="J19342" s="6" t="n">
        <f aca="false">fl_pay_31-Sens!I19341*fl_rate</f>
        <v>4.30267277862467</v>
      </c>
      <c r="K19342" s="6" t="n">
        <f aca="false">fl_pay_32-Sens!J19341*fl_rate</f>
        <v>4.49629305366278</v>
      </c>
    </row>
    <row r="19343" customFormat="false" ht="17.15" hidden="false" customHeight="false" outlineLevel="0" collapsed="false">
      <c r="A19343" s="1" t="s">
        <v>1116</v>
      </c>
      <c r="B19343" s="0" t="s">
        <v>98</v>
      </c>
      <c r="E19343" s="6" t="n">
        <f aca="false">Q!M35-Q!M36-Q!M44</f>
        <v>63.886</v>
      </c>
      <c r="F19343" s="6" t="n">
        <f aca="false">Sens!F19336-Sens!F19340-Sens!F19342</f>
        <v>8.26609694276402</v>
      </c>
      <c r="G19343" s="6" t="n">
        <f aca="false">Sens!G19336-Sens!G19340-Sens!G19342</f>
        <v>10.1130320752356</v>
      </c>
      <c r="H19343" s="6" t="n">
        <f aca="false">Sens!H19336-Sens!H19340-Sens!H19342</f>
        <v>35.2665211237221</v>
      </c>
      <c r="I19343" s="6" t="n">
        <f aca="false">Sens!I19336-Sens!I19340-Sens!I19342</f>
        <v>95.5129296649329</v>
      </c>
      <c r="J19343" s="6" t="n">
        <f aca="false">Sens!J19336-Sens!J19340-Sens!J19342</f>
        <v>161.981359462986</v>
      </c>
      <c r="K19343" s="6" t="n">
        <f aca="false">Sens!K19336-Sens!K19340-Sens!K19342</f>
        <v>192.587873562041</v>
      </c>
      <c r="L19343" s="12" t="s">
        <v>1117</v>
      </c>
    </row>
    <row r="19344" customFormat="false" ht="15" hidden="false" customHeight="false" outlineLevel="0" collapsed="false">
      <c r="A19344" s="1" t="s">
        <v>1118</v>
      </c>
      <c r="B19344" s="0" t="s">
        <v>75</v>
      </c>
      <c r="F19344" s="8" t="n">
        <f aca="false">dps_27</f>
        <v>3.85</v>
      </c>
      <c r="G19344" s="8" t="n">
        <f aca="false">Sens!F19344*(1+dps_g)</f>
        <v>4.158</v>
      </c>
      <c r="H19344" s="8" t="n">
        <f aca="false">Sens!G19344*(1+dps_g)</f>
        <v>4.49064</v>
      </c>
      <c r="I19344" s="8" t="n">
        <f aca="false">Sens!H19344*(1+dps_g)</f>
        <v>4.8498912</v>
      </c>
      <c r="J19344" s="8" t="n">
        <f aca="false">Sens!I19344*(1+dps_g)</f>
        <v>5.237882496</v>
      </c>
      <c r="K19344" s="8" t="n">
        <f aca="false">Sens!J19344*(1+dps_g)</f>
        <v>5.65691309568</v>
      </c>
    </row>
    <row r="19345" customFormat="false" ht="17.15" hidden="false" customHeight="false" outlineLevel="0" collapsed="false">
      <c r="A19345" s="1" t="s">
        <v>1119</v>
      </c>
      <c r="B19345" s="0" t="s">
        <v>98</v>
      </c>
      <c r="E19345" s="6" t="n">
        <f aca="false">Q!M41</f>
        <v>26.445</v>
      </c>
      <c r="F19345" s="6" t="n">
        <f aca="false">Sens!F19344*Sens!E19354</f>
        <v>28.59395</v>
      </c>
      <c r="G19345" s="6" t="n">
        <f aca="false">Sens!G19344*Sens!F19354</f>
        <v>31.068576</v>
      </c>
      <c r="H19345" s="6" t="n">
        <f aca="false">Sens!H19344*Sens!G19354</f>
        <v>33.75614088</v>
      </c>
      <c r="I19345" s="6" t="n">
        <f aca="false">Sens!I19344*Sens!H19354</f>
        <v>36.6748772544</v>
      </c>
      <c r="J19345" s="6" t="n">
        <f aca="false">Sens!J19344*Sens!I19354</f>
        <v>39.6767653201446</v>
      </c>
      <c r="K19345" s="6" t="n">
        <f aca="false">Sens!K19344*Sens!J19354</f>
        <v>42.9376608081345</v>
      </c>
      <c r="L19345" s="1" t="s">
        <v>1120</v>
      </c>
    </row>
    <row r="19346" customFormat="false" ht="15" hidden="false" customHeight="false" outlineLevel="0" collapsed="false">
      <c r="A19346" s="1" t="s">
        <v>1121</v>
      </c>
      <c r="B19346" s="0" t="s">
        <v>98</v>
      </c>
      <c r="E19346" s="6" t="n">
        <f aca="false">Sens!E19343-Sens!E19345</f>
        <v>37.441</v>
      </c>
      <c r="F19346" s="6" t="n">
        <f aca="false">Sens!F19343-Sens!F19345</f>
        <v>-20.327853057236</v>
      </c>
      <c r="G19346" s="6" t="n">
        <f aca="false">Sens!G19343-Sens!G19345</f>
        <v>-20.9555439247644</v>
      </c>
      <c r="H19346" s="6" t="n">
        <f aca="false">Sens!H19343-Sens!H19345</f>
        <v>1.5103802437221</v>
      </c>
      <c r="I19346" s="6" t="n">
        <f aca="false">Sens!I19343-Sens!I19345</f>
        <v>58.8380524105329</v>
      </c>
      <c r="J19346" s="6" t="n">
        <f aca="false">Sens!J19343-Sens!J19345</f>
        <v>122.304594142842</v>
      </c>
      <c r="K19346" s="6" t="n">
        <f aca="false">Sens!K19343-Sens!K19345</f>
        <v>149.650212753907</v>
      </c>
    </row>
    <row r="19347" customFormat="false" ht="15" hidden="false" customHeight="false" outlineLevel="0" collapsed="false">
      <c r="A19347" s="1" t="s">
        <v>1122</v>
      </c>
      <c r="B19347" s="0" t="s">
        <v>98</v>
      </c>
      <c r="F19347" s="6" t="n">
        <f aca="false">debt_mat_27</f>
        <v>9.25</v>
      </c>
      <c r="G19347" s="6" t="n">
        <f aca="false">debt_mat_28</f>
        <v>0</v>
      </c>
      <c r="H19347" s="6" t="n">
        <f aca="false">debt_mat_29</f>
        <v>2.001</v>
      </c>
      <c r="I19347" s="6" t="n">
        <f aca="false">debt_mat_30</f>
        <v>0</v>
      </c>
      <c r="J19347" s="6" t="n">
        <f aca="false">debt_mat_31</f>
        <v>0.5</v>
      </c>
      <c r="K19347" s="6" t="n">
        <f aca="false">debt_mat_32</f>
        <v>0</v>
      </c>
    </row>
    <row r="19348" customFormat="false" ht="15" hidden="false" customHeight="false" outlineLevel="0" collapsed="false">
      <c r="A19348" s="1" t="s">
        <v>1123</v>
      </c>
      <c r="B19348" s="0" t="s">
        <v>98</v>
      </c>
      <c r="E19348" s="6" t="n">
        <f aca="false">Q!M40</f>
        <v>22.271</v>
      </c>
      <c r="F19348" s="6" t="n">
        <f aca="false">MAX(0,MIN(bb_target,Sens!E19350+Sens!F19346-Sens!F19347-min_cash))</f>
        <v>0</v>
      </c>
      <c r="G19348" s="6" t="n">
        <f aca="false">MAX(0,MIN(bb_target,Sens!F19350+Sens!G19346-Sens!G19347-min_cash))</f>
        <v>0</v>
      </c>
      <c r="H19348" s="6" t="n">
        <f aca="false">MAX(0,MIN(bb_target,Sens!G19350+Sens!H19346-Sens!H19347-min_cash))</f>
        <v>0</v>
      </c>
      <c r="I19348" s="6" t="n">
        <f aca="false">MAX(0,MIN(bb_target,Sens!H19350+Sens!I19346-Sens!I19347-min_cash))</f>
        <v>22.271</v>
      </c>
      <c r="J19348" s="6" t="n">
        <f aca="false">MAX(0,MIN(bb_target,Sens!I19350+Sens!J19346-Sens!J19347-min_cash))</f>
        <v>22.271</v>
      </c>
      <c r="K19348" s="6" t="n">
        <f aca="false">MAX(0,MIN(bb_target,Sens!J19350+Sens!K19346-Sens!K19347-min_cash))</f>
        <v>22.271</v>
      </c>
    </row>
    <row r="19349" customFormat="false" ht="15" hidden="false" customHeight="false" outlineLevel="0" collapsed="false">
      <c r="A19349" s="1" t="s">
        <v>1124</v>
      </c>
      <c r="B19349" s="0" t="s">
        <v>98</v>
      </c>
      <c r="F19349" s="6" t="n">
        <f aca="false">MAX(0,min_cash-(Sens!E19350+Sens!F19346-Sens!F19347-Sens!F19348))</f>
        <v>2.73485305723598</v>
      </c>
      <c r="G19349" s="6" t="n">
        <f aca="false">MAX(0,min_cash-(Sens!F19350+Sens!G19346-Sens!G19347-Sens!G19348))</f>
        <v>20.9555439247644</v>
      </c>
      <c r="H19349" s="6" t="n">
        <f aca="false">MAX(0,min_cash-(Sens!G19350+Sens!H19346-Sens!H19347-Sens!H19348))</f>
        <v>0.490619756277901</v>
      </c>
      <c r="I19349" s="6" t="n">
        <f aca="false">MAX(0,min_cash-(Sens!H19350+Sens!I19346-Sens!I19347-Sens!I19348))</f>
        <v>0</v>
      </c>
      <c r="J19349" s="6" t="n">
        <f aca="false">MAX(0,min_cash-(Sens!I19350+Sens!J19346-Sens!J19347-Sens!J19348))</f>
        <v>0</v>
      </c>
      <c r="K19349" s="6" t="n">
        <f aca="false">MAX(0,min_cash-(Sens!J19350+Sens!K19346-Sens!K19347-Sens!K19348))</f>
        <v>0</v>
      </c>
    </row>
    <row r="19350" customFormat="false" ht="15" hidden="false" customHeight="false" outlineLevel="0" collapsed="false">
      <c r="A19350" s="1" t="s">
        <v>1125</v>
      </c>
      <c r="B19350" s="0" t="s">
        <v>98</v>
      </c>
      <c r="E19350" s="6" t="n">
        <f aca="false">cash_open</f>
        <v>76.843</v>
      </c>
      <c r="F19350" s="6" t="n">
        <f aca="false">Sens!E19350+Sens!F19346-Sens!F19347-Sens!F19348+Sens!F19349</f>
        <v>50</v>
      </c>
      <c r="G19350" s="6" t="n">
        <f aca="false">Sens!F19350+Sens!G19346-Sens!G19347-Sens!G19348+Sens!G19349</f>
        <v>50</v>
      </c>
      <c r="H19350" s="6" t="n">
        <f aca="false">Sens!G19350+Sens!H19346-Sens!H19347-Sens!H19348+Sens!H19349</f>
        <v>50</v>
      </c>
      <c r="I19350" s="6" t="n">
        <f aca="false">Sens!H19350+Sens!I19346-Sens!I19347-Sens!I19348+Sens!I19349</f>
        <v>86.5670524105329</v>
      </c>
      <c r="J19350" s="6" t="n">
        <f aca="false">Sens!I19350+Sens!J19346-Sens!J19347-Sens!J19348+Sens!J19349</f>
        <v>186.100646553375</v>
      </c>
      <c r="K19350" s="6" t="n">
        <f aca="false">Sens!J19350+Sens!K19346-Sens!K19347-Sens!K19348+Sens!K19349</f>
        <v>313.479859307282</v>
      </c>
    </row>
    <row r="19351" customFormat="false" ht="15" hidden="false" customHeight="false" outlineLevel="0" collapsed="false">
      <c r="A19351" s="1" t="s">
        <v>1126</v>
      </c>
      <c r="B19351" s="0" t="s">
        <v>98</v>
      </c>
      <c r="E19351" s="6" t="n">
        <f aca="false">debt_face</f>
        <v>46.136</v>
      </c>
      <c r="F19351" s="6" t="n">
        <f aca="false">Sens!E19351-Sens!F19347+Sens!F19349</f>
        <v>39.620853057236</v>
      </c>
      <c r="G19351" s="6" t="n">
        <f aca="false">Sens!F19351-Sens!G19347+Sens!G19349</f>
        <v>60.5763969820004</v>
      </c>
      <c r="H19351" s="6" t="n">
        <f aca="false">Sens!G19351-Sens!H19347+Sens!H19349</f>
        <v>59.0660167382783</v>
      </c>
      <c r="I19351" s="6" t="n">
        <f aca="false">Sens!H19351-Sens!I19347+Sens!I19349</f>
        <v>59.0660167382783</v>
      </c>
      <c r="J19351" s="6" t="n">
        <f aca="false">Sens!I19351-Sens!J19347+Sens!J19349</f>
        <v>58.5660167382783</v>
      </c>
      <c r="K19351" s="6" t="n">
        <f aca="false">Sens!J19351-Sens!K19347+Sens!K19349</f>
        <v>58.5660167382783</v>
      </c>
    </row>
    <row r="19352" customFormat="false" ht="15" hidden="false" customHeight="false" outlineLevel="0" collapsed="false">
      <c r="A19352" s="1" t="s">
        <v>1127</v>
      </c>
      <c r="B19352" s="0" t="s">
        <v>98</v>
      </c>
      <c r="E19352" s="6" t="n">
        <f aca="false">Sens!E19350-Sens!E19351</f>
        <v>30.707</v>
      </c>
      <c r="F19352" s="6" t="n">
        <f aca="false">Sens!F19350-Sens!F19351</f>
        <v>10.379146942764</v>
      </c>
      <c r="G19352" s="6" t="n">
        <f aca="false">Sens!G19350-Sens!G19351</f>
        <v>-10.5763969820004</v>
      </c>
      <c r="H19352" s="6" t="n">
        <f aca="false">Sens!H19350-Sens!H19351</f>
        <v>-9.06601673827834</v>
      </c>
      <c r="I19352" s="6" t="n">
        <f aca="false">Sens!I19350-Sens!I19351</f>
        <v>27.5010356722546</v>
      </c>
      <c r="J19352" s="6" t="n">
        <f aca="false">Sens!J19350-Sens!J19351</f>
        <v>127.534629815096</v>
      </c>
      <c r="K19352" s="6" t="n">
        <f aca="false">Sens!K19350-Sens!K19351</f>
        <v>254.913842569003</v>
      </c>
    </row>
    <row r="19353" customFormat="false" ht="15" hidden="false" customHeight="false" outlineLevel="0" collapsed="false">
      <c r="A19353" s="1" t="s">
        <v>1128</v>
      </c>
      <c r="B19353" s="0" t="s">
        <v>75</v>
      </c>
      <c r="F19353" s="30" t="n">
        <f aca="false">px*(1+bb_g)^(Sens!F19211-base_fy-mid_yr)</f>
        <v>551.84177959629</v>
      </c>
      <c r="G19353" s="30" t="n">
        <f aca="false">px*(1+bb_g)^(Sens!G19211-base_fy-mid_yr)</f>
        <v>595.989121963993</v>
      </c>
      <c r="H19353" s="30" t="n">
        <f aca="false">px*(1+bb_g)^(Sens!H19211-base_fy-mid_yr)</f>
        <v>643.668251721112</v>
      </c>
      <c r="I19353" s="30" t="n">
        <f aca="false">px*(1+bb_g)^(Sens!I19211-base_fy-mid_yr)</f>
        <v>695.161711858801</v>
      </c>
      <c r="J19353" s="30" t="n">
        <f aca="false">px*(1+bb_g)^(Sens!J19211-base_fy-mid_yr)</f>
        <v>750.774648807506</v>
      </c>
      <c r="K19353" s="30" t="n">
        <f aca="false">px*(1+bb_g)^(Sens!K19211-base_fy-mid_yr)</f>
        <v>810.836620712106</v>
      </c>
    </row>
    <row r="19354" customFormat="false" ht="15" hidden="false" customHeight="false" outlineLevel="0" collapsed="false">
      <c r="A19354" s="1" t="s">
        <v>1129</v>
      </c>
      <c r="B19354" s="1" t="s">
        <v>81</v>
      </c>
      <c r="E19354" s="15" t="n">
        <f aca="false">sh_out26</f>
        <v>7.427</v>
      </c>
      <c r="F19354" s="15" t="n">
        <f aca="false">Sens!E19354+sh_iss-Sens!F19348/Sens!F19353</f>
        <v>7.472</v>
      </c>
      <c r="G19354" s="15" t="n">
        <f aca="false">Sens!F19354+sh_iss-Sens!G19348/Sens!G19353</f>
        <v>7.517</v>
      </c>
      <c r="H19354" s="15" t="n">
        <f aca="false">Sens!G19354+sh_iss-Sens!H19348/Sens!H19353</f>
        <v>7.562</v>
      </c>
      <c r="I19354" s="15" t="n">
        <f aca="false">Sens!H19354+sh_iss-Sens!I19348/Sens!I19353</f>
        <v>7.57496285005334</v>
      </c>
      <c r="J19354" s="15" t="n">
        <f aca="false">Sens!I19354+sh_iss-Sens!J19348/Sens!J19353</f>
        <v>7.59029882232494</v>
      </c>
      <c r="K19354" s="15" t="n">
        <f aca="false">Sens!J19354+sh_iss-Sens!K19348/Sens!K19353</f>
        <v>7.60783212998384</v>
      </c>
    </row>
    <row r="19355" customFormat="false" ht="15" hidden="false" customHeight="false" outlineLevel="0" collapsed="false">
      <c r="A19355" s="1" t="s">
        <v>1130</v>
      </c>
      <c r="B19355" s="1" t="s">
        <v>81</v>
      </c>
      <c r="E19355" s="15" t="n">
        <f aca="false">sh_dil26</f>
        <v>7.453</v>
      </c>
      <c r="F19355" s="15" t="n">
        <f aca="false">(Sens!E19354+Sens!F19354)/2+dil_gap</f>
        <v>7.4735</v>
      </c>
      <c r="G19355" s="15" t="n">
        <f aca="false">(Sens!F19354+Sens!G19354)/2+dil_gap</f>
        <v>7.5185</v>
      </c>
      <c r="H19355" s="15" t="n">
        <f aca="false">(Sens!G19354+Sens!H19354)/2+dil_gap</f>
        <v>7.5635</v>
      </c>
      <c r="I19355" s="15" t="n">
        <f aca="false">(Sens!H19354+Sens!I19354)/2+dil_gap</f>
        <v>7.59248142502667</v>
      </c>
      <c r="J19355" s="15" t="n">
        <f aca="false">(Sens!I19354+Sens!J19354)/2+dil_gap</f>
        <v>7.60663083618914</v>
      </c>
      <c r="K19355" s="15" t="n">
        <f aca="false">(Sens!J19354+Sens!K19354)/2+dil_gap</f>
        <v>7.62306547615439</v>
      </c>
    </row>
    <row r="19356" customFormat="false" ht="17.15" hidden="false" customHeight="false" outlineLevel="0" collapsed="false">
      <c r="A19356" s="1" t="s">
        <v>1131</v>
      </c>
      <c r="B19356" s="0" t="s">
        <v>98</v>
      </c>
      <c r="C19356" s="6" t="n">
        <f aca="false">SUM(Sens!F19346:J19346)</f>
        <v>141.369629815096</v>
      </c>
    </row>
    <row r="19357" customFormat="false" ht="15" hidden="false" customHeight="false" outlineLevel="0" collapsed="false">
      <c r="A19357" s="26" t="s">
        <v>1096</v>
      </c>
      <c r="B19357" s="31" t="s">
        <v>98</v>
      </c>
      <c r="C19357" s="27" t="n">
        <f aca="false">Sens!$C$19356-(Sens!F19346+Sens!G19346+Sens!H19346+Sens!I19346+Sens!J19346)</f>
        <v>0</v>
      </c>
      <c r="D19357" s="31"/>
      <c r="E19357" s="31"/>
      <c r="F19357" s="31"/>
      <c r="G19357" s="31"/>
      <c r="H19357" s="31"/>
      <c r="I19357" s="31"/>
      <c r="J19357" s="31"/>
      <c r="K19357" s="31"/>
    </row>
    <row r="19358" customFormat="false" ht="17.15" hidden="false" customHeight="false" outlineLevel="0" collapsed="false">
      <c r="A19358" s="1" t="s">
        <v>1090</v>
      </c>
      <c r="B19358" s="1" t="s">
        <v>1132</v>
      </c>
      <c r="C19358" s="33" t="str">
        <f aca="false">IF(SUM(Sens!F19349:J19349)&gt;0.05,"需要舉債 "&amp;TEXT(SUM(Sens!F19349:J19349),"0.0")&amp;" 十億美元","不需舉債")&amp;"；"&amp;IF(SUM(Sens!F19348:J19348)&lt;COUNT(Sens!F19348:J19348)*bb_target-0.05,"回購較每年 "&amp;TEXT(bb_target,"0.0")&amp;" 的目標少 "&amp;TEXT(COUNT(Sens!F19348:J19348)*bb_target-SUM(Sens!F19348:J19348),"0.0")&amp;" 十億美元（"&amp;TEXT(COUNTIF(Sens!F19348:J19348,"&lt;"&amp;(bb_target-0.05)),"0")&amp;" 年減少）","回購不減")</f>
        <v>需要舉債 24.2 十億美元；回購較每年 22.3 的目標少 66.8 十億美元（3 年減少）</v>
      </c>
    </row>
    <row r="19359" customFormat="false" ht="17.15" hidden="false" customHeight="false" outlineLevel="0" collapsed="false">
      <c r="A19359" s="3" t="s">
        <v>1958</v>
      </c>
    </row>
    <row r="19360" customFormat="false" ht="15" hidden="false" customHeight="false" outlineLevel="0" collapsed="false">
      <c r="A19360" s="4" t="s">
        <v>43</v>
      </c>
      <c r="B19360" s="4" t="s">
        <v>65</v>
      </c>
      <c r="C19360" s="23" t="s">
        <v>938</v>
      </c>
      <c r="D19360" s="23" t="s">
        <v>939</v>
      </c>
      <c r="E19360" s="23" t="s">
        <v>940</v>
      </c>
      <c r="F19360" s="23" t="s">
        <v>941</v>
      </c>
      <c r="G19360" s="23" t="s">
        <v>942</v>
      </c>
      <c r="H19360" s="23" t="s">
        <v>943</v>
      </c>
      <c r="I19360" s="23" t="s">
        <v>944</v>
      </c>
      <c r="J19360" s="23" t="s">
        <v>945</v>
      </c>
      <c r="K19360" s="23" t="s">
        <v>946</v>
      </c>
      <c r="L19360" s="4" t="s">
        <v>47</v>
      </c>
    </row>
    <row r="19361" customFormat="false" ht="17.15" hidden="false" customHeight="false" outlineLevel="0" collapsed="false">
      <c r="A19361" s="1" t="s">
        <v>1212</v>
      </c>
      <c r="B19361" s="1" t="s">
        <v>279</v>
      </c>
      <c r="F19361" s="8" t="n">
        <f aca="false">(1-v_off)*mid_yr</f>
        <v>0.373972602739726</v>
      </c>
      <c r="G19361" s="8" t="n">
        <f aca="false">Sens!G19211-base_fy-mid_yr-v_off</f>
        <v>1.24794520547945</v>
      </c>
      <c r="H19361" s="8" t="n">
        <f aca="false">Sens!H19211-base_fy-mid_yr-v_off</f>
        <v>2.24794520547945</v>
      </c>
      <c r="I19361" s="8" t="n">
        <f aca="false">Sens!I19211-base_fy-mid_yr-v_off</f>
        <v>3.24794520547945</v>
      </c>
      <c r="J19361" s="8" t="n">
        <f aca="false">Sens!J19211-base_fy-mid_yr-v_off</f>
        <v>4.24794520547945</v>
      </c>
      <c r="K19361" s="8" t="n">
        <f aca="false">Sens!K19211-base_fy-mid_yr-v_off</f>
        <v>5.24794520547945</v>
      </c>
      <c r="L19361" s="12" t="s">
        <v>1213</v>
      </c>
    </row>
    <row r="19362" customFormat="false" ht="15" hidden="false" customHeight="false" outlineLevel="0" collapsed="false">
      <c r="A19362" s="1" t="s">
        <v>1214</v>
      </c>
      <c r="B19362" s="1" t="s">
        <v>279</v>
      </c>
      <c r="F19362" s="8" t="n">
        <f aca="false">Sens!F19211-base_fy-v_off</f>
        <v>0.747945205479452</v>
      </c>
      <c r="G19362" s="8" t="n">
        <f aca="false">Sens!G19211-base_fy-v_off</f>
        <v>1.74794520547945</v>
      </c>
      <c r="H19362" s="8" t="n">
        <f aca="false">Sens!H19211-base_fy-v_off</f>
        <v>2.74794520547945</v>
      </c>
      <c r="I19362" s="8" t="n">
        <f aca="false">Sens!I19211-base_fy-v_off</f>
        <v>3.74794520547945</v>
      </c>
      <c r="J19362" s="8" t="n">
        <f aca="false">Sens!J19211-base_fy-v_off</f>
        <v>4.74794520547945</v>
      </c>
      <c r="K19362" s="8" t="n">
        <f aca="false">Sens!K19211-base_fy-v_off</f>
        <v>5.74794520547945</v>
      </c>
    </row>
    <row r="19363" customFormat="false" ht="15" hidden="false" customHeight="false" outlineLevel="0" collapsed="false">
      <c r="A19363" s="1" t="s">
        <v>1215</v>
      </c>
      <c r="B19363" s="0" t="s">
        <v>229</v>
      </c>
      <c r="F19363" s="15" t="n">
        <f aca="false">1/(1+wacc)^Sens!F19361</f>
        <v>0.964022703286649</v>
      </c>
      <c r="G19363" s="15" t="n">
        <f aca="false">1/(1+wacc)^Sens!G19361</f>
        <v>0.884910302296739</v>
      </c>
      <c r="H19363" s="15" t="n">
        <f aca="false">1/(1+wacc)^Sens!H19361</f>
        <v>0.802322009770358</v>
      </c>
      <c r="I19363" s="15" t="n">
        <f aca="false">1/(1+wacc)^Sens!I19361</f>
        <v>0.727441646561469</v>
      </c>
      <c r="J19363" s="15" t="n">
        <f aca="false">1/(1+wacc)^Sens!J19361</f>
        <v>0.659549834988973</v>
      </c>
      <c r="K19363" s="15" t="n">
        <f aca="false">1/(1+wacc)^Sens!K19361</f>
        <v>0.597994336576966</v>
      </c>
    </row>
    <row r="19364" customFormat="false" ht="17.15" hidden="false" customHeight="false" outlineLevel="0" collapsed="false">
      <c r="A19364" s="1" t="s">
        <v>1216</v>
      </c>
      <c r="B19364" s="0" t="s">
        <v>98</v>
      </c>
      <c r="F19364" s="6" t="n">
        <f aca="false">Q!$I$35-Q!$I$39-Q!$I$43</f>
        <v>9.666</v>
      </c>
      <c r="L19364" s="12" t="s">
        <v>1217</v>
      </c>
    </row>
    <row r="19365" customFormat="false" ht="17.15" hidden="false" customHeight="false" outlineLevel="0" collapsed="false">
      <c r="A19365" s="1" t="s">
        <v>1218</v>
      </c>
      <c r="B19365" s="0" t="s">
        <v>98</v>
      </c>
      <c r="F19365" s="6" t="n">
        <f aca="false">Sens!F19336-Sens!F19333-Sens!F19340+Sens!F19318*(1-tax_f)*(1-v_off)-Sens!F19364</f>
        <v>-5.69868589459057</v>
      </c>
      <c r="G19365" s="6" t="n">
        <f aca="false">Sens!G19336-Sens!G19333-Sens!G19340+Sens!G19318*(1-tax_f)</f>
        <v>19.6985504169209</v>
      </c>
      <c r="H19365" s="6" t="n">
        <f aca="false">Sens!H19336-Sens!H19333-Sens!H19340+Sens!H19318*(1-tax_f)</f>
        <v>57.2298700920954</v>
      </c>
      <c r="I19365" s="6" t="n">
        <f aca="false">Sens!I19336-Sens!I19333-Sens!I19340+Sens!I19318*(1-tax_f)</f>
        <v>128.734366785305</v>
      </c>
      <c r="J19365" s="6" t="n">
        <f aca="false">Sens!J19336-Sens!J19333-Sens!J19340+Sens!J19318*(1-tax_f)</f>
        <v>202.896553647138</v>
      </c>
      <c r="K19365" s="6" t="n">
        <f aca="false">Sens!K19336-Sens!K19333-Sens!K19340+Sens!K19318*(1-tax_f)</f>
        <v>237.792935261267</v>
      </c>
      <c r="L19365" s="1" t="s">
        <v>1219</v>
      </c>
    </row>
    <row r="19366" customFormat="false" ht="15" hidden="false" customHeight="false" outlineLevel="0" collapsed="false">
      <c r="A19366" s="1" t="s">
        <v>1220</v>
      </c>
      <c r="B19366" s="0" t="s">
        <v>98</v>
      </c>
      <c r="F19366" s="6" t="n">
        <f aca="false">Sens!F19365*Sens!F19363</f>
        <v>-5.4936625812847</v>
      </c>
      <c r="G19366" s="6" t="n">
        <f aca="false">Sens!G19365*Sens!G19363</f>
        <v>17.431450204245</v>
      </c>
      <c r="H19366" s="6" t="n">
        <f aca="false">Sens!H19365*Sens!H19363</f>
        <v>45.9167843911865</v>
      </c>
      <c r="I19366" s="6" t="n">
        <f aca="false">Sens!I19365*Sens!I19363</f>
        <v>93.6467397433503</v>
      </c>
      <c r="J19366" s="6" t="n">
        <f aca="false">Sens!J19365*Sens!J19363</f>
        <v>133.820388477801</v>
      </c>
      <c r="K19366" s="6" t="n">
        <f aca="false">Sens!K19365*Sens!K19363</f>
        <v>142.19882856425</v>
      </c>
    </row>
    <row r="19367" customFormat="false" ht="17.15" hidden="false" customHeight="false" outlineLevel="0" collapsed="false">
      <c r="A19367" s="1" t="s">
        <v>1221</v>
      </c>
      <c r="B19367" s="0" t="s">
        <v>98</v>
      </c>
      <c r="C19367" s="6" t="n">
        <f aca="false">SUM(Sens!F19366:K19366)</f>
        <v>427.520528799548</v>
      </c>
    </row>
    <row r="19368" customFormat="false" ht="17.15" hidden="false" customHeight="false" outlineLevel="0" collapsed="false">
      <c r="A19368" s="1" t="s">
        <v>1222</v>
      </c>
      <c r="B19368" s="0" t="s">
        <v>98</v>
      </c>
      <c r="C19368" s="6" t="n">
        <f aca="false">Sens!K19304*(1+g_tv)*(1-tax_f)</f>
        <v>249.581444323251</v>
      </c>
    </row>
    <row r="19369" customFormat="false" ht="17.15" hidden="false" customHeight="false" outlineLevel="0" collapsed="false">
      <c r="A19369" s="1" t="s">
        <v>1223</v>
      </c>
      <c r="B19369" s="0" t="s">
        <v>98</v>
      </c>
      <c r="C19369" s="6" t="n">
        <f aca="false">Sens!$C$19368*(1-g_tv/(wacc+ronic_prem))</f>
        <v>176.843040409577</v>
      </c>
    </row>
    <row r="19370" customFormat="false" ht="17.15" hidden="false" customHeight="false" outlineLevel="0" collapsed="false">
      <c r="A19370" s="1" t="s">
        <v>1224</v>
      </c>
      <c r="B19370" s="0" t="s">
        <v>98</v>
      </c>
      <c r="C19370" s="6" t="n">
        <f aca="false">Sens!$C$19369/(wacc-g_tv)</f>
        <v>2424.61346378915</v>
      </c>
    </row>
    <row r="19371" customFormat="false" ht="15" hidden="false" customHeight="false" outlineLevel="0" collapsed="false">
      <c r="A19371" s="1" t="s">
        <v>1225</v>
      </c>
      <c r="B19371" s="0" t="s">
        <v>98</v>
      </c>
      <c r="C19371" s="6" t="n">
        <f aca="false">Sens!$C$19370/(1+wacc)^Sens!K19362</f>
        <v>1380.58868869909</v>
      </c>
    </row>
    <row r="19372" customFormat="false" ht="17.15" hidden="false" customHeight="false" outlineLevel="0" collapsed="false">
      <c r="A19372" s="0" t="s">
        <v>1226</v>
      </c>
      <c r="B19372" s="0" t="s">
        <v>98</v>
      </c>
      <c r="C19372" s="6" t="n">
        <f aca="false">Sens!$C$19367+Sens!$C$19371</f>
        <v>1808.10921749864</v>
      </c>
    </row>
    <row r="19373" customFormat="false" ht="15" hidden="false" customHeight="false" outlineLevel="0" collapsed="false">
      <c r="A19373" s="1" t="s">
        <v>1141</v>
      </c>
      <c r="B19373" s="0" t="s">
        <v>168</v>
      </c>
      <c r="C19373" s="7" t="n">
        <f aca="false">Sens!$C$19371/Sens!$C$19372</f>
        <v>0.763553813750816</v>
      </c>
    </row>
    <row r="19374" customFormat="false" ht="17.15" hidden="false" customHeight="false" outlineLevel="0" collapsed="false">
      <c r="A19374" s="1" t="s">
        <v>1227</v>
      </c>
      <c r="B19374" s="0" t="s">
        <v>98</v>
      </c>
      <c r="C19374" s="6" t="n">
        <f aca="false">Sens!$C$19372+cash_val-debt_val-fl_val+oai_v</f>
        <v>1923.96021749864</v>
      </c>
    </row>
    <row r="19375" customFormat="false" ht="17.15" hidden="false" customHeight="false" outlineLevel="0" collapsed="false">
      <c r="A19375" s="0" t="s">
        <v>1149</v>
      </c>
      <c r="B19375" s="0" t="s">
        <v>75</v>
      </c>
      <c r="C19375" s="5" t="n">
        <f aca="false">Sens!$C$19374/shd_val</f>
        <v>258.388425664603</v>
      </c>
    </row>
    <row r="19376" customFormat="false" ht="15" hidden="false" customHeight="false" outlineLevel="0" collapsed="false">
      <c r="A19376" s="1" t="s">
        <v>1228</v>
      </c>
      <c r="B19376" s="0" t="s">
        <v>75</v>
      </c>
      <c r="C19376" s="8" t="n">
        <f aca="false">div_rem27+Sens!G19344*roll_div_q/q_per_yr</f>
        <v>3.9795</v>
      </c>
    </row>
    <row r="19377" customFormat="false" ht="17.15" hidden="false" customHeight="false" outlineLevel="0" collapsed="false">
      <c r="A19377" s="0" t="s">
        <v>1229</v>
      </c>
      <c r="B19377" s="0" t="s">
        <v>75</v>
      </c>
      <c r="C19377" s="5" t="n">
        <f aca="false">Sens!$C$19375*(1+wacc)^t_roll-Sens!$C$19376</f>
        <v>283.233655976437</v>
      </c>
    </row>
    <row r="19378" customFormat="false" ht="17.15" hidden="false" customHeight="false" outlineLevel="0" collapsed="false">
      <c r="A19378" s="1" t="s">
        <v>1230</v>
      </c>
      <c r="B19378" s="0" t="s">
        <v>168</v>
      </c>
      <c r="F19378" s="7" t="n">
        <f aca="false">Sens!F19330/(Sens!F19275-Sens!F19230)</f>
        <v>0.0686907243452664</v>
      </c>
      <c r="G19378" s="7" t="n">
        <f aca="false">Sens!G19330/(Sens!G19275-Sens!G19230)</f>
        <v>0.0663223782930694</v>
      </c>
      <c r="H19378" s="7" t="n">
        <f aca="false">Sens!H19330/(Sens!H19275-Sens!H19230)</f>
        <v>0.0651418869516617</v>
      </c>
      <c r="I19378" s="7" t="n">
        <f aca="false">Sens!I19330/(Sens!I19275-Sens!I19230)</f>
        <v>0.0650111971988879</v>
      </c>
      <c r="J19378" s="7" t="n">
        <f aca="false">Sens!J19330/(Sens!J19275-Sens!J19230)</f>
        <v>0.0657209333590404</v>
      </c>
      <c r="K19378" s="7" t="n">
        <f aca="false">Sens!K19330/(Sens!K19275-Sens!K19230)</f>
        <v>0.0670384740232344</v>
      </c>
    </row>
    <row r="19379" customFormat="false" ht="17.15" hidden="false" customHeight="false" outlineLevel="0" collapsed="false">
      <c r="A19379" s="0" t="s">
        <v>1231</v>
      </c>
      <c r="B19379" s="0" t="s">
        <v>98</v>
      </c>
      <c r="F19379" s="6" t="n">
        <f aca="false">Sens!F19260*(al_m365+Sens!F19378+sbc_r)</f>
        <v>82.9200875199688</v>
      </c>
      <c r="G19379" s="6" t="n">
        <f aca="false">Sens!G19260*(al_m365+Sens!G19378+sbc_r)</f>
        <v>93.308013404251</v>
      </c>
      <c r="H19379" s="6" t="n">
        <f aca="false">Sens!H19260*(al_m365+Sens!H19378+sbc_r)</f>
        <v>103.856870854596</v>
      </c>
      <c r="I19379" s="6" t="n">
        <f aca="false">Sens!I19260*(al_m365+Sens!I19378+sbc_r)</f>
        <v>113.89010731465</v>
      </c>
      <c r="J19379" s="6" t="n">
        <f aca="false">Sens!J19260*(al_m365+Sens!J19378+sbc_r)</f>
        <v>123.218419133669</v>
      </c>
      <c r="K19379" s="6" t="n">
        <f aca="false">Sens!K19260*(al_m365+Sens!K19378+sbc_r)</f>
        <v>132.148884194278</v>
      </c>
      <c r="L19379" s="12" t="s">
        <v>1232</v>
      </c>
    </row>
    <row r="19380" customFormat="false" ht="17.15" hidden="false" customHeight="false" outlineLevel="0" collapsed="false">
      <c r="A19380" s="0" t="s">
        <v>1233</v>
      </c>
      <c r="B19380" s="0" t="s">
        <v>98</v>
      </c>
      <c r="F19380" s="6" t="n">
        <f aca="false">Sens!F19261*(al_lic+Sens!F19378+sbc_r)</f>
        <v>32.8604971074702</v>
      </c>
      <c r="G19380" s="6" t="n">
        <f aca="false">Sens!G19261*(al_lic+Sens!G19378+sbc_r)</f>
        <v>34.1571926396192</v>
      </c>
      <c r="H19380" s="6" t="n">
        <f aca="false">Sens!H19261*(al_lic+Sens!H19378+sbc_r)</f>
        <v>35.3637818250704</v>
      </c>
      <c r="I19380" s="6" t="n">
        <f aca="false">Sens!I19261*(al_lic+Sens!I19378+sbc_r)</f>
        <v>36.4605565454537</v>
      </c>
      <c r="J19380" s="6" t="n">
        <f aca="false">Sens!J19261*(al_lic+Sens!J19378+sbc_r)</f>
        <v>37.4245741918408</v>
      </c>
      <c r="K19380" s="6" t="n">
        <f aca="false">Sens!K19261*(al_lic+Sens!K19378+sbc_r)</f>
        <v>38.2320204978715</v>
      </c>
    </row>
    <row r="19381" customFormat="false" ht="17.15" hidden="false" customHeight="false" outlineLevel="0" collapsed="false">
      <c r="A19381" s="0" t="s">
        <v>1234</v>
      </c>
      <c r="B19381" s="0" t="s">
        <v>98</v>
      </c>
      <c r="F19381" s="6" t="n">
        <f aca="false">Sens!F19263*(al_ind+Sens!F19378+sbc_r)</f>
        <v>9.06200497346202</v>
      </c>
      <c r="G19381" s="6" t="n">
        <f aca="false">Sens!G19263*(al_ind+Sens!G19378+sbc_r)</f>
        <v>9.8481201857709</v>
      </c>
      <c r="H19381" s="6" t="n">
        <f aca="false">Sens!H19263*(al_ind+Sens!H19378+sbc_r)</f>
        <v>10.6769714343205</v>
      </c>
      <c r="I19381" s="6" t="n">
        <f aca="false">Sens!I19263*(al_ind+Sens!I19378+sbc_r)</f>
        <v>11.5440568925767</v>
      </c>
      <c r="J19381" s="6" t="n">
        <f aca="false">Sens!J19263*(al_ind+Sens!J19378+sbc_r)</f>
        <v>12.4407810825127</v>
      </c>
      <c r="K19381" s="6" t="n">
        <f aca="false">Sens!K19263*(al_ind+Sens!K19378+sbc_r)</f>
        <v>13.3551447344458</v>
      </c>
    </row>
    <row r="19382" customFormat="false" ht="17.15" hidden="false" customHeight="false" outlineLevel="0" collapsed="false">
      <c r="A19382" s="0" t="s">
        <v>1235</v>
      </c>
      <c r="B19382" s="0" t="s">
        <v>98</v>
      </c>
      <c r="F19382" s="6" t="n">
        <f aca="false">Sens!F19265*(al_fro+Sens!F19378+sbc_r)</f>
        <v>3.55465239431121</v>
      </c>
      <c r="G19382" s="6" t="n">
        <f aca="false">Sens!G19265*(al_fro+Sens!G19378+sbc_r)</f>
        <v>3.76817941150657</v>
      </c>
      <c r="H19382" s="6" t="n">
        <f aca="false">Sens!H19265*(al_fro+Sens!H19378+sbc_r)</f>
        <v>4.00970388701703</v>
      </c>
      <c r="I19382" s="6" t="n">
        <f aca="false">Sens!I19265*(al_fro+Sens!I19378+sbc_r)</f>
        <v>4.28155190586466</v>
      </c>
      <c r="J19382" s="6" t="n">
        <f aca="false">Sens!J19265*(al_fro+Sens!J19378+sbc_r)</f>
        <v>4.58536131766244</v>
      </c>
      <c r="K19382" s="6" t="n">
        <f aca="false">Sens!K19265*(al_fro+Sens!K19378+sbc_r)</f>
        <v>4.92237293229039</v>
      </c>
    </row>
    <row r="19383" customFormat="false" ht="17.15" hidden="false" customHeight="false" outlineLevel="0" collapsed="false">
      <c r="A19383" s="0" t="s">
        <v>1236</v>
      </c>
      <c r="B19383" s="0" t="s">
        <v>98</v>
      </c>
      <c r="F19383" s="6" t="n">
        <f aca="false">Sens!F19268*(al_srch+Sens!F19378+sbc_r)</f>
        <v>11.1910513411913</v>
      </c>
      <c r="G19383" s="6" t="n">
        <f aca="false">Sens!G19268*(al_srch+Sens!G19378+sbc_r)</f>
        <v>12.2766099616496</v>
      </c>
      <c r="H19383" s="6" t="n">
        <f aca="false">Sens!H19268*(al_srch+Sens!H19378+sbc_r)</f>
        <v>13.4045396336146</v>
      </c>
      <c r="I19383" s="6" t="n">
        <f aca="false">Sens!I19268*(al_srch+Sens!I19378+sbc_r)</f>
        <v>14.5622382008307</v>
      </c>
      <c r="J19383" s="6" t="n">
        <f aca="false">Sens!J19268*(al_srch+Sens!J19378+sbc_r)</f>
        <v>15.7310251080546</v>
      </c>
      <c r="K19383" s="6" t="n">
        <f aca="false">Sens!K19268*(al_srch+Sens!K19378+sbc_r)</f>
        <v>16.887212767901</v>
      </c>
    </row>
    <row r="19384" customFormat="false" ht="17.15" hidden="false" customHeight="false" outlineLevel="0" collapsed="false">
      <c r="A19384" s="0" t="s">
        <v>1237</v>
      </c>
      <c r="B19384" s="0" t="s">
        <v>98</v>
      </c>
      <c r="F19384" s="6" t="n">
        <f aca="false">Sens!F19236-Sens!F19237+Sens!F19318</f>
        <v>39.6010495466466</v>
      </c>
      <c r="G19384" s="6" t="n">
        <f aca="false">Sens!G19236-Sens!G19237+Sens!G19318</f>
        <v>70.5582907149851</v>
      </c>
      <c r="H19384" s="6" t="n">
        <f aca="false">Sens!H19236-Sens!H19237+Sens!H19318</f>
        <v>98.4703811638103</v>
      </c>
      <c r="I19384" s="6" t="n">
        <f aca="false">Sens!I19236-Sens!I19237+Sens!I19318</f>
        <v>130.120375091479</v>
      </c>
      <c r="J19384" s="6" t="n">
        <f aca="false">Sens!J19236-Sens!J19237+Sens!J19318</f>
        <v>152.61058083016</v>
      </c>
      <c r="K19384" s="6" t="n">
        <f aca="false">Sens!K19236-Sens!K19237+Sens!K19318</f>
        <v>167.187894710032</v>
      </c>
    </row>
    <row r="19385" customFormat="false" ht="17.15" hidden="false" customHeight="false" outlineLevel="0" collapsed="false">
      <c r="A19385" s="0" t="s">
        <v>1238</v>
      </c>
      <c r="B19385" s="0" t="s">
        <v>98</v>
      </c>
      <c r="F19385" s="6" t="n">
        <f aca="false">Sens!F19297+Sens!F19318+Sens!F19248+Sens!F19378*(Sens!F19267-Sens!F19230)+sbc_r*Sens!F19267</f>
        <v>235.301261626424</v>
      </c>
      <c r="G19385" s="6" t="n">
        <f aca="false">Sens!G19297+Sens!G19318+Sens!G19248+Sens!G19378*(Sens!G19267-Sens!G19230)+sbc_r*Sens!G19267</f>
        <v>286.537436929525</v>
      </c>
      <c r="H19385" s="6" t="n">
        <f aca="false">Sens!H19297+Sens!H19318+Sens!H19248+Sens!H19378*(Sens!H19267-Sens!H19230)+sbc_r*Sens!H19267</f>
        <v>339.84885907366</v>
      </c>
      <c r="I19385" s="6" t="n">
        <f aca="false">Sens!I19297+Sens!I19318+Sens!I19248+Sens!I19378*(Sens!I19267-Sens!I19230)+sbc_r*Sens!I19267</f>
        <v>396.284238738095</v>
      </c>
      <c r="J19385" s="6" t="n">
        <f aca="false">Sens!J19297+Sens!J19318+Sens!J19248+Sens!J19378*(Sens!J19267-Sens!J19230)+sbc_r*Sens!J19267</f>
        <v>441.640222420933</v>
      </c>
      <c r="K19385" s="6" t="n">
        <f aca="false">Sens!K19297+Sens!K19318+Sens!K19248+Sens!K19378*(Sens!K19267-Sens!K19230)+sbc_r*Sens!K19267</f>
        <v>476.752115520048</v>
      </c>
    </row>
    <row r="19386" customFormat="false" ht="17.15" hidden="false" customHeight="false" outlineLevel="0" collapsed="false">
      <c r="A19386" s="0" t="s">
        <v>1239</v>
      </c>
      <c r="B19386" s="0" t="s">
        <v>98</v>
      </c>
      <c r="F19386" s="6" t="n">
        <f aca="false">Sens!F19385-Sens!F19379-Sens!F19380-Sens!F19381-Sens!F19382-Sens!F19384</f>
        <v>67.3029700845652</v>
      </c>
      <c r="G19386" s="6" t="n">
        <f aca="false">Sens!G19385-Sens!G19379-Sens!G19380-Sens!G19381-Sens!G19382-Sens!G19384</f>
        <v>74.8976405733926</v>
      </c>
      <c r="H19386" s="6" t="n">
        <f aca="false">Sens!H19385-Sens!H19379-Sens!H19380-Sens!H19381-Sens!H19382-Sens!H19384</f>
        <v>87.4711499088458</v>
      </c>
      <c r="I19386" s="6" t="n">
        <f aca="false">Sens!I19385-Sens!I19379-Sens!I19380-Sens!I19381-Sens!I19382-Sens!I19384</f>
        <v>99.9875909880707</v>
      </c>
      <c r="J19386" s="6" t="n">
        <f aca="false">Sens!J19385-Sens!J19379-Sens!J19380-Sens!J19381-Sens!J19382-Sens!J19384</f>
        <v>111.360505865088</v>
      </c>
      <c r="K19386" s="6" t="n">
        <f aca="false">Sens!K19385-Sens!K19379-Sens!K19380-Sens!K19381-Sens!K19382-Sens!K19384</f>
        <v>120.90579845113</v>
      </c>
    </row>
    <row r="19387" customFormat="false" ht="17.15" hidden="false" customHeight="false" outlineLevel="0" collapsed="false">
      <c r="A19387" s="0" t="s">
        <v>1240</v>
      </c>
      <c r="B19387" s="0" t="s">
        <v>98</v>
      </c>
      <c r="F19387" s="6" t="n">
        <f aca="false">Sens!F19299+Sens!F19378*Sens!F19274+sbc_r*Sens!F19274</f>
        <v>26.6382121888707</v>
      </c>
      <c r="G19387" s="6" t="n">
        <f aca="false">Sens!G19299+Sens!G19378*Sens!G19274+sbc_r*Sens!G19274</f>
        <v>26.5044961702931</v>
      </c>
      <c r="H19387" s="6" t="n">
        <f aca="false">Sens!H19299+Sens!H19378*Sens!H19274+sbc_r*Sens!H19274</f>
        <v>27.3984882223102</v>
      </c>
      <c r="I19387" s="6" t="n">
        <f aca="false">Sens!I19299+Sens!I19378*Sens!I19274+sbc_r*Sens!I19274</f>
        <v>28.5178162210517</v>
      </c>
      <c r="J19387" s="6" t="n">
        <f aca="false">Sens!J19299+Sens!J19378*Sens!J19274+sbc_r*Sens!J19274</f>
        <v>29.8313748601673</v>
      </c>
      <c r="K19387" s="6" t="n">
        <f aca="false">Sens!K19299+Sens!K19378*Sens!K19274+sbc_r*Sens!K19274</f>
        <v>31.3101233737396</v>
      </c>
    </row>
    <row r="19388" customFormat="false" ht="17.15" hidden="false" customHeight="false" outlineLevel="0" collapsed="false">
      <c r="A19388" s="0" t="s">
        <v>1241</v>
      </c>
      <c r="B19388" s="0" t="s">
        <v>98</v>
      </c>
      <c r="F19388" s="6" t="n">
        <f aca="false">(Sens!F19387-Sens!F19383)*Sens!F19270/(Sens!F19270+Sens!F19272)</f>
        <v>8.72433274879832</v>
      </c>
      <c r="G19388" s="6" t="n">
        <f aca="false">(Sens!G19387-Sens!G19383)*Sens!G19270/(Sens!G19270+Sens!G19272)</f>
        <v>7.89760016777099</v>
      </c>
      <c r="H19388" s="6" t="n">
        <f aca="false">(Sens!H19387-Sens!H19383)*Sens!H19270/(Sens!H19270+Sens!H19272)</f>
        <v>7.66655558327331</v>
      </c>
      <c r="I19388" s="6" t="n">
        <f aca="false">(Sens!I19387-Sens!I19383)*Sens!I19270/(Sens!I19270+Sens!I19272)</f>
        <v>7.57880065265685</v>
      </c>
      <c r="J19388" s="6" t="n">
        <f aca="false">(Sens!J19387-Sens!J19383)*Sens!J19270/(Sens!J19270+Sens!J19272)</f>
        <v>7.62401229884207</v>
      </c>
      <c r="K19388" s="6" t="n">
        <f aca="false">(Sens!K19387-Sens!K19383)*Sens!K19270/(Sens!K19270+Sens!K19272)</f>
        <v>7.79841988157335</v>
      </c>
    </row>
    <row r="19389" customFormat="false" ht="17.15" hidden="false" customHeight="false" outlineLevel="0" collapsed="false">
      <c r="A19389" s="0" t="s">
        <v>1242</v>
      </c>
      <c r="B19389" s="0" t="s">
        <v>98</v>
      </c>
      <c r="F19389" s="6" t="n">
        <f aca="false">Sens!F19387-Sens!F19383-Sens!F19388</f>
        <v>6.72282809888111</v>
      </c>
      <c r="G19389" s="6" t="n">
        <f aca="false">Sens!G19387-Sens!G19383-Sens!G19388</f>
        <v>6.33028604087248</v>
      </c>
      <c r="H19389" s="6" t="n">
        <f aca="false">Sens!H19387-Sens!H19383-Sens!H19388</f>
        <v>6.32739300542237</v>
      </c>
      <c r="I19389" s="6" t="n">
        <f aca="false">Sens!I19387-Sens!I19383-Sens!I19388</f>
        <v>6.3767773675642</v>
      </c>
      <c r="J19389" s="6" t="n">
        <f aca="false">Sens!J19387-Sens!J19383-Sens!J19388</f>
        <v>6.47633745327057</v>
      </c>
      <c r="K19389" s="6" t="n">
        <f aca="false">Sens!K19387-Sens!K19383-Sens!K19388</f>
        <v>6.62449072426523</v>
      </c>
    </row>
    <row r="19390" customFormat="false" ht="17.15" hidden="false" customHeight="false" outlineLevel="0" collapsed="false">
      <c r="A19390" s="0" t="s">
        <v>1243</v>
      </c>
      <c r="B19390" s="0" t="s">
        <v>98</v>
      </c>
      <c r="F19390" s="6" t="n">
        <f aca="false">Sens!F19384-tax_f*(Sens!F19384-Sens!F19248)-Sens!F19245</f>
        <v>-129.865242865129</v>
      </c>
      <c r="G19390" s="6" t="n">
        <f aca="false">Sens!G19384-tax_f*(Sens!G19384-Sens!G19248)-Sens!G19245</f>
        <v>-123.502426270924</v>
      </c>
      <c r="H19390" s="6" t="n">
        <f aca="false">Sens!H19384-tax_f*(Sens!H19384-Sens!H19248)-Sens!H19245</f>
        <v>-100.187854669877</v>
      </c>
      <c r="I19390" s="6" t="n">
        <f aca="false">Sens!I19384-tax_f*(Sens!I19384-Sens!I19248)-Sens!I19245</f>
        <v>-42.7659865600768</v>
      </c>
      <c r="J19390" s="6" t="n">
        <f aca="false">Sens!J19384-tax_f*(Sens!J19384-Sens!J19248)-Sens!J19245</f>
        <v>17.9106854959203</v>
      </c>
      <c r="K19390" s="6" t="n">
        <f aca="false">Sens!K19384-tax_f*(Sens!K19384-Sens!K19248)-Sens!K19245</f>
        <v>40.1340214073948</v>
      </c>
    </row>
    <row r="19391" customFormat="false" ht="17.15" hidden="false" customHeight="false" outlineLevel="0" collapsed="false">
      <c r="A19391" s="0" t="s">
        <v>1244</v>
      </c>
      <c r="B19391" s="0" t="s">
        <v>98</v>
      </c>
      <c r="G19391" s="6" t="n">
        <f aca="false">Sens!G19390/(1+wacc)^(Sens!G19361-Sens!F19362)</f>
        <v>-117.598076188456</v>
      </c>
      <c r="H19391" s="6" t="n">
        <f aca="false">Sens!H19390/(1+wacc)^(Sens!H19361-Sens!F19362)</f>
        <v>-86.4946527589393</v>
      </c>
      <c r="I19391" s="6" t="n">
        <f aca="false">Sens!I19390/(1+wacc)^(Sens!I19361-Sens!F19362)</f>
        <v>-33.4751192214701</v>
      </c>
      <c r="J19391" s="6" t="n">
        <f aca="false">Sens!J19390/(1+wacc)^(Sens!J19361-Sens!F19362)</f>
        <v>12.7111633586978</v>
      </c>
      <c r="K19391" s="6" t="n">
        <f aca="false">Sens!K19390/(1+wacc)^(Sens!K19361-Sens!F19362)</f>
        <v>25.8246964319154</v>
      </c>
      <c r="L19391" s="1" t="s">
        <v>1245</v>
      </c>
    </row>
    <row r="19392" customFormat="false" ht="17.15" hidden="false" customHeight="false" outlineLevel="0" collapsed="false">
      <c r="A19392" s="0" t="s">
        <v>1246</v>
      </c>
      <c r="B19392" s="0" t="s">
        <v>98</v>
      </c>
      <c r="C19392" s="6" t="n">
        <f aca="false">(Sens!K19384-Sens!K19248)*(1-tax_f)*(1+g_tv)*(1-g_tv/(wacc+ronic_prem))/(wacc-g_tv)/(1+wacc)^(Sens!K19362-Sens!F19362)</f>
        <v>111.983943351095</v>
      </c>
    </row>
    <row r="19393" customFormat="false" ht="17.15" hidden="false" customHeight="false" outlineLevel="0" collapsed="false">
      <c r="A19393" s="1" t="s">
        <v>1247</v>
      </c>
      <c r="B19393" s="0" t="s">
        <v>98</v>
      </c>
      <c r="C19393" s="6" t="n">
        <f aca="false">(SUM(Sens!G19391:K19391)+Sens!$C$19392)*(1+wacc)^(t_roll-Sens!F19362)</f>
        <v>-89.9217642463317</v>
      </c>
      <c r="L19393" s="12" t="s">
        <v>1248</v>
      </c>
    </row>
    <row r="19394" customFormat="false" ht="17.15" hidden="false" customHeight="false" outlineLevel="0" collapsed="false">
      <c r="A19394" s="1" t="s">
        <v>1249</v>
      </c>
      <c r="B19394" s="0" t="s">
        <v>98</v>
      </c>
      <c r="C19394" s="6" t="n">
        <f aca="false">(w_ntm28*Sens!G19236+(1-w_ntm28)*Sens!H19236)*m_ai</f>
        <v>350.052419038202</v>
      </c>
    </row>
    <row r="19395" customFormat="false" ht="17.15" hidden="false" customHeight="false" outlineLevel="0" collapsed="false">
      <c r="A19395" s="1" t="s">
        <v>1250</v>
      </c>
      <c r="B19395" s="0" t="s">
        <v>98</v>
      </c>
      <c r="C19395" s="6" t="n">
        <f aca="false">(w_ntm28*Sens!G19386+(1-w_ntm28)*Sens!H19386)*m_cloud</f>
        <v>1092.21390746926</v>
      </c>
    </row>
    <row r="19396" customFormat="false" ht="17.15" hidden="false" customHeight="false" outlineLevel="0" collapsed="false">
      <c r="A19396" s="1" t="s">
        <v>1251</v>
      </c>
      <c r="B19396" s="0" t="s">
        <v>98</v>
      </c>
      <c r="C19396" s="6" t="n">
        <f aca="false">(w_ntm28*Sens!G19379+(1-w_ntm28)*Sens!H19379)*m_sw</f>
        <v>1045.18221395946</v>
      </c>
    </row>
    <row r="19397" customFormat="false" ht="17.15" hidden="false" customHeight="false" outlineLevel="0" collapsed="false">
      <c r="A19397" s="1" t="s">
        <v>1252</v>
      </c>
      <c r="B19397" s="0" t="s">
        <v>98</v>
      </c>
      <c r="C19397" s="6" t="n">
        <f aca="false">(w_ntm28*Sens!G19380+(1-w_ntm28)*Sens!H19380)*m_sw</f>
        <v>373.181898547188</v>
      </c>
    </row>
    <row r="19398" customFormat="false" ht="17.15" hidden="false" customHeight="false" outlineLevel="0" collapsed="false">
      <c r="A19398" s="1" t="s">
        <v>1253</v>
      </c>
      <c r="B19398" s="0" t="s">
        <v>98</v>
      </c>
      <c r="C19398" s="6" t="n">
        <f aca="false">(w_ntm28*Sens!G19381+(1-w_ntm28)*Sens!H19381)*m_sw</f>
        <v>109.302687645012</v>
      </c>
    </row>
    <row r="19399" customFormat="false" ht="17.15" hidden="false" customHeight="false" outlineLevel="0" collapsed="false">
      <c r="A19399" s="1" t="s">
        <v>1254</v>
      </c>
      <c r="B19399" s="0" t="s">
        <v>98</v>
      </c>
      <c r="C19399" s="6" t="n">
        <f aca="false">(w_ntm28*Sens!G19382+(1-w_ntm28)*Sens!H19382)*m_sw</f>
        <v>41.5539149600561</v>
      </c>
    </row>
    <row r="19400" customFormat="false" ht="17.15" hidden="false" customHeight="false" outlineLevel="0" collapsed="false">
      <c r="A19400" s="1" t="s">
        <v>1255</v>
      </c>
      <c r="B19400" s="0" t="s">
        <v>98</v>
      </c>
      <c r="C19400" s="6" t="n">
        <f aca="false">(w_ntm28*Sens!G19383+(1-w_ntm28)*Sens!H19383)*m_ads</f>
        <v>115.21814337362</v>
      </c>
    </row>
    <row r="19401" customFormat="false" ht="17.15" hidden="false" customHeight="false" outlineLevel="0" collapsed="false">
      <c r="A19401" s="1" t="s">
        <v>1256</v>
      </c>
      <c r="B19401" s="0" t="s">
        <v>98</v>
      </c>
      <c r="C19401" s="6" t="n">
        <f aca="false">(w_ntm28*Sens!G19388+(1-w_ntm28)*Sens!H19388)*m_game</f>
        <v>98.7873170442498</v>
      </c>
    </row>
    <row r="19402" customFormat="false" ht="17.15" hidden="false" customHeight="false" outlineLevel="0" collapsed="false">
      <c r="A19402" s="1" t="s">
        <v>1257</v>
      </c>
      <c r="B19402" s="0" t="s">
        <v>98</v>
      </c>
      <c r="C19402" s="6" t="n">
        <f aca="false">(w_ntm28*Sens!G19389+(1-w_ntm28)*Sens!H19389)*m_pc</f>
        <v>91.5854760888068</v>
      </c>
    </row>
    <row r="19403" customFormat="false" ht="17.15" hidden="false" customHeight="false" outlineLevel="0" collapsed="false">
      <c r="A19403" s="1" t="s">
        <v>1258</v>
      </c>
      <c r="B19403" s="0" t="s">
        <v>98</v>
      </c>
      <c r="C19403" s="6" t="n">
        <f aca="false">Sens!$C$19393+Sens!$C$19395+Sens!$C$19396+Sens!$C$19397+Sens!$C$19398+Sens!$C$19399+Sens!$C$19400+Sens!$C$19401+Sens!$C$19402</f>
        <v>2877.10379484133</v>
      </c>
    </row>
    <row r="19404" customFormat="false" ht="17.15" hidden="false" customHeight="false" outlineLevel="0" collapsed="false">
      <c r="A19404" s="1" t="s">
        <v>1259</v>
      </c>
      <c r="B19404" s="0" t="s">
        <v>98</v>
      </c>
      <c r="C19404" s="6" t="n">
        <f aca="false">(Sens!G19365-Sens!G19390)*t_stub</f>
        <v>47.4721046006282</v>
      </c>
      <c r="L19404" s="1" t="s">
        <v>1260</v>
      </c>
    </row>
    <row r="19405" customFormat="false" ht="17.15" hidden="false" customHeight="false" outlineLevel="0" collapsed="false">
      <c r="A19405" s="1" t="s">
        <v>1169</v>
      </c>
      <c r="B19405" s="0" t="s">
        <v>98</v>
      </c>
      <c r="C19405" s="6" t="n">
        <f aca="false">Sens!F19352+oai_v-Sens!F19341+Sens!$C$19404</f>
        <v>158.965521543392</v>
      </c>
      <c r="L19405" s="1" t="s">
        <v>1261</v>
      </c>
    </row>
    <row r="19406" customFormat="false" ht="17.15" hidden="false" customHeight="false" outlineLevel="0" collapsed="false">
      <c r="A19406" s="1" t="s">
        <v>1262</v>
      </c>
      <c r="B19406" s="0" t="s">
        <v>75</v>
      </c>
      <c r="C19406" s="5" t="n">
        <f aca="false">(Sens!$C$19403+Sens!$C$19405)/(Sens!F19354+dil_gap)-Sens!G19344*roll_div_q/q_per_yr</f>
        <v>403.985755654311</v>
      </c>
      <c r="L19406" s="1" t="s">
        <v>1263</v>
      </c>
    </row>
    <row r="19407" customFormat="false" ht="17.15" hidden="false" customHeight="false" outlineLevel="0" collapsed="false">
      <c r="A19407" s="1" t="s">
        <v>1264</v>
      </c>
      <c r="B19407" s="0" t="s">
        <v>75</v>
      </c>
      <c r="C19407" s="5" t="n">
        <f aca="false">w_dcf*Sens!$C$19377+(1-w_dcf)*Sens!$C$19406</f>
        <v>343.609705815374</v>
      </c>
    </row>
    <row r="19408" customFormat="false" ht="17.15" hidden="false" customHeight="false" outlineLevel="0" collapsed="false">
      <c r="A19408" s="3" t="s">
        <v>1959</v>
      </c>
    </row>
    <row r="19409" customFormat="false" ht="15" hidden="false" customHeight="false" outlineLevel="0" collapsed="false">
      <c r="A19409" s="4" t="s">
        <v>43</v>
      </c>
      <c r="B19409" s="4" t="s">
        <v>65</v>
      </c>
      <c r="C19409" s="23" t="s">
        <v>938</v>
      </c>
      <c r="D19409" s="23" t="s">
        <v>939</v>
      </c>
      <c r="E19409" s="23" t="s">
        <v>940</v>
      </c>
      <c r="F19409" s="23" t="s">
        <v>941</v>
      </c>
      <c r="G19409" s="23" t="s">
        <v>942</v>
      </c>
      <c r="H19409" s="23" t="s">
        <v>943</v>
      </c>
      <c r="I19409" s="23" t="s">
        <v>944</v>
      </c>
      <c r="J19409" s="23" t="s">
        <v>945</v>
      </c>
      <c r="K19409" s="23" t="s">
        <v>946</v>
      </c>
      <c r="L19409" s="4" t="s">
        <v>47</v>
      </c>
    </row>
    <row r="19410" customFormat="false" ht="17.15" hidden="false" customHeight="false" outlineLevel="0" collapsed="false">
      <c r="A19410" s="1" t="s">
        <v>947</v>
      </c>
      <c r="B19410" s="1" t="s">
        <v>279</v>
      </c>
      <c r="C19410" s="21" t="n">
        <v>2024</v>
      </c>
      <c r="D19410" s="21" t="n">
        <v>2025</v>
      </c>
      <c r="E19410" s="21" t="n">
        <v>2026</v>
      </c>
      <c r="F19410" s="21" t="n">
        <v>2027</v>
      </c>
      <c r="G19410" s="21" t="n">
        <v>2028</v>
      </c>
      <c r="H19410" s="21" t="n">
        <v>2029</v>
      </c>
      <c r="I19410" s="21" t="n">
        <v>2030</v>
      </c>
      <c r="J19410" s="21" t="n">
        <v>2031</v>
      </c>
      <c r="K19410" s="21" t="n">
        <v>2032</v>
      </c>
    </row>
    <row r="19411" customFormat="false" ht="17.15" hidden="false" customHeight="false" outlineLevel="0" collapsed="false">
      <c r="A19411" s="1" t="s">
        <v>948</v>
      </c>
      <c r="B19411" s="0" t="s">
        <v>456</v>
      </c>
      <c r="F19411" s="30" t="n">
        <f aca="false">pace</f>
        <v>2726.5351</v>
      </c>
      <c r="G19411" s="30" t="n">
        <f aca="false">pace</f>
        <v>2726.5351</v>
      </c>
      <c r="H19411" s="30" t="n">
        <f aca="false">pace</f>
        <v>2726.5351</v>
      </c>
      <c r="I19411" s="30" t="n">
        <f aca="false">pace+(g_tv*Sens!H19412-pace)*MIN(1,(Sens!I19410-pace_y0)/(pace_y1-pace_y0))</f>
        <v>1931.98611966667</v>
      </c>
      <c r="J19411" s="30" t="n">
        <f aca="false">pace+(g_tv*Sens!I19412-pace)*MIN(1,(Sens!J19410-pace_y0)/(pace_y1-pace_y0))</f>
        <v>1176.07686172667</v>
      </c>
      <c r="K19411" s="30" t="n">
        <f aca="false">pace+(g_tv*Sens!J19412-pace)*MIN(1,(Sens!K19410-pace_y0)/(pace_y1-pace_y0))</f>
        <v>436.1300484418</v>
      </c>
      <c r="L19411" s="12" t="s">
        <v>949</v>
      </c>
    </row>
    <row r="19412" customFormat="false" ht="17.15" hidden="false" customHeight="false" outlineLevel="0" collapsed="false">
      <c r="A19412" s="1" t="s">
        <v>950</v>
      </c>
      <c r="B19412" s="0" t="s">
        <v>456</v>
      </c>
      <c r="C19412" s="30" t="n">
        <f aca="false">mw_ext_24</f>
        <v>640</v>
      </c>
      <c r="D19412" s="30" t="n">
        <f aca="false">mw_ext_25</f>
        <v>1630</v>
      </c>
      <c r="E19412" s="30" t="n">
        <f aca="false">mw_ext_26</f>
        <v>3250</v>
      </c>
      <c r="F19412" s="30" t="n">
        <f aca="false">Sens!E19412+Sens!F19411</f>
        <v>5976.5351</v>
      </c>
      <c r="G19412" s="30" t="n">
        <f aca="false">Sens!F19412+Sens!G19411</f>
        <v>8703.0702</v>
      </c>
      <c r="H19412" s="30" t="n">
        <f aca="false">Sens!G19412+Sens!H19411</f>
        <v>11429.6053</v>
      </c>
      <c r="I19412" s="30" t="n">
        <f aca="false">Sens!H19412+Sens!I19411</f>
        <v>13361.5914196667</v>
      </c>
      <c r="J19412" s="30" t="n">
        <f aca="false">Sens!I19412+Sens!J19411</f>
        <v>14537.6682813933</v>
      </c>
      <c r="K19412" s="30" t="n">
        <f aca="false">Sens!J19412+Sens!K19411</f>
        <v>14973.7983298351</v>
      </c>
      <c r="L19412" s="1" t="s">
        <v>951</v>
      </c>
    </row>
    <row r="19413" customFormat="false" ht="17.15" hidden="false" customHeight="false" outlineLevel="0" collapsed="false">
      <c r="A19413" s="1" t="s">
        <v>952</v>
      </c>
      <c r="B19413" s="0" t="s">
        <v>456</v>
      </c>
      <c r="C19413" s="30" t="n">
        <f aca="false">rent_ext_24</f>
        <v>150</v>
      </c>
      <c r="D19413" s="30" t="n">
        <f aca="false">rent_ext_25</f>
        <v>400</v>
      </c>
      <c r="E19413" s="30" t="n">
        <f aca="false">rent_ext_26</f>
        <v>550</v>
      </c>
      <c r="F19413" s="30" t="n">
        <f aca="false">rent_ext_f</f>
        <v>756</v>
      </c>
      <c r="G19413" s="30" t="n">
        <f aca="false">rent_ext_f</f>
        <v>756</v>
      </c>
      <c r="H19413" s="30" t="n">
        <f aca="false">rent_ext_f</f>
        <v>756</v>
      </c>
      <c r="I19413" s="30" t="n">
        <f aca="false">rent_ext_f</f>
        <v>756</v>
      </c>
      <c r="J19413" s="30" t="n">
        <f aca="false">rent_ext_f</f>
        <v>756</v>
      </c>
      <c r="K19413" s="30" t="n">
        <f aca="false">rent_ext_f</f>
        <v>756</v>
      </c>
      <c r="L19413" s="1" t="s">
        <v>953</v>
      </c>
    </row>
    <row r="19414" customFormat="false" ht="17.15" hidden="false" customHeight="false" outlineLevel="0" collapsed="false">
      <c r="A19414" s="1" t="s">
        <v>954</v>
      </c>
      <c r="B19414" s="0" t="s">
        <v>456</v>
      </c>
      <c r="C19414" s="30" t="n">
        <f aca="false">Sens!C19412-Sens!C19413</f>
        <v>490</v>
      </c>
      <c r="D19414" s="30" t="n">
        <f aca="false">Sens!D19412-Sens!D19413</f>
        <v>1230</v>
      </c>
      <c r="E19414" s="30" t="n">
        <f aca="false">Sens!E19412-Sens!E19413</f>
        <v>2700</v>
      </c>
      <c r="F19414" s="30" t="n">
        <f aca="false">Sens!F19412-Sens!F19413</f>
        <v>5220.5351</v>
      </c>
      <c r="G19414" s="30" t="n">
        <f aca="false">Sens!G19412-Sens!G19413</f>
        <v>7947.0702</v>
      </c>
      <c r="H19414" s="30" t="n">
        <f aca="false">Sens!H19412-Sens!H19413</f>
        <v>10673.6053</v>
      </c>
      <c r="I19414" s="30" t="n">
        <f aca="false">Sens!I19412-Sens!I19413</f>
        <v>12605.5914196667</v>
      </c>
      <c r="J19414" s="30" t="n">
        <f aca="false">Sens!J19412-Sens!J19413</f>
        <v>13781.6682813933</v>
      </c>
      <c r="K19414" s="30" t="n">
        <f aca="false">Sens!K19412-Sens!K19413</f>
        <v>14217.7983298351</v>
      </c>
    </row>
    <row r="19415" customFormat="false" ht="17.15" hidden="false" customHeight="false" outlineLevel="0" collapsed="false">
      <c r="A19415" s="1" t="s">
        <v>955</v>
      </c>
      <c r="B19415" s="0" t="s">
        <v>456</v>
      </c>
      <c r="C19415" s="30" t="n">
        <f aca="false">Sens!C19414/ext_sh</f>
        <v>816.666666666667</v>
      </c>
      <c r="D19415" s="30" t="n">
        <f aca="false">Sens!D19414/ext_sh</f>
        <v>2050</v>
      </c>
      <c r="E19415" s="30" t="n">
        <f aca="false">Sens!E19414/ext_sh</f>
        <v>4500</v>
      </c>
      <c r="F19415" s="30" t="n">
        <f aca="false">Sens!F19414/ext_sh</f>
        <v>8700.89183333333</v>
      </c>
      <c r="G19415" s="30" t="n">
        <f aca="false">Sens!G19414/ext_sh</f>
        <v>13245.117</v>
      </c>
      <c r="H19415" s="30" t="n">
        <f aca="false">Sens!H19414/ext_sh</f>
        <v>17789.3421666667</v>
      </c>
      <c r="I19415" s="30" t="n">
        <f aca="false">Sens!I19414/ext_sh</f>
        <v>21009.3190327778</v>
      </c>
      <c r="J19415" s="30" t="n">
        <f aca="false">Sens!J19414/ext_sh</f>
        <v>22969.4471356556</v>
      </c>
      <c r="K19415" s="30" t="n">
        <f aca="false">Sens!K19414/ext_sh</f>
        <v>23696.3305497252</v>
      </c>
      <c r="L19415" s="1" t="s">
        <v>956</v>
      </c>
    </row>
    <row r="19416" customFormat="false" ht="17.15" hidden="false" customHeight="false" outlineLevel="0" collapsed="false">
      <c r="A19416" s="1" t="s">
        <v>957</v>
      </c>
      <c r="B19416" s="0" t="s">
        <v>456</v>
      </c>
      <c r="C19416" s="30" t="n">
        <f aca="false">Sens!C19415-Sens!C19414</f>
        <v>326.666666666667</v>
      </c>
      <c r="D19416" s="30" t="n">
        <f aca="false">Sens!D19415-Sens!D19414</f>
        <v>820</v>
      </c>
      <c r="E19416" s="30" t="n">
        <f aca="false">Sens!E19415-Sens!E19414</f>
        <v>1800</v>
      </c>
      <c r="F19416" s="30" t="n">
        <f aca="false">Sens!F19415-Sens!F19414</f>
        <v>3480.35673333333</v>
      </c>
      <c r="G19416" s="30" t="n">
        <f aca="false">Sens!G19415-Sens!G19414</f>
        <v>5298.0468</v>
      </c>
      <c r="H19416" s="30" t="n">
        <f aca="false">Sens!H19415-Sens!H19414</f>
        <v>7115.73686666667</v>
      </c>
      <c r="I19416" s="30" t="n">
        <f aca="false">Sens!I19415-Sens!I19414</f>
        <v>8403.72761311111</v>
      </c>
      <c r="J19416" s="30" t="n">
        <f aca="false">Sens!J19415-Sens!J19414</f>
        <v>9187.77885426222</v>
      </c>
      <c r="K19416" s="30" t="n">
        <f aca="false">Sens!K19415-Sens!K19414</f>
        <v>9478.53221989009</v>
      </c>
    </row>
    <row r="19417" customFormat="false" ht="17.15" hidden="false" customHeight="false" outlineLevel="0" collapsed="false">
      <c r="A19417" s="1" t="s">
        <v>958</v>
      </c>
      <c r="B19417" s="0" t="s">
        <v>456</v>
      </c>
      <c r="C19417" s="30" t="n">
        <f aca="false">Sens!C19415</f>
        <v>816.666666666667</v>
      </c>
      <c r="D19417" s="30" t="n">
        <f aca="false">Sens!D19415-Sens!C19415</f>
        <v>1233.33333333333</v>
      </c>
      <c r="E19417" s="30" t="n">
        <f aca="false">Sens!E19415-Sens!D19415</f>
        <v>2450</v>
      </c>
      <c r="F19417" s="30" t="n">
        <f aca="false">Sens!F19415-Sens!E19415</f>
        <v>4200.89183333333</v>
      </c>
      <c r="G19417" s="30" t="n">
        <f aca="false">Sens!G19415-Sens!F19415</f>
        <v>4544.22516666667</v>
      </c>
      <c r="H19417" s="30" t="n">
        <f aca="false">Sens!H19415-Sens!G19415</f>
        <v>4544.22516666667</v>
      </c>
      <c r="I19417" s="30" t="n">
        <f aca="false">Sens!I19415-Sens!H19415</f>
        <v>3219.97686611111</v>
      </c>
      <c r="J19417" s="30" t="n">
        <f aca="false">Sens!J19415-Sens!I19415</f>
        <v>1960.12810287778</v>
      </c>
      <c r="K19417" s="30" t="n">
        <f aca="false">Sens!K19415-Sens!J19415</f>
        <v>726.883414069667</v>
      </c>
    </row>
    <row r="19418" customFormat="false" ht="17.15" hidden="false" customHeight="false" outlineLevel="0" collapsed="false">
      <c r="A19418" s="1" t="s">
        <v>959</v>
      </c>
      <c r="B19418" s="0" t="s">
        <v>456</v>
      </c>
      <c r="D19418" s="30" t="n">
        <f aca="false">Sens!D19412-Sens!C19412</f>
        <v>990</v>
      </c>
      <c r="E19418" s="30" t="n">
        <f aca="false">Sens!E19412-Sens!D19412</f>
        <v>1620</v>
      </c>
      <c r="F19418" s="30" t="n">
        <f aca="false">Sens!F19412-Sens!E19412</f>
        <v>2726.5351</v>
      </c>
      <c r="G19418" s="30" t="n">
        <f aca="false">Sens!G19412-Sens!F19412</f>
        <v>2726.5351</v>
      </c>
      <c r="H19418" s="30" t="n">
        <f aca="false">Sens!H19412-Sens!G19412</f>
        <v>2726.5351</v>
      </c>
      <c r="I19418" s="30" t="n">
        <f aca="false">Sens!I19412-Sens!H19412</f>
        <v>1931.98611966667</v>
      </c>
      <c r="J19418" s="30" t="n">
        <f aca="false">Sens!J19412-Sens!I19412</f>
        <v>1176.07686172667</v>
      </c>
      <c r="K19418" s="30" t="n">
        <f aca="false">Sens!K19412-Sens!J19412</f>
        <v>436.130048441799</v>
      </c>
    </row>
    <row r="19419" customFormat="false" ht="17.15" hidden="false" customHeight="false" outlineLevel="0" collapsed="false">
      <c r="A19419" s="1" t="s">
        <v>960</v>
      </c>
      <c r="B19419" s="0" t="s">
        <v>456</v>
      </c>
      <c r="F19419" s="30" t="n">
        <f aca="false">Sens!F19438*ext_sh</f>
        <v>0</v>
      </c>
      <c r="G19419" s="30" t="n">
        <f aca="false">Sens!G19438*ext_sh</f>
        <v>0</v>
      </c>
      <c r="H19419" s="30" t="n">
        <f aca="false">Sens!H19438*ext_sh</f>
        <v>0</v>
      </c>
      <c r="I19419" s="30" t="n">
        <f aca="false">Sens!I19438*ext_sh</f>
        <v>490</v>
      </c>
      <c r="J19419" s="30" t="n">
        <f aca="false">Sens!J19438*ext_sh</f>
        <v>740</v>
      </c>
      <c r="K19419" s="30" t="n">
        <f aca="false">Sens!K19438*ext_sh</f>
        <v>1470</v>
      </c>
      <c r="L19419" s="1" t="s">
        <v>961</v>
      </c>
    </row>
    <row r="19420" customFormat="false" ht="17.15" hidden="false" customHeight="false" outlineLevel="0" collapsed="false">
      <c r="A19420" s="1" t="s">
        <v>962</v>
      </c>
      <c r="B19420" s="0" t="s">
        <v>456</v>
      </c>
      <c r="C19420" s="30" t="n">
        <f aca="false">mix_h*Sens!C19412</f>
        <v>128</v>
      </c>
      <c r="D19420" s="30" t="n">
        <f aca="false">mix_h*Sens!D19412</f>
        <v>326</v>
      </c>
      <c r="E19420" s="30" t="n">
        <f aca="false">mix_h*Sens!E19412</f>
        <v>650</v>
      </c>
      <c r="F19420" s="30" t="n">
        <f aca="false">Sens!E19420-Sens!F19419*mix_h</f>
        <v>650</v>
      </c>
      <c r="G19420" s="30" t="n">
        <f aca="false">Sens!F19420-Sens!G19419*mix_h</f>
        <v>650</v>
      </c>
      <c r="H19420" s="30" t="n">
        <f aca="false">Sens!G19420-Sens!H19419*mix_h</f>
        <v>650</v>
      </c>
      <c r="I19420" s="30" t="n">
        <f aca="false">Sens!H19420-Sens!I19419*mix_h</f>
        <v>552</v>
      </c>
      <c r="J19420" s="30" t="n">
        <f aca="false">Sens!I19420-Sens!J19419*mix_h</f>
        <v>404</v>
      </c>
      <c r="K19420" s="30" t="n">
        <f aca="false">Sens!J19420-Sens!K19419*mix_h</f>
        <v>110</v>
      </c>
    </row>
    <row r="19421" customFormat="false" ht="17.15" hidden="false" customHeight="false" outlineLevel="0" collapsed="false">
      <c r="A19421" s="1" t="s">
        <v>963</v>
      </c>
      <c r="B19421" s="0" t="s">
        <v>456</v>
      </c>
      <c r="C19421" s="30" t="n">
        <f aca="false">mix_g2*Sens!C19412</f>
        <v>288</v>
      </c>
      <c r="D19421" s="30" t="n">
        <f aca="false">mix_g2*Sens!D19412</f>
        <v>733.5</v>
      </c>
      <c r="E19421" s="30" t="n">
        <f aca="false">mix_g2*Sens!E19412</f>
        <v>1462.5</v>
      </c>
      <c r="F19421" s="30" t="n">
        <f aca="false">Sens!E19421-Sens!F19419*mix_g2</f>
        <v>1462.5</v>
      </c>
      <c r="G19421" s="30" t="n">
        <f aca="false">Sens!F19421-Sens!G19419*mix_g2</f>
        <v>1462.5</v>
      </c>
      <c r="H19421" s="30" t="n">
        <f aca="false">Sens!G19421-Sens!H19419*mix_g2</f>
        <v>1462.5</v>
      </c>
      <c r="I19421" s="30" t="n">
        <f aca="false">Sens!H19421-Sens!I19419*mix_g2</f>
        <v>1242</v>
      </c>
      <c r="J19421" s="30" t="n">
        <f aca="false">Sens!I19421-Sens!J19419*mix_g2</f>
        <v>909</v>
      </c>
      <c r="K19421" s="30" t="n">
        <f aca="false">Sens!J19421-Sens!K19419*mix_g2</f>
        <v>247.5</v>
      </c>
    </row>
    <row r="19422" customFormat="false" ht="17.15" hidden="false" customHeight="false" outlineLevel="0" collapsed="false">
      <c r="A19422" s="1" t="s">
        <v>964</v>
      </c>
      <c r="B19422" s="0" t="s">
        <v>456</v>
      </c>
      <c r="C19422" s="30" t="n">
        <f aca="false">mix_g3*Sens!C19412</f>
        <v>224</v>
      </c>
      <c r="D19422" s="30" t="n">
        <f aca="false">mix_g3*Sens!D19412</f>
        <v>570.5</v>
      </c>
      <c r="E19422" s="30" t="n">
        <f aca="false">mix_g3*Sens!E19412</f>
        <v>1137.5</v>
      </c>
      <c r="F19422" s="30" t="n">
        <f aca="false">Sens!E19422+(Sens!F19418+Sens!F19419)*(a_g3_27-0*a_mai)-Sens!F19419*mix_g3</f>
        <v>3046.07457</v>
      </c>
      <c r="G19422" s="30" t="n">
        <f aca="false">Sens!F19422+(Sens!G19418+Sens!G19419)*(a_g3_28-0*a_mai)-Sens!G19419*mix_g3</f>
        <v>3864.0351</v>
      </c>
      <c r="H19422" s="30" t="n">
        <f aca="false">Sens!G19422+(Sens!H19418+Sens!H19419)*(a_g3_29-0*a_mai)-Sens!H19419*mix_g3</f>
        <v>4136.68861</v>
      </c>
      <c r="I19422" s="30" t="n">
        <f aca="false">Sens!H19422+(Sens!I19418+Sens!I19419)*(a_g3_29-0*a_mai)-Sens!I19419*mix_g3</f>
        <v>4207.38722196667</v>
      </c>
      <c r="J19422" s="30" t="n">
        <f aca="false">Sens!I19422+(Sens!J19418+Sens!J19419)*(a_g3_29-0*a_mai)-Sens!J19419*mix_g3</f>
        <v>4139.99490813933</v>
      </c>
      <c r="K19422" s="30" t="n">
        <f aca="false">Sens!J19422+(Sens!K19418+Sens!K19419)*(a_g3_29-0*a_mai)-Sens!K19419*mix_g3</f>
        <v>3816.10791298351</v>
      </c>
    </row>
    <row r="19423" customFormat="false" ht="17.15" hidden="false" customHeight="false" outlineLevel="0" collapsed="false">
      <c r="A19423" s="1" t="s">
        <v>965</v>
      </c>
      <c r="B19423" s="0" t="s">
        <v>456</v>
      </c>
      <c r="C19423" s="30" t="n">
        <v>0</v>
      </c>
      <c r="D19423" s="30" t="n">
        <v>0</v>
      </c>
      <c r="E19423" s="30" t="n">
        <v>0</v>
      </c>
      <c r="F19423" s="30" t="n">
        <f aca="false">Sens!E19423+(Sens!F19418+Sens!F19419)*0*a_mai</f>
        <v>0</v>
      </c>
      <c r="G19423" s="30" t="n">
        <f aca="false">Sens!F19423+(Sens!G19418+Sens!G19419)*0*a_mai</f>
        <v>0</v>
      </c>
      <c r="H19423" s="30" t="n">
        <f aca="false">Sens!G19423+(Sens!H19418+Sens!H19419)*0*a_mai</f>
        <v>0</v>
      </c>
      <c r="I19423" s="30" t="n">
        <f aca="false">Sens!H19423+(Sens!I19418+Sens!I19419)*0*a_mai</f>
        <v>0</v>
      </c>
      <c r="J19423" s="30" t="n">
        <f aca="false">Sens!I19423+(Sens!J19418+Sens!J19419)*0*a_mai</f>
        <v>0</v>
      </c>
      <c r="K19423" s="30" t="n">
        <f aca="false">Sens!J19423+(Sens!K19418+Sens!K19419)*0*a_mai</f>
        <v>0</v>
      </c>
      <c r="L19423" s="12" t="s">
        <v>966</v>
      </c>
    </row>
    <row r="19424" customFormat="false" ht="17.15" hidden="false" customHeight="false" outlineLevel="0" collapsed="false">
      <c r="A19424" s="1" t="s">
        <v>967</v>
      </c>
      <c r="B19424" s="0" t="s">
        <v>456</v>
      </c>
      <c r="C19424" s="30" t="n">
        <v>0</v>
      </c>
      <c r="D19424" s="30" t="n">
        <v>0</v>
      </c>
      <c r="E19424" s="30" t="n">
        <v>0</v>
      </c>
      <c r="F19424" s="30" t="n">
        <f aca="false">Sens!E19424+(Sens!F19418+Sens!F19419)*(1-a_g3_27)</f>
        <v>817.96053</v>
      </c>
      <c r="G19424" s="30" t="n">
        <f aca="false">Sens!F19424+(Sens!G19418+Sens!G19419)*(1-a_g3_28)</f>
        <v>2726.5351</v>
      </c>
      <c r="H19424" s="30" t="n">
        <f aca="false">Sens!G19424+(Sens!H19418+Sens!H19419)*(1-a_g3_29)</f>
        <v>5180.41669</v>
      </c>
      <c r="I19424" s="30" t="n">
        <f aca="false">Sens!H19424+(Sens!I19418+Sens!I19419)*(1-a_g3_29)</f>
        <v>7360.2041977</v>
      </c>
      <c r="J19424" s="30" t="n">
        <f aca="false">Sens!I19424+(Sens!J19418+Sens!J19419)*(1-a_g3_29)</f>
        <v>9084.673373254</v>
      </c>
      <c r="K19424" s="30" t="n">
        <f aca="false">Sens!J19424+(Sens!K19418+Sens!K19419)*(1-a_g3_29)</f>
        <v>10800.1904168516</v>
      </c>
    </row>
    <row r="19425" customFormat="false" ht="17.15" hidden="false" customHeight="false" outlineLevel="0" collapsed="false">
      <c r="A19425" s="1" t="s">
        <v>968</v>
      </c>
      <c r="B19425" s="0" t="s">
        <v>403</v>
      </c>
      <c r="C19425" s="15" t="n">
        <f aca="false">(Sens!C19420*tk_hold_h100+Sens!C19421*tk_hold_gb200+Sens!C19422*tk_hold_gb300+Sens!C19424*tk_hold_vr200+Sens!C19423*nv_hold_mai*tk_hold_vr200)/Sens!C19412</f>
        <v>9.7235358126469</v>
      </c>
      <c r="D19425" s="15" t="n">
        <f aca="false">(Sens!D19420*tk_hold_h100+Sens!D19421*tk_hold_gb200+Sens!D19422*tk_hold_gb300+Sens!D19424*tk_hold_vr200+Sens!D19423*nv_hold_mai*tk_hold_vr200)/Sens!D19412</f>
        <v>9.7235358126469</v>
      </c>
      <c r="E19425" s="15" t="n">
        <f aca="false">(Sens!E19420*tk_hold_h100+Sens!E19421*tk_hold_gb200+Sens!E19422*tk_hold_gb300+Sens!E19424*tk_hold_vr200+Sens!E19423*nv_hold_mai*tk_hold_vr200)/Sens!E19412</f>
        <v>9.7235358126469</v>
      </c>
      <c r="F19425" s="15" t="n">
        <f aca="false">(Sens!F19420*tk_hold_h100+Sens!F19421*tk_hold_gb200+Sens!F19422*tk_hold_gb300+Sens!F19424*tk_hold_vr200+Sens!F19423*nv_hold_mai*tk_hold_vr200)/Sens!F19412</f>
        <v>10.4373136419306</v>
      </c>
      <c r="G19425" s="15" t="n">
        <f aca="false">(Sens!G19420*tk_hold_h100+Sens!G19421*tk_hold_gb200+Sens!G19422*tk_hold_gb300+Sens!G19424*tk_hold_vr200+Sens!G19423*nv_hold_mai*tk_hold_vr200)/Sens!G19412</f>
        <v>10.8716633021543</v>
      </c>
      <c r="H19425" s="15" t="n">
        <f aca="false">(Sens!H19420*tk_hold_h100+Sens!H19421*tk_hold_gb200+Sens!H19422*tk_hold_gb300+Sens!H19424*tk_hold_vr200+Sens!H19423*nv_hold_mai*tk_hold_vr200)/Sens!H19412</f>
        <v>11.162671147329</v>
      </c>
      <c r="I19425" s="15" t="n">
        <f aca="false">(Sens!I19420*tk_hold_h100+Sens!I19421*tk_hold_gb200+Sens!I19422*tk_hold_gb300+Sens!I19424*tk_hold_vr200+Sens!I19423*nv_hold_mai*tk_hold_vr200)/Sens!I19412</f>
        <v>11.3838232728132</v>
      </c>
      <c r="J19425" s="15" t="n">
        <f aca="false">(Sens!J19420*tk_hold_h100+Sens!J19421*tk_hold_gb200+Sens!J19422*tk_hold_gb300+Sens!J19424*tk_hold_vr200+Sens!J19423*nv_hold_mai*tk_hold_vr200)/Sens!J19412</f>
        <v>11.5616165905821</v>
      </c>
      <c r="K19425" s="15" t="n">
        <f aca="false">(Sens!K19420*tk_hold_h100+Sens!K19421*tk_hold_gb200+Sens!K19422*tk_hold_gb300+Sens!K19424*tk_hold_vr200+Sens!K19423*nv_hold_mai*tk_hold_vr200)/Sens!K19412</f>
        <v>11.8095249206783</v>
      </c>
      <c r="L19425" s="1" t="s">
        <v>969</v>
      </c>
    </row>
    <row r="19426" customFormat="false" ht="17.15" hidden="false" customHeight="false" outlineLevel="0" collapsed="false">
      <c r="A19426" s="1" t="s">
        <v>970</v>
      </c>
      <c r="B19426" s="0" t="s">
        <v>403</v>
      </c>
      <c r="C19426" s="15" t="n">
        <f aca="false">(Sens!C19420*tk_hold_h100+Sens!C19421*tk_hold_gb200+Sens!C19422*tk_hold_gb300+Sens!C19424*tk_hold_vr200+Sens!C19423*nv_out_mai*tk_hold_vr200)/Sens!C19412</f>
        <v>9.7235358126469</v>
      </c>
      <c r="D19426" s="15" t="n">
        <f aca="false">(Sens!D19420*tk_hold_h100+Sens!D19421*tk_hold_gb200+Sens!D19422*tk_hold_gb300+Sens!D19424*tk_hold_vr200+Sens!D19423*nv_out_mai*tk_hold_vr200)/Sens!D19412</f>
        <v>9.7235358126469</v>
      </c>
      <c r="E19426" s="15" t="n">
        <f aca="false">(Sens!E19420*tk_hold_h100+Sens!E19421*tk_hold_gb200+Sens!E19422*tk_hold_gb300+Sens!E19424*tk_hold_vr200+Sens!E19423*nv_out_mai*tk_hold_vr200)/Sens!E19412</f>
        <v>9.7235358126469</v>
      </c>
      <c r="F19426" s="15" t="n">
        <f aca="false">(Sens!F19420*tk_hold_h100+Sens!F19421*tk_hold_gb200+Sens!F19422*tk_hold_gb300+Sens!F19424*tk_hold_vr200+Sens!F19423*nv_out_mai*tk_hold_vr200)/Sens!F19412</f>
        <v>10.4373136419306</v>
      </c>
      <c r="G19426" s="15" t="n">
        <f aca="false">(Sens!G19420*tk_hold_h100+Sens!G19421*tk_hold_gb200+Sens!G19422*tk_hold_gb300+Sens!G19424*tk_hold_vr200+Sens!G19423*nv_out_mai*tk_hold_vr200)/Sens!G19412</f>
        <v>10.8716633021543</v>
      </c>
      <c r="H19426" s="15" t="n">
        <f aca="false">(Sens!H19420*tk_hold_h100+Sens!H19421*tk_hold_gb200+Sens!H19422*tk_hold_gb300+Sens!H19424*tk_hold_vr200+Sens!H19423*nv_out_mai*tk_hold_vr200)/Sens!H19412</f>
        <v>11.162671147329</v>
      </c>
      <c r="I19426" s="15" t="n">
        <f aca="false">(Sens!I19420*tk_hold_h100+Sens!I19421*tk_hold_gb200+Sens!I19422*tk_hold_gb300+Sens!I19424*tk_hold_vr200+Sens!I19423*nv_out_mai*tk_hold_vr200)/Sens!I19412</f>
        <v>11.3838232728132</v>
      </c>
      <c r="J19426" s="15" t="n">
        <f aca="false">(Sens!J19420*tk_hold_h100+Sens!J19421*tk_hold_gb200+Sens!J19422*tk_hold_gb300+Sens!J19424*tk_hold_vr200+Sens!J19423*nv_out_mai*tk_hold_vr200)/Sens!J19412</f>
        <v>11.5616165905821</v>
      </c>
      <c r="K19426" s="15" t="n">
        <f aca="false">(Sens!K19420*tk_hold_h100+Sens!K19421*tk_hold_gb200+Sens!K19422*tk_hold_gb300+Sens!K19424*tk_hold_vr200+Sens!K19423*nv_out_mai*tk_hold_vr200)/Sens!K19412</f>
        <v>11.8095249206783</v>
      </c>
      <c r="L19426" s="12" t="s">
        <v>971</v>
      </c>
    </row>
    <row r="19427" customFormat="false" ht="17.15" hidden="false" customHeight="false" outlineLevel="0" collapsed="false">
      <c r="A19427" s="0" t="s">
        <v>972</v>
      </c>
      <c r="B19427" s="0" t="s">
        <v>229</v>
      </c>
      <c r="C19427" s="15" t="n">
        <f aca="false">k_B</f>
        <v>1.17213932619116</v>
      </c>
      <c r="D19427" s="15" t="n">
        <f aca="false">k_B</f>
        <v>1.17213932619116</v>
      </c>
      <c r="E19427" s="15" t="n">
        <f aca="false">k_B</f>
        <v>1.17213932619116</v>
      </c>
      <c r="F19427" s="15" t="n">
        <f aca="false">(k_B+((ls_A*k_long+(1-ls_A)*k_spot)-k_B)*MIN(1,(Sens!F19410-base_fy)/k_ramp))</f>
        <v>1.25022828131298</v>
      </c>
      <c r="G19427" s="15" t="n">
        <f aca="false">(k_B+((ls_A*k_long+(1-ls_A)*k_spot)-k_B)*MIN(1,(Sens!G19410-base_fy)/k_ramp))</f>
        <v>1.3283172364348</v>
      </c>
      <c r="H19427" s="15" t="n">
        <f aca="false">(k_B+((ls_A*k_long+(1-ls_A)*k_spot)-k_B)*MIN(1,(Sens!H19410-base_fy)/k_ramp))</f>
        <v>1.40640619155662</v>
      </c>
      <c r="I19427" s="15" t="n">
        <f aca="false">(k_B+((ls_A*k_long+(1-ls_A)*k_spot)-k_B)*MIN(1,(Sens!I19410-base_fy)/k_ramp))</f>
        <v>1.40640619155662</v>
      </c>
      <c r="J19427" s="15" t="n">
        <f aca="false">(k_B+((ls_A*k_long+(1-ls_A)*k_spot)-k_B)*MIN(1,(Sens!J19410-base_fy)/k_ramp))</f>
        <v>1.40640619155662</v>
      </c>
      <c r="K19427" s="15" t="n">
        <f aca="false">(k_B+((ls_A*k_long+(1-ls_A)*k_spot)-k_B)*MIN(1,(Sens!K19410-base_fy)/k_ramp))</f>
        <v>1.40640619155662</v>
      </c>
      <c r="L19427" s="1" t="s">
        <v>973</v>
      </c>
    </row>
    <row r="19428" customFormat="false" ht="17.15" hidden="false" customHeight="false" outlineLevel="0" collapsed="false">
      <c r="A19428" s="1" t="s">
        <v>974</v>
      </c>
      <c r="B19428" s="0" t="s">
        <v>403</v>
      </c>
      <c r="C19428" s="15" t="n">
        <f aca="false">Sens!C19426*Sens!C19427*chip_f</f>
        <v>11.3973387156315</v>
      </c>
      <c r="D19428" s="15" t="n">
        <f aca="false">Sens!D19426*Sens!D19427*chip_f</f>
        <v>11.3973387156315</v>
      </c>
      <c r="E19428" s="15" t="n">
        <f aca="false">Sens!E19426*Sens!E19427*chip_f</f>
        <v>11.3973387156315</v>
      </c>
      <c r="F19428" s="15" t="n">
        <f aca="false">Sens!F19426*Sens!F19427*chip_f</f>
        <v>13.0490246960754</v>
      </c>
      <c r="G19428" s="15" t="n">
        <f aca="false">Sens!G19426*Sens!G19427*chip_f</f>
        <v>14.4410177529672</v>
      </c>
      <c r="H19428" s="15" t="n">
        <f aca="false">Sens!H19426*Sens!H19427*chip_f</f>
        <v>15.6992498159139</v>
      </c>
      <c r="I19428" s="15" t="n">
        <f aca="false">Sens!I19426*Sens!I19427*chip_f</f>
        <v>16.0102795344707</v>
      </c>
      <c r="J19428" s="15" t="n">
        <f aca="false">Sens!J19426*Sens!J19427*chip_f</f>
        <v>16.2603291573984</v>
      </c>
      <c r="K19428" s="15" t="n">
        <f aca="false">Sens!K19426*Sens!K19427*chip_f</f>
        <v>16.6089889677842</v>
      </c>
      <c r="L19428" s="1" t="s">
        <v>975</v>
      </c>
    </row>
    <row r="19429" customFormat="false" ht="17.15" hidden="false" customHeight="false" outlineLevel="0" collapsed="false">
      <c r="A19429" s="0" t="s">
        <v>976</v>
      </c>
      <c r="B19429" s="0" t="s">
        <v>98</v>
      </c>
      <c r="D19429" s="6" t="n">
        <f aca="false">(Sens!C19412+Sens!D19412)/2*Sens!D19428/1000</f>
        <v>12.9359794422418</v>
      </c>
      <c r="E19429" s="6" t="n">
        <f aca="false">(Sens!D19412+Sens!E19412)/2*Sens!E19428/1000</f>
        <v>27.8095064661409</v>
      </c>
      <c r="F19429" s="6" t="n">
        <f aca="false">(Sens!E19412+Sens!F19412)/2*Sens!F19428/1000</f>
        <v>60.1986421895533</v>
      </c>
      <c r="G19429" s="6" t="n">
        <f aca="false">(Sens!F19412+Sens!G19412)/2*Sens!G19428/1000</f>
        <v>105.994220371926</v>
      </c>
      <c r="H19429" s="6" t="n">
        <f aca="false">(Sens!G19412+Sens!H19412)/2*Sens!H19428/1000</f>
        <v>158.033951068614</v>
      </c>
      <c r="I19429" s="6" t="n">
        <f aca="false">(Sens!H19412+Sens!I19412)/2*Sens!I19428/1000</f>
        <v>198.456994737959</v>
      </c>
      <c r="J19429" s="6" t="n">
        <f aca="false">(Sens!I19412+Sens!J19412)/2*Sens!J19428/1000</f>
        <v>226.825572993488</v>
      </c>
      <c r="K19429" s="6" t="n">
        <f aca="false">(Sens!J19412+Sens!K19412)/2*Sens!K19428/1000</f>
        <v>245.077811684512</v>
      </c>
      <c r="L19429" s="12" t="s">
        <v>977</v>
      </c>
    </row>
    <row r="19430" customFormat="false" ht="17.15" hidden="false" customHeight="false" outlineLevel="0" collapsed="false">
      <c r="A19430" s="1" t="s">
        <v>978</v>
      </c>
      <c r="B19430" s="0" t="s">
        <v>403</v>
      </c>
      <c r="C19430" s="15" t="n">
        <f aca="false">(Sens!C19420*tk_opex_h100+Sens!C19421*tk_opex_gb200+Sens!C19422*tk_opex_gb300+(Sens!C19424+Sens!C19423)*tk_opex_vr200)/Sens!C19412</f>
        <v>1.88636041306092</v>
      </c>
      <c r="D19430" s="15" t="n">
        <f aca="false">(Sens!D19420*tk_opex_h100+Sens!D19421*tk_opex_gb200+Sens!D19422*tk_opex_gb300+(Sens!D19424+Sens!D19423)*tk_opex_vr200)/Sens!D19412</f>
        <v>1.88636041306092</v>
      </c>
      <c r="E19430" s="15" t="n">
        <f aca="false">(Sens!E19420*tk_opex_h100+Sens!E19421*tk_opex_gb200+Sens!E19422*tk_opex_gb300+(Sens!E19424+Sens!E19423)*tk_opex_vr200)/Sens!E19412</f>
        <v>1.88636041306092</v>
      </c>
      <c r="F19430" s="15" t="n">
        <f aca="false">(Sens!F19420*tk_opex_h100+Sens!F19421*tk_opex_gb200+Sens!F19422*tk_opex_gb300+(Sens!F19424+Sens!F19423)*tk_opex_vr200)/Sens!F19412</f>
        <v>1.9454540569274</v>
      </c>
      <c r="G19430" s="15" t="n">
        <f aca="false">(Sens!G19420*tk_opex_h100+Sens!G19421*tk_opex_gb200+Sens!G19422*tk_opex_gb300+(Sens!G19424+Sens!G19423)*tk_opex_vr200)/Sens!G19412</f>
        <v>1.98141385153259</v>
      </c>
      <c r="H19430" s="15" t="n">
        <f aca="false">(Sens!H19420*tk_opex_h100+Sens!H19421*tk_opex_gb200+Sens!H19422*tk_opex_gb300+(Sens!H19424+Sens!H19423)*tk_opex_vr200)/Sens!H19412</f>
        <v>2.00550638181245</v>
      </c>
      <c r="I19430" s="15" t="n">
        <f aca="false">(Sens!I19420*tk_opex_h100+Sens!I19421*tk_opex_gb200+Sens!I19422*tk_opex_gb300+(Sens!I19424+Sens!I19423)*tk_opex_vr200)/Sens!I19412</f>
        <v>2.02381555927288</v>
      </c>
      <c r="J19430" s="15" t="n">
        <f aca="false">(Sens!J19420*tk_opex_h100+Sens!J19421*tk_opex_gb200+Sens!J19422*tk_opex_gb300+(Sens!J19424+Sens!J19423)*tk_opex_vr200)/Sens!J19412</f>
        <v>2.03853506241663</v>
      </c>
      <c r="K19430" s="15" t="n">
        <f aca="false">(Sens!K19420*tk_opex_h100+Sens!K19421*tk_opex_gb200+Sens!K19422*tk_opex_gb300+(Sens!K19424+Sens!K19423)*tk_opex_vr200)/Sens!K19412</f>
        <v>2.05905938520897</v>
      </c>
      <c r="L19430" s="12" t="s">
        <v>979</v>
      </c>
    </row>
    <row r="19431" customFormat="false" ht="17.15" hidden="false" customHeight="false" outlineLevel="0" collapsed="false">
      <c r="A19431" s="0" t="s">
        <v>980</v>
      </c>
      <c r="B19431" s="0" t="s">
        <v>98</v>
      </c>
      <c r="D19431" s="6" t="n">
        <f aca="false">(Sens!C19415+Sens!D19415)/2*Sens!D19430/1000</f>
        <v>2.70378325872065</v>
      </c>
      <c r="E19431" s="6" t="n">
        <f aca="false">(Sens!D19415+Sens!E19415)/2*Sens!E19430/1000</f>
        <v>6.17783035277451</v>
      </c>
      <c r="F19431" s="6" t="n">
        <f aca="false">(Sens!E19415+Sens!F19415)/2*Sens!F19430/1000</f>
        <v>12.840864286109</v>
      </c>
      <c r="G19431" s="6" t="n">
        <f aca="false">(Sens!F19415+Sens!G19415)/2*Sens!G19430/1000</f>
        <v>21.7420629441117</v>
      </c>
      <c r="H19431" s="6" t="n">
        <f aca="false">(Sens!G19415+Sens!H19415)/2*Sens!H19430/1000</f>
        <v>31.1199029574239</v>
      </c>
      <c r="I19431" s="6" t="n">
        <f aca="false">(Sens!H19415+Sens!I19415)/2*Sens!I19430/1000</f>
        <v>39.2606671071963</v>
      </c>
      <c r="J19431" s="6" t="n">
        <f aca="false">(Sens!I19415+Sens!J19415)/2*Sens!J19430/1000</f>
        <v>44.8261284180868</v>
      </c>
      <c r="K19431" s="6" t="n">
        <f aca="false">(Sens!J19415+Sens!K19415)/2*Sens!K19430/1000</f>
        <v>48.0438037555794</v>
      </c>
    </row>
    <row r="19432" customFormat="false" ht="17.15" hidden="false" customHeight="false" outlineLevel="0" collapsed="false">
      <c r="A19432" s="0" t="s">
        <v>981</v>
      </c>
      <c r="B19432" s="0" t="s">
        <v>98</v>
      </c>
      <c r="D19432" s="6" t="n">
        <f aca="false">(Sens!C19413+Sens!D19413)/2*rent_mw/1000</f>
        <v>2.44475</v>
      </c>
      <c r="E19432" s="6" t="n">
        <f aca="false">(Sens!D19413+Sens!E19413)/2*rent_mw/1000</f>
        <v>4.22275</v>
      </c>
      <c r="F19432" s="6" t="n">
        <f aca="false">(Sens!E19413+Sens!F19413)/2*rent_mw/1000</f>
        <v>5.80517</v>
      </c>
      <c r="G19432" s="6" t="n">
        <f aca="false">(Sens!F19413+Sens!G19413)/2*rent_mw/1000</f>
        <v>6.72084</v>
      </c>
      <c r="H19432" s="6" t="n">
        <f aca="false">(Sens!G19413+Sens!H19413)/2*rent_mw/1000</f>
        <v>6.72084</v>
      </c>
      <c r="I19432" s="6" t="n">
        <f aca="false">(Sens!H19413+Sens!I19413)/2*rent_mw/1000</f>
        <v>6.72084</v>
      </c>
      <c r="J19432" s="6" t="n">
        <f aca="false">(Sens!I19413+Sens!J19413)/2*rent_mw/1000</f>
        <v>6.72084</v>
      </c>
      <c r="K19432" s="6" t="n">
        <f aca="false">(Sens!J19413+Sens!K19413)/2*rent_mw/1000</f>
        <v>6.72084</v>
      </c>
    </row>
    <row r="19433" customFormat="false" ht="17.15" hidden="false" customHeight="false" outlineLevel="0" collapsed="false">
      <c r="A19433" s="0" t="s">
        <v>982</v>
      </c>
      <c r="B19433" s="0" t="s">
        <v>98</v>
      </c>
      <c r="D19433" s="6" t="n">
        <f aca="false">(Sens!C19415+Sens!D19415)/2*(1-self_build)*fac_rent/1000</f>
        <v>0.853242375631075</v>
      </c>
      <c r="E19433" s="6" t="n">
        <f aca="false">(Sens!D19415+Sens!E19415)/2*(1-self_build)*fac_rent/1000</f>
        <v>1.94955961408728</v>
      </c>
      <c r="F19433" s="6" t="n">
        <f aca="false">(Sens!E19415+Sens!F19415)/2*(1-self_build)*fac_rent/1000</f>
        <v>3.92914894476356</v>
      </c>
      <c r="G19433" s="6" t="n">
        <f aca="false">(Sens!F19415+Sens!G19415)/2*(1-self_build)*fac_rent/1000</f>
        <v>6.53206908578159</v>
      </c>
      <c r="H19433" s="6" t="n">
        <f aca="false">(Sens!G19415+Sens!H19415)/2*(1-self_build)*fac_rent/1000</f>
        <v>9.23717988341591</v>
      </c>
      <c r="I19433" s="6" t="n">
        <f aca="false">(Sens!H19415+Sens!I19415)/2*(1-self_build)*fac_rent/1000</f>
        <v>11.5481378557393</v>
      </c>
      <c r="J19433" s="6" t="n">
        <f aca="false">(Sens!I19415+Sens!J19415)/2*(1-self_build)*fac_rent/1000</f>
        <v>13.0899582289108</v>
      </c>
      <c r="K19433" s="6" t="n">
        <f aca="false">(Sens!J19415+Sens!K19415)/2*(1-self_build)*fac_rent/1000</f>
        <v>13.8897275626556</v>
      </c>
      <c r="L19433" s="12" t="s">
        <v>983</v>
      </c>
    </row>
    <row r="19434" customFormat="false" ht="17.15" hidden="false" customHeight="false" outlineLevel="0" collapsed="false">
      <c r="A19434" s="1" t="s">
        <v>984</v>
      </c>
      <c r="B19434" s="0" t="s">
        <v>168</v>
      </c>
      <c r="D19434" s="7" t="n">
        <f aca="false">(Sens!C19414+Sens!D19414)/(Sens!C19415+Sens!D19415)</f>
        <v>0.6</v>
      </c>
      <c r="E19434" s="7" t="n">
        <f aca="false">(Sens!D19414+Sens!E19414)/(Sens!D19415+Sens!E19415)</f>
        <v>0.6</v>
      </c>
      <c r="F19434" s="7" t="n">
        <f aca="false">(Sens!E19414+Sens!F19414)/(Sens!E19415+Sens!F19415)</f>
        <v>0.6</v>
      </c>
      <c r="G19434" s="7" t="n">
        <f aca="false">(Sens!F19414+Sens!G19414)/(Sens!F19415+Sens!G19415)</f>
        <v>0.6</v>
      </c>
      <c r="H19434" s="7" t="n">
        <f aca="false">(Sens!G19414+Sens!H19414)/(Sens!G19415+Sens!H19415)</f>
        <v>0.6</v>
      </c>
      <c r="I19434" s="7" t="n">
        <f aca="false">(Sens!H19414+Sens!I19414)/(Sens!H19415+Sens!I19415)</f>
        <v>0.6</v>
      </c>
      <c r="J19434" s="7" t="n">
        <f aca="false">(Sens!I19414+Sens!J19414)/(Sens!I19415+Sens!J19415)</f>
        <v>0.6</v>
      </c>
      <c r="K19434" s="7" t="n">
        <f aca="false">(Sens!J19414+Sens!K19414)/(Sens!J19415+Sens!K19415)</f>
        <v>0.6</v>
      </c>
    </row>
    <row r="19435" customFormat="false" ht="17.15" hidden="false" customHeight="false" outlineLevel="0" collapsed="false">
      <c r="A19435" s="0" t="s">
        <v>985</v>
      </c>
      <c r="B19435" s="0" t="s">
        <v>98</v>
      </c>
      <c r="D19435" s="6" t="n">
        <f aca="false">Sens!D19429-Sens!D19434*(Sens!D19431+Sens!D19433)-Sens!D19432</f>
        <v>8.35701406163072</v>
      </c>
      <c r="E19435" s="6" t="n">
        <f aca="false">Sens!E19429-Sens!E19434*(Sens!E19431+Sens!E19433)-Sens!E19432</f>
        <v>18.7103224860238</v>
      </c>
      <c r="F19435" s="6" t="n">
        <f aca="false">Sens!F19429-Sens!F19434*(Sens!F19431+Sens!F19433)-Sens!F19432</f>
        <v>44.3314642510297</v>
      </c>
      <c r="G19435" s="6" t="n">
        <f aca="false">Sens!G19429-Sens!G19434*(Sens!G19431+Sens!G19433)-Sens!G19432</f>
        <v>82.3089011539897</v>
      </c>
      <c r="H19435" s="6" t="n">
        <f aca="false">Sens!H19429-Sens!H19434*(Sens!H19431+Sens!H19433)-Sens!H19432</f>
        <v>127.098861364111</v>
      </c>
      <c r="I19435" s="6" t="n">
        <f aca="false">Sens!I19429-Sens!I19434*(Sens!I19431+Sens!I19433)-Sens!I19432</f>
        <v>161.250871760197</v>
      </c>
      <c r="J19435" s="6" t="n">
        <f aca="false">Sens!J19429-Sens!J19434*(Sens!J19431+Sens!J19433)-Sens!J19432</f>
        <v>185.35508100529</v>
      </c>
      <c r="K19435" s="6" t="n">
        <f aca="false">Sens!K19429-Sens!K19434*(Sens!K19431+Sens!K19433)-Sens!K19432</f>
        <v>201.196852893571</v>
      </c>
    </row>
    <row r="19436" customFormat="false" ht="17.15" hidden="false" customHeight="false" outlineLevel="0" collapsed="false">
      <c r="A19436" s="1" t="s">
        <v>986</v>
      </c>
      <c r="B19436" s="0" t="s">
        <v>98</v>
      </c>
      <c r="D19436" s="6" t="n">
        <f aca="false">(1-Sens!D19434)*(Sens!D19431+Sens!D19433)</f>
        <v>1.42281025374069</v>
      </c>
      <c r="E19436" s="6" t="n">
        <f aca="false">(1-Sens!E19434)*(Sens!E19431+Sens!E19433)</f>
        <v>3.25095598674472</v>
      </c>
      <c r="F19436" s="6" t="n">
        <f aca="false">(1-Sens!F19434)*(Sens!F19431+Sens!F19433)</f>
        <v>6.70800529234904</v>
      </c>
      <c r="G19436" s="6" t="n">
        <f aca="false">(1-Sens!G19434)*(Sens!G19431+Sens!G19433)</f>
        <v>11.3096528119573</v>
      </c>
      <c r="H19436" s="6" t="n">
        <f aca="false">(1-Sens!H19434)*(Sens!H19431+Sens!H19433)</f>
        <v>16.1428331363359</v>
      </c>
      <c r="I19436" s="6" t="n">
        <f aca="false">(1-Sens!I19434)*(Sens!I19431+Sens!I19433)</f>
        <v>20.3235219851742</v>
      </c>
      <c r="J19436" s="6" t="n">
        <f aca="false">(1-Sens!J19434)*(Sens!J19431+Sens!J19433)</f>
        <v>23.166434658799</v>
      </c>
      <c r="K19436" s="6" t="n">
        <f aca="false">(1-Sens!K19434)*(Sens!K19431+Sens!K19433)</f>
        <v>24.773412527294</v>
      </c>
    </row>
    <row r="19437" customFormat="false" ht="17.15" hidden="false" customHeight="false" outlineLevel="0" collapsed="false">
      <c r="A19437" s="1" t="s">
        <v>987</v>
      </c>
      <c r="B19437" s="0" t="s">
        <v>414</v>
      </c>
      <c r="C19437" s="8" t="n">
        <f aca="false">cxit_open</f>
        <v>27.5918995</v>
      </c>
      <c r="D19437" s="8" t="n">
        <f aca="false">cxit_open</f>
        <v>27.5918995</v>
      </c>
      <c r="E19437" s="8" t="n">
        <f aca="false">cxit_open</f>
        <v>27.5918995</v>
      </c>
      <c r="F19437" s="8" t="n">
        <f aca="false">((a_g3_27-0*a_mai)*tk_cxit_gb300+0*a_mai*nv_hold_mai*tk_cxit_vr200+(1-a_g3_27)*tk_cxit_vr200)</f>
        <v>33.8419624</v>
      </c>
      <c r="G19437" s="8" t="n">
        <f aca="false">((a_g3_28-0*a_mai)*tk_cxit_gb300+0*a_mai*nv_hold_mai*tk_cxit_vr200+(1-a_g3_28)*tk_cxit_vr200)</f>
        <v>35.9816136</v>
      </c>
      <c r="H19437" s="8" t="n">
        <f aca="false">((a_g3_29-0*a_mai)*tk_cxit_gb300+0*a_mai*nv_hold_mai*tk_cxit_vr200+(1-a_g3_29)*tk_cxit_vr200)</f>
        <v>37.0514392</v>
      </c>
      <c r="I19437" s="8" t="n">
        <f aca="false">((a_g3_29-0*a_mai)*tk_cxit_gb300+0*a_mai*nv_hold_mai*tk_cxit_vr200+(1-a_g3_29)*tk_cxit_vr200)</f>
        <v>37.0514392</v>
      </c>
      <c r="J19437" s="8" t="n">
        <f aca="false">((a_g3_29-0*a_mai)*tk_cxit_gb300+0*a_mai*nv_hold_mai*tk_cxit_vr200+(1-a_g3_29)*tk_cxit_vr200)</f>
        <v>37.0514392</v>
      </c>
      <c r="K19437" s="8" t="n">
        <f aca="false">((a_g3_29-0*a_mai)*tk_cxit_gb300+0*a_mai*nv_hold_mai*tk_cxit_vr200+(1-a_g3_29)*tk_cxit_vr200)</f>
        <v>37.0514392</v>
      </c>
      <c r="L19437" s="12" t="s">
        <v>988</v>
      </c>
    </row>
    <row r="19438" customFormat="false" ht="17.15" hidden="false" customHeight="false" outlineLevel="0" collapsed="false">
      <c r="A19438" s="0" t="s">
        <v>989</v>
      </c>
      <c r="B19438" s="0" t="s">
        <v>456</v>
      </c>
      <c r="F19438" s="30" t="n">
        <f aca="false">Sens!C19417*IF(Sens!F19410-Sens!C19410=life_it,1,0)+Sens!D19417*IF(Sens!F19410-Sens!D19410=life_it,1,0)+Sens!E19417*IF(Sens!F19410-Sens!E19410=life_it,1,0)</f>
        <v>0</v>
      </c>
      <c r="G19438" s="30" t="n">
        <f aca="false">Sens!C19417*IF(Sens!G19410-Sens!C19410=life_it,1,0)+Sens!D19417*IF(Sens!G19410-Sens!D19410=life_it,1,0)+Sens!E19417*IF(Sens!G19410-Sens!E19410=life_it,1,0)+Sens!F19417*IF(Sens!G19410-Sens!F19410=life_it,1,0)</f>
        <v>0</v>
      </c>
      <c r="H19438" s="30" t="n">
        <f aca="false">Sens!C19417*IF(Sens!H19410-Sens!C19410=life_it,1,0)+Sens!D19417*IF(Sens!H19410-Sens!D19410=life_it,1,0)+Sens!E19417*IF(Sens!H19410-Sens!E19410=life_it,1,0)+Sens!F19417*IF(Sens!H19410-Sens!F19410=life_it,1,0)+Sens!G19417*IF(Sens!H19410-Sens!G19410=life_it,1,0)</f>
        <v>0</v>
      </c>
      <c r="I19438" s="30" t="n">
        <f aca="false">Sens!C19417*IF(Sens!I19410-Sens!C19410=life_it,1,0)+Sens!D19417*IF(Sens!I19410-Sens!D19410=life_it,1,0)+Sens!E19417*IF(Sens!I19410-Sens!E19410=life_it,1,0)+Sens!F19417*IF(Sens!I19410-Sens!F19410=life_it,1,0)+Sens!G19417*IF(Sens!I19410-Sens!G19410=life_it,1,0)+Sens!H19417*IF(Sens!I19410-Sens!H19410=life_it,1,0)</f>
        <v>816.666666666667</v>
      </c>
      <c r="J19438" s="30" t="n">
        <f aca="false">Sens!C19417*IF(Sens!J19410-Sens!C19410=life_it,1,0)+Sens!D19417*IF(Sens!J19410-Sens!D19410=life_it,1,0)+Sens!E19417*IF(Sens!J19410-Sens!E19410=life_it,1,0)+Sens!F19417*IF(Sens!J19410-Sens!F19410=life_it,1,0)+Sens!G19417*IF(Sens!J19410-Sens!G19410=life_it,1,0)+Sens!H19417*IF(Sens!J19410-Sens!H19410=life_it,1,0)+Sens!I19417*IF(Sens!J19410-Sens!I19410=life_it,1,0)</f>
        <v>1233.33333333333</v>
      </c>
      <c r="K19438" s="30" t="n">
        <f aca="false">Sens!C19417*IF(Sens!K19410-Sens!C19410=life_it,1,0)+Sens!D19417*IF(Sens!K19410-Sens!D19410=life_it,1,0)+Sens!E19417*IF(Sens!K19410-Sens!E19410=life_it,1,0)+Sens!F19417*IF(Sens!K19410-Sens!F19410=life_it,1,0)+Sens!G19417*IF(Sens!K19410-Sens!G19410=life_it,1,0)+Sens!H19417*IF(Sens!K19410-Sens!H19410=life_it,1,0)+Sens!I19417*IF(Sens!K19410-Sens!I19410=life_it,1,0)+Sens!J19417*IF(Sens!K19410-Sens!J19410=life_it,1,0)</f>
        <v>2450</v>
      </c>
      <c r="L19438" s="1" t="s">
        <v>990</v>
      </c>
    </row>
    <row r="19439" customFormat="false" ht="17.15" hidden="false" customHeight="false" outlineLevel="0" collapsed="false">
      <c r="A19439" s="0" t="s">
        <v>991</v>
      </c>
      <c r="B19439" s="0" t="s">
        <v>98</v>
      </c>
      <c r="C19439" s="6" t="n">
        <f aca="false">Sens!C19417*Sens!C19437/1000</f>
        <v>22.5333845916667</v>
      </c>
      <c r="D19439" s="6" t="n">
        <f aca="false">Sens!D19417*Sens!D19437/1000</f>
        <v>34.0300093833333</v>
      </c>
      <c r="E19439" s="6" t="n">
        <f aca="false">Sens!E19417*Sens!E19437/1000</f>
        <v>67.600153775</v>
      </c>
      <c r="F19439" s="6" t="n">
        <f aca="false">(Sens!F19417+Sens!F19438)*Sens!F19437/1000</f>
        <v>142.166423470134</v>
      </c>
      <c r="G19439" s="6" t="n">
        <f aca="false">(Sens!G19417+Sens!G19438)*Sens!G19437/1000</f>
        <v>163.508554058396</v>
      </c>
      <c r="H19439" s="6" t="n">
        <f aca="false">(Sens!H19417+Sens!H19438)*Sens!H19437/1000</f>
        <v>168.37008247386</v>
      </c>
      <c r="I19439" s="6" t="n">
        <f aca="false">(Sens!I19417+Sens!I19438)*Sens!I19437/1000</f>
        <v>149.563452426789</v>
      </c>
      <c r="J19439" s="6" t="n">
        <f aca="false">(Sens!J19417+Sens!J19438)*Sens!J19437/1000</f>
        <v>118.322342241321</v>
      </c>
      <c r="K19439" s="6" t="n">
        <f aca="false">(Sens!K19417+Sens!K19438)*Sens!K19437/1000</f>
        <v>117.708102661891</v>
      </c>
    </row>
    <row r="19440" customFormat="false" ht="17.15" hidden="false" customHeight="false" outlineLevel="0" collapsed="false">
      <c r="A19440" s="0" t="s">
        <v>992</v>
      </c>
      <c r="B19440" s="0" t="s">
        <v>98</v>
      </c>
      <c r="C19440" s="6" t="n">
        <f aca="false">Sens!C19417*self_build*tk_cxfac/1000</f>
        <v>6.2083</v>
      </c>
      <c r="D19440" s="6" t="n">
        <f aca="false">Sens!D19417*self_build*tk_cxfac/1000</f>
        <v>9.3758</v>
      </c>
      <c r="E19440" s="6" t="n">
        <f aca="false">Sens!E19417*self_build*tk_cxfac/1000</f>
        <v>18.6249</v>
      </c>
      <c r="F19440" s="6" t="n">
        <f aca="false">Sens!F19417*self_build*tk_cxfac/1000</f>
        <v>31.935179717</v>
      </c>
      <c r="G19440" s="6" t="n">
        <f aca="false">Sens!G19417*self_build*tk_cxfac/1000</f>
        <v>34.545199717</v>
      </c>
      <c r="H19440" s="6" t="n">
        <f aca="false">Sens!H19417*self_build*tk_cxfac/1000</f>
        <v>34.545199717</v>
      </c>
      <c r="I19440" s="6" t="n">
        <f aca="false">Sens!I19417*self_build*tk_cxfac/1000</f>
        <v>24.4782641361767</v>
      </c>
      <c r="J19440" s="6" t="n">
        <f aca="false">Sens!J19417*self_build*tk_cxfac/1000</f>
        <v>14.9008938380769</v>
      </c>
      <c r="K19440" s="6" t="n">
        <f aca="false">Sens!K19417*self_build*tk_cxfac/1000</f>
        <v>5.52576771375761</v>
      </c>
    </row>
    <row r="19441" customFormat="false" ht="17.15" hidden="false" customHeight="false" outlineLevel="0" collapsed="false">
      <c r="A19441" s="0" t="s">
        <v>993</v>
      </c>
      <c r="B19441" s="0" t="s">
        <v>98</v>
      </c>
      <c r="F19441" s="15" t="n">
        <f aca="false">capex_floor27-Sens!F19439-Sens!F19440-Sens!F19537</f>
        <v>-5.55202279576272</v>
      </c>
      <c r="L19441" s="12" t="s">
        <v>994</v>
      </c>
    </row>
    <row r="19442" customFormat="false" ht="17.15" hidden="false" customHeight="false" outlineLevel="0" collapsed="false">
      <c r="A19442" s="0" t="s">
        <v>995</v>
      </c>
      <c r="B19442" s="0" t="s">
        <v>98</v>
      </c>
      <c r="F19442" s="6" t="n">
        <f aca="false">MAX(0,Sens!F19441)</f>
        <v>0</v>
      </c>
    </row>
    <row r="19443" customFormat="false" ht="17.15" hidden="false" customHeight="false" outlineLevel="0" collapsed="false">
      <c r="A19443" s="0" t="s">
        <v>996</v>
      </c>
      <c r="B19443" s="0" t="s">
        <v>98</v>
      </c>
      <c r="C19443" s="6" t="n">
        <f aca="false">Sens!C19439</f>
        <v>22.5333845916667</v>
      </c>
      <c r="D19443" s="6" t="n">
        <f aca="false">Sens!D19439</f>
        <v>34.0300093833333</v>
      </c>
      <c r="E19443" s="6" t="n">
        <f aca="false">Sens!E19439</f>
        <v>67.600153775</v>
      </c>
      <c r="F19443" s="6" t="n">
        <f aca="false">Sens!F19439</f>
        <v>142.166423470134</v>
      </c>
      <c r="G19443" s="6" t="n">
        <f aca="false">Sens!G19439</f>
        <v>163.508554058396</v>
      </c>
      <c r="H19443" s="6" t="n">
        <f aca="false">Sens!H19439</f>
        <v>168.37008247386</v>
      </c>
      <c r="I19443" s="6" t="n">
        <f aca="false">Sens!I19439</f>
        <v>149.563452426789</v>
      </c>
      <c r="J19443" s="6" t="n">
        <f aca="false">Sens!J19439</f>
        <v>118.322342241321</v>
      </c>
      <c r="K19443" s="6" t="n">
        <f aca="false">Sens!K19439</f>
        <v>117.708102661891</v>
      </c>
    </row>
    <row r="19444" customFormat="false" ht="17.15" hidden="false" customHeight="false" outlineLevel="0" collapsed="false">
      <c r="A19444" s="0" t="s">
        <v>997</v>
      </c>
      <c r="B19444" s="0" t="s">
        <v>98</v>
      </c>
      <c r="C19444" s="6" t="n">
        <f aca="false">Sens!C19443+Sens!C19440</f>
        <v>28.7416845916667</v>
      </c>
      <c r="D19444" s="6" t="n">
        <f aca="false">Sens!D19443+Sens!D19440</f>
        <v>43.4058093833333</v>
      </c>
      <c r="E19444" s="6" t="n">
        <f aca="false">Sens!E19443+Sens!E19440</f>
        <v>86.225053775</v>
      </c>
      <c r="F19444" s="6" t="n">
        <f aca="false">Sens!F19443+Sens!F19440</f>
        <v>174.101603187134</v>
      </c>
      <c r="G19444" s="6" t="n">
        <f aca="false">Sens!G19443+Sens!G19440</f>
        <v>198.053753775396</v>
      </c>
      <c r="H19444" s="6" t="n">
        <f aca="false">Sens!H19443+Sens!H19440</f>
        <v>202.91528219086</v>
      </c>
      <c r="I19444" s="6" t="n">
        <f aca="false">Sens!I19443+Sens!I19440</f>
        <v>174.041716562966</v>
      </c>
      <c r="J19444" s="6" t="n">
        <f aca="false">Sens!J19443+Sens!J19440</f>
        <v>133.223236079397</v>
      </c>
      <c r="K19444" s="6" t="n">
        <f aca="false">Sens!K19443+Sens!K19440</f>
        <v>123.233870375648</v>
      </c>
      <c r="L19444" s="12" t="s">
        <v>998</v>
      </c>
    </row>
    <row r="19445" customFormat="false" ht="17.15" hidden="false" customHeight="false" outlineLevel="0" collapsed="false">
      <c r="A19445" s="0" t="s">
        <v>999</v>
      </c>
      <c r="B19445" s="0" t="s">
        <v>98</v>
      </c>
      <c r="E19445" s="6" t="n">
        <f aca="false">(Sens!C19443*IF(2&lt;life_it,1,IF(2=life_it,0.5,0))+Sens!D19443*IF(1&lt;life_it,1,IF(1=life_it,0.5,0))+Sens!E19443*0.5)/life_it</f>
        <v>15.0605784770833</v>
      </c>
      <c r="F19445" s="6" t="n">
        <f aca="false">(Sens!C19443*IF(3&lt;life_it,1,IF(3=life_it,0.5,0))+Sens!D19443*IF(2&lt;life_it,1,IF(2=life_it,0.5,0))+Sens!E19443*IF(1&lt;life_it,1,IF(1=life_it,0.5,0))+Sens!F19443*0.5)/life_it</f>
        <v>32.5411265808445</v>
      </c>
      <c r="G19445" s="6" t="n">
        <f aca="false">(Sens!C19443*IF(4&lt;life_it,1,IF(4=life_it,0.5,0))+Sens!D19443*IF(3&lt;life_it,1,IF(3=life_it,0.5,0))+Sens!E19443*IF(2&lt;life_it,1,IF(2=life_it,0.5,0))+Sens!F19443*IF(1&lt;life_it,1,IF(1=life_it,0.5,0))+Sens!G19443*0.5)/life_it</f>
        <v>58.0140413748886</v>
      </c>
      <c r="H19445" s="6" t="n">
        <f aca="false">(Sens!C19443*IF(5&lt;life_it,1,IF(5=life_it,0.5,0))+Sens!D19443*IF(4&lt;life_it,1,IF(4=life_it,0.5,0))+Sens!E19443*IF(3&lt;life_it,1,IF(3=life_it,0.5,0))+Sens!F19443*IF(2&lt;life_it,1,IF(2=life_it,0.5,0))+Sens!G19443*IF(1&lt;life_it,1,IF(1=life_it,0.5,0))+Sens!H19443*0.5)/life_it</f>
        <v>85.6705944192432</v>
      </c>
      <c r="I19445" s="6" t="n">
        <f aca="false">(Sens!C19443*IF(6&lt;life_it,1,IF(6=life_it,0.5,0))+Sens!D19443*IF(5&lt;life_it,1,IF(5=life_it,0.5,0))+Sens!E19443*IF(4&lt;life_it,1,IF(4=life_it,0.5,0))+Sens!F19443*IF(3&lt;life_it,1,IF(3=life_it,0.5,0))+Sens!G19443*IF(2&lt;life_it,1,IF(2=life_it,0.5,0))+Sens!H19443*IF(1&lt;life_it,1,IF(1=life_it,0.5,0))+Sens!I19443*0.5)/life_it</f>
        <v>110.287273611658</v>
      </c>
      <c r="J19445" s="6" t="n">
        <f aca="false">(Sens!C19443*IF(7&lt;life_it,1,IF(7=life_it,0.5,0))+Sens!D19443*IF(6&lt;life_it,1,IF(6=life_it,0.5,0))+Sens!E19443*IF(5&lt;life_it,1,IF(5=life_it,0.5,0))+Sens!F19443*IF(4&lt;life_it,1,IF(4=life_it,0.5,0))+Sens!G19443*IF(3&lt;life_it,1,IF(3=life_it,0.5,0))+Sens!H19443*IF(2&lt;life_it,1,IF(2=life_it,0.5,0))+Sens!I19443*IF(1&lt;life_it,1,IF(1=life_it,0.5,0))+Sens!J19443*0.5)/life_it</f>
        <v>127.897473669418</v>
      </c>
      <c r="K19445" s="6" t="n">
        <f aca="false">(Sens!C19443*IF(8&lt;life_it,1,IF(8=life_it,0.5,0))+Sens!D19443*IF(7&lt;life_it,1,IF(7=life_it,0.5,0))+Sens!E19443*IF(6&lt;life_it,1,IF(6=life_it,0.5,0))+Sens!F19443*IF(5&lt;life_it,1,IF(5=life_it,0.5,0))+Sens!G19443*IF(4&lt;life_it,1,IF(4=life_it,0.5,0))+Sens!H19443*IF(3&lt;life_it,1,IF(3=life_it,0.5,0))+Sens!I19443*IF(2&lt;life_it,1,IF(2=life_it,0.5,0))+Sens!J19443*IF(1&lt;life_it,1,IF(1=life_it,0.5,0))+Sens!K19443*0.5)/life_it</f>
        <v>139.097497148157</v>
      </c>
    </row>
    <row r="19446" customFormat="false" ht="17.15" hidden="false" customHeight="false" outlineLevel="0" collapsed="false">
      <c r="A19446" s="0" t="s">
        <v>1000</v>
      </c>
      <c r="B19446" s="0" t="s">
        <v>98</v>
      </c>
      <c r="E19446" s="6" t="n">
        <f aca="false">(Sens!C19440*IF(2&lt;life_fac,1,IF(2=life_fac,0.5,0))+Sens!D19440*IF(1&lt;life_fac,1,IF(1=life_fac,0.5,0))+Sens!E19440*0.5)/life_fac</f>
        <v>1.2448275</v>
      </c>
      <c r="F19446" s="6" t="n">
        <f aca="false">(Sens!C19440*IF(3&lt;life_fac,1,IF(3=life_fac,0.5,0))+Sens!D19440*IF(2&lt;life_fac,1,IF(2=life_fac,0.5,0))+Sens!E19440*IF(1&lt;life_fac,1,IF(1=life_fac,0.5,0))+Sens!F19440*0.5)/life_fac</f>
        <v>2.508829492925</v>
      </c>
      <c r="G19446" s="6" t="n">
        <f aca="false">(Sens!C19440*IF(4&lt;life_fac,1,IF(4=life_fac,0.5,0))+Sens!D19440*IF(3&lt;life_fac,1,IF(3=life_fac,0.5,0))+Sens!E19440*IF(2&lt;life_fac,1,IF(2=life_fac,0.5,0))+Sens!F19440*IF(1&lt;life_fac,1,IF(1=life_fac,0.5,0))+Sens!G19440*0.5)/life_fac</f>
        <v>4.170838978775</v>
      </c>
      <c r="H19446" s="6" t="n">
        <f aca="false">(Sens!C19440*IF(5&lt;life_fac,1,IF(5=life_fac,0.5,0))+Sens!D19440*IF(4&lt;life_fac,1,IF(4=life_fac,0.5,0))+Sens!E19440*IF(3&lt;life_fac,1,IF(3=life_fac,0.5,0))+Sens!F19440*IF(2&lt;life_fac,1,IF(2=life_fac,0.5,0))+Sens!G19440*IF(1&lt;life_fac,1,IF(1=life_fac,0.5,0))+Sens!H19440*0.5)/life_fac</f>
        <v>5.898098964625</v>
      </c>
      <c r="I19446" s="6" t="n">
        <f aca="false">(Sens!C19440*IF(6&lt;life_fac,1,IF(6=life_fac,0.5,0))+Sens!D19440*IF(5&lt;life_fac,1,IF(5=life_fac,0.5,0))+Sens!E19440*IF(4&lt;life_fac,1,IF(4=life_fac,0.5,0))+Sens!F19440*IF(3&lt;life_fac,1,IF(3=life_fac,0.5,0))+Sens!G19440*IF(2&lt;life_fac,1,IF(2=life_fac,0.5,0))+Sens!H19440*IF(1&lt;life_fac,1,IF(1=life_fac,0.5,0))+Sens!I19440*0.5)/life_fac</f>
        <v>7.37368556095442</v>
      </c>
      <c r="J19446" s="6" t="n">
        <f aca="false">(Sens!C19440*IF(7&lt;life_fac,1,IF(7=life_fac,0.5,0))+Sens!D19440*IF(6&lt;life_fac,1,IF(6=life_fac,0.5,0))+Sens!E19440*IF(5&lt;life_fac,1,IF(5=life_fac,0.5,0))+Sens!F19440*IF(4&lt;life_fac,1,IF(4=life_fac,0.5,0))+Sens!G19440*IF(3&lt;life_fac,1,IF(3=life_fac,0.5,0))+Sens!H19440*IF(2&lt;life_fac,1,IF(2=life_fac,0.5,0))+Sens!I19440*IF(1&lt;life_fac,1,IF(1=life_fac,0.5,0))+Sens!J19440*0.5)/life_fac</f>
        <v>8.35816451031075</v>
      </c>
      <c r="K19446" s="6" t="n">
        <f aca="false">(Sens!C19440*IF(8&lt;life_fac,1,IF(8=life_fac,0.5,0))+Sens!D19440*IF(7&lt;life_fac,1,IF(7=life_fac,0.5,0))+Sens!E19440*IF(6&lt;life_fac,1,IF(6=life_fac,0.5,0))+Sens!F19440*IF(5&lt;life_fac,1,IF(5=life_fac,0.5,0))+Sens!G19440*IF(4&lt;life_fac,1,IF(4=life_fac,0.5,0))+Sens!H19440*IF(3&lt;life_fac,1,IF(3=life_fac,0.5,0))+Sens!I19440*IF(2&lt;life_fac,1,IF(2=life_fac,0.5,0))+Sens!J19440*IF(1&lt;life_fac,1,IF(1=life_fac,0.5,0))+Sens!K19440*0.5)/life_fac</f>
        <v>8.86883104910662</v>
      </c>
    </row>
    <row r="19447" customFormat="false" ht="17.15" hidden="false" customHeight="false" outlineLevel="0" collapsed="false">
      <c r="A19447" s="0" t="s">
        <v>1001</v>
      </c>
      <c r="B19447" s="0" t="s">
        <v>98</v>
      </c>
      <c r="E19447" s="6" t="n">
        <f aca="false">Sens!E19445+Sens!E19446</f>
        <v>16.3054059770833</v>
      </c>
      <c r="F19447" s="6" t="n">
        <f aca="false">Sens!F19445+Sens!F19446</f>
        <v>35.0499560737695</v>
      </c>
      <c r="G19447" s="6" t="n">
        <f aca="false">Sens!G19445+Sens!G19446</f>
        <v>62.1848803536636</v>
      </c>
      <c r="H19447" s="6" t="n">
        <f aca="false">Sens!H19445+Sens!H19446</f>
        <v>91.5686933838682</v>
      </c>
      <c r="I19447" s="6" t="n">
        <f aca="false">Sens!I19445+Sens!I19446</f>
        <v>117.660959172613</v>
      </c>
      <c r="J19447" s="6" t="n">
        <f aca="false">Sens!J19445+Sens!J19446</f>
        <v>136.255638179728</v>
      </c>
      <c r="K19447" s="6" t="n">
        <f aca="false">Sens!K19445+Sens!K19446</f>
        <v>147.966328197264</v>
      </c>
    </row>
    <row r="19448" customFormat="false" ht="17.15" hidden="false" customHeight="false" outlineLevel="0" collapsed="false">
      <c r="A19448" s="0" t="s">
        <v>1002</v>
      </c>
      <c r="B19448" s="0" t="s">
        <v>98</v>
      </c>
      <c r="E19448" s="6" t="n">
        <f aca="false">Sens!E19435-Sens!E19434*Sens!E19447</f>
        <v>8.92707889977379</v>
      </c>
      <c r="F19448" s="6" t="n">
        <f aca="false">Sens!F19435-Sens!F19434*Sens!F19447</f>
        <v>23.301490606768</v>
      </c>
      <c r="G19448" s="6" t="n">
        <f aca="false">Sens!G19435-Sens!G19434*Sens!G19447</f>
        <v>44.9979729417915</v>
      </c>
      <c r="H19448" s="6" t="n">
        <f aca="false">Sens!H19435-Sens!H19434*Sens!H19447</f>
        <v>72.1576453337897</v>
      </c>
      <c r="I19448" s="6" t="n">
        <f aca="false">Sens!I19435-Sens!I19434*Sens!I19447</f>
        <v>90.6542962566297</v>
      </c>
      <c r="J19448" s="6" t="n">
        <f aca="false">Sens!J19435-Sens!J19434*Sens!J19447</f>
        <v>103.601698097453</v>
      </c>
      <c r="K19448" s="6" t="n">
        <f aca="false">Sens!K19435-Sens!K19434*Sens!K19447</f>
        <v>112.417055975213</v>
      </c>
    </row>
    <row r="19449" customFormat="false" ht="17.15" hidden="false" customHeight="false" outlineLevel="0" collapsed="false">
      <c r="A19449" s="3" t="s">
        <v>1960</v>
      </c>
    </row>
    <row r="19450" customFormat="false" ht="15" hidden="false" customHeight="false" outlineLevel="0" collapsed="false">
      <c r="A19450" s="4" t="s">
        <v>43</v>
      </c>
      <c r="B19450" s="4" t="s">
        <v>65</v>
      </c>
      <c r="C19450" s="23" t="s">
        <v>938</v>
      </c>
      <c r="D19450" s="23" t="s">
        <v>939</v>
      </c>
      <c r="E19450" s="23" t="s">
        <v>940</v>
      </c>
      <c r="F19450" s="23" t="s">
        <v>941</v>
      </c>
      <c r="G19450" s="23" t="s">
        <v>942</v>
      </c>
      <c r="H19450" s="23" t="s">
        <v>943</v>
      </c>
      <c r="I19450" s="23" t="s">
        <v>944</v>
      </c>
      <c r="J19450" s="23" t="s">
        <v>945</v>
      </c>
      <c r="K19450" s="23" t="s">
        <v>946</v>
      </c>
      <c r="L19450" s="4" t="s">
        <v>47</v>
      </c>
    </row>
    <row r="19451" customFormat="false" ht="17.15" hidden="false" customHeight="false" outlineLevel="0" collapsed="false">
      <c r="A19451" s="0" t="s">
        <v>1021</v>
      </c>
      <c r="B19451" s="0" t="s">
        <v>98</v>
      </c>
      <c r="D19451" s="6" t="n">
        <f aca="false">Sens!D19429</f>
        <v>12.9359794422418</v>
      </c>
      <c r="E19451" s="6" t="n">
        <f aca="false">Sens!E19429</f>
        <v>27.8095064661409</v>
      </c>
      <c r="F19451" s="6" t="n">
        <f aca="false">Sens!F19429</f>
        <v>60.1986421895533</v>
      </c>
      <c r="G19451" s="6" t="n">
        <f aca="false">Sens!G19429</f>
        <v>105.994220371926</v>
      </c>
      <c r="H19451" s="6" t="n">
        <f aca="false">Sens!H19429</f>
        <v>158.033951068614</v>
      </c>
      <c r="I19451" s="6" t="n">
        <f aca="false">Sens!I19429</f>
        <v>198.456994737959</v>
      </c>
      <c r="J19451" s="6" t="n">
        <f aca="false">Sens!J19429</f>
        <v>226.825572993488</v>
      </c>
      <c r="K19451" s="6" t="n">
        <f aca="false">Sens!K19429</f>
        <v>245.077811684512</v>
      </c>
    </row>
    <row r="19452" customFormat="false" ht="17.15" hidden="false" customHeight="false" outlineLevel="0" collapsed="false">
      <c r="A19452" s="0" t="s">
        <v>1022</v>
      </c>
      <c r="B19452" s="0" t="s">
        <v>98</v>
      </c>
      <c r="D19452" s="6" t="n">
        <f aca="false">Q!L6-Sens!D19451</f>
        <v>59.6740205577583</v>
      </c>
      <c r="E19452" s="6" t="n">
        <f aca="false">Q!M6-Sens!E19451</f>
        <v>74.1284935338591</v>
      </c>
      <c r="F19452" s="6" t="n">
        <f aca="false">Q!$I$6+(Sens!F19451+Sens!E19452*(1+Sens!F19453))*(1-Q!$E$6/Q!M6)-Sens!F19451</f>
        <v>90.2461072871302</v>
      </c>
      <c r="G19452" s="6" t="n">
        <f aca="false">Sens!F19452*(1+Sens!G19453)</f>
        <v>107.225845172334</v>
      </c>
      <c r="H19452" s="6" t="n">
        <f aca="false">Sens!G19452*(1+Sens!H19453)</f>
        <v>124.501209269165</v>
      </c>
      <c r="I19452" s="6" t="n">
        <f aca="false">Sens!H19452*(1+Sens!I19453)</f>
        <v>141.193662547632</v>
      </c>
      <c r="J19452" s="6" t="n">
        <f aca="false">Sens!I19452*(1+Sens!J19453)</f>
        <v>156.306652917959</v>
      </c>
      <c r="K19452" s="6" t="n">
        <f aca="false">Sens!J19452*(1+Sens!K19453)</f>
        <v>168.811185151396</v>
      </c>
      <c r="L19452" s="12" t="s">
        <v>1023</v>
      </c>
    </row>
    <row r="19453" customFormat="false" ht="15" hidden="false" customHeight="false" outlineLevel="0" collapsed="false">
      <c r="A19453" s="1" t="s">
        <v>1024</v>
      </c>
      <c r="B19453" s="0" t="s">
        <v>168</v>
      </c>
      <c r="E19453" s="7" t="n">
        <f aca="false">Sens!E19452/Sens!D19452-1</f>
        <v>0.242223883039864</v>
      </c>
      <c r="F19453" s="7" t="n">
        <f aca="false">Sens!$E$19453+(glt_azo-Sens!$E$19453)*MIN(1,(Sens!F19410-base_fy)/n_conv)</f>
        <v>0.215186569199887</v>
      </c>
      <c r="G19453" s="7" t="n">
        <f aca="false">Sens!$E$19453+(glt_azo-Sens!$E$19453)*MIN(1,(Sens!G19410-base_fy)/n_conv)</f>
        <v>0.18814925535991</v>
      </c>
      <c r="H19453" s="7" t="n">
        <f aca="false">Sens!$E$19453+(glt_azo-Sens!$E$19453)*MIN(1,(Sens!H19410-base_fy)/n_conv)</f>
        <v>0.161111941519932</v>
      </c>
      <c r="I19453" s="7" t="n">
        <f aca="false">Sens!$E$19453+(glt_azo-Sens!$E$19453)*MIN(1,(Sens!I19410-base_fy)/n_conv)</f>
        <v>0.134074627679955</v>
      </c>
      <c r="J19453" s="7" t="n">
        <f aca="false">Sens!$E$19453+(glt_azo-Sens!$E$19453)*MIN(1,(Sens!J19410-base_fy)/n_conv)</f>
        <v>0.107037313839977</v>
      </c>
      <c r="K19453" s="7" t="n">
        <f aca="false">Sens!$E$19453+(glt_azo-Sens!$E$19453)*MIN(1,(Sens!K19410-base_fy)/n_conv)</f>
        <v>0.08</v>
      </c>
    </row>
    <row r="19454" customFormat="false" ht="15" hidden="false" customHeight="false" outlineLevel="0" collapsed="false">
      <c r="A19454" s="0" t="s">
        <v>1025</v>
      </c>
      <c r="B19454" s="0" t="s">
        <v>98</v>
      </c>
      <c r="D19454" s="6" t="n">
        <f aca="false">Sens!D19451+Sens!D19452</f>
        <v>72.61</v>
      </c>
      <c r="E19454" s="6" t="n">
        <f aca="false">Sens!E19451+Sens!E19452</f>
        <v>101.938</v>
      </c>
      <c r="F19454" s="6" t="n">
        <f aca="false">Sens!F19451+Sens!F19452</f>
        <v>150.444749476683</v>
      </c>
      <c r="G19454" s="6" t="n">
        <f aca="false">Sens!G19451+Sens!G19452</f>
        <v>213.22006554426</v>
      </c>
      <c r="H19454" s="6" t="n">
        <f aca="false">Sens!H19451+Sens!H19452</f>
        <v>282.535160337779</v>
      </c>
      <c r="I19454" s="6" t="n">
        <f aca="false">Sens!I19451+Sens!I19452</f>
        <v>339.650657285591</v>
      </c>
      <c r="J19454" s="6" t="n">
        <f aca="false">Sens!J19451+Sens!J19452</f>
        <v>383.132225911447</v>
      </c>
      <c r="K19454" s="6" t="n">
        <f aca="false">Sens!K19451+Sens!K19452</f>
        <v>413.888996835908</v>
      </c>
    </row>
    <row r="19455" customFormat="false" ht="17.15" hidden="false" customHeight="false" outlineLevel="0" collapsed="false">
      <c r="A19455" s="0" t="s">
        <v>1026</v>
      </c>
      <c r="B19455" s="1" t="s">
        <v>610</v>
      </c>
      <c r="C19455" s="30" t="n">
        <f aca="false">cop_s24</f>
        <v>1</v>
      </c>
      <c r="D19455" s="30" t="n">
        <f aca="false">cop_s25</f>
        <v>5</v>
      </c>
      <c r="E19455" s="30" t="n">
        <f aca="false">cop_s26</f>
        <v>30</v>
      </c>
      <c r="F19455" s="30" t="n">
        <f aca="false">Sens!E19455+cop_add_A</f>
        <v>60</v>
      </c>
      <c r="G19455" s="30" t="n">
        <f aca="false">Sens!F19455+cop_add_A</f>
        <v>90</v>
      </c>
      <c r="H19455" s="30" t="n">
        <f aca="false">Sens!G19455+cop_add_A</f>
        <v>120</v>
      </c>
      <c r="I19455" s="30" t="n">
        <f aca="false">Sens!H19455+cop_add_A*cop_tail</f>
        <v>135</v>
      </c>
      <c r="J19455" s="30" t="n">
        <f aca="false">Sens!I19455+cop_add_A*cop_tail</f>
        <v>150</v>
      </c>
      <c r="K19455" s="30" t="n">
        <f aca="false">Sens!J19455+cop_add_A*cop_tail</f>
        <v>165</v>
      </c>
      <c r="L19455" s="12" t="s">
        <v>1027</v>
      </c>
    </row>
    <row r="19456" customFormat="false" ht="17.15" hidden="false" customHeight="false" outlineLevel="0" collapsed="false">
      <c r="A19456" s="0" t="s">
        <v>1028</v>
      </c>
      <c r="B19456" s="0" t="s">
        <v>98</v>
      </c>
      <c r="D19456" s="6" t="n">
        <f aca="false">(Sens!C19455+Sens!D19455)/2*cop_px*12/1000</f>
        <v>0.9</v>
      </c>
      <c r="E19456" s="6" t="n">
        <f aca="false">(Sens!D19455+Sens!E19455)/2*cop_px*12/1000</f>
        <v>5.25</v>
      </c>
      <c r="F19456" s="6" t="n">
        <f aca="false">(Sens!E19455+Sens!F19455)/2*cop_px*12/1000</f>
        <v>13.5</v>
      </c>
      <c r="G19456" s="6" t="n">
        <f aca="false">(Sens!F19455+Sens!G19455)/2*cop_px*12/1000</f>
        <v>22.5</v>
      </c>
      <c r="H19456" s="6" t="n">
        <f aca="false">(Sens!G19455+Sens!H19455)/2*cop_px*12/1000</f>
        <v>31.5</v>
      </c>
      <c r="I19456" s="6" t="n">
        <f aca="false">(Sens!H19455+Sens!I19455)/2*cop_px*12/1000</f>
        <v>38.25</v>
      </c>
      <c r="J19456" s="6" t="n">
        <f aca="false">(Sens!I19455+Sens!J19455)/2*cop_px*12/1000</f>
        <v>42.75</v>
      </c>
      <c r="K19456" s="6" t="n">
        <f aca="false">(Sens!J19455+Sens!K19455)/2*cop_px*12/1000</f>
        <v>47.25</v>
      </c>
      <c r="L19456" s="1" t="s">
        <v>1029</v>
      </c>
    </row>
    <row r="19457" customFormat="false" ht="17.15" hidden="false" customHeight="false" outlineLevel="0" collapsed="false">
      <c r="A19457" s="0" t="s">
        <v>1030</v>
      </c>
      <c r="B19457" s="0" t="s">
        <v>98</v>
      </c>
      <c r="D19457" s="6" t="n">
        <f aca="false">Q!L7-Sens!D19456</f>
        <v>83.705</v>
      </c>
      <c r="E19457" s="6" t="n">
        <f aca="false">Q!M7-Sens!E19456</f>
        <v>95.049</v>
      </c>
      <c r="F19457" s="6" t="n">
        <f aca="false">Q!$I$7+(Sens!E19457*(1+Sens!F19458)+Sens!F19456)*(1-Q!$E$7/Q!M7)-Sens!F19456</f>
        <v>106.229653205718</v>
      </c>
      <c r="G19457" s="6" t="n">
        <f aca="false">Sens!F19457*(1+Sens!G19458)</f>
        <v>118.306092647576</v>
      </c>
      <c r="H19457" s="6" t="n">
        <f aca="false">Sens!G19457*(1+Sens!H19458)</f>
        <v>130.463437602768</v>
      </c>
      <c r="I19457" s="6" t="n">
        <f aca="false">Sens!H19457*(1+Sens!I19458)</f>
        <v>142.445354741933</v>
      </c>
      <c r="J19457" s="6" t="n">
        <f aca="false">Sens!I19457*(1+Sens!J19458)</f>
        <v>153.972117481571</v>
      </c>
      <c r="K19457" s="6" t="n">
        <f aca="false">Sens!J19457*(1+Sens!K19458)</f>
        <v>164.75016570528</v>
      </c>
      <c r="L19457" s="12" t="s">
        <v>1031</v>
      </c>
    </row>
    <row r="19458" customFormat="false" ht="15" hidden="false" customHeight="false" outlineLevel="0" collapsed="false">
      <c r="A19458" s="1" t="s">
        <v>1024</v>
      </c>
      <c r="B19458" s="0" t="s">
        <v>168</v>
      </c>
      <c r="E19458" s="7" t="n">
        <f aca="false">Sens!E19457/Sens!D19457-1</f>
        <v>0.135523564900544</v>
      </c>
      <c r="F19458" s="7" t="n">
        <f aca="false">Sens!$E$19458+(glt_m365b-Sens!$E$19458)*MIN(1,(Sens!F19410-base_fy)/n_conv)</f>
        <v>0.124602970750453</v>
      </c>
      <c r="G19458" s="7" t="n">
        <f aca="false">Sens!$E$19458+(glt_m365b-Sens!$E$19458)*MIN(1,(Sens!G19410-base_fy)/n_conv)</f>
        <v>0.113682376600363</v>
      </c>
      <c r="H19458" s="7" t="n">
        <f aca="false">Sens!$E$19458+(glt_m365b-Sens!$E$19458)*MIN(1,(Sens!H19410-base_fy)/n_conv)</f>
        <v>0.102761782450272</v>
      </c>
      <c r="I19458" s="7" t="n">
        <f aca="false">Sens!$E$19458+(glt_m365b-Sens!$E$19458)*MIN(1,(Sens!I19410-base_fy)/n_conv)</f>
        <v>0.0918411883001813</v>
      </c>
      <c r="J19458" s="7" t="n">
        <f aca="false">Sens!$E$19458+(glt_m365b-Sens!$E$19458)*MIN(1,(Sens!J19410-base_fy)/n_conv)</f>
        <v>0.0809205941500906</v>
      </c>
      <c r="K19458" s="7" t="n">
        <f aca="false">Sens!$E$19458+(glt_m365b-Sens!$E$19458)*MIN(1,(Sens!K19410-base_fy)/n_conv)</f>
        <v>0.07</v>
      </c>
    </row>
    <row r="19459" customFormat="false" ht="15" hidden="false" customHeight="false" outlineLevel="0" collapsed="false">
      <c r="A19459" s="0" t="s">
        <v>1032</v>
      </c>
      <c r="B19459" s="0" t="s">
        <v>98</v>
      </c>
      <c r="D19459" s="6" t="n">
        <f aca="false">Sens!D19457+Sens!D19456</f>
        <v>84.605</v>
      </c>
      <c r="E19459" s="6" t="n">
        <f aca="false">Sens!E19457+Sens!E19456</f>
        <v>100.299</v>
      </c>
      <c r="F19459" s="6" t="n">
        <f aca="false">Sens!F19457+Sens!F19456</f>
        <v>119.729653205718</v>
      </c>
      <c r="G19459" s="6" t="n">
        <f aca="false">Sens!G19457+Sens!G19456</f>
        <v>140.806092647576</v>
      </c>
      <c r="H19459" s="6" t="n">
        <f aca="false">Sens!H19457+Sens!H19456</f>
        <v>161.963437602768</v>
      </c>
      <c r="I19459" s="6" t="n">
        <f aca="false">Sens!I19457+Sens!I19456</f>
        <v>180.695354741933</v>
      </c>
      <c r="J19459" s="6" t="n">
        <f aca="false">Sens!J19457+Sens!J19456</f>
        <v>196.722117481571</v>
      </c>
      <c r="K19459" s="6" t="n">
        <f aca="false">Sens!K19457+Sens!K19456</f>
        <v>212.00016570528</v>
      </c>
    </row>
    <row r="19460" customFormat="false" ht="17.15" hidden="false" customHeight="false" outlineLevel="0" collapsed="false">
      <c r="A19460" s="0" t="s">
        <v>1033</v>
      </c>
      <c r="B19460" s="0" t="s">
        <v>98</v>
      </c>
      <c r="D19460" s="6" t="n">
        <f aca="false">Q!L8</f>
        <v>35.391</v>
      </c>
      <c r="E19460" s="6" t="n">
        <f aca="false">Q!M8</f>
        <v>37.285</v>
      </c>
      <c r="F19460" s="6" t="n">
        <f aca="false">Q!$I$8+(Q!M8-Q!$E$8)*(1+Sens!F19461)</f>
        <v>38.3851437782675</v>
      </c>
      <c r="G19460" s="6" t="n">
        <f aca="false">Sens!F19460*(1+Sens!G19461)</f>
        <v>40.0105353288615</v>
      </c>
      <c r="H19460" s="6" t="n">
        <f aca="false">Sens!G19460*(1+Sens!H19461)</f>
        <v>41.4812512033683</v>
      </c>
      <c r="I19460" s="6" t="n">
        <f aca="false">Sens!H19460*(1+Sens!I19461)</f>
        <v>42.7743107216329</v>
      </c>
      <c r="J19460" s="6" t="n">
        <f aca="false">Sens!I19460*(1+Sens!J19461)</f>
        <v>43.8687373064601</v>
      </c>
      <c r="K19460" s="6" t="n">
        <f aca="false">Sens!J19460*(1+Sens!K19461)</f>
        <v>44.7461120525893</v>
      </c>
      <c r="L19460" s="12" t="s">
        <v>1034</v>
      </c>
    </row>
    <row r="19461" customFormat="false" ht="15" hidden="false" customHeight="false" outlineLevel="0" collapsed="false">
      <c r="A19461" s="1" t="s">
        <v>1024</v>
      </c>
      <c r="B19461" s="0" t="s">
        <v>168</v>
      </c>
      <c r="E19461" s="7" t="n">
        <f aca="false">Sens!E19460/Sens!D19460-1</f>
        <v>0.0535164307309768</v>
      </c>
      <c r="F19461" s="7" t="n">
        <f aca="false">Sens!$E$19461+(glt_lic-Sens!$E$19461)*MIN(1,(Sens!F19410-base_fy)/n_conv)</f>
        <v>0.0479303589424807</v>
      </c>
      <c r="G19461" s="7" t="n">
        <f aca="false">Sens!$E$19461+(glt_lic-Sens!$E$19461)*MIN(1,(Sens!G19410-base_fy)/n_conv)</f>
        <v>0.0423442871539845</v>
      </c>
      <c r="H19461" s="7" t="n">
        <f aca="false">Sens!$E$19461+(glt_lic-Sens!$E$19461)*MIN(1,(Sens!H19410-base_fy)/n_conv)</f>
        <v>0.0367582153654884</v>
      </c>
      <c r="I19461" s="7" t="n">
        <f aca="false">Sens!$E$19461+(glt_lic-Sens!$E$19461)*MIN(1,(Sens!I19410-base_fy)/n_conv)</f>
        <v>0.0311721435769923</v>
      </c>
      <c r="J19461" s="7" t="n">
        <f aca="false">Sens!$E$19461+(glt_lic-Sens!$E$19461)*MIN(1,(Sens!J19410-base_fy)/n_conv)</f>
        <v>0.0255860717884961</v>
      </c>
      <c r="K19461" s="7" t="n">
        <f aca="false">Sens!$E$19461+(glt_lic-Sens!$E$19461)*MIN(1,(Sens!K19410-base_fy)/n_conv)</f>
        <v>0.02</v>
      </c>
    </row>
    <row r="19462" customFormat="false" ht="17.15" hidden="false" customHeight="false" outlineLevel="0" collapsed="false">
      <c r="A19462" s="0" t="s">
        <v>1035</v>
      </c>
      <c r="B19462" s="0" t="s">
        <v>98</v>
      </c>
      <c r="D19462" s="6" t="n">
        <f aca="false">Q!L9</f>
        <v>18.417</v>
      </c>
      <c r="E19462" s="6" t="n">
        <f aca="false">Q!M9</f>
        <v>20.345</v>
      </c>
      <c r="F19462" s="6" t="n">
        <f aca="false">Q!$I$9+(Q!M9-Q!$E$9)*(1+Sens!F19463)</f>
        <v>22.3161797133988</v>
      </c>
      <c r="G19462" s="6" t="n">
        <f aca="false">Sens!F19462*(1+Sens!G19463)</f>
        <v>24.3943499673233</v>
      </c>
      <c r="H19462" s="6" t="n">
        <f aca="false">Sens!G19462*(1+Sens!H19463)</f>
        <v>26.5250243109019</v>
      </c>
      <c r="I19462" s="6" t="n">
        <f aca="false">Sens!H19462*(1+Sens!I19463)</f>
        <v>28.6884573538181</v>
      </c>
      <c r="J19462" s="6" t="n">
        <f aca="false">Sens!I19462*(1+Sens!J19463)</f>
        <v>30.8624968052127</v>
      </c>
      <c r="K19462" s="6" t="n">
        <f aca="false">Sens!J19462*(1+Sens!K19463)</f>
        <v>33.0228715815776</v>
      </c>
      <c r="L19462" s="12" t="s">
        <v>1034</v>
      </c>
    </row>
    <row r="19463" customFormat="false" ht="15" hidden="false" customHeight="false" outlineLevel="0" collapsed="false">
      <c r="A19463" s="1" t="s">
        <v>1024</v>
      </c>
      <c r="B19463" s="0" t="s">
        <v>168</v>
      </c>
      <c r="E19463" s="7" t="n">
        <f aca="false">Sens!E19462/Sens!D19462-1</f>
        <v>0.104685888038225</v>
      </c>
      <c r="F19463" s="7" t="n">
        <f aca="false">Sens!$E$19463+(glt_ind-Sens!$E$19463)*MIN(1,(Sens!F19410-base_fy)/n_conv)</f>
        <v>0.0989049066985211</v>
      </c>
      <c r="G19463" s="7" t="n">
        <f aca="false">Sens!$E$19463+(glt_ind-Sens!$E$19463)*MIN(1,(Sens!G19410-base_fy)/n_conv)</f>
        <v>0.0931239253588169</v>
      </c>
      <c r="H19463" s="7" t="n">
        <f aca="false">Sens!$E$19463+(glt_ind-Sens!$E$19463)*MIN(1,(Sens!H19410-base_fy)/n_conv)</f>
        <v>0.0873429440191127</v>
      </c>
      <c r="I19463" s="7" t="n">
        <f aca="false">Sens!$E$19463+(glt_ind-Sens!$E$19463)*MIN(1,(Sens!I19410-base_fy)/n_conv)</f>
        <v>0.0815619626794085</v>
      </c>
      <c r="J19463" s="7" t="n">
        <f aca="false">Sens!$E$19463+(glt_ind-Sens!$E$19463)*MIN(1,(Sens!J19410-base_fy)/n_conv)</f>
        <v>0.0757809813397042</v>
      </c>
      <c r="K19463" s="7" t="n">
        <f aca="false">Sens!$E$19463+(glt_ind-Sens!$E$19463)*MIN(1,(Sens!K19410-base_fy)/n_conv)</f>
        <v>0.07</v>
      </c>
    </row>
    <row r="19464" customFormat="false" ht="17.15" hidden="false" customHeight="false" outlineLevel="0" collapsed="false">
      <c r="A19464" s="0" t="s">
        <v>1036</v>
      </c>
      <c r="B19464" s="0" t="s">
        <v>98</v>
      </c>
      <c r="D19464" s="6" t="n">
        <f aca="false">Q!L10</f>
        <v>7.76</v>
      </c>
      <c r="E19464" s="6" t="n">
        <f aca="false">Q!M10</f>
        <v>8.26</v>
      </c>
      <c r="F19464" s="6" t="n">
        <f aca="false">Q!$I$10+(Q!M10-Q!$E$10)*(1+Sens!F19465)</f>
        <v>8.75372082474227</v>
      </c>
      <c r="G19464" s="6" t="n">
        <f aca="false">Sens!F19464*(1+Sens!G19465)</f>
        <v>9.33399324642364</v>
      </c>
      <c r="H19464" s="6" t="n">
        <f aca="false">Sens!G19464*(1+Sens!H19465)</f>
        <v>9.96139155535851</v>
      </c>
      <c r="I19464" s="6" t="n">
        <f aca="false">Sens!H19464*(1+Sens!I19465)</f>
        <v>10.6402039077391</v>
      </c>
      <c r="J19464" s="6" t="n">
        <f aca="false">Sens!I19464*(1+Sens!J19465)</f>
        <v>11.3751458271397</v>
      </c>
      <c r="K19464" s="6" t="n">
        <f aca="false">Sens!J19464*(1+Sens!K19465)</f>
        <v>12.1714060350394</v>
      </c>
      <c r="L19464" s="12" t="s">
        <v>1034</v>
      </c>
    </row>
    <row r="19465" customFormat="false" ht="15" hidden="false" customHeight="false" outlineLevel="0" collapsed="false">
      <c r="A19465" s="1" t="s">
        <v>1024</v>
      </c>
      <c r="B19465" s="0" t="s">
        <v>168</v>
      </c>
      <c r="E19465" s="7" t="n">
        <f aca="false">Sens!E19464/Sens!D19464-1</f>
        <v>0.0644329896907216</v>
      </c>
      <c r="F19465" s="7" t="n">
        <f aca="false">Sens!$E$19465+(glt_fro-Sens!$E$19465)*MIN(1,(Sens!F19410-base_fy)/n_conv)</f>
        <v>0.065360824742268</v>
      </c>
      <c r="G19465" s="7" t="n">
        <f aca="false">Sens!$E$19465+(glt_fro-Sens!$E$19465)*MIN(1,(Sens!G19410-base_fy)/n_conv)</f>
        <v>0.0662886597938144</v>
      </c>
      <c r="H19465" s="7" t="n">
        <f aca="false">Sens!$E$19465+(glt_fro-Sens!$E$19465)*MIN(1,(Sens!H19410-base_fy)/n_conv)</f>
        <v>0.0672164948453608</v>
      </c>
      <c r="I19465" s="7" t="n">
        <f aca="false">Sens!$E$19465+(glt_fro-Sens!$E$19465)*MIN(1,(Sens!I19410-base_fy)/n_conv)</f>
        <v>0.0681443298969072</v>
      </c>
      <c r="J19465" s="7" t="n">
        <f aca="false">Sens!$E$19465+(glt_fro-Sens!$E$19465)*MIN(1,(Sens!J19410-base_fy)/n_conv)</f>
        <v>0.0690721649484536</v>
      </c>
      <c r="K19465" s="7" t="n">
        <f aca="false">Sens!$E$19465+(glt_fro-Sens!$E$19465)*MIN(1,(Sens!K19410-base_fy)/n_conv)</f>
        <v>0.07</v>
      </c>
    </row>
    <row r="19466" customFormat="false" ht="15" hidden="false" customHeight="false" outlineLevel="0" collapsed="false">
      <c r="A19466" s="0" t="s">
        <v>852</v>
      </c>
      <c r="B19466" s="0" t="s">
        <v>98</v>
      </c>
      <c r="D19466" s="6" t="n">
        <f aca="false">Sens!D19454+Sens!D19459+Sens!D19460+Sens!D19462+Sens!D19464</f>
        <v>218.783</v>
      </c>
      <c r="E19466" s="6" t="n">
        <f aca="false">Sens!E19454+Sens!E19459+Sens!E19460+Sens!E19462+Sens!E19464</f>
        <v>268.127</v>
      </c>
      <c r="F19466" s="6" t="n">
        <f aca="false">Sens!F19454+Sens!F19459+Sens!F19460+Sens!F19462+Sens!F19464</f>
        <v>339.62944699881</v>
      </c>
      <c r="G19466" s="6" t="n">
        <f aca="false">Sens!G19454+Sens!G19459+Sens!G19460+Sens!G19462+Sens!G19464</f>
        <v>427.765036734445</v>
      </c>
      <c r="H19466" s="6" t="n">
        <f aca="false">Sens!H19454+Sens!H19459+Sens!H19460+Sens!H19462+Sens!H19464</f>
        <v>522.466265010176</v>
      </c>
      <c r="I19466" s="6" t="n">
        <f aca="false">Sens!I19454+Sens!I19459+Sens!I19460+Sens!I19462+Sens!I19464</f>
        <v>602.448984010714</v>
      </c>
      <c r="J19466" s="6" t="n">
        <f aca="false">Sens!J19454+Sens!J19459+Sens!J19460+Sens!J19462+Sens!J19464</f>
        <v>665.96072333183</v>
      </c>
      <c r="K19466" s="6" t="n">
        <f aca="false">Sens!K19454+Sens!K19459+Sens!K19460+Sens!K19462+Sens!K19464</f>
        <v>715.829552210394</v>
      </c>
    </row>
    <row r="19467" customFormat="false" ht="17.15" hidden="false" customHeight="false" outlineLevel="0" collapsed="false">
      <c r="A19467" s="0" t="s">
        <v>1037</v>
      </c>
      <c r="B19467" s="0" t="s">
        <v>98</v>
      </c>
      <c r="D19467" s="6" t="n">
        <f aca="false">Q!L13</f>
        <v>22.171</v>
      </c>
      <c r="E19467" s="6" t="n">
        <f aca="false">Q!M13</f>
        <v>24.835</v>
      </c>
      <c r="F19467" s="6" t="n">
        <f aca="false">Q!$I$13+(Q!M13-Q!$E$13)*(1+Sens!F19468)</f>
        <v>27.5591895660247</v>
      </c>
      <c r="G19467" s="6" t="n">
        <f aca="false">Sens!F19467*(1+Sens!G19468)</f>
        <v>30.4098563144583</v>
      </c>
      <c r="H19467" s="6" t="n">
        <f aca="false">Sens!G19467*(1+Sens!H19468)</f>
        <v>33.3011792571777</v>
      </c>
      <c r="I19467" s="6" t="n">
        <f aca="false">Sens!H19467*(1+Sens!I19468)</f>
        <v>36.189023797112</v>
      </c>
      <c r="J19467" s="6" t="n">
        <f aca="false">Sens!I19467*(1+Sens!J19468)</f>
        <v>39.0247773769199</v>
      </c>
      <c r="K19467" s="6" t="n">
        <f aca="false">Sens!J19467*(1+Sens!K19468)</f>
        <v>41.7565117933043</v>
      </c>
      <c r="L19467" s="12" t="s">
        <v>1034</v>
      </c>
    </row>
    <row r="19468" customFormat="false" ht="15" hidden="false" customHeight="false" outlineLevel="0" collapsed="false">
      <c r="A19468" s="1" t="s">
        <v>1024</v>
      </c>
      <c r="B19468" s="0" t="s">
        <v>168</v>
      </c>
      <c r="E19468" s="7" t="n">
        <f aca="false">Sens!E19467/Sens!D19467-1</f>
        <v>0.120156961796942</v>
      </c>
      <c r="F19468" s="7" t="n">
        <f aca="false">Sens!$E$19468+(glt_srch-Sens!$E$19468)*MIN(1,(Sens!F19410-base_fy)/n_conv)</f>
        <v>0.111797468164118</v>
      </c>
      <c r="G19468" s="7" t="n">
        <f aca="false">Sens!$E$19468+(glt_srch-Sens!$E$19468)*MIN(1,(Sens!G19410-base_fy)/n_conv)</f>
        <v>0.103437974531295</v>
      </c>
      <c r="H19468" s="7" t="n">
        <f aca="false">Sens!$E$19468+(glt_srch-Sens!$E$19468)*MIN(1,(Sens!H19410-base_fy)/n_conv)</f>
        <v>0.095078480898471</v>
      </c>
      <c r="I19468" s="7" t="n">
        <f aca="false">Sens!$E$19468+(glt_srch-Sens!$E$19468)*MIN(1,(Sens!I19410-base_fy)/n_conv)</f>
        <v>0.0867189872656474</v>
      </c>
      <c r="J19468" s="7" t="n">
        <f aca="false">Sens!$E$19468+(glt_srch-Sens!$E$19468)*MIN(1,(Sens!J19410-base_fy)/n_conv)</f>
        <v>0.0783594936328237</v>
      </c>
      <c r="K19468" s="7" t="n">
        <f aca="false">Sens!$E$19468+(glt_srch-Sens!$E$19468)*MIN(1,(Sens!K19410-base_fy)/n_conv)</f>
        <v>0.07</v>
      </c>
    </row>
    <row r="19469" customFormat="false" ht="17.15" hidden="false" customHeight="false" outlineLevel="0" collapsed="false">
      <c r="A19469" s="0" t="s">
        <v>1038</v>
      </c>
      <c r="B19469" s="0" t="s">
        <v>98</v>
      </c>
      <c r="D19469" s="6" t="n">
        <f aca="false">Q!L14</f>
        <v>23.455</v>
      </c>
      <c r="E19469" s="6" t="n">
        <f aca="false">Q!M14</f>
        <v>21.79</v>
      </c>
      <c r="F19469" s="6" t="n">
        <f aca="false">Q!$I$14+(Q!M14-Q!$E$14)*(1+Sens!F19470)</f>
        <v>20.7520981041711</v>
      </c>
      <c r="G19469" s="6" t="n">
        <f aca="false">Sens!F19469*(1+Sens!G19470)</f>
        <v>19.9083593495882</v>
      </c>
      <c r="H19469" s="6" t="n">
        <f aca="false">Sens!G19469*(1+Sens!H19470)</f>
        <v>19.4008256265831</v>
      </c>
      <c r="I19469" s="6" t="n">
        <f aca="false">Sens!H19469*(1+Sens!I19470)</f>
        <v>19.200434522122</v>
      </c>
      <c r="J19469" s="6" t="n">
        <f aca="false">Sens!I19469*(1+Sens!J19470)</f>
        <v>19.2932782348507</v>
      </c>
      <c r="K19469" s="6" t="n">
        <f aca="false">Sens!J19469*(1+Sens!K19470)</f>
        <v>19.6791437995477</v>
      </c>
      <c r="L19469" s="12" t="s">
        <v>1034</v>
      </c>
    </row>
    <row r="19470" customFormat="false" ht="15" hidden="false" customHeight="false" outlineLevel="0" collapsed="false">
      <c r="A19470" s="1" t="s">
        <v>1024</v>
      </c>
      <c r="B19470" s="0" t="s">
        <v>168</v>
      </c>
      <c r="E19470" s="7" t="n">
        <f aca="false">Sens!E19469/Sens!D19469-1</f>
        <v>-0.0709869963760392</v>
      </c>
      <c r="F19470" s="7" t="n">
        <f aca="false">Sens!$E$19470+(glt_xbox-Sens!$E$19470)*MIN(1,(Sens!F19410-base_fy)/n_conv)</f>
        <v>-0.0558224969800327</v>
      </c>
      <c r="G19470" s="7" t="n">
        <f aca="false">Sens!$E$19470+(glt_xbox-Sens!$E$19470)*MIN(1,(Sens!G19410-base_fy)/n_conv)</f>
        <v>-0.0406579975840262</v>
      </c>
      <c r="H19470" s="7" t="n">
        <f aca="false">Sens!$E$19470+(glt_xbox-Sens!$E$19470)*MIN(1,(Sens!H19410-base_fy)/n_conv)</f>
        <v>-0.0254934981880196</v>
      </c>
      <c r="I19470" s="7" t="n">
        <f aca="false">Sens!$E$19470+(glt_xbox-Sens!$E$19470)*MIN(1,(Sens!I19410-base_fy)/n_conv)</f>
        <v>-0.0103289987920131</v>
      </c>
      <c r="J19470" s="7" t="n">
        <f aca="false">Sens!$E$19470+(glt_xbox-Sens!$E$19470)*MIN(1,(Sens!J19410-base_fy)/n_conv)</f>
        <v>0.00483550060399347</v>
      </c>
      <c r="K19470" s="7" t="n">
        <f aca="false">Sens!$E$19470+(glt_xbox-Sens!$E$19470)*MIN(1,(Sens!K19410-base_fy)/n_conv)</f>
        <v>0.02</v>
      </c>
    </row>
    <row r="19471" customFormat="false" ht="17.15" hidden="false" customHeight="false" outlineLevel="0" collapsed="false">
      <c r="A19471" s="0" t="s">
        <v>1039</v>
      </c>
      <c r="B19471" s="0" t="s">
        <v>98</v>
      </c>
      <c r="D19471" s="6" t="n">
        <f aca="false">Q!L15</f>
        <v>17.315</v>
      </c>
      <c r="E19471" s="6" t="n">
        <f aca="false">Q!M15</f>
        <v>17.087</v>
      </c>
      <c r="F19471" s="6" t="n">
        <f aca="false">Q!$I$15+(Q!M15-Q!$E$15)*(1+Sens!F19472)</f>
        <v>15.9912273250553</v>
      </c>
      <c r="G19471" s="6" t="n">
        <f aca="false">Sens!F19471*(1+Sens!G19472)</f>
        <v>15.9574562664827</v>
      </c>
      <c r="H19471" s="6" t="n">
        <f aca="false">Sens!G19471*(1+Sens!H19472)</f>
        <v>16.0119687434196</v>
      </c>
      <c r="I19471" s="6" t="n">
        <f aca="false">Sens!H19471*(1+Sens!I19472)</f>
        <v>16.1551810001948</v>
      </c>
      <c r="J19471" s="6" t="n">
        <f aca="false">Sens!I19471*(1+Sens!J19472)</f>
        <v>16.3889793892005</v>
      </c>
      <c r="K19471" s="6" t="n">
        <f aca="false">Sens!J19471*(1+Sens!K19472)</f>
        <v>16.7167589769845</v>
      </c>
      <c r="L19471" s="12" t="s">
        <v>1034</v>
      </c>
    </row>
    <row r="19472" customFormat="false" ht="15" hidden="false" customHeight="false" outlineLevel="0" collapsed="false">
      <c r="A19472" s="1" t="s">
        <v>1024</v>
      </c>
      <c r="B19472" s="0" t="s">
        <v>168</v>
      </c>
      <c r="E19472" s="7" t="n">
        <f aca="false">Sens!E19471/Sens!D19471-1</f>
        <v>-0.0131677736066995</v>
      </c>
      <c r="F19472" s="7" t="n">
        <f aca="false">Sens!$E$19472+(glt_win-Sens!$E$19472)*MIN(1,(Sens!F19410-base_fy)/n_conv)</f>
        <v>-0.00763981133891627</v>
      </c>
      <c r="G19472" s="7" t="n">
        <f aca="false">Sens!$E$19472+(glt_win-Sens!$E$19472)*MIN(1,(Sens!G19410-base_fy)/n_conv)</f>
        <v>-0.00211184907113301</v>
      </c>
      <c r="H19472" s="7" t="n">
        <f aca="false">Sens!$E$19472+(glt_win-Sens!$E$19472)*MIN(1,(Sens!H19410-base_fy)/n_conv)</f>
        <v>0.00341611319665024</v>
      </c>
      <c r="I19472" s="7" t="n">
        <f aca="false">Sens!$E$19472+(glt_win-Sens!$E$19472)*MIN(1,(Sens!I19410-base_fy)/n_conv)</f>
        <v>0.00894407546443349</v>
      </c>
      <c r="J19472" s="7" t="n">
        <f aca="false">Sens!$E$19472+(glt_win-Sens!$E$19472)*MIN(1,(Sens!J19410-base_fy)/n_conv)</f>
        <v>0.0144720377322168</v>
      </c>
      <c r="K19472" s="7" t="n">
        <f aca="false">Sens!$E$19472+(glt_win-Sens!$E$19472)*MIN(1,(Sens!K19410-base_fy)/n_conv)</f>
        <v>0.02</v>
      </c>
    </row>
    <row r="19473" customFormat="false" ht="15" hidden="false" customHeight="false" outlineLevel="0" collapsed="false">
      <c r="A19473" s="0" t="s">
        <v>866</v>
      </c>
      <c r="B19473" s="0" t="s">
        <v>98</v>
      </c>
      <c r="D19473" s="6" t="n">
        <f aca="false">Sens!D19467+Sens!D19469+Sens!D19471</f>
        <v>62.941</v>
      </c>
      <c r="E19473" s="6" t="n">
        <f aca="false">Sens!E19467+Sens!E19469+Sens!E19471</f>
        <v>63.712</v>
      </c>
      <c r="F19473" s="6" t="n">
        <f aca="false">Sens!F19467+Sens!F19469+Sens!F19471</f>
        <v>64.3025149952511</v>
      </c>
      <c r="G19473" s="6" t="n">
        <f aca="false">Sens!G19467+Sens!G19469+Sens!G19471</f>
        <v>66.2756719305292</v>
      </c>
      <c r="H19473" s="6" t="n">
        <f aca="false">Sens!H19467+Sens!H19469+Sens!H19471</f>
        <v>68.7139736271804</v>
      </c>
      <c r="I19473" s="6" t="n">
        <f aca="false">Sens!I19467+Sens!I19469+Sens!I19471</f>
        <v>71.5446393194289</v>
      </c>
      <c r="J19473" s="6" t="n">
        <f aca="false">Sens!J19467+Sens!J19469+Sens!J19471</f>
        <v>74.707035000971</v>
      </c>
      <c r="K19473" s="6" t="n">
        <f aca="false">Sens!K19467+Sens!K19469+Sens!K19471</f>
        <v>78.1524145698365</v>
      </c>
    </row>
    <row r="19474" customFormat="false" ht="15" hidden="false" customHeight="false" outlineLevel="0" collapsed="false">
      <c r="A19474" s="1" t="s">
        <v>1040</v>
      </c>
      <c r="B19474" s="0" t="s">
        <v>98</v>
      </c>
      <c r="D19474" s="6" t="n">
        <f aca="false">Sens!D19466+Sens!D19473</f>
        <v>281.724</v>
      </c>
      <c r="E19474" s="6" t="n">
        <f aca="false">Sens!E19466+Sens!E19473</f>
        <v>331.839</v>
      </c>
      <c r="F19474" s="6" t="n">
        <f aca="false">Sens!F19466+Sens!F19473</f>
        <v>403.931961994061</v>
      </c>
      <c r="G19474" s="6" t="n">
        <f aca="false">Sens!G19466+Sens!G19473</f>
        <v>494.040708664974</v>
      </c>
      <c r="H19474" s="6" t="n">
        <f aca="false">Sens!H19466+Sens!H19473</f>
        <v>591.180238637356</v>
      </c>
      <c r="I19474" s="6" t="n">
        <f aca="false">Sens!I19466+Sens!I19473</f>
        <v>673.993623330143</v>
      </c>
      <c r="J19474" s="6" t="n">
        <f aca="false">Sens!J19466+Sens!J19473</f>
        <v>740.667758332801</v>
      </c>
      <c r="K19474" s="6" t="n">
        <f aca="false">Sens!K19466+Sens!K19473</f>
        <v>793.981966780231</v>
      </c>
    </row>
    <row r="19475" customFormat="false" ht="15" hidden="false" customHeight="false" outlineLevel="0" collapsed="false">
      <c r="A19475" s="26" t="s">
        <v>1041</v>
      </c>
      <c r="B19475" s="31" t="s">
        <v>98</v>
      </c>
      <c r="C19475" s="31"/>
      <c r="D19475" s="27" t="n">
        <f aca="false">(Sens!D19454+Sens!D19459+Sens!D19460+Sens!D19462+Sens!D19464-Sens!D19466)+(Sens!D19467+Sens!D19469+Sens!D19471-Sens!D19473)+(Sens!D19466-Q!L5)+(Sens!D19473-Q!L12)+(Sens!D19454-Q!L6)+(Sens!D19459-Q!L7)</f>
        <v>0</v>
      </c>
      <c r="E19475" s="27" t="n">
        <f aca="false">(Sens!E19454+Sens!E19459+Sens!E19460+Sens!E19462+Sens!E19464-Sens!E19466)+(Sens!E19467+Sens!E19469+Sens!E19471-Sens!E19473)+(Sens!E19466-Q!M5)+(Sens!E19473-Q!M12)+(Sens!E19454-Q!M6)+(Sens!E19459-Q!M7)</f>
        <v>0</v>
      </c>
      <c r="F19475" s="27" t="n">
        <f aca="false">(Sens!F19454+Sens!F19459+Sens!F19460+Sens!F19462+Sens!F19464-Sens!F19466)+(Sens!F19467+Sens!F19469+Sens!F19471-Sens!F19473)</f>
        <v>0</v>
      </c>
      <c r="G19475" s="27" t="n">
        <f aca="false">(Sens!G19454+Sens!G19459+Sens!G19460+Sens!G19462+Sens!G19464-Sens!G19466)+(Sens!G19467+Sens!G19469+Sens!G19471-Sens!G19473)</f>
        <v>0</v>
      </c>
      <c r="H19475" s="27" t="n">
        <f aca="false">(Sens!H19454+Sens!H19459+Sens!H19460+Sens!H19462+Sens!H19464-Sens!H19466)+(Sens!H19467+Sens!H19469+Sens!H19471-Sens!H19473)</f>
        <v>0</v>
      </c>
      <c r="I19475" s="27" t="n">
        <f aca="false">(Sens!I19454+Sens!I19459+Sens!I19460+Sens!I19462+Sens!I19464-Sens!I19466)+(Sens!I19467+Sens!I19469+Sens!I19471-Sens!I19473)</f>
        <v>0</v>
      </c>
      <c r="J19475" s="27" t="n">
        <f aca="false">(Sens!J19454+Sens!J19459+Sens!J19460+Sens!J19462+Sens!J19464-Sens!J19466)+(Sens!J19467+Sens!J19469+Sens!J19471-Sens!J19473)</f>
        <v>0</v>
      </c>
      <c r="K19475" s="27" t="n">
        <f aca="false">(Sens!K19454+Sens!K19459+Sens!K19460+Sens!K19462+Sens!K19464-Sens!K19466)+(Sens!K19467+Sens!K19469+Sens!K19471-Sens!K19473)</f>
        <v>0</v>
      </c>
    </row>
    <row r="19476" customFormat="false" ht="17.15" hidden="false" customHeight="false" outlineLevel="0" collapsed="false">
      <c r="A19476" s="3" t="s">
        <v>1961</v>
      </c>
    </row>
    <row r="19477" customFormat="false" ht="15" hidden="false" customHeight="false" outlineLevel="0" collapsed="false">
      <c r="A19477" s="4" t="s">
        <v>43</v>
      </c>
      <c r="B19477" s="4" t="s">
        <v>65</v>
      </c>
      <c r="C19477" s="23" t="s">
        <v>938</v>
      </c>
      <c r="D19477" s="23" t="s">
        <v>939</v>
      </c>
      <c r="E19477" s="23" t="s">
        <v>940</v>
      </c>
      <c r="F19477" s="23" t="s">
        <v>941</v>
      </c>
      <c r="G19477" s="23" t="s">
        <v>942</v>
      </c>
      <c r="H19477" s="23" t="s">
        <v>943</v>
      </c>
      <c r="I19477" s="23" t="s">
        <v>944</v>
      </c>
      <c r="J19477" s="23" t="s">
        <v>945</v>
      </c>
      <c r="K19477" s="23" t="s">
        <v>946</v>
      </c>
      <c r="L19477" s="4" t="s">
        <v>47</v>
      </c>
    </row>
    <row r="19478" customFormat="false" ht="15" hidden="false" customHeight="false" outlineLevel="0" collapsed="false">
      <c r="A19478" s="0" t="s">
        <v>1025</v>
      </c>
      <c r="B19478" s="0" t="s">
        <v>98</v>
      </c>
      <c r="D19478" s="6" t="n">
        <f aca="false">Sens!D19454</f>
        <v>72.61</v>
      </c>
      <c r="E19478" s="6" t="n">
        <f aca="false">Sens!E19454</f>
        <v>101.938</v>
      </c>
      <c r="F19478" s="6" t="n">
        <f aca="false">Sens!F19454</f>
        <v>150.444749476683</v>
      </c>
      <c r="G19478" s="6" t="n">
        <f aca="false">Sens!G19454</f>
        <v>213.22006554426</v>
      </c>
      <c r="H19478" s="6" t="n">
        <f aca="false">Sens!H19454</f>
        <v>282.535160337779</v>
      </c>
      <c r="I19478" s="6" t="n">
        <f aca="false">Sens!I19454</f>
        <v>339.650657285591</v>
      </c>
      <c r="J19478" s="6" t="n">
        <f aca="false">Sens!J19454</f>
        <v>383.132225911447</v>
      </c>
      <c r="K19478" s="6" t="n">
        <f aca="false">Sens!K19454</f>
        <v>413.888996835908</v>
      </c>
    </row>
    <row r="19479" customFormat="false" ht="17.15" hidden="false" customHeight="false" outlineLevel="0" collapsed="false">
      <c r="A19479" s="0" t="s">
        <v>1021</v>
      </c>
      <c r="B19479" s="0" t="s">
        <v>98</v>
      </c>
      <c r="D19479" s="6" t="n">
        <f aca="false">Sens!D19451</f>
        <v>12.9359794422418</v>
      </c>
      <c r="E19479" s="6" t="n">
        <f aca="false">Sens!E19451</f>
        <v>27.8095064661409</v>
      </c>
      <c r="F19479" s="6" t="n">
        <f aca="false">Sens!F19451</f>
        <v>60.1986421895533</v>
      </c>
      <c r="G19479" s="6" t="n">
        <f aca="false">Sens!G19451</f>
        <v>105.994220371926</v>
      </c>
      <c r="H19479" s="6" t="n">
        <f aca="false">Sens!H19451</f>
        <v>158.033951068614</v>
      </c>
      <c r="I19479" s="6" t="n">
        <f aca="false">Sens!I19451</f>
        <v>198.456994737959</v>
      </c>
      <c r="J19479" s="6" t="n">
        <f aca="false">Sens!J19451</f>
        <v>226.825572993488</v>
      </c>
      <c r="K19479" s="6" t="n">
        <f aca="false">Sens!K19451</f>
        <v>245.077811684512</v>
      </c>
    </row>
    <row r="19480" customFormat="false" ht="17.15" hidden="false" customHeight="false" outlineLevel="0" collapsed="false">
      <c r="A19480" s="0" t="s">
        <v>1052</v>
      </c>
      <c r="B19480" s="0" t="s">
        <v>98</v>
      </c>
      <c r="D19480" s="6" t="n">
        <f aca="false">Sens!D19452</f>
        <v>59.6740205577583</v>
      </c>
      <c r="E19480" s="6" t="n">
        <f aca="false">Sens!E19452</f>
        <v>74.1284935338591</v>
      </c>
      <c r="F19480" s="6" t="n">
        <f aca="false">Sens!F19452</f>
        <v>90.2461072871302</v>
      </c>
      <c r="G19480" s="6" t="n">
        <f aca="false">Sens!G19452</f>
        <v>107.225845172334</v>
      </c>
      <c r="H19480" s="6" t="n">
        <f aca="false">Sens!H19452</f>
        <v>124.501209269165</v>
      </c>
      <c r="I19480" s="6" t="n">
        <f aca="false">Sens!I19452</f>
        <v>141.193662547632</v>
      </c>
      <c r="J19480" s="6" t="n">
        <f aca="false">Sens!J19452</f>
        <v>156.306652917959</v>
      </c>
      <c r="K19480" s="6" t="n">
        <f aca="false">Sens!K19452</f>
        <v>168.811185151396</v>
      </c>
    </row>
    <row r="19481" customFormat="false" ht="15" hidden="false" customHeight="false" outlineLevel="0" collapsed="false">
      <c r="A19481" s="0" t="s">
        <v>1032</v>
      </c>
      <c r="B19481" s="0" t="s">
        <v>98</v>
      </c>
      <c r="D19481" s="6" t="n">
        <f aca="false">Sens!D19459</f>
        <v>84.605</v>
      </c>
      <c r="E19481" s="6" t="n">
        <f aca="false">Sens!E19459</f>
        <v>100.299</v>
      </c>
      <c r="F19481" s="6" t="n">
        <f aca="false">Sens!F19459</f>
        <v>119.729653205718</v>
      </c>
      <c r="G19481" s="6" t="n">
        <f aca="false">Sens!G19459</f>
        <v>140.806092647576</v>
      </c>
      <c r="H19481" s="6" t="n">
        <f aca="false">Sens!H19459</f>
        <v>161.963437602768</v>
      </c>
      <c r="I19481" s="6" t="n">
        <f aca="false">Sens!I19459</f>
        <v>180.695354741933</v>
      </c>
      <c r="J19481" s="6" t="n">
        <f aca="false">Sens!J19459</f>
        <v>196.722117481571</v>
      </c>
      <c r="K19481" s="6" t="n">
        <f aca="false">Sens!K19459</f>
        <v>212.00016570528</v>
      </c>
    </row>
    <row r="19482" customFormat="false" ht="17.15" hidden="false" customHeight="false" outlineLevel="0" collapsed="false">
      <c r="A19482" s="0" t="s">
        <v>1053</v>
      </c>
      <c r="B19482" s="0" t="s">
        <v>98</v>
      </c>
      <c r="D19482" s="6" t="n">
        <f aca="false">Sens!D19457</f>
        <v>83.705</v>
      </c>
      <c r="E19482" s="6" t="n">
        <f aca="false">Sens!E19457</f>
        <v>95.049</v>
      </c>
      <c r="F19482" s="6" t="n">
        <f aca="false">Sens!F19457</f>
        <v>106.229653205718</v>
      </c>
      <c r="G19482" s="6" t="n">
        <f aca="false">Sens!G19457</f>
        <v>118.306092647576</v>
      </c>
      <c r="H19482" s="6" t="n">
        <f aca="false">Sens!H19457</f>
        <v>130.463437602768</v>
      </c>
      <c r="I19482" s="6" t="n">
        <f aca="false">Sens!I19457</f>
        <v>142.445354741933</v>
      </c>
      <c r="J19482" s="6" t="n">
        <f aca="false">Sens!J19457</f>
        <v>153.972117481571</v>
      </c>
      <c r="K19482" s="6" t="n">
        <f aca="false">Sens!K19457</f>
        <v>164.75016570528</v>
      </c>
    </row>
    <row r="19483" customFormat="false" ht="17.15" hidden="false" customHeight="false" outlineLevel="0" collapsed="false">
      <c r="A19483" s="0" t="s">
        <v>1054</v>
      </c>
      <c r="B19483" s="0" t="s">
        <v>98</v>
      </c>
      <c r="D19483" s="6" t="n">
        <f aca="false">Sens!D19456</f>
        <v>0.9</v>
      </c>
      <c r="E19483" s="6" t="n">
        <f aca="false">Sens!E19456</f>
        <v>5.25</v>
      </c>
      <c r="F19483" s="6" t="n">
        <f aca="false">Sens!F19456</f>
        <v>13.5</v>
      </c>
      <c r="G19483" s="6" t="n">
        <f aca="false">Sens!G19456</f>
        <v>22.5</v>
      </c>
      <c r="H19483" s="6" t="n">
        <f aca="false">Sens!H19456</f>
        <v>31.5</v>
      </c>
      <c r="I19483" s="6" t="n">
        <f aca="false">Sens!I19456</f>
        <v>38.25</v>
      </c>
      <c r="J19483" s="6" t="n">
        <f aca="false">Sens!J19456</f>
        <v>42.75</v>
      </c>
      <c r="K19483" s="6" t="n">
        <f aca="false">Sens!K19456</f>
        <v>47.25</v>
      </c>
    </row>
    <row r="19484" customFormat="false" ht="15" hidden="false" customHeight="false" outlineLevel="0" collapsed="false">
      <c r="A19484" s="0" t="s">
        <v>1033</v>
      </c>
      <c r="B19484" s="0" t="s">
        <v>98</v>
      </c>
      <c r="D19484" s="6" t="n">
        <f aca="false">Sens!D19460</f>
        <v>35.391</v>
      </c>
      <c r="E19484" s="6" t="n">
        <f aca="false">Sens!E19460</f>
        <v>37.285</v>
      </c>
      <c r="F19484" s="6" t="n">
        <f aca="false">Sens!F19460</f>
        <v>38.3851437782675</v>
      </c>
      <c r="G19484" s="6" t="n">
        <f aca="false">Sens!G19460</f>
        <v>40.0105353288615</v>
      </c>
      <c r="H19484" s="6" t="n">
        <f aca="false">Sens!H19460</f>
        <v>41.4812512033683</v>
      </c>
      <c r="I19484" s="6" t="n">
        <f aca="false">Sens!I19460</f>
        <v>42.7743107216329</v>
      </c>
      <c r="J19484" s="6" t="n">
        <f aca="false">Sens!J19460</f>
        <v>43.8687373064601</v>
      </c>
      <c r="K19484" s="6" t="n">
        <f aca="false">Sens!K19460</f>
        <v>44.7461120525893</v>
      </c>
    </row>
    <row r="19485" customFormat="false" ht="15" hidden="false" customHeight="false" outlineLevel="0" collapsed="false">
      <c r="A19485" s="0" t="s">
        <v>1035</v>
      </c>
      <c r="B19485" s="0" t="s">
        <v>98</v>
      </c>
      <c r="D19485" s="6" t="n">
        <f aca="false">Sens!D19462</f>
        <v>18.417</v>
      </c>
      <c r="E19485" s="6" t="n">
        <f aca="false">Sens!E19462</f>
        <v>20.345</v>
      </c>
      <c r="F19485" s="6" t="n">
        <f aca="false">Sens!F19462</f>
        <v>22.3161797133988</v>
      </c>
      <c r="G19485" s="6" t="n">
        <f aca="false">Sens!G19462</f>
        <v>24.3943499673233</v>
      </c>
      <c r="H19485" s="6" t="n">
        <f aca="false">Sens!H19462</f>
        <v>26.5250243109019</v>
      </c>
      <c r="I19485" s="6" t="n">
        <f aca="false">Sens!I19462</f>
        <v>28.6884573538181</v>
      </c>
      <c r="J19485" s="6" t="n">
        <f aca="false">Sens!J19462</f>
        <v>30.8624968052127</v>
      </c>
      <c r="K19485" s="6" t="n">
        <f aca="false">Sens!K19462</f>
        <v>33.0228715815776</v>
      </c>
    </row>
    <row r="19486" customFormat="false" ht="15" hidden="false" customHeight="false" outlineLevel="0" collapsed="false">
      <c r="A19486" s="0" t="s">
        <v>1036</v>
      </c>
      <c r="B19486" s="0" t="s">
        <v>98</v>
      </c>
      <c r="D19486" s="6" t="n">
        <f aca="false">Sens!D19464</f>
        <v>7.76</v>
      </c>
      <c r="E19486" s="6" t="n">
        <f aca="false">Sens!E19464</f>
        <v>8.26</v>
      </c>
      <c r="F19486" s="6" t="n">
        <f aca="false">Sens!F19464</f>
        <v>8.75372082474227</v>
      </c>
      <c r="G19486" s="6" t="n">
        <f aca="false">Sens!G19464</f>
        <v>9.33399324642364</v>
      </c>
      <c r="H19486" s="6" t="n">
        <f aca="false">Sens!H19464</f>
        <v>9.96139155535851</v>
      </c>
      <c r="I19486" s="6" t="n">
        <f aca="false">Sens!I19464</f>
        <v>10.6402039077391</v>
      </c>
      <c r="J19486" s="6" t="n">
        <f aca="false">Sens!J19464</f>
        <v>11.3751458271397</v>
      </c>
      <c r="K19486" s="6" t="n">
        <f aca="false">Sens!K19464</f>
        <v>12.1714060350394</v>
      </c>
    </row>
    <row r="19487" customFormat="false" ht="15" hidden="false" customHeight="false" outlineLevel="0" collapsed="false">
      <c r="A19487" s="0" t="s">
        <v>852</v>
      </c>
      <c r="B19487" s="0" t="s">
        <v>98</v>
      </c>
      <c r="D19487" s="6" t="n">
        <f aca="false">Sens!D19466</f>
        <v>218.783</v>
      </c>
      <c r="E19487" s="6" t="n">
        <f aca="false">Sens!E19466</f>
        <v>268.127</v>
      </c>
      <c r="F19487" s="6" t="n">
        <f aca="false">Sens!F19466</f>
        <v>339.62944699881</v>
      </c>
      <c r="G19487" s="6" t="n">
        <f aca="false">Sens!G19466</f>
        <v>427.765036734445</v>
      </c>
      <c r="H19487" s="6" t="n">
        <f aca="false">Sens!H19466</f>
        <v>522.466265010176</v>
      </c>
      <c r="I19487" s="6" t="n">
        <f aca="false">Sens!I19466</f>
        <v>602.448984010714</v>
      </c>
      <c r="J19487" s="6" t="n">
        <f aca="false">Sens!J19466</f>
        <v>665.96072333183</v>
      </c>
      <c r="K19487" s="6" t="n">
        <f aca="false">Sens!K19466</f>
        <v>715.829552210394</v>
      </c>
    </row>
    <row r="19488" customFormat="false" ht="15" hidden="false" customHeight="false" outlineLevel="0" collapsed="false">
      <c r="A19488" s="0" t="s">
        <v>1037</v>
      </c>
      <c r="B19488" s="0" t="s">
        <v>98</v>
      </c>
      <c r="D19488" s="6" t="n">
        <f aca="false">Sens!D19467</f>
        <v>22.171</v>
      </c>
      <c r="E19488" s="6" t="n">
        <f aca="false">Sens!E19467</f>
        <v>24.835</v>
      </c>
      <c r="F19488" s="6" t="n">
        <f aca="false">Sens!F19467</f>
        <v>27.5591895660247</v>
      </c>
      <c r="G19488" s="6" t="n">
        <f aca="false">Sens!G19467</f>
        <v>30.4098563144583</v>
      </c>
      <c r="H19488" s="6" t="n">
        <f aca="false">Sens!H19467</f>
        <v>33.3011792571777</v>
      </c>
      <c r="I19488" s="6" t="n">
        <f aca="false">Sens!I19467</f>
        <v>36.189023797112</v>
      </c>
      <c r="J19488" s="6" t="n">
        <f aca="false">Sens!J19467</f>
        <v>39.0247773769199</v>
      </c>
      <c r="K19488" s="6" t="n">
        <f aca="false">Sens!K19467</f>
        <v>41.7565117933043</v>
      </c>
    </row>
    <row r="19489" customFormat="false" ht="15" hidden="false" customHeight="false" outlineLevel="0" collapsed="false">
      <c r="A19489" s="0" t="s">
        <v>1038</v>
      </c>
      <c r="B19489" s="0" t="s">
        <v>98</v>
      </c>
      <c r="D19489" s="6" t="n">
        <f aca="false">Sens!D19469</f>
        <v>23.455</v>
      </c>
      <c r="E19489" s="6" t="n">
        <f aca="false">Sens!E19469</f>
        <v>21.79</v>
      </c>
      <c r="F19489" s="6" t="n">
        <f aca="false">Sens!F19469</f>
        <v>20.7520981041711</v>
      </c>
      <c r="G19489" s="6" t="n">
        <f aca="false">Sens!G19469</f>
        <v>19.9083593495882</v>
      </c>
      <c r="H19489" s="6" t="n">
        <f aca="false">Sens!H19469</f>
        <v>19.4008256265831</v>
      </c>
      <c r="I19489" s="6" t="n">
        <f aca="false">Sens!I19469</f>
        <v>19.200434522122</v>
      </c>
      <c r="J19489" s="6" t="n">
        <f aca="false">Sens!J19469</f>
        <v>19.2932782348507</v>
      </c>
      <c r="K19489" s="6" t="n">
        <f aca="false">Sens!K19469</f>
        <v>19.6791437995477</v>
      </c>
    </row>
    <row r="19490" customFormat="false" ht="15" hidden="false" customHeight="false" outlineLevel="0" collapsed="false">
      <c r="A19490" s="0" t="s">
        <v>1039</v>
      </c>
      <c r="B19490" s="0" t="s">
        <v>98</v>
      </c>
      <c r="D19490" s="6" t="n">
        <f aca="false">Sens!D19471</f>
        <v>17.315</v>
      </c>
      <c r="E19490" s="6" t="n">
        <f aca="false">Sens!E19471</f>
        <v>17.087</v>
      </c>
      <c r="F19490" s="6" t="n">
        <f aca="false">Sens!F19471</f>
        <v>15.9912273250553</v>
      </c>
      <c r="G19490" s="6" t="n">
        <f aca="false">Sens!G19471</f>
        <v>15.9574562664827</v>
      </c>
      <c r="H19490" s="6" t="n">
        <f aca="false">Sens!H19471</f>
        <v>16.0119687434196</v>
      </c>
      <c r="I19490" s="6" t="n">
        <f aca="false">Sens!I19471</f>
        <v>16.1551810001948</v>
      </c>
      <c r="J19490" s="6" t="n">
        <f aca="false">Sens!J19471</f>
        <v>16.3889793892005</v>
      </c>
      <c r="K19490" s="6" t="n">
        <f aca="false">Sens!K19471</f>
        <v>16.7167589769845</v>
      </c>
    </row>
    <row r="19491" customFormat="false" ht="15" hidden="false" customHeight="false" outlineLevel="0" collapsed="false">
      <c r="A19491" s="0" t="s">
        <v>866</v>
      </c>
      <c r="B19491" s="0" t="s">
        <v>98</v>
      </c>
      <c r="D19491" s="6" t="n">
        <f aca="false">Sens!D19473</f>
        <v>62.941</v>
      </c>
      <c r="E19491" s="6" t="n">
        <f aca="false">Sens!E19473</f>
        <v>63.712</v>
      </c>
      <c r="F19491" s="6" t="n">
        <f aca="false">Sens!F19473</f>
        <v>64.3025149952511</v>
      </c>
      <c r="G19491" s="6" t="n">
        <f aca="false">Sens!G19473</f>
        <v>66.2756719305292</v>
      </c>
      <c r="H19491" s="6" t="n">
        <f aca="false">Sens!H19473</f>
        <v>68.7139736271804</v>
      </c>
      <c r="I19491" s="6" t="n">
        <f aca="false">Sens!I19473</f>
        <v>71.5446393194289</v>
      </c>
      <c r="J19491" s="6" t="n">
        <f aca="false">Sens!J19473</f>
        <v>74.707035000971</v>
      </c>
      <c r="K19491" s="6" t="n">
        <f aca="false">Sens!K19473</f>
        <v>78.1524145698365</v>
      </c>
    </row>
    <row r="19492" customFormat="false" ht="15" hidden="false" customHeight="false" outlineLevel="0" collapsed="false">
      <c r="A19492" s="1" t="s">
        <v>1055</v>
      </c>
      <c r="B19492" s="0" t="s">
        <v>98</v>
      </c>
      <c r="D19492" s="6" t="n">
        <f aca="false">Sens!D19474</f>
        <v>281.724</v>
      </c>
      <c r="E19492" s="6" t="n">
        <f aca="false">Sens!E19474</f>
        <v>331.839</v>
      </c>
      <c r="F19492" s="6" t="n">
        <f aca="false">Sens!F19474</f>
        <v>403.931961994061</v>
      </c>
      <c r="G19492" s="6" t="n">
        <f aca="false">Sens!G19474</f>
        <v>494.040708664974</v>
      </c>
      <c r="H19492" s="6" t="n">
        <f aca="false">Sens!H19474</f>
        <v>591.180238637356</v>
      </c>
      <c r="I19492" s="6" t="n">
        <f aca="false">Sens!I19474</f>
        <v>673.993623330143</v>
      </c>
      <c r="J19492" s="6" t="n">
        <f aca="false">Sens!J19474</f>
        <v>740.667758332801</v>
      </c>
      <c r="K19492" s="6" t="n">
        <f aca="false">Sens!K19474</f>
        <v>793.981966780231</v>
      </c>
    </row>
    <row r="19493" customFormat="false" ht="15" hidden="false" customHeight="false" outlineLevel="0" collapsed="false">
      <c r="A19493" s="1" t="s">
        <v>1056</v>
      </c>
      <c r="B19493" s="0" t="s">
        <v>168</v>
      </c>
      <c r="E19493" s="7" t="n">
        <f aca="false">Sens!E19492/Sens!D19492-1</f>
        <v>0.177886867998467</v>
      </c>
      <c r="F19493" s="7" t="n">
        <f aca="false">Sens!F19492/Sens!E19492-1</f>
        <v>0.217252830420961</v>
      </c>
      <c r="G19493" s="7" t="n">
        <f aca="false">Sens!G19492/Sens!F19492-1</f>
        <v>0.223079021095729</v>
      </c>
      <c r="H19493" s="7" t="n">
        <f aca="false">Sens!H19492/Sens!G19492-1</f>
        <v>0.196622521724736</v>
      </c>
      <c r="I19493" s="7" t="n">
        <f aca="false">Sens!I19492/Sens!H19492-1</f>
        <v>0.140081449413241</v>
      </c>
      <c r="J19493" s="7" t="n">
        <f aca="false">Sens!J19492/Sens!I19492-1</f>
        <v>0.0989239848787109</v>
      </c>
      <c r="K19493" s="7" t="n">
        <f aca="false">Sens!K19492/Sens!J19492-1</f>
        <v>0.0719812734490248</v>
      </c>
    </row>
    <row r="19494" customFormat="false" ht="17.15" hidden="false" customHeight="false" outlineLevel="0" collapsed="false">
      <c r="A19494" s="26" t="s">
        <v>1057</v>
      </c>
      <c r="B19494" s="31" t="s">
        <v>98</v>
      </c>
      <c r="C19494" s="31"/>
      <c r="D19494" s="27" t="n">
        <f aca="false">(Sens!D19487+Sens!D19491-Sens!D19492)+(Sens!D19479+Sens!D19480-Sens!D19478)+(Sens!D19482+Sens!D19483-Sens!D19481)+(Sens!D19492-Q!L18)</f>
        <v>0</v>
      </c>
      <c r="E19494" s="27" t="n">
        <f aca="false">(Sens!E19487+Sens!E19491-Sens!E19492)+(Sens!E19479+Sens!E19480-Sens!E19478)+(Sens!E19482+Sens!E19483-Sens!E19481)+(Sens!E19492-Q!M18)</f>
        <v>0</v>
      </c>
      <c r="F19494" s="27" t="n">
        <f aca="false">(Sens!F19487+Sens!F19491-Sens!F19492)+(Sens!F19479+Sens!F19480-Sens!F19478)+(Sens!F19482+Sens!F19483-Sens!F19481)</f>
        <v>0</v>
      </c>
      <c r="G19494" s="27" t="n">
        <f aca="false">(Sens!G19487+Sens!G19491-Sens!G19492)+(Sens!G19479+Sens!G19480-Sens!G19478)+(Sens!G19482+Sens!G19483-Sens!G19481)</f>
        <v>0</v>
      </c>
      <c r="H19494" s="27" t="n">
        <f aca="false">(Sens!H19487+Sens!H19491-Sens!H19492)+(Sens!H19479+Sens!H19480-Sens!H19478)+(Sens!H19482+Sens!H19483-Sens!H19481)</f>
        <v>0</v>
      </c>
      <c r="I19494" s="27" t="n">
        <f aca="false">(Sens!I19487+Sens!I19491-Sens!I19492)+(Sens!I19479+Sens!I19480-Sens!I19478)+(Sens!I19482+Sens!I19483-Sens!I19481)</f>
        <v>0</v>
      </c>
      <c r="J19494" s="27" t="n">
        <f aca="false">(Sens!J19487+Sens!J19491-Sens!J19492)+(Sens!J19479+Sens!J19480-Sens!J19478)+(Sens!J19482+Sens!J19483-Sens!J19481)</f>
        <v>0</v>
      </c>
      <c r="K19494" s="27" t="n">
        <f aca="false">(Sens!K19487+Sens!K19491-Sens!K19492)+(Sens!K19479+Sens!K19480-Sens!K19478)+(Sens!K19482+Sens!K19483-Sens!K19481)</f>
        <v>0</v>
      </c>
    </row>
    <row r="19495" customFormat="false" ht="17.15" hidden="false" customHeight="false" outlineLevel="0" collapsed="false">
      <c r="A19495" s="0" t="s">
        <v>1058</v>
      </c>
      <c r="B19495" s="0" t="s">
        <v>168</v>
      </c>
      <c r="E19495" s="7" t="n">
        <f aca="false">(Q!M21+Sens!E19431+Sens!E19432+Sens!E19433+Sens!E19447-Sens!E19429)/(Q!M5-Sens!E19429)</f>
        <v>0.570957350878296</v>
      </c>
      <c r="F19495" s="7" t="n">
        <f aca="false">Sens!$E$19495+dm_seg</f>
        <v>0.570957350878296</v>
      </c>
      <c r="G19495" s="7" t="n">
        <f aca="false">Sens!$E$19495+dm_seg</f>
        <v>0.570957350878296</v>
      </c>
      <c r="H19495" s="7" t="n">
        <f aca="false">Sens!$E$19495+dm_seg</f>
        <v>0.570957350878296</v>
      </c>
      <c r="I19495" s="7" t="n">
        <f aca="false">Sens!$E$19495+dm_seg</f>
        <v>0.570957350878296</v>
      </c>
      <c r="J19495" s="7" t="n">
        <f aca="false">Sens!$E$19495+dm_seg</f>
        <v>0.570957350878296</v>
      </c>
      <c r="K19495" s="7" t="n">
        <f aca="false">Sens!$E$19495+dm_seg</f>
        <v>0.570957350878296</v>
      </c>
      <c r="L19495" s="12" t="s">
        <v>1059</v>
      </c>
    </row>
    <row r="19496" customFormat="false" ht="17.15" hidden="false" customHeight="false" outlineLevel="0" collapsed="false">
      <c r="A19496" s="0" t="s">
        <v>880</v>
      </c>
      <c r="B19496" s="0" t="s">
        <v>98</v>
      </c>
      <c r="D19496" s="6" t="n">
        <f aca="false">Q!L21</f>
        <v>110.814</v>
      </c>
      <c r="E19496" s="6" t="n">
        <f aca="false">Q!M21</f>
        <v>136.365</v>
      </c>
      <c r="F19496" s="6" t="n">
        <f aca="false">Q!$I$21+(Sens!F19495*(Sens!F19466-Sens!F19429)+Sens!F19429-(Sens!F19431+Sens!F19432+Sens!F19433)-Sens!F19447-Sens!F19530)*(Sens!F19466-Q!$I$5)/Sens!F19466</f>
        <v>166.017734730115</v>
      </c>
      <c r="G19496" s="6" t="n">
        <f aca="false">(Sens!G19495*(Sens!G19466-Sens!G19429)+Sens!G19429-(Sens!G19431+Sens!G19432+Sens!G19433)-Sens!G19447-Sens!G19530)</f>
        <v>192.531780888659</v>
      </c>
      <c r="H19496" s="6" t="n">
        <f aca="false">(Sens!H19495*(Sens!H19466-Sens!H19429)+Sens!H19429-(Sens!H19431+Sens!H19432+Sens!H19433)-Sens!H19447-Sens!H19530)</f>
        <v>227.462643386428</v>
      </c>
      <c r="I19496" s="6" t="n">
        <f aca="false">(Sens!I19495*(Sens!I19466-Sens!I19429)+Sens!I19429-(Sens!I19431+Sens!I19432+Sens!I19433)-Sens!I19447-Sens!I19530)</f>
        <v>253.928586573636</v>
      </c>
      <c r="J19496" s="6" t="n">
        <f aca="false">(Sens!J19495*(Sens!J19466-Sens!J19429)+Sens!J19429-(Sens!J19431+Sens!J19432+Sens!J19433)-Sens!J19447-Sens!J19530)</f>
        <v>276.660450281484</v>
      </c>
      <c r="K19496" s="6" t="n">
        <f aca="false">(Sens!K19495*(Sens!K19466-Sens!K19429)+Sens!K19429-(Sens!K19431+Sens!K19432+Sens!K19433)-Sens!K19447-Sens!K19530)</f>
        <v>297.236278861018</v>
      </c>
      <c r="L19496" s="1" t="s">
        <v>1060</v>
      </c>
    </row>
    <row r="19497" customFormat="false" ht="17.15" hidden="false" customHeight="false" outlineLevel="0" collapsed="false">
      <c r="A19497" s="0" t="s">
        <v>1061</v>
      </c>
      <c r="B19497" s="0" t="s">
        <v>168</v>
      </c>
      <c r="E19497" s="7" t="n">
        <f aca="false">Q!M22/Q!M12</f>
        <v>0.296207935710698</v>
      </c>
      <c r="F19497" s="7" t="n">
        <f aca="false">Sens!$E$19497+dm_seg</f>
        <v>0.296207935710698</v>
      </c>
      <c r="G19497" s="7" t="n">
        <f aca="false">Sens!$E$19497+dm_seg</f>
        <v>0.296207935710698</v>
      </c>
      <c r="H19497" s="7" t="n">
        <f aca="false">Sens!$E$19497+dm_seg</f>
        <v>0.296207935710698</v>
      </c>
      <c r="I19497" s="7" t="n">
        <f aca="false">Sens!$E$19497+dm_seg</f>
        <v>0.296207935710698</v>
      </c>
      <c r="J19497" s="7" t="n">
        <f aca="false">Sens!$E$19497+dm_seg</f>
        <v>0.296207935710698</v>
      </c>
      <c r="K19497" s="7" t="n">
        <f aca="false">Sens!$E$19497+dm_seg</f>
        <v>0.296207935710698</v>
      </c>
      <c r="L19497" s="12" t="s">
        <v>1062</v>
      </c>
    </row>
    <row r="19498" customFormat="false" ht="17.15" hidden="false" customHeight="false" outlineLevel="0" collapsed="false">
      <c r="A19498" s="0" t="s">
        <v>882</v>
      </c>
      <c r="B19498" s="0" t="s">
        <v>98</v>
      </c>
      <c r="D19498" s="6" t="n">
        <f aca="false">Q!L22</f>
        <v>17.714</v>
      </c>
      <c r="E19498" s="6" t="n">
        <f aca="false">Q!M22</f>
        <v>18.872</v>
      </c>
      <c r="F19498" s="6" t="n">
        <f aca="false">Q!$I$22+(Sens!F19473-Q!$I$12)*Sens!F19497</f>
        <v>19.8174315512051</v>
      </c>
      <c r="G19498" s="6" t="n">
        <f aca="false">Sens!G19473*Sens!G19497</f>
        <v>19.6313799703815</v>
      </c>
      <c r="H19498" s="6" t="n">
        <f aca="false">Sens!H19473*Sens!H19497</f>
        <v>20.3536242825865</v>
      </c>
      <c r="I19498" s="6" t="n">
        <f aca="false">Sens!I19473*Sens!I19497</f>
        <v>21.1920899239745</v>
      </c>
      <c r="J19498" s="6" t="n">
        <f aca="false">Sens!J19473*Sens!J19497</f>
        <v>22.1288166207045</v>
      </c>
      <c r="K19498" s="6" t="n">
        <f aca="false">Sens!K19473*Sens!K19497</f>
        <v>23.1493653905379</v>
      </c>
      <c r="L19498" s="12" t="s">
        <v>1063</v>
      </c>
    </row>
    <row r="19499" customFormat="false" ht="15" hidden="false" customHeight="false" outlineLevel="0" collapsed="false">
      <c r="A19499" s="1" t="s">
        <v>1064</v>
      </c>
      <c r="B19499" s="0" t="s">
        <v>98</v>
      </c>
      <c r="D19499" s="6" t="n">
        <f aca="false">Sens!D19496+Sens!D19498</f>
        <v>128.528</v>
      </c>
      <c r="E19499" s="6" t="n">
        <f aca="false">Sens!E19496+Sens!E19498</f>
        <v>155.237</v>
      </c>
      <c r="F19499" s="6" t="n">
        <f aca="false">Sens!F19496+Sens!F19498</f>
        <v>185.83516628132</v>
      </c>
      <c r="G19499" s="6" t="n">
        <f aca="false">Sens!G19496+Sens!G19498</f>
        <v>212.163160859041</v>
      </c>
      <c r="H19499" s="6" t="n">
        <f aca="false">Sens!H19496+Sens!H19498</f>
        <v>247.816267669014</v>
      </c>
      <c r="I19499" s="6" t="n">
        <f aca="false">Sens!I19496+Sens!I19498</f>
        <v>275.12067649761</v>
      </c>
      <c r="J19499" s="6" t="n">
        <f aca="false">Sens!J19496+Sens!J19498</f>
        <v>298.789266902189</v>
      </c>
      <c r="K19499" s="6" t="n">
        <f aca="false">Sens!K19496+Sens!K19498</f>
        <v>320.385644251556</v>
      </c>
    </row>
    <row r="19500" customFormat="false" ht="15" hidden="false" customHeight="false" outlineLevel="0" collapsed="false">
      <c r="A19500" s="26" t="s">
        <v>1065</v>
      </c>
      <c r="B19500" s="31" t="s">
        <v>98</v>
      </c>
      <c r="C19500" s="31"/>
      <c r="D19500" s="27" t="n">
        <f aca="false">Sens!D19499-Q!L23</f>
        <v>0</v>
      </c>
      <c r="E19500" s="27" t="n">
        <f aca="false">Sens!E19499-Q!M23</f>
        <v>0</v>
      </c>
      <c r="F19500" s="31"/>
      <c r="G19500" s="31"/>
      <c r="H19500" s="31"/>
      <c r="I19500" s="31"/>
      <c r="J19500" s="31"/>
      <c r="K19500" s="31"/>
    </row>
    <row r="19501" customFormat="false" ht="15" hidden="false" customHeight="false" outlineLevel="0" collapsed="false">
      <c r="A19501" s="1" t="s">
        <v>1066</v>
      </c>
      <c r="B19501" s="0" t="s">
        <v>168</v>
      </c>
      <c r="D19501" s="7" t="n">
        <f aca="false">Sens!D19499/Sens!D19492</f>
        <v>0.456219562408598</v>
      </c>
      <c r="E19501" s="7" t="n">
        <f aca="false">Sens!E19499/Sens!E19492</f>
        <v>0.467808184089272</v>
      </c>
      <c r="F19501" s="7" t="n">
        <f aca="false">Sens!F19499/Sens!F19492</f>
        <v>0.460065515399973</v>
      </c>
      <c r="G19501" s="7" t="n">
        <f aca="false">Sens!G19499/Sens!G19492</f>
        <v>0.429444693803393</v>
      </c>
      <c r="H19501" s="7" t="n">
        <f aca="false">Sens!H19499/Sens!H19492</f>
        <v>0.419189024721495</v>
      </c>
      <c r="I19501" s="7" t="n">
        <f aca="false">Sens!I19499/Sens!I19492</f>
        <v>0.408194776588929</v>
      </c>
      <c r="J19501" s="7" t="n">
        <f aca="false">Sens!J19499/Sens!J19492</f>
        <v>0.403405256325381</v>
      </c>
      <c r="K19501" s="7" t="n">
        <f aca="false">Sens!K19499/Sens!K19492</f>
        <v>0.403517532710206</v>
      </c>
    </row>
    <row r="19502" customFormat="false" ht="17.15" hidden="false" customHeight="false" outlineLevel="0" collapsed="false">
      <c r="A19502" s="1" t="s">
        <v>1067</v>
      </c>
      <c r="B19502" s="0" t="s">
        <v>98</v>
      </c>
      <c r="F19502" s="6" t="n">
        <f aca="false">Sens!F19517</f>
        <v>9.17309066786505</v>
      </c>
      <c r="G19502" s="6" t="n">
        <f aca="false">Sens!G19517</f>
        <v>23.627030543948</v>
      </c>
      <c r="H19502" s="6" t="n">
        <f aca="false">Sens!H19517</f>
        <v>39.6747627189856</v>
      </c>
      <c r="I19502" s="6" t="n">
        <f aca="false">Sens!I19517</f>
        <v>54.5810193968767</v>
      </c>
      <c r="J19502" s="6" t="n">
        <f aca="false">Sens!J19517</f>
        <v>65.1365081216595</v>
      </c>
      <c r="K19502" s="6" t="n">
        <f aca="false">Sens!K19517</f>
        <v>70.7694465206906</v>
      </c>
      <c r="L19502" s="1" t="s">
        <v>1068</v>
      </c>
    </row>
    <row r="19503" customFormat="false" ht="17.15" hidden="false" customHeight="false" outlineLevel="0" collapsed="false">
      <c r="A19503" s="1" t="s">
        <v>1069</v>
      </c>
      <c r="B19503" s="0" t="s">
        <v>98</v>
      </c>
      <c r="D19503" s="6" t="n">
        <f aca="false">Sens!D19499</f>
        <v>128.528</v>
      </c>
      <c r="E19503" s="6" t="n">
        <f aca="false">Sens!E19499</f>
        <v>155.237</v>
      </c>
      <c r="F19503" s="6" t="n">
        <f aca="false">Sens!F19499+Sens!F19502</f>
        <v>195.008256949185</v>
      </c>
      <c r="G19503" s="6" t="n">
        <f aca="false">Sens!G19499+Sens!G19502</f>
        <v>235.790191402989</v>
      </c>
      <c r="H19503" s="6" t="n">
        <f aca="false">Sens!H19499+Sens!H19502</f>
        <v>287.491030388</v>
      </c>
      <c r="I19503" s="6" t="n">
        <f aca="false">Sens!I19499+Sens!I19502</f>
        <v>329.701695894487</v>
      </c>
      <c r="J19503" s="6" t="n">
        <f aca="false">Sens!J19499+Sens!J19502</f>
        <v>363.925775023848</v>
      </c>
      <c r="K19503" s="6" t="n">
        <f aca="false">Sens!K19499+Sens!K19502</f>
        <v>391.155090772246</v>
      </c>
    </row>
    <row r="19504" customFormat="false" ht="17.15" hidden="false" customHeight="false" outlineLevel="0" collapsed="false">
      <c r="A19504" s="1" t="s">
        <v>1070</v>
      </c>
      <c r="B19504" s="0" t="s">
        <v>98</v>
      </c>
      <c r="E19504" s="6" t="n">
        <f aca="false">Sens!E19447</f>
        <v>16.3054059770833</v>
      </c>
      <c r="F19504" s="6" t="n">
        <f aca="false">Sens!F19447</f>
        <v>35.0499560737695</v>
      </c>
      <c r="G19504" s="6" t="n">
        <f aca="false">Sens!G19447</f>
        <v>62.1848803536636</v>
      </c>
      <c r="H19504" s="6" t="n">
        <f aca="false">Sens!H19447</f>
        <v>91.5686933838682</v>
      </c>
      <c r="I19504" s="6" t="n">
        <f aca="false">Sens!I19447</f>
        <v>117.660959172613</v>
      </c>
      <c r="J19504" s="6" t="n">
        <f aca="false">Sens!J19447</f>
        <v>136.255638179728</v>
      </c>
      <c r="K19504" s="6" t="n">
        <f aca="false">Sens!K19447</f>
        <v>147.966328197264</v>
      </c>
    </row>
    <row r="19505" customFormat="false" ht="17.15" hidden="false" customHeight="false" outlineLevel="0" collapsed="false">
      <c r="A19505" s="1" t="s">
        <v>1071</v>
      </c>
      <c r="B19505" s="0" t="s">
        <v>98</v>
      </c>
      <c r="E19505" s="6" t="n">
        <f aca="false">Sens!E19529</f>
        <v>22.2285940229167</v>
      </c>
      <c r="F19505" s="6" t="n">
        <f aca="false">Sens!F19529</f>
        <v>23.5707765814879</v>
      </c>
      <c r="G19505" s="6" t="n">
        <f aca="false">Sens!G19529</f>
        <v>25.3658158373519</v>
      </c>
      <c r="H19505" s="6" t="n">
        <f aca="false">Sens!H19529</f>
        <v>27.5769352139332</v>
      </c>
      <c r="I19505" s="6" t="n">
        <f aca="false">Sens!I19529</f>
        <v>30.1278394556067</v>
      </c>
      <c r="J19505" s="6" t="n">
        <f aca="false">Sens!J19529</f>
        <v>32.9265804228831</v>
      </c>
      <c r="K19505" s="6" t="n">
        <f aca="false">Sens!K19529</f>
        <v>35.8888511555398</v>
      </c>
    </row>
    <row r="19506" customFormat="false" ht="17.15" hidden="false" customHeight="false" outlineLevel="0" collapsed="false">
      <c r="A19506" s="1" t="s">
        <v>1072</v>
      </c>
      <c r="B19506" s="0" t="s">
        <v>98</v>
      </c>
      <c r="D19506" s="6" t="n">
        <f aca="false">Q!L27</f>
        <v>-4.901</v>
      </c>
      <c r="E19506" s="6" t="n">
        <f aca="false">Q!M27</f>
        <v>10.697</v>
      </c>
      <c r="F19506" s="6" t="n">
        <f aca="false">Q!$I$27+oie_f*(q_per_yr-1)/q_per_yr</f>
        <v>-0.862</v>
      </c>
      <c r="G19506" s="6" t="n">
        <f aca="false">oie_f</f>
        <v>-1.2</v>
      </c>
      <c r="H19506" s="6" t="n">
        <f aca="false">oie_f</f>
        <v>-1.2</v>
      </c>
      <c r="I19506" s="6" t="n">
        <f aca="false">oie_f</f>
        <v>-1.2</v>
      </c>
      <c r="J19506" s="6" t="n">
        <f aca="false">oie_f</f>
        <v>-1.2</v>
      </c>
      <c r="K19506" s="6" t="n">
        <f aca="false">oie_f</f>
        <v>-1.2</v>
      </c>
      <c r="L19506" s="12" t="s">
        <v>1073</v>
      </c>
    </row>
    <row r="19507" customFormat="false" ht="15" hidden="false" customHeight="false" outlineLevel="0" collapsed="false">
      <c r="A19507" s="1" t="s">
        <v>1074</v>
      </c>
      <c r="B19507" s="0" t="s">
        <v>98</v>
      </c>
      <c r="D19507" s="6" t="n">
        <f aca="false">Sens!D19499+Sens!D19506</f>
        <v>123.627</v>
      </c>
      <c r="E19507" s="6" t="n">
        <f aca="false">Sens!E19499+Sens!E19506</f>
        <v>165.934</v>
      </c>
      <c r="F19507" s="6" t="n">
        <f aca="false">Sens!F19499+Sens!F19506</f>
        <v>184.97316628132</v>
      </c>
      <c r="G19507" s="6" t="n">
        <f aca="false">Sens!G19499+Sens!G19506</f>
        <v>210.963160859041</v>
      </c>
      <c r="H19507" s="6" t="n">
        <f aca="false">Sens!H19499+Sens!H19506</f>
        <v>246.616267669014</v>
      </c>
      <c r="I19507" s="6" t="n">
        <f aca="false">Sens!I19499+Sens!I19506</f>
        <v>273.92067649761</v>
      </c>
      <c r="J19507" s="6" t="n">
        <f aca="false">Sens!J19499+Sens!J19506</f>
        <v>297.589266902189</v>
      </c>
      <c r="K19507" s="6" t="n">
        <f aca="false">Sens!K19499+Sens!K19506</f>
        <v>319.185644251556</v>
      </c>
    </row>
    <row r="19508" customFormat="false" ht="15" hidden="false" customHeight="false" outlineLevel="0" collapsed="false">
      <c r="A19508" s="1" t="s">
        <v>1075</v>
      </c>
      <c r="B19508" s="0" t="s">
        <v>98</v>
      </c>
      <c r="D19508" s="6" t="n">
        <f aca="false">Q!L29</f>
        <v>21.795</v>
      </c>
      <c r="E19508" s="6" t="n">
        <f aca="false">Q!M29</f>
        <v>32.185</v>
      </c>
      <c r="F19508" s="6" t="n">
        <f aca="false">Q!$I$29+(Sens!F19507-Q!$I$28)*tax_f</f>
        <v>37.128033256264</v>
      </c>
      <c r="G19508" s="6" t="n">
        <f aca="false">Sens!G19507*tax_f</f>
        <v>42.1926321718081</v>
      </c>
      <c r="H19508" s="6" t="n">
        <f aca="false">Sens!H19507*tax_f</f>
        <v>49.3232535338029</v>
      </c>
      <c r="I19508" s="6" t="n">
        <f aca="false">Sens!I19507*tax_f</f>
        <v>54.784135299522</v>
      </c>
      <c r="J19508" s="6" t="n">
        <f aca="false">Sens!J19507*tax_f</f>
        <v>59.5178533804378</v>
      </c>
      <c r="K19508" s="6" t="n">
        <f aca="false">Sens!K19507*tax_f</f>
        <v>63.8371288503112</v>
      </c>
    </row>
    <row r="19509" customFormat="false" ht="15" hidden="false" customHeight="false" outlineLevel="0" collapsed="false">
      <c r="A19509" s="1" t="s">
        <v>1076</v>
      </c>
      <c r="B19509" s="0" t="s">
        <v>98</v>
      </c>
      <c r="D19509" s="6" t="n">
        <f aca="false">Sens!D19507-Sens!D19508</f>
        <v>101.832</v>
      </c>
      <c r="E19509" s="6" t="n">
        <f aca="false">Sens!E19507-Sens!E19508</f>
        <v>133.749</v>
      </c>
      <c r="F19509" s="6" t="n">
        <f aca="false">Sens!F19507-Sens!F19508</f>
        <v>147.845133025056</v>
      </c>
      <c r="G19509" s="6" t="n">
        <f aca="false">Sens!G19507-Sens!G19508</f>
        <v>168.770528687233</v>
      </c>
      <c r="H19509" s="6" t="n">
        <f aca="false">Sens!H19507-Sens!H19508</f>
        <v>197.293014135211</v>
      </c>
      <c r="I19509" s="6" t="n">
        <f aca="false">Sens!I19507-Sens!I19508</f>
        <v>219.136541198088</v>
      </c>
      <c r="J19509" s="6" t="n">
        <f aca="false">Sens!J19507-Sens!J19508</f>
        <v>238.071413521751</v>
      </c>
      <c r="K19509" s="6" t="n">
        <f aca="false">Sens!K19507-Sens!K19508</f>
        <v>255.348515401245</v>
      </c>
    </row>
    <row r="19510" customFormat="false" ht="17.15" hidden="false" customHeight="false" outlineLevel="0" collapsed="false">
      <c r="A19510" s="1" t="s">
        <v>1077</v>
      </c>
      <c r="B19510" s="1" t="s">
        <v>81</v>
      </c>
      <c r="D19510" s="15" t="n">
        <f aca="false">Q!L31</f>
        <v>7.465</v>
      </c>
      <c r="E19510" s="15" t="n">
        <f aca="false">Q!M31</f>
        <v>7.453</v>
      </c>
      <c r="F19510" s="15" t="n">
        <f aca="false">Sens!F19554</f>
        <v>7.4735</v>
      </c>
      <c r="G19510" s="15" t="n">
        <f aca="false">Sens!G19554</f>
        <v>7.5185</v>
      </c>
      <c r="H19510" s="15" t="n">
        <f aca="false">Sens!H19554</f>
        <v>7.5461999390288</v>
      </c>
      <c r="I19510" s="15" t="n">
        <f aca="false">Sens!I19554</f>
        <v>7.55788130308427</v>
      </c>
      <c r="J19510" s="15" t="n">
        <f aca="false">Sens!J19554</f>
        <v>7.57203071424674</v>
      </c>
      <c r="K19510" s="15" t="n">
        <f aca="false">Sens!K19554</f>
        <v>7.58846535421199</v>
      </c>
    </row>
    <row r="19511" customFormat="false" ht="17.15" hidden="false" customHeight="false" outlineLevel="0" collapsed="false">
      <c r="A19511" s="0" t="s">
        <v>1078</v>
      </c>
      <c r="B19511" s="0" t="s">
        <v>75</v>
      </c>
      <c r="D19511" s="8" t="n">
        <f aca="false">Sens!D19509/Sens!D19510</f>
        <v>13.641259209645</v>
      </c>
      <c r="E19511" s="8" t="n">
        <f aca="false">Sens!E19509/Sens!E19510</f>
        <v>17.9456594659869</v>
      </c>
      <c r="F19511" s="8" t="n">
        <f aca="false">Sens!F19509/Sens!F19510</f>
        <v>19.7825828627893</v>
      </c>
      <c r="G19511" s="8" t="n">
        <f aca="false">Sens!G19509/Sens!G19510</f>
        <v>22.4473669863979</v>
      </c>
      <c r="H19511" s="8" t="n">
        <f aca="false">Sens!H19509/Sens!H19510</f>
        <v>26.1446841760468</v>
      </c>
      <c r="I19511" s="8" t="n">
        <f aca="false">Sens!I19509/Sens!I19510</f>
        <v>28.9944406918195</v>
      </c>
      <c r="J19511" s="8" t="n">
        <f aca="false">Sens!J19509/Sens!J19510</f>
        <v>31.4408937979901</v>
      </c>
      <c r="K19511" s="8" t="n">
        <f aca="false">Sens!K19509/Sens!K19510</f>
        <v>33.6495593617638</v>
      </c>
      <c r="L19511" s="1" t="s">
        <v>1079</v>
      </c>
    </row>
    <row r="19512" customFormat="false" ht="17.15" hidden="false" customHeight="false" outlineLevel="0" collapsed="false">
      <c r="A19512" s="1" t="s">
        <v>1080</v>
      </c>
      <c r="B19512" s="0" t="s">
        <v>98</v>
      </c>
      <c r="D19512" s="6" t="n">
        <f aca="false">Sens!D19509</f>
        <v>101.832</v>
      </c>
      <c r="E19512" s="6" t="n">
        <f aca="false">Sens!E19509</f>
        <v>133.749</v>
      </c>
      <c r="F19512" s="6" t="n">
        <f aca="false">Sens!F19509+Sens!F19502*(1-tax_f)</f>
        <v>155.183605559348</v>
      </c>
      <c r="G19512" s="6" t="n">
        <f aca="false">Sens!G19509+Sens!G19502*(1-tax_f)</f>
        <v>187.672153122391</v>
      </c>
      <c r="H19512" s="6" t="n">
        <f aca="false">Sens!H19509+Sens!H19502*(1-tax_f)</f>
        <v>229.0328243104</v>
      </c>
      <c r="I19512" s="6" t="n">
        <f aca="false">Sens!I19509+Sens!I19502*(1-tax_f)</f>
        <v>262.801356715589</v>
      </c>
      <c r="J19512" s="6" t="n">
        <f aca="false">Sens!J19509+Sens!J19502*(1-tax_f)</f>
        <v>290.180620019079</v>
      </c>
      <c r="K19512" s="6" t="n">
        <f aca="false">Sens!K19509+Sens!K19502*(1-tax_f)</f>
        <v>311.964072617797</v>
      </c>
    </row>
    <row r="19513" customFormat="false" ht="17.15" hidden="false" customHeight="false" outlineLevel="0" collapsed="false">
      <c r="A19513" s="0" t="s">
        <v>1081</v>
      </c>
      <c r="B19513" s="0" t="s">
        <v>75</v>
      </c>
      <c r="D19513" s="8" t="n">
        <f aca="false">Sens!D19512/Sens!D19510</f>
        <v>13.641259209645</v>
      </c>
      <c r="E19513" s="8" t="n">
        <f aca="false">Sens!E19512/Sens!E19510</f>
        <v>17.9456594659869</v>
      </c>
      <c r="F19513" s="8" t="n">
        <f aca="false">Sens!F19512/Sens!F19510</f>
        <v>20.7645153621928</v>
      </c>
      <c r="G19513" s="8" t="n">
        <f aca="false">Sens!G19512/Sens!G19510</f>
        <v>24.9613823398804</v>
      </c>
      <c r="H19513" s="8" t="n">
        <f aca="false">Sens!H19512/Sens!H19510</f>
        <v>30.3507495376377</v>
      </c>
      <c r="I19513" s="8" t="n">
        <f aca="false">Sens!I19512/Sens!I19510</f>
        <v>34.771829058541</v>
      </c>
      <c r="J19513" s="8" t="n">
        <f aca="false">Sens!J19512/Sens!J19510</f>
        <v>38.3226945280485</v>
      </c>
      <c r="K19513" s="8" t="n">
        <f aca="false">Sens!K19512/Sens!K19510</f>
        <v>41.1102980716174</v>
      </c>
      <c r="L19513" s="1" t="s">
        <v>1082</v>
      </c>
    </row>
    <row r="19514" customFormat="false" ht="17.15" hidden="false" customHeight="false" outlineLevel="0" collapsed="false">
      <c r="A19514" s="0" t="s">
        <v>1083</v>
      </c>
      <c r="B19514" s="0" t="s">
        <v>168</v>
      </c>
      <c r="E19514" s="7" t="n">
        <f aca="false">Sens!E19513/Sens!D19513-1</f>
        <v>0.315542736208578</v>
      </c>
      <c r="F19514" s="7" t="n">
        <f aca="false">Sens!F19513/Sens!E19513-1</f>
        <v>0.15707730894753</v>
      </c>
      <c r="G19514" s="7" t="n">
        <f aca="false">Sens!G19513/Sens!F19513-1</f>
        <v>0.202117261322125</v>
      </c>
      <c r="H19514" s="7" t="n">
        <f aca="false">Sens!H19513/Sens!G19513-1</f>
        <v>0.215908202693837</v>
      </c>
      <c r="I19514" s="7" t="n">
        <f aca="false">Sens!I19513/Sens!H19513-1</f>
        <v>0.145666238503295</v>
      </c>
      <c r="J19514" s="7" t="n">
        <f aca="false">Sens!J19513/Sens!I19513-1</f>
        <v>0.102119030423431</v>
      </c>
      <c r="K19514" s="7" t="n">
        <f aca="false">Sens!K19513/Sens!J19513-1</f>
        <v>0.0727402803455981</v>
      </c>
    </row>
    <row r="19515" customFormat="false" ht="17.15" hidden="false" customHeight="false" outlineLevel="0" collapsed="false">
      <c r="A19515" s="0" t="s">
        <v>1003</v>
      </c>
      <c r="B19515" s="0" t="s">
        <v>98</v>
      </c>
      <c r="E19515" s="6" t="n">
        <f aca="false">Sens!E19456</f>
        <v>5.25</v>
      </c>
      <c r="F19515" s="6" t="n">
        <f aca="false">Sens!F19456</f>
        <v>13.5</v>
      </c>
      <c r="G19515" s="6" t="n">
        <f aca="false">Sens!G19456</f>
        <v>22.5</v>
      </c>
      <c r="H19515" s="6" t="n">
        <f aca="false">Sens!H19456</f>
        <v>31.5</v>
      </c>
      <c r="I19515" s="6" t="n">
        <f aca="false">Sens!I19456</f>
        <v>38.25</v>
      </c>
      <c r="J19515" s="6" t="n">
        <f aca="false">Sens!J19456</f>
        <v>42.75</v>
      </c>
      <c r="K19515" s="6" t="n">
        <f aca="false">Sens!K19456</f>
        <v>47.25</v>
      </c>
    </row>
    <row r="19516" customFormat="false" ht="17.15" hidden="false" customHeight="false" outlineLevel="0" collapsed="false">
      <c r="A19516" s="1" t="s">
        <v>1004</v>
      </c>
      <c r="B19516" s="0" t="s">
        <v>98</v>
      </c>
      <c r="F19516" s="6" t="n">
        <f aca="false">MAX(0,((Sens!E19416+Sens!F19416)/2-(shadow_base*(Sens!$D$19416+Sens!$E$19416)/2+(1-shadow_base)*Sens!$E$19416))*Sens!F19425/1000-(Sens!F19515-Sens!$E$19515)*Sens!F19495)</f>
        <v>9.17309066786505</v>
      </c>
      <c r="G19516" s="6" t="n">
        <f aca="false">MAX(0,((Sens!F19416+Sens!G19416)/2-(shadow_base*(Sens!$D$19416+Sens!$E$19416)/2+(1-shadow_base)*Sens!$E$19416))*Sens!G19425/1000-(Sens!G19515-Sens!$E$19515)*Sens!G19495)</f>
        <v>23.627030543948</v>
      </c>
      <c r="H19516" s="6" t="n">
        <f aca="false">MAX(0,((Sens!G19416+Sens!H19416)/2-(shadow_base*(Sens!$D$19416+Sens!$E$19416)/2+(1-shadow_base)*Sens!$E$19416))*Sens!H19425/1000-(Sens!H19515-Sens!$E$19515)*Sens!H19495)</f>
        <v>39.6747627189856</v>
      </c>
      <c r="I19516" s="6" t="n">
        <f aca="false">MAX(0,((Sens!H19416+Sens!I19416)/2-(shadow_base*(Sens!$D$19416+Sens!$E$19416)/2+(1-shadow_base)*Sens!$E$19416))*Sens!I19425/1000-(Sens!I19515-Sens!$E$19515)*Sens!I19495)</f>
        <v>54.5810193968767</v>
      </c>
      <c r="J19516" s="6" t="n">
        <f aca="false">MAX(0,((Sens!I19416+Sens!J19416)/2-(shadow_base*(Sens!$D$19416+Sens!$E$19416)/2+(1-shadow_base)*Sens!$E$19416))*Sens!J19425/1000-(Sens!J19515-Sens!$E$19515)*Sens!J19495)</f>
        <v>65.1365081216595</v>
      </c>
      <c r="K19516" s="6" t="n">
        <f aca="false">MAX(0,((Sens!J19416+Sens!K19416)/2-(shadow_base*(Sens!$D$19416+Sens!$E$19416)/2+(1-shadow_base)*Sens!$E$19416))*Sens!K19425/1000-(Sens!K19515-Sens!$E$19515)*Sens!K19495)</f>
        <v>70.7694465206906</v>
      </c>
      <c r="L19516" s="1" t="s">
        <v>1005</v>
      </c>
    </row>
    <row r="19517" customFormat="false" ht="17.15" hidden="false" customHeight="false" outlineLevel="0" collapsed="false">
      <c r="A19517" s="1" t="s">
        <v>1006</v>
      </c>
      <c r="B19517" s="0" t="s">
        <v>98</v>
      </c>
      <c r="F19517" s="6" t="n">
        <f aca="false">IF(internal_ai_reading=2,1,0)*Sens!F19516</f>
        <v>9.17309066786505</v>
      </c>
      <c r="G19517" s="6" t="n">
        <f aca="false">IF(internal_ai_reading=2,1,0)*Sens!G19516</f>
        <v>23.627030543948</v>
      </c>
      <c r="H19517" s="6" t="n">
        <f aca="false">IF(internal_ai_reading=2,1,0)*Sens!H19516</f>
        <v>39.6747627189856</v>
      </c>
      <c r="I19517" s="6" t="n">
        <f aca="false">IF(internal_ai_reading=2,1,0)*Sens!I19516</f>
        <v>54.5810193968767</v>
      </c>
      <c r="J19517" s="6" t="n">
        <f aca="false">IF(internal_ai_reading=2,1,0)*Sens!J19516</f>
        <v>65.1365081216595</v>
      </c>
      <c r="K19517" s="6" t="n">
        <f aca="false">IF(internal_ai_reading=2,1,0)*Sens!K19516</f>
        <v>70.7694465206906</v>
      </c>
    </row>
    <row r="19518" customFormat="false" ht="17.15" hidden="false" customHeight="false" outlineLevel="0" collapsed="false">
      <c r="A19518" s="0" t="s">
        <v>1007</v>
      </c>
      <c r="B19518" s="0" t="s">
        <v>98</v>
      </c>
      <c r="F19518" s="6" t="n">
        <f aca="false">Sens!F19435+Sens!F19515*Sens!F19495+Sens!F19517-Sens!F19436-Sens!F19447</f>
        <v>19.4545177896332</v>
      </c>
      <c r="G19518" s="6" t="n">
        <f aca="false">Sens!G19435+Sens!G19515*Sens!G19495+Sens!G19517-Sens!G19436-Sens!G19447</f>
        <v>45.2879389270785</v>
      </c>
      <c r="H19518" s="6" t="n">
        <f aca="false">Sens!H19435+Sens!H19515*Sens!H19495+Sens!H19517-Sens!H19436-Sens!H19447</f>
        <v>77.0472541155583</v>
      </c>
      <c r="I19518" s="6" t="n">
        <f aca="false">Sens!I19435+Sens!I19515*Sens!I19495+Sens!I19517-Sens!I19436-Sens!I19447</f>
        <v>99.6865286703819</v>
      </c>
      <c r="J19518" s="6" t="n">
        <f aca="false">Sens!J19435+Sens!J19515*Sens!J19495+Sens!J19517-Sens!J19436-Sens!J19447</f>
        <v>115.477943038469</v>
      </c>
      <c r="K19518" s="6" t="n">
        <f aca="false">Sens!K19435+Sens!K19515*Sens!K19495+Sens!K19517-Sens!K19436-Sens!K19447</f>
        <v>126.204293518703</v>
      </c>
    </row>
    <row r="19519" customFormat="false" ht="17.15" hidden="false" customHeight="false" outlineLevel="0" collapsed="false">
      <c r="A19519" s="0" t="s">
        <v>1008</v>
      </c>
      <c r="B19519" s="0" t="s">
        <v>98</v>
      </c>
      <c r="E19519" s="6" t="n">
        <f aca="false">Sens!E19415*(cxit_open+self_build*tk_cxfac)/1000*ai_net_open</f>
        <v>126.6980382</v>
      </c>
      <c r="F19519" s="6" t="n">
        <f aca="false">Sens!E19519+Sens!F19444-Sens!F19447</f>
        <v>265.749685313364</v>
      </c>
      <c r="G19519" s="6" t="n">
        <f aca="false">Sens!F19519+Sens!G19444-Sens!G19447</f>
        <v>401.618558735096</v>
      </c>
      <c r="H19519" s="6" t="n">
        <f aca="false">Sens!G19519+Sens!H19444-Sens!H19447</f>
        <v>512.965147542088</v>
      </c>
      <c r="I19519" s="6" t="n">
        <f aca="false">Sens!H19519+Sens!I19444-Sens!I19447</f>
        <v>569.345904932441</v>
      </c>
      <c r="J19519" s="6" t="n">
        <f aca="false">Sens!I19519+Sens!J19444-Sens!J19447</f>
        <v>566.31350283211</v>
      </c>
      <c r="K19519" s="6" t="n">
        <f aca="false">Sens!J19519+Sens!K19444-Sens!K19447</f>
        <v>541.581045010494</v>
      </c>
      <c r="L19519" s="1" t="s">
        <v>1009</v>
      </c>
    </row>
    <row r="19520" customFormat="false" ht="17.15" hidden="false" customHeight="false" outlineLevel="0" collapsed="false">
      <c r="A19520" s="0" t="s">
        <v>1010</v>
      </c>
      <c r="B19520" s="0" t="s">
        <v>168</v>
      </c>
      <c r="F19520" s="7" t="n">
        <f aca="false">Sens!F19518*(1-tax_f)/((Sens!E19519+Sens!F19519)/2)</f>
        <v>0.0793156045975973</v>
      </c>
      <c r="G19520" s="7" t="n">
        <f aca="false">Sens!G19518*(1-tax_f)/((Sens!F19519+Sens!G19519)/2)</f>
        <v>0.10857679089397</v>
      </c>
      <c r="H19520" s="7" t="n">
        <f aca="false">Sens!H19518*(1-tax_f)/((Sens!G19519+Sens!H19519)/2)</f>
        <v>0.13478876317039</v>
      </c>
      <c r="I19520" s="7" t="n">
        <f aca="false">Sens!I19518*(1-tax_f)/((Sens!H19519+Sens!I19519)/2)</f>
        <v>0.147368397936937</v>
      </c>
      <c r="J19520" s="7" t="n">
        <f aca="false">Sens!J19518*(1-tax_f)/((Sens!I19519+Sens!J19519)/2)</f>
        <v>0.162693768570318</v>
      </c>
      <c r="K19520" s="7" t="n">
        <f aca="false">Sens!K19518*(1-tax_f)/((Sens!J19519+Sens!K19519)/2)</f>
        <v>0.182261813656486</v>
      </c>
    </row>
    <row r="19521" customFormat="false" ht="17.15" hidden="false" customHeight="false" outlineLevel="0" collapsed="false">
      <c r="A19521" s="1" t="s">
        <v>1011</v>
      </c>
      <c r="B19521" s="0" t="s">
        <v>168</v>
      </c>
      <c r="F19521" s="7" t="n">
        <f aca="false">(Sens!F19518-Sens!F19517)*(1-tax_f)/((Sens!E19519+Sens!F19519)/2)</f>
        <v>0.0419171329306205</v>
      </c>
      <c r="G19521" s="7" t="n">
        <f aca="false">(Sens!G19518-Sens!G19517)*(1-tax_f)/((Sens!F19519+Sens!G19519)/2)</f>
        <v>0.051931529140143</v>
      </c>
      <c r="H19521" s="7" t="n">
        <f aca="false">(Sens!H19518-Sens!H19517)*(1-tax_f)/((Sens!G19519+Sens!H19519)/2)</f>
        <v>0.0653805505434994</v>
      </c>
      <c r="I19521" s="7" t="n">
        <f aca="false">(Sens!I19518-Sens!I19517)*(1-tax_f)/((Sens!H19519+Sens!I19519)/2)</f>
        <v>0.0666802899892836</v>
      </c>
      <c r="J19521" s="7" t="n">
        <f aca="false">(Sens!J19518-Sens!J19517)*(1-tax_f)/((Sens!I19519+Sens!J19519)/2)</f>
        <v>0.0709246938969528</v>
      </c>
      <c r="K19521" s="7" t="n">
        <f aca="false">(Sens!K19518-Sens!K19517)*(1-tax_f)/((Sens!J19519+Sens!K19519)/2)</f>
        <v>0.0800579399632726</v>
      </c>
    </row>
    <row r="19522" customFormat="false" ht="17.15" hidden="false" customHeight="false" outlineLevel="0" collapsed="false">
      <c r="A19522" s="1" t="s">
        <v>1012</v>
      </c>
      <c r="B19522" s="0" t="s">
        <v>168</v>
      </c>
      <c r="F19522" s="7" t="n">
        <f aca="false">(Sens!F19518-Sens!F19517+Sens!F19516)*(1-tax_f)/((Sens!E19519+Sens!F19519)/2)</f>
        <v>0.0793156045975973</v>
      </c>
      <c r="G19522" s="7" t="n">
        <f aca="false">(Sens!G19518-Sens!G19517+Sens!G19516)*(1-tax_f)/((Sens!F19519+Sens!G19519)/2)</f>
        <v>0.10857679089397</v>
      </c>
      <c r="H19522" s="7" t="n">
        <f aca="false">(Sens!H19518-Sens!H19517+Sens!H19516)*(1-tax_f)/((Sens!G19519+Sens!H19519)/2)</f>
        <v>0.13478876317039</v>
      </c>
      <c r="I19522" s="7" t="n">
        <f aca="false">(Sens!I19518-Sens!I19517+Sens!I19516)*(1-tax_f)/((Sens!H19519+Sens!I19519)/2)</f>
        <v>0.147368397936937</v>
      </c>
      <c r="J19522" s="7" t="n">
        <f aca="false">(Sens!J19518-Sens!J19517+Sens!J19516)*(1-tax_f)/((Sens!I19519+Sens!J19519)/2)</f>
        <v>0.162693768570318</v>
      </c>
      <c r="K19522" s="7" t="n">
        <f aca="false">(Sens!K19518-Sens!K19517+Sens!K19516)*(1-tax_f)/((Sens!J19519+Sens!K19519)/2)</f>
        <v>0.182261813656486</v>
      </c>
    </row>
    <row r="19523" customFormat="false" ht="17.15" hidden="false" customHeight="false" outlineLevel="0" collapsed="false">
      <c r="A19523" s="1" t="s">
        <v>1013</v>
      </c>
      <c r="B19523" s="0" t="s">
        <v>168</v>
      </c>
      <c r="F19523" s="7" t="n">
        <f aca="false">Sens!F19448*(1-tax_f)/(Sens!F19434*(Sens!E19519+Sens!F19519)/2)</f>
        <v>0.158332701559419</v>
      </c>
      <c r="G19523" s="7" t="n">
        <f aca="false">Sens!G19448*(1-tax_f)/(Sens!G19434*(Sens!F19519+Sens!G19519)/2)</f>
        <v>0.17980267353376</v>
      </c>
      <c r="H19523" s="7" t="n">
        <f aca="false">Sens!H19448*(1-tax_f)/(Sens!H19434*(Sens!G19519+Sens!H19519)/2)</f>
        <v>0.21039122634277</v>
      </c>
      <c r="I19523" s="7" t="n">
        <f aca="false">Sens!I19448*(1-tax_f)/(Sens!I19434*(Sens!H19519+Sens!I19519)/2)</f>
        <v>0.22335980905394</v>
      </c>
      <c r="J19523" s="7" t="n">
        <f aca="false">Sens!J19448*(1-tax_f)/(Sens!J19434*(Sens!I19519+Sens!J19519)/2)</f>
        <v>0.243269410738522</v>
      </c>
      <c r="K19523" s="7" t="n">
        <f aca="false">Sens!K19448*(1-tax_f)/(Sens!K19434*(Sens!J19519+Sens!K19519)/2)</f>
        <v>0.270584250565776</v>
      </c>
    </row>
    <row r="19524" customFormat="false" ht="17.15" hidden="false" customHeight="false" outlineLevel="0" collapsed="false">
      <c r="A19524" s="0" t="s">
        <v>1014</v>
      </c>
      <c r="B19524" s="0" t="s">
        <v>253</v>
      </c>
      <c r="F19524" s="7" t="n">
        <f aca="false">Sens!F19520-wacc</f>
        <v>-0.023620986348</v>
      </c>
      <c r="G19524" s="7" t="n">
        <f aca="false">Sens!G19520-wacc</f>
        <v>0.00564019994837256</v>
      </c>
      <c r="H19524" s="7" t="n">
        <f aca="false">Sens!H19520-wacc</f>
        <v>0.0318521722247932</v>
      </c>
      <c r="I19524" s="7" t="n">
        <f aca="false">Sens!I19520-wacc</f>
        <v>0.0444318069913393</v>
      </c>
      <c r="J19524" s="7" t="n">
        <f aca="false">Sens!J19520-wacc</f>
        <v>0.0597571776247211</v>
      </c>
      <c r="K19524" s="7" t="n">
        <f aca="false">Sens!K19520-wacc</f>
        <v>0.0793252227108884</v>
      </c>
    </row>
    <row r="19525" customFormat="false" ht="17.15" hidden="false" customHeight="false" outlineLevel="0" collapsed="false">
      <c r="A19525" s="0" t="s">
        <v>1015</v>
      </c>
      <c r="B19525" s="0" t="s">
        <v>98</v>
      </c>
      <c r="F19525" s="6" t="n">
        <f aca="false">Sens!F19518*(1-tax_f)-wacc*(Sens!E19519+Sens!F19519)/2</f>
        <v>-4.63500115970643</v>
      </c>
      <c r="G19525" s="6" t="n">
        <f aca="false">Sens!G19518*(1-tax_f)-wacc*(Sens!F19519+Sens!G19519)/2</f>
        <v>1.88204516781381</v>
      </c>
      <c r="H19525" s="6" t="n">
        <f aca="false">Sens!H19518*(1-tax_f)-wacc*(Sens!G19519+Sens!H19519)/2</f>
        <v>14.5657388631653</v>
      </c>
      <c r="I19525" s="6" t="n">
        <f aca="false">Sens!I19518*(1-tax_f)-wacc*(Sens!H19519+Sens!I19519)/2</f>
        <v>24.0445178940708</v>
      </c>
      <c r="J19525" s="6" t="n">
        <f aca="false">Sens!J19518*(1-tax_f)-wacc*(Sens!I19519+Sens!J19519)/2</f>
        <v>33.9319004754859</v>
      </c>
      <c r="K19525" s="6" t="n">
        <f aca="false">Sens!K19518*(1-tax_f)-wacc*(Sens!J19519+Sens!K19519)/2</f>
        <v>43.9419908738968</v>
      </c>
    </row>
    <row r="19526" customFormat="false" ht="17.15" hidden="false" customHeight="false" outlineLevel="0" collapsed="false">
      <c r="A19526" s="3" t="s">
        <v>1962</v>
      </c>
    </row>
    <row r="19527" customFormat="false" ht="15" hidden="false" customHeight="false" outlineLevel="0" collapsed="false">
      <c r="A19527" s="4" t="s">
        <v>43</v>
      </c>
      <c r="B19527" s="4" t="s">
        <v>65</v>
      </c>
      <c r="C19527" s="23" t="s">
        <v>938</v>
      </c>
      <c r="D19527" s="23" t="s">
        <v>939</v>
      </c>
      <c r="E19527" s="23" t="s">
        <v>940</v>
      </c>
      <c r="F19527" s="23" t="s">
        <v>941</v>
      </c>
      <c r="G19527" s="23" t="s">
        <v>942</v>
      </c>
      <c r="H19527" s="23" t="s">
        <v>943</v>
      </c>
      <c r="I19527" s="23" t="s">
        <v>944</v>
      </c>
      <c r="J19527" s="23" t="s">
        <v>945</v>
      </c>
      <c r="K19527" s="23" t="s">
        <v>946</v>
      </c>
      <c r="L19527" s="4" t="s">
        <v>47</v>
      </c>
    </row>
    <row r="19528" customFormat="false" ht="15" hidden="false" customHeight="false" outlineLevel="0" collapsed="false">
      <c r="A19528" s="1" t="s">
        <v>1076</v>
      </c>
      <c r="B19528" s="0" t="s">
        <v>98</v>
      </c>
      <c r="F19528" s="6" t="n">
        <f aca="false">Sens!F19509</f>
        <v>147.845133025056</v>
      </c>
      <c r="G19528" s="6" t="n">
        <f aca="false">Sens!G19509</f>
        <v>168.770528687233</v>
      </c>
      <c r="H19528" s="6" t="n">
        <f aca="false">Sens!H19509</f>
        <v>197.293014135211</v>
      </c>
      <c r="I19528" s="6" t="n">
        <f aca="false">Sens!I19509</f>
        <v>219.136541198088</v>
      </c>
      <c r="J19528" s="6" t="n">
        <f aca="false">Sens!J19509</f>
        <v>238.071413521751</v>
      </c>
      <c r="K19528" s="6" t="n">
        <f aca="false">Sens!K19509</f>
        <v>255.348515401245</v>
      </c>
    </row>
    <row r="19529" customFormat="false" ht="17.15" hidden="false" customHeight="false" outlineLevel="0" collapsed="false">
      <c r="A19529" s="1" t="s">
        <v>1098</v>
      </c>
      <c r="B19529" s="0" t="s">
        <v>98</v>
      </c>
      <c r="E19529" s="6" t="n">
        <f aca="false">Q!M38-Sens!E19447</f>
        <v>22.2285940229167</v>
      </c>
      <c r="F19529" s="6" t="n">
        <f aca="false">Sens!E19529*(1-1/life_nonai)+(Sens!F19537+Sens!F19538)/life_nonai</f>
        <v>23.5707765814879</v>
      </c>
      <c r="G19529" s="6" t="n">
        <f aca="false">Sens!F19529*(1-1/life_nonai)+(Sens!G19537)/life_nonai</f>
        <v>25.3658158373519</v>
      </c>
      <c r="H19529" s="6" t="n">
        <f aca="false">Sens!G19529*(1-1/life_nonai)+(Sens!H19537)/life_nonai</f>
        <v>27.5769352139332</v>
      </c>
      <c r="I19529" s="6" t="n">
        <f aca="false">Sens!H19529*(1-1/life_nonai)+(Sens!I19537)/life_nonai</f>
        <v>30.1278394556067</v>
      </c>
      <c r="J19529" s="6" t="n">
        <f aca="false">Sens!I19529*(1-1/life_nonai)+(Sens!J19537)/life_nonai</f>
        <v>32.9265804228831</v>
      </c>
      <c r="K19529" s="6" t="n">
        <f aca="false">Sens!J19529*(1-1/life_nonai)+(Sens!K19537)/life_nonai</f>
        <v>35.8888511555398</v>
      </c>
      <c r="L19529" s="12" t="s">
        <v>1099</v>
      </c>
    </row>
    <row r="19530" customFormat="false" ht="17.15" hidden="false" customHeight="false" outlineLevel="0" collapsed="false">
      <c r="A19530" s="1" t="s">
        <v>1100</v>
      </c>
      <c r="B19530" s="0" t="s">
        <v>98</v>
      </c>
      <c r="F19530" s="6" t="n">
        <f aca="false">Sens!$F$19538/life_nonai*(1-1/life_nonai)^(Sens!F19410-2027)</f>
        <v>0</v>
      </c>
      <c r="G19530" s="6" t="n">
        <f aca="false">Sens!$F$19538/life_nonai*(1-1/life_nonai)^(Sens!G19410-2027)</f>
        <v>0</v>
      </c>
      <c r="H19530" s="6" t="n">
        <f aca="false">Sens!$F$19538/life_nonai*(1-1/life_nonai)^(Sens!H19410-2027)</f>
        <v>0</v>
      </c>
      <c r="I19530" s="6" t="n">
        <f aca="false">Sens!$F$19538/life_nonai*(1-1/life_nonai)^(Sens!I19410-2027)</f>
        <v>0</v>
      </c>
      <c r="J19530" s="6" t="n">
        <f aca="false">Sens!$F$19538/life_nonai*(1-1/life_nonai)^(Sens!J19410-2027)</f>
        <v>0</v>
      </c>
      <c r="K19530" s="6" t="n">
        <f aca="false">Sens!$F$19538/life_nonai*(1-1/life_nonai)^(Sens!K19410-2027)</f>
        <v>0</v>
      </c>
      <c r="L19530" s="1" t="s">
        <v>1101</v>
      </c>
    </row>
    <row r="19531" customFormat="false" ht="17.15" hidden="false" customHeight="false" outlineLevel="0" collapsed="false">
      <c r="A19531" s="1" t="s">
        <v>1102</v>
      </c>
      <c r="B19531" s="0" t="s">
        <v>98</v>
      </c>
      <c r="E19531" s="6" t="n">
        <f aca="false">Sens!E19447+Sens!E19529</f>
        <v>38.534</v>
      </c>
      <c r="F19531" s="6" t="n">
        <f aca="false">Sens!F19447+Sens!F19529</f>
        <v>58.6207326552574</v>
      </c>
      <c r="G19531" s="6" t="n">
        <f aca="false">Sens!G19447+Sens!G19529</f>
        <v>87.5506961910155</v>
      </c>
      <c r="H19531" s="6" t="n">
        <f aca="false">Sens!H19447+Sens!H19529</f>
        <v>119.145628597801</v>
      </c>
      <c r="I19531" s="6" t="n">
        <f aca="false">Sens!I19447+Sens!I19529</f>
        <v>147.78879862822</v>
      </c>
      <c r="J19531" s="6" t="n">
        <f aca="false">Sens!J19447+Sens!J19529</f>
        <v>169.182218602611</v>
      </c>
      <c r="K19531" s="6" t="n">
        <f aca="false">Sens!K19447+Sens!K19529</f>
        <v>183.855179352804</v>
      </c>
    </row>
    <row r="19532" customFormat="false" ht="17.15" hidden="false" customHeight="false" outlineLevel="0" collapsed="false">
      <c r="A19532" s="1" t="s">
        <v>1103</v>
      </c>
      <c r="B19532" s="0" t="s">
        <v>98</v>
      </c>
      <c r="F19532" s="6" t="n">
        <f aca="false">Sens!F19474*sbc_r</f>
        <v>15.100021361372</v>
      </c>
      <c r="G19532" s="6" t="n">
        <f aca="false">Sens!G19474*sbc_r</f>
        <v>18.4685193451915</v>
      </c>
      <c r="H19532" s="6" t="n">
        <f aca="false">Sens!H19474*sbc_r</f>
        <v>22.0998461913651</v>
      </c>
      <c r="I19532" s="6" t="n">
        <f aca="false">Sens!I19474*sbc_r</f>
        <v>25.1956246776612</v>
      </c>
      <c r="J19532" s="6" t="n">
        <f aca="false">Sens!J19474*sbc_r</f>
        <v>27.6880762722838</v>
      </c>
      <c r="K19532" s="6" t="n">
        <f aca="false">Sens!K19474*sbc_r</f>
        <v>29.6810992617166</v>
      </c>
    </row>
    <row r="19533" customFormat="false" ht="17.15" hidden="false" customHeight="false" outlineLevel="0" collapsed="false">
      <c r="A19533" s="1" t="s">
        <v>1104</v>
      </c>
      <c r="B19533" s="0" t="s">
        <v>98</v>
      </c>
      <c r="F19533" s="6" t="n">
        <f aca="false">wc27-wc26q1</f>
        <v>-4.677</v>
      </c>
      <c r="G19533" s="6" t="n">
        <f aca="false">wc_f</f>
        <v>0</v>
      </c>
      <c r="H19533" s="6" t="n">
        <f aca="false">wc_f</f>
        <v>0</v>
      </c>
      <c r="I19533" s="6" t="n">
        <f aca="false">wc_f</f>
        <v>0</v>
      </c>
      <c r="J19533" s="6" t="n">
        <f aca="false">wc_f</f>
        <v>0</v>
      </c>
      <c r="K19533" s="6" t="n">
        <f aca="false">wc_f</f>
        <v>0</v>
      </c>
      <c r="L19533" s="12" t="s">
        <v>1105</v>
      </c>
    </row>
    <row r="19534" customFormat="false" ht="17.15" hidden="false" customHeight="false" outlineLevel="0" collapsed="false">
      <c r="A19534" s="0" t="s">
        <v>1106</v>
      </c>
      <c r="B19534" s="0" t="s">
        <v>98</v>
      </c>
      <c r="F19534" s="6" t="n">
        <f aca="false">Q!$I$35-Q!$I$26-Q!$I$38-Q!$I$39</f>
        <v>6.493</v>
      </c>
      <c r="L19534" s="1" t="s">
        <v>1107</v>
      </c>
    </row>
    <row r="19535" customFormat="false" ht="15" hidden="false" customHeight="false" outlineLevel="0" collapsed="false">
      <c r="A19535" s="1" t="s">
        <v>904</v>
      </c>
      <c r="B19535" s="0" t="s">
        <v>98</v>
      </c>
      <c r="E19535" s="6" t="n">
        <f aca="false">Q!M35</f>
        <v>182.935</v>
      </c>
      <c r="F19535" s="6" t="n">
        <f aca="false">Sens!F19528+Sens!F19531+Sens!F19532+Sens!F19533+Sens!F19534</f>
        <v>223.381887041685</v>
      </c>
      <c r="G19535" s="6" t="n">
        <f aca="false">Sens!G19528+Sens!G19531+Sens!G19532+Sens!G19533</f>
        <v>274.78974422344</v>
      </c>
      <c r="H19535" s="6" t="n">
        <f aca="false">Sens!H19528+Sens!H19531+Sens!H19532+Sens!H19533</f>
        <v>338.538488924378</v>
      </c>
      <c r="I19535" s="6" t="n">
        <f aca="false">Sens!I19528+Sens!I19531+Sens!I19532+Sens!I19533</f>
        <v>392.120964503969</v>
      </c>
      <c r="J19535" s="6" t="n">
        <f aca="false">Sens!J19528+Sens!J19531+Sens!J19532+Sens!J19533</f>
        <v>434.941708396646</v>
      </c>
      <c r="K19535" s="6" t="n">
        <f aca="false">Sens!K19528+Sens!K19531+Sens!K19532+Sens!K19533</f>
        <v>468.884794015765</v>
      </c>
    </row>
    <row r="19536" customFormat="false" ht="17.15" hidden="false" customHeight="false" outlineLevel="0" collapsed="false">
      <c r="A19536" s="0" t="s">
        <v>1108</v>
      </c>
      <c r="B19536" s="0" t="s">
        <v>98</v>
      </c>
      <c r="F19536" s="6" t="n">
        <f aca="false">Sens!F19444</f>
        <v>174.101603187134</v>
      </c>
      <c r="G19536" s="6" t="n">
        <f aca="false">Sens!G19444</f>
        <v>198.053753775396</v>
      </c>
      <c r="H19536" s="6" t="n">
        <f aca="false">Sens!H19444</f>
        <v>202.91528219086</v>
      </c>
      <c r="I19536" s="6" t="n">
        <f aca="false">Sens!I19444</f>
        <v>174.041716562966</v>
      </c>
      <c r="J19536" s="6" t="n">
        <f aca="false">Sens!J19444</f>
        <v>133.223236079397</v>
      </c>
      <c r="K19536" s="6" t="n">
        <f aca="false">Sens!K19444</f>
        <v>123.233870375648</v>
      </c>
    </row>
    <row r="19537" customFormat="false" ht="17.15" hidden="false" customHeight="false" outlineLevel="0" collapsed="false">
      <c r="A19537" s="1" t="s">
        <v>1109</v>
      </c>
      <c r="B19537" s="0" t="s">
        <v>98</v>
      </c>
      <c r="E19537" s="6" t="n">
        <f aca="false">Sens!E19452*cx_azo+Sens!E19459*cx_m365+Sens!E19460*cx_lic+(Sens!E19462+Sens!E19464)*cx_ind+Sens!E19467*cx_srch+(Sens!E19469+Sens!E19471)*cx_dev</f>
        <v>30.1846587067718</v>
      </c>
      <c r="F19537" s="6" t="n">
        <f aca="false">Sens!F19452*cx_azo+Sens!F19459*cx_m365+Sens!F19460*cx_lic+(Sens!F19462+Sens!F19464)*cx_ind+Sens!F19467*cx_srch+(Sens!F19469+Sens!F19471)*cx_dev</f>
        <v>35.650419608629</v>
      </c>
      <c r="G19537" s="6" t="n">
        <f aca="false">Sens!G19452*cx_azo+Sens!G19459*cx_m365+Sens!G19460*cx_lic+(Sens!G19462+Sens!G19464)*cx_ind+Sens!G19467*cx_srch+(Sens!G19469+Sens!G19471)*cx_dev</f>
        <v>41.5211691401278</v>
      </c>
      <c r="H19537" s="6" t="n">
        <f aca="false">Sens!H19452*cx_azo+Sens!H19459*cx_m365+Sens!H19460*cx_lic+(Sens!H19462+Sens!H19464)*cx_ind+Sens!H19467*cx_srch+(Sens!H19469+Sens!H19471)*cx_dev</f>
        <v>47.4770096031644</v>
      </c>
      <c r="I19537" s="6" t="n">
        <f aca="false">Sens!I19452*cx_azo+Sens!I19459*cx_m365+Sens!I19460*cx_lic+(Sens!I19462+Sens!I19464)*cx_ind+Sens!I19467*cx_srch+(Sens!I19469+Sens!I19471)*cx_dev</f>
        <v>53.0859776306687</v>
      </c>
      <c r="J19537" s="6" t="n">
        <f aca="false">Sens!J19452*cx_azo+Sens!J19459*cx_m365+Sens!J19460*cx_lic+(Sens!J19462+Sens!J19464)*cx_ind+Sens!J19467*cx_srch+(Sens!J19469+Sens!J19471)*cx_dev</f>
        <v>58.1152491283708</v>
      </c>
      <c r="K19537" s="6" t="n">
        <f aca="false">Sens!K19452*cx_azo+Sens!K19459*cx_m365+Sens!K19460*cx_lic+(Sens!K19462+Sens!K19464)*cx_ind+Sens!K19467*cx_srch+(Sens!K19469+Sens!K19471)*cx_dev</f>
        <v>62.5492877494501</v>
      </c>
    </row>
    <row r="19538" customFormat="false" ht="17.15" hidden="false" customHeight="false" outlineLevel="0" collapsed="false">
      <c r="A19538" s="0" t="s">
        <v>1110</v>
      </c>
      <c r="B19538" s="0" t="s">
        <v>98</v>
      </c>
      <c r="F19538" s="6" t="n">
        <f aca="false">Sens!F19442</f>
        <v>0</v>
      </c>
      <c r="L19538" s="1" t="s">
        <v>1111</v>
      </c>
    </row>
    <row r="19539" customFormat="false" ht="17.15" hidden="false" customHeight="false" outlineLevel="0" collapsed="false">
      <c r="A19539" s="1" t="s">
        <v>1112</v>
      </c>
      <c r="B19539" s="0" t="s">
        <v>98</v>
      </c>
      <c r="E19539" s="6" t="n">
        <f aca="false">Q!M43</f>
        <v>145.3</v>
      </c>
      <c r="F19539" s="6" t="n">
        <f aca="false">Sens!F19536+Sens!F19537+Sens!F19538</f>
        <v>209.752022795763</v>
      </c>
      <c r="G19539" s="6" t="n">
        <f aca="false">Sens!G19536+Sens!G19537</f>
        <v>239.574922915523</v>
      </c>
      <c r="H19539" s="6" t="n">
        <f aca="false">Sens!H19536+Sens!H19537</f>
        <v>250.392291794024</v>
      </c>
      <c r="I19539" s="6" t="n">
        <f aca="false">Sens!I19536+Sens!I19537</f>
        <v>227.127694193634</v>
      </c>
      <c r="J19539" s="6" t="n">
        <f aca="false">Sens!J19536+Sens!J19537</f>
        <v>191.338485207768</v>
      </c>
      <c r="K19539" s="6" t="n">
        <f aca="false">Sens!K19536+Sens!K19537</f>
        <v>185.783158125098</v>
      </c>
      <c r="L19539" s="1" t="s">
        <v>1113</v>
      </c>
    </row>
    <row r="19540" customFormat="false" ht="15" hidden="false" customHeight="false" outlineLevel="0" collapsed="false">
      <c r="A19540" s="1" t="s">
        <v>1114</v>
      </c>
      <c r="B19540" s="0" t="s">
        <v>98</v>
      </c>
      <c r="E19540" s="6" t="n">
        <f aca="false">fl_liab</f>
        <v>66.594</v>
      </c>
      <c r="F19540" s="6" t="n">
        <f aca="false">Sens!E19540-Sens!F19541</f>
        <v>62.46973</v>
      </c>
      <c r="G19540" s="6" t="n">
        <f aca="false">Sens!F19540-Sens!G19541</f>
        <v>57.98686785</v>
      </c>
      <c r="H19540" s="6" t="n">
        <f aca="false">Sens!G19540-Sens!H19541</f>
        <v>53.92827690325</v>
      </c>
      <c r="I19540" s="6" t="n">
        <f aca="false">Sens!H19540-Sens!I19541</f>
        <v>49.7850493638962</v>
      </c>
      <c r="J19540" s="6" t="n">
        <f aca="false">Sens!I19540-Sens!J19541</f>
        <v>45.4823765852716</v>
      </c>
      <c r="K19540" s="6" t="n">
        <f aca="false">Sens!J19540-Sens!K19541</f>
        <v>40.9860835316088</v>
      </c>
    </row>
    <row r="19541" customFormat="false" ht="15" hidden="false" customHeight="false" outlineLevel="0" collapsed="false">
      <c r="A19541" s="1" t="s">
        <v>1115</v>
      </c>
      <c r="B19541" s="0" t="s">
        <v>98</v>
      </c>
      <c r="F19541" s="6" t="n">
        <f aca="false">fl_pay_27-Sens!E19540*fl_rate</f>
        <v>4.12427</v>
      </c>
      <c r="G19541" s="6" t="n">
        <f aca="false">fl_pay_28-Sens!F19540*fl_rate</f>
        <v>4.48286215</v>
      </c>
      <c r="H19541" s="6" t="n">
        <f aca="false">fl_pay_29-Sens!G19540*fl_rate</f>
        <v>4.05859094675</v>
      </c>
      <c r="I19541" s="6" t="n">
        <f aca="false">fl_pay_30-Sens!H19540*fl_rate</f>
        <v>4.14322753935375</v>
      </c>
      <c r="J19541" s="6" t="n">
        <f aca="false">fl_pay_31-Sens!I19540*fl_rate</f>
        <v>4.30267277862467</v>
      </c>
      <c r="K19541" s="6" t="n">
        <f aca="false">fl_pay_32-Sens!J19540*fl_rate</f>
        <v>4.49629305366278</v>
      </c>
    </row>
    <row r="19542" customFormat="false" ht="17.15" hidden="false" customHeight="false" outlineLevel="0" collapsed="false">
      <c r="A19542" s="1" t="s">
        <v>1116</v>
      </c>
      <c r="B19542" s="0" t="s">
        <v>98</v>
      </c>
      <c r="E19542" s="6" t="n">
        <f aca="false">Q!M35-Q!M36-Q!M44</f>
        <v>63.886</v>
      </c>
      <c r="F19542" s="6" t="n">
        <f aca="false">Sens!F19535-Sens!F19539-Sens!F19541</f>
        <v>9.50559424592276</v>
      </c>
      <c r="G19542" s="6" t="n">
        <f aca="false">Sens!G19535-Sens!G19539-Sens!G19541</f>
        <v>30.7319591579161</v>
      </c>
      <c r="H19542" s="6" t="n">
        <f aca="false">Sens!H19535-Sens!H19539-Sens!H19541</f>
        <v>84.0876061836036</v>
      </c>
      <c r="I19542" s="6" t="n">
        <f aca="false">Sens!I19535-Sens!I19539-Sens!I19541</f>
        <v>160.850042770981</v>
      </c>
      <c r="J19542" s="6" t="n">
        <f aca="false">Sens!J19535-Sens!J19539-Sens!J19541</f>
        <v>239.300550410253</v>
      </c>
      <c r="K19542" s="6" t="n">
        <f aca="false">Sens!K19535-Sens!K19539-Sens!K19541</f>
        <v>278.605342837004</v>
      </c>
      <c r="L19542" s="12" t="s">
        <v>1117</v>
      </c>
    </row>
    <row r="19543" customFormat="false" ht="15" hidden="false" customHeight="false" outlineLevel="0" collapsed="false">
      <c r="A19543" s="1" t="s">
        <v>1118</v>
      </c>
      <c r="B19543" s="0" t="s">
        <v>75</v>
      </c>
      <c r="F19543" s="8" t="n">
        <f aca="false">dps_27</f>
        <v>3.85</v>
      </c>
      <c r="G19543" s="8" t="n">
        <f aca="false">Sens!F19543*(1+dps_g)</f>
        <v>4.158</v>
      </c>
      <c r="H19543" s="8" t="n">
        <f aca="false">Sens!G19543*(1+dps_g)</f>
        <v>4.49064</v>
      </c>
      <c r="I19543" s="8" t="n">
        <f aca="false">Sens!H19543*(1+dps_g)</f>
        <v>4.8498912</v>
      </c>
      <c r="J19543" s="8" t="n">
        <f aca="false">Sens!I19543*(1+dps_g)</f>
        <v>5.237882496</v>
      </c>
      <c r="K19543" s="8" t="n">
        <f aca="false">Sens!J19543*(1+dps_g)</f>
        <v>5.65691309568</v>
      </c>
    </row>
    <row r="19544" customFormat="false" ht="17.15" hidden="false" customHeight="false" outlineLevel="0" collapsed="false">
      <c r="A19544" s="1" t="s">
        <v>1119</v>
      </c>
      <c r="B19544" s="0" t="s">
        <v>98</v>
      </c>
      <c r="E19544" s="6" t="n">
        <f aca="false">Q!M41</f>
        <v>26.445</v>
      </c>
      <c r="F19544" s="6" t="n">
        <f aca="false">Sens!F19543*Sens!E19553</f>
        <v>28.59395</v>
      </c>
      <c r="G19544" s="6" t="n">
        <f aca="false">Sens!G19543*Sens!F19553</f>
        <v>31.068576</v>
      </c>
      <c r="H19544" s="6" t="n">
        <f aca="false">Sens!H19543*Sens!G19553</f>
        <v>33.75614088</v>
      </c>
      <c r="I19544" s="6" t="n">
        <f aca="false">Sens!I19543*Sens!H19553</f>
        <v>36.5070704274727</v>
      </c>
      <c r="J19544" s="6" t="n">
        <f aca="false">Sens!J19543*Sens!I19553</f>
        <v>39.4955339470631</v>
      </c>
      <c r="K19544" s="6" t="n">
        <f aca="false">Sens!K19543*Sens!J19553</f>
        <v>42.7419309252064</v>
      </c>
      <c r="L19544" s="1" t="s">
        <v>1120</v>
      </c>
    </row>
    <row r="19545" customFormat="false" ht="15" hidden="false" customHeight="false" outlineLevel="0" collapsed="false">
      <c r="A19545" s="1" t="s">
        <v>1121</v>
      </c>
      <c r="B19545" s="0" t="s">
        <v>98</v>
      </c>
      <c r="E19545" s="6" t="n">
        <f aca="false">Sens!E19542-Sens!E19544</f>
        <v>37.441</v>
      </c>
      <c r="F19545" s="6" t="n">
        <f aca="false">Sens!F19542-Sens!F19544</f>
        <v>-19.0883557540772</v>
      </c>
      <c r="G19545" s="6" t="n">
        <f aca="false">Sens!G19542-Sens!G19544</f>
        <v>-0.336616842083888</v>
      </c>
      <c r="H19545" s="6" t="n">
        <f aca="false">Sens!H19542-Sens!H19544</f>
        <v>50.3314653036036</v>
      </c>
      <c r="I19545" s="6" t="n">
        <f aca="false">Sens!I19542-Sens!I19544</f>
        <v>124.342972343508</v>
      </c>
      <c r="J19545" s="6" t="n">
        <f aca="false">Sens!J19542-Sens!J19544</f>
        <v>199.80501646319</v>
      </c>
      <c r="K19545" s="6" t="n">
        <f aca="false">Sens!K19542-Sens!K19544</f>
        <v>235.863411911797</v>
      </c>
    </row>
    <row r="19546" customFormat="false" ht="15" hidden="false" customHeight="false" outlineLevel="0" collapsed="false">
      <c r="A19546" s="1" t="s">
        <v>1122</v>
      </c>
      <c r="B19546" s="0" t="s">
        <v>98</v>
      </c>
      <c r="F19546" s="6" t="n">
        <f aca="false">debt_mat_27</f>
        <v>9.25</v>
      </c>
      <c r="G19546" s="6" t="n">
        <f aca="false">debt_mat_28</f>
        <v>0</v>
      </c>
      <c r="H19546" s="6" t="n">
        <f aca="false">debt_mat_29</f>
        <v>2.001</v>
      </c>
      <c r="I19546" s="6" t="n">
        <f aca="false">debt_mat_30</f>
        <v>0</v>
      </c>
      <c r="J19546" s="6" t="n">
        <f aca="false">debt_mat_31</f>
        <v>0.5</v>
      </c>
      <c r="K19546" s="6" t="n">
        <f aca="false">debt_mat_32</f>
        <v>0</v>
      </c>
    </row>
    <row r="19547" customFormat="false" ht="15" hidden="false" customHeight="false" outlineLevel="0" collapsed="false">
      <c r="A19547" s="1" t="s">
        <v>1123</v>
      </c>
      <c r="B19547" s="0" t="s">
        <v>98</v>
      </c>
      <c r="E19547" s="6" t="n">
        <f aca="false">Q!M40</f>
        <v>22.271</v>
      </c>
      <c r="F19547" s="6" t="n">
        <f aca="false">MAX(0,MIN(bb_target,Sens!E19549+Sens!F19545-Sens!F19546-min_cash))</f>
        <v>0</v>
      </c>
      <c r="G19547" s="6" t="n">
        <f aca="false">MAX(0,MIN(bb_target,Sens!F19549+Sens!G19545-Sens!G19546-min_cash))</f>
        <v>0</v>
      </c>
      <c r="H19547" s="6" t="n">
        <f aca="false">MAX(0,MIN(bb_target,Sens!G19549+Sens!H19545-Sens!H19546-min_cash))</f>
        <v>22.271</v>
      </c>
      <c r="I19547" s="6" t="n">
        <f aca="false">MAX(0,MIN(bb_target,Sens!H19549+Sens!I19545-Sens!I19546-min_cash))</f>
        <v>22.271</v>
      </c>
      <c r="J19547" s="6" t="n">
        <f aca="false">MAX(0,MIN(bb_target,Sens!I19549+Sens!J19545-Sens!J19546-min_cash))</f>
        <v>22.271</v>
      </c>
      <c r="K19547" s="6" t="n">
        <f aca="false">MAX(0,MIN(bb_target,Sens!J19549+Sens!K19545-Sens!K19546-min_cash))</f>
        <v>22.271</v>
      </c>
    </row>
    <row r="19548" customFormat="false" ht="15" hidden="false" customHeight="false" outlineLevel="0" collapsed="false">
      <c r="A19548" s="1" t="s">
        <v>1124</v>
      </c>
      <c r="B19548" s="0" t="s">
        <v>98</v>
      </c>
      <c r="F19548" s="6" t="n">
        <f aca="false">MAX(0,min_cash-(Sens!E19549+Sens!F19545-Sens!F19546-Sens!F19547))</f>
        <v>1.49535575407724</v>
      </c>
      <c r="G19548" s="6" t="n">
        <f aca="false">MAX(0,min_cash-(Sens!F19549+Sens!G19545-Sens!G19546-Sens!G19547))</f>
        <v>0.336616842083885</v>
      </c>
      <c r="H19548" s="6" t="n">
        <f aca="false">MAX(0,min_cash-(Sens!G19549+Sens!H19545-Sens!H19546-Sens!H19547))</f>
        <v>0</v>
      </c>
      <c r="I19548" s="6" t="n">
        <f aca="false">MAX(0,min_cash-(Sens!H19549+Sens!I19545-Sens!I19546-Sens!I19547))</f>
        <v>0</v>
      </c>
      <c r="J19548" s="6" t="n">
        <f aca="false">MAX(0,min_cash-(Sens!I19549+Sens!J19545-Sens!J19546-Sens!J19547))</f>
        <v>0</v>
      </c>
      <c r="K19548" s="6" t="n">
        <f aca="false">MAX(0,min_cash-(Sens!J19549+Sens!K19545-Sens!K19546-Sens!K19547))</f>
        <v>0</v>
      </c>
    </row>
    <row r="19549" customFormat="false" ht="15" hidden="false" customHeight="false" outlineLevel="0" collapsed="false">
      <c r="A19549" s="1" t="s">
        <v>1125</v>
      </c>
      <c r="B19549" s="0" t="s">
        <v>98</v>
      </c>
      <c r="E19549" s="6" t="n">
        <f aca="false">cash_open</f>
        <v>76.843</v>
      </c>
      <c r="F19549" s="6" t="n">
        <f aca="false">Sens!E19549+Sens!F19545-Sens!F19546-Sens!F19547+Sens!F19548</f>
        <v>50</v>
      </c>
      <c r="G19549" s="6" t="n">
        <f aca="false">Sens!F19549+Sens!G19545-Sens!G19546-Sens!G19547+Sens!G19548</f>
        <v>50</v>
      </c>
      <c r="H19549" s="6" t="n">
        <f aca="false">Sens!G19549+Sens!H19545-Sens!H19546-Sens!H19547+Sens!H19548</f>
        <v>76.0594653036036</v>
      </c>
      <c r="I19549" s="6" t="n">
        <f aca="false">Sens!H19549+Sens!I19545-Sens!I19546-Sens!I19547+Sens!I19548</f>
        <v>178.131437647112</v>
      </c>
      <c r="J19549" s="6" t="n">
        <f aca="false">Sens!I19549+Sens!J19545-Sens!J19546-Sens!J19547+Sens!J19548</f>
        <v>355.165454110302</v>
      </c>
      <c r="K19549" s="6" t="n">
        <f aca="false">Sens!J19549+Sens!K19545-Sens!K19546-Sens!K19547+Sens!K19548</f>
        <v>568.757866022099</v>
      </c>
    </row>
    <row r="19550" customFormat="false" ht="15" hidden="false" customHeight="false" outlineLevel="0" collapsed="false">
      <c r="A19550" s="1" t="s">
        <v>1126</v>
      </c>
      <c r="B19550" s="0" t="s">
        <v>98</v>
      </c>
      <c r="E19550" s="6" t="n">
        <f aca="false">debt_face</f>
        <v>46.136</v>
      </c>
      <c r="F19550" s="6" t="n">
        <f aca="false">Sens!E19550-Sens!F19546+Sens!F19548</f>
        <v>38.3813557540772</v>
      </c>
      <c r="G19550" s="6" t="n">
        <f aca="false">Sens!F19550-Sens!G19546+Sens!G19548</f>
        <v>38.7179725961611</v>
      </c>
      <c r="H19550" s="6" t="n">
        <f aca="false">Sens!G19550-Sens!H19546+Sens!H19548</f>
        <v>36.7169725961611</v>
      </c>
      <c r="I19550" s="6" t="n">
        <f aca="false">Sens!H19550-Sens!I19546+Sens!I19548</f>
        <v>36.7169725961611</v>
      </c>
      <c r="J19550" s="6" t="n">
        <f aca="false">Sens!I19550-Sens!J19546+Sens!J19548</f>
        <v>36.2169725961611</v>
      </c>
      <c r="K19550" s="6" t="n">
        <f aca="false">Sens!J19550-Sens!K19546+Sens!K19548</f>
        <v>36.2169725961611</v>
      </c>
    </row>
    <row r="19551" customFormat="false" ht="15" hidden="false" customHeight="false" outlineLevel="0" collapsed="false">
      <c r="A19551" s="1" t="s">
        <v>1127</v>
      </c>
      <c r="B19551" s="0" t="s">
        <v>98</v>
      </c>
      <c r="E19551" s="6" t="n">
        <f aca="false">Sens!E19549-Sens!E19550</f>
        <v>30.707</v>
      </c>
      <c r="F19551" s="6" t="n">
        <f aca="false">Sens!F19549-Sens!F19550</f>
        <v>11.6186442459228</v>
      </c>
      <c r="G19551" s="6" t="n">
        <f aca="false">Sens!G19549-Sens!G19550</f>
        <v>11.2820274038389</v>
      </c>
      <c r="H19551" s="6" t="n">
        <f aca="false">Sens!H19549-Sens!H19550</f>
        <v>39.3424927074425</v>
      </c>
      <c r="I19551" s="6" t="n">
        <f aca="false">Sens!I19549-Sens!I19550</f>
        <v>141.41446505095</v>
      </c>
      <c r="J19551" s="6" t="n">
        <f aca="false">Sens!J19549-Sens!J19550</f>
        <v>318.948481514141</v>
      </c>
      <c r="K19551" s="6" t="n">
        <f aca="false">Sens!K19549-Sens!K19550</f>
        <v>532.540893425938</v>
      </c>
    </row>
    <row r="19552" customFormat="false" ht="15" hidden="false" customHeight="false" outlineLevel="0" collapsed="false">
      <c r="A19552" s="1" t="s">
        <v>1128</v>
      </c>
      <c r="B19552" s="0" t="s">
        <v>75</v>
      </c>
      <c r="F19552" s="30" t="n">
        <f aca="false">px*(1+bb_g)^(Sens!F19410-base_fy-mid_yr)</f>
        <v>551.84177959629</v>
      </c>
      <c r="G19552" s="30" t="n">
        <f aca="false">px*(1+bb_g)^(Sens!G19410-base_fy-mid_yr)</f>
        <v>595.989121963993</v>
      </c>
      <c r="H19552" s="30" t="n">
        <f aca="false">px*(1+bb_g)^(Sens!H19410-base_fy-mid_yr)</f>
        <v>643.668251721112</v>
      </c>
      <c r="I19552" s="30" t="n">
        <f aca="false">px*(1+bb_g)^(Sens!I19410-base_fy-mid_yr)</f>
        <v>695.161711858801</v>
      </c>
      <c r="J19552" s="30" t="n">
        <f aca="false">px*(1+bb_g)^(Sens!J19410-base_fy-mid_yr)</f>
        <v>750.774648807506</v>
      </c>
      <c r="K19552" s="30" t="n">
        <f aca="false">px*(1+bb_g)^(Sens!K19410-base_fy-mid_yr)</f>
        <v>810.836620712106</v>
      </c>
    </row>
    <row r="19553" customFormat="false" ht="15" hidden="false" customHeight="false" outlineLevel="0" collapsed="false">
      <c r="A19553" s="1" t="s">
        <v>1129</v>
      </c>
      <c r="B19553" s="1" t="s">
        <v>81</v>
      </c>
      <c r="E19553" s="15" t="n">
        <f aca="false">sh_out26</f>
        <v>7.427</v>
      </c>
      <c r="F19553" s="15" t="n">
        <f aca="false">Sens!E19553+sh_iss-Sens!F19547/Sens!F19552</f>
        <v>7.472</v>
      </c>
      <c r="G19553" s="15" t="n">
        <f aca="false">Sens!F19553+sh_iss-Sens!G19547/Sens!G19552</f>
        <v>7.517</v>
      </c>
      <c r="H19553" s="15" t="n">
        <f aca="false">Sens!G19553+sh_iss-Sens!H19547/Sens!H19552</f>
        <v>7.5273998780576</v>
      </c>
      <c r="I19553" s="15" t="n">
        <f aca="false">Sens!H19553+sh_iss-Sens!I19547/Sens!I19552</f>
        <v>7.54036272811094</v>
      </c>
      <c r="J19553" s="15" t="n">
        <f aca="false">Sens!I19553+sh_iss-Sens!J19547/Sens!J19552</f>
        <v>7.55569870038255</v>
      </c>
      <c r="K19553" s="15" t="n">
        <f aca="false">Sens!J19553+sh_iss-Sens!K19547/Sens!K19552</f>
        <v>7.57323200804144</v>
      </c>
    </row>
    <row r="19554" customFormat="false" ht="15" hidden="false" customHeight="false" outlineLevel="0" collapsed="false">
      <c r="A19554" s="1" t="s">
        <v>1130</v>
      </c>
      <c r="B19554" s="1" t="s">
        <v>81</v>
      </c>
      <c r="E19554" s="15" t="n">
        <f aca="false">sh_dil26</f>
        <v>7.453</v>
      </c>
      <c r="F19554" s="15" t="n">
        <f aca="false">(Sens!E19553+Sens!F19553)/2+dil_gap</f>
        <v>7.4735</v>
      </c>
      <c r="G19554" s="15" t="n">
        <f aca="false">(Sens!F19553+Sens!G19553)/2+dil_gap</f>
        <v>7.5185</v>
      </c>
      <c r="H19554" s="15" t="n">
        <f aca="false">(Sens!G19553+Sens!H19553)/2+dil_gap</f>
        <v>7.5461999390288</v>
      </c>
      <c r="I19554" s="15" t="n">
        <f aca="false">(Sens!H19553+Sens!I19553)/2+dil_gap</f>
        <v>7.55788130308427</v>
      </c>
      <c r="J19554" s="15" t="n">
        <f aca="false">(Sens!I19553+Sens!J19553)/2+dil_gap</f>
        <v>7.57203071424674</v>
      </c>
      <c r="K19554" s="15" t="n">
        <f aca="false">(Sens!J19553+Sens!K19553)/2+dil_gap</f>
        <v>7.58846535421199</v>
      </c>
    </row>
    <row r="19555" customFormat="false" ht="17.15" hidden="false" customHeight="false" outlineLevel="0" collapsed="false">
      <c r="A19555" s="1" t="s">
        <v>1131</v>
      </c>
      <c r="B19555" s="0" t="s">
        <v>98</v>
      </c>
      <c r="C19555" s="6" t="n">
        <f aca="false">SUM(Sens!F19545:J19545)</f>
        <v>355.054481514141</v>
      </c>
    </row>
    <row r="19556" customFormat="false" ht="15" hidden="false" customHeight="false" outlineLevel="0" collapsed="false">
      <c r="A19556" s="26" t="s">
        <v>1096</v>
      </c>
      <c r="B19556" s="31" t="s">
        <v>98</v>
      </c>
      <c r="C19556" s="27" t="n">
        <f aca="false">Sens!$C$19555-(Sens!F19545+Sens!G19545+Sens!H19545+Sens!I19545+Sens!J19545)</f>
        <v>0</v>
      </c>
      <c r="D19556" s="31"/>
      <c r="E19556" s="31"/>
      <c r="F19556" s="31"/>
      <c r="G19556" s="31"/>
      <c r="H19556" s="31"/>
      <c r="I19556" s="31"/>
      <c r="J19556" s="31"/>
      <c r="K19556" s="31"/>
    </row>
    <row r="19557" customFormat="false" ht="17.15" hidden="false" customHeight="false" outlineLevel="0" collapsed="false">
      <c r="A19557" s="1" t="s">
        <v>1090</v>
      </c>
      <c r="B19557" s="1" t="s">
        <v>1132</v>
      </c>
      <c r="C19557" s="33" t="str">
        <f aca="false">IF(SUM(Sens!F19548:J19548)&gt;0.05,"需要舉債 "&amp;TEXT(SUM(Sens!F19548:J19548),"0.0")&amp;" 十億美元","不需舉債")&amp;"；"&amp;IF(SUM(Sens!F19547:J19547)&lt;COUNT(Sens!F19547:J19547)*bb_target-0.05,"回購較每年 "&amp;TEXT(bb_target,"0.0")&amp;" 的目標少 "&amp;TEXT(COUNT(Sens!F19547:J19547)*bb_target-SUM(Sens!F19547:J19547),"0.0")&amp;" 十億美元（"&amp;TEXT(COUNTIF(Sens!F19547:J19547,"&lt;"&amp;(bb_target-0.05)),"0")&amp;" 年減少）","回購不減")</f>
        <v>需要舉債 1.8 十億美元；回購較每年 22.3 的目標少 44.5 十億美元（2 年減少）</v>
      </c>
    </row>
    <row r="19558" customFormat="false" ht="17.15" hidden="false" customHeight="false" outlineLevel="0" collapsed="false">
      <c r="A19558" s="3" t="s">
        <v>1963</v>
      </c>
    </row>
    <row r="19559" customFormat="false" ht="15" hidden="false" customHeight="false" outlineLevel="0" collapsed="false">
      <c r="A19559" s="4" t="s">
        <v>43</v>
      </c>
      <c r="B19559" s="4" t="s">
        <v>65</v>
      </c>
      <c r="C19559" s="23" t="s">
        <v>938</v>
      </c>
      <c r="D19559" s="23" t="s">
        <v>939</v>
      </c>
      <c r="E19559" s="23" t="s">
        <v>940</v>
      </c>
      <c r="F19559" s="23" t="s">
        <v>941</v>
      </c>
      <c r="G19559" s="23" t="s">
        <v>942</v>
      </c>
      <c r="H19559" s="23" t="s">
        <v>943</v>
      </c>
      <c r="I19559" s="23" t="s">
        <v>944</v>
      </c>
      <c r="J19559" s="23" t="s">
        <v>945</v>
      </c>
      <c r="K19559" s="23" t="s">
        <v>946</v>
      </c>
      <c r="L19559" s="4" t="s">
        <v>47</v>
      </c>
    </row>
    <row r="19560" customFormat="false" ht="17.15" hidden="false" customHeight="false" outlineLevel="0" collapsed="false">
      <c r="A19560" s="1" t="s">
        <v>1212</v>
      </c>
      <c r="B19560" s="1" t="s">
        <v>279</v>
      </c>
      <c r="F19560" s="8" t="n">
        <f aca="false">(1-v_off)*mid_yr</f>
        <v>0.373972602739726</v>
      </c>
      <c r="G19560" s="8" t="n">
        <f aca="false">Sens!G19410-base_fy-mid_yr-v_off</f>
        <v>1.24794520547945</v>
      </c>
      <c r="H19560" s="8" t="n">
        <f aca="false">Sens!H19410-base_fy-mid_yr-v_off</f>
        <v>2.24794520547945</v>
      </c>
      <c r="I19560" s="8" t="n">
        <f aca="false">Sens!I19410-base_fy-mid_yr-v_off</f>
        <v>3.24794520547945</v>
      </c>
      <c r="J19560" s="8" t="n">
        <f aca="false">Sens!J19410-base_fy-mid_yr-v_off</f>
        <v>4.24794520547945</v>
      </c>
      <c r="K19560" s="8" t="n">
        <f aca="false">Sens!K19410-base_fy-mid_yr-v_off</f>
        <v>5.24794520547945</v>
      </c>
      <c r="L19560" s="12" t="s">
        <v>1213</v>
      </c>
    </row>
    <row r="19561" customFormat="false" ht="15" hidden="false" customHeight="false" outlineLevel="0" collapsed="false">
      <c r="A19561" s="1" t="s">
        <v>1214</v>
      </c>
      <c r="B19561" s="1" t="s">
        <v>279</v>
      </c>
      <c r="F19561" s="8" t="n">
        <f aca="false">Sens!F19410-base_fy-v_off</f>
        <v>0.747945205479452</v>
      </c>
      <c r="G19561" s="8" t="n">
        <f aca="false">Sens!G19410-base_fy-v_off</f>
        <v>1.74794520547945</v>
      </c>
      <c r="H19561" s="8" t="n">
        <f aca="false">Sens!H19410-base_fy-v_off</f>
        <v>2.74794520547945</v>
      </c>
      <c r="I19561" s="8" t="n">
        <f aca="false">Sens!I19410-base_fy-v_off</f>
        <v>3.74794520547945</v>
      </c>
      <c r="J19561" s="8" t="n">
        <f aca="false">Sens!J19410-base_fy-v_off</f>
        <v>4.74794520547945</v>
      </c>
      <c r="K19561" s="8" t="n">
        <f aca="false">Sens!K19410-base_fy-v_off</f>
        <v>5.74794520547945</v>
      </c>
    </row>
    <row r="19562" customFormat="false" ht="15" hidden="false" customHeight="false" outlineLevel="0" collapsed="false">
      <c r="A19562" s="1" t="s">
        <v>1215</v>
      </c>
      <c r="B19562" s="0" t="s">
        <v>229</v>
      </c>
      <c r="F19562" s="15" t="n">
        <f aca="false">1/(1+wacc)^Sens!F19560</f>
        <v>0.964022703286649</v>
      </c>
      <c r="G19562" s="15" t="n">
        <f aca="false">1/(1+wacc)^Sens!G19560</f>
        <v>0.884910302296739</v>
      </c>
      <c r="H19562" s="15" t="n">
        <f aca="false">1/(1+wacc)^Sens!H19560</f>
        <v>0.802322009770358</v>
      </c>
      <c r="I19562" s="15" t="n">
        <f aca="false">1/(1+wacc)^Sens!I19560</f>
        <v>0.727441646561469</v>
      </c>
      <c r="J19562" s="15" t="n">
        <f aca="false">1/(1+wacc)^Sens!J19560</f>
        <v>0.659549834988973</v>
      </c>
      <c r="K19562" s="15" t="n">
        <f aca="false">1/(1+wacc)^Sens!K19560</f>
        <v>0.597994336576966</v>
      </c>
    </row>
    <row r="19563" customFormat="false" ht="17.15" hidden="false" customHeight="false" outlineLevel="0" collapsed="false">
      <c r="A19563" s="1" t="s">
        <v>1216</v>
      </c>
      <c r="B19563" s="0" t="s">
        <v>98</v>
      </c>
      <c r="F19563" s="6" t="n">
        <f aca="false">Q!$I$35-Q!$I$39-Q!$I$43</f>
        <v>9.666</v>
      </c>
      <c r="L19563" s="12" t="s">
        <v>1217</v>
      </c>
    </row>
    <row r="19564" customFormat="false" ht="17.15" hidden="false" customHeight="false" outlineLevel="0" collapsed="false">
      <c r="A19564" s="1" t="s">
        <v>1218</v>
      </c>
      <c r="B19564" s="0" t="s">
        <v>98</v>
      </c>
      <c r="F19564" s="6" t="n">
        <f aca="false">Sens!F19535-Sens!F19532-Sens!F19539+Sens!F19517*(1-tax_f)*(1-v_off)-Sens!F19563</f>
        <v>-5.64738176788289</v>
      </c>
      <c r="G19564" s="6" t="n">
        <f aca="false">Sens!G19535-Sens!G19532-Sens!G19539+Sens!G19517*(1-tax_f)</f>
        <v>35.647926397883</v>
      </c>
      <c r="H19564" s="6" t="n">
        <f aca="false">Sens!H19535-Sens!H19532-Sens!H19539+Sens!H19517*(1-tax_f)</f>
        <v>97.786161114177</v>
      </c>
      <c r="I19564" s="6" t="n">
        <f aca="false">Sens!I19535-Sens!I19532-Sens!I19539+Sens!I19517*(1-tax_f)</f>
        <v>183.462461150174</v>
      </c>
      <c r="J19564" s="6" t="n">
        <f aca="false">Sens!J19535-Sens!J19532-Sens!J19539+Sens!J19517*(1-tax_f)</f>
        <v>268.024353413922</v>
      </c>
      <c r="K19564" s="6" t="n">
        <f aca="false">Sens!K19535-Sens!K19532-Sens!K19539+Sens!K19517*(1-tax_f)</f>
        <v>310.036093845503</v>
      </c>
      <c r="L19564" s="1" t="s">
        <v>1219</v>
      </c>
    </row>
    <row r="19565" customFormat="false" ht="15" hidden="false" customHeight="false" outlineLevel="0" collapsed="false">
      <c r="A19565" s="1" t="s">
        <v>1220</v>
      </c>
      <c r="B19565" s="0" t="s">
        <v>98</v>
      </c>
      <c r="F19565" s="6" t="n">
        <f aca="false">Sens!F19564*Sens!F19562</f>
        <v>-5.4442042383662</v>
      </c>
      <c r="G19565" s="6" t="n">
        <f aca="false">Sens!G19564*Sens!G19562</f>
        <v>31.5452173250026</v>
      </c>
      <c r="H19565" s="6" t="n">
        <f aca="false">Sens!H19564*Sens!H19562</f>
        <v>78.4559893128545</v>
      </c>
      <c r="I19565" s="6" t="n">
        <f aca="false">Sens!I19564*Sens!I19562</f>
        <v>133.458234821302</v>
      </c>
      <c r="J19565" s="6" t="n">
        <f aca="false">Sens!J19564*Sens!J19562</f>
        <v>176.775418067178</v>
      </c>
      <c r="K19565" s="6" t="n">
        <f aca="false">Sens!K19564*Sens!K19562</f>
        <v>185.399828254055</v>
      </c>
    </row>
    <row r="19566" customFormat="false" ht="17.15" hidden="false" customHeight="false" outlineLevel="0" collapsed="false">
      <c r="A19566" s="1" t="s">
        <v>1221</v>
      </c>
      <c r="B19566" s="0" t="s">
        <v>98</v>
      </c>
      <c r="C19566" s="6" t="n">
        <f aca="false">SUM(Sens!F19565:K19565)</f>
        <v>600.190483542027</v>
      </c>
    </row>
    <row r="19567" customFormat="false" ht="17.15" hidden="false" customHeight="false" outlineLevel="0" collapsed="false">
      <c r="A19567" s="1" t="s">
        <v>1222</v>
      </c>
      <c r="B19567" s="0" t="s">
        <v>98</v>
      </c>
      <c r="C19567" s="6" t="n">
        <f aca="false">Sens!K19503*(1+g_tv)*(1-tax_f)</f>
        <v>322.311794796331</v>
      </c>
    </row>
    <row r="19568" customFormat="false" ht="17.15" hidden="false" customHeight="false" outlineLevel="0" collapsed="false">
      <c r="A19568" s="1" t="s">
        <v>1223</v>
      </c>
      <c r="B19568" s="0" t="s">
        <v>98</v>
      </c>
      <c r="C19568" s="6" t="n">
        <f aca="false">Sens!$C$19567*(1-g_tv/(wacc+ronic_prem))</f>
        <v>228.376744538058</v>
      </c>
    </row>
    <row r="19569" customFormat="false" ht="17.15" hidden="false" customHeight="false" outlineLevel="0" collapsed="false">
      <c r="A19569" s="1" t="s">
        <v>1224</v>
      </c>
      <c r="B19569" s="0" t="s">
        <v>98</v>
      </c>
      <c r="C19569" s="6" t="n">
        <f aca="false">Sens!$C$19568/(wacc-g_tv)</f>
        <v>3131.16834194242</v>
      </c>
    </row>
    <row r="19570" customFormat="false" ht="15" hidden="false" customHeight="false" outlineLevel="0" collapsed="false">
      <c r="A19570" s="1" t="s">
        <v>1225</v>
      </c>
      <c r="B19570" s="0" t="s">
        <v>98</v>
      </c>
      <c r="C19570" s="6" t="n">
        <f aca="false">Sens!$C$19569/(1+wacc)^Sens!K19561</f>
        <v>1782.90505264402</v>
      </c>
    </row>
    <row r="19571" customFormat="false" ht="17.15" hidden="false" customHeight="false" outlineLevel="0" collapsed="false">
      <c r="A19571" s="0" t="s">
        <v>1226</v>
      </c>
      <c r="B19571" s="0" t="s">
        <v>98</v>
      </c>
      <c r="C19571" s="6" t="n">
        <f aca="false">Sens!$C$19566+Sens!$C$19570</f>
        <v>2383.09553618605</v>
      </c>
    </row>
    <row r="19572" customFormat="false" ht="15" hidden="false" customHeight="false" outlineLevel="0" collapsed="false">
      <c r="A19572" s="1" t="s">
        <v>1141</v>
      </c>
      <c r="B19572" s="0" t="s">
        <v>168</v>
      </c>
      <c r="C19572" s="7" t="n">
        <f aca="false">Sens!$C$19570/Sens!$C$19571</f>
        <v>0.748146696417138</v>
      </c>
    </row>
    <row r="19573" customFormat="false" ht="17.15" hidden="false" customHeight="false" outlineLevel="0" collapsed="false">
      <c r="A19573" s="1" t="s">
        <v>1227</v>
      </c>
      <c r="B19573" s="0" t="s">
        <v>98</v>
      </c>
      <c r="C19573" s="6" t="n">
        <f aca="false">Sens!$C$19571+cash_val-debt_val-fl_val+oai_v</f>
        <v>2498.94653618605</v>
      </c>
    </row>
    <row r="19574" customFormat="false" ht="17.15" hidden="false" customHeight="false" outlineLevel="0" collapsed="false">
      <c r="A19574" s="0" t="s">
        <v>1149</v>
      </c>
      <c r="B19574" s="0" t="s">
        <v>75</v>
      </c>
      <c r="C19574" s="5" t="n">
        <f aca="false">Sens!$C$19573/shd_val</f>
        <v>335.609258150154</v>
      </c>
    </row>
    <row r="19575" customFormat="false" ht="15" hidden="false" customHeight="false" outlineLevel="0" collapsed="false">
      <c r="A19575" s="1" t="s">
        <v>1228</v>
      </c>
      <c r="B19575" s="0" t="s">
        <v>75</v>
      </c>
      <c r="C19575" s="8" t="n">
        <f aca="false">div_rem27+Sens!G19543*roll_div_q/q_per_yr</f>
        <v>3.9795</v>
      </c>
    </row>
    <row r="19576" customFormat="false" ht="17.15" hidden="false" customHeight="false" outlineLevel="0" collapsed="false">
      <c r="A19576" s="0" t="s">
        <v>1229</v>
      </c>
      <c r="B19576" s="0" t="s">
        <v>75</v>
      </c>
      <c r="C19576" s="5" t="n">
        <f aca="false">Sens!$C$19574*(1+wacc)^t_roll-Sens!$C$19575</f>
        <v>369.068921036226</v>
      </c>
    </row>
    <row r="19577" customFormat="false" ht="17.15" hidden="false" customHeight="false" outlineLevel="0" collapsed="false">
      <c r="A19577" s="1" t="s">
        <v>1230</v>
      </c>
      <c r="B19577" s="0" t="s">
        <v>168</v>
      </c>
      <c r="F19577" s="7" t="n">
        <f aca="false">Sens!F19529/(Sens!F19474-Sens!F19429)</f>
        <v>0.0685728593169069</v>
      </c>
      <c r="G19577" s="7" t="n">
        <f aca="false">Sens!G19529/(Sens!G19474-Sens!G19429)</f>
        <v>0.0653679819367311</v>
      </c>
      <c r="H19577" s="7" t="n">
        <f aca="false">Sens!H19529/(Sens!H19474-Sens!H19429)</f>
        <v>0.0636665625572436</v>
      </c>
      <c r="I19577" s="7" t="n">
        <f aca="false">Sens!I19529/(Sens!I19474-Sens!I19429)</f>
        <v>0.0633554549621121</v>
      </c>
      <c r="J19577" s="7" t="n">
        <f aca="false">Sens!J19529/(Sens!J19474-Sens!J19429)</f>
        <v>0.0640791693681986</v>
      </c>
      <c r="K19577" s="7" t="n">
        <f aca="false">Sens!K19529/(Sens!K19474-Sens!K19429)</f>
        <v>0.0653827281545746</v>
      </c>
    </row>
    <row r="19578" customFormat="false" ht="17.15" hidden="false" customHeight="false" outlineLevel="0" collapsed="false">
      <c r="A19578" s="0" t="s">
        <v>1231</v>
      </c>
      <c r="B19578" s="0" t="s">
        <v>98</v>
      </c>
      <c r="F19578" s="6" t="n">
        <f aca="false">Sens!F19459*(al_m365+Sens!F19577+sbc_r)</f>
        <v>84.5238006624817</v>
      </c>
      <c r="G19578" s="6" t="n">
        <f aca="false">Sens!G19459*(al_m365+Sens!G19577+sbc_r)</f>
        <v>98.9515615958531</v>
      </c>
      <c r="H19578" s="6" t="n">
        <f aca="false">Sens!H19459*(al_m365+Sens!H19577+sbc_r)</f>
        <v>113.544330050469</v>
      </c>
      <c r="I19578" s="6" t="n">
        <f aca="false">Sens!I19459*(al_m365+Sens!I19577+sbc_r)</f>
        <v>126.620108916964</v>
      </c>
      <c r="J19578" s="6" t="n">
        <f aca="false">Sens!J19459*(al_m365+Sens!J19577+sbc_r)</f>
        <v>137.993041874661</v>
      </c>
      <c r="K19578" s="6" t="n">
        <f aca="false">Sens!K19459*(al_m365+Sens!K19577+sbc_r)</f>
        <v>148.986363081024</v>
      </c>
      <c r="L19578" s="12" t="s">
        <v>1232</v>
      </c>
    </row>
    <row r="19579" customFormat="false" ht="17.15" hidden="false" customHeight="false" outlineLevel="0" collapsed="false">
      <c r="A19579" s="0" t="s">
        <v>1233</v>
      </c>
      <c r="B19579" s="0" t="s">
        <v>98</v>
      </c>
      <c r="F19579" s="6" t="n">
        <f aca="false">Sens!F19460*(al_lic+Sens!F19577+sbc_r)</f>
        <v>32.8559728414102</v>
      </c>
      <c r="G19579" s="6" t="n">
        <f aca="false">Sens!G19460*(al_lic+Sens!G19577+sbc_r)</f>
        <v>34.1190067304862</v>
      </c>
      <c r="H19579" s="6" t="n">
        <f aca="false">Sens!H19460*(al_lic+Sens!H19577+sbc_r)</f>
        <v>35.3025835232591</v>
      </c>
      <c r="I19579" s="6" t="n">
        <f aca="false">Sens!I19460*(al_lic+Sens!I19577+sbc_r)</f>
        <v>36.3897333125429</v>
      </c>
      <c r="J19579" s="6" t="n">
        <f aca="false">Sens!J19460*(al_lic+Sens!J19577+sbc_r)</f>
        <v>37.3525520786074</v>
      </c>
      <c r="K19579" s="6" t="n">
        <f aca="false">Sens!K19460*(al_lic+Sens!K19577+sbc_r)</f>
        <v>38.1579323077018</v>
      </c>
    </row>
    <row r="19580" customFormat="false" ht="17.15" hidden="false" customHeight="false" outlineLevel="0" collapsed="false">
      <c r="A19580" s="0" t="s">
        <v>1234</v>
      </c>
      <c r="B19580" s="0" t="s">
        <v>98</v>
      </c>
      <c r="F19580" s="6" t="n">
        <f aca="false">Sens!F19462*(al_ind+Sens!F19577+sbc_r)</f>
        <v>9.05937467630722</v>
      </c>
      <c r="G19580" s="6" t="n">
        <f aca="false">Sens!G19462*(al_ind+Sens!G19577+sbc_r)</f>
        <v>9.82483830704685</v>
      </c>
      <c r="H19580" s="6" t="n">
        <f aca="false">Sens!H19462*(al_ind+Sens!H19577+sbc_r)</f>
        <v>10.6378384188921</v>
      </c>
      <c r="I19580" s="6" t="n">
        <f aca="false">Sens!I19462*(al_ind+Sens!I19577+sbc_r)</f>
        <v>11.496556202028</v>
      </c>
      <c r="J19580" s="6" t="n">
        <f aca="false">Sens!J19462*(al_ind+Sens!J19577+sbc_r)</f>
        <v>12.3901121465905</v>
      </c>
      <c r="K19580" s="6" t="n">
        <f aca="false">Sens!K19462*(al_ind+Sens!K19577+sbc_r)</f>
        <v>13.3004672512533</v>
      </c>
    </row>
    <row r="19581" customFormat="false" ht="17.15" hidden="false" customHeight="false" outlineLevel="0" collapsed="false">
      <c r="A19581" s="0" t="s">
        <v>1235</v>
      </c>
      <c r="B19581" s="0" t="s">
        <v>98</v>
      </c>
      <c r="F19581" s="6" t="n">
        <f aca="false">Sens!F19464*(al_fro+Sens!F19577+sbc_r)</f>
        <v>3.55362063675795</v>
      </c>
      <c r="G19581" s="6" t="n">
        <f aca="false">Sens!G19464*(al_fro+Sens!G19577+sbc_r)</f>
        <v>3.7592710823621</v>
      </c>
      <c r="H19581" s="6" t="n">
        <f aca="false">Sens!H19464*(al_fro+Sens!H19577+sbc_r)</f>
        <v>3.99500760305306</v>
      </c>
      <c r="I19581" s="6" t="n">
        <f aca="false">Sens!I19464*(al_fro+Sens!I19577+sbc_r)</f>
        <v>4.26393447084671</v>
      </c>
      <c r="J19581" s="6" t="n">
        <f aca="false">Sens!J19464*(al_fro+Sens!J19577+sbc_r)</f>
        <v>4.56668601285287</v>
      </c>
      <c r="K19581" s="6" t="n">
        <f aca="false">Sens!K19464*(al_fro+Sens!K19577+sbc_r)</f>
        <v>4.9022201770321</v>
      </c>
    </row>
    <row r="19582" customFormat="false" ht="17.15" hidden="false" customHeight="false" outlineLevel="0" collapsed="false">
      <c r="A19582" s="0" t="s">
        <v>1236</v>
      </c>
      <c r="B19582" s="0" t="s">
        <v>98</v>
      </c>
      <c r="F19582" s="6" t="n">
        <f aca="false">Sens!F19467*(al_srch+Sens!F19577+sbc_r)</f>
        <v>11.1878030765315</v>
      </c>
      <c r="G19582" s="6" t="n">
        <f aca="false">Sens!G19467*(al_srch+Sens!G19577+sbc_r)</f>
        <v>12.2475869055863</v>
      </c>
      <c r="H19582" s="6" t="n">
        <f aca="false">Sens!H19467*(al_srch+Sens!H19577+sbc_r)</f>
        <v>13.3554095914936</v>
      </c>
      <c r="I19582" s="6" t="n">
        <f aca="false">Sens!I19467*(al_srch+Sens!I19577+sbc_r)</f>
        <v>14.5023185056221</v>
      </c>
      <c r="J19582" s="6" t="n">
        <f aca="false">Sens!J19467*(al_srch+Sens!J19577+sbc_r)</f>
        <v>15.6669556338066</v>
      </c>
      <c r="K19582" s="6" t="n">
        <f aca="false">Sens!K19467*(al_srch+Sens!K19577+sbc_r)</f>
        <v>16.8180745960096</v>
      </c>
    </row>
    <row r="19583" customFormat="false" ht="17.15" hidden="false" customHeight="false" outlineLevel="0" collapsed="false">
      <c r="A19583" s="0" t="s">
        <v>1237</v>
      </c>
      <c r="B19583" s="0" t="s">
        <v>98</v>
      </c>
      <c r="F19583" s="6" t="n">
        <f aca="false">Sens!F19435-Sens!F19436+Sens!F19517</f>
        <v>46.7965496265457</v>
      </c>
      <c r="G19583" s="6" t="n">
        <f aca="false">Sens!G19435-Sens!G19436+Sens!G19517</f>
        <v>94.6262788859804</v>
      </c>
      <c r="H19583" s="6" t="n">
        <f aca="false">Sens!H19435-Sens!H19436+Sens!H19517</f>
        <v>150.63079094676</v>
      </c>
      <c r="I19583" s="6" t="n">
        <f aca="false">Sens!I19435-Sens!I19436+Sens!I19517</f>
        <v>195.5083691719</v>
      </c>
      <c r="J19583" s="6" t="n">
        <f aca="false">Sens!J19435-Sens!J19436+Sens!J19517</f>
        <v>227.32515446815</v>
      </c>
      <c r="K19583" s="6" t="n">
        <f aca="false">Sens!K19435-Sens!K19436+Sens!K19517</f>
        <v>247.192886886968</v>
      </c>
    </row>
    <row r="19584" customFormat="false" ht="17.15" hidden="false" customHeight="false" outlineLevel="0" collapsed="false">
      <c r="A19584" s="0" t="s">
        <v>1238</v>
      </c>
      <c r="B19584" s="0" t="s">
        <v>98</v>
      </c>
      <c r="F19584" s="6" t="n">
        <f aca="false">Sens!F19496+Sens!F19517+Sens!F19447+Sens!F19577*(Sens!F19466-Sens!F19429)+sbc_r*Sens!F19466</f>
        <v>242.098377794697</v>
      </c>
      <c r="G19584" s="6" t="n">
        <f aca="false">Sens!G19496+Sens!G19517+Sens!G19447+Sens!G19577*(Sens!G19466-Sens!G19429)+sbc_r*Sens!G19466</f>
        <v>315.368164028707</v>
      </c>
      <c r="H19584" s="6" t="n">
        <f aca="false">Sens!H19496+Sens!H19517+Sens!H19447+Sens!H19577*(Sens!H19466-Sens!H19429)+sbc_r*Sens!H19466</f>
        <v>401.439392356386</v>
      </c>
      <c r="I19584" s="6" t="n">
        <f aca="false">Sens!I19496+Sens!I19517+Sens!I19447+Sens!I19577*(Sens!I19466-Sens!I19429)+sbc_r*Sens!I19466</f>
        <v>474.286762460452</v>
      </c>
      <c r="J19584" s="6" t="n">
        <f aca="false">Sens!J19496+Sens!J19517+Sens!J19447+Sens!J19577*(Sens!J19466-Sens!J19429)+sbc_r*Sens!J19466</f>
        <v>531.087346358504</v>
      </c>
      <c r="K19584" s="6" t="n">
        <f aca="false">Sens!K19496+Sens!K19517+Sens!K19447+Sens!K19577*(Sens!K19466-Sens!K19429)+sbc_r*Sens!K19466</f>
        <v>573.510646550577</v>
      </c>
    </row>
    <row r="19585" customFormat="false" ht="17.15" hidden="false" customHeight="false" outlineLevel="0" collapsed="false">
      <c r="A19585" s="0" t="s">
        <v>1239</v>
      </c>
      <c r="B19585" s="0" t="s">
        <v>98</v>
      </c>
      <c r="F19585" s="6" t="n">
        <f aca="false">Sens!F19584-Sens!F19578-Sens!F19579-Sens!F19580-Sens!F19581-Sens!F19583</f>
        <v>65.3090593511945</v>
      </c>
      <c r="G19585" s="6" t="n">
        <f aca="false">Sens!G19584-Sens!G19578-Sens!G19579-Sens!G19580-Sens!G19581-Sens!G19583</f>
        <v>74.0872074269784</v>
      </c>
      <c r="H19585" s="6" t="n">
        <f aca="false">Sens!H19584-Sens!H19578-Sens!H19579-Sens!H19580-Sens!H19581-Sens!H19583</f>
        <v>87.328841813952</v>
      </c>
      <c r="I19585" s="6" t="n">
        <f aca="false">Sens!I19584-Sens!I19578-Sens!I19579-Sens!I19580-Sens!I19581-Sens!I19583</f>
        <v>100.008060386171</v>
      </c>
      <c r="J19585" s="6" t="n">
        <f aca="false">Sens!J19584-Sens!J19578-Sens!J19579-Sens!J19580-Sens!J19581-Sens!J19583</f>
        <v>111.459799777642</v>
      </c>
      <c r="K19585" s="6" t="n">
        <f aca="false">Sens!K19584-Sens!K19578-Sens!K19579-Sens!K19580-Sens!K19581-Sens!K19583</f>
        <v>120.970776846598</v>
      </c>
    </row>
    <row r="19586" customFormat="false" ht="17.15" hidden="false" customHeight="false" outlineLevel="0" collapsed="false">
      <c r="A19586" s="0" t="s">
        <v>1240</v>
      </c>
      <c r="B19586" s="0" t="s">
        <v>98</v>
      </c>
      <c r="F19586" s="6" t="n">
        <f aca="false">Sens!F19498+Sens!F19577*Sens!F19473+sbc_r*Sens!F19473</f>
        <v>26.6306331711172</v>
      </c>
      <c r="G19586" s="6" t="n">
        <f aca="false">Sens!G19498+Sens!G19577*Sens!G19473+sbc_r*Sens!G19473</f>
        <v>26.4412429104887</v>
      </c>
      <c r="H19586" s="6" t="n">
        <f aca="false">Sens!H19498+Sens!H19577*Sens!H19473+sbc_r*Sens!H19473</f>
        <v>27.2971128207807</v>
      </c>
      <c r="I19586" s="6" t="n">
        <f aca="false">Sens!I19498+Sens!I19577*Sens!I19473+sbc_r*Sens!I19473</f>
        <v>28.3993567399156</v>
      </c>
      <c r="J19586" s="6" t="n">
        <f aca="false">Sens!J19498+Sens!J19577*Sens!J19473+sbc_r*Sens!J19473</f>
        <v>29.7087235402401</v>
      </c>
      <c r="K19586" s="6" t="n">
        <f aca="false">Sens!K19498+Sens!K19577*Sens!K19473+sbc_r*Sens!K19473</f>
        <v>31.1807228361898</v>
      </c>
    </row>
    <row r="19587" customFormat="false" ht="17.15" hidden="false" customHeight="false" outlineLevel="0" collapsed="false">
      <c r="A19587" s="0" t="s">
        <v>1241</v>
      </c>
      <c r="B19587" s="0" t="s">
        <v>98</v>
      </c>
      <c r="F19587" s="6" t="n">
        <f aca="false">(Sens!F19586-Sens!F19582)*Sens!F19469/(Sens!F19469+Sens!F19471)</f>
        <v>8.72188680216675</v>
      </c>
      <c r="G19587" s="6" t="n">
        <f aca="false">(Sens!G19586-Sens!G19582)*Sens!G19469/(Sens!G19469+Sens!G19471)</f>
        <v>7.87859970214707</v>
      </c>
      <c r="H19587" s="6" t="n">
        <f aca="false">(Sens!H19586-Sens!H19582)*Sens!H19469/(Sens!H19469+Sens!H19471)</f>
        <v>7.63793307195456</v>
      </c>
      <c r="I19587" s="6" t="n">
        <f aca="false">(Sens!I19586-Sens!I19582)*Sens!I19469/(Sens!I19469+Sens!I19471)</f>
        <v>7.54700968225412</v>
      </c>
      <c r="J19587" s="6" t="n">
        <f aca="false">(Sens!J19586-Sens!J19582)*Sens!J19469/(Sens!J19469+Sens!J19471)</f>
        <v>7.5923372893708</v>
      </c>
      <c r="K19587" s="6" t="n">
        <f aca="false">(Sens!K19586-Sens!K19582)*Sens!K19469/(Sens!K19469+Sens!K19471)</f>
        <v>7.76583622052848</v>
      </c>
    </row>
    <row r="19588" customFormat="false" ht="17.15" hidden="false" customHeight="false" outlineLevel="0" collapsed="false">
      <c r="A19588" s="0" t="s">
        <v>1242</v>
      </c>
      <c r="B19588" s="0" t="s">
        <v>98</v>
      </c>
      <c r="F19588" s="6" t="n">
        <f aca="false">Sens!F19586-Sens!F19582-Sens!F19587</f>
        <v>6.72094329241894</v>
      </c>
      <c r="G19588" s="6" t="n">
        <f aca="false">Sens!G19586-Sens!G19582-Sens!G19587</f>
        <v>6.31505630275532</v>
      </c>
      <c r="H19588" s="6" t="n">
        <f aca="false">Sens!H19586-Sens!H19582-Sens!H19587</f>
        <v>6.30377015733255</v>
      </c>
      <c r="I19588" s="6" t="n">
        <f aca="false">Sens!I19586-Sens!I19582-Sens!I19587</f>
        <v>6.35002855203942</v>
      </c>
      <c r="J19588" s="6" t="n">
        <f aca="false">Sens!J19586-Sens!J19582-Sens!J19587</f>
        <v>6.44943061706273</v>
      </c>
      <c r="K19588" s="6" t="n">
        <f aca="false">Sens!K19586-Sens!K19582-Sens!K19587</f>
        <v>6.5968120196517</v>
      </c>
    </row>
    <row r="19589" customFormat="false" ht="17.15" hidden="false" customHeight="false" outlineLevel="0" collapsed="false">
      <c r="A19589" s="0" t="s">
        <v>1243</v>
      </c>
      <c r="B19589" s="0" t="s">
        <v>98</v>
      </c>
      <c r="F19589" s="6" t="n">
        <f aca="false">Sens!F19583-tax_f*(Sens!F19583-Sens!F19447)-Sens!F19444</f>
        <v>-129.654372271143</v>
      </c>
      <c r="G19589" s="6" t="n">
        <f aca="false">Sens!G19583-tax_f*(Sens!G19583-Sens!G19447)-Sens!G19444</f>
        <v>-109.915754595879</v>
      </c>
      <c r="H19589" s="6" t="n">
        <f aca="false">Sens!H19583-tax_f*(Sens!H19583-Sens!H19447)-Sens!H19444</f>
        <v>-64.096910756678</v>
      </c>
      <c r="I19589" s="6" t="n">
        <f aca="false">Sens!I19583-tax_f*(Sens!I19583-Sens!I19447)-Sens!I19444</f>
        <v>5.89717060907674</v>
      </c>
      <c r="J19589" s="6" t="n">
        <f aca="false">Sens!J19583-tax_f*(Sens!J19583-Sens!J19447)-Sens!J19444</f>
        <v>75.8880151310684</v>
      </c>
      <c r="K19589" s="6" t="n">
        <f aca="false">Sens!K19583-tax_f*(Sens!K19583-Sens!K19447)-Sens!K19444</f>
        <v>104.113704773379</v>
      </c>
    </row>
    <row r="19590" customFormat="false" ht="17.15" hidden="false" customHeight="false" outlineLevel="0" collapsed="false">
      <c r="A19590" s="0" t="s">
        <v>1244</v>
      </c>
      <c r="B19590" s="0" t="s">
        <v>98</v>
      </c>
      <c r="G19590" s="6" t="n">
        <f aca="false">Sens!G19589/(1+wacc)^(Sens!G19560-Sens!F19561)</f>
        <v>-104.660950181842</v>
      </c>
      <c r="H19590" s="6" t="n">
        <f aca="false">Sens!H19589/(1+wacc)^(Sens!H19560-Sens!F19561)</f>
        <v>-55.3364482859468</v>
      </c>
      <c r="I19590" s="6" t="n">
        <f aca="false">Sens!I19589/(1+wacc)^(Sens!I19560-Sens!F19561)</f>
        <v>4.6160162570055</v>
      </c>
      <c r="J19590" s="6" t="n">
        <f aca="false">Sens!J19589/(1+wacc)^(Sens!J19560-Sens!F19561)</f>
        <v>53.8575119036097</v>
      </c>
      <c r="K19590" s="6" t="n">
        <f aca="false">Sens!K19589/(1+wacc)^(Sens!K19560-Sens!F19561)</f>
        <v>66.993157572771</v>
      </c>
      <c r="L19590" s="1" t="s">
        <v>1245</v>
      </c>
    </row>
    <row r="19591" customFormat="false" ht="17.15" hidden="false" customHeight="false" outlineLevel="0" collapsed="false">
      <c r="A19591" s="0" t="s">
        <v>1246</v>
      </c>
      <c r="B19591" s="0" t="s">
        <v>98</v>
      </c>
      <c r="C19591" s="6" t="n">
        <f aca="false">(Sens!K19583-Sens!K19447)*(1-tax_f)*(1+g_tv)*(1-g_tv/(wacc+ronic_prem))/(wacc-g_tv)/(1+wacc)^(Sens!K19561-Sens!F19561)</f>
        <v>486.667825054508</v>
      </c>
    </row>
    <row r="19592" customFormat="false" ht="17.15" hidden="false" customHeight="false" outlineLevel="0" collapsed="false">
      <c r="A19592" s="1" t="s">
        <v>1247</v>
      </c>
      <c r="B19592" s="0" t="s">
        <v>98</v>
      </c>
      <c r="C19592" s="6" t="n">
        <f aca="false">(SUM(Sens!G19590:K19590)+Sens!$C$19591)*(1+wacc)^(t_roll-Sens!F19561)</f>
        <v>467.063525761911</v>
      </c>
      <c r="L19592" s="12" t="s">
        <v>1248</v>
      </c>
    </row>
    <row r="19593" customFormat="false" ht="17.15" hidden="false" customHeight="false" outlineLevel="0" collapsed="false">
      <c r="A19593" s="1" t="s">
        <v>1249</v>
      </c>
      <c r="B19593" s="0" t="s">
        <v>98</v>
      </c>
      <c r="C19593" s="6" t="n">
        <f aca="false">(w_ntm28*Sens!G19435+(1-w_ntm28)*Sens!H19435)*m_ai</f>
        <v>582.206205146642</v>
      </c>
    </row>
    <row r="19594" customFormat="false" ht="17.15" hidden="false" customHeight="false" outlineLevel="0" collapsed="false">
      <c r="A19594" s="1" t="s">
        <v>1250</v>
      </c>
      <c r="B19594" s="0" t="s">
        <v>98</v>
      </c>
      <c r="C19594" s="6" t="n">
        <f aca="false">(w_ntm28*Sens!G19585+(1-w_ntm28)*Sens!H19585)*m_cloud</f>
        <v>1084.04938874319</v>
      </c>
    </row>
    <row r="19595" customFormat="false" ht="17.15" hidden="false" customHeight="false" outlineLevel="0" collapsed="false">
      <c r="A19595" s="1" t="s">
        <v>1251</v>
      </c>
      <c r="B19595" s="0" t="s">
        <v>98</v>
      </c>
      <c r="C19595" s="6" t="n">
        <f aca="false">(w_ntm28*Sens!G19578+(1-w_ntm28)*Sens!H19578)*m_sw</f>
        <v>1120.49118829599</v>
      </c>
    </row>
    <row r="19596" customFormat="false" ht="17.15" hidden="false" customHeight="false" outlineLevel="0" collapsed="false">
      <c r="A19596" s="1" t="s">
        <v>1252</v>
      </c>
      <c r="B19596" s="0" t="s">
        <v>98</v>
      </c>
      <c r="C19596" s="6" t="n">
        <f aca="false">(w_ntm28*Sens!G19579+(1-w_ntm28)*Sens!H19579)*m_sw</f>
        <v>372.687780972631</v>
      </c>
    </row>
    <row r="19597" customFormat="false" ht="17.15" hidden="false" customHeight="false" outlineLevel="0" collapsed="false">
      <c r="A19597" s="1" t="s">
        <v>1253</v>
      </c>
      <c r="B19597" s="0" t="s">
        <v>98</v>
      </c>
      <c r="C19597" s="6" t="n">
        <f aca="false">(w_ntm28*Sens!G19580+(1-w_ntm28)*Sens!H19580)*m_sw</f>
        <v>108.994960962548</v>
      </c>
    </row>
    <row r="19598" customFormat="false" ht="17.15" hidden="false" customHeight="false" outlineLevel="0" collapsed="false">
      <c r="A19598" s="1" t="s">
        <v>1254</v>
      </c>
      <c r="B19598" s="0" t="s">
        <v>98</v>
      </c>
      <c r="C19598" s="6" t="n">
        <f aca="false">(w_ntm28*Sens!G19581+(1-w_ntm28)*Sens!H19581)*m_sw</f>
        <v>41.4371538013339</v>
      </c>
    </row>
    <row r="19599" customFormat="false" ht="17.15" hidden="false" customHeight="false" outlineLevel="0" collapsed="false">
      <c r="A19599" s="1" t="s">
        <v>1255</v>
      </c>
      <c r="B19599" s="0" t="s">
        <v>98</v>
      </c>
      <c r="C19599" s="6" t="n">
        <f aca="false">(w_ntm28*Sens!G19582+(1-w_ntm28)*Sens!H19582)*m_ads</f>
        <v>114.89352153245</v>
      </c>
    </row>
    <row r="19600" customFormat="false" ht="17.15" hidden="false" customHeight="false" outlineLevel="0" collapsed="false">
      <c r="A19600" s="1" t="s">
        <v>1256</v>
      </c>
      <c r="B19600" s="0" t="s">
        <v>98</v>
      </c>
      <c r="C19600" s="6" t="n">
        <f aca="false">(w_ntm28*Sens!G19587+(1-w_ntm28)*Sens!H19587)*m_game</f>
        <v>98.5073872662825</v>
      </c>
    </row>
    <row r="19601" customFormat="false" ht="17.15" hidden="false" customHeight="false" outlineLevel="0" collapsed="false">
      <c r="A19601" s="1" t="s">
        <v>1257</v>
      </c>
      <c r="B19601" s="0" t="s">
        <v>98</v>
      </c>
      <c r="C19601" s="6" t="n">
        <f aca="false">(w_ntm28*Sens!G19588+(1-w_ntm28)*Sens!H19588)*m_pc</f>
        <v>91.3251735696035</v>
      </c>
    </row>
    <row r="19602" customFormat="false" ht="17.15" hidden="false" customHeight="false" outlineLevel="0" collapsed="false">
      <c r="A19602" s="1" t="s">
        <v>1258</v>
      </c>
      <c r="B19602" s="0" t="s">
        <v>98</v>
      </c>
      <c r="C19602" s="6" t="n">
        <f aca="false">Sens!$C$19592+Sens!$C$19594+Sens!$C$19595+Sens!$C$19596+Sens!$C$19597+Sens!$C$19598+Sens!$C$19599+Sens!$C$19600+Sens!$C$19601</f>
        <v>3499.45008090594</v>
      </c>
    </row>
    <row r="19603" customFormat="false" ht="17.15" hidden="false" customHeight="false" outlineLevel="0" collapsed="false">
      <c r="A19603" s="1" t="s">
        <v>1259</v>
      </c>
      <c r="B19603" s="0" t="s">
        <v>98</v>
      </c>
      <c r="C19603" s="6" t="n">
        <f aca="false">(Sens!G19564-Sens!G19589)*t_stub</f>
        <v>48.2553572609456</v>
      </c>
      <c r="L19603" s="1" t="s">
        <v>1260</v>
      </c>
    </row>
    <row r="19604" customFormat="false" ht="17.15" hidden="false" customHeight="false" outlineLevel="0" collapsed="false">
      <c r="A19604" s="1" t="s">
        <v>1169</v>
      </c>
      <c r="B19604" s="0" t="s">
        <v>98</v>
      </c>
      <c r="C19604" s="6" t="n">
        <f aca="false">Sens!F19551+oai_v-Sens!F19540+Sens!$C$19603</f>
        <v>160.988271506868</v>
      </c>
      <c r="L19604" s="1" t="s">
        <v>1261</v>
      </c>
    </row>
    <row r="19605" customFormat="false" ht="17.15" hidden="false" customHeight="false" outlineLevel="0" collapsed="false">
      <c r="A19605" s="1" t="s">
        <v>1262</v>
      </c>
      <c r="B19605" s="0" t="s">
        <v>75</v>
      </c>
      <c r="C19605" s="5" t="n">
        <f aca="false">(Sens!$C$19602+Sens!$C$19604)/(Sens!F19553+dil_gap)-Sens!G19543*roll_div_q/q_per_yr</f>
        <v>487.279383726361</v>
      </c>
      <c r="L19605" s="1" t="s">
        <v>1263</v>
      </c>
    </row>
    <row r="19606" customFormat="false" ht="17.15" hidden="false" customHeight="false" outlineLevel="0" collapsed="false">
      <c r="A19606" s="1" t="s">
        <v>1264</v>
      </c>
      <c r="B19606" s="0" t="s">
        <v>75</v>
      </c>
      <c r="C19606" s="5" t="n">
        <f aca="false">w_dcf*Sens!$C$19576+(1-w_dcf)*Sens!$C$19605</f>
        <v>428.174152381294</v>
      </c>
    </row>
    <row r="19607" customFormat="false" ht="17.15" hidden="false" customHeight="false" outlineLevel="0" collapsed="false">
      <c r="A19607" s="3" t="s">
        <v>1964</v>
      </c>
    </row>
    <row r="19608" customFormat="false" ht="15" hidden="false" customHeight="false" outlineLevel="0" collapsed="false">
      <c r="A19608" s="4" t="s">
        <v>43</v>
      </c>
      <c r="B19608" s="4" t="s">
        <v>65</v>
      </c>
      <c r="C19608" s="23" t="s">
        <v>938</v>
      </c>
      <c r="D19608" s="23" t="s">
        <v>939</v>
      </c>
      <c r="E19608" s="23" t="s">
        <v>940</v>
      </c>
      <c r="F19608" s="23" t="s">
        <v>941</v>
      </c>
      <c r="G19608" s="23" t="s">
        <v>942</v>
      </c>
      <c r="H19608" s="23" t="s">
        <v>943</v>
      </c>
      <c r="I19608" s="23" t="s">
        <v>944</v>
      </c>
      <c r="J19608" s="23" t="s">
        <v>945</v>
      </c>
      <c r="K19608" s="23" t="s">
        <v>946</v>
      </c>
      <c r="L19608" s="4" t="s">
        <v>47</v>
      </c>
    </row>
    <row r="19609" customFormat="false" ht="17.15" hidden="false" customHeight="false" outlineLevel="0" collapsed="false">
      <c r="A19609" s="1" t="s">
        <v>947</v>
      </c>
      <c r="B19609" s="1" t="s">
        <v>279</v>
      </c>
      <c r="C19609" s="21" t="n">
        <v>2024</v>
      </c>
      <c r="D19609" s="21" t="n">
        <v>2025</v>
      </c>
      <c r="E19609" s="21" t="n">
        <v>2026</v>
      </c>
      <c r="F19609" s="21" t="n">
        <v>2027</v>
      </c>
      <c r="G19609" s="21" t="n">
        <v>2028</v>
      </c>
      <c r="H19609" s="21" t="n">
        <v>2029</v>
      </c>
      <c r="I19609" s="21" t="n">
        <v>2030</v>
      </c>
      <c r="J19609" s="21" t="n">
        <v>2031</v>
      </c>
      <c r="K19609" s="21" t="n">
        <v>2032</v>
      </c>
    </row>
    <row r="19610" customFormat="false" ht="17.15" hidden="false" customHeight="false" outlineLevel="0" collapsed="false">
      <c r="A19610" s="1" t="s">
        <v>948</v>
      </c>
      <c r="B19610" s="0" t="s">
        <v>456</v>
      </c>
      <c r="F19610" s="30" t="n">
        <f aca="false">pace</f>
        <v>2726.5351</v>
      </c>
      <c r="G19610" s="30" t="n">
        <f aca="false">pace</f>
        <v>2726.5351</v>
      </c>
      <c r="H19610" s="30" t="n">
        <f aca="false">pace</f>
        <v>2726.5351</v>
      </c>
      <c r="I19610" s="30" t="n">
        <f aca="false">pace+(g_tv*Sens!H19611-pace)*MIN(1,(Sens!I19609-pace_y0)/(pace_y1-pace_y0))</f>
        <v>1931.98611966667</v>
      </c>
      <c r="J19610" s="30" t="n">
        <f aca="false">pace+(g_tv*Sens!I19611-pace)*MIN(1,(Sens!J19609-pace_y0)/(pace_y1-pace_y0))</f>
        <v>1176.07686172667</v>
      </c>
      <c r="K19610" s="30" t="n">
        <f aca="false">pace+(g_tv*Sens!J19611-pace)*MIN(1,(Sens!K19609-pace_y0)/(pace_y1-pace_y0))</f>
        <v>436.1300484418</v>
      </c>
      <c r="L19610" s="12" t="s">
        <v>949</v>
      </c>
    </row>
    <row r="19611" customFormat="false" ht="17.15" hidden="false" customHeight="false" outlineLevel="0" collapsed="false">
      <c r="A19611" s="1" t="s">
        <v>950</v>
      </c>
      <c r="B19611" s="0" t="s">
        <v>456</v>
      </c>
      <c r="C19611" s="30" t="n">
        <f aca="false">mw_ext_24</f>
        <v>640</v>
      </c>
      <c r="D19611" s="30" t="n">
        <f aca="false">mw_ext_25</f>
        <v>1630</v>
      </c>
      <c r="E19611" s="30" t="n">
        <f aca="false">mw_ext_26</f>
        <v>3250</v>
      </c>
      <c r="F19611" s="30" t="n">
        <f aca="false">Sens!E19611+Sens!F19610</f>
        <v>5976.5351</v>
      </c>
      <c r="G19611" s="30" t="n">
        <f aca="false">Sens!F19611+Sens!G19610</f>
        <v>8703.0702</v>
      </c>
      <c r="H19611" s="30" t="n">
        <f aca="false">Sens!G19611+Sens!H19610</f>
        <v>11429.6053</v>
      </c>
      <c r="I19611" s="30" t="n">
        <f aca="false">Sens!H19611+Sens!I19610</f>
        <v>13361.5914196667</v>
      </c>
      <c r="J19611" s="30" t="n">
        <f aca="false">Sens!I19611+Sens!J19610</f>
        <v>14537.6682813933</v>
      </c>
      <c r="K19611" s="30" t="n">
        <f aca="false">Sens!J19611+Sens!K19610</f>
        <v>14973.7983298351</v>
      </c>
      <c r="L19611" s="1" t="s">
        <v>951</v>
      </c>
    </row>
    <row r="19612" customFormat="false" ht="17.15" hidden="false" customHeight="false" outlineLevel="0" collapsed="false">
      <c r="A19612" s="1" t="s">
        <v>952</v>
      </c>
      <c r="B19612" s="0" t="s">
        <v>456</v>
      </c>
      <c r="C19612" s="30" t="n">
        <f aca="false">rent_ext_24</f>
        <v>150</v>
      </c>
      <c r="D19612" s="30" t="n">
        <f aca="false">rent_ext_25</f>
        <v>400</v>
      </c>
      <c r="E19612" s="30" t="n">
        <f aca="false">rent_ext_26</f>
        <v>550</v>
      </c>
      <c r="F19612" s="30" t="n">
        <f aca="false">rent_ext_f</f>
        <v>756</v>
      </c>
      <c r="G19612" s="30" t="n">
        <f aca="false">rent_ext_f</f>
        <v>756</v>
      </c>
      <c r="H19612" s="30" t="n">
        <f aca="false">rent_ext_f</f>
        <v>756</v>
      </c>
      <c r="I19612" s="30" t="n">
        <f aca="false">rent_ext_f</f>
        <v>756</v>
      </c>
      <c r="J19612" s="30" t="n">
        <f aca="false">rent_ext_f</f>
        <v>756</v>
      </c>
      <c r="K19612" s="30" t="n">
        <f aca="false">rent_ext_f</f>
        <v>756</v>
      </c>
      <c r="L19612" s="1" t="s">
        <v>953</v>
      </c>
    </row>
    <row r="19613" customFormat="false" ht="17.15" hidden="false" customHeight="false" outlineLevel="0" collapsed="false">
      <c r="A19613" s="1" t="s">
        <v>954</v>
      </c>
      <c r="B19613" s="0" t="s">
        <v>456</v>
      </c>
      <c r="C19613" s="30" t="n">
        <f aca="false">Sens!C19611-Sens!C19612</f>
        <v>490</v>
      </c>
      <c r="D19613" s="30" t="n">
        <f aca="false">Sens!D19611-Sens!D19612</f>
        <v>1230</v>
      </c>
      <c r="E19613" s="30" t="n">
        <f aca="false">Sens!E19611-Sens!E19612</f>
        <v>2700</v>
      </c>
      <c r="F19613" s="30" t="n">
        <f aca="false">Sens!F19611-Sens!F19612</f>
        <v>5220.5351</v>
      </c>
      <c r="G19613" s="30" t="n">
        <f aca="false">Sens!G19611-Sens!G19612</f>
        <v>7947.0702</v>
      </c>
      <c r="H19613" s="30" t="n">
        <f aca="false">Sens!H19611-Sens!H19612</f>
        <v>10673.6053</v>
      </c>
      <c r="I19613" s="30" t="n">
        <f aca="false">Sens!I19611-Sens!I19612</f>
        <v>12605.5914196667</v>
      </c>
      <c r="J19613" s="30" t="n">
        <f aca="false">Sens!J19611-Sens!J19612</f>
        <v>13781.6682813933</v>
      </c>
      <c r="K19613" s="30" t="n">
        <f aca="false">Sens!K19611-Sens!K19612</f>
        <v>14217.7983298351</v>
      </c>
    </row>
    <row r="19614" customFormat="false" ht="17.15" hidden="false" customHeight="false" outlineLevel="0" collapsed="false">
      <c r="A19614" s="1" t="s">
        <v>955</v>
      </c>
      <c r="B19614" s="0" t="s">
        <v>456</v>
      </c>
      <c r="C19614" s="30" t="n">
        <f aca="false">Sens!C19613/ext_sh</f>
        <v>816.666666666667</v>
      </c>
      <c r="D19614" s="30" t="n">
        <f aca="false">Sens!D19613/ext_sh</f>
        <v>2050</v>
      </c>
      <c r="E19614" s="30" t="n">
        <f aca="false">Sens!E19613/ext_sh</f>
        <v>4500</v>
      </c>
      <c r="F19614" s="30" t="n">
        <f aca="false">Sens!F19613/ext_sh</f>
        <v>8700.89183333333</v>
      </c>
      <c r="G19614" s="30" t="n">
        <f aca="false">Sens!G19613/ext_sh</f>
        <v>13245.117</v>
      </c>
      <c r="H19614" s="30" t="n">
        <f aca="false">Sens!H19613/ext_sh</f>
        <v>17789.3421666667</v>
      </c>
      <c r="I19614" s="30" t="n">
        <f aca="false">Sens!I19613/ext_sh</f>
        <v>21009.3190327778</v>
      </c>
      <c r="J19614" s="30" t="n">
        <f aca="false">Sens!J19613/ext_sh</f>
        <v>22969.4471356556</v>
      </c>
      <c r="K19614" s="30" t="n">
        <f aca="false">Sens!K19613/ext_sh</f>
        <v>23696.3305497252</v>
      </c>
      <c r="L19614" s="1" t="s">
        <v>956</v>
      </c>
    </row>
    <row r="19615" customFormat="false" ht="17.15" hidden="false" customHeight="false" outlineLevel="0" collapsed="false">
      <c r="A19615" s="1" t="s">
        <v>957</v>
      </c>
      <c r="B19615" s="0" t="s">
        <v>456</v>
      </c>
      <c r="C19615" s="30" t="n">
        <f aca="false">Sens!C19614-Sens!C19613</f>
        <v>326.666666666667</v>
      </c>
      <c r="D19615" s="30" t="n">
        <f aca="false">Sens!D19614-Sens!D19613</f>
        <v>820</v>
      </c>
      <c r="E19615" s="30" t="n">
        <f aca="false">Sens!E19614-Sens!E19613</f>
        <v>1800</v>
      </c>
      <c r="F19615" s="30" t="n">
        <f aca="false">Sens!F19614-Sens!F19613</f>
        <v>3480.35673333333</v>
      </c>
      <c r="G19615" s="30" t="n">
        <f aca="false">Sens!G19614-Sens!G19613</f>
        <v>5298.0468</v>
      </c>
      <c r="H19615" s="30" t="n">
        <f aca="false">Sens!H19614-Sens!H19613</f>
        <v>7115.73686666667</v>
      </c>
      <c r="I19615" s="30" t="n">
        <f aca="false">Sens!I19614-Sens!I19613</f>
        <v>8403.72761311111</v>
      </c>
      <c r="J19615" s="30" t="n">
        <f aca="false">Sens!J19614-Sens!J19613</f>
        <v>9187.77885426222</v>
      </c>
      <c r="K19615" s="30" t="n">
        <f aca="false">Sens!K19614-Sens!K19613</f>
        <v>9478.53221989009</v>
      </c>
    </row>
    <row r="19616" customFormat="false" ht="17.15" hidden="false" customHeight="false" outlineLevel="0" collapsed="false">
      <c r="A19616" s="1" t="s">
        <v>958</v>
      </c>
      <c r="B19616" s="0" t="s">
        <v>456</v>
      </c>
      <c r="C19616" s="30" t="n">
        <f aca="false">Sens!C19614</f>
        <v>816.666666666667</v>
      </c>
      <c r="D19616" s="30" t="n">
        <f aca="false">Sens!D19614-Sens!C19614</f>
        <v>1233.33333333333</v>
      </c>
      <c r="E19616" s="30" t="n">
        <f aca="false">Sens!E19614-Sens!D19614</f>
        <v>2450</v>
      </c>
      <c r="F19616" s="30" t="n">
        <f aca="false">Sens!F19614-Sens!E19614</f>
        <v>4200.89183333333</v>
      </c>
      <c r="G19616" s="30" t="n">
        <f aca="false">Sens!G19614-Sens!F19614</f>
        <v>4544.22516666667</v>
      </c>
      <c r="H19616" s="30" t="n">
        <f aca="false">Sens!H19614-Sens!G19614</f>
        <v>4544.22516666667</v>
      </c>
      <c r="I19616" s="30" t="n">
        <f aca="false">Sens!I19614-Sens!H19614</f>
        <v>3219.97686611111</v>
      </c>
      <c r="J19616" s="30" t="n">
        <f aca="false">Sens!J19614-Sens!I19614</f>
        <v>1960.12810287778</v>
      </c>
      <c r="K19616" s="30" t="n">
        <f aca="false">Sens!K19614-Sens!J19614</f>
        <v>726.883414069667</v>
      </c>
    </row>
    <row r="19617" customFormat="false" ht="17.15" hidden="false" customHeight="false" outlineLevel="0" collapsed="false">
      <c r="A19617" s="1" t="s">
        <v>959</v>
      </c>
      <c r="B19617" s="0" t="s">
        <v>456</v>
      </c>
      <c r="D19617" s="30" t="n">
        <f aca="false">Sens!D19611-Sens!C19611</f>
        <v>990</v>
      </c>
      <c r="E19617" s="30" t="n">
        <f aca="false">Sens!E19611-Sens!D19611</f>
        <v>1620</v>
      </c>
      <c r="F19617" s="30" t="n">
        <f aca="false">Sens!F19611-Sens!E19611</f>
        <v>2726.5351</v>
      </c>
      <c r="G19617" s="30" t="n">
        <f aca="false">Sens!G19611-Sens!F19611</f>
        <v>2726.5351</v>
      </c>
      <c r="H19617" s="30" t="n">
        <f aca="false">Sens!H19611-Sens!G19611</f>
        <v>2726.5351</v>
      </c>
      <c r="I19617" s="30" t="n">
        <f aca="false">Sens!I19611-Sens!H19611</f>
        <v>1931.98611966667</v>
      </c>
      <c r="J19617" s="30" t="n">
        <f aca="false">Sens!J19611-Sens!I19611</f>
        <v>1176.07686172667</v>
      </c>
      <c r="K19617" s="30" t="n">
        <f aca="false">Sens!K19611-Sens!J19611</f>
        <v>436.130048441799</v>
      </c>
    </row>
    <row r="19618" customFormat="false" ht="17.15" hidden="false" customHeight="false" outlineLevel="0" collapsed="false">
      <c r="A19618" s="1" t="s">
        <v>960</v>
      </c>
      <c r="B19618" s="0" t="s">
        <v>456</v>
      </c>
      <c r="F19618" s="30" t="n">
        <f aca="false">Sens!F19637*ext_sh</f>
        <v>0</v>
      </c>
      <c r="G19618" s="30" t="n">
        <f aca="false">Sens!G19637*ext_sh</f>
        <v>0</v>
      </c>
      <c r="H19618" s="30" t="n">
        <f aca="false">Sens!H19637*ext_sh</f>
        <v>0</v>
      </c>
      <c r="I19618" s="30" t="n">
        <f aca="false">Sens!I19637*ext_sh</f>
        <v>490</v>
      </c>
      <c r="J19618" s="30" t="n">
        <f aca="false">Sens!J19637*ext_sh</f>
        <v>740</v>
      </c>
      <c r="K19618" s="30" t="n">
        <f aca="false">Sens!K19637*ext_sh</f>
        <v>1470</v>
      </c>
      <c r="L19618" s="1" t="s">
        <v>961</v>
      </c>
    </row>
    <row r="19619" customFormat="false" ht="17.15" hidden="false" customHeight="false" outlineLevel="0" collapsed="false">
      <c r="A19619" s="1" t="s">
        <v>962</v>
      </c>
      <c r="B19619" s="0" t="s">
        <v>456</v>
      </c>
      <c r="C19619" s="30" t="n">
        <f aca="false">mix_h*Sens!C19611</f>
        <v>128</v>
      </c>
      <c r="D19619" s="30" t="n">
        <f aca="false">mix_h*Sens!D19611</f>
        <v>326</v>
      </c>
      <c r="E19619" s="30" t="n">
        <f aca="false">mix_h*Sens!E19611</f>
        <v>650</v>
      </c>
      <c r="F19619" s="30" t="n">
        <f aca="false">Sens!E19619-Sens!F19618*mix_h</f>
        <v>650</v>
      </c>
      <c r="G19619" s="30" t="n">
        <f aca="false">Sens!F19619-Sens!G19618*mix_h</f>
        <v>650</v>
      </c>
      <c r="H19619" s="30" t="n">
        <f aca="false">Sens!G19619-Sens!H19618*mix_h</f>
        <v>650</v>
      </c>
      <c r="I19619" s="30" t="n">
        <f aca="false">Sens!H19619-Sens!I19618*mix_h</f>
        <v>552</v>
      </c>
      <c r="J19619" s="30" t="n">
        <f aca="false">Sens!I19619-Sens!J19618*mix_h</f>
        <v>404</v>
      </c>
      <c r="K19619" s="30" t="n">
        <f aca="false">Sens!J19619-Sens!K19618*mix_h</f>
        <v>110</v>
      </c>
    </row>
    <row r="19620" customFormat="false" ht="17.15" hidden="false" customHeight="false" outlineLevel="0" collapsed="false">
      <c r="A19620" s="1" t="s">
        <v>963</v>
      </c>
      <c r="B19620" s="0" t="s">
        <v>456</v>
      </c>
      <c r="C19620" s="30" t="n">
        <f aca="false">mix_g2*Sens!C19611</f>
        <v>288</v>
      </c>
      <c r="D19620" s="30" t="n">
        <f aca="false">mix_g2*Sens!D19611</f>
        <v>733.5</v>
      </c>
      <c r="E19620" s="30" t="n">
        <f aca="false">mix_g2*Sens!E19611</f>
        <v>1462.5</v>
      </c>
      <c r="F19620" s="30" t="n">
        <f aca="false">Sens!E19620-Sens!F19618*mix_g2</f>
        <v>1462.5</v>
      </c>
      <c r="G19620" s="30" t="n">
        <f aca="false">Sens!F19620-Sens!G19618*mix_g2</f>
        <v>1462.5</v>
      </c>
      <c r="H19620" s="30" t="n">
        <f aca="false">Sens!G19620-Sens!H19618*mix_g2</f>
        <v>1462.5</v>
      </c>
      <c r="I19620" s="30" t="n">
        <f aca="false">Sens!H19620-Sens!I19618*mix_g2</f>
        <v>1242</v>
      </c>
      <c r="J19620" s="30" t="n">
        <f aca="false">Sens!I19620-Sens!J19618*mix_g2</f>
        <v>909</v>
      </c>
      <c r="K19620" s="30" t="n">
        <f aca="false">Sens!J19620-Sens!K19618*mix_g2</f>
        <v>247.5</v>
      </c>
    </row>
    <row r="19621" customFormat="false" ht="17.15" hidden="false" customHeight="false" outlineLevel="0" collapsed="false">
      <c r="A19621" s="1" t="s">
        <v>964</v>
      </c>
      <c r="B19621" s="0" t="s">
        <v>456</v>
      </c>
      <c r="C19621" s="30" t="n">
        <f aca="false">mix_g3*Sens!C19611</f>
        <v>224</v>
      </c>
      <c r="D19621" s="30" t="n">
        <f aca="false">mix_g3*Sens!D19611</f>
        <v>570.5</v>
      </c>
      <c r="E19621" s="30" t="n">
        <f aca="false">mix_g3*Sens!E19611</f>
        <v>1137.5</v>
      </c>
      <c r="F19621" s="30" t="n">
        <f aca="false">Sens!E19621+(Sens!F19617+Sens!F19618)*(a_g3_27-0*a_mai)-Sens!F19618*mix_g3</f>
        <v>3046.07457</v>
      </c>
      <c r="G19621" s="30" t="n">
        <f aca="false">Sens!F19621+(Sens!G19617+Sens!G19618)*(a_g3_28-0*a_mai)-Sens!G19618*mix_g3</f>
        <v>3864.0351</v>
      </c>
      <c r="H19621" s="30" t="n">
        <f aca="false">Sens!G19621+(Sens!H19617+Sens!H19618)*(a_g3_29-0*a_mai)-Sens!H19618*mix_g3</f>
        <v>4136.68861</v>
      </c>
      <c r="I19621" s="30" t="n">
        <f aca="false">Sens!H19621+(Sens!I19617+Sens!I19618)*(a_g3_29-0*a_mai)-Sens!I19618*mix_g3</f>
        <v>4207.38722196667</v>
      </c>
      <c r="J19621" s="30" t="n">
        <f aca="false">Sens!I19621+(Sens!J19617+Sens!J19618)*(a_g3_29-0*a_mai)-Sens!J19618*mix_g3</f>
        <v>4139.99490813933</v>
      </c>
      <c r="K19621" s="30" t="n">
        <f aca="false">Sens!J19621+(Sens!K19617+Sens!K19618)*(a_g3_29-0*a_mai)-Sens!K19618*mix_g3</f>
        <v>3816.10791298351</v>
      </c>
    </row>
    <row r="19622" customFormat="false" ht="17.15" hidden="false" customHeight="false" outlineLevel="0" collapsed="false">
      <c r="A19622" s="1" t="s">
        <v>965</v>
      </c>
      <c r="B19622" s="0" t="s">
        <v>456</v>
      </c>
      <c r="C19622" s="30" t="n">
        <v>0</v>
      </c>
      <c r="D19622" s="30" t="n">
        <v>0</v>
      </c>
      <c r="E19622" s="30" t="n">
        <v>0</v>
      </c>
      <c r="F19622" s="30" t="n">
        <f aca="false">Sens!E19622+(Sens!F19617+Sens!F19618)*0*a_mai</f>
        <v>0</v>
      </c>
      <c r="G19622" s="30" t="n">
        <f aca="false">Sens!F19622+(Sens!G19617+Sens!G19618)*0*a_mai</f>
        <v>0</v>
      </c>
      <c r="H19622" s="30" t="n">
        <f aca="false">Sens!G19622+(Sens!H19617+Sens!H19618)*0*a_mai</f>
        <v>0</v>
      </c>
      <c r="I19622" s="30" t="n">
        <f aca="false">Sens!H19622+(Sens!I19617+Sens!I19618)*0*a_mai</f>
        <v>0</v>
      </c>
      <c r="J19622" s="30" t="n">
        <f aca="false">Sens!I19622+(Sens!J19617+Sens!J19618)*0*a_mai</f>
        <v>0</v>
      </c>
      <c r="K19622" s="30" t="n">
        <f aca="false">Sens!J19622+(Sens!K19617+Sens!K19618)*0*a_mai</f>
        <v>0</v>
      </c>
      <c r="L19622" s="12" t="s">
        <v>966</v>
      </c>
    </row>
    <row r="19623" customFormat="false" ht="17.15" hidden="false" customHeight="false" outlineLevel="0" collapsed="false">
      <c r="A19623" s="1" t="s">
        <v>967</v>
      </c>
      <c r="B19623" s="0" t="s">
        <v>456</v>
      </c>
      <c r="C19623" s="30" t="n">
        <v>0</v>
      </c>
      <c r="D19623" s="30" t="n">
        <v>0</v>
      </c>
      <c r="E19623" s="30" t="n">
        <v>0</v>
      </c>
      <c r="F19623" s="30" t="n">
        <f aca="false">Sens!E19623+(Sens!F19617+Sens!F19618)*(1-a_g3_27)</f>
        <v>817.96053</v>
      </c>
      <c r="G19623" s="30" t="n">
        <f aca="false">Sens!F19623+(Sens!G19617+Sens!G19618)*(1-a_g3_28)</f>
        <v>2726.5351</v>
      </c>
      <c r="H19623" s="30" t="n">
        <f aca="false">Sens!G19623+(Sens!H19617+Sens!H19618)*(1-a_g3_29)</f>
        <v>5180.41669</v>
      </c>
      <c r="I19623" s="30" t="n">
        <f aca="false">Sens!H19623+(Sens!I19617+Sens!I19618)*(1-a_g3_29)</f>
        <v>7360.2041977</v>
      </c>
      <c r="J19623" s="30" t="n">
        <f aca="false">Sens!I19623+(Sens!J19617+Sens!J19618)*(1-a_g3_29)</f>
        <v>9084.673373254</v>
      </c>
      <c r="K19623" s="30" t="n">
        <f aca="false">Sens!J19623+(Sens!K19617+Sens!K19618)*(1-a_g3_29)</f>
        <v>10800.1904168516</v>
      </c>
    </row>
    <row r="19624" customFormat="false" ht="17.15" hidden="false" customHeight="false" outlineLevel="0" collapsed="false">
      <c r="A19624" s="1" t="s">
        <v>968</v>
      </c>
      <c r="B19624" s="0" t="s">
        <v>403</v>
      </c>
      <c r="C19624" s="15" t="n">
        <f aca="false">(Sens!C19619*tk_hold_h100+Sens!C19620*tk_hold_gb200+Sens!C19621*tk_hold_gb300+Sens!C19623*tk_hold_vr200+Sens!C19622*nv_hold_mai*tk_hold_vr200)/Sens!C19611</f>
        <v>9.7235358126469</v>
      </c>
      <c r="D19624" s="15" t="n">
        <f aca="false">(Sens!D19619*tk_hold_h100+Sens!D19620*tk_hold_gb200+Sens!D19621*tk_hold_gb300+Sens!D19623*tk_hold_vr200+Sens!D19622*nv_hold_mai*tk_hold_vr200)/Sens!D19611</f>
        <v>9.7235358126469</v>
      </c>
      <c r="E19624" s="15" t="n">
        <f aca="false">(Sens!E19619*tk_hold_h100+Sens!E19620*tk_hold_gb200+Sens!E19621*tk_hold_gb300+Sens!E19623*tk_hold_vr200+Sens!E19622*nv_hold_mai*tk_hold_vr200)/Sens!E19611</f>
        <v>9.7235358126469</v>
      </c>
      <c r="F19624" s="15" t="n">
        <f aca="false">(Sens!F19619*tk_hold_h100+Sens!F19620*tk_hold_gb200+Sens!F19621*tk_hold_gb300+Sens!F19623*tk_hold_vr200+Sens!F19622*nv_hold_mai*tk_hold_vr200)/Sens!F19611</f>
        <v>10.4373136419306</v>
      </c>
      <c r="G19624" s="15" t="n">
        <f aca="false">(Sens!G19619*tk_hold_h100+Sens!G19620*tk_hold_gb200+Sens!G19621*tk_hold_gb300+Sens!G19623*tk_hold_vr200+Sens!G19622*nv_hold_mai*tk_hold_vr200)/Sens!G19611</f>
        <v>10.8716633021543</v>
      </c>
      <c r="H19624" s="15" t="n">
        <f aca="false">(Sens!H19619*tk_hold_h100+Sens!H19620*tk_hold_gb200+Sens!H19621*tk_hold_gb300+Sens!H19623*tk_hold_vr200+Sens!H19622*nv_hold_mai*tk_hold_vr200)/Sens!H19611</f>
        <v>11.162671147329</v>
      </c>
      <c r="I19624" s="15" t="n">
        <f aca="false">(Sens!I19619*tk_hold_h100+Sens!I19620*tk_hold_gb200+Sens!I19621*tk_hold_gb300+Sens!I19623*tk_hold_vr200+Sens!I19622*nv_hold_mai*tk_hold_vr200)/Sens!I19611</f>
        <v>11.3838232728132</v>
      </c>
      <c r="J19624" s="15" t="n">
        <f aca="false">(Sens!J19619*tk_hold_h100+Sens!J19620*tk_hold_gb200+Sens!J19621*tk_hold_gb300+Sens!J19623*tk_hold_vr200+Sens!J19622*nv_hold_mai*tk_hold_vr200)/Sens!J19611</f>
        <v>11.5616165905821</v>
      </c>
      <c r="K19624" s="15" t="n">
        <f aca="false">(Sens!K19619*tk_hold_h100+Sens!K19620*tk_hold_gb200+Sens!K19621*tk_hold_gb300+Sens!K19623*tk_hold_vr200+Sens!K19622*nv_hold_mai*tk_hold_vr200)/Sens!K19611</f>
        <v>11.8095249206783</v>
      </c>
      <c r="L19624" s="1" t="s">
        <v>969</v>
      </c>
    </row>
    <row r="19625" customFormat="false" ht="17.15" hidden="false" customHeight="false" outlineLevel="0" collapsed="false">
      <c r="A19625" s="1" t="s">
        <v>970</v>
      </c>
      <c r="B19625" s="0" t="s">
        <v>403</v>
      </c>
      <c r="C19625" s="15" t="n">
        <f aca="false">(Sens!C19619*tk_hold_h100+Sens!C19620*tk_hold_gb200+Sens!C19621*tk_hold_gb300+Sens!C19623*tk_hold_vr200+Sens!C19622*nv_out_mai*tk_hold_vr200)/Sens!C19611</f>
        <v>9.7235358126469</v>
      </c>
      <c r="D19625" s="15" t="n">
        <f aca="false">(Sens!D19619*tk_hold_h100+Sens!D19620*tk_hold_gb200+Sens!D19621*tk_hold_gb300+Sens!D19623*tk_hold_vr200+Sens!D19622*nv_out_mai*tk_hold_vr200)/Sens!D19611</f>
        <v>9.7235358126469</v>
      </c>
      <c r="E19625" s="15" t="n">
        <f aca="false">(Sens!E19619*tk_hold_h100+Sens!E19620*tk_hold_gb200+Sens!E19621*tk_hold_gb300+Sens!E19623*tk_hold_vr200+Sens!E19622*nv_out_mai*tk_hold_vr200)/Sens!E19611</f>
        <v>9.7235358126469</v>
      </c>
      <c r="F19625" s="15" t="n">
        <f aca="false">(Sens!F19619*tk_hold_h100+Sens!F19620*tk_hold_gb200+Sens!F19621*tk_hold_gb300+Sens!F19623*tk_hold_vr200+Sens!F19622*nv_out_mai*tk_hold_vr200)/Sens!F19611</f>
        <v>10.4373136419306</v>
      </c>
      <c r="G19625" s="15" t="n">
        <f aca="false">(Sens!G19619*tk_hold_h100+Sens!G19620*tk_hold_gb200+Sens!G19621*tk_hold_gb300+Sens!G19623*tk_hold_vr200+Sens!G19622*nv_out_mai*tk_hold_vr200)/Sens!G19611</f>
        <v>10.8716633021543</v>
      </c>
      <c r="H19625" s="15" t="n">
        <f aca="false">(Sens!H19619*tk_hold_h100+Sens!H19620*tk_hold_gb200+Sens!H19621*tk_hold_gb300+Sens!H19623*tk_hold_vr200+Sens!H19622*nv_out_mai*tk_hold_vr200)/Sens!H19611</f>
        <v>11.162671147329</v>
      </c>
      <c r="I19625" s="15" t="n">
        <f aca="false">(Sens!I19619*tk_hold_h100+Sens!I19620*tk_hold_gb200+Sens!I19621*tk_hold_gb300+Sens!I19623*tk_hold_vr200+Sens!I19622*nv_out_mai*tk_hold_vr200)/Sens!I19611</f>
        <v>11.3838232728132</v>
      </c>
      <c r="J19625" s="15" t="n">
        <f aca="false">(Sens!J19619*tk_hold_h100+Sens!J19620*tk_hold_gb200+Sens!J19621*tk_hold_gb300+Sens!J19623*tk_hold_vr200+Sens!J19622*nv_out_mai*tk_hold_vr200)/Sens!J19611</f>
        <v>11.5616165905821</v>
      </c>
      <c r="K19625" s="15" t="n">
        <f aca="false">(Sens!K19619*tk_hold_h100+Sens!K19620*tk_hold_gb200+Sens!K19621*tk_hold_gb300+Sens!K19623*tk_hold_vr200+Sens!K19622*nv_out_mai*tk_hold_vr200)/Sens!K19611</f>
        <v>11.8095249206783</v>
      </c>
      <c r="L19625" s="12" t="s">
        <v>971</v>
      </c>
    </row>
    <row r="19626" customFormat="false" ht="17.15" hidden="false" customHeight="false" outlineLevel="0" collapsed="false">
      <c r="A19626" s="0" t="s">
        <v>972</v>
      </c>
      <c r="B19626" s="0" t="s">
        <v>229</v>
      </c>
      <c r="C19626" s="15" t="n">
        <f aca="false">k_B</f>
        <v>1.17213932619116</v>
      </c>
      <c r="D19626" s="15" t="n">
        <f aca="false">k_B</f>
        <v>1.17213932619116</v>
      </c>
      <c r="E19626" s="15" t="n">
        <f aca="false">k_B</f>
        <v>1.17213932619116</v>
      </c>
      <c r="F19626" s="15" t="n">
        <f aca="false">(k_B+((ls_B*k_long+(1-ls_B)*k_spot)-k_B)*MIN(1,(Sens!F19609-base_fy)/k_ramp))</f>
        <v>1.17213932619116</v>
      </c>
      <c r="G19626" s="15" t="n">
        <f aca="false">(k_B+((ls_B*k_long+(1-ls_B)*k_spot)-k_B)*MIN(1,(Sens!G19609-base_fy)/k_ramp))</f>
        <v>1.17213932619116</v>
      </c>
      <c r="H19626" s="15" t="n">
        <f aca="false">(k_B+((ls_B*k_long+(1-ls_B)*k_spot)-k_B)*MIN(1,(Sens!H19609-base_fy)/k_ramp))</f>
        <v>1.17213932619116</v>
      </c>
      <c r="I19626" s="15" t="n">
        <f aca="false">(k_B+((ls_B*k_long+(1-ls_B)*k_spot)-k_B)*MIN(1,(Sens!I19609-base_fy)/k_ramp))</f>
        <v>1.17213932619116</v>
      </c>
      <c r="J19626" s="15" t="n">
        <f aca="false">(k_B+((ls_B*k_long+(1-ls_B)*k_spot)-k_B)*MIN(1,(Sens!J19609-base_fy)/k_ramp))</f>
        <v>1.17213932619116</v>
      </c>
      <c r="K19626" s="15" t="n">
        <f aca="false">(k_B+((ls_B*k_long+(1-ls_B)*k_spot)-k_B)*MIN(1,(Sens!K19609-base_fy)/k_ramp))</f>
        <v>1.17213932619116</v>
      </c>
      <c r="L19626" s="1" t="s">
        <v>973</v>
      </c>
    </row>
    <row r="19627" customFormat="false" ht="17.15" hidden="false" customHeight="false" outlineLevel="0" collapsed="false">
      <c r="A19627" s="1" t="s">
        <v>974</v>
      </c>
      <c r="B19627" s="0" t="s">
        <v>403</v>
      </c>
      <c r="C19627" s="15" t="n">
        <f aca="false">Sens!C19625*Sens!C19626*chip_f</f>
        <v>11.3973387156315</v>
      </c>
      <c r="D19627" s="15" t="n">
        <f aca="false">Sens!D19625*Sens!D19626*chip_f</f>
        <v>11.3973387156315</v>
      </c>
      <c r="E19627" s="15" t="n">
        <f aca="false">Sens!E19625*Sens!E19626*chip_f</f>
        <v>11.3973387156315</v>
      </c>
      <c r="F19627" s="15" t="n">
        <f aca="false">Sens!F19625*Sens!F19626*chip_f</f>
        <v>12.2339857794983</v>
      </c>
      <c r="G19627" s="15" t="n">
        <f aca="false">Sens!G19625*Sens!G19626*chip_f</f>
        <v>12.7431040975642</v>
      </c>
      <c r="H19627" s="15" t="n">
        <f aca="false">Sens!H19625*Sens!H19626*chip_f</f>
        <v>13.0842058371236</v>
      </c>
      <c r="I19627" s="15" t="n">
        <f aca="false">Sens!I19625*Sens!I19626*chip_f</f>
        <v>13.3434269404744</v>
      </c>
      <c r="J19627" s="15" t="n">
        <f aca="false">Sens!J19625*Sens!J19626*chip_f</f>
        <v>13.5518254801654</v>
      </c>
      <c r="K19627" s="15" t="n">
        <f aca="false">Sens!K19625*Sens!K19626*chip_f</f>
        <v>13.8424085831615</v>
      </c>
      <c r="L19627" s="1" t="s">
        <v>975</v>
      </c>
    </row>
    <row r="19628" customFormat="false" ht="17.15" hidden="false" customHeight="false" outlineLevel="0" collapsed="false">
      <c r="A19628" s="0" t="s">
        <v>976</v>
      </c>
      <c r="B19628" s="0" t="s">
        <v>98</v>
      </c>
      <c r="D19628" s="6" t="n">
        <f aca="false">(Sens!C19611+Sens!D19611)/2*Sens!D19627/1000</f>
        <v>12.9359794422418</v>
      </c>
      <c r="E19628" s="6" t="n">
        <f aca="false">(Sens!D19611+Sens!E19611)/2*Sens!E19627/1000</f>
        <v>27.8095064661409</v>
      </c>
      <c r="F19628" s="6" t="n">
        <f aca="false">(Sens!E19611+Sens!F19611)/2*Sens!F19627/1000</f>
        <v>56.438649603721</v>
      </c>
      <c r="G19628" s="6" t="n">
        <f aca="false">(Sens!F19611+Sens!G19611)/2*Sens!G19627/1000</f>
        <v>93.5318692245278</v>
      </c>
      <c r="H19628" s="6" t="n">
        <f aca="false">(Sens!G19611+Sens!H19611)/2*Sens!H19627/1000</f>
        <v>131.710035147008</v>
      </c>
      <c r="I19628" s="6" t="n">
        <f aca="false">(Sens!H19611+Sens!I19611)/2*Sens!I19627/1000</f>
        <v>165.3997610979</v>
      </c>
      <c r="J19628" s="6" t="n">
        <f aca="false">(Sens!I19611+Sens!J19611)/2*Sens!J19627/1000</f>
        <v>189.042949247289</v>
      </c>
      <c r="K19628" s="6" t="n">
        <f aca="false">(Sens!J19611+Sens!K19611)/2*Sens!K19627/1000</f>
        <v>204.254889360477</v>
      </c>
      <c r="L19628" s="12" t="s">
        <v>977</v>
      </c>
    </row>
    <row r="19629" customFormat="false" ht="17.15" hidden="false" customHeight="false" outlineLevel="0" collapsed="false">
      <c r="A19629" s="1" t="s">
        <v>978</v>
      </c>
      <c r="B19629" s="0" t="s">
        <v>403</v>
      </c>
      <c r="C19629" s="15" t="n">
        <f aca="false">(Sens!C19619*tk_opex_h100+Sens!C19620*tk_opex_gb200+Sens!C19621*tk_opex_gb300+(Sens!C19623+Sens!C19622)*tk_opex_vr200)/Sens!C19611</f>
        <v>1.88636041306092</v>
      </c>
      <c r="D19629" s="15" t="n">
        <f aca="false">(Sens!D19619*tk_opex_h100+Sens!D19620*tk_opex_gb200+Sens!D19621*tk_opex_gb300+(Sens!D19623+Sens!D19622)*tk_opex_vr200)/Sens!D19611</f>
        <v>1.88636041306092</v>
      </c>
      <c r="E19629" s="15" t="n">
        <f aca="false">(Sens!E19619*tk_opex_h100+Sens!E19620*tk_opex_gb200+Sens!E19621*tk_opex_gb300+(Sens!E19623+Sens!E19622)*tk_opex_vr200)/Sens!E19611</f>
        <v>1.88636041306092</v>
      </c>
      <c r="F19629" s="15" t="n">
        <f aca="false">(Sens!F19619*tk_opex_h100+Sens!F19620*tk_opex_gb200+Sens!F19621*tk_opex_gb300+(Sens!F19623+Sens!F19622)*tk_opex_vr200)/Sens!F19611</f>
        <v>1.9454540569274</v>
      </c>
      <c r="G19629" s="15" t="n">
        <f aca="false">(Sens!G19619*tk_opex_h100+Sens!G19620*tk_opex_gb200+Sens!G19621*tk_opex_gb300+(Sens!G19623+Sens!G19622)*tk_opex_vr200)/Sens!G19611</f>
        <v>1.98141385153259</v>
      </c>
      <c r="H19629" s="15" t="n">
        <f aca="false">(Sens!H19619*tk_opex_h100+Sens!H19620*tk_opex_gb200+Sens!H19621*tk_opex_gb300+(Sens!H19623+Sens!H19622)*tk_opex_vr200)/Sens!H19611</f>
        <v>2.00550638181245</v>
      </c>
      <c r="I19629" s="15" t="n">
        <f aca="false">(Sens!I19619*tk_opex_h100+Sens!I19620*tk_opex_gb200+Sens!I19621*tk_opex_gb300+(Sens!I19623+Sens!I19622)*tk_opex_vr200)/Sens!I19611</f>
        <v>2.02381555927288</v>
      </c>
      <c r="J19629" s="15" t="n">
        <f aca="false">(Sens!J19619*tk_opex_h100+Sens!J19620*tk_opex_gb200+Sens!J19621*tk_opex_gb300+(Sens!J19623+Sens!J19622)*tk_opex_vr200)/Sens!J19611</f>
        <v>2.03853506241663</v>
      </c>
      <c r="K19629" s="15" t="n">
        <f aca="false">(Sens!K19619*tk_opex_h100+Sens!K19620*tk_opex_gb200+Sens!K19621*tk_opex_gb300+(Sens!K19623+Sens!K19622)*tk_opex_vr200)/Sens!K19611</f>
        <v>2.05905938520897</v>
      </c>
      <c r="L19629" s="12" t="s">
        <v>979</v>
      </c>
    </row>
    <row r="19630" customFormat="false" ht="17.15" hidden="false" customHeight="false" outlineLevel="0" collapsed="false">
      <c r="A19630" s="0" t="s">
        <v>980</v>
      </c>
      <c r="B19630" s="0" t="s">
        <v>98</v>
      </c>
      <c r="D19630" s="6" t="n">
        <f aca="false">(Sens!C19614+Sens!D19614)/2*Sens!D19629/1000</f>
        <v>2.70378325872065</v>
      </c>
      <c r="E19630" s="6" t="n">
        <f aca="false">(Sens!D19614+Sens!E19614)/2*Sens!E19629/1000</f>
        <v>6.17783035277451</v>
      </c>
      <c r="F19630" s="6" t="n">
        <f aca="false">(Sens!E19614+Sens!F19614)/2*Sens!F19629/1000</f>
        <v>12.840864286109</v>
      </c>
      <c r="G19630" s="6" t="n">
        <f aca="false">(Sens!F19614+Sens!G19614)/2*Sens!G19629/1000</f>
        <v>21.7420629441117</v>
      </c>
      <c r="H19630" s="6" t="n">
        <f aca="false">(Sens!G19614+Sens!H19614)/2*Sens!H19629/1000</f>
        <v>31.1199029574239</v>
      </c>
      <c r="I19630" s="6" t="n">
        <f aca="false">(Sens!H19614+Sens!I19614)/2*Sens!I19629/1000</f>
        <v>39.2606671071963</v>
      </c>
      <c r="J19630" s="6" t="n">
        <f aca="false">(Sens!I19614+Sens!J19614)/2*Sens!J19629/1000</f>
        <v>44.8261284180868</v>
      </c>
      <c r="K19630" s="6" t="n">
        <f aca="false">(Sens!J19614+Sens!K19614)/2*Sens!K19629/1000</f>
        <v>48.0438037555794</v>
      </c>
    </row>
    <row r="19631" customFormat="false" ht="17.15" hidden="false" customHeight="false" outlineLevel="0" collapsed="false">
      <c r="A19631" s="0" t="s">
        <v>981</v>
      </c>
      <c r="B19631" s="0" t="s">
        <v>98</v>
      </c>
      <c r="D19631" s="6" t="n">
        <f aca="false">(Sens!C19612+Sens!D19612)/2*rent_mw/1000</f>
        <v>2.44475</v>
      </c>
      <c r="E19631" s="6" t="n">
        <f aca="false">(Sens!D19612+Sens!E19612)/2*rent_mw/1000</f>
        <v>4.22275</v>
      </c>
      <c r="F19631" s="6" t="n">
        <f aca="false">(Sens!E19612+Sens!F19612)/2*rent_mw/1000</f>
        <v>5.80517</v>
      </c>
      <c r="G19631" s="6" t="n">
        <f aca="false">(Sens!F19612+Sens!G19612)/2*rent_mw/1000</f>
        <v>6.72084</v>
      </c>
      <c r="H19631" s="6" t="n">
        <f aca="false">(Sens!G19612+Sens!H19612)/2*rent_mw/1000</f>
        <v>6.72084</v>
      </c>
      <c r="I19631" s="6" t="n">
        <f aca="false">(Sens!H19612+Sens!I19612)/2*rent_mw/1000</f>
        <v>6.72084</v>
      </c>
      <c r="J19631" s="6" t="n">
        <f aca="false">(Sens!I19612+Sens!J19612)/2*rent_mw/1000</f>
        <v>6.72084</v>
      </c>
      <c r="K19631" s="6" t="n">
        <f aca="false">(Sens!J19612+Sens!K19612)/2*rent_mw/1000</f>
        <v>6.72084</v>
      </c>
    </row>
    <row r="19632" customFormat="false" ht="17.15" hidden="false" customHeight="false" outlineLevel="0" collapsed="false">
      <c r="A19632" s="0" t="s">
        <v>982</v>
      </c>
      <c r="B19632" s="0" t="s">
        <v>98</v>
      </c>
      <c r="D19632" s="6" t="n">
        <f aca="false">(Sens!C19614+Sens!D19614)/2*(1-self_build)*fac_rent/1000</f>
        <v>0.853242375631075</v>
      </c>
      <c r="E19632" s="6" t="n">
        <f aca="false">(Sens!D19614+Sens!E19614)/2*(1-self_build)*fac_rent/1000</f>
        <v>1.94955961408728</v>
      </c>
      <c r="F19632" s="6" t="n">
        <f aca="false">(Sens!E19614+Sens!F19614)/2*(1-self_build)*fac_rent/1000</f>
        <v>3.92914894476356</v>
      </c>
      <c r="G19632" s="6" t="n">
        <f aca="false">(Sens!F19614+Sens!G19614)/2*(1-self_build)*fac_rent/1000</f>
        <v>6.53206908578159</v>
      </c>
      <c r="H19632" s="6" t="n">
        <f aca="false">(Sens!G19614+Sens!H19614)/2*(1-self_build)*fac_rent/1000</f>
        <v>9.23717988341591</v>
      </c>
      <c r="I19632" s="6" t="n">
        <f aca="false">(Sens!H19614+Sens!I19614)/2*(1-self_build)*fac_rent/1000</f>
        <v>11.5481378557393</v>
      </c>
      <c r="J19632" s="6" t="n">
        <f aca="false">(Sens!I19614+Sens!J19614)/2*(1-self_build)*fac_rent/1000</f>
        <v>13.0899582289108</v>
      </c>
      <c r="K19632" s="6" t="n">
        <f aca="false">(Sens!J19614+Sens!K19614)/2*(1-self_build)*fac_rent/1000</f>
        <v>13.8897275626556</v>
      </c>
      <c r="L19632" s="12" t="s">
        <v>983</v>
      </c>
    </row>
    <row r="19633" customFormat="false" ht="17.15" hidden="false" customHeight="false" outlineLevel="0" collapsed="false">
      <c r="A19633" s="1" t="s">
        <v>984</v>
      </c>
      <c r="B19633" s="0" t="s">
        <v>168</v>
      </c>
      <c r="D19633" s="7" t="n">
        <f aca="false">(Sens!C19613+Sens!D19613)/(Sens!C19614+Sens!D19614)</f>
        <v>0.6</v>
      </c>
      <c r="E19633" s="7" t="n">
        <f aca="false">(Sens!D19613+Sens!E19613)/(Sens!D19614+Sens!E19614)</f>
        <v>0.6</v>
      </c>
      <c r="F19633" s="7" t="n">
        <f aca="false">(Sens!E19613+Sens!F19613)/(Sens!E19614+Sens!F19614)</f>
        <v>0.6</v>
      </c>
      <c r="G19633" s="7" t="n">
        <f aca="false">(Sens!F19613+Sens!G19613)/(Sens!F19614+Sens!G19614)</f>
        <v>0.6</v>
      </c>
      <c r="H19633" s="7" t="n">
        <f aca="false">(Sens!G19613+Sens!H19613)/(Sens!G19614+Sens!H19614)</f>
        <v>0.6</v>
      </c>
      <c r="I19633" s="7" t="n">
        <f aca="false">(Sens!H19613+Sens!I19613)/(Sens!H19614+Sens!I19614)</f>
        <v>0.6</v>
      </c>
      <c r="J19633" s="7" t="n">
        <f aca="false">(Sens!I19613+Sens!J19613)/(Sens!I19614+Sens!J19614)</f>
        <v>0.6</v>
      </c>
      <c r="K19633" s="7" t="n">
        <f aca="false">(Sens!J19613+Sens!K19613)/(Sens!J19614+Sens!K19614)</f>
        <v>0.6</v>
      </c>
    </row>
    <row r="19634" customFormat="false" ht="17.15" hidden="false" customHeight="false" outlineLevel="0" collapsed="false">
      <c r="A19634" s="0" t="s">
        <v>985</v>
      </c>
      <c r="B19634" s="0" t="s">
        <v>98</v>
      </c>
      <c r="D19634" s="6" t="n">
        <f aca="false">Sens!D19628-Sens!D19633*(Sens!D19630+Sens!D19632)-Sens!D19631</f>
        <v>8.35701406163072</v>
      </c>
      <c r="E19634" s="6" t="n">
        <f aca="false">Sens!E19628-Sens!E19633*(Sens!E19630+Sens!E19632)-Sens!E19631</f>
        <v>18.7103224860238</v>
      </c>
      <c r="F19634" s="6" t="n">
        <f aca="false">Sens!F19628-Sens!F19633*(Sens!F19630+Sens!F19632)-Sens!F19631</f>
        <v>40.5714716651975</v>
      </c>
      <c r="G19634" s="6" t="n">
        <f aca="false">Sens!G19628-Sens!G19633*(Sens!G19630+Sens!G19632)-Sens!G19631</f>
        <v>69.8465500065919</v>
      </c>
      <c r="H19634" s="6" t="n">
        <f aca="false">Sens!H19628-Sens!H19633*(Sens!H19630+Sens!H19632)-Sens!H19631</f>
        <v>100.774945442504</v>
      </c>
      <c r="I19634" s="6" t="n">
        <f aca="false">Sens!I19628-Sens!I19633*(Sens!I19630+Sens!I19632)-Sens!I19631</f>
        <v>128.193638120139</v>
      </c>
      <c r="J19634" s="6" t="n">
        <f aca="false">Sens!J19628-Sens!J19633*(Sens!J19630+Sens!J19632)-Sens!J19631</f>
        <v>147.57245725909</v>
      </c>
      <c r="K19634" s="6" t="n">
        <f aca="false">Sens!K19628-Sens!K19633*(Sens!K19630+Sens!K19632)-Sens!K19631</f>
        <v>160.373930569536</v>
      </c>
    </row>
    <row r="19635" customFormat="false" ht="17.15" hidden="false" customHeight="false" outlineLevel="0" collapsed="false">
      <c r="A19635" s="1" t="s">
        <v>986</v>
      </c>
      <c r="B19635" s="0" t="s">
        <v>98</v>
      </c>
      <c r="D19635" s="6" t="n">
        <f aca="false">(1-Sens!D19633)*(Sens!D19630+Sens!D19632)</f>
        <v>1.42281025374069</v>
      </c>
      <c r="E19635" s="6" t="n">
        <f aca="false">(1-Sens!E19633)*(Sens!E19630+Sens!E19632)</f>
        <v>3.25095598674472</v>
      </c>
      <c r="F19635" s="6" t="n">
        <f aca="false">(1-Sens!F19633)*(Sens!F19630+Sens!F19632)</f>
        <v>6.70800529234904</v>
      </c>
      <c r="G19635" s="6" t="n">
        <f aca="false">(1-Sens!G19633)*(Sens!G19630+Sens!G19632)</f>
        <v>11.3096528119573</v>
      </c>
      <c r="H19635" s="6" t="n">
        <f aca="false">(1-Sens!H19633)*(Sens!H19630+Sens!H19632)</f>
        <v>16.1428331363359</v>
      </c>
      <c r="I19635" s="6" t="n">
        <f aca="false">(1-Sens!I19633)*(Sens!I19630+Sens!I19632)</f>
        <v>20.3235219851742</v>
      </c>
      <c r="J19635" s="6" t="n">
        <f aca="false">(1-Sens!J19633)*(Sens!J19630+Sens!J19632)</f>
        <v>23.166434658799</v>
      </c>
      <c r="K19635" s="6" t="n">
        <f aca="false">(1-Sens!K19633)*(Sens!K19630+Sens!K19632)</f>
        <v>24.773412527294</v>
      </c>
    </row>
    <row r="19636" customFormat="false" ht="17.15" hidden="false" customHeight="false" outlineLevel="0" collapsed="false">
      <c r="A19636" s="1" t="s">
        <v>987</v>
      </c>
      <c r="B19636" s="0" t="s">
        <v>414</v>
      </c>
      <c r="C19636" s="8" t="n">
        <f aca="false">cxit_open</f>
        <v>27.5918995</v>
      </c>
      <c r="D19636" s="8" t="n">
        <f aca="false">cxit_open</f>
        <v>27.5918995</v>
      </c>
      <c r="E19636" s="8" t="n">
        <f aca="false">cxit_open</f>
        <v>27.5918995</v>
      </c>
      <c r="F19636" s="8" t="n">
        <f aca="false">((a_g3_27-0*a_mai)*tk_cxit_gb300+0*a_mai*nv_hold_mai*tk_cxit_vr200+(1-a_g3_27)*tk_cxit_vr200)</f>
        <v>33.8419624</v>
      </c>
      <c r="G19636" s="8" t="n">
        <f aca="false">((a_g3_28-0*a_mai)*tk_cxit_gb300+0*a_mai*nv_hold_mai*tk_cxit_vr200+(1-a_g3_28)*tk_cxit_vr200)</f>
        <v>35.9816136</v>
      </c>
      <c r="H19636" s="8" t="n">
        <f aca="false">((a_g3_29-0*a_mai)*tk_cxit_gb300+0*a_mai*nv_hold_mai*tk_cxit_vr200+(1-a_g3_29)*tk_cxit_vr200)</f>
        <v>37.0514392</v>
      </c>
      <c r="I19636" s="8" t="n">
        <f aca="false">((a_g3_29-0*a_mai)*tk_cxit_gb300+0*a_mai*nv_hold_mai*tk_cxit_vr200+(1-a_g3_29)*tk_cxit_vr200)</f>
        <v>37.0514392</v>
      </c>
      <c r="J19636" s="8" t="n">
        <f aca="false">((a_g3_29-0*a_mai)*tk_cxit_gb300+0*a_mai*nv_hold_mai*tk_cxit_vr200+(1-a_g3_29)*tk_cxit_vr200)</f>
        <v>37.0514392</v>
      </c>
      <c r="K19636" s="8" t="n">
        <f aca="false">((a_g3_29-0*a_mai)*tk_cxit_gb300+0*a_mai*nv_hold_mai*tk_cxit_vr200+(1-a_g3_29)*tk_cxit_vr200)</f>
        <v>37.0514392</v>
      </c>
      <c r="L19636" s="12" t="s">
        <v>988</v>
      </c>
    </row>
    <row r="19637" customFormat="false" ht="17.15" hidden="false" customHeight="false" outlineLevel="0" collapsed="false">
      <c r="A19637" s="0" t="s">
        <v>989</v>
      </c>
      <c r="B19637" s="0" t="s">
        <v>456</v>
      </c>
      <c r="F19637" s="30" t="n">
        <f aca="false">Sens!C19616*IF(Sens!F19609-Sens!C19609=life_it,1,0)+Sens!D19616*IF(Sens!F19609-Sens!D19609=life_it,1,0)+Sens!E19616*IF(Sens!F19609-Sens!E19609=life_it,1,0)</f>
        <v>0</v>
      </c>
      <c r="G19637" s="30" t="n">
        <f aca="false">Sens!C19616*IF(Sens!G19609-Sens!C19609=life_it,1,0)+Sens!D19616*IF(Sens!G19609-Sens!D19609=life_it,1,0)+Sens!E19616*IF(Sens!G19609-Sens!E19609=life_it,1,0)+Sens!F19616*IF(Sens!G19609-Sens!F19609=life_it,1,0)</f>
        <v>0</v>
      </c>
      <c r="H19637" s="30" t="n">
        <f aca="false">Sens!C19616*IF(Sens!H19609-Sens!C19609=life_it,1,0)+Sens!D19616*IF(Sens!H19609-Sens!D19609=life_it,1,0)+Sens!E19616*IF(Sens!H19609-Sens!E19609=life_it,1,0)+Sens!F19616*IF(Sens!H19609-Sens!F19609=life_it,1,0)+Sens!G19616*IF(Sens!H19609-Sens!G19609=life_it,1,0)</f>
        <v>0</v>
      </c>
      <c r="I19637" s="30" t="n">
        <f aca="false">Sens!C19616*IF(Sens!I19609-Sens!C19609=life_it,1,0)+Sens!D19616*IF(Sens!I19609-Sens!D19609=life_it,1,0)+Sens!E19616*IF(Sens!I19609-Sens!E19609=life_it,1,0)+Sens!F19616*IF(Sens!I19609-Sens!F19609=life_it,1,0)+Sens!G19616*IF(Sens!I19609-Sens!G19609=life_it,1,0)+Sens!H19616*IF(Sens!I19609-Sens!H19609=life_it,1,0)</f>
        <v>816.666666666667</v>
      </c>
      <c r="J19637" s="30" t="n">
        <f aca="false">Sens!C19616*IF(Sens!J19609-Sens!C19609=life_it,1,0)+Sens!D19616*IF(Sens!J19609-Sens!D19609=life_it,1,0)+Sens!E19616*IF(Sens!J19609-Sens!E19609=life_it,1,0)+Sens!F19616*IF(Sens!J19609-Sens!F19609=life_it,1,0)+Sens!G19616*IF(Sens!J19609-Sens!G19609=life_it,1,0)+Sens!H19616*IF(Sens!J19609-Sens!H19609=life_it,1,0)+Sens!I19616*IF(Sens!J19609-Sens!I19609=life_it,1,0)</f>
        <v>1233.33333333333</v>
      </c>
      <c r="K19637" s="30" t="n">
        <f aca="false">Sens!C19616*IF(Sens!K19609-Sens!C19609=life_it,1,0)+Sens!D19616*IF(Sens!K19609-Sens!D19609=life_it,1,0)+Sens!E19616*IF(Sens!K19609-Sens!E19609=life_it,1,0)+Sens!F19616*IF(Sens!K19609-Sens!F19609=life_it,1,0)+Sens!G19616*IF(Sens!K19609-Sens!G19609=life_it,1,0)+Sens!H19616*IF(Sens!K19609-Sens!H19609=life_it,1,0)+Sens!I19616*IF(Sens!K19609-Sens!I19609=life_it,1,0)+Sens!J19616*IF(Sens!K19609-Sens!J19609=life_it,1,0)</f>
        <v>2450</v>
      </c>
      <c r="L19637" s="1" t="s">
        <v>990</v>
      </c>
    </row>
    <row r="19638" customFormat="false" ht="17.15" hidden="false" customHeight="false" outlineLevel="0" collapsed="false">
      <c r="A19638" s="0" t="s">
        <v>991</v>
      </c>
      <c r="B19638" s="0" t="s">
        <v>98</v>
      </c>
      <c r="C19638" s="6" t="n">
        <f aca="false">Sens!C19616*Sens!C19636/1000</f>
        <v>22.5333845916667</v>
      </c>
      <c r="D19638" s="6" t="n">
        <f aca="false">Sens!D19616*Sens!D19636/1000</f>
        <v>34.0300093833333</v>
      </c>
      <c r="E19638" s="6" t="n">
        <f aca="false">Sens!E19616*Sens!E19636/1000</f>
        <v>67.600153775</v>
      </c>
      <c r="F19638" s="6" t="n">
        <f aca="false">(Sens!F19616+Sens!F19637)*Sens!F19636/1000</f>
        <v>142.166423470134</v>
      </c>
      <c r="G19638" s="6" t="n">
        <f aca="false">(Sens!G19616+Sens!G19637)*Sens!G19636/1000</f>
        <v>163.508554058396</v>
      </c>
      <c r="H19638" s="6" t="n">
        <f aca="false">(Sens!H19616+Sens!H19637)*Sens!H19636/1000</f>
        <v>168.37008247386</v>
      </c>
      <c r="I19638" s="6" t="n">
        <f aca="false">(Sens!I19616+Sens!I19637)*Sens!I19636/1000</f>
        <v>149.563452426789</v>
      </c>
      <c r="J19638" s="6" t="n">
        <f aca="false">(Sens!J19616+Sens!J19637)*Sens!J19636/1000</f>
        <v>118.322342241321</v>
      </c>
      <c r="K19638" s="6" t="n">
        <f aca="false">(Sens!K19616+Sens!K19637)*Sens!K19636/1000</f>
        <v>117.708102661891</v>
      </c>
    </row>
    <row r="19639" customFormat="false" ht="17.15" hidden="false" customHeight="false" outlineLevel="0" collapsed="false">
      <c r="A19639" s="0" t="s">
        <v>992</v>
      </c>
      <c r="B19639" s="0" t="s">
        <v>98</v>
      </c>
      <c r="C19639" s="6" t="n">
        <f aca="false">Sens!C19616*self_build*tk_cxfac/1000</f>
        <v>6.2083</v>
      </c>
      <c r="D19639" s="6" t="n">
        <f aca="false">Sens!D19616*self_build*tk_cxfac/1000</f>
        <v>9.3758</v>
      </c>
      <c r="E19639" s="6" t="n">
        <f aca="false">Sens!E19616*self_build*tk_cxfac/1000</f>
        <v>18.6249</v>
      </c>
      <c r="F19639" s="6" t="n">
        <f aca="false">Sens!F19616*self_build*tk_cxfac/1000</f>
        <v>31.935179717</v>
      </c>
      <c r="G19639" s="6" t="n">
        <f aca="false">Sens!G19616*self_build*tk_cxfac/1000</f>
        <v>34.545199717</v>
      </c>
      <c r="H19639" s="6" t="n">
        <f aca="false">Sens!H19616*self_build*tk_cxfac/1000</f>
        <v>34.545199717</v>
      </c>
      <c r="I19639" s="6" t="n">
        <f aca="false">Sens!I19616*self_build*tk_cxfac/1000</f>
        <v>24.4782641361767</v>
      </c>
      <c r="J19639" s="6" t="n">
        <f aca="false">Sens!J19616*self_build*tk_cxfac/1000</f>
        <v>14.9008938380769</v>
      </c>
      <c r="K19639" s="6" t="n">
        <f aca="false">Sens!K19616*self_build*tk_cxfac/1000</f>
        <v>5.52576771375761</v>
      </c>
    </row>
    <row r="19640" customFormat="false" ht="17.15" hidden="false" customHeight="false" outlineLevel="0" collapsed="false">
      <c r="A19640" s="0" t="s">
        <v>993</v>
      </c>
      <c r="B19640" s="0" t="s">
        <v>98</v>
      </c>
      <c r="F19640" s="15" t="n">
        <f aca="false">capex_floor27-Sens!F19638-Sens!F19639-Sens!F19736</f>
        <v>-5.60258502823636</v>
      </c>
      <c r="L19640" s="12" t="s">
        <v>994</v>
      </c>
    </row>
    <row r="19641" customFormat="false" ht="17.15" hidden="false" customHeight="false" outlineLevel="0" collapsed="false">
      <c r="A19641" s="0" t="s">
        <v>995</v>
      </c>
      <c r="B19641" s="0" t="s">
        <v>98</v>
      </c>
      <c r="F19641" s="6" t="n">
        <f aca="false">MAX(0,Sens!F19640)</f>
        <v>0</v>
      </c>
    </row>
    <row r="19642" customFormat="false" ht="17.15" hidden="false" customHeight="false" outlineLevel="0" collapsed="false">
      <c r="A19642" s="0" t="s">
        <v>996</v>
      </c>
      <c r="B19642" s="0" t="s">
        <v>98</v>
      </c>
      <c r="C19642" s="6" t="n">
        <f aca="false">Sens!C19638</f>
        <v>22.5333845916667</v>
      </c>
      <c r="D19642" s="6" t="n">
        <f aca="false">Sens!D19638</f>
        <v>34.0300093833333</v>
      </c>
      <c r="E19642" s="6" t="n">
        <f aca="false">Sens!E19638</f>
        <v>67.600153775</v>
      </c>
      <c r="F19642" s="6" t="n">
        <f aca="false">Sens!F19638</f>
        <v>142.166423470134</v>
      </c>
      <c r="G19642" s="6" t="n">
        <f aca="false">Sens!G19638</f>
        <v>163.508554058396</v>
      </c>
      <c r="H19642" s="6" t="n">
        <f aca="false">Sens!H19638</f>
        <v>168.37008247386</v>
      </c>
      <c r="I19642" s="6" t="n">
        <f aca="false">Sens!I19638</f>
        <v>149.563452426789</v>
      </c>
      <c r="J19642" s="6" t="n">
        <f aca="false">Sens!J19638</f>
        <v>118.322342241321</v>
      </c>
      <c r="K19642" s="6" t="n">
        <f aca="false">Sens!K19638</f>
        <v>117.708102661891</v>
      </c>
    </row>
    <row r="19643" customFormat="false" ht="17.15" hidden="false" customHeight="false" outlineLevel="0" collapsed="false">
      <c r="A19643" s="0" t="s">
        <v>997</v>
      </c>
      <c r="B19643" s="0" t="s">
        <v>98</v>
      </c>
      <c r="C19643" s="6" t="n">
        <f aca="false">Sens!C19642+Sens!C19639</f>
        <v>28.7416845916667</v>
      </c>
      <c r="D19643" s="6" t="n">
        <f aca="false">Sens!D19642+Sens!D19639</f>
        <v>43.4058093833333</v>
      </c>
      <c r="E19643" s="6" t="n">
        <f aca="false">Sens!E19642+Sens!E19639</f>
        <v>86.225053775</v>
      </c>
      <c r="F19643" s="6" t="n">
        <f aca="false">Sens!F19642+Sens!F19639</f>
        <v>174.101603187134</v>
      </c>
      <c r="G19643" s="6" t="n">
        <f aca="false">Sens!G19642+Sens!G19639</f>
        <v>198.053753775396</v>
      </c>
      <c r="H19643" s="6" t="n">
        <f aca="false">Sens!H19642+Sens!H19639</f>
        <v>202.91528219086</v>
      </c>
      <c r="I19643" s="6" t="n">
        <f aca="false">Sens!I19642+Sens!I19639</f>
        <v>174.041716562966</v>
      </c>
      <c r="J19643" s="6" t="n">
        <f aca="false">Sens!J19642+Sens!J19639</f>
        <v>133.223236079397</v>
      </c>
      <c r="K19643" s="6" t="n">
        <f aca="false">Sens!K19642+Sens!K19639</f>
        <v>123.233870375648</v>
      </c>
      <c r="L19643" s="12" t="s">
        <v>998</v>
      </c>
    </row>
    <row r="19644" customFormat="false" ht="17.15" hidden="false" customHeight="false" outlineLevel="0" collapsed="false">
      <c r="A19644" s="0" t="s">
        <v>999</v>
      </c>
      <c r="B19644" s="0" t="s">
        <v>98</v>
      </c>
      <c r="E19644" s="6" t="n">
        <f aca="false">(Sens!C19642*IF(2&lt;life_it,1,IF(2=life_it,0.5,0))+Sens!D19642*IF(1&lt;life_it,1,IF(1=life_it,0.5,0))+Sens!E19642*0.5)/life_it</f>
        <v>15.0605784770833</v>
      </c>
      <c r="F19644" s="6" t="n">
        <f aca="false">(Sens!C19642*IF(3&lt;life_it,1,IF(3=life_it,0.5,0))+Sens!D19642*IF(2&lt;life_it,1,IF(2=life_it,0.5,0))+Sens!E19642*IF(1&lt;life_it,1,IF(1=life_it,0.5,0))+Sens!F19642*0.5)/life_it</f>
        <v>32.5411265808445</v>
      </c>
      <c r="G19644" s="6" t="n">
        <f aca="false">(Sens!C19642*IF(4&lt;life_it,1,IF(4=life_it,0.5,0))+Sens!D19642*IF(3&lt;life_it,1,IF(3=life_it,0.5,0))+Sens!E19642*IF(2&lt;life_it,1,IF(2=life_it,0.5,0))+Sens!F19642*IF(1&lt;life_it,1,IF(1=life_it,0.5,0))+Sens!G19642*0.5)/life_it</f>
        <v>58.0140413748886</v>
      </c>
      <c r="H19644" s="6" t="n">
        <f aca="false">(Sens!C19642*IF(5&lt;life_it,1,IF(5=life_it,0.5,0))+Sens!D19642*IF(4&lt;life_it,1,IF(4=life_it,0.5,0))+Sens!E19642*IF(3&lt;life_it,1,IF(3=life_it,0.5,0))+Sens!F19642*IF(2&lt;life_it,1,IF(2=life_it,0.5,0))+Sens!G19642*IF(1&lt;life_it,1,IF(1=life_it,0.5,0))+Sens!H19642*0.5)/life_it</f>
        <v>85.6705944192432</v>
      </c>
      <c r="I19644" s="6" t="n">
        <f aca="false">(Sens!C19642*IF(6&lt;life_it,1,IF(6=life_it,0.5,0))+Sens!D19642*IF(5&lt;life_it,1,IF(5=life_it,0.5,0))+Sens!E19642*IF(4&lt;life_it,1,IF(4=life_it,0.5,0))+Sens!F19642*IF(3&lt;life_it,1,IF(3=life_it,0.5,0))+Sens!G19642*IF(2&lt;life_it,1,IF(2=life_it,0.5,0))+Sens!H19642*IF(1&lt;life_it,1,IF(1=life_it,0.5,0))+Sens!I19642*0.5)/life_it</f>
        <v>110.287273611658</v>
      </c>
      <c r="J19644" s="6" t="n">
        <f aca="false">(Sens!C19642*IF(7&lt;life_it,1,IF(7=life_it,0.5,0))+Sens!D19642*IF(6&lt;life_it,1,IF(6=life_it,0.5,0))+Sens!E19642*IF(5&lt;life_it,1,IF(5=life_it,0.5,0))+Sens!F19642*IF(4&lt;life_it,1,IF(4=life_it,0.5,0))+Sens!G19642*IF(3&lt;life_it,1,IF(3=life_it,0.5,0))+Sens!H19642*IF(2&lt;life_it,1,IF(2=life_it,0.5,0))+Sens!I19642*IF(1&lt;life_it,1,IF(1=life_it,0.5,0))+Sens!J19642*0.5)/life_it</f>
        <v>127.897473669418</v>
      </c>
      <c r="K19644" s="6" t="n">
        <f aca="false">(Sens!C19642*IF(8&lt;life_it,1,IF(8=life_it,0.5,0))+Sens!D19642*IF(7&lt;life_it,1,IF(7=life_it,0.5,0))+Sens!E19642*IF(6&lt;life_it,1,IF(6=life_it,0.5,0))+Sens!F19642*IF(5&lt;life_it,1,IF(5=life_it,0.5,0))+Sens!G19642*IF(4&lt;life_it,1,IF(4=life_it,0.5,0))+Sens!H19642*IF(3&lt;life_it,1,IF(3=life_it,0.5,0))+Sens!I19642*IF(2&lt;life_it,1,IF(2=life_it,0.5,0))+Sens!J19642*IF(1&lt;life_it,1,IF(1=life_it,0.5,0))+Sens!K19642*0.5)/life_it</f>
        <v>139.097497148157</v>
      </c>
    </row>
    <row r="19645" customFormat="false" ht="17.15" hidden="false" customHeight="false" outlineLevel="0" collapsed="false">
      <c r="A19645" s="0" t="s">
        <v>1000</v>
      </c>
      <c r="B19645" s="0" t="s">
        <v>98</v>
      </c>
      <c r="E19645" s="6" t="n">
        <f aca="false">(Sens!C19639*IF(2&lt;life_fac,1,IF(2=life_fac,0.5,0))+Sens!D19639*IF(1&lt;life_fac,1,IF(1=life_fac,0.5,0))+Sens!E19639*0.5)/life_fac</f>
        <v>1.2448275</v>
      </c>
      <c r="F19645" s="6" t="n">
        <f aca="false">(Sens!C19639*IF(3&lt;life_fac,1,IF(3=life_fac,0.5,0))+Sens!D19639*IF(2&lt;life_fac,1,IF(2=life_fac,0.5,0))+Sens!E19639*IF(1&lt;life_fac,1,IF(1=life_fac,0.5,0))+Sens!F19639*0.5)/life_fac</f>
        <v>2.508829492925</v>
      </c>
      <c r="G19645" s="6" t="n">
        <f aca="false">(Sens!C19639*IF(4&lt;life_fac,1,IF(4=life_fac,0.5,0))+Sens!D19639*IF(3&lt;life_fac,1,IF(3=life_fac,0.5,0))+Sens!E19639*IF(2&lt;life_fac,1,IF(2=life_fac,0.5,0))+Sens!F19639*IF(1&lt;life_fac,1,IF(1=life_fac,0.5,0))+Sens!G19639*0.5)/life_fac</f>
        <v>4.170838978775</v>
      </c>
      <c r="H19645" s="6" t="n">
        <f aca="false">(Sens!C19639*IF(5&lt;life_fac,1,IF(5=life_fac,0.5,0))+Sens!D19639*IF(4&lt;life_fac,1,IF(4=life_fac,0.5,0))+Sens!E19639*IF(3&lt;life_fac,1,IF(3=life_fac,0.5,0))+Sens!F19639*IF(2&lt;life_fac,1,IF(2=life_fac,0.5,0))+Sens!G19639*IF(1&lt;life_fac,1,IF(1=life_fac,0.5,0))+Sens!H19639*0.5)/life_fac</f>
        <v>5.898098964625</v>
      </c>
      <c r="I19645" s="6" t="n">
        <f aca="false">(Sens!C19639*IF(6&lt;life_fac,1,IF(6=life_fac,0.5,0))+Sens!D19639*IF(5&lt;life_fac,1,IF(5=life_fac,0.5,0))+Sens!E19639*IF(4&lt;life_fac,1,IF(4=life_fac,0.5,0))+Sens!F19639*IF(3&lt;life_fac,1,IF(3=life_fac,0.5,0))+Sens!G19639*IF(2&lt;life_fac,1,IF(2=life_fac,0.5,0))+Sens!H19639*IF(1&lt;life_fac,1,IF(1=life_fac,0.5,0))+Sens!I19639*0.5)/life_fac</f>
        <v>7.37368556095442</v>
      </c>
      <c r="J19645" s="6" t="n">
        <f aca="false">(Sens!C19639*IF(7&lt;life_fac,1,IF(7=life_fac,0.5,0))+Sens!D19639*IF(6&lt;life_fac,1,IF(6=life_fac,0.5,0))+Sens!E19639*IF(5&lt;life_fac,1,IF(5=life_fac,0.5,0))+Sens!F19639*IF(4&lt;life_fac,1,IF(4=life_fac,0.5,0))+Sens!G19639*IF(3&lt;life_fac,1,IF(3=life_fac,0.5,0))+Sens!H19639*IF(2&lt;life_fac,1,IF(2=life_fac,0.5,0))+Sens!I19639*IF(1&lt;life_fac,1,IF(1=life_fac,0.5,0))+Sens!J19639*0.5)/life_fac</f>
        <v>8.35816451031075</v>
      </c>
      <c r="K19645" s="6" t="n">
        <f aca="false">(Sens!C19639*IF(8&lt;life_fac,1,IF(8=life_fac,0.5,0))+Sens!D19639*IF(7&lt;life_fac,1,IF(7=life_fac,0.5,0))+Sens!E19639*IF(6&lt;life_fac,1,IF(6=life_fac,0.5,0))+Sens!F19639*IF(5&lt;life_fac,1,IF(5=life_fac,0.5,0))+Sens!G19639*IF(4&lt;life_fac,1,IF(4=life_fac,0.5,0))+Sens!H19639*IF(3&lt;life_fac,1,IF(3=life_fac,0.5,0))+Sens!I19639*IF(2&lt;life_fac,1,IF(2=life_fac,0.5,0))+Sens!J19639*IF(1&lt;life_fac,1,IF(1=life_fac,0.5,0))+Sens!K19639*0.5)/life_fac</f>
        <v>8.86883104910662</v>
      </c>
    </row>
    <row r="19646" customFormat="false" ht="17.15" hidden="false" customHeight="false" outlineLevel="0" collapsed="false">
      <c r="A19646" s="0" t="s">
        <v>1001</v>
      </c>
      <c r="B19646" s="0" t="s">
        <v>98</v>
      </c>
      <c r="E19646" s="6" t="n">
        <f aca="false">Sens!E19644+Sens!E19645</f>
        <v>16.3054059770833</v>
      </c>
      <c r="F19646" s="6" t="n">
        <f aca="false">Sens!F19644+Sens!F19645</f>
        <v>35.0499560737695</v>
      </c>
      <c r="G19646" s="6" t="n">
        <f aca="false">Sens!G19644+Sens!G19645</f>
        <v>62.1848803536636</v>
      </c>
      <c r="H19646" s="6" t="n">
        <f aca="false">Sens!H19644+Sens!H19645</f>
        <v>91.5686933838682</v>
      </c>
      <c r="I19646" s="6" t="n">
        <f aca="false">Sens!I19644+Sens!I19645</f>
        <v>117.660959172613</v>
      </c>
      <c r="J19646" s="6" t="n">
        <f aca="false">Sens!J19644+Sens!J19645</f>
        <v>136.255638179728</v>
      </c>
      <c r="K19646" s="6" t="n">
        <f aca="false">Sens!K19644+Sens!K19645</f>
        <v>147.966328197264</v>
      </c>
    </row>
    <row r="19647" customFormat="false" ht="17.15" hidden="false" customHeight="false" outlineLevel="0" collapsed="false">
      <c r="A19647" s="0" t="s">
        <v>1002</v>
      </c>
      <c r="B19647" s="0" t="s">
        <v>98</v>
      </c>
      <c r="E19647" s="6" t="n">
        <f aca="false">Sens!E19634-Sens!E19633*Sens!E19646</f>
        <v>8.92707889977379</v>
      </c>
      <c r="F19647" s="6" t="n">
        <f aca="false">Sens!F19634-Sens!F19633*Sens!F19646</f>
        <v>19.5414980209358</v>
      </c>
      <c r="G19647" s="6" t="n">
        <f aca="false">Sens!G19634-Sens!G19633*Sens!G19646</f>
        <v>32.5356217943938</v>
      </c>
      <c r="H19647" s="6" t="n">
        <f aca="false">Sens!H19634-Sens!H19633*Sens!H19646</f>
        <v>45.8337294121831</v>
      </c>
      <c r="I19647" s="6" t="n">
        <f aca="false">Sens!I19634-Sens!I19633*Sens!I19646</f>
        <v>57.5970626165714</v>
      </c>
      <c r="J19647" s="6" t="n">
        <f aca="false">Sens!J19634-Sens!J19633*Sens!J19646</f>
        <v>65.819074351253</v>
      </c>
      <c r="K19647" s="6" t="n">
        <f aca="false">Sens!K19634-Sens!K19633*Sens!K19646</f>
        <v>71.5941336511776</v>
      </c>
    </row>
    <row r="19648" customFormat="false" ht="17.15" hidden="false" customHeight="false" outlineLevel="0" collapsed="false">
      <c r="A19648" s="3" t="s">
        <v>1965</v>
      </c>
    </row>
    <row r="19649" customFormat="false" ht="15" hidden="false" customHeight="false" outlineLevel="0" collapsed="false">
      <c r="A19649" s="4" t="s">
        <v>43</v>
      </c>
      <c r="B19649" s="4" t="s">
        <v>65</v>
      </c>
      <c r="C19649" s="23" t="s">
        <v>938</v>
      </c>
      <c r="D19649" s="23" t="s">
        <v>939</v>
      </c>
      <c r="E19649" s="23" t="s">
        <v>940</v>
      </c>
      <c r="F19649" s="23" t="s">
        <v>941</v>
      </c>
      <c r="G19649" s="23" t="s">
        <v>942</v>
      </c>
      <c r="H19649" s="23" t="s">
        <v>943</v>
      </c>
      <c r="I19649" s="23" t="s">
        <v>944</v>
      </c>
      <c r="J19649" s="23" t="s">
        <v>945</v>
      </c>
      <c r="K19649" s="23" t="s">
        <v>946</v>
      </c>
      <c r="L19649" s="4" t="s">
        <v>47</v>
      </c>
    </row>
    <row r="19650" customFormat="false" ht="17.15" hidden="false" customHeight="false" outlineLevel="0" collapsed="false">
      <c r="A19650" s="0" t="s">
        <v>1021</v>
      </c>
      <c r="B19650" s="0" t="s">
        <v>98</v>
      </c>
      <c r="D19650" s="6" t="n">
        <f aca="false">Sens!D19628</f>
        <v>12.9359794422418</v>
      </c>
      <c r="E19650" s="6" t="n">
        <f aca="false">Sens!E19628</f>
        <v>27.8095064661409</v>
      </c>
      <c r="F19650" s="6" t="n">
        <f aca="false">Sens!F19628</f>
        <v>56.438649603721</v>
      </c>
      <c r="G19650" s="6" t="n">
        <f aca="false">Sens!G19628</f>
        <v>93.5318692245278</v>
      </c>
      <c r="H19650" s="6" t="n">
        <f aca="false">Sens!H19628</f>
        <v>131.710035147008</v>
      </c>
      <c r="I19650" s="6" t="n">
        <f aca="false">Sens!I19628</f>
        <v>165.3997610979</v>
      </c>
      <c r="J19650" s="6" t="n">
        <f aca="false">Sens!J19628</f>
        <v>189.042949247289</v>
      </c>
      <c r="K19650" s="6" t="n">
        <f aca="false">Sens!K19628</f>
        <v>204.254889360477</v>
      </c>
    </row>
    <row r="19651" customFormat="false" ht="17.15" hidden="false" customHeight="false" outlineLevel="0" collapsed="false">
      <c r="A19651" s="0" t="s">
        <v>1022</v>
      </c>
      <c r="B19651" s="0" t="s">
        <v>98</v>
      </c>
      <c r="D19651" s="6" t="n">
        <f aca="false">Q!L6-Sens!D19650</f>
        <v>59.6740205577583</v>
      </c>
      <c r="E19651" s="6" t="n">
        <f aca="false">Q!M6-Sens!E19650</f>
        <v>74.1284935338591</v>
      </c>
      <c r="F19651" s="6" t="n">
        <f aca="false">Q!$I$6+(Sens!F19650+Sens!E19651*(1+Sens!F19652))*(1-Q!$E$6/Q!M6)-Sens!F19650</f>
        <v>91.071743203484</v>
      </c>
      <c r="G19651" s="6" t="n">
        <f aca="false">Sens!F19651*(1+Sens!G19652)</f>
        <v>108.206823871548</v>
      </c>
      <c r="H19651" s="6" t="n">
        <f aca="false">Sens!G19651*(1+Sens!H19652)</f>
        <v>125.640235351199</v>
      </c>
      <c r="I19651" s="6" t="n">
        <f aca="false">Sens!H19651*(1+Sens!I19652)</f>
        <v>142.485403127533</v>
      </c>
      <c r="J19651" s="6" t="n">
        <f aca="false">Sens!I19651*(1+Sens!J19652)</f>
        <v>157.73665793971</v>
      </c>
      <c r="K19651" s="6" t="n">
        <f aca="false">Sens!J19651*(1+Sens!K19652)</f>
        <v>170.355590574887</v>
      </c>
      <c r="L19651" s="12" t="s">
        <v>1023</v>
      </c>
    </row>
    <row r="19652" customFormat="false" ht="15" hidden="false" customHeight="false" outlineLevel="0" collapsed="false">
      <c r="A19652" s="1" t="s">
        <v>1024</v>
      </c>
      <c r="B19652" s="0" t="s">
        <v>168</v>
      </c>
      <c r="E19652" s="7" t="n">
        <f aca="false">Sens!E19651/Sens!D19651-1</f>
        <v>0.242223883039864</v>
      </c>
      <c r="F19652" s="7" t="n">
        <f aca="false">Sens!$E$19652+(glt_azo-Sens!$E$19652)*MIN(1,(Sens!F19609-base_fy)/n_conv)</f>
        <v>0.215186569199887</v>
      </c>
      <c r="G19652" s="7" t="n">
        <f aca="false">Sens!$E$19652+(glt_azo-Sens!$E$19652)*MIN(1,(Sens!G19609-base_fy)/n_conv)</f>
        <v>0.18814925535991</v>
      </c>
      <c r="H19652" s="7" t="n">
        <f aca="false">Sens!$E$19652+(glt_azo-Sens!$E$19652)*MIN(1,(Sens!H19609-base_fy)/n_conv)</f>
        <v>0.161111941519932</v>
      </c>
      <c r="I19652" s="7" t="n">
        <f aca="false">Sens!$E$19652+(glt_azo-Sens!$E$19652)*MIN(1,(Sens!I19609-base_fy)/n_conv)</f>
        <v>0.134074627679955</v>
      </c>
      <c r="J19652" s="7" t="n">
        <f aca="false">Sens!$E$19652+(glt_azo-Sens!$E$19652)*MIN(1,(Sens!J19609-base_fy)/n_conv)</f>
        <v>0.107037313839977</v>
      </c>
      <c r="K19652" s="7" t="n">
        <f aca="false">Sens!$E$19652+(glt_azo-Sens!$E$19652)*MIN(1,(Sens!K19609-base_fy)/n_conv)</f>
        <v>0.08</v>
      </c>
    </row>
    <row r="19653" customFormat="false" ht="15" hidden="false" customHeight="false" outlineLevel="0" collapsed="false">
      <c r="A19653" s="0" t="s">
        <v>1025</v>
      </c>
      <c r="B19653" s="0" t="s">
        <v>98</v>
      </c>
      <c r="D19653" s="6" t="n">
        <f aca="false">Sens!D19650+Sens!D19651</f>
        <v>72.61</v>
      </c>
      <c r="E19653" s="6" t="n">
        <f aca="false">Sens!E19650+Sens!E19651</f>
        <v>101.938</v>
      </c>
      <c r="F19653" s="6" t="n">
        <f aca="false">Sens!F19650+Sens!F19651</f>
        <v>147.510392807205</v>
      </c>
      <c r="G19653" s="6" t="n">
        <f aca="false">Sens!G19650+Sens!G19651</f>
        <v>201.738693096076</v>
      </c>
      <c r="H19653" s="6" t="n">
        <f aca="false">Sens!H19650+Sens!H19651</f>
        <v>257.350270498207</v>
      </c>
      <c r="I19653" s="6" t="n">
        <f aca="false">Sens!I19650+Sens!I19651</f>
        <v>307.885164225433</v>
      </c>
      <c r="J19653" s="6" t="n">
        <f aca="false">Sens!J19650+Sens!J19651</f>
        <v>346.779607186999</v>
      </c>
      <c r="K19653" s="6" t="n">
        <f aca="false">Sens!K19650+Sens!K19651</f>
        <v>374.610479935364</v>
      </c>
    </row>
    <row r="19654" customFormat="false" ht="17.15" hidden="false" customHeight="false" outlineLevel="0" collapsed="false">
      <c r="A19654" s="0" t="s">
        <v>1026</v>
      </c>
      <c r="B19654" s="1" t="s">
        <v>610</v>
      </c>
      <c r="C19654" s="30" t="n">
        <f aca="false">cop_s24</f>
        <v>1</v>
      </c>
      <c r="D19654" s="30" t="n">
        <f aca="false">cop_s25</f>
        <v>5</v>
      </c>
      <c r="E19654" s="30" t="n">
        <f aca="false">cop_s26</f>
        <v>30</v>
      </c>
      <c r="F19654" s="30" t="n">
        <f aca="false">Sens!E19654+cop_add_B</f>
        <v>50</v>
      </c>
      <c r="G19654" s="30" t="n">
        <f aca="false">Sens!F19654+cop_add_B</f>
        <v>70</v>
      </c>
      <c r="H19654" s="30" t="n">
        <f aca="false">Sens!G19654+cop_add_B</f>
        <v>90</v>
      </c>
      <c r="I19654" s="30" t="n">
        <f aca="false">Sens!H19654+cop_add_B*cop_tail</f>
        <v>100</v>
      </c>
      <c r="J19654" s="30" t="n">
        <f aca="false">Sens!I19654+cop_add_B*cop_tail</f>
        <v>110</v>
      </c>
      <c r="K19654" s="30" t="n">
        <f aca="false">Sens!J19654+cop_add_B*cop_tail</f>
        <v>120</v>
      </c>
      <c r="L19654" s="12" t="s">
        <v>1027</v>
      </c>
    </row>
    <row r="19655" customFormat="false" ht="17.15" hidden="false" customHeight="false" outlineLevel="0" collapsed="false">
      <c r="A19655" s="0" t="s">
        <v>1028</v>
      </c>
      <c r="B19655" s="0" t="s">
        <v>98</v>
      </c>
      <c r="D19655" s="6" t="n">
        <f aca="false">(Sens!C19654+Sens!D19654)/2*cop_px*12/1000</f>
        <v>0.9</v>
      </c>
      <c r="E19655" s="6" t="n">
        <f aca="false">(Sens!D19654+Sens!E19654)/2*cop_px*12/1000</f>
        <v>5.25</v>
      </c>
      <c r="F19655" s="6" t="n">
        <f aca="false">(Sens!E19654+Sens!F19654)/2*cop_px*12/1000</f>
        <v>12</v>
      </c>
      <c r="G19655" s="6" t="n">
        <f aca="false">(Sens!F19654+Sens!G19654)/2*cop_px*12/1000</f>
        <v>18</v>
      </c>
      <c r="H19655" s="6" t="n">
        <f aca="false">(Sens!G19654+Sens!H19654)/2*cop_px*12/1000</f>
        <v>24</v>
      </c>
      <c r="I19655" s="6" t="n">
        <f aca="false">(Sens!H19654+Sens!I19654)/2*cop_px*12/1000</f>
        <v>28.5</v>
      </c>
      <c r="J19655" s="6" t="n">
        <f aca="false">(Sens!I19654+Sens!J19654)/2*cop_px*12/1000</f>
        <v>31.5</v>
      </c>
      <c r="K19655" s="6" t="n">
        <f aca="false">(Sens!J19654+Sens!K19654)/2*cop_px*12/1000</f>
        <v>34.5</v>
      </c>
      <c r="L19655" s="1" t="s">
        <v>1029</v>
      </c>
    </row>
    <row r="19656" customFormat="false" ht="17.15" hidden="false" customHeight="false" outlineLevel="0" collapsed="false">
      <c r="A19656" s="0" t="s">
        <v>1030</v>
      </c>
      <c r="B19656" s="0" t="s">
        <v>98</v>
      </c>
      <c r="D19656" s="6" t="n">
        <f aca="false">Q!L7-Sens!D19655</f>
        <v>83.705</v>
      </c>
      <c r="E19656" s="6" t="n">
        <f aca="false">Q!M7-Sens!E19655</f>
        <v>95.049</v>
      </c>
      <c r="F19656" s="6" t="n">
        <f aca="false">Q!$I$7+(Sens!E19656*(1+Sens!F19657)+Sens!F19655)*(1-Q!$E$7/Q!M7)-Sens!F19655</f>
        <v>106.584003697747</v>
      </c>
      <c r="G19656" s="6" t="n">
        <f aca="false">Sens!F19656*(1+Sens!G19657)</f>
        <v>118.700726545688</v>
      </c>
      <c r="H19656" s="6" t="n">
        <f aca="false">Sens!G19656*(1+Sens!H19657)</f>
        <v>130.898624783666</v>
      </c>
      <c r="I19656" s="6" t="n">
        <f aca="false">Sens!H19656*(1+Sens!I19657)</f>
        <v>142.920510030657</v>
      </c>
      <c r="J19656" s="6" t="n">
        <f aca="false">Sens!I19656*(1+Sens!J19657)</f>
        <v>154.485722618572</v>
      </c>
      <c r="K19656" s="6" t="n">
        <f aca="false">Sens!J19656*(1+Sens!K19657)</f>
        <v>165.299723201872</v>
      </c>
      <c r="L19656" s="12" t="s">
        <v>1031</v>
      </c>
    </row>
    <row r="19657" customFormat="false" ht="15" hidden="false" customHeight="false" outlineLevel="0" collapsed="false">
      <c r="A19657" s="1" t="s">
        <v>1024</v>
      </c>
      <c r="B19657" s="0" t="s">
        <v>168</v>
      </c>
      <c r="E19657" s="7" t="n">
        <f aca="false">Sens!E19656/Sens!D19656-1</f>
        <v>0.135523564900544</v>
      </c>
      <c r="F19657" s="7" t="n">
        <f aca="false">Sens!$E$19657+(glt_m365b-Sens!$E$19657)*MIN(1,(Sens!F19609-base_fy)/n_conv)</f>
        <v>0.124602970750453</v>
      </c>
      <c r="G19657" s="7" t="n">
        <f aca="false">Sens!$E$19657+(glt_m365b-Sens!$E$19657)*MIN(1,(Sens!G19609-base_fy)/n_conv)</f>
        <v>0.113682376600363</v>
      </c>
      <c r="H19657" s="7" t="n">
        <f aca="false">Sens!$E$19657+(glt_m365b-Sens!$E$19657)*MIN(1,(Sens!H19609-base_fy)/n_conv)</f>
        <v>0.102761782450272</v>
      </c>
      <c r="I19657" s="7" t="n">
        <f aca="false">Sens!$E$19657+(glt_m365b-Sens!$E$19657)*MIN(1,(Sens!I19609-base_fy)/n_conv)</f>
        <v>0.0918411883001813</v>
      </c>
      <c r="J19657" s="7" t="n">
        <f aca="false">Sens!$E$19657+(glt_m365b-Sens!$E$19657)*MIN(1,(Sens!J19609-base_fy)/n_conv)</f>
        <v>0.0809205941500906</v>
      </c>
      <c r="K19657" s="7" t="n">
        <f aca="false">Sens!$E$19657+(glt_m365b-Sens!$E$19657)*MIN(1,(Sens!K19609-base_fy)/n_conv)</f>
        <v>0.07</v>
      </c>
    </row>
    <row r="19658" customFormat="false" ht="15" hidden="false" customHeight="false" outlineLevel="0" collapsed="false">
      <c r="A19658" s="0" t="s">
        <v>1032</v>
      </c>
      <c r="B19658" s="0" t="s">
        <v>98</v>
      </c>
      <c r="D19658" s="6" t="n">
        <f aca="false">Sens!D19656+Sens!D19655</f>
        <v>84.605</v>
      </c>
      <c r="E19658" s="6" t="n">
        <f aca="false">Sens!E19656+Sens!E19655</f>
        <v>100.299</v>
      </c>
      <c r="F19658" s="6" t="n">
        <f aca="false">Sens!F19656+Sens!F19655</f>
        <v>118.584003697747</v>
      </c>
      <c r="G19658" s="6" t="n">
        <f aca="false">Sens!G19656+Sens!G19655</f>
        <v>136.700726545688</v>
      </c>
      <c r="H19658" s="6" t="n">
        <f aca="false">Sens!H19656+Sens!H19655</f>
        <v>154.898624783666</v>
      </c>
      <c r="I19658" s="6" t="n">
        <f aca="false">Sens!I19656+Sens!I19655</f>
        <v>171.420510030657</v>
      </c>
      <c r="J19658" s="6" t="n">
        <f aca="false">Sens!J19656+Sens!J19655</f>
        <v>185.985722618572</v>
      </c>
      <c r="K19658" s="6" t="n">
        <f aca="false">Sens!K19656+Sens!K19655</f>
        <v>199.799723201872</v>
      </c>
    </row>
    <row r="19659" customFormat="false" ht="17.15" hidden="false" customHeight="false" outlineLevel="0" collapsed="false">
      <c r="A19659" s="0" t="s">
        <v>1033</v>
      </c>
      <c r="B19659" s="0" t="s">
        <v>98</v>
      </c>
      <c r="D19659" s="6" t="n">
        <f aca="false">Q!L8</f>
        <v>35.391</v>
      </c>
      <c r="E19659" s="6" t="n">
        <f aca="false">Q!M8</f>
        <v>37.285</v>
      </c>
      <c r="F19659" s="6" t="n">
        <f aca="false">Q!$I$8+(Q!M8-Q!$E$8)*(1+Sens!F19660)</f>
        <v>38.3851437782675</v>
      </c>
      <c r="G19659" s="6" t="n">
        <f aca="false">Sens!F19659*(1+Sens!G19660)</f>
        <v>40.0105353288615</v>
      </c>
      <c r="H19659" s="6" t="n">
        <f aca="false">Sens!G19659*(1+Sens!H19660)</f>
        <v>41.4812512033683</v>
      </c>
      <c r="I19659" s="6" t="n">
        <f aca="false">Sens!H19659*(1+Sens!I19660)</f>
        <v>42.7743107216329</v>
      </c>
      <c r="J19659" s="6" t="n">
        <f aca="false">Sens!I19659*(1+Sens!J19660)</f>
        <v>43.8687373064601</v>
      </c>
      <c r="K19659" s="6" t="n">
        <f aca="false">Sens!J19659*(1+Sens!K19660)</f>
        <v>44.7461120525893</v>
      </c>
      <c r="L19659" s="12" t="s">
        <v>1034</v>
      </c>
    </row>
    <row r="19660" customFormat="false" ht="15" hidden="false" customHeight="false" outlineLevel="0" collapsed="false">
      <c r="A19660" s="1" t="s">
        <v>1024</v>
      </c>
      <c r="B19660" s="0" t="s">
        <v>168</v>
      </c>
      <c r="E19660" s="7" t="n">
        <f aca="false">Sens!E19659/Sens!D19659-1</f>
        <v>0.0535164307309768</v>
      </c>
      <c r="F19660" s="7" t="n">
        <f aca="false">Sens!$E$19660+(glt_lic-Sens!$E$19660)*MIN(1,(Sens!F19609-base_fy)/n_conv)</f>
        <v>0.0479303589424807</v>
      </c>
      <c r="G19660" s="7" t="n">
        <f aca="false">Sens!$E$19660+(glt_lic-Sens!$E$19660)*MIN(1,(Sens!G19609-base_fy)/n_conv)</f>
        <v>0.0423442871539845</v>
      </c>
      <c r="H19660" s="7" t="n">
        <f aca="false">Sens!$E$19660+(glt_lic-Sens!$E$19660)*MIN(1,(Sens!H19609-base_fy)/n_conv)</f>
        <v>0.0367582153654884</v>
      </c>
      <c r="I19660" s="7" t="n">
        <f aca="false">Sens!$E$19660+(glt_lic-Sens!$E$19660)*MIN(1,(Sens!I19609-base_fy)/n_conv)</f>
        <v>0.0311721435769923</v>
      </c>
      <c r="J19660" s="7" t="n">
        <f aca="false">Sens!$E$19660+(glt_lic-Sens!$E$19660)*MIN(1,(Sens!J19609-base_fy)/n_conv)</f>
        <v>0.0255860717884961</v>
      </c>
      <c r="K19660" s="7" t="n">
        <f aca="false">Sens!$E$19660+(glt_lic-Sens!$E$19660)*MIN(1,(Sens!K19609-base_fy)/n_conv)</f>
        <v>0.02</v>
      </c>
    </row>
    <row r="19661" customFormat="false" ht="17.15" hidden="false" customHeight="false" outlineLevel="0" collapsed="false">
      <c r="A19661" s="0" t="s">
        <v>1035</v>
      </c>
      <c r="B19661" s="0" t="s">
        <v>98</v>
      </c>
      <c r="D19661" s="6" t="n">
        <f aca="false">Q!L9</f>
        <v>18.417</v>
      </c>
      <c r="E19661" s="6" t="n">
        <f aca="false">Q!M9</f>
        <v>20.345</v>
      </c>
      <c r="F19661" s="6" t="n">
        <f aca="false">Q!$I$9+(Q!M9-Q!$E$9)*(1+Sens!F19662)</f>
        <v>22.3161797133988</v>
      </c>
      <c r="G19661" s="6" t="n">
        <f aca="false">Sens!F19661*(1+Sens!G19662)</f>
        <v>24.3943499673233</v>
      </c>
      <c r="H19661" s="6" t="n">
        <f aca="false">Sens!G19661*(1+Sens!H19662)</f>
        <v>26.5250243109019</v>
      </c>
      <c r="I19661" s="6" t="n">
        <f aca="false">Sens!H19661*(1+Sens!I19662)</f>
        <v>28.6884573538181</v>
      </c>
      <c r="J19661" s="6" t="n">
        <f aca="false">Sens!I19661*(1+Sens!J19662)</f>
        <v>30.8624968052127</v>
      </c>
      <c r="K19661" s="6" t="n">
        <f aca="false">Sens!J19661*(1+Sens!K19662)</f>
        <v>33.0228715815776</v>
      </c>
      <c r="L19661" s="12" t="s">
        <v>1034</v>
      </c>
    </row>
    <row r="19662" customFormat="false" ht="15" hidden="false" customHeight="false" outlineLevel="0" collapsed="false">
      <c r="A19662" s="1" t="s">
        <v>1024</v>
      </c>
      <c r="B19662" s="0" t="s">
        <v>168</v>
      </c>
      <c r="E19662" s="7" t="n">
        <f aca="false">Sens!E19661/Sens!D19661-1</f>
        <v>0.104685888038225</v>
      </c>
      <c r="F19662" s="7" t="n">
        <f aca="false">Sens!$E$19662+(glt_ind-Sens!$E$19662)*MIN(1,(Sens!F19609-base_fy)/n_conv)</f>
        <v>0.0989049066985211</v>
      </c>
      <c r="G19662" s="7" t="n">
        <f aca="false">Sens!$E$19662+(glt_ind-Sens!$E$19662)*MIN(1,(Sens!G19609-base_fy)/n_conv)</f>
        <v>0.0931239253588169</v>
      </c>
      <c r="H19662" s="7" t="n">
        <f aca="false">Sens!$E$19662+(glt_ind-Sens!$E$19662)*MIN(1,(Sens!H19609-base_fy)/n_conv)</f>
        <v>0.0873429440191127</v>
      </c>
      <c r="I19662" s="7" t="n">
        <f aca="false">Sens!$E$19662+(glt_ind-Sens!$E$19662)*MIN(1,(Sens!I19609-base_fy)/n_conv)</f>
        <v>0.0815619626794085</v>
      </c>
      <c r="J19662" s="7" t="n">
        <f aca="false">Sens!$E$19662+(glt_ind-Sens!$E$19662)*MIN(1,(Sens!J19609-base_fy)/n_conv)</f>
        <v>0.0757809813397042</v>
      </c>
      <c r="K19662" s="7" t="n">
        <f aca="false">Sens!$E$19662+(glt_ind-Sens!$E$19662)*MIN(1,(Sens!K19609-base_fy)/n_conv)</f>
        <v>0.07</v>
      </c>
    </row>
    <row r="19663" customFormat="false" ht="17.15" hidden="false" customHeight="false" outlineLevel="0" collapsed="false">
      <c r="A19663" s="0" t="s">
        <v>1036</v>
      </c>
      <c r="B19663" s="0" t="s">
        <v>98</v>
      </c>
      <c r="D19663" s="6" t="n">
        <f aca="false">Q!L10</f>
        <v>7.76</v>
      </c>
      <c r="E19663" s="6" t="n">
        <f aca="false">Q!M10</f>
        <v>8.26</v>
      </c>
      <c r="F19663" s="6" t="n">
        <f aca="false">Q!$I$10+(Q!M10-Q!$E$10)*(1+Sens!F19664)</f>
        <v>8.75372082474227</v>
      </c>
      <c r="G19663" s="6" t="n">
        <f aca="false">Sens!F19663*(1+Sens!G19664)</f>
        <v>9.33399324642364</v>
      </c>
      <c r="H19663" s="6" t="n">
        <f aca="false">Sens!G19663*(1+Sens!H19664)</f>
        <v>9.96139155535851</v>
      </c>
      <c r="I19663" s="6" t="n">
        <f aca="false">Sens!H19663*(1+Sens!I19664)</f>
        <v>10.6402039077391</v>
      </c>
      <c r="J19663" s="6" t="n">
        <f aca="false">Sens!I19663*(1+Sens!J19664)</f>
        <v>11.3751458271397</v>
      </c>
      <c r="K19663" s="6" t="n">
        <f aca="false">Sens!J19663*(1+Sens!K19664)</f>
        <v>12.1714060350394</v>
      </c>
      <c r="L19663" s="12" t="s">
        <v>1034</v>
      </c>
    </row>
    <row r="19664" customFormat="false" ht="15" hidden="false" customHeight="false" outlineLevel="0" collapsed="false">
      <c r="A19664" s="1" t="s">
        <v>1024</v>
      </c>
      <c r="B19664" s="0" t="s">
        <v>168</v>
      </c>
      <c r="E19664" s="7" t="n">
        <f aca="false">Sens!E19663/Sens!D19663-1</f>
        <v>0.0644329896907216</v>
      </c>
      <c r="F19664" s="7" t="n">
        <f aca="false">Sens!$E$19664+(glt_fro-Sens!$E$19664)*MIN(1,(Sens!F19609-base_fy)/n_conv)</f>
        <v>0.065360824742268</v>
      </c>
      <c r="G19664" s="7" t="n">
        <f aca="false">Sens!$E$19664+(glt_fro-Sens!$E$19664)*MIN(1,(Sens!G19609-base_fy)/n_conv)</f>
        <v>0.0662886597938144</v>
      </c>
      <c r="H19664" s="7" t="n">
        <f aca="false">Sens!$E$19664+(glt_fro-Sens!$E$19664)*MIN(1,(Sens!H19609-base_fy)/n_conv)</f>
        <v>0.0672164948453608</v>
      </c>
      <c r="I19664" s="7" t="n">
        <f aca="false">Sens!$E$19664+(glt_fro-Sens!$E$19664)*MIN(1,(Sens!I19609-base_fy)/n_conv)</f>
        <v>0.0681443298969072</v>
      </c>
      <c r="J19664" s="7" t="n">
        <f aca="false">Sens!$E$19664+(glt_fro-Sens!$E$19664)*MIN(1,(Sens!J19609-base_fy)/n_conv)</f>
        <v>0.0690721649484536</v>
      </c>
      <c r="K19664" s="7" t="n">
        <f aca="false">Sens!$E$19664+(glt_fro-Sens!$E$19664)*MIN(1,(Sens!K19609-base_fy)/n_conv)</f>
        <v>0.07</v>
      </c>
    </row>
    <row r="19665" customFormat="false" ht="15" hidden="false" customHeight="false" outlineLevel="0" collapsed="false">
      <c r="A19665" s="0" t="s">
        <v>852</v>
      </c>
      <c r="B19665" s="0" t="s">
        <v>98</v>
      </c>
      <c r="D19665" s="6" t="n">
        <f aca="false">Sens!D19653+Sens!D19658+Sens!D19659+Sens!D19661+Sens!D19663</f>
        <v>218.783</v>
      </c>
      <c r="E19665" s="6" t="n">
        <f aca="false">Sens!E19653+Sens!E19658+Sens!E19659+Sens!E19661+Sens!E19663</f>
        <v>268.127</v>
      </c>
      <c r="F19665" s="6" t="n">
        <f aca="false">Sens!F19653+Sens!F19658+Sens!F19659+Sens!F19661+Sens!F19663</f>
        <v>335.54944082136</v>
      </c>
      <c r="G19665" s="6" t="n">
        <f aca="false">Sens!G19653+Sens!G19658+Sens!G19659+Sens!G19661+Sens!G19663</f>
        <v>412.178298184373</v>
      </c>
      <c r="H19665" s="6" t="n">
        <f aca="false">Sens!H19653+Sens!H19658+Sens!H19659+Sens!H19661+Sens!H19663</f>
        <v>490.216562351501</v>
      </c>
      <c r="I19665" s="6" t="n">
        <f aca="false">Sens!I19653+Sens!I19658+Sens!I19659+Sens!I19661+Sens!I19663</f>
        <v>561.40864623928</v>
      </c>
      <c r="J19665" s="6" t="n">
        <f aca="false">Sens!J19653+Sens!J19658+Sens!J19659+Sens!J19661+Sens!J19663</f>
        <v>618.871709744383</v>
      </c>
      <c r="K19665" s="6" t="n">
        <f aca="false">Sens!K19653+Sens!K19658+Sens!K19659+Sens!K19661+Sens!K19663</f>
        <v>664.350592806442</v>
      </c>
    </row>
    <row r="19666" customFormat="false" ht="17.15" hidden="false" customHeight="false" outlineLevel="0" collapsed="false">
      <c r="A19666" s="0" t="s">
        <v>1037</v>
      </c>
      <c r="B19666" s="0" t="s">
        <v>98</v>
      </c>
      <c r="D19666" s="6" t="n">
        <f aca="false">Q!L13</f>
        <v>22.171</v>
      </c>
      <c r="E19666" s="6" t="n">
        <f aca="false">Q!M13</f>
        <v>24.835</v>
      </c>
      <c r="F19666" s="6" t="n">
        <f aca="false">Q!$I$13+(Q!M13-Q!$E$13)*(1+Sens!F19667)</f>
        <v>27.5591895660247</v>
      </c>
      <c r="G19666" s="6" t="n">
        <f aca="false">Sens!F19666*(1+Sens!G19667)</f>
        <v>30.4098563144583</v>
      </c>
      <c r="H19666" s="6" t="n">
        <f aca="false">Sens!G19666*(1+Sens!H19667)</f>
        <v>33.3011792571777</v>
      </c>
      <c r="I19666" s="6" t="n">
        <f aca="false">Sens!H19666*(1+Sens!I19667)</f>
        <v>36.189023797112</v>
      </c>
      <c r="J19666" s="6" t="n">
        <f aca="false">Sens!I19666*(1+Sens!J19667)</f>
        <v>39.0247773769199</v>
      </c>
      <c r="K19666" s="6" t="n">
        <f aca="false">Sens!J19666*(1+Sens!K19667)</f>
        <v>41.7565117933043</v>
      </c>
      <c r="L19666" s="12" t="s">
        <v>1034</v>
      </c>
    </row>
    <row r="19667" customFormat="false" ht="15" hidden="false" customHeight="false" outlineLevel="0" collapsed="false">
      <c r="A19667" s="1" t="s">
        <v>1024</v>
      </c>
      <c r="B19667" s="0" t="s">
        <v>168</v>
      </c>
      <c r="E19667" s="7" t="n">
        <f aca="false">Sens!E19666/Sens!D19666-1</f>
        <v>0.120156961796942</v>
      </c>
      <c r="F19667" s="7" t="n">
        <f aca="false">Sens!$E$19667+(glt_srch-Sens!$E$19667)*MIN(1,(Sens!F19609-base_fy)/n_conv)</f>
        <v>0.111797468164118</v>
      </c>
      <c r="G19667" s="7" t="n">
        <f aca="false">Sens!$E$19667+(glt_srch-Sens!$E$19667)*MIN(1,(Sens!G19609-base_fy)/n_conv)</f>
        <v>0.103437974531295</v>
      </c>
      <c r="H19667" s="7" t="n">
        <f aca="false">Sens!$E$19667+(glt_srch-Sens!$E$19667)*MIN(1,(Sens!H19609-base_fy)/n_conv)</f>
        <v>0.095078480898471</v>
      </c>
      <c r="I19667" s="7" t="n">
        <f aca="false">Sens!$E$19667+(glt_srch-Sens!$E$19667)*MIN(1,(Sens!I19609-base_fy)/n_conv)</f>
        <v>0.0867189872656474</v>
      </c>
      <c r="J19667" s="7" t="n">
        <f aca="false">Sens!$E$19667+(glt_srch-Sens!$E$19667)*MIN(1,(Sens!J19609-base_fy)/n_conv)</f>
        <v>0.0783594936328237</v>
      </c>
      <c r="K19667" s="7" t="n">
        <f aca="false">Sens!$E$19667+(glt_srch-Sens!$E$19667)*MIN(1,(Sens!K19609-base_fy)/n_conv)</f>
        <v>0.07</v>
      </c>
    </row>
    <row r="19668" customFormat="false" ht="17.15" hidden="false" customHeight="false" outlineLevel="0" collapsed="false">
      <c r="A19668" s="0" t="s">
        <v>1038</v>
      </c>
      <c r="B19668" s="0" t="s">
        <v>98</v>
      </c>
      <c r="D19668" s="6" t="n">
        <f aca="false">Q!L14</f>
        <v>23.455</v>
      </c>
      <c r="E19668" s="6" t="n">
        <f aca="false">Q!M14</f>
        <v>21.79</v>
      </c>
      <c r="F19668" s="6" t="n">
        <f aca="false">Q!$I$14+(Q!M14-Q!$E$14)*(1+Sens!F19669)</f>
        <v>20.7520981041711</v>
      </c>
      <c r="G19668" s="6" t="n">
        <f aca="false">Sens!F19668*(1+Sens!G19669)</f>
        <v>19.9083593495882</v>
      </c>
      <c r="H19668" s="6" t="n">
        <f aca="false">Sens!G19668*(1+Sens!H19669)</f>
        <v>19.4008256265831</v>
      </c>
      <c r="I19668" s="6" t="n">
        <f aca="false">Sens!H19668*(1+Sens!I19669)</f>
        <v>19.200434522122</v>
      </c>
      <c r="J19668" s="6" t="n">
        <f aca="false">Sens!I19668*(1+Sens!J19669)</f>
        <v>19.2932782348507</v>
      </c>
      <c r="K19668" s="6" t="n">
        <f aca="false">Sens!J19668*(1+Sens!K19669)</f>
        <v>19.6791437995477</v>
      </c>
      <c r="L19668" s="12" t="s">
        <v>1034</v>
      </c>
    </row>
    <row r="19669" customFormat="false" ht="15" hidden="false" customHeight="false" outlineLevel="0" collapsed="false">
      <c r="A19669" s="1" t="s">
        <v>1024</v>
      </c>
      <c r="B19669" s="0" t="s">
        <v>168</v>
      </c>
      <c r="E19669" s="7" t="n">
        <f aca="false">Sens!E19668/Sens!D19668-1</f>
        <v>-0.0709869963760392</v>
      </c>
      <c r="F19669" s="7" t="n">
        <f aca="false">Sens!$E$19669+(glt_xbox-Sens!$E$19669)*MIN(1,(Sens!F19609-base_fy)/n_conv)</f>
        <v>-0.0558224969800327</v>
      </c>
      <c r="G19669" s="7" t="n">
        <f aca="false">Sens!$E$19669+(glt_xbox-Sens!$E$19669)*MIN(1,(Sens!G19609-base_fy)/n_conv)</f>
        <v>-0.0406579975840262</v>
      </c>
      <c r="H19669" s="7" t="n">
        <f aca="false">Sens!$E$19669+(glt_xbox-Sens!$E$19669)*MIN(1,(Sens!H19609-base_fy)/n_conv)</f>
        <v>-0.0254934981880196</v>
      </c>
      <c r="I19669" s="7" t="n">
        <f aca="false">Sens!$E$19669+(glt_xbox-Sens!$E$19669)*MIN(1,(Sens!I19609-base_fy)/n_conv)</f>
        <v>-0.0103289987920131</v>
      </c>
      <c r="J19669" s="7" t="n">
        <f aca="false">Sens!$E$19669+(glt_xbox-Sens!$E$19669)*MIN(1,(Sens!J19609-base_fy)/n_conv)</f>
        <v>0.00483550060399347</v>
      </c>
      <c r="K19669" s="7" t="n">
        <f aca="false">Sens!$E$19669+(glt_xbox-Sens!$E$19669)*MIN(1,(Sens!K19609-base_fy)/n_conv)</f>
        <v>0.02</v>
      </c>
    </row>
    <row r="19670" customFormat="false" ht="17.15" hidden="false" customHeight="false" outlineLevel="0" collapsed="false">
      <c r="A19670" s="0" t="s">
        <v>1039</v>
      </c>
      <c r="B19670" s="0" t="s">
        <v>98</v>
      </c>
      <c r="D19670" s="6" t="n">
        <f aca="false">Q!L15</f>
        <v>17.315</v>
      </c>
      <c r="E19670" s="6" t="n">
        <f aca="false">Q!M15</f>
        <v>17.087</v>
      </c>
      <c r="F19670" s="6" t="n">
        <f aca="false">Q!$I$15+(Q!M15-Q!$E$15)*(1+Sens!F19671)</f>
        <v>15.9912273250553</v>
      </c>
      <c r="G19670" s="6" t="n">
        <f aca="false">Sens!F19670*(1+Sens!G19671)</f>
        <v>15.9574562664827</v>
      </c>
      <c r="H19670" s="6" t="n">
        <f aca="false">Sens!G19670*(1+Sens!H19671)</f>
        <v>16.0119687434196</v>
      </c>
      <c r="I19670" s="6" t="n">
        <f aca="false">Sens!H19670*(1+Sens!I19671)</f>
        <v>16.1551810001948</v>
      </c>
      <c r="J19670" s="6" t="n">
        <f aca="false">Sens!I19670*(1+Sens!J19671)</f>
        <v>16.3889793892005</v>
      </c>
      <c r="K19670" s="6" t="n">
        <f aca="false">Sens!J19670*(1+Sens!K19671)</f>
        <v>16.7167589769845</v>
      </c>
      <c r="L19670" s="12" t="s">
        <v>1034</v>
      </c>
    </row>
    <row r="19671" customFormat="false" ht="15" hidden="false" customHeight="false" outlineLevel="0" collapsed="false">
      <c r="A19671" s="1" t="s">
        <v>1024</v>
      </c>
      <c r="B19671" s="0" t="s">
        <v>168</v>
      </c>
      <c r="E19671" s="7" t="n">
        <f aca="false">Sens!E19670/Sens!D19670-1</f>
        <v>-0.0131677736066995</v>
      </c>
      <c r="F19671" s="7" t="n">
        <f aca="false">Sens!$E$19671+(glt_win-Sens!$E$19671)*MIN(1,(Sens!F19609-base_fy)/n_conv)</f>
        <v>-0.00763981133891627</v>
      </c>
      <c r="G19671" s="7" t="n">
        <f aca="false">Sens!$E$19671+(glt_win-Sens!$E$19671)*MIN(1,(Sens!G19609-base_fy)/n_conv)</f>
        <v>-0.00211184907113301</v>
      </c>
      <c r="H19671" s="7" t="n">
        <f aca="false">Sens!$E$19671+(glt_win-Sens!$E$19671)*MIN(1,(Sens!H19609-base_fy)/n_conv)</f>
        <v>0.00341611319665024</v>
      </c>
      <c r="I19671" s="7" t="n">
        <f aca="false">Sens!$E$19671+(glt_win-Sens!$E$19671)*MIN(1,(Sens!I19609-base_fy)/n_conv)</f>
        <v>0.00894407546443349</v>
      </c>
      <c r="J19671" s="7" t="n">
        <f aca="false">Sens!$E$19671+(glt_win-Sens!$E$19671)*MIN(1,(Sens!J19609-base_fy)/n_conv)</f>
        <v>0.0144720377322168</v>
      </c>
      <c r="K19671" s="7" t="n">
        <f aca="false">Sens!$E$19671+(glt_win-Sens!$E$19671)*MIN(1,(Sens!K19609-base_fy)/n_conv)</f>
        <v>0.02</v>
      </c>
    </row>
    <row r="19672" customFormat="false" ht="15" hidden="false" customHeight="false" outlineLevel="0" collapsed="false">
      <c r="A19672" s="0" t="s">
        <v>866</v>
      </c>
      <c r="B19672" s="0" t="s">
        <v>98</v>
      </c>
      <c r="D19672" s="6" t="n">
        <f aca="false">Sens!D19666+Sens!D19668+Sens!D19670</f>
        <v>62.941</v>
      </c>
      <c r="E19672" s="6" t="n">
        <f aca="false">Sens!E19666+Sens!E19668+Sens!E19670</f>
        <v>63.712</v>
      </c>
      <c r="F19672" s="6" t="n">
        <f aca="false">Sens!F19666+Sens!F19668+Sens!F19670</f>
        <v>64.3025149952511</v>
      </c>
      <c r="G19672" s="6" t="n">
        <f aca="false">Sens!G19666+Sens!G19668+Sens!G19670</f>
        <v>66.2756719305292</v>
      </c>
      <c r="H19672" s="6" t="n">
        <f aca="false">Sens!H19666+Sens!H19668+Sens!H19670</f>
        <v>68.7139736271804</v>
      </c>
      <c r="I19672" s="6" t="n">
        <f aca="false">Sens!I19666+Sens!I19668+Sens!I19670</f>
        <v>71.5446393194289</v>
      </c>
      <c r="J19672" s="6" t="n">
        <f aca="false">Sens!J19666+Sens!J19668+Sens!J19670</f>
        <v>74.707035000971</v>
      </c>
      <c r="K19672" s="6" t="n">
        <f aca="false">Sens!K19666+Sens!K19668+Sens!K19670</f>
        <v>78.1524145698365</v>
      </c>
    </row>
    <row r="19673" customFormat="false" ht="15" hidden="false" customHeight="false" outlineLevel="0" collapsed="false">
      <c r="A19673" s="1" t="s">
        <v>1040</v>
      </c>
      <c r="B19673" s="0" t="s">
        <v>98</v>
      </c>
      <c r="D19673" s="6" t="n">
        <f aca="false">Sens!D19665+Sens!D19672</f>
        <v>281.724</v>
      </c>
      <c r="E19673" s="6" t="n">
        <f aca="false">Sens!E19665+Sens!E19672</f>
        <v>331.839</v>
      </c>
      <c r="F19673" s="6" t="n">
        <f aca="false">Sens!F19665+Sens!F19672</f>
        <v>399.851955816612</v>
      </c>
      <c r="G19673" s="6" t="n">
        <f aca="false">Sens!G19665+Sens!G19672</f>
        <v>478.453970114902</v>
      </c>
      <c r="H19673" s="6" t="n">
        <f aca="false">Sens!H19665+Sens!H19672</f>
        <v>558.930535978681</v>
      </c>
      <c r="I19673" s="6" t="n">
        <f aca="false">Sens!I19665+Sens!I19672</f>
        <v>632.953285558709</v>
      </c>
      <c r="J19673" s="6" t="n">
        <f aca="false">Sens!J19665+Sens!J19672</f>
        <v>693.578744745354</v>
      </c>
      <c r="K19673" s="6" t="n">
        <f aca="false">Sens!K19665+Sens!K19672</f>
        <v>742.503007376279</v>
      </c>
    </row>
    <row r="19674" customFormat="false" ht="15" hidden="false" customHeight="false" outlineLevel="0" collapsed="false">
      <c r="A19674" s="26" t="s">
        <v>1041</v>
      </c>
      <c r="B19674" s="31" t="s">
        <v>98</v>
      </c>
      <c r="C19674" s="31"/>
      <c r="D19674" s="27" t="n">
        <f aca="false">(Sens!D19653+Sens!D19658+Sens!D19659+Sens!D19661+Sens!D19663-Sens!D19665)+(Sens!D19666+Sens!D19668+Sens!D19670-Sens!D19672)+(Sens!D19665-Q!L5)+(Sens!D19672-Q!L12)+(Sens!D19653-Q!L6)+(Sens!D19658-Q!L7)</f>
        <v>0</v>
      </c>
      <c r="E19674" s="27" t="n">
        <f aca="false">(Sens!E19653+Sens!E19658+Sens!E19659+Sens!E19661+Sens!E19663-Sens!E19665)+(Sens!E19666+Sens!E19668+Sens!E19670-Sens!E19672)+(Sens!E19665-Q!M5)+(Sens!E19672-Q!M12)+(Sens!E19653-Q!M6)+(Sens!E19658-Q!M7)</f>
        <v>0</v>
      </c>
      <c r="F19674" s="27" t="n">
        <f aca="false">(Sens!F19653+Sens!F19658+Sens!F19659+Sens!F19661+Sens!F19663-Sens!F19665)+(Sens!F19666+Sens!F19668+Sens!F19670-Sens!F19672)</f>
        <v>0</v>
      </c>
      <c r="G19674" s="27" t="n">
        <f aca="false">(Sens!G19653+Sens!G19658+Sens!G19659+Sens!G19661+Sens!G19663-Sens!G19665)+(Sens!G19666+Sens!G19668+Sens!G19670-Sens!G19672)</f>
        <v>0</v>
      </c>
      <c r="H19674" s="27" t="n">
        <f aca="false">(Sens!H19653+Sens!H19658+Sens!H19659+Sens!H19661+Sens!H19663-Sens!H19665)+(Sens!H19666+Sens!H19668+Sens!H19670-Sens!H19672)</f>
        <v>0</v>
      </c>
      <c r="I19674" s="27" t="n">
        <f aca="false">(Sens!I19653+Sens!I19658+Sens!I19659+Sens!I19661+Sens!I19663-Sens!I19665)+(Sens!I19666+Sens!I19668+Sens!I19670-Sens!I19672)</f>
        <v>0</v>
      </c>
      <c r="J19674" s="27" t="n">
        <f aca="false">(Sens!J19653+Sens!J19658+Sens!J19659+Sens!J19661+Sens!J19663-Sens!J19665)+(Sens!J19666+Sens!J19668+Sens!J19670-Sens!J19672)</f>
        <v>0</v>
      </c>
      <c r="K19674" s="27" t="n">
        <f aca="false">(Sens!K19653+Sens!K19658+Sens!K19659+Sens!K19661+Sens!K19663-Sens!K19665)+(Sens!K19666+Sens!K19668+Sens!K19670-Sens!K19672)</f>
        <v>0</v>
      </c>
    </row>
    <row r="19675" customFormat="false" ht="17.15" hidden="false" customHeight="false" outlineLevel="0" collapsed="false">
      <c r="A19675" s="3" t="s">
        <v>1966</v>
      </c>
    </row>
    <row r="19676" customFormat="false" ht="15" hidden="false" customHeight="false" outlineLevel="0" collapsed="false">
      <c r="A19676" s="4" t="s">
        <v>43</v>
      </c>
      <c r="B19676" s="4" t="s">
        <v>65</v>
      </c>
      <c r="C19676" s="23" t="s">
        <v>938</v>
      </c>
      <c r="D19676" s="23" t="s">
        <v>939</v>
      </c>
      <c r="E19676" s="23" t="s">
        <v>940</v>
      </c>
      <c r="F19676" s="23" t="s">
        <v>941</v>
      </c>
      <c r="G19676" s="23" t="s">
        <v>942</v>
      </c>
      <c r="H19676" s="23" t="s">
        <v>943</v>
      </c>
      <c r="I19676" s="23" t="s">
        <v>944</v>
      </c>
      <c r="J19676" s="23" t="s">
        <v>945</v>
      </c>
      <c r="K19676" s="23" t="s">
        <v>946</v>
      </c>
      <c r="L19676" s="4" t="s">
        <v>47</v>
      </c>
    </row>
    <row r="19677" customFormat="false" ht="15" hidden="false" customHeight="false" outlineLevel="0" collapsed="false">
      <c r="A19677" s="0" t="s">
        <v>1025</v>
      </c>
      <c r="B19677" s="0" t="s">
        <v>98</v>
      </c>
      <c r="D19677" s="6" t="n">
        <f aca="false">Sens!D19653</f>
        <v>72.61</v>
      </c>
      <c r="E19677" s="6" t="n">
        <f aca="false">Sens!E19653</f>
        <v>101.938</v>
      </c>
      <c r="F19677" s="6" t="n">
        <f aca="false">Sens!F19653</f>
        <v>147.510392807205</v>
      </c>
      <c r="G19677" s="6" t="n">
        <f aca="false">Sens!G19653</f>
        <v>201.738693096076</v>
      </c>
      <c r="H19677" s="6" t="n">
        <f aca="false">Sens!H19653</f>
        <v>257.350270498207</v>
      </c>
      <c r="I19677" s="6" t="n">
        <f aca="false">Sens!I19653</f>
        <v>307.885164225433</v>
      </c>
      <c r="J19677" s="6" t="n">
        <f aca="false">Sens!J19653</f>
        <v>346.779607186999</v>
      </c>
      <c r="K19677" s="6" t="n">
        <f aca="false">Sens!K19653</f>
        <v>374.610479935364</v>
      </c>
    </row>
    <row r="19678" customFormat="false" ht="17.15" hidden="false" customHeight="false" outlineLevel="0" collapsed="false">
      <c r="A19678" s="0" t="s">
        <v>1021</v>
      </c>
      <c r="B19678" s="0" t="s">
        <v>98</v>
      </c>
      <c r="D19678" s="6" t="n">
        <f aca="false">Sens!D19650</f>
        <v>12.9359794422418</v>
      </c>
      <c r="E19678" s="6" t="n">
        <f aca="false">Sens!E19650</f>
        <v>27.8095064661409</v>
      </c>
      <c r="F19678" s="6" t="n">
        <f aca="false">Sens!F19650</f>
        <v>56.438649603721</v>
      </c>
      <c r="G19678" s="6" t="n">
        <f aca="false">Sens!G19650</f>
        <v>93.5318692245278</v>
      </c>
      <c r="H19678" s="6" t="n">
        <f aca="false">Sens!H19650</f>
        <v>131.710035147008</v>
      </c>
      <c r="I19678" s="6" t="n">
        <f aca="false">Sens!I19650</f>
        <v>165.3997610979</v>
      </c>
      <c r="J19678" s="6" t="n">
        <f aca="false">Sens!J19650</f>
        <v>189.042949247289</v>
      </c>
      <c r="K19678" s="6" t="n">
        <f aca="false">Sens!K19650</f>
        <v>204.254889360477</v>
      </c>
    </row>
    <row r="19679" customFormat="false" ht="17.15" hidden="false" customHeight="false" outlineLevel="0" collapsed="false">
      <c r="A19679" s="0" t="s">
        <v>1052</v>
      </c>
      <c r="B19679" s="0" t="s">
        <v>98</v>
      </c>
      <c r="D19679" s="6" t="n">
        <f aca="false">Sens!D19651</f>
        <v>59.6740205577583</v>
      </c>
      <c r="E19679" s="6" t="n">
        <f aca="false">Sens!E19651</f>
        <v>74.1284935338591</v>
      </c>
      <c r="F19679" s="6" t="n">
        <f aca="false">Sens!F19651</f>
        <v>91.071743203484</v>
      </c>
      <c r="G19679" s="6" t="n">
        <f aca="false">Sens!G19651</f>
        <v>108.206823871548</v>
      </c>
      <c r="H19679" s="6" t="n">
        <f aca="false">Sens!H19651</f>
        <v>125.640235351199</v>
      </c>
      <c r="I19679" s="6" t="n">
        <f aca="false">Sens!I19651</f>
        <v>142.485403127533</v>
      </c>
      <c r="J19679" s="6" t="n">
        <f aca="false">Sens!J19651</f>
        <v>157.73665793971</v>
      </c>
      <c r="K19679" s="6" t="n">
        <f aca="false">Sens!K19651</f>
        <v>170.355590574887</v>
      </c>
    </row>
    <row r="19680" customFormat="false" ht="15" hidden="false" customHeight="false" outlineLevel="0" collapsed="false">
      <c r="A19680" s="0" t="s">
        <v>1032</v>
      </c>
      <c r="B19680" s="0" t="s">
        <v>98</v>
      </c>
      <c r="D19680" s="6" t="n">
        <f aca="false">Sens!D19658</f>
        <v>84.605</v>
      </c>
      <c r="E19680" s="6" t="n">
        <f aca="false">Sens!E19658</f>
        <v>100.299</v>
      </c>
      <c r="F19680" s="6" t="n">
        <f aca="false">Sens!F19658</f>
        <v>118.584003697747</v>
      </c>
      <c r="G19680" s="6" t="n">
        <f aca="false">Sens!G19658</f>
        <v>136.700726545688</v>
      </c>
      <c r="H19680" s="6" t="n">
        <f aca="false">Sens!H19658</f>
        <v>154.898624783666</v>
      </c>
      <c r="I19680" s="6" t="n">
        <f aca="false">Sens!I19658</f>
        <v>171.420510030657</v>
      </c>
      <c r="J19680" s="6" t="n">
        <f aca="false">Sens!J19658</f>
        <v>185.985722618572</v>
      </c>
      <c r="K19680" s="6" t="n">
        <f aca="false">Sens!K19658</f>
        <v>199.799723201872</v>
      </c>
    </row>
    <row r="19681" customFormat="false" ht="17.15" hidden="false" customHeight="false" outlineLevel="0" collapsed="false">
      <c r="A19681" s="0" t="s">
        <v>1053</v>
      </c>
      <c r="B19681" s="0" t="s">
        <v>98</v>
      </c>
      <c r="D19681" s="6" t="n">
        <f aca="false">Sens!D19656</f>
        <v>83.705</v>
      </c>
      <c r="E19681" s="6" t="n">
        <f aca="false">Sens!E19656</f>
        <v>95.049</v>
      </c>
      <c r="F19681" s="6" t="n">
        <f aca="false">Sens!F19656</f>
        <v>106.584003697747</v>
      </c>
      <c r="G19681" s="6" t="n">
        <f aca="false">Sens!G19656</f>
        <v>118.700726545688</v>
      </c>
      <c r="H19681" s="6" t="n">
        <f aca="false">Sens!H19656</f>
        <v>130.898624783666</v>
      </c>
      <c r="I19681" s="6" t="n">
        <f aca="false">Sens!I19656</f>
        <v>142.920510030657</v>
      </c>
      <c r="J19681" s="6" t="n">
        <f aca="false">Sens!J19656</f>
        <v>154.485722618572</v>
      </c>
      <c r="K19681" s="6" t="n">
        <f aca="false">Sens!K19656</f>
        <v>165.299723201872</v>
      </c>
    </row>
    <row r="19682" customFormat="false" ht="17.15" hidden="false" customHeight="false" outlineLevel="0" collapsed="false">
      <c r="A19682" s="0" t="s">
        <v>1054</v>
      </c>
      <c r="B19682" s="0" t="s">
        <v>98</v>
      </c>
      <c r="D19682" s="6" t="n">
        <f aca="false">Sens!D19655</f>
        <v>0.9</v>
      </c>
      <c r="E19682" s="6" t="n">
        <f aca="false">Sens!E19655</f>
        <v>5.25</v>
      </c>
      <c r="F19682" s="6" t="n">
        <f aca="false">Sens!F19655</f>
        <v>12</v>
      </c>
      <c r="G19682" s="6" t="n">
        <f aca="false">Sens!G19655</f>
        <v>18</v>
      </c>
      <c r="H19682" s="6" t="n">
        <f aca="false">Sens!H19655</f>
        <v>24</v>
      </c>
      <c r="I19682" s="6" t="n">
        <f aca="false">Sens!I19655</f>
        <v>28.5</v>
      </c>
      <c r="J19682" s="6" t="n">
        <f aca="false">Sens!J19655</f>
        <v>31.5</v>
      </c>
      <c r="K19682" s="6" t="n">
        <f aca="false">Sens!K19655</f>
        <v>34.5</v>
      </c>
    </row>
    <row r="19683" customFormat="false" ht="15" hidden="false" customHeight="false" outlineLevel="0" collapsed="false">
      <c r="A19683" s="0" t="s">
        <v>1033</v>
      </c>
      <c r="B19683" s="0" t="s">
        <v>98</v>
      </c>
      <c r="D19683" s="6" t="n">
        <f aca="false">Sens!D19659</f>
        <v>35.391</v>
      </c>
      <c r="E19683" s="6" t="n">
        <f aca="false">Sens!E19659</f>
        <v>37.285</v>
      </c>
      <c r="F19683" s="6" t="n">
        <f aca="false">Sens!F19659</f>
        <v>38.3851437782675</v>
      </c>
      <c r="G19683" s="6" t="n">
        <f aca="false">Sens!G19659</f>
        <v>40.0105353288615</v>
      </c>
      <c r="H19683" s="6" t="n">
        <f aca="false">Sens!H19659</f>
        <v>41.4812512033683</v>
      </c>
      <c r="I19683" s="6" t="n">
        <f aca="false">Sens!I19659</f>
        <v>42.7743107216329</v>
      </c>
      <c r="J19683" s="6" t="n">
        <f aca="false">Sens!J19659</f>
        <v>43.8687373064601</v>
      </c>
      <c r="K19683" s="6" t="n">
        <f aca="false">Sens!K19659</f>
        <v>44.7461120525893</v>
      </c>
    </row>
    <row r="19684" customFormat="false" ht="15" hidden="false" customHeight="false" outlineLevel="0" collapsed="false">
      <c r="A19684" s="0" t="s">
        <v>1035</v>
      </c>
      <c r="B19684" s="0" t="s">
        <v>98</v>
      </c>
      <c r="D19684" s="6" t="n">
        <f aca="false">Sens!D19661</f>
        <v>18.417</v>
      </c>
      <c r="E19684" s="6" t="n">
        <f aca="false">Sens!E19661</f>
        <v>20.345</v>
      </c>
      <c r="F19684" s="6" t="n">
        <f aca="false">Sens!F19661</f>
        <v>22.3161797133988</v>
      </c>
      <c r="G19684" s="6" t="n">
        <f aca="false">Sens!G19661</f>
        <v>24.3943499673233</v>
      </c>
      <c r="H19684" s="6" t="n">
        <f aca="false">Sens!H19661</f>
        <v>26.5250243109019</v>
      </c>
      <c r="I19684" s="6" t="n">
        <f aca="false">Sens!I19661</f>
        <v>28.6884573538181</v>
      </c>
      <c r="J19684" s="6" t="n">
        <f aca="false">Sens!J19661</f>
        <v>30.8624968052127</v>
      </c>
      <c r="K19684" s="6" t="n">
        <f aca="false">Sens!K19661</f>
        <v>33.0228715815776</v>
      </c>
    </row>
    <row r="19685" customFormat="false" ht="15" hidden="false" customHeight="false" outlineLevel="0" collapsed="false">
      <c r="A19685" s="0" t="s">
        <v>1036</v>
      </c>
      <c r="B19685" s="0" t="s">
        <v>98</v>
      </c>
      <c r="D19685" s="6" t="n">
        <f aca="false">Sens!D19663</f>
        <v>7.76</v>
      </c>
      <c r="E19685" s="6" t="n">
        <f aca="false">Sens!E19663</f>
        <v>8.26</v>
      </c>
      <c r="F19685" s="6" t="n">
        <f aca="false">Sens!F19663</f>
        <v>8.75372082474227</v>
      </c>
      <c r="G19685" s="6" t="n">
        <f aca="false">Sens!G19663</f>
        <v>9.33399324642364</v>
      </c>
      <c r="H19685" s="6" t="n">
        <f aca="false">Sens!H19663</f>
        <v>9.96139155535851</v>
      </c>
      <c r="I19685" s="6" t="n">
        <f aca="false">Sens!I19663</f>
        <v>10.6402039077391</v>
      </c>
      <c r="J19685" s="6" t="n">
        <f aca="false">Sens!J19663</f>
        <v>11.3751458271397</v>
      </c>
      <c r="K19685" s="6" t="n">
        <f aca="false">Sens!K19663</f>
        <v>12.1714060350394</v>
      </c>
    </row>
    <row r="19686" customFormat="false" ht="15" hidden="false" customHeight="false" outlineLevel="0" collapsed="false">
      <c r="A19686" s="0" t="s">
        <v>852</v>
      </c>
      <c r="B19686" s="0" t="s">
        <v>98</v>
      </c>
      <c r="D19686" s="6" t="n">
        <f aca="false">Sens!D19665</f>
        <v>218.783</v>
      </c>
      <c r="E19686" s="6" t="n">
        <f aca="false">Sens!E19665</f>
        <v>268.127</v>
      </c>
      <c r="F19686" s="6" t="n">
        <f aca="false">Sens!F19665</f>
        <v>335.54944082136</v>
      </c>
      <c r="G19686" s="6" t="n">
        <f aca="false">Sens!G19665</f>
        <v>412.178298184373</v>
      </c>
      <c r="H19686" s="6" t="n">
        <f aca="false">Sens!H19665</f>
        <v>490.216562351501</v>
      </c>
      <c r="I19686" s="6" t="n">
        <f aca="false">Sens!I19665</f>
        <v>561.40864623928</v>
      </c>
      <c r="J19686" s="6" t="n">
        <f aca="false">Sens!J19665</f>
        <v>618.871709744383</v>
      </c>
      <c r="K19686" s="6" t="n">
        <f aca="false">Sens!K19665</f>
        <v>664.350592806442</v>
      </c>
    </row>
    <row r="19687" customFormat="false" ht="15" hidden="false" customHeight="false" outlineLevel="0" collapsed="false">
      <c r="A19687" s="0" t="s">
        <v>1037</v>
      </c>
      <c r="B19687" s="0" t="s">
        <v>98</v>
      </c>
      <c r="D19687" s="6" t="n">
        <f aca="false">Sens!D19666</f>
        <v>22.171</v>
      </c>
      <c r="E19687" s="6" t="n">
        <f aca="false">Sens!E19666</f>
        <v>24.835</v>
      </c>
      <c r="F19687" s="6" t="n">
        <f aca="false">Sens!F19666</f>
        <v>27.5591895660247</v>
      </c>
      <c r="G19687" s="6" t="n">
        <f aca="false">Sens!G19666</f>
        <v>30.4098563144583</v>
      </c>
      <c r="H19687" s="6" t="n">
        <f aca="false">Sens!H19666</f>
        <v>33.3011792571777</v>
      </c>
      <c r="I19687" s="6" t="n">
        <f aca="false">Sens!I19666</f>
        <v>36.189023797112</v>
      </c>
      <c r="J19687" s="6" t="n">
        <f aca="false">Sens!J19666</f>
        <v>39.0247773769199</v>
      </c>
      <c r="K19687" s="6" t="n">
        <f aca="false">Sens!K19666</f>
        <v>41.7565117933043</v>
      </c>
    </row>
    <row r="19688" customFormat="false" ht="15" hidden="false" customHeight="false" outlineLevel="0" collapsed="false">
      <c r="A19688" s="0" t="s">
        <v>1038</v>
      </c>
      <c r="B19688" s="0" t="s">
        <v>98</v>
      </c>
      <c r="D19688" s="6" t="n">
        <f aca="false">Sens!D19668</f>
        <v>23.455</v>
      </c>
      <c r="E19688" s="6" t="n">
        <f aca="false">Sens!E19668</f>
        <v>21.79</v>
      </c>
      <c r="F19688" s="6" t="n">
        <f aca="false">Sens!F19668</f>
        <v>20.7520981041711</v>
      </c>
      <c r="G19688" s="6" t="n">
        <f aca="false">Sens!G19668</f>
        <v>19.9083593495882</v>
      </c>
      <c r="H19688" s="6" t="n">
        <f aca="false">Sens!H19668</f>
        <v>19.4008256265831</v>
      </c>
      <c r="I19688" s="6" t="n">
        <f aca="false">Sens!I19668</f>
        <v>19.200434522122</v>
      </c>
      <c r="J19688" s="6" t="n">
        <f aca="false">Sens!J19668</f>
        <v>19.2932782348507</v>
      </c>
      <c r="K19688" s="6" t="n">
        <f aca="false">Sens!K19668</f>
        <v>19.6791437995477</v>
      </c>
    </row>
    <row r="19689" customFormat="false" ht="15" hidden="false" customHeight="false" outlineLevel="0" collapsed="false">
      <c r="A19689" s="0" t="s">
        <v>1039</v>
      </c>
      <c r="B19689" s="0" t="s">
        <v>98</v>
      </c>
      <c r="D19689" s="6" t="n">
        <f aca="false">Sens!D19670</f>
        <v>17.315</v>
      </c>
      <c r="E19689" s="6" t="n">
        <f aca="false">Sens!E19670</f>
        <v>17.087</v>
      </c>
      <c r="F19689" s="6" t="n">
        <f aca="false">Sens!F19670</f>
        <v>15.9912273250553</v>
      </c>
      <c r="G19689" s="6" t="n">
        <f aca="false">Sens!G19670</f>
        <v>15.9574562664827</v>
      </c>
      <c r="H19689" s="6" t="n">
        <f aca="false">Sens!H19670</f>
        <v>16.0119687434196</v>
      </c>
      <c r="I19689" s="6" t="n">
        <f aca="false">Sens!I19670</f>
        <v>16.1551810001948</v>
      </c>
      <c r="J19689" s="6" t="n">
        <f aca="false">Sens!J19670</f>
        <v>16.3889793892005</v>
      </c>
      <c r="K19689" s="6" t="n">
        <f aca="false">Sens!K19670</f>
        <v>16.7167589769845</v>
      </c>
    </row>
    <row r="19690" customFormat="false" ht="15" hidden="false" customHeight="false" outlineLevel="0" collapsed="false">
      <c r="A19690" s="0" t="s">
        <v>866</v>
      </c>
      <c r="B19690" s="0" t="s">
        <v>98</v>
      </c>
      <c r="D19690" s="6" t="n">
        <f aca="false">Sens!D19672</f>
        <v>62.941</v>
      </c>
      <c r="E19690" s="6" t="n">
        <f aca="false">Sens!E19672</f>
        <v>63.712</v>
      </c>
      <c r="F19690" s="6" t="n">
        <f aca="false">Sens!F19672</f>
        <v>64.3025149952511</v>
      </c>
      <c r="G19690" s="6" t="n">
        <f aca="false">Sens!G19672</f>
        <v>66.2756719305292</v>
      </c>
      <c r="H19690" s="6" t="n">
        <f aca="false">Sens!H19672</f>
        <v>68.7139736271804</v>
      </c>
      <c r="I19690" s="6" t="n">
        <f aca="false">Sens!I19672</f>
        <v>71.5446393194289</v>
      </c>
      <c r="J19690" s="6" t="n">
        <f aca="false">Sens!J19672</f>
        <v>74.707035000971</v>
      </c>
      <c r="K19690" s="6" t="n">
        <f aca="false">Sens!K19672</f>
        <v>78.1524145698365</v>
      </c>
    </row>
    <row r="19691" customFormat="false" ht="15" hidden="false" customHeight="false" outlineLevel="0" collapsed="false">
      <c r="A19691" s="1" t="s">
        <v>1055</v>
      </c>
      <c r="B19691" s="0" t="s">
        <v>98</v>
      </c>
      <c r="D19691" s="6" t="n">
        <f aca="false">Sens!D19673</f>
        <v>281.724</v>
      </c>
      <c r="E19691" s="6" t="n">
        <f aca="false">Sens!E19673</f>
        <v>331.839</v>
      </c>
      <c r="F19691" s="6" t="n">
        <f aca="false">Sens!F19673</f>
        <v>399.851955816612</v>
      </c>
      <c r="G19691" s="6" t="n">
        <f aca="false">Sens!G19673</f>
        <v>478.453970114902</v>
      </c>
      <c r="H19691" s="6" t="n">
        <f aca="false">Sens!H19673</f>
        <v>558.930535978681</v>
      </c>
      <c r="I19691" s="6" t="n">
        <f aca="false">Sens!I19673</f>
        <v>632.953285558709</v>
      </c>
      <c r="J19691" s="6" t="n">
        <f aca="false">Sens!J19673</f>
        <v>693.578744745354</v>
      </c>
      <c r="K19691" s="6" t="n">
        <f aca="false">Sens!K19673</f>
        <v>742.503007376279</v>
      </c>
    </row>
    <row r="19692" customFormat="false" ht="15" hidden="false" customHeight="false" outlineLevel="0" collapsed="false">
      <c r="A19692" s="1" t="s">
        <v>1056</v>
      </c>
      <c r="B19692" s="0" t="s">
        <v>168</v>
      </c>
      <c r="E19692" s="7" t="n">
        <f aca="false">Sens!E19691/Sens!D19691-1</f>
        <v>0.177886867998467</v>
      </c>
      <c r="F19692" s="7" t="n">
        <f aca="false">Sens!F19691/Sens!E19691-1</f>
        <v>0.204957692786597</v>
      </c>
      <c r="G19692" s="7" t="n">
        <f aca="false">Sens!G19691/Sens!F19691-1</f>
        <v>0.196577791242169</v>
      </c>
      <c r="H19692" s="7" t="n">
        <f aca="false">Sens!H19691/Sens!G19691-1</f>
        <v>0.168201270948703</v>
      </c>
      <c r="I19692" s="7" t="n">
        <f aca="false">Sens!I19691/Sens!H19691-1</f>
        <v>0.132436402764101</v>
      </c>
      <c r="J19692" s="7" t="n">
        <f aca="false">Sens!J19691/Sens!I19691-1</f>
        <v>0.0957818855986039</v>
      </c>
      <c r="K19692" s="7" t="n">
        <f aca="false">Sens!K19691/Sens!J19691-1</f>
        <v>0.0705388724807117</v>
      </c>
    </row>
    <row r="19693" customFormat="false" ht="17.15" hidden="false" customHeight="false" outlineLevel="0" collapsed="false">
      <c r="A19693" s="26" t="s">
        <v>1057</v>
      </c>
      <c r="B19693" s="31" t="s">
        <v>98</v>
      </c>
      <c r="C19693" s="31"/>
      <c r="D19693" s="27" t="n">
        <f aca="false">(Sens!D19686+Sens!D19690-Sens!D19691)+(Sens!D19678+Sens!D19679-Sens!D19677)+(Sens!D19681+Sens!D19682-Sens!D19680)+(Sens!D19691-Q!L18)</f>
        <v>0</v>
      </c>
      <c r="E19693" s="27" t="n">
        <f aca="false">(Sens!E19686+Sens!E19690-Sens!E19691)+(Sens!E19678+Sens!E19679-Sens!E19677)+(Sens!E19681+Sens!E19682-Sens!E19680)+(Sens!E19691-Q!M18)</f>
        <v>0</v>
      </c>
      <c r="F19693" s="27" t="n">
        <f aca="false">(Sens!F19686+Sens!F19690-Sens!F19691)+(Sens!F19678+Sens!F19679-Sens!F19677)+(Sens!F19681+Sens!F19682-Sens!F19680)</f>
        <v>0</v>
      </c>
      <c r="G19693" s="27" t="n">
        <f aca="false">(Sens!G19686+Sens!G19690-Sens!G19691)+(Sens!G19678+Sens!G19679-Sens!G19677)+(Sens!G19681+Sens!G19682-Sens!G19680)</f>
        <v>0</v>
      </c>
      <c r="H19693" s="27" t="n">
        <f aca="false">(Sens!H19686+Sens!H19690-Sens!H19691)+(Sens!H19678+Sens!H19679-Sens!H19677)+(Sens!H19681+Sens!H19682-Sens!H19680)</f>
        <v>0</v>
      </c>
      <c r="I19693" s="27" t="n">
        <f aca="false">(Sens!I19686+Sens!I19690-Sens!I19691)+(Sens!I19678+Sens!I19679-Sens!I19677)+(Sens!I19681+Sens!I19682-Sens!I19680)</f>
        <v>0</v>
      </c>
      <c r="J19693" s="27" t="n">
        <f aca="false">(Sens!J19686+Sens!J19690-Sens!J19691)+(Sens!J19678+Sens!J19679-Sens!J19677)+(Sens!J19681+Sens!J19682-Sens!J19680)</f>
        <v>0</v>
      </c>
      <c r="K19693" s="27" t="n">
        <f aca="false">(Sens!K19686+Sens!K19690-Sens!K19691)+(Sens!K19678+Sens!K19679-Sens!K19677)+(Sens!K19681+Sens!K19682-Sens!K19680)</f>
        <v>0</v>
      </c>
    </row>
    <row r="19694" customFormat="false" ht="17.15" hidden="false" customHeight="false" outlineLevel="0" collapsed="false">
      <c r="A19694" s="0" t="s">
        <v>1058</v>
      </c>
      <c r="B19694" s="0" t="s">
        <v>168</v>
      </c>
      <c r="E19694" s="7" t="n">
        <f aca="false">(Q!M21+Sens!E19630+Sens!E19631+Sens!E19632+Sens!E19646-Sens!E19628)/(Q!M5-Sens!E19628)</f>
        <v>0.570957350878296</v>
      </c>
      <c r="F19694" s="7" t="n">
        <f aca="false">Sens!$E$19694+dm_seg</f>
        <v>0.570957350878296</v>
      </c>
      <c r="G19694" s="7" t="n">
        <f aca="false">Sens!$E$19694+dm_seg</f>
        <v>0.570957350878296</v>
      </c>
      <c r="H19694" s="7" t="n">
        <f aca="false">Sens!$E$19694+dm_seg</f>
        <v>0.570957350878296</v>
      </c>
      <c r="I19694" s="7" t="n">
        <f aca="false">Sens!$E$19694+dm_seg</f>
        <v>0.570957350878296</v>
      </c>
      <c r="J19694" s="7" t="n">
        <f aca="false">Sens!$E$19694+dm_seg</f>
        <v>0.570957350878296</v>
      </c>
      <c r="K19694" s="7" t="n">
        <f aca="false">Sens!$E$19694+dm_seg</f>
        <v>0.570957350878296</v>
      </c>
      <c r="L19694" s="12" t="s">
        <v>1059</v>
      </c>
    </row>
    <row r="19695" customFormat="false" ht="17.15" hidden="false" customHeight="false" outlineLevel="0" collapsed="false">
      <c r="A19695" s="0" t="s">
        <v>880</v>
      </c>
      <c r="B19695" s="0" t="s">
        <v>98</v>
      </c>
      <c r="D19695" s="6" t="n">
        <f aca="false">Q!L21</f>
        <v>110.814</v>
      </c>
      <c r="E19695" s="6" t="n">
        <f aca="false">Q!M21</f>
        <v>136.365</v>
      </c>
      <c r="F19695" s="6" t="n">
        <f aca="false">Q!$I$21+(Sens!F19694*(Sens!F19665-Sens!F19628)+Sens!F19628-(Sens!F19630+Sens!F19631+Sens!F19632)-Sens!F19646-Sens!F19729)*(Sens!F19665-Q!$I$5)/Sens!F19665</f>
        <v>162.531652325258</v>
      </c>
      <c r="G19695" s="6" t="n">
        <f aca="false">(Sens!G19694*(Sens!G19665-Sens!G19628)+Sens!G19628-(Sens!G19630+Sens!G19631+Sens!G19632)-Sens!G19646-Sens!G19729)</f>
        <v>178.285537786713</v>
      </c>
      <c r="H19695" s="6" t="n">
        <f aca="false">(Sens!H19694*(Sens!H19665-Sens!H19628)+Sens!H19628-(Sens!H19630+Sens!H19631+Sens!H19632)-Sens!H19646-Sens!H19729)</f>
        <v>197.755355967555</v>
      </c>
      <c r="I19695" s="6" t="n">
        <f aca="false">(Sens!I19694*(Sens!I19665-Sens!I19628)+Sens!I19628-(Sens!I19630+Sens!I19631+Sens!I19632)-Sens!I19646-Sens!I19729)</f>
        <v>216.313340946942</v>
      </c>
      <c r="J19695" s="6" t="n">
        <f aca="false">(Sens!J19694*(Sens!J19665-Sens!J19628)+Sens!J19628-(Sens!J19630+Sens!J19631+Sens!J19632)-Sens!J19646-Sens!J19729)</f>
        <v>233.564274845285</v>
      </c>
      <c r="K19695" s="6" t="n">
        <f aca="false">(Sens!K19694*(Sens!K19665-Sens!K19628)+Sens!K19628-(Sens!K19630+Sens!K19631+Sens!K19632)-Sens!K19646-Sens!K19729)</f>
        <v>250.329213834972</v>
      </c>
      <c r="L19695" s="1" t="s">
        <v>1060</v>
      </c>
    </row>
    <row r="19696" customFormat="false" ht="17.15" hidden="false" customHeight="false" outlineLevel="0" collapsed="false">
      <c r="A19696" s="0" t="s">
        <v>1061</v>
      </c>
      <c r="B19696" s="0" t="s">
        <v>168</v>
      </c>
      <c r="E19696" s="7" t="n">
        <f aca="false">Q!M22/Q!M12</f>
        <v>0.296207935710698</v>
      </c>
      <c r="F19696" s="7" t="n">
        <f aca="false">Sens!$E$19696+dm_seg</f>
        <v>0.296207935710698</v>
      </c>
      <c r="G19696" s="7" t="n">
        <f aca="false">Sens!$E$19696+dm_seg</f>
        <v>0.296207935710698</v>
      </c>
      <c r="H19696" s="7" t="n">
        <f aca="false">Sens!$E$19696+dm_seg</f>
        <v>0.296207935710698</v>
      </c>
      <c r="I19696" s="7" t="n">
        <f aca="false">Sens!$E$19696+dm_seg</f>
        <v>0.296207935710698</v>
      </c>
      <c r="J19696" s="7" t="n">
        <f aca="false">Sens!$E$19696+dm_seg</f>
        <v>0.296207935710698</v>
      </c>
      <c r="K19696" s="7" t="n">
        <f aca="false">Sens!$E$19696+dm_seg</f>
        <v>0.296207935710698</v>
      </c>
      <c r="L19696" s="12" t="s">
        <v>1062</v>
      </c>
    </row>
    <row r="19697" customFormat="false" ht="17.15" hidden="false" customHeight="false" outlineLevel="0" collapsed="false">
      <c r="A19697" s="0" t="s">
        <v>882</v>
      </c>
      <c r="B19697" s="0" t="s">
        <v>98</v>
      </c>
      <c r="D19697" s="6" t="n">
        <f aca="false">Q!L22</f>
        <v>17.714</v>
      </c>
      <c r="E19697" s="6" t="n">
        <f aca="false">Q!M22</f>
        <v>18.872</v>
      </c>
      <c r="F19697" s="6" t="n">
        <f aca="false">Q!$I$22+(Sens!F19672-Q!$I$12)*Sens!F19696</f>
        <v>19.8174315512051</v>
      </c>
      <c r="G19697" s="6" t="n">
        <f aca="false">Sens!G19672*Sens!G19696</f>
        <v>19.6313799703815</v>
      </c>
      <c r="H19697" s="6" t="n">
        <f aca="false">Sens!H19672*Sens!H19696</f>
        <v>20.3536242825865</v>
      </c>
      <c r="I19697" s="6" t="n">
        <f aca="false">Sens!I19672*Sens!I19696</f>
        <v>21.1920899239745</v>
      </c>
      <c r="J19697" s="6" t="n">
        <f aca="false">Sens!J19672*Sens!J19696</f>
        <v>22.1288166207045</v>
      </c>
      <c r="K19697" s="6" t="n">
        <f aca="false">Sens!K19672*Sens!K19696</f>
        <v>23.1493653905379</v>
      </c>
      <c r="L19697" s="12" t="s">
        <v>1063</v>
      </c>
    </row>
    <row r="19698" customFormat="false" ht="15" hidden="false" customHeight="false" outlineLevel="0" collapsed="false">
      <c r="A19698" s="1" t="s">
        <v>1064</v>
      </c>
      <c r="B19698" s="0" t="s">
        <v>98</v>
      </c>
      <c r="D19698" s="6" t="n">
        <f aca="false">Sens!D19695+Sens!D19697</f>
        <v>128.528</v>
      </c>
      <c r="E19698" s="6" t="n">
        <f aca="false">Sens!E19695+Sens!E19697</f>
        <v>155.237</v>
      </c>
      <c r="F19698" s="6" t="n">
        <f aca="false">Sens!F19695+Sens!F19697</f>
        <v>182.349083876463</v>
      </c>
      <c r="G19698" s="6" t="n">
        <f aca="false">Sens!G19695+Sens!G19697</f>
        <v>197.916917757095</v>
      </c>
      <c r="H19698" s="6" t="n">
        <f aca="false">Sens!H19695+Sens!H19697</f>
        <v>218.108980250142</v>
      </c>
      <c r="I19698" s="6" t="n">
        <f aca="false">Sens!I19695+Sens!I19697</f>
        <v>237.505430870916</v>
      </c>
      <c r="J19698" s="6" t="n">
        <f aca="false">Sens!J19695+Sens!J19697</f>
        <v>255.69309146599</v>
      </c>
      <c r="K19698" s="6" t="n">
        <f aca="false">Sens!K19695+Sens!K19697</f>
        <v>273.47857922551</v>
      </c>
    </row>
    <row r="19699" customFormat="false" ht="15" hidden="false" customHeight="false" outlineLevel="0" collapsed="false">
      <c r="A19699" s="26" t="s">
        <v>1065</v>
      </c>
      <c r="B19699" s="31" t="s">
        <v>98</v>
      </c>
      <c r="C19699" s="31"/>
      <c r="D19699" s="27" t="n">
        <f aca="false">Sens!D19698-Q!L23</f>
        <v>0</v>
      </c>
      <c r="E19699" s="27" t="n">
        <f aca="false">Sens!E19698-Q!M23</f>
        <v>0</v>
      </c>
      <c r="F19699" s="31"/>
      <c r="G19699" s="31"/>
      <c r="H19699" s="31"/>
      <c r="I19699" s="31"/>
      <c r="J19699" s="31"/>
      <c r="K19699" s="31"/>
    </row>
    <row r="19700" customFormat="false" ht="15" hidden="false" customHeight="false" outlineLevel="0" collapsed="false">
      <c r="A19700" s="1" t="s">
        <v>1066</v>
      </c>
      <c r="B19700" s="0" t="s">
        <v>168</v>
      </c>
      <c r="D19700" s="7" t="n">
        <f aca="false">Sens!D19698/Sens!D19691</f>
        <v>0.456219562408598</v>
      </c>
      <c r="E19700" s="7" t="n">
        <f aca="false">Sens!E19698/Sens!E19691</f>
        <v>0.467808184089272</v>
      </c>
      <c r="F19700" s="7" t="n">
        <f aca="false">Sens!F19698/Sens!F19691</f>
        <v>0.456041495418109</v>
      </c>
      <c r="G19700" s="7" t="n">
        <f aca="false">Sens!G19698/Sens!G19691</f>
        <v>0.413659265298947</v>
      </c>
      <c r="H19700" s="7" t="n">
        <f aca="false">Sens!H19698/Sens!H19691</f>
        <v>0.390225557936703</v>
      </c>
      <c r="I19700" s="7" t="n">
        <f aca="false">Sens!I19698/Sens!I19691</f>
        <v>0.375233743610746</v>
      </c>
      <c r="J19700" s="7" t="n">
        <f aca="false">Sens!J19698/Sens!J19691</f>
        <v>0.368657623093492</v>
      </c>
      <c r="K19700" s="7" t="n">
        <f aca="false">Sens!K19698/Sens!K19691</f>
        <v>0.368319827002289</v>
      </c>
    </row>
    <row r="19701" customFormat="false" ht="17.15" hidden="false" customHeight="false" outlineLevel="0" collapsed="false">
      <c r="A19701" s="1" t="s">
        <v>1067</v>
      </c>
      <c r="B19701" s="0" t="s">
        <v>98</v>
      </c>
      <c r="F19701" s="6" t="n">
        <f aca="false">Sens!F19716</f>
        <v>10.0295266941825</v>
      </c>
      <c r="G19701" s="6" t="n">
        <f aca="false">Sens!G19716</f>
        <v>26.1963386229004</v>
      </c>
      <c r="H19701" s="6" t="n">
        <f aca="false">Sens!H19716</f>
        <v>43.9569428505728</v>
      </c>
      <c r="I19701" s="6" t="n">
        <f aca="false">Sens!I19716</f>
        <v>60.1478535679401</v>
      </c>
      <c r="J19701" s="6" t="n">
        <f aca="false">Sens!J19716</f>
        <v>71.5597783190403</v>
      </c>
      <c r="K19701" s="6" t="n">
        <f aca="false">Sens!K19716</f>
        <v>78.0491527443889</v>
      </c>
      <c r="L19701" s="1" t="s">
        <v>1068</v>
      </c>
    </row>
    <row r="19702" customFormat="false" ht="17.15" hidden="false" customHeight="false" outlineLevel="0" collapsed="false">
      <c r="A19702" s="1" t="s">
        <v>1069</v>
      </c>
      <c r="B19702" s="0" t="s">
        <v>98</v>
      </c>
      <c r="D19702" s="6" t="n">
        <f aca="false">Sens!D19698</f>
        <v>128.528</v>
      </c>
      <c r="E19702" s="6" t="n">
        <f aca="false">Sens!E19698</f>
        <v>155.237</v>
      </c>
      <c r="F19702" s="6" t="n">
        <f aca="false">Sens!F19698+Sens!F19701</f>
        <v>192.378610570646</v>
      </c>
      <c r="G19702" s="6" t="n">
        <f aca="false">Sens!G19698+Sens!G19701</f>
        <v>224.113256379995</v>
      </c>
      <c r="H19702" s="6" t="n">
        <f aca="false">Sens!H19698+Sens!H19701</f>
        <v>262.065923100714</v>
      </c>
      <c r="I19702" s="6" t="n">
        <f aca="false">Sens!I19698+Sens!I19701</f>
        <v>297.653284438856</v>
      </c>
      <c r="J19702" s="6" t="n">
        <f aca="false">Sens!J19698+Sens!J19701</f>
        <v>327.25286978503</v>
      </c>
      <c r="K19702" s="6" t="n">
        <f aca="false">Sens!K19698+Sens!K19701</f>
        <v>351.527731969899</v>
      </c>
    </row>
    <row r="19703" customFormat="false" ht="17.15" hidden="false" customHeight="false" outlineLevel="0" collapsed="false">
      <c r="A19703" s="1" t="s">
        <v>1070</v>
      </c>
      <c r="B19703" s="0" t="s">
        <v>98</v>
      </c>
      <c r="E19703" s="6" t="n">
        <f aca="false">Sens!E19646</f>
        <v>16.3054059770833</v>
      </c>
      <c r="F19703" s="6" t="n">
        <f aca="false">Sens!F19646</f>
        <v>35.0499560737695</v>
      </c>
      <c r="G19703" s="6" t="n">
        <f aca="false">Sens!G19646</f>
        <v>62.1848803536636</v>
      </c>
      <c r="H19703" s="6" t="n">
        <f aca="false">Sens!H19646</f>
        <v>91.5686933838682</v>
      </c>
      <c r="I19703" s="6" t="n">
        <f aca="false">Sens!I19646</f>
        <v>117.660959172613</v>
      </c>
      <c r="J19703" s="6" t="n">
        <f aca="false">Sens!J19646</f>
        <v>136.255638179728</v>
      </c>
      <c r="K19703" s="6" t="n">
        <f aca="false">Sens!K19646</f>
        <v>147.966328197264</v>
      </c>
    </row>
    <row r="19704" customFormat="false" ht="17.15" hidden="false" customHeight="false" outlineLevel="0" collapsed="false">
      <c r="A19704" s="1" t="s">
        <v>1071</v>
      </c>
      <c r="B19704" s="0" t="s">
        <v>98</v>
      </c>
      <c r="E19704" s="6" t="n">
        <f aca="false">Sens!E19728</f>
        <v>22.2285940229167</v>
      </c>
      <c r="F19704" s="6" t="n">
        <f aca="false">Sens!F19728</f>
        <v>23.5758328047353</v>
      </c>
      <c r="G19704" s="6" t="n">
        <f aca="false">Sens!G19728</f>
        <v>25.3489323512399</v>
      </c>
      <c r="H19704" s="6" t="n">
        <f aca="false">Sens!H19728</f>
        <v>27.513872469882</v>
      </c>
      <c r="I19704" s="6" t="n">
        <f aca="false">Sens!I19728</f>
        <v>30.004169350446</v>
      </c>
      <c r="J19704" s="6" t="n">
        <f aca="false">Sens!J19728</f>
        <v>32.7365134800435</v>
      </c>
      <c r="K19704" s="6" t="n">
        <f aca="false">Sens!K19728</f>
        <v>35.6266745904199</v>
      </c>
    </row>
    <row r="19705" customFormat="false" ht="17.15" hidden="false" customHeight="false" outlineLevel="0" collapsed="false">
      <c r="A19705" s="1" t="s">
        <v>1072</v>
      </c>
      <c r="B19705" s="0" t="s">
        <v>98</v>
      </c>
      <c r="D19705" s="6" t="n">
        <f aca="false">Q!L27</f>
        <v>-4.901</v>
      </c>
      <c r="E19705" s="6" t="n">
        <f aca="false">Q!M27</f>
        <v>10.697</v>
      </c>
      <c r="F19705" s="6" t="n">
        <f aca="false">Q!$I$27+oie_f*(q_per_yr-1)/q_per_yr</f>
        <v>-0.862</v>
      </c>
      <c r="G19705" s="6" t="n">
        <f aca="false">oie_f</f>
        <v>-1.2</v>
      </c>
      <c r="H19705" s="6" t="n">
        <f aca="false">oie_f</f>
        <v>-1.2</v>
      </c>
      <c r="I19705" s="6" t="n">
        <f aca="false">oie_f</f>
        <v>-1.2</v>
      </c>
      <c r="J19705" s="6" t="n">
        <f aca="false">oie_f</f>
        <v>-1.2</v>
      </c>
      <c r="K19705" s="6" t="n">
        <f aca="false">oie_f</f>
        <v>-1.2</v>
      </c>
      <c r="L19705" s="12" t="s">
        <v>1073</v>
      </c>
    </row>
    <row r="19706" customFormat="false" ht="15" hidden="false" customHeight="false" outlineLevel="0" collapsed="false">
      <c r="A19706" s="1" t="s">
        <v>1074</v>
      </c>
      <c r="B19706" s="0" t="s">
        <v>98</v>
      </c>
      <c r="D19706" s="6" t="n">
        <f aca="false">Sens!D19698+Sens!D19705</f>
        <v>123.627</v>
      </c>
      <c r="E19706" s="6" t="n">
        <f aca="false">Sens!E19698+Sens!E19705</f>
        <v>165.934</v>
      </c>
      <c r="F19706" s="6" t="n">
        <f aca="false">Sens!F19698+Sens!F19705</f>
        <v>181.487083876463</v>
      </c>
      <c r="G19706" s="6" t="n">
        <f aca="false">Sens!G19698+Sens!G19705</f>
        <v>196.716917757095</v>
      </c>
      <c r="H19706" s="6" t="n">
        <f aca="false">Sens!H19698+Sens!H19705</f>
        <v>216.908980250142</v>
      </c>
      <c r="I19706" s="6" t="n">
        <f aca="false">Sens!I19698+Sens!I19705</f>
        <v>236.305430870916</v>
      </c>
      <c r="J19706" s="6" t="n">
        <f aca="false">Sens!J19698+Sens!J19705</f>
        <v>254.49309146599</v>
      </c>
      <c r="K19706" s="6" t="n">
        <f aca="false">Sens!K19698+Sens!K19705</f>
        <v>272.27857922551</v>
      </c>
    </row>
    <row r="19707" customFormat="false" ht="15" hidden="false" customHeight="false" outlineLevel="0" collapsed="false">
      <c r="A19707" s="1" t="s">
        <v>1075</v>
      </c>
      <c r="B19707" s="0" t="s">
        <v>98</v>
      </c>
      <c r="D19707" s="6" t="n">
        <f aca="false">Q!L29</f>
        <v>21.795</v>
      </c>
      <c r="E19707" s="6" t="n">
        <f aca="false">Q!M29</f>
        <v>32.185</v>
      </c>
      <c r="F19707" s="6" t="n">
        <f aca="false">Q!$I$29+(Sens!F19706-Q!$I$28)*tax_f</f>
        <v>36.4308167752926</v>
      </c>
      <c r="G19707" s="6" t="n">
        <f aca="false">Sens!G19706*tax_f</f>
        <v>39.343383551419</v>
      </c>
      <c r="H19707" s="6" t="n">
        <f aca="false">Sens!H19706*tax_f</f>
        <v>43.3817960500283</v>
      </c>
      <c r="I19707" s="6" t="n">
        <f aca="false">Sens!I19706*tax_f</f>
        <v>47.2610861741832</v>
      </c>
      <c r="J19707" s="6" t="n">
        <f aca="false">Sens!J19706*tax_f</f>
        <v>50.898618293198</v>
      </c>
      <c r="K19707" s="6" t="n">
        <f aca="false">Sens!K19706*tax_f</f>
        <v>54.4557158451021</v>
      </c>
    </row>
    <row r="19708" customFormat="false" ht="15" hidden="false" customHeight="false" outlineLevel="0" collapsed="false">
      <c r="A19708" s="1" t="s">
        <v>1076</v>
      </c>
      <c r="B19708" s="0" t="s">
        <v>98</v>
      </c>
      <c r="D19708" s="6" t="n">
        <f aca="false">Sens!D19706-Sens!D19707</f>
        <v>101.832</v>
      </c>
      <c r="E19708" s="6" t="n">
        <f aca="false">Sens!E19706-Sens!E19707</f>
        <v>133.749</v>
      </c>
      <c r="F19708" s="6" t="n">
        <f aca="false">Sens!F19706-Sens!F19707</f>
        <v>145.05626710117</v>
      </c>
      <c r="G19708" s="6" t="n">
        <f aca="false">Sens!G19706-Sens!G19707</f>
        <v>157.373534205676</v>
      </c>
      <c r="H19708" s="6" t="n">
        <f aca="false">Sens!H19706-Sens!H19707</f>
        <v>173.527184200113</v>
      </c>
      <c r="I19708" s="6" t="n">
        <f aca="false">Sens!I19706-Sens!I19707</f>
        <v>189.044344696733</v>
      </c>
      <c r="J19708" s="6" t="n">
        <f aca="false">Sens!J19706-Sens!J19707</f>
        <v>203.594473172792</v>
      </c>
      <c r="K19708" s="6" t="n">
        <f aca="false">Sens!K19706-Sens!K19707</f>
        <v>217.822863380408</v>
      </c>
    </row>
    <row r="19709" customFormat="false" ht="17.15" hidden="false" customHeight="false" outlineLevel="0" collapsed="false">
      <c r="A19709" s="1" t="s">
        <v>1077</v>
      </c>
      <c r="B19709" s="1" t="s">
        <v>81</v>
      </c>
      <c r="D19709" s="15" t="n">
        <f aca="false">Q!L31</f>
        <v>7.465</v>
      </c>
      <c r="E19709" s="15" t="n">
        <f aca="false">Q!M31</f>
        <v>7.453</v>
      </c>
      <c r="F19709" s="15" t="n">
        <f aca="false">Sens!F19753</f>
        <v>7.4735</v>
      </c>
      <c r="G19709" s="15" t="n">
        <f aca="false">Sens!G19753</f>
        <v>7.5185</v>
      </c>
      <c r="H19709" s="15" t="n">
        <f aca="false">Sens!H19753</f>
        <v>7.5461999390288</v>
      </c>
      <c r="I19709" s="15" t="n">
        <f aca="false">Sens!I19753</f>
        <v>7.55788130308427</v>
      </c>
      <c r="J19709" s="15" t="n">
        <f aca="false">Sens!J19753</f>
        <v>7.57203071424674</v>
      </c>
      <c r="K19709" s="15" t="n">
        <f aca="false">Sens!K19753</f>
        <v>7.58846535421199</v>
      </c>
    </row>
    <row r="19710" customFormat="false" ht="17.15" hidden="false" customHeight="false" outlineLevel="0" collapsed="false">
      <c r="A19710" s="0" t="s">
        <v>1078</v>
      </c>
      <c r="B19710" s="0" t="s">
        <v>75</v>
      </c>
      <c r="D19710" s="8" t="n">
        <f aca="false">Sens!D19708/Sens!D19709</f>
        <v>13.641259209645</v>
      </c>
      <c r="E19710" s="8" t="n">
        <f aca="false">Sens!E19708/Sens!E19709</f>
        <v>17.9456594659869</v>
      </c>
      <c r="F19710" s="8" t="n">
        <f aca="false">Sens!F19708/Sens!F19709</f>
        <v>19.4094155484272</v>
      </c>
      <c r="G19710" s="8" t="n">
        <f aca="false">Sens!G19708/Sens!G19709</f>
        <v>20.9315068438752</v>
      </c>
      <c r="H19710" s="8" t="n">
        <f aca="false">Sens!H19708/Sens!H19709</f>
        <v>22.9953069892349</v>
      </c>
      <c r="I19710" s="8" t="n">
        <f aca="false">Sens!I19708/Sens!I19709</f>
        <v>25.0128755818891</v>
      </c>
      <c r="J19710" s="8" t="n">
        <f aca="false">Sens!J19708/Sens!J19709</f>
        <v>26.8876977466203</v>
      </c>
      <c r="K19710" s="8" t="n">
        <f aca="false">Sens!K19708/Sens!K19709</f>
        <v>28.7044683230326</v>
      </c>
      <c r="L19710" s="1" t="s">
        <v>1079</v>
      </c>
    </row>
    <row r="19711" customFormat="false" ht="17.15" hidden="false" customHeight="false" outlineLevel="0" collapsed="false">
      <c r="A19711" s="1" t="s">
        <v>1080</v>
      </c>
      <c r="B19711" s="0" t="s">
        <v>98</v>
      </c>
      <c r="D19711" s="6" t="n">
        <f aca="false">Sens!D19708</f>
        <v>101.832</v>
      </c>
      <c r="E19711" s="6" t="n">
        <f aca="false">Sens!E19708</f>
        <v>133.749</v>
      </c>
      <c r="F19711" s="6" t="n">
        <f aca="false">Sens!F19708+Sens!F19701*(1-tax_f)</f>
        <v>153.079888456516</v>
      </c>
      <c r="G19711" s="6" t="n">
        <f aca="false">Sens!G19708+Sens!G19701*(1-tax_f)</f>
        <v>178.330605103996</v>
      </c>
      <c r="H19711" s="6" t="n">
        <f aca="false">Sens!H19708+Sens!H19701*(1-tax_f)</f>
        <v>208.692738480572</v>
      </c>
      <c r="I19711" s="6" t="n">
        <f aca="false">Sens!I19708+Sens!I19701*(1-tax_f)</f>
        <v>237.162627551085</v>
      </c>
      <c r="J19711" s="6" t="n">
        <f aca="false">Sens!J19708+Sens!J19701*(1-tax_f)</f>
        <v>260.842295828024</v>
      </c>
      <c r="K19711" s="6" t="n">
        <f aca="false">Sens!K19708+Sens!K19701*(1-tax_f)</f>
        <v>280.262185575919</v>
      </c>
    </row>
    <row r="19712" customFormat="false" ht="17.15" hidden="false" customHeight="false" outlineLevel="0" collapsed="false">
      <c r="A19712" s="0" t="s">
        <v>1081</v>
      </c>
      <c r="B19712" s="0" t="s">
        <v>75</v>
      </c>
      <c r="D19712" s="8" t="n">
        <f aca="false">Sens!D19711/Sens!D19709</f>
        <v>13.641259209645</v>
      </c>
      <c r="E19712" s="8" t="n">
        <f aca="false">Sens!E19711/Sens!E19709</f>
        <v>17.9456594659869</v>
      </c>
      <c r="F19712" s="8" t="n">
        <f aca="false">Sens!F19711/Sens!F19709</f>
        <v>20.4830251497312</v>
      </c>
      <c r="G19712" s="8" t="n">
        <f aca="false">Sens!G19711/Sens!G19709</f>
        <v>23.7189073756728</v>
      </c>
      <c r="H19712" s="8" t="n">
        <f aca="false">Sens!H19711/Sens!H19709</f>
        <v>27.6553417835137</v>
      </c>
      <c r="I19712" s="8" t="n">
        <f aca="false">Sens!I19711/Sens!I19709</f>
        <v>31.3795120669998</v>
      </c>
      <c r="J19712" s="8" t="n">
        <f aca="false">Sens!J19711/Sens!J19709</f>
        <v>34.4481296592274</v>
      </c>
      <c r="K19712" s="8" t="n">
        <f aca="false">Sens!K19711/Sens!K19709</f>
        <v>36.9326566695543</v>
      </c>
      <c r="L19712" s="1" t="s">
        <v>1082</v>
      </c>
    </row>
    <row r="19713" customFormat="false" ht="17.15" hidden="false" customHeight="false" outlineLevel="0" collapsed="false">
      <c r="A19713" s="0" t="s">
        <v>1083</v>
      </c>
      <c r="B19713" s="0" t="s">
        <v>168</v>
      </c>
      <c r="E19713" s="7" t="n">
        <f aca="false">Sens!E19712/Sens!D19712-1</f>
        <v>0.315542736208578</v>
      </c>
      <c r="F19713" s="7" t="n">
        <f aca="false">Sens!F19712/Sens!E19712-1</f>
        <v>0.141391609963042</v>
      </c>
      <c r="G19713" s="7" t="n">
        <f aca="false">Sens!G19712/Sens!F19712-1</f>
        <v>0.157978726398432</v>
      </c>
      <c r="H19713" s="7" t="n">
        <f aca="false">Sens!H19712/Sens!G19712-1</f>
        <v>0.165961877817282</v>
      </c>
      <c r="I19713" s="7" t="n">
        <f aca="false">Sens!I19712/Sens!H19712-1</f>
        <v>0.13466368677122</v>
      </c>
      <c r="J19713" s="7" t="n">
        <f aca="false">Sens!J19712/Sens!I19712-1</f>
        <v>0.0977904814350099</v>
      </c>
      <c r="K19713" s="7" t="n">
        <f aca="false">Sens!K19712/Sens!J19712-1</f>
        <v>0.0721237128083496</v>
      </c>
    </row>
    <row r="19714" customFormat="false" ht="17.15" hidden="false" customHeight="false" outlineLevel="0" collapsed="false">
      <c r="A19714" s="0" t="s">
        <v>1003</v>
      </c>
      <c r="B19714" s="0" t="s">
        <v>98</v>
      </c>
      <c r="E19714" s="6" t="n">
        <f aca="false">Sens!E19655</f>
        <v>5.25</v>
      </c>
      <c r="F19714" s="6" t="n">
        <f aca="false">Sens!F19655</f>
        <v>12</v>
      </c>
      <c r="G19714" s="6" t="n">
        <f aca="false">Sens!G19655</f>
        <v>18</v>
      </c>
      <c r="H19714" s="6" t="n">
        <f aca="false">Sens!H19655</f>
        <v>24</v>
      </c>
      <c r="I19714" s="6" t="n">
        <f aca="false">Sens!I19655</f>
        <v>28.5</v>
      </c>
      <c r="J19714" s="6" t="n">
        <f aca="false">Sens!J19655</f>
        <v>31.5</v>
      </c>
      <c r="K19714" s="6" t="n">
        <f aca="false">Sens!K19655</f>
        <v>34.5</v>
      </c>
    </row>
    <row r="19715" customFormat="false" ht="17.15" hidden="false" customHeight="false" outlineLevel="0" collapsed="false">
      <c r="A19715" s="1" t="s">
        <v>1004</v>
      </c>
      <c r="B19715" s="0" t="s">
        <v>98</v>
      </c>
      <c r="F19715" s="6" t="n">
        <f aca="false">MAX(0,((Sens!E19615+Sens!F19615)/2-(shadow_base*(Sens!$D$19615+Sens!$E$19615)/2+(1-shadow_base)*Sens!$E$19615))*Sens!F19624/1000-(Sens!F19714-Sens!$E$19714)*Sens!F19694)</f>
        <v>10.0295266941825</v>
      </c>
      <c r="G19715" s="6" t="n">
        <f aca="false">MAX(0,((Sens!F19615+Sens!G19615)/2-(shadow_base*(Sens!$D$19615+Sens!$E$19615)/2+(1-shadow_base)*Sens!$E$19615))*Sens!G19624/1000-(Sens!G19714-Sens!$E$19714)*Sens!G19694)</f>
        <v>26.1963386229004</v>
      </c>
      <c r="H19715" s="6" t="n">
        <f aca="false">MAX(0,((Sens!G19615+Sens!H19615)/2-(shadow_base*(Sens!$D$19615+Sens!$E$19615)/2+(1-shadow_base)*Sens!$E$19615))*Sens!H19624/1000-(Sens!H19714-Sens!$E$19714)*Sens!H19694)</f>
        <v>43.9569428505728</v>
      </c>
      <c r="I19715" s="6" t="n">
        <f aca="false">MAX(0,((Sens!H19615+Sens!I19615)/2-(shadow_base*(Sens!$D$19615+Sens!$E$19615)/2+(1-shadow_base)*Sens!$E$19615))*Sens!I19624/1000-(Sens!I19714-Sens!$E$19714)*Sens!I19694)</f>
        <v>60.1478535679401</v>
      </c>
      <c r="J19715" s="6" t="n">
        <f aca="false">MAX(0,((Sens!I19615+Sens!J19615)/2-(shadow_base*(Sens!$D$19615+Sens!$E$19615)/2+(1-shadow_base)*Sens!$E$19615))*Sens!J19624/1000-(Sens!J19714-Sens!$E$19714)*Sens!J19694)</f>
        <v>71.5597783190403</v>
      </c>
      <c r="K19715" s="6" t="n">
        <f aca="false">MAX(0,((Sens!J19615+Sens!K19615)/2-(shadow_base*(Sens!$D$19615+Sens!$E$19615)/2+(1-shadow_base)*Sens!$E$19615))*Sens!K19624/1000-(Sens!K19714-Sens!$E$19714)*Sens!K19694)</f>
        <v>78.0491527443889</v>
      </c>
      <c r="L19715" s="1" t="s">
        <v>1005</v>
      </c>
    </row>
    <row r="19716" customFormat="false" ht="17.15" hidden="false" customHeight="false" outlineLevel="0" collapsed="false">
      <c r="A19716" s="1" t="s">
        <v>1006</v>
      </c>
      <c r="B19716" s="0" t="s">
        <v>98</v>
      </c>
      <c r="F19716" s="6" t="n">
        <f aca="false">IF(internal_ai_reading=2,1,0)*Sens!F19715</f>
        <v>10.0295266941825</v>
      </c>
      <c r="G19716" s="6" t="n">
        <f aca="false">IF(internal_ai_reading=2,1,0)*Sens!G19715</f>
        <v>26.1963386229004</v>
      </c>
      <c r="H19716" s="6" t="n">
        <f aca="false">IF(internal_ai_reading=2,1,0)*Sens!H19715</f>
        <v>43.9569428505728</v>
      </c>
      <c r="I19716" s="6" t="n">
        <f aca="false">IF(internal_ai_reading=2,1,0)*Sens!I19715</f>
        <v>60.1478535679401</v>
      </c>
      <c r="J19716" s="6" t="n">
        <f aca="false">IF(internal_ai_reading=2,1,0)*Sens!J19715</f>
        <v>71.5597783190403</v>
      </c>
      <c r="K19716" s="6" t="n">
        <f aca="false">IF(internal_ai_reading=2,1,0)*Sens!K19715</f>
        <v>78.0491527443889</v>
      </c>
    </row>
    <row r="19717" customFormat="false" ht="17.15" hidden="false" customHeight="false" outlineLevel="0" collapsed="false">
      <c r="A19717" s="0" t="s">
        <v>1007</v>
      </c>
      <c r="B19717" s="0" t="s">
        <v>98</v>
      </c>
      <c r="F19717" s="6" t="n">
        <f aca="false">Sens!F19634+Sens!F19714*Sens!F19694+Sens!F19716-Sens!F19635-Sens!F19646</f>
        <v>15.694525203801</v>
      </c>
      <c r="G19717" s="6" t="n">
        <f aca="false">Sens!G19634+Sens!G19714*Sens!G19694+Sens!G19716-Sens!G19635-Sens!G19646</f>
        <v>32.8255877796807</v>
      </c>
      <c r="H19717" s="6" t="n">
        <f aca="false">Sens!H19634+Sens!H19714*Sens!H19694+Sens!H19716-Sens!H19635-Sens!H19646</f>
        <v>50.7233381939518</v>
      </c>
      <c r="I19717" s="6" t="n">
        <f aca="false">Sens!I19634+Sens!I19714*Sens!I19694+Sens!I19716-Sens!I19635-Sens!I19646</f>
        <v>66.6292950303236</v>
      </c>
      <c r="J19717" s="6" t="n">
        <f aca="false">Sens!J19634+Sens!J19714*Sens!J19694+Sens!J19716-Sens!J19635-Sens!J19646</f>
        <v>77.6953192922693</v>
      </c>
      <c r="K19717" s="6" t="n">
        <f aca="false">Sens!K19634+Sens!K19714*Sens!K19694+Sens!K19716-Sens!K19635-Sens!K19646</f>
        <v>85.3813711946682</v>
      </c>
    </row>
    <row r="19718" customFormat="false" ht="17.15" hidden="false" customHeight="false" outlineLevel="0" collapsed="false">
      <c r="A19718" s="0" t="s">
        <v>1008</v>
      </c>
      <c r="B19718" s="0" t="s">
        <v>98</v>
      </c>
      <c r="E19718" s="6" t="n">
        <f aca="false">Sens!E19614*(cxit_open+self_build*tk_cxfac)/1000*ai_net_open</f>
        <v>126.6980382</v>
      </c>
      <c r="F19718" s="6" t="n">
        <f aca="false">Sens!E19718+Sens!F19643-Sens!F19646</f>
        <v>265.749685313364</v>
      </c>
      <c r="G19718" s="6" t="n">
        <f aca="false">Sens!F19718+Sens!G19643-Sens!G19646</f>
        <v>401.618558735096</v>
      </c>
      <c r="H19718" s="6" t="n">
        <f aca="false">Sens!G19718+Sens!H19643-Sens!H19646</f>
        <v>512.965147542088</v>
      </c>
      <c r="I19718" s="6" t="n">
        <f aca="false">Sens!H19718+Sens!I19643-Sens!I19646</f>
        <v>569.345904932441</v>
      </c>
      <c r="J19718" s="6" t="n">
        <f aca="false">Sens!I19718+Sens!J19643-Sens!J19646</f>
        <v>566.31350283211</v>
      </c>
      <c r="K19718" s="6" t="n">
        <f aca="false">Sens!J19718+Sens!K19643-Sens!K19646</f>
        <v>541.581045010494</v>
      </c>
      <c r="L19718" s="1" t="s">
        <v>1009</v>
      </c>
    </row>
    <row r="19719" customFormat="false" ht="17.15" hidden="false" customHeight="false" outlineLevel="0" collapsed="false">
      <c r="A19719" s="0" t="s">
        <v>1010</v>
      </c>
      <c r="B19719" s="0" t="s">
        <v>168</v>
      </c>
      <c r="F19719" s="7" t="n">
        <f aca="false">Sens!F19717*(1-tax_f)/((Sens!E19718+Sens!F19718)/2)</f>
        <v>0.063986204586116</v>
      </c>
      <c r="G19719" s="7" t="n">
        <f aca="false">Sens!G19717*(1-tax_f)/((Sens!F19718+Sens!G19718)/2)</f>
        <v>0.0786985909441555</v>
      </c>
      <c r="H19719" s="7" t="n">
        <f aca="false">Sens!H19717*(1-tax_f)/((Sens!G19718+Sens!H19718)/2)</f>
        <v>0.088736919926853</v>
      </c>
      <c r="I19719" s="7" t="n">
        <f aca="false">Sens!I19717*(1-tax_f)/((Sens!H19718+Sens!I19718)/2)</f>
        <v>0.0984992916821633</v>
      </c>
      <c r="J19719" s="7" t="n">
        <f aca="false">Sens!J19717*(1-tax_f)/((Sens!I19718+Sens!J19718)/2)</f>
        <v>0.109462846006207</v>
      </c>
      <c r="K19719" s="7" t="n">
        <f aca="false">Sens!K19717*(1-tax_f)/((Sens!J19718+Sens!K19718)/2)</f>
        <v>0.123306134304469</v>
      </c>
    </row>
    <row r="19720" customFormat="false" ht="17.15" hidden="false" customHeight="false" outlineLevel="0" collapsed="false">
      <c r="A19720" s="1" t="s">
        <v>1011</v>
      </c>
      <c r="B19720" s="0" t="s">
        <v>168</v>
      </c>
      <c r="F19720" s="7" t="n">
        <f aca="false">(Sens!F19717-Sens!F19716)*(1-tax_f)/((Sens!E19718+Sens!F19718)/2)</f>
        <v>0.0230960636852336</v>
      </c>
      <c r="G19720" s="7" t="n">
        <f aca="false">(Sens!G19717-Sens!G19716)*(1-tax_f)/((Sens!F19718+Sens!G19718)/2)</f>
        <v>0.0158934722253256</v>
      </c>
      <c r="H19720" s="7" t="n">
        <f aca="false">(Sens!H19717-Sens!H19716)*(1-tax_f)/((Sens!G19718+Sens!H19718)/2)</f>
        <v>0.0118373337236399</v>
      </c>
      <c r="I19720" s="7" t="n">
        <f aca="false">(Sens!I19717-Sens!I19716)*(1-tax_f)/((Sens!H19718+Sens!I19718)/2)</f>
        <v>0.00958163211592781</v>
      </c>
      <c r="J19720" s="7" t="n">
        <f aca="false">(Sens!J19717-Sens!J19716)*(1-tax_f)/((Sens!I19718+Sens!J19718)/2)</f>
        <v>0.00864419868320383</v>
      </c>
      <c r="K19720" s="7" t="n">
        <f aca="false">(Sens!K19717-Sens!K19716)*(1-tax_f)/((Sens!J19718+Sens!K19718)/2)</f>
        <v>0.010589048879509</v>
      </c>
    </row>
    <row r="19721" customFormat="false" ht="17.15" hidden="false" customHeight="false" outlineLevel="0" collapsed="false">
      <c r="A19721" s="1" t="s">
        <v>1012</v>
      </c>
      <c r="B19721" s="0" t="s">
        <v>168</v>
      </c>
      <c r="F19721" s="7" t="n">
        <f aca="false">(Sens!F19717-Sens!F19716+Sens!F19715)*(1-tax_f)/((Sens!E19718+Sens!F19718)/2)</f>
        <v>0.063986204586116</v>
      </c>
      <c r="G19721" s="7" t="n">
        <f aca="false">(Sens!G19717-Sens!G19716+Sens!G19715)*(1-tax_f)/((Sens!F19718+Sens!G19718)/2)</f>
        <v>0.0786985909441555</v>
      </c>
      <c r="H19721" s="7" t="n">
        <f aca="false">(Sens!H19717-Sens!H19716+Sens!H19715)*(1-tax_f)/((Sens!G19718+Sens!H19718)/2)</f>
        <v>0.088736919926853</v>
      </c>
      <c r="I19721" s="7" t="n">
        <f aca="false">(Sens!I19717-Sens!I19716+Sens!I19715)*(1-tax_f)/((Sens!H19718+Sens!I19718)/2)</f>
        <v>0.0984992916821633</v>
      </c>
      <c r="J19721" s="7" t="n">
        <f aca="false">(Sens!J19717-Sens!J19716+Sens!J19715)*(1-tax_f)/((Sens!I19718+Sens!J19718)/2)</f>
        <v>0.109462846006207</v>
      </c>
      <c r="K19721" s="7" t="n">
        <f aca="false">(Sens!K19717-Sens!K19716+Sens!K19715)*(1-tax_f)/((Sens!J19718+Sens!K19718)/2)</f>
        <v>0.123306134304469</v>
      </c>
    </row>
    <row r="19722" customFormat="false" ht="17.15" hidden="false" customHeight="false" outlineLevel="0" collapsed="false">
      <c r="A19722" s="1" t="s">
        <v>1013</v>
      </c>
      <c r="B19722" s="0" t="s">
        <v>168</v>
      </c>
      <c r="F19722" s="7" t="n">
        <f aca="false">Sens!F19647*(1-tax_f)/(Sens!F19633*(Sens!E19718+Sens!F19718)/2)</f>
        <v>0.132783701540283</v>
      </c>
      <c r="G19722" s="7" t="n">
        <f aca="false">Sens!G19647*(1-tax_f)/(Sens!G19633*(Sens!F19718+Sens!G19718)/2)</f>
        <v>0.130005673617403</v>
      </c>
      <c r="H19722" s="7" t="n">
        <f aca="false">Sens!H19647*(1-tax_f)/(Sens!H19633*(Sens!G19718+Sens!H19718)/2)</f>
        <v>0.133638154270207</v>
      </c>
      <c r="I19722" s="7" t="n">
        <f aca="false">Sens!I19647*(1-tax_f)/(Sens!I19633*(Sens!H19718+Sens!I19718)/2)</f>
        <v>0.141911298629317</v>
      </c>
      <c r="J19722" s="7" t="n">
        <f aca="false">Sens!J19647*(1-tax_f)/(Sens!J19633*(Sens!I19718+Sens!J19718)/2)</f>
        <v>0.154551206465002</v>
      </c>
      <c r="K19722" s="7" t="n">
        <f aca="false">Sens!K19647*(1-tax_f)/(Sens!K19633*(Sens!J19718+Sens!K19718)/2)</f>
        <v>0.172324784979082</v>
      </c>
    </row>
    <row r="19723" customFormat="false" ht="17.15" hidden="false" customHeight="false" outlineLevel="0" collapsed="false">
      <c r="A19723" s="0" t="s">
        <v>1014</v>
      </c>
      <c r="B19723" s="0" t="s">
        <v>253</v>
      </c>
      <c r="F19723" s="7" t="n">
        <f aca="false">Sens!F19719-wacc</f>
        <v>-0.0389503863594813</v>
      </c>
      <c r="G19723" s="7" t="n">
        <f aca="false">Sens!G19719-wacc</f>
        <v>-0.0242380000014418</v>
      </c>
      <c r="H19723" s="7" t="n">
        <f aca="false">Sens!H19719-wacc</f>
        <v>-0.0141996710187443</v>
      </c>
      <c r="I19723" s="7" t="n">
        <f aca="false">Sens!I19719-wacc</f>
        <v>-0.00443729926343404</v>
      </c>
      <c r="J19723" s="7" t="n">
        <f aca="false">Sens!J19719-wacc</f>
        <v>0.0065262550606094</v>
      </c>
      <c r="K19723" s="7" t="n">
        <f aca="false">Sens!K19719-wacc</f>
        <v>0.0203695433588716</v>
      </c>
    </row>
    <row r="19724" customFormat="false" ht="17.15" hidden="false" customHeight="false" outlineLevel="0" collapsed="false">
      <c r="A19724" s="0" t="s">
        <v>1015</v>
      </c>
      <c r="B19724" s="0" t="s">
        <v>98</v>
      </c>
      <c r="F19724" s="6" t="n">
        <f aca="false">Sens!F19717*(1-tax_f)-wacc*(Sens!E19718+Sens!F19718)/2</f>
        <v>-7.64299522837222</v>
      </c>
      <c r="G19724" s="6" t="n">
        <f aca="false">Sens!G19717*(1-tax_f)-wacc*(Sens!F19718+Sens!G19718)/2</f>
        <v>-8.08783575010438</v>
      </c>
      <c r="H19724" s="6" t="n">
        <f aca="false">Sens!H19717*(1-tax_f)-wacc*(Sens!G19718+Sens!H19718)/2</f>
        <v>-6.49339387411993</v>
      </c>
      <c r="I19724" s="6" t="n">
        <f aca="false">Sens!I19717*(1-tax_f)-wacc*(Sens!H19718+Sens!I19718)/2</f>
        <v>-2.40126901797588</v>
      </c>
      <c r="J19724" s="6" t="n">
        <f aca="false">Sens!J19717*(1-tax_f)-wacc*(Sens!I19718+Sens!J19718)/2</f>
        <v>3.70580147852603</v>
      </c>
      <c r="K19724" s="6" t="n">
        <f aca="false">Sens!K19717*(1-tax_f)-wacc*(Sens!J19718+Sens!K19718)/2</f>
        <v>11.2836530146687</v>
      </c>
    </row>
    <row r="19725" customFormat="false" ht="17.15" hidden="false" customHeight="false" outlineLevel="0" collapsed="false">
      <c r="A19725" s="3" t="s">
        <v>1967</v>
      </c>
    </row>
    <row r="19726" customFormat="false" ht="15" hidden="false" customHeight="false" outlineLevel="0" collapsed="false">
      <c r="A19726" s="4" t="s">
        <v>43</v>
      </c>
      <c r="B19726" s="4" t="s">
        <v>65</v>
      </c>
      <c r="C19726" s="23" t="s">
        <v>938</v>
      </c>
      <c r="D19726" s="23" t="s">
        <v>939</v>
      </c>
      <c r="E19726" s="23" t="s">
        <v>940</v>
      </c>
      <c r="F19726" s="23" t="s">
        <v>941</v>
      </c>
      <c r="G19726" s="23" t="s">
        <v>942</v>
      </c>
      <c r="H19726" s="23" t="s">
        <v>943</v>
      </c>
      <c r="I19726" s="23" t="s">
        <v>944</v>
      </c>
      <c r="J19726" s="23" t="s">
        <v>945</v>
      </c>
      <c r="K19726" s="23" t="s">
        <v>946</v>
      </c>
      <c r="L19726" s="4" t="s">
        <v>47</v>
      </c>
    </row>
    <row r="19727" customFormat="false" ht="15" hidden="false" customHeight="false" outlineLevel="0" collapsed="false">
      <c r="A19727" s="1" t="s">
        <v>1076</v>
      </c>
      <c r="B19727" s="0" t="s">
        <v>98</v>
      </c>
      <c r="F19727" s="6" t="n">
        <f aca="false">Sens!F19708</f>
        <v>145.05626710117</v>
      </c>
      <c r="G19727" s="6" t="n">
        <f aca="false">Sens!G19708</f>
        <v>157.373534205676</v>
      </c>
      <c r="H19727" s="6" t="n">
        <f aca="false">Sens!H19708</f>
        <v>173.527184200113</v>
      </c>
      <c r="I19727" s="6" t="n">
        <f aca="false">Sens!I19708</f>
        <v>189.044344696733</v>
      </c>
      <c r="J19727" s="6" t="n">
        <f aca="false">Sens!J19708</f>
        <v>203.594473172792</v>
      </c>
      <c r="K19727" s="6" t="n">
        <f aca="false">Sens!K19708</f>
        <v>217.822863380408</v>
      </c>
    </row>
    <row r="19728" customFormat="false" ht="17.15" hidden="false" customHeight="false" outlineLevel="0" collapsed="false">
      <c r="A19728" s="1" t="s">
        <v>1098</v>
      </c>
      <c r="B19728" s="0" t="s">
        <v>98</v>
      </c>
      <c r="E19728" s="6" t="n">
        <f aca="false">Q!M38-Sens!E19646</f>
        <v>22.2285940229167</v>
      </c>
      <c r="F19728" s="6" t="n">
        <f aca="false">Sens!E19728*(1-1/life_nonai)+(Sens!F19736+Sens!F19737)/life_nonai</f>
        <v>23.5758328047353</v>
      </c>
      <c r="G19728" s="6" t="n">
        <f aca="false">Sens!F19728*(1-1/life_nonai)+(Sens!G19736)/life_nonai</f>
        <v>25.3489323512399</v>
      </c>
      <c r="H19728" s="6" t="n">
        <f aca="false">Sens!G19728*(1-1/life_nonai)+(Sens!H19736)/life_nonai</f>
        <v>27.513872469882</v>
      </c>
      <c r="I19728" s="6" t="n">
        <f aca="false">Sens!H19728*(1-1/life_nonai)+(Sens!I19736)/life_nonai</f>
        <v>30.004169350446</v>
      </c>
      <c r="J19728" s="6" t="n">
        <f aca="false">Sens!I19728*(1-1/life_nonai)+(Sens!J19736)/life_nonai</f>
        <v>32.7365134800435</v>
      </c>
      <c r="K19728" s="6" t="n">
        <f aca="false">Sens!J19728*(1-1/life_nonai)+(Sens!K19736)/life_nonai</f>
        <v>35.6266745904199</v>
      </c>
      <c r="L19728" s="12" t="s">
        <v>1099</v>
      </c>
    </row>
    <row r="19729" customFormat="false" ht="17.15" hidden="false" customHeight="false" outlineLevel="0" collapsed="false">
      <c r="A19729" s="1" t="s">
        <v>1100</v>
      </c>
      <c r="B19729" s="0" t="s">
        <v>98</v>
      </c>
      <c r="F19729" s="6" t="n">
        <f aca="false">Sens!$F$19737/life_nonai*(1-1/life_nonai)^(Sens!F19609-2027)</f>
        <v>0</v>
      </c>
      <c r="G19729" s="6" t="n">
        <f aca="false">Sens!$F$19737/life_nonai*(1-1/life_nonai)^(Sens!G19609-2027)</f>
        <v>0</v>
      </c>
      <c r="H19729" s="6" t="n">
        <f aca="false">Sens!$F$19737/life_nonai*(1-1/life_nonai)^(Sens!H19609-2027)</f>
        <v>0</v>
      </c>
      <c r="I19729" s="6" t="n">
        <f aca="false">Sens!$F$19737/life_nonai*(1-1/life_nonai)^(Sens!I19609-2027)</f>
        <v>0</v>
      </c>
      <c r="J19729" s="6" t="n">
        <f aca="false">Sens!$F$19737/life_nonai*(1-1/life_nonai)^(Sens!J19609-2027)</f>
        <v>0</v>
      </c>
      <c r="K19729" s="6" t="n">
        <f aca="false">Sens!$F$19737/life_nonai*(1-1/life_nonai)^(Sens!K19609-2027)</f>
        <v>0</v>
      </c>
      <c r="L19729" s="1" t="s">
        <v>1101</v>
      </c>
    </row>
    <row r="19730" customFormat="false" ht="17.15" hidden="false" customHeight="false" outlineLevel="0" collapsed="false">
      <c r="A19730" s="1" t="s">
        <v>1102</v>
      </c>
      <c r="B19730" s="0" t="s">
        <v>98</v>
      </c>
      <c r="E19730" s="6" t="n">
        <f aca="false">Sens!E19646+Sens!E19728</f>
        <v>38.534</v>
      </c>
      <c r="F19730" s="6" t="n">
        <f aca="false">Sens!F19646+Sens!F19728</f>
        <v>58.6257888785047</v>
      </c>
      <c r="G19730" s="6" t="n">
        <f aca="false">Sens!G19646+Sens!G19728</f>
        <v>87.5338127049035</v>
      </c>
      <c r="H19730" s="6" t="n">
        <f aca="false">Sens!H19646+Sens!H19728</f>
        <v>119.08256585375</v>
      </c>
      <c r="I19730" s="6" t="n">
        <f aca="false">Sens!I19646+Sens!I19728</f>
        <v>147.665128523059</v>
      </c>
      <c r="J19730" s="6" t="n">
        <f aca="false">Sens!J19646+Sens!J19728</f>
        <v>168.992151659772</v>
      </c>
      <c r="K19730" s="6" t="n">
        <f aca="false">Sens!K19646+Sens!K19728</f>
        <v>183.593002787684</v>
      </c>
    </row>
    <row r="19731" customFormat="false" ht="17.15" hidden="false" customHeight="false" outlineLevel="0" collapsed="false">
      <c r="A19731" s="1" t="s">
        <v>1103</v>
      </c>
      <c r="B19731" s="0" t="s">
        <v>98</v>
      </c>
      <c r="F19731" s="6" t="n">
        <f aca="false">Sens!F19673*sbc_r</f>
        <v>14.9475001790177</v>
      </c>
      <c r="G19731" s="6" t="n">
        <f aca="false">Sens!G19673*sbc_r</f>
        <v>17.885846748801</v>
      </c>
      <c r="H19731" s="6" t="n">
        <f aca="false">Sens!H19673*sbc_r</f>
        <v>20.894268903943</v>
      </c>
      <c r="I19731" s="6" t="n">
        <f aca="false">Sens!I19673*sbc_r</f>
        <v>23.661430715967</v>
      </c>
      <c r="J19731" s="6" t="n">
        <f aca="false">Sens!J19673*sbc_r</f>
        <v>25.9277671659031</v>
      </c>
      <c r="K19731" s="6" t="n">
        <f aca="false">Sens!K19673*sbc_r</f>
        <v>27.7566826277283</v>
      </c>
    </row>
    <row r="19732" customFormat="false" ht="17.15" hidden="false" customHeight="false" outlineLevel="0" collapsed="false">
      <c r="A19732" s="1" t="s">
        <v>1104</v>
      </c>
      <c r="B19732" s="0" t="s">
        <v>98</v>
      </c>
      <c r="F19732" s="6" t="n">
        <f aca="false">wc27-wc26q1</f>
        <v>-4.677</v>
      </c>
      <c r="G19732" s="6" t="n">
        <f aca="false">wc_f</f>
        <v>0</v>
      </c>
      <c r="H19732" s="6" t="n">
        <f aca="false">wc_f</f>
        <v>0</v>
      </c>
      <c r="I19732" s="6" t="n">
        <f aca="false">wc_f</f>
        <v>0</v>
      </c>
      <c r="J19732" s="6" t="n">
        <f aca="false">wc_f</f>
        <v>0</v>
      </c>
      <c r="K19732" s="6" t="n">
        <f aca="false">wc_f</f>
        <v>0</v>
      </c>
      <c r="L19732" s="12" t="s">
        <v>1105</v>
      </c>
    </row>
    <row r="19733" customFormat="false" ht="17.15" hidden="false" customHeight="false" outlineLevel="0" collapsed="false">
      <c r="A19733" s="0" t="s">
        <v>1106</v>
      </c>
      <c r="B19733" s="0" t="s">
        <v>98</v>
      </c>
      <c r="F19733" s="6" t="n">
        <f aca="false">Q!$I$35-Q!$I$26-Q!$I$38-Q!$I$39</f>
        <v>6.493</v>
      </c>
      <c r="L19733" s="1" t="s">
        <v>1107</v>
      </c>
    </row>
    <row r="19734" customFormat="false" ht="15" hidden="false" customHeight="false" outlineLevel="0" collapsed="false">
      <c r="A19734" s="1" t="s">
        <v>904</v>
      </c>
      <c r="B19734" s="0" t="s">
        <v>98</v>
      </c>
      <c r="E19734" s="6" t="n">
        <f aca="false">Q!M35</f>
        <v>182.935</v>
      </c>
      <c r="F19734" s="6" t="n">
        <f aca="false">Sens!F19727+Sens!F19730+Sens!F19731+Sens!F19732+Sens!F19733</f>
        <v>220.445556158693</v>
      </c>
      <c r="G19734" s="6" t="n">
        <f aca="false">Sens!G19727+Sens!G19730+Sens!G19731+Sens!G19732</f>
        <v>262.79319365938</v>
      </c>
      <c r="H19734" s="6" t="n">
        <f aca="false">Sens!H19727+Sens!H19730+Sens!H19731+Sens!H19732</f>
        <v>313.504018957806</v>
      </c>
      <c r="I19734" s="6" t="n">
        <f aca="false">Sens!I19727+Sens!I19730+Sens!I19731+Sens!I19732</f>
        <v>360.370903935759</v>
      </c>
      <c r="J19734" s="6" t="n">
        <f aca="false">Sens!J19727+Sens!J19730+Sens!J19731+Sens!J19732</f>
        <v>398.514391998467</v>
      </c>
      <c r="K19734" s="6" t="n">
        <f aca="false">Sens!K19727+Sens!K19730+Sens!K19731+Sens!K19732</f>
        <v>429.172548795821</v>
      </c>
    </row>
    <row r="19735" customFormat="false" ht="17.15" hidden="false" customHeight="false" outlineLevel="0" collapsed="false">
      <c r="A19735" s="0" t="s">
        <v>1108</v>
      </c>
      <c r="B19735" s="0" t="s">
        <v>98</v>
      </c>
      <c r="F19735" s="6" t="n">
        <f aca="false">Sens!F19643</f>
        <v>174.101603187134</v>
      </c>
      <c r="G19735" s="6" t="n">
        <f aca="false">Sens!G19643</f>
        <v>198.053753775396</v>
      </c>
      <c r="H19735" s="6" t="n">
        <f aca="false">Sens!H19643</f>
        <v>202.91528219086</v>
      </c>
      <c r="I19735" s="6" t="n">
        <f aca="false">Sens!I19643</f>
        <v>174.041716562966</v>
      </c>
      <c r="J19735" s="6" t="n">
        <f aca="false">Sens!J19643</f>
        <v>133.223236079397</v>
      </c>
      <c r="K19735" s="6" t="n">
        <f aca="false">Sens!K19643</f>
        <v>123.233870375648</v>
      </c>
    </row>
    <row r="19736" customFormat="false" ht="17.15" hidden="false" customHeight="false" outlineLevel="0" collapsed="false">
      <c r="A19736" s="1" t="s">
        <v>1109</v>
      </c>
      <c r="B19736" s="0" t="s">
        <v>98</v>
      </c>
      <c r="E19736" s="6" t="n">
        <f aca="false">Sens!E19651*cx_azo+Sens!E19658*cx_m365+Sens!E19659*cx_lic+(Sens!E19661+Sens!E19663)*cx_ind+Sens!E19666*cx_srch+(Sens!E19668+Sens!E19670)*cx_dev</f>
        <v>30.1846587067718</v>
      </c>
      <c r="F19736" s="6" t="n">
        <f aca="false">Sens!F19651*cx_azo+Sens!F19658*cx_m365+Sens!F19659*cx_lic+(Sens!F19661+Sens!F19663)*cx_ind+Sens!F19666*cx_srch+(Sens!F19668+Sens!F19670)*cx_dev</f>
        <v>35.7009818411026</v>
      </c>
      <c r="G19736" s="6" t="n">
        <f aca="false">Sens!G19651*cx_azo+Sens!G19658*cx_m365+Sens!G19659*cx_lic+(Sens!G19661+Sens!G19663)*cx_ind+Sens!G19666*cx_srch+(Sens!G19668+Sens!G19670)*cx_dev</f>
        <v>41.3068282697819</v>
      </c>
      <c r="H19736" s="6" t="n">
        <f aca="false">Sens!H19651*cx_azo+Sens!H19658*cx_m365+Sens!H19659*cx_lic+(Sens!H19661+Sens!H19663)*cx_ind+Sens!H19666*cx_srch+(Sens!H19668+Sens!H19670)*cx_dev</f>
        <v>46.998333537661</v>
      </c>
      <c r="I19736" s="6" t="n">
        <f aca="false">Sens!I19651*cx_azo+Sens!I19658*cx_m365+Sens!I19659*cx_lic+(Sens!I19661+Sens!I19663)*cx_ind+Sens!I19666*cx_srch+(Sens!I19668+Sens!I19670)*cx_dev</f>
        <v>52.4168412755212</v>
      </c>
      <c r="J19736" s="6" t="n">
        <f aca="false">Sens!J19651*cx_azo+Sens!J19658*cx_m365+Sens!J19659*cx_lic+(Sens!J19661+Sens!J19663)*cx_ind+Sens!J19666*cx_srch+(Sens!J19668+Sens!J19670)*cx_dev</f>
        <v>57.3276106464212</v>
      </c>
      <c r="K19736" s="6" t="n">
        <f aca="false">Sens!K19651*cx_azo+Sens!K19658*cx_m365+Sens!K19659*cx_lic+(Sens!K19661+Sens!K19663)*cx_ind+Sens!K19666*cx_srch+(Sens!K19668+Sens!K19670)*cx_dev</f>
        <v>61.6381245838075</v>
      </c>
    </row>
    <row r="19737" customFormat="false" ht="17.15" hidden="false" customHeight="false" outlineLevel="0" collapsed="false">
      <c r="A19737" s="0" t="s">
        <v>1110</v>
      </c>
      <c r="B19737" s="0" t="s">
        <v>98</v>
      </c>
      <c r="F19737" s="6" t="n">
        <f aca="false">Sens!F19641</f>
        <v>0</v>
      </c>
      <c r="L19737" s="1" t="s">
        <v>1111</v>
      </c>
    </row>
    <row r="19738" customFormat="false" ht="17.15" hidden="false" customHeight="false" outlineLevel="0" collapsed="false">
      <c r="A19738" s="1" t="s">
        <v>1112</v>
      </c>
      <c r="B19738" s="0" t="s">
        <v>98</v>
      </c>
      <c r="E19738" s="6" t="n">
        <f aca="false">Q!M43</f>
        <v>145.3</v>
      </c>
      <c r="F19738" s="6" t="n">
        <f aca="false">Sens!F19735+Sens!F19736+Sens!F19737</f>
        <v>209.802585028236</v>
      </c>
      <c r="G19738" s="6" t="n">
        <f aca="false">Sens!G19735+Sens!G19736</f>
        <v>239.360582045177</v>
      </c>
      <c r="H19738" s="6" t="n">
        <f aca="false">Sens!H19735+Sens!H19736</f>
        <v>249.913615728521</v>
      </c>
      <c r="I19738" s="6" t="n">
        <f aca="false">Sens!I19735+Sens!I19736</f>
        <v>226.458557838487</v>
      </c>
      <c r="J19738" s="6" t="n">
        <f aca="false">Sens!J19735+Sens!J19736</f>
        <v>190.550846725819</v>
      </c>
      <c r="K19738" s="6" t="n">
        <f aca="false">Sens!K19735+Sens!K19736</f>
        <v>184.871994959456</v>
      </c>
      <c r="L19738" s="1" t="s">
        <v>1113</v>
      </c>
    </row>
    <row r="19739" customFormat="false" ht="15" hidden="false" customHeight="false" outlineLevel="0" collapsed="false">
      <c r="A19739" s="1" t="s">
        <v>1114</v>
      </c>
      <c r="B19739" s="0" t="s">
        <v>98</v>
      </c>
      <c r="E19739" s="6" t="n">
        <f aca="false">fl_liab</f>
        <v>66.594</v>
      </c>
      <c r="F19739" s="6" t="n">
        <f aca="false">Sens!E19739-Sens!F19740</f>
        <v>62.46973</v>
      </c>
      <c r="G19739" s="6" t="n">
        <f aca="false">Sens!F19739-Sens!G19740</f>
        <v>57.98686785</v>
      </c>
      <c r="H19739" s="6" t="n">
        <f aca="false">Sens!G19739-Sens!H19740</f>
        <v>53.92827690325</v>
      </c>
      <c r="I19739" s="6" t="n">
        <f aca="false">Sens!H19739-Sens!I19740</f>
        <v>49.7850493638962</v>
      </c>
      <c r="J19739" s="6" t="n">
        <f aca="false">Sens!I19739-Sens!J19740</f>
        <v>45.4823765852716</v>
      </c>
      <c r="K19739" s="6" t="n">
        <f aca="false">Sens!J19739-Sens!K19740</f>
        <v>40.9860835316088</v>
      </c>
    </row>
    <row r="19740" customFormat="false" ht="15" hidden="false" customHeight="false" outlineLevel="0" collapsed="false">
      <c r="A19740" s="1" t="s">
        <v>1115</v>
      </c>
      <c r="B19740" s="0" t="s">
        <v>98</v>
      </c>
      <c r="F19740" s="6" t="n">
        <f aca="false">fl_pay_27-Sens!E19739*fl_rate</f>
        <v>4.12427</v>
      </c>
      <c r="G19740" s="6" t="n">
        <f aca="false">fl_pay_28-Sens!F19739*fl_rate</f>
        <v>4.48286215</v>
      </c>
      <c r="H19740" s="6" t="n">
        <f aca="false">fl_pay_29-Sens!G19739*fl_rate</f>
        <v>4.05859094675</v>
      </c>
      <c r="I19740" s="6" t="n">
        <f aca="false">fl_pay_30-Sens!H19739*fl_rate</f>
        <v>4.14322753935375</v>
      </c>
      <c r="J19740" s="6" t="n">
        <f aca="false">fl_pay_31-Sens!I19739*fl_rate</f>
        <v>4.30267277862467</v>
      </c>
      <c r="K19740" s="6" t="n">
        <f aca="false">fl_pay_32-Sens!J19739*fl_rate</f>
        <v>4.49629305366278</v>
      </c>
    </row>
    <row r="19741" customFormat="false" ht="17.15" hidden="false" customHeight="false" outlineLevel="0" collapsed="false">
      <c r="A19741" s="1" t="s">
        <v>1116</v>
      </c>
      <c r="B19741" s="0" t="s">
        <v>98</v>
      </c>
      <c r="E19741" s="6" t="n">
        <f aca="false">Q!M35-Q!M36-Q!M44</f>
        <v>63.886</v>
      </c>
      <c r="F19741" s="6" t="n">
        <f aca="false">Sens!F19734-Sens!F19738-Sens!F19740</f>
        <v>6.5187011304566</v>
      </c>
      <c r="G19741" s="6" t="n">
        <f aca="false">Sens!G19734-Sens!G19738-Sens!G19740</f>
        <v>18.9497494642029</v>
      </c>
      <c r="H19741" s="6" t="n">
        <f aca="false">Sens!H19734-Sens!H19738-Sens!H19740</f>
        <v>59.5318122825356</v>
      </c>
      <c r="I19741" s="6" t="n">
        <f aca="false">Sens!I19734-Sens!I19738-Sens!I19740</f>
        <v>129.769118557918</v>
      </c>
      <c r="J19741" s="6" t="n">
        <f aca="false">Sens!J19734-Sens!J19738-Sens!J19740</f>
        <v>203.660872494023</v>
      </c>
      <c r="K19741" s="6" t="n">
        <f aca="false">Sens!K19734-Sens!K19738-Sens!K19740</f>
        <v>239.804260782702</v>
      </c>
      <c r="L19741" s="12" t="s">
        <v>1117</v>
      </c>
    </row>
    <row r="19742" customFormat="false" ht="15" hidden="false" customHeight="false" outlineLevel="0" collapsed="false">
      <c r="A19742" s="1" t="s">
        <v>1118</v>
      </c>
      <c r="B19742" s="0" t="s">
        <v>75</v>
      </c>
      <c r="F19742" s="8" t="n">
        <f aca="false">dps_27</f>
        <v>3.85</v>
      </c>
      <c r="G19742" s="8" t="n">
        <f aca="false">Sens!F19742*(1+dps_g)</f>
        <v>4.158</v>
      </c>
      <c r="H19742" s="8" t="n">
        <f aca="false">Sens!G19742*(1+dps_g)</f>
        <v>4.49064</v>
      </c>
      <c r="I19742" s="8" t="n">
        <f aca="false">Sens!H19742*(1+dps_g)</f>
        <v>4.8498912</v>
      </c>
      <c r="J19742" s="8" t="n">
        <f aca="false">Sens!I19742*(1+dps_g)</f>
        <v>5.237882496</v>
      </c>
      <c r="K19742" s="8" t="n">
        <f aca="false">Sens!J19742*(1+dps_g)</f>
        <v>5.65691309568</v>
      </c>
    </row>
    <row r="19743" customFormat="false" ht="17.15" hidden="false" customHeight="false" outlineLevel="0" collapsed="false">
      <c r="A19743" s="1" t="s">
        <v>1119</v>
      </c>
      <c r="B19743" s="0" t="s">
        <v>98</v>
      </c>
      <c r="E19743" s="6" t="n">
        <f aca="false">Q!M41</f>
        <v>26.445</v>
      </c>
      <c r="F19743" s="6" t="n">
        <f aca="false">Sens!F19742*Sens!E19752</f>
        <v>28.59395</v>
      </c>
      <c r="G19743" s="6" t="n">
        <f aca="false">Sens!G19742*Sens!F19752</f>
        <v>31.068576</v>
      </c>
      <c r="H19743" s="6" t="n">
        <f aca="false">Sens!H19742*Sens!G19752</f>
        <v>33.75614088</v>
      </c>
      <c r="I19743" s="6" t="n">
        <f aca="false">Sens!I19742*Sens!H19752</f>
        <v>36.5070704274727</v>
      </c>
      <c r="J19743" s="6" t="n">
        <f aca="false">Sens!J19742*Sens!I19752</f>
        <v>39.4955339470631</v>
      </c>
      <c r="K19743" s="6" t="n">
        <f aca="false">Sens!K19742*Sens!J19752</f>
        <v>42.7419309252064</v>
      </c>
      <c r="L19743" s="1" t="s">
        <v>1120</v>
      </c>
    </row>
    <row r="19744" customFormat="false" ht="15" hidden="false" customHeight="false" outlineLevel="0" collapsed="false">
      <c r="A19744" s="1" t="s">
        <v>1121</v>
      </c>
      <c r="B19744" s="0" t="s">
        <v>98</v>
      </c>
      <c r="E19744" s="6" t="n">
        <f aca="false">Sens!E19741-Sens!E19743</f>
        <v>37.441</v>
      </c>
      <c r="F19744" s="6" t="n">
        <f aca="false">Sens!F19741-Sens!F19743</f>
        <v>-22.0752488695434</v>
      </c>
      <c r="G19744" s="6" t="n">
        <f aca="false">Sens!G19741-Sens!G19743</f>
        <v>-12.1188265357971</v>
      </c>
      <c r="H19744" s="6" t="n">
        <f aca="false">Sens!H19741-Sens!H19743</f>
        <v>25.7756714025356</v>
      </c>
      <c r="I19744" s="6" t="n">
        <f aca="false">Sens!I19741-Sens!I19743</f>
        <v>93.2620481304453</v>
      </c>
      <c r="J19744" s="6" t="n">
        <f aca="false">Sens!J19741-Sens!J19743</f>
        <v>164.16533854696</v>
      </c>
      <c r="K19744" s="6" t="n">
        <f aca="false">Sens!K19741-Sens!K19743</f>
        <v>197.062329857495</v>
      </c>
    </row>
    <row r="19745" customFormat="false" ht="15" hidden="false" customHeight="false" outlineLevel="0" collapsed="false">
      <c r="A19745" s="1" t="s">
        <v>1122</v>
      </c>
      <c r="B19745" s="0" t="s">
        <v>98</v>
      </c>
      <c r="F19745" s="6" t="n">
        <f aca="false">debt_mat_27</f>
        <v>9.25</v>
      </c>
      <c r="G19745" s="6" t="n">
        <f aca="false">debt_mat_28</f>
        <v>0</v>
      </c>
      <c r="H19745" s="6" t="n">
        <f aca="false">debt_mat_29</f>
        <v>2.001</v>
      </c>
      <c r="I19745" s="6" t="n">
        <f aca="false">debt_mat_30</f>
        <v>0</v>
      </c>
      <c r="J19745" s="6" t="n">
        <f aca="false">debt_mat_31</f>
        <v>0.5</v>
      </c>
      <c r="K19745" s="6" t="n">
        <f aca="false">debt_mat_32</f>
        <v>0</v>
      </c>
    </row>
    <row r="19746" customFormat="false" ht="15" hidden="false" customHeight="false" outlineLevel="0" collapsed="false">
      <c r="A19746" s="1" t="s">
        <v>1123</v>
      </c>
      <c r="B19746" s="0" t="s">
        <v>98</v>
      </c>
      <c r="E19746" s="6" t="n">
        <f aca="false">Q!M40</f>
        <v>22.271</v>
      </c>
      <c r="F19746" s="6" t="n">
        <f aca="false">MAX(0,MIN(bb_target,Sens!E19748+Sens!F19744-Sens!F19745-min_cash))</f>
        <v>0</v>
      </c>
      <c r="G19746" s="6" t="n">
        <f aca="false">MAX(0,MIN(bb_target,Sens!F19748+Sens!G19744-Sens!G19745-min_cash))</f>
        <v>0</v>
      </c>
      <c r="H19746" s="6" t="n">
        <f aca="false">MAX(0,MIN(bb_target,Sens!G19748+Sens!H19744-Sens!H19745-min_cash))</f>
        <v>22.271</v>
      </c>
      <c r="I19746" s="6" t="n">
        <f aca="false">MAX(0,MIN(bb_target,Sens!H19748+Sens!I19744-Sens!I19745-min_cash))</f>
        <v>22.271</v>
      </c>
      <c r="J19746" s="6" t="n">
        <f aca="false">MAX(0,MIN(bb_target,Sens!I19748+Sens!J19744-Sens!J19745-min_cash))</f>
        <v>22.271</v>
      </c>
      <c r="K19746" s="6" t="n">
        <f aca="false">MAX(0,MIN(bb_target,Sens!J19748+Sens!K19744-Sens!K19745-min_cash))</f>
        <v>22.271</v>
      </c>
    </row>
    <row r="19747" customFormat="false" ht="15" hidden="false" customHeight="false" outlineLevel="0" collapsed="false">
      <c r="A19747" s="1" t="s">
        <v>1124</v>
      </c>
      <c r="B19747" s="0" t="s">
        <v>98</v>
      </c>
      <c r="F19747" s="6" t="n">
        <f aca="false">MAX(0,min_cash-(Sens!E19748+Sens!F19744-Sens!F19745-Sens!F19746))</f>
        <v>4.4822488695434</v>
      </c>
      <c r="G19747" s="6" t="n">
        <f aca="false">MAX(0,min_cash-(Sens!F19748+Sens!G19744-Sens!G19745-Sens!G19746))</f>
        <v>12.1188265357971</v>
      </c>
      <c r="H19747" s="6" t="n">
        <f aca="false">MAX(0,min_cash-(Sens!G19748+Sens!H19744-Sens!H19745-Sens!H19746))</f>
        <v>0</v>
      </c>
      <c r="I19747" s="6" t="n">
        <f aca="false">MAX(0,min_cash-(Sens!H19748+Sens!I19744-Sens!I19745-Sens!I19746))</f>
        <v>0</v>
      </c>
      <c r="J19747" s="6" t="n">
        <f aca="false">MAX(0,min_cash-(Sens!I19748+Sens!J19744-Sens!J19745-Sens!J19746))</f>
        <v>0</v>
      </c>
      <c r="K19747" s="6" t="n">
        <f aca="false">MAX(0,min_cash-(Sens!J19748+Sens!K19744-Sens!K19745-Sens!K19746))</f>
        <v>0</v>
      </c>
    </row>
    <row r="19748" customFormat="false" ht="15" hidden="false" customHeight="false" outlineLevel="0" collapsed="false">
      <c r="A19748" s="1" t="s">
        <v>1125</v>
      </c>
      <c r="B19748" s="0" t="s">
        <v>98</v>
      </c>
      <c r="E19748" s="6" t="n">
        <f aca="false">cash_open</f>
        <v>76.843</v>
      </c>
      <c r="F19748" s="6" t="n">
        <f aca="false">Sens!E19748+Sens!F19744-Sens!F19745-Sens!F19746+Sens!F19747</f>
        <v>50</v>
      </c>
      <c r="G19748" s="6" t="n">
        <f aca="false">Sens!F19748+Sens!G19744-Sens!G19745-Sens!G19746+Sens!G19747</f>
        <v>50</v>
      </c>
      <c r="H19748" s="6" t="n">
        <f aca="false">Sens!G19748+Sens!H19744-Sens!H19745-Sens!H19746+Sens!H19747</f>
        <v>51.5036714025356</v>
      </c>
      <c r="I19748" s="6" t="n">
        <f aca="false">Sens!H19748+Sens!I19744-Sens!I19745-Sens!I19746+Sens!I19747</f>
        <v>122.494719532981</v>
      </c>
      <c r="J19748" s="6" t="n">
        <f aca="false">Sens!I19748+Sens!J19744-Sens!J19745-Sens!J19746+Sens!J19747</f>
        <v>263.889058079941</v>
      </c>
      <c r="K19748" s="6" t="n">
        <f aca="false">Sens!J19748+Sens!K19744-Sens!K19745-Sens!K19746+Sens!K19747</f>
        <v>438.680387937437</v>
      </c>
    </row>
    <row r="19749" customFormat="false" ht="15" hidden="false" customHeight="false" outlineLevel="0" collapsed="false">
      <c r="A19749" s="1" t="s">
        <v>1126</v>
      </c>
      <c r="B19749" s="0" t="s">
        <v>98</v>
      </c>
      <c r="E19749" s="6" t="n">
        <f aca="false">debt_face</f>
        <v>46.136</v>
      </c>
      <c r="F19749" s="6" t="n">
        <f aca="false">Sens!E19749-Sens!F19745+Sens!F19747</f>
        <v>41.3682488695434</v>
      </c>
      <c r="G19749" s="6" t="n">
        <f aca="false">Sens!F19749-Sens!G19745+Sens!G19747</f>
        <v>53.4870754053405</v>
      </c>
      <c r="H19749" s="6" t="n">
        <f aca="false">Sens!G19749-Sens!H19745+Sens!H19747</f>
        <v>51.4860754053405</v>
      </c>
      <c r="I19749" s="6" t="n">
        <f aca="false">Sens!H19749-Sens!I19745+Sens!I19747</f>
        <v>51.4860754053405</v>
      </c>
      <c r="J19749" s="6" t="n">
        <f aca="false">Sens!I19749-Sens!J19745+Sens!J19747</f>
        <v>50.9860754053405</v>
      </c>
      <c r="K19749" s="6" t="n">
        <f aca="false">Sens!J19749-Sens!K19745+Sens!K19747</f>
        <v>50.9860754053405</v>
      </c>
    </row>
    <row r="19750" customFormat="false" ht="15" hidden="false" customHeight="false" outlineLevel="0" collapsed="false">
      <c r="A19750" s="1" t="s">
        <v>1127</v>
      </c>
      <c r="B19750" s="0" t="s">
        <v>98</v>
      </c>
      <c r="E19750" s="6" t="n">
        <f aca="false">Sens!E19748-Sens!E19749</f>
        <v>30.707</v>
      </c>
      <c r="F19750" s="6" t="n">
        <f aca="false">Sens!F19748-Sens!F19749</f>
        <v>8.6317511304566</v>
      </c>
      <c r="G19750" s="6" t="n">
        <f aca="false">Sens!G19748-Sens!G19749</f>
        <v>-3.48707540534047</v>
      </c>
      <c r="H19750" s="6" t="n">
        <f aca="false">Sens!H19748-Sens!H19749</f>
        <v>0.0175959971951585</v>
      </c>
      <c r="I19750" s="6" t="n">
        <f aca="false">Sens!I19748-Sens!I19749</f>
        <v>71.0086441276405</v>
      </c>
      <c r="J19750" s="6" t="n">
        <f aca="false">Sens!J19748-Sens!J19749</f>
        <v>212.902982674601</v>
      </c>
      <c r="K19750" s="6" t="n">
        <f aca="false">Sens!K19748-Sens!K19749</f>
        <v>387.694312532096</v>
      </c>
    </row>
    <row r="19751" customFormat="false" ht="15" hidden="false" customHeight="false" outlineLevel="0" collapsed="false">
      <c r="A19751" s="1" t="s">
        <v>1128</v>
      </c>
      <c r="B19751" s="0" t="s">
        <v>75</v>
      </c>
      <c r="F19751" s="30" t="n">
        <f aca="false">px*(1+bb_g)^(Sens!F19609-base_fy-mid_yr)</f>
        <v>551.84177959629</v>
      </c>
      <c r="G19751" s="30" t="n">
        <f aca="false">px*(1+bb_g)^(Sens!G19609-base_fy-mid_yr)</f>
        <v>595.989121963993</v>
      </c>
      <c r="H19751" s="30" t="n">
        <f aca="false">px*(1+bb_g)^(Sens!H19609-base_fy-mid_yr)</f>
        <v>643.668251721112</v>
      </c>
      <c r="I19751" s="30" t="n">
        <f aca="false">px*(1+bb_g)^(Sens!I19609-base_fy-mid_yr)</f>
        <v>695.161711858801</v>
      </c>
      <c r="J19751" s="30" t="n">
        <f aca="false">px*(1+bb_g)^(Sens!J19609-base_fy-mid_yr)</f>
        <v>750.774648807506</v>
      </c>
      <c r="K19751" s="30" t="n">
        <f aca="false">px*(1+bb_g)^(Sens!K19609-base_fy-mid_yr)</f>
        <v>810.836620712106</v>
      </c>
    </row>
    <row r="19752" customFormat="false" ht="15" hidden="false" customHeight="false" outlineLevel="0" collapsed="false">
      <c r="A19752" s="1" t="s">
        <v>1129</v>
      </c>
      <c r="B19752" s="1" t="s">
        <v>81</v>
      </c>
      <c r="E19752" s="15" t="n">
        <f aca="false">sh_out26</f>
        <v>7.427</v>
      </c>
      <c r="F19752" s="15" t="n">
        <f aca="false">Sens!E19752+sh_iss-Sens!F19746/Sens!F19751</f>
        <v>7.472</v>
      </c>
      <c r="G19752" s="15" t="n">
        <f aca="false">Sens!F19752+sh_iss-Sens!G19746/Sens!G19751</f>
        <v>7.517</v>
      </c>
      <c r="H19752" s="15" t="n">
        <f aca="false">Sens!G19752+sh_iss-Sens!H19746/Sens!H19751</f>
        <v>7.5273998780576</v>
      </c>
      <c r="I19752" s="15" t="n">
        <f aca="false">Sens!H19752+sh_iss-Sens!I19746/Sens!I19751</f>
        <v>7.54036272811094</v>
      </c>
      <c r="J19752" s="15" t="n">
        <f aca="false">Sens!I19752+sh_iss-Sens!J19746/Sens!J19751</f>
        <v>7.55569870038255</v>
      </c>
      <c r="K19752" s="15" t="n">
        <f aca="false">Sens!J19752+sh_iss-Sens!K19746/Sens!K19751</f>
        <v>7.57323200804144</v>
      </c>
    </row>
    <row r="19753" customFormat="false" ht="15" hidden="false" customHeight="false" outlineLevel="0" collapsed="false">
      <c r="A19753" s="1" t="s">
        <v>1130</v>
      </c>
      <c r="B19753" s="1" t="s">
        <v>81</v>
      </c>
      <c r="E19753" s="15" t="n">
        <f aca="false">sh_dil26</f>
        <v>7.453</v>
      </c>
      <c r="F19753" s="15" t="n">
        <f aca="false">(Sens!E19752+Sens!F19752)/2+dil_gap</f>
        <v>7.4735</v>
      </c>
      <c r="G19753" s="15" t="n">
        <f aca="false">(Sens!F19752+Sens!G19752)/2+dil_gap</f>
        <v>7.5185</v>
      </c>
      <c r="H19753" s="15" t="n">
        <f aca="false">(Sens!G19752+Sens!H19752)/2+dil_gap</f>
        <v>7.5461999390288</v>
      </c>
      <c r="I19753" s="15" t="n">
        <f aca="false">(Sens!H19752+Sens!I19752)/2+dil_gap</f>
        <v>7.55788130308427</v>
      </c>
      <c r="J19753" s="15" t="n">
        <f aca="false">(Sens!I19752+Sens!J19752)/2+dil_gap</f>
        <v>7.57203071424674</v>
      </c>
      <c r="K19753" s="15" t="n">
        <f aca="false">(Sens!J19752+Sens!K19752)/2+dil_gap</f>
        <v>7.58846535421199</v>
      </c>
    </row>
    <row r="19754" customFormat="false" ht="17.15" hidden="false" customHeight="false" outlineLevel="0" collapsed="false">
      <c r="A19754" s="1" t="s">
        <v>1131</v>
      </c>
      <c r="B19754" s="0" t="s">
        <v>98</v>
      </c>
      <c r="C19754" s="6" t="n">
        <f aca="false">SUM(Sens!F19744:J19744)</f>
        <v>249.008982674601</v>
      </c>
    </row>
    <row r="19755" customFormat="false" ht="15" hidden="false" customHeight="false" outlineLevel="0" collapsed="false">
      <c r="A19755" s="26" t="s">
        <v>1096</v>
      </c>
      <c r="B19755" s="31" t="s">
        <v>98</v>
      </c>
      <c r="C19755" s="27" t="n">
        <f aca="false">Sens!$C$19754-(Sens!F19744+Sens!G19744+Sens!H19744+Sens!I19744+Sens!J19744)</f>
        <v>0</v>
      </c>
      <c r="D19755" s="31"/>
      <c r="E19755" s="31"/>
      <c r="F19755" s="31"/>
      <c r="G19755" s="31"/>
      <c r="H19755" s="31"/>
      <c r="I19755" s="31"/>
      <c r="J19755" s="31"/>
      <c r="K19755" s="31"/>
    </row>
    <row r="19756" customFormat="false" ht="17.15" hidden="false" customHeight="false" outlineLevel="0" collapsed="false">
      <c r="A19756" s="1" t="s">
        <v>1090</v>
      </c>
      <c r="B19756" s="1" t="s">
        <v>1132</v>
      </c>
      <c r="C19756" s="33" t="str">
        <f aca="false">IF(SUM(Sens!F19747:J19747)&gt;0.05,"需要舉債 "&amp;TEXT(SUM(Sens!F19747:J19747),"0.0")&amp;" 十億美元","不需舉債")&amp;"；"&amp;IF(SUM(Sens!F19746:J19746)&lt;COUNT(Sens!F19746:J19746)*bb_target-0.05,"回購較每年 "&amp;TEXT(bb_target,"0.0")&amp;" 的目標少 "&amp;TEXT(COUNT(Sens!F19746:J19746)*bb_target-SUM(Sens!F19746:J19746),"0.0")&amp;" 十億美元（"&amp;TEXT(COUNTIF(Sens!F19746:J19746,"&lt;"&amp;(bb_target-0.05)),"0")&amp;" 年減少）","回購不減")</f>
        <v>需要舉債 16.6 十億美元；回購較每年 22.3 的目標少 44.5 十億美元（2 年減少）</v>
      </c>
    </row>
    <row r="19757" customFormat="false" ht="17.15" hidden="false" customHeight="false" outlineLevel="0" collapsed="false">
      <c r="A19757" s="3" t="s">
        <v>1968</v>
      </c>
    </row>
    <row r="19758" customFormat="false" ht="15" hidden="false" customHeight="false" outlineLevel="0" collapsed="false">
      <c r="A19758" s="4" t="s">
        <v>43</v>
      </c>
      <c r="B19758" s="4" t="s">
        <v>65</v>
      </c>
      <c r="C19758" s="23" t="s">
        <v>938</v>
      </c>
      <c r="D19758" s="23" t="s">
        <v>939</v>
      </c>
      <c r="E19758" s="23" t="s">
        <v>940</v>
      </c>
      <c r="F19758" s="23" t="s">
        <v>941</v>
      </c>
      <c r="G19758" s="23" t="s">
        <v>942</v>
      </c>
      <c r="H19758" s="23" t="s">
        <v>943</v>
      </c>
      <c r="I19758" s="23" t="s">
        <v>944</v>
      </c>
      <c r="J19758" s="23" t="s">
        <v>945</v>
      </c>
      <c r="K19758" s="23" t="s">
        <v>946</v>
      </c>
      <c r="L19758" s="4" t="s">
        <v>47</v>
      </c>
    </row>
    <row r="19759" customFormat="false" ht="17.15" hidden="false" customHeight="false" outlineLevel="0" collapsed="false">
      <c r="A19759" s="1" t="s">
        <v>1212</v>
      </c>
      <c r="B19759" s="1" t="s">
        <v>279</v>
      </c>
      <c r="F19759" s="8" t="n">
        <f aca="false">(1-v_off)*mid_yr</f>
        <v>0.373972602739726</v>
      </c>
      <c r="G19759" s="8" t="n">
        <f aca="false">Sens!G19609-base_fy-mid_yr-v_off</f>
        <v>1.24794520547945</v>
      </c>
      <c r="H19759" s="8" t="n">
        <f aca="false">Sens!H19609-base_fy-mid_yr-v_off</f>
        <v>2.24794520547945</v>
      </c>
      <c r="I19759" s="8" t="n">
        <f aca="false">Sens!I19609-base_fy-mid_yr-v_off</f>
        <v>3.24794520547945</v>
      </c>
      <c r="J19759" s="8" t="n">
        <f aca="false">Sens!J19609-base_fy-mid_yr-v_off</f>
        <v>4.24794520547945</v>
      </c>
      <c r="K19759" s="8" t="n">
        <f aca="false">Sens!K19609-base_fy-mid_yr-v_off</f>
        <v>5.24794520547945</v>
      </c>
      <c r="L19759" s="12" t="s">
        <v>1213</v>
      </c>
    </row>
    <row r="19760" customFormat="false" ht="15" hidden="false" customHeight="false" outlineLevel="0" collapsed="false">
      <c r="A19760" s="1" t="s">
        <v>1214</v>
      </c>
      <c r="B19760" s="1" t="s">
        <v>279</v>
      </c>
      <c r="F19760" s="8" t="n">
        <f aca="false">Sens!F19609-base_fy-v_off</f>
        <v>0.747945205479452</v>
      </c>
      <c r="G19760" s="8" t="n">
        <f aca="false">Sens!G19609-base_fy-v_off</f>
        <v>1.74794520547945</v>
      </c>
      <c r="H19760" s="8" t="n">
        <f aca="false">Sens!H19609-base_fy-v_off</f>
        <v>2.74794520547945</v>
      </c>
      <c r="I19760" s="8" t="n">
        <f aca="false">Sens!I19609-base_fy-v_off</f>
        <v>3.74794520547945</v>
      </c>
      <c r="J19760" s="8" t="n">
        <f aca="false">Sens!J19609-base_fy-v_off</f>
        <v>4.74794520547945</v>
      </c>
      <c r="K19760" s="8" t="n">
        <f aca="false">Sens!K19609-base_fy-v_off</f>
        <v>5.74794520547945</v>
      </c>
    </row>
    <row r="19761" customFormat="false" ht="15" hidden="false" customHeight="false" outlineLevel="0" collapsed="false">
      <c r="A19761" s="1" t="s">
        <v>1215</v>
      </c>
      <c r="B19761" s="0" t="s">
        <v>229</v>
      </c>
      <c r="F19761" s="15" t="n">
        <f aca="false">1/(1+wacc)^Sens!F19759</f>
        <v>0.964022703286649</v>
      </c>
      <c r="G19761" s="15" t="n">
        <f aca="false">1/(1+wacc)^Sens!G19759</f>
        <v>0.884910302296739</v>
      </c>
      <c r="H19761" s="15" t="n">
        <f aca="false">1/(1+wacc)^Sens!H19759</f>
        <v>0.802322009770358</v>
      </c>
      <c r="I19761" s="15" t="n">
        <f aca="false">1/(1+wacc)^Sens!I19759</f>
        <v>0.727441646561469</v>
      </c>
      <c r="J19761" s="15" t="n">
        <f aca="false">1/(1+wacc)^Sens!J19759</f>
        <v>0.659549834988973</v>
      </c>
      <c r="K19761" s="15" t="n">
        <f aca="false">1/(1+wacc)^Sens!K19759</f>
        <v>0.597994336576966</v>
      </c>
    </row>
    <row r="19762" customFormat="false" ht="17.15" hidden="false" customHeight="false" outlineLevel="0" collapsed="false">
      <c r="A19762" s="1" t="s">
        <v>1216</v>
      </c>
      <c r="B19762" s="0" t="s">
        <v>98</v>
      </c>
      <c r="F19762" s="6" t="n">
        <f aca="false">Q!$I$35-Q!$I$39-Q!$I$43</f>
        <v>9.666</v>
      </c>
      <c r="L19762" s="12" t="s">
        <v>1217</v>
      </c>
    </row>
    <row r="19763" customFormat="false" ht="17.15" hidden="false" customHeight="false" outlineLevel="0" collapsed="false">
      <c r="A19763" s="1" t="s">
        <v>1218</v>
      </c>
      <c r="B19763" s="0" t="s">
        <v>98</v>
      </c>
      <c r="F19763" s="6" t="n">
        <f aca="false">Sens!F19734-Sens!F19731-Sens!F19738+Sens!F19716*(1-tax_f)*(1-v_off)-Sens!F19762</f>
        <v>-7.96929992524755</v>
      </c>
      <c r="G19763" s="6" t="n">
        <f aca="false">Sens!G19734-Sens!G19731-Sens!G19738+Sens!G19716*(1-tax_f)</f>
        <v>26.5038357637223</v>
      </c>
      <c r="H19763" s="6" t="n">
        <f aca="false">Sens!H19734-Sens!H19731-Sens!H19738+Sens!H19716*(1-tax_f)</f>
        <v>77.8616886058009</v>
      </c>
      <c r="I19763" s="6" t="n">
        <f aca="false">Sens!I19734-Sens!I19731-Sens!I19738+Sens!I19716*(1-tax_f)</f>
        <v>158.369198235657</v>
      </c>
      <c r="J19763" s="6" t="n">
        <f aca="false">Sens!J19734-Sens!J19731-Sens!J19738+Sens!J19716*(1-tax_f)</f>
        <v>239.283600761977</v>
      </c>
      <c r="K19763" s="6" t="n">
        <f aca="false">Sens!K19734-Sens!K19731-Sens!K19738+Sens!K19716*(1-tax_f)</f>
        <v>278.983193404147</v>
      </c>
      <c r="L19763" s="1" t="s">
        <v>1219</v>
      </c>
    </row>
    <row r="19764" customFormat="false" ht="15" hidden="false" customHeight="false" outlineLevel="0" collapsed="false">
      <c r="A19764" s="1" t="s">
        <v>1220</v>
      </c>
      <c r="B19764" s="0" t="s">
        <v>98</v>
      </c>
      <c r="F19764" s="6" t="n">
        <f aca="false">Sens!F19763*Sens!F19761</f>
        <v>-7.68258605723923</v>
      </c>
      <c r="G19764" s="6" t="n">
        <f aca="false">Sens!G19763*Sens!G19761</f>
        <v>23.4535173176986</v>
      </c>
      <c r="H19764" s="6" t="n">
        <f aca="false">Sens!H19763*Sens!H19761</f>
        <v>62.47014648632</v>
      </c>
      <c r="I19764" s="6" t="n">
        <f aca="false">Sens!I19763*Sens!I19761</f>
        <v>115.204350329166</v>
      </c>
      <c r="J19764" s="6" t="n">
        <f aca="false">Sens!J19763*Sens!J19761</f>
        <v>157.819459398129</v>
      </c>
      <c r="K19764" s="6" t="n">
        <f aca="false">Sens!K19763*Sens!K19761</f>
        <v>166.830369655836</v>
      </c>
    </row>
    <row r="19765" customFormat="false" ht="17.15" hidden="false" customHeight="false" outlineLevel="0" collapsed="false">
      <c r="A19765" s="1" t="s">
        <v>1221</v>
      </c>
      <c r="B19765" s="0" t="s">
        <v>98</v>
      </c>
      <c r="C19765" s="6" t="n">
        <f aca="false">SUM(Sens!F19764:K19764)</f>
        <v>518.095257129911</v>
      </c>
    </row>
    <row r="19766" customFormat="false" ht="17.15" hidden="false" customHeight="false" outlineLevel="0" collapsed="false">
      <c r="A19766" s="1" t="s">
        <v>1222</v>
      </c>
      <c r="B19766" s="0" t="s">
        <v>98</v>
      </c>
      <c r="C19766" s="6" t="n">
        <f aca="false">Sens!K19702*(1+g_tv)*(1-tax_f)</f>
        <v>289.658851143197</v>
      </c>
    </row>
    <row r="19767" customFormat="false" ht="17.15" hidden="false" customHeight="false" outlineLevel="0" collapsed="false">
      <c r="A19767" s="1" t="s">
        <v>1223</v>
      </c>
      <c r="B19767" s="0" t="s">
        <v>98</v>
      </c>
      <c r="C19767" s="6" t="n">
        <f aca="false">Sens!$C$19766*(1-g_tv/(wacc+ronic_prem))</f>
        <v>205.240225516781</v>
      </c>
    </row>
    <row r="19768" customFormat="false" ht="17.15" hidden="false" customHeight="false" outlineLevel="0" collapsed="false">
      <c r="A19768" s="1" t="s">
        <v>1224</v>
      </c>
      <c r="B19768" s="0" t="s">
        <v>98</v>
      </c>
      <c r="C19768" s="6" t="n">
        <f aca="false">Sens!$C$19767/(wacc-g_tv)</f>
        <v>2813.9541875472</v>
      </c>
    </row>
    <row r="19769" customFormat="false" ht="15" hidden="false" customHeight="false" outlineLevel="0" collapsed="false">
      <c r="A19769" s="1" t="s">
        <v>1225</v>
      </c>
      <c r="B19769" s="0" t="s">
        <v>98</v>
      </c>
      <c r="C19769" s="6" t="n">
        <f aca="false">Sens!$C$19768/(1+wacc)^Sens!K19760</f>
        <v>1602.28150996647</v>
      </c>
    </row>
    <row r="19770" customFormat="false" ht="17.15" hidden="false" customHeight="false" outlineLevel="0" collapsed="false">
      <c r="A19770" s="0" t="s">
        <v>1226</v>
      </c>
      <c r="B19770" s="0" t="s">
        <v>98</v>
      </c>
      <c r="C19770" s="6" t="n">
        <f aca="false">Sens!$C$19765+Sens!$C$19769</f>
        <v>2120.37676709638</v>
      </c>
    </row>
    <row r="19771" customFormat="false" ht="15" hidden="false" customHeight="false" outlineLevel="0" collapsed="false">
      <c r="A19771" s="1" t="s">
        <v>1141</v>
      </c>
      <c r="B19771" s="0" t="s">
        <v>168</v>
      </c>
      <c r="C19771" s="7" t="n">
        <f aca="false">Sens!$C$19769/Sens!$C$19770</f>
        <v>0.755658869136081</v>
      </c>
    </row>
    <row r="19772" customFormat="false" ht="17.15" hidden="false" customHeight="false" outlineLevel="0" collapsed="false">
      <c r="A19772" s="1" t="s">
        <v>1227</v>
      </c>
      <c r="B19772" s="0" t="s">
        <v>98</v>
      </c>
      <c r="C19772" s="6" t="n">
        <f aca="false">Sens!$C$19770+cash_val-debt_val-fl_val+oai_v</f>
        <v>2236.22776709638</v>
      </c>
    </row>
    <row r="19773" customFormat="false" ht="17.15" hidden="false" customHeight="false" outlineLevel="0" collapsed="false">
      <c r="A19773" s="0" t="s">
        <v>1149</v>
      </c>
      <c r="B19773" s="0" t="s">
        <v>75</v>
      </c>
      <c r="C19773" s="5" t="n">
        <f aca="false">Sens!$C$19772/shd_val</f>
        <v>300.326049838353</v>
      </c>
    </row>
    <row r="19774" customFormat="false" ht="15" hidden="false" customHeight="false" outlineLevel="0" collapsed="false">
      <c r="A19774" s="1" t="s">
        <v>1228</v>
      </c>
      <c r="B19774" s="0" t="s">
        <v>75</v>
      </c>
      <c r="C19774" s="8" t="n">
        <f aca="false">div_rem27+Sens!G19742*roll_div_q/q_per_yr</f>
        <v>3.9795</v>
      </c>
    </row>
    <row r="19775" customFormat="false" ht="17.15" hidden="false" customHeight="false" outlineLevel="0" collapsed="false">
      <c r="A19775" s="0" t="s">
        <v>1229</v>
      </c>
      <c r="B19775" s="0" t="s">
        <v>75</v>
      </c>
      <c r="C19775" s="5" t="n">
        <f aca="false">Sens!$C$19773*(1+wacc)^t_roll-Sens!$C$19774</f>
        <v>329.84966581556</v>
      </c>
    </row>
    <row r="19776" customFormat="false" ht="17.15" hidden="false" customHeight="false" outlineLevel="0" collapsed="false">
      <c r="A19776" s="1" t="s">
        <v>1230</v>
      </c>
      <c r="B19776" s="0" t="s">
        <v>168</v>
      </c>
      <c r="F19776" s="7" t="n">
        <f aca="false">Sens!F19728/(Sens!F19673-Sens!F19628)</f>
        <v>0.0686514831493455</v>
      </c>
      <c r="G19776" s="7" t="n">
        <f aca="false">Sens!G19728/(Sens!G19673-Sens!G19628)</f>
        <v>0.0658547074657563</v>
      </c>
      <c r="H19776" s="7" t="n">
        <f aca="false">Sens!H19728/(Sens!H19673-Sens!H19628)</f>
        <v>0.0644020416068999</v>
      </c>
      <c r="I19776" s="7" t="n">
        <f aca="false">Sens!I19728/(Sens!I19673-Sens!I19628)</f>
        <v>0.0641726942066094</v>
      </c>
      <c r="J19776" s="7" t="n">
        <f aca="false">Sens!J19728/(Sens!J19673-Sens!J19628)</f>
        <v>0.0648844220214877</v>
      </c>
      <c r="K19776" s="7" t="n">
        <f aca="false">Sens!K19728/(Sens!K19673-Sens!K19628)</f>
        <v>0.0661900588185131</v>
      </c>
    </row>
    <row r="19777" customFormat="false" ht="17.15" hidden="false" customHeight="false" outlineLevel="0" collapsed="false">
      <c r="A19777" s="0" t="s">
        <v>1231</v>
      </c>
      <c r="B19777" s="0" t="s">
        <v>98</v>
      </c>
      <c r="F19777" s="6" t="n">
        <f aca="false">Sens!F19658*(al_m365+Sens!F19776+sbc_r)</f>
        <v>83.7243466825884</v>
      </c>
      <c r="G19777" s="6" t="n">
        <f aca="false">Sens!G19658*(al_m365+Sens!G19776+sbc_r)</f>
        <v>96.1330489690607</v>
      </c>
      <c r="H19777" s="6" t="n">
        <f aca="false">Sens!H19658*(al_m365+Sens!H19776+sbc_r)</f>
        <v>108.705473731326</v>
      </c>
      <c r="I19777" s="6" t="n">
        <f aca="false">Sens!I19658*(al_m365+Sens!I19776+sbc_r)</f>
        <v>120.260963970626</v>
      </c>
      <c r="J19777" s="6" t="n">
        <f aca="false">Sens!J19658*(al_m365+Sens!J19776+sbc_r)</f>
        <v>130.611636982913</v>
      </c>
      <c r="K19777" s="6" t="n">
        <f aca="false">Sens!K19658*(al_m365+Sens!K19776+sbc_r)</f>
        <v>140.573619713848</v>
      </c>
      <c r="L19777" s="12" t="s">
        <v>1232</v>
      </c>
    </row>
    <row r="19778" customFormat="false" ht="17.15" hidden="false" customHeight="false" outlineLevel="0" collapsed="false">
      <c r="A19778" s="0" t="s">
        <v>1233</v>
      </c>
      <c r="B19778" s="0" t="s">
        <v>98</v>
      </c>
      <c r="F19778" s="6" t="n">
        <f aca="false">Sens!F19659*(al_lic+Sens!F19776+sbc_r)</f>
        <v>32.8589908285227</v>
      </c>
      <c r="G19778" s="6" t="n">
        <f aca="false">Sens!G19659*(al_lic+Sens!G19776+sbc_r)</f>
        <v>34.1384808794607</v>
      </c>
      <c r="H19778" s="6" t="n">
        <f aca="false">Sens!H19659*(al_lic+Sens!H19776+sbc_r)</f>
        <v>35.3330921144727</v>
      </c>
      <c r="I19778" s="6" t="n">
        <f aca="false">Sens!I19659*(al_lic+Sens!I19776+sbc_r)</f>
        <v>36.424690157921</v>
      </c>
      <c r="J19778" s="6" t="n">
        <f aca="false">Sens!J19659*(al_lic+Sens!J19776+sbc_r)</f>
        <v>37.3878774957198</v>
      </c>
      <c r="K19778" s="6" t="n">
        <f aca="false">Sens!K19659*(al_lic+Sens!K19776+sbc_r)</f>
        <v>38.1940572160539</v>
      </c>
    </row>
    <row r="19779" customFormat="false" ht="17.15" hidden="false" customHeight="false" outlineLevel="0" collapsed="false">
      <c r="A19779" s="0" t="s">
        <v>1234</v>
      </c>
      <c r="B19779" s="0" t="s">
        <v>98</v>
      </c>
      <c r="F19779" s="6" t="n">
        <f aca="false">Sens!F19661*(al_ind+Sens!F19776+sbc_r)</f>
        <v>9.06112925988168</v>
      </c>
      <c r="G19779" s="6" t="n">
        <f aca="false">Sens!G19661*(al_ind+Sens!G19776+sbc_r)</f>
        <v>9.83671165993992</v>
      </c>
      <c r="H19779" s="6" t="n">
        <f aca="false">Sens!H19661*(al_ind+Sens!H19776+sbc_r)</f>
        <v>10.6573470185644</v>
      </c>
      <c r="I19779" s="6" t="n">
        <f aca="false">Sens!I19661*(al_ind+Sens!I19776+sbc_r)</f>
        <v>11.5200015352416</v>
      </c>
      <c r="J19779" s="6" t="n">
        <f aca="false">Sens!J19661*(al_ind+Sens!J19776+sbc_r)</f>
        <v>12.41496425403</v>
      </c>
      <c r="K19779" s="6" t="n">
        <f aca="false">Sens!K19661*(al_ind+Sens!K19776+sbc_r)</f>
        <v>13.3271276280925</v>
      </c>
    </row>
    <row r="19780" customFormat="false" ht="17.15" hidden="false" customHeight="false" outlineLevel="0" collapsed="false">
      <c r="A19780" s="0" t="s">
        <v>1235</v>
      </c>
      <c r="B19780" s="0" t="s">
        <v>98</v>
      </c>
      <c r="F19780" s="6" t="n">
        <f aca="false">Sens!F19663*(al_fro+Sens!F19776+sbc_r)</f>
        <v>3.55430888783729</v>
      </c>
      <c r="G19780" s="6" t="n">
        <f aca="false">Sens!G19663*(al_fro+Sens!G19776+sbc_r)</f>
        <v>3.76381417516288</v>
      </c>
      <c r="H19780" s="6" t="n">
        <f aca="false">Sens!H19663*(al_fro+Sens!H19776+sbc_r)</f>
        <v>4.00233399784745</v>
      </c>
      <c r="I19780" s="6" t="n">
        <f aca="false">Sens!I19663*(al_fro+Sens!I19776+sbc_r)</f>
        <v>4.27263006304957</v>
      </c>
      <c r="J19780" s="6" t="n">
        <f aca="false">Sens!J19663*(al_fro+Sens!J19776+sbc_r)</f>
        <v>4.57584587921172</v>
      </c>
      <c r="K19780" s="6" t="n">
        <f aca="false">Sens!K19663*(al_fro+Sens!K19776+sbc_r)</f>
        <v>4.91204652634743</v>
      </c>
    </row>
    <row r="19781" customFormat="false" ht="17.15" hidden="false" customHeight="false" outlineLevel="0" collapsed="false">
      <c r="A19781" s="0" t="s">
        <v>1236</v>
      </c>
      <c r="B19781" s="0" t="s">
        <v>98</v>
      </c>
      <c r="F19781" s="6" t="n">
        <f aca="false">Sens!F19666*(al_srch+Sens!F19776+sbc_r)</f>
        <v>11.1899698856341</v>
      </c>
      <c r="G19781" s="6" t="n">
        <f aca="false">Sens!G19666*(al_srch+Sens!G19776+sbc_r)</f>
        <v>12.2623881589886</v>
      </c>
      <c r="H19781" s="6" t="n">
        <f aca="false">Sens!H19666*(al_srch+Sens!H19776+sbc_r)</f>
        <v>13.3799019111661</v>
      </c>
      <c r="I19781" s="6" t="n">
        <f aca="false">Sens!I19666*(al_srch+Sens!I19776+sbc_r)</f>
        <v>14.5318935960892</v>
      </c>
      <c r="J19781" s="6" t="n">
        <f aca="false">Sens!J19666*(al_srch+Sens!J19776+sbc_r)</f>
        <v>15.6983804393334</v>
      </c>
      <c r="K19781" s="6" t="n">
        <f aca="false">Sens!K19666*(al_srch+Sens!K19776+sbc_r)</f>
        <v>16.8517859083995</v>
      </c>
    </row>
    <row r="19782" customFormat="false" ht="17.15" hidden="false" customHeight="false" outlineLevel="0" collapsed="false">
      <c r="A19782" s="0" t="s">
        <v>1237</v>
      </c>
      <c r="B19782" s="0" t="s">
        <v>98</v>
      </c>
      <c r="F19782" s="6" t="n">
        <f aca="false">Sens!F19634-Sens!F19635+Sens!F19716</f>
        <v>43.8929930670309</v>
      </c>
      <c r="G19782" s="6" t="n">
        <f aca="false">Sens!G19634-Sens!G19635+Sens!G19716</f>
        <v>84.733235817535</v>
      </c>
      <c r="H19782" s="6" t="n">
        <f aca="false">Sens!H19634-Sens!H19635+Sens!H19716</f>
        <v>128.589055156741</v>
      </c>
      <c r="I19782" s="6" t="n">
        <f aca="false">Sens!I19634-Sens!I19635+Sens!I19716</f>
        <v>168.017969702905</v>
      </c>
      <c r="J19782" s="6" t="n">
        <f aca="false">Sens!J19634-Sens!J19635+Sens!J19716</f>
        <v>195.965800919331</v>
      </c>
      <c r="K19782" s="6" t="n">
        <f aca="false">Sens!K19634-Sens!K19635+Sens!K19716</f>
        <v>213.649670786631</v>
      </c>
    </row>
    <row r="19783" customFormat="false" ht="17.15" hidden="false" customHeight="false" outlineLevel="0" collapsed="false">
      <c r="A19783" s="0" t="s">
        <v>1238</v>
      </c>
      <c r="B19783" s="0" t="s">
        <v>98</v>
      </c>
      <c r="F19783" s="6" t="n">
        <f aca="false">Sens!F19695+Sens!F19716+Sens!F19646+Sens!F19776*(Sens!F19665-Sens!F19628)+sbc_r*Sens!F19665</f>
        <v>239.316210746886</v>
      </c>
      <c r="G19783" s="6" t="n">
        <f aca="false">Sens!G19695+Sens!G19716+Sens!G19646+Sens!G19776*(Sens!G19665-Sens!G19628)+sbc_r*Sens!G19665</f>
        <v>303.059414861729</v>
      </c>
      <c r="H19783" s="6" t="n">
        <f aca="false">Sens!H19695+Sens!H19716+Sens!H19646+Sens!H19776*(Sens!H19665-Sens!H19628)+sbc_r*Sens!H19665</f>
        <v>374.695107349606</v>
      </c>
      <c r="I19783" s="6" t="n">
        <f aca="false">Sens!I19695+Sens!I19716+Sens!I19646+Sens!I19776*(Sens!I19665-Sens!I19628)+sbc_r*Sens!I19665</f>
        <v>440.522017850981</v>
      </c>
      <c r="J19783" s="6" t="n">
        <f aca="false">Sens!J19695+Sens!J19716+Sens!J19646+Sens!J19776*(Sens!J19665-Sens!J19628)+sbc_r*Sens!J19665</f>
        <v>492.403907032311</v>
      </c>
      <c r="K19783" s="6" t="n">
        <f aca="false">Sens!K19695+Sens!K19716+Sens!K19646+Sens!K19776*(Sens!K19665-Sens!K19628)+sbc_r*Sens!K19665</f>
        <v>531.633599708379</v>
      </c>
    </row>
    <row r="19784" customFormat="false" ht="17.15" hidden="false" customHeight="false" outlineLevel="0" collapsed="false">
      <c r="A19784" s="0" t="s">
        <v>1239</v>
      </c>
      <c r="B19784" s="0" t="s">
        <v>98</v>
      </c>
      <c r="F19784" s="6" t="n">
        <f aca="false">Sens!F19783-Sens!F19777-Sens!F19778-Sens!F19779-Sens!F19780-Sens!F19782</f>
        <v>66.2244420210255</v>
      </c>
      <c r="G19784" s="6" t="n">
        <f aca="false">Sens!G19783-Sens!G19777-Sens!G19778-Sens!G19779-Sens!G19780-Sens!G19782</f>
        <v>74.45412336057</v>
      </c>
      <c r="H19784" s="6" t="n">
        <f aca="false">Sens!H19783-Sens!H19777-Sens!H19778-Sens!H19779-Sens!H19780-Sens!H19782</f>
        <v>87.4078053306542</v>
      </c>
      <c r="I19784" s="6" t="n">
        <f aca="false">Sens!I19783-Sens!I19777-Sens!I19778-Sens!I19779-Sens!I19780-Sens!I19782</f>
        <v>100.025762421238</v>
      </c>
      <c r="J19784" s="6" t="n">
        <f aca="false">Sens!J19783-Sens!J19777-Sens!J19778-Sens!J19779-Sens!J19780-Sens!J19782</f>
        <v>111.447781501105</v>
      </c>
      <c r="K19784" s="6" t="n">
        <f aca="false">Sens!K19783-Sens!K19777-Sens!K19778-Sens!K19779-Sens!K19780-Sens!K19782</f>
        <v>120.977077837405</v>
      </c>
    </row>
    <row r="19785" customFormat="false" ht="17.15" hidden="false" customHeight="false" outlineLevel="0" collapsed="false">
      <c r="A19785" s="0" t="s">
        <v>1240</v>
      </c>
      <c r="B19785" s="0" t="s">
        <v>98</v>
      </c>
      <c r="F19785" s="6" t="n">
        <f aca="false">Sens!F19697+Sens!F19776*Sens!F19672+sbc_r*Sens!F19672</f>
        <v>26.6356888812816</v>
      </c>
      <c r="G19785" s="6" t="n">
        <f aca="false">Sens!G19697+Sens!G19776*Sens!G19672+sbc_r*Sens!G19672</f>
        <v>26.4735009719706</v>
      </c>
      <c r="H19785" s="6" t="n">
        <f aca="false">Sens!H19697+Sens!H19776*Sens!H19672+sbc_r*Sens!H19672</f>
        <v>27.3476505088021</v>
      </c>
      <c r="I19785" s="6" t="n">
        <f aca="false">Sens!I19697+Sens!I19776*Sens!I19672+sbc_r*Sens!I19672</f>
        <v>28.4578258269009</v>
      </c>
      <c r="J19785" s="6" t="n">
        <f aca="false">Sens!J19697+Sens!J19776*Sens!J19672+sbc_r*Sens!J19672</f>
        <v>29.768881578394</v>
      </c>
      <c r="K19785" s="6" t="n">
        <f aca="false">Sens!K19697+Sens!K19776*Sens!K19672+sbc_r*Sens!K19672</f>
        <v>31.2438176769329</v>
      </c>
    </row>
    <row r="19786" customFormat="false" ht="17.15" hidden="false" customHeight="false" outlineLevel="0" collapsed="false">
      <c r="A19786" s="0" t="s">
        <v>1241</v>
      </c>
      <c r="B19786" s="0" t="s">
        <v>98</v>
      </c>
      <c r="F19786" s="6" t="n">
        <f aca="false">(Sens!F19785-Sens!F19781)*Sens!F19668/(Sens!F19668+Sens!F19670)</f>
        <v>8.72351841165084</v>
      </c>
      <c r="G19786" s="6" t="n">
        <f aca="false">(Sens!G19785-Sens!G19781)*Sens!G19668/(Sens!G19668+Sens!G19670)</f>
        <v>7.88828960888352</v>
      </c>
      <c r="H19786" s="6" t="n">
        <f aca="false">(Sens!H19785-Sens!H19781)*Sens!H19668/(Sens!H19668+Sens!H19670)</f>
        <v>7.65220197274894</v>
      </c>
      <c r="I19786" s="6" t="n">
        <f aca="false">(Sens!I19785-Sens!I19781)*Sens!I19668/(Sens!I19668+Sens!I19670)</f>
        <v>7.56270103085701</v>
      </c>
      <c r="J19786" s="6" t="n">
        <f aca="false">(Sens!J19785-Sens!J19781)*Sens!J19668/(Sens!J19668+Sens!J19670)</f>
        <v>7.60787325286006</v>
      </c>
      <c r="K19786" s="6" t="n">
        <f aca="false">(Sens!K19785-Sens!K19781)*Sens!K19668/(Sens!K19668+Sens!K19670)</f>
        <v>7.78172379675792</v>
      </c>
    </row>
    <row r="19787" customFormat="false" ht="17.15" hidden="false" customHeight="false" outlineLevel="0" collapsed="false">
      <c r="A19787" s="0" t="s">
        <v>1242</v>
      </c>
      <c r="B19787" s="0" t="s">
        <v>98</v>
      </c>
      <c r="F19787" s="6" t="n">
        <f aca="false">Sens!F19785-Sens!F19781-Sens!F19786</f>
        <v>6.72220058399663</v>
      </c>
      <c r="G19787" s="6" t="n">
        <f aca="false">Sens!G19785-Sens!G19781-Sens!G19786</f>
        <v>6.32282320409852</v>
      </c>
      <c r="H19787" s="6" t="n">
        <f aca="false">Sens!H19785-Sens!H19781-Sens!H19786</f>
        <v>6.31554662488708</v>
      </c>
      <c r="I19787" s="6" t="n">
        <f aca="false">Sens!I19785-Sens!I19781-Sens!I19786</f>
        <v>6.36323119995474</v>
      </c>
      <c r="J19787" s="6" t="n">
        <f aca="false">Sens!J19785-Sens!J19781-Sens!J19786</f>
        <v>6.46262788620058</v>
      </c>
      <c r="K19787" s="6" t="n">
        <f aca="false">Sens!K19785-Sens!K19781-Sens!K19786</f>
        <v>6.61030797177549</v>
      </c>
    </row>
    <row r="19788" customFormat="false" ht="17.15" hidden="false" customHeight="false" outlineLevel="0" collapsed="false">
      <c r="A19788" s="0" t="s">
        <v>1243</v>
      </c>
      <c r="B19788" s="0" t="s">
        <v>98</v>
      </c>
      <c r="F19788" s="6" t="n">
        <f aca="false">Sens!F19782-tax_f*(Sens!F19782-Sens!F19646)-Sens!F19643</f>
        <v>-131.977217518755</v>
      </c>
      <c r="G19788" s="6" t="n">
        <f aca="false">Sens!G19782-tax_f*(Sens!G19782-Sens!G19646)-Sens!G19643</f>
        <v>-117.830189050635</v>
      </c>
      <c r="H19788" s="6" t="n">
        <f aca="false">Sens!H19782-tax_f*(Sens!H19782-Sens!H19646)-Sens!H19643</f>
        <v>-81.7302993886934</v>
      </c>
      <c r="I19788" s="6" t="n">
        <f aca="false">Sens!I19782-tax_f*(Sens!I19782-Sens!I19646)-Sens!I19643</f>
        <v>-16.0951489661193</v>
      </c>
      <c r="J19788" s="6" t="n">
        <f aca="false">Sens!J19782-tax_f*(Sens!J19782-Sens!J19646)-Sens!J19643</f>
        <v>50.8005322920132</v>
      </c>
      <c r="K19788" s="6" t="n">
        <f aca="false">Sens!K19782-tax_f*(Sens!K19782-Sens!K19646)-Sens!K19643</f>
        <v>77.2791318931092</v>
      </c>
    </row>
    <row r="19789" customFormat="false" ht="17.15" hidden="false" customHeight="false" outlineLevel="0" collapsed="false">
      <c r="A19789" s="0" t="s">
        <v>1244</v>
      </c>
      <c r="B19789" s="0" t="s">
        <v>98</v>
      </c>
      <c r="G19789" s="6" t="n">
        <f aca="false">Sens!G19788/(1+wacc)^(Sens!G19759-Sens!F19760)</f>
        <v>-112.197014809084</v>
      </c>
      <c r="H19789" s="6" t="n">
        <f aca="false">Sens!H19788/(1+wacc)^(Sens!H19759-Sens!F19760)</f>
        <v>-70.559788796782</v>
      </c>
      <c r="I19789" s="6" t="n">
        <f aca="false">Sens!I19788/(1+wacc)^(Sens!I19759-Sens!F19760)</f>
        <v>-12.5984941273665</v>
      </c>
      <c r="J19789" s="6" t="n">
        <f aca="false">Sens!J19788/(1+wacc)^(Sens!J19759-Sens!F19760)</f>
        <v>36.0529955606481</v>
      </c>
      <c r="K19789" s="6" t="n">
        <f aca="false">Sens!K19788/(1+wacc)^(Sens!K19759-Sens!F19760)</f>
        <v>49.7261438469703</v>
      </c>
      <c r="L19789" s="1" t="s">
        <v>1245</v>
      </c>
    </row>
    <row r="19790" customFormat="false" ht="17.15" hidden="false" customHeight="false" outlineLevel="0" collapsed="false">
      <c r="A19790" s="0" t="s">
        <v>1246</v>
      </c>
      <c r="B19790" s="0" t="s">
        <v>98</v>
      </c>
      <c r="C19790" s="6" t="n">
        <f aca="false">(Sens!K19782-Sens!K19646)*(1-tax_f)*(1+g_tv)*(1-g_tv/(wacc+ronic_prem))/(wacc-g_tv)/(1+wacc)^(Sens!K19760-Sens!F19760)</f>
        <v>322.151346397487</v>
      </c>
    </row>
    <row r="19791" customFormat="false" ht="17.15" hidden="false" customHeight="false" outlineLevel="0" collapsed="false">
      <c r="A19791" s="1" t="s">
        <v>1247</v>
      </c>
      <c r="B19791" s="0" t="s">
        <v>98</v>
      </c>
      <c r="C19791" s="6" t="n">
        <f aca="false">(SUM(Sens!G19789:K19789)+Sens!$C$19790)*(1+wacc)^(t_roll-Sens!F19760)</f>
        <v>219.59293790521</v>
      </c>
      <c r="L19791" s="12" t="s">
        <v>1248</v>
      </c>
    </row>
    <row r="19792" customFormat="false" ht="17.15" hidden="false" customHeight="false" outlineLevel="0" collapsed="false">
      <c r="A19792" s="1" t="s">
        <v>1249</v>
      </c>
      <c r="B19792" s="0" t="s">
        <v>98</v>
      </c>
      <c r="C19792" s="6" t="n">
        <f aca="false">(w_ntm28*Sens!G19634+(1-w_ntm28)*Sens!H19634)*m_ai</f>
        <v>480.088737611762</v>
      </c>
    </row>
    <row r="19793" customFormat="false" ht="17.15" hidden="false" customHeight="false" outlineLevel="0" collapsed="false">
      <c r="A19793" s="1" t="s">
        <v>1250</v>
      </c>
      <c r="B19793" s="0" t="s">
        <v>98</v>
      </c>
      <c r="C19793" s="6" t="n">
        <f aca="false">(w_ntm28*Sens!G19784+(1-w_ntm28)*Sens!H19784)*m_cloud</f>
        <v>1087.8118373888</v>
      </c>
    </row>
    <row r="19794" customFormat="false" ht="17.15" hidden="false" customHeight="false" outlineLevel="0" collapsed="false">
      <c r="A19794" s="1" t="s">
        <v>1251</v>
      </c>
      <c r="B19794" s="0" t="s">
        <v>98</v>
      </c>
      <c r="C19794" s="6" t="n">
        <f aca="false">(w_ntm28*Sens!G19777+(1-w_ntm28)*Sens!H19777)*m_sw</f>
        <v>1082.87764802173</v>
      </c>
    </row>
    <row r="19795" customFormat="false" ht="17.15" hidden="false" customHeight="false" outlineLevel="0" collapsed="false">
      <c r="A19795" s="1" t="s">
        <v>1252</v>
      </c>
      <c r="B19795" s="0" t="s">
        <v>98</v>
      </c>
      <c r="C19795" s="6" t="n">
        <f aca="false">(w_ntm28*Sens!G19778+(1-w_ntm28)*Sens!H19778)*m_sw</f>
        <v>372.937281609342</v>
      </c>
    </row>
    <row r="19796" customFormat="false" ht="17.15" hidden="false" customHeight="false" outlineLevel="0" collapsed="false">
      <c r="A19796" s="1" t="s">
        <v>1253</v>
      </c>
      <c r="B19796" s="0" t="s">
        <v>98</v>
      </c>
      <c r="C19796" s="6" t="n">
        <f aca="false">(w_ntm28*Sens!G19779+(1-w_ntm28)*Sens!H19779)*m_sw</f>
        <v>109.150303529481</v>
      </c>
    </row>
    <row r="19797" customFormat="false" ht="17.15" hidden="false" customHeight="false" outlineLevel="0" collapsed="false">
      <c r="A19797" s="1" t="s">
        <v>1254</v>
      </c>
      <c r="B19797" s="0" t="s">
        <v>98</v>
      </c>
      <c r="C19797" s="6" t="n">
        <f aca="false">(w_ntm28*Sens!G19780+(1-w_ntm28)*Sens!H19780)*m_sw</f>
        <v>41.4961018320309</v>
      </c>
    </row>
    <row r="19798" customFormat="false" ht="17.15" hidden="false" customHeight="false" outlineLevel="0" collapsed="false">
      <c r="A19798" s="1" t="s">
        <v>1255</v>
      </c>
      <c r="B19798" s="0" t="s">
        <v>98</v>
      </c>
      <c r="C19798" s="6" t="n">
        <f aca="false">(w_ntm28*Sens!G19781+(1-w_ntm28)*Sens!H19781)*m_ads</f>
        <v>115.057386358195</v>
      </c>
    </row>
    <row r="19799" customFormat="false" ht="17.15" hidden="false" customHeight="false" outlineLevel="0" collapsed="false">
      <c r="A19799" s="1" t="s">
        <v>1256</v>
      </c>
      <c r="B19799" s="0" t="s">
        <v>98</v>
      </c>
      <c r="C19799" s="6" t="n">
        <f aca="false">(w_ntm28*Sens!G19786+(1-w_ntm28)*Sens!H19786)*m_game</f>
        <v>98.6487842771151</v>
      </c>
    </row>
    <row r="19800" customFormat="false" ht="17.15" hidden="false" customHeight="false" outlineLevel="0" collapsed="false">
      <c r="A19800" s="1" t="s">
        <v>1257</v>
      </c>
      <c r="B19800" s="0" t="s">
        <v>98</v>
      </c>
      <c r="C19800" s="6" t="n">
        <f aca="false">(w_ntm28*Sens!G19787+(1-w_ntm28)*Sens!H19787)*m_pc</f>
        <v>91.4566351820926</v>
      </c>
    </row>
    <row r="19801" customFormat="false" ht="17.15" hidden="false" customHeight="false" outlineLevel="0" collapsed="false">
      <c r="A19801" s="1" t="s">
        <v>1258</v>
      </c>
      <c r="B19801" s="0" t="s">
        <v>98</v>
      </c>
      <c r="C19801" s="6" t="n">
        <f aca="false">Sens!$C$19791+Sens!$C$19793+Sens!$C$19794+Sens!$C$19795+Sens!$C$19796+Sens!$C$19797+Sens!$C$19798+Sens!$C$19799+Sens!$C$19800</f>
        <v>3219.028916104</v>
      </c>
    </row>
    <row r="19802" customFormat="false" ht="17.15" hidden="false" customHeight="false" outlineLevel="0" collapsed="false">
      <c r="A19802" s="1" t="s">
        <v>1259</v>
      </c>
      <c r="B19802" s="0" t="s">
        <v>98</v>
      </c>
      <c r="C19802" s="6" t="n">
        <f aca="false">(Sens!G19763-Sens!G19788)*t_stub</f>
        <v>47.8477178151705</v>
      </c>
      <c r="L19802" s="1" t="s">
        <v>1260</v>
      </c>
    </row>
    <row r="19803" customFormat="false" ht="17.15" hidden="false" customHeight="false" outlineLevel="0" collapsed="false">
      <c r="A19803" s="1" t="s">
        <v>1169</v>
      </c>
      <c r="B19803" s="0" t="s">
        <v>98</v>
      </c>
      <c r="C19803" s="6" t="n">
        <f aca="false">Sens!F19750+oai_v-Sens!F19739+Sens!$C$19802</f>
        <v>157.593738945627</v>
      </c>
      <c r="L19803" s="1" t="s">
        <v>1261</v>
      </c>
    </row>
    <row r="19804" customFormat="false" ht="17.15" hidden="false" customHeight="false" outlineLevel="0" collapsed="false">
      <c r="A19804" s="1" t="s">
        <v>1262</v>
      </c>
      <c r="B19804" s="0" t="s">
        <v>75</v>
      </c>
      <c r="C19804" s="5" t="n">
        <f aca="false">(Sens!$C$19801+Sens!$C$19803)/(Sens!F19752+dil_gap)-Sens!G19742*roll_div_q/q_per_yr</f>
        <v>449.417097525297</v>
      </c>
      <c r="L19804" s="1" t="s">
        <v>1263</v>
      </c>
    </row>
    <row r="19805" customFormat="false" ht="17.15" hidden="false" customHeight="false" outlineLevel="0" collapsed="false">
      <c r="A19805" s="1" t="s">
        <v>1264</v>
      </c>
      <c r="B19805" s="0" t="s">
        <v>75</v>
      </c>
      <c r="C19805" s="5" t="n">
        <f aca="false">w_dcf*Sens!$C$19775+(1-w_dcf)*Sens!$C$19804</f>
        <v>389.633381670428</v>
      </c>
    </row>
    <row r="19806" customFormat="false" ht="17.15" hidden="false" customHeight="false" outlineLevel="0" collapsed="false">
      <c r="A19806" s="3" t="s">
        <v>1969</v>
      </c>
    </row>
    <row r="19807" customFormat="false" ht="15" hidden="false" customHeight="false" outlineLevel="0" collapsed="false">
      <c r="A19807" s="4" t="s">
        <v>43</v>
      </c>
      <c r="B19807" s="4" t="s">
        <v>65</v>
      </c>
      <c r="C19807" s="23" t="s">
        <v>938</v>
      </c>
      <c r="D19807" s="23" t="s">
        <v>939</v>
      </c>
      <c r="E19807" s="23" t="s">
        <v>940</v>
      </c>
      <c r="F19807" s="23" t="s">
        <v>941</v>
      </c>
      <c r="G19807" s="23" t="s">
        <v>942</v>
      </c>
      <c r="H19807" s="23" t="s">
        <v>943</v>
      </c>
      <c r="I19807" s="23" t="s">
        <v>944</v>
      </c>
      <c r="J19807" s="23" t="s">
        <v>945</v>
      </c>
      <c r="K19807" s="23" t="s">
        <v>946</v>
      </c>
      <c r="L19807" s="4" t="s">
        <v>47</v>
      </c>
    </row>
    <row r="19808" customFormat="false" ht="17.15" hidden="false" customHeight="false" outlineLevel="0" collapsed="false">
      <c r="A19808" s="1" t="s">
        <v>947</v>
      </c>
      <c r="B19808" s="1" t="s">
        <v>279</v>
      </c>
      <c r="C19808" s="21" t="n">
        <v>2024</v>
      </c>
      <c r="D19808" s="21" t="n">
        <v>2025</v>
      </c>
      <c r="E19808" s="21" t="n">
        <v>2026</v>
      </c>
      <c r="F19808" s="21" t="n">
        <v>2027</v>
      </c>
      <c r="G19808" s="21" t="n">
        <v>2028</v>
      </c>
      <c r="H19808" s="21" t="n">
        <v>2029</v>
      </c>
      <c r="I19808" s="21" t="n">
        <v>2030</v>
      </c>
      <c r="J19808" s="21" t="n">
        <v>2031</v>
      </c>
      <c r="K19808" s="21" t="n">
        <v>2032</v>
      </c>
    </row>
    <row r="19809" customFormat="false" ht="17.15" hidden="false" customHeight="false" outlineLevel="0" collapsed="false">
      <c r="A19809" s="1" t="s">
        <v>948</v>
      </c>
      <c r="B19809" s="0" t="s">
        <v>456</v>
      </c>
      <c r="F19809" s="30" t="n">
        <f aca="false">pace</f>
        <v>2726.5351</v>
      </c>
      <c r="G19809" s="30" t="n">
        <f aca="false">pace</f>
        <v>2726.5351</v>
      </c>
      <c r="H19809" s="30" t="n">
        <f aca="false">pace</f>
        <v>2726.5351</v>
      </c>
      <c r="I19809" s="30" t="n">
        <f aca="false">pace+(g_tv*Sens!H19810-pace)*MIN(1,(Sens!I19808-pace_y0)/(pace_y1-pace_y0))</f>
        <v>1931.98611966667</v>
      </c>
      <c r="J19809" s="30" t="n">
        <f aca="false">pace+(g_tv*Sens!I19810-pace)*MIN(1,(Sens!J19808-pace_y0)/(pace_y1-pace_y0))</f>
        <v>1176.07686172667</v>
      </c>
      <c r="K19809" s="30" t="n">
        <f aca="false">pace+(g_tv*Sens!J19810-pace)*MIN(1,(Sens!K19808-pace_y0)/(pace_y1-pace_y0))</f>
        <v>436.1300484418</v>
      </c>
      <c r="L19809" s="12" t="s">
        <v>949</v>
      </c>
    </row>
    <row r="19810" customFormat="false" ht="17.15" hidden="false" customHeight="false" outlineLevel="0" collapsed="false">
      <c r="A19810" s="1" t="s">
        <v>950</v>
      </c>
      <c r="B19810" s="0" t="s">
        <v>456</v>
      </c>
      <c r="C19810" s="30" t="n">
        <f aca="false">mw_ext_24</f>
        <v>640</v>
      </c>
      <c r="D19810" s="30" t="n">
        <f aca="false">mw_ext_25</f>
        <v>1630</v>
      </c>
      <c r="E19810" s="30" t="n">
        <f aca="false">mw_ext_26</f>
        <v>3250</v>
      </c>
      <c r="F19810" s="30" t="n">
        <f aca="false">Sens!E19810+Sens!F19809</f>
        <v>5976.5351</v>
      </c>
      <c r="G19810" s="30" t="n">
        <f aca="false">Sens!F19810+Sens!G19809</f>
        <v>8703.0702</v>
      </c>
      <c r="H19810" s="30" t="n">
        <f aca="false">Sens!G19810+Sens!H19809</f>
        <v>11429.6053</v>
      </c>
      <c r="I19810" s="30" t="n">
        <f aca="false">Sens!H19810+Sens!I19809</f>
        <v>13361.5914196667</v>
      </c>
      <c r="J19810" s="30" t="n">
        <f aca="false">Sens!I19810+Sens!J19809</f>
        <v>14537.6682813933</v>
      </c>
      <c r="K19810" s="30" t="n">
        <f aca="false">Sens!J19810+Sens!K19809</f>
        <v>14973.7983298351</v>
      </c>
      <c r="L19810" s="1" t="s">
        <v>951</v>
      </c>
    </row>
    <row r="19811" customFormat="false" ht="17.15" hidden="false" customHeight="false" outlineLevel="0" collapsed="false">
      <c r="A19811" s="1" t="s">
        <v>952</v>
      </c>
      <c r="B19811" s="0" t="s">
        <v>456</v>
      </c>
      <c r="C19811" s="30" t="n">
        <f aca="false">rent_ext_24</f>
        <v>150</v>
      </c>
      <c r="D19811" s="30" t="n">
        <f aca="false">rent_ext_25</f>
        <v>400</v>
      </c>
      <c r="E19811" s="30" t="n">
        <f aca="false">rent_ext_26</f>
        <v>550</v>
      </c>
      <c r="F19811" s="30" t="n">
        <f aca="false">rent_ext_f</f>
        <v>756</v>
      </c>
      <c r="G19811" s="30" t="n">
        <f aca="false">rent_ext_f</f>
        <v>756</v>
      </c>
      <c r="H19811" s="30" t="n">
        <f aca="false">rent_ext_f</f>
        <v>756</v>
      </c>
      <c r="I19811" s="30" t="n">
        <f aca="false">rent_ext_f</f>
        <v>756</v>
      </c>
      <c r="J19811" s="30" t="n">
        <f aca="false">rent_ext_f</f>
        <v>756</v>
      </c>
      <c r="K19811" s="30" t="n">
        <f aca="false">rent_ext_f</f>
        <v>756</v>
      </c>
      <c r="L19811" s="1" t="s">
        <v>953</v>
      </c>
    </row>
    <row r="19812" customFormat="false" ht="17.15" hidden="false" customHeight="false" outlineLevel="0" collapsed="false">
      <c r="A19812" s="1" t="s">
        <v>954</v>
      </c>
      <c r="B19812" s="0" t="s">
        <v>456</v>
      </c>
      <c r="C19812" s="30" t="n">
        <f aca="false">Sens!C19810-Sens!C19811</f>
        <v>490</v>
      </c>
      <c r="D19812" s="30" t="n">
        <f aca="false">Sens!D19810-Sens!D19811</f>
        <v>1230</v>
      </c>
      <c r="E19812" s="30" t="n">
        <f aca="false">Sens!E19810-Sens!E19811</f>
        <v>2700</v>
      </c>
      <c r="F19812" s="30" t="n">
        <f aca="false">Sens!F19810-Sens!F19811</f>
        <v>5220.5351</v>
      </c>
      <c r="G19812" s="30" t="n">
        <f aca="false">Sens!G19810-Sens!G19811</f>
        <v>7947.0702</v>
      </c>
      <c r="H19812" s="30" t="n">
        <f aca="false">Sens!H19810-Sens!H19811</f>
        <v>10673.6053</v>
      </c>
      <c r="I19812" s="30" t="n">
        <f aca="false">Sens!I19810-Sens!I19811</f>
        <v>12605.5914196667</v>
      </c>
      <c r="J19812" s="30" t="n">
        <f aca="false">Sens!J19810-Sens!J19811</f>
        <v>13781.6682813933</v>
      </c>
      <c r="K19812" s="30" t="n">
        <f aca="false">Sens!K19810-Sens!K19811</f>
        <v>14217.7983298351</v>
      </c>
    </row>
    <row r="19813" customFormat="false" ht="17.15" hidden="false" customHeight="false" outlineLevel="0" collapsed="false">
      <c r="A19813" s="1" t="s">
        <v>955</v>
      </c>
      <c r="B19813" s="0" t="s">
        <v>456</v>
      </c>
      <c r="C19813" s="30" t="n">
        <f aca="false">Sens!C19812/ext_sh</f>
        <v>816.666666666667</v>
      </c>
      <c r="D19813" s="30" t="n">
        <f aca="false">Sens!D19812/ext_sh</f>
        <v>2050</v>
      </c>
      <c r="E19813" s="30" t="n">
        <f aca="false">Sens!E19812/ext_sh</f>
        <v>4500</v>
      </c>
      <c r="F19813" s="30" t="n">
        <f aca="false">Sens!F19812/ext_sh</f>
        <v>8700.89183333333</v>
      </c>
      <c r="G19813" s="30" t="n">
        <f aca="false">Sens!G19812/ext_sh</f>
        <v>13245.117</v>
      </c>
      <c r="H19813" s="30" t="n">
        <f aca="false">Sens!H19812/ext_sh</f>
        <v>17789.3421666667</v>
      </c>
      <c r="I19813" s="30" t="n">
        <f aca="false">Sens!I19812/ext_sh</f>
        <v>21009.3190327778</v>
      </c>
      <c r="J19813" s="30" t="n">
        <f aca="false">Sens!J19812/ext_sh</f>
        <v>22969.4471356556</v>
      </c>
      <c r="K19813" s="30" t="n">
        <f aca="false">Sens!K19812/ext_sh</f>
        <v>23696.3305497252</v>
      </c>
      <c r="L19813" s="1" t="s">
        <v>956</v>
      </c>
    </row>
    <row r="19814" customFormat="false" ht="17.15" hidden="false" customHeight="false" outlineLevel="0" collapsed="false">
      <c r="A19814" s="1" t="s">
        <v>957</v>
      </c>
      <c r="B19814" s="0" t="s">
        <v>456</v>
      </c>
      <c r="C19814" s="30" t="n">
        <f aca="false">Sens!C19813-Sens!C19812</f>
        <v>326.666666666667</v>
      </c>
      <c r="D19814" s="30" t="n">
        <f aca="false">Sens!D19813-Sens!D19812</f>
        <v>820</v>
      </c>
      <c r="E19814" s="30" t="n">
        <f aca="false">Sens!E19813-Sens!E19812</f>
        <v>1800</v>
      </c>
      <c r="F19814" s="30" t="n">
        <f aca="false">Sens!F19813-Sens!F19812</f>
        <v>3480.35673333333</v>
      </c>
      <c r="G19814" s="30" t="n">
        <f aca="false">Sens!G19813-Sens!G19812</f>
        <v>5298.0468</v>
      </c>
      <c r="H19814" s="30" t="n">
        <f aca="false">Sens!H19813-Sens!H19812</f>
        <v>7115.73686666667</v>
      </c>
      <c r="I19814" s="30" t="n">
        <f aca="false">Sens!I19813-Sens!I19812</f>
        <v>8403.72761311111</v>
      </c>
      <c r="J19814" s="30" t="n">
        <f aca="false">Sens!J19813-Sens!J19812</f>
        <v>9187.77885426222</v>
      </c>
      <c r="K19814" s="30" t="n">
        <f aca="false">Sens!K19813-Sens!K19812</f>
        <v>9478.53221989009</v>
      </c>
    </row>
    <row r="19815" customFormat="false" ht="17.15" hidden="false" customHeight="false" outlineLevel="0" collapsed="false">
      <c r="A19815" s="1" t="s">
        <v>958</v>
      </c>
      <c r="B19815" s="0" t="s">
        <v>456</v>
      </c>
      <c r="C19815" s="30" t="n">
        <f aca="false">Sens!C19813</f>
        <v>816.666666666667</v>
      </c>
      <c r="D19815" s="30" t="n">
        <f aca="false">Sens!D19813-Sens!C19813</f>
        <v>1233.33333333333</v>
      </c>
      <c r="E19815" s="30" t="n">
        <f aca="false">Sens!E19813-Sens!D19813</f>
        <v>2450</v>
      </c>
      <c r="F19815" s="30" t="n">
        <f aca="false">Sens!F19813-Sens!E19813</f>
        <v>4200.89183333333</v>
      </c>
      <c r="G19815" s="30" t="n">
        <f aca="false">Sens!G19813-Sens!F19813</f>
        <v>4544.22516666667</v>
      </c>
      <c r="H19815" s="30" t="n">
        <f aca="false">Sens!H19813-Sens!G19813</f>
        <v>4544.22516666667</v>
      </c>
      <c r="I19815" s="30" t="n">
        <f aca="false">Sens!I19813-Sens!H19813</f>
        <v>3219.97686611111</v>
      </c>
      <c r="J19815" s="30" t="n">
        <f aca="false">Sens!J19813-Sens!I19813</f>
        <v>1960.12810287778</v>
      </c>
      <c r="K19815" s="30" t="n">
        <f aca="false">Sens!K19813-Sens!J19813</f>
        <v>726.883414069667</v>
      </c>
    </row>
    <row r="19816" customFormat="false" ht="17.15" hidden="false" customHeight="false" outlineLevel="0" collapsed="false">
      <c r="A19816" s="1" t="s">
        <v>959</v>
      </c>
      <c r="B19816" s="0" t="s">
        <v>456</v>
      </c>
      <c r="D19816" s="30" t="n">
        <f aca="false">Sens!D19810-Sens!C19810</f>
        <v>990</v>
      </c>
      <c r="E19816" s="30" t="n">
        <f aca="false">Sens!E19810-Sens!D19810</f>
        <v>1620</v>
      </c>
      <c r="F19816" s="30" t="n">
        <f aca="false">Sens!F19810-Sens!E19810</f>
        <v>2726.5351</v>
      </c>
      <c r="G19816" s="30" t="n">
        <f aca="false">Sens!G19810-Sens!F19810</f>
        <v>2726.5351</v>
      </c>
      <c r="H19816" s="30" t="n">
        <f aca="false">Sens!H19810-Sens!G19810</f>
        <v>2726.5351</v>
      </c>
      <c r="I19816" s="30" t="n">
        <f aca="false">Sens!I19810-Sens!H19810</f>
        <v>1931.98611966667</v>
      </c>
      <c r="J19816" s="30" t="n">
        <f aca="false">Sens!J19810-Sens!I19810</f>
        <v>1176.07686172667</v>
      </c>
      <c r="K19816" s="30" t="n">
        <f aca="false">Sens!K19810-Sens!J19810</f>
        <v>436.130048441799</v>
      </c>
    </row>
    <row r="19817" customFormat="false" ht="17.15" hidden="false" customHeight="false" outlineLevel="0" collapsed="false">
      <c r="A19817" s="1" t="s">
        <v>960</v>
      </c>
      <c r="B19817" s="0" t="s">
        <v>456</v>
      </c>
      <c r="F19817" s="30" t="n">
        <f aca="false">Sens!F19836*ext_sh</f>
        <v>0</v>
      </c>
      <c r="G19817" s="30" t="n">
        <f aca="false">Sens!G19836*ext_sh</f>
        <v>0</v>
      </c>
      <c r="H19817" s="30" t="n">
        <f aca="false">Sens!H19836*ext_sh</f>
        <v>0</v>
      </c>
      <c r="I19817" s="30" t="n">
        <f aca="false">Sens!I19836*ext_sh</f>
        <v>490</v>
      </c>
      <c r="J19817" s="30" t="n">
        <f aca="false">Sens!J19836*ext_sh</f>
        <v>740</v>
      </c>
      <c r="K19817" s="30" t="n">
        <f aca="false">Sens!K19836*ext_sh</f>
        <v>1470</v>
      </c>
      <c r="L19817" s="1" t="s">
        <v>961</v>
      </c>
    </row>
    <row r="19818" customFormat="false" ht="17.15" hidden="false" customHeight="false" outlineLevel="0" collapsed="false">
      <c r="A19818" s="1" t="s">
        <v>962</v>
      </c>
      <c r="B19818" s="0" t="s">
        <v>456</v>
      </c>
      <c r="C19818" s="30" t="n">
        <f aca="false">mix_h*Sens!C19810</f>
        <v>128</v>
      </c>
      <c r="D19818" s="30" t="n">
        <f aca="false">mix_h*Sens!D19810</f>
        <v>326</v>
      </c>
      <c r="E19818" s="30" t="n">
        <f aca="false">mix_h*Sens!E19810</f>
        <v>650</v>
      </c>
      <c r="F19818" s="30" t="n">
        <f aca="false">Sens!E19818-Sens!F19817*mix_h</f>
        <v>650</v>
      </c>
      <c r="G19818" s="30" t="n">
        <f aca="false">Sens!F19818-Sens!G19817*mix_h</f>
        <v>650</v>
      </c>
      <c r="H19818" s="30" t="n">
        <f aca="false">Sens!G19818-Sens!H19817*mix_h</f>
        <v>650</v>
      </c>
      <c r="I19818" s="30" t="n">
        <f aca="false">Sens!H19818-Sens!I19817*mix_h</f>
        <v>552</v>
      </c>
      <c r="J19818" s="30" t="n">
        <f aca="false">Sens!I19818-Sens!J19817*mix_h</f>
        <v>404</v>
      </c>
      <c r="K19818" s="30" t="n">
        <f aca="false">Sens!J19818-Sens!K19817*mix_h</f>
        <v>110</v>
      </c>
    </row>
    <row r="19819" customFormat="false" ht="17.15" hidden="false" customHeight="false" outlineLevel="0" collapsed="false">
      <c r="A19819" s="1" t="s">
        <v>963</v>
      </c>
      <c r="B19819" s="0" t="s">
        <v>456</v>
      </c>
      <c r="C19819" s="30" t="n">
        <f aca="false">mix_g2*Sens!C19810</f>
        <v>288</v>
      </c>
      <c r="D19819" s="30" t="n">
        <f aca="false">mix_g2*Sens!D19810</f>
        <v>733.5</v>
      </c>
      <c r="E19819" s="30" t="n">
        <f aca="false">mix_g2*Sens!E19810</f>
        <v>1462.5</v>
      </c>
      <c r="F19819" s="30" t="n">
        <f aca="false">Sens!E19819-Sens!F19817*mix_g2</f>
        <v>1462.5</v>
      </c>
      <c r="G19819" s="30" t="n">
        <f aca="false">Sens!F19819-Sens!G19817*mix_g2</f>
        <v>1462.5</v>
      </c>
      <c r="H19819" s="30" t="n">
        <f aca="false">Sens!G19819-Sens!H19817*mix_g2</f>
        <v>1462.5</v>
      </c>
      <c r="I19819" s="30" t="n">
        <f aca="false">Sens!H19819-Sens!I19817*mix_g2</f>
        <v>1242</v>
      </c>
      <c r="J19819" s="30" t="n">
        <f aca="false">Sens!I19819-Sens!J19817*mix_g2</f>
        <v>909</v>
      </c>
      <c r="K19819" s="30" t="n">
        <f aca="false">Sens!J19819-Sens!K19817*mix_g2</f>
        <v>247.5</v>
      </c>
    </row>
    <row r="19820" customFormat="false" ht="17.15" hidden="false" customHeight="false" outlineLevel="0" collapsed="false">
      <c r="A19820" s="1" t="s">
        <v>964</v>
      </c>
      <c r="B19820" s="0" t="s">
        <v>456</v>
      </c>
      <c r="C19820" s="30" t="n">
        <f aca="false">mix_g3*Sens!C19810</f>
        <v>224</v>
      </c>
      <c r="D19820" s="30" t="n">
        <f aca="false">mix_g3*Sens!D19810</f>
        <v>570.5</v>
      </c>
      <c r="E19820" s="30" t="n">
        <f aca="false">mix_g3*Sens!E19810</f>
        <v>1137.5</v>
      </c>
      <c r="F19820" s="30" t="n">
        <f aca="false">Sens!E19820+(Sens!F19816+Sens!F19817)*(a_g3_27-0*a_mai)-Sens!F19817*mix_g3</f>
        <v>3046.07457</v>
      </c>
      <c r="G19820" s="30" t="n">
        <f aca="false">Sens!F19820+(Sens!G19816+Sens!G19817)*(a_g3_28-0*a_mai)-Sens!G19817*mix_g3</f>
        <v>3864.0351</v>
      </c>
      <c r="H19820" s="30" t="n">
        <f aca="false">Sens!G19820+(Sens!H19816+Sens!H19817)*(a_g3_29-0*a_mai)-Sens!H19817*mix_g3</f>
        <v>4136.68861</v>
      </c>
      <c r="I19820" s="30" t="n">
        <f aca="false">Sens!H19820+(Sens!I19816+Sens!I19817)*(a_g3_29-0*a_mai)-Sens!I19817*mix_g3</f>
        <v>4207.38722196667</v>
      </c>
      <c r="J19820" s="30" t="n">
        <f aca="false">Sens!I19820+(Sens!J19816+Sens!J19817)*(a_g3_29-0*a_mai)-Sens!J19817*mix_g3</f>
        <v>4139.99490813933</v>
      </c>
      <c r="K19820" s="30" t="n">
        <f aca="false">Sens!J19820+(Sens!K19816+Sens!K19817)*(a_g3_29-0*a_mai)-Sens!K19817*mix_g3</f>
        <v>3816.10791298351</v>
      </c>
    </row>
    <row r="19821" customFormat="false" ht="17.15" hidden="false" customHeight="false" outlineLevel="0" collapsed="false">
      <c r="A19821" s="1" t="s">
        <v>965</v>
      </c>
      <c r="B19821" s="0" t="s">
        <v>456</v>
      </c>
      <c r="C19821" s="30" t="n">
        <v>0</v>
      </c>
      <c r="D19821" s="30" t="n">
        <v>0</v>
      </c>
      <c r="E19821" s="30" t="n">
        <v>0</v>
      </c>
      <c r="F19821" s="30" t="n">
        <f aca="false">Sens!E19821+(Sens!F19816+Sens!F19817)*0*a_mai</f>
        <v>0</v>
      </c>
      <c r="G19821" s="30" t="n">
        <f aca="false">Sens!F19821+(Sens!G19816+Sens!G19817)*0*a_mai</f>
        <v>0</v>
      </c>
      <c r="H19821" s="30" t="n">
        <f aca="false">Sens!G19821+(Sens!H19816+Sens!H19817)*0*a_mai</f>
        <v>0</v>
      </c>
      <c r="I19821" s="30" t="n">
        <f aca="false">Sens!H19821+(Sens!I19816+Sens!I19817)*0*a_mai</f>
        <v>0</v>
      </c>
      <c r="J19821" s="30" t="n">
        <f aca="false">Sens!I19821+(Sens!J19816+Sens!J19817)*0*a_mai</f>
        <v>0</v>
      </c>
      <c r="K19821" s="30" t="n">
        <f aca="false">Sens!J19821+(Sens!K19816+Sens!K19817)*0*a_mai</f>
        <v>0</v>
      </c>
      <c r="L19821" s="12" t="s">
        <v>966</v>
      </c>
    </row>
    <row r="19822" customFormat="false" ht="17.15" hidden="false" customHeight="false" outlineLevel="0" collapsed="false">
      <c r="A19822" s="1" t="s">
        <v>967</v>
      </c>
      <c r="B19822" s="0" t="s">
        <v>456</v>
      </c>
      <c r="C19822" s="30" t="n">
        <v>0</v>
      </c>
      <c r="D19822" s="30" t="n">
        <v>0</v>
      </c>
      <c r="E19822" s="30" t="n">
        <v>0</v>
      </c>
      <c r="F19822" s="30" t="n">
        <f aca="false">Sens!E19822+(Sens!F19816+Sens!F19817)*(1-a_g3_27)</f>
        <v>817.96053</v>
      </c>
      <c r="G19822" s="30" t="n">
        <f aca="false">Sens!F19822+(Sens!G19816+Sens!G19817)*(1-a_g3_28)</f>
        <v>2726.5351</v>
      </c>
      <c r="H19822" s="30" t="n">
        <f aca="false">Sens!G19822+(Sens!H19816+Sens!H19817)*(1-a_g3_29)</f>
        <v>5180.41669</v>
      </c>
      <c r="I19822" s="30" t="n">
        <f aca="false">Sens!H19822+(Sens!I19816+Sens!I19817)*(1-a_g3_29)</f>
        <v>7360.2041977</v>
      </c>
      <c r="J19822" s="30" t="n">
        <f aca="false">Sens!I19822+(Sens!J19816+Sens!J19817)*(1-a_g3_29)</f>
        <v>9084.673373254</v>
      </c>
      <c r="K19822" s="30" t="n">
        <f aca="false">Sens!J19822+(Sens!K19816+Sens!K19817)*(1-a_g3_29)</f>
        <v>10800.1904168516</v>
      </c>
    </row>
    <row r="19823" customFormat="false" ht="17.15" hidden="false" customHeight="false" outlineLevel="0" collapsed="false">
      <c r="A19823" s="1" t="s">
        <v>968</v>
      </c>
      <c r="B19823" s="0" t="s">
        <v>403</v>
      </c>
      <c r="C19823" s="15" t="n">
        <f aca="false">(Sens!C19818*tk_hold_h100+Sens!C19819*tk_hold_gb200+Sens!C19820*tk_hold_gb300+Sens!C19822*tk_hold_vr200+Sens!C19821*nv_hold_mai*tk_hold_vr200)/Sens!C19810</f>
        <v>9.7235358126469</v>
      </c>
      <c r="D19823" s="15" t="n">
        <f aca="false">(Sens!D19818*tk_hold_h100+Sens!D19819*tk_hold_gb200+Sens!D19820*tk_hold_gb300+Sens!D19822*tk_hold_vr200+Sens!D19821*nv_hold_mai*tk_hold_vr200)/Sens!D19810</f>
        <v>9.7235358126469</v>
      </c>
      <c r="E19823" s="15" t="n">
        <f aca="false">(Sens!E19818*tk_hold_h100+Sens!E19819*tk_hold_gb200+Sens!E19820*tk_hold_gb300+Sens!E19822*tk_hold_vr200+Sens!E19821*nv_hold_mai*tk_hold_vr200)/Sens!E19810</f>
        <v>9.7235358126469</v>
      </c>
      <c r="F19823" s="15" t="n">
        <f aca="false">(Sens!F19818*tk_hold_h100+Sens!F19819*tk_hold_gb200+Sens!F19820*tk_hold_gb300+Sens!F19822*tk_hold_vr200+Sens!F19821*nv_hold_mai*tk_hold_vr200)/Sens!F19810</f>
        <v>10.4373136419306</v>
      </c>
      <c r="G19823" s="15" t="n">
        <f aca="false">(Sens!G19818*tk_hold_h100+Sens!G19819*tk_hold_gb200+Sens!G19820*tk_hold_gb300+Sens!G19822*tk_hold_vr200+Sens!G19821*nv_hold_mai*tk_hold_vr200)/Sens!G19810</f>
        <v>10.8716633021543</v>
      </c>
      <c r="H19823" s="15" t="n">
        <f aca="false">(Sens!H19818*tk_hold_h100+Sens!H19819*tk_hold_gb200+Sens!H19820*tk_hold_gb300+Sens!H19822*tk_hold_vr200+Sens!H19821*nv_hold_mai*tk_hold_vr200)/Sens!H19810</f>
        <v>11.162671147329</v>
      </c>
      <c r="I19823" s="15" t="n">
        <f aca="false">(Sens!I19818*tk_hold_h100+Sens!I19819*tk_hold_gb200+Sens!I19820*tk_hold_gb300+Sens!I19822*tk_hold_vr200+Sens!I19821*nv_hold_mai*tk_hold_vr200)/Sens!I19810</f>
        <v>11.3838232728132</v>
      </c>
      <c r="J19823" s="15" t="n">
        <f aca="false">(Sens!J19818*tk_hold_h100+Sens!J19819*tk_hold_gb200+Sens!J19820*tk_hold_gb300+Sens!J19822*tk_hold_vr200+Sens!J19821*nv_hold_mai*tk_hold_vr200)/Sens!J19810</f>
        <v>11.5616165905821</v>
      </c>
      <c r="K19823" s="15" t="n">
        <f aca="false">(Sens!K19818*tk_hold_h100+Sens!K19819*tk_hold_gb200+Sens!K19820*tk_hold_gb300+Sens!K19822*tk_hold_vr200+Sens!K19821*nv_hold_mai*tk_hold_vr200)/Sens!K19810</f>
        <v>11.8095249206783</v>
      </c>
      <c r="L19823" s="1" t="s">
        <v>969</v>
      </c>
    </row>
    <row r="19824" customFormat="false" ht="17.15" hidden="false" customHeight="false" outlineLevel="0" collapsed="false">
      <c r="A19824" s="1" t="s">
        <v>970</v>
      </c>
      <c r="B19824" s="0" t="s">
        <v>403</v>
      </c>
      <c r="C19824" s="15" t="n">
        <f aca="false">(Sens!C19818*tk_hold_h100+Sens!C19819*tk_hold_gb200+Sens!C19820*tk_hold_gb300+Sens!C19822*tk_hold_vr200+Sens!C19821*nv_out_mai*tk_hold_vr200)/Sens!C19810</f>
        <v>9.7235358126469</v>
      </c>
      <c r="D19824" s="15" t="n">
        <f aca="false">(Sens!D19818*tk_hold_h100+Sens!D19819*tk_hold_gb200+Sens!D19820*tk_hold_gb300+Sens!D19822*tk_hold_vr200+Sens!D19821*nv_out_mai*tk_hold_vr200)/Sens!D19810</f>
        <v>9.7235358126469</v>
      </c>
      <c r="E19824" s="15" t="n">
        <f aca="false">(Sens!E19818*tk_hold_h100+Sens!E19819*tk_hold_gb200+Sens!E19820*tk_hold_gb300+Sens!E19822*tk_hold_vr200+Sens!E19821*nv_out_mai*tk_hold_vr200)/Sens!E19810</f>
        <v>9.7235358126469</v>
      </c>
      <c r="F19824" s="15" t="n">
        <f aca="false">(Sens!F19818*tk_hold_h100+Sens!F19819*tk_hold_gb200+Sens!F19820*tk_hold_gb300+Sens!F19822*tk_hold_vr200+Sens!F19821*nv_out_mai*tk_hold_vr200)/Sens!F19810</f>
        <v>10.4373136419306</v>
      </c>
      <c r="G19824" s="15" t="n">
        <f aca="false">(Sens!G19818*tk_hold_h100+Sens!G19819*tk_hold_gb200+Sens!G19820*tk_hold_gb300+Sens!G19822*tk_hold_vr200+Sens!G19821*nv_out_mai*tk_hold_vr200)/Sens!G19810</f>
        <v>10.8716633021543</v>
      </c>
      <c r="H19824" s="15" t="n">
        <f aca="false">(Sens!H19818*tk_hold_h100+Sens!H19819*tk_hold_gb200+Sens!H19820*tk_hold_gb300+Sens!H19822*tk_hold_vr200+Sens!H19821*nv_out_mai*tk_hold_vr200)/Sens!H19810</f>
        <v>11.162671147329</v>
      </c>
      <c r="I19824" s="15" t="n">
        <f aca="false">(Sens!I19818*tk_hold_h100+Sens!I19819*tk_hold_gb200+Sens!I19820*tk_hold_gb300+Sens!I19822*tk_hold_vr200+Sens!I19821*nv_out_mai*tk_hold_vr200)/Sens!I19810</f>
        <v>11.3838232728132</v>
      </c>
      <c r="J19824" s="15" t="n">
        <f aca="false">(Sens!J19818*tk_hold_h100+Sens!J19819*tk_hold_gb200+Sens!J19820*tk_hold_gb300+Sens!J19822*tk_hold_vr200+Sens!J19821*nv_out_mai*tk_hold_vr200)/Sens!J19810</f>
        <v>11.5616165905821</v>
      </c>
      <c r="K19824" s="15" t="n">
        <f aca="false">(Sens!K19818*tk_hold_h100+Sens!K19819*tk_hold_gb200+Sens!K19820*tk_hold_gb300+Sens!K19822*tk_hold_vr200+Sens!K19821*nv_out_mai*tk_hold_vr200)/Sens!K19810</f>
        <v>11.8095249206783</v>
      </c>
      <c r="L19824" s="12" t="s">
        <v>971</v>
      </c>
    </row>
    <row r="19825" customFormat="false" ht="17.15" hidden="false" customHeight="false" outlineLevel="0" collapsed="false">
      <c r="A19825" s="0" t="s">
        <v>972</v>
      </c>
      <c r="B19825" s="0" t="s">
        <v>229</v>
      </c>
      <c r="C19825" s="15" t="n">
        <f aca="false">k_B</f>
        <v>1.17213932619116</v>
      </c>
      <c r="D19825" s="15" t="n">
        <f aca="false">k_B</f>
        <v>1.17213932619116</v>
      </c>
      <c r="E19825" s="15" t="n">
        <f aca="false">k_B</f>
        <v>1.17213932619116</v>
      </c>
      <c r="F19825" s="15" t="n">
        <f aca="false">(k_B+((ls_C*k_long+(1-ls_C)*k_spot)-k_B)*MIN(1,(Sens!F19808-base_fy)/k_ramp))</f>
        <v>1.07843258004497</v>
      </c>
      <c r="G19825" s="15" t="n">
        <f aca="false">(k_B+((ls_C*k_long+(1-ls_C)*k_spot)-k_B)*MIN(1,(Sens!G19808-base_fy)/k_ramp))</f>
        <v>0.984725833898784</v>
      </c>
      <c r="H19825" s="15" t="n">
        <f aca="false">(k_B+((ls_C*k_long+(1-ls_C)*k_spot)-k_B)*MIN(1,(Sens!H19808-base_fy)/k_ramp))</f>
        <v>0.891019087752599</v>
      </c>
      <c r="I19825" s="15" t="n">
        <f aca="false">(k_B+((ls_C*k_long+(1-ls_C)*k_spot)-k_B)*MIN(1,(Sens!I19808-base_fy)/k_ramp))</f>
        <v>0.891019087752599</v>
      </c>
      <c r="J19825" s="15" t="n">
        <f aca="false">(k_B+((ls_C*k_long+(1-ls_C)*k_spot)-k_B)*MIN(1,(Sens!J19808-base_fy)/k_ramp))</f>
        <v>0.891019087752599</v>
      </c>
      <c r="K19825" s="15" t="n">
        <f aca="false">(k_B+((ls_C*k_long+(1-ls_C)*k_spot)-k_B)*MIN(1,(Sens!K19808-base_fy)/k_ramp))</f>
        <v>0.891019087752599</v>
      </c>
      <c r="L19825" s="1" t="s">
        <v>973</v>
      </c>
    </row>
    <row r="19826" customFormat="false" ht="17.15" hidden="false" customHeight="false" outlineLevel="0" collapsed="false">
      <c r="A19826" s="1" t="s">
        <v>974</v>
      </c>
      <c r="B19826" s="0" t="s">
        <v>403</v>
      </c>
      <c r="C19826" s="15" t="n">
        <f aca="false">Sens!C19824*Sens!C19825*chip_f</f>
        <v>11.3973387156315</v>
      </c>
      <c r="D19826" s="15" t="n">
        <f aca="false">Sens!D19824*Sens!D19825*chip_f</f>
        <v>11.3973387156315</v>
      </c>
      <c r="E19826" s="15" t="n">
        <f aca="false">Sens!E19824*Sens!E19825*chip_f</f>
        <v>11.3973387156315</v>
      </c>
      <c r="F19826" s="15" t="n">
        <f aca="false">Sens!F19824*Sens!F19825*chip_f</f>
        <v>11.2559390796058</v>
      </c>
      <c r="G19826" s="15" t="n">
        <f aca="false">Sens!G19824*Sens!G19825*chip_f</f>
        <v>10.7056077110807</v>
      </c>
      <c r="H19826" s="15" t="n">
        <f aca="false">Sens!H19824*Sens!H19825*chip_f</f>
        <v>9.94615306257532</v>
      </c>
      <c r="I19826" s="15" t="n">
        <f aca="false">Sens!I19824*Sens!I19825*chip_f</f>
        <v>10.1432038276788</v>
      </c>
      <c r="J19826" s="15" t="n">
        <f aca="false">Sens!J19824*Sens!J19825*chip_f</f>
        <v>10.3016210674858</v>
      </c>
      <c r="K19826" s="15" t="n">
        <f aca="false">Sens!K19824*Sens!K19825*chip_f</f>
        <v>10.5225121216144</v>
      </c>
      <c r="L19826" s="1" t="s">
        <v>975</v>
      </c>
    </row>
    <row r="19827" customFormat="false" ht="17.15" hidden="false" customHeight="false" outlineLevel="0" collapsed="false">
      <c r="A19827" s="0" t="s">
        <v>976</v>
      </c>
      <c r="B19827" s="0" t="s">
        <v>98</v>
      </c>
      <c r="D19827" s="6" t="n">
        <f aca="false">(Sens!C19810+Sens!D19810)/2*Sens!D19826/1000</f>
        <v>12.9359794422418</v>
      </c>
      <c r="E19827" s="6" t="n">
        <f aca="false">(Sens!D19810+Sens!E19810)/2*Sens!E19826/1000</f>
        <v>27.8095064661409</v>
      </c>
      <c r="F19827" s="6" t="n">
        <f aca="false">(Sens!E19810+Sens!F19810)/2*Sens!F19826/1000</f>
        <v>51.9266585007223</v>
      </c>
      <c r="G19827" s="6" t="n">
        <f aca="false">(Sens!F19810+Sens!G19810)/2*Sens!G19826/1000</f>
        <v>78.5770478476505</v>
      </c>
      <c r="H19827" s="6" t="n">
        <f aca="false">(Sens!G19810+Sens!H19810)/2*Sens!H19826/1000</f>
        <v>100.12133604108</v>
      </c>
      <c r="I19827" s="6" t="n">
        <f aca="false">(Sens!H19810+Sens!I19810)/2*Sens!I19826/1000</f>
        <v>125.73108072983</v>
      </c>
      <c r="J19827" s="6" t="n">
        <f aca="false">(Sens!I19810+Sens!J19810)/2*Sens!J19826/1000</f>
        <v>143.703800751849</v>
      </c>
      <c r="K19827" s="6" t="n">
        <f aca="false">(Sens!J19810+Sens!K19810)/2*Sens!K19826/1000</f>
        <v>155.267382571635</v>
      </c>
      <c r="L19827" s="12" t="s">
        <v>977</v>
      </c>
    </row>
    <row r="19828" customFormat="false" ht="17.15" hidden="false" customHeight="false" outlineLevel="0" collapsed="false">
      <c r="A19828" s="1" t="s">
        <v>978</v>
      </c>
      <c r="B19828" s="0" t="s">
        <v>403</v>
      </c>
      <c r="C19828" s="15" t="n">
        <f aca="false">(Sens!C19818*tk_opex_h100+Sens!C19819*tk_opex_gb200+Sens!C19820*tk_opex_gb300+(Sens!C19822+Sens!C19821)*tk_opex_vr200)/Sens!C19810</f>
        <v>1.88636041306092</v>
      </c>
      <c r="D19828" s="15" t="n">
        <f aca="false">(Sens!D19818*tk_opex_h100+Sens!D19819*tk_opex_gb200+Sens!D19820*tk_opex_gb300+(Sens!D19822+Sens!D19821)*tk_opex_vr200)/Sens!D19810</f>
        <v>1.88636041306092</v>
      </c>
      <c r="E19828" s="15" t="n">
        <f aca="false">(Sens!E19818*tk_opex_h100+Sens!E19819*tk_opex_gb200+Sens!E19820*tk_opex_gb300+(Sens!E19822+Sens!E19821)*tk_opex_vr200)/Sens!E19810</f>
        <v>1.88636041306092</v>
      </c>
      <c r="F19828" s="15" t="n">
        <f aca="false">(Sens!F19818*tk_opex_h100+Sens!F19819*tk_opex_gb200+Sens!F19820*tk_opex_gb300+(Sens!F19822+Sens!F19821)*tk_opex_vr200)/Sens!F19810</f>
        <v>1.9454540569274</v>
      </c>
      <c r="G19828" s="15" t="n">
        <f aca="false">(Sens!G19818*tk_opex_h100+Sens!G19819*tk_opex_gb200+Sens!G19820*tk_opex_gb300+(Sens!G19822+Sens!G19821)*tk_opex_vr200)/Sens!G19810</f>
        <v>1.98141385153259</v>
      </c>
      <c r="H19828" s="15" t="n">
        <f aca="false">(Sens!H19818*tk_opex_h100+Sens!H19819*tk_opex_gb200+Sens!H19820*tk_opex_gb300+(Sens!H19822+Sens!H19821)*tk_opex_vr200)/Sens!H19810</f>
        <v>2.00550638181245</v>
      </c>
      <c r="I19828" s="15" t="n">
        <f aca="false">(Sens!I19818*tk_opex_h100+Sens!I19819*tk_opex_gb200+Sens!I19820*tk_opex_gb300+(Sens!I19822+Sens!I19821)*tk_opex_vr200)/Sens!I19810</f>
        <v>2.02381555927288</v>
      </c>
      <c r="J19828" s="15" t="n">
        <f aca="false">(Sens!J19818*tk_opex_h100+Sens!J19819*tk_opex_gb200+Sens!J19820*tk_opex_gb300+(Sens!J19822+Sens!J19821)*tk_opex_vr200)/Sens!J19810</f>
        <v>2.03853506241663</v>
      </c>
      <c r="K19828" s="15" t="n">
        <f aca="false">(Sens!K19818*tk_opex_h100+Sens!K19819*tk_opex_gb200+Sens!K19820*tk_opex_gb300+(Sens!K19822+Sens!K19821)*tk_opex_vr200)/Sens!K19810</f>
        <v>2.05905938520897</v>
      </c>
      <c r="L19828" s="12" t="s">
        <v>979</v>
      </c>
    </row>
    <row r="19829" customFormat="false" ht="17.15" hidden="false" customHeight="false" outlineLevel="0" collapsed="false">
      <c r="A19829" s="0" t="s">
        <v>980</v>
      </c>
      <c r="B19829" s="0" t="s">
        <v>98</v>
      </c>
      <c r="D19829" s="6" t="n">
        <f aca="false">(Sens!C19813+Sens!D19813)/2*Sens!D19828/1000</f>
        <v>2.70378325872065</v>
      </c>
      <c r="E19829" s="6" t="n">
        <f aca="false">(Sens!D19813+Sens!E19813)/2*Sens!E19828/1000</f>
        <v>6.17783035277451</v>
      </c>
      <c r="F19829" s="6" t="n">
        <f aca="false">(Sens!E19813+Sens!F19813)/2*Sens!F19828/1000</f>
        <v>12.840864286109</v>
      </c>
      <c r="G19829" s="6" t="n">
        <f aca="false">(Sens!F19813+Sens!G19813)/2*Sens!G19828/1000</f>
        <v>21.7420629441117</v>
      </c>
      <c r="H19829" s="6" t="n">
        <f aca="false">(Sens!G19813+Sens!H19813)/2*Sens!H19828/1000</f>
        <v>31.1199029574239</v>
      </c>
      <c r="I19829" s="6" t="n">
        <f aca="false">(Sens!H19813+Sens!I19813)/2*Sens!I19828/1000</f>
        <v>39.2606671071963</v>
      </c>
      <c r="J19829" s="6" t="n">
        <f aca="false">(Sens!I19813+Sens!J19813)/2*Sens!J19828/1000</f>
        <v>44.8261284180868</v>
      </c>
      <c r="K19829" s="6" t="n">
        <f aca="false">(Sens!J19813+Sens!K19813)/2*Sens!K19828/1000</f>
        <v>48.0438037555794</v>
      </c>
    </row>
    <row r="19830" customFormat="false" ht="17.15" hidden="false" customHeight="false" outlineLevel="0" collapsed="false">
      <c r="A19830" s="0" t="s">
        <v>981</v>
      </c>
      <c r="B19830" s="0" t="s">
        <v>98</v>
      </c>
      <c r="D19830" s="6" t="n">
        <f aca="false">(Sens!C19811+Sens!D19811)/2*rent_mw/1000</f>
        <v>2.44475</v>
      </c>
      <c r="E19830" s="6" t="n">
        <f aca="false">(Sens!D19811+Sens!E19811)/2*rent_mw/1000</f>
        <v>4.22275</v>
      </c>
      <c r="F19830" s="6" t="n">
        <f aca="false">(Sens!E19811+Sens!F19811)/2*rent_mw/1000</f>
        <v>5.80517</v>
      </c>
      <c r="G19830" s="6" t="n">
        <f aca="false">(Sens!F19811+Sens!G19811)/2*rent_mw/1000</f>
        <v>6.72084</v>
      </c>
      <c r="H19830" s="6" t="n">
        <f aca="false">(Sens!G19811+Sens!H19811)/2*rent_mw/1000</f>
        <v>6.72084</v>
      </c>
      <c r="I19830" s="6" t="n">
        <f aca="false">(Sens!H19811+Sens!I19811)/2*rent_mw/1000</f>
        <v>6.72084</v>
      </c>
      <c r="J19830" s="6" t="n">
        <f aca="false">(Sens!I19811+Sens!J19811)/2*rent_mw/1000</f>
        <v>6.72084</v>
      </c>
      <c r="K19830" s="6" t="n">
        <f aca="false">(Sens!J19811+Sens!K19811)/2*rent_mw/1000</f>
        <v>6.72084</v>
      </c>
    </row>
    <row r="19831" customFormat="false" ht="17.15" hidden="false" customHeight="false" outlineLevel="0" collapsed="false">
      <c r="A19831" s="0" t="s">
        <v>982</v>
      </c>
      <c r="B19831" s="0" t="s">
        <v>98</v>
      </c>
      <c r="D19831" s="6" t="n">
        <f aca="false">(Sens!C19813+Sens!D19813)/2*(1-self_build)*fac_rent/1000</f>
        <v>0.853242375631075</v>
      </c>
      <c r="E19831" s="6" t="n">
        <f aca="false">(Sens!D19813+Sens!E19813)/2*(1-self_build)*fac_rent/1000</f>
        <v>1.94955961408728</v>
      </c>
      <c r="F19831" s="6" t="n">
        <f aca="false">(Sens!E19813+Sens!F19813)/2*(1-self_build)*fac_rent/1000</f>
        <v>3.92914894476356</v>
      </c>
      <c r="G19831" s="6" t="n">
        <f aca="false">(Sens!F19813+Sens!G19813)/2*(1-self_build)*fac_rent/1000</f>
        <v>6.53206908578159</v>
      </c>
      <c r="H19831" s="6" t="n">
        <f aca="false">(Sens!G19813+Sens!H19813)/2*(1-self_build)*fac_rent/1000</f>
        <v>9.23717988341591</v>
      </c>
      <c r="I19831" s="6" t="n">
        <f aca="false">(Sens!H19813+Sens!I19813)/2*(1-self_build)*fac_rent/1000</f>
        <v>11.5481378557393</v>
      </c>
      <c r="J19831" s="6" t="n">
        <f aca="false">(Sens!I19813+Sens!J19813)/2*(1-self_build)*fac_rent/1000</f>
        <v>13.0899582289108</v>
      </c>
      <c r="K19831" s="6" t="n">
        <f aca="false">(Sens!J19813+Sens!K19813)/2*(1-self_build)*fac_rent/1000</f>
        <v>13.8897275626556</v>
      </c>
      <c r="L19831" s="12" t="s">
        <v>983</v>
      </c>
    </row>
    <row r="19832" customFormat="false" ht="17.15" hidden="false" customHeight="false" outlineLevel="0" collapsed="false">
      <c r="A19832" s="1" t="s">
        <v>984</v>
      </c>
      <c r="B19832" s="0" t="s">
        <v>168</v>
      </c>
      <c r="D19832" s="7" t="n">
        <f aca="false">(Sens!C19812+Sens!D19812)/(Sens!C19813+Sens!D19813)</f>
        <v>0.6</v>
      </c>
      <c r="E19832" s="7" t="n">
        <f aca="false">(Sens!D19812+Sens!E19812)/(Sens!D19813+Sens!E19813)</f>
        <v>0.6</v>
      </c>
      <c r="F19832" s="7" t="n">
        <f aca="false">(Sens!E19812+Sens!F19812)/(Sens!E19813+Sens!F19813)</f>
        <v>0.6</v>
      </c>
      <c r="G19832" s="7" t="n">
        <f aca="false">(Sens!F19812+Sens!G19812)/(Sens!F19813+Sens!G19813)</f>
        <v>0.6</v>
      </c>
      <c r="H19832" s="7" t="n">
        <f aca="false">(Sens!G19812+Sens!H19812)/(Sens!G19813+Sens!H19813)</f>
        <v>0.6</v>
      </c>
      <c r="I19832" s="7" t="n">
        <f aca="false">(Sens!H19812+Sens!I19812)/(Sens!H19813+Sens!I19813)</f>
        <v>0.6</v>
      </c>
      <c r="J19832" s="7" t="n">
        <f aca="false">(Sens!I19812+Sens!J19812)/(Sens!I19813+Sens!J19813)</f>
        <v>0.6</v>
      </c>
      <c r="K19832" s="7" t="n">
        <f aca="false">(Sens!J19812+Sens!K19812)/(Sens!J19813+Sens!K19813)</f>
        <v>0.6</v>
      </c>
    </row>
    <row r="19833" customFormat="false" ht="17.15" hidden="false" customHeight="false" outlineLevel="0" collapsed="false">
      <c r="A19833" s="0" t="s">
        <v>985</v>
      </c>
      <c r="B19833" s="0" t="s">
        <v>98</v>
      </c>
      <c r="D19833" s="6" t="n">
        <f aca="false">Sens!D19827-Sens!D19832*(Sens!D19829+Sens!D19831)-Sens!D19830</f>
        <v>8.35701406163072</v>
      </c>
      <c r="E19833" s="6" t="n">
        <f aca="false">Sens!E19827-Sens!E19832*(Sens!E19829+Sens!E19831)-Sens!E19830</f>
        <v>18.7103224860238</v>
      </c>
      <c r="F19833" s="6" t="n">
        <f aca="false">Sens!F19827-Sens!F19832*(Sens!F19829+Sens!F19831)-Sens!F19830</f>
        <v>36.0594805621987</v>
      </c>
      <c r="G19833" s="6" t="n">
        <f aca="false">Sens!G19827-Sens!G19832*(Sens!G19829+Sens!G19831)-Sens!G19830</f>
        <v>54.8917286297146</v>
      </c>
      <c r="H19833" s="6" t="n">
        <f aca="false">Sens!H19827-Sens!H19832*(Sens!H19829+Sens!H19831)-Sens!H19830</f>
        <v>69.1862463365762</v>
      </c>
      <c r="I19833" s="6" t="n">
        <f aca="false">Sens!I19827-Sens!I19832*(Sens!I19829+Sens!I19831)-Sens!I19830</f>
        <v>88.524957752069</v>
      </c>
      <c r="J19833" s="6" t="n">
        <f aca="false">Sens!J19827-Sens!J19832*(Sens!J19829+Sens!J19831)-Sens!J19830</f>
        <v>102.23330876365</v>
      </c>
      <c r="K19833" s="6" t="n">
        <f aca="false">Sens!K19827-Sens!K19832*(Sens!K19829+Sens!K19831)-Sens!K19830</f>
        <v>111.386423780694</v>
      </c>
    </row>
    <row r="19834" customFormat="false" ht="17.15" hidden="false" customHeight="false" outlineLevel="0" collapsed="false">
      <c r="A19834" s="1" t="s">
        <v>986</v>
      </c>
      <c r="B19834" s="0" t="s">
        <v>98</v>
      </c>
      <c r="D19834" s="6" t="n">
        <f aca="false">(1-Sens!D19832)*(Sens!D19829+Sens!D19831)</f>
        <v>1.42281025374069</v>
      </c>
      <c r="E19834" s="6" t="n">
        <f aca="false">(1-Sens!E19832)*(Sens!E19829+Sens!E19831)</f>
        <v>3.25095598674472</v>
      </c>
      <c r="F19834" s="6" t="n">
        <f aca="false">(1-Sens!F19832)*(Sens!F19829+Sens!F19831)</f>
        <v>6.70800529234904</v>
      </c>
      <c r="G19834" s="6" t="n">
        <f aca="false">(1-Sens!G19832)*(Sens!G19829+Sens!G19831)</f>
        <v>11.3096528119573</v>
      </c>
      <c r="H19834" s="6" t="n">
        <f aca="false">(1-Sens!H19832)*(Sens!H19829+Sens!H19831)</f>
        <v>16.1428331363359</v>
      </c>
      <c r="I19834" s="6" t="n">
        <f aca="false">(1-Sens!I19832)*(Sens!I19829+Sens!I19831)</f>
        <v>20.3235219851742</v>
      </c>
      <c r="J19834" s="6" t="n">
        <f aca="false">(1-Sens!J19832)*(Sens!J19829+Sens!J19831)</f>
        <v>23.166434658799</v>
      </c>
      <c r="K19834" s="6" t="n">
        <f aca="false">(1-Sens!K19832)*(Sens!K19829+Sens!K19831)</f>
        <v>24.773412527294</v>
      </c>
    </row>
    <row r="19835" customFormat="false" ht="17.15" hidden="false" customHeight="false" outlineLevel="0" collapsed="false">
      <c r="A19835" s="1" t="s">
        <v>987</v>
      </c>
      <c r="B19835" s="0" t="s">
        <v>414</v>
      </c>
      <c r="C19835" s="8" t="n">
        <f aca="false">cxit_open</f>
        <v>27.5918995</v>
      </c>
      <c r="D19835" s="8" t="n">
        <f aca="false">cxit_open</f>
        <v>27.5918995</v>
      </c>
      <c r="E19835" s="8" t="n">
        <f aca="false">cxit_open</f>
        <v>27.5918995</v>
      </c>
      <c r="F19835" s="8" t="n">
        <f aca="false">((a_g3_27-0*a_mai)*tk_cxit_gb300+0*a_mai*nv_hold_mai*tk_cxit_vr200+(1-a_g3_27)*tk_cxit_vr200)</f>
        <v>33.8419624</v>
      </c>
      <c r="G19835" s="8" t="n">
        <f aca="false">((a_g3_28-0*a_mai)*tk_cxit_gb300+0*a_mai*nv_hold_mai*tk_cxit_vr200+(1-a_g3_28)*tk_cxit_vr200)</f>
        <v>35.9816136</v>
      </c>
      <c r="H19835" s="8" t="n">
        <f aca="false">((a_g3_29-0*a_mai)*tk_cxit_gb300+0*a_mai*nv_hold_mai*tk_cxit_vr200+(1-a_g3_29)*tk_cxit_vr200)</f>
        <v>37.0514392</v>
      </c>
      <c r="I19835" s="8" t="n">
        <f aca="false">((a_g3_29-0*a_mai)*tk_cxit_gb300+0*a_mai*nv_hold_mai*tk_cxit_vr200+(1-a_g3_29)*tk_cxit_vr200)</f>
        <v>37.0514392</v>
      </c>
      <c r="J19835" s="8" t="n">
        <f aca="false">((a_g3_29-0*a_mai)*tk_cxit_gb300+0*a_mai*nv_hold_mai*tk_cxit_vr200+(1-a_g3_29)*tk_cxit_vr200)</f>
        <v>37.0514392</v>
      </c>
      <c r="K19835" s="8" t="n">
        <f aca="false">((a_g3_29-0*a_mai)*tk_cxit_gb300+0*a_mai*nv_hold_mai*tk_cxit_vr200+(1-a_g3_29)*tk_cxit_vr200)</f>
        <v>37.0514392</v>
      </c>
      <c r="L19835" s="12" t="s">
        <v>988</v>
      </c>
    </row>
    <row r="19836" customFormat="false" ht="17.15" hidden="false" customHeight="false" outlineLevel="0" collapsed="false">
      <c r="A19836" s="0" t="s">
        <v>989</v>
      </c>
      <c r="B19836" s="0" t="s">
        <v>456</v>
      </c>
      <c r="F19836" s="30" t="n">
        <f aca="false">Sens!C19815*IF(Sens!F19808-Sens!C19808=life_it,1,0)+Sens!D19815*IF(Sens!F19808-Sens!D19808=life_it,1,0)+Sens!E19815*IF(Sens!F19808-Sens!E19808=life_it,1,0)</f>
        <v>0</v>
      </c>
      <c r="G19836" s="30" t="n">
        <f aca="false">Sens!C19815*IF(Sens!G19808-Sens!C19808=life_it,1,0)+Sens!D19815*IF(Sens!G19808-Sens!D19808=life_it,1,0)+Sens!E19815*IF(Sens!G19808-Sens!E19808=life_it,1,0)+Sens!F19815*IF(Sens!G19808-Sens!F19808=life_it,1,0)</f>
        <v>0</v>
      </c>
      <c r="H19836" s="30" t="n">
        <f aca="false">Sens!C19815*IF(Sens!H19808-Sens!C19808=life_it,1,0)+Sens!D19815*IF(Sens!H19808-Sens!D19808=life_it,1,0)+Sens!E19815*IF(Sens!H19808-Sens!E19808=life_it,1,0)+Sens!F19815*IF(Sens!H19808-Sens!F19808=life_it,1,0)+Sens!G19815*IF(Sens!H19808-Sens!G19808=life_it,1,0)</f>
        <v>0</v>
      </c>
      <c r="I19836" s="30" t="n">
        <f aca="false">Sens!C19815*IF(Sens!I19808-Sens!C19808=life_it,1,0)+Sens!D19815*IF(Sens!I19808-Sens!D19808=life_it,1,0)+Sens!E19815*IF(Sens!I19808-Sens!E19808=life_it,1,0)+Sens!F19815*IF(Sens!I19808-Sens!F19808=life_it,1,0)+Sens!G19815*IF(Sens!I19808-Sens!G19808=life_it,1,0)+Sens!H19815*IF(Sens!I19808-Sens!H19808=life_it,1,0)</f>
        <v>816.666666666667</v>
      </c>
      <c r="J19836" s="30" t="n">
        <f aca="false">Sens!C19815*IF(Sens!J19808-Sens!C19808=life_it,1,0)+Sens!D19815*IF(Sens!J19808-Sens!D19808=life_it,1,0)+Sens!E19815*IF(Sens!J19808-Sens!E19808=life_it,1,0)+Sens!F19815*IF(Sens!J19808-Sens!F19808=life_it,1,0)+Sens!G19815*IF(Sens!J19808-Sens!G19808=life_it,1,0)+Sens!H19815*IF(Sens!J19808-Sens!H19808=life_it,1,0)+Sens!I19815*IF(Sens!J19808-Sens!I19808=life_it,1,0)</f>
        <v>1233.33333333333</v>
      </c>
      <c r="K19836" s="30" t="n">
        <f aca="false">Sens!C19815*IF(Sens!K19808-Sens!C19808=life_it,1,0)+Sens!D19815*IF(Sens!K19808-Sens!D19808=life_it,1,0)+Sens!E19815*IF(Sens!K19808-Sens!E19808=life_it,1,0)+Sens!F19815*IF(Sens!K19808-Sens!F19808=life_it,1,0)+Sens!G19815*IF(Sens!K19808-Sens!G19808=life_it,1,0)+Sens!H19815*IF(Sens!K19808-Sens!H19808=life_it,1,0)+Sens!I19815*IF(Sens!K19808-Sens!I19808=life_it,1,0)+Sens!J19815*IF(Sens!K19808-Sens!J19808=life_it,1,0)</f>
        <v>2450</v>
      </c>
      <c r="L19836" s="1" t="s">
        <v>990</v>
      </c>
    </row>
    <row r="19837" customFormat="false" ht="17.15" hidden="false" customHeight="false" outlineLevel="0" collapsed="false">
      <c r="A19837" s="0" t="s">
        <v>991</v>
      </c>
      <c r="B19837" s="0" t="s">
        <v>98</v>
      </c>
      <c r="C19837" s="6" t="n">
        <f aca="false">Sens!C19815*Sens!C19835/1000</f>
        <v>22.5333845916667</v>
      </c>
      <c r="D19837" s="6" t="n">
        <f aca="false">Sens!D19815*Sens!D19835/1000</f>
        <v>34.0300093833333</v>
      </c>
      <c r="E19837" s="6" t="n">
        <f aca="false">Sens!E19815*Sens!E19835/1000</f>
        <v>67.600153775</v>
      </c>
      <c r="F19837" s="6" t="n">
        <f aca="false">(Sens!F19815+Sens!F19836)*Sens!F19835/1000</f>
        <v>142.166423470134</v>
      </c>
      <c r="G19837" s="6" t="n">
        <f aca="false">(Sens!G19815+Sens!G19836)*Sens!G19835/1000</f>
        <v>163.508554058396</v>
      </c>
      <c r="H19837" s="6" t="n">
        <f aca="false">(Sens!H19815+Sens!H19836)*Sens!H19835/1000</f>
        <v>168.37008247386</v>
      </c>
      <c r="I19837" s="6" t="n">
        <f aca="false">(Sens!I19815+Sens!I19836)*Sens!I19835/1000</f>
        <v>149.563452426789</v>
      </c>
      <c r="J19837" s="6" t="n">
        <f aca="false">(Sens!J19815+Sens!J19836)*Sens!J19835/1000</f>
        <v>118.322342241321</v>
      </c>
      <c r="K19837" s="6" t="n">
        <f aca="false">(Sens!K19815+Sens!K19836)*Sens!K19835/1000</f>
        <v>117.708102661891</v>
      </c>
    </row>
    <row r="19838" customFormat="false" ht="17.15" hidden="false" customHeight="false" outlineLevel="0" collapsed="false">
      <c r="A19838" s="0" t="s">
        <v>992</v>
      </c>
      <c r="B19838" s="0" t="s">
        <v>98</v>
      </c>
      <c r="C19838" s="6" t="n">
        <f aca="false">Sens!C19815*self_build*tk_cxfac/1000</f>
        <v>6.2083</v>
      </c>
      <c r="D19838" s="6" t="n">
        <f aca="false">Sens!D19815*self_build*tk_cxfac/1000</f>
        <v>9.3758</v>
      </c>
      <c r="E19838" s="6" t="n">
        <f aca="false">Sens!E19815*self_build*tk_cxfac/1000</f>
        <v>18.6249</v>
      </c>
      <c r="F19838" s="6" t="n">
        <f aca="false">Sens!F19815*self_build*tk_cxfac/1000</f>
        <v>31.935179717</v>
      </c>
      <c r="G19838" s="6" t="n">
        <f aca="false">Sens!G19815*self_build*tk_cxfac/1000</f>
        <v>34.545199717</v>
      </c>
      <c r="H19838" s="6" t="n">
        <f aca="false">Sens!H19815*self_build*tk_cxfac/1000</f>
        <v>34.545199717</v>
      </c>
      <c r="I19838" s="6" t="n">
        <f aca="false">Sens!I19815*self_build*tk_cxfac/1000</f>
        <v>24.4782641361767</v>
      </c>
      <c r="J19838" s="6" t="n">
        <f aca="false">Sens!J19815*self_build*tk_cxfac/1000</f>
        <v>14.9008938380769</v>
      </c>
      <c r="K19838" s="6" t="n">
        <f aca="false">Sens!K19815*self_build*tk_cxfac/1000</f>
        <v>5.52576771375761</v>
      </c>
    </row>
    <row r="19839" customFormat="false" ht="17.15" hidden="false" customHeight="false" outlineLevel="0" collapsed="false">
      <c r="A19839" s="0" t="s">
        <v>993</v>
      </c>
      <c r="B19839" s="0" t="s">
        <v>98</v>
      </c>
      <c r="F19839" s="15" t="n">
        <f aca="false">capex_floor27-Sens!F19837-Sens!F19838-Sens!F19935</f>
        <v>-5.68617269736414</v>
      </c>
      <c r="L19839" s="12" t="s">
        <v>994</v>
      </c>
    </row>
    <row r="19840" customFormat="false" ht="17.15" hidden="false" customHeight="false" outlineLevel="0" collapsed="false">
      <c r="A19840" s="0" t="s">
        <v>995</v>
      </c>
      <c r="B19840" s="0" t="s">
        <v>98</v>
      </c>
      <c r="F19840" s="6" t="n">
        <f aca="false">MAX(0,Sens!F19839)</f>
        <v>0</v>
      </c>
    </row>
    <row r="19841" customFormat="false" ht="17.15" hidden="false" customHeight="false" outlineLevel="0" collapsed="false">
      <c r="A19841" s="0" t="s">
        <v>996</v>
      </c>
      <c r="B19841" s="0" t="s">
        <v>98</v>
      </c>
      <c r="C19841" s="6" t="n">
        <f aca="false">Sens!C19837</f>
        <v>22.5333845916667</v>
      </c>
      <c r="D19841" s="6" t="n">
        <f aca="false">Sens!D19837</f>
        <v>34.0300093833333</v>
      </c>
      <c r="E19841" s="6" t="n">
        <f aca="false">Sens!E19837</f>
        <v>67.600153775</v>
      </c>
      <c r="F19841" s="6" t="n">
        <f aca="false">Sens!F19837</f>
        <v>142.166423470134</v>
      </c>
      <c r="G19841" s="6" t="n">
        <f aca="false">Sens!G19837</f>
        <v>163.508554058396</v>
      </c>
      <c r="H19841" s="6" t="n">
        <f aca="false">Sens!H19837</f>
        <v>168.37008247386</v>
      </c>
      <c r="I19841" s="6" t="n">
        <f aca="false">Sens!I19837</f>
        <v>149.563452426789</v>
      </c>
      <c r="J19841" s="6" t="n">
        <f aca="false">Sens!J19837</f>
        <v>118.322342241321</v>
      </c>
      <c r="K19841" s="6" t="n">
        <f aca="false">Sens!K19837</f>
        <v>117.708102661891</v>
      </c>
    </row>
    <row r="19842" customFormat="false" ht="17.15" hidden="false" customHeight="false" outlineLevel="0" collapsed="false">
      <c r="A19842" s="0" t="s">
        <v>997</v>
      </c>
      <c r="B19842" s="0" t="s">
        <v>98</v>
      </c>
      <c r="C19842" s="6" t="n">
        <f aca="false">Sens!C19841+Sens!C19838</f>
        <v>28.7416845916667</v>
      </c>
      <c r="D19842" s="6" t="n">
        <f aca="false">Sens!D19841+Sens!D19838</f>
        <v>43.4058093833333</v>
      </c>
      <c r="E19842" s="6" t="n">
        <f aca="false">Sens!E19841+Sens!E19838</f>
        <v>86.225053775</v>
      </c>
      <c r="F19842" s="6" t="n">
        <f aca="false">Sens!F19841+Sens!F19838</f>
        <v>174.101603187134</v>
      </c>
      <c r="G19842" s="6" t="n">
        <f aca="false">Sens!G19841+Sens!G19838</f>
        <v>198.053753775396</v>
      </c>
      <c r="H19842" s="6" t="n">
        <f aca="false">Sens!H19841+Sens!H19838</f>
        <v>202.91528219086</v>
      </c>
      <c r="I19842" s="6" t="n">
        <f aca="false">Sens!I19841+Sens!I19838</f>
        <v>174.041716562966</v>
      </c>
      <c r="J19842" s="6" t="n">
        <f aca="false">Sens!J19841+Sens!J19838</f>
        <v>133.223236079397</v>
      </c>
      <c r="K19842" s="6" t="n">
        <f aca="false">Sens!K19841+Sens!K19838</f>
        <v>123.233870375648</v>
      </c>
      <c r="L19842" s="12" t="s">
        <v>998</v>
      </c>
    </row>
    <row r="19843" customFormat="false" ht="17.15" hidden="false" customHeight="false" outlineLevel="0" collapsed="false">
      <c r="A19843" s="0" t="s">
        <v>999</v>
      </c>
      <c r="B19843" s="0" t="s">
        <v>98</v>
      </c>
      <c r="E19843" s="6" t="n">
        <f aca="false">(Sens!C19841*IF(2&lt;life_it,1,IF(2=life_it,0.5,0))+Sens!D19841*IF(1&lt;life_it,1,IF(1=life_it,0.5,0))+Sens!E19841*0.5)/life_it</f>
        <v>15.0605784770833</v>
      </c>
      <c r="F19843" s="6" t="n">
        <f aca="false">(Sens!C19841*IF(3&lt;life_it,1,IF(3=life_it,0.5,0))+Sens!D19841*IF(2&lt;life_it,1,IF(2=life_it,0.5,0))+Sens!E19841*IF(1&lt;life_it,1,IF(1=life_it,0.5,0))+Sens!F19841*0.5)/life_it</f>
        <v>32.5411265808445</v>
      </c>
      <c r="G19843" s="6" t="n">
        <f aca="false">(Sens!C19841*IF(4&lt;life_it,1,IF(4=life_it,0.5,0))+Sens!D19841*IF(3&lt;life_it,1,IF(3=life_it,0.5,0))+Sens!E19841*IF(2&lt;life_it,1,IF(2=life_it,0.5,0))+Sens!F19841*IF(1&lt;life_it,1,IF(1=life_it,0.5,0))+Sens!G19841*0.5)/life_it</f>
        <v>58.0140413748886</v>
      </c>
      <c r="H19843" s="6" t="n">
        <f aca="false">(Sens!C19841*IF(5&lt;life_it,1,IF(5=life_it,0.5,0))+Sens!D19841*IF(4&lt;life_it,1,IF(4=life_it,0.5,0))+Sens!E19841*IF(3&lt;life_it,1,IF(3=life_it,0.5,0))+Sens!F19841*IF(2&lt;life_it,1,IF(2=life_it,0.5,0))+Sens!G19841*IF(1&lt;life_it,1,IF(1=life_it,0.5,0))+Sens!H19841*0.5)/life_it</f>
        <v>85.6705944192432</v>
      </c>
      <c r="I19843" s="6" t="n">
        <f aca="false">(Sens!C19841*IF(6&lt;life_it,1,IF(6=life_it,0.5,0))+Sens!D19841*IF(5&lt;life_it,1,IF(5=life_it,0.5,0))+Sens!E19841*IF(4&lt;life_it,1,IF(4=life_it,0.5,0))+Sens!F19841*IF(3&lt;life_it,1,IF(3=life_it,0.5,0))+Sens!G19841*IF(2&lt;life_it,1,IF(2=life_it,0.5,0))+Sens!H19841*IF(1&lt;life_it,1,IF(1=life_it,0.5,0))+Sens!I19841*0.5)/life_it</f>
        <v>110.287273611658</v>
      </c>
      <c r="J19843" s="6" t="n">
        <f aca="false">(Sens!C19841*IF(7&lt;life_it,1,IF(7=life_it,0.5,0))+Sens!D19841*IF(6&lt;life_it,1,IF(6=life_it,0.5,0))+Sens!E19841*IF(5&lt;life_it,1,IF(5=life_it,0.5,0))+Sens!F19841*IF(4&lt;life_it,1,IF(4=life_it,0.5,0))+Sens!G19841*IF(3&lt;life_it,1,IF(3=life_it,0.5,0))+Sens!H19841*IF(2&lt;life_it,1,IF(2=life_it,0.5,0))+Sens!I19841*IF(1&lt;life_it,1,IF(1=life_it,0.5,0))+Sens!J19841*0.5)/life_it</f>
        <v>127.897473669418</v>
      </c>
      <c r="K19843" s="6" t="n">
        <f aca="false">(Sens!C19841*IF(8&lt;life_it,1,IF(8=life_it,0.5,0))+Sens!D19841*IF(7&lt;life_it,1,IF(7=life_it,0.5,0))+Sens!E19841*IF(6&lt;life_it,1,IF(6=life_it,0.5,0))+Sens!F19841*IF(5&lt;life_it,1,IF(5=life_it,0.5,0))+Sens!G19841*IF(4&lt;life_it,1,IF(4=life_it,0.5,0))+Sens!H19841*IF(3&lt;life_it,1,IF(3=life_it,0.5,0))+Sens!I19841*IF(2&lt;life_it,1,IF(2=life_it,0.5,0))+Sens!J19841*IF(1&lt;life_it,1,IF(1=life_it,0.5,0))+Sens!K19841*0.5)/life_it</f>
        <v>139.097497148157</v>
      </c>
    </row>
    <row r="19844" customFormat="false" ht="17.15" hidden="false" customHeight="false" outlineLevel="0" collapsed="false">
      <c r="A19844" s="0" t="s">
        <v>1000</v>
      </c>
      <c r="B19844" s="0" t="s">
        <v>98</v>
      </c>
      <c r="E19844" s="6" t="n">
        <f aca="false">(Sens!C19838*IF(2&lt;life_fac,1,IF(2=life_fac,0.5,0))+Sens!D19838*IF(1&lt;life_fac,1,IF(1=life_fac,0.5,0))+Sens!E19838*0.5)/life_fac</f>
        <v>1.2448275</v>
      </c>
      <c r="F19844" s="6" t="n">
        <f aca="false">(Sens!C19838*IF(3&lt;life_fac,1,IF(3=life_fac,0.5,0))+Sens!D19838*IF(2&lt;life_fac,1,IF(2=life_fac,0.5,0))+Sens!E19838*IF(1&lt;life_fac,1,IF(1=life_fac,0.5,0))+Sens!F19838*0.5)/life_fac</f>
        <v>2.508829492925</v>
      </c>
      <c r="G19844" s="6" t="n">
        <f aca="false">(Sens!C19838*IF(4&lt;life_fac,1,IF(4=life_fac,0.5,0))+Sens!D19838*IF(3&lt;life_fac,1,IF(3=life_fac,0.5,0))+Sens!E19838*IF(2&lt;life_fac,1,IF(2=life_fac,0.5,0))+Sens!F19838*IF(1&lt;life_fac,1,IF(1=life_fac,0.5,0))+Sens!G19838*0.5)/life_fac</f>
        <v>4.170838978775</v>
      </c>
      <c r="H19844" s="6" t="n">
        <f aca="false">(Sens!C19838*IF(5&lt;life_fac,1,IF(5=life_fac,0.5,0))+Sens!D19838*IF(4&lt;life_fac,1,IF(4=life_fac,0.5,0))+Sens!E19838*IF(3&lt;life_fac,1,IF(3=life_fac,0.5,0))+Sens!F19838*IF(2&lt;life_fac,1,IF(2=life_fac,0.5,0))+Sens!G19838*IF(1&lt;life_fac,1,IF(1=life_fac,0.5,0))+Sens!H19838*0.5)/life_fac</f>
        <v>5.898098964625</v>
      </c>
      <c r="I19844" s="6" t="n">
        <f aca="false">(Sens!C19838*IF(6&lt;life_fac,1,IF(6=life_fac,0.5,0))+Sens!D19838*IF(5&lt;life_fac,1,IF(5=life_fac,0.5,0))+Sens!E19838*IF(4&lt;life_fac,1,IF(4=life_fac,0.5,0))+Sens!F19838*IF(3&lt;life_fac,1,IF(3=life_fac,0.5,0))+Sens!G19838*IF(2&lt;life_fac,1,IF(2=life_fac,0.5,0))+Sens!H19838*IF(1&lt;life_fac,1,IF(1=life_fac,0.5,0))+Sens!I19838*0.5)/life_fac</f>
        <v>7.37368556095442</v>
      </c>
      <c r="J19844" s="6" t="n">
        <f aca="false">(Sens!C19838*IF(7&lt;life_fac,1,IF(7=life_fac,0.5,0))+Sens!D19838*IF(6&lt;life_fac,1,IF(6=life_fac,0.5,0))+Sens!E19838*IF(5&lt;life_fac,1,IF(5=life_fac,0.5,0))+Sens!F19838*IF(4&lt;life_fac,1,IF(4=life_fac,0.5,0))+Sens!G19838*IF(3&lt;life_fac,1,IF(3=life_fac,0.5,0))+Sens!H19838*IF(2&lt;life_fac,1,IF(2=life_fac,0.5,0))+Sens!I19838*IF(1&lt;life_fac,1,IF(1=life_fac,0.5,0))+Sens!J19838*0.5)/life_fac</f>
        <v>8.35816451031075</v>
      </c>
      <c r="K19844" s="6" t="n">
        <f aca="false">(Sens!C19838*IF(8&lt;life_fac,1,IF(8=life_fac,0.5,0))+Sens!D19838*IF(7&lt;life_fac,1,IF(7=life_fac,0.5,0))+Sens!E19838*IF(6&lt;life_fac,1,IF(6=life_fac,0.5,0))+Sens!F19838*IF(5&lt;life_fac,1,IF(5=life_fac,0.5,0))+Sens!G19838*IF(4&lt;life_fac,1,IF(4=life_fac,0.5,0))+Sens!H19838*IF(3&lt;life_fac,1,IF(3=life_fac,0.5,0))+Sens!I19838*IF(2&lt;life_fac,1,IF(2=life_fac,0.5,0))+Sens!J19838*IF(1&lt;life_fac,1,IF(1=life_fac,0.5,0))+Sens!K19838*0.5)/life_fac</f>
        <v>8.86883104910662</v>
      </c>
    </row>
    <row r="19845" customFormat="false" ht="17.15" hidden="false" customHeight="false" outlineLevel="0" collapsed="false">
      <c r="A19845" s="0" t="s">
        <v>1001</v>
      </c>
      <c r="B19845" s="0" t="s">
        <v>98</v>
      </c>
      <c r="E19845" s="6" t="n">
        <f aca="false">Sens!E19843+Sens!E19844</f>
        <v>16.3054059770833</v>
      </c>
      <c r="F19845" s="6" t="n">
        <f aca="false">Sens!F19843+Sens!F19844</f>
        <v>35.0499560737695</v>
      </c>
      <c r="G19845" s="6" t="n">
        <f aca="false">Sens!G19843+Sens!G19844</f>
        <v>62.1848803536636</v>
      </c>
      <c r="H19845" s="6" t="n">
        <f aca="false">Sens!H19843+Sens!H19844</f>
        <v>91.5686933838682</v>
      </c>
      <c r="I19845" s="6" t="n">
        <f aca="false">Sens!I19843+Sens!I19844</f>
        <v>117.660959172613</v>
      </c>
      <c r="J19845" s="6" t="n">
        <f aca="false">Sens!J19843+Sens!J19844</f>
        <v>136.255638179728</v>
      </c>
      <c r="K19845" s="6" t="n">
        <f aca="false">Sens!K19843+Sens!K19844</f>
        <v>147.966328197264</v>
      </c>
    </row>
    <row r="19846" customFormat="false" ht="17.15" hidden="false" customHeight="false" outlineLevel="0" collapsed="false">
      <c r="A19846" s="0" t="s">
        <v>1002</v>
      </c>
      <c r="B19846" s="0" t="s">
        <v>98</v>
      </c>
      <c r="E19846" s="6" t="n">
        <f aca="false">Sens!E19833-Sens!E19832*Sens!E19845</f>
        <v>8.92707889977379</v>
      </c>
      <c r="F19846" s="6" t="n">
        <f aca="false">Sens!F19833-Sens!F19832*Sens!F19845</f>
        <v>15.0295069179371</v>
      </c>
      <c r="G19846" s="6" t="n">
        <f aca="false">Sens!G19833-Sens!G19832*Sens!G19845</f>
        <v>17.5808004175164</v>
      </c>
      <c r="H19846" s="6" t="n">
        <f aca="false">Sens!H19833-Sens!H19832*Sens!H19845</f>
        <v>14.2450303062553</v>
      </c>
      <c r="I19846" s="6" t="n">
        <f aca="false">Sens!I19833-Sens!I19832*Sens!I19845</f>
        <v>17.9283822485013</v>
      </c>
      <c r="J19846" s="6" t="n">
        <f aca="false">Sens!J19833-Sens!J19832*Sens!J19845</f>
        <v>20.4799258558131</v>
      </c>
      <c r="K19846" s="6" t="n">
        <f aca="false">Sens!K19833-Sens!K19832*Sens!K19845</f>
        <v>22.6066268623354</v>
      </c>
    </row>
    <row r="19847" customFormat="false" ht="17.15" hidden="false" customHeight="false" outlineLevel="0" collapsed="false">
      <c r="A19847" s="3" t="s">
        <v>1970</v>
      </c>
    </row>
    <row r="19848" customFormat="false" ht="15" hidden="false" customHeight="false" outlineLevel="0" collapsed="false">
      <c r="A19848" s="4" t="s">
        <v>43</v>
      </c>
      <c r="B19848" s="4" t="s">
        <v>65</v>
      </c>
      <c r="C19848" s="23" t="s">
        <v>938</v>
      </c>
      <c r="D19848" s="23" t="s">
        <v>939</v>
      </c>
      <c r="E19848" s="23" t="s">
        <v>940</v>
      </c>
      <c r="F19848" s="23" t="s">
        <v>941</v>
      </c>
      <c r="G19848" s="23" t="s">
        <v>942</v>
      </c>
      <c r="H19848" s="23" t="s">
        <v>943</v>
      </c>
      <c r="I19848" s="23" t="s">
        <v>944</v>
      </c>
      <c r="J19848" s="23" t="s">
        <v>945</v>
      </c>
      <c r="K19848" s="23" t="s">
        <v>946</v>
      </c>
      <c r="L19848" s="4" t="s">
        <v>47</v>
      </c>
    </row>
    <row r="19849" customFormat="false" ht="17.15" hidden="false" customHeight="false" outlineLevel="0" collapsed="false">
      <c r="A19849" s="0" t="s">
        <v>1021</v>
      </c>
      <c r="B19849" s="0" t="s">
        <v>98</v>
      </c>
      <c r="D19849" s="6" t="n">
        <f aca="false">Sens!D19827</f>
        <v>12.9359794422418</v>
      </c>
      <c r="E19849" s="6" t="n">
        <f aca="false">Sens!E19827</f>
        <v>27.8095064661409</v>
      </c>
      <c r="F19849" s="6" t="n">
        <f aca="false">Sens!F19827</f>
        <v>51.9266585007223</v>
      </c>
      <c r="G19849" s="6" t="n">
        <f aca="false">Sens!G19827</f>
        <v>78.5770478476505</v>
      </c>
      <c r="H19849" s="6" t="n">
        <f aca="false">Sens!H19827</f>
        <v>100.12133604108</v>
      </c>
      <c r="I19849" s="6" t="n">
        <f aca="false">Sens!I19827</f>
        <v>125.73108072983</v>
      </c>
      <c r="J19849" s="6" t="n">
        <f aca="false">Sens!J19827</f>
        <v>143.703800751849</v>
      </c>
      <c r="K19849" s="6" t="n">
        <f aca="false">Sens!K19827</f>
        <v>155.267382571635</v>
      </c>
    </row>
    <row r="19850" customFormat="false" ht="17.15" hidden="false" customHeight="false" outlineLevel="0" collapsed="false">
      <c r="A19850" s="0" t="s">
        <v>1022</v>
      </c>
      <c r="B19850" s="0" t="s">
        <v>98</v>
      </c>
      <c r="D19850" s="6" t="n">
        <f aca="false">Q!L6-Sens!D19849</f>
        <v>59.6740205577583</v>
      </c>
      <c r="E19850" s="6" t="n">
        <f aca="false">Q!M6-Sens!E19849</f>
        <v>74.1284935338591</v>
      </c>
      <c r="F19850" s="6" t="n">
        <f aca="false">Q!$I$6+(Sens!F19849+Sens!E19850*(1+Sens!F19851))*(1-Q!$E$6/Q!M6)-Sens!F19849</f>
        <v>92.0625063031085</v>
      </c>
      <c r="G19850" s="6" t="n">
        <f aca="false">Sens!F19850*(1+Sens!G19851)</f>
        <v>109.383998310605</v>
      </c>
      <c r="H19850" s="6" t="n">
        <f aca="false">Sens!G19850*(1+Sens!H19851)</f>
        <v>127.00706664964</v>
      </c>
      <c r="I19850" s="6" t="n">
        <f aca="false">Sens!H19850*(1+Sens!I19851)</f>
        <v>144.035491823414</v>
      </c>
      <c r="J19850" s="6" t="n">
        <f aca="false">Sens!I19850*(1+Sens!J19851)</f>
        <v>159.452663965812</v>
      </c>
      <c r="K19850" s="6" t="n">
        <f aca="false">Sens!J19850*(1+Sens!K19851)</f>
        <v>172.208877083077</v>
      </c>
      <c r="L19850" s="12" t="s">
        <v>1023</v>
      </c>
    </row>
    <row r="19851" customFormat="false" ht="15" hidden="false" customHeight="false" outlineLevel="0" collapsed="false">
      <c r="A19851" s="1" t="s">
        <v>1024</v>
      </c>
      <c r="B19851" s="0" t="s">
        <v>168</v>
      </c>
      <c r="E19851" s="7" t="n">
        <f aca="false">Sens!E19850/Sens!D19850-1</f>
        <v>0.242223883039864</v>
      </c>
      <c r="F19851" s="7" t="n">
        <f aca="false">Sens!$E$19851+(glt_azo-Sens!$E$19851)*MIN(1,(Sens!F19808-base_fy)/n_conv)</f>
        <v>0.215186569199887</v>
      </c>
      <c r="G19851" s="7" t="n">
        <f aca="false">Sens!$E$19851+(glt_azo-Sens!$E$19851)*MIN(1,(Sens!G19808-base_fy)/n_conv)</f>
        <v>0.18814925535991</v>
      </c>
      <c r="H19851" s="7" t="n">
        <f aca="false">Sens!$E$19851+(glt_azo-Sens!$E$19851)*MIN(1,(Sens!H19808-base_fy)/n_conv)</f>
        <v>0.161111941519932</v>
      </c>
      <c r="I19851" s="7" t="n">
        <f aca="false">Sens!$E$19851+(glt_azo-Sens!$E$19851)*MIN(1,(Sens!I19808-base_fy)/n_conv)</f>
        <v>0.134074627679955</v>
      </c>
      <c r="J19851" s="7" t="n">
        <f aca="false">Sens!$E$19851+(glt_azo-Sens!$E$19851)*MIN(1,(Sens!J19808-base_fy)/n_conv)</f>
        <v>0.107037313839977</v>
      </c>
      <c r="K19851" s="7" t="n">
        <f aca="false">Sens!$E$19851+(glt_azo-Sens!$E$19851)*MIN(1,(Sens!K19808-base_fy)/n_conv)</f>
        <v>0.08</v>
      </c>
    </row>
    <row r="19852" customFormat="false" ht="15" hidden="false" customHeight="false" outlineLevel="0" collapsed="false">
      <c r="A19852" s="0" t="s">
        <v>1025</v>
      </c>
      <c r="B19852" s="0" t="s">
        <v>98</v>
      </c>
      <c r="D19852" s="6" t="n">
        <f aca="false">Sens!D19849+Sens!D19850</f>
        <v>72.61</v>
      </c>
      <c r="E19852" s="6" t="n">
        <f aca="false">Sens!E19849+Sens!E19850</f>
        <v>101.938</v>
      </c>
      <c r="F19852" s="6" t="n">
        <f aca="false">Sens!F19849+Sens!F19850</f>
        <v>143.989164803831</v>
      </c>
      <c r="G19852" s="6" t="n">
        <f aca="false">Sens!G19849+Sens!G19850</f>
        <v>187.961046158256</v>
      </c>
      <c r="H19852" s="6" t="n">
        <f aca="false">Sens!H19849+Sens!H19850</f>
        <v>227.12840269072</v>
      </c>
      <c r="I19852" s="6" t="n">
        <f aca="false">Sens!I19849+Sens!I19850</f>
        <v>269.766572553244</v>
      </c>
      <c r="J19852" s="6" t="n">
        <f aca="false">Sens!J19849+Sens!J19850</f>
        <v>303.15646471766</v>
      </c>
      <c r="K19852" s="6" t="n">
        <f aca="false">Sens!K19849+Sens!K19850</f>
        <v>327.476259654712</v>
      </c>
    </row>
    <row r="19853" customFormat="false" ht="17.15" hidden="false" customHeight="false" outlineLevel="0" collapsed="false">
      <c r="A19853" s="0" t="s">
        <v>1026</v>
      </c>
      <c r="B19853" s="1" t="s">
        <v>610</v>
      </c>
      <c r="C19853" s="30" t="n">
        <f aca="false">cop_s24</f>
        <v>1</v>
      </c>
      <c r="D19853" s="30" t="n">
        <f aca="false">cop_s25</f>
        <v>5</v>
      </c>
      <c r="E19853" s="30" t="n">
        <f aca="false">cop_s26</f>
        <v>30</v>
      </c>
      <c r="F19853" s="30" t="n">
        <f aca="false">Sens!E19853+cop_add_C</f>
        <v>40</v>
      </c>
      <c r="G19853" s="30" t="n">
        <f aca="false">Sens!F19853+cop_add_C</f>
        <v>50</v>
      </c>
      <c r="H19853" s="30" t="n">
        <f aca="false">Sens!G19853+cop_add_C</f>
        <v>60</v>
      </c>
      <c r="I19853" s="30" t="n">
        <f aca="false">Sens!H19853+cop_add_C*cop_tail</f>
        <v>65</v>
      </c>
      <c r="J19853" s="30" t="n">
        <f aca="false">Sens!I19853+cop_add_C*cop_tail</f>
        <v>70</v>
      </c>
      <c r="K19853" s="30" t="n">
        <f aca="false">Sens!J19853+cop_add_C*cop_tail</f>
        <v>75</v>
      </c>
      <c r="L19853" s="12" t="s">
        <v>1027</v>
      </c>
    </row>
    <row r="19854" customFormat="false" ht="17.15" hidden="false" customHeight="false" outlineLevel="0" collapsed="false">
      <c r="A19854" s="0" t="s">
        <v>1028</v>
      </c>
      <c r="B19854" s="0" t="s">
        <v>98</v>
      </c>
      <c r="D19854" s="6" t="n">
        <f aca="false">(Sens!C19853+Sens!D19853)/2*cop_px*12/1000</f>
        <v>0.9</v>
      </c>
      <c r="E19854" s="6" t="n">
        <f aca="false">(Sens!D19853+Sens!E19853)/2*cop_px*12/1000</f>
        <v>5.25</v>
      </c>
      <c r="F19854" s="6" t="n">
        <f aca="false">(Sens!E19853+Sens!F19853)/2*cop_px*12/1000</f>
        <v>10.5</v>
      </c>
      <c r="G19854" s="6" t="n">
        <f aca="false">(Sens!F19853+Sens!G19853)/2*cop_px*12/1000</f>
        <v>13.5</v>
      </c>
      <c r="H19854" s="6" t="n">
        <f aca="false">(Sens!G19853+Sens!H19853)/2*cop_px*12/1000</f>
        <v>16.5</v>
      </c>
      <c r="I19854" s="6" t="n">
        <f aca="false">(Sens!H19853+Sens!I19853)/2*cop_px*12/1000</f>
        <v>18.75</v>
      </c>
      <c r="J19854" s="6" t="n">
        <f aca="false">(Sens!I19853+Sens!J19853)/2*cop_px*12/1000</f>
        <v>20.25</v>
      </c>
      <c r="K19854" s="6" t="n">
        <f aca="false">(Sens!J19853+Sens!K19853)/2*cop_px*12/1000</f>
        <v>21.75</v>
      </c>
      <c r="L19854" s="1" t="s">
        <v>1029</v>
      </c>
    </row>
    <row r="19855" customFormat="false" ht="17.15" hidden="false" customHeight="false" outlineLevel="0" collapsed="false">
      <c r="A19855" s="0" t="s">
        <v>1030</v>
      </c>
      <c r="B19855" s="0" t="s">
        <v>98</v>
      </c>
      <c r="D19855" s="6" t="n">
        <f aca="false">Q!L7-Sens!D19854</f>
        <v>83.705</v>
      </c>
      <c r="E19855" s="6" t="n">
        <f aca="false">Q!M7-Sens!E19854</f>
        <v>95.049</v>
      </c>
      <c r="F19855" s="6" t="n">
        <f aca="false">Q!$I$7+(Sens!E19855*(1+Sens!F19856)+Sens!F19854)*(1-Q!$E$7/Q!M7)-Sens!F19854</f>
        <v>106.938354189776</v>
      </c>
      <c r="G19855" s="6" t="n">
        <f aca="false">Sens!F19855*(1+Sens!G19856)</f>
        <v>119.095360443801</v>
      </c>
      <c r="H19855" s="6" t="n">
        <f aca="false">Sens!G19855*(1+Sens!H19856)</f>
        <v>131.333811964563</v>
      </c>
      <c r="I19855" s="6" t="n">
        <f aca="false">Sens!H19855*(1+Sens!I19856)</f>
        <v>143.395665319381</v>
      </c>
      <c r="J19855" s="6" t="n">
        <f aca="false">Sens!I19855*(1+Sens!J19856)</f>
        <v>154.999327755573</v>
      </c>
      <c r="K19855" s="6" t="n">
        <f aca="false">Sens!J19855*(1+Sens!K19856)</f>
        <v>165.849280698463</v>
      </c>
      <c r="L19855" s="12" t="s">
        <v>1031</v>
      </c>
    </row>
    <row r="19856" customFormat="false" ht="15" hidden="false" customHeight="false" outlineLevel="0" collapsed="false">
      <c r="A19856" s="1" t="s">
        <v>1024</v>
      </c>
      <c r="B19856" s="0" t="s">
        <v>168</v>
      </c>
      <c r="E19856" s="7" t="n">
        <f aca="false">Sens!E19855/Sens!D19855-1</f>
        <v>0.135523564900544</v>
      </c>
      <c r="F19856" s="7" t="n">
        <f aca="false">Sens!$E$19856+(glt_m365b-Sens!$E$19856)*MIN(1,(Sens!F19808-base_fy)/n_conv)</f>
        <v>0.124602970750453</v>
      </c>
      <c r="G19856" s="7" t="n">
        <f aca="false">Sens!$E$19856+(glt_m365b-Sens!$E$19856)*MIN(1,(Sens!G19808-base_fy)/n_conv)</f>
        <v>0.113682376600363</v>
      </c>
      <c r="H19856" s="7" t="n">
        <f aca="false">Sens!$E$19856+(glt_m365b-Sens!$E$19856)*MIN(1,(Sens!H19808-base_fy)/n_conv)</f>
        <v>0.102761782450272</v>
      </c>
      <c r="I19856" s="7" t="n">
        <f aca="false">Sens!$E$19856+(glt_m365b-Sens!$E$19856)*MIN(1,(Sens!I19808-base_fy)/n_conv)</f>
        <v>0.0918411883001813</v>
      </c>
      <c r="J19856" s="7" t="n">
        <f aca="false">Sens!$E$19856+(glt_m365b-Sens!$E$19856)*MIN(1,(Sens!J19808-base_fy)/n_conv)</f>
        <v>0.0809205941500906</v>
      </c>
      <c r="K19856" s="7" t="n">
        <f aca="false">Sens!$E$19856+(glt_m365b-Sens!$E$19856)*MIN(1,(Sens!K19808-base_fy)/n_conv)</f>
        <v>0.07</v>
      </c>
    </row>
    <row r="19857" customFormat="false" ht="15" hidden="false" customHeight="false" outlineLevel="0" collapsed="false">
      <c r="A19857" s="0" t="s">
        <v>1032</v>
      </c>
      <c r="B19857" s="0" t="s">
        <v>98</v>
      </c>
      <c r="D19857" s="6" t="n">
        <f aca="false">Sens!D19855+Sens!D19854</f>
        <v>84.605</v>
      </c>
      <c r="E19857" s="6" t="n">
        <f aca="false">Sens!E19855+Sens!E19854</f>
        <v>100.299</v>
      </c>
      <c r="F19857" s="6" t="n">
        <f aca="false">Sens!F19855+Sens!F19854</f>
        <v>117.438354189776</v>
      </c>
      <c r="G19857" s="6" t="n">
        <f aca="false">Sens!G19855+Sens!G19854</f>
        <v>132.595360443801</v>
      </c>
      <c r="H19857" s="6" t="n">
        <f aca="false">Sens!H19855+Sens!H19854</f>
        <v>147.833811964563</v>
      </c>
      <c r="I19857" s="6" t="n">
        <f aca="false">Sens!I19855+Sens!I19854</f>
        <v>162.145665319381</v>
      </c>
      <c r="J19857" s="6" t="n">
        <f aca="false">Sens!J19855+Sens!J19854</f>
        <v>175.249327755573</v>
      </c>
      <c r="K19857" s="6" t="n">
        <f aca="false">Sens!K19855+Sens!K19854</f>
        <v>187.599280698463</v>
      </c>
    </row>
    <row r="19858" customFormat="false" ht="17.15" hidden="false" customHeight="false" outlineLevel="0" collapsed="false">
      <c r="A19858" s="0" t="s">
        <v>1033</v>
      </c>
      <c r="B19858" s="0" t="s">
        <v>98</v>
      </c>
      <c r="D19858" s="6" t="n">
        <f aca="false">Q!L8</f>
        <v>35.391</v>
      </c>
      <c r="E19858" s="6" t="n">
        <f aca="false">Q!M8</f>
        <v>37.285</v>
      </c>
      <c r="F19858" s="6" t="n">
        <f aca="false">Q!$I$8+(Q!M8-Q!$E$8)*(1+Sens!F19859)</f>
        <v>38.3851437782675</v>
      </c>
      <c r="G19858" s="6" t="n">
        <f aca="false">Sens!F19858*(1+Sens!G19859)</f>
        <v>40.0105353288615</v>
      </c>
      <c r="H19858" s="6" t="n">
        <f aca="false">Sens!G19858*(1+Sens!H19859)</f>
        <v>41.4812512033683</v>
      </c>
      <c r="I19858" s="6" t="n">
        <f aca="false">Sens!H19858*(1+Sens!I19859)</f>
        <v>42.7743107216329</v>
      </c>
      <c r="J19858" s="6" t="n">
        <f aca="false">Sens!I19858*(1+Sens!J19859)</f>
        <v>43.8687373064601</v>
      </c>
      <c r="K19858" s="6" t="n">
        <f aca="false">Sens!J19858*(1+Sens!K19859)</f>
        <v>44.7461120525893</v>
      </c>
      <c r="L19858" s="12" t="s">
        <v>1034</v>
      </c>
    </row>
    <row r="19859" customFormat="false" ht="15" hidden="false" customHeight="false" outlineLevel="0" collapsed="false">
      <c r="A19859" s="1" t="s">
        <v>1024</v>
      </c>
      <c r="B19859" s="0" t="s">
        <v>168</v>
      </c>
      <c r="E19859" s="7" t="n">
        <f aca="false">Sens!E19858/Sens!D19858-1</f>
        <v>0.0535164307309768</v>
      </c>
      <c r="F19859" s="7" t="n">
        <f aca="false">Sens!$E$19859+(glt_lic-Sens!$E$19859)*MIN(1,(Sens!F19808-base_fy)/n_conv)</f>
        <v>0.0479303589424807</v>
      </c>
      <c r="G19859" s="7" t="n">
        <f aca="false">Sens!$E$19859+(glt_lic-Sens!$E$19859)*MIN(1,(Sens!G19808-base_fy)/n_conv)</f>
        <v>0.0423442871539845</v>
      </c>
      <c r="H19859" s="7" t="n">
        <f aca="false">Sens!$E$19859+(glt_lic-Sens!$E$19859)*MIN(1,(Sens!H19808-base_fy)/n_conv)</f>
        <v>0.0367582153654884</v>
      </c>
      <c r="I19859" s="7" t="n">
        <f aca="false">Sens!$E$19859+(glt_lic-Sens!$E$19859)*MIN(1,(Sens!I19808-base_fy)/n_conv)</f>
        <v>0.0311721435769923</v>
      </c>
      <c r="J19859" s="7" t="n">
        <f aca="false">Sens!$E$19859+(glt_lic-Sens!$E$19859)*MIN(1,(Sens!J19808-base_fy)/n_conv)</f>
        <v>0.0255860717884961</v>
      </c>
      <c r="K19859" s="7" t="n">
        <f aca="false">Sens!$E$19859+(glt_lic-Sens!$E$19859)*MIN(1,(Sens!K19808-base_fy)/n_conv)</f>
        <v>0.02</v>
      </c>
    </row>
    <row r="19860" customFormat="false" ht="17.15" hidden="false" customHeight="false" outlineLevel="0" collapsed="false">
      <c r="A19860" s="0" t="s">
        <v>1035</v>
      </c>
      <c r="B19860" s="0" t="s">
        <v>98</v>
      </c>
      <c r="D19860" s="6" t="n">
        <f aca="false">Q!L9</f>
        <v>18.417</v>
      </c>
      <c r="E19860" s="6" t="n">
        <f aca="false">Q!M9</f>
        <v>20.345</v>
      </c>
      <c r="F19860" s="6" t="n">
        <f aca="false">Q!$I$9+(Q!M9-Q!$E$9)*(1+Sens!F19861)</f>
        <v>22.3161797133988</v>
      </c>
      <c r="G19860" s="6" t="n">
        <f aca="false">Sens!F19860*(1+Sens!G19861)</f>
        <v>24.3943499673233</v>
      </c>
      <c r="H19860" s="6" t="n">
        <f aca="false">Sens!G19860*(1+Sens!H19861)</f>
        <v>26.5250243109019</v>
      </c>
      <c r="I19860" s="6" t="n">
        <f aca="false">Sens!H19860*(1+Sens!I19861)</f>
        <v>28.6884573538181</v>
      </c>
      <c r="J19860" s="6" t="n">
        <f aca="false">Sens!I19860*(1+Sens!J19861)</f>
        <v>30.8624968052127</v>
      </c>
      <c r="K19860" s="6" t="n">
        <f aca="false">Sens!J19860*(1+Sens!K19861)</f>
        <v>33.0228715815776</v>
      </c>
      <c r="L19860" s="12" t="s">
        <v>1034</v>
      </c>
    </row>
    <row r="19861" customFormat="false" ht="15" hidden="false" customHeight="false" outlineLevel="0" collapsed="false">
      <c r="A19861" s="1" t="s">
        <v>1024</v>
      </c>
      <c r="B19861" s="0" t="s">
        <v>168</v>
      </c>
      <c r="E19861" s="7" t="n">
        <f aca="false">Sens!E19860/Sens!D19860-1</f>
        <v>0.104685888038225</v>
      </c>
      <c r="F19861" s="7" t="n">
        <f aca="false">Sens!$E$19861+(glt_ind-Sens!$E$19861)*MIN(1,(Sens!F19808-base_fy)/n_conv)</f>
        <v>0.0989049066985211</v>
      </c>
      <c r="G19861" s="7" t="n">
        <f aca="false">Sens!$E$19861+(glt_ind-Sens!$E$19861)*MIN(1,(Sens!G19808-base_fy)/n_conv)</f>
        <v>0.0931239253588169</v>
      </c>
      <c r="H19861" s="7" t="n">
        <f aca="false">Sens!$E$19861+(glt_ind-Sens!$E$19861)*MIN(1,(Sens!H19808-base_fy)/n_conv)</f>
        <v>0.0873429440191127</v>
      </c>
      <c r="I19861" s="7" t="n">
        <f aca="false">Sens!$E$19861+(glt_ind-Sens!$E$19861)*MIN(1,(Sens!I19808-base_fy)/n_conv)</f>
        <v>0.0815619626794085</v>
      </c>
      <c r="J19861" s="7" t="n">
        <f aca="false">Sens!$E$19861+(glt_ind-Sens!$E$19861)*MIN(1,(Sens!J19808-base_fy)/n_conv)</f>
        <v>0.0757809813397042</v>
      </c>
      <c r="K19861" s="7" t="n">
        <f aca="false">Sens!$E$19861+(glt_ind-Sens!$E$19861)*MIN(1,(Sens!K19808-base_fy)/n_conv)</f>
        <v>0.07</v>
      </c>
    </row>
    <row r="19862" customFormat="false" ht="17.15" hidden="false" customHeight="false" outlineLevel="0" collapsed="false">
      <c r="A19862" s="0" t="s">
        <v>1036</v>
      </c>
      <c r="B19862" s="0" t="s">
        <v>98</v>
      </c>
      <c r="D19862" s="6" t="n">
        <f aca="false">Q!L10</f>
        <v>7.76</v>
      </c>
      <c r="E19862" s="6" t="n">
        <f aca="false">Q!M10</f>
        <v>8.26</v>
      </c>
      <c r="F19862" s="6" t="n">
        <f aca="false">Q!$I$10+(Q!M10-Q!$E$10)*(1+Sens!F19863)</f>
        <v>8.75372082474227</v>
      </c>
      <c r="G19862" s="6" t="n">
        <f aca="false">Sens!F19862*(1+Sens!G19863)</f>
        <v>9.33399324642364</v>
      </c>
      <c r="H19862" s="6" t="n">
        <f aca="false">Sens!G19862*(1+Sens!H19863)</f>
        <v>9.96139155535851</v>
      </c>
      <c r="I19862" s="6" t="n">
        <f aca="false">Sens!H19862*(1+Sens!I19863)</f>
        <v>10.6402039077391</v>
      </c>
      <c r="J19862" s="6" t="n">
        <f aca="false">Sens!I19862*(1+Sens!J19863)</f>
        <v>11.3751458271397</v>
      </c>
      <c r="K19862" s="6" t="n">
        <f aca="false">Sens!J19862*(1+Sens!K19863)</f>
        <v>12.1714060350394</v>
      </c>
      <c r="L19862" s="12" t="s">
        <v>1034</v>
      </c>
    </row>
    <row r="19863" customFormat="false" ht="15" hidden="false" customHeight="false" outlineLevel="0" collapsed="false">
      <c r="A19863" s="1" t="s">
        <v>1024</v>
      </c>
      <c r="B19863" s="0" t="s">
        <v>168</v>
      </c>
      <c r="E19863" s="7" t="n">
        <f aca="false">Sens!E19862/Sens!D19862-1</f>
        <v>0.0644329896907216</v>
      </c>
      <c r="F19863" s="7" t="n">
        <f aca="false">Sens!$E$19863+(glt_fro-Sens!$E$19863)*MIN(1,(Sens!F19808-base_fy)/n_conv)</f>
        <v>0.065360824742268</v>
      </c>
      <c r="G19863" s="7" t="n">
        <f aca="false">Sens!$E$19863+(glt_fro-Sens!$E$19863)*MIN(1,(Sens!G19808-base_fy)/n_conv)</f>
        <v>0.0662886597938144</v>
      </c>
      <c r="H19863" s="7" t="n">
        <f aca="false">Sens!$E$19863+(glt_fro-Sens!$E$19863)*MIN(1,(Sens!H19808-base_fy)/n_conv)</f>
        <v>0.0672164948453608</v>
      </c>
      <c r="I19863" s="7" t="n">
        <f aca="false">Sens!$E$19863+(glt_fro-Sens!$E$19863)*MIN(1,(Sens!I19808-base_fy)/n_conv)</f>
        <v>0.0681443298969072</v>
      </c>
      <c r="J19863" s="7" t="n">
        <f aca="false">Sens!$E$19863+(glt_fro-Sens!$E$19863)*MIN(1,(Sens!J19808-base_fy)/n_conv)</f>
        <v>0.0690721649484536</v>
      </c>
      <c r="K19863" s="7" t="n">
        <f aca="false">Sens!$E$19863+(glt_fro-Sens!$E$19863)*MIN(1,(Sens!K19808-base_fy)/n_conv)</f>
        <v>0.07</v>
      </c>
    </row>
    <row r="19864" customFormat="false" ht="15" hidden="false" customHeight="false" outlineLevel="0" collapsed="false">
      <c r="A19864" s="0" t="s">
        <v>852</v>
      </c>
      <c r="B19864" s="0" t="s">
        <v>98</v>
      </c>
      <c r="D19864" s="6" t="n">
        <f aca="false">Sens!D19852+Sens!D19857+Sens!D19858+Sens!D19860+Sens!D19862</f>
        <v>218.783</v>
      </c>
      <c r="E19864" s="6" t="n">
        <f aca="false">Sens!E19852+Sens!E19857+Sens!E19858+Sens!E19860+Sens!E19862</f>
        <v>268.127</v>
      </c>
      <c r="F19864" s="6" t="n">
        <f aca="false">Sens!F19852+Sens!F19857+Sens!F19858+Sens!F19860+Sens!F19862</f>
        <v>330.882563310015</v>
      </c>
      <c r="G19864" s="6" t="n">
        <f aca="false">Sens!G19852+Sens!G19857+Sens!G19858+Sens!G19860+Sens!G19862</f>
        <v>394.295285144665</v>
      </c>
      <c r="H19864" s="6" t="n">
        <f aca="false">Sens!H19852+Sens!H19857+Sens!H19858+Sens!H19860+Sens!H19862</f>
        <v>452.929881724912</v>
      </c>
      <c r="I19864" s="6" t="n">
        <f aca="false">Sens!I19852+Sens!I19857+Sens!I19858+Sens!I19860+Sens!I19862</f>
        <v>514.015209855815</v>
      </c>
      <c r="J19864" s="6" t="n">
        <f aca="false">Sens!J19852+Sens!J19857+Sens!J19858+Sens!J19860+Sens!J19862</f>
        <v>564.512172412046</v>
      </c>
      <c r="K19864" s="6" t="n">
        <f aca="false">Sens!K19852+Sens!K19857+Sens!K19858+Sens!K19860+Sens!K19862</f>
        <v>605.015930022381</v>
      </c>
    </row>
    <row r="19865" customFormat="false" ht="17.15" hidden="false" customHeight="false" outlineLevel="0" collapsed="false">
      <c r="A19865" s="0" t="s">
        <v>1037</v>
      </c>
      <c r="B19865" s="0" t="s">
        <v>98</v>
      </c>
      <c r="D19865" s="6" t="n">
        <f aca="false">Q!L13</f>
        <v>22.171</v>
      </c>
      <c r="E19865" s="6" t="n">
        <f aca="false">Q!M13</f>
        <v>24.835</v>
      </c>
      <c r="F19865" s="6" t="n">
        <f aca="false">Q!$I$13+(Q!M13-Q!$E$13)*(1+Sens!F19866)</f>
        <v>27.5591895660247</v>
      </c>
      <c r="G19865" s="6" t="n">
        <f aca="false">Sens!F19865*(1+Sens!G19866)</f>
        <v>30.4098563144583</v>
      </c>
      <c r="H19865" s="6" t="n">
        <f aca="false">Sens!G19865*(1+Sens!H19866)</f>
        <v>33.3011792571777</v>
      </c>
      <c r="I19865" s="6" t="n">
        <f aca="false">Sens!H19865*(1+Sens!I19866)</f>
        <v>36.189023797112</v>
      </c>
      <c r="J19865" s="6" t="n">
        <f aca="false">Sens!I19865*(1+Sens!J19866)</f>
        <v>39.0247773769199</v>
      </c>
      <c r="K19865" s="6" t="n">
        <f aca="false">Sens!J19865*(1+Sens!K19866)</f>
        <v>41.7565117933043</v>
      </c>
      <c r="L19865" s="12" t="s">
        <v>1034</v>
      </c>
    </row>
    <row r="19866" customFormat="false" ht="15" hidden="false" customHeight="false" outlineLevel="0" collapsed="false">
      <c r="A19866" s="1" t="s">
        <v>1024</v>
      </c>
      <c r="B19866" s="0" t="s">
        <v>168</v>
      </c>
      <c r="E19866" s="7" t="n">
        <f aca="false">Sens!E19865/Sens!D19865-1</f>
        <v>0.120156961796942</v>
      </c>
      <c r="F19866" s="7" t="n">
        <f aca="false">Sens!$E$19866+(glt_srch-Sens!$E$19866)*MIN(1,(Sens!F19808-base_fy)/n_conv)</f>
        <v>0.111797468164118</v>
      </c>
      <c r="G19866" s="7" t="n">
        <f aca="false">Sens!$E$19866+(glt_srch-Sens!$E$19866)*MIN(1,(Sens!G19808-base_fy)/n_conv)</f>
        <v>0.103437974531295</v>
      </c>
      <c r="H19866" s="7" t="n">
        <f aca="false">Sens!$E$19866+(glt_srch-Sens!$E$19866)*MIN(1,(Sens!H19808-base_fy)/n_conv)</f>
        <v>0.095078480898471</v>
      </c>
      <c r="I19866" s="7" t="n">
        <f aca="false">Sens!$E$19866+(glt_srch-Sens!$E$19866)*MIN(1,(Sens!I19808-base_fy)/n_conv)</f>
        <v>0.0867189872656474</v>
      </c>
      <c r="J19866" s="7" t="n">
        <f aca="false">Sens!$E$19866+(glt_srch-Sens!$E$19866)*MIN(1,(Sens!J19808-base_fy)/n_conv)</f>
        <v>0.0783594936328237</v>
      </c>
      <c r="K19866" s="7" t="n">
        <f aca="false">Sens!$E$19866+(glt_srch-Sens!$E$19866)*MIN(1,(Sens!K19808-base_fy)/n_conv)</f>
        <v>0.07</v>
      </c>
    </row>
    <row r="19867" customFormat="false" ht="17.15" hidden="false" customHeight="false" outlineLevel="0" collapsed="false">
      <c r="A19867" s="0" t="s">
        <v>1038</v>
      </c>
      <c r="B19867" s="0" t="s">
        <v>98</v>
      </c>
      <c r="D19867" s="6" t="n">
        <f aca="false">Q!L14</f>
        <v>23.455</v>
      </c>
      <c r="E19867" s="6" t="n">
        <f aca="false">Q!M14</f>
        <v>21.79</v>
      </c>
      <c r="F19867" s="6" t="n">
        <f aca="false">Q!$I$14+(Q!M14-Q!$E$14)*(1+Sens!F19868)</f>
        <v>20.7520981041711</v>
      </c>
      <c r="G19867" s="6" t="n">
        <f aca="false">Sens!F19867*(1+Sens!G19868)</f>
        <v>19.9083593495882</v>
      </c>
      <c r="H19867" s="6" t="n">
        <f aca="false">Sens!G19867*(1+Sens!H19868)</f>
        <v>19.4008256265831</v>
      </c>
      <c r="I19867" s="6" t="n">
        <f aca="false">Sens!H19867*(1+Sens!I19868)</f>
        <v>19.200434522122</v>
      </c>
      <c r="J19867" s="6" t="n">
        <f aca="false">Sens!I19867*(1+Sens!J19868)</f>
        <v>19.2932782348507</v>
      </c>
      <c r="K19867" s="6" t="n">
        <f aca="false">Sens!J19867*(1+Sens!K19868)</f>
        <v>19.6791437995477</v>
      </c>
      <c r="L19867" s="12" t="s">
        <v>1034</v>
      </c>
    </row>
    <row r="19868" customFormat="false" ht="15" hidden="false" customHeight="false" outlineLevel="0" collapsed="false">
      <c r="A19868" s="1" t="s">
        <v>1024</v>
      </c>
      <c r="B19868" s="0" t="s">
        <v>168</v>
      </c>
      <c r="E19868" s="7" t="n">
        <f aca="false">Sens!E19867/Sens!D19867-1</f>
        <v>-0.0709869963760392</v>
      </c>
      <c r="F19868" s="7" t="n">
        <f aca="false">Sens!$E$19868+(glt_xbox-Sens!$E$19868)*MIN(1,(Sens!F19808-base_fy)/n_conv)</f>
        <v>-0.0558224969800327</v>
      </c>
      <c r="G19868" s="7" t="n">
        <f aca="false">Sens!$E$19868+(glt_xbox-Sens!$E$19868)*MIN(1,(Sens!G19808-base_fy)/n_conv)</f>
        <v>-0.0406579975840262</v>
      </c>
      <c r="H19868" s="7" t="n">
        <f aca="false">Sens!$E$19868+(glt_xbox-Sens!$E$19868)*MIN(1,(Sens!H19808-base_fy)/n_conv)</f>
        <v>-0.0254934981880196</v>
      </c>
      <c r="I19868" s="7" t="n">
        <f aca="false">Sens!$E$19868+(glt_xbox-Sens!$E$19868)*MIN(1,(Sens!I19808-base_fy)/n_conv)</f>
        <v>-0.0103289987920131</v>
      </c>
      <c r="J19868" s="7" t="n">
        <f aca="false">Sens!$E$19868+(glt_xbox-Sens!$E$19868)*MIN(1,(Sens!J19808-base_fy)/n_conv)</f>
        <v>0.00483550060399347</v>
      </c>
      <c r="K19868" s="7" t="n">
        <f aca="false">Sens!$E$19868+(glt_xbox-Sens!$E$19868)*MIN(1,(Sens!K19808-base_fy)/n_conv)</f>
        <v>0.02</v>
      </c>
    </row>
    <row r="19869" customFormat="false" ht="17.15" hidden="false" customHeight="false" outlineLevel="0" collapsed="false">
      <c r="A19869" s="0" t="s">
        <v>1039</v>
      </c>
      <c r="B19869" s="0" t="s">
        <v>98</v>
      </c>
      <c r="D19869" s="6" t="n">
        <f aca="false">Q!L15</f>
        <v>17.315</v>
      </c>
      <c r="E19869" s="6" t="n">
        <f aca="false">Q!M15</f>
        <v>17.087</v>
      </c>
      <c r="F19869" s="6" t="n">
        <f aca="false">Q!$I$15+(Q!M15-Q!$E$15)*(1+Sens!F19870)</f>
        <v>15.9912273250553</v>
      </c>
      <c r="G19869" s="6" t="n">
        <f aca="false">Sens!F19869*(1+Sens!G19870)</f>
        <v>15.9574562664827</v>
      </c>
      <c r="H19869" s="6" t="n">
        <f aca="false">Sens!G19869*(1+Sens!H19870)</f>
        <v>16.0119687434196</v>
      </c>
      <c r="I19869" s="6" t="n">
        <f aca="false">Sens!H19869*(1+Sens!I19870)</f>
        <v>16.1551810001948</v>
      </c>
      <c r="J19869" s="6" t="n">
        <f aca="false">Sens!I19869*(1+Sens!J19870)</f>
        <v>16.3889793892005</v>
      </c>
      <c r="K19869" s="6" t="n">
        <f aca="false">Sens!J19869*(1+Sens!K19870)</f>
        <v>16.7167589769845</v>
      </c>
      <c r="L19869" s="12" t="s">
        <v>1034</v>
      </c>
    </row>
    <row r="19870" customFormat="false" ht="15" hidden="false" customHeight="false" outlineLevel="0" collapsed="false">
      <c r="A19870" s="1" t="s">
        <v>1024</v>
      </c>
      <c r="B19870" s="0" t="s">
        <v>168</v>
      </c>
      <c r="E19870" s="7" t="n">
        <f aca="false">Sens!E19869/Sens!D19869-1</f>
        <v>-0.0131677736066995</v>
      </c>
      <c r="F19870" s="7" t="n">
        <f aca="false">Sens!$E$19870+(glt_win-Sens!$E$19870)*MIN(1,(Sens!F19808-base_fy)/n_conv)</f>
        <v>-0.00763981133891627</v>
      </c>
      <c r="G19870" s="7" t="n">
        <f aca="false">Sens!$E$19870+(glt_win-Sens!$E$19870)*MIN(1,(Sens!G19808-base_fy)/n_conv)</f>
        <v>-0.00211184907113301</v>
      </c>
      <c r="H19870" s="7" t="n">
        <f aca="false">Sens!$E$19870+(glt_win-Sens!$E$19870)*MIN(1,(Sens!H19808-base_fy)/n_conv)</f>
        <v>0.00341611319665024</v>
      </c>
      <c r="I19870" s="7" t="n">
        <f aca="false">Sens!$E$19870+(glt_win-Sens!$E$19870)*MIN(1,(Sens!I19808-base_fy)/n_conv)</f>
        <v>0.00894407546443349</v>
      </c>
      <c r="J19870" s="7" t="n">
        <f aca="false">Sens!$E$19870+(glt_win-Sens!$E$19870)*MIN(1,(Sens!J19808-base_fy)/n_conv)</f>
        <v>0.0144720377322168</v>
      </c>
      <c r="K19870" s="7" t="n">
        <f aca="false">Sens!$E$19870+(glt_win-Sens!$E$19870)*MIN(1,(Sens!K19808-base_fy)/n_conv)</f>
        <v>0.02</v>
      </c>
    </row>
    <row r="19871" customFormat="false" ht="15" hidden="false" customHeight="false" outlineLevel="0" collapsed="false">
      <c r="A19871" s="0" t="s">
        <v>866</v>
      </c>
      <c r="B19871" s="0" t="s">
        <v>98</v>
      </c>
      <c r="D19871" s="6" t="n">
        <f aca="false">Sens!D19865+Sens!D19867+Sens!D19869</f>
        <v>62.941</v>
      </c>
      <c r="E19871" s="6" t="n">
        <f aca="false">Sens!E19865+Sens!E19867+Sens!E19869</f>
        <v>63.712</v>
      </c>
      <c r="F19871" s="6" t="n">
        <f aca="false">Sens!F19865+Sens!F19867+Sens!F19869</f>
        <v>64.3025149952511</v>
      </c>
      <c r="G19871" s="6" t="n">
        <f aca="false">Sens!G19865+Sens!G19867+Sens!G19869</f>
        <v>66.2756719305292</v>
      </c>
      <c r="H19871" s="6" t="n">
        <f aca="false">Sens!H19865+Sens!H19867+Sens!H19869</f>
        <v>68.7139736271804</v>
      </c>
      <c r="I19871" s="6" t="n">
        <f aca="false">Sens!I19865+Sens!I19867+Sens!I19869</f>
        <v>71.5446393194289</v>
      </c>
      <c r="J19871" s="6" t="n">
        <f aca="false">Sens!J19865+Sens!J19867+Sens!J19869</f>
        <v>74.707035000971</v>
      </c>
      <c r="K19871" s="6" t="n">
        <f aca="false">Sens!K19865+Sens!K19867+Sens!K19869</f>
        <v>78.1524145698365</v>
      </c>
    </row>
    <row r="19872" customFormat="false" ht="15" hidden="false" customHeight="false" outlineLevel="0" collapsed="false">
      <c r="A19872" s="1" t="s">
        <v>1040</v>
      </c>
      <c r="B19872" s="0" t="s">
        <v>98</v>
      </c>
      <c r="D19872" s="6" t="n">
        <f aca="false">Sens!D19864+Sens!D19871</f>
        <v>281.724</v>
      </c>
      <c r="E19872" s="6" t="n">
        <f aca="false">Sens!E19864+Sens!E19871</f>
        <v>331.839</v>
      </c>
      <c r="F19872" s="6" t="n">
        <f aca="false">Sens!F19864+Sens!F19871</f>
        <v>395.185078305266</v>
      </c>
      <c r="G19872" s="6" t="n">
        <f aca="false">Sens!G19864+Sens!G19871</f>
        <v>460.570957075194</v>
      </c>
      <c r="H19872" s="6" t="n">
        <f aca="false">Sens!H19864+Sens!H19871</f>
        <v>521.643855352092</v>
      </c>
      <c r="I19872" s="6" t="n">
        <f aca="false">Sens!I19864+Sens!I19871</f>
        <v>585.559849175244</v>
      </c>
      <c r="J19872" s="6" t="n">
        <f aca="false">Sens!J19864+Sens!J19871</f>
        <v>639.219207413017</v>
      </c>
      <c r="K19872" s="6" t="n">
        <f aca="false">Sens!K19864+Sens!K19871</f>
        <v>683.168344592217</v>
      </c>
    </row>
    <row r="19873" customFormat="false" ht="15" hidden="false" customHeight="false" outlineLevel="0" collapsed="false">
      <c r="A19873" s="26" t="s">
        <v>1041</v>
      </c>
      <c r="B19873" s="31" t="s">
        <v>98</v>
      </c>
      <c r="C19873" s="31"/>
      <c r="D19873" s="27" t="n">
        <f aca="false">(Sens!D19852+Sens!D19857+Sens!D19858+Sens!D19860+Sens!D19862-Sens!D19864)+(Sens!D19865+Sens!D19867+Sens!D19869-Sens!D19871)+(Sens!D19864-Q!L5)+(Sens!D19871-Q!L12)+(Sens!D19852-Q!L6)+(Sens!D19857-Q!L7)</f>
        <v>0</v>
      </c>
      <c r="E19873" s="27" t="n">
        <f aca="false">(Sens!E19852+Sens!E19857+Sens!E19858+Sens!E19860+Sens!E19862-Sens!E19864)+(Sens!E19865+Sens!E19867+Sens!E19869-Sens!E19871)+(Sens!E19864-Q!M5)+(Sens!E19871-Q!M12)+(Sens!E19852-Q!M6)+(Sens!E19857-Q!M7)</f>
        <v>0</v>
      </c>
      <c r="F19873" s="27" t="n">
        <f aca="false">(Sens!F19852+Sens!F19857+Sens!F19858+Sens!F19860+Sens!F19862-Sens!F19864)+(Sens!F19865+Sens!F19867+Sens!F19869-Sens!F19871)</f>
        <v>0</v>
      </c>
      <c r="G19873" s="27" t="n">
        <f aca="false">(Sens!G19852+Sens!G19857+Sens!G19858+Sens!G19860+Sens!G19862-Sens!G19864)+(Sens!G19865+Sens!G19867+Sens!G19869-Sens!G19871)</f>
        <v>0</v>
      </c>
      <c r="H19873" s="27" t="n">
        <f aca="false">(Sens!H19852+Sens!H19857+Sens!H19858+Sens!H19860+Sens!H19862-Sens!H19864)+(Sens!H19865+Sens!H19867+Sens!H19869-Sens!H19871)</f>
        <v>0</v>
      </c>
      <c r="I19873" s="27" t="n">
        <f aca="false">(Sens!I19852+Sens!I19857+Sens!I19858+Sens!I19860+Sens!I19862-Sens!I19864)+(Sens!I19865+Sens!I19867+Sens!I19869-Sens!I19871)</f>
        <v>0</v>
      </c>
      <c r="J19873" s="27" t="n">
        <f aca="false">(Sens!J19852+Sens!J19857+Sens!J19858+Sens!J19860+Sens!J19862-Sens!J19864)+(Sens!J19865+Sens!J19867+Sens!J19869-Sens!J19871)</f>
        <v>0</v>
      </c>
      <c r="K19873" s="27" t="n">
        <f aca="false">(Sens!K19852+Sens!K19857+Sens!K19858+Sens!K19860+Sens!K19862-Sens!K19864)+(Sens!K19865+Sens!K19867+Sens!K19869-Sens!K19871)</f>
        <v>0</v>
      </c>
    </row>
    <row r="19874" customFormat="false" ht="17.15" hidden="false" customHeight="false" outlineLevel="0" collapsed="false">
      <c r="A19874" s="3" t="s">
        <v>1971</v>
      </c>
    </row>
    <row r="19875" customFormat="false" ht="15" hidden="false" customHeight="false" outlineLevel="0" collapsed="false">
      <c r="A19875" s="4" t="s">
        <v>43</v>
      </c>
      <c r="B19875" s="4" t="s">
        <v>65</v>
      </c>
      <c r="C19875" s="23" t="s">
        <v>938</v>
      </c>
      <c r="D19875" s="23" t="s">
        <v>939</v>
      </c>
      <c r="E19875" s="23" t="s">
        <v>940</v>
      </c>
      <c r="F19875" s="23" t="s">
        <v>941</v>
      </c>
      <c r="G19875" s="23" t="s">
        <v>942</v>
      </c>
      <c r="H19875" s="23" t="s">
        <v>943</v>
      </c>
      <c r="I19875" s="23" t="s">
        <v>944</v>
      </c>
      <c r="J19875" s="23" t="s">
        <v>945</v>
      </c>
      <c r="K19875" s="23" t="s">
        <v>946</v>
      </c>
      <c r="L19875" s="4" t="s">
        <v>47</v>
      </c>
    </row>
    <row r="19876" customFormat="false" ht="15" hidden="false" customHeight="false" outlineLevel="0" collapsed="false">
      <c r="A19876" s="0" t="s">
        <v>1025</v>
      </c>
      <c r="B19876" s="0" t="s">
        <v>98</v>
      </c>
      <c r="D19876" s="6" t="n">
        <f aca="false">Sens!D19852</f>
        <v>72.61</v>
      </c>
      <c r="E19876" s="6" t="n">
        <f aca="false">Sens!E19852</f>
        <v>101.938</v>
      </c>
      <c r="F19876" s="6" t="n">
        <f aca="false">Sens!F19852</f>
        <v>143.989164803831</v>
      </c>
      <c r="G19876" s="6" t="n">
        <f aca="false">Sens!G19852</f>
        <v>187.961046158256</v>
      </c>
      <c r="H19876" s="6" t="n">
        <f aca="false">Sens!H19852</f>
        <v>227.12840269072</v>
      </c>
      <c r="I19876" s="6" t="n">
        <f aca="false">Sens!I19852</f>
        <v>269.766572553244</v>
      </c>
      <c r="J19876" s="6" t="n">
        <f aca="false">Sens!J19852</f>
        <v>303.15646471766</v>
      </c>
      <c r="K19876" s="6" t="n">
        <f aca="false">Sens!K19852</f>
        <v>327.476259654712</v>
      </c>
    </row>
    <row r="19877" customFormat="false" ht="17.15" hidden="false" customHeight="false" outlineLevel="0" collapsed="false">
      <c r="A19877" s="0" t="s">
        <v>1021</v>
      </c>
      <c r="B19877" s="0" t="s">
        <v>98</v>
      </c>
      <c r="D19877" s="6" t="n">
        <f aca="false">Sens!D19849</f>
        <v>12.9359794422418</v>
      </c>
      <c r="E19877" s="6" t="n">
        <f aca="false">Sens!E19849</f>
        <v>27.8095064661409</v>
      </c>
      <c r="F19877" s="6" t="n">
        <f aca="false">Sens!F19849</f>
        <v>51.9266585007223</v>
      </c>
      <c r="G19877" s="6" t="n">
        <f aca="false">Sens!G19849</f>
        <v>78.5770478476505</v>
      </c>
      <c r="H19877" s="6" t="n">
        <f aca="false">Sens!H19849</f>
        <v>100.12133604108</v>
      </c>
      <c r="I19877" s="6" t="n">
        <f aca="false">Sens!I19849</f>
        <v>125.73108072983</v>
      </c>
      <c r="J19877" s="6" t="n">
        <f aca="false">Sens!J19849</f>
        <v>143.703800751849</v>
      </c>
      <c r="K19877" s="6" t="n">
        <f aca="false">Sens!K19849</f>
        <v>155.267382571635</v>
      </c>
    </row>
    <row r="19878" customFormat="false" ht="17.15" hidden="false" customHeight="false" outlineLevel="0" collapsed="false">
      <c r="A19878" s="0" t="s">
        <v>1052</v>
      </c>
      <c r="B19878" s="0" t="s">
        <v>98</v>
      </c>
      <c r="D19878" s="6" t="n">
        <f aca="false">Sens!D19850</f>
        <v>59.6740205577583</v>
      </c>
      <c r="E19878" s="6" t="n">
        <f aca="false">Sens!E19850</f>
        <v>74.1284935338591</v>
      </c>
      <c r="F19878" s="6" t="n">
        <f aca="false">Sens!F19850</f>
        <v>92.0625063031085</v>
      </c>
      <c r="G19878" s="6" t="n">
        <f aca="false">Sens!G19850</f>
        <v>109.383998310605</v>
      </c>
      <c r="H19878" s="6" t="n">
        <f aca="false">Sens!H19850</f>
        <v>127.00706664964</v>
      </c>
      <c r="I19878" s="6" t="n">
        <f aca="false">Sens!I19850</f>
        <v>144.035491823414</v>
      </c>
      <c r="J19878" s="6" t="n">
        <f aca="false">Sens!J19850</f>
        <v>159.452663965812</v>
      </c>
      <c r="K19878" s="6" t="n">
        <f aca="false">Sens!K19850</f>
        <v>172.208877083077</v>
      </c>
    </row>
    <row r="19879" customFormat="false" ht="15" hidden="false" customHeight="false" outlineLevel="0" collapsed="false">
      <c r="A19879" s="0" t="s">
        <v>1032</v>
      </c>
      <c r="B19879" s="0" t="s">
        <v>98</v>
      </c>
      <c r="D19879" s="6" t="n">
        <f aca="false">Sens!D19857</f>
        <v>84.605</v>
      </c>
      <c r="E19879" s="6" t="n">
        <f aca="false">Sens!E19857</f>
        <v>100.299</v>
      </c>
      <c r="F19879" s="6" t="n">
        <f aca="false">Sens!F19857</f>
        <v>117.438354189776</v>
      </c>
      <c r="G19879" s="6" t="n">
        <f aca="false">Sens!G19857</f>
        <v>132.595360443801</v>
      </c>
      <c r="H19879" s="6" t="n">
        <f aca="false">Sens!H19857</f>
        <v>147.833811964563</v>
      </c>
      <c r="I19879" s="6" t="n">
        <f aca="false">Sens!I19857</f>
        <v>162.145665319381</v>
      </c>
      <c r="J19879" s="6" t="n">
        <f aca="false">Sens!J19857</f>
        <v>175.249327755573</v>
      </c>
      <c r="K19879" s="6" t="n">
        <f aca="false">Sens!K19857</f>
        <v>187.599280698463</v>
      </c>
    </row>
    <row r="19880" customFormat="false" ht="17.15" hidden="false" customHeight="false" outlineLevel="0" collapsed="false">
      <c r="A19880" s="0" t="s">
        <v>1053</v>
      </c>
      <c r="B19880" s="0" t="s">
        <v>98</v>
      </c>
      <c r="D19880" s="6" t="n">
        <f aca="false">Sens!D19855</f>
        <v>83.705</v>
      </c>
      <c r="E19880" s="6" t="n">
        <f aca="false">Sens!E19855</f>
        <v>95.049</v>
      </c>
      <c r="F19880" s="6" t="n">
        <f aca="false">Sens!F19855</f>
        <v>106.938354189776</v>
      </c>
      <c r="G19880" s="6" t="n">
        <f aca="false">Sens!G19855</f>
        <v>119.095360443801</v>
      </c>
      <c r="H19880" s="6" t="n">
        <f aca="false">Sens!H19855</f>
        <v>131.333811964563</v>
      </c>
      <c r="I19880" s="6" t="n">
        <f aca="false">Sens!I19855</f>
        <v>143.395665319381</v>
      </c>
      <c r="J19880" s="6" t="n">
        <f aca="false">Sens!J19855</f>
        <v>154.999327755573</v>
      </c>
      <c r="K19880" s="6" t="n">
        <f aca="false">Sens!K19855</f>
        <v>165.849280698463</v>
      </c>
    </row>
    <row r="19881" customFormat="false" ht="17.15" hidden="false" customHeight="false" outlineLevel="0" collapsed="false">
      <c r="A19881" s="0" t="s">
        <v>1054</v>
      </c>
      <c r="B19881" s="0" t="s">
        <v>98</v>
      </c>
      <c r="D19881" s="6" t="n">
        <f aca="false">Sens!D19854</f>
        <v>0.9</v>
      </c>
      <c r="E19881" s="6" t="n">
        <f aca="false">Sens!E19854</f>
        <v>5.25</v>
      </c>
      <c r="F19881" s="6" t="n">
        <f aca="false">Sens!F19854</f>
        <v>10.5</v>
      </c>
      <c r="G19881" s="6" t="n">
        <f aca="false">Sens!G19854</f>
        <v>13.5</v>
      </c>
      <c r="H19881" s="6" t="n">
        <f aca="false">Sens!H19854</f>
        <v>16.5</v>
      </c>
      <c r="I19881" s="6" t="n">
        <f aca="false">Sens!I19854</f>
        <v>18.75</v>
      </c>
      <c r="J19881" s="6" t="n">
        <f aca="false">Sens!J19854</f>
        <v>20.25</v>
      </c>
      <c r="K19881" s="6" t="n">
        <f aca="false">Sens!K19854</f>
        <v>21.75</v>
      </c>
    </row>
    <row r="19882" customFormat="false" ht="15" hidden="false" customHeight="false" outlineLevel="0" collapsed="false">
      <c r="A19882" s="0" t="s">
        <v>1033</v>
      </c>
      <c r="B19882" s="0" t="s">
        <v>98</v>
      </c>
      <c r="D19882" s="6" t="n">
        <f aca="false">Sens!D19858</f>
        <v>35.391</v>
      </c>
      <c r="E19882" s="6" t="n">
        <f aca="false">Sens!E19858</f>
        <v>37.285</v>
      </c>
      <c r="F19882" s="6" t="n">
        <f aca="false">Sens!F19858</f>
        <v>38.3851437782675</v>
      </c>
      <c r="G19882" s="6" t="n">
        <f aca="false">Sens!G19858</f>
        <v>40.0105353288615</v>
      </c>
      <c r="H19882" s="6" t="n">
        <f aca="false">Sens!H19858</f>
        <v>41.4812512033683</v>
      </c>
      <c r="I19882" s="6" t="n">
        <f aca="false">Sens!I19858</f>
        <v>42.7743107216329</v>
      </c>
      <c r="J19882" s="6" t="n">
        <f aca="false">Sens!J19858</f>
        <v>43.8687373064601</v>
      </c>
      <c r="K19882" s="6" t="n">
        <f aca="false">Sens!K19858</f>
        <v>44.7461120525893</v>
      </c>
    </row>
    <row r="19883" customFormat="false" ht="15" hidden="false" customHeight="false" outlineLevel="0" collapsed="false">
      <c r="A19883" s="0" t="s">
        <v>1035</v>
      </c>
      <c r="B19883" s="0" t="s">
        <v>98</v>
      </c>
      <c r="D19883" s="6" t="n">
        <f aca="false">Sens!D19860</f>
        <v>18.417</v>
      </c>
      <c r="E19883" s="6" t="n">
        <f aca="false">Sens!E19860</f>
        <v>20.345</v>
      </c>
      <c r="F19883" s="6" t="n">
        <f aca="false">Sens!F19860</f>
        <v>22.3161797133988</v>
      </c>
      <c r="G19883" s="6" t="n">
        <f aca="false">Sens!G19860</f>
        <v>24.3943499673233</v>
      </c>
      <c r="H19883" s="6" t="n">
        <f aca="false">Sens!H19860</f>
        <v>26.5250243109019</v>
      </c>
      <c r="I19883" s="6" t="n">
        <f aca="false">Sens!I19860</f>
        <v>28.6884573538181</v>
      </c>
      <c r="J19883" s="6" t="n">
        <f aca="false">Sens!J19860</f>
        <v>30.8624968052127</v>
      </c>
      <c r="K19883" s="6" t="n">
        <f aca="false">Sens!K19860</f>
        <v>33.0228715815776</v>
      </c>
    </row>
    <row r="19884" customFormat="false" ht="15" hidden="false" customHeight="false" outlineLevel="0" collapsed="false">
      <c r="A19884" s="0" t="s">
        <v>1036</v>
      </c>
      <c r="B19884" s="0" t="s">
        <v>98</v>
      </c>
      <c r="D19884" s="6" t="n">
        <f aca="false">Sens!D19862</f>
        <v>7.76</v>
      </c>
      <c r="E19884" s="6" t="n">
        <f aca="false">Sens!E19862</f>
        <v>8.26</v>
      </c>
      <c r="F19884" s="6" t="n">
        <f aca="false">Sens!F19862</f>
        <v>8.75372082474227</v>
      </c>
      <c r="G19884" s="6" t="n">
        <f aca="false">Sens!G19862</f>
        <v>9.33399324642364</v>
      </c>
      <c r="H19884" s="6" t="n">
        <f aca="false">Sens!H19862</f>
        <v>9.96139155535851</v>
      </c>
      <c r="I19884" s="6" t="n">
        <f aca="false">Sens!I19862</f>
        <v>10.6402039077391</v>
      </c>
      <c r="J19884" s="6" t="n">
        <f aca="false">Sens!J19862</f>
        <v>11.3751458271397</v>
      </c>
      <c r="K19884" s="6" t="n">
        <f aca="false">Sens!K19862</f>
        <v>12.1714060350394</v>
      </c>
    </row>
    <row r="19885" customFormat="false" ht="15" hidden="false" customHeight="false" outlineLevel="0" collapsed="false">
      <c r="A19885" s="0" t="s">
        <v>852</v>
      </c>
      <c r="B19885" s="0" t="s">
        <v>98</v>
      </c>
      <c r="D19885" s="6" t="n">
        <f aca="false">Sens!D19864</f>
        <v>218.783</v>
      </c>
      <c r="E19885" s="6" t="n">
        <f aca="false">Sens!E19864</f>
        <v>268.127</v>
      </c>
      <c r="F19885" s="6" t="n">
        <f aca="false">Sens!F19864</f>
        <v>330.882563310015</v>
      </c>
      <c r="G19885" s="6" t="n">
        <f aca="false">Sens!G19864</f>
        <v>394.295285144665</v>
      </c>
      <c r="H19885" s="6" t="n">
        <f aca="false">Sens!H19864</f>
        <v>452.929881724912</v>
      </c>
      <c r="I19885" s="6" t="n">
        <f aca="false">Sens!I19864</f>
        <v>514.015209855815</v>
      </c>
      <c r="J19885" s="6" t="n">
        <f aca="false">Sens!J19864</f>
        <v>564.512172412046</v>
      </c>
      <c r="K19885" s="6" t="n">
        <f aca="false">Sens!K19864</f>
        <v>605.015930022381</v>
      </c>
    </row>
    <row r="19886" customFormat="false" ht="15" hidden="false" customHeight="false" outlineLevel="0" collapsed="false">
      <c r="A19886" s="0" t="s">
        <v>1037</v>
      </c>
      <c r="B19886" s="0" t="s">
        <v>98</v>
      </c>
      <c r="D19886" s="6" t="n">
        <f aca="false">Sens!D19865</f>
        <v>22.171</v>
      </c>
      <c r="E19886" s="6" t="n">
        <f aca="false">Sens!E19865</f>
        <v>24.835</v>
      </c>
      <c r="F19886" s="6" t="n">
        <f aca="false">Sens!F19865</f>
        <v>27.5591895660247</v>
      </c>
      <c r="G19886" s="6" t="n">
        <f aca="false">Sens!G19865</f>
        <v>30.4098563144583</v>
      </c>
      <c r="H19886" s="6" t="n">
        <f aca="false">Sens!H19865</f>
        <v>33.3011792571777</v>
      </c>
      <c r="I19886" s="6" t="n">
        <f aca="false">Sens!I19865</f>
        <v>36.189023797112</v>
      </c>
      <c r="J19886" s="6" t="n">
        <f aca="false">Sens!J19865</f>
        <v>39.0247773769199</v>
      </c>
      <c r="K19886" s="6" t="n">
        <f aca="false">Sens!K19865</f>
        <v>41.7565117933043</v>
      </c>
    </row>
    <row r="19887" customFormat="false" ht="15" hidden="false" customHeight="false" outlineLevel="0" collapsed="false">
      <c r="A19887" s="0" t="s">
        <v>1038</v>
      </c>
      <c r="B19887" s="0" t="s">
        <v>98</v>
      </c>
      <c r="D19887" s="6" t="n">
        <f aca="false">Sens!D19867</f>
        <v>23.455</v>
      </c>
      <c r="E19887" s="6" t="n">
        <f aca="false">Sens!E19867</f>
        <v>21.79</v>
      </c>
      <c r="F19887" s="6" t="n">
        <f aca="false">Sens!F19867</f>
        <v>20.7520981041711</v>
      </c>
      <c r="G19887" s="6" t="n">
        <f aca="false">Sens!G19867</f>
        <v>19.9083593495882</v>
      </c>
      <c r="H19887" s="6" t="n">
        <f aca="false">Sens!H19867</f>
        <v>19.4008256265831</v>
      </c>
      <c r="I19887" s="6" t="n">
        <f aca="false">Sens!I19867</f>
        <v>19.200434522122</v>
      </c>
      <c r="J19887" s="6" t="n">
        <f aca="false">Sens!J19867</f>
        <v>19.2932782348507</v>
      </c>
      <c r="K19887" s="6" t="n">
        <f aca="false">Sens!K19867</f>
        <v>19.6791437995477</v>
      </c>
    </row>
    <row r="19888" customFormat="false" ht="15" hidden="false" customHeight="false" outlineLevel="0" collapsed="false">
      <c r="A19888" s="0" t="s">
        <v>1039</v>
      </c>
      <c r="B19888" s="0" t="s">
        <v>98</v>
      </c>
      <c r="D19888" s="6" t="n">
        <f aca="false">Sens!D19869</f>
        <v>17.315</v>
      </c>
      <c r="E19888" s="6" t="n">
        <f aca="false">Sens!E19869</f>
        <v>17.087</v>
      </c>
      <c r="F19888" s="6" t="n">
        <f aca="false">Sens!F19869</f>
        <v>15.9912273250553</v>
      </c>
      <c r="G19888" s="6" t="n">
        <f aca="false">Sens!G19869</f>
        <v>15.9574562664827</v>
      </c>
      <c r="H19888" s="6" t="n">
        <f aca="false">Sens!H19869</f>
        <v>16.0119687434196</v>
      </c>
      <c r="I19888" s="6" t="n">
        <f aca="false">Sens!I19869</f>
        <v>16.1551810001948</v>
      </c>
      <c r="J19888" s="6" t="n">
        <f aca="false">Sens!J19869</f>
        <v>16.3889793892005</v>
      </c>
      <c r="K19888" s="6" t="n">
        <f aca="false">Sens!K19869</f>
        <v>16.7167589769845</v>
      </c>
    </row>
    <row r="19889" customFormat="false" ht="15" hidden="false" customHeight="false" outlineLevel="0" collapsed="false">
      <c r="A19889" s="0" t="s">
        <v>866</v>
      </c>
      <c r="B19889" s="0" t="s">
        <v>98</v>
      </c>
      <c r="D19889" s="6" t="n">
        <f aca="false">Sens!D19871</f>
        <v>62.941</v>
      </c>
      <c r="E19889" s="6" t="n">
        <f aca="false">Sens!E19871</f>
        <v>63.712</v>
      </c>
      <c r="F19889" s="6" t="n">
        <f aca="false">Sens!F19871</f>
        <v>64.3025149952511</v>
      </c>
      <c r="G19889" s="6" t="n">
        <f aca="false">Sens!G19871</f>
        <v>66.2756719305292</v>
      </c>
      <c r="H19889" s="6" t="n">
        <f aca="false">Sens!H19871</f>
        <v>68.7139736271804</v>
      </c>
      <c r="I19889" s="6" t="n">
        <f aca="false">Sens!I19871</f>
        <v>71.5446393194289</v>
      </c>
      <c r="J19889" s="6" t="n">
        <f aca="false">Sens!J19871</f>
        <v>74.707035000971</v>
      </c>
      <c r="K19889" s="6" t="n">
        <f aca="false">Sens!K19871</f>
        <v>78.1524145698365</v>
      </c>
    </row>
    <row r="19890" customFormat="false" ht="15" hidden="false" customHeight="false" outlineLevel="0" collapsed="false">
      <c r="A19890" s="1" t="s">
        <v>1055</v>
      </c>
      <c r="B19890" s="0" t="s">
        <v>98</v>
      </c>
      <c r="D19890" s="6" t="n">
        <f aca="false">Sens!D19872</f>
        <v>281.724</v>
      </c>
      <c r="E19890" s="6" t="n">
        <f aca="false">Sens!E19872</f>
        <v>331.839</v>
      </c>
      <c r="F19890" s="6" t="n">
        <f aca="false">Sens!F19872</f>
        <v>395.185078305266</v>
      </c>
      <c r="G19890" s="6" t="n">
        <f aca="false">Sens!G19872</f>
        <v>460.570957075194</v>
      </c>
      <c r="H19890" s="6" t="n">
        <f aca="false">Sens!H19872</f>
        <v>521.643855352092</v>
      </c>
      <c r="I19890" s="6" t="n">
        <f aca="false">Sens!I19872</f>
        <v>585.559849175244</v>
      </c>
      <c r="J19890" s="6" t="n">
        <f aca="false">Sens!J19872</f>
        <v>639.219207413017</v>
      </c>
      <c r="K19890" s="6" t="n">
        <f aca="false">Sens!K19872</f>
        <v>683.168344592217</v>
      </c>
    </row>
    <row r="19891" customFormat="false" ht="15" hidden="false" customHeight="false" outlineLevel="0" collapsed="false">
      <c r="A19891" s="1" t="s">
        <v>1056</v>
      </c>
      <c r="B19891" s="0" t="s">
        <v>168</v>
      </c>
      <c r="E19891" s="7" t="n">
        <f aca="false">Sens!E19890/Sens!D19890-1</f>
        <v>0.177886867998467</v>
      </c>
      <c r="F19891" s="7" t="n">
        <f aca="false">Sens!F19890/Sens!E19890-1</f>
        <v>0.190894012775069</v>
      </c>
      <c r="G19891" s="7" t="n">
        <f aca="false">Sens!G19890/Sens!F19890-1</f>
        <v>0.165456345291002</v>
      </c>
      <c r="H19891" s="7" t="n">
        <f aca="false">Sens!H19890/Sens!G19890-1</f>
        <v>0.132602582378912</v>
      </c>
      <c r="I19891" s="7" t="n">
        <f aca="false">Sens!I19890/Sens!H19890-1</f>
        <v>0.122528029741692</v>
      </c>
      <c r="J19891" s="7" t="n">
        <f aca="false">Sens!J19890/Sens!I19890-1</f>
        <v>0.0916377007633835</v>
      </c>
      <c r="K19891" s="7" t="n">
        <f aca="false">Sens!K19890/Sens!J19890-1</f>
        <v>0.0687544064219641</v>
      </c>
    </row>
    <row r="19892" customFormat="false" ht="17.15" hidden="false" customHeight="false" outlineLevel="0" collapsed="false">
      <c r="A19892" s="26" t="s">
        <v>1057</v>
      </c>
      <c r="B19892" s="31" t="s">
        <v>98</v>
      </c>
      <c r="C19892" s="31"/>
      <c r="D19892" s="27" t="n">
        <f aca="false">(Sens!D19885+Sens!D19889-Sens!D19890)+(Sens!D19877+Sens!D19878-Sens!D19876)+(Sens!D19880+Sens!D19881-Sens!D19879)+(Sens!D19890-Q!L18)</f>
        <v>0</v>
      </c>
      <c r="E19892" s="27" t="n">
        <f aca="false">(Sens!E19885+Sens!E19889-Sens!E19890)+(Sens!E19877+Sens!E19878-Sens!E19876)+(Sens!E19880+Sens!E19881-Sens!E19879)+(Sens!E19890-Q!M18)</f>
        <v>0</v>
      </c>
      <c r="F19892" s="27" t="n">
        <f aca="false">(Sens!F19885+Sens!F19889-Sens!F19890)+(Sens!F19877+Sens!F19878-Sens!F19876)+(Sens!F19880+Sens!F19881-Sens!F19879)</f>
        <v>0</v>
      </c>
      <c r="G19892" s="27" t="n">
        <f aca="false">(Sens!G19885+Sens!G19889-Sens!G19890)+(Sens!G19877+Sens!G19878-Sens!G19876)+(Sens!G19880+Sens!G19881-Sens!G19879)</f>
        <v>0</v>
      </c>
      <c r="H19892" s="27" t="n">
        <f aca="false">(Sens!H19885+Sens!H19889-Sens!H19890)+(Sens!H19877+Sens!H19878-Sens!H19876)+(Sens!H19880+Sens!H19881-Sens!H19879)</f>
        <v>0</v>
      </c>
      <c r="I19892" s="27" t="n">
        <f aca="false">(Sens!I19885+Sens!I19889-Sens!I19890)+(Sens!I19877+Sens!I19878-Sens!I19876)+(Sens!I19880+Sens!I19881-Sens!I19879)</f>
        <v>0</v>
      </c>
      <c r="J19892" s="27" t="n">
        <f aca="false">(Sens!J19885+Sens!J19889-Sens!J19890)+(Sens!J19877+Sens!J19878-Sens!J19876)+(Sens!J19880+Sens!J19881-Sens!J19879)</f>
        <v>0</v>
      </c>
      <c r="K19892" s="27" t="n">
        <f aca="false">(Sens!K19885+Sens!K19889-Sens!K19890)+(Sens!K19877+Sens!K19878-Sens!K19876)+(Sens!K19880+Sens!K19881-Sens!K19879)</f>
        <v>0</v>
      </c>
    </row>
    <row r="19893" customFormat="false" ht="17.15" hidden="false" customHeight="false" outlineLevel="0" collapsed="false">
      <c r="A19893" s="0" t="s">
        <v>1058</v>
      </c>
      <c r="B19893" s="0" t="s">
        <v>168</v>
      </c>
      <c r="E19893" s="7" t="n">
        <f aca="false">(Q!M21+Sens!E19829+Sens!E19830+Sens!E19831+Sens!E19845-Sens!E19827)/(Q!M5-Sens!E19827)</f>
        <v>0.570957350878296</v>
      </c>
      <c r="F19893" s="7" t="n">
        <f aca="false">Sens!$E$19893+dm_seg</f>
        <v>0.570957350878296</v>
      </c>
      <c r="G19893" s="7" t="n">
        <f aca="false">Sens!$E$19893+dm_seg</f>
        <v>0.570957350878296</v>
      </c>
      <c r="H19893" s="7" t="n">
        <f aca="false">Sens!$E$19893+dm_seg</f>
        <v>0.570957350878296</v>
      </c>
      <c r="I19893" s="7" t="n">
        <f aca="false">Sens!$E$19893+dm_seg</f>
        <v>0.570957350878296</v>
      </c>
      <c r="J19893" s="7" t="n">
        <f aca="false">Sens!$E$19893+dm_seg</f>
        <v>0.570957350878296</v>
      </c>
      <c r="K19893" s="7" t="n">
        <f aca="false">Sens!$E$19893+dm_seg</f>
        <v>0.570957350878296</v>
      </c>
      <c r="L19893" s="12" t="s">
        <v>1059</v>
      </c>
    </row>
    <row r="19894" customFormat="false" ht="17.15" hidden="false" customHeight="false" outlineLevel="0" collapsed="false">
      <c r="A19894" s="0" t="s">
        <v>880</v>
      </c>
      <c r="B19894" s="0" t="s">
        <v>98</v>
      </c>
      <c r="D19894" s="6" t="n">
        <f aca="false">Q!L21</f>
        <v>110.814</v>
      </c>
      <c r="E19894" s="6" t="n">
        <f aca="false">Q!M21</f>
        <v>136.365</v>
      </c>
      <c r="F19894" s="6" t="n">
        <f aca="false">Q!$I$21+(Sens!F19893*(Sens!F19864-Sens!F19827)+Sens!F19827-(Sens!F19829+Sens!F19830+Sens!F19831)-Sens!F19845-Sens!F19928)*(Sens!F19864-Q!$I$5)/Sens!F19864</f>
        <v>158.488366857766</v>
      </c>
      <c r="G19894" s="6" t="n">
        <f aca="false">(Sens!G19893*(Sens!G19864-Sens!G19827)+Sens!G19827-(Sens!G19829+Sens!G19830+Sens!G19831)-Sens!G19845-Sens!G19928)</f>
        <v>161.658843855162</v>
      </c>
      <c r="H19894" s="6" t="n">
        <f aca="false">(Sens!H19893*(Sens!H19864-Sens!H19827)+Sens!H19827-(Sens!H19829+Sens!H19830+Sens!H19831)-Sens!H19845-Sens!H19928)</f>
        <v>162.913352427237</v>
      </c>
      <c r="I19894" s="6" t="n">
        <f aca="false">(Sens!I19893*(Sens!I19864-Sens!I19827)+Sens!I19827-(Sens!I19829+Sens!I19830+Sens!I19831)-Sens!I19845-Sens!I19928)</f>
        <v>172.234154348141</v>
      </c>
      <c r="J19894" s="6" t="n">
        <f aca="false">(Sens!J19893*(Sens!J19864-Sens!J19827)+Sens!J19827-(Sens!J19829+Sens!J19830+Sens!J19831)-Sens!J19845-Sens!J19928)</f>
        <v>183.074869035638</v>
      </c>
      <c r="K19894" s="6" t="n">
        <f aca="false">(Sens!K19893*(Sens!K19864-Sens!K19827)+Sens!K19827-(Sens!K19829+Sens!K19830+Sens!K19831)-Sens!K19845-Sens!K19928)</f>
        <v>195.433922269975</v>
      </c>
      <c r="L19894" s="1" t="s">
        <v>1060</v>
      </c>
    </row>
    <row r="19895" customFormat="false" ht="17.15" hidden="false" customHeight="false" outlineLevel="0" collapsed="false">
      <c r="A19895" s="0" t="s">
        <v>1061</v>
      </c>
      <c r="B19895" s="0" t="s">
        <v>168</v>
      </c>
      <c r="E19895" s="7" t="n">
        <f aca="false">Q!M22/Q!M12</f>
        <v>0.296207935710698</v>
      </c>
      <c r="F19895" s="7" t="n">
        <f aca="false">Sens!$E$19895+dm_seg</f>
        <v>0.296207935710698</v>
      </c>
      <c r="G19895" s="7" t="n">
        <f aca="false">Sens!$E$19895+dm_seg</f>
        <v>0.296207935710698</v>
      </c>
      <c r="H19895" s="7" t="n">
        <f aca="false">Sens!$E$19895+dm_seg</f>
        <v>0.296207935710698</v>
      </c>
      <c r="I19895" s="7" t="n">
        <f aca="false">Sens!$E$19895+dm_seg</f>
        <v>0.296207935710698</v>
      </c>
      <c r="J19895" s="7" t="n">
        <f aca="false">Sens!$E$19895+dm_seg</f>
        <v>0.296207935710698</v>
      </c>
      <c r="K19895" s="7" t="n">
        <f aca="false">Sens!$E$19895+dm_seg</f>
        <v>0.296207935710698</v>
      </c>
      <c r="L19895" s="12" t="s">
        <v>1062</v>
      </c>
    </row>
    <row r="19896" customFormat="false" ht="17.15" hidden="false" customHeight="false" outlineLevel="0" collapsed="false">
      <c r="A19896" s="0" t="s">
        <v>882</v>
      </c>
      <c r="B19896" s="0" t="s">
        <v>98</v>
      </c>
      <c r="D19896" s="6" t="n">
        <f aca="false">Q!L22</f>
        <v>17.714</v>
      </c>
      <c r="E19896" s="6" t="n">
        <f aca="false">Q!M22</f>
        <v>18.872</v>
      </c>
      <c r="F19896" s="6" t="n">
        <f aca="false">Q!$I$22+(Sens!F19871-Q!$I$12)*Sens!F19895</f>
        <v>19.8174315512051</v>
      </c>
      <c r="G19896" s="6" t="n">
        <f aca="false">Sens!G19871*Sens!G19895</f>
        <v>19.6313799703815</v>
      </c>
      <c r="H19896" s="6" t="n">
        <f aca="false">Sens!H19871*Sens!H19895</f>
        <v>20.3536242825865</v>
      </c>
      <c r="I19896" s="6" t="n">
        <f aca="false">Sens!I19871*Sens!I19895</f>
        <v>21.1920899239745</v>
      </c>
      <c r="J19896" s="6" t="n">
        <f aca="false">Sens!J19871*Sens!J19895</f>
        <v>22.1288166207045</v>
      </c>
      <c r="K19896" s="6" t="n">
        <f aca="false">Sens!K19871*Sens!K19895</f>
        <v>23.1493653905379</v>
      </c>
      <c r="L19896" s="12" t="s">
        <v>1063</v>
      </c>
    </row>
    <row r="19897" customFormat="false" ht="15" hidden="false" customHeight="false" outlineLevel="0" collapsed="false">
      <c r="A19897" s="1" t="s">
        <v>1064</v>
      </c>
      <c r="B19897" s="0" t="s">
        <v>98</v>
      </c>
      <c r="D19897" s="6" t="n">
        <f aca="false">Sens!D19894+Sens!D19896</f>
        <v>128.528</v>
      </c>
      <c r="E19897" s="6" t="n">
        <f aca="false">Sens!E19894+Sens!E19896</f>
        <v>155.237</v>
      </c>
      <c r="F19897" s="6" t="n">
        <f aca="false">Sens!F19894+Sens!F19896</f>
        <v>178.305798408971</v>
      </c>
      <c r="G19897" s="6" t="n">
        <f aca="false">Sens!G19894+Sens!G19896</f>
        <v>181.290223825544</v>
      </c>
      <c r="H19897" s="6" t="n">
        <f aca="false">Sens!H19894+Sens!H19896</f>
        <v>183.266976709823</v>
      </c>
      <c r="I19897" s="6" t="n">
        <f aca="false">Sens!I19894+Sens!I19896</f>
        <v>193.426244272115</v>
      </c>
      <c r="J19897" s="6" t="n">
        <f aca="false">Sens!J19894+Sens!J19896</f>
        <v>205.203685656343</v>
      </c>
      <c r="K19897" s="6" t="n">
        <f aca="false">Sens!K19894+Sens!K19896</f>
        <v>218.583287660513</v>
      </c>
    </row>
    <row r="19898" customFormat="false" ht="15" hidden="false" customHeight="false" outlineLevel="0" collapsed="false">
      <c r="A19898" s="26" t="s">
        <v>1065</v>
      </c>
      <c r="B19898" s="31" t="s">
        <v>98</v>
      </c>
      <c r="C19898" s="31"/>
      <c r="D19898" s="27" t="n">
        <f aca="false">Sens!D19897-Q!L23</f>
        <v>0</v>
      </c>
      <c r="E19898" s="27" t="n">
        <f aca="false">Sens!E19897-Q!M23</f>
        <v>0</v>
      </c>
      <c r="F19898" s="31"/>
      <c r="G19898" s="31"/>
      <c r="H19898" s="31"/>
      <c r="I19898" s="31"/>
      <c r="J19898" s="31"/>
      <c r="K19898" s="31"/>
    </row>
    <row r="19899" customFormat="false" ht="15" hidden="false" customHeight="false" outlineLevel="0" collapsed="false">
      <c r="A19899" s="1" t="s">
        <v>1066</v>
      </c>
      <c r="B19899" s="0" t="s">
        <v>168</v>
      </c>
      <c r="D19899" s="7" t="n">
        <f aca="false">Sens!D19897/Sens!D19890</f>
        <v>0.456219562408598</v>
      </c>
      <c r="E19899" s="7" t="n">
        <f aca="false">Sens!E19897/Sens!E19890</f>
        <v>0.467808184089272</v>
      </c>
      <c r="F19899" s="7" t="n">
        <f aca="false">Sens!F19897/Sens!F19890</f>
        <v>0.451195675640456</v>
      </c>
      <c r="G19899" s="7" t="n">
        <f aca="false">Sens!G19897/Sens!G19890</f>
        <v>0.393620615978063</v>
      </c>
      <c r="H19899" s="7" t="n">
        <f aca="false">Sens!H19897/Sens!H19890</f>
        <v>0.351325861178072</v>
      </c>
      <c r="I19899" s="7" t="n">
        <f aca="false">Sens!I19897/Sens!I19890</f>
        <v>0.3303270272792</v>
      </c>
      <c r="J19899" s="7" t="n">
        <f aca="false">Sens!J19897/Sens!J19890</f>
        <v>0.321022402450675</v>
      </c>
      <c r="K19899" s="7" t="n">
        <f aca="false">Sens!K19897/Sens!K19890</f>
        <v>0.319955234153868</v>
      </c>
    </row>
    <row r="19900" customFormat="false" ht="17.15" hidden="false" customHeight="false" outlineLevel="0" collapsed="false">
      <c r="A19900" s="1" t="s">
        <v>1067</v>
      </c>
      <c r="B19900" s="0" t="s">
        <v>98</v>
      </c>
      <c r="F19900" s="6" t="n">
        <f aca="false">Sens!F19915</f>
        <v>10.8859627204999</v>
      </c>
      <c r="G19900" s="6" t="n">
        <f aca="false">Sens!G19915</f>
        <v>28.7656467018527</v>
      </c>
      <c r="H19900" s="6" t="n">
        <f aca="false">Sens!H19915</f>
        <v>48.23912298216</v>
      </c>
      <c r="I19900" s="6" t="n">
        <f aca="false">Sens!I19915</f>
        <v>65.7146877390035</v>
      </c>
      <c r="J19900" s="6" t="n">
        <f aca="false">Sens!J19915</f>
        <v>77.9830485164212</v>
      </c>
      <c r="K19900" s="6" t="n">
        <f aca="false">Sens!K19915</f>
        <v>85.3288589680872</v>
      </c>
      <c r="L19900" s="1" t="s">
        <v>1068</v>
      </c>
    </row>
    <row r="19901" customFormat="false" ht="17.15" hidden="false" customHeight="false" outlineLevel="0" collapsed="false">
      <c r="A19901" s="1" t="s">
        <v>1069</v>
      </c>
      <c r="B19901" s="0" t="s">
        <v>98</v>
      </c>
      <c r="D19901" s="6" t="n">
        <f aca="false">Sens!D19897</f>
        <v>128.528</v>
      </c>
      <c r="E19901" s="6" t="n">
        <f aca="false">Sens!E19897</f>
        <v>155.237</v>
      </c>
      <c r="F19901" s="6" t="n">
        <f aca="false">Sens!F19897+Sens!F19900</f>
        <v>189.191761129471</v>
      </c>
      <c r="G19901" s="6" t="n">
        <f aca="false">Sens!G19897+Sens!G19900</f>
        <v>210.055870527396</v>
      </c>
      <c r="H19901" s="6" t="n">
        <f aca="false">Sens!H19897+Sens!H19900</f>
        <v>231.506099691983</v>
      </c>
      <c r="I19901" s="6" t="n">
        <f aca="false">Sens!I19897+Sens!I19900</f>
        <v>259.140932011118</v>
      </c>
      <c r="J19901" s="6" t="n">
        <f aca="false">Sens!J19897+Sens!J19900</f>
        <v>283.186734172764</v>
      </c>
      <c r="K19901" s="6" t="n">
        <f aca="false">Sens!K19897+Sens!K19900</f>
        <v>303.912146628601</v>
      </c>
    </row>
    <row r="19902" customFormat="false" ht="17.15" hidden="false" customHeight="false" outlineLevel="0" collapsed="false">
      <c r="A19902" s="1" t="s">
        <v>1070</v>
      </c>
      <c r="B19902" s="0" t="s">
        <v>98</v>
      </c>
      <c r="E19902" s="6" t="n">
        <f aca="false">Sens!E19845</f>
        <v>16.3054059770833</v>
      </c>
      <c r="F19902" s="6" t="n">
        <f aca="false">Sens!F19845</f>
        <v>35.0499560737695</v>
      </c>
      <c r="G19902" s="6" t="n">
        <f aca="false">Sens!G19845</f>
        <v>62.1848803536636</v>
      </c>
      <c r="H19902" s="6" t="n">
        <f aca="false">Sens!H19845</f>
        <v>91.5686933838682</v>
      </c>
      <c r="I19902" s="6" t="n">
        <f aca="false">Sens!I19845</f>
        <v>117.660959172613</v>
      </c>
      <c r="J19902" s="6" t="n">
        <f aca="false">Sens!J19845</f>
        <v>136.255638179728</v>
      </c>
      <c r="K19902" s="6" t="n">
        <f aca="false">Sens!K19845</f>
        <v>147.966328197264</v>
      </c>
    </row>
    <row r="19903" customFormat="false" ht="17.15" hidden="false" customHeight="false" outlineLevel="0" collapsed="false">
      <c r="A19903" s="1" t="s">
        <v>1071</v>
      </c>
      <c r="B19903" s="0" t="s">
        <v>98</v>
      </c>
      <c r="E19903" s="6" t="n">
        <f aca="false">Sens!E19927</f>
        <v>22.2285940229167</v>
      </c>
      <c r="F19903" s="6" t="n">
        <f aca="false">Sens!F19927</f>
        <v>23.584191571648</v>
      </c>
      <c r="G19903" s="6" t="n">
        <f aca="false">Sens!G19927</f>
        <v>25.3389450692237</v>
      </c>
      <c r="H19903" s="6" t="n">
        <f aca="false">Sens!H19927</f>
        <v>27.4615724138452</v>
      </c>
      <c r="I19903" s="6" t="n">
        <f aca="false">Sens!I19927</f>
        <v>29.8953526268177</v>
      </c>
      <c r="J19903" s="6" t="n">
        <f aca="false">Sens!J19927</f>
        <v>32.5655346006701</v>
      </c>
      <c r="K19903" s="6" t="n">
        <f aca="false">Sens!K19927</f>
        <v>35.3878549041135</v>
      </c>
    </row>
    <row r="19904" customFormat="false" ht="17.15" hidden="false" customHeight="false" outlineLevel="0" collapsed="false">
      <c r="A19904" s="1" t="s">
        <v>1072</v>
      </c>
      <c r="B19904" s="0" t="s">
        <v>98</v>
      </c>
      <c r="D19904" s="6" t="n">
        <f aca="false">Q!L27</f>
        <v>-4.901</v>
      </c>
      <c r="E19904" s="6" t="n">
        <f aca="false">Q!M27</f>
        <v>10.697</v>
      </c>
      <c r="F19904" s="6" t="n">
        <f aca="false">Q!$I$27+oie_f*(q_per_yr-1)/q_per_yr</f>
        <v>-0.862</v>
      </c>
      <c r="G19904" s="6" t="n">
        <f aca="false">oie_f</f>
        <v>-1.2</v>
      </c>
      <c r="H19904" s="6" t="n">
        <f aca="false">oie_f</f>
        <v>-1.2</v>
      </c>
      <c r="I19904" s="6" t="n">
        <f aca="false">oie_f</f>
        <v>-1.2</v>
      </c>
      <c r="J19904" s="6" t="n">
        <f aca="false">oie_f</f>
        <v>-1.2</v>
      </c>
      <c r="K19904" s="6" t="n">
        <f aca="false">oie_f</f>
        <v>-1.2</v>
      </c>
      <c r="L19904" s="12" t="s">
        <v>1073</v>
      </c>
    </row>
    <row r="19905" customFormat="false" ht="15" hidden="false" customHeight="false" outlineLevel="0" collapsed="false">
      <c r="A19905" s="1" t="s">
        <v>1074</v>
      </c>
      <c r="B19905" s="0" t="s">
        <v>98</v>
      </c>
      <c r="D19905" s="6" t="n">
        <f aca="false">Sens!D19897+Sens!D19904</f>
        <v>123.627</v>
      </c>
      <c r="E19905" s="6" t="n">
        <f aca="false">Sens!E19897+Sens!E19904</f>
        <v>165.934</v>
      </c>
      <c r="F19905" s="6" t="n">
        <f aca="false">Sens!F19897+Sens!F19904</f>
        <v>177.443798408971</v>
      </c>
      <c r="G19905" s="6" t="n">
        <f aca="false">Sens!G19897+Sens!G19904</f>
        <v>180.090223825544</v>
      </c>
      <c r="H19905" s="6" t="n">
        <f aca="false">Sens!H19897+Sens!H19904</f>
        <v>182.066976709823</v>
      </c>
      <c r="I19905" s="6" t="n">
        <f aca="false">Sens!I19897+Sens!I19904</f>
        <v>192.226244272115</v>
      </c>
      <c r="J19905" s="6" t="n">
        <f aca="false">Sens!J19897+Sens!J19904</f>
        <v>204.003685656343</v>
      </c>
      <c r="K19905" s="6" t="n">
        <f aca="false">Sens!K19897+Sens!K19904</f>
        <v>217.383287660513</v>
      </c>
    </row>
    <row r="19906" customFormat="false" ht="15" hidden="false" customHeight="false" outlineLevel="0" collapsed="false">
      <c r="A19906" s="1" t="s">
        <v>1075</v>
      </c>
      <c r="B19906" s="0" t="s">
        <v>98</v>
      </c>
      <c r="D19906" s="6" t="n">
        <f aca="false">Q!L29</f>
        <v>21.795</v>
      </c>
      <c r="E19906" s="6" t="n">
        <f aca="false">Q!M29</f>
        <v>32.185</v>
      </c>
      <c r="F19906" s="6" t="n">
        <f aca="false">Q!$I$29+(Sens!F19905-Q!$I$28)*tax_f</f>
        <v>35.6221596817942</v>
      </c>
      <c r="G19906" s="6" t="n">
        <f aca="false">Sens!G19905*tax_f</f>
        <v>36.0180447651088</v>
      </c>
      <c r="H19906" s="6" t="n">
        <f aca="false">Sens!H19905*tax_f</f>
        <v>36.4133953419647</v>
      </c>
      <c r="I19906" s="6" t="n">
        <f aca="false">Sens!I19905*tax_f</f>
        <v>38.445248854423</v>
      </c>
      <c r="J19906" s="6" t="n">
        <f aca="false">Sens!J19905*tax_f</f>
        <v>40.8007371312686</v>
      </c>
      <c r="K19906" s="6" t="n">
        <f aca="false">Sens!K19905*tax_f</f>
        <v>43.4766575321027</v>
      </c>
    </row>
    <row r="19907" customFormat="false" ht="15" hidden="false" customHeight="false" outlineLevel="0" collapsed="false">
      <c r="A19907" s="1" t="s">
        <v>1076</v>
      </c>
      <c r="B19907" s="0" t="s">
        <v>98</v>
      </c>
      <c r="D19907" s="6" t="n">
        <f aca="false">Sens!D19905-Sens!D19906</f>
        <v>101.832</v>
      </c>
      <c r="E19907" s="6" t="n">
        <f aca="false">Sens!E19905-Sens!E19906</f>
        <v>133.749</v>
      </c>
      <c r="F19907" s="6" t="n">
        <f aca="false">Sens!F19905-Sens!F19906</f>
        <v>141.821638727177</v>
      </c>
      <c r="G19907" s="6" t="n">
        <f aca="false">Sens!G19905-Sens!G19906</f>
        <v>144.072179060435</v>
      </c>
      <c r="H19907" s="6" t="n">
        <f aca="false">Sens!H19905-Sens!H19906</f>
        <v>145.653581367859</v>
      </c>
      <c r="I19907" s="6" t="n">
        <f aca="false">Sens!I19905-Sens!I19906</f>
        <v>153.780995417692</v>
      </c>
      <c r="J19907" s="6" t="n">
        <f aca="false">Sens!J19905-Sens!J19906</f>
        <v>163.202948525074</v>
      </c>
      <c r="K19907" s="6" t="n">
        <f aca="false">Sens!K19905-Sens!K19906</f>
        <v>173.906630128411</v>
      </c>
    </row>
    <row r="19908" customFormat="false" ht="17.15" hidden="false" customHeight="false" outlineLevel="0" collapsed="false">
      <c r="A19908" s="1" t="s">
        <v>1077</v>
      </c>
      <c r="B19908" s="1" t="s">
        <v>81</v>
      </c>
      <c r="D19908" s="15" t="n">
        <f aca="false">Q!L31</f>
        <v>7.465</v>
      </c>
      <c r="E19908" s="15" t="n">
        <f aca="false">Q!M31</f>
        <v>7.453</v>
      </c>
      <c r="F19908" s="15" t="n">
        <f aca="false">Sens!F19952</f>
        <v>7.4735</v>
      </c>
      <c r="G19908" s="15" t="n">
        <f aca="false">Sens!G19952</f>
        <v>7.5185</v>
      </c>
      <c r="H19908" s="15" t="n">
        <f aca="false">Sens!H19952</f>
        <v>7.5635</v>
      </c>
      <c r="I19908" s="15" t="n">
        <f aca="false">Sens!I19952</f>
        <v>7.59248142502667</v>
      </c>
      <c r="J19908" s="15" t="n">
        <f aca="false">Sens!J19952</f>
        <v>7.60663083618914</v>
      </c>
      <c r="K19908" s="15" t="n">
        <f aca="false">Sens!K19952</f>
        <v>7.62306547615439</v>
      </c>
    </row>
    <row r="19909" customFormat="false" ht="17.15" hidden="false" customHeight="false" outlineLevel="0" collapsed="false">
      <c r="A19909" s="0" t="s">
        <v>1078</v>
      </c>
      <c r="B19909" s="0" t="s">
        <v>75</v>
      </c>
      <c r="D19909" s="8" t="n">
        <f aca="false">Sens!D19907/Sens!D19908</f>
        <v>13.641259209645</v>
      </c>
      <c r="E19909" s="8" t="n">
        <f aca="false">Sens!E19907/Sens!E19908</f>
        <v>17.9456594659869</v>
      </c>
      <c r="F19909" s="8" t="n">
        <f aca="false">Sens!F19907/Sens!F19908</f>
        <v>18.9766024924302</v>
      </c>
      <c r="G19909" s="8" t="n">
        <f aca="false">Sens!G19907/Sens!G19908</f>
        <v>19.1623567281286</v>
      </c>
      <c r="H19909" s="8" t="n">
        <f aca="false">Sens!H19907/Sens!H19908</f>
        <v>19.257431264343</v>
      </c>
      <c r="I19909" s="8" t="n">
        <f aca="false">Sens!I19907/Sens!I19908</f>
        <v>20.254378879452</v>
      </c>
      <c r="J19909" s="8" t="n">
        <f aca="false">Sens!J19907/Sens!J19908</f>
        <v>21.4553528414477</v>
      </c>
      <c r="K19909" s="8" t="n">
        <f aca="false">Sens!K19907/Sens!K19908</f>
        <v>22.8132147982207</v>
      </c>
      <c r="L19909" s="1" t="s">
        <v>1079</v>
      </c>
    </row>
    <row r="19910" customFormat="false" ht="17.15" hidden="false" customHeight="false" outlineLevel="0" collapsed="false">
      <c r="A19910" s="1" t="s">
        <v>1080</v>
      </c>
      <c r="B19910" s="0" t="s">
        <v>98</v>
      </c>
      <c r="D19910" s="6" t="n">
        <f aca="false">Sens!D19907</f>
        <v>101.832</v>
      </c>
      <c r="E19910" s="6" t="n">
        <f aca="false">Sens!E19907</f>
        <v>133.749</v>
      </c>
      <c r="F19910" s="6" t="n">
        <f aca="false">Sens!F19907+Sens!F19900*(1-tax_f)</f>
        <v>150.530408903577</v>
      </c>
      <c r="G19910" s="6" t="n">
        <f aca="false">Sens!G19907+Sens!G19900*(1-tax_f)</f>
        <v>167.084696421917</v>
      </c>
      <c r="H19910" s="6" t="n">
        <f aca="false">Sens!H19907+Sens!H19900*(1-tax_f)</f>
        <v>184.244879753587</v>
      </c>
      <c r="I19910" s="6" t="n">
        <f aca="false">Sens!I19907+Sens!I19900*(1-tax_f)</f>
        <v>206.352745608895</v>
      </c>
      <c r="J19910" s="6" t="n">
        <f aca="false">Sens!J19907+Sens!J19900*(1-tax_f)</f>
        <v>225.589387338211</v>
      </c>
      <c r="K19910" s="6" t="n">
        <f aca="false">Sens!K19907+Sens!K19900*(1-tax_f)</f>
        <v>242.16971730288</v>
      </c>
    </row>
    <row r="19911" customFormat="false" ht="17.15" hidden="false" customHeight="false" outlineLevel="0" collapsed="false">
      <c r="A19911" s="0" t="s">
        <v>1081</v>
      </c>
      <c r="B19911" s="0" t="s">
        <v>75</v>
      </c>
      <c r="D19911" s="8" t="n">
        <f aca="false">Sens!D19910/Sens!D19908</f>
        <v>13.641259209645</v>
      </c>
      <c r="E19911" s="8" t="n">
        <f aca="false">Sens!E19910/Sens!E19908</f>
        <v>17.9456594659869</v>
      </c>
      <c r="F19911" s="8" t="n">
        <f aca="false">Sens!F19910/Sens!F19908</f>
        <v>20.1418891956348</v>
      </c>
      <c r="G19911" s="8" t="n">
        <f aca="false">Sens!G19910/Sens!G19908</f>
        <v>22.2231424382413</v>
      </c>
      <c r="H19911" s="8" t="n">
        <f aca="false">Sens!H19910/Sens!H19908</f>
        <v>24.3597381838549</v>
      </c>
      <c r="I19911" s="8" t="n">
        <f aca="false">Sens!I19910/Sens!I19908</f>
        <v>27.1785644320058</v>
      </c>
      <c r="J19911" s="8" t="n">
        <f aca="false">Sens!J19910/Sens!J19908</f>
        <v>29.6569390833261</v>
      </c>
      <c r="K19911" s="8" t="n">
        <f aca="false">Sens!K19910/Sens!K19908</f>
        <v>31.7680227279181</v>
      </c>
      <c r="L19911" s="1" t="s">
        <v>1082</v>
      </c>
    </row>
    <row r="19912" customFormat="false" ht="17.15" hidden="false" customHeight="false" outlineLevel="0" collapsed="false">
      <c r="A19912" s="0" t="s">
        <v>1083</v>
      </c>
      <c r="B19912" s="0" t="s">
        <v>168</v>
      </c>
      <c r="E19912" s="7" t="n">
        <f aca="false">Sens!E19911/Sens!D19911-1</f>
        <v>0.315542736208578</v>
      </c>
      <c r="F19912" s="7" t="n">
        <f aca="false">Sens!F19911/Sens!E19911-1</f>
        <v>0.122382224727409</v>
      </c>
      <c r="G19912" s="7" t="n">
        <f aca="false">Sens!G19911/Sens!F19911-1</f>
        <v>0.103329594478036</v>
      </c>
      <c r="H19912" s="7" t="n">
        <f aca="false">Sens!H19911/Sens!G19911-1</f>
        <v>0.0961428273049718</v>
      </c>
      <c r="I19912" s="7" t="n">
        <f aca="false">Sens!I19911/Sens!H19911-1</f>
        <v>0.115716606922285</v>
      </c>
      <c r="J19912" s="7" t="n">
        <f aca="false">Sens!J19911/Sens!I19911-1</f>
        <v>0.0911885783195274</v>
      </c>
      <c r="K19912" s="7" t="n">
        <f aca="false">Sens!K19911/Sens!J19911-1</f>
        <v>0.071183463629221</v>
      </c>
    </row>
    <row r="19913" customFormat="false" ht="17.15" hidden="false" customHeight="false" outlineLevel="0" collapsed="false">
      <c r="A19913" s="0" t="s">
        <v>1003</v>
      </c>
      <c r="B19913" s="0" t="s">
        <v>98</v>
      </c>
      <c r="E19913" s="6" t="n">
        <f aca="false">Sens!E19854</f>
        <v>5.25</v>
      </c>
      <c r="F19913" s="6" t="n">
        <f aca="false">Sens!F19854</f>
        <v>10.5</v>
      </c>
      <c r="G19913" s="6" t="n">
        <f aca="false">Sens!G19854</f>
        <v>13.5</v>
      </c>
      <c r="H19913" s="6" t="n">
        <f aca="false">Sens!H19854</f>
        <v>16.5</v>
      </c>
      <c r="I19913" s="6" t="n">
        <f aca="false">Sens!I19854</f>
        <v>18.75</v>
      </c>
      <c r="J19913" s="6" t="n">
        <f aca="false">Sens!J19854</f>
        <v>20.25</v>
      </c>
      <c r="K19913" s="6" t="n">
        <f aca="false">Sens!K19854</f>
        <v>21.75</v>
      </c>
    </row>
    <row r="19914" customFormat="false" ht="17.15" hidden="false" customHeight="false" outlineLevel="0" collapsed="false">
      <c r="A19914" s="1" t="s">
        <v>1004</v>
      </c>
      <c r="B19914" s="0" t="s">
        <v>98</v>
      </c>
      <c r="F19914" s="6" t="n">
        <f aca="false">MAX(0,((Sens!E19814+Sens!F19814)/2-(shadow_base*(Sens!$D$19814+Sens!$E$19814)/2+(1-shadow_base)*Sens!$E$19814))*Sens!F19823/1000-(Sens!F19913-Sens!$E$19913)*Sens!F19893)</f>
        <v>10.8859627204999</v>
      </c>
      <c r="G19914" s="6" t="n">
        <f aca="false">MAX(0,((Sens!F19814+Sens!G19814)/2-(shadow_base*(Sens!$D$19814+Sens!$E$19814)/2+(1-shadow_base)*Sens!$E$19814))*Sens!G19823/1000-(Sens!G19913-Sens!$E$19913)*Sens!G19893)</f>
        <v>28.7656467018527</v>
      </c>
      <c r="H19914" s="6" t="n">
        <f aca="false">MAX(0,((Sens!G19814+Sens!H19814)/2-(shadow_base*(Sens!$D$19814+Sens!$E$19814)/2+(1-shadow_base)*Sens!$E$19814))*Sens!H19823/1000-(Sens!H19913-Sens!$E$19913)*Sens!H19893)</f>
        <v>48.23912298216</v>
      </c>
      <c r="I19914" s="6" t="n">
        <f aca="false">MAX(0,((Sens!H19814+Sens!I19814)/2-(shadow_base*(Sens!$D$19814+Sens!$E$19814)/2+(1-shadow_base)*Sens!$E$19814))*Sens!I19823/1000-(Sens!I19913-Sens!$E$19913)*Sens!I19893)</f>
        <v>65.7146877390035</v>
      </c>
      <c r="J19914" s="6" t="n">
        <f aca="false">MAX(0,((Sens!I19814+Sens!J19814)/2-(shadow_base*(Sens!$D$19814+Sens!$E$19814)/2+(1-shadow_base)*Sens!$E$19814))*Sens!J19823/1000-(Sens!J19913-Sens!$E$19913)*Sens!J19893)</f>
        <v>77.9830485164212</v>
      </c>
      <c r="K19914" s="6" t="n">
        <f aca="false">MAX(0,((Sens!J19814+Sens!K19814)/2-(shadow_base*(Sens!$D$19814+Sens!$E$19814)/2+(1-shadow_base)*Sens!$E$19814))*Sens!K19823/1000-(Sens!K19913-Sens!$E$19913)*Sens!K19893)</f>
        <v>85.3288589680872</v>
      </c>
      <c r="L19914" s="1" t="s">
        <v>1005</v>
      </c>
    </row>
    <row r="19915" customFormat="false" ht="17.15" hidden="false" customHeight="false" outlineLevel="0" collapsed="false">
      <c r="A19915" s="1" t="s">
        <v>1006</v>
      </c>
      <c r="B19915" s="0" t="s">
        <v>98</v>
      </c>
      <c r="F19915" s="6" t="n">
        <f aca="false">IF(internal_ai_reading=2,1,0)*Sens!F19914</f>
        <v>10.8859627204999</v>
      </c>
      <c r="G19915" s="6" t="n">
        <f aca="false">IF(internal_ai_reading=2,1,0)*Sens!G19914</f>
        <v>28.7656467018527</v>
      </c>
      <c r="H19915" s="6" t="n">
        <f aca="false">IF(internal_ai_reading=2,1,0)*Sens!H19914</f>
        <v>48.23912298216</v>
      </c>
      <c r="I19915" s="6" t="n">
        <f aca="false">IF(internal_ai_reading=2,1,0)*Sens!I19914</f>
        <v>65.7146877390035</v>
      </c>
      <c r="J19915" s="6" t="n">
        <f aca="false">IF(internal_ai_reading=2,1,0)*Sens!J19914</f>
        <v>77.9830485164212</v>
      </c>
      <c r="K19915" s="6" t="n">
        <f aca="false">IF(internal_ai_reading=2,1,0)*Sens!K19914</f>
        <v>85.3288589680872</v>
      </c>
    </row>
    <row r="19916" customFormat="false" ht="17.15" hidden="false" customHeight="false" outlineLevel="0" collapsed="false">
      <c r="A19916" s="0" t="s">
        <v>1007</v>
      </c>
      <c r="B19916" s="0" t="s">
        <v>98</v>
      </c>
      <c r="F19916" s="6" t="n">
        <f aca="false">Sens!F19833+Sens!F19913*Sens!F19893+Sens!F19915-Sens!F19834-Sens!F19845</f>
        <v>11.1825341008023</v>
      </c>
      <c r="G19916" s="6" t="n">
        <f aca="false">Sens!G19833+Sens!G19913*Sens!G19893+Sens!G19915-Sens!G19834-Sens!G19845</f>
        <v>17.8707664028034</v>
      </c>
      <c r="H19916" s="6" t="n">
        <f aca="false">Sens!H19833+Sens!H19913*Sens!H19893+Sens!H19915-Sens!H19834-Sens!H19845</f>
        <v>19.134639088024</v>
      </c>
      <c r="I19916" s="6" t="n">
        <f aca="false">Sens!I19833+Sens!I19913*Sens!I19893+Sens!I19915-Sens!I19834-Sens!I19845</f>
        <v>26.9606146622535</v>
      </c>
      <c r="J19916" s="6" t="n">
        <f aca="false">Sens!J19833+Sens!J19913*Sens!J19893+Sens!J19915-Sens!J19834-Sens!J19845</f>
        <v>32.3561707968295</v>
      </c>
      <c r="K19916" s="6" t="n">
        <f aca="false">Sens!K19833+Sens!K19913*Sens!K19893+Sens!K19915-Sens!K19834-Sens!K19845</f>
        <v>36.3938644058259</v>
      </c>
    </row>
    <row r="19917" customFormat="false" ht="17.15" hidden="false" customHeight="false" outlineLevel="0" collapsed="false">
      <c r="A19917" s="0" t="s">
        <v>1008</v>
      </c>
      <c r="B19917" s="0" t="s">
        <v>98</v>
      </c>
      <c r="E19917" s="6" t="n">
        <f aca="false">Sens!E19813*(cxit_open+self_build*tk_cxfac)/1000*ai_net_open</f>
        <v>126.6980382</v>
      </c>
      <c r="F19917" s="6" t="n">
        <f aca="false">Sens!E19917+Sens!F19842-Sens!F19845</f>
        <v>265.749685313364</v>
      </c>
      <c r="G19917" s="6" t="n">
        <f aca="false">Sens!F19917+Sens!G19842-Sens!G19845</f>
        <v>401.618558735096</v>
      </c>
      <c r="H19917" s="6" t="n">
        <f aca="false">Sens!G19917+Sens!H19842-Sens!H19845</f>
        <v>512.965147542088</v>
      </c>
      <c r="I19917" s="6" t="n">
        <f aca="false">Sens!H19917+Sens!I19842-Sens!I19845</f>
        <v>569.345904932441</v>
      </c>
      <c r="J19917" s="6" t="n">
        <f aca="false">Sens!I19917+Sens!J19842-Sens!J19845</f>
        <v>566.31350283211</v>
      </c>
      <c r="K19917" s="6" t="n">
        <f aca="false">Sens!J19917+Sens!K19842-Sens!K19845</f>
        <v>541.581045010494</v>
      </c>
      <c r="L19917" s="1" t="s">
        <v>1009</v>
      </c>
    </row>
    <row r="19918" customFormat="false" ht="17.15" hidden="false" customHeight="false" outlineLevel="0" collapsed="false">
      <c r="A19918" s="0" t="s">
        <v>1010</v>
      </c>
      <c r="B19918" s="0" t="s">
        <v>168</v>
      </c>
      <c r="F19918" s="7" t="n">
        <f aca="false">Sens!F19916*(1-tax_f)/((Sens!E19917+Sens!F19917)/2)</f>
        <v>0.0455909245723383</v>
      </c>
      <c r="G19918" s="7" t="n">
        <f aca="false">Sens!G19916*(1-tax_f)/((Sens!F19917+Sens!G19917)/2)</f>
        <v>0.0428447510043782</v>
      </c>
      <c r="H19918" s="7" t="n">
        <f aca="false">Sens!H19916*(1-tax_f)/((Sens!G19917+Sens!H19917)/2)</f>
        <v>0.0334747080346079</v>
      </c>
      <c r="I19918" s="7" t="n">
        <f aca="false">Sens!I19916*(1-tax_f)/((Sens!H19917+Sens!I19917)/2)</f>
        <v>0.0398563641764351</v>
      </c>
      <c r="J19918" s="7" t="n">
        <f aca="false">Sens!J19916*(1-tax_f)/((Sens!I19917+Sens!J19917)/2)</f>
        <v>0.0455857389292726</v>
      </c>
      <c r="K19918" s="7" t="n">
        <f aca="false">Sens!K19916*(1-tax_f)/((Sens!J19917+Sens!K19917)/2)</f>
        <v>0.0525593190820486</v>
      </c>
    </row>
    <row r="19919" customFormat="false" ht="17.15" hidden="false" customHeight="false" outlineLevel="0" collapsed="false">
      <c r="A19919" s="1" t="s">
        <v>1011</v>
      </c>
      <c r="B19919" s="0" t="s">
        <v>168</v>
      </c>
      <c r="F19919" s="7" t="n">
        <f aca="false">(Sens!F19916-Sens!F19915)*(1-tax_f)/((Sens!E19917+Sens!F19917)/2)</f>
        <v>0.00120911443755026</v>
      </c>
      <c r="G19919" s="7" t="n">
        <f aca="false">(Sens!G19916-Sens!G19915)*(1-tax_f)/((Sens!F19917+Sens!G19917)/2)</f>
        <v>-0.0261202246794547</v>
      </c>
      <c r="H19919" s="7" t="n">
        <f aca="false">(Sens!H19916-Sens!H19915)*(1-tax_f)/((Sens!G19917+Sens!H19917)/2)</f>
        <v>-0.0509162517449272</v>
      </c>
      <c r="I19919" s="7" t="n">
        <f aca="false">(Sens!I19916-Sens!I19915)*(1-tax_f)/((Sens!H19917+Sens!I19917)/2)</f>
        <v>-0.0572908470083828</v>
      </c>
      <c r="J19919" s="7" t="n">
        <f aca="false">(Sens!J19916-Sens!J19915)*(1-tax_f)/((Sens!I19917+Sens!J19917)/2)</f>
        <v>-0.0642824810433675</v>
      </c>
      <c r="K19919" s="7" t="n">
        <f aca="false">(Sens!K19916-Sens!K19915)*(1-tax_f)/((Sens!J19917+Sens!K19917)/2)</f>
        <v>-0.0706709780746582</v>
      </c>
    </row>
    <row r="19920" customFormat="false" ht="17.15" hidden="false" customHeight="false" outlineLevel="0" collapsed="false">
      <c r="A19920" s="1" t="s">
        <v>1012</v>
      </c>
      <c r="B19920" s="0" t="s">
        <v>168</v>
      </c>
      <c r="F19920" s="7" t="n">
        <f aca="false">(Sens!F19916-Sens!F19915+Sens!F19914)*(1-tax_f)/((Sens!E19917+Sens!F19917)/2)</f>
        <v>0.0455909245723383</v>
      </c>
      <c r="G19920" s="7" t="n">
        <f aca="false">(Sens!G19916-Sens!G19915+Sens!G19914)*(1-tax_f)/((Sens!F19917+Sens!G19917)/2)</f>
        <v>0.0428447510043782</v>
      </c>
      <c r="H19920" s="7" t="n">
        <f aca="false">(Sens!H19916-Sens!H19915+Sens!H19914)*(1-tax_f)/((Sens!G19917+Sens!H19917)/2)</f>
        <v>0.0334747080346079</v>
      </c>
      <c r="I19920" s="7" t="n">
        <f aca="false">(Sens!I19916-Sens!I19915+Sens!I19914)*(1-tax_f)/((Sens!H19917+Sens!I19917)/2)</f>
        <v>0.0398563641764351</v>
      </c>
      <c r="J19920" s="7" t="n">
        <f aca="false">(Sens!J19916-Sens!J19915+Sens!J19914)*(1-tax_f)/((Sens!I19917+Sens!J19917)/2)</f>
        <v>0.0455857389292726</v>
      </c>
      <c r="K19920" s="7" t="n">
        <f aca="false">(Sens!K19916-Sens!K19915+Sens!K19914)*(1-tax_f)/((Sens!J19917+Sens!K19917)/2)</f>
        <v>0.0525593190820486</v>
      </c>
    </row>
    <row r="19921" customFormat="false" ht="17.15" hidden="false" customHeight="false" outlineLevel="0" collapsed="false">
      <c r="A19921" s="1" t="s">
        <v>1013</v>
      </c>
      <c r="B19921" s="0" t="s">
        <v>168</v>
      </c>
      <c r="F19921" s="7" t="n">
        <f aca="false">Sens!F19846*(1-tax_f)/(Sens!F19832*(Sens!E19917+Sens!F19917)/2)</f>
        <v>0.10212490151732</v>
      </c>
      <c r="G19921" s="7" t="n">
        <f aca="false">Sens!G19846*(1-tax_f)/(Sens!G19832*(Sens!F19917+Sens!G19917)/2)</f>
        <v>0.0702492737177739</v>
      </c>
      <c r="H19921" s="7" t="n">
        <f aca="false">Sens!H19846*(1-tax_f)/(Sens!H19832*(Sens!G19917+Sens!H19917)/2)</f>
        <v>0.0415344677831322</v>
      </c>
      <c r="I19921" s="7" t="n">
        <f aca="false">Sens!I19846*(1-tax_f)/(Sens!I19832*(Sens!H19917+Sens!I19917)/2)</f>
        <v>0.0441730861197705</v>
      </c>
      <c r="J19921" s="7" t="n">
        <f aca="false">Sens!J19846*(1-tax_f)/(Sens!J19832*(Sens!I19917+Sens!J19917)/2)</f>
        <v>0.0480893613367788</v>
      </c>
      <c r="K19921" s="7" t="n">
        <f aca="false">Sens!K19846*(1-tax_f)/(Sens!K19832*(Sens!J19917+Sens!K19917)/2)</f>
        <v>0.0544134262750478</v>
      </c>
    </row>
    <row r="19922" customFormat="false" ht="17.15" hidden="false" customHeight="false" outlineLevel="0" collapsed="false">
      <c r="A19922" s="0" t="s">
        <v>1014</v>
      </c>
      <c r="B19922" s="0" t="s">
        <v>253</v>
      </c>
      <c r="F19922" s="7" t="n">
        <f aca="false">Sens!F19918-wacc</f>
        <v>-0.057345666373259</v>
      </c>
      <c r="G19922" s="7" t="n">
        <f aca="false">Sens!G19918-wacc</f>
        <v>-0.0600918399412191</v>
      </c>
      <c r="H19922" s="7" t="n">
        <f aca="false">Sens!H19918-wacc</f>
        <v>-0.0694618829109894</v>
      </c>
      <c r="I19922" s="7" t="n">
        <f aca="false">Sens!I19918-wacc</f>
        <v>-0.0630802267691622</v>
      </c>
      <c r="J19922" s="7" t="n">
        <f aca="false">Sens!J19918-wacc</f>
        <v>-0.0573508520163247</v>
      </c>
      <c r="K19922" s="7" t="n">
        <f aca="false">Sens!K19918-wacc</f>
        <v>-0.0503772718635487</v>
      </c>
    </row>
    <row r="19923" customFormat="false" ht="17.15" hidden="false" customHeight="false" outlineLevel="0" collapsed="false">
      <c r="A19923" s="0" t="s">
        <v>1015</v>
      </c>
      <c r="B19923" s="0" t="s">
        <v>98</v>
      </c>
      <c r="F19923" s="6" t="n">
        <f aca="false">Sens!F19916*(1-tax_f)-wacc*(Sens!E19917+Sens!F19917)/2</f>
        <v>-11.2525881107712</v>
      </c>
      <c r="G19923" s="6" t="n">
        <f aca="false">Sens!G19916*(1-tax_f)-wacc*(Sens!F19917+Sens!G19917)/2</f>
        <v>-20.0516928516063</v>
      </c>
      <c r="H19923" s="6" t="n">
        <f aca="false">Sens!H19916*(1-tax_f)-wacc*(Sens!G19917+Sens!H19917)/2</f>
        <v>-31.7643531588622</v>
      </c>
      <c r="I19923" s="6" t="n">
        <f aca="false">Sens!I19916*(1-tax_f)-wacc*(Sens!H19917+Sens!I19917)/2</f>
        <v>-34.1362133124319</v>
      </c>
      <c r="J19923" s="6" t="n">
        <f aca="false">Sens!J19916*(1-tax_f)-wacc*(Sens!I19917+Sens!J19917)/2</f>
        <v>-32.5655173178258</v>
      </c>
      <c r="K19923" s="6" t="n">
        <f aca="false">Sens!K19916*(1-tax_f)-wacc*(Sens!J19917+Sens!K19917)/2</f>
        <v>-27.9063524164051</v>
      </c>
    </row>
    <row r="19924" customFormat="false" ht="17.15" hidden="false" customHeight="false" outlineLevel="0" collapsed="false">
      <c r="A19924" s="3" t="s">
        <v>1972</v>
      </c>
    </row>
    <row r="19925" customFormat="false" ht="15" hidden="false" customHeight="false" outlineLevel="0" collapsed="false">
      <c r="A19925" s="4" t="s">
        <v>43</v>
      </c>
      <c r="B19925" s="4" t="s">
        <v>65</v>
      </c>
      <c r="C19925" s="23" t="s">
        <v>938</v>
      </c>
      <c r="D19925" s="23" t="s">
        <v>939</v>
      </c>
      <c r="E19925" s="23" t="s">
        <v>940</v>
      </c>
      <c r="F19925" s="23" t="s">
        <v>941</v>
      </c>
      <c r="G19925" s="23" t="s">
        <v>942</v>
      </c>
      <c r="H19925" s="23" t="s">
        <v>943</v>
      </c>
      <c r="I19925" s="23" t="s">
        <v>944</v>
      </c>
      <c r="J19925" s="23" t="s">
        <v>945</v>
      </c>
      <c r="K19925" s="23" t="s">
        <v>946</v>
      </c>
      <c r="L19925" s="4" t="s">
        <v>47</v>
      </c>
    </row>
    <row r="19926" customFormat="false" ht="15" hidden="false" customHeight="false" outlineLevel="0" collapsed="false">
      <c r="A19926" s="1" t="s">
        <v>1076</v>
      </c>
      <c r="B19926" s="0" t="s">
        <v>98</v>
      </c>
      <c r="F19926" s="6" t="n">
        <f aca="false">Sens!F19907</f>
        <v>141.821638727177</v>
      </c>
      <c r="G19926" s="6" t="n">
        <f aca="false">Sens!G19907</f>
        <v>144.072179060435</v>
      </c>
      <c r="H19926" s="6" t="n">
        <f aca="false">Sens!H19907</f>
        <v>145.653581367859</v>
      </c>
      <c r="I19926" s="6" t="n">
        <f aca="false">Sens!I19907</f>
        <v>153.780995417692</v>
      </c>
      <c r="J19926" s="6" t="n">
        <f aca="false">Sens!J19907</f>
        <v>163.202948525074</v>
      </c>
      <c r="K19926" s="6" t="n">
        <f aca="false">Sens!K19907</f>
        <v>173.906630128411</v>
      </c>
    </row>
    <row r="19927" customFormat="false" ht="17.15" hidden="false" customHeight="false" outlineLevel="0" collapsed="false">
      <c r="A19927" s="1" t="s">
        <v>1098</v>
      </c>
      <c r="B19927" s="0" t="s">
        <v>98</v>
      </c>
      <c r="E19927" s="6" t="n">
        <f aca="false">Q!M38-Sens!E19845</f>
        <v>22.2285940229167</v>
      </c>
      <c r="F19927" s="6" t="n">
        <f aca="false">Sens!E19927*(1-1/life_nonai)+(Sens!F19935+Sens!F19936)/life_nonai</f>
        <v>23.584191571648</v>
      </c>
      <c r="G19927" s="6" t="n">
        <f aca="false">Sens!F19927*(1-1/life_nonai)+(Sens!G19935)/life_nonai</f>
        <v>25.3389450692237</v>
      </c>
      <c r="H19927" s="6" t="n">
        <f aca="false">Sens!G19927*(1-1/life_nonai)+(Sens!H19935)/life_nonai</f>
        <v>27.4615724138452</v>
      </c>
      <c r="I19927" s="6" t="n">
        <f aca="false">Sens!H19927*(1-1/life_nonai)+(Sens!I19935)/life_nonai</f>
        <v>29.8953526268177</v>
      </c>
      <c r="J19927" s="6" t="n">
        <f aca="false">Sens!I19927*(1-1/life_nonai)+(Sens!J19935)/life_nonai</f>
        <v>32.5655346006701</v>
      </c>
      <c r="K19927" s="6" t="n">
        <f aca="false">Sens!J19927*(1-1/life_nonai)+(Sens!K19935)/life_nonai</f>
        <v>35.3878549041135</v>
      </c>
      <c r="L19927" s="12" t="s">
        <v>1099</v>
      </c>
    </row>
    <row r="19928" customFormat="false" ht="17.15" hidden="false" customHeight="false" outlineLevel="0" collapsed="false">
      <c r="A19928" s="1" t="s">
        <v>1100</v>
      </c>
      <c r="B19928" s="0" t="s">
        <v>98</v>
      </c>
      <c r="F19928" s="6" t="n">
        <f aca="false">Sens!$F$19936/life_nonai*(1-1/life_nonai)^(Sens!F19808-2027)</f>
        <v>0</v>
      </c>
      <c r="G19928" s="6" t="n">
        <f aca="false">Sens!$F$19936/life_nonai*(1-1/life_nonai)^(Sens!G19808-2027)</f>
        <v>0</v>
      </c>
      <c r="H19928" s="6" t="n">
        <f aca="false">Sens!$F$19936/life_nonai*(1-1/life_nonai)^(Sens!H19808-2027)</f>
        <v>0</v>
      </c>
      <c r="I19928" s="6" t="n">
        <f aca="false">Sens!$F$19936/life_nonai*(1-1/life_nonai)^(Sens!I19808-2027)</f>
        <v>0</v>
      </c>
      <c r="J19928" s="6" t="n">
        <f aca="false">Sens!$F$19936/life_nonai*(1-1/life_nonai)^(Sens!J19808-2027)</f>
        <v>0</v>
      </c>
      <c r="K19928" s="6" t="n">
        <f aca="false">Sens!$F$19936/life_nonai*(1-1/life_nonai)^(Sens!K19808-2027)</f>
        <v>0</v>
      </c>
      <c r="L19928" s="1" t="s">
        <v>1101</v>
      </c>
    </row>
    <row r="19929" customFormat="false" ht="17.15" hidden="false" customHeight="false" outlineLevel="0" collapsed="false">
      <c r="A19929" s="1" t="s">
        <v>1102</v>
      </c>
      <c r="B19929" s="0" t="s">
        <v>98</v>
      </c>
      <c r="E19929" s="6" t="n">
        <f aca="false">Sens!E19845+Sens!E19927</f>
        <v>38.534</v>
      </c>
      <c r="F19929" s="6" t="n">
        <f aca="false">Sens!F19845+Sens!F19927</f>
        <v>58.6341476454175</v>
      </c>
      <c r="G19929" s="6" t="n">
        <f aca="false">Sens!G19845+Sens!G19927</f>
        <v>87.5238254228873</v>
      </c>
      <c r="H19929" s="6" t="n">
        <f aca="false">Sens!H19845+Sens!H19927</f>
        <v>119.030265797713</v>
      </c>
      <c r="I19929" s="6" t="n">
        <f aca="false">Sens!I19845+Sens!I19927</f>
        <v>147.556311799431</v>
      </c>
      <c r="J19929" s="6" t="n">
        <f aca="false">Sens!J19845+Sens!J19927</f>
        <v>168.821172780398</v>
      </c>
      <c r="K19929" s="6" t="n">
        <f aca="false">Sens!K19845+Sens!K19927</f>
        <v>183.354183101378</v>
      </c>
    </row>
    <row r="19930" customFormat="false" ht="17.15" hidden="false" customHeight="false" outlineLevel="0" collapsed="false">
      <c r="A19930" s="1" t="s">
        <v>1103</v>
      </c>
      <c r="B19930" s="0" t="s">
        <v>98</v>
      </c>
      <c r="F19930" s="6" t="n">
        <f aca="false">Sens!F19872*sbc_r</f>
        <v>14.7730402284747</v>
      </c>
      <c r="G19930" s="6" t="n">
        <f aca="false">Sens!G19872*sbc_r</f>
        <v>17.2173334735151</v>
      </c>
      <c r="H19930" s="6" t="n">
        <f aca="false">Sens!H19872*sbc_r</f>
        <v>19.5003963537821</v>
      </c>
      <c r="I19930" s="6" t="n">
        <f aca="false">Sens!I19872*sbc_r</f>
        <v>21.8897414981931</v>
      </c>
      <c r="J19930" s="6" t="n">
        <f aca="false">Sens!J19872*sbc_r</f>
        <v>23.8956670793923</v>
      </c>
      <c r="K19930" s="6" t="n">
        <f aca="false">Sens!K19872*sbc_r</f>
        <v>25.5385994854928</v>
      </c>
    </row>
    <row r="19931" customFormat="false" ht="17.15" hidden="false" customHeight="false" outlineLevel="0" collapsed="false">
      <c r="A19931" s="1" t="s">
        <v>1104</v>
      </c>
      <c r="B19931" s="0" t="s">
        <v>98</v>
      </c>
      <c r="F19931" s="6" t="n">
        <f aca="false">wc27-wc26q1</f>
        <v>-4.677</v>
      </c>
      <c r="G19931" s="6" t="n">
        <f aca="false">wc_f</f>
        <v>0</v>
      </c>
      <c r="H19931" s="6" t="n">
        <f aca="false">wc_f</f>
        <v>0</v>
      </c>
      <c r="I19931" s="6" t="n">
        <f aca="false">wc_f</f>
        <v>0</v>
      </c>
      <c r="J19931" s="6" t="n">
        <f aca="false">wc_f</f>
        <v>0</v>
      </c>
      <c r="K19931" s="6" t="n">
        <f aca="false">wc_f</f>
        <v>0</v>
      </c>
      <c r="L19931" s="12" t="s">
        <v>1105</v>
      </c>
    </row>
    <row r="19932" customFormat="false" ht="17.15" hidden="false" customHeight="false" outlineLevel="0" collapsed="false">
      <c r="A19932" s="0" t="s">
        <v>1106</v>
      </c>
      <c r="B19932" s="0" t="s">
        <v>98</v>
      </c>
      <c r="F19932" s="6" t="n">
        <f aca="false">Q!$I$35-Q!$I$26-Q!$I$38-Q!$I$39</f>
        <v>6.493</v>
      </c>
      <c r="L19932" s="1" t="s">
        <v>1107</v>
      </c>
    </row>
    <row r="19933" customFormat="false" ht="15" hidden="false" customHeight="false" outlineLevel="0" collapsed="false">
      <c r="A19933" s="1" t="s">
        <v>904</v>
      </c>
      <c r="B19933" s="0" t="s">
        <v>98</v>
      </c>
      <c r="E19933" s="6" t="n">
        <f aca="false">Q!M35</f>
        <v>182.935</v>
      </c>
      <c r="F19933" s="6" t="n">
        <f aca="false">Sens!F19926+Sens!F19929+Sens!F19930+Sens!F19931+Sens!F19932</f>
        <v>217.044826601069</v>
      </c>
      <c r="G19933" s="6" t="n">
        <f aca="false">Sens!G19926+Sens!G19929+Sens!G19930+Sens!G19931</f>
        <v>248.813337956837</v>
      </c>
      <c r="H19933" s="6" t="n">
        <f aca="false">Sens!H19926+Sens!H19929+Sens!H19930+Sens!H19931</f>
        <v>284.184243519354</v>
      </c>
      <c r="I19933" s="6" t="n">
        <f aca="false">Sens!I19926+Sens!I19929+Sens!I19930+Sens!I19931</f>
        <v>323.227048715316</v>
      </c>
      <c r="J19933" s="6" t="n">
        <f aca="false">Sens!J19926+Sens!J19929+Sens!J19930+Sens!J19931</f>
        <v>355.919788384865</v>
      </c>
      <c r="K19933" s="6" t="n">
        <f aca="false">Sens!K19926+Sens!K19929+Sens!K19930+Sens!K19931</f>
        <v>382.799412715281</v>
      </c>
    </row>
    <row r="19934" customFormat="false" ht="17.15" hidden="false" customHeight="false" outlineLevel="0" collapsed="false">
      <c r="A19934" s="0" t="s">
        <v>1108</v>
      </c>
      <c r="B19934" s="0" t="s">
        <v>98</v>
      </c>
      <c r="F19934" s="6" t="n">
        <f aca="false">Sens!F19842</f>
        <v>174.101603187134</v>
      </c>
      <c r="G19934" s="6" t="n">
        <f aca="false">Sens!G19842</f>
        <v>198.053753775396</v>
      </c>
      <c r="H19934" s="6" t="n">
        <f aca="false">Sens!H19842</f>
        <v>202.91528219086</v>
      </c>
      <c r="I19934" s="6" t="n">
        <f aca="false">Sens!I19842</f>
        <v>174.041716562966</v>
      </c>
      <c r="J19934" s="6" t="n">
        <f aca="false">Sens!J19842</f>
        <v>133.223236079397</v>
      </c>
      <c r="K19934" s="6" t="n">
        <f aca="false">Sens!K19842</f>
        <v>123.233870375648</v>
      </c>
    </row>
    <row r="19935" customFormat="false" ht="17.15" hidden="false" customHeight="false" outlineLevel="0" collapsed="false">
      <c r="A19935" s="1" t="s">
        <v>1109</v>
      </c>
      <c r="B19935" s="0" t="s">
        <v>98</v>
      </c>
      <c r="E19935" s="6" t="n">
        <f aca="false">Sens!E19850*cx_azo+Sens!E19857*cx_m365+Sens!E19858*cx_lic+(Sens!E19860+Sens!E19862)*cx_ind+Sens!E19865*cx_srch+(Sens!E19867+Sens!E19869)*cx_dev</f>
        <v>30.1846587067718</v>
      </c>
      <c r="F19935" s="6" t="n">
        <f aca="false">Sens!F19850*cx_azo+Sens!F19857*cx_m365+Sens!F19858*cx_lic+(Sens!F19860+Sens!F19862)*cx_ind+Sens!F19865*cx_srch+(Sens!F19867+Sens!F19869)*cx_dev</f>
        <v>35.7845695102304</v>
      </c>
      <c r="G19935" s="6" t="n">
        <f aca="false">Sens!G19850*cx_azo+Sens!G19857*cx_m365+Sens!G19858*cx_lic+(Sens!G19860+Sens!G19862)*cx_ind+Sens!G19865*cx_srch+(Sens!G19867+Sens!G19869)*cx_dev</f>
        <v>41.1317265474045</v>
      </c>
      <c r="H19935" s="6" t="n">
        <f aca="false">Sens!H19850*cx_azo+Sens!H19857*cx_m365+Sens!H19858*cx_lic+(Sens!H19860+Sens!H19862)*cx_ind+Sens!H19865*cx_srch+(Sens!H19867+Sens!H19869)*cx_dev</f>
        <v>46.565218515439</v>
      </c>
      <c r="I19935" s="6" t="n">
        <f aca="false">Sens!I19850*cx_azo+Sens!I19857*cx_m365+Sens!I19858*cx_lic+(Sens!I19860+Sens!I19862)*cx_ind+Sens!I19865*cx_srch+(Sens!I19867+Sens!I19869)*cx_dev</f>
        <v>51.7993745435698</v>
      </c>
      <c r="J19935" s="6" t="n">
        <f aca="false">Sens!J19850*cx_azo+Sens!J19857*cx_m365+Sens!J19858*cx_lic+(Sens!J19860+Sens!J19862)*cx_ind+Sens!J19865*cx_srch+(Sens!J19867+Sens!J19869)*cx_dev</f>
        <v>56.5971723653416</v>
      </c>
      <c r="K19935" s="6" t="n">
        <f aca="false">Sens!K19850*cx_azo+Sens!K19857*cx_m365+Sens!K19858*cx_lic+(Sens!K19860+Sens!K19862)*cx_ind+Sens!K19865*cx_srch+(Sens!K19867+Sens!K19869)*cx_dev</f>
        <v>60.7887376351046</v>
      </c>
    </row>
    <row r="19936" customFormat="false" ht="17.15" hidden="false" customHeight="false" outlineLevel="0" collapsed="false">
      <c r="A19936" s="0" t="s">
        <v>1110</v>
      </c>
      <c r="B19936" s="0" t="s">
        <v>98</v>
      </c>
      <c r="F19936" s="6" t="n">
        <f aca="false">Sens!F19840</f>
        <v>0</v>
      </c>
      <c r="L19936" s="1" t="s">
        <v>1111</v>
      </c>
    </row>
    <row r="19937" customFormat="false" ht="17.15" hidden="false" customHeight="false" outlineLevel="0" collapsed="false">
      <c r="A19937" s="1" t="s">
        <v>1112</v>
      </c>
      <c r="B19937" s="0" t="s">
        <v>98</v>
      </c>
      <c r="E19937" s="6" t="n">
        <f aca="false">Q!M43</f>
        <v>145.3</v>
      </c>
      <c r="F19937" s="6" t="n">
        <f aca="false">Sens!F19934+Sens!F19935+Sens!F19936</f>
        <v>209.886172697364</v>
      </c>
      <c r="G19937" s="6" t="n">
        <f aca="false">Sens!G19934+Sens!G19935</f>
        <v>239.1854803228</v>
      </c>
      <c r="H19937" s="6" t="n">
        <f aca="false">Sens!H19934+Sens!H19935</f>
        <v>249.480500706299</v>
      </c>
      <c r="I19937" s="6" t="n">
        <f aca="false">Sens!I19934+Sens!I19935</f>
        <v>225.841091106536</v>
      </c>
      <c r="J19937" s="6" t="n">
        <f aca="false">Sens!J19934+Sens!J19935</f>
        <v>189.820408444739</v>
      </c>
      <c r="K19937" s="6" t="n">
        <f aca="false">Sens!K19934+Sens!K19935</f>
        <v>184.022608010753</v>
      </c>
      <c r="L19937" s="1" t="s">
        <v>1113</v>
      </c>
    </row>
    <row r="19938" customFormat="false" ht="15" hidden="false" customHeight="false" outlineLevel="0" collapsed="false">
      <c r="A19938" s="1" t="s">
        <v>1114</v>
      </c>
      <c r="B19938" s="0" t="s">
        <v>98</v>
      </c>
      <c r="E19938" s="6" t="n">
        <f aca="false">fl_liab</f>
        <v>66.594</v>
      </c>
      <c r="F19938" s="6" t="n">
        <f aca="false">Sens!E19938-Sens!F19939</f>
        <v>62.46973</v>
      </c>
      <c r="G19938" s="6" t="n">
        <f aca="false">Sens!F19938-Sens!G19939</f>
        <v>57.98686785</v>
      </c>
      <c r="H19938" s="6" t="n">
        <f aca="false">Sens!G19938-Sens!H19939</f>
        <v>53.92827690325</v>
      </c>
      <c r="I19938" s="6" t="n">
        <f aca="false">Sens!H19938-Sens!I19939</f>
        <v>49.7850493638962</v>
      </c>
      <c r="J19938" s="6" t="n">
        <f aca="false">Sens!I19938-Sens!J19939</f>
        <v>45.4823765852716</v>
      </c>
      <c r="K19938" s="6" t="n">
        <f aca="false">Sens!J19938-Sens!K19939</f>
        <v>40.9860835316088</v>
      </c>
    </row>
    <row r="19939" customFormat="false" ht="15" hidden="false" customHeight="false" outlineLevel="0" collapsed="false">
      <c r="A19939" s="1" t="s">
        <v>1115</v>
      </c>
      <c r="B19939" s="0" t="s">
        <v>98</v>
      </c>
      <c r="F19939" s="6" t="n">
        <f aca="false">fl_pay_27-Sens!E19938*fl_rate</f>
        <v>4.12427</v>
      </c>
      <c r="G19939" s="6" t="n">
        <f aca="false">fl_pay_28-Sens!F19938*fl_rate</f>
        <v>4.48286215</v>
      </c>
      <c r="H19939" s="6" t="n">
        <f aca="false">fl_pay_29-Sens!G19938*fl_rate</f>
        <v>4.05859094675</v>
      </c>
      <c r="I19939" s="6" t="n">
        <f aca="false">fl_pay_30-Sens!H19938*fl_rate</f>
        <v>4.14322753935375</v>
      </c>
      <c r="J19939" s="6" t="n">
        <f aca="false">fl_pay_31-Sens!I19938*fl_rate</f>
        <v>4.30267277862467</v>
      </c>
      <c r="K19939" s="6" t="n">
        <f aca="false">fl_pay_32-Sens!J19938*fl_rate</f>
        <v>4.49629305366278</v>
      </c>
    </row>
    <row r="19940" customFormat="false" ht="17.15" hidden="false" customHeight="false" outlineLevel="0" collapsed="false">
      <c r="A19940" s="1" t="s">
        <v>1116</v>
      </c>
      <c r="B19940" s="0" t="s">
        <v>98</v>
      </c>
      <c r="E19940" s="6" t="n">
        <f aca="false">Q!M35-Q!M36-Q!M44</f>
        <v>63.886</v>
      </c>
      <c r="F19940" s="6" t="n">
        <f aca="false">Sens!F19933-Sens!F19937-Sens!F19939</f>
        <v>3.03438390370493</v>
      </c>
      <c r="G19940" s="6" t="n">
        <f aca="false">Sens!G19933-Sens!G19937-Sens!G19939</f>
        <v>5.1449954840373</v>
      </c>
      <c r="H19940" s="6" t="n">
        <f aca="false">Sens!H19933-Sens!H19937-Sens!H19939</f>
        <v>30.6451518663054</v>
      </c>
      <c r="I19940" s="6" t="n">
        <f aca="false">Sens!I19933-Sens!I19937-Sens!I19939</f>
        <v>93.2427300694263</v>
      </c>
      <c r="J19940" s="6" t="n">
        <f aca="false">Sens!J19933-Sens!J19937-Sens!J19939</f>
        <v>161.796707161501</v>
      </c>
      <c r="K19940" s="6" t="n">
        <f aca="false">Sens!K19933-Sens!K19937-Sens!K19939</f>
        <v>194.280511650865</v>
      </c>
      <c r="L19940" s="12" t="s">
        <v>1117</v>
      </c>
    </row>
    <row r="19941" customFormat="false" ht="15" hidden="false" customHeight="false" outlineLevel="0" collapsed="false">
      <c r="A19941" s="1" t="s">
        <v>1118</v>
      </c>
      <c r="B19941" s="0" t="s">
        <v>75</v>
      </c>
      <c r="F19941" s="8" t="n">
        <f aca="false">dps_27</f>
        <v>3.85</v>
      </c>
      <c r="G19941" s="8" t="n">
        <f aca="false">Sens!F19941*(1+dps_g)</f>
        <v>4.158</v>
      </c>
      <c r="H19941" s="8" t="n">
        <f aca="false">Sens!G19941*(1+dps_g)</f>
        <v>4.49064</v>
      </c>
      <c r="I19941" s="8" t="n">
        <f aca="false">Sens!H19941*(1+dps_g)</f>
        <v>4.8498912</v>
      </c>
      <c r="J19941" s="8" t="n">
        <f aca="false">Sens!I19941*(1+dps_g)</f>
        <v>5.237882496</v>
      </c>
      <c r="K19941" s="8" t="n">
        <f aca="false">Sens!J19941*(1+dps_g)</f>
        <v>5.65691309568</v>
      </c>
    </row>
    <row r="19942" customFormat="false" ht="17.15" hidden="false" customHeight="false" outlineLevel="0" collapsed="false">
      <c r="A19942" s="1" t="s">
        <v>1119</v>
      </c>
      <c r="B19942" s="0" t="s">
        <v>98</v>
      </c>
      <c r="E19942" s="6" t="n">
        <f aca="false">Q!M41</f>
        <v>26.445</v>
      </c>
      <c r="F19942" s="6" t="n">
        <f aca="false">Sens!F19941*Sens!E19951</f>
        <v>28.59395</v>
      </c>
      <c r="G19942" s="6" t="n">
        <f aca="false">Sens!G19941*Sens!F19951</f>
        <v>31.068576</v>
      </c>
      <c r="H19942" s="6" t="n">
        <f aca="false">Sens!H19941*Sens!G19951</f>
        <v>33.75614088</v>
      </c>
      <c r="I19942" s="6" t="n">
        <f aca="false">Sens!I19941*Sens!H19951</f>
        <v>36.6748772544</v>
      </c>
      <c r="J19942" s="6" t="n">
        <f aca="false">Sens!J19941*Sens!I19951</f>
        <v>39.6767653201446</v>
      </c>
      <c r="K19942" s="6" t="n">
        <f aca="false">Sens!K19941*Sens!J19951</f>
        <v>42.9376608081345</v>
      </c>
      <c r="L19942" s="1" t="s">
        <v>1120</v>
      </c>
    </row>
    <row r="19943" customFormat="false" ht="15" hidden="false" customHeight="false" outlineLevel="0" collapsed="false">
      <c r="A19943" s="1" t="s">
        <v>1121</v>
      </c>
      <c r="B19943" s="0" t="s">
        <v>98</v>
      </c>
      <c r="E19943" s="6" t="n">
        <f aca="false">Sens!E19940-Sens!E19942</f>
        <v>37.441</v>
      </c>
      <c r="F19943" s="6" t="n">
        <f aca="false">Sens!F19940-Sens!F19942</f>
        <v>-25.5595660962951</v>
      </c>
      <c r="G19943" s="6" t="n">
        <f aca="false">Sens!G19940-Sens!G19942</f>
        <v>-25.9235805159627</v>
      </c>
      <c r="H19943" s="6" t="n">
        <f aca="false">Sens!H19940-Sens!H19942</f>
        <v>-3.11098901369462</v>
      </c>
      <c r="I19943" s="6" t="n">
        <f aca="false">Sens!I19940-Sens!I19942</f>
        <v>56.5678528150263</v>
      </c>
      <c r="J19943" s="6" t="n">
        <f aca="false">Sens!J19940-Sens!J19942</f>
        <v>122.119941841357</v>
      </c>
      <c r="K19943" s="6" t="n">
        <f aca="false">Sens!K19940-Sens!K19942</f>
        <v>151.342850842731</v>
      </c>
    </row>
    <row r="19944" customFormat="false" ht="15" hidden="false" customHeight="false" outlineLevel="0" collapsed="false">
      <c r="A19944" s="1" t="s">
        <v>1122</v>
      </c>
      <c r="B19944" s="0" t="s">
        <v>98</v>
      </c>
      <c r="F19944" s="6" t="n">
        <f aca="false">debt_mat_27</f>
        <v>9.25</v>
      </c>
      <c r="G19944" s="6" t="n">
        <f aca="false">debt_mat_28</f>
        <v>0</v>
      </c>
      <c r="H19944" s="6" t="n">
        <f aca="false">debt_mat_29</f>
        <v>2.001</v>
      </c>
      <c r="I19944" s="6" t="n">
        <f aca="false">debt_mat_30</f>
        <v>0</v>
      </c>
      <c r="J19944" s="6" t="n">
        <f aca="false">debt_mat_31</f>
        <v>0.5</v>
      </c>
      <c r="K19944" s="6" t="n">
        <f aca="false">debt_mat_32</f>
        <v>0</v>
      </c>
    </row>
    <row r="19945" customFormat="false" ht="15" hidden="false" customHeight="false" outlineLevel="0" collapsed="false">
      <c r="A19945" s="1" t="s">
        <v>1123</v>
      </c>
      <c r="B19945" s="0" t="s">
        <v>98</v>
      </c>
      <c r="E19945" s="6" t="n">
        <f aca="false">Q!M40</f>
        <v>22.271</v>
      </c>
      <c r="F19945" s="6" t="n">
        <f aca="false">MAX(0,MIN(bb_target,Sens!E19947+Sens!F19943-Sens!F19944-min_cash))</f>
        <v>0</v>
      </c>
      <c r="G19945" s="6" t="n">
        <f aca="false">MAX(0,MIN(bb_target,Sens!F19947+Sens!G19943-Sens!G19944-min_cash))</f>
        <v>0</v>
      </c>
      <c r="H19945" s="6" t="n">
        <f aca="false">MAX(0,MIN(bb_target,Sens!G19947+Sens!H19943-Sens!H19944-min_cash))</f>
        <v>0</v>
      </c>
      <c r="I19945" s="6" t="n">
        <f aca="false">MAX(0,MIN(bb_target,Sens!H19947+Sens!I19943-Sens!I19944-min_cash))</f>
        <v>22.271</v>
      </c>
      <c r="J19945" s="6" t="n">
        <f aca="false">MAX(0,MIN(bb_target,Sens!I19947+Sens!J19943-Sens!J19944-min_cash))</f>
        <v>22.271</v>
      </c>
      <c r="K19945" s="6" t="n">
        <f aca="false">MAX(0,MIN(bb_target,Sens!J19947+Sens!K19943-Sens!K19944-min_cash))</f>
        <v>22.271</v>
      </c>
    </row>
    <row r="19946" customFormat="false" ht="15" hidden="false" customHeight="false" outlineLevel="0" collapsed="false">
      <c r="A19946" s="1" t="s">
        <v>1124</v>
      </c>
      <c r="B19946" s="0" t="s">
        <v>98</v>
      </c>
      <c r="F19946" s="6" t="n">
        <f aca="false">MAX(0,min_cash-(Sens!E19947+Sens!F19943-Sens!F19944-Sens!F19945))</f>
        <v>7.96656609629507</v>
      </c>
      <c r="G19946" s="6" t="n">
        <f aca="false">MAX(0,min_cash-(Sens!F19947+Sens!G19943-Sens!G19944-Sens!G19945))</f>
        <v>25.9235805159627</v>
      </c>
      <c r="H19946" s="6" t="n">
        <f aca="false">MAX(0,min_cash-(Sens!G19947+Sens!H19943-Sens!H19944-Sens!H19945))</f>
        <v>5.11198901369462</v>
      </c>
      <c r="I19946" s="6" t="n">
        <f aca="false">MAX(0,min_cash-(Sens!H19947+Sens!I19943-Sens!I19944-Sens!I19945))</f>
        <v>0</v>
      </c>
      <c r="J19946" s="6" t="n">
        <f aca="false">MAX(0,min_cash-(Sens!I19947+Sens!J19943-Sens!J19944-Sens!J19945))</f>
        <v>0</v>
      </c>
      <c r="K19946" s="6" t="n">
        <f aca="false">MAX(0,min_cash-(Sens!J19947+Sens!K19943-Sens!K19944-Sens!K19945))</f>
        <v>0</v>
      </c>
    </row>
    <row r="19947" customFormat="false" ht="15" hidden="false" customHeight="false" outlineLevel="0" collapsed="false">
      <c r="A19947" s="1" t="s">
        <v>1125</v>
      </c>
      <c r="B19947" s="0" t="s">
        <v>98</v>
      </c>
      <c r="E19947" s="6" t="n">
        <f aca="false">cash_open</f>
        <v>76.843</v>
      </c>
      <c r="F19947" s="6" t="n">
        <f aca="false">Sens!E19947+Sens!F19943-Sens!F19944-Sens!F19945+Sens!F19946</f>
        <v>50</v>
      </c>
      <c r="G19947" s="6" t="n">
        <f aca="false">Sens!F19947+Sens!G19943-Sens!G19944-Sens!G19945+Sens!G19946</f>
        <v>50</v>
      </c>
      <c r="H19947" s="6" t="n">
        <f aca="false">Sens!G19947+Sens!H19943-Sens!H19944-Sens!H19945+Sens!H19946</f>
        <v>50</v>
      </c>
      <c r="I19947" s="6" t="n">
        <f aca="false">Sens!H19947+Sens!I19943-Sens!I19944-Sens!I19945+Sens!I19946</f>
        <v>84.2968528150263</v>
      </c>
      <c r="J19947" s="6" t="n">
        <f aca="false">Sens!I19947+Sens!J19943-Sens!J19944-Sens!J19945+Sens!J19946</f>
        <v>183.645794656383</v>
      </c>
      <c r="K19947" s="6" t="n">
        <f aca="false">Sens!J19947+Sens!K19943-Sens!K19944-Sens!K19945+Sens!K19946</f>
        <v>312.717645499114</v>
      </c>
    </row>
    <row r="19948" customFormat="false" ht="15" hidden="false" customHeight="false" outlineLevel="0" collapsed="false">
      <c r="A19948" s="1" t="s">
        <v>1126</v>
      </c>
      <c r="B19948" s="0" t="s">
        <v>98</v>
      </c>
      <c r="E19948" s="6" t="n">
        <f aca="false">debt_face</f>
        <v>46.136</v>
      </c>
      <c r="F19948" s="6" t="n">
        <f aca="false">Sens!E19948-Sens!F19944+Sens!F19946</f>
        <v>44.8525660962951</v>
      </c>
      <c r="G19948" s="6" t="n">
        <f aca="false">Sens!F19948-Sens!G19944+Sens!G19946</f>
        <v>70.7761466122578</v>
      </c>
      <c r="H19948" s="6" t="n">
        <f aca="false">Sens!G19948-Sens!H19944+Sens!H19946</f>
        <v>73.8871356259524</v>
      </c>
      <c r="I19948" s="6" t="n">
        <f aca="false">Sens!H19948-Sens!I19944+Sens!I19946</f>
        <v>73.8871356259524</v>
      </c>
      <c r="J19948" s="6" t="n">
        <f aca="false">Sens!I19948-Sens!J19944+Sens!J19946</f>
        <v>73.3871356259524</v>
      </c>
      <c r="K19948" s="6" t="n">
        <f aca="false">Sens!J19948-Sens!K19944+Sens!K19946</f>
        <v>73.3871356259524</v>
      </c>
    </row>
    <row r="19949" customFormat="false" ht="15" hidden="false" customHeight="false" outlineLevel="0" collapsed="false">
      <c r="A19949" s="1" t="s">
        <v>1127</v>
      </c>
      <c r="B19949" s="0" t="s">
        <v>98</v>
      </c>
      <c r="E19949" s="6" t="n">
        <f aca="false">Sens!E19947-Sens!E19948</f>
        <v>30.707</v>
      </c>
      <c r="F19949" s="6" t="n">
        <f aca="false">Sens!F19947-Sens!F19948</f>
        <v>5.14743390370493</v>
      </c>
      <c r="G19949" s="6" t="n">
        <f aca="false">Sens!G19947-Sens!G19948</f>
        <v>-20.7761466122578</v>
      </c>
      <c r="H19949" s="6" t="n">
        <f aca="false">Sens!H19947-Sens!H19948</f>
        <v>-23.8871356259524</v>
      </c>
      <c r="I19949" s="6" t="n">
        <f aca="false">Sens!I19947-Sens!I19948</f>
        <v>10.4097171890739</v>
      </c>
      <c r="J19949" s="6" t="n">
        <f aca="false">Sens!J19947-Sens!J19948</f>
        <v>110.258659030431</v>
      </c>
      <c r="K19949" s="6" t="n">
        <f aca="false">Sens!K19947-Sens!K19948</f>
        <v>239.330509873161</v>
      </c>
    </row>
    <row r="19950" customFormat="false" ht="15" hidden="false" customHeight="false" outlineLevel="0" collapsed="false">
      <c r="A19950" s="1" t="s">
        <v>1128</v>
      </c>
      <c r="B19950" s="0" t="s">
        <v>75</v>
      </c>
      <c r="F19950" s="30" t="n">
        <f aca="false">px*(1+bb_g)^(Sens!F19808-base_fy-mid_yr)</f>
        <v>551.84177959629</v>
      </c>
      <c r="G19950" s="30" t="n">
        <f aca="false">px*(1+bb_g)^(Sens!G19808-base_fy-mid_yr)</f>
        <v>595.989121963993</v>
      </c>
      <c r="H19950" s="30" t="n">
        <f aca="false">px*(1+bb_g)^(Sens!H19808-base_fy-mid_yr)</f>
        <v>643.668251721112</v>
      </c>
      <c r="I19950" s="30" t="n">
        <f aca="false">px*(1+bb_g)^(Sens!I19808-base_fy-mid_yr)</f>
        <v>695.161711858801</v>
      </c>
      <c r="J19950" s="30" t="n">
        <f aca="false">px*(1+bb_g)^(Sens!J19808-base_fy-mid_yr)</f>
        <v>750.774648807506</v>
      </c>
      <c r="K19950" s="30" t="n">
        <f aca="false">px*(1+bb_g)^(Sens!K19808-base_fy-mid_yr)</f>
        <v>810.836620712106</v>
      </c>
    </row>
    <row r="19951" customFormat="false" ht="15" hidden="false" customHeight="false" outlineLevel="0" collapsed="false">
      <c r="A19951" s="1" t="s">
        <v>1129</v>
      </c>
      <c r="B19951" s="1" t="s">
        <v>81</v>
      </c>
      <c r="E19951" s="15" t="n">
        <f aca="false">sh_out26</f>
        <v>7.427</v>
      </c>
      <c r="F19951" s="15" t="n">
        <f aca="false">Sens!E19951+sh_iss-Sens!F19945/Sens!F19950</f>
        <v>7.472</v>
      </c>
      <c r="G19951" s="15" t="n">
        <f aca="false">Sens!F19951+sh_iss-Sens!G19945/Sens!G19950</f>
        <v>7.517</v>
      </c>
      <c r="H19951" s="15" t="n">
        <f aca="false">Sens!G19951+sh_iss-Sens!H19945/Sens!H19950</f>
        <v>7.562</v>
      </c>
      <c r="I19951" s="15" t="n">
        <f aca="false">Sens!H19951+sh_iss-Sens!I19945/Sens!I19950</f>
        <v>7.57496285005334</v>
      </c>
      <c r="J19951" s="15" t="n">
        <f aca="false">Sens!I19951+sh_iss-Sens!J19945/Sens!J19950</f>
        <v>7.59029882232494</v>
      </c>
      <c r="K19951" s="15" t="n">
        <f aca="false">Sens!J19951+sh_iss-Sens!K19945/Sens!K19950</f>
        <v>7.60783212998384</v>
      </c>
    </row>
    <row r="19952" customFormat="false" ht="15" hidden="false" customHeight="false" outlineLevel="0" collapsed="false">
      <c r="A19952" s="1" t="s">
        <v>1130</v>
      </c>
      <c r="B19952" s="1" t="s">
        <v>81</v>
      </c>
      <c r="E19952" s="15" t="n">
        <f aca="false">sh_dil26</f>
        <v>7.453</v>
      </c>
      <c r="F19952" s="15" t="n">
        <f aca="false">(Sens!E19951+Sens!F19951)/2+dil_gap</f>
        <v>7.4735</v>
      </c>
      <c r="G19952" s="15" t="n">
        <f aca="false">(Sens!F19951+Sens!G19951)/2+dil_gap</f>
        <v>7.5185</v>
      </c>
      <c r="H19952" s="15" t="n">
        <f aca="false">(Sens!G19951+Sens!H19951)/2+dil_gap</f>
        <v>7.5635</v>
      </c>
      <c r="I19952" s="15" t="n">
        <f aca="false">(Sens!H19951+Sens!I19951)/2+dil_gap</f>
        <v>7.59248142502667</v>
      </c>
      <c r="J19952" s="15" t="n">
        <f aca="false">(Sens!I19951+Sens!J19951)/2+dil_gap</f>
        <v>7.60663083618914</v>
      </c>
      <c r="K19952" s="15" t="n">
        <f aca="false">(Sens!J19951+Sens!K19951)/2+dil_gap</f>
        <v>7.62306547615439</v>
      </c>
    </row>
    <row r="19953" customFormat="false" ht="17.15" hidden="false" customHeight="false" outlineLevel="0" collapsed="false">
      <c r="A19953" s="1" t="s">
        <v>1131</v>
      </c>
      <c r="B19953" s="0" t="s">
        <v>98</v>
      </c>
      <c r="C19953" s="6" t="n">
        <f aca="false">SUM(Sens!F19943:J19943)</f>
        <v>124.093659030431</v>
      </c>
    </row>
    <row r="19954" customFormat="false" ht="15" hidden="false" customHeight="false" outlineLevel="0" collapsed="false">
      <c r="A19954" s="26" t="s">
        <v>1096</v>
      </c>
      <c r="B19954" s="31" t="s">
        <v>98</v>
      </c>
      <c r="C19954" s="27" t="n">
        <f aca="false">Sens!$C$19953-(Sens!F19943+Sens!G19943+Sens!H19943+Sens!I19943+Sens!J19943)</f>
        <v>0</v>
      </c>
      <c r="D19954" s="31"/>
      <c r="E19954" s="31"/>
      <c r="F19954" s="31"/>
      <c r="G19954" s="31"/>
      <c r="H19954" s="31"/>
      <c r="I19954" s="31"/>
      <c r="J19954" s="31"/>
      <c r="K19954" s="31"/>
    </row>
    <row r="19955" customFormat="false" ht="17.15" hidden="false" customHeight="false" outlineLevel="0" collapsed="false">
      <c r="A19955" s="1" t="s">
        <v>1090</v>
      </c>
      <c r="B19955" s="1" t="s">
        <v>1132</v>
      </c>
      <c r="C19955" s="33" t="str">
        <f aca="false">IF(SUM(Sens!F19946:J19946)&gt;0.05,"需要舉債 "&amp;TEXT(SUM(Sens!F19946:J19946),"0.0")&amp;" 十億美元","不需舉債")&amp;"；"&amp;IF(SUM(Sens!F19945:J19945)&lt;COUNT(Sens!F19945:J19945)*bb_target-0.05,"回購較每年 "&amp;TEXT(bb_target,"0.0")&amp;" 的目標少 "&amp;TEXT(COUNT(Sens!F19945:J19945)*bb_target-SUM(Sens!F19945:J19945),"0.0")&amp;" 十億美元（"&amp;TEXT(COUNTIF(Sens!F19945:J19945,"&lt;"&amp;(bb_target-0.05)),"0")&amp;" 年減少）","回購不減")</f>
        <v>需要舉債 39.0 十億美元；回購較每年 22.3 的目標少 66.8 十億美元（3 年減少）</v>
      </c>
    </row>
    <row r="19956" customFormat="false" ht="17.15" hidden="false" customHeight="false" outlineLevel="0" collapsed="false">
      <c r="A19956" s="3" t="s">
        <v>1973</v>
      </c>
    </row>
    <row r="19957" customFormat="false" ht="15" hidden="false" customHeight="false" outlineLevel="0" collapsed="false">
      <c r="A19957" s="4" t="s">
        <v>43</v>
      </c>
      <c r="B19957" s="4" t="s">
        <v>65</v>
      </c>
      <c r="C19957" s="23" t="s">
        <v>938</v>
      </c>
      <c r="D19957" s="23" t="s">
        <v>939</v>
      </c>
      <c r="E19957" s="23" t="s">
        <v>940</v>
      </c>
      <c r="F19957" s="23" t="s">
        <v>941</v>
      </c>
      <c r="G19957" s="23" t="s">
        <v>942</v>
      </c>
      <c r="H19957" s="23" t="s">
        <v>943</v>
      </c>
      <c r="I19957" s="23" t="s">
        <v>944</v>
      </c>
      <c r="J19957" s="23" t="s">
        <v>945</v>
      </c>
      <c r="K19957" s="23" t="s">
        <v>946</v>
      </c>
      <c r="L19957" s="4" t="s">
        <v>47</v>
      </c>
    </row>
    <row r="19958" customFormat="false" ht="17.15" hidden="false" customHeight="false" outlineLevel="0" collapsed="false">
      <c r="A19958" s="1" t="s">
        <v>1212</v>
      </c>
      <c r="B19958" s="1" t="s">
        <v>279</v>
      </c>
      <c r="F19958" s="8" t="n">
        <f aca="false">(1-v_off)*mid_yr</f>
        <v>0.373972602739726</v>
      </c>
      <c r="G19958" s="8" t="n">
        <f aca="false">Sens!G19808-base_fy-mid_yr-v_off</f>
        <v>1.24794520547945</v>
      </c>
      <c r="H19958" s="8" t="n">
        <f aca="false">Sens!H19808-base_fy-mid_yr-v_off</f>
        <v>2.24794520547945</v>
      </c>
      <c r="I19958" s="8" t="n">
        <f aca="false">Sens!I19808-base_fy-mid_yr-v_off</f>
        <v>3.24794520547945</v>
      </c>
      <c r="J19958" s="8" t="n">
        <f aca="false">Sens!J19808-base_fy-mid_yr-v_off</f>
        <v>4.24794520547945</v>
      </c>
      <c r="K19958" s="8" t="n">
        <f aca="false">Sens!K19808-base_fy-mid_yr-v_off</f>
        <v>5.24794520547945</v>
      </c>
      <c r="L19958" s="12" t="s">
        <v>1213</v>
      </c>
    </row>
    <row r="19959" customFormat="false" ht="15" hidden="false" customHeight="false" outlineLevel="0" collapsed="false">
      <c r="A19959" s="1" t="s">
        <v>1214</v>
      </c>
      <c r="B19959" s="1" t="s">
        <v>279</v>
      </c>
      <c r="F19959" s="8" t="n">
        <f aca="false">Sens!F19808-base_fy-v_off</f>
        <v>0.747945205479452</v>
      </c>
      <c r="G19959" s="8" t="n">
        <f aca="false">Sens!G19808-base_fy-v_off</f>
        <v>1.74794520547945</v>
      </c>
      <c r="H19959" s="8" t="n">
        <f aca="false">Sens!H19808-base_fy-v_off</f>
        <v>2.74794520547945</v>
      </c>
      <c r="I19959" s="8" t="n">
        <f aca="false">Sens!I19808-base_fy-v_off</f>
        <v>3.74794520547945</v>
      </c>
      <c r="J19959" s="8" t="n">
        <f aca="false">Sens!J19808-base_fy-v_off</f>
        <v>4.74794520547945</v>
      </c>
      <c r="K19959" s="8" t="n">
        <f aca="false">Sens!K19808-base_fy-v_off</f>
        <v>5.74794520547945</v>
      </c>
    </row>
    <row r="19960" customFormat="false" ht="15" hidden="false" customHeight="false" outlineLevel="0" collapsed="false">
      <c r="A19960" s="1" t="s">
        <v>1215</v>
      </c>
      <c r="B19960" s="0" t="s">
        <v>229</v>
      </c>
      <c r="F19960" s="15" t="n">
        <f aca="false">1/(1+wacc)^Sens!F19958</f>
        <v>0.964022703286649</v>
      </c>
      <c r="G19960" s="15" t="n">
        <f aca="false">1/(1+wacc)^Sens!G19958</f>
        <v>0.884910302296739</v>
      </c>
      <c r="H19960" s="15" t="n">
        <f aca="false">1/(1+wacc)^Sens!H19958</f>
        <v>0.802322009770358</v>
      </c>
      <c r="I19960" s="15" t="n">
        <f aca="false">1/(1+wacc)^Sens!I19958</f>
        <v>0.727441646561469</v>
      </c>
      <c r="J19960" s="15" t="n">
        <f aca="false">1/(1+wacc)^Sens!J19958</f>
        <v>0.659549834988973</v>
      </c>
      <c r="K19960" s="15" t="n">
        <f aca="false">1/(1+wacc)^Sens!K19958</f>
        <v>0.597994336576966</v>
      </c>
    </row>
    <row r="19961" customFormat="false" ht="17.15" hidden="false" customHeight="false" outlineLevel="0" collapsed="false">
      <c r="A19961" s="1" t="s">
        <v>1216</v>
      </c>
      <c r="B19961" s="0" t="s">
        <v>98</v>
      </c>
      <c r="F19961" s="6" t="n">
        <f aca="false">Q!$I$35-Q!$I$39-Q!$I$43</f>
        <v>9.666</v>
      </c>
      <c r="L19961" s="12" t="s">
        <v>1217</v>
      </c>
    </row>
    <row r="19962" customFormat="false" ht="17.15" hidden="false" customHeight="false" outlineLevel="0" collapsed="false">
      <c r="A19962" s="1" t="s">
        <v>1218</v>
      </c>
      <c r="B19962" s="0" t="s">
        <v>98</v>
      </c>
      <c r="F19962" s="6" t="n">
        <f aca="false">Sens!F19933-Sens!F19930-Sens!F19937+Sens!F19915*(1-tax_f)*(1-v_off)-Sens!F19961</f>
        <v>-10.766703425709</v>
      </c>
      <c r="G19962" s="6" t="n">
        <f aca="false">Sens!G19933-Sens!G19930-Sens!G19937+Sens!G19915*(1-tax_f)</f>
        <v>15.4230415220044</v>
      </c>
      <c r="H19962" s="6" t="n">
        <f aca="false">Sens!H19933-Sens!H19930-Sens!H19937+Sens!H19915*(1-tax_f)</f>
        <v>53.7946448450013</v>
      </c>
      <c r="I19962" s="6" t="n">
        <f aca="false">Sens!I19933-Sens!I19930-Sens!I19937+Sens!I19915*(1-tax_f)</f>
        <v>128.06796630179</v>
      </c>
      <c r="J19962" s="6" t="n">
        <f aca="false">Sens!J19933-Sens!J19930-Sens!J19937+Sens!J19915*(1-tax_f)</f>
        <v>204.590151673871</v>
      </c>
      <c r="K19962" s="6" t="n">
        <f aca="false">Sens!K19933-Sens!K19930-Sens!K19937+Sens!K19915*(1-tax_f)</f>
        <v>241.501292393505</v>
      </c>
      <c r="L19962" s="1" t="s">
        <v>1219</v>
      </c>
    </row>
    <row r="19963" customFormat="false" ht="15" hidden="false" customHeight="false" outlineLevel="0" collapsed="false">
      <c r="A19963" s="1" t="s">
        <v>1220</v>
      </c>
      <c r="B19963" s="0" t="s">
        <v>98</v>
      </c>
      <c r="F19963" s="6" t="n">
        <f aca="false">Sens!F19962*Sens!F19960</f>
        <v>-10.3793465419376</v>
      </c>
      <c r="G19963" s="6" t="n">
        <f aca="false">Sens!G19962*Sens!G19960</f>
        <v>13.648008335572</v>
      </c>
      <c r="H19963" s="6" t="n">
        <f aca="false">Sens!H19962*Sens!H19960</f>
        <v>43.1606275669241</v>
      </c>
      <c r="I19963" s="6" t="n">
        <f aca="false">Sens!I19962*Sens!I19960</f>
        <v>93.1619722783526</v>
      </c>
      <c r="J19963" s="6" t="n">
        <f aca="false">Sens!J19962*Sens!J19960</f>
        <v>134.93740077687</v>
      </c>
      <c r="K19963" s="6" t="n">
        <f aca="false">Sens!K19962*Sens!K19960</f>
        <v>144.416405127334</v>
      </c>
    </row>
    <row r="19964" customFormat="false" ht="17.15" hidden="false" customHeight="false" outlineLevel="0" collapsed="false">
      <c r="A19964" s="1" t="s">
        <v>1221</v>
      </c>
      <c r="B19964" s="0" t="s">
        <v>98</v>
      </c>
      <c r="C19964" s="6" t="n">
        <f aca="false">SUM(Sens!F19963:K19963)</f>
        <v>418.945067543115</v>
      </c>
    </row>
    <row r="19965" customFormat="false" ht="17.15" hidden="false" customHeight="false" outlineLevel="0" collapsed="false">
      <c r="A19965" s="1" t="s">
        <v>1222</v>
      </c>
      <c r="B19965" s="0" t="s">
        <v>98</v>
      </c>
      <c r="C19965" s="6" t="n">
        <f aca="false">Sens!K19901*(1+g_tv)*(1-tax_f)</f>
        <v>250.423608821967</v>
      </c>
    </row>
    <row r="19966" customFormat="false" ht="17.15" hidden="false" customHeight="false" outlineLevel="0" collapsed="false">
      <c r="A19966" s="1" t="s">
        <v>1223</v>
      </c>
      <c r="B19966" s="0" t="s">
        <v>98</v>
      </c>
      <c r="C19966" s="6" t="n">
        <f aca="false">Sens!$C$19965*(1-g_tv/(wacc+ronic_prem))</f>
        <v>177.439763178297</v>
      </c>
    </row>
    <row r="19967" customFormat="false" ht="17.15" hidden="false" customHeight="false" outlineLevel="0" collapsed="false">
      <c r="A19967" s="1" t="s">
        <v>1224</v>
      </c>
      <c r="B19967" s="0" t="s">
        <v>98</v>
      </c>
      <c r="C19967" s="6" t="n">
        <f aca="false">Sens!$C$19966/(wacc-g_tv)</f>
        <v>2432.79485478898</v>
      </c>
    </row>
    <row r="19968" customFormat="false" ht="15" hidden="false" customHeight="false" outlineLevel="0" collapsed="false">
      <c r="A19968" s="1" t="s">
        <v>1225</v>
      </c>
      <c r="B19968" s="0" t="s">
        <v>98</v>
      </c>
      <c r="C19968" s="6" t="n">
        <f aca="false">Sens!$C$19967/(1+wacc)^Sens!K19959</f>
        <v>1385.24721924051</v>
      </c>
    </row>
    <row r="19969" customFormat="false" ht="17.15" hidden="false" customHeight="false" outlineLevel="0" collapsed="false">
      <c r="A19969" s="0" t="s">
        <v>1226</v>
      </c>
      <c r="B19969" s="0" t="s">
        <v>98</v>
      </c>
      <c r="C19969" s="6" t="n">
        <f aca="false">Sens!$C$19964+Sens!$C$19968</f>
        <v>1804.19228678362</v>
      </c>
    </row>
    <row r="19970" customFormat="false" ht="15" hidden="false" customHeight="false" outlineLevel="0" collapsed="false">
      <c r="A19970" s="1" t="s">
        <v>1141</v>
      </c>
      <c r="B19970" s="0" t="s">
        <v>168</v>
      </c>
      <c r="C19970" s="7" t="n">
        <f aca="false">Sens!$C$19968/Sens!$C$19969</f>
        <v>0.767793560247406</v>
      </c>
    </row>
    <row r="19971" customFormat="false" ht="17.15" hidden="false" customHeight="false" outlineLevel="0" collapsed="false">
      <c r="A19971" s="1" t="s">
        <v>1227</v>
      </c>
      <c r="B19971" s="0" t="s">
        <v>98</v>
      </c>
      <c r="C19971" s="6" t="n">
        <f aca="false">Sens!$C$19969+cash_val-debt_val-fl_val+oai_v</f>
        <v>1920.04328678362</v>
      </c>
    </row>
    <row r="19972" customFormat="false" ht="17.15" hidden="false" customHeight="false" outlineLevel="0" collapsed="false">
      <c r="A19972" s="0" t="s">
        <v>1149</v>
      </c>
      <c r="B19972" s="0" t="s">
        <v>75</v>
      </c>
      <c r="C19972" s="5" t="n">
        <f aca="false">Sens!$C$19971/shd_val</f>
        <v>257.862380712278</v>
      </c>
    </row>
    <row r="19973" customFormat="false" ht="15" hidden="false" customHeight="false" outlineLevel="0" collapsed="false">
      <c r="A19973" s="1" t="s">
        <v>1228</v>
      </c>
      <c r="B19973" s="0" t="s">
        <v>75</v>
      </c>
      <c r="C19973" s="8" t="n">
        <f aca="false">div_rem27+Sens!G19941*roll_div_q/q_per_yr</f>
        <v>3.9795</v>
      </c>
    </row>
    <row r="19974" customFormat="false" ht="17.15" hidden="false" customHeight="false" outlineLevel="0" collapsed="false">
      <c r="A19974" s="0" t="s">
        <v>1229</v>
      </c>
      <c r="B19974" s="0" t="s">
        <v>75</v>
      </c>
      <c r="C19974" s="5" t="n">
        <f aca="false">Sens!$C$19972*(1+wacc)^t_roll-Sens!$C$19973</f>
        <v>282.648927652968</v>
      </c>
    </row>
    <row r="19975" customFormat="false" ht="17.15" hidden="false" customHeight="false" outlineLevel="0" collapsed="false">
      <c r="A19975" s="1" t="s">
        <v>1230</v>
      </c>
      <c r="B19975" s="0" t="s">
        <v>168</v>
      </c>
      <c r="F19975" s="7" t="n">
        <f aca="false">Sens!F19927/(Sens!F19872-Sens!F19827)</f>
        <v>0.0687068115767625</v>
      </c>
      <c r="G19975" s="7" t="n">
        <f aca="false">Sens!G19927/(Sens!G19872-Sens!G19827)</f>
        <v>0.0663333745830224</v>
      </c>
      <c r="H19975" s="7" t="n">
        <f aca="false">Sens!H19927/(Sens!H19872-Sens!H19827)</f>
        <v>0.0651485298074508</v>
      </c>
      <c r="I19975" s="7" t="n">
        <f aca="false">Sens!I19927/(Sens!I19872-Sens!I19827)</f>
        <v>0.0650140980258536</v>
      </c>
      <c r="J19975" s="7" t="n">
        <f aca="false">Sens!J19927/(Sens!J19872-Sens!J19827)</f>
        <v>0.0657205288935411</v>
      </c>
      <c r="K19975" s="7" t="n">
        <f aca="false">Sens!K19927/(Sens!K19872-Sens!K19827)</f>
        <v>0.0670350263592317</v>
      </c>
    </row>
    <row r="19976" customFormat="false" ht="17.15" hidden="false" customHeight="false" outlineLevel="0" collapsed="false">
      <c r="A19976" s="0" t="s">
        <v>1231</v>
      </c>
      <c r="B19976" s="0" t="s">
        <v>98</v>
      </c>
      <c r="F19976" s="6" t="n">
        <f aca="false">Sens!F19857*(al_m365+Sens!F19975+sbc_r)</f>
        <v>82.9219767779592</v>
      </c>
      <c r="G19976" s="6" t="n">
        <f aca="false">Sens!G19857*(al_m365+Sens!G19975+sbc_r)</f>
        <v>93.3094714612809</v>
      </c>
      <c r="H19976" s="6" t="n">
        <f aca="false">Sens!H19857*(al_m365+Sens!H19975+sbc_r)</f>
        <v>103.857852893289</v>
      </c>
      <c r="I19976" s="6" t="n">
        <f aca="false">Sens!I19857*(al_m365+Sens!I19975+sbc_r)</f>
        <v>113.890577671168</v>
      </c>
      <c r="J19976" s="6" t="n">
        <f aca="false">Sens!J19857*(al_m365+Sens!J19975+sbc_r)</f>
        <v>123.218348251362</v>
      </c>
      <c r="K19976" s="6" t="n">
        <f aca="false">Sens!K19857*(al_m365+Sens!K19975+sbc_r)</f>
        <v>132.148237414991</v>
      </c>
      <c r="L19976" s="12" t="s">
        <v>1232</v>
      </c>
    </row>
    <row r="19977" customFormat="false" ht="17.15" hidden="false" customHeight="false" outlineLevel="0" collapsed="false">
      <c r="A19977" s="0" t="s">
        <v>1233</v>
      </c>
      <c r="B19977" s="0" t="s">
        <v>98</v>
      </c>
      <c r="F19977" s="6" t="n">
        <f aca="false">Sens!F19858*(al_lic+Sens!F19975+sbc_r)</f>
        <v>32.8611146181642</v>
      </c>
      <c r="G19977" s="6" t="n">
        <f aca="false">Sens!G19858*(al_lic+Sens!G19975+sbc_r)</f>
        <v>34.1576326070668</v>
      </c>
      <c r="H19977" s="6" t="n">
        <f aca="false">Sens!H19858*(al_lic+Sens!H19975+sbc_r)</f>
        <v>35.3640573790401</v>
      </c>
      <c r="I19977" s="6" t="n">
        <f aca="false">Sens!I19858*(al_lic+Sens!I19975+sbc_r)</f>
        <v>36.4606806263277</v>
      </c>
      <c r="J19977" s="6" t="n">
        <f aca="false">Sens!J19858*(al_lic+Sens!J19975+sbc_r)</f>
        <v>37.4245564484501</v>
      </c>
      <c r="K19977" s="6" t="n">
        <f aca="false">Sens!K19858*(al_lic+Sens!K19975+sbc_r)</f>
        <v>38.2318662283117</v>
      </c>
    </row>
    <row r="19978" customFormat="false" ht="17.15" hidden="false" customHeight="false" outlineLevel="0" collapsed="false">
      <c r="A19978" s="0" t="s">
        <v>1234</v>
      </c>
      <c r="B19978" s="0" t="s">
        <v>98</v>
      </c>
      <c r="F19978" s="6" t="n">
        <f aca="false">Sens!F19860*(al_ind+Sens!F19975+sbc_r)</f>
        <v>9.06236397901118</v>
      </c>
      <c r="G19978" s="6" t="n">
        <f aca="false">Sens!G19860*(al_ind+Sens!G19975+sbc_r)</f>
        <v>9.84838843311636</v>
      </c>
      <c r="H19978" s="6" t="n">
        <f aca="false">Sens!H19860*(al_ind+Sens!H19975+sbc_r)</f>
        <v>10.6771476362318</v>
      </c>
      <c r="I19978" s="6" t="n">
        <f aca="false">Sens!I19860*(al_ind+Sens!I19975+sbc_r)</f>
        <v>11.5441401128274</v>
      </c>
      <c r="J19978" s="6" t="n">
        <f aca="false">Sens!J19860*(al_ind+Sens!J19975+sbc_r)</f>
        <v>12.4407685996976</v>
      </c>
      <c r="K19978" s="6" t="n">
        <f aca="false">Sens!K19860*(al_ind+Sens!K19975+sbc_r)</f>
        <v>13.3550308826802</v>
      </c>
    </row>
    <row r="19979" customFormat="false" ht="17.15" hidden="false" customHeight="false" outlineLevel="0" collapsed="false">
      <c r="A19979" s="0" t="s">
        <v>1235</v>
      </c>
      <c r="B19979" s="0" t="s">
        <v>98</v>
      </c>
      <c r="F19979" s="6" t="n">
        <f aca="false">Sens!F19862*(al_fro+Sens!F19975+sbc_r)</f>
        <v>3.55479321744457</v>
      </c>
      <c r="G19979" s="6" t="n">
        <f aca="false">Sens!G19862*(al_fro+Sens!G19975+sbc_r)</f>
        <v>3.76828205080273</v>
      </c>
      <c r="H19979" s="6" t="n">
        <f aca="false">Sens!H19862*(al_fro+Sens!H19975+sbc_r)</f>
        <v>4.00977005910459</v>
      </c>
      <c r="I19979" s="6" t="n">
        <f aca="false">Sens!I19862*(al_fro+Sens!I19975+sbc_r)</f>
        <v>4.28158277125508</v>
      </c>
      <c r="J19979" s="6" t="n">
        <f aca="false">Sens!J19862*(al_fro+Sens!J19975+sbc_r)</f>
        <v>4.5853567168084</v>
      </c>
      <c r="K19979" s="6" t="n">
        <f aca="false">Sens!K19862*(al_fro+Sens!K19975+sbc_r)</f>
        <v>4.92233096937194</v>
      </c>
    </row>
    <row r="19980" customFormat="false" ht="17.15" hidden="false" customHeight="false" outlineLevel="0" collapsed="false">
      <c r="A19980" s="0" t="s">
        <v>1236</v>
      </c>
      <c r="B19980" s="0" t="s">
        <v>98</v>
      </c>
      <c r="F19980" s="6" t="n">
        <f aca="false">Sens!F19865*(al_srch+Sens!F19975+sbc_r)</f>
        <v>11.1914946922537</v>
      </c>
      <c r="G19980" s="6" t="n">
        <f aca="false">Sens!G19865*(al_srch+Sens!G19975+sbc_r)</f>
        <v>12.2769443572471</v>
      </c>
      <c r="H19980" s="6" t="n">
        <f aca="false">Sens!H19865*(al_srch+Sens!H19975+sbc_r)</f>
        <v>13.404760848546</v>
      </c>
      <c r="I19980" s="6" t="n">
        <f aca="false">Sens!I19865*(al_srch+Sens!I19975+sbc_r)</f>
        <v>14.5623431789268</v>
      </c>
      <c r="J19980" s="6" t="n">
        <f aca="false">Sens!J19865*(al_srch+Sens!J19975+sbc_r)</f>
        <v>15.7310093238786</v>
      </c>
      <c r="K19980" s="6" t="n">
        <f aca="false">Sens!K19865*(al_srch+Sens!K19975+sbc_r)</f>
        <v>16.8870688054784</v>
      </c>
    </row>
    <row r="19981" customFormat="false" ht="17.15" hidden="false" customHeight="false" outlineLevel="0" collapsed="false">
      <c r="A19981" s="0" t="s">
        <v>1237</v>
      </c>
      <c r="B19981" s="0" t="s">
        <v>98</v>
      </c>
      <c r="F19981" s="6" t="n">
        <f aca="false">Sens!F19833-Sens!F19834+Sens!F19915</f>
        <v>40.2374379903496</v>
      </c>
      <c r="G19981" s="6" t="n">
        <f aca="false">Sens!G19833-Sens!G19834+Sens!G19915</f>
        <v>72.34772251961</v>
      </c>
      <c r="H19981" s="6" t="n">
        <f aca="false">Sens!H19833-Sens!H19834+Sens!H19915</f>
        <v>101.2825361824</v>
      </c>
      <c r="I19981" s="6" t="n">
        <f aca="false">Sens!I19833-Sens!I19834+Sens!I19915</f>
        <v>133.916123505898</v>
      </c>
      <c r="J19981" s="6" t="n">
        <f aca="false">Sens!J19833-Sens!J19834+Sens!J19915</f>
        <v>157.049922621272</v>
      </c>
      <c r="K19981" s="6" t="n">
        <f aca="false">Sens!K19833-Sens!K19834+Sens!K19915</f>
        <v>171.941870221487</v>
      </c>
    </row>
    <row r="19982" customFormat="false" ht="17.15" hidden="false" customHeight="false" outlineLevel="0" collapsed="false">
      <c r="A19982" s="0" t="s">
        <v>1238</v>
      </c>
      <c r="B19982" s="0" t="s">
        <v>98</v>
      </c>
      <c r="F19982" s="6" t="n">
        <f aca="false">Sens!F19894+Sens!F19915+Sens!F19845+Sens!F19975*(Sens!F19864-Sens!F19827)+sbc_r*Sens!F19864</f>
        <v>235.959702365048</v>
      </c>
      <c r="G19982" s="6" t="n">
        <f aca="false">Sens!G19894+Sens!G19915+Sens!G19845+Sens!G19975*(Sens!G19864-Sens!G19827)+sbc_r*Sens!G19864</f>
        <v>288.291804467</v>
      </c>
      <c r="H19982" s="6" t="n">
        <f aca="false">Sens!H19894+Sens!H19915+Sens!H19845+Sens!H19975*(Sens!H19864-Sens!H19827)+sbc_r*Sens!H19864</f>
        <v>342.637817164151</v>
      </c>
      <c r="I19982" s="6" t="n">
        <f aca="false">Sens!I19894+Sens!I19915+Sens!I19845+Sens!I19975*(Sens!I19864-Sens!I19827)+sbc_r*Sens!I19864</f>
        <v>400.068961549071</v>
      </c>
      <c r="J19982" s="6" t="n">
        <f aca="false">Sens!J19894+Sens!J19915+Sens!J19845+Sens!J19975*(Sens!J19864-Sens!J19827)+sbc_r*Sens!J19864</f>
        <v>446.072229388806</v>
      </c>
      <c r="K19982" s="6" t="n">
        <f aca="false">Sens!K19894+Sens!K19915+Sens!K19845+Sens!K19975*(Sens!K19864-Sens!K19827)+sbc_r*Sens!K19864</f>
        <v>481.495075284998</v>
      </c>
    </row>
    <row r="19983" customFormat="false" ht="17.15" hidden="false" customHeight="false" outlineLevel="0" collapsed="false">
      <c r="A19983" s="0" t="s">
        <v>1239</v>
      </c>
      <c r="B19983" s="0" t="s">
        <v>98</v>
      </c>
      <c r="F19983" s="6" t="n">
        <f aca="false">Sens!F19982-Sens!F19976-Sens!F19977-Sens!F19978-Sens!F19979-Sens!F19981</f>
        <v>67.3220157821193</v>
      </c>
      <c r="G19983" s="6" t="n">
        <f aca="false">Sens!G19982-Sens!G19976-Sens!G19977-Sens!G19978-Sens!G19979-Sens!G19981</f>
        <v>74.8603073951236</v>
      </c>
      <c r="H19983" s="6" t="n">
        <f aca="false">Sens!H19982-Sens!H19976-Sens!H19977-Sens!H19978-Sens!H19979-Sens!H19981</f>
        <v>87.4464530140849</v>
      </c>
      <c r="I19983" s="6" t="n">
        <f aca="false">Sens!I19982-Sens!I19976-Sens!I19977-Sens!I19978-Sens!I19979-Sens!I19981</f>
        <v>99.9758568615951</v>
      </c>
      <c r="J19983" s="6" t="n">
        <f aca="false">Sens!J19982-Sens!J19976-Sens!J19977-Sens!J19978-Sens!J19979-Sens!J19981</f>
        <v>111.353276751215</v>
      </c>
      <c r="K19983" s="6" t="n">
        <f aca="false">Sens!K19982-Sens!K19976-Sens!K19977-Sens!K19978-Sens!K19979-Sens!K19981</f>
        <v>120.895739568156</v>
      </c>
    </row>
    <row r="19984" customFormat="false" ht="17.15" hidden="false" customHeight="false" outlineLevel="0" collapsed="false">
      <c r="A19984" s="0" t="s">
        <v>1240</v>
      </c>
      <c r="B19984" s="0" t="s">
        <v>98</v>
      </c>
      <c r="F19984" s="6" t="n">
        <f aca="false">Sens!F19896+Sens!F19975*Sens!F19871+sbc_r*Sens!F19871</f>
        <v>26.6392466383152</v>
      </c>
      <c r="G19984" s="6" t="n">
        <f aca="false">Sens!G19896+Sens!G19975*Sens!G19871+sbc_r*Sens!G19871</f>
        <v>26.5052249567985</v>
      </c>
      <c r="H19984" s="6" t="n">
        <f aca="false">Sens!H19896+Sens!H19975*Sens!H19871+sbc_r*Sens!H19871</f>
        <v>27.3989446793277</v>
      </c>
      <c r="I19984" s="6" t="n">
        <f aca="false">Sens!I19896+Sens!I19975*Sens!I19871+sbc_r*Sens!I19871</f>
        <v>28.5180237596707</v>
      </c>
      <c r="J19984" s="6" t="n">
        <f aca="false">Sens!J19896+Sens!J19975*Sens!J19871+sbc_r*Sens!J19871</f>
        <v>29.8313446437491</v>
      </c>
      <c r="K19984" s="6" t="n">
        <f aca="false">Sens!K19896+Sens!K19975*Sens!K19871+sbc_r*Sens!K19871</f>
        <v>31.3098539304732</v>
      </c>
    </row>
    <row r="19985" customFormat="false" ht="17.15" hidden="false" customHeight="false" outlineLevel="0" collapsed="false">
      <c r="A19985" s="0" t="s">
        <v>1241</v>
      </c>
      <c r="B19985" s="0" t="s">
        <v>98</v>
      </c>
      <c r="F19985" s="6" t="n">
        <f aca="false">(Sens!F19984-Sens!F19980)*Sens!F19867/(Sens!F19867+Sens!F19869)</f>
        <v>8.72466659260455</v>
      </c>
      <c r="G19985" s="6" t="n">
        <f aca="false">(Sens!G19984-Sens!G19980)*Sens!G19867/(Sens!G19867+Sens!G19869)</f>
        <v>7.89781908586289</v>
      </c>
      <c r="H19985" s="6" t="n">
        <f aca="false">(Sens!H19984-Sens!H19980)*Sens!H19867/(Sens!H19867+Sens!H19869)</f>
        <v>7.66668446016013</v>
      </c>
      <c r="I19985" s="6" t="n">
        <f aca="false">(Sens!I19984-Sens!I19980)*Sens!I19867/(Sens!I19867+Sens!I19869)</f>
        <v>7.57885634979507</v>
      </c>
      <c r="J19985" s="6" t="n">
        <f aca="false">(Sens!J19984-Sens!J19980)*Sens!J19867/(Sens!J19867+Sens!J19869)</f>
        <v>7.62400449537666</v>
      </c>
      <c r="K19985" s="6" t="n">
        <f aca="false">(Sens!K19984-Sens!K19980)*Sens!K19867/(Sens!K19867+Sens!K19869)</f>
        <v>7.79835203449767</v>
      </c>
    </row>
    <row r="19986" customFormat="false" ht="17.15" hidden="false" customHeight="false" outlineLevel="0" collapsed="false">
      <c r="A19986" s="0" t="s">
        <v>1242</v>
      </c>
      <c r="B19986" s="0" t="s">
        <v>98</v>
      </c>
      <c r="F19986" s="6" t="n">
        <f aca="false">Sens!F19984-Sens!F19980-Sens!F19985</f>
        <v>6.72308535345699</v>
      </c>
      <c r="G19986" s="6" t="n">
        <f aca="false">Sens!G19984-Sens!G19980-Sens!G19985</f>
        <v>6.3304615136885</v>
      </c>
      <c r="H19986" s="6" t="n">
        <f aca="false">Sens!H19984-Sens!H19980-Sens!H19985</f>
        <v>6.32749937062163</v>
      </c>
      <c r="I19986" s="6" t="n">
        <f aca="false">Sens!I19984-Sens!I19980-Sens!I19985</f>
        <v>6.37682423094888</v>
      </c>
      <c r="J19986" s="6" t="n">
        <f aca="false">Sens!J19984-Sens!J19980-Sens!J19985</f>
        <v>6.47633082449384</v>
      </c>
      <c r="K19986" s="6" t="n">
        <f aca="false">Sens!K19984-Sens!K19980-Sens!K19985</f>
        <v>6.62443309049706</v>
      </c>
    </row>
    <row r="19987" customFormat="false" ht="17.15" hidden="false" customHeight="false" outlineLevel="0" collapsed="false">
      <c r="A19987" s="0" t="s">
        <v>1243</v>
      </c>
      <c r="B19987" s="0" t="s">
        <v>98</v>
      </c>
      <c r="F19987" s="6" t="n">
        <f aca="false">Sens!F19981-tax_f*(Sens!F19981-Sens!F19845)-Sens!F19842</f>
        <v>-134.9016615801</v>
      </c>
      <c r="G19987" s="6" t="n">
        <f aca="false">Sens!G19981-tax_f*(Sens!G19981-Sens!G19845)-Sens!G19842</f>
        <v>-127.738599688975</v>
      </c>
      <c r="H19987" s="6" t="n">
        <f aca="false">Sens!H19981-tax_f*(Sens!H19981-Sens!H19845)-Sens!H19842</f>
        <v>-103.575514568166</v>
      </c>
      <c r="I19987" s="6" t="n">
        <f aca="false">Sens!I19981-tax_f*(Sens!I19981-Sens!I19845)-Sens!I19842</f>
        <v>-43.3766259237246</v>
      </c>
      <c r="J19987" s="6" t="n">
        <f aca="false">Sens!J19981-tax_f*(Sens!J19981-Sens!J19845)-Sens!J19842</f>
        <v>19.667829653566</v>
      </c>
      <c r="K19987" s="6" t="n">
        <f aca="false">Sens!K19981-tax_f*(Sens!K19981-Sens!K19845)-Sens!K19842</f>
        <v>43.9128914409941</v>
      </c>
    </row>
    <row r="19988" customFormat="false" ht="17.15" hidden="false" customHeight="false" outlineLevel="0" collapsed="false">
      <c r="A19988" s="0" t="s">
        <v>1244</v>
      </c>
      <c r="B19988" s="0" t="s">
        <v>98</v>
      </c>
      <c r="G19988" s="6" t="n">
        <f aca="false">Sens!G19987/(1+wacc)^(Sens!G19958-Sens!F19959)</f>
        <v>-121.631728476959</v>
      </c>
      <c r="H19988" s="6" t="n">
        <f aca="false">Sens!H19987/(1+wacc)^(Sens!H19958-Sens!F19959)</f>
        <v>-89.4193033319396</v>
      </c>
      <c r="I19988" s="6" t="n">
        <f aca="false">Sens!I19987/(1+wacc)^(Sens!I19958-Sens!F19959)</f>
        <v>-33.9530978007955</v>
      </c>
      <c r="J19988" s="6" t="n">
        <f aca="false">Sens!J19987/(1+wacc)^(Sens!J19958-Sens!F19959)</f>
        <v>13.9582036485685</v>
      </c>
      <c r="K19988" s="6" t="n">
        <f aca="false">Sens!K19987/(1+wacc)^(Sens!K19958-Sens!F19959)</f>
        <v>28.2562537005668</v>
      </c>
      <c r="L19988" s="1" t="s">
        <v>1245</v>
      </c>
    </row>
    <row r="19989" customFormat="false" ht="17.15" hidden="false" customHeight="false" outlineLevel="0" collapsed="false">
      <c r="A19989" s="0" t="s">
        <v>1246</v>
      </c>
      <c r="B19989" s="0" t="s">
        <v>98</v>
      </c>
      <c r="C19989" s="6" t="n">
        <f aca="false">(Sens!K19981-Sens!K19845)*(1-tax_f)*(1+g_tv)*(1-g_tv/(wacc+ronic_prem))/(wacc-g_tv)/(1+wacc)^(Sens!K19959-Sens!F19959)</f>
        <v>117.590744307878</v>
      </c>
    </row>
    <row r="19990" customFormat="false" ht="17.15" hidden="false" customHeight="false" outlineLevel="0" collapsed="false">
      <c r="A19990" s="1" t="s">
        <v>1247</v>
      </c>
      <c r="B19990" s="0" t="s">
        <v>98</v>
      </c>
      <c r="C19990" s="6" t="n">
        <f aca="false">(SUM(Sens!G19988:K19988)+Sens!$C$19989)*(1+wacc)^(t_roll-Sens!F19959)</f>
        <v>-88.0116022250823</v>
      </c>
      <c r="L19990" s="12" t="s">
        <v>1248</v>
      </c>
    </row>
    <row r="19991" customFormat="false" ht="17.15" hidden="false" customHeight="false" outlineLevel="0" collapsed="false">
      <c r="A19991" s="1" t="s">
        <v>1249</v>
      </c>
      <c r="B19991" s="0" t="s">
        <v>98</v>
      </c>
      <c r="C19991" s="6" t="n">
        <f aca="false">(w_ntm28*Sens!G19833+(1-w_ntm28)*Sens!H19833)*m_ai</f>
        <v>357.547776569905</v>
      </c>
    </row>
    <row r="19992" customFormat="false" ht="17.15" hidden="false" customHeight="false" outlineLevel="0" collapsed="false">
      <c r="A19992" s="1" t="s">
        <v>1250</v>
      </c>
      <c r="B19992" s="0" t="s">
        <v>98</v>
      </c>
      <c r="C19992" s="6" t="n">
        <f aca="false">(w_ntm28*Sens!G19983+(1-w_ntm28)*Sens!H19983)*m_cloud</f>
        <v>1091.75537667865</v>
      </c>
    </row>
    <row r="19993" customFormat="false" ht="17.15" hidden="false" customHeight="false" outlineLevel="0" collapsed="false">
      <c r="A19993" s="1" t="s">
        <v>1251</v>
      </c>
      <c r="B19993" s="0" t="s">
        <v>98</v>
      </c>
      <c r="C19993" s="6" t="n">
        <f aca="false">(w_ntm28*Sens!G19976+(1-w_ntm28)*Sens!H19976)*m_sw</f>
        <v>1045.19627078425</v>
      </c>
    </row>
    <row r="19994" customFormat="false" ht="17.15" hidden="false" customHeight="false" outlineLevel="0" collapsed="false">
      <c r="A19994" s="1" t="s">
        <v>1252</v>
      </c>
      <c r="B19994" s="0" t="s">
        <v>98</v>
      </c>
      <c r="C19994" s="6" t="n">
        <f aca="false">(w_ntm28*Sens!G19977+(1-w_ntm28)*Sens!H19977)*m_sw</f>
        <v>373.186066415164</v>
      </c>
    </row>
    <row r="19995" customFormat="false" ht="17.15" hidden="false" customHeight="false" outlineLevel="0" collapsed="false">
      <c r="A19995" s="1" t="s">
        <v>1253</v>
      </c>
      <c r="B19995" s="0" t="s">
        <v>98</v>
      </c>
      <c r="C19995" s="6" t="n">
        <f aca="false">(w_ntm28*Sens!G19978+(1-w_ntm28)*Sens!H19978)*m_sw</f>
        <v>109.305257892006</v>
      </c>
    </row>
    <row r="19996" customFormat="false" ht="17.15" hidden="false" customHeight="false" outlineLevel="0" collapsed="false">
      <c r="A19996" s="1" t="s">
        <v>1254</v>
      </c>
      <c r="B19996" s="0" t="s">
        <v>98</v>
      </c>
      <c r="C19996" s="6" t="n">
        <f aca="false">(w_ntm28*Sens!G19979+(1-w_ntm28)*Sens!H19979)*m_sw</f>
        <v>41.5548939808865</v>
      </c>
    </row>
    <row r="19997" customFormat="false" ht="17.15" hidden="false" customHeight="false" outlineLevel="0" collapsed="false">
      <c r="A19997" s="1" t="s">
        <v>1255</v>
      </c>
      <c r="B19997" s="0" t="s">
        <v>98</v>
      </c>
      <c r="C19997" s="6" t="n">
        <f aca="false">(w_ntm28*Sens!G19980+(1-w_ntm28)*Sens!H19980)*m_ads</f>
        <v>115.220850733666</v>
      </c>
    </row>
    <row r="19998" customFormat="false" ht="17.15" hidden="false" customHeight="false" outlineLevel="0" collapsed="false">
      <c r="A19998" s="1" t="s">
        <v>1256</v>
      </c>
      <c r="B19998" s="0" t="s">
        <v>98</v>
      </c>
      <c r="C19998" s="6" t="n">
        <f aca="false">(w_ntm28*Sens!G19985+(1-w_ntm28)*Sens!H19985)*m_game</f>
        <v>98.7897080990645</v>
      </c>
    </row>
    <row r="19999" customFormat="false" ht="17.15" hidden="false" customHeight="false" outlineLevel="0" collapsed="false">
      <c r="A19999" s="1" t="s">
        <v>1257</v>
      </c>
      <c r="B19999" s="0" t="s">
        <v>98</v>
      </c>
      <c r="C19999" s="6" t="n">
        <f aca="false">(w_ntm28*Sens!G19986+(1-w_ntm28)*Sens!H19986)*m_pc</f>
        <v>91.5876864175348</v>
      </c>
    </row>
    <row r="20000" customFormat="false" ht="17.15" hidden="false" customHeight="false" outlineLevel="0" collapsed="false">
      <c r="A20000" s="1" t="s">
        <v>1258</v>
      </c>
      <c r="B20000" s="0" t="s">
        <v>98</v>
      </c>
      <c r="C20000" s="6" t="n">
        <f aca="false">Sens!$C$19990+Sens!$C$19992+Sens!$C$19993+Sens!$C$19994+Sens!$C$19995+Sens!$C$19996+Sens!$C$19997+Sens!$C$19998+Sens!$C$19999</f>
        <v>2878.58450877614</v>
      </c>
    </row>
    <row r="20001" customFormat="false" ht="17.15" hidden="false" customHeight="false" outlineLevel="0" collapsed="false">
      <c r="A20001" s="1" t="s">
        <v>1259</v>
      </c>
      <c r="B20001" s="0" t="s">
        <v>98</v>
      </c>
      <c r="C20001" s="6" t="n">
        <f aca="false">(Sens!G19962-Sens!G19987)*t_stub</f>
        <v>47.459064620626</v>
      </c>
      <c r="L20001" s="1" t="s">
        <v>1260</v>
      </c>
    </row>
    <row r="20002" customFormat="false" ht="17.15" hidden="false" customHeight="false" outlineLevel="0" collapsed="false">
      <c r="A20002" s="1" t="s">
        <v>1169</v>
      </c>
      <c r="B20002" s="0" t="s">
        <v>98</v>
      </c>
      <c r="C20002" s="6" t="n">
        <f aca="false">Sens!F19949+oai_v-Sens!F19938+Sens!$C$20001</f>
        <v>153.720768524331</v>
      </c>
      <c r="L20002" s="1" t="s">
        <v>1261</v>
      </c>
    </row>
    <row r="20003" customFormat="false" ht="17.15" hidden="false" customHeight="false" outlineLevel="0" collapsed="false">
      <c r="A20003" s="1" t="s">
        <v>1262</v>
      </c>
      <c r="B20003" s="0" t="s">
        <v>75</v>
      </c>
      <c r="C20003" s="5" t="n">
        <f aca="false">(Sens!$C$20000+Sens!$C$20002)/(Sens!F19951+dil_gap)-Sens!G19941*roll_div_q/q_per_yr</f>
        <v>403.48361596858</v>
      </c>
      <c r="L20003" s="1" t="s">
        <v>1263</v>
      </c>
    </row>
    <row r="20004" customFormat="false" ht="17.15" hidden="false" customHeight="false" outlineLevel="0" collapsed="false">
      <c r="A20004" s="1" t="s">
        <v>1264</v>
      </c>
      <c r="B20004" s="0" t="s">
        <v>75</v>
      </c>
      <c r="C20004" s="5" t="n">
        <f aca="false">w_dcf*Sens!$C$19974+(1-w_dcf)*Sens!$C$20003</f>
        <v>343.066271810774</v>
      </c>
    </row>
    <row r="20005" customFormat="false" ht="17.15" hidden="false" customHeight="false" outlineLevel="0" collapsed="false">
      <c r="A20005" s="3" t="s">
        <v>1974</v>
      </c>
    </row>
    <row r="20006" customFormat="false" ht="15" hidden="false" customHeight="false" outlineLevel="0" collapsed="false">
      <c r="A20006" s="4" t="s">
        <v>43</v>
      </c>
      <c r="B20006" s="4" t="s">
        <v>65</v>
      </c>
      <c r="C20006" s="23" t="s">
        <v>938</v>
      </c>
      <c r="D20006" s="23" t="s">
        <v>939</v>
      </c>
      <c r="E20006" s="23" t="s">
        <v>940</v>
      </c>
      <c r="F20006" s="23" t="s">
        <v>941</v>
      </c>
      <c r="G20006" s="23" t="s">
        <v>942</v>
      </c>
      <c r="H20006" s="23" t="s">
        <v>943</v>
      </c>
      <c r="I20006" s="23" t="s">
        <v>944</v>
      </c>
      <c r="J20006" s="23" t="s">
        <v>945</v>
      </c>
      <c r="K20006" s="23" t="s">
        <v>946</v>
      </c>
      <c r="L20006" s="4" t="s">
        <v>47</v>
      </c>
    </row>
    <row r="20007" customFormat="false" ht="17.15" hidden="false" customHeight="false" outlineLevel="0" collapsed="false">
      <c r="A20007" s="1" t="s">
        <v>1212</v>
      </c>
      <c r="B20007" s="1" t="s">
        <v>279</v>
      </c>
      <c r="F20007" s="8" t="n">
        <f aca="false">(1-v_off)*mid_yr</f>
        <v>0.373972602739726</v>
      </c>
      <c r="G20007" s="8" t="n">
        <f aca="false">Thesis!G6-base_fy-mid_yr-v_off</f>
        <v>1.24794520547945</v>
      </c>
      <c r="H20007" s="8" t="n">
        <f aca="false">Thesis!H6-base_fy-mid_yr-v_off</f>
        <v>2.24794520547945</v>
      </c>
      <c r="I20007" s="8" t="n">
        <f aca="false">Thesis!I6-base_fy-mid_yr-v_off</f>
        <v>3.24794520547945</v>
      </c>
      <c r="J20007" s="8" t="n">
        <f aca="false">Thesis!J6-base_fy-mid_yr-v_off</f>
        <v>4.24794520547945</v>
      </c>
      <c r="K20007" s="8" t="n">
        <f aca="false">Thesis!K6-base_fy-mid_yr-v_off</f>
        <v>5.24794520547945</v>
      </c>
      <c r="L20007" s="12" t="s">
        <v>1213</v>
      </c>
    </row>
    <row r="20008" customFormat="false" ht="15" hidden="false" customHeight="false" outlineLevel="0" collapsed="false">
      <c r="A20008" s="1" t="s">
        <v>1214</v>
      </c>
      <c r="B20008" s="1" t="s">
        <v>279</v>
      </c>
      <c r="F20008" s="8" t="n">
        <f aca="false">Thesis!F6-base_fy-v_off</f>
        <v>0.747945205479452</v>
      </c>
      <c r="G20008" s="8" t="n">
        <f aca="false">Thesis!G6-base_fy-v_off</f>
        <v>1.74794520547945</v>
      </c>
      <c r="H20008" s="8" t="n">
        <f aca="false">Thesis!H6-base_fy-v_off</f>
        <v>2.74794520547945</v>
      </c>
      <c r="I20008" s="8" t="n">
        <f aca="false">Thesis!I6-base_fy-v_off</f>
        <v>3.74794520547945</v>
      </c>
      <c r="J20008" s="8" t="n">
        <f aca="false">Thesis!J6-base_fy-v_off</f>
        <v>4.74794520547945</v>
      </c>
      <c r="K20008" s="8" t="n">
        <f aca="false">Thesis!K6-base_fy-v_off</f>
        <v>5.74794520547945</v>
      </c>
    </row>
    <row r="20009" customFormat="false" ht="15" hidden="false" customHeight="false" outlineLevel="0" collapsed="false">
      <c r="A20009" s="1" t="s">
        <v>1215</v>
      </c>
      <c r="B20009" s="0" t="s">
        <v>229</v>
      </c>
      <c r="F20009" s="15" t="n">
        <f aca="false">1/(1+wacc)^Sens!F20007</f>
        <v>0.964022703286649</v>
      </c>
      <c r="G20009" s="15" t="n">
        <f aca="false">1/(1+wacc)^Sens!G20007</f>
        <v>0.884910302296739</v>
      </c>
      <c r="H20009" s="15" t="n">
        <f aca="false">1/(1+wacc)^Sens!H20007</f>
        <v>0.802322009770358</v>
      </c>
      <c r="I20009" s="15" t="n">
        <f aca="false">1/(1+wacc)^Sens!I20007</f>
        <v>0.727441646561469</v>
      </c>
      <c r="J20009" s="15" t="n">
        <f aca="false">1/(1+wacc)^Sens!J20007</f>
        <v>0.659549834988973</v>
      </c>
      <c r="K20009" s="15" t="n">
        <f aca="false">1/(1+wacc)^Sens!K20007</f>
        <v>0.597994336576966</v>
      </c>
    </row>
    <row r="20010" customFormat="false" ht="17.15" hidden="false" customHeight="false" outlineLevel="0" collapsed="false">
      <c r="A20010" s="1" t="s">
        <v>1216</v>
      </c>
      <c r="B20010" s="0" t="s">
        <v>98</v>
      </c>
      <c r="F20010" s="6" t="n">
        <f aca="false">Q!$I$35-Q!$I$39-Q!$I$43</f>
        <v>9.666</v>
      </c>
      <c r="L20010" s="12" t="s">
        <v>1217</v>
      </c>
    </row>
    <row r="20011" customFormat="false" ht="17.15" hidden="false" customHeight="false" outlineLevel="0" collapsed="false">
      <c r="A20011" s="1" t="s">
        <v>1218</v>
      </c>
      <c r="B20011" s="0" t="s">
        <v>98</v>
      </c>
      <c r="F20011" s="6" t="n">
        <f aca="false">CF!F23-CF!F20-CF!F27+Thesis!F47*(1-tax_f)*(1-v_off)-Sens!F20010</f>
        <v>-1.12880264559539</v>
      </c>
      <c r="G20011" s="6" t="n">
        <f aca="false">CF!G23-CF!G20-CF!G27+Thesis!G47*(1-tax_f)</f>
        <v>38.7194421947551</v>
      </c>
      <c r="H20011" s="6" t="n">
        <f aca="false">CF!H23-CF!H20-CF!H27+Thesis!H47*(1-tax_f)</f>
        <v>98.6927474567662</v>
      </c>
      <c r="I20011" s="6" t="n">
        <f aca="false">CF!I23-CF!I20-CF!I27+Thesis!I47*(1-tax_f)</f>
        <v>181.625440536277</v>
      </c>
      <c r="J20011" s="6" t="n">
        <f aca="false">CF!J23-CF!J20-CF!J27+Thesis!J47*(1-tax_f)</f>
        <v>263.350402418584</v>
      </c>
      <c r="K20011" s="6" t="n">
        <f aca="false">CF!K23-CF!K20-CF!K27+Thesis!K47*(1-tax_f)</f>
        <v>303.659068389018</v>
      </c>
      <c r="L20011" s="1" t="s">
        <v>1219</v>
      </c>
    </row>
    <row r="20012" customFormat="false" ht="15" hidden="false" customHeight="false" outlineLevel="0" collapsed="false">
      <c r="A20012" s="1" t="s">
        <v>1220</v>
      </c>
      <c r="B20012" s="0" t="s">
        <v>98</v>
      </c>
      <c r="F20012" s="6" t="n">
        <f aca="false">Sens!F20011*Sens!F20009</f>
        <v>-1.08819137788399</v>
      </c>
      <c r="G20012" s="6" t="n">
        <f aca="false">Sens!G20011*Sens!G20009</f>
        <v>34.2632332973219</v>
      </c>
      <c r="H20012" s="6" t="n">
        <f aca="false">Sens!H20011*Sens!H20009</f>
        <v>79.183363489271</v>
      </c>
      <c r="I20012" s="6" t="n">
        <f aca="false">Sens!I20011*Sens!I20009</f>
        <v>132.121909521162</v>
      </c>
      <c r="J20012" s="6" t="n">
        <f aca="false">Sens!J20011*Sens!J20009</f>
        <v>173.692714459456</v>
      </c>
      <c r="K20012" s="6" t="n">
        <f aca="false">Sens!K20011*Sens!K20009</f>
        <v>181.58640314687</v>
      </c>
    </row>
    <row r="20013" customFormat="false" ht="17.15" hidden="false" customHeight="false" outlineLevel="0" collapsed="false">
      <c r="A20013" s="1" t="s">
        <v>1221</v>
      </c>
      <c r="B20013" s="0" t="s">
        <v>98</v>
      </c>
      <c r="C20013" s="6" t="n">
        <f aca="false">SUM(Sens!F20012:K20012)</f>
        <v>599.759432536197</v>
      </c>
    </row>
    <row r="20014" customFormat="false" ht="17.15" hidden="false" customHeight="false" outlineLevel="0" collapsed="false">
      <c r="A20014" s="1" t="s">
        <v>1222</v>
      </c>
      <c r="B20014" s="0" t="s">
        <v>98</v>
      </c>
      <c r="C20014" s="6" t="n">
        <f aca="false">PL!K39*(1+g_tv)*(1-tax_f)</f>
        <v>316.501318799308</v>
      </c>
    </row>
    <row r="20015" customFormat="false" ht="17.15" hidden="false" customHeight="false" outlineLevel="0" collapsed="false">
      <c r="A20015" s="1" t="s">
        <v>1223</v>
      </c>
      <c r="B20015" s="0" t="s">
        <v>98</v>
      </c>
      <c r="C20015" s="6" t="n">
        <f aca="false">Sens!$C$20014*(1-g_tv/(wacc+ronic_prem))</f>
        <v>224.25968269347</v>
      </c>
    </row>
    <row r="20016" customFormat="false" ht="17.15" hidden="false" customHeight="false" outlineLevel="0" collapsed="false">
      <c r="A20016" s="1" t="s">
        <v>1224</v>
      </c>
      <c r="B20016" s="0" t="s">
        <v>98</v>
      </c>
      <c r="C20016" s="6" t="n">
        <f aca="false">Sens!$C$20015/(wacc-g_tv)</f>
        <v>3074.72120352792</v>
      </c>
    </row>
    <row r="20017" customFormat="false" ht="15" hidden="false" customHeight="false" outlineLevel="0" collapsed="false">
      <c r="A20017" s="1" t="s">
        <v>1225</v>
      </c>
      <c r="B20017" s="0" t="s">
        <v>98</v>
      </c>
      <c r="C20017" s="6" t="n">
        <f aca="false">Sens!$C$20016/(1+wacc)^Sens!K20008</f>
        <v>1750.76373116397</v>
      </c>
    </row>
    <row r="20018" customFormat="false" ht="17.15" hidden="false" customHeight="false" outlineLevel="0" collapsed="false">
      <c r="A20018" s="0" t="s">
        <v>1226</v>
      </c>
      <c r="B20018" s="0" t="s">
        <v>98</v>
      </c>
      <c r="C20018" s="6" t="n">
        <f aca="false">Sens!$C$20013+Sens!$C$20017</f>
        <v>2350.52316370017</v>
      </c>
    </row>
    <row r="20019" customFormat="false" ht="15" hidden="false" customHeight="false" outlineLevel="0" collapsed="false">
      <c r="A20019" s="1" t="s">
        <v>1141</v>
      </c>
      <c r="B20019" s="0" t="s">
        <v>168</v>
      </c>
      <c r="C20019" s="7" t="n">
        <f aca="false">Sens!$C$20017/Sens!$C$20018</f>
        <v>0.744840024638574</v>
      </c>
    </row>
    <row r="20020" customFormat="false" ht="17.15" hidden="false" customHeight="false" outlineLevel="0" collapsed="false">
      <c r="A20020" s="1" t="s">
        <v>1227</v>
      </c>
      <c r="B20020" s="0" t="s">
        <v>98</v>
      </c>
      <c r="C20020" s="6" t="n">
        <f aca="false">Sens!$C$20018+cash_val-debt_val-fl_val+oai_v</f>
        <v>2466.37416370017</v>
      </c>
    </row>
    <row r="20021" customFormat="false" ht="17.15" hidden="false" customHeight="false" outlineLevel="0" collapsed="false">
      <c r="A20021" s="0" t="s">
        <v>1149</v>
      </c>
      <c r="B20021" s="0" t="s">
        <v>75</v>
      </c>
      <c r="C20021" s="5" t="n">
        <f aca="false">Sens!$C$20020/shd_val</f>
        <v>331.234778901447</v>
      </c>
    </row>
    <row r="20022" customFormat="false" ht="15" hidden="false" customHeight="false" outlineLevel="0" collapsed="false">
      <c r="A20022" s="1" t="s">
        <v>1228</v>
      </c>
      <c r="B20022" s="0" t="s">
        <v>75</v>
      </c>
      <c r="C20022" s="8" t="n">
        <f aca="false">div_rem27+CF!G31*2/q_per_yr</f>
        <v>5.019</v>
      </c>
    </row>
    <row r="20023" customFormat="false" ht="17.15" hidden="false" customHeight="false" outlineLevel="0" collapsed="false">
      <c r="A20023" s="0" t="s">
        <v>1229</v>
      </c>
      <c r="B20023" s="0" t="s">
        <v>75</v>
      </c>
      <c r="C20023" s="5" t="n">
        <f aca="false">Sens!$C$20021*(1+wacc)^((tgt_alt-roll_d1)/days_yr)-Sens!$C$20022</f>
        <v>372.170086951879</v>
      </c>
    </row>
    <row r="20024" customFormat="false" ht="17.15" hidden="false" customHeight="false" outlineLevel="0" collapsed="false">
      <c r="A20024" s="1" t="s">
        <v>1230</v>
      </c>
      <c r="B20024" s="0" t="s">
        <v>168</v>
      </c>
      <c r="F20024" s="7" t="n">
        <f aca="false">CF!F17/(Seg!F29-Thesis!F25)</f>
        <v>0.0685527305696859</v>
      </c>
      <c r="G20024" s="7" t="n">
        <f aca="false">CF!G17/(Seg!G29-Thesis!G25)</f>
        <v>0.0653567731599844</v>
      </c>
      <c r="H20024" s="7" t="n">
        <f aca="false">CF!H17/(Seg!H29-Thesis!H25)</f>
        <v>0.0636628841026972</v>
      </c>
      <c r="I20024" s="7" t="n">
        <f aca="false">CF!I17/(Seg!I29-Thesis!I25)</f>
        <v>0.0633581084335176</v>
      </c>
      <c r="J20024" s="7" t="n">
        <f aca="false">CF!J17/(Seg!J29-Thesis!J25)</f>
        <v>0.0640873955995062</v>
      </c>
      <c r="K20024" s="7" t="n">
        <f aca="false">CF!K17/(Seg!K29-Thesis!K25)</f>
        <v>0.0653962234835198</v>
      </c>
    </row>
    <row r="20025" customFormat="false" ht="17.15" hidden="false" customHeight="false" outlineLevel="0" collapsed="false">
      <c r="A20025" s="0" t="s">
        <v>1231</v>
      </c>
      <c r="B20025" s="0" t="s">
        <v>98</v>
      </c>
      <c r="F20025" s="6" t="n">
        <f aca="false">Seg!F14*(al_m365+Sens!F20024+sbc_r)</f>
        <v>84.5213906545575</v>
      </c>
      <c r="G20025" s="6" t="n">
        <f aca="false">Seg!G14*(al_m365+Sens!G20024+sbc_r)</f>
        <v>98.949983331796</v>
      </c>
      <c r="H20025" s="6" t="n">
        <f aca="false">Seg!H14*(al_m365+Sens!H20024+sbc_r)</f>
        <v>113.543734275326</v>
      </c>
      <c r="I20025" s="6" t="n">
        <f aca="false">Seg!I14*(al_m365+Sens!I20024+sbc_r)</f>
        <v>126.62058838692</v>
      </c>
      <c r="J20025" s="6" t="n">
        <f aca="false">Seg!J14*(al_m365+Sens!J20024+sbc_r)</f>
        <v>137.994660156303</v>
      </c>
      <c r="K20025" s="6" t="n">
        <f aca="false">Seg!K14*(al_m365+Sens!K20024+sbc_r)</f>
        <v>148.989224092997</v>
      </c>
      <c r="L20025" s="12" t="s">
        <v>1232</v>
      </c>
    </row>
    <row r="20026" customFormat="false" ht="17.15" hidden="false" customHeight="false" outlineLevel="0" collapsed="false">
      <c r="A20026" s="0" t="s">
        <v>1233</v>
      </c>
      <c r="B20026" s="0" t="s">
        <v>98</v>
      </c>
      <c r="F20026" s="6" t="n">
        <f aca="false">Seg!F15*(al_lic+Sens!F20024+sbc_r)</f>
        <v>32.855200196554</v>
      </c>
      <c r="G20026" s="6" t="n">
        <f aca="false">Seg!G15*(al_lic+Sens!G20024+sbc_r)</f>
        <v>34.1185582613282</v>
      </c>
      <c r="H20026" s="6" t="n">
        <f aca="false">Seg!H15*(al_lic+Sens!H20024+sbc_r)</f>
        <v>35.3024309363621</v>
      </c>
      <c r="I20026" s="6" t="n">
        <f aca="false">Seg!I15*(al_lic+Sens!I20024+sbc_r)</f>
        <v>36.3898468129533</v>
      </c>
      <c r="J20026" s="6" t="n">
        <f aca="false">Seg!J15*(al_lic+Sens!J20024+sbc_r)</f>
        <v>37.3529129529876</v>
      </c>
      <c r="K20026" s="6" t="n">
        <f aca="false">Seg!K15*(al_lic+Sens!K20024+sbc_r)</f>
        <v>38.158536171203</v>
      </c>
    </row>
    <row r="20027" customFormat="false" ht="17.15" hidden="false" customHeight="false" outlineLevel="0" collapsed="false">
      <c r="A20027" s="0" t="s">
        <v>1234</v>
      </c>
      <c r="B20027" s="0" t="s">
        <v>98</v>
      </c>
      <c r="F20027" s="6" t="n">
        <f aca="false">Seg!F17*(al_ind+Sens!F20024+sbc_r)</f>
        <v>9.05892547956683</v>
      </c>
      <c r="G20027" s="6" t="n">
        <f aca="false">Seg!G17*(al_ind+Sens!G20024+sbc_r)</f>
        <v>9.82456487622418</v>
      </c>
      <c r="H20027" s="6" t="n">
        <f aca="false">Seg!H17*(al_ind+Sens!H20024+sbc_r)</f>
        <v>10.6377408477959</v>
      </c>
      <c r="I20027" s="6" t="n">
        <f aca="false">Seg!I17*(al_ind+Sens!I20024+sbc_r)</f>
        <v>11.4966323260293</v>
      </c>
      <c r="J20027" s="6" t="n">
        <f aca="false">Seg!J17*(al_ind+Sens!J20024+sbc_r)</f>
        <v>12.3903660286279</v>
      </c>
      <c r="K20027" s="6" t="n">
        <f aca="false">Seg!K17*(al_ind+Sens!K20024+sbc_r)</f>
        <v>13.3009129057681</v>
      </c>
    </row>
    <row r="20028" customFormat="false" ht="17.15" hidden="false" customHeight="false" outlineLevel="0" collapsed="false">
      <c r="A20028" s="0" t="s">
        <v>1235</v>
      </c>
      <c r="B20028" s="0" t="s">
        <v>98</v>
      </c>
      <c r="F20028" s="6" t="n">
        <f aca="false">Seg!F19*(al_fro+Sens!F20024+sbc_r)</f>
        <v>3.55344443532423</v>
      </c>
      <c r="G20028" s="6" t="n">
        <f aca="false">Seg!G19*(al_fro+Sens!G20024+sbc_r)</f>
        <v>3.75916645971565</v>
      </c>
      <c r="H20028" s="6" t="n">
        <f aca="false">Seg!H19*(al_fro+Sens!H20024+sbc_r)</f>
        <v>3.994970960527</v>
      </c>
      <c r="I20028" s="6" t="n">
        <f aca="false">Seg!I19*(al_fro+Sens!I20024+sbc_r)</f>
        <v>4.26396270432353</v>
      </c>
      <c r="J20028" s="6" t="n">
        <f aca="false">Seg!J19*(al_fro+Sens!J20024+sbc_r)</f>
        <v>4.5667795874336</v>
      </c>
      <c r="K20028" s="6" t="n">
        <f aca="false">Seg!K19*(al_fro+Sens!K20024+sbc_r)</f>
        <v>4.90238443416026</v>
      </c>
    </row>
    <row r="20029" customFormat="false" ht="17.15" hidden="false" customHeight="false" outlineLevel="0" collapsed="false">
      <c r="A20029" s="0" t="s">
        <v>1236</v>
      </c>
      <c r="B20029" s="0" t="s">
        <v>98</v>
      </c>
      <c r="F20029" s="6" t="n">
        <f aca="false">Seg!F22*(al_srch+Sens!F20024+sbc_r)</f>
        <v>11.1872483445711</v>
      </c>
      <c r="G20029" s="6" t="n">
        <f aca="false">Seg!G22*(al_srch+Sens!G20024+sbc_r)</f>
        <v>12.247246048296</v>
      </c>
      <c r="H20029" s="6" t="n">
        <f aca="false">Seg!H22*(al_srch+Sens!H20024+sbc_r)</f>
        <v>13.3552870946193</v>
      </c>
      <c r="I20029" s="6" t="n">
        <f aca="false">Seg!I22*(al_srch+Sens!I20024+sbc_r)</f>
        <v>14.5024145321619</v>
      </c>
      <c r="J20029" s="6" t="n">
        <f aca="false">Seg!J22*(al_srch+Sens!J20024+sbc_r)</f>
        <v>15.667276660652</v>
      </c>
      <c r="K20029" s="6" t="n">
        <f aca="false">Seg!K22*(al_srch+Sens!K20024+sbc_r)</f>
        <v>16.8186381138719</v>
      </c>
    </row>
    <row r="20030" customFormat="false" ht="17.15" hidden="false" customHeight="false" outlineLevel="0" collapsed="false">
      <c r="A20030" s="0" t="s">
        <v>1237</v>
      </c>
      <c r="B20030" s="0" t="s">
        <v>98</v>
      </c>
      <c r="F20030" s="6" t="n">
        <f aca="false">Thesis!F31-Thesis!F32+Thesis!F47</f>
        <v>45.3782580567763</v>
      </c>
      <c r="G20030" s="6" t="n">
        <f aca="false">Thesis!G31-Thesis!G32+Thesis!G47</f>
        <v>91.0863367558165</v>
      </c>
      <c r="H20030" s="6" t="n">
        <f aca="false">Thesis!H31-Thesis!H32+Thesis!H47</f>
        <v>144.617532464853</v>
      </c>
      <c r="I20030" s="6" t="n">
        <f aca="false">Thesis!I31-Thesis!I32+Thesis!I47</f>
        <v>187.137304561304</v>
      </c>
      <c r="J20030" s="6" t="n">
        <f aca="false">Thesis!J31-Thesis!J32+Thesis!J47</f>
        <v>217.006854425907</v>
      </c>
      <c r="K20030" s="6" t="n">
        <f aca="false">Thesis!K31-Thesis!K32+Thesis!K47</f>
        <v>234.933637903877</v>
      </c>
    </row>
    <row r="20031" customFormat="false" ht="17.15" hidden="false" customHeight="false" outlineLevel="0" collapsed="false">
      <c r="A20031" s="0" t="s">
        <v>1238</v>
      </c>
      <c r="B20031" s="0" t="s">
        <v>98</v>
      </c>
      <c r="F20031" s="6" t="n">
        <f aca="false">PL!F32+Thesis!F47+Thesis!F43+Sens!F20024*(Seg!F21-Thesis!F25)+sbc_r*Seg!F21</f>
        <v>240.818167741339</v>
      </c>
      <c r="G20031" s="6" t="n">
        <f aca="false">PL!G32+Thesis!G47+Thesis!G43+Sens!G20024*(Seg!G21-Thesis!G25)+sbc_r*Seg!G21</f>
        <v>311.917784140952</v>
      </c>
      <c r="H20031" s="6" t="n">
        <f aca="false">PL!H32+Thesis!H47+Thesis!H43+Sens!H20024*(Seg!H21-Thesis!H25)+sbc_r*Seg!H21</f>
        <v>395.486245683473</v>
      </c>
      <c r="I20031" s="6" t="n">
        <f aca="false">PL!I32+Thesis!I47+Thesis!I43+Sens!I20024*(Seg!I21-Thesis!I25)+sbc_r*Seg!I21</f>
        <v>465.950805948377</v>
      </c>
      <c r="J20031" s="6" t="n">
        <f aca="false">PL!J32+Thesis!J47+Thesis!J43+Sens!J20024*(Seg!J21-Thesis!J25)+sbc_r*Seg!J21</f>
        <v>520.78677388057</v>
      </c>
      <c r="K20031" s="6" t="n">
        <f aca="false">PL!K32+Thesis!K47+Thesis!K43+Sens!K20024*(Seg!K21-Thesis!K25)+sbc_r*Seg!K21</f>
        <v>561.2469767412</v>
      </c>
    </row>
    <row r="20032" customFormat="false" ht="17.15" hidden="false" customHeight="false" outlineLevel="0" collapsed="false">
      <c r="A20032" s="0" t="s">
        <v>1239</v>
      </c>
      <c r="B20032" s="0" t="s">
        <v>98</v>
      </c>
      <c r="F20032" s="6" t="n">
        <f aca="false">Sens!F20031-Sens!F20025-Sens!F20026-Sens!F20027-Sens!F20028-Sens!F20030</f>
        <v>65.4509489185601</v>
      </c>
      <c r="G20032" s="6" t="n">
        <f aca="false">Sens!G20031-Sens!G20025-Sens!G20026-Sens!G20027-Sens!G20028-Sens!G20030</f>
        <v>74.1791744560715</v>
      </c>
      <c r="H20032" s="6" t="n">
        <f aca="false">Sens!H20031-Sens!H20025-Sens!H20026-Sens!H20027-Sens!H20028-Sens!H20030</f>
        <v>87.3898361986086</v>
      </c>
      <c r="I20032" s="6" t="n">
        <f aca="false">Sens!I20031-Sens!I20025-Sens!I20026-Sens!I20027-Sens!I20028-Sens!I20030</f>
        <v>100.042471156846</v>
      </c>
      <c r="J20032" s="6" t="n">
        <f aca="false">Sens!J20031-Sens!J20025-Sens!J20026-Sens!J20027-Sens!J20028-Sens!J20030</f>
        <v>111.475200729312</v>
      </c>
      <c r="K20032" s="6" t="n">
        <f aca="false">Sens!K20031-Sens!K20025-Sens!K20026-Sens!K20027-Sens!K20028-Sens!K20030</f>
        <v>120.962281233195</v>
      </c>
    </row>
    <row r="20033" customFormat="false" ht="17.15" hidden="false" customHeight="false" outlineLevel="0" collapsed="false">
      <c r="A20033" s="0" t="s">
        <v>1240</v>
      </c>
      <c r="B20033" s="0" t="s">
        <v>98</v>
      </c>
      <c r="F20033" s="6" t="n">
        <f aca="false">PL!F34+Sens!F20024*Seg!F28+sbc_r*Seg!F28</f>
        <v>26.6293388420472</v>
      </c>
      <c r="G20033" s="6" t="n">
        <f aca="false">PL!G34+Sens!G20024*Seg!G28+sbc_r*Seg!G28</f>
        <v>26.4405000412783</v>
      </c>
      <c r="H20033" s="6" t="n">
        <f aca="false">PL!H34+Sens!H20024*Seg!H28+sbc_r*Seg!H28</f>
        <v>27.296860059552</v>
      </c>
      <c r="I20033" s="6" t="n">
        <f aca="false">PL!I34+Sens!I20024*Seg!I28+sbc_r*Seg!I28</f>
        <v>28.3995465815703</v>
      </c>
      <c r="J20033" s="6" t="n">
        <f aca="false">PL!J34+Sens!J20024*Seg!J28+sbc_r*Seg!J28</f>
        <v>29.7093380975903</v>
      </c>
      <c r="K20033" s="6" t="n">
        <f aca="false">PL!K34+Sens!K20024*Seg!K28+sbc_r*Seg!K28</f>
        <v>31.1817775287323</v>
      </c>
    </row>
    <row r="20034" customFormat="false" ht="17.15" hidden="false" customHeight="false" outlineLevel="0" collapsed="false">
      <c r="A20034" s="0" t="s">
        <v>1241</v>
      </c>
      <c r="B20034" s="0" t="s">
        <v>98</v>
      </c>
      <c r="F20034" s="6" t="n">
        <f aca="false">(Sens!F20033-Sens!F20029)*Seg!F24/(Seg!F24+Seg!F26)</f>
        <v>8.72146908842971</v>
      </c>
      <c r="G20034" s="6" t="n">
        <f aca="false">(Sens!G20033-Sens!G20029)*Seg!G24/(Seg!G24+Seg!G26)</f>
        <v>7.87837655379173</v>
      </c>
      <c r="H20034" s="6" t="n">
        <f aca="false">(Sens!H20033-Sens!H20029)*Seg!H24/(Seg!H24+Seg!H26)</f>
        <v>7.63786170689933</v>
      </c>
      <c r="I20034" s="6" t="n">
        <f aca="false">(Sens!I20033-Sens!I20029)*Seg!I24/(Seg!I24+Seg!I26)</f>
        <v>7.5470606300581</v>
      </c>
      <c r="J20034" s="6" t="n">
        <f aca="false">(Sens!J20033-Sens!J20029)*Seg!J24/(Seg!J24+Seg!J26)</f>
        <v>7.59249600034024</v>
      </c>
      <c r="K20034" s="6" t="n">
        <f aca="false">(Sens!K20033-Sens!K20029)*Seg!K24/(Seg!K24+Seg!K26)</f>
        <v>7.76610179704742</v>
      </c>
    </row>
    <row r="20035" customFormat="false" ht="17.15" hidden="false" customHeight="false" outlineLevel="0" collapsed="false">
      <c r="A20035" s="0" t="s">
        <v>1242</v>
      </c>
      <c r="B20035" s="0" t="s">
        <v>98</v>
      </c>
      <c r="F20035" s="6" t="n">
        <f aca="false">Sens!F20033-Sens!F20029-Sens!F20034</f>
        <v>6.72062140904636</v>
      </c>
      <c r="G20035" s="6" t="n">
        <f aca="false">Sens!G20033-Sens!G20029-Sens!G20034</f>
        <v>6.31487743919059</v>
      </c>
      <c r="H20035" s="6" t="n">
        <f aca="false">Sens!H20033-Sens!H20029-Sens!H20034</f>
        <v>6.30371125803333</v>
      </c>
      <c r="I20035" s="6" t="n">
        <f aca="false">Sens!I20033-Sens!I20029-Sens!I20034</f>
        <v>6.35007141935025</v>
      </c>
      <c r="J20035" s="6" t="n">
        <f aca="false">Sens!J20033-Sens!J20029-Sens!J20034</f>
        <v>6.44956543659808</v>
      </c>
      <c r="K20035" s="6" t="n">
        <f aca="false">Sens!K20033-Sens!K20029-Sens!K20034</f>
        <v>6.597037617813</v>
      </c>
    </row>
    <row r="20036" customFormat="false" ht="17.15" hidden="false" customHeight="false" outlineLevel="0" collapsed="false">
      <c r="A20036" s="0" t="s">
        <v>1243</v>
      </c>
      <c r="B20036" s="0" t="s">
        <v>98</v>
      </c>
      <c r="F20036" s="6" t="n">
        <f aca="false">Sens!F20030-tax_f*(Sens!F20030-Thesis!F43)-Thesis!F40</f>
        <v>-125.235434701028</v>
      </c>
      <c r="G20036" s="6" t="n">
        <f aca="false">Sens!G20030-tax_f*(Sens!G20030-Thesis!G43)-Thesis!G40</f>
        <v>-106.928508113935</v>
      </c>
      <c r="H20036" s="6" t="n">
        <f aca="false">Sens!H20030-tax_f*(Sens!H20030-Thesis!H43)-Thesis!H40</f>
        <v>-63.2919599603405</v>
      </c>
      <c r="I20036" s="6" t="n">
        <f aca="false">Sens!I20030-tax_f*(Sens!I20030-Thesis!I43)-Thesis!I40</f>
        <v>3.94121196634245</v>
      </c>
      <c r="J20036" s="6" t="n">
        <f aca="false">Sens!J20030-tax_f*(Sens!J20030-Thesis!J43)-Thesis!J40</f>
        <v>71.0786869547042</v>
      </c>
      <c r="K20036" s="6" t="n">
        <f aca="false">Sens!K20030-tax_f*(Sens!K20030-Thesis!K43)-Thesis!K40</f>
        <v>97.5865911685559</v>
      </c>
    </row>
    <row r="20037" customFormat="false" ht="17.15" hidden="false" customHeight="false" outlineLevel="0" collapsed="false">
      <c r="A20037" s="0" t="s">
        <v>1244</v>
      </c>
      <c r="B20037" s="0" t="s">
        <v>98</v>
      </c>
      <c r="G20037" s="6" t="n">
        <f aca="false">Sens!G20036/(1+wacc)^(Sens!G20007-Sens!F20008)</f>
        <v>-101.81651667568</v>
      </c>
      <c r="H20037" s="6" t="n">
        <f aca="false">Sens!H20036/(1+wacc)^(Sens!H20007-Sens!F20008)</f>
        <v>-54.6415143556151</v>
      </c>
      <c r="I20037" s="6" t="n">
        <f aca="false">Sens!I20036/(1+wacc)^(Sens!I20007-Sens!F20008)</f>
        <v>3.08498765169516</v>
      </c>
      <c r="J20037" s="6" t="n">
        <f aca="false">Sens!J20036/(1+wacc)^(Sens!J20007-Sens!F20008)</f>
        <v>50.4443451596971</v>
      </c>
      <c r="K20037" s="6" t="n">
        <f aca="false">Sens!K20036/(1+wacc)^(Sens!K20007-Sens!F20008)</f>
        <v>62.7932114544856</v>
      </c>
      <c r="L20037" s="1" t="s">
        <v>1245</v>
      </c>
    </row>
    <row r="20038" customFormat="false" ht="17.15" hidden="false" customHeight="false" outlineLevel="0" collapsed="false">
      <c r="A20038" s="0" t="s">
        <v>1246</v>
      </c>
      <c r="B20038" s="0" t="s">
        <v>98</v>
      </c>
      <c r="C20038" s="6" t="n">
        <f aca="false">(Sens!K20030-Thesis!K43)*(1-tax_f)*(1+g_tv)*(1-g_tv/(wacc+ronic_prem))/(wacc-g_tv)/(1+wacc)^(Sens!K20008-Sens!F20008)</f>
        <v>450.836735002813</v>
      </c>
    </row>
    <row r="20039" customFormat="false" ht="17.15" hidden="false" customHeight="false" outlineLevel="0" collapsed="false">
      <c r="A20039" s="1" t="s">
        <v>1247</v>
      </c>
      <c r="B20039" s="0" t="s">
        <v>98</v>
      </c>
      <c r="C20039" s="6" t="n">
        <f aca="false">(SUM(Sens!G20037:K20037)+Sens!$C$20038)*(1+wacc)^(((tgt_alt-roll_d1)/days_yr)-Sens!F20008)</f>
        <v>434.634038439159</v>
      </c>
      <c r="L20039" s="12" t="s">
        <v>1248</v>
      </c>
    </row>
    <row r="20040" customFormat="false" ht="17.15" hidden="false" customHeight="false" outlineLevel="0" collapsed="false">
      <c r="A20040" s="1" t="s">
        <v>1249</v>
      </c>
      <c r="B20040" s="0" t="s">
        <v>98</v>
      </c>
      <c r="C20040" s="6" t="n">
        <f aca="false">(((fy28_end-tgt_alt)/days_yr)*Thesis!G31+(1-((fy28_end-tgt_alt)/days_yr))*Thesis!H31)*m_ai</f>
        <v>627.062463037381</v>
      </c>
    </row>
    <row r="20041" customFormat="false" ht="17.15" hidden="false" customHeight="false" outlineLevel="0" collapsed="false">
      <c r="A20041" s="1" t="s">
        <v>1250</v>
      </c>
      <c r="B20041" s="0" t="s">
        <v>98</v>
      </c>
      <c r="C20041" s="6" t="n">
        <f aca="false">(((fy28_end-tgt_alt)/days_yr)*Sens!G20032+(1-((fy28_end-tgt_alt)/days_yr))*Sens!H20032)*m_cloud</f>
        <v>1130.19723895329</v>
      </c>
    </row>
    <row r="20042" customFormat="false" ht="17.15" hidden="false" customHeight="false" outlineLevel="0" collapsed="false">
      <c r="A20042" s="1" t="s">
        <v>1251</v>
      </c>
      <c r="B20042" s="0" t="s">
        <v>98</v>
      </c>
      <c r="C20042" s="6" t="n">
        <f aca="false">(((fy28_end-tgt_alt)/days_yr)*Sens!G20025+(1-((fy28_end-tgt_alt)/days_yr))*Sens!H20025)*m_sw</f>
        <v>1159.34099022977</v>
      </c>
    </row>
    <row r="20043" customFormat="false" ht="17.15" hidden="false" customHeight="false" outlineLevel="0" collapsed="false">
      <c r="A20043" s="1" t="s">
        <v>1252</v>
      </c>
      <c r="B20043" s="0" t="s">
        <v>98</v>
      </c>
      <c r="C20043" s="6" t="n">
        <f aca="false">(((fy28_end-tgt_alt)/days_yr)*Sens!G20026+(1-((fy28_end-tgt_alt)/days_yr))*Sens!H20026)*m_sw</f>
        <v>375.836657241459</v>
      </c>
    </row>
    <row r="20044" customFormat="false" ht="17.15" hidden="false" customHeight="false" outlineLevel="0" collapsed="false">
      <c r="A20044" s="1" t="s">
        <v>1253</v>
      </c>
      <c r="B20044" s="0" t="s">
        <v>98</v>
      </c>
      <c r="C20044" s="6" t="n">
        <f aca="false">(((fy28_end-tgt_alt)/days_yr)*Sens!G20027+(1-((fy28_end-tgt_alt)/days_yr))*Sens!H20027)*m_sw</f>
        <v>111.158131083836</v>
      </c>
    </row>
    <row r="20045" customFormat="false" ht="17.15" hidden="false" customHeight="false" outlineLevel="0" collapsed="false">
      <c r="A20045" s="1" t="s">
        <v>1254</v>
      </c>
      <c r="B20045" s="0" t="s">
        <v>98</v>
      </c>
      <c r="C20045" s="6" t="n">
        <f aca="false">(((fy28_end-tgt_alt)/days_yr)*Sens!G20028+(1-((fy28_end-tgt_alt)/days_yr))*Sens!H20028)*m_sw</f>
        <v>42.0642158686006</v>
      </c>
    </row>
    <row r="20046" customFormat="false" ht="17.15" hidden="false" customHeight="false" outlineLevel="0" collapsed="false">
      <c r="A20046" s="1" t="s">
        <v>1255</v>
      </c>
      <c r="B20046" s="0" t="s">
        <v>98</v>
      </c>
      <c r="C20046" s="6" t="n">
        <f aca="false">(((fy28_end-tgt_alt)/days_yr)*Sens!G20029+(1-((fy28_end-tgt_alt)/days_yr))*Sens!H20029)*m_ads</f>
        <v>117.380064447158</v>
      </c>
    </row>
    <row r="20047" customFormat="false" ht="17.15" hidden="false" customHeight="false" outlineLevel="0" collapsed="false">
      <c r="A20047" s="1" t="s">
        <v>1256</v>
      </c>
      <c r="B20047" s="0" t="s">
        <v>98</v>
      </c>
      <c r="C20047" s="6" t="n">
        <f aca="false">(((fy28_end-tgt_alt)/days_yr)*Sens!G20034+(1-((fy28_end-tgt_alt)/days_yr))*Sens!H20034)*m_game</f>
        <v>97.7561766184643</v>
      </c>
    </row>
    <row r="20048" customFormat="false" ht="17.15" hidden="false" customHeight="false" outlineLevel="0" collapsed="false">
      <c r="A20048" s="1" t="s">
        <v>1257</v>
      </c>
      <c r="B20048" s="0" t="s">
        <v>98</v>
      </c>
      <c r="C20048" s="6" t="n">
        <f aca="false">(((fy28_end-tgt_alt)/days_yr)*Sens!G20035+(1-((fy28_end-tgt_alt)/days_yr))*Sens!H20035)*m_pc</f>
        <v>91.2833157925328</v>
      </c>
    </row>
    <row r="20049" customFormat="false" ht="17.15" hidden="false" customHeight="false" outlineLevel="0" collapsed="false">
      <c r="A20049" s="1" t="s">
        <v>1258</v>
      </c>
      <c r="B20049" s="0" t="s">
        <v>98</v>
      </c>
      <c r="C20049" s="6" t="n">
        <f aca="false">Sens!$C$20039+Sens!$C$20041+Sens!$C$20042+Sens!$C$20043+Sens!$C$20044+Sens!$C$20045+Sens!$C$20046+Sens!$C$20047+Sens!$C$20048</f>
        <v>3559.65082867427</v>
      </c>
    </row>
    <row r="20050" customFormat="false" ht="17.15" hidden="false" customHeight="false" outlineLevel="0" collapsed="false">
      <c r="A20050" s="1" t="s">
        <v>1259</v>
      </c>
      <c r="B20050" s="0" t="s">
        <v>98</v>
      </c>
      <c r="C20050" s="6" t="n">
        <f aca="false">(Sens!G20011-Sens!G20036)*((tgt_alt-stub_d0)/days_yr)</f>
        <v>84.1964863428319</v>
      </c>
      <c r="L20050" s="1" t="s">
        <v>1260</v>
      </c>
    </row>
    <row r="20051" customFormat="false" ht="17.15" hidden="false" customHeight="false" outlineLevel="0" collapsed="false">
      <c r="A20051" s="1" t="s">
        <v>1169</v>
      </c>
      <c r="B20051" s="0" t="s">
        <v>98</v>
      </c>
      <c r="C20051" s="6" t="n">
        <f aca="false">CF!F39+oai_v-CF!F28+Sens!$C$20050</f>
        <v>198.424756342832</v>
      </c>
      <c r="L20051" s="1" t="s">
        <v>1261</v>
      </c>
    </row>
    <row r="20052" customFormat="false" ht="17.15" hidden="false" customHeight="false" outlineLevel="0" collapsed="false">
      <c r="A20052" s="1" t="s">
        <v>1262</v>
      </c>
      <c r="B20052" s="0" t="s">
        <v>75</v>
      </c>
      <c r="C20052" s="5" t="n">
        <f aca="false">(Sens!$C$20049+Sens!$C$20051)/(CF!F41+dil_gap)-CF!G31*2/q_per_yr</f>
        <v>499.64896245412</v>
      </c>
      <c r="L20052" s="1" t="s">
        <v>1263</v>
      </c>
    </row>
    <row r="20053" customFormat="false" ht="17.15" hidden="false" customHeight="false" outlineLevel="0" collapsed="false">
      <c r="A20053" s="1" t="s">
        <v>1264</v>
      </c>
      <c r="B20053" s="0" t="s">
        <v>75</v>
      </c>
      <c r="C20053" s="5" t="n">
        <f aca="false">w_dcf*Sens!$C$20023+(1-w_dcf)*Sens!$C$20052</f>
        <v>435.909524703</v>
      </c>
    </row>
    <row r="20054" customFormat="false" ht="17.15" hidden="false" customHeight="false" outlineLevel="0" collapsed="false">
      <c r="A20054" s="3" t="s">
        <v>1975</v>
      </c>
    </row>
    <row r="20055" customFormat="false" ht="15" hidden="false" customHeight="false" outlineLevel="0" collapsed="false">
      <c r="A20055" s="4" t="s">
        <v>43</v>
      </c>
      <c r="B20055" s="4" t="s">
        <v>65</v>
      </c>
      <c r="C20055" s="23" t="s">
        <v>938</v>
      </c>
      <c r="D20055" s="23" t="s">
        <v>939</v>
      </c>
      <c r="E20055" s="23" t="s">
        <v>940</v>
      </c>
      <c r="F20055" s="23" t="s">
        <v>941</v>
      </c>
      <c r="G20055" s="23" t="s">
        <v>942</v>
      </c>
      <c r="H20055" s="23" t="s">
        <v>943</v>
      </c>
      <c r="I20055" s="23" t="s">
        <v>944</v>
      </c>
      <c r="J20055" s="23" t="s">
        <v>945</v>
      </c>
      <c r="K20055" s="23" t="s">
        <v>946</v>
      </c>
      <c r="L20055" s="4" t="s">
        <v>47</v>
      </c>
    </row>
    <row r="20056" customFormat="false" ht="17.15" hidden="false" customHeight="false" outlineLevel="0" collapsed="false">
      <c r="A20056" s="1" t="s">
        <v>1212</v>
      </c>
      <c r="B20056" s="1" t="s">
        <v>279</v>
      </c>
      <c r="F20056" s="8" t="n">
        <f aca="false">(1-v_off)*mid_yr</f>
        <v>0.373972602739726</v>
      </c>
      <c r="G20056" s="8" t="n">
        <f aca="false">Thesis!G58-base_fy-mid_yr-v_off</f>
        <v>1.24794520547945</v>
      </c>
      <c r="H20056" s="8" t="n">
        <f aca="false">Thesis!H58-base_fy-mid_yr-v_off</f>
        <v>2.24794520547945</v>
      </c>
      <c r="I20056" s="8" t="n">
        <f aca="false">Thesis!I58-base_fy-mid_yr-v_off</f>
        <v>3.24794520547945</v>
      </c>
      <c r="J20056" s="8" t="n">
        <f aca="false">Thesis!J58-base_fy-mid_yr-v_off</f>
        <v>4.24794520547945</v>
      </c>
      <c r="K20056" s="8" t="n">
        <f aca="false">Thesis!K58-base_fy-mid_yr-v_off</f>
        <v>5.24794520547945</v>
      </c>
      <c r="L20056" s="12" t="s">
        <v>1213</v>
      </c>
    </row>
    <row r="20057" customFormat="false" ht="15" hidden="false" customHeight="false" outlineLevel="0" collapsed="false">
      <c r="A20057" s="1" t="s">
        <v>1214</v>
      </c>
      <c r="B20057" s="1" t="s">
        <v>279</v>
      </c>
      <c r="F20057" s="8" t="n">
        <f aca="false">Thesis!F58-base_fy-v_off</f>
        <v>0.747945205479452</v>
      </c>
      <c r="G20057" s="8" t="n">
        <f aca="false">Thesis!G58-base_fy-v_off</f>
        <v>1.74794520547945</v>
      </c>
      <c r="H20057" s="8" t="n">
        <f aca="false">Thesis!H58-base_fy-v_off</f>
        <v>2.74794520547945</v>
      </c>
      <c r="I20057" s="8" t="n">
        <f aca="false">Thesis!I58-base_fy-v_off</f>
        <v>3.74794520547945</v>
      </c>
      <c r="J20057" s="8" t="n">
        <f aca="false">Thesis!J58-base_fy-v_off</f>
        <v>4.74794520547945</v>
      </c>
      <c r="K20057" s="8" t="n">
        <f aca="false">Thesis!K58-base_fy-v_off</f>
        <v>5.74794520547945</v>
      </c>
    </row>
    <row r="20058" customFormat="false" ht="15" hidden="false" customHeight="false" outlineLevel="0" collapsed="false">
      <c r="A20058" s="1" t="s">
        <v>1215</v>
      </c>
      <c r="B20058" s="0" t="s">
        <v>229</v>
      </c>
      <c r="F20058" s="15" t="n">
        <f aca="false">1/(1+wacc)^Sens!F20056</f>
        <v>0.964022703286649</v>
      </c>
      <c r="G20058" s="15" t="n">
        <f aca="false">1/(1+wacc)^Sens!G20056</f>
        <v>0.884910302296739</v>
      </c>
      <c r="H20058" s="15" t="n">
        <f aca="false">1/(1+wacc)^Sens!H20056</f>
        <v>0.802322009770358</v>
      </c>
      <c r="I20058" s="15" t="n">
        <f aca="false">1/(1+wacc)^Sens!I20056</f>
        <v>0.727441646561469</v>
      </c>
      <c r="J20058" s="15" t="n">
        <f aca="false">1/(1+wacc)^Sens!J20056</f>
        <v>0.659549834988973</v>
      </c>
      <c r="K20058" s="15" t="n">
        <f aca="false">1/(1+wacc)^Sens!K20056</f>
        <v>0.597994336576966</v>
      </c>
    </row>
    <row r="20059" customFormat="false" ht="17.15" hidden="false" customHeight="false" outlineLevel="0" collapsed="false">
      <c r="A20059" s="1" t="s">
        <v>1216</v>
      </c>
      <c r="B20059" s="0" t="s">
        <v>98</v>
      </c>
      <c r="F20059" s="6" t="n">
        <f aca="false">Q!$I$35-Q!$I$39-Q!$I$43</f>
        <v>9.666</v>
      </c>
      <c r="L20059" s="12" t="s">
        <v>1217</v>
      </c>
    </row>
    <row r="20060" customFormat="false" ht="17.15" hidden="false" customHeight="false" outlineLevel="0" collapsed="false">
      <c r="A20060" s="1" t="s">
        <v>1218</v>
      </c>
      <c r="B20060" s="0" t="s">
        <v>98</v>
      </c>
      <c r="F20060" s="6" t="n">
        <f aca="false">CF!F55-CF!F52-CF!F59+Thesis!F99*(1-tax_f)*(1-v_off)-Sens!F20059</f>
        <v>-3.35959137570949</v>
      </c>
      <c r="G20060" s="6" t="n">
        <f aca="false">CF!G55-CF!G52-CF!G59+Thesis!G99*(1-tax_f)</f>
        <v>29.8084555066036</v>
      </c>
      <c r="H20060" s="6" t="n">
        <f aca="false">CF!H55-CF!H52-CF!H59+Thesis!H99*(1-tax_f)</f>
        <v>79.3231801478051</v>
      </c>
      <c r="I20060" s="6" t="n">
        <f aca="false">CF!I55-CF!I52-CF!I59+Thesis!I99*(1-tax_f)</f>
        <v>157.29132812061</v>
      </c>
      <c r="J20060" s="6" t="n">
        <f aca="false">CF!J55-CF!J52-CF!J59+Thesis!J99*(1-tax_f)</f>
        <v>235.537601843622</v>
      </c>
      <c r="K20060" s="6" t="n">
        <f aca="false">CF!K55-CF!K52-CF!K59+Thesis!K99*(1-tax_f)</f>
        <v>273.705067207806</v>
      </c>
      <c r="L20060" s="1" t="s">
        <v>1219</v>
      </c>
    </row>
    <row r="20061" customFormat="false" ht="15" hidden="false" customHeight="false" outlineLevel="0" collapsed="false">
      <c r="A20061" s="1" t="s">
        <v>1220</v>
      </c>
      <c r="B20061" s="0" t="s">
        <v>98</v>
      </c>
      <c r="F20061" s="6" t="n">
        <f aca="false">Sens!F20060*Sens!F20058</f>
        <v>-3.23872235994998</v>
      </c>
      <c r="G20061" s="6" t="n">
        <f aca="false">Sens!G20060*Sens!G20058</f>
        <v>26.3778093733475</v>
      </c>
      <c r="H20061" s="6" t="n">
        <f aca="false">Sens!H20060*Sens!H20058</f>
        <v>63.6427333175632</v>
      </c>
      <c r="I20061" s="6" t="n">
        <f aca="false">Sens!I20060*Sens!I20058</f>
        <v>114.420262717897</v>
      </c>
      <c r="J20061" s="6" t="n">
        <f aca="false">Sens!J20060*Sens!J20058</f>
        <v>155.348786429659</v>
      </c>
      <c r="K20061" s="6" t="n">
        <f aca="false">Sens!K20060*Sens!K20058</f>
        <v>163.674080082686</v>
      </c>
    </row>
    <row r="20062" customFormat="false" ht="17.15" hidden="false" customHeight="false" outlineLevel="0" collapsed="false">
      <c r="A20062" s="1" t="s">
        <v>1221</v>
      </c>
      <c r="B20062" s="0" t="s">
        <v>98</v>
      </c>
      <c r="C20062" s="6" t="n">
        <f aca="false">SUM(Sens!F20061:K20061)</f>
        <v>520.224949561203</v>
      </c>
    </row>
    <row r="20063" customFormat="false" ht="17.15" hidden="false" customHeight="false" outlineLevel="0" collapsed="false">
      <c r="A20063" s="1" t="s">
        <v>1222</v>
      </c>
      <c r="B20063" s="0" t="s">
        <v>98</v>
      </c>
      <c r="C20063" s="6" t="n">
        <f aca="false">PL!K78*(1+g_tv)*(1-tax_f)</f>
        <v>284.979534119394</v>
      </c>
    </row>
    <row r="20064" customFormat="false" ht="17.15" hidden="false" customHeight="false" outlineLevel="0" collapsed="false">
      <c r="A20064" s="1" t="s">
        <v>1223</v>
      </c>
      <c r="B20064" s="0" t="s">
        <v>98</v>
      </c>
      <c r="C20064" s="6" t="n">
        <f aca="false">Sens!$C$20063*(1-g_tv/(wacc+ronic_prem))</f>
        <v>201.924655916751</v>
      </c>
    </row>
    <row r="20065" customFormat="false" ht="17.15" hidden="false" customHeight="false" outlineLevel="0" collapsed="false">
      <c r="A20065" s="1" t="s">
        <v>1224</v>
      </c>
      <c r="B20065" s="0" t="s">
        <v>98</v>
      </c>
      <c r="C20065" s="6" t="n">
        <f aca="false">Sens!$C$20064/(wacc-g_tv)</f>
        <v>2768.49594008808</v>
      </c>
    </row>
    <row r="20066" customFormat="false" ht="15" hidden="false" customHeight="false" outlineLevel="0" collapsed="false">
      <c r="A20066" s="1" t="s">
        <v>1225</v>
      </c>
      <c r="B20066" s="0" t="s">
        <v>98</v>
      </c>
      <c r="C20066" s="6" t="n">
        <f aca="false">Sens!$C$20065/(1+wacc)^Sens!K20057</f>
        <v>1576.39732546142</v>
      </c>
    </row>
    <row r="20067" customFormat="false" ht="17.15" hidden="false" customHeight="false" outlineLevel="0" collapsed="false">
      <c r="A20067" s="0" t="s">
        <v>1226</v>
      </c>
      <c r="B20067" s="0" t="s">
        <v>98</v>
      </c>
      <c r="C20067" s="6" t="n">
        <f aca="false">Sens!$C$20062+Sens!$C$20066</f>
        <v>2096.62227502262</v>
      </c>
    </row>
    <row r="20068" customFormat="false" ht="15" hidden="false" customHeight="false" outlineLevel="0" collapsed="false">
      <c r="A20068" s="1" t="s">
        <v>1141</v>
      </c>
      <c r="B20068" s="0" t="s">
        <v>168</v>
      </c>
      <c r="C20068" s="7" t="n">
        <f aca="false">Sens!$C$20066/Sens!$C$20067</f>
        <v>0.751874738831729</v>
      </c>
    </row>
    <row r="20069" customFormat="false" ht="17.15" hidden="false" customHeight="false" outlineLevel="0" collapsed="false">
      <c r="A20069" s="1" t="s">
        <v>1227</v>
      </c>
      <c r="B20069" s="0" t="s">
        <v>98</v>
      </c>
      <c r="C20069" s="6" t="n">
        <f aca="false">Sens!$C$20067+cash_val-debt_val-fl_val+oai_v</f>
        <v>2212.47327502262</v>
      </c>
    </row>
    <row r="20070" customFormat="false" ht="17.15" hidden="false" customHeight="false" outlineLevel="0" collapsed="false">
      <c r="A20070" s="0" t="s">
        <v>1149</v>
      </c>
      <c r="B20070" s="0" t="s">
        <v>75</v>
      </c>
      <c r="C20070" s="5" t="n">
        <f aca="false">Sens!$C$20069/shd_val</f>
        <v>297.13581453433</v>
      </c>
    </row>
    <row r="20071" customFormat="false" ht="15" hidden="false" customHeight="false" outlineLevel="0" collapsed="false">
      <c r="A20071" s="1" t="s">
        <v>1228</v>
      </c>
      <c r="B20071" s="0" t="s">
        <v>75</v>
      </c>
      <c r="C20071" s="8" t="n">
        <f aca="false">div_rem27+CF!G63*2/q_per_yr</f>
        <v>5.019</v>
      </c>
    </row>
    <row r="20072" customFormat="false" ht="17.15" hidden="false" customHeight="false" outlineLevel="0" collapsed="false">
      <c r="A20072" s="0" t="s">
        <v>1229</v>
      </c>
      <c r="B20072" s="0" t="s">
        <v>75</v>
      </c>
      <c r="C20072" s="5" t="n">
        <f aca="false">Sens!$C$20070*(1+wacc)^((tgt_alt-roll_d1)/days_yr)-Sens!$C$20071</f>
        <v>333.340356335143</v>
      </c>
    </row>
    <row r="20073" customFormat="false" ht="17.15" hidden="false" customHeight="false" outlineLevel="0" collapsed="false">
      <c r="A20073" s="1" t="s">
        <v>1230</v>
      </c>
      <c r="B20073" s="0" t="s">
        <v>168</v>
      </c>
      <c r="F20073" s="7" t="n">
        <f aca="false">CF!F49/(Seg!F56-Thesis!F77)</f>
        <v>0.0686195668908011</v>
      </c>
      <c r="G20073" s="7" t="n">
        <f aca="false">CF!G49/(Seg!G56-Thesis!G77)</f>
        <v>0.0658333569148391</v>
      </c>
      <c r="H20073" s="7" t="n">
        <f aca="false">CF!H49/(Seg!H56-Thesis!H77)</f>
        <v>0.0643895625218926</v>
      </c>
      <c r="I20073" s="7" t="n">
        <f aca="false">CF!I49/(Seg!I56-Thesis!I77)</f>
        <v>0.0641676618157989</v>
      </c>
      <c r="J20073" s="7" t="n">
        <f aca="false">CF!J49/(Seg!J56-Thesis!J77)</f>
        <v>0.0648858606572163</v>
      </c>
      <c r="K20073" s="7" t="n">
        <f aca="false">CF!K49/(Seg!K56-Thesis!K77)</f>
        <v>0.0661974425163768</v>
      </c>
    </row>
    <row r="20074" customFormat="false" ht="17.15" hidden="false" customHeight="false" outlineLevel="0" collapsed="false">
      <c r="A20074" s="0" t="s">
        <v>1231</v>
      </c>
      <c r="B20074" s="0" t="s">
        <v>98</v>
      </c>
      <c r="F20074" s="6" t="n">
        <f aca="false">Seg!F41*(al_m365+Sens!F20073+sbc_r)</f>
        <v>83.7205619248671</v>
      </c>
      <c r="G20074" s="6" t="n">
        <f aca="false">Seg!G41*(al_m365+Sens!G20073+sbc_r)</f>
        <v>96.1301303332381</v>
      </c>
      <c r="H20074" s="6" t="n">
        <f aca="false">Seg!H41*(al_m365+Sens!H20073+sbc_r)</f>
        <v>108.70354073822</v>
      </c>
      <c r="I20074" s="6" t="n">
        <f aca="false">Seg!I41*(al_m365+Sens!I20073+sbc_r)</f>
        <v>120.260101315626</v>
      </c>
      <c r="J20074" s="6" t="n">
        <f aca="false">Seg!J41*(al_m365+Sens!J20073+sbc_r)</f>
        <v>130.611904548619</v>
      </c>
      <c r="K20074" s="6" t="n">
        <f aca="false">Seg!K41*(al_m365+Sens!K20073+sbc_r)</f>
        <v>140.575094974638</v>
      </c>
      <c r="L20074" s="12" t="s">
        <v>1232</v>
      </c>
    </row>
    <row r="20075" customFormat="false" ht="17.15" hidden="false" customHeight="false" outlineLevel="0" collapsed="false">
      <c r="A20075" s="0" t="s">
        <v>1233</v>
      </c>
      <c r="B20075" s="0" t="s">
        <v>98</v>
      </c>
      <c r="F20075" s="6" t="n">
        <f aca="false">Seg!F42*(al_lic+Sens!F20073+sbc_r)</f>
        <v>32.8577657183496</v>
      </c>
      <c r="G20075" s="6" t="n">
        <f aca="false">Seg!G42*(al_lic+Sens!G20073+sbc_r)</f>
        <v>34.1376266324889</v>
      </c>
      <c r="H20075" s="6" t="n">
        <f aca="false">Seg!H42*(al_lic+Sens!H20073+sbc_r)</f>
        <v>35.3325744664128</v>
      </c>
      <c r="I20075" s="6" t="n">
        <f aca="false">Seg!I42*(al_lic+Sens!I20073+sbc_r)</f>
        <v>36.4244749008727</v>
      </c>
      <c r="J20075" s="6" t="n">
        <f aca="false">Seg!J42*(al_lic+Sens!J20073+sbc_r)</f>
        <v>37.3879406068527</v>
      </c>
      <c r="K20075" s="6" t="n">
        <f aca="false">Seg!K42*(al_lic+Sens!K20073+sbc_r)</f>
        <v>38.1943876078259</v>
      </c>
    </row>
    <row r="20076" customFormat="false" ht="17.15" hidden="false" customHeight="false" outlineLevel="0" collapsed="false">
      <c r="A20076" s="0" t="s">
        <v>1234</v>
      </c>
      <c r="B20076" s="0" t="s">
        <v>98</v>
      </c>
      <c r="F20076" s="6" t="n">
        <f aca="false">Seg!F44*(al_ind+Sens!F20073+sbc_r)</f>
        <v>9.06041701092022</v>
      </c>
      <c r="G20076" s="6" t="n">
        <f aca="false">Seg!G44*(al_ind+Sens!G20073+sbc_r)</f>
        <v>9.83619082712885</v>
      </c>
      <c r="H20076" s="6" t="n">
        <f aca="false">Seg!H44*(al_ind+Sens!H20073+sbc_r)</f>
        <v>10.6570160105312</v>
      </c>
      <c r="I20076" s="6" t="n">
        <f aca="false">Seg!I44*(al_ind+Sens!I20073+sbc_r)</f>
        <v>11.5198571637125</v>
      </c>
      <c r="J20076" s="6" t="n">
        <f aca="false">Seg!J44*(al_ind+Sens!J20073+sbc_r)</f>
        <v>12.4150086539206</v>
      </c>
      <c r="K20076" s="6" t="n">
        <f aca="false">Seg!K44*(al_ind+Sens!K20073+sbc_r)</f>
        <v>13.3273714589988</v>
      </c>
    </row>
    <row r="20077" customFormat="false" ht="17.15" hidden="false" customHeight="false" outlineLevel="0" collapsed="false">
      <c r="A20077" s="0" t="s">
        <v>1235</v>
      </c>
      <c r="B20077" s="0" t="s">
        <v>98</v>
      </c>
      <c r="F20077" s="6" t="n">
        <f aca="false">Seg!F46*(al_fro+Sens!F20073+sbc_r)</f>
        <v>3.55402950182022</v>
      </c>
      <c r="G20077" s="6" t="n">
        <f aca="false">Seg!G46*(al_fro+Sens!G20073+sbc_r)</f>
        <v>3.76361488926481</v>
      </c>
      <c r="H20077" s="6" t="n">
        <f aca="false">Seg!H46*(al_fro+Sens!H20073+sbc_r)</f>
        <v>4.00220968879544</v>
      </c>
      <c r="I20077" s="6" t="n">
        <f aca="false">Seg!I46*(al_fro+Sens!I20073+sbc_r)</f>
        <v>4.2725765173852</v>
      </c>
      <c r="J20077" s="6" t="n">
        <f aca="false">Seg!J46*(al_fro+Sens!J20073+sbc_r)</f>
        <v>4.57586224390293</v>
      </c>
      <c r="K20077" s="6" t="n">
        <f aca="false">Seg!K46*(al_fro+Sens!K20073+sbc_r)</f>
        <v>4.91213639633217</v>
      </c>
    </row>
    <row r="20078" customFormat="false" ht="17.15" hidden="false" customHeight="false" outlineLevel="0" collapsed="false">
      <c r="A20078" s="0" t="s">
        <v>1236</v>
      </c>
      <c r="B20078" s="0" t="s">
        <v>98</v>
      </c>
      <c r="F20078" s="6" t="n">
        <f aca="false">Seg!F49*(al_srch+Sens!F20073+sbc_r)</f>
        <v>11.1890902994147</v>
      </c>
      <c r="G20078" s="6" t="n">
        <f aca="false">Seg!G49*(al_srch+Sens!G20073+sbc_r)</f>
        <v>12.261738891803</v>
      </c>
      <c r="H20078" s="6" t="n">
        <f aca="false">Seg!H49*(al_srch+Sens!H20073+sbc_r)</f>
        <v>13.3794863429193</v>
      </c>
      <c r="I20078" s="6" t="n">
        <f aca="false">Seg!I49*(al_srch+Sens!I20073+sbc_r)</f>
        <v>14.5317114787784</v>
      </c>
      <c r="J20078" s="6" t="n">
        <f aca="false">Seg!J49*(al_srch+Sens!J20073+sbc_r)</f>
        <v>15.6984365817724</v>
      </c>
      <c r="K20078" s="6" t="n">
        <f aca="false">Seg!K49*(al_srch+Sens!K20073+sbc_r)</f>
        <v>16.8520942258664</v>
      </c>
    </row>
    <row r="20079" customFormat="false" ht="17.15" hidden="false" customHeight="false" outlineLevel="0" collapsed="false">
      <c r="A20079" s="0" t="s">
        <v>1237</v>
      </c>
      <c r="B20079" s="0" t="s">
        <v>98</v>
      </c>
      <c r="F20079" s="6" t="n">
        <f aca="false">Thesis!F83-Thesis!F84+Thesis!F99</f>
        <v>42.5431090240393</v>
      </c>
      <c r="G20079" s="6" t="n">
        <f aca="false">Thesis!G83-Thesis!G84+Thesis!G99</f>
        <v>81.4922561130847</v>
      </c>
      <c r="H20079" s="6" t="n">
        <f aca="false">Thesis!H83-Thesis!H84+Thesis!H99</f>
        <v>123.278266211349</v>
      </c>
      <c r="I20079" s="6" t="n">
        <f aca="false">Thesis!I83-Thesis!I84+Thesis!I99</f>
        <v>160.60594185192</v>
      </c>
      <c r="J20079" s="6" t="n">
        <f aca="false">Thesis!J83-Thesis!J84+Thesis!J99</f>
        <v>186.818741832633</v>
      </c>
      <c r="K20079" s="6" t="n">
        <f aca="false">Thesis!K83-Thesis!K84+Thesis!K99</f>
        <v>202.776422159652</v>
      </c>
    </row>
    <row r="20080" customFormat="false" ht="17.15" hidden="false" customHeight="false" outlineLevel="0" collapsed="false">
      <c r="A20080" s="0" t="s">
        <v>1238</v>
      </c>
      <c r="B20080" s="0" t="s">
        <v>98</v>
      </c>
      <c r="F20080" s="6" t="n">
        <f aca="false">PL!F71+Thesis!F99+Thesis!F95+Sens!F20073*(Seg!F48-Thesis!F77)+sbc_r*Seg!F48</f>
        <v>238.090727427296</v>
      </c>
      <c r="G20080" s="6" t="n">
        <f aca="false">PL!G71+Thesis!G99+Thesis!G95+Sens!G20073*(Seg!G48-Thesis!G77)+sbc_r*Seg!G48</f>
        <v>299.90836088563</v>
      </c>
      <c r="H20080" s="6" t="n">
        <f aca="false">PL!H71+Thesis!H99+Thesis!H95+Sens!H20073*(Seg!H48-Thesis!H77)+sbc_r*Seg!H48</f>
        <v>369.457709442386</v>
      </c>
      <c r="I20080" s="6" t="n">
        <f aca="false">PL!I71+Thesis!I99+Thesis!I95+Sens!I20073*(Seg!I48-Thesis!I77)+sbc_r*Seg!I48</f>
        <v>433.16585128823</v>
      </c>
      <c r="J20080" s="6" t="n">
        <f aca="false">PL!J71+Thesis!J99+Thesis!J95+Sens!J20073*(Seg!J48-Thesis!J77)+sbc_r*Seg!J48</f>
        <v>483.301303131191</v>
      </c>
      <c r="K20080" s="6" t="n">
        <f aca="false">PL!K71+Thesis!K99+Thesis!K95+Sens!K20073*(Seg!K48-Thesis!K77)+sbc_r*Seg!K48</f>
        <v>520.789002205336</v>
      </c>
    </row>
    <row r="20081" customFormat="false" ht="17.15" hidden="false" customHeight="false" outlineLevel="0" collapsed="false">
      <c r="A20081" s="0" t="s">
        <v>1239</v>
      </c>
      <c r="B20081" s="0" t="s">
        <v>98</v>
      </c>
      <c r="F20081" s="6" t="n">
        <f aca="false">Sens!F20080-Sens!F20074-Sens!F20075-Sens!F20076-Sens!F20077-Sens!F20079</f>
        <v>66.3548442472996</v>
      </c>
      <c r="G20081" s="6" t="n">
        <f aca="false">Sens!G20080-Sens!G20074-Sens!G20075-Sens!G20076-Sens!G20077-Sens!G20079</f>
        <v>74.548542090425</v>
      </c>
      <c r="H20081" s="6" t="n">
        <f aca="false">Sens!H20080-Sens!H20074-Sens!H20075-Sens!H20076-Sens!H20077-Sens!H20079</f>
        <v>87.4841023270775</v>
      </c>
      <c r="I20081" s="6" t="n">
        <f aca="false">Sens!I20080-Sens!I20074-Sens!I20075-Sens!I20076-Sens!I20077-Sens!I20079</f>
        <v>100.082899538713</v>
      </c>
      <c r="J20081" s="6" t="n">
        <f aca="false">Sens!J20080-Sens!J20074-Sens!J20075-Sens!J20076-Sens!J20077-Sens!J20079</f>
        <v>111.491845245262</v>
      </c>
      <c r="K20081" s="6" t="n">
        <f aca="false">Sens!K20080-Sens!K20074-Sens!K20075-Sens!K20076-Sens!K20077-Sens!K20079</f>
        <v>121.003589607889</v>
      </c>
    </row>
    <row r="20082" customFormat="false" ht="17.15" hidden="false" customHeight="false" outlineLevel="0" collapsed="false">
      <c r="A20082" s="0" t="s">
        <v>1240</v>
      </c>
      <c r="B20082" s="0" t="s">
        <v>98</v>
      </c>
      <c r="F20082" s="6" t="n">
        <f aca="false">PL!F73+Sens!F20073*Seg!F55+sbc_r*Seg!F55</f>
        <v>26.6336365855879</v>
      </c>
      <c r="G20082" s="6" t="n">
        <f aca="false">PL!G73+Sens!G20073*Seg!G55+sbc_r*Seg!G55</f>
        <v>26.4720859498625</v>
      </c>
      <c r="H20082" s="6" t="n">
        <f aca="false">PL!H73+Sens!H20073*Seg!H55+sbc_r*Seg!H55</f>
        <v>27.346793021284</v>
      </c>
      <c r="I20082" s="6" t="n">
        <f aca="false">PL!I73+Sens!I20073*Seg!I55+sbc_r*Seg!I55</f>
        <v>28.4574657863154</v>
      </c>
      <c r="J20082" s="6" t="n">
        <f aca="false">PL!J73+Sens!J20073*Seg!J55+sbc_r*Seg!J55</f>
        <v>29.7689890546037</v>
      </c>
      <c r="K20082" s="6" t="n">
        <f aca="false">PL!K73+Sens!K20073*Seg!K55+sbc_r*Seg!K55</f>
        <v>31.2443947307494</v>
      </c>
    </row>
    <row r="20083" customFormat="false" ht="17.15" hidden="false" customHeight="false" outlineLevel="0" collapsed="false">
      <c r="A20083" s="0" t="s">
        <v>1241</v>
      </c>
      <c r="B20083" s="0" t="s">
        <v>98</v>
      </c>
      <c r="F20083" s="6" t="n">
        <f aca="false">(Sens!F20082-Sens!F20078)*Seg!F51/(Seg!F51+Seg!F53)</f>
        <v>8.72285608232241</v>
      </c>
      <c r="G20083" s="6" t="n">
        <f aca="false">(Sens!G20082-Sens!G20078)*Seg!G51/(Seg!G51+Seg!G53)</f>
        <v>7.88786455444355</v>
      </c>
      <c r="H20083" s="6" t="n">
        <f aca="false">(Sens!H20082-Sens!H20078)*Seg!H51/(Seg!H51+Seg!H53)</f>
        <v>7.65195986819674</v>
      </c>
      <c r="I20083" s="6" t="n">
        <f aca="false">(Sens!I20082-Sens!I20078)*Seg!I51/(Seg!I51+Seg!I53)</f>
        <v>7.56260440676676</v>
      </c>
      <c r="J20083" s="6" t="n">
        <f aca="false">(Sens!J20082-Sens!J20078)*Seg!J51/(Seg!J51+Seg!J53)</f>
        <v>7.60790100885945</v>
      </c>
      <c r="K20083" s="6" t="n">
        <f aca="false">(Sens!K20082-Sens!K20078)*Seg!K51/(Seg!K51+Seg!K53)</f>
        <v>7.78186910160995</v>
      </c>
    </row>
    <row r="20084" customFormat="false" ht="17.15" hidden="false" customHeight="false" outlineLevel="0" collapsed="false">
      <c r="A20084" s="0" t="s">
        <v>1242</v>
      </c>
      <c r="B20084" s="0" t="s">
        <v>98</v>
      </c>
      <c r="F20084" s="6" t="n">
        <f aca="false">Sens!F20082-Sens!F20078-Sens!F20083</f>
        <v>6.72169020385088</v>
      </c>
      <c r="G20084" s="6" t="n">
        <f aca="false">Sens!G20082-Sens!G20078-Sens!G20083</f>
        <v>6.322482503616</v>
      </c>
      <c r="H20084" s="6" t="n">
        <f aca="false">Sens!H20082-Sens!H20078-Sens!H20083</f>
        <v>6.315346810168</v>
      </c>
      <c r="I20084" s="6" t="n">
        <f aca="false">Sens!I20082-Sens!I20078-Sens!I20083</f>
        <v>6.36314990077033</v>
      </c>
      <c r="J20084" s="6" t="n">
        <f aca="false">Sens!J20082-Sens!J20078-Sens!J20083</f>
        <v>6.46265146397189</v>
      </c>
      <c r="K20084" s="6" t="n">
        <f aca="false">Sens!K20082-Sens!K20078-Sens!K20083</f>
        <v>6.61043140327304</v>
      </c>
    </row>
    <row r="20085" customFormat="false" ht="17.15" hidden="false" customHeight="false" outlineLevel="0" collapsed="false">
      <c r="A20085" s="0" t="s">
        <v>1243</v>
      </c>
      <c r="B20085" s="0" t="s">
        <v>98</v>
      </c>
      <c r="F20085" s="6" t="n">
        <f aca="false">Sens!F20079-tax_f*(Sens!F20079-Thesis!F95)-Thesis!F92</f>
        <v>-127.503553927218</v>
      </c>
      <c r="G20085" s="6" t="n">
        <f aca="false">Sens!G20079-tax_f*(Sens!G20079-Thesis!G95)-Thesis!G92</f>
        <v>-114.603772628121</v>
      </c>
      <c r="H20085" s="6" t="n">
        <f aca="false">Sens!H20079-tax_f*(Sens!H20079-Thesis!H95)-Thesis!H92</f>
        <v>-80.3633729631438</v>
      </c>
      <c r="I20085" s="6" t="n">
        <f aca="false">Sens!I20079-tax_f*(Sens!I20079-Thesis!I95)-Thesis!I92</f>
        <v>-17.2838782011649</v>
      </c>
      <c r="J20085" s="6" t="n">
        <f aca="false">Sens!J20079-tax_f*(Sens!J20079-Thesis!J95)-Thesis!J92</f>
        <v>46.9281968800854</v>
      </c>
      <c r="K20085" s="6" t="n">
        <f aca="false">Sens!K20079-tax_f*(Sens!K20079-Thesis!K95)-Thesis!K92</f>
        <v>71.8608185731755</v>
      </c>
    </row>
    <row r="20086" customFormat="false" ht="17.15" hidden="false" customHeight="false" outlineLevel="0" collapsed="false">
      <c r="A20086" s="0" t="s">
        <v>1244</v>
      </c>
      <c r="B20086" s="0" t="s">
        <v>98</v>
      </c>
      <c r="G20086" s="6" t="n">
        <f aca="false">Sens!G20085/(1+wacc)^(Sens!G20056-Sens!F20057)</f>
        <v>-109.124845494465</v>
      </c>
      <c r="H20086" s="6" t="n">
        <f aca="false">Sens!H20085/(1+wacc)^(Sens!H20056-Sens!F20057)</f>
        <v>-69.3796874071025</v>
      </c>
      <c r="I20086" s="6" t="n">
        <f aca="false">Sens!I20085/(1+wacc)^(Sens!I20056-Sens!F20057)</f>
        <v>-13.5289731380471</v>
      </c>
      <c r="J20086" s="6" t="n">
        <f aca="false">Sens!J20085/(1+wacc)^(Sens!J20056-Sens!F20057)</f>
        <v>33.3048099587126</v>
      </c>
      <c r="K20086" s="6" t="n">
        <f aca="false">Sens!K20085/(1+wacc)^(Sens!K20056-Sens!F20057)</f>
        <v>46.2396679904913</v>
      </c>
      <c r="L20086" s="1" t="s">
        <v>1245</v>
      </c>
    </row>
    <row r="20087" customFormat="false" ht="17.15" hidden="false" customHeight="false" outlineLevel="0" collapsed="false">
      <c r="A20087" s="0" t="s">
        <v>1246</v>
      </c>
      <c r="B20087" s="0" t="s">
        <v>98</v>
      </c>
      <c r="C20087" s="6" t="n">
        <f aca="false">(Sens!K20079-Thesis!K95)*(1-tax_f)*(1+g_tv)*(1-g_tv/(wacc+ronic_prem))/(wacc-g_tv)/(1+wacc)^(Sens!K20057-Sens!F20057)</f>
        <v>293.118051086843</v>
      </c>
    </row>
    <row r="20088" customFormat="false" ht="17.15" hidden="false" customHeight="false" outlineLevel="0" collapsed="false">
      <c r="A20088" s="1" t="s">
        <v>1247</v>
      </c>
      <c r="B20088" s="0" t="s">
        <v>98</v>
      </c>
      <c r="C20088" s="6" t="n">
        <f aca="false">(SUM(Sens!G20086:K20086)+Sens!$C$20087)*(1+wacc)^(((tgt_alt-roll_d1)/days_yr)-Sens!F20057)</f>
        <v>191.154816454026</v>
      </c>
      <c r="L20088" s="12" t="s">
        <v>1248</v>
      </c>
    </row>
    <row r="20089" customFormat="false" ht="17.15" hidden="false" customHeight="false" outlineLevel="0" collapsed="false">
      <c r="A20089" s="1" t="s">
        <v>1249</v>
      </c>
      <c r="B20089" s="0" t="s">
        <v>98</v>
      </c>
      <c r="C20089" s="6" t="n">
        <f aca="false">(((fy28_end-tgt_alt)/days_yr)*Thesis!G83+(1-((fy28_end-tgt_alt)/days_yr))*Thesis!H83)*m_ai</f>
        <v>507.624178225377</v>
      </c>
    </row>
    <row r="20090" customFormat="false" ht="17.15" hidden="false" customHeight="false" outlineLevel="0" collapsed="false">
      <c r="A20090" s="1" t="s">
        <v>1250</v>
      </c>
      <c r="B20090" s="0" t="s">
        <v>98</v>
      </c>
      <c r="C20090" s="6" t="n">
        <f aca="false">(((fy28_end-tgt_alt)/days_yr)*Sens!G20081+(1-((fy28_end-tgt_alt)/days_yr))*Sens!H20081)*m_cloud</f>
        <v>1133.11450352204</v>
      </c>
    </row>
    <row r="20091" customFormat="false" ht="17.15" hidden="false" customHeight="false" outlineLevel="0" collapsed="false">
      <c r="A20091" s="1" t="s">
        <v>1251</v>
      </c>
      <c r="B20091" s="0" t="s">
        <v>98</v>
      </c>
      <c r="C20091" s="6" t="n">
        <f aca="false">(((fy28_end-tgt_alt)/days_yr)*Sens!G20074+(1-((fy28_end-tgt_alt)/days_yr))*Sens!H20074)*m_sw</f>
        <v>1116.33279060856</v>
      </c>
    </row>
    <row r="20092" customFormat="false" ht="17.15" hidden="false" customHeight="false" outlineLevel="0" collapsed="false">
      <c r="A20092" s="1" t="s">
        <v>1252</v>
      </c>
      <c r="B20092" s="0" t="s">
        <v>98</v>
      </c>
      <c r="C20092" s="6" t="n">
        <f aca="false">(((fy28_end-tgt_alt)/days_yr)*Sens!G20075+(1-((fy28_end-tgt_alt)/days_yr))*Sens!H20075)*m_sw</f>
        <v>376.111413349618</v>
      </c>
    </row>
    <row r="20093" customFormat="false" ht="17.15" hidden="false" customHeight="false" outlineLevel="0" collapsed="false">
      <c r="A20093" s="1" t="s">
        <v>1253</v>
      </c>
      <c r="B20093" s="0" t="s">
        <v>98</v>
      </c>
      <c r="C20093" s="6" t="n">
        <f aca="false">(((fy28_end-tgt_alt)/days_yr)*Sens!G20076+(1-((fy28_end-tgt_alt)/days_yr))*Sens!H20076)*m_sw</f>
        <v>111.331221250681</v>
      </c>
    </row>
    <row r="20094" customFormat="false" ht="17.15" hidden="false" customHeight="false" outlineLevel="0" collapsed="false">
      <c r="A20094" s="1" t="s">
        <v>1254</v>
      </c>
      <c r="B20094" s="0" t="s">
        <v>98</v>
      </c>
      <c r="C20094" s="6" t="n">
        <f aca="false">(((fy28_end-tgt_alt)/days_yr)*Sens!G20077+(1-((fy28_end-tgt_alt)/days_yr))*Sens!H20077)*m_sw</f>
        <v>42.1295969830612</v>
      </c>
    </row>
    <row r="20095" customFormat="false" ht="17.15" hidden="false" customHeight="false" outlineLevel="0" collapsed="false">
      <c r="A20095" s="1" t="s">
        <v>1255</v>
      </c>
      <c r="B20095" s="0" t="s">
        <v>98</v>
      </c>
      <c r="C20095" s="6" t="n">
        <f aca="false">(((fy28_end-tgt_alt)/days_yr)*Sens!G20078+(1-((fy28_end-tgt_alt)/days_yr))*Sens!H20078)*m_ads</f>
        <v>117.562969109066</v>
      </c>
    </row>
    <row r="20096" customFormat="false" ht="17.15" hidden="false" customHeight="false" outlineLevel="0" collapsed="false">
      <c r="A20096" s="1" t="s">
        <v>1256</v>
      </c>
      <c r="B20096" s="0" t="s">
        <v>98</v>
      </c>
      <c r="C20096" s="6" t="n">
        <f aca="false">(((fy28_end-tgt_alt)/days_yr)*Sens!G20083+(1-((fy28_end-tgt_alt)/days_yr))*Sens!H20083)*m_game</f>
        <v>97.9095101463689</v>
      </c>
    </row>
    <row r="20097" customFormat="false" ht="17.15" hidden="false" customHeight="false" outlineLevel="0" collapsed="false">
      <c r="A20097" s="1" t="s">
        <v>1257</v>
      </c>
      <c r="B20097" s="0" t="s">
        <v>98</v>
      </c>
      <c r="C20097" s="6" t="n">
        <f aca="false">(((fy28_end-tgt_alt)/days_yr)*Sens!G20084+(1-((fy28_end-tgt_alt)/days_yr))*Sens!H20084)*m_pc</f>
        <v>91.4269157131305</v>
      </c>
    </row>
    <row r="20098" customFormat="false" ht="17.15" hidden="false" customHeight="false" outlineLevel="0" collapsed="false">
      <c r="A20098" s="1" t="s">
        <v>1258</v>
      </c>
      <c r="B20098" s="0" t="s">
        <v>98</v>
      </c>
      <c r="C20098" s="6" t="n">
        <f aca="false">Sens!$C$20088+Sens!$C$20090+Sens!$C$20091+Sens!$C$20092+Sens!$C$20093+Sens!$C$20094+Sens!$C$20095+Sens!$C$20096+Sens!$C$20097</f>
        <v>3277.07373713655</v>
      </c>
    </row>
    <row r="20099" customFormat="false" ht="17.15" hidden="false" customHeight="false" outlineLevel="0" collapsed="false">
      <c r="A20099" s="1" t="s">
        <v>1259</v>
      </c>
      <c r="B20099" s="0" t="s">
        <v>98</v>
      </c>
      <c r="C20099" s="6" t="n">
        <f aca="false">(Sens!G20060-Sens!G20085)*((tgt_alt-stub_d0)/days_yr)</f>
        <v>83.4821373600735</v>
      </c>
      <c r="L20099" s="1" t="s">
        <v>1260</v>
      </c>
    </row>
    <row r="20100" customFormat="false" ht="17.15" hidden="false" customHeight="false" outlineLevel="0" collapsed="false">
      <c r="A20100" s="1" t="s">
        <v>1169</v>
      </c>
      <c r="B20100" s="0" t="s">
        <v>98</v>
      </c>
      <c r="C20100" s="6" t="n">
        <f aca="false">CF!F71+oai_v-CF!F60+Sens!$C$20099</f>
        <v>197.710407360073</v>
      </c>
      <c r="L20100" s="1" t="s">
        <v>1261</v>
      </c>
    </row>
    <row r="20101" customFormat="false" ht="17.15" hidden="false" customHeight="false" outlineLevel="0" collapsed="false">
      <c r="A20101" s="1" t="s">
        <v>1262</v>
      </c>
      <c r="B20101" s="0" t="s">
        <v>75</v>
      </c>
      <c r="C20101" s="5" t="n">
        <f aca="false">(Sens!$C$20098+Sens!$C$20100)/(CF!F73+dil_gap)-CF!G63*2/q_per_yr</f>
        <v>461.5031324963</v>
      </c>
      <c r="L20101" s="1" t="s">
        <v>1263</v>
      </c>
    </row>
    <row r="20102" customFormat="false" ht="17.15" hidden="false" customHeight="false" outlineLevel="0" collapsed="false">
      <c r="A20102" s="1" t="s">
        <v>1264</v>
      </c>
      <c r="B20102" s="0" t="s">
        <v>75</v>
      </c>
      <c r="C20102" s="5" t="n">
        <f aca="false">w_dcf*Sens!$C$20072+(1-w_dcf)*Sens!$C$20101</f>
        <v>397.421744415722</v>
      </c>
    </row>
    <row r="20103" customFormat="false" ht="17.15" hidden="false" customHeight="false" outlineLevel="0" collapsed="false">
      <c r="A20103" s="3" t="s">
        <v>1976</v>
      </c>
    </row>
    <row r="20104" customFormat="false" ht="15" hidden="false" customHeight="false" outlineLevel="0" collapsed="false">
      <c r="A20104" s="4" t="s">
        <v>43</v>
      </c>
      <c r="B20104" s="4" t="s">
        <v>65</v>
      </c>
      <c r="C20104" s="23" t="s">
        <v>938</v>
      </c>
      <c r="D20104" s="23" t="s">
        <v>939</v>
      </c>
      <c r="E20104" s="23" t="s">
        <v>940</v>
      </c>
      <c r="F20104" s="23" t="s">
        <v>941</v>
      </c>
      <c r="G20104" s="23" t="s">
        <v>942</v>
      </c>
      <c r="H20104" s="23" t="s">
        <v>943</v>
      </c>
      <c r="I20104" s="23" t="s">
        <v>944</v>
      </c>
      <c r="J20104" s="23" t="s">
        <v>945</v>
      </c>
      <c r="K20104" s="23" t="s">
        <v>946</v>
      </c>
      <c r="L20104" s="4" t="s">
        <v>47</v>
      </c>
    </row>
    <row r="20105" customFormat="false" ht="17.15" hidden="false" customHeight="false" outlineLevel="0" collapsed="false">
      <c r="A20105" s="1" t="s">
        <v>1212</v>
      </c>
      <c r="B20105" s="1" t="s">
        <v>279</v>
      </c>
      <c r="F20105" s="8" t="n">
        <f aca="false">(1-v_off)*mid_yr</f>
        <v>0.373972602739726</v>
      </c>
      <c r="G20105" s="8" t="n">
        <f aca="false">Thesis!G110-base_fy-mid_yr-v_off</f>
        <v>1.24794520547945</v>
      </c>
      <c r="H20105" s="8" t="n">
        <f aca="false">Thesis!H110-base_fy-mid_yr-v_off</f>
        <v>2.24794520547945</v>
      </c>
      <c r="I20105" s="8" t="n">
        <f aca="false">Thesis!I110-base_fy-mid_yr-v_off</f>
        <v>3.24794520547945</v>
      </c>
      <c r="J20105" s="8" t="n">
        <f aca="false">Thesis!J110-base_fy-mid_yr-v_off</f>
        <v>4.24794520547945</v>
      </c>
      <c r="K20105" s="8" t="n">
        <f aca="false">Thesis!K110-base_fy-mid_yr-v_off</f>
        <v>5.24794520547945</v>
      </c>
      <c r="L20105" s="12" t="s">
        <v>1213</v>
      </c>
    </row>
    <row r="20106" customFormat="false" ht="15" hidden="false" customHeight="false" outlineLevel="0" collapsed="false">
      <c r="A20106" s="1" t="s">
        <v>1214</v>
      </c>
      <c r="B20106" s="1" t="s">
        <v>279</v>
      </c>
      <c r="F20106" s="8" t="n">
        <f aca="false">Thesis!F110-base_fy-v_off</f>
        <v>0.747945205479452</v>
      </c>
      <c r="G20106" s="8" t="n">
        <f aca="false">Thesis!G110-base_fy-v_off</f>
        <v>1.74794520547945</v>
      </c>
      <c r="H20106" s="8" t="n">
        <f aca="false">Thesis!H110-base_fy-v_off</f>
        <v>2.74794520547945</v>
      </c>
      <c r="I20106" s="8" t="n">
        <f aca="false">Thesis!I110-base_fy-v_off</f>
        <v>3.74794520547945</v>
      </c>
      <c r="J20106" s="8" t="n">
        <f aca="false">Thesis!J110-base_fy-v_off</f>
        <v>4.74794520547945</v>
      </c>
      <c r="K20106" s="8" t="n">
        <f aca="false">Thesis!K110-base_fy-v_off</f>
        <v>5.74794520547945</v>
      </c>
    </row>
    <row r="20107" customFormat="false" ht="15" hidden="false" customHeight="false" outlineLevel="0" collapsed="false">
      <c r="A20107" s="1" t="s">
        <v>1215</v>
      </c>
      <c r="B20107" s="0" t="s">
        <v>229</v>
      </c>
      <c r="F20107" s="15" t="n">
        <f aca="false">1/(1+wacc)^Sens!F20105</f>
        <v>0.964022703286649</v>
      </c>
      <c r="G20107" s="15" t="n">
        <f aca="false">1/(1+wacc)^Sens!G20105</f>
        <v>0.884910302296739</v>
      </c>
      <c r="H20107" s="15" t="n">
        <f aca="false">1/(1+wacc)^Sens!H20105</f>
        <v>0.802322009770358</v>
      </c>
      <c r="I20107" s="15" t="n">
        <f aca="false">1/(1+wacc)^Sens!I20105</f>
        <v>0.727441646561469</v>
      </c>
      <c r="J20107" s="15" t="n">
        <f aca="false">1/(1+wacc)^Sens!J20105</f>
        <v>0.659549834988973</v>
      </c>
      <c r="K20107" s="15" t="n">
        <f aca="false">1/(1+wacc)^Sens!K20105</f>
        <v>0.597994336576966</v>
      </c>
    </row>
    <row r="20108" customFormat="false" ht="17.15" hidden="false" customHeight="false" outlineLevel="0" collapsed="false">
      <c r="A20108" s="1" t="s">
        <v>1216</v>
      </c>
      <c r="B20108" s="0" t="s">
        <v>98</v>
      </c>
      <c r="F20108" s="6" t="n">
        <f aca="false">Q!$I$35-Q!$I$39-Q!$I$43</f>
        <v>9.666</v>
      </c>
      <c r="L20108" s="12" t="s">
        <v>1217</v>
      </c>
    </row>
    <row r="20109" customFormat="false" ht="17.15" hidden="false" customHeight="false" outlineLevel="0" collapsed="false">
      <c r="A20109" s="1" t="s">
        <v>1218</v>
      </c>
      <c r="B20109" s="0" t="s">
        <v>98</v>
      </c>
      <c r="F20109" s="6" t="n">
        <f aca="false">CF!F87-CF!F84-CF!F91+Thesis!F151*(1-tax_f)*(1-v_off)-Sens!F20108</f>
        <v>-6.10282680452259</v>
      </c>
      <c r="G20109" s="6" t="n">
        <f aca="false">CF!G87-CF!G84-CF!G91+Thesis!G151*(1-tax_f)</f>
        <v>19.0084129023516</v>
      </c>
      <c r="H20109" s="6" t="n">
        <f aca="false">CF!H87-CF!H84-CF!H91+Thesis!H151*(1-tax_f)</f>
        <v>55.9229468383331</v>
      </c>
      <c r="I20109" s="6" t="n">
        <f aca="false">CF!I87-CF!I84-CF!I91+Thesis!I151*(1-tax_f)</f>
        <v>127.901908576191</v>
      </c>
      <c r="J20109" s="6" t="n">
        <f aca="false">CF!J87-CF!J84-CF!J91+Thesis!J151*(1-tax_f)</f>
        <v>201.958443859638</v>
      </c>
      <c r="K20109" s="6" t="n">
        <f aca="false">CF!K87-CF!K84-CF!K91+Thesis!K151*(1-tax_f)</f>
        <v>237.542519059905</v>
      </c>
      <c r="L20109" s="1" t="s">
        <v>1219</v>
      </c>
    </row>
    <row r="20110" customFormat="false" ht="15" hidden="false" customHeight="false" outlineLevel="0" collapsed="false">
      <c r="A20110" s="1" t="s">
        <v>1220</v>
      </c>
      <c r="B20110" s="0" t="s">
        <v>98</v>
      </c>
      <c r="F20110" s="6" t="n">
        <f aca="false">Sens!F20109*Sens!F20107</f>
        <v>-5.88326359378609</v>
      </c>
      <c r="G20110" s="6" t="n">
        <f aca="false">Sens!G20109*Sens!G20107</f>
        <v>16.8207404076012</v>
      </c>
      <c r="H20110" s="6" t="n">
        <f aca="false">Sens!H20109*Sens!H20107</f>
        <v>44.8682110996123</v>
      </c>
      <c r="I20110" s="6" t="n">
        <f aca="false">Sens!I20109*Sens!I20107</f>
        <v>93.0411749730187</v>
      </c>
      <c r="J20110" s="6" t="n">
        <f aca="false">Sens!J20109*Sens!J20107</f>
        <v>133.201658322254</v>
      </c>
      <c r="K20110" s="6" t="n">
        <f aca="false">Sens!K20109*Sens!K20107</f>
        <v>142.049081094049</v>
      </c>
    </row>
    <row r="20111" customFormat="false" ht="17.15" hidden="false" customHeight="false" outlineLevel="0" collapsed="false">
      <c r="A20111" s="1" t="s">
        <v>1221</v>
      </c>
      <c r="B20111" s="0" t="s">
        <v>98</v>
      </c>
      <c r="C20111" s="6" t="n">
        <f aca="false">SUM(Sens!F20110:K20110)</f>
        <v>424.097602302749</v>
      </c>
    </row>
    <row r="20112" customFormat="false" ht="17.15" hidden="false" customHeight="false" outlineLevel="0" collapsed="false">
      <c r="A20112" s="1" t="s">
        <v>1222</v>
      </c>
      <c r="B20112" s="0" t="s">
        <v>98</v>
      </c>
      <c r="C20112" s="6" t="n">
        <f aca="false">PL!K117*(1+g_tv)*(1-tax_f)</f>
        <v>247.098906713682</v>
      </c>
    </row>
    <row r="20113" customFormat="false" ht="17.15" hidden="false" customHeight="false" outlineLevel="0" collapsed="false">
      <c r="A20113" s="1" t="s">
        <v>1223</v>
      </c>
      <c r="B20113" s="0" t="s">
        <v>98</v>
      </c>
      <c r="C20113" s="6" t="n">
        <f aca="false">Sens!$C$20112*(1-g_tv/(wacc+ronic_prem))</f>
        <v>175.084017418113</v>
      </c>
    </row>
    <row r="20114" customFormat="false" ht="17.15" hidden="false" customHeight="false" outlineLevel="0" collapsed="false">
      <c r="A20114" s="1" t="s">
        <v>1224</v>
      </c>
      <c r="B20114" s="0" t="s">
        <v>98</v>
      </c>
      <c r="C20114" s="6" t="n">
        <f aca="false">Sens!$C$20113/(wacc-g_tv)</f>
        <v>2400.4963098523</v>
      </c>
    </row>
    <row r="20115" customFormat="false" ht="15" hidden="false" customHeight="false" outlineLevel="0" collapsed="false">
      <c r="A20115" s="1" t="s">
        <v>1225</v>
      </c>
      <c r="B20115" s="0" t="s">
        <v>98</v>
      </c>
      <c r="C20115" s="6" t="n">
        <f aca="false">Sens!$C$20114/(1+wacc)^Sens!K20106</f>
        <v>1366.85624415645</v>
      </c>
    </row>
    <row r="20116" customFormat="false" ht="17.15" hidden="false" customHeight="false" outlineLevel="0" collapsed="false">
      <c r="A20116" s="0" t="s">
        <v>1226</v>
      </c>
      <c r="B20116" s="0" t="s">
        <v>98</v>
      </c>
      <c r="C20116" s="6" t="n">
        <f aca="false">Sens!$C$20111+Sens!$C$20115</f>
        <v>1790.9538464592</v>
      </c>
    </row>
    <row r="20117" customFormat="false" ht="15" hidden="false" customHeight="false" outlineLevel="0" collapsed="false">
      <c r="A20117" s="1" t="s">
        <v>1141</v>
      </c>
      <c r="B20117" s="0" t="s">
        <v>168</v>
      </c>
      <c r="C20117" s="7" t="n">
        <f aca="false">Sens!$C$20115/Sens!$C$20116</f>
        <v>0.763200149941769</v>
      </c>
    </row>
    <row r="20118" customFormat="false" ht="17.15" hidden="false" customHeight="false" outlineLevel="0" collapsed="false">
      <c r="A20118" s="1" t="s">
        <v>1227</v>
      </c>
      <c r="B20118" s="0" t="s">
        <v>98</v>
      </c>
      <c r="C20118" s="6" t="n">
        <f aca="false">Sens!$C$20116+cash_val-debt_val-fl_val+oai_v</f>
        <v>1906.8048464592</v>
      </c>
    </row>
    <row r="20119" customFormat="false" ht="17.15" hidden="false" customHeight="false" outlineLevel="0" collapsed="false">
      <c r="A20119" s="0" t="s">
        <v>1149</v>
      </c>
      <c r="B20119" s="0" t="s">
        <v>75</v>
      </c>
      <c r="C20119" s="5" t="n">
        <f aca="false">Sens!$C$20118/shd_val</f>
        <v>256.084454265269</v>
      </c>
    </row>
    <row r="20120" customFormat="false" ht="15" hidden="false" customHeight="false" outlineLevel="0" collapsed="false">
      <c r="A20120" s="1" t="s">
        <v>1228</v>
      </c>
      <c r="B20120" s="0" t="s">
        <v>75</v>
      </c>
      <c r="C20120" s="8" t="n">
        <f aca="false">div_rem27+CF!G95*2/q_per_yr</f>
        <v>5.019</v>
      </c>
    </row>
    <row r="20121" customFormat="false" ht="17.15" hidden="false" customHeight="false" outlineLevel="0" collapsed="false">
      <c r="A20121" s="0" t="s">
        <v>1229</v>
      </c>
      <c r="B20121" s="0" t="s">
        <v>75</v>
      </c>
      <c r="C20121" s="5" t="n">
        <f aca="false">Sens!$C$20119*(1+wacc)^((tgt_alt-roll_d1)/days_yr)-Sens!$C$20120</f>
        <v>286.593679704829</v>
      </c>
    </row>
    <row r="20122" customFormat="false" ht="17.15" hidden="false" customHeight="false" outlineLevel="0" collapsed="false">
      <c r="A20122" s="1" t="s">
        <v>1230</v>
      </c>
      <c r="B20122" s="0" t="s">
        <v>168</v>
      </c>
      <c r="F20122" s="7" t="n">
        <f aca="false">CF!F81/(Seg!F83-Thesis!F129)</f>
        <v>0.068677393452264</v>
      </c>
      <c r="G20122" s="7" t="n">
        <f aca="false">CF!G81/(Seg!G83-Thesis!G129)</f>
        <v>0.0663132664471956</v>
      </c>
      <c r="H20122" s="7" t="n">
        <f aca="false">CF!H81/(Seg!H83-Thesis!H129)</f>
        <v>0.0651363826734039</v>
      </c>
      <c r="I20122" s="7" t="n">
        <f aca="false">CF!I81/(Seg!I83-Thesis!I129)</f>
        <v>0.0650087936347709</v>
      </c>
      <c r="J20122" s="7" t="n">
        <f aca="false">CF!J81/(Seg!J83-Thesis!J129)</f>
        <v>0.0657212684841778</v>
      </c>
      <c r="K20122" s="7" t="n">
        <f aca="false">CF!K81/(Seg!K83-Thesis!K129)</f>
        <v>0.0670413306015285</v>
      </c>
    </row>
    <row r="20123" customFormat="false" ht="17.15" hidden="false" customHeight="false" outlineLevel="0" collapsed="false">
      <c r="A20123" s="0" t="s">
        <v>1231</v>
      </c>
      <c r="B20123" s="0" t="s">
        <v>98</v>
      </c>
      <c r="F20123" s="6" t="n">
        <f aca="false">Seg!F68*(al_m365+Sens!F20122+sbc_r)</f>
        <v>82.9185219618347</v>
      </c>
      <c r="G20123" s="6" t="n">
        <f aca="false">Seg!G68*(al_m365+Sens!G20122+sbc_r)</f>
        <v>93.3068052157631</v>
      </c>
      <c r="H20123" s="6" t="n">
        <f aca="false">Seg!H68*(al_m365+Sens!H20122+sbc_r)</f>
        <v>103.856057136159</v>
      </c>
      <c r="I20123" s="6" t="n">
        <f aca="false">Seg!I68*(al_m365+Sens!I20122+sbc_r)</f>
        <v>113.889717587147</v>
      </c>
      <c r="J20123" s="6" t="n">
        <f aca="false">Seg!J68*(al_m365+Sens!J20122+sbc_r)</f>
        <v>123.218477864124</v>
      </c>
      <c r="K20123" s="6" t="n">
        <f aca="false">Seg!K68*(al_m365+Sens!K20122+sbc_r)</f>
        <v>132.149420086311</v>
      </c>
      <c r="L20123" s="12" t="s">
        <v>1232</v>
      </c>
    </row>
    <row r="20124" customFormat="false" ht="17.15" hidden="false" customHeight="false" outlineLevel="0" collapsed="false">
      <c r="A20124" s="0" t="s">
        <v>1233</v>
      </c>
      <c r="B20124" s="0" t="s">
        <v>98</v>
      </c>
      <c r="F20124" s="6" t="n">
        <f aca="false">Seg!F69*(al_lic+Sens!F20122+sbc_r)</f>
        <v>32.8599853992256</v>
      </c>
      <c r="G20124" s="6" t="n">
        <f aca="false">Seg!G69*(al_lic+Sens!G20122+sbc_r)</f>
        <v>34.1568280697879</v>
      </c>
      <c r="H20124" s="6" t="n">
        <f aca="false">Seg!H69*(al_lic+Sens!H20122+sbc_r)</f>
        <v>35.3635535007213</v>
      </c>
      <c r="I20124" s="6" t="n">
        <f aca="false">Seg!I69*(al_lic+Sens!I20122+sbc_r)</f>
        <v>36.4604537346553</v>
      </c>
      <c r="J20124" s="6" t="n">
        <f aca="false">Seg!J69*(al_lic+Sens!J20122+sbc_r)</f>
        <v>37.4245888933574</v>
      </c>
      <c r="K20124" s="6" t="n">
        <f aca="false">Seg!K69*(al_lic+Sens!K20122+sbc_r)</f>
        <v>38.2321483186439</v>
      </c>
    </row>
    <row r="20125" customFormat="false" ht="17.15" hidden="false" customHeight="false" outlineLevel="0" collapsed="false">
      <c r="A20125" s="0" t="s">
        <v>1234</v>
      </c>
      <c r="B20125" s="0" t="s">
        <v>98</v>
      </c>
      <c r="F20125" s="6" t="n">
        <f aca="false">Seg!F71*(al_ind+Sens!F20122+sbc_r)</f>
        <v>9.06170747885803</v>
      </c>
      <c r="G20125" s="6" t="n">
        <f aca="false">Seg!G71*(al_ind+Sens!G20122+sbc_r)</f>
        <v>9.8478979082138</v>
      </c>
      <c r="H20125" s="6" t="n">
        <f aca="false">Seg!H71*(al_ind+Sens!H20122+sbc_r)</f>
        <v>10.6768254332059</v>
      </c>
      <c r="I20125" s="6" t="n">
        <f aca="false">Seg!I71*(al_ind+Sens!I20122+sbc_r)</f>
        <v>11.54398793803</v>
      </c>
      <c r="J20125" s="6" t="n">
        <f aca="false">Seg!J71*(al_ind+Sens!J20122+sbc_r)</f>
        <v>12.4407914253112</v>
      </c>
      <c r="K20125" s="6" t="n">
        <f aca="false">Seg!K71*(al_ind+Sens!K20122+sbc_r)</f>
        <v>13.355239066864</v>
      </c>
    </row>
    <row r="20126" customFormat="false" ht="17.15" hidden="false" customHeight="false" outlineLevel="0" collapsed="false">
      <c r="A20126" s="0" t="s">
        <v>1235</v>
      </c>
      <c r="B20126" s="0" t="s">
        <v>98</v>
      </c>
      <c r="F20126" s="6" t="n">
        <f aca="false">Seg!F73*(al_fro+Sens!F20122+sbc_r)</f>
        <v>3.55453569939552</v>
      </c>
      <c r="G20126" s="6" t="n">
        <f aca="false">Seg!G73*(al_fro+Sens!G20122+sbc_r)</f>
        <v>3.76809436159872</v>
      </c>
      <c r="H20126" s="6" t="n">
        <f aca="false">Seg!H73*(al_fro+Sens!H20122+sbc_r)</f>
        <v>4.00964905674607</v>
      </c>
      <c r="I20126" s="6" t="n">
        <f aca="false">Seg!I73*(al_fro+Sens!I20122+sbc_r)</f>
        <v>4.28152633145235</v>
      </c>
      <c r="J20126" s="6" t="n">
        <f aca="false">Seg!J73*(al_fro+Sens!J20122+sbc_r)</f>
        <v>4.58536512975975</v>
      </c>
      <c r="K20126" s="6" t="n">
        <f aca="false">Seg!K73*(al_fro+Sens!K20122+sbc_r)</f>
        <v>4.92240770086468</v>
      </c>
    </row>
    <row r="20127" customFormat="false" ht="17.15" hidden="false" customHeight="false" outlineLevel="0" collapsed="false">
      <c r="A20127" s="0" t="s">
        <v>1236</v>
      </c>
      <c r="B20127" s="0" t="s">
        <v>98</v>
      </c>
      <c r="F20127" s="6" t="n">
        <f aca="false">Seg!F76*(al_srch+Sens!F20122+sbc_r)</f>
        <v>11.190683952584</v>
      </c>
      <c r="G20127" s="6" t="n">
        <f aca="false">Seg!G76*(al_srch+Sens!G20122+sbc_r)</f>
        <v>12.2763328717258</v>
      </c>
      <c r="H20127" s="6" t="n">
        <f aca="false">Seg!H76*(al_srch+Sens!H20122+sbc_r)</f>
        <v>13.4043563346576</v>
      </c>
      <c r="I20127" s="6" t="n">
        <f aca="false">Seg!I76*(al_srch+Sens!I20122+sbc_r)</f>
        <v>14.5621512181916</v>
      </c>
      <c r="J20127" s="6" t="n">
        <f aca="false">Seg!J76*(al_srch+Sens!J20122+sbc_r)</f>
        <v>15.7310381862385</v>
      </c>
      <c r="K20127" s="6" t="n">
        <f aca="false">Seg!K76*(al_srch+Sens!K20122+sbc_r)</f>
        <v>16.8873320486462</v>
      </c>
    </row>
    <row r="20128" customFormat="false" ht="17.15" hidden="false" customHeight="false" outlineLevel="0" collapsed="false">
      <c r="A20128" s="0" t="s">
        <v>1237</v>
      </c>
      <c r="B20128" s="0" t="s">
        <v>98</v>
      </c>
      <c r="F20128" s="6" t="n">
        <f aca="false">Thesis!F135-Thesis!F136+Thesis!F151</f>
        <v>38.9696429794913</v>
      </c>
      <c r="G20128" s="6" t="n">
        <f aca="false">Thesis!G135-Thesis!G136+Thesis!G151</f>
        <v>69.465497726016</v>
      </c>
      <c r="H20128" s="6" t="n">
        <f aca="false">Thesis!H135-Thesis!H136+Thesis!H151</f>
        <v>96.8147106808268</v>
      </c>
      <c r="I20128" s="6" t="n">
        <f aca="false">Thesis!I135-Thesis!I136+Thesis!I151</f>
        <v>127.654939766446</v>
      </c>
      <c r="J20128" s="6" t="n">
        <f aca="false">Thesis!J135-Thesis!J136+Thesis!J151</f>
        <v>149.308352681229</v>
      </c>
      <c r="K20128" s="6" t="n">
        <f aca="false">Thesis!K135-Thesis!K136+Thesis!K151</f>
        <v>162.731822021841</v>
      </c>
    </row>
    <row r="20129" customFormat="false" ht="17.15" hidden="false" customHeight="false" outlineLevel="0" collapsed="false">
      <c r="A20129" s="0" t="s">
        <v>1238</v>
      </c>
      <c r="B20129" s="0" t="s">
        <v>98</v>
      </c>
      <c r="F20129" s="6" t="n">
        <f aca="false">PL!F110+Thesis!F151+Thesis!F147+Sens!F20122*(Seg!F75-Thesis!F129)+sbc_r*Seg!F75</f>
        <v>234.79972328186</v>
      </c>
      <c r="G20129" s="6" t="n">
        <f aca="false">PL!G110+Thesis!G151+Thesis!G147+Sens!G20122*(Seg!G75-Thesis!G129)+sbc_r*Seg!G75</f>
        <v>285.499052659517</v>
      </c>
      <c r="H20129" s="6" t="n">
        <f aca="false">PL!H110+Thesis!H151+Thesis!H147+Sens!H20122*(Seg!H75-Thesis!H129)+sbc_r*Seg!H75</f>
        <v>338.258569294547</v>
      </c>
      <c r="I20129" s="6" t="n">
        <f aca="false">PL!I110+Thesis!I151+Thesis!I147+Sens!I20122*(Seg!I75-Thesis!I129)+sbc_r*Seg!I75</f>
        <v>393.887902526982</v>
      </c>
      <c r="J20129" s="6" t="n">
        <f aca="false">PL!J110+Thesis!J151+Thesis!J147+Sens!J20122*(Seg!J75-Thesis!J129)+sbc_r*Seg!J75</f>
        <v>438.406631506078</v>
      </c>
      <c r="K20129" s="6" t="n">
        <f aca="false">PL!K110+Thesis!K151+Thesis!K147+Sens!K20122*(Seg!K75-Thesis!K129)+sbc_r*Seg!K75</f>
        <v>472.352875745143</v>
      </c>
    </row>
    <row r="20130" customFormat="false" ht="17.15" hidden="false" customHeight="false" outlineLevel="0" collapsed="false">
      <c r="A20130" s="0" t="s">
        <v>1239</v>
      </c>
      <c r="B20130" s="0" t="s">
        <v>98</v>
      </c>
      <c r="F20130" s="6" t="n">
        <f aca="false">Sens!F20129-Sens!F20123-Sens!F20124-Sens!F20125-Sens!F20126-Sens!F20128</f>
        <v>67.4353297630543</v>
      </c>
      <c r="G20130" s="6" t="n">
        <f aca="false">Sens!G20129-Sens!G20123-Sens!G20124-Sens!G20125-Sens!G20126-Sens!G20128</f>
        <v>74.9539293781376</v>
      </c>
      <c r="H20130" s="6" t="n">
        <f aca="false">Sens!H20129-Sens!H20123-Sens!H20124-Sens!H20125-Sens!H20126-Sens!H20128</f>
        <v>87.537773486888</v>
      </c>
      <c r="I20130" s="6" t="n">
        <f aca="false">Sens!I20129-Sens!I20123-Sens!I20124-Sens!I20125-Sens!I20126-Sens!I20128</f>
        <v>100.057277169252</v>
      </c>
      <c r="J20130" s="6" t="n">
        <f aca="false">Sens!J20129-Sens!J20123-Sens!J20124-Sens!J20125-Sens!J20126-Sens!J20128</f>
        <v>111.429055512297</v>
      </c>
      <c r="K20130" s="6" t="n">
        <f aca="false">Sens!K20129-Sens!K20123-Sens!K20124-Sens!K20125-Sens!K20126-Sens!K20128</f>
        <v>120.961838550618</v>
      </c>
    </row>
    <row r="20131" customFormat="false" ht="17.15" hidden="false" customHeight="false" outlineLevel="0" collapsed="false">
      <c r="A20131" s="0" t="s">
        <v>1240</v>
      </c>
      <c r="B20131" s="0" t="s">
        <v>98</v>
      </c>
      <c r="F20131" s="6" t="n">
        <f aca="false">PL!F112+Sens!F20122*Seg!F82+sbc_r*Seg!F82</f>
        <v>26.6373549789235</v>
      </c>
      <c r="G20131" s="6" t="n">
        <f aca="false">PL!G112+Sens!G20122*Seg!G82+sbc_r*Seg!G82</f>
        <v>26.5038922765853</v>
      </c>
      <c r="H20131" s="6" t="n">
        <f aca="false">PL!H112+Sens!H20122*Seg!H82+sbc_r*Seg!H82</f>
        <v>27.3981100014792</v>
      </c>
      <c r="I20131" s="6" t="n">
        <f aca="false">PL!I112+Sens!I20122*Seg!I82+sbc_r*Seg!I82</f>
        <v>28.5176442589239</v>
      </c>
      <c r="J20131" s="6" t="n">
        <f aca="false">PL!J112+Sens!J20122*Seg!J82+sbc_r*Seg!J82</f>
        <v>29.8313998963726</v>
      </c>
      <c r="K20131" s="6" t="n">
        <f aca="false">PL!K112+Sens!K20122*Seg!K82+sbc_r*Seg!K82</f>
        <v>31.3103466222307</v>
      </c>
    </row>
    <row r="20132" customFormat="false" ht="17.15" hidden="false" customHeight="false" outlineLevel="0" collapsed="false">
      <c r="A20132" s="0" t="s">
        <v>1241</v>
      </c>
      <c r="B20132" s="0" t="s">
        <v>98</v>
      </c>
      <c r="F20132" s="6" t="n">
        <f aca="false">(Sens!F20131-Sens!F20127)*Seg!F78/(Seg!F78+Seg!F80)</f>
        <v>8.72405610479892</v>
      </c>
      <c r="G20132" s="6" t="n">
        <f aca="false">(Sens!G20131-Sens!G20127)*Seg!G78/(Seg!G78+Seg!G80)</f>
        <v>7.897418765869</v>
      </c>
      <c r="H20132" s="6" t="n">
        <f aca="false">(Sens!H20131-Sens!H20127)*Seg!H78/(Seg!H78+Seg!H80)</f>
        <v>7.66644879573063</v>
      </c>
      <c r="I20132" s="6" t="n">
        <f aca="false">(Sens!I20131-Sens!I20127)*Seg!I78/(Seg!I78+Seg!I80)</f>
        <v>7.5787545031814</v>
      </c>
      <c r="J20132" s="6" t="n">
        <f aca="false">(Sens!J20131-Sens!J20127)*Seg!J78/(Seg!J78+Seg!J80)</f>
        <v>7.62401876450459</v>
      </c>
      <c r="K20132" s="6" t="n">
        <f aca="false">(Sens!K20131-Sens!K20127)*Seg!K78/(Seg!K78+Seg!K80)</f>
        <v>7.79847609658838</v>
      </c>
    </row>
    <row r="20133" customFormat="false" ht="17.15" hidden="false" customHeight="false" outlineLevel="0" collapsed="false">
      <c r="A20133" s="0" t="s">
        <v>1242</v>
      </c>
      <c r="B20133" s="0" t="s">
        <v>98</v>
      </c>
      <c r="F20133" s="6" t="n">
        <f aca="false">Sens!F20131-Sens!F20127-Sens!F20132</f>
        <v>6.72261492154066</v>
      </c>
      <c r="G20133" s="6" t="n">
        <f aca="false">Sens!G20131-Sens!G20127-Sens!G20132</f>
        <v>6.33014063899044</v>
      </c>
      <c r="H20133" s="6" t="n">
        <f aca="false">Sens!H20131-Sens!H20127-Sens!H20132</f>
        <v>6.32730487109095</v>
      </c>
      <c r="I20133" s="6" t="n">
        <f aca="false">Sens!I20131-Sens!I20127-Sens!I20132</f>
        <v>6.37673853755084</v>
      </c>
      <c r="J20133" s="6" t="n">
        <f aca="false">Sens!J20131-Sens!J20127-Sens!J20132</f>
        <v>6.47634294562954</v>
      </c>
      <c r="K20133" s="6" t="n">
        <f aca="false">Sens!K20131-Sens!K20127-Sens!K20132</f>
        <v>6.62453847699607</v>
      </c>
    </row>
    <row r="20134" customFormat="false" ht="17.15" hidden="false" customHeight="false" outlineLevel="0" collapsed="false">
      <c r="A20134" s="0" t="s">
        <v>1243</v>
      </c>
      <c r="B20134" s="0" t="s">
        <v>98</v>
      </c>
      <c r="F20134" s="6" t="n">
        <f aca="false">Sens!F20128-tax_f*(Sens!F20128-Thesis!F147)-Thesis!F144</f>
        <v>-130.362326762856</v>
      </c>
      <c r="G20134" s="6" t="n">
        <f aca="false">Sens!G20128-tax_f*(Sens!G20128-Thesis!G147)-Thesis!G144</f>
        <v>-124.225179337776</v>
      </c>
      <c r="H20134" s="6" t="n">
        <f aca="false">Sens!H20128-tax_f*(Sens!H20128-Thesis!H147)-Thesis!H144</f>
        <v>-101.534217387562</v>
      </c>
      <c r="I20134" s="6" t="n">
        <f aca="false">Sens!I20128-tax_f*(Sens!I20128-Thesis!I147)-Thesis!I144</f>
        <v>-43.6446798695439</v>
      </c>
      <c r="J20134" s="6" t="n">
        <f aca="false">Sens!J20128-tax_f*(Sens!J20128-Thesis!J147)-Thesis!J144</f>
        <v>16.9198855589618</v>
      </c>
      <c r="K20134" s="6" t="n">
        <f aca="false">Sens!K20128-tax_f*(Sens!K20128-Thesis!K147)-Thesis!K144</f>
        <v>39.8251384629271</v>
      </c>
    </row>
    <row r="20135" customFormat="false" ht="17.15" hidden="false" customHeight="false" outlineLevel="0" collapsed="false">
      <c r="A20135" s="0" t="s">
        <v>1244</v>
      </c>
      <c r="B20135" s="0" t="s">
        <v>98</v>
      </c>
      <c r="G20135" s="6" t="n">
        <f aca="false">Sens!G20134/(1+wacc)^(Sens!G20105-Sens!F20106)</f>
        <v>-118.286276192192</v>
      </c>
      <c r="H20135" s="6" t="n">
        <f aca="false">Sens!H20134/(1+wacc)^(Sens!H20105-Sens!F20106)</f>
        <v>-87.6570009910427</v>
      </c>
      <c r="I20135" s="6" t="n">
        <f aca="false">Sens!I20134/(1+wacc)^(Sens!I20105-Sens!F20106)</f>
        <v>-34.1629172979204</v>
      </c>
      <c r="J20135" s="6" t="n">
        <f aca="false">Sens!J20134/(1+wacc)^(Sens!J20105-Sens!F20106)</f>
        <v>12.0079954170053</v>
      </c>
      <c r="K20135" s="6" t="n">
        <f aca="false">Sens!K20134/(1+wacc)^(Sens!K20105-Sens!F20106)</f>
        <v>25.6259421582556</v>
      </c>
      <c r="L20135" s="1" t="s">
        <v>1245</v>
      </c>
    </row>
    <row r="20136" customFormat="false" ht="17.15" hidden="false" customHeight="false" outlineLevel="0" collapsed="false">
      <c r="A20136" s="0" t="s">
        <v>1246</v>
      </c>
      <c r="B20136" s="0" t="s">
        <v>98</v>
      </c>
      <c r="C20136" s="6" t="n">
        <f aca="false">(Sens!K20128-Thesis!K147)*(1-tax_f)*(1+g_tv)*(1-g_tv/(wacc+ronic_prem))/(wacc-g_tv)/(1+wacc)^(Sens!K20106-Sens!F20106)</f>
        <v>96.7148026864948</v>
      </c>
    </row>
    <row r="20137" customFormat="false" ht="17.15" hidden="false" customHeight="false" outlineLevel="0" collapsed="false">
      <c r="A20137" s="1" t="s">
        <v>1247</v>
      </c>
      <c r="B20137" s="0" t="s">
        <v>98</v>
      </c>
      <c r="C20137" s="6" t="n">
        <f aca="false">(SUM(Sens!G20135:K20135)+Sens!$C$20136)*(1+wacc)^(((tgt_alt-roll_d1)/days_yr)-Sens!F20106)</f>
        <v>-111.92025741264</v>
      </c>
      <c r="L20137" s="12" t="s">
        <v>1248</v>
      </c>
    </row>
    <row r="20138" customFormat="false" ht="17.15" hidden="false" customHeight="false" outlineLevel="0" collapsed="false">
      <c r="A20138" s="1" t="s">
        <v>1249</v>
      </c>
      <c r="B20138" s="0" t="s">
        <v>98</v>
      </c>
      <c r="C20138" s="6" t="n">
        <f aca="false">(((fy28_end-tgt_alt)/days_yr)*Thesis!G135+(1-((fy28_end-tgt_alt)/days_yr))*Thesis!H135)*m_ai</f>
        <v>364.298236450973</v>
      </c>
    </row>
    <row r="20139" customFormat="false" ht="17.15" hidden="false" customHeight="false" outlineLevel="0" collapsed="false">
      <c r="A20139" s="1" t="s">
        <v>1250</v>
      </c>
      <c r="B20139" s="0" t="s">
        <v>98</v>
      </c>
      <c r="C20139" s="6" t="n">
        <f aca="false">(((fy28_end-tgt_alt)/days_yr)*Sens!G20130+(1-((fy28_end-tgt_alt)/days_yr))*Sens!H20130)*m_cloud</f>
        <v>1135.92037899878</v>
      </c>
    </row>
    <row r="20140" customFormat="false" ht="17.15" hidden="false" customHeight="false" outlineLevel="0" collapsed="false">
      <c r="A20140" s="1" t="s">
        <v>1251</v>
      </c>
      <c r="B20140" s="0" t="s">
        <v>98</v>
      </c>
      <c r="C20140" s="6" t="n">
        <f aca="false">(((fy28_end-tgt_alt)/days_yr)*Sens!G20123+(1-((fy28_end-tgt_alt)/days_yr))*Sens!H20123)*m_sw</f>
        <v>1073.26336853697</v>
      </c>
    </row>
    <row r="20141" customFormat="false" ht="17.15" hidden="false" customHeight="false" outlineLevel="0" collapsed="false">
      <c r="A20141" s="1" t="s">
        <v>1252</v>
      </c>
      <c r="B20141" s="0" t="s">
        <v>98</v>
      </c>
      <c r="C20141" s="6" t="n">
        <f aca="false">(((fy28_end-tgt_alt)/days_yr)*Sens!G20124+(1-((fy28_end-tgt_alt)/days_yr))*Sens!H20124)*m_sw</f>
        <v>376.391971310852</v>
      </c>
    </row>
    <row r="20142" customFormat="false" ht="17.15" hidden="false" customHeight="false" outlineLevel="0" collapsed="false">
      <c r="A20142" s="1" t="s">
        <v>1253</v>
      </c>
      <c r="B20142" s="0" t="s">
        <v>98</v>
      </c>
      <c r="C20142" s="6" t="n">
        <f aca="false">(((fy28_end-tgt_alt)/days_yr)*Sens!G20125+(1-((fy28_end-tgt_alt)/days_yr))*Sens!H20125)*m_sw</f>
        <v>111.508003235236</v>
      </c>
    </row>
    <row r="20143" customFormat="false" ht="17.15" hidden="false" customHeight="false" outlineLevel="0" collapsed="false">
      <c r="A20143" s="1" t="s">
        <v>1254</v>
      </c>
      <c r="B20143" s="0" t="s">
        <v>98</v>
      </c>
      <c r="C20143" s="6" t="n">
        <f aca="false">(((fy28_end-tgt_alt)/days_yr)*Sens!G20126+(1-((fy28_end-tgt_alt)/days_yr))*Sens!H20126)*m_sw</f>
        <v>42.1963671836065</v>
      </c>
    </row>
    <row r="20144" customFormat="false" ht="17.15" hidden="false" customHeight="false" outlineLevel="0" collapsed="false">
      <c r="A20144" s="1" t="s">
        <v>1255</v>
      </c>
      <c r="B20144" s="0" t="s">
        <v>98</v>
      </c>
      <c r="C20144" s="6" t="n">
        <f aca="false">(((fy28_end-tgt_alt)/days_yr)*Sens!G20127+(1-((fy28_end-tgt_alt)/days_yr))*Sens!H20127)*m_ads</f>
        <v>117.749780644805</v>
      </c>
    </row>
    <row r="20145" customFormat="false" ht="17.15" hidden="false" customHeight="false" outlineLevel="0" collapsed="false">
      <c r="A20145" s="1" t="s">
        <v>1256</v>
      </c>
      <c r="B20145" s="0" t="s">
        <v>98</v>
      </c>
      <c r="C20145" s="6" t="n">
        <f aca="false">(((fy28_end-tgt_alt)/days_yr)*Sens!G20132+(1-((fy28_end-tgt_alt)/days_yr))*Sens!H20132)*m_game</f>
        <v>98.0660383230679</v>
      </c>
    </row>
    <row r="20146" customFormat="false" ht="17.15" hidden="false" customHeight="false" outlineLevel="0" collapsed="false">
      <c r="A20146" s="1" t="s">
        <v>1257</v>
      </c>
      <c r="B20146" s="0" t="s">
        <v>98</v>
      </c>
      <c r="C20146" s="6" t="n">
        <f aca="false">(((fy28_end-tgt_alt)/days_yr)*Sens!G20133+(1-((fy28_end-tgt_alt)/days_yr))*Sens!H20133)*m_pc</f>
        <v>91.5735266957364</v>
      </c>
    </row>
    <row r="20147" customFormat="false" ht="17.15" hidden="false" customHeight="false" outlineLevel="0" collapsed="false">
      <c r="A20147" s="1" t="s">
        <v>1258</v>
      </c>
      <c r="B20147" s="0" t="s">
        <v>98</v>
      </c>
      <c r="C20147" s="6" t="n">
        <f aca="false">Sens!$C$20137+Sens!$C$20139+Sens!$C$20140+Sens!$C$20141+Sens!$C$20142+Sens!$C$20143+Sens!$C$20144+Sens!$C$20145+Sens!$C$20146</f>
        <v>2934.74917751642</v>
      </c>
    </row>
    <row r="20148" customFormat="false" ht="17.15" hidden="false" customHeight="false" outlineLevel="0" collapsed="false">
      <c r="A20148" s="1" t="s">
        <v>1259</v>
      </c>
      <c r="B20148" s="0" t="s">
        <v>98</v>
      </c>
      <c r="C20148" s="6" t="n">
        <f aca="false">(Sens!G20109-Sens!G20134)*((tgt_alt-stub_d0)/days_yr)</f>
        <v>82.8007889388132</v>
      </c>
      <c r="L20148" s="1" t="s">
        <v>1260</v>
      </c>
    </row>
    <row r="20149" customFormat="false" ht="17.15" hidden="false" customHeight="false" outlineLevel="0" collapsed="false">
      <c r="A20149" s="1" t="s">
        <v>1169</v>
      </c>
      <c r="B20149" s="0" t="s">
        <v>98</v>
      </c>
      <c r="C20149" s="6" t="n">
        <f aca="false">CF!F103+oai_v-CF!F92+Sens!$C$20148</f>
        <v>193.872142144649</v>
      </c>
      <c r="L20149" s="1" t="s">
        <v>1261</v>
      </c>
    </row>
    <row r="20150" customFormat="false" ht="17.15" hidden="false" customHeight="false" outlineLevel="0" collapsed="false">
      <c r="A20150" s="1" t="s">
        <v>1262</v>
      </c>
      <c r="B20150" s="0" t="s">
        <v>75</v>
      </c>
      <c r="C20150" s="5" t="n">
        <f aca="false">(Sens!$C$20147+Sens!$C$20149)/(CF!F105+dil_gap)-CF!G95*2/q_per_yr</f>
        <v>415.293107745607</v>
      </c>
      <c r="L20150" s="1" t="s">
        <v>1263</v>
      </c>
    </row>
    <row r="20151" customFormat="false" ht="17.15" hidden="false" customHeight="false" outlineLevel="0" collapsed="false">
      <c r="A20151" s="1" t="s">
        <v>1264</v>
      </c>
      <c r="B20151" s="0" t="s">
        <v>75</v>
      </c>
      <c r="C20151" s="5" t="n">
        <f aca="false">w_dcf*Sens!$C$20121+(1-w_dcf)*Sens!$C$20150</f>
        <v>350.943393725218</v>
      </c>
    </row>
    <row r="20152" customFormat="false" ht="17.15" hidden="false" customHeight="false" outlineLevel="0" collapsed="false">
      <c r="A20152" s="3" t="s">
        <v>1977</v>
      </c>
    </row>
    <row r="20153" customFormat="false" ht="15" hidden="false" customHeight="false" outlineLevel="0" collapsed="false">
      <c r="A20153" s="4" t="s">
        <v>43</v>
      </c>
      <c r="B20153" s="4" t="s">
        <v>65</v>
      </c>
      <c r="C20153" s="23" t="s">
        <v>938</v>
      </c>
      <c r="D20153" s="23" t="s">
        <v>939</v>
      </c>
      <c r="E20153" s="23" t="s">
        <v>940</v>
      </c>
      <c r="F20153" s="23" t="s">
        <v>941</v>
      </c>
      <c r="G20153" s="23" t="s">
        <v>942</v>
      </c>
      <c r="H20153" s="23" t="s">
        <v>943</v>
      </c>
      <c r="I20153" s="23" t="s">
        <v>944</v>
      </c>
      <c r="J20153" s="23" t="s">
        <v>945</v>
      </c>
      <c r="K20153" s="23" t="s">
        <v>946</v>
      </c>
      <c r="L20153" s="4" t="s">
        <v>47</v>
      </c>
    </row>
    <row r="20154" customFormat="false" ht="17.15" hidden="false" customHeight="false" outlineLevel="0" collapsed="false">
      <c r="A20154" s="1" t="s">
        <v>1212</v>
      </c>
      <c r="B20154" s="1" t="s">
        <v>279</v>
      </c>
      <c r="F20154" s="8" t="n">
        <f aca="false">(1-v_off)*mid_yr</f>
        <v>0.373972602739726</v>
      </c>
      <c r="G20154" s="8" t="n">
        <f aca="false">Thesis!G6-base_fy-mid_yr-v_off</f>
        <v>1.24794520547945</v>
      </c>
      <c r="H20154" s="8" t="n">
        <f aca="false">Thesis!H6-base_fy-mid_yr-v_off</f>
        <v>2.24794520547945</v>
      </c>
      <c r="I20154" s="8" t="n">
        <f aca="false">Thesis!I6-base_fy-mid_yr-v_off</f>
        <v>3.24794520547945</v>
      </c>
      <c r="J20154" s="8" t="n">
        <f aca="false">Thesis!J6-base_fy-mid_yr-v_off</f>
        <v>4.24794520547945</v>
      </c>
      <c r="K20154" s="8" t="n">
        <f aca="false">Thesis!K6-base_fy-mid_yr-v_off</f>
        <v>5.24794520547945</v>
      </c>
      <c r="L20154" s="12" t="s">
        <v>1213</v>
      </c>
    </row>
    <row r="20155" customFormat="false" ht="15" hidden="false" customHeight="false" outlineLevel="0" collapsed="false">
      <c r="A20155" s="1" t="s">
        <v>1214</v>
      </c>
      <c r="B20155" s="1" t="s">
        <v>279</v>
      </c>
      <c r="F20155" s="8" t="n">
        <f aca="false">Thesis!F6-base_fy-v_off</f>
        <v>0.747945205479452</v>
      </c>
      <c r="G20155" s="8" t="n">
        <f aca="false">Thesis!G6-base_fy-v_off</f>
        <v>1.74794520547945</v>
      </c>
      <c r="H20155" s="8" t="n">
        <f aca="false">Thesis!H6-base_fy-v_off</f>
        <v>2.74794520547945</v>
      </c>
      <c r="I20155" s="8" t="n">
        <f aca="false">Thesis!I6-base_fy-v_off</f>
        <v>3.74794520547945</v>
      </c>
      <c r="J20155" s="8" t="n">
        <f aca="false">Thesis!J6-base_fy-v_off</f>
        <v>4.74794520547945</v>
      </c>
      <c r="K20155" s="8" t="n">
        <f aca="false">Thesis!K6-base_fy-v_off</f>
        <v>5.74794520547945</v>
      </c>
    </row>
    <row r="20156" customFormat="false" ht="15" hidden="false" customHeight="false" outlineLevel="0" collapsed="false">
      <c r="A20156" s="1" t="s">
        <v>1215</v>
      </c>
      <c r="B20156" s="0" t="s">
        <v>229</v>
      </c>
      <c r="F20156" s="15" t="n">
        <f aca="false">1/(1+wacc)^Sens!F20154</f>
        <v>0.964022703286649</v>
      </c>
      <c r="G20156" s="15" t="n">
        <f aca="false">1/(1+wacc)^Sens!G20154</f>
        <v>0.884910302296739</v>
      </c>
      <c r="H20156" s="15" t="n">
        <f aca="false">1/(1+wacc)^Sens!H20154</f>
        <v>0.802322009770358</v>
      </c>
      <c r="I20156" s="15" t="n">
        <f aca="false">1/(1+wacc)^Sens!I20154</f>
        <v>0.727441646561469</v>
      </c>
      <c r="J20156" s="15" t="n">
        <f aca="false">1/(1+wacc)^Sens!J20154</f>
        <v>0.659549834988973</v>
      </c>
      <c r="K20156" s="15" t="n">
        <f aca="false">1/(1+wacc)^Sens!K20154</f>
        <v>0.597994336576966</v>
      </c>
    </row>
    <row r="20157" customFormat="false" ht="17.15" hidden="false" customHeight="false" outlineLevel="0" collapsed="false">
      <c r="A20157" s="1" t="s">
        <v>1216</v>
      </c>
      <c r="B20157" s="0" t="s">
        <v>98</v>
      </c>
      <c r="F20157" s="6" t="n">
        <f aca="false">Q!$I$35-Q!$I$39-Q!$I$43</f>
        <v>9.666</v>
      </c>
      <c r="L20157" s="12" t="s">
        <v>1217</v>
      </c>
    </row>
    <row r="20158" customFormat="false" ht="17.15" hidden="false" customHeight="false" outlineLevel="0" collapsed="false">
      <c r="A20158" s="1" t="s">
        <v>1218</v>
      </c>
      <c r="B20158" s="0" t="s">
        <v>98</v>
      </c>
      <c r="F20158" s="6" t="n">
        <f aca="false">CF!F23-CF!F20-CF!F27+Thesis!F47*(1-tax_f)*(1-v_off)-Sens!F20157</f>
        <v>-1.12880264559539</v>
      </c>
      <c r="G20158" s="6" t="n">
        <f aca="false">CF!G23-CF!G20-CF!G27+Thesis!G47*(1-tax_f)</f>
        <v>38.7194421947551</v>
      </c>
      <c r="H20158" s="6" t="n">
        <f aca="false">CF!H23-CF!H20-CF!H27+Thesis!H47*(1-tax_f)</f>
        <v>98.6927474567662</v>
      </c>
      <c r="I20158" s="6" t="n">
        <f aca="false">CF!I23-CF!I20-CF!I27+Thesis!I47*(1-tax_f)</f>
        <v>181.625440536277</v>
      </c>
      <c r="J20158" s="6" t="n">
        <f aca="false">CF!J23-CF!J20-CF!J27+Thesis!J47*(1-tax_f)</f>
        <v>263.350402418584</v>
      </c>
      <c r="K20158" s="6" t="n">
        <f aca="false">CF!K23-CF!K20-CF!K27+Thesis!K47*(1-tax_f)</f>
        <v>303.659068389018</v>
      </c>
      <c r="L20158" s="1" t="s">
        <v>1219</v>
      </c>
    </row>
    <row r="20159" customFormat="false" ht="15" hidden="false" customHeight="false" outlineLevel="0" collapsed="false">
      <c r="A20159" s="1" t="s">
        <v>1220</v>
      </c>
      <c r="B20159" s="0" t="s">
        <v>98</v>
      </c>
      <c r="F20159" s="6" t="n">
        <f aca="false">Sens!F20158*Sens!F20156</f>
        <v>-1.08819137788399</v>
      </c>
      <c r="G20159" s="6" t="n">
        <f aca="false">Sens!G20158*Sens!G20156</f>
        <v>34.2632332973219</v>
      </c>
      <c r="H20159" s="6" t="n">
        <f aca="false">Sens!H20158*Sens!H20156</f>
        <v>79.183363489271</v>
      </c>
      <c r="I20159" s="6" t="n">
        <f aca="false">Sens!I20158*Sens!I20156</f>
        <v>132.121909521162</v>
      </c>
      <c r="J20159" s="6" t="n">
        <f aca="false">Sens!J20158*Sens!J20156</f>
        <v>173.692714459456</v>
      </c>
      <c r="K20159" s="6" t="n">
        <f aca="false">Sens!K20158*Sens!K20156</f>
        <v>181.58640314687</v>
      </c>
    </row>
    <row r="20160" customFormat="false" ht="17.15" hidden="false" customHeight="false" outlineLevel="0" collapsed="false">
      <c r="A20160" s="1" t="s">
        <v>1221</v>
      </c>
      <c r="B20160" s="0" t="s">
        <v>98</v>
      </c>
      <c r="C20160" s="6" t="n">
        <f aca="false">SUM(Sens!F20159:K20159)</f>
        <v>599.759432536197</v>
      </c>
    </row>
    <row r="20161" customFormat="false" ht="17.15" hidden="false" customHeight="false" outlineLevel="0" collapsed="false">
      <c r="A20161" s="1" t="s">
        <v>1222</v>
      </c>
      <c r="B20161" s="0" t="s">
        <v>98</v>
      </c>
      <c r="C20161" s="6" t="n">
        <f aca="false">PL!K39*(1+g_tv)*(1-tax_f)</f>
        <v>316.501318799308</v>
      </c>
    </row>
    <row r="20162" customFormat="false" ht="17.15" hidden="false" customHeight="false" outlineLevel="0" collapsed="false">
      <c r="A20162" s="1" t="s">
        <v>1223</v>
      </c>
      <c r="B20162" s="0" t="s">
        <v>98</v>
      </c>
      <c r="C20162" s="6" t="n">
        <f aca="false">Sens!$C$20161*(1-g_tv/(wacc+ronic_prem))</f>
        <v>224.25968269347</v>
      </c>
    </row>
    <row r="20163" customFormat="false" ht="17.15" hidden="false" customHeight="false" outlineLevel="0" collapsed="false">
      <c r="A20163" s="1" t="s">
        <v>1224</v>
      </c>
      <c r="B20163" s="0" t="s">
        <v>98</v>
      </c>
      <c r="C20163" s="6" t="n">
        <f aca="false">Sens!$C$20162/(wacc-g_tv)</f>
        <v>3074.72120352792</v>
      </c>
    </row>
    <row r="20164" customFormat="false" ht="15" hidden="false" customHeight="false" outlineLevel="0" collapsed="false">
      <c r="A20164" s="1" t="s">
        <v>1225</v>
      </c>
      <c r="B20164" s="0" t="s">
        <v>98</v>
      </c>
      <c r="C20164" s="6" t="n">
        <f aca="false">Sens!$C$20163/(1+wacc)^Sens!K20155</f>
        <v>1750.76373116397</v>
      </c>
    </row>
    <row r="20165" customFormat="false" ht="17.15" hidden="false" customHeight="false" outlineLevel="0" collapsed="false">
      <c r="A20165" s="0" t="s">
        <v>1226</v>
      </c>
      <c r="B20165" s="0" t="s">
        <v>98</v>
      </c>
      <c r="C20165" s="6" t="n">
        <f aca="false">Sens!$C$20160+Sens!$C$20164</f>
        <v>2350.52316370017</v>
      </c>
    </row>
    <row r="20166" customFormat="false" ht="15" hidden="false" customHeight="false" outlineLevel="0" collapsed="false">
      <c r="A20166" s="1" t="s">
        <v>1141</v>
      </c>
      <c r="B20166" s="0" t="s">
        <v>168</v>
      </c>
      <c r="C20166" s="7" t="n">
        <f aca="false">Sens!$C$20164/Sens!$C$20165</f>
        <v>0.744840024638574</v>
      </c>
    </row>
    <row r="20167" customFormat="false" ht="17.15" hidden="false" customHeight="false" outlineLevel="0" collapsed="false">
      <c r="A20167" s="1" t="s">
        <v>1227</v>
      </c>
      <c r="B20167" s="0" t="s">
        <v>98</v>
      </c>
      <c r="C20167" s="6" t="n">
        <f aca="false">Sens!$C$20165+cash_val-debt_val-fl_val+(oai_stake26*oai_val*(1-liq_disc))</f>
        <v>2473.19016370017</v>
      </c>
    </row>
    <row r="20168" customFormat="false" ht="17.15" hidden="false" customHeight="false" outlineLevel="0" collapsed="false">
      <c r="A20168" s="0" t="s">
        <v>1149</v>
      </c>
      <c r="B20168" s="0" t="s">
        <v>75</v>
      </c>
      <c r="C20168" s="5" t="n">
        <f aca="false">Sens!$C$20167/shd_val</f>
        <v>332.150169715306</v>
      </c>
    </row>
    <row r="20169" customFormat="false" ht="15" hidden="false" customHeight="false" outlineLevel="0" collapsed="false">
      <c r="A20169" s="1" t="s">
        <v>1228</v>
      </c>
      <c r="B20169" s="0" t="s">
        <v>75</v>
      </c>
      <c r="C20169" s="8" t="n">
        <f aca="false">div_rem27+CF!G31*roll_div_q/q_per_yr</f>
        <v>3.9795</v>
      </c>
    </row>
    <row r="20170" customFormat="false" ht="17.15" hidden="false" customHeight="false" outlineLevel="0" collapsed="false">
      <c r="A20170" s="0" t="s">
        <v>1229</v>
      </c>
      <c r="B20170" s="0" t="s">
        <v>75</v>
      </c>
      <c r="C20170" s="5" t="n">
        <f aca="false">Sens!$C$20168*(1+wacc)^t_roll-Sens!$C$20169</f>
        <v>365.223951186595</v>
      </c>
    </row>
    <row r="20171" customFormat="false" ht="17.15" hidden="false" customHeight="false" outlineLevel="0" collapsed="false">
      <c r="A20171" s="1" t="s">
        <v>1230</v>
      </c>
      <c r="B20171" s="0" t="s">
        <v>168</v>
      </c>
      <c r="F20171" s="7" t="n">
        <f aca="false">CF!F17/(Seg!F29-Thesis!F25)</f>
        <v>0.0685527305696859</v>
      </c>
      <c r="G20171" s="7" t="n">
        <f aca="false">CF!G17/(Seg!G29-Thesis!G25)</f>
        <v>0.0653567731599844</v>
      </c>
      <c r="H20171" s="7" t="n">
        <f aca="false">CF!H17/(Seg!H29-Thesis!H25)</f>
        <v>0.0636628841026972</v>
      </c>
      <c r="I20171" s="7" t="n">
        <f aca="false">CF!I17/(Seg!I29-Thesis!I25)</f>
        <v>0.0633581084335176</v>
      </c>
      <c r="J20171" s="7" t="n">
        <f aca="false">CF!J17/(Seg!J29-Thesis!J25)</f>
        <v>0.0640873955995062</v>
      </c>
      <c r="K20171" s="7" t="n">
        <f aca="false">CF!K17/(Seg!K29-Thesis!K25)</f>
        <v>0.0653962234835198</v>
      </c>
    </row>
    <row r="20172" customFormat="false" ht="17.15" hidden="false" customHeight="false" outlineLevel="0" collapsed="false">
      <c r="A20172" s="0" t="s">
        <v>1231</v>
      </c>
      <c r="B20172" s="0" t="s">
        <v>98</v>
      </c>
      <c r="F20172" s="6" t="n">
        <f aca="false">Seg!F14*(al_m365+Sens!F20171+sbc_r)</f>
        <v>84.5213906545575</v>
      </c>
      <c r="G20172" s="6" t="n">
        <f aca="false">Seg!G14*(al_m365+Sens!G20171+sbc_r)</f>
        <v>98.949983331796</v>
      </c>
      <c r="H20172" s="6" t="n">
        <f aca="false">Seg!H14*(al_m365+Sens!H20171+sbc_r)</f>
        <v>113.543734275326</v>
      </c>
      <c r="I20172" s="6" t="n">
        <f aca="false">Seg!I14*(al_m365+Sens!I20171+sbc_r)</f>
        <v>126.62058838692</v>
      </c>
      <c r="J20172" s="6" t="n">
        <f aca="false">Seg!J14*(al_m365+Sens!J20171+sbc_r)</f>
        <v>137.994660156303</v>
      </c>
      <c r="K20172" s="6" t="n">
        <f aca="false">Seg!K14*(al_m365+Sens!K20171+sbc_r)</f>
        <v>148.989224092997</v>
      </c>
      <c r="L20172" s="12" t="s">
        <v>1232</v>
      </c>
    </row>
    <row r="20173" customFormat="false" ht="17.15" hidden="false" customHeight="false" outlineLevel="0" collapsed="false">
      <c r="A20173" s="0" t="s">
        <v>1233</v>
      </c>
      <c r="B20173" s="0" t="s">
        <v>98</v>
      </c>
      <c r="F20173" s="6" t="n">
        <f aca="false">Seg!F15*(al_lic+Sens!F20171+sbc_r)</f>
        <v>32.855200196554</v>
      </c>
      <c r="G20173" s="6" t="n">
        <f aca="false">Seg!G15*(al_lic+Sens!G20171+sbc_r)</f>
        <v>34.1185582613282</v>
      </c>
      <c r="H20173" s="6" t="n">
        <f aca="false">Seg!H15*(al_lic+Sens!H20171+sbc_r)</f>
        <v>35.3024309363621</v>
      </c>
      <c r="I20173" s="6" t="n">
        <f aca="false">Seg!I15*(al_lic+Sens!I20171+sbc_r)</f>
        <v>36.3898468129533</v>
      </c>
      <c r="J20173" s="6" t="n">
        <f aca="false">Seg!J15*(al_lic+Sens!J20171+sbc_r)</f>
        <v>37.3529129529876</v>
      </c>
      <c r="K20173" s="6" t="n">
        <f aca="false">Seg!K15*(al_lic+Sens!K20171+sbc_r)</f>
        <v>38.158536171203</v>
      </c>
    </row>
    <row r="20174" customFormat="false" ht="17.15" hidden="false" customHeight="false" outlineLevel="0" collapsed="false">
      <c r="A20174" s="0" t="s">
        <v>1234</v>
      </c>
      <c r="B20174" s="0" t="s">
        <v>98</v>
      </c>
      <c r="F20174" s="6" t="n">
        <f aca="false">Seg!F17*(al_ind+Sens!F20171+sbc_r)</f>
        <v>9.05892547956683</v>
      </c>
      <c r="G20174" s="6" t="n">
        <f aca="false">Seg!G17*(al_ind+Sens!G20171+sbc_r)</f>
        <v>9.82456487622418</v>
      </c>
      <c r="H20174" s="6" t="n">
        <f aca="false">Seg!H17*(al_ind+Sens!H20171+sbc_r)</f>
        <v>10.6377408477959</v>
      </c>
      <c r="I20174" s="6" t="n">
        <f aca="false">Seg!I17*(al_ind+Sens!I20171+sbc_r)</f>
        <v>11.4966323260293</v>
      </c>
      <c r="J20174" s="6" t="n">
        <f aca="false">Seg!J17*(al_ind+Sens!J20171+sbc_r)</f>
        <v>12.3903660286279</v>
      </c>
      <c r="K20174" s="6" t="n">
        <f aca="false">Seg!K17*(al_ind+Sens!K20171+sbc_r)</f>
        <v>13.3009129057681</v>
      </c>
    </row>
    <row r="20175" customFormat="false" ht="17.15" hidden="false" customHeight="false" outlineLevel="0" collapsed="false">
      <c r="A20175" s="0" t="s">
        <v>1235</v>
      </c>
      <c r="B20175" s="0" t="s">
        <v>98</v>
      </c>
      <c r="F20175" s="6" t="n">
        <f aca="false">Seg!F19*(al_fro+Sens!F20171+sbc_r)</f>
        <v>3.55344443532423</v>
      </c>
      <c r="G20175" s="6" t="n">
        <f aca="false">Seg!G19*(al_fro+Sens!G20171+sbc_r)</f>
        <v>3.75916645971565</v>
      </c>
      <c r="H20175" s="6" t="n">
        <f aca="false">Seg!H19*(al_fro+Sens!H20171+sbc_r)</f>
        <v>3.994970960527</v>
      </c>
      <c r="I20175" s="6" t="n">
        <f aca="false">Seg!I19*(al_fro+Sens!I20171+sbc_r)</f>
        <v>4.26396270432353</v>
      </c>
      <c r="J20175" s="6" t="n">
        <f aca="false">Seg!J19*(al_fro+Sens!J20171+sbc_r)</f>
        <v>4.5667795874336</v>
      </c>
      <c r="K20175" s="6" t="n">
        <f aca="false">Seg!K19*(al_fro+Sens!K20171+sbc_r)</f>
        <v>4.90238443416026</v>
      </c>
    </row>
    <row r="20176" customFormat="false" ht="17.15" hidden="false" customHeight="false" outlineLevel="0" collapsed="false">
      <c r="A20176" s="0" t="s">
        <v>1236</v>
      </c>
      <c r="B20176" s="0" t="s">
        <v>98</v>
      </c>
      <c r="F20176" s="6" t="n">
        <f aca="false">Seg!F22*(al_srch+Sens!F20171+sbc_r)</f>
        <v>11.1872483445711</v>
      </c>
      <c r="G20176" s="6" t="n">
        <f aca="false">Seg!G22*(al_srch+Sens!G20171+sbc_r)</f>
        <v>12.247246048296</v>
      </c>
      <c r="H20176" s="6" t="n">
        <f aca="false">Seg!H22*(al_srch+Sens!H20171+sbc_r)</f>
        <v>13.3552870946193</v>
      </c>
      <c r="I20176" s="6" t="n">
        <f aca="false">Seg!I22*(al_srch+Sens!I20171+sbc_r)</f>
        <v>14.5024145321619</v>
      </c>
      <c r="J20176" s="6" t="n">
        <f aca="false">Seg!J22*(al_srch+Sens!J20171+sbc_r)</f>
        <v>15.667276660652</v>
      </c>
      <c r="K20176" s="6" t="n">
        <f aca="false">Seg!K22*(al_srch+Sens!K20171+sbc_r)</f>
        <v>16.8186381138719</v>
      </c>
    </row>
    <row r="20177" customFormat="false" ht="17.15" hidden="false" customHeight="false" outlineLevel="0" collapsed="false">
      <c r="A20177" s="0" t="s">
        <v>1237</v>
      </c>
      <c r="B20177" s="0" t="s">
        <v>98</v>
      </c>
      <c r="F20177" s="6" t="n">
        <f aca="false">Thesis!F31-Thesis!F32+Thesis!F47</f>
        <v>45.3782580567763</v>
      </c>
      <c r="G20177" s="6" t="n">
        <f aca="false">Thesis!G31-Thesis!G32+Thesis!G47</f>
        <v>91.0863367558165</v>
      </c>
      <c r="H20177" s="6" t="n">
        <f aca="false">Thesis!H31-Thesis!H32+Thesis!H47</f>
        <v>144.617532464853</v>
      </c>
      <c r="I20177" s="6" t="n">
        <f aca="false">Thesis!I31-Thesis!I32+Thesis!I47</f>
        <v>187.137304561304</v>
      </c>
      <c r="J20177" s="6" t="n">
        <f aca="false">Thesis!J31-Thesis!J32+Thesis!J47</f>
        <v>217.006854425907</v>
      </c>
      <c r="K20177" s="6" t="n">
        <f aca="false">Thesis!K31-Thesis!K32+Thesis!K47</f>
        <v>234.933637903877</v>
      </c>
    </row>
    <row r="20178" customFormat="false" ht="17.15" hidden="false" customHeight="false" outlineLevel="0" collapsed="false">
      <c r="A20178" s="0" t="s">
        <v>1238</v>
      </c>
      <c r="B20178" s="0" t="s">
        <v>98</v>
      </c>
      <c r="F20178" s="6" t="n">
        <f aca="false">PL!F32+Thesis!F47+Thesis!F43+Sens!F20171*(Seg!F21-Thesis!F25)+sbc_r*Seg!F21</f>
        <v>240.818167741339</v>
      </c>
      <c r="G20178" s="6" t="n">
        <f aca="false">PL!G32+Thesis!G47+Thesis!G43+Sens!G20171*(Seg!G21-Thesis!G25)+sbc_r*Seg!G21</f>
        <v>311.917784140952</v>
      </c>
      <c r="H20178" s="6" t="n">
        <f aca="false">PL!H32+Thesis!H47+Thesis!H43+Sens!H20171*(Seg!H21-Thesis!H25)+sbc_r*Seg!H21</f>
        <v>395.486245683473</v>
      </c>
      <c r="I20178" s="6" t="n">
        <f aca="false">PL!I32+Thesis!I47+Thesis!I43+Sens!I20171*(Seg!I21-Thesis!I25)+sbc_r*Seg!I21</f>
        <v>465.950805948377</v>
      </c>
      <c r="J20178" s="6" t="n">
        <f aca="false">PL!J32+Thesis!J47+Thesis!J43+Sens!J20171*(Seg!J21-Thesis!J25)+sbc_r*Seg!J21</f>
        <v>520.78677388057</v>
      </c>
      <c r="K20178" s="6" t="n">
        <f aca="false">PL!K32+Thesis!K47+Thesis!K43+Sens!K20171*(Seg!K21-Thesis!K25)+sbc_r*Seg!K21</f>
        <v>561.2469767412</v>
      </c>
    </row>
    <row r="20179" customFormat="false" ht="17.15" hidden="false" customHeight="false" outlineLevel="0" collapsed="false">
      <c r="A20179" s="0" t="s">
        <v>1239</v>
      </c>
      <c r="B20179" s="0" t="s">
        <v>98</v>
      </c>
      <c r="F20179" s="6" t="n">
        <f aca="false">Sens!F20178-Sens!F20172-Sens!F20173-Sens!F20174-Sens!F20175-Sens!F20177</f>
        <v>65.4509489185601</v>
      </c>
      <c r="G20179" s="6" t="n">
        <f aca="false">Sens!G20178-Sens!G20172-Sens!G20173-Sens!G20174-Sens!G20175-Sens!G20177</f>
        <v>74.1791744560715</v>
      </c>
      <c r="H20179" s="6" t="n">
        <f aca="false">Sens!H20178-Sens!H20172-Sens!H20173-Sens!H20174-Sens!H20175-Sens!H20177</f>
        <v>87.3898361986086</v>
      </c>
      <c r="I20179" s="6" t="n">
        <f aca="false">Sens!I20178-Sens!I20172-Sens!I20173-Sens!I20174-Sens!I20175-Sens!I20177</f>
        <v>100.042471156846</v>
      </c>
      <c r="J20179" s="6" t="n">
        <f aca="false">Sens!J20178-Sens!J20172-Sens!J20173-Sens!J20174-Sens!J20175-Sens!J20177</f>
        <v>111.475200729312</v>
      </c>
      <c r="K20179" s="6" t="n">
        <f aca="false">Sens!K20178-Sens!K20172-Sens!K20173-Sens!K20174-Sens!K20175-Sens!K20177</f>
        <v>120.962281233195</v>
      </c>
    </row>
    <row r="20180" customFormat="false" ht="17.15" hidden="false" customHeight="false" outlineLevel="0" collapsed="false">
      <c r="A20180" s="0" t="s">
        <v>1240</v>
      </c>
      <c r="B20180" s="0" t="s">
        <v>98</v>
      </c>
      <c r="F20180" s="6" t="n">
        <f aca="false">PL!F34+Sens!F20171*Seg!F28+sbc_r*Seg!F28</f>
        <v>26.6293388420472</v>
      </c>
      <c r="G20180" s="6" t="n">
        <f aca="false">PL!G34+Sens!G20171*Seg!G28+sbc_r*Seg!G28</f>
        <v>26.4405000412783</v>
      </c>
      <c r="H20180" s="6" t="n">
        <f aca="false">PL!H34+Sens!H20171*Seg!H28+sbc_r*Seg!H28</f>
        <v>27.296860059552</v>
      </c>
      <c r="I20180" s="6" t="n">
        <f aca="false">PL!I34+Sens!I20171*Seg!I28+sbc_r*Seg!I28</f>
        <v>28.3995465815703</v>
      </c>
      <c r="J20180" s="6" t="n">
        <f aca="false">PL!J34+Sens!J20171*Seg!J28+sbc_r*Seg!J28</f>
        <v>29.7093380975903</v>
      </c>
      <c r="K20180" s="6" t="n">
        <f aca="false">PL!K34+Sens!K20171*Seg!K28+sbc_r*Seg!K28</f>
        <v>31.1817775287323</v>
      </c>
    </row>
    <row r="20181" customFormat="false" ht="17.15" hidden="false" customHeight="false" outlineLevel="0" collapsed="false">
      <c r="A20181" s="0" t="s">
        <v>1241</v>
      </c>
      <c r="B20181" s="0" t="s">
        <v>98</v>
      </c>
      <c r="F20181" s="6" t="n">
        <f aca="false">(Sens!F20180-Sens!F20176)*Seg!F24/(Seg!F24+Seg!F26)</f>
        <v>8.72146908842971</v>
      </c>
      <c r="G20181" s="6" t="n">
        <f aca="false">(Sens!G20180-Sens!G20176)*Seg!G24/(Seg!G24+Seg!G26)</f>
        <v>7.87837655379173</v>
      </c>
      <c r="H20181" s="6" t="n">
        <f aca="false">(Sens!H20180-Sens!H20176)*Seg!H24/(Seg!H24+Seg!H26)</f>
        <v>7.63786170689933</v>
      </c>
      <c r="I20181" s="6" t="n">
        <f aca="false">(Sens!I20180-Sens!I20176)*Seg!I24/(Seg!I24+Seg!I26)</f>
        <v>7.5470606300581</v>
      </c>
      <c r="J20181" s="6" t="n">
        <f aca="false">(Sens!J20180-Sens!J20176)*Seg!J24/(Seg!J24+Seg!J26)</f>
        <v>7.59249600034024</v>
      </c>
      <c r="K20181" s="6" t="n">
        <f aca="false">(Sens!K20180-Sens!K20176)*Seg!K24/(Seg!K24+Seg!K26)</f>
        <v>7.76610179704742</v>
      </c>
    </row>
    <row r="20182" customFormat="false" ht="17.15" hidden="false" customHeight="false" outlineLevel="0" collapsed="false">
      <c r="A20182" s="0" t="s">
        <v>1242</v>
      </c>
      <c r="B20182" s="0" t="s">
        <v>98</v>
      </c>
      <c r="F20182" s="6" t="n">
        <f aca="false">Sens!F20180-Sens!F20176-Sens!F20181</f>
        <v>6.72062140904636</v>
      </c>
      <c r="G20182" s="6" t="n">
        <f aca="false">Sens!G20180-Sens!G20176-Sens!G20181</f>
        <v>6.31487743919059</v>
      </c>
      <c r="H20182" s="6" t="n">
        <f aca="false">Sens!H20180-Sens!H20176-Sens!H20181</f>
        <v>6.30371125803333</v>
      </c>
      <c r="I20182" s="6" t="n">
        <f aca="false">Sens!I20180-Sens!I20176-Sens!I20181</f>
        <v>6.35007141935025</v>
      </c>
      <c r="J20182" s="6" t="n">
        <f aca="false">Sens!J20180-Sens!J20176-Sens!J20181</f>
        <v>6.44956543659808</v>
      </c>
      <c r="K20182" s="6" t="n">
        <f aca="false">Sens!K20180-Sens!K20176-Sens!K20181</f>
        <v>6.597037617813</v>
      </c>
    </row>
    <row r="20183" customFormat="false" ht="17.15" hidden="false" customHeight="false" outlineLevel="0" collapsed="false">
      <c r="A20183" s="0" t="s">
        <v>1243</v>
      </c>
      <c r="B20183" s="0" t="s">
        <v>98</v>
      </c>
      <c r="F20183" s="6" t="n">
        <f aca="false">Sens!F20177-tax_f*(Sens!F20177-Thesis!F43)-Thesis!F40</f>
        <v>-125.235434701028</v>
      </c>
      <c r="G20183" s="6" t="n">
        <f aca="false">Sens!G20177-tax_f*(Sens!G20177-Thesis!G43)-Thesis!G40</f>
        <v>-106.928508113935</v>
      </c>
      <c r="H20183" s="6" t="n">
        <f aca="false">Sens!H20177-tax_f*(Sens!H20177-Thesis!H43)-Thesis!H40</f>
        <v>-63.2919599603405</v>
      </c>
      <c r="I20183" s="6" t="n">
        <f aca="false">Sens!I20177-tax_f*(Sens!I20177-Thesis!I43)-Thesis!I40</f>
        <v>3.94121196634245</v>
      </c>
      <c r="J20183" s="6" t="n">
        <f aca="false">Sens!J20177-tax_f*(Sens!J20177-Thesis!J43)-Thesis!J40</f>
        <v>71.0786869547042</v>
      </c>
      <c r="K20183" s="6" t="n">
        <f aca="false">Sens!K20177-tax_f*(Sens!K20177-Thesis!K43)-Thesis!K40</f>
        <v>97.5865911685559</v>
      </c>
    </row>
    <row r="20184" customFormat="false" ht="17.15" hidden="false" customHeight="false" outlineLevel="0" collapsed="false">
      <c r="A20184" s="0" t="s">
        <v>1244</v>
      </c>
      <c r="B20184" s="0" t="s">
        <v>98</v>
      </c>
      <c r="G20184" s="6" t="n">
        <f aca="false">Sens!G20183/(1+wacc)^(Sens!G20154-Sens!F20155)</f>
        <v>-101.81651667568</v>
      </c>
      <c r="H20184" s="6" t="n">
        <f aca="false">Sens!H20183/(1+wacc)^(Sens!H20154-Sens!F20155)</f>
        <v>-54.6415143556151</v>
      </c>
      <c r="I20184" s="6" t="n">
        <f aca="false">Sens!I20183/(1+wacc)^(Sens!I20154-Sens!F20155)</f>
        <v>3.08498765169516</v>
      </c>
      <c r="J20184" s="6" t="n">
        <f aca="false">Sens!J20183/(1+wacc)^(Sens!J20154-Sens!F20155)</f>
        <v>50.4443451596971</v>
      </c>
      <c r="K20184" s="6" t="n">
        <f aca="false">Sens!K20183/(1+wacc)^(Sens!K20154-Sens!F20155)</f>
        <v>62.7932114544856</v>
      </c>
      <c r="L20184" s="1" t="s">
        <v>1245</v>
      </c>
    </row>
    <row r="20185" customFormat="false" ht="17.15" hidden="false" customHeight="false" outlineLevel="0" collapsed="false">
      <c r="A20185" s="0" t="s">
        <v>1246</v>
      </c>
      <c r="B20185" s="0" t="s">
        <v>98</v>
      </c>
      <c r="C20185" s="6" t="n">
        <f aca="false">(Sens!K20177-Thesis!K43)*(1-tax_f)*(1+g_tv)*(1-g_tv/(wacc+ronic_prem))/(wacc-g_tv)/(1+wacc)^(Sens!K20155-Sens!F20155)</f>
        <v>450.836735002813</v>
      </c>
    </row>
    <row r="20186" customFormat="false" ht="17.15" hidden="false" customHeight="false" outlineLevel="0" collapsed="false">
      <c r="A20186" s="1" t="s">
        <v>1247</v>
      </c>
      <c r="B20186" s="0" t="s">
        <v>98</v>
      </c>
      <c r="C20186" s="6" t="n">
        <f aca="false">(SUM(Sens!G20184:K20184)+Sens!$C$20185)*(1+wacc)^(t_roll-Sens!F20155)</f>
        <v>424.259738494477</v>
      </c>
      <c r="L20186" s="12" t="s">
        <v>1248</v>
      </c>
    </row>
    <row r="20187" customFormat="false" ht="17.15" hidden="false" customHeight="false" outlineLevel="0" collapsed="false">
      <c r="A20187" s="1" t="s">
        <v>1249</v>
      </c>
      <c r="B20187" s="0" t="s">
        <v>98</v>
      </c>
      <c r="C20187" s="6" t="n">
        <f aca="false">(w_ntm28*Thesis!G31+(1-w_ntm28)*Thesis!H31)*m_ai</f>
        <v>563.316843258668</v>
      </c>
    </row>
    <row r="20188" customFormat="false" ht="17.15" hidden="false" customHeight="false" outlineLevel="0" collapsed="false">
      <c r="A20188" s="1" t="s">
        <v>1250</v>
      </c>
      <c r="B20188" s="0" t="s">
        <v>98</v>
      </c>
      <c r="C20188" s="6" t="n">
        <f aca="false">(w_ntm28*Sens!G20179+(1-w_ntm28)*Sens!H20179)*m_cloud</f>
        <v>1085.17964696599</v>
      </c>
    </row>
    <row r="20189" customFormat="false" ht="17.15" hidden="false" customHeight="false" outlineLevel="0" collapsed="false">
      <c r="A20189" s="1" t="s">
        <v>1251</v>
      </c>
      <c r="B20189" s="0" t="s">
        <v>98</v>
      </c>
      <c r="C20189" s="6" t="n">
        <f aca="false">(w_ntm28*Sens!G20172+(1-w_ntm28)*Sens!H20172)*m_sw</f>
        <v>1120.47763155275</v>
      </c>
    </row>
    <row r="20190" customFormat="false" ht="17.15" hidden="false" customHeight="false" outlineLevel="0" collapsed="false">
      <c r="A20190" s="1" t="s">
        <v>1252</v>
      </c>
      <c r="B20190" s="0" t="s">
        <v>98</v>
      </c>
      <c r="C20190" s="6" t="n">
        <f aca="false">(w_ntm28*Sens!G20173+(1-w_ntm28)*Sens!H20173)*m_sw</f>
        <v>372.68398809041</v>
      </c>
    </row>
    <row r="20191" customFormat="false" ht="17.15" hidden="false" customHeight="false" outlineLevel="0" collapsed="false">
      <c r="A20191" s="1" t="s">
        <v>1253</v>
      </c>
      <c r="B20191" s="0" t="s">
        <v>98</v>
      </c>
      <c r="C20191" s="6" t="n">
        <f aca="false">(w_ntm28*Sens!G20174+(1-w_ntm28)*Sens!H20174)*m_sw</f>
        <v>108.992632332144</v>
      </c>
    </row>
    <row r="20192" customFormat="false" ht="17.15" hidden="false" customHeight="false" outlineLevel="0" collapsed="false">
      <c r="A20192" s="1" t="s">
        <v>1254</v>
      </c>
      <c r="B20192" s="0" t="s">
        <v>98</v>
      </c>
      <c r="C20192" s="6" t="n">
        <f aca="false">(w_ntm28*Sens!G20175+(1-w_ntm28)*Sens!H20175)*m_sw</f>
        <v>41.4362652527414</v>
      </c>
    </row>
    <row r="20193" customFormat="false" ht="17.15" hidden="false" customHeight="false" outlineLevel="0" collapsed="false">
      <c r="A20193" s="1" t="s">
        <v>1255</v>
      </c>
      <c r="B20193" s="0" t="s">
        <v>98</v>
      </c>
      <c r="C20193" s="6" t="n">
        <f aca="false">(w_ntm28*Sens!G20176+(1-w_ntm28)*Sens!H20176)*m_ads</f>
        <v>114.891070326937</v>
      </c>
    </row>
    <row r="20194" customFormat="false" ht="17.15" hidden="false" customHeight="false" outlineLevel="0" collapsed="false">
      <c r="A20194" s="1" t="s">
        <v>1256</v>
      </c>
      <c r="B20194" s="0" t="s">
        <v>98</v>
      </c>
      <c r="C20194" s="6" t="n">
        <f aca="false">(w_ntm28*Sens!G20181+(1-w_ntm28)*Sens!H20181)*m_game</f>
        <v>98.505199156718</v>
      </c>
    </row>
    <row r="20195" customFormat="false" ht="17.15" hidden="false" customHeight="false" outlineLevel="0" collapsed="false">
      <c r="A20195" s="1" t="s">
        <v>1257</v>
      </c>
      <c r="B20195" s="0" t="s">
        <v>98</v>
      </c>
      <c r="C20195" s="6" t="n">
        <f aca="false">(w_ntm28*Sens!G20182+(1-w_ntm28)*Sens!H20182)*m_pc</f>
        <v>91.3231561150564</v>
      </c>
    </row>
    <row r="20196" customFormat="false" ht="17.15" hidden="false" customHeight="false" outlineLevel="0" collapsed="false">
      <c r="A20196" s="1" t="s">
        <v>1258</v>
      </c>
      <c r="B20196" s="0" t="s">
        <v>98</v>
      </c>
      <c r="C20196" s="6" t="n">
        <f aca="false">Sens!$C$20186+Sens!$C$20188+Sens!$C$20189+Sens!$C$20190+Sens!$C$20191+Sens!$C$20192+Sens!$C$20193+Sens!$C$20194+Sens!$C$20195</f>
        <v>3457.74932828722</v>
      </c>
    </row>
    <row r="20197" customFormat="false" ht="17.15" hidden="false" customHeight="false" outlineLevel="0" collapsed="false">
      <c r="A20197" s="1" t="s">
        <v>1259</v>
      </c>
      <c r="B20197" s="0" t="s">
        <v>98</v>
      </c>
      <c r="C20197" s="6" t="n">
        <f aca="false">(Sens!G20158-Sens!G20183)*t_stub</f>
        <v>48.2832931160316</v>
      </c>
      <c r="L20197" s="1" t="s">
        <v>1260</v>
      </c>
    </row>
    <row r="20198" customFormat="false" ht="17.15" hidden="false" customHeight="false" outlineLevel="0" collapsed="false">
      <c r="A20198" s="1" t="s">
        <v>1169</v>
      </c>
      <c r="B20198" s="0" t="s">
        <v>98</v>
      </c>
      <c r="C20198" s="6" t="n">
        <f aca="false">CF!F39+(oai_stake26*oai_val*(1-liq_disc))-CF!F28+Sens!$C$20197</f>
        <v>169.327563116032</v>
      </c>
      <c r="L20198" s="1" t="s">
        <v>1261</v>
      </c>
    </row>
    <row r="20199" customFormat="false" ht="17.15" hidden="false" customHeight="false" outlineLevel="0" collapsed="false">
      <c r="A20199" s="1" t="s">
        <v>1262</v>
      </c>
      <c r="B20199" s="0" t="s">
        <v>75</v>
      </c>
      <c r="C20199" s="5" t="n">
        <f aca="false">(Sens!$C$20196+Sens!$C$20198)/(CF!F41+dil_gap)-CF!G31*roll_div_q/q_per_yr</f>
        <v>483.199269875592</v>
      </c>
      <c r="L20199" s="1" t="s">
        <v>1263</v>
      </c>
    </row>
    <row r="20200" customFormat="false" ht="17.15" hidden="false" customHeight="false" outlineLevel="0" collapsed="false">
      <c r="A20200" s="1" t="s">
        <v>1264</v>
      </c>
      <c r="B20200" s="0" t="s">
        <v>75</v>
      </c>
      <c r="C20200" s="5" t="n">
        <f aca="false">w_dcf*Sens!$C$20170+(1-w_dcf)*Sens!$C$20199</f>
        <v>424.211610531093</v>
      </c>
    </row>
    <row r="20201" customFormat="false" ht="17.15" hidden="false" customHeight="false" outlineLevel="0" collapsed="false">
      <c r="A20201" s="3" t="s">
        <v>1978</v>
      </c>
    </row>
    <row r="20202" customFormat="false" ht="15" hidden="false" customHeight="false" outlineLevel="0" collapsed="false">
      <c r="A20202" s="4" t="s">
        <v>43</v>
      </c>
      <c r="B20202" s="4" t="s">
        <v>65</v>
      </c>
      <c r="C20202" s="23" t="s">
        <v>938</v>
      </c>
      <c r="D20202" s="23" t="s">
        <v>939</v>
      </c>
      <c r="E20202" s="23" t="s">
        <v>940</v>
      </c>
      <c r="F20202" s="23" t="s">
        <v>941</v>
      </c>
      <c r="G20202" s="23" t="s">
        <v>942</v>
      </c>
      <c r="H20202" s="23" t="s">
        <v>943</v>
      </c>
      <c r="I20202" s="23" t="s">
        <v>944</v>
      </c>
      <c r="J20202" s="23" t="s">
        <v>945</v>
      </c>
      <c r="K20202" s="23" t="s">
        <v>946</v>
      </c>
      <c r="L20202" s="4" t="s">
        <v>47</v>
      </c>
    </row>
    <row r="20203" customFormat="false" ht="17.15" hidden="false" customHeight="false" outlineLevel="0" collapsed="false">
      <c r="A20203" s="1" t="s">
        <v>1212</v>
      </c>
      <c r="B20203" s="1" t="s">
        <v>279</v>
      </c>
      <c r="F20203" s="8" t="n">
        <f aca="false">(1-v_off)*mid_yr</f>
        <v>0.373972602739726</v>
      </c>
      <c r="G20203" s="8" t="n">
        <f aca="false">Thesis!G58-base_fy-mid_yr-v_off</f>
        <v>1.24794520547945</v>
      </c>
      <c r="H20203" s="8" t="n">
        <f aca="false">Thesis!H58-base_fy-mid_yr-v_off</f>
        <v>2.24794520547945</v>
      </c>
      <c r="I20203" s="8" t="n">
        <f aca="false">Thesis!I58-base_fy-mid_yr-v_off</f>
        <v>3.24794520547945</v>
      </c>
      <c r="J20203" s="8" t="n">
        <f aca="false">Thesis!J58-base_fy-mid_yr-v_off</f>
        <v>4.24794520547945</v>
      </c>
      <c r="K20203" s="8" t="n">
        <f aca="false">Thesis!K58-base_fy-mid_yr-v_off</f>
        <v>5.24794520547945</v>
      </c>
      <c r="L20203" s="12" t="s">
        <v>1213</v>
      </c>
    </row>
    <row r="20204" customFormat="false" ht="15" hidden="false" customHeight="false" outlineLevel="0" collapsed="false">
      <c r="A20204" s="1" t="s">
        <v>1214</v>
      </c>
      <c r="B20204" s="1" t="s">
        <v>279</v>
      </c>
      <c r="F20204" s="8" t="n">
        <f aca="false">Thesis!F58-base_fy-v_off</f>
        <v>0.747945205479452</v>
      </c>
      <c r="G20204" s="8" t="n">
        <f aca="false">Thesis!G58-base_fy-v_off</f>
        <v>1.74794520547945</v>
      </c>
      <c r="H20204" s="8" t="n">
        <f aca="false">Thesis!H58-base_fy-v_off</f>
        <v>2.74794520547945</v>
      </c>
      <c r="I20204" s="8" t="n">
        <f aca="false">Thesis!I58-base_fy-v_off</f>
        <v>3.74794520547945</v>
      </c>
      <c r="J20204" s="8" t="n">
        <f aca="false">Thesis!J58-base_fy-v_off</f>
        <v>4.74794520547945</v>
      </c>
      <c r="K20204" s="8" t="n">
        <f aca="false">Thesis!K58-base_fy-v_off</f>
        <v>5.74794520547945</v>
      </c>
    </row>
    <row r="20205" customFormat="false" ht="15" hidden="false" customHeight="false" outlineLevel="0" collapsed="false">
      <c r="A20205" s="1" t="s">
        <v>1215</v>
      </c>
      <c r="B20205" s="0" t="s">
        <v>229</v>
      </c>
      <c r="F20205" s="15" t="n">
        <f aca="false">1/(1+wacc)^Sens!F20203</f>
        <v>0.964022703286649</v>
      </c>
      <c r="G20205" s="15" t="n">
        <f aca="false">1/(1+wacc)^Sens!G20203</f>
        <v>0.884910302296739</v>
      </c>
      <c r="H20205" s="15" t="n">
        <f aca="false">1/(1+wacc)^Sens!H20203</f>
        <v>0.802322009770358</v>
      </c>
      <c r="I20205" s="15" t="n">
        <f aca="false">1/(1+wacc)^Sens!I20203</f>
        <v>0.727441646561469</v>
      </c>
      <c r="J20205" s="15" t="n">
        <f aca="false">1/(1+wacc)^Sens!J20203</f>
        <v>0.659549834988973</v>
      </c>
      <c r="K20205" s="15" t="n">
        <f aca="false">1/(1+wacc)^Sens!K20203</f>
        <v>0.597994336576966</v>
      </c>
    </row>
    <row r="20206" customFormat="false" ht="17.15" hidden="false" customHeight="false" outlineLevel="0" collapsed="false">
      <c r="A20206" s="1" t="s">
        <v>1216</v>
      </c>
      <c r="B20206" s="0" t="s">
        <v>98</v>
      </c>
      <c r="F20206" s="6" t="n">
        <f aca="false">Q!$I$35-Q!$I$39-Q!$I$43</f>
        <v>9.666</v>
      </c>
      <c r="L20206" s="12" t="s">
        <v>1217</v>
      </c>
    </row>
    <row r="20207" customFormat="false" ht="17.15" hidden="false" customHeight="false" outlineLevel="0" collapsed="false">
      <c r="A20207" s="1" t="s">
        <v>1218</v>
      </c>
      <c r="B20207" s="0" t="s">
        <v>98</v>
      </c>
      <c r="F20207" s="6" t="n">
        <f aca="false">CF!F55-CF!F52-CF!F59+Thesis!F99*(1-tax_f)*(1-v_off)-Sens!F20206</f>
        <v>-3.35959137570949</v>
      </c>
      <c r="G20207" s="6" t="n">
        <f aca="false">CF!G55-CF!G52-CF!G59+Thesis!G99*(1-tax_f)</f>
        <v>29.8084555066036</v>
      </c>
      <c r="H20207" s="6" t="n">
        <f aca="false">CF!H55-CF!H52-CF!H59+Thesis!H99*(1-tax_f)</f>
        <v>79.3231801478051</v>
      </c>
      <c r="I20207" s="6" t="n">
        <f aca="false">CF!I55-CF!I52-CF!I59+Thesis!I99*(1-tax_f)</f>
        <v>157.29132812061</v>
      </c>
      <c r="J20207" s="6" t="n">
        <f aca="false">CF!J55-CF!J52-CF!J59+Thesis!J99*(1-tax_f)</f>
        <v>235.537601843622</v>
      </c>
      <c r="K20207" s="6" t="n">
        <f aca="false">CF!K55-CF!K52-CF!K59+Thesis!K99*(1-tax_f)</f>
        <v>273.705067207806</v>
      </c>
      <c r="L20207" s="1" t="s">
        <v>1219</v>
      </c>
    </row>
    <row r="20208" customFormat="false" ht="15" hidden="false" customHeight="false" outlineLevel="0" collapsed="false">
      <c r="A20208" s="1" t="s">
        <v>1220</v>
      </c>
      <c r="B20208" s="0" t="s">
        <v>98</v>
      </c>
      <c r="F20208" s="6" t="n">
        <f aca="false">Sens!F20207*Sens!F20205</f>
        <v>-3.23872235994998</v>
      </c>
      <c r="G20208" s="6" t="n">
        <f aca="false">Sens!G20207*Sens!G20205</f>
        <v>26.3778093733475</v>
      </c>
      <c r="H20208" s="6" t="n">
        <f aca="false">Sens!H20207*Sens!H20205</f>
        <v>63.6427333175632</v>
      </c>
      <c r="I20208" s="6" t="n">
        <f aca="false">Sens!I20207*Sens!I20205</f>
        <v>114.420262717897</v>
      </c>
      <c r="J20208" s="6" t="n">
        <f aca="false">Sens!J20207*Sens!J20205</f>
        <v>155.348786429659</v>
      </c>
      <c r="K20208" s="6" t="n">
        <f aca="false">Sens!K20207*Sens!K20205</f>
        <v>163.674080082686</v>
      </c>
    </row>
    <row r="20209" customFormat="false" ht="17.15" hidden="false" customHeight="false" outlineLevel="0" collapsed="false">
      <c r="A20209" s="1" t="s">
        <v>1221</v>
      </c>
      <c r="B20209" s="0" t="s">
        <v>98</v>
      </c>
      <c r="C20209" s="6" t="n">
        <f aca="false">SUM(Sens!F20208:K20208)</f>
        <v>520.224949561203</v>
      </c>
    </row>
    <row r="20210" customFormat="false" ht="17.15" hidden="false" customHeight="false" outlineLevel="0" collapsed="false">
      <c r="A20210" s="1" t="s">
        <v>1222</v>
      </c>
      <c r="B20210" s="0" t="s">
        <v>98</v>
      </c>
      <c r="C20210" s="6" t="n">
        <f aca="false">PL!K78*(1+g_tv)*(1-tax_f)</f>
        <v>284.979534119394</v>
      </c>
    </row>
    <row r="20211" customFormat="false" ht="17.15" hidden="false" customHeight="false" outlineLevel="0" collapsed="false">
      <c r="A20211" s="1" t="s">
        <v>1223</v>
      </c>
      <c r="B20211" s="0" t="s">
        <v>98</v>
      </c>
      <c r="C20211" s="6" t="n">
        <f aca="false">Sens!$C$20210*(1-g_tv/(wacc+ronic_prem))</f>
        <v>201.924655916751</v>
      </c>
    </row>
    <row r="20212" customFormat="false" ht="17.15" hidden="false" customHeight="false" outlineLevel="0" collapsed="false">
      <c r="A20212" s="1" t="s">
        <v>1224</v>
      </c>
      <c r="B20212" s="0" t="s">
        <v>98</v>
      </c>
      <c r="C20212" s="6" t="n">
        <f aca="false">Sens!$C$20211/(wacc-g_tv)</f>
        <v>2768.49594008808</v>
      </c>
    </row>
    <row r="20213" customFormat="false" ht="15" hidden="false" customHeight="false" outlineLevel="0" collapsed="false">
      <c r="A20213" s="1" t="s">
        <v>1225</v>
      </c>
      <c r="B20213" s="0" t="s">
        <v>98</v>
      </c>
      <c r="C20213" s="6" t="n">
        <f aca="false">Sens!$C$20212/(1+wacc)^Sens!K20204</f>
        <v>1576.39732546142</v>
      </c>
    </row>
    <row r="20214" customFormat="false" ht="17.15" hidden="false" customHeight="false" outlineLevel="0" collapsed="false">
      <c r="A20214" s="0" t="s">
        <v>1226</v>
      </c>
      <c r="B20214" s="0" t="s">
        <v>98</v>
      </c>
      <c r="C20214" s="6" t="n">
        <f aca="false">Sens!$C$20209+Sens!$C$20213</f>
        <v>2096.62227502262</v>
      </c>
    </row>
    <row r="20215" customFormat="false" ht="15" hidden="false" customHeight="false" outlineLevel="0" collapsed="false">
      <c r="A20215" s="1" t="s">
        <v>1141</v>
      </c>
      <c r="B20215" s="0" t="s">
        <v>168</v>
      </c>
      <c r="C20215" s="7" t="n">
        <f aca="false">Sens!$C$20213/Sens!$C$20214</f>
        <v>0.751874738831729</v>
      </c>
    </row>
    <row r="20216" customFormat="false" ht="17.15" hidden="false" customHeight="false" outlineLevel="0" collapsed="false">
      <c r="A20216" s="1" t="s">
        <v>1227</v>
      </c>
      <c r="B20216" s="0" t="s">
        <v>98</v>
      </c>
      <c r="C20216" s="6" t="n">
        <f aca="false">Sens!$C$20214+cash_val-debt_val-fl_val+(oai_stake26*oai_val*(1-liq_disc))</f>
        <v>2219.28927502262</v>
      </c>
    </row>
    <row r="20217" customFormat="false" ht="17.15" hidden="false" customHeight="false" outlineLevel="0" collapsed="false">
      <c r="A20217" s="0" t="s">
        <v>1149</v>
      </c>
      <c r="B20217" s="0" t="s">
        <v>75</v>
      </c>
      <c r="C20217" s="5" t="n">
        <f aca="false">Sens!$C$20216/shd_val</f>
        <v>298.05120534819</v>
      </c>
    </row>
    <row r="20218" customFormat="false" ht="15" hidden="false" customHeight="false" outlineLevel="0" collapsed="false">
      <c r="A20218" s="1" t="s">
        <v>1228</v>
      </c>
      <c r="B20218" s="0" t="s">
        <v>75</v>
      </c>
      <c r="C20218" s="8" t="n">
        <f aca="false">div_rem27+CF!G63*roll_div_q/q_per_yr</f>
        <v>3.9795</v>
      </c>
    </row>
    <row r="20219" customFormat="false" ht="17.15" hidden="false" customHeight="false" outlineLevel="0" collapsed="false">
      <c r="A20219" s="0" t="s">
        <v>1229</v>
      </c>
      <c r="B20219" s="0" t="s">
        <v>75</v>
      </c>
      <c r="C20219" s="5" t="n">
        <f aca="false">Sens!$C$20217*(1+wacc)^t_roll-Sens!$C$20218</f>
        <v>327.32104920398</v>
      </c>
    </row>
    <row r="20220" customFormat="false" ht="17.15" hidden="false" customHeight="false" outlineLevel="0" collapsed="false">
      <c r="A20220" s="1" t="s">
        <v>1230</v>
      </c>
      <c r="B20220" s="0" t="s">
        <v>168</v>
      </c>
      <c r="F20220" s="7" t="n">
        <f aca="false">CF!F49/(Seg!F56-Thesis!F77)</f>
        <v>0.0686195668908011</v>
      </c>
      <c r="G20220" s="7" t="n">
        <f aca="false">CF!G49/(Seg!G56-Thesis!G77)</f>
        <v>0.0658333569148391</v>
      </c>
      <c r="H20220" s="7" t="n">
        <f aca="false">CF!H49/(Seg!H56-Thesis!H77)</f>
        <v>0.0643895625218926</v>
      </c>
      <c r="I20220" s="7" t="n">
        <f aca="false">CF!I49/(Seg!I56-Thesis!I77)</f>
        <v>0.0641676618157989</v>
      </c>
      <c r="J20220" s="7" t="n">
        <f aca="false">CF!J49/(Seg!J56-Thesis!J77)</f>
        <v>0.0648858606572163</v>
      </c>
      <c r="K20220" s="7" t="n">
        <f aca="false">CF!K49/(Seg!K56-Thesis!K77)</f>
        <v>0.0661974425163768</v>
      </c>
    </row>
    <row r="20221" customFormat="false" ht="17.15" hidden="false" customHeight="false" outlineLevel="0" collapsed="false">
      <c r="A20221" s="0" t="s">
        <v>1231</v>
      </c>
      <c r="B20221" s="0" t="s">
        <v>98</v>
      </c>
      <c r="F20221" s="6" t="n">
        <f aca="false">Seg!F41*(al_m365+Sens!F20220+sbc_r)</f>
        <v>83.7205619248671</v>
      </c>
      <c r="G20221" s="6" t="n">
        <f aca="false">Seg!G41*(al_m365+Sens!G20220+sbc_r)</f>
        <v>96.1301303332381</v>
      </c>
      <c r="H20221" s="6" t="n">
        <f aca="false">Seg!H41*(al_m365+Sens!H20220+sbc_r)</f>
        <v>108.70354073822</v>
      </c>
      <c r="I20221" s="6" t="n">
        <f aca="false">Seg!I41*(al_m365+Sens!I20220+sbc_r)</f>
        <v>120.260101315626</v>
      </c>
      <c r="J20221" s="6" t="n">
        <f aca="false">Seg!J41*(al_m365+Sens!J20220+sbc_r)</f>
        <v>130.611904548619</v>
      </c>
      <c r="K20221" s="6" t="n">
        <f aca="false">Seg!K41*(al_m365+Sens!K20220+sbc_r)</f>
        <v>140.575094974638</v>
      </c>
      <c r="L20221" s="12" t="s">
        <v>1232</v>
      </c>
    </row>
    <row r="20222" customFormat="false" ht="17.15" hidden="false" customHeight="false" outlineLevel="0" collapsed="false">
      <c r="A20222" s="0" t="s">
        <v>1233</v>
      </c>
      <c r="B20222" s="0" t="s">
        <v>98</v>
      </c>
      <c r="F20222" s="6" t="n">
        <f aca="false">Seg!F42*(al_lic+Sens!F20220+sbc_r)</f>
        <v>32.8577657183496</v>
      </c>
      <c r="G20222" s="6" t="n">
        <f aca="false">Seg!G42*(al_lic+Sens!G20220+sbc_r)</f>
        <v>34.1376266324889</v>
      </c>
      <c r="H20222" s="6" t="n">
        <f aca="false">Seg!H42*(al_lic+Sens!H20220+sbc_r)</f>
        <v>35.3325744664128</v>
      </c>
      <c r="I20222" s="6" t="n">
        <f aca="false">Seg!I42*(al_lic+Sens!I20220+sbc_r)</f>
        <v>36.4244749008727</v>
      </c>
      <c r="J20222" s="6" t="n">
        <f aca="false">Seg!J42*(al_lic+Sens!J20220+sbc_r)</f>
        <v>37.3879406068527</v>
      </c>
      <c r="K20222" s="6" t="n">
        <f aca="false">Seg!K42*(al_lic+Sens!K20220+sbc_r)</f>
        <v>38.1943876078259</v>
      </c>
    </row>
    <row r="20223" customFormat="false" ht="17.15" hidden="false" customHeight="false" outlineLevel="0" collapsed="false">
      <c r="A20223" s="0" t="s">
        <v>1234</v>
      </c>
      <c r="B20223" s="0" t="s">
        <v>98</v>
      </c>
      <c r="F20223" s="6" t="n">
        <f aca="false">Seg!F44*(al_ind+Sens!F20220+sbc_r)</f>
        <v>9.06041701092022</v>
      </c>
      <c r="G20223" s="6" t="n">
        <f aca="false">Seg!G44*(al_ind+Sens!G20220+sbc_r)</f>
        <v>9.83619082712885</v>
      </c>
      <c r="H20223" s="6" t="n">
        <f aca="false">Seg!H44*(al_ind+Sens!H20220+sbc_r)</f>
        <v>10.6570160105312</v>
      </c>
      <c r="I20223" s="6" t="n">
        <f aca="false">Seg!I44*(al_ind+Sens!I20220+sbc_r)</f>
        <v>11.5198571637125</v>
      </c>
      <c r="J20223" s="6" t="n">
        <f aca="false">Seg!J44*(al_ind+Sens!J20220+sbc_r)</f>
        <v>12.4150086539206</v>
      </c>
      <c r="K20223" s="6" t="n">
        <f aca="false">Seg!K44*(al_ind+Sens!K20220+sbc_r)</f>
        <v>13.3273714589988</v>
      </c>
    </row>
    <row r="20224" customFormat="false" ht="17.15" hidden="false" customHeight="false" outlineLevel="0" collapsed="false">
      <c r="A20224" s="0" t="s">
        <v>1235</v>
      </c>
      <c r="B20224" s="0" t="s">
        <v>98</v>
      </c>
      <c r="F20224" s="6" t="n">
        <f aca="false">Seg!F46*(al_fro+Sens!F20220+sbc_r)</f>
        <v>3.55402950182022</v>
      </c>
      <c r="G20224" s="6" t="n">
        <f aca="false">Seg!G46*(al_fro+Sens!G20220+sbc_r)</f>
        <v>3.76361488926481</v>
      </c>
      <c r="H20224" s="6" t="n">
        <f aca="false">Seg!H46*(al_fro+Sens!H20220+sbc_r)</f>
        <v>4.00220968879544</v>
      </c>
      <c r="I20224" s="6" t="n">
        <f aca="false">Seg!I46*(al_fro+Sens!I20220+sbc_r)</f>
        <v>4.2725765173852</v>
      </c>
      <c r="J20224" s="6" t="n">
        <f aca="false">Seg!J46*(al_fro+Sens!J20220+sbc_r)</f>
        <v>4.57586224390293</v>
      </c>
      <c r="K20224" s="6" t="n">
        <f aca="false">Seg!K46*(al_fro+Sens!K20220+sbc_r)</f>
        <v>4.91213639633217</v>
      </c>
    </row>
    <row r="20225" customFormat="false" ht="17.15" hidden="false" customHeight="false" outlineLevel="0" collapsed="false">
      <c r="A20225" s="0" t="s">
        <v>1236</v>
      </c>
      <c r="B20225" s="0" t="s">
        <v>98</v>
      </c>
      <c r="F20225" s="6" t="n">
        <f aca="false">Seg!F49*(al_srch+Sens!F20220+sbc_r)</f>
        <v>11.1890902994147</v>
      </c>
      <c r="G20225" s="6" t="n">
        <f aca="false">Seg!G49*(al_srch+Sens!G20220+sbc_r)</f>
        <v>12.261738891803</v>
      </c>
      <c r="H20225" s="6" t="n">
        <f aca="false">Seg!H49*(al_srch+Sens!H20220+sbc_r)</f>
        <v>13.3794863429193</v>
      </c>
      <c r="I20225" s="6" t="n">
        <f aca="false">Seg!I49*(al_srch+Sens!I20220+sbc_r)</f>
        <v>14.5317114787784</v>
      </c>
      <c r="J20225" s="6" t="n">
        <f aca="false">Seg!J49*(al_srch+Sens!J20220+sbc_r)</f>
        <v>15.6984365817724</v>
      </c>
      <c r="K20225" s="6" t="n">
        <f aca="false">Seg!K49*(al_srch+Sens!K20220+sbc_r)</f>
        <v>16.8520942258664</v>
      </c>
    </row>
    <row r="20226" customFormat="false" ht="17.15" hidden="false" customHeight="false" outlineLevel="0" collapsed="false">
      <c r="A20226" s="0" t="s">
        <v>1237</v>
      </c>
      <c r="B20226" s="0" t="s">
        <v>98</v>
      </c>
      <c r="F20226" s="6" t="n">
        <f aca="false">Thesis!F83-Thesis!F84+Thesis!F99</f>
        <v>42.5431090240393</v>
      </c>
      <c r="G20226" s="6" t="n">
        <f aca="false">Thesis!G83-Thesis!G84+Thesis!G99</f>
        <v>81.4922561130847</v>
      </c>
      <c r="H20226" s="6" t="n">
        <f aca="false">Thesis!H83-Thesis!H84+Thesis!H99</f>
        <v>123.278266211349</v>
      </c>
      <c r="I20226" s="6" t="n">
        <f aca="false">Thesis!I83-Thesis!I84+Thesis!I99</f>
        <v>160.60594185192</v>
      </c>
      <c r="J20226" s="6" t="n">
        <f aca="false">Thesis!J83-Thesis!J84+Thesis!J99</f>
        <v>186.818741832633</v>
      </c>
      <c r="K20226" s="6" t="n">
        <f aca="false">Thesis!K83-Thesis!K84+Thesis!K99</f>
        <v>202.776422159652</v>
      </c>
    </row>
    <row r="20227" customFormat="false" ht="17.15" hidden="false" customHeight="false" outlineLevel="0" collapsed="false">
      <c r="A20227" s="0" t="s">
        <v>1238</v>
      </c>
      <c r="B20227" s="0" t="s">
        <v>98</v>
      </c>
      <c r="F20227" s="6" t="n">
        <f aca="false">PL!F71+Thesis!F99+Thesis!F95+Sens!F20220*(Seg!F48-Thesis!F77)+sbc_r*Seg!F48</f>
        <v>238.090727427296</v>
      </c>
      <c r="G20227" s="6" t="n">
        <f aca="false">PL!G71+Thesis!G99+Thesis!G95+Sens!G20220*(Seg!G48-Thesis!G77)+sbc_r*Seg!G48</f>
        <v>299.90836088563</v>
      </c>
      <c r="H20227" s="6" t="n">
        <f aca="false">PL!H71+Thesis!H99+Thesis!H95+Sens!H20220*(Seg!H48-Thesis!H77)+sbc_r*Seg!H48</f>
        <v>369.457709442386</v>
      </c>
      <c r="I20227" s="6" t="n">
        <f aca="false">PL!I71+Thesis!I99+Thesis!I95+Sens!I20220*(Seg!I48-Thesis!I77)+sbc_r*Seg!I48</f>
        <v>433.16585128823</v>
      </c>
      <c r="J20227" s="6" t="n">
        <f aca="false">PL!J71+Thesis!J99+Thesis!J95+Sens!J20220*(Seg!J48-Thesis!J77)+sbc_r*Seg!J48</f>
        <v>483.301303131191</v>
      </c>
      <c r="K20227" s="6" t="n">
        <f aca="false">PL!K71+Thesis!K99+Thesis!K95+Sens!K20220*(Seg!K48-Thesis!K77)+sbc_r*Seg!K48</f>
        <v>520.789002205336</v>
      </c>
    </row>
    <row r="20228" customFormat="false" ht="17.15" hidden="false" customHeight="false" outlineLevel="0" collapsed="false">
      <c r="A20228" s="0" t="s">
        <v>1239</v>
      </c>
      <c r="B20228" s="0" t="s">
        <v>98</v>
      </c>
      <c r="F20228" s="6" t="n">
        <f aca="false">Sens!F20227-Sens!F20221-Sens!F20222-Sens!F20223-Sens!F20224-Sens!F20226</f>
        <v>66.3548442472996</v>
      </c>
      <c r="G20228" s="6" t="n">
        <f aca="false">Sens!G20227-Sens!G20221-Sens!G20222-Sens!G20223-Sens!G20224-Sens!G20226</f>
        <v>74.548542090425</v>
      </c>
      <c r="H20228" s="6" t="n">
        <f aca="false">Sens!H20227-Sens!H20221-Sens!H20222-Sens!H20223-Sens!H20224-Sens!H20226</f>
        <v>87.4841023270775</v>
      </c>
      <c r="I20228" s="6" t="n">
        <f aca="false">Sens!I20227-Sens!I20221-Sens!I20222-Sens!I20223-Sens!I20224-Sens!I20226</f>
        <v>100.082899538713</v>
      </c>
      <c r="J20228" s="6" t="n">
        <f aca="false">Sens!J20227-Sens!J20221-Sens!J20222-Sens!J20223-Sens!J20224-Sens!J20226</f>
        <v>111.491845245262</v>
      </c>
      <c r="K20228" s="6" t="n">
        <f aca="false">Sens!K20227-Sens!K20221-Sens!K20222-Sens!K20223-Sens!K20224-Sens!K20226</f>
        <v>121.003589607889</v>
      </c>
    </row>
    <row r="20229" customFormat="false" ht="17.15" hidden="false" customHeight="false" outlineLevel="0" collapsed="false">
      <c r="A20229" s="0" t="s">
        <v>1240</v>
      </c>
      <c r="B20229" s="0" t="s">
        <v>98</v>
      </c>
      <c r="F20229" s="6" t="n">
        <f aca="false">PL!F73+Sens!F20220*Seg!F55+sbc_r*Seg!F55</f>
        <v>26.6336365855879</v>
      </c>
      <c r="G20229" s="6" t="n">
        <f aca="false">PL!G73+Sens!G20220*Seg!G55+sbc_r*Seg!G55</f>
        <v>26.4720859498625</v>
      </c>
      <c r="H20229" s="6" t="n">
        <f aca="false">PL!H73+Sens!H20220*Seg!H55+sbc_r*Seg!H55</f>
        <v>27.346793021284</v>
      </c>
      <c r="I20229" s="6" t="n">
        <f aca="false">PL!I73+Sens!I20220*Seg!I55+sbc_r*Seg!I55</f>
        <v>28.4574657863154</v>
      </c>
      <c r="J20229" s="6" t="n">
        <f aca="false">PL!J73+Sens!J20220*Seg!J55+sbc_r*Seg!J55</f>
        <v>29.7689890546037</v>
      </c>
      <c r="K20229" s="6" t="n">
        <f aca="false">PL!K73+Sens!K20220*Seg!K55+sbc_r*Seg!K55</f>
        <v>31.2443947307494</v>
      </c>
    </row>
    <row r="20230" customFormat="false" ht="17.15" hidden="false" customHeight="false" outlineLevel="0" collapsed="false">
      <c r="A20230" s="0" t="s">
        <v>1241</v>
      </c>
      <c r="B20230" s="0" t="s">
        <v>98</v>
      </c>
      <c r="F20230" s="6" t="n">
        <f aca="false">(Sens!F20229-Sens!F20225)*Seg!F51/(Seg!F51+Seg!F53)</f>
        <v>8.72285608232241</v>
      </c>
      <c r="G20230" s="6" t="n">
        <f aca="false">(Sens!G20229-Sens!G20225)*Seg!G51/(Seg!G51+Seg!G53)</f>
        <v>7.88786455444355</v>
      </c>
      <c r="H20230" s="6" t="n">
        <f aca="false">(Sens!H20229-Sens!H20225)*Seg!H51/(Seg!H51+Seg!H53)</f>
        <v>7.65195986819674</v>
      </c>
      <c r="I20230" s="6" t="n">
        <f aca="false">(Sens!I20229-Sens!I20225)*Seg!I51/(Seg!I51+Seg!I53)</f>
        <v>7.56260440676676</v>
      </c>
      <c r="J20230" s="6" t="n">
        <f aca="false">(Sens!J20229-Sens!J20225)*Seg!J51/(Seg!J51+Seg!J53)</f>
        <v>7.60790100885945</v>
      </c>
      <c r="K20230" s="6" t="n">
        <f aca="false">(Sens!K20229-Sens!K20225)*Seg!K51/(Seg!K51+Seg!K53)</f>
        <v>7.78186910160995</v>
      </c>
    </row>
    <row r="20231" customFormat="false" ht="17.15" hidden="false" customHeight="false" outlineLevel="0" collapsed="false">
      <c r="A20231" s="0" t="s">
        <v>1242</v>
      </c>
      <c r="B20231" s="0" t="s">
        <v>98</v>
      </c>
      <c r="F20231" s="6" t="n">
        <f aca="false">Sens!F20229-Sens!F20225-Sens!F20230</f>
        <v>6.72169020385088</v>
      </c>
      <c r="G20231" s="6" t="n">
        <f aca="false">Sens!G20229-Sens!G20225-Sens!G20230</f>
        <v>6.322482503616</v>
      </c>
      <c r="H20231" s="6" t="n">
        <f aca="false">Sens!H20229-Sens!H20225-Sens!H20230</f>
        <v>6.315346810168</v>
      </c>
      <c r="I20231" s="6" t="n">
        <f aca="false">Sens!I20229-Sens!I20225-Sens!I20230</f>
        <v>6.36314990077033</v>
      </c>
      <c r="J20231" s="6" t="n">
        <f aca="false">Sens!J20229-Sens!J20225-Sens!J20230</f>
        <v>6.46265146397189</v>
      </c>
      <c r="K20231" s="6" t="n">
        <f aca="false">Sens!K20229-Sens!K20225-Sens!K20230</f>
        <v>6.61043140327304</v>
      </c>
    </row>
    <row r="20232" customFormat="false" ht="17.15" hidden="false" customHeight="false" outlineLevel="0" collapsed="false">
      <c r="A20232" s="0" t="s">
        <v>1243</v>
      </c>
      <c r="B20232" s="0" t="s">
        <v>98</v>
      </c>
      <c r="F20232" s="6" t="n">
        <f aca="false">Sens!F20226-tax_f*(Sens!F20226-Thesis!F95)-Thesis!F92</f>
        <v>-127.503553927218</v>
      </c>
      <c r="G20232" s="6" t="n">
        <f aca="false">Sens!G20226-tax_f*(Sens!G20226-Thesis!G95)-Thesis!G92</f>
        <v>-114.603772628121</v>
      </c>
      <c r="H20232" s="6" t="n">
        <f aca="false">Sens!H20226-tax_f*(Sens!H20226-Thesis!H95)-Thesis!H92</f>
        <v>-80.3633729631438</v>
      </c>
      <c r="I20232" s="6" t="n">
        <f aca="false">Sens!I20226-tax_f*(Sens!I20226-Thesis!I95)-Thesis!I92</f>
        <v>-17.2838782011649</v>
      </c>
      <c r="J20232" s="6" t="n">
        <f aca="false">Sens!J20226-tax_f*(Sens!J20226-Thesis!J95)-Thesis!J92</f>
        <v>46.9281968800854</v>
      </c>
      <c r="K20232" s="6" t="n">
        <f aca="false">Sens!K20226-tax_f*(Sens!K20226-Thesis!K95)-Thesis!K92</f>
        <v>71.8608185731755</v>
      </c>
    </row>
    <row r="20233" customFormat="false" ht="17.15" hidden="false" customHeight="false" outlineLevel="0" collapsed="false">
      <c r="A20233" s="0" t="s">
        <v>1244</v>
      </c>
      <c r="B20233" s="0" t="s">
        <v>98</v>
      </c>
      <c r="G20233" s="6" t="n">
        <f aca="false">Sens!G20232/(1+wacc)^(Sens!G20203-Sens!F20204)</f>
        <v>-109.124845494465</v>
      </c>
      <c r="H20233" s="6" t="n">
        <f aca="false">Sens!H20232/(1+wacc)^(Sens!H20203-Sens!F20204)</f>
        <v>-69.3796874071025</v>
      </c>
      <c r="I20233" s="6" t="n">
        <f aca="false">Sens!I20232/(1+wacc)^(Sens!I20203-Sens!F20204)</f>
        <v>-13.5289731380471</v>
      </c>
      <c r="J20233" s="6" t="n">
        <f aca="false">Sens!J20232/(1+wacc)^(Sens!J20203-Sens!F20204)</f>
        <v>33.3048099587126</v>
      </c>
      <c r="K20233" s="6" t="n">
        <f aca="false">Sens!K20232/(1+wacc)^(Sens!K20203-Sens!F20204)</f>
        <v>46.2396679904913</v>
      </c>
      <c r="L20233" s="1" t="s">
        <v>1245</v>
      </c>
    </row>
    <row r="20234" customFormat="false" ht="17.15" hidden="false" customHeight="false" outlineLevel="0" collapsed="false">
      <c r="A20234" s="0" t="s">
        <v>1246</v>
      </c>
      <c r="B20234" s="0" t="s">
        <v>98</v>
      </c>
      <c r="C20234" s="6" t="n">
        <f aca="false">(Sens!K20226-Thesis!K95)*(1-tax_f)*(1+g_tv)*(1-g_tv/(wacc+ronic_prem))/(wacc-g_tv)/(1+wacc)^(Sens!K20204-Sens!F20204)</f>
        <v>293.118051086843</v>
      </c>
    </row>
    <row r="20235" customFormat="false" ht="17.15" hidden="false" customHeight="false" outlineLevel="0" collapsed="false">
      <c r="A20235" s="1" t="s">
        <v>1247</v>
      </c>
      <c r="B20235" s="0" t="s">
        <v>98</v>
      </c>
      <c r="C20235" s="6" t="n">
        <f aca="false">(SUM(Sens!G20233:K20233)+Sens!$C$20234)*(1+wacc)^(t_roll-Sens!F20204)</f>
        <v>186.592133308255</v>
      </c>
      <c r="L20235" s="12" t="s">
        <v>1248</v>
      </c>
    </row>
    <row r="20236" customFormat="false" ht="17.15" hidden="false" customHeight="false" outlineLevel="0" collapsed="false">
      <c r="A20236" s="1" t="s">
        <v>1249</v>
      </c>
      <c r="B20236" s="0" t="s">
        <v>98</v>
      </c>
      <c r="C20236" s="6" t="n">
        <f aca="false">(w_ntm28*Thesis!G83+(1-w_ntm28)*Thesis!H83)*m_ai</f>
        <v>463.789109510335</v>
      </c>
    </row>
    <row r="20237" customFormat="false" ht="17.15" hidden="false" customHeight="false" outlineLevel="0" collapsed="false">
      <c r="A20237" s="1" t="s">
        <v>1250</v>
      </c>
      <c r="B20237" s="0" t="s">
        <v>98</v>
      </c>
      <c r="C20237" s="6" t="n">
        <f aca="false">(w_ntm28*Sens!G20228+(1-w_ntm28)*Sens!H20228)*m_cloud</f>
        <v>1089.03436702245</v>
      </c>
    </row>
    <row r="20238" customFormat="false" ht="17.15" hidden="false" customHeight="false" outlineLevel="0" collapsed="false">
      <c r="A20238" s="1" t="s">
        <v>1251</v>
      </c>
      <c r="B20238" s="0" t="s">
        <v>98</v>
      </c>
      <c r="C20238" s="6" t="n">
        <f aca="false">(w_ntm28*Sens!G20221+(1-w_ntm28)*Sens!H20221)*m_sw</f>
        <v>1082.84962646159</v>
      </c>
    </row>
    <row r="20239" customFormat="false" ht="17.15" hidden="false" customHeight="false" outlineLevel="0" collapsed="false">
      <c r="A20239" s="1" t="s">
        <v>1252</v>
      </c>
      <c r="B20239" s="0" t="s">
        <v>98</v>
      </c>
      <c r="C20239" s="6" t="n">
        <f aca="false">(w_ntm28*Sens!G20222+(1-w_ntm28)*Sens!H20222)*m_sw</f>
        <v>372.929250898731</v>
      </c>
    </row>
    <row r="20240" customFormat="false" ht="17.15" hidden="false" customHeight="false" outlineLevel="0" collapsed="false">
      <c r="A20240" s="1" t="s">
        <v>1253</v>
      </c>
      <c r="B20240" s="0" t="s">
        <v>98</v>
      </c>
      <c r="C20240" s="6" t="n">
        <f aca="false">(w_ntm28*Sens!G20223+(1-w_ntm28)*Sens!H20223)*m_sw</f>
        <v>109.1453525431</v>
      </c>
    </row>
    <row r="20241" customFormat="false" ht="17.15" hidden="false" customHeight="false" outlineLevel="0" collapsed="false">
      <c r="A20241" s="1" t="s">
        <v>1254</v>
      </c>
      <c r="B20241" s="0" t="s">
        <v>98</v>
      </c>
      <c r="C20241" s="6" t="n">
        <f aca="false">(w_ntm28*Sens!G20224+(1-w_ntm28)*Sens!H20224)*m_sw</f>
        <v>41.4942157634893</v>
      </c>
    </row>
    <row r="20242" customFormat="false" ht="17.15" hidden="false" customHeight="false" outlineLevel="0" collapsed="false">
      <c r="A20242" s="1" t="s">
        <v>1255</v>
      </c>
      <c r="B20242" s="0" t="s">
        <v>98</v>
      </c>
      <c r="C20242" s="6" t="n">
        <f aca="false">(w_ntm28*Sens!G20225+(1-w_ntm28)*Sens!H20225)*m_ads</f>
        <v>115.052171478463</v>
      </c>
    </row>
    <row r="20243" customFormat="false" ht="17.15" hidden="false" customHeight="false" outlineLevel="0" collapsed="false">
      <c r="A20243" s="1" t="s">
        <v>1256</v>
      </c>
      <c r="B20243" s="0" t="s">
        <v>98</v>
      </c>
      <c r="C20243" s="6" t="n">
        <f aca="false">(w_ntm28*Sens!G20230+(1-w_ntm28)*Sens!H20230)*m_game</f>
        <v>98.6441755076202</v>
      </c>
    </row>
    <row r="20244" customFormat="false" ht="17.15" hidden="false" customHeight="false" outlineLevel="0" collapsed="false">
      <c r="A20244" s="1" t="s">
        <v>1257</v>
      </c>
      <c r="B20244" s="0" t="s">
        <v>98</v>
      </c>
      <c r="C20244" s="6" t="n">
        <f aca="false">(w_ntm28*Sens!G20231+(1-w_ntm28)*Sens!H20231)*m_pc</f>
        <v>91.4523754763561</v>
      </c>
    </row>
    <row r="20245" customFormat="false" ht="17.15" hidden="false" customHeight="false" outlineLevel="0" collapsed="false">
      <c r="A20245" s="1" t="s">
        <v>1258</v>
      </c>
      <c r="B20245" s="0" t="s">
        <v>98</v>
      </c>
      <c r="C20245" s="6" t="n">
        <f aca="false">Sens!$C$20235+Sens!$C$20237+Sens!$C$20238+Sens!$C$20239+Sens!$C$20240+Sens!$C$20241+Sens!$C$20242+Sens!$C$20243+Sens!$C$20244</f>
        <v>3187.19366846006</v>
      </c>
    </row>
    <row r="20246" customFormat="false" ht="17.15" hidden="false" customHeight="false" outlineLevel="0" collapsed="false">
      <c r="A20246" s="1" t="s">
        <v>1259</v>
      </c>
      <c r="B20246" s="0" t="s">
        <v>98</v>
      </c>
      <c r="C20246" s="6" t="n">
        <f aca="false">(Sens!G20207-Sens!G20232)*t_stub</f>
        <v>47.8736427515113</v>
      </c>
      <c r="L20246" s="1" t="s">
        <v>1260</v>
      </c>
    </row>
    <row r="20247" customFormat="false" ht="17.15" hidden="false" customHeight="false" outlineLevel="0" collapsed="false">
      <c r="A20247" s="1" t="s">
        <v>1169</v>
      </c>
      <c r="B20247" s="0" t="s">
        <v>98</v>
      </c>
      <c r="C20247" s="6" t="n">
        <f aca="false">CF!F71+(oai_stake26*oai_val*(1-liq_disc))-CF!F60+Sens!$C$20246</f>
        <v>168.917912751511</v>
      </c>
      <c r="L20247" s="1" t="s">
        <v>1261</v>
      </c>
    </row>
    <row r="20248" customFormat="false" ht="17.15" hidden="false" customHeight="false" outlineLevel="0" collapsed="false">
      <c r="A20248" s="1" t="s">
        <v>1262</v>
      </c>
      <c r="B20248" s="0" t="s">
        <v>75</v>
      </c>
      <c r="C20248" s="5" t="n">
        <f aca="false">(Sens!$C$20245+Sens!$C$20247)/(CF!F73+dil_gap)-CF!G63*roll_div_q/q_per_yr</f>
        <v>446.710144011046</v>
      </c>
      <c r="L20248" s="1" t="s">
        <v>1263</v>
      </c>
    </row>
    <row r="20249" customFormat="false" ht="17.15" hidden="false" customHeight="false" outlineLevel="0" collapsed="false">
      <c r="A20249" s="1" t="s">
        <v>1264</v>
      </c>
      <c r="B20249" s="0" t="s">
        <v>75</v>
      </c>
      <c r="C20249" s="5" t="n">
        <f aca="false">w_dcf*Sens!$C$20219+(1-w_dcf)*Sens!$C$20248</f>
        <v>387.015596607513</v>
      </c>
    </row>
    <row r="20250" customFormat="false" ht="17.15" hidden="false" customHeight="false" outlineLevel="0" collapsed="false">
      <c r="A20250" s="3" t="s">
        <v>1979</v>
      </c>
    </row>
    <row r="20251" customFormat="false" ht="15" hidden="false" customHeight="false" outlineLevel="0" collapsed="false">
      <c r="A20251" s="4" t="s">
        <v>43</v>
      </c>
      <c r="B20251" s="4" t="s">
        <v>65</v>
      </c>
      <c r="C20251" s="23" t="s">
        <v>938</v>
      </c>
      <c r="D20251" s="23" t="s">
        <v>939</v>
      </c>
      <c r="E20251" s="23" t="s">
        <v>940</v>
      </c>
      <c r="F20251" s="23" t="s">
        <v>941</v>
      </c>
      <c r="G20251" s="23" t="s">
        <v>942</v>
      </c>
      <c r="H20251" s="23" t="s">
        <v>943</v>
      </c>
      <c r="I20251" s="23" t="s">
        <v>944</v>
      </c>
      <c r="J20251" s="23" t="s">
        <v>945</v>
      </c>
      <c r="K20251" s="23" t="s">
        <v>946</v>
      </c>
      <c r="L20251" s="4" t="s">
        <v>47</v>
      </c>
    </row>
    <row r="20252" customFormat="false" ht="17.15" hidden="false" customHeight="false" outlineLevel="0" collapsed="false">
      <c r="A20252" s="1" t="s">
        <v>1212</v>
      </c>
      <c r="B20252" s="1" t="s">
        <v>279</v>
      </c>
      <c r="F20252" s="8" t="n">
        <f aca="false">(1-v_off)*mid_yr</f>
        <v>0.373972602739726</v>
      </c>
      <c r="G20252" s="8" t="n">
        <f aca="false">Thesis!G110-base_fy-mid_yr-v_off</f>
        <v>1.24794520547945</v>
      </c>
      <c r="H20252" s="8" t="n">
        <f aca="false">Thesis!H110-base_fy-mid_yr-v_off</f>
        <v>2.24794520547945</v>
      </c>
      <c r="I20252" s="8" t="n">
        <f aca="false">Thesis!I110-base_fy-mid_yr-v_off</f>
        <v>3.24794520547945</v>
      </c>
      <c r="J20252" s="8" t="n">
        <f aca="false">Thesis!J110-base_fy-mid_yr-v_off</f>
        <v>4.24794520547945</v>
      </c>
      <c r="K20252" s="8" t="n">
        <f aca="false">Thesis!K110-base_fy-mid_yr-v_off</f>
        <v>5.24794520547945</v>
      </c>
      <c r="L20252" s="12" t="s">
        <v>1213</v>
      </c>
    </row>
    <row r="20253" customFormat="false" ht="15" hidden="false" customHeight="false" outlineLevel="0" collapsed="false">
      <c r="A20253" s="1" t="s">
        <v>1214</v>
      </c>
      <c r="B20253" s="1" t="s">
        <v>279</v>
      </c>
      <c r="F20253" s="8" t="n">
        <f aca="false">Thesis!F110-base_fy-v_off</f>
        <v>0.747945205479452</v>
      </c>
      <c r="G20253" s="8" t="n">
        <f aca="false">Thesis!G110-base_fy-v_off</f>
        <v>1.74794520547945</v>
      </c>
      <c r="H20253" s="8" t="n">
        <f aca="false">Thesis!H110-base_fy-v_off</f>
        <v>2.74794520547945</v>
      </c>
      <c r="I20253" s="8" t="n">
        <f aca="false">Thesis!I110-base_fy-v_off</f>
        <v>3.74794520547945</v>
      </c>
      <c r="J20253" s="8" t="n">
        <f aca="false">Thesis!J110-base_fy-v_off</f>
        <v>4.74794520547945</v>
      </c>
      <c r="K20253" s="8" t="n">
        <f aca="false">Thesis!K110-base_fy-v_off</f>
        <v>5.74794520547945</v>
      </c>
    </row>
    <row r="20254" customFormat="false" ht="15" hidden="false" customHeight="false" outlineLevel="0" collapsed="false">
      <c r="A20254" s="1" t="s">
        <v>1215</v>
      </c>
      <c r="B20254" s="0" t="s">
        <v>229</v>
      </c>
      <c r="F20254" s="15" t="n">
        <f aca="false">1/(1+wacc)^Sens!F20252</f>
        <v>0.964022703286649</v>
      </c>
      <c r="G20254" s="15" t="n">
        <f aca="false">1/(1+wacc)^Sens!G20252</f>
        <v>0.884910302296739</v>
      </c>
      <c r="H20254" s="15" t="n">
        <f aca="false">1/(1+wacc)^Sens!H20252</f>
        <v>0.802322009770358</v>
      </c>
      <c r="I20254" s="15" t="n">
        <f aca="false">1/(1+wacc)^Sens!I20252</f>
        <v>0.727441646561469</v>
      </c>
      <c r="J20254" s="15" t="n">
        <f aca="false">1/(1+wacc)^Sens!J20252</f>
        <v>0.659549834988973</v>
      </c>
      <c r="K20254" s="15" t="n">
        <f aca="false">1/(1+wacc)^Sens!K20252</f>
        <v>0.597994336576966</v>
      </c>
    </row>
    <row r="20255" customFormat="false" ht="17.15" hidden="false" customHeight="false" outlineLevel="0" collapsed="false">
      <c r="A20255" s="1" t="s">
        <v>1216</v>
      </c>
      <c r="B20255" s="0" t="s">
        <v>98</v>
      </c>
      <c r="F20255" s="6" t="n">
        <f aca="false">Q!$I$35-Q!$I$39-Q!$I$43</f>
        <v>9.666</v>
      </c>
      <c r="L20255" s="12" t="s">
        <v>1217</v>
      </c>
    </row>
    <row r="20256" customFormat="false" ht="17.15" hidden="false" customHeight="false" outlineLevel="0" collapsed="false">
      <c r="A20256" s="1" t="s">
        <v>1218</v>
      </c>
      <c r="B20256" s="0" t="s">
        <v>98</v>
      </c>
      <c r="F20256" s="6" t="n">
        <f aca="false">CF!F87-CF!F84-CF!F91+Thesis!F151*(1-tax_f)*(1-v_off)-Sens!F20255</f>
        <v>-6.10282680452259</v>
      </c>
      <c r="G20256" s="6" t="n">
        <f aca="false">CF!G87-CF!G84-CF!G91+Thesis!G151*(1-tax_f)</f>
        <v>19.0084129023516</v>
      </c>
      <c r="H20256" s="6" t="n">
        <f aca="false">CF!H87-CF!H84-CF!H91+Thesis!H151*(1-tax_f)</f>
        <v>55.9229468383331</v>
      </c>
      <c r="I20256" s="6" t="n">
        <f aca="false">CF!I87-CF!I84-CF!I91+Thesis!I151*(1-tax_f)</f>
        <v>127.901908576191</v>
      </c>
      <c r="J20256" s="6" t="n">
        <f aca="false">CF!J87-CF!J84-CF!J91+Thesis!J151*(1-tax_f)</f>
        <v>201.958443859638</v>
      </c>
      <c r="K20256" s="6" t="n">
        <f aca="false">CF!K87-CF!K84-CF!K91+Thesis!K151*(1-tax_f)</f>
        <v>237.542519059905</v>
      </c>
      <c r="L20256" s="1" t="s">
        <v>1219</v>
      </c>
    </row>
    <row r="20257" customFormat="false" ht="15" hidden="false" customHeight="false" outlineLevel="0" collapsed="false">
      <c r="A20257" s="1" t="s">
        <v>1220</v>
      </c>
      <c r="B20257" s="0" t="s">
        <v>98</v>
      </c>
      <c r="F20257" s="6" t="n">
        <f aca="false">Sens!F20256*Sens!F20254</f>
        <v>-5.88326359378609</v>
      </c>
      <c r="G20257" s="6" t="n">
        <f aca="false">Sens!G20256*Sens!G20254</f>
        <v>16.8207404076012</v>
      </c>
      <c r="H20257" s="6" t="n">
        <f aca="false">Sens!H20256*Sens!H20254</f>
        <v>44.8682110996123</v>
      </c>
      <c r="I20257" s="6" t="n">
        <f aca="false">Sens!I20256*Sens!I20254</f>
        <v>93.0411749730187</v>
      </c>
      <c r="J20257" s="6" t="n">
        <f aca="false">Sens!J20256*Sens!J20254</f>
        <v>133.201658322254</v>
      </c>
      <c r="K20257" s="6" t="n">
        <f aca="false">Sens!K20256*Sens!K20254</f>
        <v>142.049081094049</v>
      </c>
    </row>
    <row r="20258" customFormat="false" ht="17.15" hidden="false" customHeight="false" outlineLevel="0" collapsed="false">
      <c r="A20258" s="1" t="s">
        <v>1221</v>
      </c>
      <c r="B20258" s="0" t="s">
        <v>98</v>
      </c>
      <c r="C20258" s="6" t="n">
        <f aca="false">SUM(Sens!F20257:K20257)</f>
        <v>424.097602302749</v>
      </c>
    </row>
    <row r="20259" customFormat="false" ht="17.15" hidden="false" customHeight="false" outlineLevel="0" collapsed="false">
      <c r="A20259" s="1" t="s">
        <v>1222</v>
      </c>
      <c r="B20259" s="0" t="s">
        <v>98</v>
      </c>
      <c r="C20259" s="6" t="n">
        <f aca="false">PL!K117*(1+g_tv)*(1-tax_f)</f>
        <v>247.098906713682</v>
      </c>
    </row>
    <row r="20260" customFormat="false" ht="17.15" hidden="false" customHeight="false" outlineLevel="0" collapsed="false">
      <c r="A20260" s="1" t="s">
        <v>1223</v>
      </c>
      <c r="B20260" s="0" t="s">
        <v>98</v>
      </c>
      <c r="C20260" s="6" t="n">
        <f aca="false">Sens!$C$20259*(1-g_tv/(wacc+ronic_prem))</f>
        <v>175.084017418113</v>
      </c>
    </row>
    <row r="20261" customFormat="false" ht="17.15" hidden="false" customHeight="false" outlineLevel="0" collapsed="false">
      <c r="A20261" s="1" t="s">
        <v>1224</v>
      </c>
      <c r="B20261" s="0" t="s">
        <v>98</v>
      </c>
      <c r="C20261" s="6" t="n">
        <f aca="false">Sens!$C$20260/(wacc-g_tv)</f>
        <v>2400.4963098523</v>
      </c>
    </row>
    <row r="20262" customFormat="false" ht="15" hidden="false" customHeight="false" outlineLevel="0" collapsed="false">
      <c r="A20262" s="1" t="s">
        <v>1225</v>
      </c>
      <c r="B20262" s="0" t="s">
        <v>98</v>
      </c>
      <c r="C20262" s="6" t="n">
        <f aca="false">Sens!$C$20261/(1+wacc)^Sens!K20253</f>
        <v>1366.85624415645</v>
      </c>
    </row>
    <row r="20263" customFormat="false" ht="17.15" hidden="false" customHeight="false" outlineLevel="0" collapsed="false">
      <c r="A20263" s="0" t="s">
        <v>1226</v>
      </c>
      <c r="B20263" s="0" t="s">
        <v>98</v>
      </c>
      <c r="C20263" s="6" t="n">
        <f aca="false">Sens!$C$20258+Sens!$C$20262</f>
        <v>1790.9538464592</v>
      </c>
    </row>
    <row r="20264" customFormat="false" ht="15" hidden="false" customHeight="false" outlineLevel="0" collapsed="false">
      <c r="A20264" s="1" t="s">
        <v>1141</v>
      </c>
      <c r="B20264" s="0" t="s">
        <v>168</v>
      </c>
      <c r="C20264" s="7" t="n">
        <f aca="false">Sens!$C$20262/Sens!$C$20263</f>
        <v>0.763200149941769</v>
      </c>
    </row>
    <row r="20265" customFormat="false" ht="17.15" hidden="false" customHeight="false" outlineLevel="0" collapsed="false">
      <c r="A20265" s="1" t="s">
        <v>1227</v>
      </c>
      <c r="B20265" s="0" t="s">
        <v>98</v>
      </c>
      <c r="C20265" s="6" t="n">
        <f aca="false">Sens!$C$20263+cash_val-debt_val-fl_val+(oai_stake26*oai_val*(1-liq_disc))</f>
        <v>1913.6208464592</v>
      </c>
    </row>
    <row r="20266" customFormat="false" ht="17.15" hidden="false" customHeight="false" outlineLevel="0" collapsed="false">
      <c r="A20266" s="0" t="s">
        <v>1149</v>
      </c>
      <c r="B20266" s="0" t="s">
        <v>75</v>
      </c>
      <c r="C20266" s="5" t="n">
        <f aca="false">Sens!$C$20265/shd_val</f>
        <v>256.999845079129</v>
      </c>
    </row>
    <row r="20267" customFormat="false" ht="15" hidden="false" customHeight="false" outlineLevel="0" collapsed="false">
      <c r="A20267" s="1" t="s">
        <v>1228</v>
      </c>
      <c r="B20267" s="0" t="s">
        <v>75</v>
      </c>
      <c r="C20267" s="8" t="n">
        <f aca="false">div_rem27+CF!G95*roll_div_q/q_per_yr</f>
        <v>3.9795</v>
      </c>
    </row>
    <row r="20268" customFormat="false" ht="17.15" hidden="false" customHeight="false" outlineLevel="0" collapsed="false">
      <c r="A20268" s="0" t="s">
        <v>1229</v>
      </c>
      <c r="B20268" s="0" t="s">
        <v>75</v>
      </c>
      <c r="C20268" s="5" t="n">
        <f aca="false">Sens!$C$20266*(1+wacc)^t_roll-Sens!$C$20267</f>
        <v>281.690171157967</v>
      </c>
    </row>
    <row r="20269" customFormat="false" ht="17.15" hidden="false" customHeight="false" outlineLevel="0" collapsed="false">
      <c r="A20269" s="1" t="s">
        <v>1230</v>
      </c>
      <c r="B20269" s="0" t="s">
        <v>168</v>
      </c>
      <c r="F20269" s="7" t="n">
        <f aca="false">CF!F81/(Seg!F83-Thesis!F129)</f>
        <v>0.068677393452264</v>
      </c>
      <c r="G20269" s="7" t="n">
        <f aca="false">CF!G81/(Seg!G83-Thesis!G129)</f>
        <v>0.0663132664471956</v>
      </c>
      <c r="H20269" s="7" t="n">
        <f aca="false">CF!H81/(Seg!H83-Thesis!H129)</f>
        <v>0.0651363826734039</v>
      </c>
      <c r="I20269" s="7" t="n">
        <f aca="false">CF!I81/(Seg!I83-Thesis!I129)</f>
        <v>0.0650087936347709</v>
      </c>
      <c r="J20269" s="7" t="n">
        <f aca="false">CF!J81/(Seg!J83-Thesis!J129)</f>
        <v>0.0657212684841778</v>
      </c>
      <c r="K20269" s="7" t="n">
        <f aca="false">CF!K81/(Seg!K83-Thesis!K129)</f>
        <v>0.0670413306015285</v>
      </c>
    </row>
    <row r="20270" customFormat="false" ht="17.15" hidden="false" customHeight="false" outlineLevel="0" collapsed="false">
      <c r="A20270" s="0" t="s">
        <v>1231</v>
      </c>
      <c r="B20270" s="0" t="s">
        <v>98</v>
      </c>
      <c r="F20270" s="6" t="n">
        <f aca="false">Seg!F68*(al_m365+Sens!F20269+sbc_r)</f>
        <v>82.9185219618347</v>
      </c>
      <c r="G20270" s="6" t="n">
        <f aca="false">Seg!G68*(al_m365+Sens!G20269+sbc_r)</f>
        <v>93.3068052157631</v>
      </c>
      <c r="H20270" s="6" t="n">
        <f aca="false">Seg!H68*(al_m365+Sens!H20269+sbc_r)</f>
        <v>103.856057136159</v>
      </c>
      <c r="I20270" s="6" t="n">
        <f aca="false">Seg!I68*(al_m365+Sens!I20269+sbc_r)</f>
        <v>113.889717587147</v>
      </c>
      <c r="J20270" s="6" t="n">
        <f aca="false">Seg!J68*(al_m365+Sens!J20269+sbc_r)</f>
        <v>123.218477864124</v>
      </c>
      <c r="K20270" s="6" t="n">
        <f aca="false">Seg!K68*(al_m365+Sens!K20269+sbc_r)</f>
        <v>132.149420086311</v>
      </c>
      <c r="L20270" s="12" t="s">
        <v>1232</v>
      </c>
    </row>
    <row r="20271" customFormat="false" ht="17.15" hidden="false" customHeight="false" outlineLevel="0" collapsed="false">
      <c r="A20271" s="0" t="s">
        <v>1233</v>
      </c>
      <c r="B20271" s="0" t="s">
        <v>98</v>
      </c>
      <c r="F20271" s="6" t="n">
        <f aca="false">Seg!F69*(al_lic+Sens!F20269+sbc_r)</f>
        <v>32.8599853992256</v>
      </c>
      <c r="G20271" s="6" t="n">
        <f aca="false">Seg!G69*(al_lic+Sens!G20269+sbc_r)</f>
        <v>34.1568280697879</v>
      </c>
      <c r="H20271" s="6" t="n">
        <f aca="false">Seg!H69*(al_lic+Sens!H20269+sbc_r)</f>
        <v>35.3635535007213</v>
      </c>
      <c r="I20271" s="6" t="n">
        <f aca="false">Seg!I69*(al_lic+Sens!I20269+sbc_r)</f>
        <v>36.4604537346553</v>
      </c>
      <c r="J20271" s="6" t="n">
        <f aca="false">Seg!J69*(al_lic+Sens!J20269+sbc_r)</f>
        <v>37.4245888933574</v>
      </c>
      <c r="K20271" s="6" t="n">
        <f aca="false">Seg!K69*(al_lic+Sens!K20269+sbc_r)</f>
        <v>38.2321483186439</v>
      </c>
    </row>
    <row r="20272" customFormat="false" ht="17.15" hidden="false" customHeight="false" outlineLevel="0" collapsed="false">
      <c r="A20272" s="0" t="s">
        <v>1234</v>
      </c>
      <c r="B20272" s="0" t="s">
        <v>98</v>
      </c>
      <c r="F20272" s="6" t="n">
        <f aca="false">Seg!F71*(al_ind+Sens!F20269+sbc_r)</f>
        <v>9.06170747885803</v>
      </c>
      <c r="G20272" s="6" t="n">
        <f aca="false">Seg!G71*(al_ind+Sens!G20269+sbc_r)</f>
        <v>9.8478979082138</v>
      </c>
      <c r="H20272" s="6" t="n">
        <f aca="false">Seg!H71*(al_ind+Sens!H20269+sbc_r)</f>
        <v>10.6768254332059</v>
      </c>
      <c r="I20272" s="6" t="n">
        <f aca="false">Seg!I71*(al_ind+Sens!I20269+sbc_r)</f>
        <v>11.54398793803</v>
      </c>
      <c r="J20272" s="6" t="n">
        <f aca="false">Seg!J71*(al_ind+Sens!J20269+sbc_r)</f>
        <v>12.4407914253112</v>
      </c>
      <c r="K20272" s="6" t="n">
        <f aca="false">Seg!K71*(al_ind+Sens!K20269+sbc_r)</f>
        <v>13.355239066864</v>
      </c>
    </row>
    <row r="20273" customFormat="false" ht="17.15" hidden="false" customHeight="false" outlineLevel="0" collapsed="false">
      <c r="A20273" s="0" t="s">
        <v>1235</v>
      </c>
      <c r="B20273" s="0" t="s">
        <v>98</v>
      </c>
      <c r="F20273" s="6" t="n">
        <f aca="false">Seg!F73*(al_fro+Sens!F20269+sbc_r)</f>
        <v>3.55453569939552</v>
      </c>
      <c r="G20273" s="6" t="n">
        <f aca="false">Seg!G73*(al_fro+Sens!G20269+sbc_r)</f>
        <v>3.76809436159872</v>
      </c>
      <c r="H20273" s="6" t="n">
        <f aca="false">Seg!H73*(al_fro+Sens!H20269+sbc_r)</f>
        <v>4.00964905674607</v>
      </c>
      <c r="I20273" s="6" t="n">
        <f aca="false">Seg!I73*(al_fro+Sens!I20269+sbc_r)</f>
        <v>4.28152633145235</v>
      </c>
      <c r="J20273" s="6" t="n">
        <f aca="false">Seg!J73*(al_fro+Sens!J20269+sbc_r)</f>
        <v>4.58536512975975</v>
      </c>
      <c r="K20273" s="6" t="n">
        <f aca="false">Seg!K73*(al_fro+Sens!K20269+sbc_r)</f>
        <v>4.92240770086468</v>
      </c>
    </row>
    <row r="20274" customFormat="false" ht="17.15" hidden="false" customHeight="false" outlineLevel="0" collapsed="false">
      <c r="A20274" s="0" t="s">
        <v>1236</v>
      </c>
      <c r="B20274" s="0" t="s">
        <v>98</v>
      </c>
      <c r="F20274" s="6" t="n">
        <f aca="false">Seg!F76*(al_srch+Sens!F20269+sbc_r)</f>
        <v>11.190683952584</v>
      </c>
      <c r="G20274" s="6" t="n">
        <f aca="false">Seg!G76*(al_srch+Sens!G20269+sbc_r)</f>
        <v>12.2763328717258</v>
      </c>
      <c r="H20274" s="6" t="n">
        <f aca="false">Seg!H76*(al_srch+Sens!H20269+sbc_r)</f>
        <v>13.4043563346576</v>
      </c>
      <c r="I20274" s="6" t="n">
        <f aca="false">Seg!I76*(al_srch+Sens!I20269+sbc_r)</f>
        <v>14.5621512181916</v>
      </c>
      <c r="J20274" s="6" t="n">
        <f aca="false">Seg!J76*(al_srch+Sens!J20269+sbc_r)</f>
        <v>15.7310381862385</v>
      </c>
      <c r="K20274" s="6" t="n">
        <f aca="false">Seg!K76*(al_srch+Sens!K20269+sbc_r)</f>
        <v>16.8873320486462</v>
      </c>
    </row>
    <row r="20275" customFormat="false" ht="17.15" hidden="false" customHeight="false" outlineLevel="0" collapsed="false">
      <c r="A20275" s="0" t="s">
        <v>1237</v>
      </c>
      <c r="B20275" s="0" t="s">
        <v>98</v>
      </c>
      <c r="F20275" s="6" t="n">
        <f aca="false">Thesis!F135-Thesis!F136+Thesis!F151</f>
        <v>38.9696429794913</v>
      </c>
      <c r="G20275" s="6" t="n">
        <f aca="false">Thesis!G135-Thesis!G136+Thesis!G151</f>
        <v>69.465497726016</v>
      </c>
      <c r="H20275" s="6" t="n">
        <f aca="false">Thesis!H135-Thesis!H136+Thesis!H151</f>
        <v>96.8147106808268</v>
      </c>
      <c r="I20275" s="6" t="n">
        <f aca="false">Thesis!I135-Thesis!I136+Thesis!I151</f>
        <v>127.654939766446</v>
      </c>
      <c r="J20275" s="6" t="n">
        <f aca="false">Thesis!J135-Thesis!J136+Thesis!J151</f>
        <v>149.308352681229</v>
      </c>
      <c r="K20275" s="6" t="n">
        <f aca="false">Thesis!K135-Thesis!K136+Thesis!K151</f>
        <v>162.731822021841</v>
      </c>
    </row>
    <row r="20276" customFormat="false" ht="17.15" hidden="false" customHeight="false" outlineLevel="0" collapsed="false">
      <c r="A20276" s="0" t="s">
        <v>1238</v>
      </c>
      <c r="B20276" s="0" t="s">
        <v>98</v>
      </c>
      <c r="F20276" s="6" t="n">
        <f aca="false">PL!F110+Thesis!F151+Thesis!F147+Sens!F20269*(Seg!F75-Thesis!F129)+sbc_r*Seg!F75</f>
        <v>234.79972328186</v>
      </c>
      <c r="G20276" s="6" t="n">
        <f aca="false">PL!G110+Thesis!G151+Thesis!G147+Sens!G20269*(Seg!G75-Thesis!G129)+sbc_r*Seg!G75</f>
        <v>285.499052659517</v>
      </c>
      <c r="H20276" s="6" t="n">
        <f aca="false">PL!H110+Thesis!H151+Thesis!H147+Sens!H20269*(Seg!H75-Thesis!H129)+sbc_r*Seg!H75</f>
        <v>338.258569294547</v>
      </c>
      <c r="I20276" s="6" t="n">
        <f aca="false">PL!I110+Thesis!I151+Thesis!I147+Sens!I20269*(Seg!I75-Thesis!I129)+sbc_r*Seg!I75</f>
        <v>393.887902526982</v>
      </c>
      <c r="J20276" s="6" t="n">
        <f aca="false">PL!J110+Thesis!J151+Thesis!J147+Sens!J20269*(Seg!J75-Thesis!J129)+sbc_r*Seg!J75</f>
        <v>438.406631506078</v>
      </c>
      <c r="K20276" s="6" t="n">
        <f aca="false">PL!K110+Thesis!K151+Thesis!K147+Sens!K20269*(Seg!K75-Thesis!K129)+sbc_r*Seg!K75</f>
        <v>472.352875745143</v>
      </c>
    </row>
    <row r="20277" customFormat="false" ht="17.15" hidden="false" customHeight="false" outlineLevel="0" collapsed="false">
      <c r="A20277" s="0" t="s">
        <v>1239</v>
      </c>
      <c r="B20277" s="0" t="s">
        <v>98</v>
      </c>
      <c r="F20277" s="6" t="n">
        <f aca="false">Sens!F20276-Sens!F20270-Sens!F20271-Sens!F20272-Sens!F20273-Sens!F20275</f>
        <v>67.4353297630543</v>
      </c>
      <c r="G20277" s="6" t="n">
        <f aca="false">Sens!G20276-Sens!G20270-Sens!G20271-Sens!G20272-Sens!G20273-Sens!G20275</f>
        <v>74.9539293781376</v>
      </c>
      <c r="H20277" s="6" t="n">
        <f aca="false">Sens!H20276-Sens!H20270-Sens!H20271-Sens!H20272-Sens!H20273-Sens!H20275</f>
        <v>87.537773486888</v>
      </c>
      <c r="I20277" s="6" t="n">
        <f aca="false">Sens!I20276-Sens!I20270-Sens!I20271-Sens!I20272-Sens!I20273-Sens!I20275</f>
        <v>100.057277169252</v>
      </c>
      <c r="J20277" s="6" t="n">
        <f aca="false">Sens!J20276-Sens!J20270-Sens!J20271-Sens!J20272-Sens!J20273-Sens!J20275</f>
        <v>111.429055512297</v>
      </c>
      <c r="K20277" s="6" t="n">
        <f aca="false">Sens!K20276-Sens!K20270-Sens!K20271-Sens!K20272-Sens!K20273-Sens!K20275</f>
        <v>120.961838550618</v>
      </c>
    </row>
    <row r="20278" customFormat="false" ht="17.15" hidden="false" customHeight="false" outlineLevel="0" collapsed="false">
      <c r="A20278" s="0" t="s">
        <v>1240</v>
      </c>
      <c r="B20278" s="0" t="s">
        <v>98</v>
      </c>
      <c r="F20278" s="6" t="n">
        <f aca="false">PL!F112+Sens!F20269*Seg!F82+sbc_r*Seg!F82</f>
        <v>26.6373549789235</v>
      </c>
      <c r="G20278" s="6" t="n">
        <f aca="false">PL!G112+Sens!G20269*Seg!G82+sbc_r*Seg!G82</f>
        <v>26.5038922765853</v>
      </c>
      <c r="H20278" s="6" t="n">
        <f aca="false">PL!H112+Sens!H20269*Seg!H82+sbc_r*Seg!H82</f>
        <v>27.3981100014792</v>
      </c>
      <c r="I20278" s="6" t="n">
        <f aca="false">PL!I112+Sens!I20269*Seg!I82+sbc_r*Seg!I82</f>
        <v>28.5176442589239</v>
      </c>
      <c r="J20278" s="6" t="n">
        <f aca="false">PL!J112+Sens!J20269*Seg!J82+sbc_r*Seg!J82</f>
        <v>29.8313998963726</v>
      </c>
      <c r="K20278" s="6" t="n">
        <f aca="false">PL!K112+Sens!K20269*Seg!K82+sbc_r*Seg!K82</f>
        <v>31.3103466222307</v>
      </c>
    </row>
    <row r="20279" customFormat="false" ht="17.15" hidden="false" customHeight="false" outlineLevel="0" collapsed="false">
      <c r="A20279" s="0" t="s">
        <v>1241</v>
      </c>
      <c r="B20279" s="0" t="s">
        <v>98</v>
      </c>
      <c r="F20279" s="6" t="n">
        <f aca="false">(Sens!F20278-Sens!F20274)*Seg!F78/(Seg!F78+Seg!F80)</f>
        <v>8.72405610479892</v>
      </c>
      <c r="G20279" s="6" t="n">
        <f aca="false">(Sens!G20278-Sens!G20274)*Seg!G78/(Seg!G78+Seg!G80)</f>
        <v>7.897418765869</v>
      </c>
      <c r="H20279" s="6" t="n">
        <f aca="false">(Sens!H20278-Sens!H20274)*Seg!H78/(Seg!H78+Seg!H80)</f>
        <v>7.66644879573063</v>
      </c>
      <c r="I20279" s="6" t="n">
        <f aca="false">(Sens!I20278-Sens!I20274)*Seg!I78/(Seg!I78+Seg!I80)</f>
        <v>7.5787545031814</v>
      </c>
      <c r="J20279" s="6" t="n">
        <f aca="false">(Sens!J20278-Sens!J20274)*Seg!J78/(Seg!J78+Seg!J80)</f>
        <v>7.62401876450459</v>
      </c>
      <c r="K20279" s="6" t="n">
        <f aca="false">(Sens!K20278-Sens!K20274)*Seg!K78/(Seg!K78+Seg!K80)</f>
        <v>7.79847609658838</v>
      </c>
    </row>
    <row r="20280" customFormat="false" ht="17.15" hidden="false" customHeight="false" outlineLevel="0" collapsed="false">
      <c r="A20280" s="0" t="s">
        <v>1242</v>
      </c>
      <c r="B20280" s="0" t="s">
        <v>98</v>
      </c>
      <c r="F20280" s="6" t="n">
        <f aca="false">Sens!F20278-Sens!F20274-Sens!F20279</f>
        <v>6.72261492154066</v>
      </c>
      <c r="G20280" s="6" t="n">
        <f aca="false">Sens!G20278-Sens!G20274-Sens!G20279</f>
        <v>6.33014063899044</v>
      </c>
      <c r="H20280" s="6" t="n">
        <f aca="false">Sens!H20278-Sens!H20274-Sens!H20279</f>
        <v>6.32730487109095</v>
      </c>
      <c r="I20280" s="6" t="n">
        <f aca="false">Sens!I20278-Sens!I20274-Sens!I20279</f>
        <v>6.37673853755084</v>
      </c>
      <c r="J20280" s="6" t="n">
        <f aca="false">Sens!J20278-Sens!J20274-Sens!J20279</f>
        <v>6.47634294562954</v>
      </c>
      <c r="K20280" s="6" t="n">
        <f aca="false">Sens!K20278-Sens!K20274-Sens!K20279</f>
        <v>6.62453847699607</v>
      </c>
    </row>
    <row r="20281" customFormat="false" ht="17.15" hidden="false" customHeight="false" outlineLevel="0" collapsed="false">
      <c r="A20281" s="0" t="s">
        <v>1243</v>
      </c>
      <c r="B20281" s="0" t="s">
        <v>98</v>
      </c>
      <c r="F20281" s="6" t="n">
        <f aca="false">Sens!F20275-tax_f*(Sens!F20275-Thesis!F147)-Thesis!F144</f>
        <v>-130.362326762856</v>
      </c>
      <c r="G20281" s="6" t="n">
        <f aca="false">Sens!G20275-tax_f*(Sens!G20275-Thesis!G147)-Thesis!G144</f>
        <v>-124.225179337776</v>
      </c>
      <c r="H20281" s="6" t="n">
        <f aca="false">Sens!H20275-tax_f*(Sens!H20275-Thesis!H147)-Thesis!H144</f>
        <v>-101.534217387562</v>
      </c>
      <c r="I20281" s="6" t="n">
        <f aca="false">Sens!I20275-tax_f*(Sens!I20275-Thesis!I147)-Thesis!I144</f>
        <v>-43.6446798695439</v>
      </c>
      <c r="J20281" s="6" t="n">
        <f aca="false">Sens!J20275-tax_f*(Sens!J20275-Thesis!J147)-Thesis!J144</f>
        <v>16.9198855589618</v>
      </c>
      <c r="K20281" s="6" t="n">
        <f aca="false">Sens!K20275-tax_f*(Sens!K20275-Thesis!K147)-Thesis!K144</f>
        <v>39.8251384629271</v>
      </c>
    </row>
    <row r="20282" customFormat="false" ht="17.15" hidden="false" customHeight="false" outlineLevel="0" collapsed="false">
      <c r="A20282" s="0" t="s">
        <v>1244</v>
      </c>
      <c r="B20282" s="0" t="s">
        <v>98</v>
      </c>
      <c r="G20282" s="6" t="n">
        <f aca="false">Sens!G20281/(1+wacc)^(Sens!G20252-Sens!F20253)</f>
        <v>-118.286276192192</v>
      </c>
      <c r="H20282" s="6" t="n">
        <f aca="false">Sens!H20281/(1+wacc)^(Sens!H20252-Sens!F20253)</f>
        <v>-87.6570009910427</v>
      </c>
      <c r="I20282" s="6" t="n">
        <f aca="false">Sens!I20281/(1+wacc)^(Sens!I20252-Sens!F20253)</f>
        <v>-34.1629172979204</v>
      </c>
      <c r="J20282" s="6" t="n">
        <f aca="false">Sens!J20281/(1+wacc)^(Sens!J20252-Sens!F20253)</f>
        <v>12.0079954170053</v>
      </c>
      <c r="K20282" s="6" t="n">
        <f aca="false">Sens!K20281/(1+wacc)^(Sens!K20252-Sens!F20253)</f>
        <v>25.6259421582556</v>
      </c>
      <c r="L20282" s="1" t="s">
        <v>1245</v>
      </c>
    </row>
    <row r="20283" customFormat="false" ht="17.15" hidden="false" customHeight="false" outlineLevel="0" collapsed="false">
      <c r="A20283" s="0" t="s">
        <v>1246</v>
      </c>
      <c r="B20283" s="0" t="s">
        <v>98</v>
      </c>
      <c r="C20283" s="6" t="n">
        <f aca="false">(Sens!K20275-Thesis!K147)*(1-tax_f)*(1+g_tv)*(1-g_tv/(wacc+ronic_prem))/(wacc-g_tv)/(1+wacc)^(Sens!K20253-Sens!F20253)</f>
        <v>96.7148026864948</v>
      </c>
    </row>
    <row r="20284" customFormat="false" ht="17.15" hidden="false" customHeight="false" outlineLevel="0" collapsed="false">
      <c r="A20284" s="1" t="s">
        <v>1247</v>
      </c>
      <c r="B20284" s="0" t="s">
        <v>98</v>
      </c>
      <c r="C20284" s="6" t="n">
        <f aca="false">(SUM(Sens!G20282:K20282)+Sens!$C$20283)*(1+wacc)^(t_roll-Sens!F20253)</f>
        <v>-109.248827617462</v>
      </c>
      <c r="L20284" s="12" t="s">
        <v>1248</v>
      </c>
    </row>
    <row r="20285" customFormat="false" ht="17.15" hidden="false" customHeight="false" outlineLevel="0" collapsed="false">
      <c r="A20285" s="1" t="s">
        <v>1249</v>
      </c>
      <c r="B20285" s="0" t="s">
        <v>98</v>
      </c>
      <c r="C20285" s="6" t="n">
        <f aca="false">(w_ntm28*Thesis!G135+(1-w_ntm28)*Thesis!H135)*m_ai</f>
        <v>344.355829012336</v>
      </c>
    </row>
    <row r="20286" customFormat="false" ht="17.15" hidden="false" customHeight="false" outlineLevel="0" collapsed="false">
      <c r="A20286" s="1" t="s">
        <v>1250</v>
      </c>
      <c r="B20286" s="0" t="s">
        <v>98</v>
      </c>
      <c r="C20286" s="6" t="n">
        <f aca="false">(w_ntm28*Sens!G20277+(1-w_ntm28)*Sens!H20277)*m_cloud</f>
        <v>1093.03877543039</v>
      </c>
    </row>
    <row r="20287" customFormat="false" ht="17.15" hidden="false" customHeight="false" outlineLevel="0" collapsed="false">
      <c r="A20287" s="1" t="s">
        <v>1251</v>
      </c>
      <c r="B20287" s="0" t="s">
        <v>98</v>
      </c>
      <c r="C20287" s="6" t="n">
        <f aca="false">(w_ntm28*Sens!G20270+(1-w_ntm28)*Sens!H20270)*m_sw</f>
        <v>1045.17056616266</v>
      </c>
    </row>
    <row r="20288" customFormat="false" ht="17.15" hidden="false" customHeight="false" outlineLevel="0" collapsed="false">
      <c r="A20288" s="1" t="s">
        <v>1252</v>
      </c>
      <c r="B20288" s="0" t="s">
        <v>98</v>
      </c>
      <c r="C20288" s="6" t="n">
        <f aca="false">(w_ntm28*Sens!G20271+(1-w_ntm28)*Sens!H20271)*m_sw</f>
        <v>373.178444957791</v>
      </c>
    </row>
    <row r="20289" customFormat="false" ht="17.15" hidden="false" customHeight="false" outlineLevel="0" collapsed="false">
      <c r="A20289" s="1" t="s">
        <v>1253</v>
      </c>
      <c r="B20289" s="0" t="s">
        <v>98</v>
      </c>
      <c r="C20289" s="6" t="n">
        <f aca="false">(w_ntm28*Sens!G20272+(1-w_ntm28)*Sens!H20272)*m_sw</f>
        <v>109.30055788101</v>
      </c>
    </row>
    <row r="20290" customFormat="false" ht="17.15" hidden="false" customHeight="false" outlineLevel="0" collapsed="false">
      <c r="A20290" s="1" t="s">
        <v>1254</v>
      </c>
      <c r="B20290" s="0" t="s">
        <v>98</v>
      </c>
      <c r="C20290" s="6" t="n">
        <f aca="false">(w_ntm28*Sens!G20273+(1-w_ntm28)*Sens!H20273)*m_sw</f>
        <v>41.5531037214606</v>
      </c>
    </row>
    <row r="20291" customFormat="false" ht="17.15" hidden="false" customHeight="false" outlineLevel="0" collapsed="false">
      <c r="A20291" s="1" t="s">
        <v>1255</v>
      </c>
      <c r="B20291" s="0" t="s">
        <v>98</v>
      </c>
      <c r="C20291" s="6" t="n">
        <f aca="false">(w_ntm28*Sens!G20274+(1-w_ntm28)*Sens!H20274)*m_ads</f>
        <v>115.215899994784</v>
      </c>
    </row>
    <row r="20292" customFormat="false" ht="17.15" hidden="false" customHeight="false" outlineLevel="0" collapsed="false">
      <c r="A20292" s="1" t="s">
        <v>1256</v>
      </c>
      <c r="B20292" s="0" t="s">
        <v>98</v>
      </c>
      <c r="C20292" s="6" t="n">
        <f aca="false">(w_ntm28*Sens!G20279+(1-w_ntm28)*Sens!H20279)*m_game</f>
        <v>98.7853357615783</v>
      </c>
    </row>
    <row r="20293" customFormat="false" ht="17.15" hidden="false" customHeight="false" outlineLevel="0" collapsed="false">
      <c r="A20293" s="1" t="s">
        <v>1257</v>
      </c>
      <c r="B20293" s="0" t="s">
        <v>98</v>
      </c>
      <c r="C20293" s="6" t="n">
        <f aca="false">(w_ntm28*Sens!G20280+(1-w_ntm28)*Sens!H20280)*m_pc</f>
        <v>91.5836445602173</v>
      </c>
    </row>
    <row r="20294" customFormat="false" ht="17.15" hidden="false" customHeight="false" outlineLevel="0" collapsed="false">
      <c r="A20294" s="1" t="s">
        <v>1258</v>
      </c>
      <c r="B20294" s="0" t="s">
        <v>98</v>
      </c>
      <c r="C20294" s="6" t="n">
        <f aca="false">Sens!$C$20284+Sens!$C$20286+Sens!$C$20287+Sens!$C$20288+Sens!$C$20289+Sens!$C$20290+Sens!$C$20291+Sens!$C$20292+Sens!$C$20293</f>
        <v>2858.57750085243</v>
      </c>
    </row>
    <row r="20295" customFormat="false" ht="17.15" hidden="false" customHeight="false" outlineLevel="0" collapsed="false">
      <c r="A20295" s="1" t="s">
        <v>1259</v>
      </c>
      <c r="B20295" s="0" t="s">
        <v>98</v>
      </c>
      <c r="C20295" s="6" t="n">
        <f aca="false">(Sens!G20256-Sens!G20281)*t_stub</f>
        <v>47.4829168796038</v>
      </c>
      <c r="L20295" s="1" t="s">
        <v>1260</v>
      </c>
    </row>
    <row r="20296" customFormat="false" ht="17.15" hidden="false" customHeight="false" outlineLevel="0" collapsed="false">
      <c r="A20296" s="1" t="s">
        <v>1169</v>
      </c>
      <c r="B20296" s="0" t="s">
        <v>98</v>
      </c>
      <c r="C20296" s="6" t="n">
        <f aca="false">CF!F103+(oai_stake26*oai_val*(1-liq_disc))-CF!F92+Sens!$C$20295</f>
        <v>165.37027008544</v>
      </c>
      <c r="L20296" s="1" t="s">
        <v>1261</v>
      </c>
    </row>
    <row r="20297" customFormat="false" ht="17.15" hidden="false" customHeight="false" outlineLevel="0" collapsed="false">
      <c r="A20297" s="1" t="s">
        <v>1262</v>
      </c>
      <c r="B20297" s="0" t="s">
        <v>75</v>
      </c>
      <c r="C20297" s="5" t="n">
        <f aca="false">(Sens!$C$20294+Sens!$C$20296)/(CF!F105+dil_gap)-CF!G95*roll_div_q/q_per_yr</f>
        <v>402.3686871582</v>
      </c>
      <c r="L20297" s="1" t="s">
        <v>1263</v>
      </c>
    </row>
    <row r="20298" customFormat="false" ht="17.15" hidden="false" customHeight="false" outlineLevel="0" collapsed="false">
      <c r="A20298" s="1" t="s">
        <v>1264</v>
      </c>
      <c r="B20298" s="0" t="s">
        <v>75</v>
      </c>
      <c r="C20298" s="5" t="n">
        <f aca="false">w_dcf*Sens!$C$20268+(1-w_dcf)*Sens!$C$20297</f>
        <v>342.029429158084</v>
      </c>
    </row>
    <row r="20299" customFormat="false" ht="17.15" hidden="false" customHeight="false" outlineLevel="0" collapsed="false">
      <c r="A20299" s="3" t="s">
        <v>1980</v>
      </c>
    </row>
    <row r="20300" customFormat="false" ht="15" hidden="false" customHeight="false" outlineLevel="0" collapsed="false">
      <c r="A20300" s="4" t="s">
        <v>43</v>
      </c>
      <c r="B20300" s="4" t="s">
        <v>65</v>
      </c>
      <c r="C20300" s="23" t="s">
        <v>938</v>
      </c>
      <c r="D20300" s="23" t="s">
        <v>939</v>
      </c>
      <c r="E20300" s="23" t="s">
        <v>940</v>
      </c>
      <c r="F20300" s="23" t="s">
        <v>941</v>
      </c>
      <c r="G20300" s="23" t="s">
        <v>942</v>
      </c>
      <c r="H20300" s="23" t="s">
        <v>943</v>
      </c>
      <c r="I20300" s="23" t="s">
        <v>944</v>
      </c>
      <c r="J20300" s="23" t="s">
        <v>945</v>
      </c>
      <c r="K20300" s="23" t="s">
        <v>946</v>
      </c>
      <c r="L20300" s="4" t="s">
        <v>47</v>
      </c>
    </row>
    <row r="20301" customFormat="false" ht="17.15" hidden="false" customHeight="false" outlineLevel="0" collapsed="false">
      <c r="A20301" s="1" t="s">
        <v>1212</v>
      </c>
      <c r="B20301" s="1" t="s">
        <v>279</v>
      </c>
      <c r="F20301" s="8" t="n">
        <f aca="false">(1-v_off)*mid_yr</f>
        <v>0.373972602739726</v>
      </c>
      <c r="G20301" s="8" t="n">
        <f aca="false">Thesis!G6-base_fy-mid_yr-v_off</f>
        <v>1.24794520547945</v>
      </c>
      <c r="H20301" s="8" t="n">
        <f aca="false">Thesis!H6-base_fy-mid_yr-v_off</f>
        <v>2.24794520547945</v>
      </c>
      <c r="I20301" s="8" t="n">
        <f aca="false">Thesis!I6-base_fy-mid_yr-v_off</f>
        <v>3.24794520547945</v>
      </c>
      <c r="J20301" s="8" t="n">
        <f aca="false">Thesis!J6-base_fy-mid_yr-v_off</f>
        <v>4.24794520547945</v>
      </c>
      <c r="K20301" s="8" t="n">
        <f aca="false">Thesis!K6-base_fy-mid_yr-v_off</f>
        <v>5.24794520547945</v>
      </c>
      <c r="L20301" s="12" t="s">
        <v>1213</v>
      </c>
    </row>
    <row r="20302" customFormat="false" ht="15" hidden="false" customHeight="false" outlineLevel="0" collapsed="false">
      <c r="A20302" s="1" t="s">
        <v>1214</v>
      </c>
      <c r="B20302" s="1" t="s">
        <v>279</v>
      </c>
      <c r="F20302" s="8" t="n">
        <f aca="false">Thesis!F6-base_fy-v_off</f>
        <v>0.747945205479452</v>
      </c>
      <c r="G20302" s="8" t="n">
        <f aca="false">Thesis!G6-base_fy-v_off</f>
        <v>1.74794520547945</v>
      </c>
      <c r="H20302" s="8" t="n">
        <f aca="false">Thesis!H6-base_fy-v_off</f>
        <v>2.74794520547945</v>
      </c>
      <c r="I20302" s="8" t="n">
        <f aca="false">Thesis!I6-base_fy-v_off</f>
        <v>3.74794520547945</v>
      </c>
      <c r="J20302" s="8" t="n">
        <f aca="false">Thesis!J6-base_fy-v_off</f>
        <v>4.74794520547945</v>
      </c>
      <c r="K20302" s="8" t="n">
        <f aca="false">Thesis!K6-base_fy-v_off</f>
        <v>5.74794520547945</v>
      </c>
    </row>
    <row r="20303" customFormat="false" ht="15" hidden="false" customHeight="false" outlineLevel="0" collapsed="false">
      <c r="A20303" s="1" t="s">
        <v>1215</v>
      </c>
      <c r="B20303" s="0" t="s">
        <v>229</v>
      </c>
      <c r="F20303" s="15" t="n">
        <f aca="false">1/(1+wacc)^Sens!F20301</f>
        <v>0.964022703286649</v>
      </c>
      <c r="G20303" s="15" t="n">
        <f aca="false">1/(1+wacc)^Sens!G20301</f>
        <v>0.884910302296739</v>
      </c>
      <c r="H20303" s="15" t="n">
        <f aca="false">1/(1+wacc)^Sens!H20301</f>
        <v>0.802322009770358</v>
      </c>
      <c r="I20303" s="15" t="n">
        <f aca="false">1/(1+wacc)^Sens!I20301</f>
        <v>0.727441646561469</v>
      </c>
      <c r="J20303" s="15" t="n">
        <f aca="false">1/(1+wacc)^Sens!J20301</f>
        <v>0.659549834988973</v>
      </c>
      <c r="K20303" s="15" t="n">
        <f aca="false">1/(1+wacc)^Sens!K20301</f>
        <v>0.597994336576966</v>
      </c>
    </row>
    <row r="20304" customFormat="false" ht="17.15" hidden="false" customHeight="false" outlineLevel="0" collapsed="false">
      <c r="A20304" s="1" t="s">
        <v>1216</v>
      </c>
      <c r="B20304" s="0" t="s">
        <v>98</v>
      </c>
      <c r="F20304" s="6" t="n">
        <f aca="false">Q!$I$35-Q!$I$39-Q!$I$43</f>
        <v>9.666</v>
      </c>
      <c r="L20304" s="12" t="s">
        <v>1217</v>
      </c>
    </row>
    <row r="20305" customFormat="false" ht="17.15" hidden="false" customHeight="false" outlineLevel="0" collapsed="false">
      <c r="A20305" s="1" t="s">
        <v>1218</v>
      </c>
      <c r="B20305" s="0" t="s">
        <v>98</v>
      </c>
      <c r="F20305" s="6" t="n">
        <f aca="false">CF!F23-CF!F20-CF!F27+Thesis!F47*(1-tax_f)*(1-v_off)-Sens!F20304</f>
        <v>-1.12880264559539</v>
      </c>
      <c r="G20305" s="6" t="n">
        <f aca="false">CF!G23-CF!G20-CF!G27+Thesis!G47*(1-tax_f)</f>
        <v>38.7194421947551</v>
      </c>
      <c r="H20305" s="6" t="n">
        <f aca="false">CF!H23-CF!H20-CF!H27+Thesis!H47*(1-tax_f)</f>
        <v>98.6927474567662</v>
      </c>
      <c r="I20305" s="6" t="n">
        <f aca="false">CF!I23-CF!I20-CF!I27+Thesis!I47*(1-tax_f)</f>
        <v>181.625440536277</v>
      </c>
      <c r="J20305" s="6" t="n">
        <f aca="false">CF!J23-CF!J20-CF!J27+Thesis!J47*(1-tax_f)</f>
        <v>263.350402418584</v>
      </c>
      <c r="K20305" s="6" t="n">
        <f aca="false">CF!K23-CF!K20-CF!K27+Thesis!K47*(1-tax_f)</f>
        <v>303.659068389018</v>
      </c>
      <c r="L20305" s="1" t="s">
        <v>1219</v>
      </c>
    </row>
    <row r="20306" customFormat="false" ht="15" hidden="false" customHeight="false" outlineLevel="0" collapsed="false">
      <c r="A20306" s="1" t="s">
        <v>1220</v>
      </c>
      <c r="B20306" s="0" t="s">
        <v>98</v>
      </c>
      <c r="F20306" s="6" t="n">
        <f aca="false">Sens!F20305*Sens!F20303</f>
        <v>-1.08819137788399</v>
      </c>
      <c r="G20306" s="6" t="n">
        <f aca="false">Sens!G20305*Sens!G20303</f>
        <v>34.2632332973219</v>
      </c>
      <c r="H20306" s="6" t="n">
        <f aca="false">Sens!H20305*Sens!H20303</f>
        <v>79.183363489271</v>
      </c>
      <c r="I20306" s="6" t="n">
        <f aca="false">Sens!I20305*Sens!I20303</f>
        <v>132.121909521162</v>
      </c>
      <c r="J20306" s="6" t="n">
        <f aca="false">Sens!J20305*Sens!J20303</f>
        <v>173.692714459456</v>
      </c>
      <c r="K20306" s="6" t="n">
        <f aca="false">Sens!K20305*Sens!K20303</f>
        <v>181.58640314687</v>
      </c>
    </row>
    <row r="20307" customFormat="false" ht="17.15" hidden="false" customHeight="false" outlineLevel="0" collapsed="false">
      <c r="A20307" s="1" t="s">
        <v>1221</v>
      </c>
      <c r="B20307" s="0" t="s">
        <v>98</v>
      </c>
      <c r="C20307" s="6" t="n">
        <f aca="false">SUM(Sens!F20306:K20306)</f>
        <v>599.759432536197</v>
      </c>
    </row>
    <row r="20308" customFormat="false" ht="17.15" hidden="false" customHeight="false" outlineLevel="0" collapsed="false">
      <c r="A20308" s="1" t="s">
        <v>1222</v>
      </c>
      <c r="B20308" s="0" t="s">
        <v>98</v>
      </c>
      <c r="C20308" s="6" t="n">
        <f aca="false">PL!K39*(1+g_tv)*(1-tax_f)</f>
        <v>316.501318799308</v>
      </c>
    </row>
    <row r="20309" customFormat="false" ht="17.15" hidden="false" customHeight="false" outlineLevel="0" collapsed="false">
      <c r="A20309" s="1" t="s">
        <v>1223</v>
      </c>
      <c r="B20309" s="0" t="s">
        <v>98</v>
      </c>
      <c r="C20309" s="6" t="n">
        <f aca="false">Sens!$C$20308*(1-g_tv/(wacc+ronic_prem))</f>
        <v>224.25968269347</v>
      </c>
    </row>
    <row r="20310" customFormat="false" ht="17.15" hidden="false" customHeight="false" outlineLevel="0" collapsed="false">
      <c r="A20310" s="1" t="s">
        <v>1224</v>
      </c>
      <c r="B20310" s="0" t="s">
        <v>98</v>
      </c>
      <c r="C20310" s="6" t="n">
        <f aca="false">Sens!$C$20309/(wacc-g_tv)</f>
        <v>3074.72120352792</v>
      </c>
    </row>
    <row r="20311" customFormat="false" ht="15" hidden="false" customHeight="false" outlineLevel="0" collapsed="false">
      <c r="A20311" s="1" t="s">
        <v>1225</v>
      </c>
      <c r="B20311" s="0" t="s">
        <v>98</v>
      </c>
      <c r="C20311" s="6" t="n">
        <f aca="false">Sens!$C$20310/(1+wacc)^Sens!K20302</f>
        <v>1750.76373116397</v>
      </c>
    </row>
    <row r="20312" customFormat="false" ht="17.15" hidden="false" customHeight="false" outlineLevel="0" collapsed="false">
      <c r="A20312" s="0" t="s">
        <v>1226</v>
      </c>
      <c r="B20312" s="0" t="s">
        <v>98</v>
      </c>
      <c r="C20312" s="6" t="n">
        <f aca="false">Sens!$C$20307+Sens!$C$20311</f>
        <v>2350.52316370017</v>
      </c>
    </row>
    <row r="20313" customFormat="false" ht="15" hidden="false" customHeight="false" outlineLevel="0" collapsed="false">
      <c r="A20313" s="1" t="s">
        <v>1141</v>
      </c>
      <c r="B20313" s="0" t="s">
        <v>168</v>
      </c>
      <c r="C20313" s="7" t="n">
        <f aca="false">Sens!$C$20311/Sens!$C$20312</f>
        <v>0.744840024638574</v>
      </c>
    </row>
    <row r="20314" customFormat="false" ht="17.15" hidden="false" customHeight="false" outlineLevel="0" collapsed="false">
      <c r="A20314" s="1" t="s">
        <v>1227</v>
      </c>
      <c r="B20314" s="0" t="s">
        <v>98</v>
      </c>
      <c r="C20314" s="6" t="n">
        <f aca="false">Sens!$C$20312+cash_val-debt_val-fl_val+(oai_stake_hi*oai_val*(1-liq_disc))</f>
        <v>2486.82216370017</v>
      </c>
    </row>
    <row r="20315" customFormat="false" ht="17.15" hidden="false" customHeight="false" outlineLevel="0" collapsed="false">
      <c r="A20315" s="0" t="s">
        <v>1149</v>
      </c>
      <c r="B20315" s="0" t="s">
        <v>75</v>
      </c>
      <c r="C20315" s="5" t="n">
        <f aca="false">Sens!$C$20314/shd_val</f>
        <v>333.980951343026</v>
      </c>
    </row>
    <row r="20316" customFormat="false" ht="15" hidden="false" customHeight="false" outlineLevel="0" collapsed="false">
      <c r="A20316" s="1" t="s">
        <v>1228</v>
      </c>
      <c r="B20316" s="0" t="s">
        <v>75</v>
      </c>
      <c r="C20316" s="8" t="n">
        <f aca="false">div_rem27+CF!G31*roll_div_q/q_per_yr</f>
        <v>3.9795</v>
      </c>
    </row>
    <row r="20317" customFormat="false" ht="17.15" hidden="false" customHeight="false" outlineLevel="0" collapsed="false">
      <c r="A20317" s="0" t="s">
        <v>1229</v>
      </c>
      <c r="B20317" s="0" t="s">
        <v>75</v>
      </c>
      <c r="C20317" s="5" t="n">
        <f aca="false">Sens!$C$20315*(1+wacc)^t_roll-Sens!$C$20316</f>
        <v>367.258967143089</v>
      </c>
    </row>
    <row r="20318" customFormat="false" ht="17.15" hidden="false" customHeight="false" outlineLevel="0" collapsed="false">
      <c r="A20318" s="1" t="s">
        <v>1230</v>
      </c>
      <c r="B20318" s="0" t="s">
        <v>168</v>
      </c>
      <c r="F20318" s="7" t="n">
        <f aca="false">CF!F17/(Seg!F29-Thesis!F25)</f>
        <v>0.0685527305696859</v>
      </c>
      <c r="G20318" s="7" t="n">
        <f aca="false">CF!G17/(Seg!G29-Thesis!G25)</f>
        <v>0.0653567731599844</v>
      </c>
      <c r="H20318" s="7" t="n">
        <f aca="false">CF!H17/(Seg!H29-Thesis!H25)</f>
        <v>0.0636628841026972</v>
      </c>
      <c r="I20318" s="7" t="n">
        <f aca="false">CF!I17/(Seg!I29-Thesis!I25)</f>
        <v>0.0633581084335176</v>
      </c>
      <c r="J20318" s="7" t="n">
        <f aca="false">CF!J17/(Seg!J29-Thesis!J25)</f>
        <v>0.0640873955995062</v>
      </c>
      <c r="K20318" s="7" t="n">
        <f aca="false">CF!K17/(Seg!K29-Thesis!K25)</f>
        <v>0.0653962234835198</v>
      </c>
    </row>
    <row r="20319" customFormat="false" ht="17.15" hidden="false" customHeight="false" outlineLevel="0" collapsed="false">
      <c r="A20319" s="0" t="s">
        <v>1231</v>
      </c>
      <c r="B20319" s="0" t="s">
        <v>98</v>
      </c>
      <c r="F20319" s="6" t="n">
        <f aca="false">Seg!F14*(al_m365+Sens!F20318+sbc_r)</f>
        <v>84.5213906545575</v>
      </c>
      <c r="G20319" s="6" t="n">
        <f aca="false">Seg!G14*(al_m365+Sens!G20318+sbc_r)</f>
        <v>98.949983331796</v>
      </c>
      <c r="H20319" s="6" t="n">
        <f aca="false">Seg!H14*(al_m365+Sens!H20318+sbc_r)</f>
        <v>113.543734275326</v>
      </c>
      <c r="I20319" s="6" t="n">
        <f aca="false">Seg!I14*(al_m365+Sens!I20318+sbc_r)</f>
        <v>126.62058838692</v>
      </c>
      <c r="J20319" s="6" t="n">
        <f aca="false">Seg!J14*(al_m365+Sens!J20318+sbc_r)</f>
        <v>137.994660156303</v>
      </c>
      <c r="K20319" s="6" t="n">
        <f aca="false">Seg!K14*(al_m365+Sens!K20318+sbc_r)</f>
        <v>148.989224092997</v>
      </c>
      <c r="L20319" s="12" t="s">
        <v>1232</v>
      </c>
    </row>
    <row r="20320" customFormat="false" ht="17.15" hidden="false" customHeight="false" outlineLevel="0" collapsed="false">
      <c r="A20320" s="0" t="s">
        <v>1233</v>
      </c>
      <c r="B20320" s="0" t="s">
        <v>98</v>
      </c>
      <c r="F20320" s="6" t="n">
        <f aca="false">Seg!F15*(al_lic+Sens!F20318+sbc_r)</f>
        <v>32.855200196554</v>
      </c>
      <c r="G20320" s="6" t="n">
        <f aca="false">Seg!G15*(al_lic+Sens!G20318+sbc_r)</f>
        <v>34.1185582613282</v>
      </c>
      <c r="H20320" s="6" t="n">
        <f aca="false">Seg!H15*(al_lic+Sens!H20318+sbc_r)</f>
        <v>35.3024309363621</v>
      </c>
      <c r="I20320" s="6" t="n">
        <f aca="false">Seg!I15*(al_lic+Sens!I20318+sbc_r)</f>
        <v>36.3898468129533</v>
      </c>
      <c r="J20320" s="6" t="n">
        <f aca="false">Seg!J15*(al_lic+Sens!J20318+sbc_r)</f>
        <v>37.3529129529876</v>
      </c>
      <c r="K20320" s="6" t="n">
        <f aca="false">Seg!K15*(al_lic+Sens!K20318+sbc_r)</f>
        <v>38.158536171203</v>
      </c>
    </row>
    <row r="20321" customFormat="false" ht="17.15" hidden="false" customHeight="false" outlineLevel="0" collapsed="false">
      <c r="A20321" s="0" t="s">
        <v>1234</v>
      </c>
      <c r="B20321" s="0" t="s">
        <v>98</v>
      </c>
      <c r="F20321" s="6" t="n">
        <f aca="false">Seg!F17*(al_ind+Sens!F20318+sbc_r)</f>
        <v>9.05892547956683</v>
      </c>
      <c r="G20321" s="6" t="n">
        <f aca="false">Seg!G17*(al_ind+Sens!G20318+sbc_r)</f>
        <v>9.82456487622418</v>
      </c>
      <c r="H20321" s="6" t="n">
        <f aca="false">Seg!H17*(al_ind+Sens!H20318+sbc_r)</f>
        <v>10.6377408477959</v>
      </c>
      <c r="I20321" s="6" t="n">
        <f aca="false">Seg!I17*(al_ind+Sens!I20318+sbc_r)</f>
        <v>11.4966323260293</v>
      </c>
      <c r="J20321" s="6" t="n">
        <f aca="false">Seg!J17*(al_ind+Sens!J20318+sbc_r)</f>
        <v>12.3903660286279</v>
      </c>
      <c r="K20321" s="6" t="n">
        <f aca="false">Seg!K17*(al_ind+Sens!K20318+sbc_r)</f>
        <v>13.3009129057681</v>
      </c>
    </row>
    <row r="20322" customFormat="false" ht="17.15" hidden="false" customHeight="false" outlineLevel="0" collapsed="false">
      <c r="A20322" s="0" t="s">
        <v>1235</v>
      </c>
      <c r="B20322" s="0" t="s">
        <v>98</v>
      </c>
      <c r="F20322" s="6" t="n">
        <f aca="false">Seg!F19*(al_fro+Sens!F20318+sbc_r)</f>
        <v>3.55344443532423</v>
      </c>
      <c r="G20322" s="6" t="n">
        <f aca="false">Seg!G19*(al_fro+Sens!G20318+sbc_r)</f>
        <v>3.75916645971565</v>
      </c>
      <c r="H20322" s="6" t="n">
        <f aca="false">Seg!H19*(al_fro+Sens!H20318+sbc_r)</f>
        <v>3.994970960527</v>
      </c>
      <c r="I20322" s="6" t="n">
        <f aca="false">Seg!I19*(al_fro+Sens!I20318+sbc_r)</f>
        <v>4.26396270432353</v>
      </c>
      <c r="J20322" s="6" t="n">
        <f aca="false">Seg!J19*(al_fro+Sens!J20318+sbc_r)</f>
        <v>4.5667795874336</v>
      </c>
      <c r="K20322" s="6" t="n">
        <f aca="false">Seg!K19*(al_fro+Sens!K20318+sbc_r)</f>
        <v>4.90238443416026</v>
      </c>
    </row>
    <row r="20323" customFormat="false" ht="17.15" hidden="false" customHeight="false" outlineLevel="0" collapsed="false">
      <c r="A20323" s="0" t="s">
        <v>1236</v>
      </c>
      <c r="B20323" s="0" t="s">
        <v>98</v>
      </c>
      <c r="F20323" s="6" t="n">
        <f aca="false">Seg!F22*(al_srch+Sens!F20318+sbc_r)</f>
        <v>11.1872483445711</v>
      </c>
      <c r="G20323" s="6" t="n">
        <f aca="false">Seg!G22*(al_srch+Sens!G20318+sbc_r)</f>
        <v>12.247246048296</v>
      </c>
      <c r="H20323" s="6" t="n">
        <f aca="false">Seg!H22*(al_srch+Sens!H20318+sbc_r)</f>
        <v>13.3552870946193</v>
      </c>
      <c r="I20323" s="6" t="n">
        <f aca="false">Seg!I22*(al_srch+Sens!I20318+sbc_r)</f>
        <v>14.5024145321619</v>
      </c>
      <c r="J20323" s="6" t="n">
        <f aca="false">Seg!J22*(al_srch+Sens!J20318+sbc_r)</f>
        <v>15.667276660652</v>
      </c>
      <c r="K20323" s="6" t="n">
        <f aca="false">Seg!K22*(al_srch+Sens!K20318+sbc_r)</f>
        <v>16.8186381138719</v>
      </c>
    </row>
    <row r="20324" customFormat="false" ht="17.15" hidden="false" customHeight="false" outlineLevel="0" collapsed="false">
      <c r="A20324" s="0" t="s">
        <v>1237</v>
      </c>
      <c r="B20324" s="0" t="s">
        <v>98</v>
      </c>
      <c r="F20324" s="6" t="n">
        <f aca="false">Thesis!F31-Thesis!F32+Thesis!F47</f>
        <v>45.3782580567763</v>
      </c>
      <c r="G20324" s="6" t="n">
        <f aca="false">Thesis!G31-Thesis!G32+Thesis!G47</f>
        <v>91.0863367558165</v>
      </c>
      <c r="H20324" s="6" t="n">
        <f aca="false">Thesis!H31-Thesis!H32+Thesis!H47</f>
        <v>144.617532464853</v>
      </c>
      <c r="I20324" s="6" t="n">
        <f aca="false">Thesis!I31-Thesis!I32+Thesis!I47</f>
        <v>187.137304561304</v>
      </c>
      <c r="J20324" s="6" t="n">
        <f aca="false">Thesis!J31-Thesis!J32+Thesis!J47</f>
        <v>217.006854425907</v>
      </c>
      <c r="K20324" s="6" t="n">
        <f aca="false">Thesis!K31-Thesis!K32+Thesis!K47</f>
        <v>234.933637903877</v>
      </c>
    </row>
    <row r="20325" customFormat="false" ht="17.15" hidden="false" customHeight="false" outlineLevel="0" collapsed="false">
      <c r="A20325" s="0" t="s">
        <v>1238</v>
      </c>
      <c r="B20325" s="0" t="s">
        <v>98</v>
      </c>
      <c r="F20325" s="6" t="n">
        <f aca="false">PL!F32+Thesis!F47+Thesis!F43+Sens!F20318*(Seg!F21-Thesis!F25)+sbc_r*Seg!F21</f>
        <v>240.818167741339</v>
      </c>
      <c r="G20325" s="6" t="n">
        <f aca="false">PL!G32+Thesis!G47+Thesis!G43+Sens!G20318*(Seg!G21-Thesis!G25)+sbc_r*Seg!G21</f>
        <v>311.917784140952</v>
      </c>
      <c r="H20325" s="6" t="n">
        <f aca="false">PL!H32+Thesis!H47+Thesis!H43+Sens!H20318*(Seg!H21-Thesis!H25)+sbc_r*Seg!H21</f>
        <v>395.486245683473</v>
      </c>
      <c r="I20325" s="6" t="n">
        <f aca="false">PL!I32+Thesis!I47+Thesis!I43+Sens!I20318*(Seg!I21-Thesis!I25)+sbc_r*Seg!I21</f>
        <v>465.950805948377</v>
      </c>
      <c r="J20325" s="6" t="n">
        <f aca="false">PL!J32+Thesis!J47+Thesis!J43+Sens!J20318*(Seg!J21-Thesis!J25)+sbc_r*Seg!J21</f>
        <v>520.78677388057</v>
      </c>
      <c r="K20325" s="6" t="n">
        <f aca="false">PL!K32+Thesis!K47+Thesis!K43+Sens!K20318*(Seg!K21-Thesis!K25)+sbc_r*Seg!K21</f>
        <v>561.2469767412</v>
      </c>
    </row>
    <row r="20326" customFormat="false" ht="17.15" hidden="false" customHeight="false" outlineLevel="0" collapsed="false">
      <c r="A20326" s="0" t="s">
        <v>1239</v>
      </c>
      <c r="B20326" s="0" t="s">
        <v>98</v>
      </c>
      <c r="F20326" s="6" t="n">
        <f aca="false">Sens!F20325-Sens!F20319-Sens!F20320-Sens!F20321-Sens!F20322-Sens!F20324</f>
        <v>65.4509489185601</v>
      </c>
      <c r="G20326" s="6" t="n">
        <f aca="false">Sens!G20325-Sens!G20319-Sens!G20320-Sens!G20321-Sens!G20322-Sens!G20324</f>
        <v>74.1791744560715</v>
      </c>
      <c r="H20326" s="6" t="n">
        <f aca="false">Sens!H20325-Sens!H20319-Sens!H20320-Sens!H20321-Sens!H20322-Sens!H20324</f>
        <v>87.3898361986086</v>
      </c>
      <c r="I20326" s="6" t="n">
        <f aca="false">Sens!I20325-Sens!I20319-Sens!I20320-Sens!I20321-Sens!I20322-Sens!I20324</f>
        <v>100.042471156846</v>
      </c>
      <c r="J20326" s="6" t="n">
        <f aca="false">Sens!J20325-Sens!J20319-Sens!J20320-Sens!J20321-Sens!J20322-Sens!J20324</f>
        <v>111.475200729312</v>
      </c>
      <c r="K20326" s="6" t="n">
        <f aca="false">Sens!K20325-Sens!K20319-Sens!K20320-Sens!K20321-Sens!K20322-Sens!K20324</f>
        <v>120.962281233195</v>
      </c>
    </row>
    <row r="20327" customFormat="false" ht="17.15" hidden="false" customHeight="false" outlineLevel="0" collapsed="false">
      <c r="A20327" s="0" t="s">
        <v>1240</v>
      </c>
      <c r="B20327" s="0" t="s">
        <v>98</v>
      </c>
      <c r="F20327" s="6" t="n">
        <f aca="false">PL!F34+Sens!F20318*Seg!F28+sbc_r*Seg!F28</f>
        <v>26.6293388420472</v>
      </c>
      <c r="G20327" s="6" t="n">
        <f aca="false">PL!G34+Sens!G20318*Seg!G28+sbc_r*Seg!G28</f>
        <v>26.4405000412783</v>
      </c>
      <c r="H20327" s="6" t="n">
        <f aca="false">PL!H34+Sens!H20318*Seg!H28+sbc_r*Seg!H28</f>
        <v>27.296860059552</v>
      </c>
      <c r="I20327" s="6" t="n">
        <f aca="false">PL!I34+Sens!I20318*Seg!I28+sbc_r*Seg!I28</f>
        <v>28.3995465815703</v>
      </c>
      <c r="J20327" s="6" t="n">
        <f aca="false">PL!J34+Sens!J20318*Seg!J28+sbc_r*Seg!J28</f>
        <v>29.7093380975903</v>
      </c>
      <c r="K20327" s="6" t="n">
        <f aca="false">PL!K34+Sens!K20318*Seg!K28+sbc_r*Seg!K28</f>
        <v>31.1817775287323</v>
      </c>
    </row>
    <row r="20328" customFormat="false" ht="17.15" hidden="false" customHeight="false" outlineLevel="0" collapsed="false">
      <c r="A20328" s="0" t="s">
        <v>1241</v>
      </c>
      <c r="B20328" s="0" t="s">
        <v>98</v>
      </c>
      <c r="F20328" s="6" t="n">
        <f aca="false">(Sens!F20327-Sens!F20323)*Seg!F24/(Seg!F24+Seg!F26)</f>
        <v>8.72146908842971</v>
      </c>
      <c r="G20328" s="6" t="n">
        <f aca="false">(Sens!G20327-Sens!G20323)*Seg!G24/(Seg!G24+Seg!G26)</f>
        <v>7.87837655379173</v>
      </c>
      <c r="H20328" s="6" t="n">
        <f aca="false">(Sens!H20327-Sens!H20323)*Seg!H24/(Seg!H24+Seg!H26)</f>
        <v>7.63786170689933</v>
      </c>
      <c r="I20328" s="6" t="n">
        <f aca="false">(Sens!I20327-Sens!I20323)*Seg!I24/(Seg!I24+Seg!I26)</f>
        <v>7.5470606300581</v>
      </c>
      <c r="J20328" s="6" t="n">
        <f aca="false">(Sens!J20327-Sens!J20323)*Seg!J24/(Seg!J24+Seg!J26)</f>
        <v>7.59249600034024</v>
      </c>
      <c r="K20328" s="6" t="n">
        <f aca="false">(Sens!K20327-Sens!K20323)*Seg!K24/(Seg!K24+Seg!K26)</f>
        <v>7.76610179704742</v>
      </c>
    </row>
    <row r="20329" customFormat="false" ht="17.15" hidden="false" customHeight="false" outlineLevel="0" collapsed="false">
      <c r="A20329" s="0" t="s">
        <v>1242</v>
      </c>
      <c r="B20329" s="0" t="s">
        <v>98</v>
      </c>
      <c r="F20329" s="6" t="n">
        <f aca="false">Sens!F20327-Sens!F20323-Sens!F20328</f>
        <v>6.72062140904636</v>
      </c>
      <c r="G20329" s="6" t="n">
        <f aca="false">Sens!G20327-Sens!G20323-Sens!G20328</f>
        <v>6.31487743919059</v>
      </c>
      <c r="H20329" s="6" t="n">
        <f aca="false">Sens!H20327-Sens!H20323-Sens!H20328</f>
        <v>6.30371125803333</v>
      </c>
      <c r="I20329" s="6" t="n">
        <f aca="false">Sens!I20327-Sens!I20323-Sens!I20328</f>
        <v>6.35007141935025</v>
      </c>
      <c r="J20329" s="6" t="n">
        <f aca="false">Sens!J20327-Sens!J20323-Sens!J20328</f>
        <v>6.44956543659808</v>
      </c>
      <c r="K20329" s="6" t="n">
        <f aca="false">Sens!K20327-Sens!K20323-Sens!K20328</f>
        <v>6.597037617813</v>
      </c>
    </row>
    <row r="20330" customFormat="false" ht="17.15" hidden="false" customHeight="false" outlineLevel="0" collapsed="false">
      <c r="A20330" s="0" t="s">
        <v>1243</v>
      </c>
      <c r="B20330" s="0" t="s">
        <v>98</v>
      </c>
      <c r="F20330" s="6" t="n">
        <f aca="false">Sens!F20324-tax_f*(Sens!F20324-Thesis!F43)-Thesis!F40</f>
        <v>-125.235434701028</v>
      </c>
      <c r="G20330" s="6" t="n">
        <f aca="false">Sens!G20324-tax_f*(Sens!G20324-Thesis!G43)-Thesis!G40</f>
        <v>-106.928508113935</v>
      </c>
      <c r="H20330" s="6" t="n">
        <f aca="false">Sens!H20324-tax_f*(Sens!H20324-Thesis!H43)-Thesis!H40</f>
        <v>-63.2919599603405</v>
      </c>
      <c r="I20330" s="6" t="n">
        <f aca="false">Sens!I20324-tax_f*(Sens!I20324-Thesis!I43)-Thesis!I40</f>
        <v>3.94121196634245</v>
      </c>
      <c r="J20330" s="6" t="n">
        <f aca="false">Sens!J20324-tax_f*(Sens!J20324-Thesis!J43)-Thesis!J40</f>
        <v>71.0786869547042</v>
      </c>
      <c r="K20330" s="6" t="n">
        <f aca="false">Sens!K20324-tax_f*(Sens!K20324-Thesis!K43)-Thesis!K40</f>
        <v>97.5865911685559</v>
      </c>
    </row>
    <row r="20331" customFormat="false" ht="17.15" hidden="false" customHeight="false" outlineLevel="0" collapsed="false">
      <c r="A20331" s="0" t="s">
        <v>1244</v>
      </c>
      <c r="B20331" s="0" t="s">
        <v>98</v>
      </c>
      <c r="G20331" s="6" t="n">
        <f aca="false">Sens!G20330/(1+wacc)^(Sens!G20301-Sens!F20302)</f>
        <v>-101.81651667568</v>
      </c>
      <c r="H20331" s="6" t="n">
        <f aca="false">Sens!H20330/(1+wacc)^(Sens!H20301-Sens!F20302)</f>
        <v>-54.6415143556151</v>
      </c>
      <c r="I20331" s="6" t="n">
        <f aca="false">Sens!I20330/(1+wacc)^(Sens!I20301-Sens!F20302)</f>
        <v>3.08498765169516</v>
      </c>
      <c r="J20331" s="6" t="n">
        <f aca="false">Sens!J20330/(1+wacc)^(Sens!J20301-Sens!F20302)</f>
        <v>50.4443451596971</v>
      </c>
      <c r="K20331" s="6" t="n">
        <f aca="false">Sens!K20330/(1+wacc)^(Sens!K20301-Sens!F20302)</f>
        <v>62.7932114544856</v>
      </c>
      <c r="L20331" s="1" t="s">
        <v>1245</v>
      </c>
    </row>
    <row r="20332" customFormat="false" ht="17.15" hidden="false" customHeight="false" outlineLevel="0" collapsed="false">
      <c r="A20332" s="0" t="s">
        <v>1246</v>
      </c>
      <c r="B20332" s="0" t="s">
        <v>98</v>
      </c>
      <c r="C20332" s="6" t="n">
        <f aca="false">(Sens!K20324-Thesis!K43)*(1-tax_f)*(1+g_tv)*(1-g_tv/(wacc+ronic_prem))/(wacc-g_tv)/(1+wacc)^(Sens!K20302-Sens!F20302)</f>
        <v>450.836735002813</v>
      </c>
    </row>
    <row r="20333" customFormat="false" ht="17.15" hidden="false" customHeight="false" outlineLevel="0" collapsed="false">
      <c r="A20333" s="1" t="s">
        <v>1247</v>
      </c>
      <c r="B20333" s="0" t="s">
        <v>98</v>
      </c>
      <c r="C20333" s="6" t="n">
        <f aca="false">(SUM(Sens!G20331:K20331)+Sens!$C$20332)*(1+wacc)^(t_roll-Sens!F20302)</f>
        <v>424.259738494477</v>
      </c>
      <c r="L20333" s="12" t="s">
        <v>1248</v>
      </c>
    </row>
    <row r="20334" customFormat="false" ht="17.15" hidden="false" customHeight="false" outlineLevel="0" collapsed="false">
      <c r="A20334" s="1" t="s">
        <v>1249</v>
      </c>
      <c r="B20334" s="0" t="s">
        <v>98</v>
      </c>
      <c r="C20334" s="6" t="n">
        <f aca="false">(w_ntm28*Thesis!G31+(1-w_ntm28)*Thesis!H31)*m_ai</f>
        <v>563.316843258668</v>
      </c>
    </row>
    <row r="20335" customFormat="false" ht="17.15" hidden="false" customHeight="false" outlineLevel="0" collapsed="false">
      <c r="A20335" s="1" t="s">
        <v>1250</v>
      </c>
      <c r="B20335" s="0" t="s">
        <v>98</v>
      </c>
      <c r="C20335" s="6" t="n">
        <f aca="false">(w_ntm28*Sens!G20326+(1-w_ntm28)*Sens!H20326)*m_cloud</f>
        <v>1085.17964696599</v>
      </c>
    </row>
    <row r="20336" customFormat="false" ht="17.15" hidden="false" customHeight="false" outlineLevel="0" collapsed="false">
      <c r="A20336" s="1" t="s">
        <v>1251</v>
      </c>
      <c r="B20336" s="0" t="s">
        <v>98</v>
      </c>
      <c r="C20336" s="6" t="n">
        <f aca="false">(w_ntm28*Sens!G20319+(1-w_ntm28)*Sens!H20319)*m_sw</f>
        <v>1120.47763155275</v>
      </c>
    </row>
    <row r="20337" customFormat="false" ht="17.15" hidden="false" customHeight="false" outlineLevel="0" collapsed="false">
      <c r="A20337" s="1" t="s">
        <v>1252</v>
      </c>
      <c r="B20337" s="0" t="s">
        <v>98</v>
      </c>
      <c r="C20337" s="6" t="n">
        <f aca="false">(w_ntm28*Sens!G20320+(1-w_ntm28)*Sens!H20320)*m_sw</f>
        <v>372.68398809041</v>
      </c>
    </row>
    <row r="20338" customFormat="false" ht="17.15" hidden="false" customHeight="false" outlineLevel="0" collapsed="false">
      <c r="A20338" s="1" t="s">
        <v>1253</v>
      </c>
      <c r="B20338" s="0" t="s">
        <v>98</v>
      </c>
      <c r="C20338" s="6" t="n">
        <f aca="false">(w_ntm28*Sens!G20321+(1-w_ntm28)*Sens!H20321)*m_sw</f>
        <v>108.992632332144</v>
      </c>
    </row>
    <row r="20339" customFormat="false" ht="17.15" hidden="false" customHeight="false" outlineLevel="0" collapsed="false">
      <c r="A20339" s="1" t="s">
        <v>1254</v>
      </c>
      <c r="B20339" s="0" t="s">
        <v>98</v>
      </c>
      <c r="C20339" s="6" t="n">
        <f aca="false">(w_ntm28*Sens!G20322+(1-w_ntm28)*Sens!H20322)*m_sw</f>
        <v>41.4362652527414</v>
      </c>
    </row>
    <row r="20340" customFormat="false" ht="17.15" hidden="false" customHeight="false" outlineLevel="0" collapsed="false">
      <c r="A20340" s="1" t="s">
        <v>1255</v>
      </c>
      <c r="B20340" s="0" t="s">
        <v>98</v>
      </c>
      <c r="C20340" s="6" t="n">
        <f aca="false">(w_ntm28*Sens!G20323+(1-w_ntm28)*Sens!H20323)*m_ads</f>
        <v>114.891070326937</v>
      </c>
    </row>
    <row r="20341" customFormat="false" ht="17.15" hidden="false" customHeight="false" outlineLevel="0" collapsed="false">
      <c r="A20341" s="1" t="s">
        <v>1256</v>
      </c>
      <c r="B20341" s="0" t="s">
        <v>98</v>
      </c>
      <c r="C20341" s="6" t="n">
        <f aca="false">(w_ntm28*Sens!G20328+(1-w_ntm28)*Sens!H20328)*m_game</f>
        <v>98.505199156718</v>
      </c>
    </row>
    <row r="20342" customFormat="false" ht="17.15" hidden="false" customHeight="false" outlineLevel="0" collapsed="false">
      <c r="A20342" s="1" t="s">
        <v>1257</v>
      </c>
      <c r="B20342" s="0" t="s">
        <v>98</v>
      </c>
      <c r="C20342" s="6" t="n">
        <f aca="false">(w_ntm28*Sens!G20329+(1-w_ntm28)*Sens!H20329)*m_pc</f>
        <v>91.3231561150564</v>
      </c>
    </row>
    <row r="20343" customFormat="false" ht="17.15" hidden="false" customHeight="false" outlineLevel="0" collapsed="false">
      <c r="A20343" s="1" t="s">
        <v>1258</v>
      </c>
      <c r="B20343" s="0" t="s">
        <v>98</v>
      </c>
      <c r="C20343" s="6" t="n">
        <f aca="false">Sens!$C$20333+Sens!$C$20335+Sens!$C$20336+Sens!$C$20337+Sens!$C$20338+Sens!$C$20339+Sens!$C$20340+Sens!$C$20341+Sens!$C$20342</f>
        <v>3457.74932828722</v>
      </c>
    </row>
    <row r="20344" customFormat="false" ht="17.15" hidden="false" customHeight="false" outlineLevel="0" collapsed="false">
      <c r="A20344" s="1" t="s">
        <v>1259</v>
      </c>
      <c r="B20344" s="0" t="s">
        <v>98</v>
      </c>
      <c r="C20344" s="6" t="n">
        <f aca="false">(Sens!G20305-Sens!G20330)*t_stub</f>
        <v>48.2832931160316</v>
      </c>
      <c r="L20344" s="1" t="s">
        <v>1260</v>
      </c>
    </row>
    <row r="20345" customFormat="false" ht="17.15" hidden="false" customHeight="false" outlineLevel="0" collapsed="false">
      <c r="A20345" s="1" t="s">
        <v>1169</v>
      </c>
      <c r="B20345" s="0" t="s">
        <v>98</v>
      </c>
      <c r="C20345" s="6" t="n">
        <f aca="false">CF!F39+(oai_stake_hi*oai_val*(1-liq_disc))-CF!F28+Sens!$C$20344</f>
        <v>182.959563116032</v>
      </c>
      <c r="L20345" s="1" t="s">
        <v>1261</v>
      </c>
    </row>
    <row r="20346" customFormat="false" ht="17.15" hidden="false" customHeight="false" outlineLevel="0" collapsed="false">
      <c r="A20346" s="1" t="s">
        <v>1262</v>
      </c>
      <c r="B20346" s="0" t="s">
        <v>75</v>
      </c>
      <c r="C20346" s="5" t="n">
        <f aca="false">(Sens!$C$20343+Sens!$C$20345)/(CF!F41+dil_gap)-CF!G31*roll_div_q/q_per_yr</f>
        <v>485.01923209547</v>
      </c>
      <c r="L20346" s="1" t="s">
        <v>1263</v>
      </c>
    </row>
    <row r="20347" customFormat="false" ht="17.15" hidden="false" customHeight="false" outlineLevel="0" collapsed="false">
      <c r="A20347" s="1" t="s">
        <v>1264</v>
      </c>
      <c r="B20347" s="0" t="s">
        <v>75</v>
      </c>
      <c r="C20347" s="5" t="n">
        <f aca="false">w_dcf*Sens!$C$20317+(1-w_dcf)*Sens!$C$20346</f>
        <v>426.13909961928</v>
      </c>
    </row>
    <row r="20348" customFormat="false" ht="17.15" hidden="false" customHeight="false" outlineLevel="0" collapsed="false">
      <c r="A20348" s="3" t="s">
        <v>1981</v>
      </c>
    </row>
    <row r="20349" customFormat="false" ht="15" hidden="false" customHeight="false" outlineLevel="0" collapsed="false">
      <c r="A20349" s="4" t="s">
        <v>43</v>
      </c>
      <c r="B20349" s="4" t="s">
        <v>65</v>
      </c>
      <c r="C20349" s="23" t="s">
        <v>938</v>
      </c>
      <c r="D20349" s="23" t="s">
        <v>939</v>
      </c>
      <c r="E20349" s="23" t="s">
        <v>940</v>
      </c>
      <c r="F20349" s="23" t="s">
        <v>941</v>
      </c>
      <c r="G20349" s="23" t="s">
        <v>942</v>
      </c>
      <c r="H20349" s="23" t="s">
        <v>943</v>
      </c>
      <c r="I20349" s="23" t="s">
        <v>944</v>
      </c>
      <c r="J20349" s="23" t="s">
        <v>945</v>
      </c>
      <c r="K20349" s="23" t="s">
        <v>946</v>
      </c>
      <c r="L20349" s="4" t="s">
        <v>47</v>
      </c>
    </row>
    <row r="20350" customFormat="false" ht="17.15" hidden="false" customHeight="false" outlineLevel="0" collapsed="false">
      <c r="A20350" s="1" t="s">
        <v>1212</v>
      </c>
      <c r="B20350" s="1" t="s">
        <v>279</v>
      </c>
      <c r="F20350" s="8" t="n">
        <f aca="false">(1-v_off)*mid_yr</f>
        <v>0.373972602739726</v>
      </c>
      <c r="G20350" s="8" t="n">
        <f aca="false">Thesis!G58-base_fy-mid_yr-v_off</f>
        <v>1.24794520547945</v>
      </c>
      <c r="H20350" s="8" t="n">
        <f aca="false">Thesis!H58-base_fy-mid_yr-v_off</f>
        <v>2.24794520547945</v>
      </c>
      <c r="I20350" s="8" t="n">
        <f aca="false">Thesis!I58-base_fy-mid_yr-v_off</f>
        <v>3.24794520547945</v>
      </c>
      <c r="J20350" s="8" t="n">
        <f aca="false">Thesis!J58-base_fy-mid_yr-v_off</f>
        <v>4.24794520547945</v>
      </c>
      <c r="K20350" s="8" t="n">
        <f aca="false">Thesis!K58-base_fy-mid_yr-v_off</f>
        <v>5.24794520547945</v>
      </c>
      <c r="L20350" s="12" t="s">
        <v>1213</v>
      </c>
    </row>
    <row r="20351" customFormat="false" ht="15" hidden="false" customHeight="false" outlineLevel="0" collapsed="false">
      <c r="A20351" s="1" t="s">
        <v>1214</v>
      </c>
      <c r="B20351" s="1" t="s">
        <v>279</v>
      </c>
      <c r="F20351" s="8" t="n">
        <f aca="false">Thesis!F58-base_fy-v_off</f>
        <v>0.747945205479452</v>
      </c>
      <c r="G20351" s="8" t="n">
        <f aca="false">Thesis!G58-base_fy-v_off</f>
        <v>1.74794520547945</v>
      </c>
      <c r="H20351" s="8" t="n">
        <f aca="false">Thesis!H58-base_fy-v_off</f>
        <v>2.74794520547945</v>
      </c>
      <c r="I20351" s="8" t="n">
        <f aca="false">Thesis!I58-base_fy-v_off</f>
        <v>3.74794520547945</v>
      </c>
      <c r="J20351" s="8" t="n">
        <f aca="false">Thesis!J58-base_fy-v_off</f>
        <v>4.74794520547945</v>
      </c>
      <c r="K20351" s="8" t="n">
        <f aca="false">Thesis!K58-base_fy-v_off</f>
        <v>5.74794520547945</v>
      </c>
    </row>
    <row r="20352" customFormat="false" ht="15" hidden="false" customHeight="false" outlineLevel="0" collapsed="false">
      <c r="A20352" s="1" t="s">
        <v>1215</v>
      </c>
      <c r="B20352" s="0" t="s">
        <v>229</v>
      </c>
      <c r="F20352" s="15" t="n">
        <f aca="false">1/(1+wacc)^Sens!F20350</f>
        <v>0.964022703286649</v>
      </c>
      <c r="G20352" s="15" t="n">
        <f aca="false">1/(1+wacc)^Sens!G20350</f>
        <v>0.884910302296739</v>
      </c>
      <c r="H20352" s="15" t="n">
        <f aca="false">1/(1+wacc)^Sens!H20350</f>
        <v>0.802322009770358</v>
      </c>
      <c r="I20352" s="15" t="n">
        <f aca="false">1/(1+wacc)^Sens!I20350</f>
        <v>0.727441646561469</v>
      </c>
      <c r="J20352" s="15" t="n">
        <f aca="false">1/(1+wacc)^Sens!J20350</f>
        <v>0.659549834988973</v>
      </c>
      <c r="K20352" s="15" t="n">
        <f aca="false">1/(1+wacc)^Sens!K20350</f>
        <v>0.597994336576966</v>
      </c>
    </row>
    <row r="20353" customFormat="false" ht="17.15" hidden="false" customHeight="false" outlineLevel="0" collapsed="false">
      <c r="A20353" s="1" t="s">
        <v>1216</v>
      </c>
      <c r="B20353" s="0" t="s">
        <v>98</v>
      </c>
      <c r="F20353" s="6" t="n">
        <f aca="false">Q!$I$35-Q!$I$39-Q!$I$43</f>
        <v>9.666</v>
      </c>
      <c r="L20353" s="12" t="s">
        <v>1217</v>
      </c>
    </row>
    <row r="20354" customFormat="false" ht="17.15" hidden="false" customHeight="false" outlineLevel="0" collapsed="false">
      <c r="A20354" s="1" t="s">
        <v>1218</v>
      </c>
      <c r="B20354" s="0" t="s">
        <v>98</v>
      </c>
      <c r="F20354" s="6" t="n">
        <f aca="false">CF!F55-CF!F52-CF!F59+Thesis!F99*(1-tax_f)*(1-v_off)-Sens!F20353</f>
        <v>-3.35959137570949</v>
      </c>
      <c r="G20354" s="6" t="n">
        <f aca="false">CF!G55-CF!G52-CF!G59+Thesis!G99*(1-tax_f)</f>
        <v>29.8084555066036</v>
      </c>
      <c r="H20354" s="6" t="n">
        <f aca="false">CF!H55-CF!H52-CF!H59+Thesis!H99*(1-tax_f)</f>
        <v>79.3231801478051</v>
      </c>
      <c r="I20354" s="6" t="n">
        <f aca="false">CF!I55-CF!I52-CF!I59+Thesis!I99*(1-tax_f)</f>
        <v>157.29132812061</v>
      </c>
      <c r="J20354" s="6" t="n">
        <f aca="false">CF!J55-CF!J52-CF!J59+Thesis!J99*(1-tax_f)</f>
        <v>235.537601843622</v>
      </c>
      <c r="K20354" s="6" t="n">
        <f aca="false">CF!K55-CF!K52-CF!K59+Thesis!K99*(1-tax_f)</f>
        <v>273.705067207806</v>
      </c>
      <c r="L20354" s="1" t="s">
        <v>1219</v>
      </c>
    </row>
    <row r="20355" customFormat="false" ht="15" hidden="false" customHeight="false" outlineLevel="0" collapsed="false">
      <c r="A20355" s="1" t="s">
        <v>1220</v>
      </c>
      <c r="B20355" s="0" t="s">
        <v>98</v>
      </c>
      <c r="F20355" s="6" t="n">
        <f aca="false">Sens!F20354*Sens!F20352</f>
        <v>-3.23872235994998</v>
      </c>
      <c r="G20355" s="6" t="n">
        <f aca="false">Sens!G20354*Sens!G20352</f>
        <v>26.3778093733475</v>
      </c>
      <c r="H20355" s="6" t="n">
        <f aca="false">Sens!H20354*Sens!H20352</f>
        <v>63.6427333175632</v>
      </c>
      <c r="I20355" s="6" t="n">
        <f aca="false">Sens!I20354*Sens!I20352</f>
        <v>114.420262717897</v>
      </c>
      <c r="J20355" s="6" t="n">
        <f aca="false">Sens!J20354*Sens!J20352</f>
        <v>155.348786429659</v>
      </c>
      <c r="K20355" s="6" t="n">
        <f aca="false">Sens!K20354*Sens!K20352</f>
        <v>163.674080082686</v>
      </c>
    </row>
    <row r="20356" customFormat="false" ht="17.15" hidden="false" customHeight="false" outlineLevel="0" collapsed="false">
      <c r="A20356" s="1" t="s">
        <v>1221</v>
      </c>
      <c r="B20356" s="0" t="s">
        <v>98</v>
      </c>
      <c r="C20356" s="6" t="n">
        <f aca="false">SUM(Sens!F20355:K20355)</f>
        <v>520.224949561203</v>
      </c>
    </row>
    <row r="20357" customFormat="false" ht="17.15" hidden="false" customHeight="false" outlineLevel="0" collapsed="false">
      <c r="A20357" s="1" t="s">
        <v>1222</v>
      </c>
      <c r="B20357" s="0" t="s">
        <v>98</v>
      </c>
      <c r="C20357" s="6" t="n">
        <f aca="false">PL!K78*(1+g_tv)*(1-tax_f)</f>
        <v>284.979534119394</v>
      </c>
    </row>
    <row r="20358" customFormat="false" ht="17.15" hidden="false" customHeight="false" outlineLevel="0" collapsed="false">
      <c r="A20358" s="1" t="s">
        <v>1223</v>
      </c>
      <c r="B20358" s="0" t="s">
        <v>98</v>
      </c>
      <c r="C20358" s="6" t="n">
        <f aca="false">Sens!$C$20357*(1-g_tv/(wacc+ronic_prem))</f>
        <v>201.924655916751</v>
      </c>
    </row>
    <row r="20359" customFormat="false" ht="17.15" hidden="false" customHeight="false" outlineLevel="0" collapsed="false">
      <c r="A20359" s="1" t="s">
        <v>1224</v>
      </c>
      <c r="B20359" s="0" t="s">
        <v>98</v>
      </c>
      <c r="C20359" s="6" t="n">
        <f aca="false">Sens!$C$20358/(wacc-g_tv)</f>
        <v>2768.49594008808</v>
      </c>
    </row>
    <row r="20360" customFormat="false" ht="15" hidden="false" customHeight="false" outlineLevel="0" collapsed="false">
      <c r="A20360" s="1" t="s">
        <v>1225</v>
      </c>
      <c r="B20360" s="0" t="s">
        <v>98</v>
      </c>
      <c r="C20360" s="6" t="n">
        <f aca="false">Sens!$C$20359/(1+wacc)^Sens!K20351</f>
        <v>1576.39732546142</v>
      </c>
    </row>
    <row r="20361" customFormat="false" ht="17.15" hidden="false" customHeight="false" outlineLevel="0" collapsed="false">
      <c r="A20361" s="0" t="s">
        <v>1226</v>
      </c>
      <c r="B20361" s="0" t="s">
        <v>98</v>
      </c>
      <c r="C20361" s="6" t="n">
        <f aca="false">Sens!$C$20356+Sens!$C$20360</f>
        <v>2096.62227502262</v>
      </c>
    </row>
    <row r="20362" customFormat="false" ht="15" hidden="false" customHeight="false" outlineLevel="0" collapsed="false">
      <c r="A20362" s="1" t="s">
        <v>1141</v>
      </c>
      <c r="B20362" s="0" t="s">
        <v>168</v>
      </c>
      <c r="C20362" s="7" t="n">
        <f aca="false">Sens!$C$20360/Sens!$C$20361</f>
        <v>0.751874738831729</v>
      </c>
    </row>
    <row r="20363" customFormat="false" ht="17.15" hidden="false" customHeight="false" outlineLevel="0" collapsed="false">
      <c r="A20363" s="1" t="s">
        <v>1227</v>
      </c>
      <c r="B20363" s="0" t="s">
        <v>98</v>
      </c>
      <c r="C20363" s="6" t="n">
        <f aca="false">Sens!$C$20361+cash_val-debt_val-fl_val+(oai_stake_hi*oai_val*(1-liq_disc))</f>
        <v>2232.92127502262</v>
      </c>
    </row>
    <row r="20364" customFormat="false" ht="17.15" hidden="false" customHeight="false" outlineLevel="0" collapsed="false">
      <c r="A20364" s="0" t="s">
        <v>1149</v>
      </c>
      <c r="B20364" s="0" t="s">
        <v>75</v>
      </c>
      <c r="C20364" s="5" t="n">
        <f aca="false">Sens!$C$20363/shd_val</f>
        <v>299.881986975909</v>
      </c>
    </row>
    <row r="20365" customFormat="false" ht="15" hidden="false" customHeight="false" outlineLevel="0" collapsed="false">
      <c r="A20365" s="1" t="s">
        <v>1228</v>
      </c>
      <c r="B20365" s="0" t="s">
        <v>75</v>
      </c>
      <c r="C20365" s="8" t="n">
        <f aca="false">div_rem27+CF!G63*roll_div_q/q_per_yr</f>
        <v>3.9795</v>
      </c>
    </row>
    <row r="20366" customFormat="false" ht="17.15" hidden="false" customHeight="false" outlineLevel="0" collapsed="false">
      <c r="A20366" s="0" t="s">
        <v>1229</v>
      </c>
      <c r="B20366" s="0" t="s">
        <v>75</v>
      </c>
      <c r="C20366" s="5" t="n">
        <f aca="false">Sens!$C$20364*(1+wacc)^t_roll-Sens!$C$20365</f>
        <v>329.356065160474</v>
      </c>
    </row>
    <row r="20367" customFormat="false" ht="17.15" hidden="false" customHeight="false" outlineLevel="0" collapsed="false">
      <c r="A20367" s="1" t="s">
        <v>1230</v>
      </c>
      <c r="B20367" s="0" t="s">
        <v>168</v>
      </c>
      <c r="F20367" s="7" t="n">
        <f aca="false">CF!F49/(Seg!F56-Thesis!F77)</f>
        <v>0.0686195668908011</v>
      </c>
      <c r="G20367" s="7" t="n">
        <f aca="false">CF!G49/(Seg!G56-Thesis!G77)</f>
        <v>0.0658333569148391</v>
      </c>
      <c r="H20367" s="7" t="n">
        <f aca="false">CF!H49/(Seg!H56-Thesis!H77)</f>
        <v>0.0643895625218926</v>
      </c>
      <c r="I20367" s="7" t="n">
        <f aca="false">CF!I49/(Seg!I56-Thesis!I77)</f>
        <v>0.0641676618157989</v>
      </c>
      <c r="J20367" s="7" t="n">
        <f aca="false">CF!J49/(Seg!J56-Thesis!J77)</f>
        <v>0.0648858606572163</v>
      </c>
      <c r="K20367" s="7" t="n">
        <f aca="false">CF!K49/(Seg!K56-Thesis!K77)</f>
        <v>0.0661974425163768</v>
      </c>
    </row>
    <row r="20368" customFormat="false" ht="17.15" hidden="false" customHeight="false" outlineLevel="0" collapsed="false">
      <c r="A20368" s="0" t="s">
        <v>1231</v>
      </c>
      <c r="B20368" s="0" t="s">
        <v>98</v>
      </c>
      <c r="F20368" s="6" t="n">
        <f aca="false">Seg!F41*(al_m365+Sens!F20367+sbc_r)</f>
        <v>83.7205619248671</v>
      </c>
      <c r="G20368" s="6" t="n">
        <f aca="false">Seg!G41*(al_m365+Sens!G20367+sbc_r)</f>
        <v>96.1301303332381</v>
      </c>
      <c r="H20368" s="6" t="n">
        <f aca="false">Seg!H41*(al_m365+Sens!H20367+sbc_r)</f>
        <v>108.70354073822</v>
      </c>
      <c r="I20368" s="6" t="n">
        <f aca="false">Seg!I41*(al_m365+Sens!I20367+sbc_r)</f>
        <v>120.260101315626</v>
      </c>
      <c r="J20368" s="6" t="n">
        <f aca="false">Seg!J41*(al_m365+Sens!J20367+sbc_r)</f>
        <v>130.611904548619</v>
      </c>
      <c r="K20368" s="6" t="n">
        <f aca="false">Seg!K41*(al_m365+Sens!K20367+sbc_r)</f>
        <v>140.575094974638</v>
      </c>
      <c r="L20368" s="12" t="s">
        <v>1232</v>
      </c>
    </row>
    <row r="20369" customFormat="false" ht="17.15" hidden="false" customHeight="false" outlineLevel="0" collapsed="false">
      <c r="A20369" s="0" t="s">
        <v>1233</v>
      </c>
      <c r="B20369" s="0" t="s">
        <v>98</v>
      </c>
      <c r="F20369" s="6" t="n">
        <f aca="false">Seg!F42*(al_lic+Sens!F20367+sbc_r)</f>
        <v>32.8577657183496</v>
      </c>
      <c r="G20369" s="6" t="n">
        <f aca="false">Seg!G42*(al_lic+Sens!G20367+sbc_r)</f>
        <v>34.1376266324889</v>
      </c>
      <c r="H20369" s="6" t="n">
        <f aca="false">Seg!H42*(al_lic+Sens!H20367+sbc_r)</f>
        <v>35.3325744664128</v>
      </c>
      <c r="I20369" s="6" t="n">
        <f aca="false">Seg!I42*(al_lic+Sens!I20367+sbc_r)</f>
        <v>36.4244749008727</v>
      </c>
      <c r="J20369" s="6" t="n">
        <f aca="false">Seg!J42*(al_lic+Sens!J20367+sbc_r)</f>
        <v>37.3879406068527</v>
      </c>
      <c r="K20369" s="6" t="n">
        <f aca="false">Seg!K42*(al_lic+Sens!K20367+sbc_r)</f>
        <v>38.1943876078259</v>
      </c>
    </row>
    <row r="20370" customFormat="false" ht="17.15" hidden="false" customHeight="false" outlineLevel="0" collapsed="false">
      <c r="A20370" s="0" t="s">
        <v>1234</v>
      </c>
      <c r="B20370" s="0" t="s">
        <v>98</v>
      </c>
      <c r="F20370" s="6" t="n">
        <f aca="false">Seg!F44*(al_ind+Sens!F20367+sbc_r)</f>
        <v>9.06041701092022</v>
      </c>
      <c r="G20370" s="6" t="n">
        <f aca="false">Seg!G44*(al_ind+Sens!G20367+sbc_r)</f>
        <v>9.83619082712885</v>
      </c>
      <c r="H20370" s="6" t="n">
        <f aca="false">Seg!H44*(al_ind+Sens!H20367+sbc_r)</f>
        <v>10.6570160105312</v>
      </c>
      <c r="I20370" s="6" t="n">
        <f aca="false">Seg!I44*(al_ind+Sens!I20367+sbc_r)</f>
        <v>11.5198571637125</v>
      </c>
      <c r="J20370" s="6" t="n">
        <f aca="false">Seg!J44*(al_ind+Sens!J20367+sbc_r)</f>
        <v>12.4150086539206</v>
      </c>
      <c r="K20370" s="6" t="n">
        <f aca="false">Seg!K44*(al_ind+Sens!K20367+sbc_r)</f>
        <v>13.3273714589988</v>
      </c>
    </row>
    <row r="20371" customFormat="false" ht="17.15" hidden="false" customHeight="false" outlineLevel="0" collapsed="false">
      <c r="A20371" s="0" t="s">
        <v>1235</v>
      </c>
      <c r="B20371" s="0" t="s">
        <v>98</v>
      </c>
      <c r="F20371" s="6" t="n">
        <f aca="false">Seg!F46*(al_fro+Sens!F20367+sbc_r)</f>
        <v>3.55402950182022</v>
      </c>
      <c r="G20371" s="6" t="n">
        <f aca="false">Seg!G46*(al_fro+Sens!G20367+sbc_r)</f>
        <v>3.76361488926481</v>
      </c>
      <c r="H20371" s="6" t="n">
        <f aca="false">Seg!H46*(al_fro+Sens!H20367+sbc_r)</f>
        <v>4.00220968879544</v>
      </c>
      <c r="I20371" s="6" t="n">
        <f aca="false">Seg!I46*(al_fro+Sens!I20367+sbc_r)</f>
        <v>4.2725765173852</v>
      </c>
      <c r="J20371" s="6" t="n">
        <f aca="false">Seg!J46*(al_fro+Sens!J20367+sbc_r)</f>
        <v>4.57586224390293</v>
      </c>
      <c r="K20371" s="6" t="n">
        <f aca="false">Seg!K46*(al_fro+Sens!K20367+sbc_r)</f>
        <v>4.91213639633217</v>
      </c>
    </row>
    <row r="20372" customFormat="false" ht="17.15" hidden="false" customHeight="false" outlineLevel="0" collapsed="false">
      <c r="A20372" s="0" t="s">
        <v>1236</v>
      </c>
      <c r="B20372" s="0" t="s">
        <v>98</v>
      </c>
      <c r="F20372" s="6" t="n">
        <f aca="false">Seg!F49*(al_srch+Sens!F20367+sbc_r)</f>
        <v>11.1890902994147</v>
      </c>
      <c r="G20372" s="6" t="n">
        <f aca="false">Seg!G49*(al_srch+Sens!G20367+sbc_r)</f>
        <v>12.261738891803</v>
      </c>
      <c r="H20372" s="6" t="n">
        <f aca="false">Seg!H49*(al_srch+Sens!H20367+sbc_r)</f>
        <v>13.3794863429193</v>
      </c>
      <c r="I20372" s="6" t="n">
        <f aca="false">Seg!I49*(al_srch+Sens!I20367+sbc_r)</f>
        <v>14.5317114787784</v>
      </c>
      <c r="J20372" s="6" t="n">
        <f aca="false">Seg!J49*(al_srch+Sens!J20367+sbc_r)</f>
        <v>15.6984365817724</v>
      </c>
      <c r="K20372" s="6" t="n">
        <f aca="false">Seg!K49*(al_srch+Sens!K20367+sbc_r)</f>
        <v>16.8520942258664</v>
      </c>
    </row>
    <row r="20373" customFormat="false" ht="17.15" hidden="false" customHeight="false" outlineLevel="0" collapsed="false">
      <c r="A20373" s="0" t="s">
        <v>1237</v>
      </c>
      <c r="B20373" s="0" t="s">
        <v>98</v>
      </c>
      <c r="F20373" s="6" t="n">
        <f aca="false">Thesis!F83-Thesis!F84+Thesis!F99</f>
        <v>42.5431090240393</v>
      </c>
      <c r="G20373" s="6" t="n">
        <f aca="false">Thesis!G83-Thesis!G84+Thesis!G99</f>
        <v>81.4922561130847</v>
      </c>
      <c r="H20373" s="6" t="n">
        <f aca="false">Thesis!H83-Thesis!H84+Thesis!H99</f>
        <v>123.278266211349</v>
      </c>
      <c r="I20373" s="6" t="n">
        <f aca="false">Thesis!I83-Thesis!I84+Thesis!I99</f>
        <v>160.60594185192</v>
      </c>
      <c r="J20373" s="6" t="n">
        <f aca="false">Thesis!J83-Thesis!J84+Thesis!J99</f>
        <v>186.818741832633</v>
      </c>
      <c r="K20373" s="6" t="n">
        <f aca="false">Thesis!K83-Thesis!K84+Thesis!K99</f>
        <v>202.776422159652</v>
      </c>
    </row>
    <row r="20374" customFormat="false" ht="17.15" hidden="false" customHeight="false" outlineLevel="0" collapsed="false">
      <c r="A20374" s="0" t="s">
        <v>1238</v>
      </c>
      <c r="B20374" s="0" t="s">
        <v>98</v>
      </c>
      <c r="F20374" s="6" t="n">
        <f aca="false">PL!F71+Thesis!F99+Thesis!F95+Sens!F20367*(Seg!F48-Thesis!F77)+sbc_r*Seg!F48</f>
        <v>238.090727427296</v>
      </c>
      <c r="G20374" s="6" t="n">
        <f aca="false">PL!G71+Thesis!G99+Thesis!G95+Sens!G20367*(Seg!G48-Thesis!G77)+sbc_r*Seg!G48</f>
        <v>299.90836088563</v>
      </c>
      <c r="H20374" s="6" t="n">
        <f aca="false">PL!H71+Thesis!H99+Thesis!H95+Sens!H20367*(Seg!H48-Thesis!H77)+sbc_r*Seg!H48</f>
        <v>369.457709442386</v>
      </c>
      <c r="I20374" s="6" t="n">
        <f aca="false">PL!I71+Thesis!I99+Thesis!I95+Sens!I20367*(Seg!I48-Thesis!I77)+sbc_r*Seg!I48</f>
        <v>433.16585128823</v>
      </c>
      <c r="J20374" s="6" t="n">
        <f aca="false">PL!J71+Thesis!J99+Thesis!J95+Sens!J20367*(Seg!J48-Thesis!J77)+sbc_r*Seg!J48</f>
        <v>483.301303131191</v>
      </c>
      <c r="K20374" s="6" t="n">
        <f aca="false">PL!K71+Thesis!K99+Thesis!K95+Sens!K20367*(Seg!K48-Thesis!K77)+sbc_r*Seg!K48</f>
        <v>520.789002205336</v>
      </c>
    </row>
    <row r="20375" customFormat="false" ht="17.15" hidden="false" customHeight="false" outlineLevel="0" collapsed="false">
      <c r="A20375" s="0" t="s">
        <v>1239</v>
      </c>
      <c r="B20375" s="0" t="s">
        <v>98</v>
      </c>
      <c r="F20375" s="6" t="n">
        <f aca="false">Sens!F20374-Sens!F20368-Sens!F20369-Sens!F20370-Sens!F20371-Sens!F20373</f>
        <v>66.3548442472996</v>
      </c>
      <c r="G20375" s="6" t="n">
        <f aca="false">Sens!G20374-Sens!G20368-Sens!G20369-Sens!G20370-Sens!G20371-Sens!G20373</f>
        <v>74.548542090425</v>
      </c>
      <c r="H20375" s="6" t="n">
        <f aca="false">Sens!H20374-Sens!H20368-Sens!H20369-Sens!H20370-Sens!H20371-Sens!H20373</f>
        <v>87.4841023270775</v>
      </c>
      <c r="I20375" s="6" t="n">
        <f aca="false">Sens!I20374-Sens!I20368-Sens!I20369-Sens!I20370-Sens!I20371-Sens!I20373</f>
        <v>100.082899538713</v>
      </c>
      <c r="J20375" s="6" t="n">
        <f aca="false">Sens!J20374-Sens!J20368-Sens!J20369-Sens!J20370-Sens!J20371-Sens!J20373</f>
        <v>111.491845245262</v>
      </c>
      <c r="K20375" s="6" t="n">
        <f aca="false">Sens!K20374-Sens!K20368-Sens!K20369-Sens!K20370-Sens!K20371-Sens!K20373</f>
        <v>121.003589607889</v>
      </c>
    </row>
    <row r="20376" customFormat="false" ht="17.15" hidden="false" customHeight="false" outlineLevel="0" collapsed="false">
      <c r="A20376" s="0" t="s">
        <v>1240</v>
      </c>
      <c r="B20376" s="0" t="s">
        <v>98</v>
      </c>
      <c r="F20376" s="6" t="n">
        <f aca="false">PL!F73+Sens!F20367*Seg!F55+sbc_r*Seg!F55</f>
        <v>26.6336365855879</v>
      </c>
      <c r="G20376" s="6" t="n">
        <f aca="false">PL!G73+Sens!G20367*Seg!G55+sbc_r*Seg!G55</f>
        <v>26.4720859498625</v>
      </c>
      <c r="H20376" s="6" t="n">
        <f aca="false">PL!H73+Sens!H20367*Seg!H55+sbc_r*Seg!H55</f>
        <v>27.346793021284</v>
      </c>
      <c r="I20376" s="6" t="n">
        <f aca="false">PL!I73+Sens!I20367*Seg!I55+sbc_r*Seg!I55</f>
        <v>28.4574657863154</v>
      </c>
      <c r="J20376" s="6" t="n">
        <f aca="false">PL!J73+Sens!J20367*Seg!J55+sbc_r*Seg!J55</f>
        <v>29.7689890546037</v>
      </c>
      <c r="K20376" s="6" t="n">
        <f aca="false">PL!K73+Sens!K20367*Seg!K55+sbc_r*Seg!K55</f>
        <v>31.2443947307494</v>
      </c>
    </row>
    <row r="20377" customFormat="false" ht="17.15" hidden="false" customHeight="false" outlineLevel="0" collapsed="false">
      <c r="A20377" s="0" t="s">
        <v>1241</v>
      </c>
      <c r="B20377" s="0" t="s">
        <v>98</v>
      </c>
      <c r="F20377" s="6" t="n">
        <f aca="false">(Sens!F20376-Sens!F20372)*Seg!F51/(Seg!F51+Seg!F53)</f>
        <v>8.72285608232241</v>
      </c>
      <c r="G20377" s="6" t="n">
        <f aca="false">(Sens!G20376-Sens!G20372)*Seg!G51/(Seg!G51+Seg!G53)</f>
        <v>7.88786455444355</v>
      </c>
      <c r="H20377" s="6" t="n">
        <f aca="false">(Sens!H20376-Sens!H20372)*Seg!H51/(Seg!H51+Seg!H53)</f>
        <v>7.65195986819674</v>
      </c>
      <c r="I20377" s="6" t="n">
        <f aca="false">(Sens!I20376-Sens!I20372)*Seg!I51/(Seg!I51+Seg!I53)</f>
        <v>7.56260440676676</v>
      </c>
      <c r="J20377" s="6" t="n">
        <f aca="false">(Sens!J20376-Sens!J20372)*Seg!J51/(Seg!J51+Seg!J53)</f>
        <v>7.60790100885945</v>
      </c>
      <c r="K20377" s="6" t="n">
        <f aca="false">(Sens!K20376-Sens!K20372)*Seg!K51/(Seg!K51+Seg!K53)</f>
        <v>7.78186910160995</v>
      </c>
    </row>
    <row r="20378" customFormat="false" ht="17.15" hidden="false" customHeight="false" outlineLevel="0" collapsed="false">
      <c r="A20378" s="0" t="s">
        <v>1242</v>
      </c>
      <c r="B20378" s="0" t="s">
        <v>98</v>
      </c>
      <c r="F20378" s="6" t="n">
        <f aca="false">Sens!F20376-Sens!F20372-Sens!F20377</f>
        <v>6.72169020385088</v>
      </c>
      <c r="G20378" s="6" t="n">
        <f aca="false">Sens!G20376-Sens!G20372-Sens!G20377</f>
        <v>6.322482503616</v>
      </c>
      <c r="H20378" s="6" t="n">
        <f aca="false">Sens!H20376-Sens!H20372-Sens!H20377</f>
        <v>6.315346810168</v>
      </c>
      <c r="I20378" s="6" t="n">
        <f aca="false">Sens!I20376-Sens!I20372-Sens!I20377</f>
        <v>6.36314990077033</v>
      </c>
      <c r="J20378" s="6" t="n">
        <f aca="false">Sens!J20376-Sens!J20372-Sens!J20377</f>
        <v>6.46265146397189</v>
      </c>
      <c r="K20378" s="6" t="n">
        <f aca="false">Sens!K20376-Sens!K20372-Sens!K20377</f>
        <v>6.61043140327304</v>
      </c>
    </row>
    <row r="20379" customFormat="false" ht="17.15" hidden="false" customHeight="false" outlineLevel="0" collapsed="false">
      <c r="A20379" s="0" t="s">
        <v>1243</v>
      </c>
      <c r="B20379" s="0" t="s">
        <v>98</v>
      </c>
      <c r="F20379" s="6" t="n">
        <f aca="false">Sens!F20373-tax_f*(Sens!F20373-Thesis!F95)-Thesis!F92</f>
        <v>-127.503553927218</v>
      </c>
      <c r="G20379" s="6" t="n">
        <f aca="false">Sens!G20373-tax_f*(Sens!G20373-Thesis!G95)-Thesis!G92</f>
        <v>-114.603772628121</v>
      </c>
      <c r="H20379" s="6" t="n">
        <f aca="false">Sens!H20373-tax_f*(Sens!H20373-Thesis!H95)-Thesis!H92</f>
        <v>-80.3633729631438</v>
      </c>
      <c r="I20379" s="6" t="n">
        <f aca="false">Sens!I20373-tax_f*(Sens!I20373-Thesis!I95)-Thesis!I92</f>
        <v>-17.2838782011649</v>
      </c>
      <c r="J20379" s="6" t="n">
        <f aca="false">Sens!J20373-tax_f*(Sens!J20373-Thesis!J95)-Thesis!J92</f>
        <v>46.9281968800854</v>
      </c>
      <c r="K20379" s="6" t="n">
        <f aca="false">Sens!K20373-tax_f*(Sens!K20373-Thesis!K95)-Thesis!K92</f>
        <v>71.8608185731755</v>
      </c>
    </row>
    <row r="20380" customFormat="false" ht="17.15" hidden="false" customHeight="false" outlineLevel="0" collapsed="false">
      <c r="A20380" s="0" t="s">
        <v>1244</v>
      </c>
      <c r="B20380" s="0" t="s">
        <v>98</v>
      </c>
      <c r="G20380" s="6" t="n">
        <f aca="false">Sens!G20379/(1+wacc)^(Sens!G20350-Sens!F20351)</f>
        <v>-109.124845494465</v>
      </c>
      <c r="H20380" s="6" t="n">
        <f aca="false">Sens!H20379/(1+wacc)^(Sens!H20350-Sens!F20351)</f>
        <v>-69.3796874071025</v>
      </c>
      <c r="I20380" s="6" t="n">
        <f aca="false">Sens!I20379/(1+wacc)^(Sens!I20350-Sens!F20351)</f>
        <v>-13.5289731380471</v>
      </c>
      <c r="J20380" s="6" t="n">
        <f aca="false">Sens!J20379/(1+wacc)^(Sens!J20350-Sens!F20351)</f>
        <v>33.3048099587126</v>
      </c>
      <c r="K20380" s="6" t="n">
        <f aca="false">Sens!K20379/(1+wacc)^(Sens!K20350-Sens!F20351)</f>
        <v>46.2396679904913</v>
      </c>
      <c r="L20380" s="1" t="s">
        <v>1245</v>
      </c>
    </row>
    <row r="20381" customFormat="false" ht="17.15" hidden="false" customHeight="false" outlineLevel="0" collapsed="false">
      <c r="A20381" s="0" t="s">
        <v>1246</v>
      </c>
      <c r="B20381" s="0" t="s">
        <v>98</v>
      </c>
      <c r="C20381" s="6" t="n">
        <f aca="false">(Sens!K20373-Thesis!K95)*(1-tax_f)*(1+g_tv)*(1-g_tv/(wacc+ronic_prem))/(wacc-g_tv)/(1+wacc)^(Sens!K20351-Sens!F20351)</f>
        <v>293.118051086843</v>
      </c>
    </row>
    <row r="20382" customFormat="false" ht="17.15" hidden="false" customHeight="false" outlineLevel="0" collapsed="false">
      <c r="A20382" s="1" t="s">
        <v>1247</v>
      </c>
      <c r="B20382" s="0" t="s">
        <v>98</v>
      </c>
      <c r="C20382" s="6" t="n">
        <f aca="false">(SUM(Sens!G20380:K20380)+Sens!$C$20381)*(1+wacc)^(t_roll-Sens!F20351)</f>
        <v>186.592133308255</v>
      </c>
      <c r="L20382" s="12" t="s">
        <v>1248</v>
      </c>
    </row>
    <row r="20383" customFormat="false" ht="17.15" hidden="false" customHeight="false" outlineLevel="0" collapsed="false">
      <c r="A20383" s="1" t="s">
        <v>1249</v>
      </c>
      <c r="B20383" s="0" t="s">
        <v>98</v>
      </c>
      <c r="C20383" s="6" t="n">
        <f aca="false">(w_ntm28*Thesis!G83+(1-w_ntm28)*Thesis!H83)*m_ai</f>
        <v>463.789109510335</v>
      </c>
    </row>
    <row r="20384" customFormat="false" ht="17.15" hidden="false" customHeight="false" outlineLevel="0" collapsed="false">
      <c r="A20384" s="1" t="s">
        <v>1250</v>
      </c>
      <c r="B20384" s="0" t="s">
        <v>98</v>
      </c>
      <c r="C20384" s="6" t="n">
        <f aca="false">(w_ntm28*Sens!G20375+(1-w_ntm28)*Sens!H20375)*m_cloud</f>
        <v>1089.03436702245</v>
      </c>
    </row>
    <row r="20385" customFormat="false" ht="17.15" hidden="false" customHeight="false" outlineLevel="0" collapsed="false">
      <c r="A20385" s="1" t="s">
        <v>1251</v>
      </c>
      <c r="B20385" s="0" t="s">
        <v>98</v>
      </c>
      <c r="C20385" s="6" t="n">
        <f aca="false">(w_ntm28*Sens!G20368+(1-w_ntm28)*Sens!H20368)*m_sw</f>
        <v>1082.84962646159</v>
      </c>
    </row>
    <row r="20386" customFormat="false" ht="17.15" hidden="false" customHeight="false" outlineLevel="0" collapsed="false">
      <c r="A20386" s="1" t="s">
        <v>1252</v>
      </c>
      <c r="B20386" s="0" t="s">
        <v>98</v>
      </c>
      <c r="C20386" s="6" t="n">
        <f aca="false">(w_ntm28*Sens!G20369+(1-w_ntm28)*Sens!H20369)*m_sw</f>
        <v>372.929250898731</v>
      </c>
    </row>
    <row r="20387" customFormat="false" ht="17.15" hidden="false" customHeight="false" outlineLevel="0" collapsed="false">
      <c r="A20387" s="1" t="s">
        <v>1253</v>
      </c>
      <c r="B20387" s="0" t="s">
        <v>98</v>
      </c>
      <c r="C20387" s="6" t="n">
        <f aca="false">(w_ntm28*Sens!G20370+(1-w_ntm28)*Sens!H20370)*m_sw</f>
        <v>109.1453525431</v>
      </c>
    </row>
    <row r="20388" customFormat="false" ht="17.15" hidden="false" customHeight="false" outlineLevel="0" collapsed="false">
      <c r="A20388" s="1" t="s">
        <v>1254</v>
      </c>
      <c r="B20388" s="0" t="s">
        <v>98</v>
      </c>
      <c r="C20388" s="6" t="n">
        <f aca="false">(w_ntm28*Sens!G20371+(1-w_ntm28)*Sens!H20371)*m_sw</f>
        <v>41.4942157634893</v>
      </c>
    </row>
    <row r="20389" customFormat="false" ht="17.15" hidden="false" customHeight="false" outlineLevel="0" collapsed="false">
      <c r="A20389" s="1" t="s">
        <v>1255</v>
      </c>
      <c r="B20389" s="0" t="s">
        <v>98</v>
      </c>
      <c r="C20389" s="6" t="n">
        <f aca="false">(w_ntm28*Sens!G20372+(1-w_ntm28)*Sens!H20372)*m_ads</f>
        <v>115.052171478463</v>
      </c>
    </row>
    <row r="20390" customFormat="false" ht="17.15" hidden="false" customHeight="false" outlineLevel="0" collapsed="false">
      <c r="A20390" s="1" t="s">
        <v>1256</v>
      </c>
      <c r="B20390" s="0" t="s">
        <v>98</v>
      </c>
      <c r="C20390" s="6" t="n">
        <f aca="false">(w_ntm28*Sens!G20377+(1-w_ntm28)*Sens!H20377)*m_game</f>
        <v>98.6441755076202</v>
      </c>
    </row>
    <row r="20391" customFormat="false" ht="17.15" hidden="false" customHeight="false" outlineLevel="0" collapsed="false">
      <c r="A20391" s="1" t="s">
        <v>1257</v>
      </c>
      <c r="B20391" s="0" t="s">
        <v>98</v>
      </c>
      <c r="C20391" s="6" t="n">
        <f aca="false">(w_ntm28*Sens!G20378+(1-w_ntm28)*Sens!H20378)*m_pc</f>
        <v>91.4523754763561</v>
      </c>
    </row>
    <row r="20392" customFormat="false" ht="17.15" hidden="false" customHeight="false" outlineLevel="0" collapsed="false">
      <c r="A20392" s="1" t="s">
        <v>1258</v>
      </c>
      <c r="B20392" s="0" t="s">
        <v>98</v>
      </c>
      <c r="C20392" s="6" t="n">
        <f aca="false">Sens!$C$20382+Sens!$C$20384+Sens!$C$20385+Sens!$C$20386+Sens!$C$20387+Sens!$C$20388+Sens!$C$20389+Sens!$C$20390+Sens!$C$20391</f>
        <v>3187.19366846006</v>
      </c>
    </row>
    <row r="20393" customFormat="false" ht="17.15" hidden="false" customHeight="false" outlineLevel="0" collapsed="false">
      <c r="A20393" s="1" t="s">
        <v>1259</v>
      </c>
      <c r="B20393" s="0" t="s">
        <v>98</v>
      </c>
      <c r="C20393" s="6" t="n">
        <f aca="false">(Sens!G20354-Sens!G20379)*t_stub</f>
        <v>47.8736427515113</v>
      </c>
      <c r="L20393" s="1" t="s">
        <v>1260</v>
      </c>
    </row>
    <row r="20394" customFormat="false" ht="17.15" hidden="false" customHeight="false" outlineLevel="0" collapsed="false">
      <c r="A20394" s="1" t="s">
        <v>1169</v>
      </c>
      <c r="B20394" s="0" t="s">
        <v>98</v>
      </c>
      <c r="C20394" s="6" t="n">
        <f aca="false">CF!F71+(oai_stake_hi*oai_val*(1-liq_disc))-CF!F60+Sens!$C$20393</f>
        <v>182.549912751511</v>
      </c>
      <c r="L20394" s="1" t="s">
        <v>1261</v>
      </c>
    </row>
    <row r="20395" customFormat="false" ht="17.15" hidden="false" customHeight="false" outlineLevel="0" collapsed="false">
      <c r="A20395" s="1" t="s">
        <v>1262</v>
      </c>
      <c r="B20395" s="0" t="s">
        <v>75</v>
      </c>
      <c r="C20395" s="5" t="n">
        <f aca="false">(Sens!$C$20392+Sens!$C$20394)/(CF!F73+dil_gap)-CF!G63*roll_div_q/q_per_yr</f>
        <v>448.528832990676</v>
      </c>
      <c r="L20395" s="1" t="s">
        <v>1263</v>
      </c>
    </row>
    <row r="20396" customFormat="false" ht="17.15" hidden="false" customHeight="false" outlineLevel="0" collapsed="false">
      <c r="A20396" s="1" t="s">
        <v>1264</v>
      </c>
      <c r="B20396" s="0" t="s">
        <v>75</v>
      </c>
      <c r="C20396" s="5" t="n">
        <f aca="false">w_dcf*Sens!$C$20366+(1-w_dcf)*Sens!$C$20395</f>
        <v>388.942449075575</v>
      </c>
    </row>
    <row r="20397" customFormat="false" ht="17.15" hidden="false" customHeight="false" outlineLevel="0" collapsed="false">
      <c r="A20397" s="3" t="s">
        <v>1982</v>
      </c>
    </row>
    <row r="20398" customFormat="false" ht="15" hidden="false" customHeight="false" outlineLevel="0" collapsed="false">
      <c r="A20398" s="4" t="s">
        <v>43</v>
      </c>
      <c r="B20398" s="4" t="s">
        <v>65</v>
      </c>
      <c r="C20398" s="23" t="s">
        <v>938</v>
      </c>
      <c r="D20398" s="23" t="s">
        <v>939</v>
      </c>
      <c r="E20398" s="23" t="s">
        <v>940</v>
      </c>
      <c r="F20398" s="23" t="s">
        <v>941</v>
      </c>
      <c r="G20398" s="23" t="s">
        <v>942</v>
      </c>
      <c r="H20398" s="23" t="s">
        <v>943</v>
      </c>
      <c r="I20398" s="23" t="s">
        <v>944</v>
      </c>
      <c r="J20398" s="23" t="s">
        <v>945</v>
      </c>
      <c r="K20398" s="23" t="s">
        <v>946</v>
      </c>
      <c r="L20398" s="4" t="s">
        <v>47</v>
      </c>
    </row>
    <row r="20399" customFormat="false" ht="17.15" hidden="false" customHeight="false" outlineLevel="0" collapsed="false">
      <c r="A20399" s="1" t="s">
        <v>1212</v>
      </c>
      <c r="B20399" s="1" t="s">
        <v>279</v>
      </c>
      <c r="F20399" s="8" t="n">
        <f aca="false">(1-v_off)*mid_yr</f>
        <v>0.373972602739726</v>
      </c>
      <c r="G20399" s="8" t="n">
        <f aca="false">Thesis!G110-base_fy-mid_yr-v_off</f>
        <v>1.24794520547945</v>
      </c>
      <c r="H20399" s="8" t="n">
        <f aca="false">Thesis!H110-base_fy-mid_yr-v_off</f>
        <v>2.24794520547945</v>
      </c>
      <c r="I20399" s="8" t="n">
        <f aca="false">Thesis!I110-base_fy-mid_yr-v_off</f>
        <v>3.24794520547945</v>
      </c>
      <c r="J20399" s="8" t="n">
        <f aca="false">Thesis!J110-base_fy-mid_yr-v_off</f>
        <v>4.24794520547945</v>
      </c>
      <c r="K20399" s="8" t="n">
        <f aca="false">Thesis!K110-base_fy-mid_yr-v_off</f>
        <v>5.24794520547945</v>
      </c>
      <c r="L20399" s="12" t="s">
        <v>1213</v>
      </c>
    </row>
    <row r="20400" customFormat="false" ht="15" hidden="false" customHeight="false" outlineLevel="0" collapsed="false">
      <c r="A20400" s="1" t="s">
        <v>1214</v>
      </c>
      <c r="B20400" s="1" t="s">
        <v>279</v>
      </c>
      <c r="F20400" s="8" t="n">
        <f aca="false">Thesis!F110-base_fy-v_off</f>
        <v>0.747945205479452</v>
      </c>
      <c r="G20400" s="8" t="n">
        <f aca="false">Thesis!G110-base_fy-v_off</f>
        <v>1.74794520547945</v>
      </c>
      <c r="H20400" s="8" t="n">
        <f aca="false">Thesis!H110-base_fy-v_off</f>
        <v>2.74794520547945</v>
      </c>
      <c r="I20400" s="8" t="n">
        <f aca="false">Thesis!I110-base_fy-v_off</f>
        <v>3.74794520547945</v>
      </c>
      <c r="J20400" s="8" t="n">
        <f aca="false">Thesis!J110-base_fy-v_off</f>
        <v>4.74794520547945</v>
      </c>
      <c r="K20400" s="8" t="n">
        <f aca="false">Thesis!K110-base_fy-v_off</f>
        <v>5.74794520547945</v>
      </c>
    </row>
    <row r="20401" customFormat="false" ht="15" hidden="false" customHeight="false" outlineLevel="0" collapsed="false">
      <c r="A20401" s="1" t="s">
        <v>1215</v>
      </c>
      <c r="B20401" s="0" t="s">
        <v>229</v>
      </c>
      <c r="F20401" s="15" t="n">
        <f aca="false">1/(1+wacc)^Sens!F20399</f>
        <v>0.964022703286649</v>
      </c>
      <c r="G20401" s="15" t="n">
        <f aca="false">1/(1+wacc)^Sens!G20399</f>
        <v>0.884910302296739</v>
      </c>
      <c r="H20401" s="15" t="n">
        <f aca="false">1/(1+wacc)^Sens!H20399</f>
        <v>0.802322009770358</v>
      </c>
      <c r="I20401" s="15" t="n">
        <f aca="false">1/(1+wacc)^Sens!I20399</f>
        <v>0.727441646561469</v>
      </c>
      <c r="J20401" s="15" t="n">
        <f aca="false">1/(1+wacc)^Sens!J20399</f>
        <v>0.659549834988973</v>
      </c>
      <c r="K20401" s="15" t="n">
        <f aca="false">1/(1+wacc)^Sens!K20399</f>
        <v>0.597994336576966</v>
      </c>
    </row>
    <row r="20402" customFormat="false" ht="17.15" hidden="false" customHeight="false" outlineLevel="0" collapsed="false">
      <c r="A20402" s="1" t="s">
        <v>1216</v>
      </c>
      <c r="B20402" s="0" t="s">
        <v>98</v>
      </c>
      <c r="F20402" s="6" t="n">
        <f aca="false">Q!$I$35-Q!$I$39-Q!$I$43</f>
        <v>9.666</v>
      </c>
      <c r="L20402" s="12" t="s">
        <v>1217</v>
      </c>
    </row>
    <row r="20403" customFormat="false" ht="17.15" hidden="false" customHeight="false" outlineLevel="0" collapsed="false">
      <c r="A20403" s="1" t="s">
        <v>1218</v>
      </c>
      <c r="B20403" s="0" t="s">
        <v>98</v>
      </c>
      <c r="F20403" s="6" t="n">
        <f aca="false">CF!F87-CF!F84-CF!F91+Thesis!F151*(1-tax_f)*(1-v_off)-Sens!F20402</f>
        <v>-6.10282680452259</v>
      </c>
      <c r="G20403" s="6" t="n">
        <f aca="false">CF!G87-CF!G84-CF!G91+Thesis!G151*(1-tax_f)</f>
        <v>19.0084129023516</v>
      </c>
      <c r="H20403" s="6" t="n">
        <f aca="false">CF!H87-CF!H84-CF!H91+Thesis!H151*(1-tax_f)</f>
        <v>55.9229468383331</v>
      </c>
      <c r="I20403" s="6" t="n">
        <f aca="false">CF!I87-CF!I84-CF!I91+Thesis!I151*(1-tax_f)</f>
        <v>127.901908576191</v>
      </c>
      <c r="J20403" s="6" t="n">
        <f aca="false">CF!J87-CF!J84-CF!J91+Thesis!J151*(1-tax_f)</f>
        <v>201.958443859638</v>
      </c>
      <c r="K20403" s="6" t="n">
        <f aca="false">CF!K87-CF!K84-CF!K91+Thesis!K151*(1-tax_f)</f>
        <v>237.542519059905</v>
      </c>
      <c r="L20403" s="1" t="s">
        <v>1219</v>
      </c>
    </row>
    <row r="20404" customFormat="false" ht="15" hidden="false" customHeight="false" outlineLevel="0" collapsed="false">
      <c r="A20404" s="1" t="s">
        <v>1220</v>
      </c>
      <c r="B20404" s="0" t="s">
        <v>98</v>
      </c>
      <c r="F20404" s="6" t="n">
        <f aca="false">Sens!F20403*Sens!F20401</f>
        <v>-5.88326359378609</v>
      </c>
      <c r="G20404" s="6" t="n">
        <f aca="false">Sens!G20403*Sens!G20401</f>
        <v>16.8207404076012</v>
      </c>
      <c r="H20404" s="6" t="n">
        <f aca="false">Sens!H20403*Sens!H20401</f>
        <v>44.8682110996123</v>
      </c>
      <c r="I20404" s="6" t="n">
        <f aca="false">Sens!I20403*Sens!I20401</f>
        <v>93.0411749730187</v>
      </c>
      <c r="J20404" s="6" t="n">
        <f aca="false">Sens!J20403*Sens!J20401</f>
        <v>133.201658322254</v>
      </c>
      <c r="K20404" s="6" t="n">
        <f aca="false">Sens!K20403*Sens!K20401</f>
        <v>142.049081094049</v>
      </c>
    </row>
    <row r="20405" customFormat="false" ht="17.15" hidden="false" customHeight="false" outlineLevel="0" collapsed="false">
      <c r="A20405" s="1" t="s">
        <v>1221</v>
      </c>
      <c r="B20405" s="0" t="s">
        <v>98</v>
      </c>
      <c r="C20405" s="6" t="n">
        <f aca="false">SUM(Sens!F20404:K20404)</f>
        <v>424.097602302749</v>
      </c>
    </row>
    <row r="20406" customFormat="false" ht="17.15" hidden="false" customHeight="false" outlineLevel="0" collapsed="false">
      <c r="A20406" s="1" t="s">
        <v>1222</v>
      </c>
      <c r="B20406" s="0" t="s">
        <v>98</v>
      </c>
      <c r="C20406" s="6" t="n">
        <f aca="false">PL!K117*(1+g_tv)*(1-tax_f)</f>
        <v>247.098906713682</v>
      </c>
    </row>
    <row r="20407" customFormat="false" ht="17.15" hidden="false" customHeight="false" outlineLevel="0" collapsed="false">
      <c r="A20407" s="1" t="s">
        <v>1223</v>
      </c>
      <c r="B20407" s="0" t="s">
        <v>98</v>
      </c>
      <c r="C20407" s="6" t="n">
        <f aca="false">Sens!$C$20406*(1-g_tv/(wacc+ronic_prem))</f>
        <v>175.084017418113</v>
      </c>
    </row>
    <row r="20408" customFormat="false" ht="17.15" hidden="false" customHeight="false" outlineLevel="0" collapsed="false">
      <c r="A20408" s="1" t="s">
        <v>1224</v>
      </c>
      <c r="B20408" s="0" t="s">
        <v>98</v>
      </c>
      <c r="C20408" s="6" t="n">
        <f aca="false">Sens!$C$20407/(wacc-g_tv)</f>
        <v>2400.4963098523</v>
      </c>
    </row>
    <row r="20409" customFormat="false" ht="15" hidden="false" customHeight="false" outlineLevel="0" collapsed="false">
      <c r="A20409" s="1" t="s">
        <v>1225</v>
      </c>
      <c r="B20409" s="0" t="s">
        <v>98</v>
      </c>
      <c r="C20409" s="6" t="n">
        <f aca="false">Sens!$C$20408/(1+wacc)^Sens!K20400</f>
        <v>1366.85624415645</v>
      </c>
    </row>
    <row r="20410" customFormat="false" ht="17.15" hidden="false" customHeight="false" outlineLevel="0" collapsed="false">
      <c r="A20410" s="0" t="s">
        <v>1226</v>
      </c>
      <c r="B20410" s="0" t="s">
        <v>98</v>
      </c>
      <c r="C20410" s="6" t="n">
        <f aca="false">Sens!$C$20405+Sens!$C$20409</f>
        <v>1790.9538464592</v>
      </c>
    </row>
    <row r="20411" customFormat="false" ht="15" hidden="false" customHeight="false" outlineLevel="0" collapsed="false">
      <c r="A20411" s="1" t="s">
        <v>1141</v>
      </c>
      <c r="B20411" s="0" t="s">
        <v>168</v>
      </c>
      <c r="C20411" s="7" t="n">
        <f aca="false">Sens!$C$20409/Sens!$C$20410</f>
        <v>0.763200149941769</v>
      </c>
    </row>
    <row r="20412" customFormat="false" ht="17.15" hidden="false" customHeight="false" outlineLevel="0" collapsed="false">
      <c r="A20412" s="1" t="s">
        <v>1227</v>
      </c>
      <c r="B20412" s="0" t="s">
        <v>98</v>
      </c>
      <c r="C20412" s="6" t="n">
        <f aca="false">Sens!$C$20410+cash_val-debt_val-fl_val+(oai_stake_hi*oai_val*(1-liq_disc))</f>
        <v>1927.2528464592</v>
      </c>
    </row>
    <row r="20413" customFormat="false" ht="17.15" hidden="false" customHeight="false" outlineLevel="0" collapsed="false">
      <c r="A20413" s="0" t="s">
        <v>1149</v>
      </c>
      <c r="B20413" s="0" t="s">
        <v>75</v>
      </c>
      <c r="C20413" s="5" t="n">
        <f aca="false">Sens!$C$20412/shd_val</f>
        <v>258.830626706849</v>
      </c>
    </row>
    <row r="20414" customFormat="false" ht="15" hidden="false" customHeight="false" outlineLevel="0" collapsed="false">
      <c r="A20414" s="1" t="s">
        <v>1228</v>
      </c>
      <c r="B20414" s="0" t="s">
        <v>75</v>
      </c>
      <c r="C20414" s="8" t="n">
        <f aca="false">div_rem27+CF!G95*roll_div_q/q_per_yr</f>
        <v>3.9795</v>
      </c>
    </row>
    <row r="20415" customFormat="false" ht="17.15" hidden="false" customHeight="false" outlineLevel="0" collapsed="false">
      <c r="A20415" s="0" t="s">
        <v>1229</v>
      </c>
      <c r="B20415" s="0" t="s">
        <v>75</v>
      </c>
      <c r="C20415" s="5" t="n">
        <f aca="false">Sens!$C$20413*(1+wacc)^t_roll-Sens!$C$20414</f>
        <v>283.725187114462</v>
      </c>
    </row>
    <row r="20416" customFormat="false" ht="17.15" hidden="false" customHeight="false" outlineLevel="0" collapsed="false">
      <c r="A20416" s="1" t="s">
        <v>1230</v>
      </c>
      <c r="B20416" s="0" t="s">
        <v>168</v>
      </c>
      <c r="F20416" s="7" t="n">
        <f aca="false">CF!F81/(Seg!F83-Thesis!F129)</f>
        <v>0.068677393452264</v>
      </c>
      <c r="G20416" s="7" t="n">
        <f aca="false">CF!G81/(Seg!G83-Thesis!G129)</f>
        <v>0.0663132664471956</v>
      </c>
      <c r="H20416" s="7" t="n">
        <f aca="false">CF!H81/(Seg!H83-Thesis!H129)</f>
        <v>0.0651363826734039</v>
      </c>
      <c r="I20416" s="7" t="n">
        <f aca="false">CF!I81/(Seg!I83-Thesis!I129)</f>
        <v>0.0650087936347709</v>
      </c>
      <c r="J20416" s="7" t="n">
        <f aca="false">CF!J81/(Seg!J83-Thesis!J129)</f>
        <v>0.0657212684841778</v>
      </c>
      <c r="K20416" s="7" t="n">
        <f aca="false">CF!K81/(Seg!K83-Thesis!K129)</f>
        <v>0.0670413306015285</v>
      </c>
    </row>
    <row r="20417" customFormat="false" ht="17.15" hidden="false" customHeight="false" outlineLevel="0" collapsed="false">
      <c r="A20417" s="0" t="s">
        <v>1231</v>
      </c>
      <c r="B20417" s="0" t="s">
        <v>98</v>
      </c>
      <c r="F20417" s="6" t="n">
        <f aca="false">Seg!F68*(al_m365+Sens!F20416+sbc_r)</f>
        <v>82.9185219618347</v>
      </c>
      <c r="G20417" s="6" t="n">
        <f aca="false">Seg!G68*(al_m365+Sens!G20416+sbc_r)</f>
        <v>93.3068052157631</v>
      </c>
      <c r="H20417" s="6" t="n">
        <f aca="false">Seg!H68*(al_m365+Sens!H20416+sbc_r)</f>
        <v>103.856057136159</v>
      </c>
      <c r="I20417" s="6" t="n">
        <f aca="false">Seg!I68*(al_m365+Sens!I20416+sbc_r)</f>
        <v>113.889717587147</v>
      </c>
      <c r="J20417" s="6" t="n">
        <f aca="false">Seg!J68*(al_m365+Sens!J20416+sbc_r)</f>
        <v>123.218477864124</v>
      </c>
      <c r="K20417" s="6" t="n">
        <f aca="false">Seg!K68*(al_m365+Sens!K20416+sbc_r)</f>
        <v>132.149420086311</v>
      </c>
      <c r="L20417" s="12" t="s">
        <v>1232</v>
      </c>
    </row>
    <row r="20418" customFormat="false" ht="17.15" hidden="false" customHeight="false" outlineLevel="0" collapsed="false">
      <c r="A20418" s="0" t="s">
        <v>1233</v>
      </c>
      <c r="B20418" s="0" t="s">
        <v>98</v>
      </c>
      <c r="F20418" s="6" t="n">
        <f aca="false">Seg!F69*(al_lic+Sens!F20416+sbc_r)</f>
        <v>32.8599853992256</v>
      </c>
      <c r="G20418" s="6" t="n">
        <f aca="false">Seg!G69*(al_lic+Sens!G20416+sbc_r)</f>
        <v>34.1568280697879</v>
      </c>
      <c r="H20418" s="6" t="n">
        <f aca="false">Seg!H69*(al_lic+Sens!H20416+sbc_r)</f>
        <v>35.3635535007213</v>
      </c>
      <c r="I20418" s="6" t="n">
        <f aca="false">Seg!I69*(al_lic+Sens!I20416+sbc_r)</f>
        <v>36.4604537346553</v>
      </c>
      <c r="J20418" s="6" t="n">
        <f aca="false">Seg!J69*(al_lic+Sens!J20416+sbc_r)</f>
        <v>37.4245888933574</v>
      </c>
      <c r="K20418" s="6" t="n">
        <f aca="false">Seg!K69*(al_lic+Sens!K20416+sbc_r)</f>
        <v>38.2321483186439</v>
      </c>
    </row>
    <row r="20419" customFormat="false" ht="17.15" hidden="false" customHeight="false" outlineLevel="0" collapsed="false">
      <c r="A20419" s="0" t="s">
        <v>1234</v>
      </c>
      <c r="B20419" s="0" t="s">
        <v>98</v>
      </c>
      <c r="F20419" s="6" t="n">
        <f aca="false">Seg!F71*(al_ind+Sens!F20416+sbc_r)</f>
        <v>9.06170747885803</v>
      </c>
      <c r="G20419" s="6" t="n">
        <f aca="false">Seg!G71*(al_ind+Sens!G20416+sbc_r)</f>
        <v>9.8478979082138</v>
      </c>
      <c r="H20419" s="6" t="n">
        <f aca="false">Seg!H71*(al_ind+Sens!H20416+sbc_r)</f>
        <v>10.6768254332059</v>
      </c>
      <c r="I20419" s="6" t="n">
        <f aca="false">Seg!I71*(al_ind+Sens!I20416+sbc_r)</f>
        <v>11.54398793803</v>
      </c>
      <c r="J20419" s="6" t="n">
        <f aca="false">Seg!J71*(al_ind+Sens!J20416+sbc_r)</f>
        <v>12.4407914253112</v>
      </c>
      <c r="K20419" s="6" t="n">
        <f aca="false">Seg!K71*(al_ind+Sens!K20416+sbc_r)</f>
        <v>13.355239066864</v>
      </c>
    </row>
    <row r="20420" customFormat="false" ht="17.15" hidden="false" customHeight="false" outlineLevel="0" collapsed="false">
      <c r="A20420" s="0" t="s">
        <v>1235</v>
      </c>
      <c r="B20420" s="0" t="s">
        <v>98</v>
      </c>
      <c r="F20420" s="6" t="n">
        <f aca="false">Seg!F73*(al_fro+Sens!F20416+sbc_r)</f>
        <v>3.55453569939552</v>
      </c>
      <c r="G20420" s="6" t="n">
        <f aca="false">Seg!G73*(al_fro+Sens!G20416+sbc_r)</f>
        <v>3.76809436159872</v>
      </c>
      <c r="H20420" s="6" t="n">
        <f aca="false">Seg!H73*(al_fro+Sens!H20416+sbc_r)</f>
        <v>4.00964905674607</v>
      </c>
      <c r="I20420" s="6" t="n">
        <f aca="false">Seg!I73*(al_fro+Sens!I20416+sbc_r)</f>
        <v>4.28152633145235</v>
      </c>
      <c r="J20420" s="6" t="n">
        <f aca="false">Seg!J73*(al_fro+Sens!J20416+sbc_r)</f>
        <v>4.58536512975975</v>
      </c>
      <c r="K20420" s="6" t="n">
        <f aca="false">Seg!K73*(al_fro+Sens!K20416+sbc_r)</f>
        <v>4.92240770086468</v>
      </c>
    </row>
    <row r="20421" customFormat="false" ht="17.15" hidden="false" customHeight="false" outlineLevel="0" collapsed="false">
      <c r="A20421" s="0" t="s">
        <v>1236</v>
      </c>
      <c r="B20421" s="0" t="s">
        <v>98</v>
      </c>
      <c r="F20421" s="6" t="n">
        <f aca="false">Seg!F76*(al_srch+Sens!F20416+sbc_r)</f>
        <v>11.190683952584</v>
      </c>
      <c r="G20421" s="6" t="n">
        <f aca="false">Seg!G76*(al_srch+Sens!G20416+sbc_r)</f>
        <v>12.2763328717258</v>
      </c>
      <c r="H20421" s="6" t="n">
        <f aca="false">Seg!H76*(al_srch+Sens!H20416+sbc_r)</f>
        <v>13.4043563346576</v>
      </c>
      <c r="I20421" s="6" t="n">
        <f aca="false">Seg!I76*(al_srch+Sens!I20416+sbc_r)</f>
        <v>14.5621512181916</v>
      </c>
      <c r="J20421" s="6" t="n">
        <f aca="false">Seg!J76*(al_srch+Sens!J20416+sbc_r)</f>
        <v>15.7310381862385</v>
      </c>
      <c r="K20421" s="6" t="n">
        <f aca="false">Seg!K76*(al_srch+Sens!K20416+sbc_r)</f>
        <v>16.8873320486462</v>
      </c>
    </row>
    <row r="20422" customFormat="false" ht="17.15" hidden="false" customHeight="false" outlineLevel="0" collapsed="false">
      <c r="A20422" s="0" t="s">
        <v>1237</v>
      </c>
      <c r="B20422" s="0" t="s">
        <v>98</v>
      </c>
      <c r="F20422" s="6" t="n">
        <f aca="false">Thesis!F135-Thesis!F136+Thesis!F151</f>
        <v>38.9696429794913</v>
      </c>
      <c r="G20422" s="6" t="n">
        <f aca="false">Thesis!G135-Thesis!G136+Thesis!G151</f>
        <v>69.465497726016</v>
      </c>
      <c r="H20422" s="6" t="n">
        <f aca="false">Thesis!H135-Thesis!H136+Thesis!H151</f>
        <v>96.8147106808268</v>
      </c>
      <c r="I20422" s="6" t="n">
        <f aca="false">Thesis!I135-Thesis!I136+Thesis!I151</f>
        <v>127.654939766446</v>
      </c>
      <c r="J20422" s="6" t="n">
        <f aca="false">Thesis!J135-Thesis!J136+Thesis!J151</f>
        <v>149.308352681229</v>
      </c>
      <c r="K20422" s="6" t="n">
        <f aca="false">Thesis!K135-Thesis!K136+Thesis!K151</f>
        <v>162.731822021841</v>
      </c>
    </row>
    <row r="20423" customFormat="false" ht="17.15" hidden="false" customHeight="false" outlineLevel="0" collapsed="false">
      <c r="A20423" s="0" t="s">
        <v>1238</v>
      </c>
      <c r="B20423" s="0" t="s">
        <v>98</v>
      </c>
      <c r="F20423" s="6" t="n">
        <f aca="false">PL!F110+Thesis!F151+Thesis!F147+Sens!F20416*(Seg!F75-Thesis!F129)+sbc_r*Seg!F75</f>
        <v>234.79972328186</v>
      </c>
      <c r="G20423" s="6" t="n">
        <f aca="false">PL!G110+Thesis!G151+Thesis!G147+Sens!G20416*(Seg!G75-Thesis!G129)+sbc_r*Seg!G75</f>
        <v>285.499052659517</v>
      </c>
      <c r="H20423" s="6" t="n">
        <f aca="false">PL!H110+Thesis!H151+Thesis!H147+Sens!H20416*(Seg!H75-Thesis!H129)+sbc_r*Seg!H75</f>
        <v>338.258569294547</v>
      </c>
      <c r="I20423" s="6" t="n">
        <f aca="false">PL!I110+Thesis!I151+Thesis!I147+Sens!I20416*(Seg!I75-Thesis!I129)+sbc_r*Seg!I75</f>
        <v>393.887902526982</v>
      </c>
      <c r="J20423" s="6" t="n">
        <f aca="false">PL!J110+Thesis!J151+Thesis!J147+Sens!J20416*(Seg!J75-Thesis!J129)+sbc_r*Seg!J75</f>
        <v>438.406631506078</v>
      </c>
      <c r="K20423" s="6" t="n">
        <f aca="false">PL!K110+Thesis!K151+Thesis!K147+Sens!K20416*(Seg!K75-Thesis!K129)+sbc_r*Seg!K75</f>
        <v>472.352875745143</v>
      </c>
    </row>
    <row r="20424" customFormat="false" ht="17.15" hidden="false" customHeight="false" outlineLevel="0" collapsed="false">
      <c r="A20424" s="0" t="s">
        <v>1239</v>
      </c>
      <c r="B20424" s="0" t="s">
        <v>98</v>
      </c>
      <c r="F20424" s="6" t="n">
        <f aca="false">Sens!F20423-Sens!F20417-Sens!F20418-Sens!F20419-Sens!F20420-Sens!F20422</f>
        <v>67.4353297630543</v>
      </c>
      <c r="G20424" s="6" t="n">
        <f aca="false">Sens!G20423-Sens!G20417-Sens!G20418-Sens!G20419-Sens!G20420-Sens!G20422</f>
        <v>74.9539293781376</v>
      </c>
      <c r="H20424" s="6" t="n">
        <f aca="false">Sens!H20423-Sens!H20417-Sens!H20418-Sens!H20419-Sens!H20420-Sens!H20422</f>
        <v>87.537773486888</v>
      </c>
      <c r="I20424" s="6" t="n">
        <f aca="false">Sens!I20423-Sens!I20417-Sens!I20418-Sens!I20419-Sens!I20420-Sens!I20422</f>
        <v>100.057277169252</v>
      </c>
      <c r="J20424" s="6" t="n">
        <f aca="false">Sens!J20423-Sens!J20417-Sens!J20418-Sens!J20419-Sens!J20420-Sens!J20422</f>
        <v>111.429055512297</v>
      </c>
      <c r="K20424" s="6" t="n">
        <f aca="false">Sens!K20423-Sens!K20417-Sens!K20418-Sens!K20419-Sens!K20420-Sens!K20422</f>
        <v>120.961838550618</v>
      </c>
    </row>
    <row r="20425" customFormat="false" ht="17.15" hidden="false" customHeight="false" outlineLevel="0" collapsed="false">
      <c r="A20425" s="0" t="s">
        <v>1240</v>
      </c>
      <c r="B20425" s="0" t="s">
        <v>98</v>
      </c>
      <c r="F20425" s="6" t="n">
        <f aca="false">PL!F112+Sens!F20416*Seg!F82+sbc_r*Seg!F82</f>
        <v>26.6373549789235</v>
      </c>
      <c r="G20425" s="6" t="n">
        <f aca="false">PL!G112+Sens!G20416*Seg!G82+sbc_r*Seg!G82</f>
        <v>26.5038922765853</v>
      </c>
      <c r="H20425" s="6" t="n">
        <f aca="false">PL!H112+Sens!H20416*Seg!H82+sbc_r*Seg!H82</f>
        <v>27.3981100014792</v>
      </c>
      <c r="I20425" s="6" t="n">
        <f aca="false">PL!I112+Sens!I20416*Seg!I82+sbc_r*Seg!I82</f>
        <v>28.5176442589239</v>
      </c>
      <c r="J20425" s="6" t="n">
        <f aca="false">PL!J112+Sens!J20416*Seg!J82+sbc_r*Seg!J82</f>
        <v>29.8313998963726</v>
      </c>
      <c r="K20425" s="6" t="n">
        <f aca="false">PL!K112+Sens!K20416*Seg!K82+sbc_r*Seg!K82</f>
        <v>31.3103466222307</v>
      </c>
    </row>
    <row r="20426" customFormat="false" ht="17.15" hidden="false" customHeight="false" outlineLevel="0" collapsed="false">
      <c r="A20426" s="0" t="s">
        <v>1241</v>
      </c>
      <c r="B20426" s="0" t="s">
        <v>98</v>
      </c>
      <c r="F20426" s="6" t="n">
        <f aca="false">(Sens!F20425-Sens!F20421)*Seg!F78/(Seg!F78+Seg!F80)</f>
        <v>8.72405610479892</v>
      </c>
      <c r="G20426" s="6" t="n">
        <f aca="false">(Sens!G20425-Sens!G20421)*Seg!G78/(Seg!G78+Seg!G80)</f>
        <v>7.897418765869</v>
      </c>
      <c r="H20426" s="6" t="n">
        <f aca="false">(Sens!H20425-Sens!H20421)*Seg!H78/(Seg!H78+Seg!H80)</f>
        <v>7.66644879573063</v>
      </c>
      <c r="I20426" s="6" t="n">
        <f aca="false">(Sens!I20425-Sens!I20421)*Seg!I78/(Seg!I78+Seg!I80)</f>
        <v>7.5787545031814</v>
      </c>
      <c r="J20426" s="6" t="n">
        <f aca="false">(Sens!J20425-Sens!J20421)*Seg!J78/(Seg!J78+Seg!J80)</f>
        <v>7.62401876450459</v>
      </c>
      <c r="K20426" s="6" t="n">
        <f aca="false">(Sens!K20425-Sens!K20421)*Seg!K78/(Seg!K78+Seg!K80)</f>
        <v>7.79847609658838</v>
      </c>
    </row>
    <row r="20427" customFormat="false" ht="17.15" hidden="false" customHeight="false" outlineLevel="0" collapsed="false">
      <c r="A20427" s="0" t="s">
        <v>1242</v>
      </c>
      <c r="B20427" s="0" t="s">
        <v>98</v>
      </c>
      <c r="F20427" s="6" t="n">
        <f aca="false">Sens!F20425-Sens!F20421-Sens!F20426</f>
        <v>6.72261492154066</v>
      </c>
      <c r="G20427" s="6" t="n">
        <f aca="false">Sens!G20425-Sens!G20421-Sens!G20426</f>
        <v>6.33014063899044</v>
      </c>
      <c r="H20427" s="6" t="n">
        <f aca="false">Sens!H20425-Sens!H20421-Sens!H20426</f>
        <v>6.32730487109095</v>
      </c>
      <c r="I20427" s="6" t="n">
        <f aca="false">Sens!I20425-Sens!I20421-Sens!I20426</f>
        <v>6.37673853755084</v>
      </c>
      <c r="J20427" s="6" t="n">
        <f aca="false">Sens!J20425-Sens!J20421-Sens!J20426</f>
        <v>6.47634294562954</v>
      </c>
      <c r="K20427" s="6" t="n">
        <f aca="false">Sens!K20425-Sens!K20421-Sens!K20426</f>
        <v>6.62453847699607</v>
      </c>
    </row>
    <row r="20428" customFormat="false" ht="17.15" hidden="false" customHeight="false" outlineLevel="0" collapsed="false">
      <c r="A20428" s="0" t="s">
        <v>1243</v>
      </c>
      <c r="B20428" s="0" t="s">
        <v>98</v>
      </c>
      <c r="F20428" s="6" t="n">
        <f aca="false">Sens!F20422-tax_f*(Sens!F20422-Thesis!F147)-Thesis!F144</f>
        <v>-130.362326762856</v>
      </c>
      <c r="G20428" s="6" t="n">
        <f aca="false">Sens!G20422-tax_f*(Sens!G20422-Thesis!G147)-Thesis!G144</f>
        <v>-124.225179337776</v>
      </c>
      <c r="H20428" s="6" t="n">
        <f aca="false">Sens!H20422-tax_f*(Sens!H20422-Thesis!H147)-Thesis!H144</f>
        <v>-101.534217387562</v>
      </c>
      <c r="I20428" s="6" t="n">
        <f aca="false">Sens!I20422-tax_f*(Sens!I20422-Thesis!I147)-Thesis!I144</f>
        <v>-43.6446798695439</v>
      </c>
      <c r="J20428" s="6" t="n">
        <f aca="false">Sens!J20422-tax_f*(Sens!J20422-Thesis!J147)-Thesis!J144</f>
        <v>16.9198855589618</v>
      </c>
      <c r="K20428" s="6" t="n">
        <f aca="false">Sens!K20422-tax_f*(Sens!K20422-Thesis!K147)-Thesis!K144</f>
        <v>39.8251384629271</v>
      </c>
    </row>
    <row r="20429" customFormat="false" ht="17.15" hidden="false" customHeight="false" outlineLevel="0" collapsed="false">
      <c r="A20429" s="0" t="s">
        <v>1244</v>
      </c>
      <c r="B20429" s="0" t="s">
        <v>98</v>
      </c>
      <c r="G20429" s="6" t="n">
        <f aca="false">Sens!G20428/(1+wacc)^(Sens!G20399-Sens!F20400)</f>
        <v>-118.286276192192</v>
      </c>
      <c r="H20429" s="6" t="n">
        <f aca="false">Sens!H20428/(1+wacc)^(Sens!H20399-Sens!F20400)</f>
        <v>-87.6570009910427</v>
      </c>
      <c r="I20429" s="6" t="n">
        <f aca="false">Sens!I20428/(1+wacc)^(Sens!I20399-Sens!F20400)</f>
        <v>-34.1629172979204</v>
      </c>
      <c r="J20429" s="6" t="n">
        <f aca="false">Sens!J20428/(1+wacc)^(Sens!J20399-Sens!F20400)</f>
        <v>12.0079954170053</v>
      </c>
      <c r="K20429" s="6" t="n">
        <f aca="false">Sens!K20428/(1+wacc)^(Sens!K20399-Sens!F20400)</f>
        <v>25.6259421582556</v>
      </c>
      <c r="L20429" s="1" t="s">
        <v>1245</v>
      </c>
    </row>
    <row r="20430" customFormat="false" ht="17.15" hidden="false" customHeight="false" outlineLevel="0" collapsed="false">
      <c r="A20430" s="0" t="s">
        <v>1246</v>
      </c>
      <c r="B20430" s="0" t="s">
        <v>98</v>
      </c>
      <c r="C20430" s="6" t="n">
        <f aca="false">(Sens!K20422-Thesis!K147)*(1-tax_f)*(1+g_tv)*(1-g_tv/(wacc+ronic_prem))/(wacc-g_tv)/(1+wacc)^(Sens!K20400-Sens!F20400)</f>
        <v>96.7148026864948</v>
      </c>
    </row>
    <row r="20431" customFormat="false" ht="17.15" hidden="false" customHeight="false" outlineLevel="0" collapsed="false">
      <c r="A20431" s="1" t="s">
        <v>1247</v>
      </c>
      <c r="B20431" s="0" t="s">
        <v>98</v>
      </c>
      <c r="C20431" s="6" t="n">
        <f aca="false">(SUM(Sens!G20429:K20429)+Sens!$C$20430)*(1+wacc)^(t_roll-Sens!F20400)</f>
        <v>-109.248827617462</v>
      </c>
      <c r="L20431" s="12" t="s">
        <v>1248</v>
      </c>
    </row>
    <row r="20432" customFormat="false" ht="17.15" hidden="false" customHeight="false" outlineLevel="0" collapsed="false">
      <c r="A20432" s="1" t="s">
        <v>1249</v>
      </c>
      <c r="B20432" s="0" t="s">
        <v>98</v>
      </c>
      <c r="C20432" s="6" t="n">
        <f aca="false">(w_ntm28*Thesis!G135+(1-w_ntm28)*Thesis!H135)*m_ai</f>
        <v>344.355829012336</v>
      </c>
    </row>
    <row r="20433" customFormat="false" ht="17.15" hidden="false" customHeight="false" outlineLevel="0" collapsed="false">
      <c r="A20433" s="1" t="s">
        <v>1250</v>
      </c>
      <c r="B20433" s="0" t="s">
        <v>98</v>
      </c>
      <c r="C20433" s="6" t="n">
        <f aca="false">(w_ntm28*Sens!G20424+(1-w_ntm28)*Sens!H20424)*m_cloud</f>
        <v>1093.03877543039</v>
      </c>
    </row>
    <row r="20434" customFormat="false" ht="17.15" hidden="false" customHeight="false" outlineLevel="0" collapsed="false">
      <c r="A20434" s="1" t="s">
        <v>1251</v>
      </c>
      <c r="B20434" s="0" t="s">
        <v>98</v>
      </c>
      <c r="C20434" s="6" t="n">
        <f aca="false">(w_ntm28*Sens!G20417+(1-w_ntm28)*Sens!H20417)*m_sw</f>
        <v>1045.17056616266</v>
      </c>
    </row>
    <row r="20435" customFormat="false" ht="17.15" hidden="false" customHeight="false" outlineLevel="0" collapsed="false">
      <c r="A20435" s="1" t="s">
        <v>1252</v>
      </c>
      <c r="B20435" s="0" t="s">
        <v>98</v>
      </c>
      <c r="C20435" s="6" t="n">
        <f aca="false">(w_ntm28*Sens!G20418+(1-w_ntm28)*Sens!H20418)*m_sw</f>
        <v>373.178444957791</v>
      </c>
    </row>
    <row r="20436" customFormat="false" ht="17.15" hidden="false" customHeight="false" outlineLevel="0" collapsed="false">
      <c r="A20436" s="1" t="s">
        <v>1253</v>
      </c>
      <c r="B20436" s="0" t="s">
        <v>98</v>
      </c>
      <c r="C20436" s="6" t="n">
        <f aca="false">(w_ntm28*Sens!G20419+(1-w_ntm28)*Sens!H20419)*m_sw</f>
        <v>109.30055788101</v>
      </c>
    </row>
    <row r="20437" customFormat="false" ht="17.15" hidden="false" customHeight="false" outlineLevel="0" collapsed="false">
      <c r="A20437" s="1" t="s">
        <v>1254</v>
      </c>
      <c r="B20437" s="0" t="s">
        <v>98</v>
      </c>
      <c r="C20437" s="6" t="n">
        <f aca="false">(w_ntm28*Sens!G20420+(1-w_ntm28)*Sens!H20420)*m_sw</f>
        <v>41.5531037214606</v>
      </c>
    </row>
    <row r="20438" customFormat="false" ht="17.15" hidden="false" customHeight="false" outlineLevel="0" collapsed="false">
      <c r="A20438" s="1" t="s">
        <v>1255</v>
      </c>
      <c r="B20438" s="0" t="s">
        <v>98</v>
      </c>
      <c r="C20438" s="6" t="n">
        <f aca="false">(w_ntm28*Sens!G20421+(1-w_ntm28)*Sens!H20421)*m_ads</f>
        <v>115.215899994784</v>
      </c>
    </row>
    <row r="20439" customFormat="false" ht="17.15" hidden="false" customHeight="false" outlineLevel="0" collapsed="false">
      <c r="A20439" s="1" t="s">
        <v>1256</v>
      </c>
      <c r="B20439" s="0" t="s">
        <v>98</v>
      </c>
      <c r="C20439" s="6" t="n">
        <f aca="false">(w_ntm28*Sens!G20426+(1-w_ntm28)*Sens!H20426)*m_game</f>
        <v>98.7853357615783</v>
      </c>
    </row>
    <row r="20440" customFormat="false" ht="17.15" hidden="false" customHeight="false" outlineLevel="0" collapsed="false">
      <c r="A20440" s="1" t="s">
        <v>1257</v>
      </c>
      <c r="B20440" s="0" t="s">
        <v>98</v>
      </c>
      <c r="C20440" s="6" t="n">
        <f aca="false">(w_ntm28*Sens!G20427+(1-w_ntm28)*Sens!H20427)*m_pc</f>
        <v>91.5836445602173</v>
      </c>
    </row>
    <row r="20441" customFormat="false" ht="17.15" hidden="false" customHeight="false" outlineLevel="0" collapsed="false">
      <c r="A20441" s="1" t="s">
        <v>1258</v>
      </c>
      <c r="B20441" s="0" t="s">
        <v>98</v>
      </c>
      <c r="C20441" s="6" t="n">
        <f aca="false">Sens!$C$20431+Sens!$C$20433+Sens!$C$20434+Sens!$C$20435+Sens!$C$20436+Sens!$C$20437+Sens!$C$20438+Sens!$C$20439+Sens!$C$20440</f>
        <v>2858.57750085243</v>
      </c>
    </row>
    <row r="20442" customFormat="false" ht="17.15" hidden="false" customHeight="false" outlineLevel="0" collapsed="false">
      <c r="A20442" s="1" t="s">
        <v>1259</v>
      </c>
      <c r="B20442" s="0" t="s">
        <v>98</v>
      </c>
      <c r="C20442" s="6" t="n">
        <f aca="false">(Sens!G20403-Sens!G20428)*t_stub</f>
        <v>47.4829168796038</v>
      </c>
      <c r="L20442" s="1" t="s">
        <v>1260</v>
      </c>
    </row>
    <row r="20443" customFormat="false" ht="17.15" hidden="false" customHeight="false" outlineLevel="0" collapsed="false">
      <c r="A20443" s="1" t="s">
        <v>1169</v>
      </c>
      <c r="B20443" s="0" t="s">
        <v>98</v>
      </c>
      <c r="C20443" s="6" t="n">
        <f aca="false">CF!F103+(oai_stake_hi*oai_val*(1-liq_disc))-CF!F92+Sens!$C$20442</f>
        <v>179.00227008544</v>
      </c>
      <c r="L20443" s="1" t="s">
        <v>1261</v>
      </c>
    </row>
    <row r="20444" customFormat="false" ht="17.15" hidden="false" customHeight="false" outlineLevel="0" collapsed="false">
      <c r="A20444" s="1" t="s">
        <v>1262</v>
      </c>
      <c r="B20444" s="0" t="s">
        <v>75</v>
      </c>
      <c r="C20444" s="5" t="n">
        <f aca="false">(Sens!$C$20441+Sens!$C$20443)/(CF!F105+dil_gap)-CF!G95*roll_div_q/q_per_yr</f>
        <v>404.187257062149</v>
      </c>
      <c r="L20444" s="1" t="s">
        <v>1263</v>
      </c>
    </row>
    <row r="20445" customFormat="false" ht="17.15" hidden="false" customHeight="false" outlineLevel="0" collapsed="false">
      <c r="A20445" s="1" t="s">
        <v>1264</v>
      </c>
      <c r="B20445" s="0" t="s">
        <v>75</v>
      </c>
      <c r="C20445" s="5" t="n">
        <f aca="false">w_dcf*Sens!$C$20415+(1-w_dcf)*Sens!$C$20444</f>
        <v>343.956222088305</v>
      </c>
    </row>
    <row r="20446" customFormat="false" ht="17.15" hidden="false" customHeight="false" outlineLevel="0" collapsed="false">
      <c r="A20446" s="3" t="s">
        <v>1983</v>
      </c>
    </row>
    <row r="20447" customFormat="false" ht="15" hidden="false" customHeight="false" outlineLevel="0" collapsed="false">
      <c r="A20447" s="4" t="s">
        <v>43</v>
      </c>
      <c r="B20447" s="4" t="s">
        <v>65</v>
      </c>
      <c r="C20447" s="23" t="s">
        <v>938</v>
      </c>
      <c r="D20447" s="23" t="s">
        <v>939</v>
      </c>
      <c r="E20447" s="23" t="s">
        <v>940</v>
      </c>
      <c r="F20447" s="23" t="s">
        <v>941</v>
      </c>
      <c r="G20447" s="23" t="s">
        <v>942</v>
      </c>
      <c r="H20447" s="23" t="s">
        <v>943</v>
      </c>
      <c r="I20447" s="23" t="s">
        <v>944</v>
      </c>
      <c r="J20447" s="23" t="s">
        <v>945</v>
      </c>
      <c r="K20447" s="23" t="s">
        <v>946</v>
      </c>
      <c r="L20447" s="4" t="s">
        <v>47</v>
      </c>
    </row>
    <row r="20448" customFormat="false" ht="17.15" hidden="false" customHeight="false" outlineLevel="0" collapsed="false">
      <c r="A20448" s="1" t="s">
        <v>1212</v>
      </c>
      <c r="B20448" s="1" t="s">
        <v>279</v>
      </c>
      <c r="F20448" s="8" t="n">
        <f aca="false">(1-v_off)*mid_yr</f>
        <v>0.373972602739726</v>
      </c>
      <c r="G20448" s="8" t="n">
        <f aca="false">Thesis!G6-base_fy-mid_yr-v_off</f>
        <v>1.24794520547945</v>
      </c>
      <c r="H20448" s="8" t="n">
        <f aca="false">Thesis!H6-base_fy-mid_yr-v_off</f>
        <v>2.24794520547945</v>
      </c>
      <c r="I20448" s="8" t="n">
        <f aca="false">Thesis!I6-base_fy-mid_yr-v_off</f>
        <v>3.24794520547945</v>
      </c>
      <c r="J20448" s="8" t="n">
        <f aca="false">Thesis!J6-base_fy-mid_yr-v_off</f>
        <v>4.24794520547945</v>
      </c>
      <c r="K20448" s="8" t="n">
        <f aca="false">Thesis!K6-base_fy-mid_yr-v_off</f>
        <v>5.24794520547945</v>
      </c>
      <c r="L20448" s="12" t="s">
        <v>1213</v>
      </c>
    </row>
    <row r="20449" customFormat="false" ht="15" hidden="false" customHeight="false" outlineLevel="0" collapsed="false">
      <c r="A20449" s="1" t="s">
        <v>1214</v>
      </c>
      <c r="B20449" s="1" t="s">
        <v>279</v>
      </c>
      <c r="F20449" s="8" t="n">
        <f aca="false">Thesis!F6-base_fy-v_off</f>
        <v>0.747945205479452</v>
      </c>
      <c r="G20449" s="8" t="n">
        <f aca="false">Thesis!G6-base_fy-v_off</f>
        <v>1.74794520547945</v>
      </c>
      <c r="H20449" s="8" t="n">
        <f aca="false">Thesis!H6-base_fy-v_off</f>
        <v>2.74794520547945</v>
      </c>
      <c r="I20449" s="8" t="n">
        <f aca="false">Thesis!I6-base_fy-v_off</f>
        <v>3.74794520547945</v>
      </c>
      <c r="J20449" s="8" t="n">
        <f aca="false">Thesis!J6-base_fy-v_off</f>
        <v>4.74794520547945</v>
      </c>
      <c r="K20449" s="8" t="n">
        <f aca="false">Thesis!K6-base_fy-v_off</f>
        <v>5.74794520547945</v>
      </c>
    </row>
    <row r="20450" customFormat="false" ht="15" hidden="false" customHeight="false" outlineLevel="0" collapsed="false">
      <c r="A20450" s="1" t="s">
        <v>1215</v>
      </c>
      <c r="B20450" s="0" t="s">
        <v>229</v>
      </c>
      <c r="F20450" s="15" t="n">
        <f aca="false">1/(1+wacc)^Sens!F20448</f>
        <v>0.964022703286649</v>
      </c>
      <c r="G20450" s="15" t="n">
        <f aca="false">1/(1+wacc)^Sens!G20448</f>
        <v>0.884910302296739</v>
      </c>
      <c r="H20450" s="15" t="n">
        <f aca="false">1/(1+wacc)^Sens!H20448</f>
        <v>0.802322009770358</v>
      </c>
      <c r="I20450" s="15" t="n">
        <f aca="false">1/(1+wacc)^Sens!I20448</f>
        <v>0.727441646561469</v>
      </c>
      <c r="J20450" s="15" t="n">
        <f aca="false">1/(1+wacc)^Sens!J20448</f>
        <v>0.659549834988973</v>
      </c>
      <c r="K20450" s="15" t="n">
        <f aca="false">1/(1+wacc)^Sens!K20448</f>
        <v>0.597994336576966</v>
      </c>
    </row>
    <row r="20451" customFormat="false" ht="17.15" hidden="false" customHeight="false" outlineLevel="0" collapsed="false">
      <c r="A20451" s="1" t="s">
        <v>1216</v>
      </c>
      <c r="B20451" s="0" t="s">
        <v>98</v>
      </c>
      <c r="F20451" s="6" t="n">
        <f aca="false">Q!$I$35-Q!$I$39-Q!$I$43</f>
        <v>9.666</v>
      </c>
      <c r="L20451" s="12" t="s">
        <v>1217</v>
      </c>
    </row>
    <row r="20452" customFormat="false" ht="17.15" hidden="false" customHeight="false" outlineLevel="0" collapsed="false">
      <c r="A20452" s="1" t="s">
        <v>1218</v>
      </c>
      <c r="B20452" s="0" t="s">
        <v>98</v>
      </c>
      <c r="F20452" s="6" t="n">
        <f aca="false">CF!F23-CF!F20-CF!F27+Thesis!F47*(1-tax_f)*(1-v_off)-Sens!F20451</f>
        <v>-1.12880264559539</v>
      </c>
      <c r="G20452" s="6" t="n">
        <f aca="false">CF!G23-CF!G20-CF!G27+Thesis!G47*(1-tax_f)</f>
        <v>38.7194421947551</v>
      </c>
      <c r="H20452" s="6" t="n">
        <f aca="false">CF!H23-CF!H20-CF!H27+Thesis!H47*(1-tax_f)</f>
        <v>98.6927474567662</v>
      </c>
      <c r="I20452" s="6" t="n">
        <f aca="false">CF!I23-CF!I20-CF!I27+Thesis!I47*(1-tax_f)</f>
        <v>181.625440536277</v>
      </c>
      <c r="J20452" s="6" t="n">
        <f aca="false">CF!J23-CF!J20-CF!J27+Thesis!J47*(1-tax_f)</f>
        <v>263.350402418584</v>
      </c>
      <c r="K20452" s="6" t="n">
        <f aca="false">CF!K23-CF!K20-CF!K27+Thesis!K47*(1-tax_f)</f>
        <v>303.659068389018</v>
      </c>
      <c r="L20452" s="1" t="s">
        <v>1219</v>
      </c>
    </row>
    <row r="20453" customFormat="false" ht="15" hidden="false" customHeight="false" outlineLevel="0" collapsed="false">
      <c r="A20453" s="1" t="s">
        <v>1220</v>
      </c>
      <c r="B20453" s="0" t="s">
        <v>98</v>
      </c>
      <c r="F20453" s="6" t="n">
        <f aca="false">Sens!F20452*Sens!F20450</f>
        <v>-1.08819137788399</v>
      </c>
      <c r="G20453" s="6" t="n">
        <f aca="false">Sens!G20452*Sens!G20450</f>
        <v>34.2632332973219</v>
      </c>
      <c r="H20453" s="6" t="n">
        <f aca="false">Sens!H20452*Sens!H20450</f>
        <v>79.183363489271</v>
      </c>
      <c r="I20453" s="6" t="n">
        <f aca="false">Sens!I20452*Sens!I20450</f>
        <v>132.121909521162</v>
      </c>
      <c r="J20453" s="6" t="n">
        <f aca="false">Sens!J20452*Sens!J20450</f>
        <v>173.692714459456</v>
      </c>
      <c r="K20453" s="6" t="n">
        <f aca="false">Sens!K20452*Sens!K20450</f>
        <v>181.58640314687</v>
      </c>
    </row>
    <row r="20454" customFormat="false" ht="17.15" hidden="false" customHeight="false" outlineLevel="0" collapsed="false">
      <c r="A20454" s="1" t="s">
        <v>1221</v>
      </c>
      <c r="B20454" s="0" t="s">
        <v>98</v>
      </c>
      <c r="C20454" s="6" t="n">
        <f aca="false">SUM(Sens!F20453:K20453)</f>
        <v>599.759432536197</v>
      </c>
    </row>
    <row r="20455" customFormat="false" ht="17.15" hidden="false" customHeight="false" outlineLevel="0" collapsed="false">
      <c r="A20455" s="1" t="s">
        <v>1222</v>
      </c>
      <c r="B20455" s="0" t="s">
        <v>98</v>
      </c>
      <c r="C20455" s="6" t="n">
        <f aca="false">PL!K39*(1+g_tv)*(1-tax_f)</f>
        <v>316.501318799308</v>
      </c>
    </row>
    <row r="20456" customFormat="false" ht="17.15" hidden="false" customHeight="false" outlineLevel="0" collapsed="false">
      <c r="A20456" s="1" t="s">
        <v>1223</v>
      </c>
      <c r="B20456" s="0" t="s">
        <v>98</v>
      </c>
      <c r="C20456" s="6" t="n">
        <f aca="false">Sens!$C$20455*(1-g_tv/(wacc+ronic_prem))</f>
        <v>224.25968269347</v>
      </c>
    </row>
    <row r="20457" customFormat="false" ht="17.15" hidden="false" customHeight="false" outlineLevel="0" collapsed="false">
      <c r="A20457" s="1" t="s">
        <v>1224</v>
      </c>
      <c r="B20457" s="0" t="s">
        <v>98</v>
      </c>
      <c r="C20457" s="6" t="n">
        <f aca="false">Sens!$C$20456/(wacc-g_tv)</f>
        <v>3074.72120352792</v>
      </c>
    </row>
    <row r="20458" customFormat="false" ht="15" hidden="false" customHeight="false" outlineLevel="0" collapsed="false">
      <c r="A20458" s="1" t="s">
        <v>1225</v>
      </c>
      <c r="B20458" s="0" t="s">
        <v>98</v>
      </c>
      <c r="C20458" s="6" t="n">
        <f aca="false">Sens!$C$20457/(1+wacc)^Sens!K20449</f>
        <v>1750.76373116397</v>
      </c>
    </row>
    <row r="20459" customFormat="false" ht="17.15" hidden="false" customHeight="false" outlineLevel="0" collapsed="false">
      <c r="A20459" s="0" t="s">
        <v>1226</v>
      </c>
      <c r="B20459" s="0" t="s">
        <v>98</v>
      </c>
      <c r="C20459" s="6" t="n">
        <f aca="false">Sens!$C$20454+Sens!$C$20458</f>
        <v>2350.52316370017</v>
      </c>
    </row>
    <row r="20460" customFormat="false" ht="15" hidden="false" customHeight="false" outlineLevel="0" collapsed="false">
      <c r="A20460" s="1" t="s">
        <v>1141</v>
      </c>
      <c r="B20460" s="0" t="s">
        <v>168</v>
      </c>
      <c r="C20460" s="7" t="n">
        <f aca="false">Sens!$C$20458/Sens!$C$20459</f>
        <v>0.744840024638574</v>
      </c>
    </row>
    <row r="20461" customFormat="false" ht="17.15" hidden="false" customHeight="false" outlineLevel="0" collapsed="false">
      <c r="A20461" s="1" t="s">
        <v>1227</v>
      </c>
      <c r="B20461" s="0" t="s">
        <v>98</v>
      </c>
      <c r="C20461" s="6" t="n">
        <f aca="false">Sens!$C$20459+cash_val-debt_val-fl_val+(oai_stake_hi*oai_val)</f>
        <v>2532.83016370017</v>
      </c>
    </row>
    <row r="20462" customFormat="false" ht="17.15" hidden="false" customHeight="false" outlineLevel="0" collapsed="false">
      <c r="A20462" s="0" t="s">
        <v>1149</v>
      </c>
      <c r="B20462" s="0" t="s">
        <v>75</v>
      </c>
      <c r="C20462" s="5" t="n">
        <f aca="false">Sens!$C$20461/shd_val</f>
        <v>340.15983933658</v>
      </c>
    </row>
    <row r="20463" customFormat="false" ht="15" hidden="false" customHeight="false" outlineLevel="0" collapsed="false">
      <c r="A20463" s="1" t="s">
        <v>1228</v>
      </c>
      <c r="B20463" s="0" t="s">
        <v>75</v>
      </c>
      <c r="C20463" s="8" t="n">
        <f aca="false">div_rem27+CF!G31*roll_div_q/q_per_yr</f>
        <v>3.9795</v>
      </c>
    </row>
    <row r="20464" customFormat="false" ht="17.15" hidden="false" customHeight="false" outlineLevel="0" collapsed="false">
      <c r="A20464" s="0" t="s">
        <v>1229</v>
      </c>
      <c r="B20464" s="0" t="s">
        <v>75</v>
      </c>
      <c r="C20464" s="5" t="n">
        <f aca="false">Sens!$C$20462*(1+wacc)^t_roll-Sens!$C$20463</f>
        <v>374.127145996259</v>
      </c>
    </row>
    <row r="20465" customFormat="false" ht="17.15" hidden="false" customHeight="false" outlineLevel="0" collapsed="false">
      <c r="A20465" s="1" t="s">
        <v>1230</v>
      </c>
      <c r="B20465" s="0" t="s">
        <v>168</v>
      </c>
      <c r="F20465" s="7" t="n">
        <f aca="false">CF!F17/(Seg!F29-Thesis!F25)</f>
        <v>0.0685527305696859</v>
      </c>
      <c r="G20465" s="7" t="n">
        <f aca="false">CF!G17/(Seg!G29-Thesis!G25)</f>
        <v>0.0653567731599844</v>
      </c>
      <c r="H20465" s="7" t="n">
        <f aca="false">CF!H17/(Seg!H29-Thesis!H25)</f>
        <v>0.0636628841026972</v>
      </c>
      <c r="I20465" s="7" t="n">
        <f aca="false">CF!I17/(Seg!I29-Thesis!I25)</f>
        <v>0.0633581084335176</v>
      </c>
      <c r="J20465" s="7" t="n">
        <f aca="false">CF!J17/(Seg!J29-Thesis!J25)</f>
        <v>0.0640873955995062</v>
      </c>
      <c r="K20465" s="7" t="n">
        <f aca="false">CF!K17/(Seg!K29-Thesis!K25)</f>
        <v>0.0653962234835198</v>
      </c>
    </row>
    <row r="20466" customFormat="false" ht="17.15" hidden="false" customHeight="false" outlineLevel="0" collapsed="false">
      <c r="A20466" s="0" t="s">
        <v>1231</v>
      </c>
      <c r="B20466" s="0" t="s">
        <v>98</v>
      </c>
      <c r="F20466" s="6" t="n">
        <f aca="false">Seg!F14*(al_m365+Sens!F20465+sbc_r)</f>
        <v>84.5213906545575</v>
      </c>
      <c r="G20466" s="6" t="n">
        <f aca="false">Seg!G14*(al_m365+Sens!G20465+sbc_r)</f>
        <v>98.949983331796</v>
      </c>
      <c r="H20466" s="6" t="n">
        <f aca="false">Seg!H14*(al_m365+Sens!H20465+sbc_r)</f>
        <v>113.543734275326</v>
      </c>
      <c r="I20466" s="6" t="n">
        <f aca="false">Seg!I14*(al_m365+Sens!I20465+sbc_r)</f>
        <v>126.62058838692</v>
      </c>
      <c r="J20466" s="6" t="n">
        <f aca="false">Seg!J14*(al_m365+Sens!J20465+sbc_r)</f>
        <v>137.994660156303</v>
      </c>
      <c r="K20466" s="6" t="n">
        <f aca="false">Seg!K14*(al_m365+Sens!K20465+sbc_r)</f>
        <v>148.989224092997</v>
      </c>
      <c r="L20466" s="12" t="s">
        <v>1232</v>
      </c>
    </row>
    <row r="20467" customFormat="false" ht="17.15" hidden="false" customHeight="false" outlineLevel="0" collapsed="false">
      <c r="A20467" s="0" t="s">
        <v>1233</v>
      </c>
      <c r="B20467" s="0" t="s">
        <v>98</v>
      </c>
      <c r="F20467" s="6" t="n">
        <f aca="false">Seg!F15*(al_lic+Sens!F20465+sbc_r)</f>
        <v>32.855200196554</v>
      </c>
      <c r="G20467" s="6" t="n">
        <f aca="false">Seg!G15*(al_lic+Sens!G20465+sbc_r)</f>
        <v>34.1185582613282</v>
      </c>
      <c r="H20467" s="6" t="n">
        <f aca="false">Seg!H15*(al_lic+Sens!H20465+sbc_r)</f>
        <v>35.3024309363621</v>
      </c>
      <c r="I20467" s="6" t="n">
        <f aca="false">Seg!I15*(al_lic+Sens!I20465+sbc_r)</f>
        <v>36.3898468129533</v>
      </c>
      <c r="J20467" s="6" t="n">
        <f aca="false">Seg!J15*(al_lic+Sens!J20465+sbc_r)</f>
        <v>37.3529129529876</v>
      </c>
      <c r="K20467" s="6" t="n">
        <f aca="false">Seg!K15*(al_lic+Sens!K20465+sbc_r)</f>
        <v>38.158536171203</v>
      </c>
    </row>
    <row r="20468" customFormat="false" ht="17.15" hidden="false" customHeight="false" outlineLevel="0" collapsed="false">
      <c r="A20468" s="0" t="s">
        <v>1234</v>
      </c>
      <c r="B20468" s="0" t="s">
        <v>98</v>
      </c>
      <c r="F20468" s="6" t="n">
        <f aca="false">Seg!F17*(al_ind+Sens!F20465+sbc_r)</f>
        <v>9.05892547956683</v>
      </c>
      <c r="G20468" s="6" t="n">
        <f aca="false">Seg!G17*(al_ind+Sens!G20465+sbc_r)</f>
        <v>9.82456487622418</v>
      </c>
      <c r="H20468" s="6" t="n">
        <f aca="false">Seg!H17*(al_ind+Sens!H20465+sbc_r)</f>
        <v>10.6377408477959</v>
      </c>
      <c r="I20468" s="6" t="n">
        <f aca="false">Seg!I17*(al_ind+Sens!I20465+sbc_r)</f>
        <v>11.4966323260293</v>
      </c>
      <c r="J20468" s="6" t="n">
        <f aca="false">Seg!J17*(al_ind+Sens!J20465+sbc_r)</f>
        <v>12.3903660286279</v>
      </c>
      <c r="K20468" s="6" t="n">
        <f aca="false">Seg!K17*(al_ind+Sens!K20465+sbc_r)</f>
        <v>13.3009129057681</v>
      </c>
    </row>
    <row r="20469" customFormat="false" ht="17.15" hidden="false" customHeight="false" outlineLevel="0" collapsed="false">
      <c r="A20469" s="0" t="s">
        <v>1235</v>
      </c>
      <c r="B20469" s="0" t="s">
        <v>98</v>
      </c>
      <c r="F20469" s="6" t="n">
        <f aca="false">Seg!F19*(al_fro+Sens!F20465+sbc_r)</f>
        <v>3.55344443532423</v>
      </c>
      <c r="G20469" s="6" t="n">
        <f aca="false">Seg!G19*(al_fro+Sens!G20465+sbc_r)</f>
        <v>3.75916645971565</v>
      </c>
      <c r="H20469" s="6" t="n">
        <f aca="false">Seg!H19*(al_fro+Sens!H20465+sbc_r)</f>
        <v>3.994970960527</v>
      </c>
      <c r="I20469" s="6" t="n">
        <f aca="false">Seg!I19*(al_fro+Sens!I20465+sbc_r)</f>
        <v>4.26396270432353</v>
      </c>
      <c r="J20469" s="6" t="n">
        <f aca="false">Seg!J19*(al_fro+Sens!J20465+sbc_r)</f>
        <v>4.5667795874336</v>
      </c>
      <c r="K20469" s="6" t="n">
        <f aca="false">Seg!K19*(al_fro+Sens!K20465+sbc_r)</f>
        <v>4.90238443416026</v>
      </c>
    </row>
    <row r="20470" customFormat="false" ht="17.15" hidden="false" customHeight="false" outlineLevel="0" collapsed="false">
      <c r="A20470" s="0" t="s">
        <v>1236</v>
      </c>
      <c r="B20470" s="0" t="s">
        <v>98</v>
      </c>
      <c r="F20470" s="6" t="n">
        <f aca="false">Seg!F22*(al_srch+Sens!F20465+sbc_r)</f>
        <v>11.1872483445711</v>
      </c>
      <c r="G20470" s="6" t="n">
        <f aca="false">Seg!G22*(al_srch+Sens!G20465+sbc_r)</f>
        <v>12.247246048296</v>
      </c>
      <c r="H20470" s="6" t="n">
        <f aca="false">Seg!H22*(al_srch+Sens!H20465+sbc_r)</f>
        <v>13.3552870946193</v>
      </c>
      <c r="I20470" s="6" t="n">
        <f aca="false">Seg!I22*(al_srch+Sens!I20465+sbc_r)</f>
        <v>14.5024145321619</v>
      </c>
      <c r="J20470" s="6" t="n">
        <f aca="false">Seg!J22*(al_srch+Sens!J20465+sbc_r)</f>
        <v>15.667276660652</v>
      </c>
      <c r="K20470" s="6" t="n">
        <f aca="false">Seg!K22*(al_srch+Sens!K20465+sbc_r)</f>
        <v>16.8186381138719</v>
      </c>
    </row>
    <row r="20471" customFormat="false" ht="17.15" hidden="false" customHeight="false" outlineLevel="0" collapsed="false">
      <c r="A20471" s="0" t="s">
        <v>1237</v>
      </c>
      <c r="B20471" s="0" t="s">
        <v>98</v>
      </c>
      <c r="F20471" s="6" t="n">
        <f aca="false">Thesis!F31-Thesis!F32+Thesis!F47</f>
        <v>45.3782580567763</v>
      </c>
      <c r="G20471" s="6" t="n">
        <f aca="false">Thesis!G31-Thesis!G32+Thesis!G47</f>
        <v>91.0863367558165</v>
      </c>
      <c r="H20471" s="6" t="n">
        <f aca="false">Thesis!H31-Thesis!H32+Thesis!H47</f>
        <v>144.617532464853</v>
      </c>
      <c r="I20471" s="6" t="n">
        <f aca="false">Thesis!I31-Thesis!I32+Thesis!I47</f>
        <v>187.137304561304</v>
      </c>
      <c r="J20471" s="6" t="n">
        <f aca="false">Thesis!J31-Thesis!J32+Thesis!J47</f>
        <v>217.006854425907</v>
      </c>
      <c r="K20471" s="6" t="n">
        <f aca="false">Thesis!K31-Thesis!K32+Thesis!K47</f>
        <v>234.933637903877</v>
      </c>
    </row>
    <row r="20472" customFormat="false" ht="17.15" hidden="false" customHeight="false" outlineLevel="0" collapsed="false">
      <c r="A20472" s="0" t="s">
        <v>1238</v>
      </c>
      <c r="B20472" s="0" t="s">
        <v>98</v>
      </c>
      <c r="F20472" s="6" t="n">
        <f aca="false">PL!F32+Thesis!F47+Thesis!F43+Sens!F20465*(Seg!F21-Thesis!F25)+sbc_r*Seg!F21</f>
        <v>240.818167741339</v>
      </c>
      <c r="G20472" s="6" t="n">
        <f aca="false">PL!G32+Thesis!G47+Thesis!G43+Sens!G20465*(Seg!G21-Thesis!G25)+sbc_r*Seg!G21</f>
        <v>311.917784140952</v>
      </c>
      <c r="H20472" s="6" t="n">
        <f aca="false">PL!H32+Thesis!H47+Thesis!H43+Sens!H20465*(Seg!H21-Thesis!H25)+sbc_r*Seg!H21</f>
        <v>395.486245683473</v>
      </c>
      <c r="I20472" s="6" t="n">
        <f aca="false">PL!I32+Thesis!I47+Thesis!I43+Sens!I20465*(Seg!I21-Thesis!I25)+sbc_r*Seg!I21</f>
        <v>465.950805948377</v>
      </c>
      <c r="J20472" s="6" t="n">
        <f aca="false">PL!J32+Thesis!J47+Thesis!J43+Sens!J20465*(Seg!J21-Thesis!J25)+sbc_r*Seg!J21</f>
        <v>520.78677388057</v>
      </c>
      <c r="K20472" s="6" t="n">
        <f aca="false">PL!K32+Thesis!K47+Thesis!K43+Sens!K20465*(Seg!K21-Thesis!K25)+sbc_r*Seg!K21</f>
        <v>561.2469767412</v>
      </c>
    </row>
    <row r="20473" customFormat="false" ht="17.15" hidden="false" customHeight="false" outlineLevel="0" collapsed="false">
      <c r="A20473" s="0" t="s">
        <v>1239</v>
      </c>
      <c r="B20473" s="0" t="s">
        <v>98</v>
      </c>
      <c r="F20473" s="6" t="n">
        <f aca="false">Sens!F20472-Sens!F20466-Sens!F20467-Sens!F20468-Sens!F20469-Sens!F20471</f>
        <v>65.4509489185601</v>
      </c>
      <c r="G20473" s="6" t="n">
        <f aca="false">Sens!G20472-Sens!G20466-Sens!G20467-Sens!G20468-Sens!G20469-Sens!G20471</f>
        <v>74.1791744560715</v>
      </c>
      <c r="H20473" s="6" t="n">
        <f aca="false">Sens!H20472-Sens!H20466-Sens!H20467-Sens!H20468-Sens!H20469-Sens!H20471</f>
        <v>87.3898361986086</v>
      </c>
      <c r="I20473" s="6" t="n">
        <f aca="false">Sens!I20472-Sens!I20466-Sens!I20467-Sens!I20468-Sens!I20469-Sens!I20471</f>
        <v>100.042471156846</v>
      </c>
      <c r="J20473" s="6" t="n">
        <f aca="false">Sens!J20472-Sens!J20466-Sens!J20467-Sens!J20468-Sens!J20469-Sens!J20471</f>
        <v>111.475200729312</v>
      </c>
      <c r="K20473" s="6" t="n">
        <f aca="false">Sens!K20472-Sens!K20466-Sens!K20467-Sens!K20468-Sens!K20469-Sens!K20471</f>
        <v>120.962281233195</v>
      </c>
    </row>
    <row r="20474" customFormat="false" ht="17.15" hidden="false" customHeight="false" outlineLevel="0" collapsed="false">
      <c r="A20474" s="0" t="s">
        <v>1240</v>
      </c>
      <c r="B20474" s="0" t="s">
        <v>98</v>
      </c>
      <c r="F20474" s="6" t="n">
        <f aca="false">PL!F34+Sens!F20465*Seg!F28+sbc_r*Seg!F28</f>
        <v>26.6293388420472</v>
      </c>
      <c r="G20474" s="6" t="n">
        <f aca="false">PL!G34+Sens!G20465*Seg!G28+sbc_r*Seg!G28</f>
        <v>26.4405000412783</v>
      </c>
      <c r="H20474" s="6" t="n">
        <f aca="false">PL!H34+Sens!H20465*Seg!H28+sbc_r*Seg!H28</f>
        <v>27.296860059552</v>
      </c>
      <c r="I20474" s="6" t="n">
        <f aca="false">PL!I34+Sens!I20465*Seg!I28+sbc_r*Seg!I28</f>
        <v>28.3995465815703</v>
      </c>
      <c r="J20474" s="6" t="n">
        <f aca="false">PL!J34+Sens!J20465*Seg!J28+sbc_r*Seg!J28</f>
        <v>29.7093380975903</v>
      </c>
      <c r="K20474" s="6" t="n">
        <f aca="false">PL!K34+Sens!K20465*Seg!K28+sbc_r*Seg!K28</f>
        <v>31.1817775287323</v>
      </c>
    </row>
    <row r="20475" customFormat="false" ht="17.15" hidden="false" customHeight="false" outlineLevel="0" collapsed="false">
      <c r="A20475" s="0" t="s">
        <v>1241</v>
      </c>
      <c r="B20475" s="0" t="s">
        <v>98</v>
      </c>
      <c r="F20475" s="6" t="n">
        <f aca="false">(Sens!F20474-Sens!F20470)*Seg!F24/(Seg!F24+Seg!F26)</f>
        <v>8.72146908842971</v>
      </c>
      <c r="G20475" s="6" t="n">
        <f aca="false">(Sens!G20474-Sens!G20470)*Seg!G24/(Seg!G24+Seg!G26)</f>
        <v>7.87837655379173</v>
      </c>
      <c r="H20475" s="6" t="n">
        <f aca="false">(Sens!H20474-Sens!H20470)*Seg!H24/(Seg!H24+Seg!H26)</f>
        <v>7.63786170689933</v>
      </c>
      <c r="I20475" s="6" t="n">
        <f aca="false">(Sens!I20474-Sens!I20470)*Seg!I24/(Seg!I24+Seg!I26)</f>
        <v>7.5470606300581</v>
      </c>
      <c r="J20475" s="6" t="n">
        <f aca="false">(Sens!J20474-Sens!J20470)*Seg!J24/(Seg!J24+Seg!J26)</f>
        <v>7.59249600034024</v>
      </c>
      <c r="K20475" s="6" t="n">
        <f aca="false">(Sens!K20474-Sens!K20470)*Seg!K24/(Seg!K24+Seg!K26)</f>
        <v>7.76610179704742</v>
      </c>
    </row>
    <row r="20476" customFormat="false" ht="17.15" hidden="false" customHeight="false" outlineLevel="0" collapsed="false">
      <c r="A20476" s="0" t="s">
        <v>1242</v>
      </c>
      <c r="B20476" s="0" t="s">
        <v>98</v>
      </c>
      <c r="F20476" s="6" t="n">
        <f aca="false">Sens!F20474-Sens!F20470-Sens!F20475</f>
        <v>6.72062140904636</v>
      </c>
      <c r="G20476" s="6" t="n">
        <f aca="false">Sens!G20474-Sens!G20470-Sens!G20475</f>
        <v>6.31487743919059</v>
      </c>
      <c r="H20476" s="6" t="n">
        <f aca="false">Sens!H20474-Sens!H20470-Sens!H20475</f>
        <v>6.30371125803333</v>
      </c>
      <c r="I20476" s="6" t="n">
        <f aca="false">Sens!I20474-Sens!I20470-Sens!I20475</f>
        <v>6.35007141935025</v>
      </c>
      <c r="J20476" s="6" t="n">
        <f aca="false">Sens!J20474-Sens!J20470-Sens!J20475</f>
        <v>6.44956543659808</v>
      </c>
      <c r="K20476" s="6" t="n">
        <f aca="false">Sens!K20474-Sens!K20470-Sens!K20475</f>
        <v>6.597037617813</v>
      </c>
    </row>
    <row r="20477" customFormat="false" ht="17.15" hidden="false" customHeight="false" outlineLevel="0" collapsed="false">
      <c r="A20477" s="0" t="s">
        <v>1243</v>
      </c>
      <c r="B20477" s="0" t="s">
        <v>98</v>
      </c>
      <c r="F20477" s="6" t="n">
        <f aca="false">Sens!F20471-tax_f*(Sens!F20471-Thesis!F43)-Thesis!F40</f>
        <v>-125.235434701028</v>
      </c>
      <c r="G20477" s="6" t="n">
        <f aca="false">Sens!G20471-tax_f*(Sens!G20471-Thesis!G43)-Thesis!G40</f>
        <v>-106.928508113935</v>
      </c>
      <c r="H20477" s="6" t="n">
        <f aca="false">Sens!H20471-tax_f*(Sens!H20471-Thesis!H43)-Thesis!H40</f>
        <v>-63.2919599603405</v>
      </c>
      <c r="I20477" s="6" t="n">
        <f aca="false">Sens!I20471-tax_f*(Sens!I20471-Thesis!I43)-Thesis!I40</f>
        <v>3.94121196634245</v>
      </c>
      <c r="J20477" s="6" t="n">
        <f aca="false">Sens!J20471-tax_f*(Sens!J20471-Thesis!J43)-Thesis!J40</f>
        <v>71.0786869547042</v>
      </c>
      <c r="K20477" s="6" t="n">
        <f aca="false">Sens!K20471-tax_f*(Sens!K20471-Thesis!K43)-Thesis!K40</f>
        <v>97.5865911685559</v>
      </c>
    </row>
    <row r="20478" customFormat="false" ht="17.15" hidden="false" customHeight="false" outlineLevel="0" collapsed="false">
      <c r="A20478" s="0" t="s">
        <v>1244</v>
      </c>
      <c r="B20478" s="0" t="s">
        <v>98</v>
      </c>
      <c r="G20478" s="6" t="n">
        <f aca="false">Sens!G20477/(1+wacc)^(Sens!G20448-Sens!F20449)</f>
        <v>-101.81651667568</v>
      </c>
      <c r="H20478" s="6" t="n">
        <f aca="false">Sens!H20477/(1+wacc)^(Sens!H20448-Sens!F20449)</f>
        <v>-54.6415143556151</v>
      </c>
      <c r="I20478" s="6" t="n">
        <f aca="false">Sens!I20477/(1+wacc)^(Sens!I20448-Sens!F20449)</f>
        <v>3.08498765169516</v>
      </c>
      <c r="J20478" s="6" t="n">
        <f aca="false">Sens!J20477/(1+wacc)^(Sens!J20448-Sens!F20449)</f>
        <v>50.4443451596971</v>
      </c>
      <c r="K20478" s="6" t="n">
        <f aca="false">Sens!K20477/(1+wacc)^(Sens!K20448-Sens!F20449)</f>
        <v>62.7932114544856</v>
      </c>
      <c r="L20478" s="1" t="s">
        <v>1245</v>
      </c>
    </row>
    <row r="20479" customFormat="false" ht="17.15" hidden="false" customHeight="false" outlineLevel="0" collapsed="false">
      <c r="A20479" s="0" t="s">
        <v>1246</v>
      </c>
      <c r="B20479" s="0" t="s">
        <v>98</v>
      </c>
      <c r="C20479" s="6" t="n">
        <f aca="false">(Sens!K20471-Thesis!K43)*(1-tax_f)*(1+g_tv)*(1-g_tv/(wacc+ronic_prem))/(wacc-g_tv)/(1+wacc)^(Sens!K20449-Sens!F20449)</f>
        <v>450.836735002813</v>
      </c>
    </row>
    <row r="20480" customFormat="false" ht="17.15" hidden="false" customHeight="false" outlineLevel="0" collapsed="false">
      <c r="A20480" s="1" t="s">
        <v>1247</v>
      </c>
      <c r="B20480" s="0" t="s">
        <v>98</v>
      </c>
      <c r="C20480" s="6" t="n">
        <f aca="false">(SUM(Sens!G20478:K20478)+Sens!$C$20479)*(1+wacc)^(t_roll-Sens!F20449)</f>
        <v>424.259738494477</v>
      </c>
      <c r="L20480" s="12" t="s">
        <v>1248</v>
      </c>
    </row>
    <row r="20481" customFormat="false" ht="17.15" hidden="false" customHeight="false" outlineLevel="0" collapsed="false">
      <c r="A20481" s="1" t="s">
        <v>1249</v>
      </c>
      <c r="B20481" s="0" t="s">
        <v>98</v>
      </c>
      <c r="C20481" s="6" t="n">
        <f aca="false">(w_ntm28*Thesis!G31+(1-w_ntm28)*Thesis!H31)*m_ai</f>
        <v>563.316843258668</v>
      </c>
    </row>
    <row r="20482" customFormat="false" ht="17.15" hidden="false" customHeight="false" outlineLevel="0" collapsed="false">
      <c r="A20482" s="1" t="s">
        <v>1250</v>
      </c>
      <c r="B20482" s="0" t="s">
        <v>98</v>
      </c>
      <c r="C20482" s="6" t="n">
        <f aca="false">(w_ntm28*Sens!G20473+(1-w_ntm28)*Sens!H20473)*m_cloud</f>
        <v>1085.17964696599</v>
      </c>
    </row>
    <row r="20483" customFormat="false" ht="17.15" hidden="false" customHeight="false" outlineLevel="0" collapsed="false">
      <c r="A20483" s="1" t="s">
        <v>1251</v>
      </c>
      <c r="B20483" s="0" t="s">
        <v>98</v>
      </c>
      <c r="C20483" s="6" t="n">
        <f aca="false">(w_ntm28*Sens!G20466+(1-w_ntm28)*Sens!H20466)*m_sw</f>
        <v>1120.47763155275</v>
      </c>
    </row>
    <row r="20484" customFormat="false" ht="17.15" hidden="false" customHeight="false" outlineLevel="0" collapsed="false">
      <c r="A20484" s="1" t="s">
        <v>1252</v>
      </c>
      <c r="B20484" s="0" t="s">
        <v>98</v>
      </c>
      <c r="C20484" s="6" t="n">
        <f aca="false">(w_ntm28*Sens!G20467+(1-w_ntm28)*Sens!H20467)*m_sw</f>
        <v>372.68398809041</v>
      </c>
    </row>
    <row r="20485" customFormat="false" ht="17.15" hidden="false" customHeight="false" outlineLevel="0" collapsed="false">
      <c r="A20485" s="1" t="s">
        <v>1253</v>
      </c>
      <c r="B20485" s="0" t="s">
        <v>98</v>
      </c>
      <c r="C20485" s="6" t="n">
        <f aca="false">(w_ntm28*Sens!G20468+(1-w_ntm28)*Sens!H20468)*m_sw</f>
        <v>108.992632332144</v>
      </c>
    </row>
    <row r="20486" customFormat="false" ht="17.15" hidden="false" customHeight="false" outlineLevel="0" collapsed="false">
      <c r="A20486" s="1" t="s">
        <v>1254</v>
      </c>
      <c r="B20486" s="0" t="s">
        <v>98</v>
      </c>
      <c r="C20486" s="6" t="n">
        <f aca="false">(w_ntm28*Sens!G20469+(1-w_ntm28)*Sens!H20469)*m_sw</f>
        <v>41.4362652527414</v>
      </c>
    </row>
    <row r="20487" customFormat="false" ht="17.15" hidden="false" customHeight="false" outlineLevel="0" collapsed="false">
      <c r="A20487" s="1" t="s">
        <v>1255</v>
      </c>
      <c r="B20487" s="0" t="s">
        <v>98</v>
      </c>
      <c r="C20487" s="6" t="n">
        <f aca="false">(w_ntm28*Sens!G20470+(1-w_ntm28)*Sens!H20470)*m_ads</f>
        <v>114.891070326937</v>
      </c>
    </row>
    <row r="20488" customFormat="false" ht="17.15" hidden="false" customHeight="false" outlineLevel="0" collapsed="false">
      <c r="A20488" s="1" t="s">
        <v>1256</v>
      </c>
      <c r="B20488" s="0" t="s">
        <v>98</v>
      </c>
      <c r="C20488" s="6" t="n">
        <f aca="false">(w_ntm28*Sens!G20475+(1-w_ntm28)*Sens!H20475)*m_game</f>
        <v>98.505199156718</v>
      </c>
    </row>
    <row r="20489" customFormat="false" ht="17.15" hidden="false" customHeight="false" outlineLevel="0" collapsed="false">
      <c r="A20489" s="1" t="s">
        <v>1257</v>
      </c>
      <c r="B20489" s="0" t="s">
        <v>98</v>
      </c>
      <c r="C20489" s="6" t="n">
        <f aca="false">(w_ntm28*Sens!G20476+(1-w_ntm28)*Sens!H20476)*m_pc</f>
        <v>91.3231561150564</v>
      </c>
    </row>
    <row r="20490" customFormat="false" ht="17.15" hidden="false" customHeight="false" outlineLevel="0" collapsed="false">
      <c r="A20490" s="1" t="s">
        <v>1258</v>
      </c>
      <c r="B20490" s="0" t="s">
        <v>98</v>
      </c>
      <c r="C20490" s="6" t="n">
        <f aca="false">Sens!$C$20480+Sens!$C$20482+Sens!$C$20483+Sens!$C$20484+Sens!$C$20485+Sens!$C$20486+Sens!$C$20487+Sens!$C$20488+Sens!$C$20489</f>
        <v>3457.74932828722</v>
      </c>
    </row>
    <row r="20491" customFormat="false" ht="17.15" hidden="false" customHeight="false" outlineLevel="0" collapsed="false">
      <c r="A20491" s="1" t="s">
        <v>1259</v>
      </c>
      <c r="B20491" s="0" t="s">
        <v>98</v>
      </c>
      <c r="C20491" s="6" t="n">
        <f aca="false">(Sens!G20452-Sens!G20477)*t_stub</f>
        <v>48.2832931160316</v>
      </c>
      <c r="L20491" s="1" t="s">
        <v>1260</v>
      </c>
    </row>
    <row r="20492" customFormat="false" ht="17.15" hidden="false" customHeight="false" outlineLevel="0" collapsed="false">
      <c r="A20492" s="1" t="s">
        <v>1169</v>
      </c>
      <c r="B20492" s="0" t="s">
        <v>98</v>
      </c>
      <c r="C20492" s="6" t="n">
        <f aca="false">CF!F39+(oai_stake_hi*oai_val)-CF!F28+Sens!$C$20491</f>
        <v>228.967563116032</v>
      </c>
      <c r="L20492" s="1" t="s">
        <v>1261</v>
      </c>
    </row>
    <row r="20493" customFormat="false" ht="17.15" hidden="false" customHeight="false" outlineLevel="0" collapsed="false">
      <c r="A20493" s="1" t="s">
        <v>1262</v>
      </c>
      <c r="B20493" s="0" t="s">
        <v>75</v>
      </c>
      <c r="C20493" s="5" t="n">
        <f aca="false">(Sens!$C$20490+Sens!$C$20492)/(CF!F41+dil_gap)-CF!G31*roll_div_q/q_per_yr</f>
        <v>491.161604587556</v>
      </c>
      <c r="L20493" s="1" t="s">
        <v>1263</v>
      </c>
    </row>
    <row r="20494" customFormat="false" ht="17.15" hidden="false" customHeight="false" outlineLevel="0" collapsed="false">
      <c r="A20494" s="1" t="s">
        <v>1264</v>
      </c>
      <c r="B20494" s="0" t="s">
        <v>75</v>
      </c>
      <c r="C20494" s="5" t="n">
        <f aca="false">w_dcf*Sens!$C$20464+(1-w_dcf)*Sens!$C$20493</f>
        <v>432.644375291907</v>
      </c>
    </row>
    <row r="20495" customFormat="false" ht="17.15" hidden="false" customHeight="false" outlineLevel="0" collapsed="false">
      <c r="A20495" s="3" t="s">
        <v>1984</v>
      </c>
    </row>
    <row r="20496" customFormat="false" ht="15" hidden="false" customHeight="false" outlineLevel="0" collapsed="false">
      <c r="A20496" s="4" t="s">
        <v>43</v>
      </c>
      <c r="B20496" s="4" t="s">
        <v>65</v>
      </c>
      <c r="C20496" s="23" t="s">
        <v>938</v>
      </c>
      <c r="D20496" s="23" t="s">
        <v>939</v>
      </c>
      <c r="E20496" s="23" t="s">
        <v>940</v>
      </c>
      <c r="F20496" s="23" t="s">
        <v>941</v>
      </c>
      <c r="G20496" s="23" t="s">
        <v>942</v>
      </c>
      <c r="H20496" s="23" t="s">
        <v>943</v>
      </c>
      <c r="I20496" s="23" t="s">
        <v>944</v>
      </c>
      <c r="J20496" s="23" t="s">
        <v>945</v>
      </c>
      <c r="K20496" s="23" t="s">
        <v>946</v>
      </c>
      <c r="L20496" s="4" t="s">
        <v>47</v>
      </c>
    </row>
    <row r="20497" customFormat="false" ht="17.15" hidden="false" customHeight="false" outlineLevel="0" collapsed="false">
      <c r="A20497" s="1" t="s">
        <v>1212</v>
      </c>
      <c r="B20497" s="1" t="s">
        <v>279</v>
      </c>
      <c r="F20497" s="8" t="n">
        <f aca="false">(1-v_off)*mid_yr</f>
        <v>0.373972602739726</v>
      </c>
      <c r="G20497" s="8" t="n">
        <f aca="false">Thesis!G58-base_fy-mid_yr-v_off</f>
        <v>1.24794520547945</v>
      </c>
      <c r="H20497" s="8" t="n">
        <f aca="false">Thesis!H58-base_fy-mid_yr-v_off</f>
        <v>2.24794520547945</v>
      </c>
      <c r="I20497" s="8" t="n">
        <f aca="false">Thesis!I58-base_fy-mid_yr-v_off</f>
        <v>3.24794520547945</v>
      </c>
      <c r="J20497" s="8" t="n">
        <f aca="false">Thesis!J58-base_fy-mid_yr-v_off</f>
        <v>4.24794520547945</v>
      </c>
      <c r="K20497" s="8" t="n">
        <f aca="false">Thesis!K58-base_fy-mid_yr-v_off</f>
        <v>5.24794520547945</v>
      </c>
      <c r="L20497" s="12" t="s">
        <v>1213</v>
      </c>
    </row>
    <row r="20498" customFormat="false" ht="15" hidden="false" customHeight="false" outlineLevel="0" collapsed="false">
      <c r="A20498" s="1" t="s">
        <v>1214</v>
      </c>
      <c r="B20498" s="1" t="s">
        <v>279</v>
      </c>
      <c r="F20498" s="8" t="n">
        <f aca="false">Thesis!F58-base_fy-v_off</f>
        <v>0.747945205479452</v>
      </c>
      <c r="G20498" s="8" t="n">
        <f aca="false">Thesis!G58-base_fy-v_off</f>
        <v>1.74794520547945</v>
      </c>
      <c r="H20498" s="8" t="n">
        <f aca="false">Thesis!H58-base_fy-v_off</f>
        <v>2.74794520547945</v>
      </c>
      <c r="I20498" s="8" t="n">
        <f aca="false">Thesis!I58-base_fy-v_off</f>
        <v>3.74794520547945</v>
      </c>
      <c r="J20498" s="8" t="n">
        <f aca="false">Thesis!J58-base_fy-v_off</f>
        <v>4.74794520547945</v>
      </c>
      <c r="K20498" s="8" t="n">
        <f aca="false">Thesis!K58-base_fy-v_off</f>
        <v>5.74794520547945</v>
      </c>
    </row>
    <row r="20499" customFormat="false" ht="15" hidden="false" customHeight="false" outlineLevel="0" collapsed="false">
      <c r="A20499" s="1" t="s">
        <v>1215</v>
      </c>
      <c r="B20499" s="0" t="s">
        <v>229</v>
      </c>
      <c r="F20499" s="15" t="n">
        <f aca="false">1/(1+wacc)^Sens!F20497</f>
        <v>0.964022703286649</v>
      </c>
      <c r="G20499" s="15" t="n">
        <f aca="false">1/(1+wacc)^Sens!G20497</f>
        <v>0.884910302296739</v>
      </c>
      <c r="H20499" s="15" t="n">
        <f aca="false">1/(1+wacc)^Sens!H20497</f>
        <v>0.802322009770358</v>
      </c>
      <c r="I20499" s="15" t="n">
        <f aca="false">1/(1+wacc)^Sens!I20497</f>
        <v>0.727441646561469</v>
      </c>
      <c r="J20499" s="15" t="n">
        <f aca="false">1/(1+wacc)^Sens!J20497</f>
        <v>0.659549834988973</v>
      </c>
      <c r="K20499" s="15" t="n">
        <f aca="false">1/(1+wacc)^Sens!K20497</f>
        <v>0.597994336576966</v>
      </c>
    </row>
    <row r="20500" customFormat="false" ht="17.15" hidden="false" customHeight="false" outlineLevel="0" collapsed="false">
      <c r="A20500" s="1" t="s">
        <v>1216</v>
      </c>
      <c r="B20500" s="0" t="s">
        <v>98</v>
      </c>
      <c r="F20500" s="6" t="n">
        <f aca="false">Q!$I$35-Q!$I$39-Q!$I$43</f>
        <v>9.666</v>
      </c>
      <c r="L20500" s="12" t="s">
        <v>1217</v>
      </c>
    </row>
    <row r="20501" customFormat="false" ht="17.15" hidden="false" customHeight="false" outlineLevel="0" collapsed="false">
      <c r="A20501" s="1" t="s">
        <v>1218</v>
      </c>
      <c r="B20501" s="0" t="s">
        <v>98</v>
      </c>
      <c r="F20501" s="6" t="n">
        <f aca="false">CF!F55-CF!F52-CF!F59+Thesis!F99*(1-tax_f)*(1-v_off)-Sens!F20500</f>
        <v>-3.35959137570949</v>
      </c>
      <c r="G20501" s="6" t="n">
        <f aca="false">CF!G55-CF!G52-CF!G59+Thesis!G99*(1-tax_f)</f>
        <v>29.8084555066036</v>
      </c>
      <c r="H20501" s="6" t="n">
        <f aca="false">CF!H55-CF!H52-CF!H59+Thesis!H99*(1-tax_f)</f>
        <v>79.3231801478051</v>
      </c>
      <c r="I20501" s="6" t="n">
        <f aca="false">CF!I55-CF!I52-CF!I59+Thesis!I99*(1-tax_f)</f>
        <v>157.29132812061</v>
      </c>
      <c r="J20501" s="6" t="n">
        <f aca="false">CF!J55-CF!J52-CF!J59+Thesis!J99*(1-tax_f)</f>
        <v>235.537601843622</v>
      </c>
      <c r="K20501" s="6" t="n">
        <f aca="false">CF!K55-CF!K52-CF!K59+Thesis!K99*(1-tax_f)</f>
        <v>273.705067207806</v>
      </c>
      <c r="L20501" s="1" t="s">
        <v>1219</v>
      </c>
    </row>
    <row r="20502" customFormat="false" ht="15" hidden="false" customHeight="false" outlineLevel="0" collapsed="false">
      <c r="A20502" s="1" t="s">
        <v>1220</v>
      </c>
      <c r="B20502" s="0" t="s">
        <v>98</v>
      </c>
      <c r="F20502" s="6" t="n">
        <f aca="false">Sens!F20501*Sens!F20499</f>
        <v>-3.23872235994998</v>
      </c>
      <c r="G20502" s="6" t="n">
        <f aca="false">Sens!G20501*Sens!G20499</f>
        <v>26.3778093733475</v>
      </c>
      <c r="H20502" s="6" t="n">
        <f aca="false">Sens!H20501*Sens!H20499</f>
        <v>63.6427333175632</v>
      </c>
      <c r="I20502" s="6" t="n">
        <f aca="false">Sens!I20501*Sens!I20499</f>
        <v>114.420262717897</v>
      </c>
      <c r="J20502" s="6" t="n">
        <f aca="false">Sens!J20501*Sens!J20499</f>
        <v>155.348786429659</v>
      </c>
      <c r="K20502" s="6" t="n">
        <f aca="false">Sens!K20501*Sens!K20499</f>
        <v>163.674080082686</v>
      </c>
    </row>
    <row r="20503" customFormat="false" ht="17.15" hidden="false" customHeight="false" outlineLevel="0" collapsed="false">
      <c r="A20503" s="1" t="s">
        <v>1221</v>
      </c>
      <c r="B20503" s="0" t="s">
        <v>98</v>
      </c>
      <c r="C20503" s="6" t="n">
        <f aca="false">SUM(Sens!F20502:K20502)</f>
        <v>520.224949561203</v>
      </c>
    </row>
    <row r="20504" customFormat="false" ht="17.15" hidden="false" customHeight="false" outlineLevel="0" collapsed="false">
      <c r="A20504" s="1" t="s">
        <v>1222</v>
      </c>
      <c r="B20504" s="0" t="s">
        <v>98</v>
      </c>
      <c r="C20504" s="6" t="n">
        <f aca="false">PL!K78*(1+g_tv)*(1-tax_f)</f>
        <v>284.979534119394</v>
      </c>
    </row>
    <row r="20505" customFormat="false" ht="17.15" hidden="false" customHeight="false" outlineLevel="0" collapsed="false">
      <c r="A20505" s="1" t="s">
        <v>1223</v>
      </c>
      <c r="B20505" s="0" t="s">
        <v>98</v>
      </c>
      <c r="C20505" s="6" t="n">
        <f aca="false">Sens!$C$20504*(1-g_tv/(wacc+ronic_prem))</f>
        <v>201.924655916751</v>
      </c>
    </row>
    <row r="20506" customFormat="false" ht="17.15" hidden="false" customHeight="false" outlineLevel="0" collapsed="false">
      <c r="A20506" s="1" t="s">
        <v>1224</v>
      </c>
      <c r="B20506" s="0" t="s">
        <v>98</v>
      </c>
      <c r="C20506" s="6" t="n">
        <f aca="false">Sens!$C$20505/(wacc-g_tv)</f>
        <v>2768.49594008808</v>
      </c>
    </row>
    <row r="20507" customFormat="false" ht="15" hidden="false" customHeight="false" outlineLevel="0" collapsed="false">
      <c r="A20507" s="1" t="s">
        <v>1225</v>
      </c>
      <c r="B20507" s="0" t="s">
        <v>98</v>
      </c>
      <c r="C20507" s="6" t="n">
        <f aca="false">Sens!$C$20506/(1+wacc)^Sens!K20498</f>
        <v>1576.39732546142</v>
      </c>
    </row>
    <row r="20508" customFormat="false" ht="17.15" hidden="false" customHeight="false" outlineLevel="0" collapsed="false">
      <c r="A20508" s="0" t="s">
        <v>1226</v>
      </c>
      <c r="B20508" s="0" t="s">
        <v>98</v>
      </c>
      <c r="C20508" s="6" t="n">
        <f aca="false">Sens!$C$20503+Sens!$C$20507</f>
        <v>2096.62227502262</v>
      </c>
    </row>
    <row r="20509" customFormat="false" ht="15" hidden="false" customHeight="false" outlineLevel="0" collapsed="false">
      <c r="A20509" s="1" t="s">
        <v>1141</v>
      </c>
      <c r="B20509" s="0" t="s">
        <v>168</v>
      </c>
      <c r="C20509" s="7" t="n">
        <f aca="false">Sens!$C$20507/Sens!$C$20508</f>
        <v>0.751874738831729</v>
      </c>
    </row>
    <row r="20510" customFormat="false" ht="17.15" hidden="false" customHeight="false" outlineLevel="0" collapsed="false">
      <c r="A20510" s="1" t="s">
        <v>1227</v>
      </c>
      <c r="B20510" s="0" t="s">
        <v>98</v>
      </c>
      <c r="C20510" s="6" t="n">
        <f aca="false">Sens!$C$20508+cash_val-debt_val-fl_val+(oai_stake_hi*oai_val)</f>
        <v>2278.92927502262</v>
      </c>
    </row>
    <row r="20511" customFormat="false" ht="17.15" hidden="false" customHeight="false" outlineLevel="0" collapsed="false">
      <c r="A20511" s="0" t="s">
        <v>1149</v>
      </c>
      <c r="B20511" s="0" t="s">
        <v>75</v>
      </c>
      <c r="C20511" s="5" t="n">
        <f aca="false">Sens!$C$20510/shd_val</f>
        <v>306.060874969463</v>
      </c>
    </row>
    <row r="20512" customFormat="false" ht="15" hidden="false" customHeight="false" outlineLevel="0" collapsed="false">
      <c r="A20512" s="1" t="s">
        <v>1228</v>
      </c>
      <c r="B20512" s="0" t="s">
        <v>75</v>
      </c>
      <c r="C20512" s="8" t="n">
        <f aca="false">div_rem27+CF!G63*roll_div_q/q_per_yr</f>
        <v>3.9795</v>
      </c>
    </row>
    <row r="20513" customFormat="false" ht="17.15" hidden="false" customHeight="false" outlineLevel="0" collapsed="false">
      <c r="A20513" s="0" t="s">
        <v>1229</v>
      </c>
      <c r="B20513" s="0" t="s">
        <v>75</v>
      </c>
      <c r="C20513" s="5" t="n">
        <f aca="false">Sens!$C$20511*(1+wacc)^t_roll-Sens!$C$20512</f>
        <v>336.224244013644</v>
      </c>
    </row>
    <row r="20514" customFormat="false" ht="17.15" hidden="false" customHeight="false" outlineLevel="0" collapsed="false">
      <c r="A20514" s="1" t="s">
        <v>1230</v>
      </c>
      <c r="B20514" s="0" t="s">
        <v>168</v>
      </c>
      <c r="F20514" s="7" t="n">
        <f aca="false">CF!F49/(Seg!F56-Thesis!F77)</f>
        <v>0.0686195668908011</v>
      </c>
      <c r="G20514" s="7" t="n">
        <f aca="false">CF!G49/(Seg!G56-Thesis!G77)</f>
        <v>0.0658333569148391</v>
      </c>
      <c r="H20514" s="7" t="n">
        <f aca="false">CF!H49/(Seg!H56-Thesis!H77)</f>
        <v>0.0643895625218926</v>
      </c>
      <c r="I20514" s="7" t="n">
        <f aca="false">CF!I49/(Seg!I56-Thesis!I77)</f>
        <v>0.0641676618157989</v>
      </c>
      <c r="J20514" s="7" t="n">
        <f aca="false">CF!J49/(Seg!J56-Thesis!J77)</f>
        <v>0.0648858606572163</v>
      </c>
      <c r="K20514" s="7" t="n">
        <f aca="false">CF!K49/(Seg!K56-Thesis!K77)</f>
        <v>0.0661974425163768</v>
      </c>
    </row>
    <row r="20515" customFormat="false" ht="17.15" hidden="false" customHeight="false" outlineLevel="0" collapsed="false">
      <c r="A20515" s="0" t="s">
        <v>1231</v>
      </c>
      <c r="B20515" s="0" t="s">
        <v>98</v>
      </c>
      <c r="F20515" s="6" t="n">
        <f aca="false">Seg!F41*(al_m365+Sens!F20514+sbc_r)</f>
        <v>83.7205619248671</v>
      </c>
      <c r="G20515" s="6" t="n">
        <f aca="false">Seg!G41*(al_m365+Sens!G20514+sbc_r)</f>
        <v>96.1301303332381</v>
      </c>
      <c r="H20515" s="6" t="n">
        <f aca="false">Seg!H41*(al_m365+Sens!H20514+sbc_r)</f>
        <v>108.70354073822</v>
      </c>
      <c r="I20515" s="6" t="n">
        <f aca="false">Seg!I41*(al_m365+Sens!I20514+sbc_r)</f>
        <v>120.260101315626</v>
      </c>
      <c r="J20515" s="6" t="n">
        <f aca="false">Seg!J41*(al_m365+Sens!J20514+sbc_r)</f>
        <v>130.611904548619</v>
      </c>
      <c r="K20515" s="6" t="n">
        <f aca="false">Seg!K41*(al_m365+Sens!K20514+sbc_r)</f>
        <v>140.575094974638</v>
      </c>
      <c r="L20515" s="12" t="s">
        <v>1232</v>
      </c>
    </row>
    <row r="20516" customFormat="false" ht="17.15" hidden="false" customHeight="false" outlineLevel="0" collapsed="false">
      <c r="A20516" s="0" t="s">
        <v>1233</v>
      </c>
      <c r="B20516" s="0" t="s">
        <v>98</v>
      </c>
      <c r="F20516" s="6" t="n">
        <f aca="false">Seg!F42*(al_lic+Sens!F20514+sbc_r)</f>
        <v>32.8577657183496</v>
      </c>
      <c r="G20516" s="6" t="n">
        <f aca="false">Seg!G42*(al_lic+Sens!G20514+sbc_r)</f>
        <v>34.1376266324889</v>
      </c>
      <c r="H20516" s="6" t="n">
        <f aca="false">Seg!H42*(al_lic+Sens!H20514+sbc_r)</f>
        <v>35.3325744664128</v>
      </c>
      <c r="I20516" s="6" t="n">
        <f aca="false">Seg!I42*(al_lic+Sens!I20514+sbc_r)</f>
        <v>36.4244749008727</v>
      </c>
      <c r="J20516" s="6" t="n">
        <f aca="false">Seg!J42*(al_lic+Sens!J20514+sbc_r)</f>
        <v>37.3879406068527</v>
      </c>
      <c r="K20516" s="6" t="n">
        <f aca="false">Seg!K42*(al_lic+Sens!K20514+sbc_r)</f>
        <v>38.1943876078259</v>
      </c>
    </row>
    <row r="20517" customFormat="false" ht="17.15" hidden="false" customHeight="false" outlineLevel="0" collapsed="false">
      <c r="A20517" s="0" t="s">
        <v>1234</v>
      </c>
      <c r="B20517" s="0" t="s">
        <v>98</v>
      </c>
      <c r="F20517" s="6" t="n">
        <f aca="false">Seg!F44*(al_ind+Sens!F20514+sbc_r)</f>
        <v>9.06041701092022</v>
      </c>
      <c r="G20517" s="6" t="n">
        <f aca="false">Seg!G44*(al_ind+Sens!G20514+sbc_r)</f>
        <v>9.83619082712885</v>
      </c>
      <c r="H20517" s="6" t="n">
        <f aca="false">Seg!H44*(al_ind+Sens!H20514+sbc_r)</f>
        <v>10.6570160105312</v>
      </c>
      <c r="I20517" s="6" t="n">
        <f aca="false">Seg!I44*(al_ind+Sens!I20514+sbc_r)</f>
        <v>11.5198571637125</v>
      </c>
      <c r="J20517" s="6" t="n">
        <f aca="false">Seg!J44*(al_ind+Sens!J20514+sbc_r)</f>
        <v>12.4150086539206</v>
      </c>
      <c r="K20517" s="6" t="n">
        <f aca="false">Seg!K44*(al_ind+Sens!K20514+sbc_r)</f>
        <v>13.3273714589988</v>
      </c>
    </row>
    <row r="20518" customFormat="false" ht="17.15" hidden="false" customHeight="false" outlineLevel="0" collapsed="false">
      <c r="A20518" s="0" t="s">
        <v>1235</v>
      </c>
      <c r="B20518" s="0" t="s">
        <v>98</v>
      </c>
      <c r="F20518" s="6" t="n">
        <f aca="false">Seg!F46*(al_fro+Sens!F20514+sbc_r)</f>
        <v>3.55402950182022</v>
      </c>
      <c r="G20518" s="6" t="n">
        <f aca="false">Seg!G46*(al_fro+Sens!G20514+sbc_r)</f>
        <v>3.76361488926481</v>
      </c>
      <c r="H20518" s="6" t="n">
        <f aca="false">Seg!H46*(al_fro+Sens!H20514+sbc_r)</f>
        <v>4.00220968879544</v>
      </c>
      <c r="I20518" s="6" t="n">
        <f aca="false">Seg!I46*(al_fro+Sens!I20514+sbc_r)</f>
        <v>4.2725765173852</v>
      </c>
      <c r="J20518" s="6" t="n">
        <f aca="false">Seg!J46*(al_fro+Sens!J20514+sbc_r)</f>
        <v>4.57586224390293</v>
      </c>
      <c r="K20518" s="6" t="n">
        <f aca="false">Seg!K46*(al_fro+Sens!K20514+sbc_r)</f>
        <v>4.91213639633217</v>
      </c>
    </row>
    <row r="20519" customFormat="false" ht="17.15" hidden="false" customHeight="false" outlineLevel="0" collapsed="false">
      <c r="A20519" s="0" t="s">
        <v>1236</v>
      </c>
      <c r="B20519" s="0" t="s">
        <v>98</v>
      </c>
      <c r="F20519" s="6" t="n">
        <f aca="false">Seg!F49*(al_srch+Sens!F20514+sbc_r)</f>
        <v>11.1890902994147</v>
      </c>
      <c r="G20519" s="6" t="n">
        <f aca="false">Seg!G49*(al_srch+Sens!G20514+sbc_r)</f>
        <v>12.261738891803</v>
      </c>
      <c r="H20519" s="6" t="n">
        <f aca="false">Seg!H49*(al_srch+Sens!H20514+sbc_r)</f>
        <v>13.3794863429193</v>
      </c>
      <c r="I20519" s="6" t="n">
        <f aca="false">Seg!I49*(al_srch+Sens!I20514+sbc_r)</f>
        <v>14.5317114787784</v>
      </c>
      <c r="J20519" s="6" t="n">
        <f aca="false">Seg!J49*(al_srch+Sens!J20514+sbc_r)</f>
        <v>15.6984365817724</v>
      </c>
      <c r="K20519" s="6" t="n">
        <f aca="false">Seg!K49*(al_srch+Sens!K20514+sbc_r)</f>
        <v>16.8520942258664</v>
      </c>
    </row>
    <row r="20520" customFormat="false" ht="17.15" hidden="false" customHeight="false" outlineLevel="0" collapsed="false">
      <c r="A20520" s="0" t="s">
        <v>1237</v>
      </c>
      <c r="B20520" s="0" t="s">
        <v>98</v>
      </c>
      <c r="F20520" s="6" t="n">
        <f aca="false">Thesis!F83-Thesis!F84+Thesis!F99</f>
        <v>42.5431090240393</v>
      </c>
      <c r="G20520" s="6" t="n">
        <f aca="false">Thesis!G83-Thesis!G84+Thesis!G99</f>
        <v>81.4922561130847</v>
      </c>
      <c r="H20520" s="6" t="n">
        <f aca="false">Thesis!H83-Thesis!H84+Thesis!H99</f>
        <v>123.278266211349</v>
      </c>
      <c r="I20520" s="6" t="n">
        <f aca="false">Thesis!I83-Thesis!I84+Thesis!I99</f>
        <v>160.60594185192</v>
      </c>
      <c r="J20520" s="6" t="n">
        <f aca="false">Thesis!J83-Thesis!J84+Thesis!J99</f>
        <v>186.818741832633</v>
      </c>
      <c r="K20520" s="6" t="n">
        <f aca="false">Thesis!K83-Thesis!K84+Thesis!K99</f>
        <v>202.776422159652</v>
      </c>
    </row>
    <row r="20521" customFormat="false" ht="17.15" hidden="false" customHeight="false" outlineLevel="0" collapsed="false">
      <c r="A20521" s="0" t="s">
        <v>1238</v>
      </c>
      <c r="B20521" s="0" t="s">
        <v>98</v>
      </c>
      <c r="F20521" s="6" t="n">
        <f aca="false">PL!F71+Thesis!F99+Thesis!F95+Sens!F20514*(Seg!F48-Thesis!F77)+sbc_r*Seg!F48</f>
        <v>238.090727427296</v>
      </c>
      <c r="G20521" s="6" t="n">
        <f aca="false">PL!G71+Thesis!G99+Thesis!G95+Sens!G20514*(Seg!G48-Thesis!G77)+sbc_r*Seg!G48</f>
        <v>299.90836088563</v>
      </c>
      <c r="H20521" s="6" t="n">
        <f aca="false">PL!H71+Thesis!H99+Thesis!H95+Sens!H20514*(Seg!H48-Thesis!H77)+sbc_r*Seg!H48</f>
        <v>369.457709442386</v>
      </c>
      <c r="I20521" s="6" t="n">
        <f aca="false">PL!I71+Thesis!I99+Thesis!I95+Sens!I20514*(Seg!I48-Thesis!I77)+sbc_r*Seg!I48</f>
        <v>433.16585128823</v>
      </c>
      <c r="J20521" s="6" t="n">
        <f aca="false">PL!J71+Thesis!J99+Thesis!J95+Sens!J20514*(Seg!J48-Thesis!J77)+sbc_r*Seg!J48</f>
        <v>483.301303131191</v>
      </c>
      <c r="K20521" s="6" t="n">
        <f aca="false">PL!K71+Thesis!K99+Thesis!K95+Sens!K20514*(Seg!K48-Thesis!K77)+sbc_r*Seg!K48</f>
        <v>520.789002205336</v>
      </c>
    </row>
    <row r="20522" customFormat="false" ht="17.15" hidden="false" customHeight="false" outlineLevel="0" collapsed="false">
      <c r="A20522" s="0" t="s">
        <v>1239</v>
      </c>
      <c r="B20522" s="0" t="s">
        <v>98</v>
      </c>
      <c r="F20522" s="6" t="n">
        <f aca="false">Sens!F20521-Sens!F20515-Sens!F20516-Sens!F20517-Sens!F20518-Sens!F20520</f>
        <v>66.3548442472996</v>
      </c>
      <c r="G20522" s="6" t="n">
        <f aca="false">Sens!G20521-Sens!G20515-Sens!G20516-Sens!G20517-Sens!G20518-Sens!G20520</f>
        <v>74.548542090425</v>
      </c>
      <c r="H20522" s="6" t="n">
        <f aca="false">Sens!H20521-Sens!H20515-Sens!H20516-Sens!H20517-Sens!H20518-Sens!H20520</f>
        <v>87.4841023270775</v>
      </c>
      <c r="I20522" s="6" t="n">
        <f aca="false">Sens!I20521-Sens!I20515-Sens!I20516-Sens!I20517-Sens!I20518-Sens!I20520</f>
        <v>100.082899538713</v>
      </c>
      <c r="J20522" s="6" t="n">
        <f aca="false">Sens!J20521-Sens!J20515-Sens!J20516-Sens!J20517-Sens!J20518-Sens!J20520</f>
        <v>111.491845245262</v>
      </c>
      <c r="K20522" s="6" t="n">
        <f aca="false">Sens!K20521-Sens!K20515-Sens!K20516-Sens!K20517-Sens!K20518-Sens!K20520</f>
        <v>121.003589607889</v>
      </c>
    </row>
    <row r="20523" customFormat="false" ht="17.15" hidden="false" customHeight="false" outlineLevel="0" collapsed="false">
      <c r="A20523" s="0" t="s">
        <v>1240</v>
      </c>
      <c r="B20523" s="0" t="s">
        <v>98</v>
      </c>
      <c r="F20523" s="6" t="n">
        <f aca="false">PL!F73+Sens!F20514*Seg!F55+sbc_r*Seg!F55</f>
        <v>26.6336365855879</v>
      </c>
      <c r="G20523" s="6" t="n">
        <f aca="false">PL!G73+Sens!G20514*Seg!G55+sbc_r*Seg!G55</f>
        <v>26.4720859498625</v>
      </c>
      <c r="H20523" s="6" t="n">
        <f aca="false">PL!H73+Sens!H20514*Seg!H55+sbc_r*Seg!H55</f>
        <v>27.346793021284</v>
      </c>
      <c r="I20523" s="6" t="n">
        <f aca="false">PL!I73+Sens!I20514*Seg!I55+sbc_r*Seg!I55</f>
        <v>28.4574657863154</v>
      </c>
      <c r="J20523" s="6" t="n">
        <f aca="false">PL!J73+Sens!J20514*Seg!J55+sbc_r*Seg!J55</f>
        <v>29.7689890546037</v>
      </c>
      <c r="K20523" s="6" t="n">
        <f aca="false">PL!K73+Sens!K20514*Seg!K55+sbc_r*Seg!K55</f>
        <v>31.2443947307494</v>
      </c>
    </row>
    <row r="20524" customFormat="false" ht="17.15" hidden="false" customHeight="false" outlineLevel="0" collapsed="false">
      <c r="A20524" s="0" t="s">
        <v>1241</v>
      </c>
      <c r="B20524" s="0" t="s">
        <v>98</v>
      </c>
      <c r="F20524" s="6" t="n">
        <f aca="false">(Sens!F20523-Sens!F20519)*Seg!F51/(Seg!F51+Seg!F53)</f>
        <v>8.72285608232241</v>
      </c>
      <c r="G20524" s="6" t="n">
        <f aca="false">(Sens!G20523-Sens!G20519)*Seg!G51/(Seg!G51+Seg!G53)</f>
        <v>7.88786455444355</v>
      </c>
      <c r="H20524" s="6" t="n">
        <f aca="false">(Sens!H20523-Sens!H20519)*Seg!H51/(Seg!H51+Seg!H53)</f>
        <v>7.65195986819674</v>
      </c>
      <c r="I20524" s="6" t="n">
        <f aca="false">(Sens!I20523-Sens!I20519)*Seg!I51/(Seg!I51+Seg!I53)</f>
        <v>7.56260440676676</v>
      </c>
      <c r="J20524" s="6" t="n">
        <f aca="false">(Sens!J20523-Sens!J20519)*Seg!J51/(Seg!J51+Seg!J53)</f>
        <v>7.60790100885945</v>
      </c>
      <c r="K20524" s="6" t="n">
        <f aca="false">(Sens!K20523-Sens!K20519)*Seg!K51/(Seg!K51+Seg!K53)</f>
        <v>7.78186910160995</v>
      </c>
    </row>
    <row r="20525" customFormat="false" ht="17.15" hidden="false" customHeight="false" outlineLevel="0" collapsed="false">
      <c r="A20525" s="0" t="s">
        <v>1242</v>
      </c>
      <c r="B20525" s="0" t="s">
        <v>98</v>
      </c>
      <c r="F20525" s="6" t="n">
        <f aca="false">Sens!F20523-Sens!F20519-Sens!F20524</f>
        <v>6.72169020385088</v>
      </c>
      <c r="G20525" s="6" t="n">
        <f aca="false">Sens!G20523-Sens!G20519-Sens!G20524</f>
        <v>6.322482503616</v>
      </c>
      <c r="H20525" s="6" t="n">
        <f aca="false">Sens!H20523-Sens!H20519-Sens!H20524</f>
        <v>6.315346810168</v>
      </c>
      <c r="I20525" s="6" t="n">
        <f aca="false">Sens!I20523-Sens!I20519-Sens!I20524</f>
        <v>6.36314990077033</v>
      </c>
      <c r="J20525" s="6" t="n">
        <f aca="false">Sens!J20523-Sens!J20519-Sens!J20524</f>
        <v>6.46265146397189</v>
      </c>
      <c r="K20525" s="6" t="n">
        <f aca="false">Sens!K20523-Sens!K20519-Sens!K20524</f>
        <v>6.61043140327304</v>
      </c>
    </row>
    <row r="20526" customFormat="false" ht="17.15" hidden="false" customHeight="false" outlineLevel="0" collapsed="false">
      <c r="A20526" s="0" t="s">
        <v>1243</v>
      </c>
      <c r="B20526" s="0" t="s">
        <v>98</v>
      </c>
      <c r="F20526" s="6" t="n">
        <f aca="false">Sens!F20520-tax_f*(Sens!F20520-Thesis!F95)-Thesis!F92</f>
        <v>-127.503553927218</v>
      </c>
      <c r="G20526" s="6" t="n">
        <f aca="false">Sens!G20520-tax_f*(Sens!G20520-Thesis!G95)-Thesis!G92</f>
        <v>-114.603772628121</v>
      </c>
      <c r="H20526" s="6" t="n">
        <f aca="false">Sens!H20520-tax_f*(Sens!H20520-Thesis!H95)-Thesis!H92</f>
        <v>-80.3633729631438</v>
      </c>
      <c r="I20526" s="6" t="n">
        <f aca="false">Sens!I20520-tax_f*(Sens!I20520-Thesis!I95)-Thesis!I92</f>
        <v>-17.2838782011649</v>
      </c>
      <c r="J20526" s="6" t="n">
        <f aca="false">Sens!J20520-tax_f*(Sens!J20520-Thesis!J95)-Thesis!J92</f>
        <v>46.9281968800854</v>
      </c>
      <c r="K20526" s="6" t="n">
        <f aca="false">Sens!K20520-tax_f*(Sens!K20520-Thesis!K95)-Thesis!K92</f>
        <v>71.8608185731755</v>
      </c>
    </row>
    <row r="20527" customFormat="false" ht="17.15" hidden="false" customHeight="false" outlineLevel="0" collapsed="false">
      <c r="A20527" s="0" t="s">
        <v>1244</v>
      </c>
      <c r="B20527" s="0" t="s">
        <v>98</v>
      </c>
      <c r="G20527" s="6" t="n">
        <f aca="false">Sens!G20526/(1+wacc)^(Sens!G20497-Sens!F20498)</f>
        <v>-109.124845494465</v>
      </c>
      <c r="H20527" s="6" t="n">
        <f aca="false">Sens!H20526/(1+wacc)^(Sens!H20497-Sens!F20498)</f>
        <v>-69.3796874071025</v>
      </c>
      <c r="I20527" s="6" t="n">
        <f aca="false">Sens!I20526/(1+wacc)^(Sens!I20497-Sens!F20498)</f>
        <v>-13.5289731380471</v>
      </c>
      <c r="J20527" s="6" t="n">
        <f aca="false">Sens!J20526/(1+wacc)^(Sens!J20497-Sens!F20498)</f>
        <v>33.3048099587126</v>
      </c>
      <c r="K20527" s="6" t="n">
        <f aca="false">Sens!K20526/(1+wacc)^(Sens!K20497-Sens!F20498)</f>
        <v>46.2396679904913</v>
      </c>
      <c r="L20527" s="1" t="s">
        <v>1245</v>
      </c>
    </row>
    <row r="20528" customFormat="false" ht="17.15" hidden="false" customHeight="false" outlineLevel="0" collapsed="false">
      <c r="A20528" s="0" t="s">
        <v>1246</v>
      </c>
      <c r="B20528" s="0" t="s">
        <v>98</v>
      </c>
      <c r="C20528" s="6" t="n">
        <f aca="false">(Sens!K20520-Thesis!K95)*(1-tax_f)*(1+g_tv)*(1-g_tv/(wacc+ronic_prem))/(wacc-g_tv)/(1+wacc)^(Sens!K20498-Sens!F20498)</f>
        <v>293.118051086843</v>
      </c>
    </row>
    <row r="20529" customFormat="false" ht="17.15" hidden="false" customHeight="false" outlineLevel="0" collapsed="false">
      <c r="A20529" s="1" t="s">
        <v>1247</v>
      </c>
      <c r="B20529" s="0" t="s">
        <v>98</v>
      </c>
      <c r="C20529" s="6" t="n">
        <f aca="false">(SUM(Sens!G20527:K20527)+Sens!$C$20528)*(1+wacc)^(t_roll-Sens!F20498)</f>
        <v>186.592133308255</v>
      </c>
      <c r="L20529" s="12" t="s">
        <v>1248</v>
      </c>
    </row>
    <row r="20530" customFormat="false" ht="17.15" hidden="false" customHeight="false" outlineLevel="0" collapsed="false">
      <c r="A20530" s="1" t="s">
        <v>1249</v>
      </c>
      <c r="B20530" s="0" t="s">
        <v>98</v>
      </c>
      <c r="C20530" s="6" t="n">
        <f aca="false">(w_ntm28*Thesis!G83+(1-w_ntm28)*Thesis!H83)*m_ai</f>
        <v>463.789109510335</v>
      </c>
    </row>
    <row r="20531" customFormat="false" ht="17.15" hidden="false" customHeight="false" outlineLevel="0" collapsed="false">
      <c r="A20531" s="1" t="s">
        <v>1250</v>
      </c>
      <c r="B20531" s="0" t="s">
        <v>98</v>
      </c>
      <c r="C20531" s="6" t="n">
        <f aca="false">(w_ntm28*Sens!G20522+(1-w_ntm28)*Sens!H20522)*m_cloud</f>
        <v>1089.03436702245</v>
      </c>
    </row>
    <row r="20532" customFormat="false" ht="17.15" hidden="false" customHeight="false" outlineLevel="0" collapsed="false">
      <c r="A20532" s="1" t="s">
        <v>1251</v>
      </c>
      <c r="B20532" s="0" t="s">
        <v>98</v>
      </c>
      <c r="C20532" s="6" t="n">
        <f aca="false">(w_ntm28*Sens!G20515+(1-w_ntm28)*Sens!H20515)*m_sw</f>
        <v>1082.84962646159</v>
      </c>
    </row>
    <row r="20533" customFormat="false" ht="17.15" hidden="false" customHeight="false" outlineLevel="0" collapsed="false">
      <c r="A20533" s="1" t="s">
        <v>1252</v>
      </c>
      <c r="B20533" s="0" t="s">
        <v>98</v>
      </c>
      <c r="C20533" s="6" t="n">
        <f aca="false">(w_ntm28*Sens!G20516+(1-w_ntm28)*Sens!H20516)*m_sw</f>
        <v>372.929250898731</v>
      </c>
    </row>
    <row r="20534" customFormat="false" ht="17.15" hidden="false" customHeight="false" outlineLevel="0" collapsed="false">
      <c r="A20534" s="1" t="s">
        <v>1253</v>
      </c>
      <c r="B20534" s="0" t="s">
        <v>98</v>
      </c>
      <c r="C20534" s="6" t="n">
        <f aca="false">(w_ntm28*Sens!G20517+(1-w_ntm28)*Sens!H20517)*m_sw</f>
        <v>109.1453525431</v>
      </c>
    </row>
    <row r="20535" customFormat="false" ht="17.15" hidden="false" customHeight="false" outlineLevel="0" collapsed="false">
      <c r="A20535" s="1" t="s">
        <v>1254</v>
      </c>
      <c r="B20535" s="0" t="s">
        <v>98</v>
      </c>
      <c r="C20535" s="6" t="n">
        <f aca="false">(w_ntm28*Sens!G20518+(1-w_ntm28)*Sens!H20518)*m_sw</f>
        <v>41.4942157634893</v>
      </c>
    </row>
    <row r="20536" customFormat="false" ht="17.15" hidden="false" customHeight="false" outlineLevel="0" collapsed="false">
      <c r="A20536" s="1" t="s">
        <v>1255</v>
      </c>
      <c r="B20536" s="0" t="s">
        <v>98</v>
      </c>
      <c r="C20536" s="6" t="n">
        <f aca="false">(w_ntm28*Sens!G20519+(1-w_ntm28)*Sens!H20519)*m_ads</f>
        <v>115.052171478463</v>
      </c>
    </row>
    <row r="20537" customFormat="false" ht="17.15" hidden="false" customHeight="false" outlineLevel="0" collapsed="false">
      <c r="A20537" s="1" t="s">
        <v>1256</v>
      </c>
      <c r="B20537" s="0" t="s">
        <v>98</v>
      </c>
      <c r="C20537" s="6" t="n">
        <f aca="false">(w_ntm28*Sens!G20524+(1-w_ntm28)*Sens!H20524)*m_game</f>
        <v>98.6441755076202</v>
      </c>
    </row>
    <row r="20538" customFormat="false" ht="17.15" hidden="false" customHeight="false" outlineLevel="0" collapsed="false">
      <c r="A20538" s="1" t="s">
        <v>1257</v>
      </c>
      <c r="B20538" s="0" t="s">
        <v>98</v>
      </c>
      <c r="C20538" s="6" t="n">
        <f aca="false">(w_ntm28*Sens!G20525+(1-w_ntm28)*Sens!H20525)*m_pc</f>
        <v>91.4523754763561</v>
      </c>
    </row>
    <row r="20539" customFormat="false" ht="17.15" hidden="false" customHeight="false" outlineLevel="0" collapsed="false">
      <c r="A20539" s="1" t="s">
        <v>1258</v>
      </c>
      <c r="B20539" s="0" t="s">
        <v>98</v>
      </c>
      <c r="C20539" s="6" t="n">
        <f aca="false">Sens!$C$20529+Sens!$C$20531+Sens!$C$20532+Sens!$C$20533+Sens!$C$20534+Sens!$C$20535+Sens!$C$20536+Sens!$C$20537+Sens!$C$20538</f>
        <v>3187.19366846006</v>
      </c>
    </row>
    <row r="20540" customFormat="false" ht="17.15" hidden="false" customHeight="false" outlineLevel="0" collapsed="false">
      <c r="A20540" s="1" t="s">
        <v>1259</v>
      </c>
      <c r="B20540" s="0" t="s">
        <v>98</v>
      </c>
      <c r="C20540" s="6" t="n">
        <f aca="false">(Sens!G20501-Sens!G20526)*t_stub</f>
        <v>47.8736427515113</v>
      </c>
      <c r="L20540" s="1" t="s">
        <v>1260</v>
      </c>
    </row>
    <row r="20541" customFormat="false" ht="17.15" hidden="false" customHeight="false" outlineLevel="0" collapsed="false">
      <c r="A20541" s="1" t="s">
        <v>1169</v>
      </c>
      <c r="B20541" s="0" t="s">
        <v>98</v>
      </c>
      <c r="C20541" s="6" t="n">
        <f aca="false">CF!F71+(oai_stake_hi*oai_val)-CF!F60+Sens!$C$20540</f>
        <v>228.557912751511</v>
      </c>
      <c r="L20541" s="1" t="s">
        <v>1261</v>
      </c>
    </row>
    <row r="20542" customFormat="false" ht="17.15" hidden="false" customHeight="false" outlineLevel="0" collapsed="false">
      <c r="A20542" s="1" t="s">
        <v>1262</v>
      </c>
      <c r="B20542" s="0" t="s">
        <v>75</v>
      </c>
      <c r="C20542" s="5" t="n">
        <f aca="false">(Sens!$C$20539+Sens!$C$20541)/(CF!F73+dil_gap)-CF!G63*roll_div_q/q_per_yr</f>
        <v>454.666908296928</v>
      </c>
      <c r="L20542" s="1" t="s">
        <v>1263</v>
      </c>
    </row>
    <row r="20543" customFormat="false" ht="17.15" hidden="false" customHeight="false" outlineLevel="0" collapsed="false">
      <c r="A20543" s="1" t="s">
        <v>1264</v>
      </c>
      <c r="B20543" s="0" t="s">
        <v>75</v>
      </c>
      <c r="C20543" s="5" t="n">
        <f aca="false">w_dcf*Sens!$C$20513+(1-w_dcf)*Sens!$C$20542</f>
        <v>395.445576155286</v>
      </c>
    </row>
    <row r="20544" customFormat="false" ht="17.15" hidden="false" customHeight="false" outlineLevel="0" collapsed="false">
      <c r="A20544" s="3" t="s">
        <v>1985</v>
      </c>
    </row>
    <row r="20545" customFormat="false" ht="15" hidden="false" customHeight="false" outlineLevel="0" collapsed="false">
      <c r="A20545" s="4" t="s">
        <v>43</v>
      </c>
      <c r="B20545" s="4" t="s">
        <v>65</v>
      </c>
      <c r="C20545" s="23" t="s">
        <v>938</v>
      </c>
      <c r="D20545" s="23" t="s">
        <v>939</v>
      </c>
      <c r="E20545" s="23" t="s">
        <v>940</v>
      </c>
      <c r="F20545" s="23" t="s">
        <v>941</v>
      </c>
      <c r="G20545" s="23" t="s">
        <v>942</v>
      </c>
      <c r="H20545" s="23" t="s">
        <v>943</v>
      </c>
      <c r="I20545" s="23" t="s">
        <v>944</v>
      </c>
      <c r="J20545" s="23" t="s">
        <v>945</v>
      </c>
      <c r="K20545" s="23" t="s">
        <v>946</v>
      </c>
      <c r="L20545" s="4" t="s">
        <v>47</v>
      </c>
    </row>
    <row r="20546" customFormat="false" ht="17.15" hidden="false" customHeight="false" outlineLevel="0" collapsed="false">
      <c r="A20546" s="1" t="s">
        <v>1212</v>
      </c>
      <c r="B20546" s="1" t="s">
        <v>279</v>
      </c>
      <c r="F20546" s="8" t="n">
        <f aca="false">(1-v_off)*mid_yr</f>
        <v>0.373972602739726</v>
      </c>
      <c r="G20546" s="8" t="n">
        <f aca="false">Thesis!G110-base_fy-mid_yr-v_off</f>
        <v>1.24794520547945</v>
      </c>
      <c r="H20546" s="8" t="n">
        <f aca="false">Thesis!H110-base_fy-mid_yr-v_off</f>
        <v>2.24794520547945</v>
      </c>
      <c r="I20546" s="8" t="n">
        <f aca="false">Thesis!I110-base_fy-mid_yr-v_off</f>
        <v>3.24794520547945</v>
      </c>
      <c r="J20546" s="8" t="n">
        <f aca="false">Thesis!J110-base_fy-mid_yr-v_off</f>
        <v>4.24794520547945</v>
      </c>
      <c r="K20546" s="8" t="n">
        <f aca="false">Thesis!K110-base_fy-mid_yr-v_off</f>
        <v>5.24794520547945</v>
      </c>
      <c r="L20546" s="12" t="s">
        <v>1213</v>
      </c>
    </row>
    <row r="20547" customFormat="false" ht="15" hidden="false" customHeight="false" outlineLevel="0" collapsed="false">
      <c r="A20547" s="1" t="s">
        <v>1214</v>
      </c>
      <c r="B20547" s="1" t="s">
        <v>279</v>
      </c>
      <c r="F20547" s="8" t="n">
        <f aca="false">Thesis!F110-base_fy-v_off</f>
        <v>0.747945205479452</v>
      </c>
      <c r="G20547" s="8" t="n">
        <f aca="false">Thesis!G110-base_fy-v_off</f>
        <v>1.74794520547945</v>
      </c>
      <c r="H20547" s="8" t="n">
        <f aca="false">Thesis!H110-base_fy-v_off</f>
        <v>2.74794520547945</v>
      </c>
      <c r="I20547" s="8" t="n">
        <f aca="false">Thesis!I110-base_fy-v_off</f>
        <v>3.74794520547945</v>
      </c>
      <c r="J20547" s="8" t="n">
        <f aca="false">Thesis!J110-base_fy-v_off</f>
        <v>4.74794520547945</v>
      </c>
      <c r="K20547" s="8" t="n">
        <f aca="false">Thesis!K110-base_fy-v_off</f>
        <v>5.74794520547945</v>
      </c>
    </row>
    <row r="20548" customFormat="false" ht="15" hidden="false" customHeight="false" outlineLevel="0" collapsed="false">
      <c r="A20548" s="1" t="s">
        <v>1215</v>
      </c>
      <c r="B20548" s="0" t="s">
        <v>229</v>
      </c>
      <c r="F20548" s="15" t="n">
        <f aca="false">1/(1+wacc)^Sens!F20546</f>
        <v>0.964022703286649</v>
      </c>
      <c r="G20548" s="15" t="n">
        <f aca="false">1/(1+wacc)^Sens!G20546</f>
        <v>0.884910302296739</v>
      </c>
      <c r="H20548" s="15" t="n">
        <f aca="false">1/(1+wacc)^Sens!H20546</f>
        <v>0.802322009770358</v>
      </c>
      <c r="I20548" s="15" t="n">
        <f aca="false">1/(1+wacc)^Sens!I20546</f>
        <v>0.727441646561469</v>
      </c>
      <c r="J20548" s="15" t="n">
        <f aca="false">1/(1+wacc)^Sens!J20546</f>
        <v>0.659549834988973</v>
      </c>
      <c r="K20548" s="15" t="n">
        <f aca="false">1/(1+wacc)^Sens!K20546</f>
        <v>0.597994336576966</v>
      </c>
    </row>
    <row r="20549" customFormat="false" ht="17.15" hidden="false" customHeight="false" outlineLevel="0" collapsed="false">
      <c r="A20549" s="1" t="s">
        <v>1216</v>
      </c>
      <c r="B20549" s="0" t="s">
        <v>98</v>
      </c>
      <c r="F20549" s="6" t="n">
        <f aca="false">Q!$I$35-Q!$I$39-Q!$I$43</f>
        <v>9.666</v>
      </c>
      <c r="L20549" s="12" t="s">
        <v>1217</v>
      </c>
    </row>
    <row r="20550" customFormat="false" ht="17.15" hidden="false" customHeight="false" outlineLevel="0" collapsed="false">
      <c r="A20550" s="1" t="s">
        <v>1218</v>
      </c>
      <c r="B20550" s="0" t="s">
        <v>98</v>
      </c>
      <c r="F20550" s="6" t="n">
        <f aca="false">CF!F87-CF!F84-CF!F91+Thesis!F151*(1-tax_f)*(1-v_off)-Sens!F20549</f>
        <v>-6.10282680452259</v>
      </c>
      <c r="G20550" s="6" t="n">
        <f aca="false">CF!G87-CF!G84-CF!G91+Thesis!G151*(1-tax_f)</f>
        <v>19.0084129023516</v>
      </c>
      <c r="H20550" s="6" t="n">
        <f aca="false">CF!H87-CF!H84-CF!H91+Thesis!H151*(1-tax_f)</f>
        <v>55.9229468383331</v>
      </c>
      <c r="I20550" s="6" t="n">
        <f aca="false">CF!I87-CF!I84-CF!I91+Thesis!I151*(1-tax_f)</f>
        <v>127.901908576191</v>
      </c>
      <c r="J20550" s="6" t="n">
        <f aca="false">CF!J87-CF!J84-CF!J91+Thesis!J151*(1-tax_f)</f>
        <v>201.958443859638</v>
      </c>
      <c r="K20550" s="6" t="n">
        <f aca="false">CF!K87-CF!K84-CF!K91+Thesis!K151*(1-tax_f)</f>
        <v>237.542519059905</v>
      </c>
      <c r="L20550" s="1" t="s">
        <v>1219</v>
      </c>
    </row>
    <row r="20551" customFormat="false" ht="15" hidden="false" customHeight="false" outlineLevel="0" collapsed="false">
      <c r="A20551" s="1" t="s">
        <v>1220</v>
      </c>
      <c r="B20551" s="0" t="s">
        <v>98</v>
      </c>
      <c r="F20551" s="6" t="n">
        <f aca="false">Sens!F20550*Sens!F20548</f>
        <v>-5.88326359378609</v>
      </c>
      <c r="G20551" s="6" t="n">
        <f aca="false">Sens!G20550*Sens!G20548</f>
        <v>16.8207404076012</v>
      </c>
      <c r="H20551" s="6" t="n">
        <f aca="false">Sens!H20550*Sens!H20548</f>
        <v>44.8682110996123</v>
      </c>
      <c r="I20551" s="6" t="n">
        <f aca="false">Sens!I20550*Sens!I20548</f>
        <v>93.0411749730187</v>
      </c>
      <c r="J20551" s="6" t="n">
        <f aca="false">Sens!J20550*Sens!J20548</f>
        <v>133.201658322254</v>
      </c>
      <c r="K20551" s="6" t="n">
        <f aca="false">Sens!K20550*Sens!K20548</f>
        <v>142.049081094049</v>
      </c>
    </row>
    <row r="20552" customFormat="false" ht="17.15" hidden="false" customHeight="false" outlineLevel="0" collapsed="false">
      <c r="A20552" s="1" t="s">
        <v>1221</v>
      </c>
      <c r="B20552" s="0" t="s">
        <v>98</v>
      </c>
      <c r="C20552" s="6" t="n">
        <f aca="false">SUM(Sens!F20551:K20551)</f>
        <v>424.097602302749</v>
      </c>
    </row>
    <row r="20553" customFormat="false" ht="17.15" hidden="false" customHeight="false" outlineLevel="0" collapsed="false">
      <c r="A20553" s="1" t="s">
        <v>1222</v>
      </c>
      <c r="B20553" s="0" t="s">
        <v>98</v>
      </c>
      <c r="C20553" s="6" t="n">
        <f aca="false">PL!K117*(1+g_tv)*(1-tax_f)</f>
        <v>247.098906713682</v>
      </c>
    </row>
    <row r="20554" customFormat="false" ht="17.15" hidden="false" customHeight="false" outlineLevel="0" collapsed="false">
      <c r="A20554" s="1" t="s">
        <v>1223</v>
      </c>
      <c r="B20554" s="0" t="s">
        <v>98</v>
      </c>
      <c r="C20554" s="6" t="n">
        <f aca="false">Sens!$C$20553*(1-g_tv/(wacc+ronic_prem))</f>
        <v>175.084017418113</v>
      </c>
    </row>
    <row r="20555" customFormat="false" ht="17.15" hidden="false" customHeight="false" outlineLevel="0" collapsed="false">
      <c r="A20555" s="1" t="s">
        <v>1224</v>
      </c>
      <c r="B20555" s="0" t="s">
        <v>98</v>
      </c>
      <c r="C20555" s="6" t="n">
        <f aca="false">Sens!$C$20554/(wacc-g_tv)</f>
        <v>2400.4963098523</v>
      </c>
    </row>
    <row r="20556" customFormat="false" ht="15" hidden="false" customHeight="false" outlineLevel="0" collapsed="false">
      <c r="A20556" s="1" t="s">
        <v>1225</v>
      </c>
      <c r="B20556" s="0" t="s">
        <v>98</v>
      </c>
      <c r="C20556" s="6" t="n">
        <f aca="false">Sens!$C$20555/(1+wacc)^Sens!K20547</f>
        <v>1366.85624415645</v>
      </c>
    </row>
    <row r="20557" customFormat="false" ht="17.15" hidden="false" customHeight="false" outlineLevel="0" collapsed="false">
      <c r="A20557" s="0" t="s">
        <v>1226</v>
      </c>
      <c r="B20557" s="0" t="s">
        <v>98</v>
      </c>
      <c r="C20557" s="6" t="n">
        <f aca="false">Sens!$C$20552+Sens!$C$20556</f>
        <v>1790.9538464592</v>
      </c>
    </row>
    <row r="20558" customFormat="false" ht="15" hidden="false" customHeight="false" outlineLevel="0" collapsed="false">
      <c r="A20558" s="1" t="s">
        <v>1141</v>
      </c>
      <c r="B20558" s="0" t="s">
        <v>168</v>
      </c>
      <c r="C20558" s="7" t="n">
        <f aca="false">Sens!$C$20556/Sens!$C$20557</f>
        <v>0.763200149941769</v>
      </c>
    </row>
    <row r="20559" customFormat="false" ht="17.15" hidden="false" customHeight="false" outlineLevel="0" collapsed="false">
      <c r="A20559" s="1" t="s">
        <v>1227</v>
      </c>
      <c r="B20559" s="0" t="s">
        <v>98</v>
      </c>
      <c r="C20559" s="6" t="n">
        <f aca="false">Sens!$C$20557+cash_val-debt_val-fl_val+(oai_stake_hi*oai_val)</f>
        <v>1973.2608464592</v>
      </c>
    </row>
    <row r="20560" customFormat="false" ht="17.15" hidden="false" customHeight="false" outlineLevel="0" collapsed="false">
      <c r="A20560" s="0" t="s">
        <v>1149</v>
      </c>
      <c r="B20560" s="0" t="s">
        <v>75</v>
      </c>
      <c r="C20560" s="5" t="n">
        <f aca="false">Sens!$C$20559/shd_val</f>
        <v>265.009514700402</v>
      </c>
    </row>
    <row r="20561" customFormat="false" ht="15" hidden="false" customHeight="false" outlineLevel="0" collapsed="false">
      <c r="A20561" s="1" t="s">
        <v>1228</v>
      </c>
      <c r="B20561" s="0" t="s">
        <v>75</v>
      </c>
      <c r="C20561" s="8" t="n">
        <f aca="false">div_rem27+CF!G95*roll_div_q/q_per_yr</f>
        <v>3.9795</v>
      </c>
    </row>
    <row r="20562" customFormat="false" ht="17.15" hidden="false" customHeight="false" outlineLevel="0" collapsed="false">
      <c r="A20562" s="0" t="s">
        <v>1229</v>
      </c>
      <c r="B20562" s="0" t="s">
        <v>75</v>
      </c>
      <c r="C20562" s="5" t="n">
        <f aca="false">Sens!$C$20560*(1+wacc)^t_roll-Sens!$C$20561</f>
        <v>290.593365967632</v>
      </c>
    </row>
    <row r="20563" customFormat="false" ht="17.15" hidden="false" customHeight="false" outlineLevel="0" collapsed="false">
      <c r="A20563" s="1" t="s">
        <v>1230</v>
      </c>
      <c r="B20563" s="0" t="s">
        <v>168</v>
      </c>
      <c r="F20563" s="7" t="n">
        <f aca="false">CF!F81/(Seg!F83-Thesis!F129)</f>
        <v>0.068677393452264</v>
      </c>
      <c r="G20563" s="7" t="n">
        <f aca="false">CF!G81/(Seg!G83-Thesis!G129)</f>
        <v>0.0663132664471956</v>
      </c>
      <c r="H20563" s="7" t="n">
        <f aca="false">CF!H81/(Seg!H83-Thesis!H129)</f>
        <v>0.0651363826734039</v>
      </c>
      <c r="I20563" s="7" t="n">
        <f aca="false">CF!I81/(Seg!I83-Thesis!I129)</f>
        <v>0.0650087936347709</v>
      </c>
      <c r="J20563" s="7" t="n">
        <f aca="false">CF!J81/(Seg!J83-Thesis!J129)</f>
        <v>0.0657212684841778</v>
      </c>
      <c r="K20563" s="7" t="n">
        <f aca="false">CF!K81/(Seg!K83-Thesis!K129)</f>
        <v>0.0670413306015285</v>
      </c>
    </row>
    <row r="20564" customFormat="false" ht="17.15" hidden="false" customHeight="false" outlineLevel="0" collapsed="false">
      <c r="A20564" s="0" t="s">
        <v>1231</v>
      </c>
      <c r="B20564" s="0" t="s">
        <v>98</v>
      </c>
      <c r="F20564" s="6" t="n">
        <f aca="false">Seg!F68*(al_m365+Sens!F20563+sbc_r)</f>
        <v>82.9185219618347</v>
      </c>
      <c r="G20564" s="6" t="n">
        <f aca="false">Seg!G68*(al_m365+Sens!G20563+sbc_r)</f>
        <v>93.3068052157631</v>
      </c>
      <c r="H20564" s="6" t="n">
        <f aca="false">Seg!H68*(al_m365+Sens!H20563+sbc_r)</f>
        <v>103.856057136159</v>
      </c>
      <c r="I20564" s="6" t="n">
        <f aca="false">Seg!I68*(al_m365+Sens!I20563+sbc_r)</f>
        <v>113.889717587147</v>
      </c>
      <c r="J20564" s="6" t="n">
        <f aca="false">Seg!J68*(al_m365+Sens!J20563+sbc_r)</f>
        <v>123.218477864124</v>
      </c>
      <c r="K20564" s="6" t="n">
        <f aca="false">Seg!K68*(al_m365+Sens!K20563+sbc_r)</f>
        <v>132.149420086311</v>
      </c>
      <c r="L20564" s="12" t="s">
        <v>1232</v>
      </c>
    </row>
    <row r="20565" customFormat="false" ht="17.15" hidden="false" customHeight="false" outlineLevel="0" collapsed="false">
      <c r="A20565" s="0" t="s">
        <v>1233</v>
      </c>
      <c r="B20565" s="0" t="s">
        <v>98</v>
      </c>
      <c r="F20565" s="6" t="n">
        <f aca="false">Seg!F69*(al_lic+Sens!F20563+sbc_r)</f>
        <v>32.8599853992256</v>
      </c>
      <c r="G20565" s="6" t="n">
        <f aca="false">Seg!G69*(al_lic+Sens!G20563+sbc_r)</f>
        <v>34.1568280697879</v>
      </c>
      <c r="H20565" s="6" t="n">
        <f aca="false">Seg!H69*(al_lic+Sens!H20563+sbc_r)</f>
        <v>35.3635535007213</v>
      </c>
      <c r="I20565" s="6" t="n">
        <f aca="false">Seg!I69*(al_lic+Sens!I20563+sbc_r)</f>
        <v>36.4604537346553</v>
      </c>
      <c r="J20565" s="6" t="n">
        <f aca="false">Seg!J69*(al_lic+Sens!J20563+sbc_r)</f>
        <v>37.4245888933574</v>
      </c>
      <c r="K20565" s="6" t="n">
        <f aca="false">Seg!K69*(al_lic+Sens!K20563+sbc_r)</f>
        <v>38.2321483186439</v>
      </c>
    </row>
    <row r="20566" customFormat="false" ht="17.15" hidden="false" customHeight="false" outlineLevel="0" collapsed="false">
      <c r="A20566" s="0" t="s">
        <v>1234</v>
      </c>
      <c r="B20566" s="0" t="s">
        <v>98</v>
      </c>
      <c r="F20566" s="6" t="n">
        <f aca="false">Seg!F71*(al_ind+Sens!F20563+sbc_r)</f>
        <v>9.06170747885803</v>
      </c>
      <c r="G20566" s="6" t="n">
        <f aca="false">Seg!G71*(al_ind+Sens!G20563+sbc_r)</f>
        <v>9.8478979082138</v>
      </c>
      <c r="H20566" s="6" t="n">
        <f aca="false">Seg!H71*(al_ind+Sens!H20563+sbc_r)</f>
        <v>10.6768254332059</v>
      </c>
      <c r="I20566" s="6" t="n">
        <f aca="false">Seg!I71*(al_ind+Sens!I20563+sbc_r)</f>
        <v>11.54398793803</v>
      </c>
      <c r="J20566" s="6" t="n">
        <f aca="false">Seg!J71*(al_ind+Sens!J20563+sbc_r)</f>
        <v>12.4407914253112</v>
      </c>
      <c r="K20566" s="6" t="n">
        <f aca="false">Seg!K71*(al_ind+Sens!K20563+sbc_r)</f>
        <v>13.355239066864</v>
      </c>
    </row>
    <row r="20567" customFormat="false" ht="17.15" hidden="false" customHeight="false" outlineLevel="0" collapsed="false">
      <c r="A20567" s="0" t="s">
        <v>1235</v>
      </c>
      <c r="B20567" s="0" t="s">
        <v>98</v>
      </c>
      <c r="F20567" s="6" t="n">
        <f aca="false">Seg!F73*(al_fro+Sens!F20563+sbc_r)</f>
        <v>3.55453569939552</v>
      </c>
      <c r="G20567" s="6" t="n">
        <f aca="false">Seg!G73*(al_fro+Sens!G20563+sbc_r)</f>
        <v>3.76809436159872</v>
      </c>
      <c r="H20567" s="6" t="n">
        <f aca="false">Seg!H73*(al_fro+Sens!H20563+sbc_r)</f>
        <v>4.00964905674607</v>
      </c>
      <c r="I20567" s="6" t="n">
        <f aca="false">Seg!I73*(al_fro+Sens!I20563+sbc_r)</f>
        <v>4.28152633145235</v>
      </c>
      <c r="J20567" s="6" t="n">
        <f aca="false">Seg!J73*(al_fro+Sens!J20563+sbc_r)</f>
        <v>4.58536512975975</v>
      </c>
      <c r="K20567" s="6" t="n">
        <f aca="false">Seg!K73*(al_fro+Sens!K20563+sbc_r)</f>
        <v>4.92240770086468</v>
      </c>
    </row>
    <row r="20568" customFormat="false" ht="17.15" hidden="false" customHeight="false" outlineLevel="0" collapsed="false">
      <c r="A20568" s="0" t="s">
        <v>1236</v>
      </c>
      <c r="B20568" s="0" t="s">
        <v>98</v>
      </c>
      <c r="F20568" s="6" t="n">
        <f aca="false">Seg!F76*(al_srch+Sens!F20563+sbc_r)</f>
        <v>11.190683952584</v>
      </c>
      <c r="G20568" s="6" t="n">
        <f aca="false">Seg!G76*(al_srch+Sens!G20563+sbc_r)</f>
        <v>12.2763328717258</v>
      </c>
      <c r="H20568" s="6" t="n">
        <f aca="false">Seg!H76*(al_srch+Sens!H20563+sbc_r)</f>
        <v>13.4043563346576</v>
      </c>
      <c r="I20568" s="6" t="n">
        <f aca="false">Seg!I76*(al_srch+Sens!I20563+sbc_r)</f>
        <v>14.5621512181916</v>
      </c>
      <c r="J20568" s="6" t="n">
        <f aca="false">Seg!J76*(al_srch+Sens!J20563+sbc_r)</f>
        <v>15.7310381862385</v>
      </c>
      <c r="K20568" s="6" t="n">
        <f aca="false">Seg!K76*(al_srch+Sens!K20563+sbc_r)</f>
        <v>16.8873320486462</v>
      </c>
    </row>
    <row r="20569" customFormat="false" ht="17.15" hidden="false" customHeight="false" outlineLevel="0" collapsed="false">
      <c r="A20569" s="0" t="s">
        <v>1237</v>
      </c>
      <c r="B20569" s="0" t="s">
        <v>98</v>
      </c>
      <c r="F20569" s="6" t="n">
        <f aca="false">Thesis!F135-Thesis!F136+Thesis!F151</f>
        <v>38.9696429794913</v>
      </c>
      <c r="G20569" s="6" t="n">
        <f aca="false">Thesis!G135-Thesis!G136+Thesis!G151</f>
        <v>69.465497726016</v>
      </c>
      <c r="H20569" s="6" t="n">
        <f aca="false">Thesis!H135-Thesis!H136+Thesis!H151</f>
        <v>96.8147106808268</v>
      </c>
      <c r="I20569" s="6" t="n">
        <f aca="false">Thesis!I135-Thesis!I136+Thesis!I151</f>
        <v>127.654939766446</v>
      </c>
      <c r="J20569" s="6" t="n">
        <f aca="false">Thesis!J135-Thesis!J136+Thesis!J151</f>
        <v>149.308352681229</v>
      </c>
      <c r="K20569" s="6" t="n">
        <f aca="false">Thesis!K135-Thesis!K136+Thesis!K151</f>
        <v>162.731822021841</v>
      </c>
    </row>
    <row r="20570" customFormat="false" ht="17.15" hidden="false" customHeight="false" outlineLevel="0" collapsed="false">
      <c r="A20570" s="0" t="s">
        <v>1238</v>
      </c>
      <c r="B20570" s="0" t="s">
        <v>98</v>
      </c>
      <c r="F20570" s="6" t="n">
        <f aca="false">PL!F110+Thesis!F151+Thesis!F147+Sens!F20563*(Seg!F75-Thesis!F129)+sbc_r*Seg!F75</f>
        <v>234.79972328186</v>
      </c>
      <c r="G20570" s="6" t="n">
        <f aca="false">PL!G110+Thesis!G151+Thesis!G147+Sens!G20563*(Seg!G75-Thesis!G129)+sbc_r*Seg!G75</f>
        <v>285.499052659517</v>
      </c>
      <c r="H20570" s="6" t="n">
        <f aca="false">PL!H110+Thesis!H151+Thesis!H147+Sens!H20563*(Seg!H75-Thesis!H129)+sbc_r*Seg!H75</f>
        <v>338.258569294547</v>
      </c>
      <c r="I20570" s="6" t="n">
        <f aca="false">PL!I110+Thesis!I151+Thesis!I147+Sens!I20563*(Seg!I75-Thesis!I129)+sbc_r*Seg!I75</f>
        <v>393.887902526982</v>
      </c>
      <c r="J20570" s="6" t="n">
        <f aca="false">PL!J110+Thesis!J151+Thesis!J147+Sens!J20563*(Seg!J75-Thesis!J129)+sbc_r*Seg!J75</f>
        <v>438.406631506078</v>
      </c>
      <c r="K20570" s="6" t="n">
        <f aca="false">PL!K110+Thesis!K151+Thesis!K147+Sens!K20563*(Seg!K75-Thesis!K129)+sbc_r*Seg!K75</f>
        <v>472.352875745143</v>
      </c>
    </row>
    <row r="20571" customFormat="false" ht="17.15" hidden="false" customHeight="false" outlineLevel="0" collapsed="false">
      <c r="A20571" s="0" t="s">
        <v>1239</v>
      </c>
      <c r="B20571" s="0" t="s">
        <v>98</v>
      </c>
      <c r="F20571" s="6" t="n">
        <f aca="false">Sens!F20570-Sens!F20564-Sens!F20565-Sens!F20566-Sens!F20567-Sens!F20569</f>
        <v>67.4353297630543</v>
      </c>
      <c r="G20571" s="6" t="n">
        <f aca="false">Sens!G20570-Sens!G20564-Sens!G20565-Sens!G20566-Sens!G20567-Sens!G20569</f>
        <v>74.9539293781376</v>
      </c>
      <c r="H20571" s="6" t="n">
        <f aca="false">Sens!H20570-Sens!H20564-Sens!H20565-Sens!H20566-Sens!H20567-Sens!H20569</f>
        <v>87.537773486888</v>
      </c>
      <c r="I20571" s="6" t="n">
        <f aca="false">Sens!I20570-Sens!I20564-Sens!I20565-Sens!I20566-Sens!I20567-Sens!I20569</f>
        <v>100.057277169252</v>
      </c>
      <c r="J20571" s="6" t="n">
        <f aca="false">Sens!J20570-Sens!J20564-Sens!J20565-Sens!J20566-Sens!J20567-Sens!J20569</f>
        <v>111.429055512297</v>
      </c>
      <c r="K20571" s="6" t="n">
        <f aca="false">Sens!K20570-Sens!K20564-Sens!K20565-Sens!K20566-Sens!K20567-Sens!K20569</f>
        <v>120.961838550618</v>
      </c>
    </row>
    <row r="20572" customFormat="false" ht="17.15" hidden="false" customHeight="false" outlineLevel="0" collapsed="false">
      <c r="A20572" s="0" t="s">
        <v>1240</v>
      </c>
      <c r="B20572" s="0" t="s">
        <v>98</v>
      </c>
      <c r="F20572" s="6" t="n">
        <f aca="false">PL!F112+Sens!F20563*Seg!F82+sbc_r*Seg!F82</f>
        <v>26.6373549789235</v>
      </c>
      <c r="G20572" s="6" t="n">
        <f aca="false">PL!G112+Sens!G20563*Seg!G82+sbc_r*Seg!G82</f>
        <v>26.5038922765853</v>
      </c>
      <c r="H20572" s="6" t="n">
        <f aca="false">PL!H112+Sens!H20563*Seg!H82+sbc_r*Seg!H82</f>
        <v>27.3981100014792</v>
      </c>
      <c r="I20572" s="6" t="n">
        <f aca="false">PL!I112+Sens!I20563*Seg!I82+sbc_r*Seg!I82</f>
        <v>28.5176442589239</v>
      </c>
      <c r="J20572" s="6" t="n">
        <f aca="false">PL!J112+Sens!J20563*Seg!J82+sbc_r*Seg!J82</f>
        <v>29.8313998963726</v>
      </c>
      <c r="K20572" s="6" t="n">
        <f aca="false">PL!K112+Sens!K20563*Seg!K82+sbc_r*Seg!K82</f>
        <v>31.3103466222307</v>
      </c>
    </row>
    <row r="20573" customFormat="false" ht="17.15" hidden="false" customHeight="false" outlineLevel="0" collapsed="false">
      <c r="A20573" s="0" t="s">
        <v>1241</v>
      </c>
      <c r="B20573" s="0" t="s">
        <v>98</v>
      </c>
      <c r="F20573" s="6" t="n">
        <f aca="false">(Sens!F20572-Sens!F20568)*Seg!F78/(Seg!F78+Seg!F80)</f>
        <v>8.72405610479892</v>
      </c>
      <c r="G20573" s="6" t="n">
        <f aca="false">(Sens!G20572-Sens!G20568)*Seg!G78/(Seg!G78+Seg!G80)</f>
        <v>7.897418765869</v>
      </c>
      <c r="H20573" s="6" t="n">
        <f aca="false">(Sens!H20572-Sens!H20568)*Seg!H78/(Seg!H78+Seg!H80)</f>
        <v>7.66644879573063</v>
      </c>
      <c r="I20573" s="6" t="n">
        <f aca="false">(Sens!I20572-Sens!I20568)*Seg!I78/(Seg!I78+Seg!I80)</f>
        <v>7.5787545031814</v>
      </c>
      <c r="J20573" s="6" t="n">
        <f aca="false">(Sens!J20572-Sens!J20568)*Seg!J78/(Seg!J78+Seg!J80)</f>
        <v>7.62401876450459</v>
      </c>
      <c r="K20573" s="6" t="n">
        <f aca="false">(Sens!K20572-Sens!K20568)*Seg!K78/(Seg!K78+Seg!K80)</f>
        <v>7.79847609658838</v>
      </c>
    </row>
    <row r="20574" customFormat="false" ht="17.15" hidden="false" customHeight="false" outlineLevel="0" collapsed="false">
      <c r="A20574" s="0" t="s">
        <v>1242</v>
      </c>
      <c r="B20574" s="0" t="s">
        <v>98</v>
      </c>
      <c r="F20574" s="6" t="n">
        <f aca="false">Sens!F20572-Sens!F20568-Sens!F20573</f>
        <v>6.72261492154066</v>
      </c>
      <c r="G20574" s="6" t="n">
        <f aca="false">Sens!G20572-Sens!G20568-Sens!G20573</f>
        <v>6.33014063899044</v>
      </c>
      <c r="H20574" s="6" t="n">
        <f aca="false">Sens!H20572-Sens!H20568-Sens!H20573</f>
        <v>6.32730487109095</v>
      </c>
      <c r="I20574" s="6" t="n">
        <f aca="false">Sens!I20572-Sens!I20568-Sens!I20573</f>
        <v>6.37673853755084</v>
      </c>
      <c r="J20574" s="6" t="n">
        <f aca="false">Sens!J20572-Sens!J20568-Sens!J20573</f>
        <v>6.47634294562954</v>
      </c>
      <c r="K20574" s="6" t="n">
        <f aca="false">Sens!K20572-Sens!K20568-Sens!K20573</f>
        <v>6.62453847699607</v>
      </c>
    </row>
    <row r="20575" customFormat="false" ht="17.15" hidden="false" customHeight="false" outlineLevel="0" collapsed="false">
      <c r="A20575" s="0" t="s">
        <v>1243</v>
      </c>
      <c r="B20575" s="0" t="s">
        <v>98</v>
      </c>
      <c r="F20575" s="6" t="n">
        <f aca="false">Sens!F20569-tax_f*(Sens!F20569-Thesis!F147)-Thesis!F144</f>
        <v>-130.362326762856</v>
      </c>
      <c r="G20575" s="6" t="n">
        <f aca="false">Sens!G20569-tax_f*(Sens!G20569-Thesis!G147)-Thesis!G144</f>
        <v>-124.225179337776</v>
      </c>
      <c r="H20575" s="6" t="n">
        <f aca="false">Sens!H20569-tax_f*(Sens!H20569-Thesis!H147)-Thesis!H144</f>
        <v>-101.534217387562</v>
      </c>
      <c r="I20575" s="6" t="n">
        <f aca="false">Sens!I20569-tax_f*(Sens!I20569-Thesis!I147)-Thesis!I144</f>
        <v>-43.6446798695439</v>
      </c>
      <c r="J20575" s="6" t="n">
        <f aca="false">Sens!J20569-tax_f*(Sens!J20569-Thesis!J147)-Thesis!J144</f>
        <v>16.9198855589618</v>
      </c>
      <c r="K20575" s="6" t="n">
        <f aca="false">Sens!K20569-tax_f*(Sens!K20569-Thesis!K147)-Thesis!K144</f>
        <v>39.8251384629271</v>
      </c>
    </row>
    <row r="20576" customFormat="false" ht="17.15" hidden="false" customHeight="false" outlineLevel="0" collapsed="false">
      <c r="A20576" s="0" t="s">
        <v>1244</v>
      </c>
      <c r="B20576" s="0" t="s">
        <v>98</v>
      </c>
      <c r="G20576" s="6" t="n">
        <f aca="false">Sens!G20575/(1+wacc)^(Sens!G20546-Sens!F20547)</f>
        <v>-118.286276192192</v>
      </c>
      <c r="H20576" s="6" t="n">
        <f aca="false">Sens!H20575/(1+wacc)^(Sens!H20546-Sens!F20547)</f>
        <v>-87.6570009910427</v>
      </c>
      <c r="I20576" s="6" t="n">
        <f aca="false">Sens!I20575/(1+wacc)^(Sens!I20546-Sens!F20547)</f>
        <v>-34.1629172979204</v>
      </c>
      <c r="J20576" s="6" t="n">
        <f aca="false">Sens!J20575/(1+wacc)^(Sens!J20546-Sens!F20547)</f>
        <v>12.0079954170053</v>
      </c>
      <c r="K20576" s="6" t="n">
        <f aca="false">Sens!K20575/(1+wacc)^(Sens!K20546-Sens!F20547)</f>
        <v>25.6259421582556</v>
      </c>
      <c r="L20576" s="1" t="s">
        <v>1245</v>
      </c>
    </row>
    <row r="20577" customFormat="false" ht="17.15" hidden="false" customHeight="false" outlineLevel="0" collapsed="false">
      <c r="A20577" s="0" t="s">
        <v>1246</v>
      </c>
      <c r="B20577" s="0" t="s">
        <v>98</v>
      </c>
      <c r="C20577" s="6" t="n">
        <f aca="false">(Sens!K20569-Thesis!K147)*(1-tax_f)*(1+g_tv)*(1-g_tv/(wacc+ronic_prem))/(wacc-g_tv)/(1+wacc)^(Sens!K20547-Sens!F20547)</f>
        <v>96.7148026864948</v>
      </c>
    </row>
    <row r="20578" customFormat="false" ht="17.15" hidden="false" customHeight="false" outlineLevel="0" collapsed="false">
      <c r="A20578" s="1" t="s">
        <v>1247</v>
      </c>
      <c r="B20578" s="0" t="s">
        <v>98</v>
      </c>
      <c r="C20578" s="6" t="n">
        <f aca="false">(SUM(Sens!G20576:K20576)+Sens!$C$20577)*(1+wacc)^(t_roll-Sens!F20547)</f>
        <v>-109.248827617462</v>
      </c>
      <c r="L20578" s="12" t="s">
        <v>1248</v>
      </c>
    </row>
    <row r="20579" customFormat="false" ht="17.15" hidden="false" customHeight="false" outlineLevel="0" collapsed="false">
      <c r="A20579" s="1" t="s">
        <v>1249</v>
      </c>
      <c r="B20579" s="0" t="s">
        <v>98</v>
      </c>
      <c r="C20579" s="6" t="n">
        <f aca="false">(w_ntm28*Thesis!G135+(1-w_ntm28)*Thesis!H135)*m_ai</f>
        <v>344.355829012336</v>
      </c>
    </row>
    <row r="20580" customFormat="false" ht="17.15" hidden="false" customHeight="false" outlineLevel="0" collapsed="false">
      <c r="A20580" s="1" t="s">
        <v>1250</v>
      </c>
      <c r="B20580" s="0" t="s">
        <v>98</v>
      </c>
      <c r="C20580" s="6" t="n">
        <f aca="false">(w_ntm28*Sens!G20571+(1-w_ntm28)*Sens!H20571)*m_cloud</f>
        <v>1093.03877543039</v>
      </c>
    </row>
    <row r="20581" customFormat="false" ht="17.15" hidden="false" customHeight="false" outlineLevel="0" collapsed="false">
      <c r="A20581" s="1" t="s">
        <v>1251</v>
      </c>
      <c r="B20581" s="0" t="s">
        <v>98</v>
      </c>
      <c r="C20581" s="6" t="n">
        <f aca="false">(w_ntm28*Sens!G20564+(1-w_ntm28)*Sens!H20564)*m_sw</f>
        <v>1045.17056616266</v>
      </c>
    </row>
    <row r="20582" customFormat="false" ht="17.15" hidden="false" customHeight="false" outlineLevel="0" collapsed="false">
      <c r="A20582" s="1" t="s">
        <v>1252</v>
      </c>
      <c r="B20582" s="0" t="s">
        <v>98</v>
      </c>
      <c r="C20582" s="6" t="n">
        <f aca="false">(w_ntm28*Sens!G20565+(1-w_ntm28)*Sens!H20565)*m_sw</f>
        <v>373.178444957791</v>
      </c>
    </row>
    <row r="20583" customFormat="false" ht="17.15" hidden="false" customHeight="false" outlineLevel="0" collapsed="false">
      <c r="A20583" s="1" t="s">
        <v>1253</v>
      </c>
      <c r="B20583" s="0" t="s">
        <v>98</v>
      </c>
      <c r="C20583" s="6" t="n">
        <f aca="false">(w_ntm28*Sens!G20566+(1-w_ntm28)*Sens!H20566)*m_sw</f>
        <v>109.30055788101</v>
      </c>
    </row>
    <row r="20584" customFormat="false" ht="17.15" hidden="false" customHeight="false" outlineLevel="0" collapsed="false">
      <c r="A20584" s="1" t="s">
        <v>1254</v>
      </c>
      <c r="B20584" s="0" t="s">
        <v>98</v>
      </c>
      <c r="C20584" s="6" t="n">
        <f aca="false">(w_ntm28*Sens!G20567+(1-w_ntm28)*Sens!H20567)*m_sw</f>
        <v>41.5531037214606</v>
      </c>
    </row>
    <row r="20585" customFormat="false" ht="17.15" hidden="false" customHeight="false" outlineLevel="0" collapsed="false">
      <c r="A20585" s="1" t="s">
        <v>1255</v>
      </c>
      <c r="B20585" s="0" t="s">
        <v>98</v>
      </c>
      <c r="C20585" s="6" t="n">
        <f aca="false">(w_ntm28*Sens!G20568+(1-w_ntm28)*Sens!H20568)*m_ads</f>
        <v>115.215899994784</v>
      </c>
    </row>
    <row r="20586" customFormat="false" ht="17.15" hidden="false" customHeight="false" outlineLevel="0" collapsed="false">
      <c r="A20586" s="1" t="s">
        <v>1256</v>
      </c>
      <c r="B20586" s="0" t="s">
        <v>98</v>
      </c>
      <c r="C20586" s="6" t="n">
        <f aca="false">(w_ntm28*Sens!G20573+(1-w_ntm28)*Sens!H20573)*m_game</f>
        <v>98.7853357615783</v>
      </c>
    </row>
    <row r="20587" customFormat="false" ht="17.15" hidden="false" customHeight="false" outlineLevel="0" collapsed="false">
      <c r="A20587" s="1" t="s">
        <v>1257</v>
      </c>
      <c r="B20587" s="0" t="s">
        <v>98</v>
      </c>
      <c r="C20587" s="6" t="n">
        <f aca="false">(w_ntm28*Sens!G20574+(1-w_ntm28)*Sens!H20574)*m_pc</f>
        <v>91.5836445602173</v>
      </c>
    </row>
    <row r="20588" customFormat="false" ht="17.15" hidden="false" customHeight="false" outlineLevel="0" collapsed="false">
      <c r="A20588" s="1" t="s">
        <v>1258</v>
      </c>
      <c r="B20588" s="0" t="s">
        <v>98</v>
      </c>
      <c r="C20588" s="6" t="n">
        <f aca="false">Sens!$C$20578+Sens!$C$20580+Sens!$C$20581+Sens!$C$20582+Sens!$C$20583+Sens!$C$20584+Sens!$C$20585+Sens!$C$20586+Sens!$C$20587</f>
        <v>2858.57750085243</v>
      </c>
    </row>
    <row r="20589" customFormat="false" ht="17.15" hidden="false" customHeight="false" outlineLevel="0" collapsed="false">
      <c r="A20589" s="1" t="s">
        <v>1259</v>
      </c>
      <c r="B20589" s="0" t="s">
        <v>98</v>
      </c>
      <c r="C20589" s="6" t="n">
        <f aca="false">(Sens!G20550-Sens!G20575)*t_stub</f>
        <v>47.4829168796038</v>
      </c>
      <c r="L20589" s="1" t="s">
        <v>1260</v>
      </c>
    </row>
    <row r="20590" customFormat="false" ht="17.15" hidden="false" customHeight="false" outlineLevel="0" collapsed="false">
      <c r="A20590" s="1" t="s">
        <v>1169</v>
      </c>
      <c r="B20590" s="0" t="s">
        <v>98</v>
      </c>
      <c r="C20590" s="6" t="n">
        <f aca="false">CF!F103+(oai_stake_hi*oai_val)-CF!F92+Sens!$C$20589</f>
        <v>225.01027008544</v>
      </c>
      <c r="L20590" s="1" t="s">
        <v>1261</v>
      </c>
    </row>
    <row r="20591" customFormat="false" ht="17.15" hidden="false" customHeight="false" outlineLevel="0" collapsed="false">
      <c r="A20591" s="1" t="s">
        <v>1262</v>
      </c>
      <c r="B20591" s="0" t="s">
        <v>75</v>
      </c>
      <c r="C20591" s="5" t="n">
        <f aca="false">(Sens!$C$20588+Sens!$C$20590)/(CF!F105+dil_gap)-CF!G95*roll_div_q/q_per_yr</f>
        <v>410.324930487976</v>
      </c>
      <c r="L20591" s="1" t="s">
        <v>1263</v>
      </c>
    </row>
    <row r="20592" customFormat="false" ht="17.15" hidden="false" customHeight="false" outlineLevel="0" collapsed="false">
      <c r="A20592" s="1" t="s">
        <v>1264</v>
      </c>
      <c r="B20592" s="0" t="s">
        <v>75</v>
      </c>
      <c r="C20592" s="5" t="n">
        <f aca="false">w_dcf*Sens!$C$20562+(1-w_dcf)*Sens!$C$20591</f>
        <v>350.459148227804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0"/>
    <col collapsed="false" customWidth="true" hidden="false" outlineLevel="0" max="3" min="3" style="0" width="22"/>
    <col collapsed="false" customWidth="true" hidden="false" outlineLevel="0" max="4" min="4" style="0" width="80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4" t="s">
        <v>1986</v>
      </c>
      <c r="B1" s="4" t="s">
        <v>1987</v>
      </c>
      <c r="C1" s="4" t="s">
        <v>287</v>
      </c>
      <c r="D1" s="4" t="s">
        <v>1988</v>
      </c>
      <c r="E1" s="4" t="s">
        <v>69</v>
      </c>
    </row>
    <row r="2" customFormat="false" ht="17.15" hidden="false" customHeight="false" outlineLevel="0" collapsed="false">
      <c r="A2" s="0" t="n">
        <v>1</v>
      </c>
      <c r="B2" s="0" t="s">
        <v>1989</v>
      </c>
      <c r="C2" s="0" t="s">
        <v>1990</v>
      </c>
      <c r="D2" s="0" t="s">
        <v>1991</v>
      </c>
      <c r="E2" s="0" t="s">
        <v>76</v>
      </c>
    </row>
    <row r="3" customFormat="false" ht="17.15" hidden="false" customHeight="false" outlineLevel="0" collapsed="false">
      <c r="A3" s="0" t="n">
        <v>2</v>
      </c>
      <c r="B3" s="0" t="s">
        <v>1992</v>
      </c>
      <c r="C3" s="0" t="s">
        <v>1993</v>
      </c>
      <c r="D3" s="0" t="s">
        <v>1994</v>
      </c>
      <c r="E3" s="0" t="s">
        <v>1995</v>
      </c>
    </row>
    <row r="4" customFormat="false" ht="17.15" hidden="false" customHeight="false" outlineLevel="0" collapsed="false">
      <c r="A4" s="0" t="n">
        <v>3</v>
      </c>
      <c r="B4" s="0" t="s">
        <v>1996</v>
      </c>
      <c r="C4" s="0" t="s">
        <v>1997</v>
      </c>
      <c r="D4" s="0" t="s">
        <v>1998</v>
      </c>
      <c r="E4" s="0" t="s">
        <v>1999</v>
      </c>
    </row>
    <row r="5" customFormat="false" ht="17.15" hidden="false" customHeight="false" outlineLevel="0" collapsed="false">
      <c r="A5" s="0" t="n">
        <v>4</v>
      </c>
      <c r="B5" s="0" t="s">
        <v>2000</v>
      </c>
      <c r="C5" s="0" t="s">
        <v>376</v>
      </c>
      <c r="D5" s="0" t="s">
        <v>2001</v>
      </c>
      <c r="E5" s="1" t="s">
        <v>2002</v>
      </c>
    </row>
    <row r="6" customFormat="false" ht="17.15" hidden="false" customHeight="false" outlineLevel="0" collapsed="false">
      <c r="A6" s="0" t="n">
        <v>5</v>
      </c>
      <c r="B6" s="0" t="s">
        <v>2003</v>
      </c>
      <c r="C6" s="0" t="s">
        <v>2004</v>
      </c>
      <c r="D6" s="0" t="s">
        <v>2005</v>
      </c>
      <c r="E6" s="0" t="s">
        <v>90</v>
      </c>
    </row>
    <row r="7" customFormat="false" ht="17.15" hidden="false" customHeight="false" outlineLevel="0" collapsed="false">
      <c r="A7" s="0" t="n">
        <v>6</v>
      </c>
      <c r="B7" s="0" t="s">
        <v>2006</v>
      </c>
      <c r="C7" s="0" t="s">
        <v>2007</v>
      </c>
      <c r="D7" s="0" t="s">
        <v>2008</v>
      </c>
      <c r="E7" s="0" t="s">
        <v>107</v>
      </c>
    </row>
    <row r="8" customFormat="false" ht="17.15" hidden="false" customHeight="false" outlineLevel="0" collapsed="false">
      <c r="A8" s="0" t="n">
        <v>7</v>
      </c>
      <c r="B8" s="0" t="s">
        <v>2009</v>
      </c>
      <c r="C8" s="0" t="s">
        <v>2007</v>
      </c>
      <c r="D8" s="0" t="s">
        <v>2010</v>
      </c>
      <c r="E8" s="0" t="s">
        <v>107</v>
      </c>
    </row>
    <row r="9" customFormat="false" ht="17.15" hidden="false" customHeight="false" outlineLevel="0" collapsed="false">
      <c r="A9" s="0" t="n">
        <v>8</v>
      </c>
      <c r="B9" s="0" t="s">
        <v>2011</v>
      </c>
      <c r="C9" s="0" t="s">
        <v>2007</v>
      </c>
      <c r="D9" s="0" t="s">
        <v>2012</v>
      </c>
      <c r="E9" s="0" t="s">
        <v>107</v>
      </c>
    </row>
    <row r="10" customFormat="false" ht="17.15" hidden="false" customHeight="false" outlineLevel="0" collapsed="false">
      <c r="A10" s="0" t="n">
        <v>9</v>
      </c>
      <c r="B10" s="0" t="s">
        <v>2013</v>
      </c>
      <c r="C10" s="0" t="s">
        <v>2007</v>
      </c>
      <c r="D10" s="0" t="s">
        <v>2014</v>
      </c>
      <c r="E10" s="0" t="s">
        <v>107</v>
      </c>
    </row>
    <row r="11" customFormat="false" ht="17.15" hidden="false" customHeight="false" outlineLevel="0" collapsed="false">
      <c r="A11" s="0" t="n">
        <v>10</v>
      </c>
      <c r="B11" s="0" t="s">
        <v>2015</v>
      </c>
      <c r="C11" s="0" t="s">
        <v>2007</v>
      </c>
      <c r="D11" s="0" t="s">
        <v>1998</v>
      </c>
      <c r="E11" s="0" t="s">
        <v>107</v>
      </c>
    </row>
    <row r="12" customFormat="false" ht="17.15" hidden="false" customHeight="false" outlineLevel="0" collapsed="false">
      <c r="A12" s="0" t="n">
        <v>11</v>
      </c>
      <c r="B12" s="0" t="s">
        <v>2016</v>
      </c>
      <c r="C12" s="0" t="s">
        <v>2004</v>
      </c>
      <c r="D12" s="0" t="s">
        <v>2017</v>
      </c>
      <c r="E12" s="1" t="s">
        <v>2002</v>
      </c>
    </row>
    <row r="13" customFormat="false" ht="17.15" hidden="false" customHeight="false" outlineLevel="0" collapsed="false">
      <c r="A13" s="0" t="n">
        <v>12</v>
      </c>
      <c r="B13" s="0" t="s">
        <v>2018</v>
      </c>
      <c r="C13" s="0" t="s">
        <v>376</v>
      </c>
      <c r="D13" s="0" t="s">
        <v>2019</v>
      </c>
      <c r="E13" s="0" t="s">
        <v>2020</v>
      </c>
    </row>
    <row r="14" customFormat="false" ht="17.15" hidden="false" customHeight="false" outlineLevel="0" collapsed="false">
      <c r="A14" s="0" t="n">
        <v>13</v>
      </c>
      <c r="B14" s="1" t="s">
        <v>2021</v>
      </c>
      <c r="C14" s="0" t="s">
        <v>376</v>
      </c>
      <c r="D14" s="0" t="s">
        <v>739</v>
      </c>
      <c r="E14" s="0" t="s">
        <v>107</v>
      </c>
    </row>
    <row r="15" customFormat="false" ht="17.15" hidden="false" customHeight="false" outlineLevel="0" collapsed="false">
      <c r="A15" s="0" t="n">
        <v>14</v>
      </c>
      <c r="B15" s="0" t="s">
        <v>2022</v>
      </c>
      <c r="C15" s="0" t="s">
        <v>2004</v>
      </c>
      <c r="D15" s="0" t="s">
        <v>2023</v>
      </c>
      <c r="E15" s="0" t="s">
        <v>76</v>
      </c>
    </row>
    <row r="16" customFormat="false" ht="17.15" hidden="false" customHeight="false" outlineLevel="0" collapsed="false">
      <c r="A16" s="0" t="n">
        <v>15</v>
      </c>
      <c r="B16" s="0" t="s">
        <v>2024</v>
      </c>
      <c r="C16" s="0" t="s">
        <v>2007</v>
      </c>
      <c r="D16" s="0" t="s">
        <v>2025</v>
      </c>
      <c r="E16" s="0" t="s">
        <v>107</v>
      </c>
    </row>
    <row r="17" customFormat="false" ht="17.15" hidden="false" customHeight="false" outlineLevel="0" collapsed="false">
      <c r="A17" s="0" t="n">
        <v>16</v>
      </c>
      <c r="B17" s="0" t="s">
        <v>2026</v>
      </c>
      <c r="C17" s="0" t="s">
        <v>2027</v>
      </c>
      <c r="D17" s="0" t="s">
        <v>2028</v>
      </c>
      <c r="E17" s="0" t="s">
        <v>107</v>
      </c>
    </row>
    <row r="18" customFormat="false" ht="17.15" hidden="false" customHeight="false" outlineLevel="0" collapsed="false">
      <c r="A18" s="0" t="n">
        <v>17</v>
      </c>
      <c r="B18" s="0" t="s">
        <v>2029</v>
      </c>
      <c r="C18" s="0" t="s">
        <v>2027</v>
      </c>
      <c r="D18" s="0" t="s">
        <v>2030</v>
      </c>
      <c r="E18" s="0" t="s">
        <v>107</v>
      </c>
    </row>
    <row r="19" customFormat="false" ht="17.15" hidden="false" customHeight="false" outlineLevel="0" collapsed="false">
      <c r="A19" s="0" t="n">
        <v>18</v>
      </c>
      <c r="B19" s="1" t="s">
        <v>2031</v>
      </c>
      <c r="C19" s="0" t="s">
        <v>369</v>
      </c>
      <c r="D19" s="0" t="s">
        <v>2032</v>
      </c>
      <c r="E19" s="0" t="s">
        <v>90</v>
      </c>
    </row>
    <row r="20" customFormat="false" ht="17.15" hidden="false" customHeight="false" outlineLevel="0" collapsed="false">
      <c r="A20" s="0" t="n">
        <v>19</v>
      </c>
      <c r="B20" s="1" t="s">
        <v>2033</v>
      </c>
      <c r="C20" s="0" t="s">
        <v>369</v>
      </c>
      <c r="D20" s="0" t="s">
        <v>2034</v>
      </c>
      <c r="E20" s="0" t="s">
        <v>90</v>
      </c>
    </row>
    <row r="21" customFormat="false" ht="17.15" hidden="false" customHeight="false" outlineLevel="0" collapsed="false">
      <c r="A21" s="0" t="n">
        <v>20</v>
      </c>
      <c r="B21" s="0" t="s">
        <v>2035</v>
      </c>
      <c r="C21" s="0" t="s">
        <v>2036</v>
      </c>
      <c r="D21" s="0" t="s">
        <v>2037</v>
      </c>
      <c r="E21" s="0" t="s">
        <v>87</v>
      </c>
    </row>
    <row r="22" customFormat="false" ht="17.15" hidden="false" customHeight="false" outlineLevel="0" collapsed="false">
      <c r="A22" s="0" t="n">
        <v>21</v>
      </c>
      <c r="B22" s="0" t="s">
        <v>2038</v>
      </c>
      <c r="C22" s="0" t="s">
        <v>2039</v>
      </c>
      <c r="D22" s="0" t="s">
        <v>2040</v>
      </c>
      <c r="E22" s="0" t="s">
        <v>90</v>
      </c>
    </row>
    <row r="23" customFormat="false" ht="17.15" hidden="false" customHeight="false" outlineLevel="0" collapsed="false">
      <c r="A23" s="0" t="n">
        <v>22</v>
      </c>
      <c r="B23" s="1" t="s">
        <v>2041</v>
      </c>
      <c r="C23" s="0" t="s">
        <v>2027</v>
      </c>
      <c r="D23" s="0" t="s">
        <v>2042</v>
      </c>
      <c r="E23" s="0" t="s">
        <v>87</v>
      </c>
    </row>
    <row r="24" customFormat="false" ht="17.15" hidden="false" customHeight="false" outlineLevel="0" collapsed="false">
      <c r="A24" s="0" t="n">
        <v>23</v>
      </c>
      <c r="B24" s="0" t="s">
        <v>2043</v>
      </c>
      <c r="C24" s="0" t="s">
        <v>2027</v>
      </c>
      <c r="D24" s="0" t="s">
        <v>2044</v>
      </c>
      <c r="E24" s="0" t="s">
        <v>87</v>
      </c>
    </row>
    <row r="25" customFormat="false" ht="17.15" hidden="false" customHeight="false" outlineLevel="0" collapsed="false">
      <c r="A25" s="0" t="n">
        <v>24</v>
      </c>
      <c r="B25" s="0" t="s">
        <v>2045</v>
      </c>
      <c r="C25" s="0" t="s">
        <v>2004</v>
      </c>
      <c r="D25" s="0" t="s">
        <v>2046</v>
      </c>
      <c r="E25" s="0" t="s">
        <v>87</v>
      </c>
    </row>
    <row r="26" customFormat="false" ht="17.15" hidden="false" customHeight="false" outlineLevel="0" collapsed="false">
      <c r="A26" s="0" t="n">
        <v>25</v>
      </c>
      <c r="B26" s="0" t="s">
        <v>2047</v>
      </c>
      <c r="C26" s="0" t="s">
        <v>2027</v>
      </c>
      <c r="D26" s="0" t="s">
        <v>2048</v>
      </c>
      <c r="E26" s="0" t="s">
        <v>90</v>
      </c>
    </row>
    <row r="28" customFormat="false" ht="17.15" hidden="false" customHeight="false" outlineLevel="0" collapsed="false">
      <c r="A28" s="1" t="s">
        <v>2049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2026-10-29T06:31:05Z</dcterms:created>
  <dc:creator>openpyxl</dc:creator>
  <dc:description/>
  <dc:language>en-US</dc:language>
  <cp:lastModifiedBy/>
  <dcterms:modified xsi:type="dcterms:W3CDTF">2026-10-29T06:31:06Z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